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threadedComments/threadedComment8.xml" ContentType="application/vnd.ms-excel.threadedcomments+xml"/>
  <Override PartName="/xl/comments10.xml" ContentType="application/vnd.openxmlformats-officedocument.spreadsheetml.comments+xml"/>
  <Override PartName="/xl/threadedComments/threadedComment9.xml" ContentType="application/vnd.ms-excel.threadedcomments+xml"/>
  <Override PartName="/xl/comments11.xml" ContentType="application/vnd.openxmlformats-officedocument.spreadsheetml.comments+xml"/>
  <Override PartName="/xl/threadedComments/threadedComment10.xml" ContentType="application/vnd.ms-excel.threadedcomments+xml"/>
  <Override PartName="/xl/comments12.xml" ContentType="application/vnd.openxmlformats-officedocument.spreadsheetml.comments+xml"/>
  <Override PartName="/xl/threadedComments/threadedComment11.xml" ContentType="application/vnd.ms-excel.threadedcomments+xml"/>
  <Override PartName="/xl/comments13.xml" ContentType="application/vnd.openxmlformats-officedocument.spreadsheetml.comments+xml"/>
  <Override PartName="/xl/threadedComments/threadedComment12.xml" ContentType="application/vnd.ms-excel.threadedcomments+xml"/>
  <Override PartName="/xl/comments14.xml" ContentType="application/vnd.openxmlformats-officedocument.spreadsheetml.comments+xml"/>
  <Override PartName="/xl/comments15.xml" ContentType="application/vnd.openxmlformats-officedocument.spreadsheetml.comments+xml"/>
  <Override PartName="/xl/threadedComments/threadedComment13.xml" ContentType="application/vnd.ms-excel.threadedcomments+xml"/>
  <Override PartName="/xl/comments16.xml" ContentType="application/vnd.openxmlformats-officedocument.spreadsheetml.comments+xml"/>
  <Override PartName="/xl/threadedComments/threadedComment14.xml" ContentType="application/vnd.ms-excel.threadedcomments+xml"/>
  <Override PartName="/xl/comments17.xml" ContentType="application/vnd.openxmlformats-officedocument.spreadsheetml.comments+xml"/>
  <Override PartName="/xl/drawings/drawing2.xml" ContentType="application/vnd.openxmlformats-officedocument.drawing+xml"/>
  <Override PartName="/xl/comments18.xml" ContentType="application/vnd.openxmlformats-officedocument.spreadsheetml.comments+xml"/>
  <Override PartName="/xl/threadedComments/threadedComment15.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mc:AlternateContent xmlns:mc="http://schemas.openxmlformats.org/markup-compatibility/2006">
    <mc:Choice Requires="x15">
      <x15ac:absPath xmlns:x15ac="http://schemas.microsoft.com/office/spreadsheetml/2010/11/ac" url="D:\working\waccache\SG2PEPF000FD798\EXCELCNV\14292f45-2249-415f-a040-777865f814f9\"/>
    </mc:Choice>
  </mc:AlternateContent>
  <xr:revisionPtr revIDLastSave="0" documentId="8_{0EE7F668-1943-48A2-9857-7059B421580F}" xr6:coauthVersionLast="47" xr6:coauthVersionMax="47" xr10:uidLastSave="{00000000-0000-0000-0000-000000000000}"/>
  <bookViews>
    <workbookView xWindow="-60" yWindow="-60" windowWidth="15480" windowHeight="11640" firstSheet="14" activeTab="14" xr2:uid="{00000000-000D-0000-FFFF-FFFF00000000}"/>
  </bookViews>
  <sheets>
    <sheet name="Template" sheetId="2" r:id="rId1"/>
    <sheet name="Mgmt Summary" sheetId="3" r:id="rId2"/>
    <sheet name="Weekly Summary" sheetId="4" r:id="rId3"/>
    <sheet name="Aden" sheetId="19" r:id="rId4"/>
    <sheet name="Ben - No OT" sheetId="5" r:id="rId5"/>
    <sheet name="Bradley" sheetId="20" r:id="rId6"/>
    <sheet name="Daniel B" sheetId="6" r:id="rId7"/>
    <sheet name="Elliot" sheetId="17" r:id="rId8"/>
    <sheet name="Eric - No OT" sheetId="21" r:id="rId9"/>
    <sheet name="Jack M" sheetId="7" r:id="rId10"/>
    <sheet name="Jarrod - No OT" sheetId="8" r:id="rId11"/>
    <sheet name="Liam" sheetId="9" r:id="rId12"/>
    <sheet name="Matthew H - No OT" sheetId="11" r:id="rId13"/>
    <sheet name="Nicholas" sheetId="24" r:id="rId14"/>
    <sheet name="Shaun - No OT" sheetId="12" r:id="rId15"/>
    <sheet name="Tolga" sheetId="13" r:id="rId16"/>
    <sheet name="Otheniel - Junior" sheetId="23" r:id="rId17"/>
    <sheet name="Alex" sheetId="16" r:id="rId18"/>
    <sheet name="Rhys C" sheetId="14" r:id="rId19"/>
    <sheet name="Heath" sheetId="15" r:id="rId20"/>
    <sheet name="Francesco" sheetId="18" r:id="rId21"/>
    <sheet name="Mathew B" sheetId="10" r:id="rId22"/>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00" i="12" l="1"/>
  <c r="G1545" i="12"/>
  <c r="G1587" i="9"/>
  <c r="G1519" i="8"/>
  <c r="G1521" i="8"/>
  <c r="G1195" i="17"/>
  <c r="G1188" i="17"/>
  <c r="G925" i="20"/>
  <c r="G1609" i="12"/>
  <c r="G1640" i="8"/>
  <c r="K1598" i="12"/>
  <c r="G1673" i="12"/>
  <c r="V1673" i="12"/>
  <c r="V1609" i="12"/>
  <c r="I1609" i="12"/>
  <c r="K1590" i="12" s="1"/>
  <c r="K1666" i="9"/>
  <c r="K1658" i="9"/>
  <c r="G1740" i="9"/>
  <c r="W1740" i="9"/>
  <c r="W1676" i="9"/>
  <c r="G1676" i="9"/>
  <c r="K1565" i="8"/>
  <c r="G1576" i="8"/>
  <c r="V1618" i="8"/>
  <c r="K1242" i="17"/>
  <c r="K1234" i="17"/>
  <c r="G1317" i="17"/>
  <c r="V1317" i="17"/>
  <c r="V1252" i="17"/>
  <c r="G1316" i="17"/>
  <c r="V1316" i="17"/>
  <c r="K873" i="20"/>
  <c r="G885" i="20"/>
  <c r="G884" i="20"/>
  <c r="V948" i="20"/>
  <c r="G948" i="20"/>
  <c r="G926" i="20"/>
  <c r="G947" i="20"/>
  <c r="V947" i="20"/>
  <c r="I925" i="20"/>
  <c r="K865" i="20" s="1"/>
  <c r="K1639" i="5"/>
  <c r="K1631" i="5"/>
  <c r="V1583" i="5"/>
  <c r="G1651" i="5"/>
  <c r="V1651" i="5"/>
  <c r="V1650" i="5"/>
  <c r="G1736" i="5"/>
  <c r="G1714" i="5"/>
  <c r="V1714" i="5"/>
  <c r="P509" i="3"/>
  <c r="P506" i="3"/>
  <c r="P503" i="3"/>
  <c r="P500" i="3"/>
  <c r="P497" i="3"/>
  <c r="P494" i="3"/>
  <c r="R1500" i="12"/>
  <c r="V1524" i="12"/>
  <c r="N1533" i="9"/>
  <c r="N1525" i="9"/>
  <c r="B1551" i="9"/>
  <c r="B1550" i="9"/>
  <c r="X1646" i="9"/>
  <c r="W1646" i="9"/>
  <c r="T1646" i="9"/>
  <c r="B1583" i="9"/>
  <c r="H1584" i="9"/>
  <c r="F1584" i="9"/>
  <c r="V1550" i="9"/>
  <c r="V1546" i="9"/>
  <c r="N1463" i="8"/>
  <c r="N1455" i="8"/>
  <c r="H1507" i="8"/>
  <c r="G1507" i="8"/>
  <c r="F1507" i="8"/>
  <c r="I1507" i="8"/>
  <c r="V1506" i="8"/>
  <c r="X1222" i="17"/>
  <c r="W1222" i="17"/>
  <c r="V1222" i="17"/>
  <c r="S795" i="20"/>
  <c r="R795" i="20"/>
  <c r="Q795" i="20"/>
  <c r="P795" i="20"/>
  <c r="O795" i="20"/>
  <c r="N795" i="20"/>
  <c r="M795" i="20"/>
  <c r="L795" i="20"/>
  <c r="K795" i="20"/>
  <c r="S794" i="20"/>
  <c r="R794" i="20"/>
  <c r="Q794" i="20"/>
  <c r="P794" i="20"/>
  <c r="O794" i="20"/>
  <c r="N794" i="20"/>
  <c r="M794" i="20"/>
  <c r="L794" i="20"/>
  <c r="K794" i="20"/>
  <c r="H794" i="20"/>
  <c r="V1564" i="5"/>
  <c r="F1416" i="12"/>
  <c r="G1385" i="8"/>
  <c r="F311" i="23"/>
  <c r="F1190" i="14"/>
  <c r="G1521" i="12"/>
  <c r="H815" i="20"/>
  <c r="G815" i="20"/>
  <c r="F815" i="20"/>
  <c r="V780" i="20"/>
  <c r="G780" i="20"/>
  <c r="G1562" i="9"/>
  <c r="F1562" i="9"/>
  <c r="V1562" i="9"/>
  <c r="V1587" i="9"/>
  <c r="F1561" i="9"/>
  <c r="V1561" i="9"/>
  <c r="G1561" i="9"/>
  <c r="G1643" i="9"/>
  <c r="V1560" i="9"/>
  <c r="G1560" i="9"/>
  <c r="F1560" i="9"/>
  <c r="Q1533" i="9" s="1"/>
  <c r="F1499" i="12"/>
  <c r="F1497" i="12"/>
  <c r="F1530" i="9"/>
  <c r="F386" i="23"/>
  <c r="F1460" i="8"/>
  <c r="F1148" i="17"/>
  <c r="F763" i="20"/>
  <c r="F1542" i="5"/>
  <c r="G1524" i="12"/>
  <c r="G1546" i="12"/>
  <c r="G1635" i="9"/>
  <c r="G1537" i="8"/>
  <c r="G1502" i="8"/>
  <c r="G1583" i="5"/>
  <c r="L544" i="4"/>
  <c r="E544" i="4"/>
  <c r="F544" i="4"/>
  <c r="G544" i="4"/>
  <c r="H544" i="4"/>
  <c r="D544" i="4"/>
  <c r="B544" i="4"/>
  <c r="L541" i="4"/>
  <c r="E541" i="4"/>
  <c r="F541" i="4"/>
  <c r="G541" i="4"/>
  <c r="H541" i="4"/>
  <c r="D541" i="4"/>
  <c r="B541" i="4"/>
  <c r="L538" i="4"/>
  <c r="E538" i="4"/>
  <c r="F538" i="4"/>
  <c r="G538" i="4"/>
  <c r="H538" i="4"/>
  <c r="B538" i="4"/>
  <c r="L535" i="4"/>
  <c r="E535" i="4"/>
  <c r="F535" i="4"/>
  <c r="G535" i="4"/>
  <c r="H535" i="4"/>
  <c r="D535" i="4"/>
  <c r="B535" i="4"/>
  <c r="L532" i="4"/>
  <c r="E532" i="4"/>
  <c r="F532" i="4"/>
  <c r="G532" i="4"/>
  <c r="H532" i="4"/>
  <c r="D532" i="4"/>
  <c r="B532" i="4"/>
  <c r="L529" i="4"/>
  <c r="E529" i="4"/>
  <c r="F529" i="4"/>
  <c r="G529" i="4"/>
  <c r="H529" i="4"/>
  <c r="D529" i="4"/>
  <c r="B529" i="4"/>
  <c r="K533" i="3"/>
  <c r="D533" i="3"/>
  <c r="E533" i="3"/>
  <c r="F533" i="3"/>
  <c r="G533" i="3"/>
  <c r="C533" i="3"/>
  <c r="K530" i="3"/>
  <c r="D530" i="3"/>
  <c r="E530" i="3"/>
  <c r="F530" i="3"/>
  <c r="G530" i="3"/>
  <c r="C530" i="3"/>
  <c r="K527" i="3"/>
  <c r="D527" i="3"/>
  <c r="E527" i="3"/>
  <c r="F527" i="3"/>
  <c r="G527" i="3"/>
  <c r="C527" i="3"/>
  <c r="K524" i="3"/>
  <c r="D524" i="3"/>
  <c r="E524" i="3"/>
  <c r="F524" i="3"/>
  <c r="G524" i="3"/>
  <c r="C524" i="3"/>
  <c r="K521" i="3"/>
  <c r="D521" i="3"/>
  <c r="E521" i="3"/>
  <c r="F521" i="3"/>
  <c r="G521" i="3"/>
  <c r="C521" i="3"/>
  <c r="K518" i="3"/>
  <c r="D518" i="3"/>
  <c r="E518" i="3"/>
  <c r="F518" i="3"/>
  <c r="G518" i="3"/>
  <c r="C518" i="3"/>
  <c r="L547" i="4"/>
  <c r="J547" i="4"/>
  <c r="H547" i="4"/>
  <c r="G547" i="4"/>
  <c r="F547" i="4"/>
  <c r="E547" i="4"/>
  <c r="I536" i="3"/>
  <c r="K536" i="3"/>
  <c r="G536" i="3"/>
  <c r="F536" i="3"/>
  <c r="E536" i="3"/>
  <c r="D536" i="3"/>
  <c r="C536" i="3"/>
  <c r="B547" i="4"/>
  <c r="P1639" i="5"/>
  <c r="H518" i="3" s="1"/>
  <c r="P873" i="20"/>
  <c r="H521" i="3" s="1"/>
  <c r="P1242" i="17"/>
  <c r="H524" i="3" s="1"/>
  <c r="P1565" i="8"/>
  <c r="H527" i="3" s="1"/>
  <c r="P1666" i="9"/>
  <c r="H530" i="3" s="1"/>
  <c r="X373" i="24"/>
  <c r="W373" i="24"/>
  <c r="V373" i="24"/>
  <c r="T373" i="24"/>
  <c r="H372" i="24"/>
  <c r="G372" i="24"/>
  <c r="F372" i="24"/>
  <c r="I371" i="24"/>
  <c r="I370" i="24"/>
  <c r="I369" i="24"/>
  <c r="I368" i="24"/>
  <c r="I367" i="24"/>
  <c r="B367" i="24"/>
  <c r="B368" i="24" s="1"/>
  <c r="B369" i="24" s="1"/>
  <c r="B370" i="24" s="1"/>
  <c r="B371" i="24" s="1"/>
  <c r="I366" i="24"/>
  <c r="I372" i="24" s="1"/>
  <c r="H363" i="24"/>
  <c r="G363" i="24"/>
  <c r="F363" i="24"/>
  <c r="I362" i="24"/>
  <c r="I361" i="24"/>
  <c r="I360" i="24"/>
  <c r="I359" i="24"/>
  <c r="I358" i="24"/>
  <c r="I357" i="24"/>
  <c r="I356" i="24"/>
  <c r="I355" i="24"/>
  <c r="I354" i="24"/>
  <c r="I353" i="24"/>
  <c r="I352" i="24"/>
  <c r="I351" i="24"/>
  <c r="I350" i="24"/>
  <c r="I349" i="24"/>
  <c r="I348" i="24"/>
  <c r="I347" i="24"/>
  <c r="I346" i="24"/>
  <c r="B346" i="24"/>
  <c r="B347" i="24" s="1"/>
  <c r="B348" i="24" s="1"/>
  <c r="B349" i="24" s="1"/>
  <c r="B350" i="24" s="1"/>
  <c r="B351" i="24" s="1"/>
  <c r="B352" i="24" s="1"/>
  <c r="B353" i="24" s="1"/>
  <c r="B354" i="24" s="1"/>
  <c r="B355" i="24" s="1"/>
  <c r="B356" i="24" s="1"/>
  <c r="B357" i="24" s="1"/>
  <c r="B358" i="24" s="1"/>
  <c r="B359" i="24" s="1"/>
  <c r="B360" i="24" s="1"/>
  <c r="B361" i="24" s="1"/>
  <c r="B362" i="24" s="1"/>
  <c r="I345" i="24"/>
  <c r="I363" i="24" s="1"/>
  <c r="H342" i="24"/>
  <c r="G342" i="24"/>
  <c r="F342" i="24"/>
  <c r="I341" i="24"/>
  <c r="I340" i="24"/>
  <c r="I339" i="24"/>
  <c r="I338" i="24"/>
  <c r="I337" i="24"/>
  <c r="I336" i="24"/>
  <c r="I335" i="24"/>
  <c r="B335" i="24"/>
  <c r="B336" i="24" s="1"/>
  <c r="B337" i="24" s="1"/>
  <c r="B338" i="24" s="1"/>
  <c r="B339" i="24" s="1"/>
  <c r="B340" i="24" s="1"/>
  <c r="B341" i="24" s="1"/>
  <c r="I334" i="24"/>
  <c r="I342" i="24" s="1"/>
  <c r="H331" i="24"/>
  <c r="G331" i="24"/>
  <c r="F331" i="24"/>
  <c r="I330" i="24"/>
  <c r="I329" i="24"/>
  <c r="I328" i="24"/>
  <c r="I327" i="24"/>
  <c r="I326" i="24"/>
  <c r="I325" i="24"/>
  <c r="I324" i="24"/>
  <c r="B324" i="24"/>
  <c r="B325" i="24" s="1"/>
  <c r="B326" i="24" s="1"/>
  <c r="B327" i="24" s="1"/>
  <c r="B328" i="24" s="1"/>
  <c r="B329" i="24" s="1"/>
  <c r="B330" i="24" s="1"/>
  <c r="I323" i="24"/>
  <c r="I331" i="24" s="1"/>
  <c r="H320" i="24"/>
  <c r="G320" i="24"/>
  <c r="F320" i="24"/>
  <c r="I319" i="24"/>
  <c r="I318" i="24"/>
  <c r="I317" i="24"/>
  <c r="I316" i="24"/>
  <c r="I315" i="24"/>
  <c r="I314" i="24"/>
  <c r="I313" i="24"/>
  <c r="B313" i="24"/>
  <c r="B314" i="24" s="1"/>
  <c r="B315" i="24" s="1"/>
  <c r="B316" i="24" s="1"/>
  <c r="B317" i="24" s="1"/>
  <c r="B318" i="24" s="1"/>
  <c r="B319" i="24" s="1"/>
  <c r="I312" i="24"/>
  <c r="I320" i="24" s="1"/>
  <c r="H309" i="24"/>
  <c r="G309" i="24"/>
  <c r="F309" i="24"/>
  <c r="I308" i="24"/>
  <c r="I307" i="24"/>
  <c r="I306" i="24"/>
  <c r="I305" i="24"/>
  <c r="I304" i="24"/>
  <c r="I303" i="24"/>
  <c r="I302" i="24"/>
  <c r="B302" i="24"/>
  <c r="B303" i="24" s="1"/>
  <c r="B304" i="24" s="1"/>
  <c r="B305" i="24" s="1"/>
  <c r="B306" i="24" s="1"/>
  <c r="B307" i="24" s="1"/>
  <c r="B308" i="24" s="1"/>
  <c r="I301" i="24"/>
  <c r="I309" i="24" s="1"/>
  <c r="H298" i="24"/>
  <c r="G298" i="24"/>
  <c r="F298" i="24"/>
  <c r="I297" i="24"/>
  <c r="I296" i="24"/>
  <c r="I295" i="24"/>
  <c r="I294" i="24"/>
  <c r="I293" i="24"/>
  <c r="I292" i="24"/>
  <c r="I291" i="24"/>
  <c r="B291" i="24"/>
  <c r="B292" i="24" s="1"/>
  <c r="B293" i="24" s="1"/>
  <c r="B294" i="24" s="1"/>
  <c r="B295" i="24" s="1"/>
  <c r="B296" i="24" s="1"/>
  <c r="B297" i="24" s="1"/>
  <c r="I290" i="24"/>
  <c r="I298" i="24" s="1"/>
  <c r="H287" i="24"/>
  <c r="G287" i="24"/>
  <c r="F287" i="24"/>
  <c r="I286" i="24"/>
  <c r="I285" i="24"/>
  <c r="I284" i="24"/>
  <c r="I283" i="24"/>
  <c r="I282" i="24"/>
  <c r="I281" i="24"/>
  <c r="I280" i="24"/>
  <c r="B280" i="24"/>
  <c r="B281" i="24" s="1"/>
  <c r="B282" i="24" s="1"/>
  <c r="B283" i="24" s="1"/>
  <c r="B284" i="24" s="1"/>
  <c r="B285" i="24" s="1"/>
  <c r="B286" i="24" s="1"/>
  <c r="I279" i="24"/>
  <c r="I287" i="24" s="1"/>
  <c r="S276" i="24"/>
  <c r="R276" i="24"/>
  <c r="Q276" i="24"/>
  <c r="P276" i="24"/>
  <c r="O276" i="24"/>
  <c r="N276" i="24"/>
  <c r="M276" i="24"/>
  <c r="L276" i="24"/>
  <c r="K276" i="24"/>
  <c r="S275" i="24"/>
  <c r="R275" i="24"/>
  <c r="Q275" i="24"/>
  <c r="P275" i="24"/>
  <c r="O275" i="24"/>
  <c r="N275" i="24"/>
  <c r="M275" i="24"/>
  <c r="L275" i="24"/>
  <c r="K275" i="24"/>
  <c r="H275" i="24"/>
  <c r="G275" i="24"/>
  <c r="F275" i="24"/>
  <c r="I274" i="24"/>
  <c r="I273" i="24"/>
  <c r="I272" i="24"/>
  <c r="I271" i="24"/>
  <c r="I270" i="24"/>
  <c r="I269" i="24"/>
  <c r="I268" i="24"/>
  <c r="I267" i="24"/>
  <c r="I266" i="24"/>
  <c r="I265" i="24"/>
  <c r="I264" i="24"/>
  <c r="I263" i="24"/>
  <c r="I262" i="24"/>
  <c r="I261" i="24"/>
  <c r="I260" i="24"/>
  <c r="B260" i="24"/>
  <c r="B261" i="24" s="1"/>
  <c r="B262" i="24" s="1"/>
  <c r="B263" i="24" s="1"/>
  <c r="B264" i="24" s="1"/>
  <c r="B265" i="24" s="1"/>
  <c r="B266" i="24" s="1"/>
  <c r="B267" i="24" s="1"/>
  <c r="B268" i="24" s="1"/>
  <c r="B269" i="24" s="1"/>
  <c r="B270" i="24" s="1"/>
  <c r="B271" i="24" s="1"/>
  <c r="B272" i="24" s="1"/>
  <c r="B273" i="24" s="1"/>
  <c r="B274" i="24" s="1"/>
  <c r="I259" i="24"/>
  <c r="I275" i="24" s="1"/>
  <c r="Q251" i="24"/>
  <c r="O251" i="24"/>
  <c r="N251" i="24"/>
  <c r="M251" i="24"/>
  <c r="L251" i="24"/>
  <c r="K251" i="24"/>
  <c r="Q250" i="24"/>
  <c r="O250" i="24"/>
  <c r="N250" i="24"/>
  <c r="M250" i="24"/>
  <c r="L250" i="24"/>
  <c r="K250" i="24"/>
  <c r="S249" i="24"/>
  <c r="R249" i="24"/>
  <c r="P249" i="24"/>
  <c r="F247" i="24"/>
  <c r="H246" i="24"/>
  <c r="Q245" i="24"/>
  <c r="O245" i="24"/>
  <c r="N245" i="24"/>
  <c r="M245" i="24"/>
  <c r="L245" i="24"/>
  <c r="K245" i="24"/>
  <c r="F245" i="24"/>
  <c r="H245" i="24" s="1"/>
  <c r="Q244" i="24"/>
  <c r="O244" i="24"/>
  <c r="N244" i="24"/>
  <c r="M244" i="24"/>
  <c r="L244" i="24"/>
  <c r="K244" i="24"/>
  <c r="P243" i="24"/>
  <c r="P251" i="24" s="1"/>
  <c r="P242" i="24"/>
  <c r="F242" i="24"/>
  <c r="F243" i="24" s="1"/>
  <c r="H243" i="24" s="1"/>
  <c r="S241" i="24"/>
  <c r="R241" i="24"/>
  <c r="P241" i="24"/>
  <c r="P245" i="24" s="1"/>
  <c r="F240" i="24"/>
  <c r="G239" i="24"/>
  <c r="F239" i="24"/>
  <c r="F241" i="24" s="1"/>
  <c r="H241" i="24" s="1"/>
  <c r="C239" i="24"/>
  <c r="S236" i="24"/>
  <c r="R236" i="24"/>
  <c r="Q236" i="24"/>
  <c r="P236" i="24"/>
  <c r="O236" i="24"/>
  <c r="N236" i="24"/>
  <c r="M236" i="24"/>
  <c r="L236" i="24"/>
  <c r="K236" i="24"/>
  <c r="C236" i="24"/>
  <c r="T235" i="24"/>
  <c r="S235" i="24"/>
  <c r="R235" i="24"/>
  <c r="Q235" i="24"/>
  <c r="P235" i="24"/>
  <c r="O235" i="24"/>
  <c r="N235" i="24"/>
  <c r="M235" i="24"/>
  <c r="L235" i="24"/>
  <c r="K235" i="24"/>
  <c r="C235" i="24"/>
  <c r="C234" i="24"/>
  <c r="X1790" i="9"/>
  <c r="W1790" i="9"/>
  <c r="V1790" i="9"/>
  <c r="T1790" i="9"/>
  <c r="H1789" i="9"/>
  <c r="G1789" i="9"/>
  <c r="F1789" i="9"/>
  <c r="I1788" i="9"/>
  <c r="I1787" i="9"/>
  <c r="I1786" i="9"/>
  <c r="I1785" i="9"/>
  <c r="I1784" i="9"/>
  <c r="B1784" i="9"/>
  <c r="B1785" i="9" s="1"/>
  <c r="B1786" i="9" s="1"/>
  <c r="B1787" i="9" s="1"/>
  <c r="B1788" i="9" s="1"/>
  <c r="I1783" i="9"/>
  <c r="I1789" i="9" s="1"/>
  <c r="H1780" i="9"/>
  <c r="G1780" i="9"/>
  <c r="F1780" i="9"/>
  <c r="I1779" i="9"/>
  <c r="I1778" i="9"/>
  <c r="I1777" i="9"/>
  <c r="I1776" i="9"/>
  <c r="I1775" i="9"/>
  <c r="I1774" i="9"/>
  <c r="I1773" i="9"/>
  <c r="I1772" i="9"/>
  <c r="I1771" i="9"/>
  <c r="I1770" i="9"/>
  <c r="I1769" i="9"/>
  <c r="I1768" i="9"/>
  <c r="I1767" i="9"/>
  <c r="I1766" i="9"/>
  <c r="I1765" i="9"/>
  <c r="I1764" i="9"/>
  <c r="I1763" i="9"/>
  <c r="B1763" i="9"/>
  <c r="B1764" i="9" s="1"/>
  <c r="B1765" i="9" s="1"/>
  <c r="B1766" i="9" s="1"/>
  <c r="B1767" i="9" s="1"/>
  <c r="B1768" i="9" s="1"/>
  <c r="B1769" i="9" s="1"/>
  <c r="B1770" i="9" s="1"/>
  <c r="B1771" i="9" s="1"/>
  <c r="B1772" i="9" s="1"/>
  <c r="B1773" i="9" s="1"/>
  <c r="B1774" i="9" s="1"/>
  <c r="B1775" i="9" s="1"/>
  <c r="B1776" i="9" s="1"/>
  <c r="B1777" i="9" s="1"/>
  <c r="B1778" i="9" s="1"/>
  <c r="B1779" i="9" s="1"/>
  <c r="I1762" i="9"/>
  <c r="I1780" i="9" s="1"/>
  <c r="H1759" i="9"/>
  <c r="G1759" i="9"/>
  <c r="F1759" i="9"/>
  <c r="I1758" i="9"/>
  <c r="I1757" i="9"/>
  <c r="I1756" i="9"/>
  <c r="I1755" i="9"/>
  <c r="I1754" i="9"/>
  <c r="I1753" i="9"/>
  <c r="I1752" i="9"/>
  <c r="B1752" i="9"/>
  <c r="B1753" i="9" s="1"/>
  <c r="B1754" i="9" s="1"/>
  <c r="B1755" i="9" s="1"/>
  <c r="B1756" i="9" s="1"/>
  <c r="B1757" i="9" s="1"/>
  <c r="B1758" i="9" s="1"/>
  <c r="I1751" i="9"/>
  <c r="I1759" i="9" s="1"/>
  <c r="H1748" i="9"/>
  <c r="G1748" i="9"/>
  <c r="F1748" i="9"/>
  <c r="I1747" i="9"/>
  <c r="I1746" i="9"/>
  <c r="I1745" i="9"/>
  <c r="I1744" i="9"/>
  <c r="I1743" i="9"/>
  <c r="I1742" i="9"/>
  <c r="I1741" i="9"/>
  <c r="B1741" i="9"/>
  <c r="B1742" i="9" s="1"/>
  <c r="B1743" i="9" s="1"/>
  <c r="B1744" i="9" s="1"/>
  <c r="B1745" i="9" s="1"/>
  <c r="B1746" i="9" s="1"/>
  <c r="B1747" i="9" s="1"/>
  <c r="I1740" i="9"/>
  <c r="I1748" i="9" s="1"/>
  <c r="H1737" i="9"/>
  <c r="G1737" i="9"/>
  <c r="F1737" i="9"/>
  <c r="I1736" i="9"/>
  <c r="I1735" i="9"/>
  <c r="I1734" i="9"/>
  <c r="I1733" i="9"/>
  <c r="I1732" i="9"/>
  <c r="I1731" i="9"/>
  <c r="I1730" i="9"/>
  <c r="B1730" i="9"/>
  <c r="B1731" i="9" s="1"/>
  <c r="B1732" i="9" s="1"/>
  <c r="B1733" i="9" s="1"/>
  <c r="B1734" i="9" s="1"/>
  <c r="B1735" i="9" s="1"/>
  <c r="B1736" i="9" s="1"/>
  <c r="I1729" i="9"/>
  <c r="I1737" i="9" s="1"/>
  <c r="H1726" i="9"/>
  <c r="G1726" i="9"/>
  <c r="F1726" i="9"/>
  <c r="I1725" i="9"/>
  <c r="I1724" i="9"/>
  <c r="I1723" i="9"/>
  <c r="I1722" i="9"/>
  <c r="I1721" i="9"/>
  <c r="I1720" i="9"/>
  <c r="I1719" i="9"/>
  <c r="B1719" i="9"/>
  <c r="B1720" i="9" s="1"/>
  <c r="B1721" i="9" s="1"/>
  <c r="B1722" i="9" s="1"/>
  <c r="B1723" i="9" s="1"/>
  <c r="B1724" i="9" s="1"/>
  <c r="B1725" i="9" s="1"/>
  <c r="I1718" i="9"/>
  <c r="I1726" i="9" s="1"/>
  <c r="H1715" i="9"/>
  <c r="G1715" i="9"/>
  <c r="F1715" i="9"/>
  <c r="I1714" i="9"/>
  <c r="I1713" i="9"/>
  <c r="I1712" i="9"/>
  <c r="I1711" i="9"/>
  <c r="I1710" i="9"/>
  <c r="I1709" i="9"/>
  <c r="I1708" i="9"/>
  <c r="B1708" i="9"/>
  <c r="B1709" i="9" s="1"/>
  <c r="B1710" i="9" s="1"/>
  <c r="B1711" i="9" s="1"/>
  <c r="B1712" i="9" s="1"/>
  <c r="B1713" i="9" s="1"/>
  <c r="B1714" i="9" s="1"/>
  <c r="I1707" i="9"/>
  <c r="I1715" i="9" s="1"/>
  <c r="H1704" i="9"/>
  <c r="G1704" i="9"/>
  <c r="F1704" i="9"/>
  <c r="I1703" i="9"/>
  <c r="I1702" i="9"/>
  <c r="I1701" i="9"/>
  <c r="I1700" i="9"/>
  <c r="I1699" i="9"/>
  <c r="I1698" i="9"/>
  <c r="I1697" i="9"/>
  <c r="B1697" i="9"/>
  <c r="B1698" i="9" s="1"/>
  <c r="B1699" i="9" s="1"/>
  <c r="B1700" i="9" s="1"/>
  <c r="B1701" i="9" s="1"/>
  <c r="B1702" i="9" s="1"/>
  <c r="B1703" i="9" s="1"/>
  <c r="I1696" i="9"/>
  <c r="I1704" i="9" s="1"/>
  <c r="S1693" i="9"/>
  <c r="R1693" i="9"/>
  <c r="Q1693" i="9"/>
  <c r="P1693" i="9"/>
  <c r="O1693" i="9"/>
  <c r="N1693" i="9"/>
  <c r="M1693" i="9"/>
  <c r="L1693" i="9"/>
  <c r="K1693" i="9"/>
  <c r="S1692" i="9"/>
  <c r="R1692" i="9"/>
  <c r="Q1692" i="9"/>
  <c r="P1692" i="9"/>
  <c r="O1692" i="9"/>
  <c r="N1692" i="9"/>
  <c r="M1692" i="9"/>
  <c r="L1692" i="9"/>
  <c r="K1692" i="9"/>
  <c r="H1692" i="9"/>
  <c r="G1692" i="9"/>
  <c r="F1692" i="9"/>
  <c r="I1691" i="9"/>
  <c r="I1690" i="9"/>
  <c r="I1689" i="9"/>
  <c r="I1688" i="9"/>
  <c r="I1687" i="9"/>
  <c r="I1686" i="9"/>
  <c r="I1685" i="9"/>
  <c r="I1684" i="9"/>
  <c r="I1683" i="9"/>
  <c r="I1682" i="9"/>
  <c r="I1681" i="9"/>
  <c r="I1680" i="9"/>
  <c r="I1679" i="9"/>
  <c r="I1678" i="9"/>
  <c r="I1677" i="9"/>
  <c r="B1677" i="9"/>
  <c r="B1678" i="9" s="1"/>
  <c r="B1679" i="9" s="1"/>
  <c r="B1680" i="9" s="1"/>
  <c r="B1681" i="9" s="1"/>
  <c r="B1682" i="9" s="1"/>
  <c r="B1683" i="9" s="1"/>
  <c r="B1684" i="9" s="1"/>
  <c r="B1685" i="9" s="1"/>
  <c r="B1686" i="9" s="1"/>
  <c r="B1687" i="9" s="1"/>
  <c r="B1688" i="9" s="1"/>
  <c r="B1689" i="9" s="1"/>
  <c r="B1690" i="9" s="1"/>
  <c r="B1691" i="9" s="1"/>
  <c r="I1676" i="9"/>
  <c r="I1692" i="9" s="1"/>
  <c r="Q1668" i="9"/>
  <c r="O1668" i="9"/>
  <c r="N1668" i="9"/>
  <c r="M1668" i="9"/>
  <c r="L1668" i="9"/>
  <c r="K1668" i="9"/>
  <c r="Q1667" i="9"/>
  <c r="O1667" i="9"/>
  <c r="N1667" i="9"/>
  <c r="M1667" i="9"/>
  <c r="L1667" i="9"/>
  <c r="K1667" i="9"/>
  <c r="S1666" i="9"/>
  <c r="O530" i="3" s="1"/>
  <c r="R1666" i="9"/>
  <c r="M530" i="3" s="1"/>
  <c r="F1664" i="9"/>
  <c r="H1663" i="9"/>
  <c r="Q1662" i="9"/>
  <c r="O1662" i="9"/>
  <c r="N1662" i="9"/>
  <c r="M1662" i="9"/>
  <c r="L1662" i="9"/>
  <c r="K1662" i="9"/>
  <c r="F1662" i="9"/>
  <c r="H1662" i="9" s="1"/>
  <c r="Q1661" i="9"/>
  <c r="L542" i="4" s="1" a="1"/>
  <c r="L542" i="4" s="1"/>
  <c r="O1661" i="9"/>
  <c r="H542" i="4" s="1" a="1"/>
  <c r="H542" i="4" s="1"/>
  <c r="N1661" i="9"/>
  <c r="G542" i="4" s="1" a="1"/>
  <c r="G542" i="4" s="1"/>
  <c r="M1661" i="9"/>
  <c r="F542" i="4" s="1" a="1"/>
  <c r="F542" i="4" s="1"/>
  <c r="L1661" i="9"/>
  <c r="E542" i="4" s="1" a="1"/>
  <c r="E542" i="4" s="1"/>
  <c r="K1661" i="9"/>
  <c r="D542" i="4" s="1" a="1"/>
  <c r="D542" i="4" s="1"/>
  <c r="P1660" i="9"/>
  <c r="P1668" i="9" s="1"/>
  <c r="P1659" i="9"/>
  <c r="F1659" i="9"/>
  <c r="F1660" i="9" s="1"/>
  <c r="H1660" i="9" s="1"/>
  <c r="S1658" i="9"/>
  <c r="P541" i="4" s="1"/>
  <c r="R1658" i="9"/>
  <c r="N541" i="4" s="1"/>
  <c r="P1658" i="9"/>
  <c r="F1657" i="9"/>
  <c r="G1656" i="9"/>
  <c r="F1656" i="9"/>
  <c r="F1658" i="9" s="1"/>
  <c r="H1658" i="9" s="1"/>
  <c r="S1653" i="9"/>
  <c r="R1653" i="9"/>
  <c r="Q1653" i="9"/>
  <c r="P1653" i="9"/>
  <c r="O1653" i="9"/>
  <c r="N1653" i="9"/>
  <c r="M1653" i="9"/>
  <c r="L1653" i="9"/>
  <c r="K1653" i="9"/>
  <c r="C1653" i="9"/>
  <c r="T1652" i="9"/>
  <c r="A541" i="4" s="1"/>
  <c r="S1652" i="9"/>
  <c r="R1652" i="9"/>
  <c r="Q1652" i="9"/>
  <c r="P1652" i="9"/>
  <c r="O1652" i="9"/>
  <c r="N1652" i="9"/>
  <c r="M1652" i="9"/>
  <c r="L1652" i="9"/>
  <c r="K1652" i="9"/>
  <c r="C1652" i="9"/>
  <c r="C1651" i="9"/>
  <c r="X1366" i="17"/>
  <c r="W1366" i="17"/>
  <c r="V1366" i="17"/>
  <c r="T1366" i="17"/>
  <c r="H1365" i="17"/>
  <c r="G1365" i="17"/>
  <c r="F1365" i="17"/>
  <c r="I1364" i="17"/>
  <c r="I1363" i="17"/>
  <c r="I1362" i="17"/>
  <c r="I1361" i="17"/>
  <c r="I1360" i="17"/>
  <c r="B1360" i="17"/>
  <c r="B1361" i="17" s="1"/>
  <c r="B1362" i="17" s="1"/>
  <c r="B1363" i="17" s="1"/>
  <c r="B1364" i="17" s="1"/>
  <c r="I1359" i="17"/>
  <c r="I1365" i="17" s="1"/>
  <c r="H1356" i="17"/>
  <c r="G1356" i="17"/>
  <c r="F1356" i="17"/>
  <c r="I1355" i="17"/>
  <c r="I1354" i="17"/>
  <c r="I1353" i="17"/>
  <c r="I1352" i="17"/>
  <c r="I1351" i="17"/>
  <c r="I1350" i="17"/>
  <c r="I1349" i="17"/>
  <c r="I1348" i="17"/>
  <c r="I1347" i="17"/>
  <c r="I1346" i="17"/>
  <c r="I1345" i="17"/>
  <c r="I1344" i="17"/>
  <c r="I1343" i="17"/>
  <c r="I1342" i="17"/>
  <c r="I1341" i="17"/>
  <c r="I1340" i="17"/>
  <c r="I1339" i="17"/>
  <c r="B1339" i="17"/>
  <c r="B1340" i="17" s="1"/>
  <c r="B1341" i="17" s="1"/>
  <c r="B1342" i="17" s="1"/>
  <c r="B1343" i="17" s="1"/>
  <c r="B1344" i="17" s="1"/>
  <c r="B1345" i="17" s="1"/>
  <c r="B1346" i="17" s="1"/>
  <c r="B1347" i="17" s="1"/>
  <c r="B1348" i="17" s="1"/>
  <c r="B1349" i="17" s="1"/>
  <c r="B1350" i="17" s="1"/>
  <c r="B1351" i="17" s="1"/>
  <c r="B1352" i="17" s="1"/>
  <c r="B1353" i="17" s="1"/>
  <c r="B1354" i="17" s="1"/>
  <c r="B1355" i="17" s="1"/>
  <c r="I1338" i="17"/>
  <c r="I1356" i="17" s="1"/>
  <c r="H1335" i="17"/>
  <c r="G1335" i="17"/>
  <c r="F1335" i="17"/>
  <c r="I1334" i="17"/>
  <c r="I1333" i="17"/>
  <c r="I1332" i="17"/>
  <c r="I1331" i="17"/>
  <c r="I1330" i="17"/>
  <c r="I1329" i="17"/>
  <c r="I1328" i="17"/>
  <c r="B1328" i="17"/>
  <c r="B1329" i="17" s="1"/>
  <c r="B1330" i="17" s="1"/>
  <c r="B1331" i="17" s="1"/>
  <c r="B1332" i="17" s="1"/>
  <c r="B1333" i="17" s="1"/>
  <c r="B1334" i="17" s="1"/>
  <c r="I1327" i="17"/>
  <c r="I1335" i="17" s="1"/>
  <c r="H1324" i="17"/>
  <c r="G1324" i="17"/>
  <c r="F1324" i="17"/>
  <c r="I1323" i="17"/>
  <c r="I1322" i="17"/>
  <c r="I1321" i="17"/>
  <c r="I1320" i="17"/>
  <c r="I1319" i="17"/>
  <c r="I1318" i="17"/>
  <c r="I1317" i="17"/>
  <c r="B1317" i="17"/>
  <c r="B1318" i="17" s="1"/>
  <c r="B1319" i="17" s="1"/>
  <c r="B1320" i="17" s="1"/>
  <c r="B1321" i="17" s="1"/>
  <c r="B1322" i="17" s="1"/>
  <c r="B1323" i="17" s="1"/>
  <c r="I1316" i="17"/>
  <c r="I1324" i="17" s="1"/>
  <c r="H1313" i="17"/>
  <c r="G1313" i="17"/>
  <c r="F1313" i="17"/>
  <c r="I1312" i="17"/>
  <c r="I1311" i="17"/>
  <c r="I1310" i="17"/>
  <c r="I1309" i="17"/>
  <c r="I1308" i="17"/>
  <c r="I1307" i="17"/>
  <c r="I1306" i="17"/>
  <c r="B1306" i="17"/>
  <c r="B1307" i="17" s="1"/>
  <c r="B1308" i="17" s="1"/>
  <c r="B1309" i="17" s="1"/>
  <c r="B1310" i="17" s="1"/>
  <c r="B1311" i="17" s="1"/>
  <c r="B1312" i="17" s="1"/>
  <c r="I1305" i="17"/>
  <c r="I1313" i="17" s="1"/>
  <c r="H1302" i="17"/>
  <c r="G1302" i="17"/>
  <c r="F1302" i="17"/>
  <c r="I1301" i="17"/>
  <c r="I1300" i="17"/>
  <c r="I1299" i="17"/>
  <c r="I1298" i="17"/>
  <c r="I1297" i="17"/>
  <c r="I1296" i="17"/>
  <c r="I1295" i="17"/>
  <c r="B1295" i="17"/>
  <c r="B1296" i="17" s="1"/>
  <c r="B1297" i="17" s="1"/>
  <c r="B1298" i="17" s="1"/>
  <c r="B1299" i="17" s="1"/>
  <c r="B1300" i="17" s="1"/>
  <c r="B1301" i="17" s="1"/>
  <c r="I1294" i="17"/>
  <c r="I1302" i="17" s="1"/>
  <c r="H1291" i="17"/>
  <c r="G1291" i="17"/>
  <c r="F1291" i="17"/>
  <c r="I1290" i="17"/>
  <c r="I1289" i="17"/>
  <c r="I1288" i="17"/>
  <c r="I1287" i="17"/>
  <c r="I1286" i="17"/>
  <c r="I1285" i="17"/>
  <c r="I1284" i="17"/>
  <c r="B1284" i="17"/>
  <c r="B1285" i="17" s="1"/>
  <c r="B1286" i="17" s="1"/>
  <c r="B1287" i="17" s="1"/>
  <c r="B1288" i="17" s="1"/>
  <c r="B1289" i="17" s="1"/>
  <c r="B1290" i="17" s="1"/>
  <c r="I1283" i="17"/>
  <c r="I1291" i="17" s="1"/>
  <c r="H1280" i="17"/>
  <c r="G1280" i="17"/>
  <c r="F1280" i="17"/>
  <c r="I1279" i="17"/>
  <c r="I1278" i="17"/>
  <c r="I1277" i="17"/>
  <c r="I1276" i="17"/>
  <c r="I1275" i="17"/>
  <c r="I1274" i="17"/>
  <c r="I1273" i="17"/>
  <c r="B1273" i="17"/>
  <c r="B1274" i="17" s="1"/>
  <c r="B1275" i="17" s="1"/>
  <c r="B1276" i="17" s="1"/>
  <c r="B1277" i="17" s="1"/>
  <c r="B1278" i="17" s="1"/>
  <c r="B1279" i="17" s="1"/>
  <c r="I1272" i="17"/>
  <c r="I1280" i="17" s="1"/>
  <c r="S1269" i="17"/>
  <c r="R1269" i="17"/>
  <c r="Q1269" i="17"/>
  <c r="P1269" i="17"/>
  <c r="O1269" i="17"/>
  <c r="N1269" i="17"/>
  <c r="M1269" i="17"/>
  <c r="L1269" i="17"/>
  <c r="K1269" i="17"/>
  <c r="S1268" i="17"/>
  <c r="R1268" i="17"/>
  <c r="Q1268" i="17"/>
  <c r="P1268" i="17"/>
  <c r="O1268" i="17"/>
  <c r="N1268" i="17"/>
  <c r="M1268" i="17"/>
  <c r="L1268" i="17"/>
  <c r="K1268" i="17"/>
  <c r="H1268" i="17"/>
  <c r="G1268" i="17"/>
  <c r="F1268" i="17"/>
  <c r="I1267" i="17"/>
  <c r="I1266" i="17"/>
  <c r="I1265" i="17"/>
  <c r="I1264" i="17"/>
  <c r="I1263" i="17"/>
  <c r="I1262" i="17"/>
  <c r="I1261" i="17"/>
  <c r="I1260" i="17"/>
  <c r="I1259" i="17"/>
  <c r="I1258" i="17"/>
  <c r="I1257" i="17"/>
  <c r="I1256" i="17"/>
  <c r="I1255" i="17"/>
  <c r="I1254" i="17"/>
  <c r="I1253" i="17"/>
  <c r="B1253" i="17"/>
  <c r="B1254" i="17" s="1"/>
  <c r="B1255" i="17" s="1"/>
  <c r="B1256" i="17" s="1"/>
  <c r="B1257" i="17" s="1"/>
  <c r="B1258" i="17" s="1"/>
  <c r="B1259" i="17" s="1"/>
  <c r="B1260" i="17" s="1"/>
  <c r="B1261" i="17" s="1"/>
  <c r="B1262" i="17" s="1"/>
  <c r="B1263" i="17" s="1"/>
  <c r="B1264" i="17" s="1"/>
  <c r="B1265" i="17" s="1"/>
  <c r="B1266" i="17" s="1"/>
  <c r="B1267" i="17" s="1"/>
  <c r="I1252" i="17"/>
  <c r="I1268" i="17" s="1"/>
  <c r="Q1244" i="17"/>
  <c r="O1244" i="17"/>
  <c r="N1244" i="17"/>
  <c r="M1244" i="17"/>
  <c r="L1244" i="17"/>
  <c r="K1244" i="17"/>
  <c r="Q1243" i="17"/>
  <c r="O1243" i="17"/>
  <c r="N1243" i="17"/>
  <c r="M1243" i="17"/>
  <c r="L1243" i="17"/>
  <c r="K1243" i="17"/>
  <c r="S1242" i="17"/>
  <c r="O524" i="3" s="1"/>
  <c r="R1242" i="17"/>
  <c r="M524" i="3" s="1"/>
  <c r="F1240" i="17"/>
  <c r="H1239" i="17"/>
  <c r="Q1238" i="17"/>
  <c r="O1238" i="17"/>
  <c r="N1238" i="17"/>
  <c r="M1238" i="17"/>
  <c r="L1238" i="17"/>
  <c r="K1238" i="17"/>
  <c r="F1238" i="17"/>
  <c r="H1238" i="17" s="1"/>
  <c r="Q1237" i="17"/>
  <c r="L536" i="4" s="1" a="1"/>
  <c r="L536" i="4" s="1"/>
  <c r="O1237" i="17"/>
  <c r="H536" i="4" s="1" a="1"/>
  <c r="H536" i="4" s="1"/>
  <c r="N1237" i="17"/>
  <c r="G536" i="4" s="1" a="1"/>
  <c r="G536" i="4" s="1"/>
  <c r="M1237" i="17"/>
  <c r="F536" i="4" s="1" a="1"/>
  <c r="F536" i="4" s="1"/>
  <c r="L1237" i="17"/>
  <c r="E536" i="4" s="1" a="1"/>
  <c r="E536" i="4" s="1"/>
  <c r="K1237" i="17"/>
  <c r="D536" i="4" s="1" a="1"/>
  <c r="D536" i="4" s="1"/>
  <c r="P1236" i="17"/>
  <c r="P1244" i="17" s="1"/>
  <c r="P1235" i="17"/>
  <c r="F1235" i="17"/>
  <c r="F1236" i="17" s="1"/>
  <c r="H1236" i="17" s="1"/>
  <c r="S1234" i="17"/>
  <c r="P535" i="4" s="1"/>
  <c r="R1234" i="17"/>
  <c r="N535" i="4" s="1"/>
  <c r="P1234" i="17"/>
  <c r="F1233" i="17"/>
  <c r="G1232" i="17"/>
  <c r="F1232" i="17"/>
  <c r="F1234" i="17" s="1"/>
  <c r="H1234" i="17" s="1"/>
  <c r="S1229" i="17"/>
  <c r="R1229" i="17"/>
  <c r="Q1229" i="17"/>
  <c r="P1229" i="17"/>
  <c r="O1229" i="17"/>
  <c r="N1229" i="17"/>
  <c r="M1229" i="17"/>
  <c r="L1229" i="17"/>
  <c r="K1229" i="17"/>
  <c r="C1229" i="17"/>
  <c r="T1228" i="17"/>
  <c r="A535" i="4" s="1"/>
  <c r="S1228" i="17"/>
  <c r="R1228" i="17"/>
  <c r="Q1228" i="17"/>
  <c r="P1228" i="17"/>
  <c r="O1228" i="17"/>
  <c r="N1228" i="17"/>
  <c r="M1228" i="17"/>
  <c r="L1228" i="17"/>
  <c r="K1228" i="17"/>
  <c r="C1228" i="17"/>
  <c r="C1227" i="17"/>
  <c r="X997" i="20"/>
  <c r="W997" i="20"/>
  <c r="V997" i="20"/>
  <c r="T997" i="20"/>
  <c r="H996" i="20"/>
  <c r="G996" i="20"/>
  <c r="F996" i="20"/>
  <c r="I995" i="20"/>
  <c r="I994" i="20"/>
  <c r="I993" i="20"/>
  <c r="I992" i="20"/>
  <c r="I991" i="20"/>
  <c r="B991" i="20"/>
  <c r="B992" i="20" s="1"/>
  <c r="B993" i="20" s="1"/>
  <c r="B994" i="20" s="1"/>
  <c r="B995" i="20" s="1"/>
  <c r="I990" i="20"/>
  <c r="I996" i="20" s="1"/>
  <c r="H987" i="20"/>
  <c r="G987" i="20"/>
  <c r="F987" i="20"/>
  <c r="I986" i="20"/>
  <c r="I985" i="20"/>
  <c r="I984" i="20"/>
  <c r="I983" i="20"/>
  <c r="I982" i="20"/>
  <c r="I981" i="20"/>
  <c r="I980" i="20"/>
  <c r="I979" i="20"/>
  <c r="I978" i="20"/>
  <c r="I977" i="20"/>
  <c r="I976" i="20"/>
  <c r="I975" i="20"/>
  <c r="I974" i="20"/>
  <c r="I973" i="20"/>
  <c r="I972" i="20"/>
  <c r="I971" i="20"/>
  <c r="I970" i="20"/>
  <c r="B970" i="20"/>
  <c r="B971" i="20" s="1"/>
  <c r="B972" i="20" s="1"/>
  <c r="B973" i="20" s="1"/>
  <c r="B974" i="20" s="1"/>
  <c r="B975" i="20" s="1"/>
  <c r="B976" i="20" s="1"/>
  <c r="B977" i="20" s="1"/>
  <c r="B978" i="20" s="1"/>
  <c r="B979" i="20" s="1"/>
  <c r="B980" i="20" s="1"/>
  <c r="B981" i="20" s="1"/>
  <c r="B982" i="20" s="1"/>
  <c r="B983" i="20" s="1"/>
  <c r="B984" i="20" s="1"/>
  <c r="B985" i="20" s="1"/>
  <c r="B986" i="20" s="1"/>
  <c r="I969" i="20"/>
  <c r="I987" i="20" s="1"/>
  <c r="H966" i="20"/>
  <c r="G966" i="20"/>
  <c r="F966" i="20"/>
  <c r="I965" i="20"/>
  <c r="I964" i="20"/>
  <c r="I963" i="20"/>
  <c r="I962" i="20"/>
  <c r="I961" i="20"/>
  <c r="I960" i="20"/>
  <c r="I959" i="20"/>
  <c r="B959" i="20"/>
  <c r="B960" i="20" s="1"/>
  <c r="B961" i="20" s="1"/>
  <c r="B962" i="20" s="1"/>
  <c r="B963" i="20" s="1"/>
  <c r="B964" i="20" s="1"/>
  <c r="B965" i="20" s="1"/>
  <c r="I958" i="20"/>
  <c r="I966" i="20" s="1"/>
  <c r="H955" i="20"/>
  <c r="G955" i="20"/>
  <c r="F955" i="20"/>
  <c r="I954" i="20"/>
  <c r="I953" i="20"/>
  <c r="I952" i="20"/>
  <c r="I951" i="20"/>
  <c r="I950" i="20"/>
  <c r="I949" i="20"/>
  <c r="I948" i="20"/>
  <c r="B948" i="20"/>
  <c r="B949" i="20" s="1"/>
  <c r="B950" i="20" s="1"/>
  <c r="B951" i="20" s="1"/>
  <c r="B952" i="20" s="1"/>
  <c r="B953" i="20" s="1"/>
  <c r="B954" i="20" s="1"/>
  <c r="I947" i="20"/>
  <c r="I955" i="20" s="1"/>
  <c r="H944" i="20"/>
  <c r="G944" i="20"/>
  <c r="F944" i="20"/>
  <c r="I943" i="20"/>
  <c r="I942" i="20"/>
  <c r="I941" i="20"/>
  <c r="I940" i="20"/>
  <c r="I939" i="20"/>
  <c r="I938" i="20"/>
  <c r="I937" i="20"/>
  <c r="B937" i="20"/>
  <c r="B938" i="20" s="1"/>
  <c r="B939" i="20" s="1"/>
  <c r="B940" i="20" s="1"/>
  <c r="B941" i="20" s="1"/>
  <c r="B942" i="20" s="1"/>
  <c r="B943" i="20" s="1"/>
  <c r="I936" i="20"/>
  <c r="I944" i="20" s="1"/>
  <c r="H933" i="20"/>
  <c r="G933" i="20"/>
  <c r="F933" i="20"/>
  <c r="I932" i="20"/>
  <c r="I931" i="20"/>
  <c r="I930" i="20"/>
  <c r="I929" i="20"/>
  <c r="I928" i="20"/>
  <c r="I927" i="20"/>
  <c r="I926" i="20"/>
  <c r="B926" i="20"/>
  <c r="B927" i="20" s="1"/>
  <c r="B928" i="20" s="1"/>
  <c r="B929" i="20" s="1"/>
  <c r="B930" i="20" s="1"/>
  <c r="B931" i="20" s="1"/>
  <c r="B932" i="20" s="1"/>
  <c r="I933" i="20"/>
  <c r="H922" i="20"/>
  <c r="G922" i="20"/>
  <c r="F922" i="20"/>
  <c r="I921" i="20"/>
  <c r="I920" i="20"/>
  <c r="I919" i="20"/>
  <c r="I918" i="20"/>
  <c r="I917" i="20"/>
  <c r="I916" i="20"/>
  <c r="I915" i="20"/>
  <c r="B915" i="20"/>
  <c r="B916" i="20" s="1"/>
  <c r="B917" i="20" s="1"/>
  <c r="B918" i="20" s="1"/>
  <c r="B919" i="20" s="1"/>
  <c r="B920" i="20" s="1"/>
  <c r="B921" i="20" s="1"/>
  <c r="I914" i="20"/>
  <c r="I922" i="20" s="1"/>
  <c r="H911" i="20"/>
  <c r="G911" i="20"/>
  <c r="F911" i="20"/>
  <c r="I910" i="20"/>
  <c r="I909" i="20"/>
  <c r="I908" i="20"/>
  <c r="I907" i="20"/>
  <c r="I906" i="20"/>
  <c r="I905" i="20"/>
  <c r="I904" i="20"/>
  <c r="B904" i="20"/>
  <c r="B905" i="20" s="1"/>
  <c r="B906" i="20" s="1"/>
  <c r="B907" i="20" s="1"/>
  <c r="B908" i="20" s="1"/>
  <c r="B909" i="20" s="1"/>
  <c r="B910" i="20" s="1"/>
  <c r="I903" i="20"/>
  <c r="I911" i="20" s="1"/>
  <c r="S900" i="20"/>
  <c r="R900" i="20"/>
  <c r="Q900" i="20"/>
  <c r="P900" i="20"/>
  <c r="O900" i="20"/>
  <c r="N900" i="20"/>
  <c r="M900" i="20"/>
  <c r="L900" i="20"/>
  <c r="K900" i="20"/>
  <c r="S899" i="20"/>
  <c r="R899" i="20"/>
  <c r="Q899" i="20"/>
  <c r="P899" i="20"/>
  <c r="O899" i="20"/>
  <c r="N899" i="20"/>
  <c r="M899" i="20"/>
  <c r="L899" i="20"/>
  <c r="K899" i="20"/>
  <c r="H899" i="20"/>
  <c r="G899" i="20"/>
  <c r="F899" i="20"/>
  <c r="I898" i="20"/>
  <c r="I897" i="20"/>
  <c r="I896" i="20"/>
  <c r="I895" i="20"/>
  <c r="I894" i="20"/>
  <c r="I893" i="20"/>
  <c r="I892" i="20"/>
  <c r="I891" i="20"/>
  <c r="I890" i="20"/>
  <c r="I889" i="20"/>
  <c r="I888" i="20"/>
  <c r="I887" i="20"/>
  <c r="I886" i="20"/>
  <c r="I885" i="20"/>
  <c r="I884" i="20"/>
  <c r="B884" i="20"/>
  <c r="B885" i="20" s="1"/>
  <c r="B886" i="20" s="1"/>
  <c r="B887" i="20" s="1"/>
  <c r="B888" i="20" s="1"/>
  <c r="B889" i="20" s="1"/>
  <c r="B890" i="20" s="1"/>
  <c r="B891" i="20" s="1"/>
  <c r="B892" i="20" s="1"/>
  <c r="B893" i="20" s="1"/>
  <c r="B894" i="20" s="1"/>
  <c r="B895" i="20" s="1"/>
  <c r="B896" i="20" s="1"/>
  <c r="B897" i="20" s="1"/>
  <c r="B898" i="20" s="1"/>
  <c r="I883" i="20"/>
  <c r="I899" i="20" s="1"/>
  <c r="Q875" i="20"/>
  <c r="O875" i="20"/>
  <c r="N875" i="20"/>
  <c r="M875" i="20"/>
  <c r="L875" i="20"/>
  <c r="K875" i="20"/>
  <c r="Q874" i="20"/>
  <c r="O874" i="20"/>
  <c r="N874" i="20"/>
  <c r="M874" i="20"/>
  <c r="L874" i="20"/>
  <c r="K874" i="20"/>
  <c r="S873" i="20"/>
  <c r="O521" i="3" s="1"/>
  <c r="R873" i="20"/>
  <c r="M521" i="3" s="1"/>
  <c r="F871" i="20"/>
  <c r="H870" i="20"/>
  <c r="Q869" i="20"/>
  <c r="O869" i="20"/>
  <c r="N869" i="20"/>
  <c r="M869" i="20"/>
  <c r="L869" i="20"/>
  <c r="K869" i="20"/>
  <c r="F869" i="20"/>
  <c r="H869" i="20" s="1"/>
  <c r="Q868" i="20"/>
  <c r="L533" i="4" s="1" a="1"/>
  <c r="L533" i="4" s="1"/>
  <c r="O868" i="20"/>
  <c r="H533" i="4" s="1" a="1"/>
  <c r="H533" i="4" s="1"/>
  <c r="N868" i="20"/>
  <c r="G533" i="4" s="1" a="1"/>
  <c r="G533" i="4" s="1"/>
  <c r="M868" i="20"/>
  <c r="F533" i="4" s="1" a="1"/>
  <c r="F533" i="4" s="1"/>
  <c r="L868" i="20"/>
  <c r="E533" i="4" s="1" a="1"/>
  <c r="E533" i="4" s="1"/>
  <c r="K868" i="20"/>
  <c r="D533" i="4" s="1" a="1"/>
  <c r="D533" i="4" s="1"/>
  <c r="P867" i="20"/>
  <c r="P875" i="20" s="1"/>
  <c r="P866" i="20"/>
  <c r="F866" i="20"/>
  <c r="F867" i="20" s="1"/>
  <c r="H867" i="20" s="1"/>
  <c r="S865" i="20"/>
  <c r="P532" i="4" s="1"/>
  <c r="R865" i="20"/>
  <c r="N532" i="4" s="1"/>
  <c r="P865" i="20"/>
  <c r="F864" i="20"/>
  <c r="G863" i="20"/>
  <c r="F863" i="20"/>
  <c r="F865" i="20" s="1"/>
  <c r="H865" i="20" s="1"/>
  <c r="S860" i="20"/>
  <c r="R860" i="20"/>
  <c r="Q860" i="20"/>
  <c r="P860" i="20"/>
  <c r="O860" i="20"/>
  <c r="N860" i="20"/>
  <c r="M860" i="20"/>
  <c r="L860" i="20"/>
  <c r="K860" i="20"/>
  <c r="C860" i="20"/>
  <c r="T859" i="20"/>
  <c r="A532" i="4" s="1"/>
  <c r="S859" i="20"/>
  <c r="R859" i="20"/>
  <c r="Q859" i="20"/>
  <c r="P859" i="20"/>
  <c r="O859" i="20"/>
  <c r="N859" i="20"/>
  <c r="M859" i="20"/>
  <c r="L859" i="20"/>
  <c r="K859" i="20"/>
  <c r="C859" i="20"/>
  <c r="C858" i="20"/>
  <c r="P1598" i="12"/>
  <c r="H533" i="3" s="1"/>
  <c r="X1723" i="12"/>
  <c r="W1723" i="12"/>
  <c r="V1723" i="12"/>
  <c r="T1723" i="12"/>
  <c r="H1722" i="12"/>
  <c r="G1722" i="12"/>
  <c r="F1722" i="12"/>
  <c r="I1721" i="12"/>
  <c r="I1720" i="12"/>
  <c r="I1719" i="12"/>
  <c r="I1718" i="12"/>
  <c r="I1717" i="12"/>
  <c r="B1717" i="12"/>
  <c r="B1718" i="12" s="1"/>
  <c r="B1719" i="12" s="1"/>
  <c r="B1720" i="12" s="1"/>
  <c r="B1721" i="12" s="1"/>
  <c r="I1716" i="12"/>
  <c r="I1722" i="12" s="1"/>
  <c r="H1713" i="12"/>
  <c r="G1713" i="12"/>
  <c r="F1713" i="12"/>
  <c r="I1712" i="12"/>
  <c r="I1711" i="12"/>
  <c r="I1710" i="12"/>
  <c r="I1709" i="12"/>
  <c r="I1708" i="12"/>
  <c r="I1707" i="12"/>
  <c r="I1706" i="12"/>
  <c r="I1705" i="12"/>
  <c r="I1704" i="12"/>
  <c r="I1703" i="12"/>
  <c r="I1702" i="12"/>
  <c r="I1701" i="12"/>
  <c r="I1700" i="12"/>
  <c r="I1699" i="12"/>
  <c r="I1698" i="12"/>
  <c r="I1697" i="12"/>
  <c r="I1696" i="12"/>
  <c r="B1696" i="12"/>
  <c r="B1697" i="12" s="1"/>
  <c r="B1698" i="12" s="1"/>
  <c r="B1699" i="12" s="1"/>
  <c r="B1700" i="12" s="1"/>
  <c r="B1701" i="12" s="1"/>
  <c r="B1702" i="12" s="1"/>
  <c r="B1703" i="12" s="1"/>
  <c r="B1704" i="12" s="1"/>
  <c r="B1705" i="12" s="1"/>
  <c r="B1706" i="12" s="1"/>
  <c r="B1707" i="12" s="1"/>
  <c r="B1708" i="12" s="1"/>
  <c r="B1709" i="12" s="1"/>
  <c r="B1710" i="12" s="1"/>
  <c r="B1711" i="12" s="1"/>
  <c r="B1712" i="12" s="1"/>
  <c r="I1695" i="12"/>
  <c r="I1713" i="12" s="1"/>
  <c r="H1692" i="12"/>
  <c r="G1692" i="12"/>
  <c r="F1692" i="12"/>
  <c r="I1691" i="12"/>
  <c r="I1690" i="12"/>
  <c r="I1689" i="12"/>
  <c r="I1688" i="12"/>
  <c r="I1687" i="12"/>
  <c r="I1686" i="12"/>
  <c r="I1685" i="12"/>
  <c r="B1685" i="12"/>
  <c r="B1686" i="12" s="1"/>
  <c r="B1687" i="12" s="1"/>
  <c r="B1688" i="12" s="1"/>
  <c r="B1689" i="12" s="1"/>
  <c r="B1690" i="12" s="1"/>
  <c r="B1691" i="12" s="1"/>
  <c r="I1684" i="12"/>
  <c r="I1692" i="12" s="1"/>
  <c r="H1681" i="12"/>
  <c r="G1681" i="12"/>
  <c r="F1681" i="12"/>
  <c r="I1680" i="12"/>
  <c r="I1679" i="12"/>
  <c r="I1678" i="12"/>
  <c r="I1677" i="12"/>
  <c r="I1676" i="12"/>
  <c r="I1675" i="12"/>
  <c r="I1674" i="12"/>
  <c r="B1674" i="12"/>
  <c r="B1675" i="12" s="1"/>
  <c r="B1676" i="12" s="1"/>
  <c r="B1677" i="12" s="1"/>
  <c r="B1678" i="12" s="1"/>
  <c r="B1679" i="12" s="1"/>
  <c r="B1680" i="12" s="1"/>
  <c r="I1673" i="12"/>
  <c r="I1681" i="12" s="1"/>
  <c r="H1670" i="12"/>
  <c r="G1670" i="12"/>
  <c r="F1670" i="12"/>
  <c r="S1598" i="12" s="1"/>
  <c r="O533" i="3" s="1"/>
  <c r="I1669" i="12"/>
  <c r="I1668" i="12"/>
  <c r="I1667" i="12"/>
  <c r="I1666" i="12"/>
  <c r="I1665" i="12"/>
  <c r="I1664" i="12"/>
  <c r="I1663" i="12"/>
  <c r="B1663" i="12"/>
  <c r="B1664" i="12" s="1"/>
  <c r="B1665" i="12" s="1"/>
  <c r="B1666" i="12" s="1"/>
  <c r="B1667" i="12" s="1"/>
  <c r="B1668" i="12" s="1"/>
  <c r="B1669" i="12" s="1"/>
  <c r="I1662" i="12"/>
  <c r="I1670" i="12" s="1"/>
  <c r="H1659" i="12"/>
  <c r="G1659" i="12"/>
  <c r="F1659" i="12"/>
  <c r="R1598" i="12" s="1"/>
  <c r="M533" i="3" s="1"/>
  <c r="I1658" i="12"/>
  <c r="I1657" i="12"/>
  <c r="I1656" i="12"/>
  <c r="I1655" i="12"/>
  <c r="I1654" i="12"/>
  <c r="I1653" i="12"/>
  <c r="I1652" i="12"/>
  <c r="B1652" i="12"/>
  <c r="B1653" i="12" s="1"/>
  <c r="B1654" i="12" s="1"/>
  <c r="B1655" i="12" s="1"/>
  <c r="B1656" i="12" s="1"/>
  <c r="B1657" i="12" s="1"/>
  <c r="B1658" i="12" s="1"/>
  <c r="I1651" i="12"/>
  <c r="I1659" i="12" s="1"/>
  <c r="H1648" i="12"/>
  <c r="G1648" i="12"/>
  <c r="F1648" i="12"/>
  <c r="I1647" i="12"/>
  <c r="I1646" i="12"/>
  <c r="I1645" i="12"/>
  <c r="I1644" i="12"/>
  <c r="I1643" i="12"/>
  <c r="I1642" i="12"/>
  <c r="I1641" i="12"/>
  <c r="B1641" i="12"/>
  <c r="B1642" i="12" s="1"/>
  <c r="B1643" i="12" s="1"/>
  <c r="B1644" i="12" s="1"/>
  <c r="B1645" i="12" s="1"/>
  <c r="B1646" i="12" s="1"/>
  <c r="B1647" i="12" s="1"/>
  <c r="I1640" i="12"/>
  <c r="I1648" i="12" s="1"/>
  <c r="H1637" i="12"/>
  <c r="G1637" i="12"/>
  <c r="F1637" i="12"/>
  <c r="I1636" i="12"/>
  <c r="I1635" i="12"/>
  <c r="I1634" i="12"/>
  <c r="I1633" i="12"/>
  <c r="I1632" i="12"/>
  <c r="I1631" i="12"/>
  <c r="I1630" i="12"/>
  <c r="B1630" i="12"/>
  <c r="B1631" i="12" s="1"/>
  <c r="B1632" i="12" s="1"/>
  <c r="B1633" i="12" s="1"/>
  <c r="B1634" i="12" s="1"/>
  <c r="B1635" i="12" s="1"/>
  <c r="B1636" i="12" s="1"/>
  <c r="I1629" i="12"/>
  <c r="I1637" i="12" s="1"/>
  <c r="S1626" i="12"/>
  <c r="R1626" i="12"/>
  <c r="Q1626" i="12"/>
  <c r="P1626" i="12"/>
  <c r="O1626" i="12"/>
  <c r="N1626" i="12"/>
  <c r="M1626" i="12"/>
  <c r="L1626" i="12"/>
  <c r="K1626" i="12"/>
  <c r="S1625" i="12"/>
  <c r="R1625" i="12"/>
  <c r="Q1625" i="12"/>
  <c r="P1625" i="12"/>
  <c r="O1625" i="12"/>
  <c r="N1625" i="12"/>
  <c r="M1625" i="12"/>
  <c r="L1625" i="12"/>
  <c r="K1625" i="12"/>
  <c r="H1625" i="12"/>
  <c r="G1625" i="12"/>
  <c r="F1625" i="12"/>
  <c r="I1624" i="12"/>
  <c r="I1623" i="12"/>
  <c r="I1622" i="12"/>
  <c r="I1621" i="12"/>
  <c r="I1620" i="12"/>
  <c r="I1619" i="12"/>
  <c r="I1618" i="12"/>
  <c r="I1617" i="12"/>
  <c r="I1616" i="12"/>
  <c r="I1615" i="12"/>
  <c r="I1614" i="12"/>
  <c r="I1613" i="12"/>
  <c r="I1612" i="12"/>
  <c r="I1611" i="12"/>
  <c r="I1610" i="12"/>
  <c r="B1610" i="12"/>
  <c r="B1611" i="12" s="1"/>
  <c r="B1612" i="12" s="1"/>
  <c r="B1613" i="12" s="1"/>
  <c r="B1614" i="12" s="1"/>
  <c r="B1615" i="12" s="1"/>
  <c r="B1616" i="12" s="1"/>
  <c r="B1617" i="12" s="1"/>
  <c r="B1618" i="12" s="1"/>
  <c r="B1619" i="12" s="1"/>
  <c r="B1620" i="12" s="1"/>
  <c r="B1621" i="12" s="1"/>
  <c r="B1622" i="12" s="1"/>
  <c r="B1623" i="12" s="1"/>
  <c r="B1624" i="12" s="1"/>
  <c r="I1625" i="12"/>
  <c r="Q1600" i="12"/>
  <c r="O1600" i="12"/>
  <c r="N1600" i="12"/>
  <c r="M1600" i="12"/>
  <c r="L1600" i="12"/>
  <c r="K1600" i="12"/>
  <c r="Q1599" i="12"/>
  <c r="O1599" i="12"/>
  <c r="N1599" i="12"/>
  <c r="M1599" i="12"/>
  <c r="L1599" i="12"/>
  <c r="K1599" i="12"/>
  <c r="F1596" i="12"/>
  <c r="H1595" i="12"/>
  <c r="Q1594" i="12"/>
  <c r="O1594" i="12"/>
  <c r="N1594" i="12"/>
  <c r="M1594" i="12"/>
  <c r="L1594" i="12"/>
  <c r="K1594" i="12"/>
  <c r="F1594" i="12"/>
  <c r="H1594" i="12" s="1"/>
  <c r="Q1593" i="12"/>
  <c r="L545" i="4" s="1" a="1"/>
  <c r="L545" i="4" s="1"/>
  <c r="O1593" i="12"/>
  <c r="H545" i="4" s="1" a="1"/>
  <c r="H545" i="4" s="1"/>
  <c r="N1593" i="12"/>
  <c r="G545" i="4" s="1" a="1"/>
  <c r="G545" i="4" s="1"/>
  <c r="M1593" i="12"/>
  <c r="F545" i="4" s="1" a="1"/>
  <c r="F545" i="4" s="1"/>
  <c r="L1593" i="12"/>
  <c r="E545" i="4" s="1" a="1"/>
  <c r="E545" i="4" s="1"/>
  <c r="K1593" i="12"/>
  <c r="D545" i="4" s="1" a="1"/>
  <c r="D545" i="4" s="1"/>
  <c r="P1592" i="12"/>
  <c r="P1600" i="12" s="1"/>
  <c r="P1591" i="12"/>
  <c r="F1591" i="12"/>
  <c r="F1592" i="12" s="1"/>
  <c r="H1592" i="12" s="1"/>
  <c r="S1590" i="12"/>
  <c r="P544" i="4" s="1"/>
  <c r="R1590" i="12"/>
  <c r="N544" i="4" s="1"/>
  <c r="P1590" i="12"/>
  <c r="G1588" i="12"/>
  <c r="F1588" i="12"/>
  <c r="S1585" i="12"/>
  <c r="R1585" i="12"/>
  <c r="Q1585" i="12"/>
  <c r="P1585" i="12"/>
  <c r="O1585" i="12"/>
  <c r="N1585" i="12"/>
  <c r="M1585" i="12"/>
  <c r="L1585" i="12"/>
  <c r="K1585" i="12"/>
  <c r="C1585" i="12"/>
  <c r="T1584" i="12"/>
  <c r="A544" i="4" s="1"/>
  <c r="S1584" i="12"/>
  <c r="R1584" i="12"/>
  <c r="Q1584" i="12"/>
  <c r="P1584" i="12"/>
  <c r="O1584" i="12"/>
  <c r="N1584" i="12"/>
  <c r="M1584" i="12"/>
  <c r="L1584" i="12"/>
  <c r="K1584" i="12"/>
  <c r="C1584" i="12"/>
  <c r="C1583" i="12"/>
  <c r="X1690" i="8"/>
  <c r="W1690" i="8"/>
  <c r="V1690" i="8"/>
  <c r="T1690" i="8"/>
  <c r="H1689" i="8"/>
  <c r="G1689" i="8"/>
  <c r="F1689" i="8"/>
  <c r="I1688" i="8"/>
  <c r="I1687" i="8"/>
  <c r="I1686" i="8"/>
  <c r="I1685" i="8"/>
  <c r="I1684" i="8"/>
  <c r="B1684" i="8"/>
  <c r="B1685" i="8" s="1"/>
  <c r="B1686" i="8" s="1"/>
  <c r="B1687" i="8" s="1"/>
  <c r="B1688" i="8" s="1"/>
  <c r="I1683" i="8"/>
  <c r="I1689" i="8" s="1"/>
  <c r="H1680" i="8"/>
  <c r="G1680" i="8"/>
  <c r="F1680" i="8"/>
  <c r="I1679" i="8"/>
  <c r="I1678" i="8"/>
  <c r="I1677" i="8"/>
  <c r="I1676" i="8"/>
  <c r="I1675" i="8"/>
  <c r="I1674" i="8"/>
  <c r="I1673" i="8"/>
  <c r="I1672" i="8"/>
  <c r="I1671" i="8"/>
  <c r="I1670" i="8"/>
  <c r="I1669" i="8"/>
  <c r="I1668" i="8"/>
  <c r="I1667" i="8"/>
  <c r="I1666" i="8"/>
  <c r="I1665" i="8"/>
  <c r="I1664" i="8"/>
  <c r="I1663" i="8"/>
  <c r="B1663" i="8"/>
  <c r="B1664" i="8" s="1"/>
  <c r="B1665" i="8" s="1"/>
  <c r="B1666" i="8" s="1"/>
  <c r="B1667" i="8" s="1"/>
  <c r="B1668" i="8" s="1"/>
  <c r="B1669" i="8" s="1"/>
  <c r="B1670" i="8" s="1"/>
  <c r="B1671" i="8" s="1"/>
  <c r="B1672" i="8" s="1"/>
  <c r="B1673" i="8" s="1"/>
  <c r="B1674" i="8" s="1"/>
  <c r="B1675" i="8" s="1"/>
  <c r="B1676" i="8" s="1"/>
  <c r="B1677" i="8" s="1"/>
  <c r="B1678" i="8" s="1"/>
  <c r="B1679" i="8" s="1"/>
  <c r="I1662" i="8"/>
  <c r="I1680" i="8" s="1"/>
  <c r="H1659" i="8"/>
  <c r="G1659" i="8"/>
  <c r="F1659" i="8"/>
  <c r="I1658" i="8"/>
  <c r="I1657" i="8"/>
  <c r="I1656" i="8"/>
  <c r="I1655" i="8"/>
  <c r="I1654" i="8"/>
  <c r="I1653" i="8"/>
  <c r="I1652" i="8"/>
  <c r="B1652" i="8"/>
  <c r="B1653" i="8" s="1"/>
  <c r="B1654" i="8" s="1"/>
  <c r="B1655" i="8" s="1"/>
  <c r="B1656" i="8" s="1"/>
  <c r="B1657" i="8" s="1"/>
  <c r="B1658" i="8" s="1"/>
  <c r="I1651" i="8"/>
  <c r="I1659" i="8" s="1"/>
  <c r="H1648" i="8"/>
  <c r="G1648" i="8"/>
  <c r="F1648" i="8"/>
  <c r="I1647" i="8"/>
  <c r="I1646" i="8"/>
  <c r="I1645" i="8"/>
  <c r="I1644" i="8"/>
  <c r="I1643" i="8"/>
  <c r="I1642" i="8"/>
  <c r="I1641" i="8"/>
  <c r="B1641" i="8"/>
  <c r="B1642" i="8" s="1"/>
  <c r="B1643" i="8" s="1"/>
  <c r="B1644" i="8" s="1"/>
  <c r="B1645" i="8" s="1"/>
  <c r="B1646" i="8" s="1"/>
  <c r="B1647" i="8" s="1"/>
  <c r="I1640" i="8"/>
  <c r="H1637" i="8"/>
  <c r="G1637" i="8"/>
  <c r="F1637" i="8"/>
  <c r="S1565" i="8" s="1"/>
  <c r="O527" i="3" s="1"/>
  <c r="I1636" i="8"/>
  <c r="I1635" i="8"/>
  <c r="I1634" i="8"/>
  <c r="I1633" i="8"/>
  <c r="I1632" i="8"/>
  <c r="I1631" i="8"/>
  <c r="I1630" i="8"/>
  <c r="B1630" i="8"/>
  <c r="B1631" i="8" s="1"/>
  <c r="B1632" i="8" s="1"/>
  <c r="B1633" i="8" s="1"/>
  <c r="B1634" i="8" s="1"/>
  <c r="B1635" i="8" s="1"/>
  <c r="B1636" i="8" s="1"/>
  <c r="I1629" i="8"/>
  <c r="I1637" i="8" s="1"/>
  <c r="H1626" i="8"/>
  <c r="G1626" i="8"/>
  <c r="F1626" i="8"/>
  <c r="R1565" i="8" s="1"/>
  <c r="M527" i="3" s="1"/>
  <c r="I1625" i="8"/>
  <c r="I1624" i="8"/>
  <c r="I1623" i="8"/>
  <c r="I1622" i="8"/>
  <c r="I1621" i="8"/>
  <c r="I1620" i="8"/>
  <c r="I1619" i="8"/>
  <c r="B1619" i="8"/>
  <c r="B1620" i="8" s="1"/>
  <c r="B1621" i="8" s="1"/>
  <c r="B1622" i="8" s="1"/>
  <c r="B1623" i="8" s="1"/>
  <c r="B1624" i="8" s="1"/>
  <c r="B1625" i="8" s="1"/>
  <c r="I1618" i="8"/>
  <c r="I1626" i="8" s="1"/>
  <c r="H1615" i="8"/>
  <c r="G1615" i="8"/>
  <c r="F1615" i="8"/>
  <c r="I1614" i="8"/>
  <c r="I1613" i="8"/>
  <c r="I1612" i="8"/>
  <c r="I1611" i="8"/>
  <c r="I1610" i="8"/>
  <c r="I1609" i="8"/>
  <c r="I1608" i="8"/>
  <c r="B1608" i="8"/>
  <c r="B1609" i="8" s="1"/>
  <c r="B1610" i="8" s="1"/>
  <c r="B1611" i="8" s="1"/>
  <c r="B1612" i="8" s="1"/>
  <c r="B1613" i="8" s="1"/>
  <c r="B1614" i="8" s="1"/>
  <c r="I1607" i="8"/>
  <c r="I1615" i="8" s="1"/>
  <c r="H1604" i="8"/>
  <c r="G1604" i="8"/>
  <c r="F1604" i="8"/>
  <c r="I1603" i="8"/>
  <c r="I1602" i="8"/>
  <c r="I1601" i="8"/>
  <c r="I1600" i="8"/>
  <c r="I1599" i="8"/>
  <c r="I1598" i="8"/>
  <c r="I1597" i="8"/>
  <c r="B1597" i="8"/>
  <c r="B1598" i="8" s="1"/>
  <c r="B1599" i="8" s="1"/>
  <c r="B1600" i="8" s="1"/>
  <c r="B1601" i="8" s="1"/>
  <c r="B1602" i="8" s="1"/>
  <c r="B1603" i="8" s="1"/>
  <c r="I1596" i="8"/>
  <c r="I1604" i="8" s="1"/>
  <c r="S1593" i="8"/>
  <c r="R1593" i="8"/>
  <c r="Q1593" i="8"/>
  <c r="P1593" i="8"/>
  <c r="O1593" i="8"/>
  <c r="N1593" i="8"/>
  <c r="M1593" i="8"/>
  <c r="L1593" i="8"/>
  <c r="K1593" i="8"/>
  <c r="S1592" i="8"/>
  <c r="R1592" i="8"/>
  <c r="Q1592" i="8"/>
  <c r="P1592" i="8"/>
  <c r="O1592" i="8"/>
  <c r="N1592" i="8"/>
  <c r="M1592" i="8"/>
  <c r="L1592" i="8"/>
  <c r="K1592" i="8"/>
  <c r="H1592" i="8"/>
  <c r="G1592" i="8"/>
  <c r="F1592" i="8"/>
  <c r="I1591" i="8"/>
  <c r="I1590" i="8"/>
  <c r="I1589" i="8"/>
  <c r="I1588" i="8"/>
  <c r="I1587" i="8"/>
  <c r="I1586" i="8"/>
  <c r="I1585" i="8"/>
  <c r="I1584" i="8"/>
  <c r="I1583" i="8"/>
  <c r="I1582" i="8"/>
  <c r="I1581" i="8"/>
  <c r="I1580" i="8"/>
  <c r="I1579" i="8"/>
  <c r="I1578" i="8"/>
  <c r="I1577" i="8"/>
  <c r="B1577" i="8"/>
  <c r="B1578" i="8" s="1"/>
  <c r="B1579" i="8" s="1"/>
  <c r="B1580" i="8" s="1"/>
  <c r="B1581" i="8" s="1"/>
  <c r="B1582" i="8" s="1"/>
  <c r="B1583" i="8" s="1"/>
  <c r="B1584" i="8" s="1"/>
  <c r="B1585" i="8" s="1"/>
  <c r="B1586" i="8" s="1"/>
  <c r="B1587" i="8" s="1"/>
  <c r="B1588" i="8" s="1"/>
  <c r="B1589" i="8" s="1"/>
  <c r="B1590" i="8" s="1"/>
  <c r="B1591" i="8" s="1"/>
  <c r="I1576" i="8"/>
  <c r="I1592" i="8" s="1"/>
  <c r="Q1567" i="8"/>
  <c r="O1567" i="8"/>
  <c r="N1567" i="8"/>
  <c r="M1567" i="8"/>
  <c r="L1567" i="8"/>
  <c r="K1567" i="8"/>
  <c r="Q1566" i="8"/>
  <c r="O1566" i="8"/>
  <c r="N1566" i="8"/>
  <c r="M1566" i="8"/>
  <c r="L1566" i="8"/>
  <c r="K1566" i="8"/>
  <c r="F1563" i="8"/>
  <c r="H1562" i="8"/>
  <c r="Q1561" i="8"/>
  <c r="O1561" i="8"/>
  <c r="N1561" i="8"/>
  <c r="M1561" i="8"/>
  <c r="L1561" i="8"/>
  <c r="F1561" i="8"/>
  <c r="H1561" i="8" s="1"/>
  <c r="Q1560" i="8"/>
  <c r="L539" i="4" s="1" a="1"/>
  <c r="L539" i="4" s="1"/>
  <c r="O1560" i="8"/>
  <c r="H539" i="4" s="1" a="1"/>
  <c r="H539" i="4" s="1"/>
  <c r="N1560" i="8"/>
  <c r="G539" i="4" s="1" a="1"/>
  <c r="G539" i="4" s="1"/>
  <c r="M1560" i="8"/>
  <c r="F539" i="4" s="1" a="1"/>
  <c r="F539" i="4" s="1"/>
  <c r="L1560" i="8"/>
  <c r="E539" i="4" s="1" a="1"/>
  <c r="E539" i="4" s="1"/>
  <c r="K1560" i="8"/>
  <c r="P1559" i="8"/>
  <c r="P1567" i="8" s="1"/>
  <c r="P1558" i="8"/>
  <c r="F1558" i="8"/>
  <c r="F1559" i="8" s="1"/>
  <c r="H1559" i="8" s="1"/>
  <c r="S1557" i="8"/>
  <c r="P538" i="4" s="1"/>
  <c r="S1552" i="8"/>
  <c r="R1552" i="8"/>
  <c r="Q1552" i="8"/>
  <c r="P1552" i="8"/>
  <c r="O1552" i="8"/>
  <c r="N1552" i="8"/>
  <c r="M1552" i="8"/>
  <c r="L1552" i="8"/>
  <c r="K1552" i="8"/>
  <c r="C1552" i="8"/>
  <c r="T1551" i="8"/>
  <c r="A538" i="4" s="1"/>
  <c r="S1551" i="8"/>
  <c r="R1551" i="8"/>
  <c r="Q1551" i="8"/>
  <c r="P1551" i="8"/>
  <c r="O1551" i="8"/>
  <c r="N1551" i="8"/>
  <c r="M1551" i="8"/>
  <c r="L1551" i="8"/>
  <c r="K1551" i="8"/>
  <c r="C1551" i="8"/>
  <c r="C1550" i="8"/>
  <c r="X1764" i="5"/>
  <c r="W1764" i="5"/>
  <c r="V1764" i="5"/>
  <c r="T1764" i="5"/>
  <c r="H1763" i="5"/>
  <c r="G1763" i="5"/>
  <c r="F1763" i="5"/>
  <c r="I1762" i="5"/>
  <c r="I1761" i="5"/>
  <c r="I1760" i="5"/>
  <c r="I1759" i="5"/>
  <c r="I1758" i="5"/>
  <c r="B1758" i="5"/>
  <c r="B1759" i="5" s="1"/>
  <c r="B1760" i="5" s="1"/>
  <c r="B1761" i="5" s="1"/>
  <c r="B1762" i="5" s="1"/>
  <c r="I1757" i="5"/>
  <c r="I1763" i="5" s="1"/>
  <c r="H1754" i="5"/>
  <c r="G1754" i="5"/>
  <c r="F1754" i="5"/>
  <c r="I1753" i="5"/>
  <c r="I1752" i="5"/>
  <c r="I1751" i="5"/>
  <c r="I1750" i="5"/>
  <c r="I1749" i="5"/>
  <c r="I1748" i="5"/>
  <c r="I1747" i="5"/>
  <c r="I1746" i="5"/>
  <c r="I1745" i="5"/>
  <c r="I1744" i="5"/>
  <c r="I1743" i="5"/>
  <c r="I1742" i="5"/>
  <c r="I1741" i="5"/>
  <c r="I1740" i="5"/>
  <c r="I1739" i="5"/>
  <c r="I1738" i="5"/>
  <c r="I1737" i="5"/>
  <c r="B1737" i="5"/>
  <c r="B1738" i="5" s="1"/>
  <c r="B1739" i="5" s="1"/>
  <c r="B1740" i="5" s="1"/>
  <c r="B1741" i="5" s="1"/>
  <c r="B1742" i="5" s="1"/>
  <c r="B1743" i="5" s="1"/>
  <c r="B1744" i="5" s="1"/>
  <c r="B1745" i="5" s="1"/>
  <c r="B1746" i="5" s="1"/>
  <c r="B1747" i="5" s="1"/>
  <c r="B1748" i="5" s="1"/>
  <c r="B1749" i="5" s="1"/>
  <c r="B1750" i="5" s="1"/>
  <c r="B1751" i="5" s="1"/>
  <c r="B1752" i="5" s="1"/>
  <c r="B1753" i="5" s="1"/>
  <c r="I1736" i="5"/>
  <c r="I1754" i="5" s="1"/>
  <c r="H1733" i="5"/>
  <c r="G1733" i="5"/>
  <c r="F1733" i="5"/>
  <c r="I1732" i="5"/>
  <c r="I1731" i="5"/>
  <c r="I1730" i="5"/>
  <c r="I1729" i="5"/>
  <c r="I1728" i="5"/>
  <c r="I1727" i="5"/>
  <c r="I1726" i="5"/>
  <c r="B1726" i="5"/>
  <c r="B1727" i="5" s="1"/>
  <c r="B1728" i="5" s="1"/>
  <c r="B1729" i="5" s="1"/>
  <c r="B1730" i="5" s="1"/>
  <c r="B1731" i="5" s="1"/>
  <c r="B1732" i="5" s="1"/>
  <c r="I1725" i="5"/>
  <c r="I1733" i="5" s="1"/>
  <c r="H1722" i="5"/>
  <c r="G1722" i="5"/>
  <c r="F1722" i="5"/>
  <c r="I1721" i="5"/>
  <c r="I1720" i="5"/>
  <c r="I1719" i="5"/>
  <c r="I1718" i="5"/>
  <c r="I1717" i="5"/>
  <c r="I1716" i="5"/>
  <c r="I1715" i="5"/>
  <c r="B1715" i="5"/>
  <c r="B1716" i="5" s="1"/>
  <c r="B1717" i="5" s="1"/>
  <c r="B1718" i="5" s="1"/>
  <c r="B1719" i="5" s="1"/>
  <c r="B1720" i="5" s="1"/>
  <c r="B1721" i="5" s="1"/>
  <c r="I1714" i="5"/>
  <c r="I1722" i="5" s="1"/>
  <c r="H1711" i="5"/>
  <c r="G1711" i="5"/>
  <c r="F1711" i="5"/>
  <c r="S1639" i="5" s="1"/>
  <c r="O518" i="3" s="1"/>
  <c r="I1710" i="5"/>
  <c r="I1709" i="5"/>
  <c r="I1708" i="5"/>
  <c r="I1707" i="5"/>
  <c r="I1706" i="5"/>
  <c r="I1705" i="5"/>
  <c r="I1704" i="5"/>
  <c r="B1704" i="5"/>
  <c r="B1705" i="5" s="1"/>
  <c r="B1706" i="5" s="1"/>
  <c r="B1707" i="5" s="1"/>
  <c r="B1708" i="5" s="1"/>
  <c r="B1709" i="5" s="1"/>
  <c r="B1710" i="5" s="1"/>
  <c r="I1703" i="5"/>
  <c r="I1711" i="5" s="1"/>
  <c r="H1700" i="5"/>
  <c r="G1700" i="5"/>
  <c r="F1700" i="5"/>
  <c r="R1639" i="5" s="1"/>
  <c r="M518" i="3" s="1"/>
  <c r="I1699" i="5"/>
  <c r="I1698" i="5"/>
  <c r="I1697" i="5"/>
  <c r="I1696" i="5"/>
  <c r="I1695" i="5"/>
  <c r="I1694" i="5"/>
  <c r="I1693" i="5"/>
  <c r="B1693" i="5"/>
  <c r="B1694" i="5" s="1"/>
  <c r="B1695" i="5" s="1"/>
  <c r="B1696" i="5" s="1"/>
  <c r="B1697" i="5" s="1"/>
  <c r="B1698" i="5" s="1"/>
  <c r="B1699" i="5" s="1"/>
  <c r="I1692" i="5"/>
  <c r="I1700" i="5" s="1"/>
  <c r="H1689" i="5"/>
  <c r="G1689" i="5"/>
  <c r="F1689" i="5"/>
  <c r="I1688" i="5"/>
  <c r="I1687" i="5"/>
  <c r="I1686" i="5"/>
  <c r="I1685" i="5"/>
  <c r="I1684" i="5"/>
  <c r="I1683" i="5"/>
  <c r="I1682" i="5"/>
  <c r="B1682" i="5"/>
  <c r="B1683" i="5" s="1"/>
  <c r="B1684" i="5" s="1"/>
  <c r="B1685" i="5" s="1"/>
  <c r="B1686" i="5" s="1"/>
  <c r="B1687" i="5" s="1"/>
  <c r="B1688" i="5" s="1"/>
  <c r="I1681" i="5"/>
  <c r="I1689" i="5" s="1"/>
  <c r="H1678" i="5"/>
  <c r="G1678" i="5"/>
  <c r="F1678" i="5"/>
  <c r="I1677" i="5"/>
  <c r="I1676" i="5"/>
  <c r="I1675" i="5"/>
  <c r="I1674" i="5"/>
  <c r="I1673" i="5"/>
  <c r="I1672" i="5"/>
  <c r="I1671" i="5"/>
  <c r="B1671" i="5"/>
  <c r="B1672" i="5" s="1"/>
  <c r="B1673" i="5" s="1"/>
  <c r="B1674" i="5" s="1"/>
  <c r="B1675" i="5" s="1"/>
  <c r="B1676" i="5" s="1"/>
  <c r="B1677" i="5" s="1"/>
  <c r="I1670" i="5"/>
  <c r="I1678" i="5" s="1"/>
  <c r="S1667" i="5"/>
  <c r="R1667" i="5"/>
  <c r="Q1667" i="5"/>
  <c r="P1667" i="5"/>
  <c r="O1667" i="5"/>
  <c r="N1667" i="5"/>
  <c r="M1667" i="5"/>
  <c r="L1667" i="5"/>
  <c r="K1667" i="5"/>
  <c r="S1666" i="5"/>
  <c r="R1666" i="5"/>
  <c r="Q1666" i="5"/>
  <c r="P1666" i="5"/>
  <c r="O1666" i="5"/>
  <c r="N1666" i="5"/>
  <c r="M1666" i="5"/>
  <c r="L1666" i="5"/>
  <c r="K1666" i="5"/>
  <c r="H1666" i="5"/>
  <c r="G1666" i="5"/>
  <c r="F1666" i="5"/>
  <c r="I1665" i="5"/>
  <c r="I1664" i="5"/>
  <c r="I1663" i="5"/>
  <c r="I1662" i="5"/>
  <c r="I1661" i="5"/>
  <c r="I1660" i="5"/>
  <c r="I1659" i="5"/>
  <c r="I1658" i="5"/>
  <c r="I1657" i="5"/>
  <c r="I1656" i="5"/>
  <c r="I1655" i="5"/>
  <c r="I1654" i="5"/>
  <c r="I1653" i="5"/>
  <c r="I1652" i="5"/>
  <c r="I1651" i="5"/>
  <c r="B1651" i="5"/>
  <c r="B1652" i="5" s="1"/>
  <c r="B1653" i="5" s="1"/>
  <c r="B1654" i="5" s="1"/>
  <c r="B1655" i="5" s="1"/>
  <c r="B1656" i="5" s="1"/>
  <c r="B1657" i="5" s="1"/>
  <c r="B1658" i="5" s="1"/>
  <c r="B1659" i="5" s="1"/>
  <c r="B1660" i="5" s="1"/>
  <c r="B1661" i="5" s="1"/>
  <c r="B1662" i="5" s="1"/>
  <c r="B1663" i="5" s="1"/>
  <c r="B1664" i="5" s="1"/>
  <c r="B1665" i="5" s="1"/>
  <c r="I1650" i="5"/>
  <c r="I1666" i="5" s="1"/>
  <c r="Q1641" i="5"/>
  <c r="O1641" i="5"/>
  <c r="N1641" i="5"/>
  <c r="M1641" i="5"/>
  <c r="L1641" i="5"/>
  <c r="K1641" i="5"/>
  <c r="Q1640" i="5"/>
  <c r="O1640" i="5"/>
  <c r="N1640" i="5"/>
  <c r="M1640" i="5"/>
  <c r="L1640" i="5"/>
  <c r="K1640" i="5"/>
  <c r="F1637" i="5"/>
  <c r="H1636" i="5"/>
  <c r="Q1635" i="5"/>
  <c r="O1635" i="5"/>
  <c r="N1635" i="5"/>
  <c r="M1635" i="5"/>
  <c r="L1635" i="5"/>
  <c r="K1635" i="5"/>
  <c r="F1635" i="5"/>
  <c r="H1635" i="5" s="1"/>
  <c r="Q1634" i="5"/>
  <c r="L530" i="4" s="1" a="1"/>
  <c r="L530" i="4" s="1"/>
  <c r="O1634" i="5"/>
  <c r="H530" i="4" s="1" a="1"/>
  <c r="H530" i="4" s="1"/>
  <c r="N1634" i="5"/>
  <c r="G530" i="4" s="1" a="1"/>
  <c r="G530" i="4" s="1"/>
  <c r="M1634" i="5"/>
  <c r="F530" i="4" s="1" a="1"/>
  <c r="F530" i="4" s="1"/>
  <c r="L1634" i="5"/>
  <c r="E530" i="4" s="1" a="1"/>
  <c r="E530" i="4" s="1"/>
  <c r="K1634" i="5"/>
  <c r="D530" i="4" s="1" a="1"/>
  <c r="D530" i="4" s="1"/>
  <c r="P1633" i="5"/>
  <c r="P1641" i="5" s="1"/>
  <c r="P1632" i="5"/>
  <c r="F1632" i="5"/>
  <c r="F1633" i="5" s="1"/>
  <c r="H1633" i="5" s="1"/>
  <c r="S1631" i="5"/>
  <c r="P529" i="4" s="1"/>
  <c r="R1631" i="5"/>
  <c r="N529" i="4" s="1"/>
  <c r="P1631" i="5"/>
  <c r="G1629" i="5"/>
  <c r="F1629" i="5"/>
  <c r="S1626" i="5"/>
  <c r="R1626" i="5"/>
  <c r="Q1626" i="5"/>
  <c r="P1626" i="5"/>
  <c r="O1626" i="5"/>
  <c r="N1626" i="5"/>
  <c r="M1626" i="5"/>
  <c r="L1626" i="5"/>
  <c r="K1626" i="5"/>
  <c r="C1626" i="5"/>
  <c r="T1625" i="5"/>
  <c r="A529" i="4" s="1"/>
  <c r="S1625" i="5"/>
  <c r="R1625" i="5"/>
  <c r="Q1625" i="5"/>
  <c r="P1625" i="5"/>
  <c r="O1625" i="5"/>
  <c r="N1625" i="5"/>
  <c r="M1625" i="5"/>
  <c r="L1625" i="5"/>
  <c r="K1625" i="5"/>
  <c r="C1625" i="5"/>
  <c r="C1624" i="5"/>
  <c r="G1167" i="17"/>
  <c r="G1168" i="17"/>
  <c r="G1583" i="9"/>
  <c r="G785" i="20"/>
  <c r="G1566" i="5"/>
  <c r="O1500" i="12"/>
  <c r="G190" i="24"/>
  <c r="J523" i="4"/>
  <c r="O1533" i="9"/>
  <c r="O1463" i="8"/>
  <c r="I512" i="3"/>
  <c r="O1151" i="17"/>
  <c r="B1588" i="5"/>
  <c r="O766" i="20"/>
  <c r="V1567" i="5"/>
  <c r="V1566" i="5"/>
  <c r="G1529" i="12"/>
  <c r="G1528" i="12"/>
  <c r="G1576" i="12"/>
  <c r="W1526" i="12"/>
  <c r="I1529" i="12"/>
  <c r="I1528" i="12"/>
  <c r="I1527" i="12"/>
  <c r="V1546" i="12"/>
  <c r="G1525" i="12"/>
  <c r="G1523" i="12"/>
  <c r="V1555" i="9"/>
  <c r="G1555" i="9"/>
  <c r="V1554" i="9"/>
  <c r="B1578" i="9"/>
  <c r="G810" i="20"/>
  <c r="G1485" i="8"/>
  <c r="G1483" i="8"/>
  <c r="I1218" i="17"/>
  <c r="G1169" i="17"/>
  <c r="V1169" i="17"/>
  <c r="G793" i="20"/>
  <c r="V1565" i="5"/>
  <c r="F1565" i="5"/>
  <c r="O1545" i="5" s="1"/>
  <c r="G1565" i="5"/>
  <c r="G1612" i="5"/>
  <c r="G1564" i="5"/>
  <c r="N1500" i="12"/>
  <c r="V1545" i="12"/>
  <c r="G1520" i="12"/>
  <c r="V1520" i="12"/>
  <c r="V1583" i="9"/>
  <c r="G1553" i="9"/>
  <c r="V1635" i="9"/>
  <c r="G1578" i="9"/>
  <c r="V1578" i="9"/>
  <c r="I1578" i="9"/>
  <c r="G1552" i="9"/>
  <c r="V1552" i="9"/>
  <c r="I1539" i="8"/>
  <c r="V1478" i="8"/>
  <c r="V1537" i="8"/>
  <c r="I1537" i="8"/>
  <c r="V1502" i="8"/>
  <c r="N766" i="20"/>
  <c r="V810" i="20"/>
  <c r="G809" i="20"/>
  <c r="V809" i="20"/>
  <c r="I845" i="20"/>
  <c r="N1545" i="5"/>
  <c r="V1563" i="5"/>
  <c r="V1562" i="5"/>
  <c r="V1561" i="5"/>
  <c r="G1561" i="5"/>
  <c r="L1500" i="12"/>
  <c r="V1568" i="12"/>
  <c r="V1582" i="9"/>
  <c r="V1481" i="8"/>
  <c r="V1476" i="8"/>
  <c r="G1518" i="12"/>
  <c r="G1479" i="8"/>
  <c r="G1481" i="8"/>
  <c r="G788" i="20"/>
  <c r="M766" i="20"/>
  <c r="W788" i="20"/>
  <c r="V787" i="20"/>
  <c r="G787" i="20"/>
  <c r="I787" i="20" s="1"/>
  <c r="V814" i="20"/>
  <c r="M1500" i="12"/>
  <c r="G1519" i="12"/>
  <c r="H1547" i="12"/>
  <c r="G1547" i="12"/>
  <c r="F1547" i="12"/>
  <c r="V1518" i="12"/>
  <c r="I1518" i="12"/>
  <c r="M1545" i="5"/>
  <c r="G1560" i="5"/>
  <c r="V1560" i="5"/>
  <c r="G1628" i="9"/>
  <c r="V1628" i="9"/>
  <c r="G1626" i="9"/>
  <c r="I1627" i="9"/>
  <c r="G1582" i="9"/>
  <c r="G1584" i="9" s="1"/>
  <c r="V1551" i="9"/>
  <c r="F1551" i="9"/>
  <c r="M1533" i="9" s="1"/>
  <c r="G1551" i="9"/>
  <c r="M1463" i="8"/>
  <c r="V1479" i="8"/>
  <c r="M1151" i="17"/>
  <c r="V1168" i="17"/>
  <c r="G1198" i="17"/>
  <c r="L1545" i="5"/>
  <c r="J498" i="4"/>
  <c r="I2" i="4"/>
  <c r="F1415" i="12"/>
  <c r="H1200" i="17"/>
  <c r="F1200" i="17"/>
  <c r="G1199" i="17"/>
  <c r="I1199" i="17" s="1"/>
  <c r="I1198" i="17"/>
  <c r="G1197" i="17"/>
  <c r="I1197" i="17" s="1"/>
  <c r="G1196" i="17"/>
  <c r="I1196" i="17" s="1"/>
  <c r="G1092" i="17"/>
  <c r="G1080" i="17"/>
  <c r="F681" i="20"/>
  <c r="G1550" i="9"/>
  <c r="G1544" i="9"/>
  <c r="G1546" i="9"/>
  <c r="G1165" i="17"/>
  <c r="K1500" i="12"/>
  <c r="G1568" i="12"/>
  <c r="G1517" i="12"/>
  <c r="V1577" i="9"/>
  <c r="G1577" i="9"/>
  <c r="F1550" i="9"/>
  <c r="L1533" i="9" s="1"/>
  <c r="B517" i="4"/>
  <c r="K506" i="3"/>
  <c r="D506" i="3"/>
  <c r="E506" i="3"/>
  <c r="F506" i="3"/>
  <c r="G506" i="3"/>
  <c r="L1463" i="8"/>
  <c r="G1478" i="8"/>
  <c r="G1477" i="8"/>
  <c r="G1476" i="8"/>
  <c r="L1151" i="17"/>
  <c r="V1167" i="17"/>
  <c r="G1166" i="17"/>
  <c r="V1166" i="17"/>
  <c r="X853" i="20"/>
  <c r="W853" i="20"/>
  <c r="T853" i="20"/>
  <c r="B777" i="20"/>
  <c r="B778" i="20" s="1"/>
  <c r="F781" i="20"/>
  <c r="F794" i="20" s="1"/>
  <c r="G781" i="20"/>
  <c r="G1603" i="5"/>
  <c r="V1603" i="5"/>
  <c r="V1559" i="5"/>
  <c r="G1559" i="5"/>
  <c r="V1446" i="12"/>
  <c r="G1446" i="12"/>
  <c r="H1560" i="12"/>
  <c r="F1560" i="12"/>
  <c r="G1559" i="12"/>
  <c r="I1559" i="12" s="1"/>
  <c r="G1558" i="12"/>
  <c r="I1558" i="12" s="1"/>
  <c r="G1557" i="12"/>
  <c r="I1557" i="12" s="1"/>
  <c r="B1557" i="12"/>
  <c r="B1558" i="12" s="1"/>
  <c r="B1559" i="12" s="1"/>
  <c r="G1556" i="12"/>
  <c r="H1553" i="12"/>
  <c r="F1553" i="12"/>
  <c r="G1552" i="12"/>
  <c r="I1552" i="12" s="1"/>
  <c r="G1551" i="12"/>
  <c r="I1551" i="12" s="1"/>
  <c r="B1551" i="12"/>
  <c r="B1552" i="12" s="1"/>
  <c r="G1550" i="12"/>
  <c r="H410" i="23"/>
  <c r="F410" i="23"/>
  <c r="G409" i="23"/>
  <c r="H405" i="23"/>
  <c r="F405" i="23"/>
  <c r="G404" i="23"/>
  <c r="I404" i="23" s="1"/>
  <c r="B404" i="23"/>
  <c r="G403" i="23"/>
  <c r="H350" i="23"/>
  <c r="F350" i="23"/>
  <c r="H355" i="23"/>
  <c r="F355" i="23"/>
  <c r="B349" i="23"/>
  <c r="F1049" i="17"/>
  <c r="F1052" i="17"/>
  <c r="F1053" i="17"/>
  <c r="V776" i="20"/>
  <c r="G1387" i="8"/>
  <c r="F1530" i="8"/>
  <c r="G1529" i="8"/>
  <c r="I1529" i="8" s="1"/>
  <c r="G1528" i="8"/>
  <c r="I1528" i="8" s="1"/>
  <c r="G1527" i="8"/>
  <c r="I1527" i="8" s="1"/>
  <c r="H1526" i="8"/>
  <c r="H1530" i="8" s="1"/>
  <c r="G1526" i="8"/>
  <c r="I1526" i="8" s="1"/>
  <c r="B1526" i="8"/>
  <c r="B1527" i="8" s="1"/>
  <c r="B1528" i="8" s="1"/>
  <c r="B1529" i="8" s="1"/>
  <c r="G1525" i="8"/>
  <c r="F1522" i="8"/>
  <c r="I1521" i="8"/>
  <c r="H1520" i="8"/>
  <c r="H1522" i="8" s="1"/>
  <c r="G1520" i="8"/>
  <c r="I1520" i="8" s="1"/>
  <c r="I1519" i="8"/>
  <c r="I1518" i="8"/>
  <c r="G1517" i="8"/>
  <c r="I1517" i="8" s="1"/>
  <c r="G1516" i="8"/>
  <c r="I1516" i="8" s="1"/>
  <c r="G1515" i="8"/>
  <c r="I1515" i="8" s="1"/>
  <c r="G1514" i="8"/>
  <c r="I1514" i="8" s="1"/>
  <c r="G1513" i="8"/>
  <c r="I1513" i="8" s="1"/>
  <c r="G1512" i="8"/>
  <c r="I1512" i="8" s="1"/>
  <c r="I1511" i="8"/>
  <c r="B1511" i="8"/>
  <c r="B1512" i="8" s="1"/>
  <c r="B1513" i="8" s="1"/>
  <c r="B1514" i="8" s="1"/>
  <c r="B1515" i="8" s="1"/>
  <c r="B1516" i="8" s="1"/>
  <c r="B1517" i="8" s="1"/>
  <c r="B1518" i="8" s="1"/>
  <c r="B1519" i="8" s="1"/>
  <c r="B1520" i="8" s="1"/>
  <c r="B1521" i="8" s="1"/>
  <c r="G1510" i="8"/>
  <c r="F1406" i="8"/>
  <c r="I1044" i="17"/>
  <c r="G1093" i="17"/>
  <c r="B1085" i="17"/>
  <c r="B1086" i="17" s="1"/>
  <c r="I1195" i="17"/>
  <c r="G1194" i="17"/>
  <c r="I1194" i="17" s="1"/>
  <c r="B1194" i="17"/>
  <c r="B1195" i="17" s="1"/>
  <c r="B1196" i="17" s="1"/>
  <c r="B1197" i="17" s="1"/>
  <c r="B1198" i="17" s="1"/>
  <c r="B1199" i="17" s="1"/>
  <c r="G1193" i="17"/>
  <c r="G1200" i="17" s="1"/>
  <c r="V1188" i="17"/>
  <c r="F1188" i="17"/>
  <c r="I1188" i="17" s="1"/>
  <c r="G1187" i="17"/>
  <c r="I1187" i="17" s="1"/>
  <c r="H1186" i="17"/>
  <c r="H1189" i="17" s="1"/>
  <c r="G1186" i="17"/>
  <c r="I1186" i="17" s="1"/>
  <c r="B1186" i="17"/>
  <c r="B1187" i="17" s="1"/>
  <c r="B1188" i="17" s="1"/>
  <c r="G1185" i="17"/>
  <c r="G1189" i="17" s="1"/>
  <c r="F1185" i="17"/>
  <c r="F1189" i="17" s="1"/>
  <c r="F1100" i="17"/>
  <c r="V1100" i="17"/>
  <c r="B1106" i="17"/>
  <c r="B1107" i="17" s="1"/>
  <c r="G1073" i="17"/>
  <c r="F1080" i="17"/>
  <c r="G691" i="20"/>
  <c r="V830" i="20"/>
  <c r="H831" i="20"/>
  <c r="I830" i="20"/>
  <c r="G776" i="20"/>
  <c r="H836" i="20"/>
  <c r="F836" i="20"/>
  <c r="G835" i="20"/>
  <c r="I835" i="20" s="1"/>
  <c r="B835" i="20"/>
  <c r="G834" i="20"/>
  <c r="G829" i="20"/>
  <c r="I829" i="20" s="1"/>
  <c r="G828" i="20"/>
  <c r="F828" i="20"/>
  <c r="I828" i="20" s="1"/>
  <c r="G827" i="20"/>
  <c r="I827" i="20" s="1"/>
  <c r="G826" i="20"/>
  <c r="I826" i="20" s="1"/>
  <c r="G825" i="20"/>
  <c r="I825" i="20" s="1"/>
  <c r="G824" i="20"/>
  <c r="I824" i="20" s="1"/>
  <c r="G823" i="20"/>
  <c r="I823" i="20" s="1"/>
  <c r="G822" i="20"/>
  <c r="I822" i="20" s="1"/>
  <c r="G821" i="20"/>
  <c r="I821" i="20" s="1"/>
  <c r="G820" i="20"/>
  <c r="I820" i="20" s="1"/>
  <c r="G819" i="20"/>
  <c r="F819" i="20"/>
  <c r="I819" i="20" s="1"/>
  <c r="B819" i="20"/>
  <c r="B820" i="20" s="1"/>
  <c r="B821" i="20" s="1"/>
  <c r="B822" i="20" s="1"/>
  <c r="B823" i="20" s="1"/>
  <c r="B824" i="20" s="1"/>
  <c r="B825" i="20" s="1"/>
  <c r="B826" i="20" s="1"/>
  <c r="B827" i="20" s="1"/>
  <c r="B828" i="20" s="1"/>
  <c r="B829" i="20" s="1"/>
  <c r="B830" i="20" s="1"/>
  <c r="G818" i="20"/>
  <c r="G831" i="20" s="1"/>
  <c r="F818" i="20"/>
  <c r="F831" i="20" s="1"/>
  <c r="F1490" i="5"/>
  <c r="F1439" i="5"/>
  <c r="H1439" i="5"/>
  <c r="F1440" i="5"/>
  <c r="F1445" i="5"/>
  <c r="H1490" i="5"/>
  <c r="G1489" i="5"/>
  <c r="I1489" i="5" s="1"/>
  <c r="G1488" i="5"/>
  <c r="I1488" i="5" s="1"/>
  <c r="G1487" i="5"/>
  <c r="I1487" i="5" s="1"/>
  <c r="B1488" i="5"/>
  <c r="B1489" i="5" s="1"/>
  <c r="V1493" i="5"/>
  <c r="H1597" i="5"/>
  <c r="F1597" i="5"/>
  <c r="G1596" i="5"/>
  <c r="G1592" i="5"/>
  <c r="F1592" i="5"/>
  <c r="I1592" i="5" s="1"/>
  <c r="G1591" i="5"/>
  <c r="F1591" i="5"/>
  <c r="G1590" i="5"/>
  <c r="I1590" i="5" s="1"/>
  <c r="G1589" i="5"/>
  <c r="I1589" i="5" s="1"/>
  <c r="H1588" i="5"/>
  <c r="G1588" i="5"/>
  <c r="I1588" i="5" s="1"/>
  <c r="H1587" i="5"/>
  <c r="H1593" i="5" s="1"/>
  <c r="G1587" i="5"/>
  <c r="F1501" i="5"/>
  <c r="B1482" i="5"/>
  <c r="B1483" i="5" s="1"/>
  <c r="R1440" i="5"/>
  <c r="R1432" i="5"/>
  <c r="H1519" i="5"/>
  <c r="G1468" i="5"/>
  <c r="G1465" i="5"/>
  <c r="W1386" i="5"/>
  <c r="H228" i="24"/>
  <c r="G227" i="24"/>
  <c r="F227" i="24"/>
  <c r="B227" i="24"/>
  <c r="G226" i="24"/>
  <c r="G953" i="17"/>
  <c r="I1434" i="5"/>
  <c r="G1493" i="5"/>
  <c r="F1536" i="9"/>
  <c r="G1506" i="8"/>
  <c r="G1474" i="8"/>
  <c r="G1164" i="17"/>
  <c r="G1075" i="17"/>
  <c r="G1514" i="12"/>
  <c r="G1515" i="12"/>
  <c r="V1515" i="12"/>
  <c r="G1513" i="12"/>
  <c r="G1512" i="12"/>
  <c r="G1511" i="12"/>
  <c r="K1533" i="9"/>
  <c r="C506" i="3" s="1"/>
  <c r="G1549" i="9"/>
  <c r="V1549" i="9"/>
  <c r="V1548" i="9"/>
  <c r="G1547" i="9"/>
  <c r="V1547" i="9"/>
  <c r="V1545" i="9"/>
  <c r="V1544" i="9"/>
  <c r="V1646" i="9" s="1"/>
  <c r="F1506" i="8"/>
  <c r="K1151" i="17"/>
  <c r="V1164" i="17"/>
  <c r="V1163" i="17"/>
  <c r="G1203" i="17"/>
  <c r="V1162" i="17"/>
  <c r="K766" i="20"/>
  <c r="G777" i="20"/>
  <c r="K1545" i="5"/>
  <c r="V1557" i="5"/>
  <c r="G1557" i="5"/>
  <c r="G1556" i="5"/>
  <c r="W1556" i="5"/>
  <c r="V1387" i="8"/>
  <c r="N678" i="20"/>
  <c r="H709" i="20"/>
  <c r="G709" i="20"/>
  <c r="F709" i="20"/>
  <c r="V1074" i="17"/>
  <c r="D509" i="3"/>
  <c r="E509" i="3"/>
  <c r="F509" i="3"/>
  <c r="G509" i="3"/>
  <c r="C509" i="3"/>
  <c r="D503" i="3"/>
  <c r="E503" i="3"/>
  <c r="F503" i="3"/>
  <c r="G503" i="3"/>
  <c r="D500" i="3"/>
  <c r="E500" i="3"/>
  <c r="G500" i="3"/>
  <c r="C500" i="3"/>
  <c r="E497" i="3"/>
  <c r="F497" i="3"/>
  <c r="G497" i="3"/>
  <c r="C497" i="3"/>
  <c r="D494" i="3"/>
  <c r="E494" i="3"/>
  <c r="F494" i="3"/>
  <c r="G494" i="3"/>
  <c r="C494" i="3"/>
  <c r="B520" i="4"/>
  <c r="B514" i="4"/>
  <c r="B511" i="4"/>
  <c r="B508" i="4"/>
  <c r="B505" i="4"/>
  <c r="B523" i="4"/>
  <c r="P1500" i="12"/>
  <c r="H509" i="3" s="1"/>
  <c r="P389" i="23"/>
  <c r="P200" i="24"/>
  <c r="P1533" i="9"/>
  <c r="H506" i="3" s="1"/>
  <c r="S19" i="21"/>
  <c r="R19" i="21"/>
  <c r="P1151" i="17"/>
  <c r="H500" i="3" s="1"/>
  <c r="P1545" i="5"/>
  <c r="H494" i="3" s="1"/>
  <c r="X411" i="23"/>
  <c r="W411" i="23"/>
  <c r="V411" i="23"/>
  <c r="T411" i="23"/>
  <c r="S401" i="23"/>
  <c r="R401" i="23"/>
  <c r="Q401" i="23"/>
  <c r="P401" i="23"/>
  <c r="O401" i="23"/>
  <c r="N401" i="23"/>
  <c r="M401" i="23"/>
  <c r="L401" i="23"/>
  <c r="K401" i="23"/>
  <c r="S400" i="23"/>
  <c r="R400" i="23"/>
  <c r="Q400" i="23"/>
  <c r="P400" i="23"/>
  <c r="O400" i="23"/>
  <c r="N400" i="23"/>
  <c r="M400" i="23"/>
  <c r="L400" i="23"/>
  <c r="K400" i="23"/>
  <c r="H400" i="23"/>
  <c r="G400" i="23"/>
  <c r="F400" i="23"/>
  <c r="I399" i="23"/>
  <c r="I400" i="23" s="1"/>
  <c r="G379" i="23" s="1"/>
  <c r="Q391" i="23"/>
  <c r="O391" i="23"/>
  <c r="N391" i="23"/>
  <c r="M391" i="23"/>
  <c r="L391" i="23"/>
  <c r="K391" i="23"/>
  <c r="Q390" i="23"/>
  <c r="O390" i="23"/>
  <c r="N390" i="23"/>
  <c r="M390" i="23"/>
  <c r="L390" i="23"/>
  <c r="K390" i="23"/>
  <c r="F387" i="23"/>
  <c r="H386" i="23"/>
  <c r="Q385" i="23"/>
  <c r="O385" i="23"/>
  <c r="N385" i="23"/>
  <c r="M385" i="23"/>
  <c r="L385" i="23"/>
  <c r="K385" i="23"/>
  <c r="F385" i="23"/>
  <c r="H385" i="23" s="1"/>
  <c r="Q384" i="23"/>
  <c r="O384" i="23"/>
  <c r="N384" i="23"/>
  <c r="M384" i="23"/>
  <c r="L384" i="23"/>
  <c r="K384" i="23"/>
  <c r="P383" i="23"/>
  <c r="P391" i="23" s="1"/>
  <c r="P382" i="23"/>
  <c r="F382" i="23"/>
  <c r="F383" i="23" s="1"/>
  <c r="H383" i="23" s="1"/>
  <c r="P381" i="23"/>
  <c r="F380" i="23"/>
  <c r="F379" i="23"/>
  <c r="F381" i="23" s="1"/>
  <c r="H381" i="23" s="1"/>
  <c r="S376" i="23"/>
  <c r="R376" i="23"/>
  <c r="Q376" i="23"/>
  <c r="P376" i="23"/>
  <c r="O376" i="23"/>
  <c r="N376" i="23"/>
  <c r="M376" i="23"/>
  <c r="L376" i="23"/>
  <c r="K376" i="23"/>
  <c r="C376" i="23"/>
  <c r="T375" i="23"/>
  <c r="S375" i="23"/>
  <c r="R375" i="23"/>
  <c r="Q375" i="23"/>
  <c r="P375" i="23"/>
  <c r="O375" i="23"/>
  <c r="N375" i="23"/>
  <c r="M375" i="23"/>
  <c r="L375" i="23"/>
  <c r="K375" i="23"/>
  <c r="C375" i="23"/>
  <c r="C374" i="23"/>
  <c r="X229" i="24"/>
  <c r="W229" i="24"/>
  <c r="V229" i="24"/>
  <c r="T229" i="24"/>
  <c r="H223" i="24"/>
  <c r="G223" i="24"/>
  <c r="F223" i="24"/>
  <c r="I222" i="24"/>
  <c r="I221" i="24"/>
  <c r="I220" i="24"/>
  <c r="I219" i="24"/>
  <c r="I218" i="24"/>
  <c r="I217" i="24"/>
  <c r="I216" i="24"/>
  <c r="B216" i="24"/>
  <c r="B217" i="24" s="1"/>
  <c r="B218" i="24" s="1"/>
  <c r="B219" i="24" s="1"/>
  <c r="B220" i="24" s="1"/>
  <c r="B221" i="24" s="1"/>
  <c r="B222" i="24" s="1"/>
  <c r="I215" i="24"/>
  <c r="I223" i="24" s="1"/>
  <c r="S212" i="24"/>
  <c r="R212" i="24"/>
  <c r="Q212" i="24"/>
  <c r="P212" i="24"/>
  <c r="O212" i="24"/>
  <c r="N212" i="24"/>
  <c r="M212" i="24"/>
  <c r="L212" i="24"/>
  <c r="K212" i="24"/>
  <c r="S211" i="24"/>
  <c r="R211" i="24"/>
  <c r="Q211" i="24"/>
  <c r="P211" i="24"/>
  <c r="O211" i="24"/>
  <c r="N211" i="24"/>
  <c r="M211" i="24"/>
  <c r="L211" i="24"/>
  <c r="K211" i="24"/>
  <c r="H211" i="24"/>
  <c r="G211" i="24"/>
  <c r="F211" i="24"/>
  <c r="I210" i="24"/>
  <c r="I211" i="24" s="1"/>
  <c r="Q202" i="24"/>
  <c r="O202" i="24"/>
  <c r="N202" i="24"/>
  <c r="M202" i="24"/>
  <c r="L202" i="24"/>
  <c r="K202" i="24"/>
  <c r="Q201" i="24"/>
  <c r="O201" i="24"/>
  <c r="N201" i="24"/>
  <c r="M201" i="24"/>
  <c r="L201" i="24"/>
  <c r="K201" i="24"/>
  <c r="F198" i="24"/>
  <c r="H197" i="24"/>
  <c r="Q196" i="24"/>
  <c r="O196" i="24"/>
  <c r="N196" i="24"/>
  <c r="M196" i="24"/>
  <c r="L196" i="24"/>
  <c r="K196" i="24"/>
  <c r="F196" i="24"/>
  <c r="H196" i="24" s="1"/>
  <c r="Q195" i="24"/>
  <c r="O195" i="24"/>
  <c r="N195" i="24"/>
  <c r="M195" i="24"/>
  <c r="L195" i="24"/>
  <c r="K195" i="24"/>
  <c r="P194" i="24"/>
  <c r="P202" i="24" s="1"/>
  <c r="P193" i="24"/>
  <c r="F193" i="24"/>
  <c r="F194" i="24" s="1"/>
  <c r="H194" i="24" s="1"/>
  <c r="P192" i="24"/>
  <c r="P196" i="24" s="1"/>
  <c r="F191" i="24"/>
  <c r="F190" i="24"/>
  <c r="F192" i="24" s="1"/>
  <c r="H192" i="24" s="1"/>
  <c r="C190" i="24"/>
  <c r="S187" i="24"/>
  <c r="R187" i="24"/>
  <c r="Q187" i="24"/>
  <c r="P187" i="24"/>
  <c r="O187" i="24"/>
  <c r="N187" i="24"/>
  <c r="M187" i="24"/>
  <c r="L187" i="24"/>
  <c r="K187" i="24"/>
  <c r="C187" i="24"/>
  <c r="T186" i="24"/>
  <c r="S186" i="24"/>
  <c r="R186" i="24"/>
  <c r="Q186" i="24"/>
  <c r="P186" i="24"/>
  <c r="O186" i="24"/>
  <c r="N186" i="24"/>
  <c r="M186" i="24"/>
  <c r="L186" i="24"/>
  <c r="K186" i="24"/>
  <c r="C186" i="24"/>
  <c r="C185" i="24"/>
  <c r="T1222" i="17"/>
  <c r="H1221" i="17"/>
  <c r="G1221" i="17"/>
  <c r="F1221" i="17"/>
  <c r="I1220" i="17"/>
  <c r="I1217" i="17"/>
  <c r="I1216" i="17"/>
  <c r="I1219" i="17"/>
  <c r="I1215" i="17"/>
  <c r="I1214" i="17"/>
  <c r="I1213" i="17"/>
  <c r="I1212" i="17"/>
  <c r="I1211" i="17"/>
  <c r="I1210" i="17"/>
  <c r="I1209" i="17"/>
  <c r="I1208" i="17"/>
  <c r="I1207" i="17"/>
  <c r="I1206" i="17"/>
  <c r="I1205" i="17"/>
  <c r="I1204" i="17"/>
  <c r="B1204" i="17"/>
  <c r="B1205" i="17" s="1"/>
  <c r="B1206" i="17" s="1"/>
  <c r="B1207" i="17" s="1"/>
  <c r="B1208" i="17" s="1"/>
  <c r="B1209" i="17" s="1"/>
  <c r="B1210" i="17" s="1"/>
  <c r="B1211" i="17" s="1"/>
  <c r="B1212" i="17" s="1"/>
  <c r="B1213" i="17" s="1"/>
  <c r="B1214" i="17" s="1"/>
  <c r="B1215" i="17" s="1"/>
  <c r="I1203" i="17"/>
  <c r="I1221" i="17" s="1"/>
  <c r="H1182" i="17"/>
  <c r="G1182" i="17"/>
  <c r="F1182" i="17"/>
  <c r="I1181" i="17"/>
  <c r="I1180" i="17"/>
  <c r="I1179" i="17"/>
  <c r="I1178" i="17"/>
  <c r="I1177" i="17"/>
  <c r="I1176" i="17"/>
  <c r="I1175" i="17"/>
  <c r="B1175" i="17"/>
  <c r="B1176" i="17" s="1"/>
  <c r="B1177" i="17" s="1"/>
  <c r="B1178" i="17" s="1"/>
  <c r="B1179" i="17" s="1"/>
  <c r="B1180" i="17" s="1"/>
  <c r="B1181" i="17" s="1"/>
  <c r="I1174" i="17"/>
  <c r="I1182" i="17" s="1"/>
  <c r="S1171" i="17"/>
  <c r="R1171" i="17"/>
  <c r="Q1171" i="17"/>
  <c r="P1171" i="17"/>
  <c r="O1171" i="17"/>
  <c r="N1171" i="17"/>
  <c r="M1171" i="17"/>
  <c r="L1171" i="17"/>
  <c r="K1171" i="17"/>
  <c r="S1170" i="17"/>
  <c r="R1170" i="17"/>
  <c r="Q1170" i="17"/>
  <c r="P1170" i="17"/>
  <c r="O1170" i="17"/>
  <c r="N1170" i="17"/>
  <c r="M1170" i="17"/>
  <c r="L1170" i="17"/>
  <c r="K1170" i="17"/>
  <c r="H1170" i="17"/>
  <c r="G1170" i="17"/>
  <c r="F1170" i="17"/>
  <c r="I1169" i="17"/>
  <c r="O1143" i="17" s="1"/>
  <c r="H511" i="4" s="1"/>
  <c r="I1168" i="17"/>
  <c r="M1143" i="17" s="1"/>
  <c r="F511" i="4" s="1"/>
  <c r="I1167" i="17"/>
  <c r="I1166" i="17"/>
  <c r="I1165" i="17"/>
  <c r="L1143" i="17" s="1"/>
  <c r="E511" i="4" s="1"/>
  <c r="I1164" i="17"/>
  <c r="I1163" i="17"/>
  <c r="B1163" i="17"/>
  <c r="B1164" i="17" s="1"/>
  <c r="B1165" i="17" s="1"/>
  <c r="B1166" i="17" s="1"/>
  <c r="B1167" i="17" s="1"/>
  <c r="B1168" i="17" s="1"/>
  <c r="B1169" i="17" s="1"/>
  <c r="I1162" i="17"/>
  <c r="I1170" i="17" s="1"/>
  <c r="G1141" i="17" s="1"/>
  <c r="Q1153" i="17"/>
  <c r="O1153" i="17"/>
  <c r="N1153" i="17"/>
  <c r="M1153" i="17"/>
  <c r="L1153" i="17"/>
  <c r="K1153" i="17"/>
  <c r="Q1152" i="17"/>
  <c r="O1152" i="17"/>
  <c r="N1152" i="17"/>
  <c r="M1152" i="17"/>
  <c r="L1152" i="17"/>
  <c r="K1152" i="17"/>
  <c r="O500" i="3"/>
  <c r="M500" i="3"/>
  <c r="F1149" i="17"/>
  <c r="H1148" i="17"/>
  <c r="Q1147" i="17"/>
  <c r="O1147" i="17"/>
  <c r="N1147" i="17"/>
  <c r="M1147" i="17"/>
  <c r="L1147" i="17"/>
  <c r="F1147" i="17"/>
  <c r="H1147" i="17" s="1"/>
  <c r="Q1146" i="17"/>
  <c r="O1146" i="17"/>
  <c r="H512" i="4" s="1" a="1"/>
  <c r="H512" i="4" s="1"/>
  <c r="N1146" i="17"/>
  <c r="M1146" i="17"/>
  <c r="F512" i="4" s="1" a="1"/>
  <c r="F512" i="4" s="1"/>
  <c r="L1146" i="17"/>
  <c r="E512" i="4" s="1" a="1"/>
  <c r="E512" i="4" s="1"/>
  <c r="K1146" i="17"/>
  <c r="P1145" i="17"/>
  <c r="P1153" i="17" s="1"/>
  <c r="P1144" i="17"/>
  <c r="F1144" i="17"/>
  <c r="F1145" i="17" s="1"/>
  <c r="H1145" i="17" s="1"/>
  <c r="P511" i="4"/>
  <c r="N511" i="4"/>
  <c r="F1142" i="17"/>
  <c r="S1138" i="17"/>
  <c r="R1138" i="17"/>
  <c r="Q1138" i="17"/>
  <c r="P1138" i="17"/>
  <c r="O1138" i="17"/>
  <c r="N1138" i="17"/>
  <c r="M1138" i="17"/>
  <c r="L1138" i="17"/>
  <c r="K1138" i="17"/>
  <c r="C1138" i="17"/>
  <c r="T1137" i="17"/>
  <c r="A511" i="4" s="1"/>
  <c r="S1137" i="17"/>
  <c r="R1137" i="17"/>
  <c r="Q1137" i="17"/>
  <c r="P1137" i="17"/>
  <c r="O1137" i="17"/>
  <c r="N1137" i="17"/>
  <c r="M1137" i="17"/>
  <c r="L1137" i="17"/>
  <c r="K1137" i="17"/>
  <c r="C1137" i="17"/>
  <c r="C1136" i="17"/>
  <c r="H852" i="20"/>
  <c r="G852" i="20"/>
  <c r="F852" i="20"/>
  <c r="I851" i="20"/>
  <c r="I850" i="20"/>
  <c r="I849" i="20"/>
  <c r="I848" i="20"/>
  <c r="I847" i="20"/>
  <c r="I846" i="20"/>
  <c r="I844" i="20"/>
  <c r="I843" i="20"/>
  <c r="I842" i="20"/>
  <c r="I841" i="20"/>
  <c r="I840" i="20"/>
  <c r="B840" i="20"/>
  <c r="B841" i="20" s="1"/>
  <c r="B842" i="20" s="1"/>
  <c r="B843" i="20" s="1"/>
  <c r="B844" i="20" s="1"/>
  <c r="B845" i="20" s="1"/>
  <c r="B846" i="20" s="1"/>
  <c r="B847" i="20" s="1"/>
  <c r="B848" i="20" s="1"/>
  <c r="B849" i="20" s="1"/>
  <c r="B850" i="20" s="1"/>
  <c r="B851" i="20" s="1"/>
  <c r="I839" i="20"/>
  <c r="I852" i="20" s="1"/>
  <c r="I788" i="20"/>
  <c r="I814" i="20"/>
  <c r="I815" i="20" s="1"/>
  <c r="I780" i="20"/>
  <c r="I776" i="20"/>
  <c r="H811" i="20"/>
  <c r="G811" i="20"/>
  <c r="F811" i="20"/>
  <c r="I793" i="20"/>
  <c r="I810" i="20"/>
  <c r="B810" i="20"/>
  <c r="I809" i="20"/>
  <c r="I811" i="20" s="1"/>
  <c r="H806" i="20"/>
  <c r="G806" i="20"/>
  <c r="F806" i="20"/>
  <c r="I805" i="20"/>
  <c r="I804" i="20"/>
  <c r="I803" i="20"/>
  <c r="I802" i="20"/>
  <c r="I801" i="20"/>
  <c r="I800" i="20"/>
  <c r="I799" i="20"/>
  <c r="B799" i="20"/>
  <c r="B800" i="20" s="1"/>
  <c r="B801" i="20" s="1"/>
  <c r="B802" i="20" s="1"/>
  <c r="B803" i="20" s="1"/>
  <c r="B804" i="20" s="1"/>
  <c r="B805" i="20" s="1"/>
  <c r="I798" i="20"/>
  <c r="I806" i="20" s="1"/>
  <c r="I792" i="20"/>
  <c r="O758" i="20" s="1"/>
  <c r="H508" i="4" s="1"/>
  <c r="I791" i="20"/>
  <c r="I790" i="20"/>
  <c r="I789" i="20"/>
  <c r="I786" i="20"/>
  <c r="I785" i="20"/>
  <c r="I784" i="20"/>
  <c r="I783" i="20"/>
  <c r="I782" i="20"/>
  <c r="I781" i="20"/>
  <c r="L758" i="20" s="1"/>
  <c r="E508" i="4" s="1"/>
  <c r="I779" i="20"/>
  <c r="I778" i="20"/>
  <c r="B779" i="20"/>
  <c r="I777" i="20"/>
  <c r="Q768" i="20"/>
  <c r="O768" i="20"/>
  <c r="N768" i="20"/>
  <c r="M768" i="20"/>
  <c r="L768" i="20"/>
  <c r="K768" i="20"/>
  <c r="Q767" i="20"/>
  <c r="O767" i="20"/>
  <c r="N767" i="20"/>
  <c r="M767" i="20"/>
  <c r="L767" i="20"/>
  <c r="K767" i="20"/>
  <c r="O497" i="3"/>
  <c r="F764" i="20"/>
  <c r="H763" i="20"/>
  <c r="Q762" i="20"/>
  <c r="O762" i="20"/>
  <c r="L762" i="20"/>
  <c r="F762" i="20"/>
  <c r="H762" i="20" s="1"/>
  <c r="Q761" i="20"/>
  <c r="O761" i="20"/>
  <c r="H509" i="4" s="1" a="1"/>
  <c r="H509" i="4" s="1"/>
  <c r="N761" i="20"/>
  <c r="M761" i="20"/>
  <c r="L761" i="20"/>
  <c r="E509" i="4" s="1" a="1"/>
  <c r="E509" i="4" s="1"/>
  <c r="K761" i="20"/>
  <c r="P760" i="20"/>
  <c r="P768" i="20" s="1"/>
  <c r="P759" i="20"/>
  <c r="F759" i="20"/>
  <c r="F760" i="20" s="1"/>
  <c r="H760" i="20" s="1"/>
  <c r="P508" i="4"/>
  <c r="F757" i="20"/>
  <c r="S753" i="20"/>
  <c r="R753" i="20"/>
  <c r="Q753" i="20"/>
  <c r="P753" i="20"/>
  <c r="O753" i="20"/>
  <c r="N753" i="20"/>
  <c r="M753" i="20"/>
  <c r="L753" i="20"/>
  <c r="K753" i="20"/>
  <c r="C753" i="20"/>
  <c r="T752" i="20"/>
  <c r="A508" i="4" s="1"/>
  <c r="S752" i="20"/>
  <c r="R752" i="20"/>
  <c r="Q752" i="20"/>
  <c r="P752" i="20"/>
  <c r="O752" i="20"/>
  <c r="N752" i="20"/>
  <c r="M752" i="20"/>
  <c r="L752" i="20"/>
  <c r="K752" i="20"/>
  <c r="C752" i="20"/>
  <c r="C751" i="20"/>
  <c r="X1578" i="12"/>
  <c r="W1578" i="12"/>
  <c r="V1578" i="12"/>
  <c r="T1578" i="12"/>
  <c r="H1577" i="12"/>
  <c r="G1577" i="12"/>
  <c r="F1577" i="12"/>
  <c r="I1576" i="12"/>
  <c r="I1575" i="12"/>
  <c r="I1574" i="12"/>
  <c r="I1573" i="12"/>
  <c r="I1572" i="12"/>
  <c r="I1571" i="12"/>
  <c r="I1570" i="12"/>
  <c r="I1569" i="12"/>
  <c r="I1567" i="12"/>
  <c r="I1566" i="12"/>
  <c r="I1565" i="12"/>
  <c r="I1564" i="12"/>
  <c r="B1564" i="12"/>
  <c r="B1565" i="12" s="1"/>
  <c r="B1566" i="12" s="1"/>
  <c r="B1567" i="12" s="1"/>
  <c r="I1563" i="12"/>
  <c r="I1546" i="12"/>
  <c r="I1545" i="12"/>
  <c r="I1547" i="12" s="1"/>
  <c r="I1568" i="12"/>
  <c r="B1546" i="12"/>
  <c r="I1515" i="12"/>
  <c r="O509" i="3"/>
  <c r="I1524" i="12"/>
  <c r="H1542" i="12"/>
  <c r="G1542" i="12"/>
  <c r="F1542" i="12"/>
  <c r="I1541" i="12"/>
  <c r="I1540" i="12"/>
  <c r="I1539" i="12"/>
  <c r="I1538" i="12"/>
  <c r="I1537" i="12"/>
  <c r="I1536" i="12"/>
  <c r="I1535" i="12"/>
  <c r="B1535" i="12"/>
  <c r="B1536" i="12" s="1"/>
  <c r="B1537" i="12" s="1"/>
  <c r="B1538" i="12" s="1"/>
  <c r="B1539" i="12" s="1"/>
  <c r="B1540" i="12" s="1"/>
  <c r="B1541" i="12" s="1"/>
  <c r="I1534" i="12"/>
  <c r="I1542" i="12" s="1"/>
  <c r="S1531" i="12"/>
  <c r="R1531" i="12"/>
  <c r="Q1531" i="12"/>
  <c r="P1531" i="12"/>
  <c r="O1531" i="12"/>
  <c r="N1531" i="12"/>
  <c r="M1531" i="12"/>
  <c r="L1531" i="12"/>
  <c r="K1531" i="12"/>
  <c r="S1530" i="12"/>
  <c r="R1530" i="12"/>
  <c r="Q1530" i="12"/>
  <c r="P1530" i="12"/>
  <c r="O1530" i="12"/>
  <c r="N1530" i="12"/>
  <c r="M1530" i="12"/>
  <c r="L1530" i="12"/>
  <c r="K1530" i="12"/>
  <c r="H1530" i="12"/>
  <c r="G1530" i="12"/>
  <c r="F1530" i="12"/>
  <c r="I1526" i="12"/>
  <c r="I1525" i="12"/>
  <c r="I1523" i="12"/>
  <c r="O1492" i="12" s="1"/>
  <c r="H520" i="4" s="1"/>
  <c r="I1522" i="12"/>
  <c r="I1521" i="12"/>
  <c r="I1520" i="12"/>
  <c r="I1519" i="12"/>
  <c r="I1517" i="12"/>
  <c r="I1516" i="12"/>
  <c r="I1513" i="12"/>
  <c r="I1512" i="12"/>
  <c r="B1512" i="12"/>
  <c r="B1513" i="12" s="1"/>
  <c r="B1514" i="12" s="1"/>
  <c r="B1515" i="12" s="1"/>
  <c r="B1516" i="12" s="1"/>
  <c r="B1517" i="12" s="1"/>
  <c r="B1518" i="12" s="1"/>
  <c r="B1519" i="12" s="1"/>
  <c r="B1520" i="12" s="1"/>
  <c r="B1521" i="12" s="1"/>
  <c r="B1522" i="12" s="1"/>
  <c r="B1523" i="12" s="1"/>
  <c r="I1511" i="12"/>
  <c r="Q1502" i="12"/>
  <c r="O1502" i="12"/>
  <c r="N1502" i="12"/>
  <c r="M1502" i="12"/>
  <c r="L1502" i="12"/>
  <c r="K1502" i="12"/>
  <c r="Q1501" i="12"/>
  <c r="O1501" i="12"/>
  <c r="N1501" i="12"/>
  <c r="M1501" i="12"/>
  <c r="L1501" i="12"/>
  <c r="K1501" i="12"/>
  <c r="F1498" i="12"/>
  <c r="H1497" i="12"/>
  <c r="Q1496" i="12"/>
  <c r="O1496" i="12"/>
  <c r="F1496" i="12"/>
  <c r="H1496" i="12" s="1"/>
  <c r="Q1495" i="12"/>
  <c r="O1495" i="12"/>
  <c r="H521" i="4" s="1" a="1"/>
  <c r="H521" i="4" s="1"/>
  <c r="N1495" i="12"/>
  <c r="M1495" i="12"/>
  <c r="L1495" i="12"/>
  <c r="K1495" i="12"/>
  <c r="P1494" i="12"/>
  <c r="P1502" i="12" s="1"/>
  <c r="P1493" i="12"/>
  <c r="F1493" i="12"/>
  <c r="F1494" i="12" s="1"/>
  <c r="H1494" i="12" s="1"/>
  <c r="P520" i="4"/>
  <c r="S1487" i="12"/>
  <c r="R1487" i="12"/>
  <c r="Q1487" i="12"/>
  <c r="P1487" i="12"/>
  <c r="O1487" i="12"/>
  <c r="N1487" i="12"/>
  <c r="M1487" i="12"/>
  <c r="L1487" i="12"/>
  <c r="K1487" i="12"/>
  <c r="C1487" i="12"/>
  <c r="T1486" i="12"/>
  <c r="A520" i="4" s="1"/>
  <c r="S1486" i="12"/>
  <c r="R1486" i="12"/>
  <c r="Q1486" i="12"/>
  <c r="P1486" i="12"/>
  <c r="O1486" i="12"/>
  <c r="N1486" i="12"/>
  <c r="M1486" i="12"/>
  <c r="L1486" i="12"/>
  <c r="K1486" i="12"/>
  <c r="C1486" i="12"/>
  <c r="C1485" i="12"/>
  <c r="X1545" i="8"/>
  <c r="W1545" i="8"/>
  <c r="V1545" i="8"/>
  <c r="T1545" i="8"/>
  <c r="H1544" i="8"/>
  <c r="G1544" i="8"/>
  <c r="F1544" i="8"/>
  <c r="I1543" i="8"/>
  <c r="I1542" i="8"/>
  <c r="I1541" i="8"/>
  <c r="I1540" i="8"/>
  <c r="I1538" i="8"/>
  <c r="I1536" i="8"/>
  <c r="I1535" i="8"/>
  <c r="I1534" i="8"/>
  <c r="B1534" i="8"/>
  <c r="B1535" i="8" s="1"/>
  <c r="B1536" i="8" s="1"/>
  <c r="B1537" i="8" s="1"/>
  <c r="B1538" i="8" s="1"/>
  <c r="I1533" i="8"/>
  <c r="I1544" i="8" s="1"/>
  <c r="I1481" i="8"/>
  <c r="I1478" i="8"/>
  <c r="I1476" i="8"/>
  <c r="I1506" i="8"/>
  <c r="O503" i="3"/>
  <c r="H1503" i="8"/>
  <c r="G1503" i="8"/>
  <c r="F1503" i="8"/>
  <c r="I1502" i="8"/>
  <c r="H1499" i="8"/>
  <c r="G1499" i="8"/>
  <c r="F1499" i="8"/>
  <c r="I1498" i="8"/>
  <c r="I1497" i="8"/>
  <c r="I1496" i="8"/>
  <c r="I1495" i="8"/>
  <c r="I1494" i="8"/>
  <c r="I1493" i="8"/>
  <c r="I1492" i="8"/>
  <c r="B1492" i="8"/>
  <c r="B1493" i="8" s="1"/>
  <c r="B1494" i="8" s="1"/>
  <c r="B1495" i="8" s="1"/>
  <c r="B1496" i="8" s="1"/>
  <c r="B1497" i="8" s="1"/>
  <c r="B1498" i="8" s="1"/>
  <c r="I1491" i="8"/>
  <c r="I1499" i="8" s="1"/>
  <c r="S1488" i="8"/>
  <c r="R1488" i="8"/>
  <c r="Q1488" i="8"/>
  <c r="P1488" i="8"/>
  <c r="O1488" i="8"/>
  <c r="N1488" i="8"/>
  <c r="M1488" i="8"/>
  <c r="L1488" i="8"/>
  <c r="K1488" i="8"/>
  <c r="S1487" i="8"/>
  <c r="R1487" i="8"/>
  <c r="Q1487" i="8"/>
  <c r="P1487" i="8"/>
  <c r="O1487" i="8"/>
  <c r="N1487" i="8"/>
  <c r="M1487" i="8"/>
  <c r="L1487" i="8"/>
  <c r="K1487" i="8"/>
  <c r="H1487" i="8"/>
  <c r="G1487" i="8"/>
  <c r="F1487" i="8"/>
  <c r="I1486" i="8"/>
  <c r="I1485" i="8"/>
  <c r="I1484" i="8"/>
  <c r="I1483" i="8"/>
  <c r="O1455" i="8" s="1"/>
  <c r="H514" i="4" s="1"/>
  <c r="I1482" i="8"/>
  <c r="I1480" i="8"/>
  <c r="I1479" i="8"/>
  <c r="I1477" i="8"/>
  <c r="I1475" i="8"/>
  <c r="L1455" i="8" s="1"/>
  <c r="E514" i="4" s="1"/>
  <c r="B1475" i="8"/>
  <c r="I1474" i="8"/>
  <c r="Q1465" i="8"/>
  <c r="O1465" i="8"/>
  <c r="N1465" i="8"/>
  <c r="M1465" i="8"/>
  <c r="L1465" i="8"/>
  <c r="K1465" i="8"/>
  <c r="Q1464" i="8"/>
  <c r="O1464" i="8"/>
  <c r="N1464" i="8"/>
  <c r="M1464" i="8"/>
  <c r="L1464" i="8"/>
  <c r="K1464" i="8"/>
  <c r="F1461" i="8"/>
  <c r="H1460" i="8"/>
  <c r="Q1459" i="8"/>
  <c r="O1459" i="8"/>
  <c r="L1459" i="8"/>
  <c r="F1459" i="8"/>
  <c r="H1459" i="8" s="1"/>
  <c r="Q1458" i="8"/>
  <c r="O1458" i="8"/>
  <c r="H515" i="4" s="1" a="1"/>
  <c r="H515" i="4" s="1"/>
  <c r="N1458" i="8"/>
  <c r="M1458" i="8"/>
  <c r="L1458" i="8"/>
  <c r="E515" i="4" s="1" a="1"/>
  <c r="E515" i="4" s="1"/>
  <c r="K1458" i="8"/>
  <c r="P1457" i="8"/>
  <c r="P1465" i="8" s="1"/>
  <c r="P1456" i="8"/>
  <c r="F1456" i="8"/>
  <c r="F1457" i="8" s="1"/>
  <c r="H1457" i="8" s="1"/>
  <c r="P514" i="4"/>
  <c r="S1450" i="8"/>
  <c r="R1450" i="8"/>
  <c r="Q1450" i="8"/>
  <c r="P1450" i="8"/>
  <c r="O1450" i="8"/>
  <c r="N1450" i="8"/>
  <c r="M1450" i="8"/>
  <c r="L1450" i="8"/>
  <c r="K1450" i="8"/>
  <c r="C1450" i="8"/>
  <c r="T1449" i="8"/>
  <c r="A514" i="4" s="1"/>
  <c r="S1449" i="8"/>
  <c r="R1449" i="8"/>
  <c r="Q1449" i="8"/>
  <c r="P1449" i="8"/>
  <c r="O1449" i="8"/>
  <c r="N1449" i="8"/>
  <c r="M1449" i="8"/>
  <c r="L1449" i="8"/>
  <c r="K1449" i="8"/>
  <c r="C1449" i="8"/>
  <c r="C1448" i="8"/>
  <c r="X1619" i="5"/>
  <c r="W1619" i="5"/>
  <c r="V1619" i="5"/>
  <c r="T1619" i="5"/>
  <c r="H1618" i="5"/>
  <c r="G1618" i="5"/>
  <c r="F1618" i="5"/>
  <c r="I1617" i="5"/>
  <c r="I1616" i="5"/>
  <c r="I1615" i="5"/>
  <c r="I1614" i="5"/>
  <c r="I1613" i="5"/>
  <c r="I1612" i="5"/>
  <c r="I1611" i="5"/>
  <c r="I1610" i="5"/>
  <c r="I1609" i="5"/>
  <c r="I1608" i="5"/>
  <c r="I1607" i="5"/>
  <c r="I1606" i="5"/>
  <c r="I1605" i="5"/>
  <c r="I1604" i="5"/>
  <c r="I1602" i="5"/>
  <c r="I1601" i="5"/>
  <c r="B1601" i="5"/>
  <c r="B1602" i="5" s="1"/>
  <c r="B1603" i="5" s="1"/>
  <c r="B1604" i="5" s="1"/>
  <c r="B1605" i="5" s="1"/>
  <c r="B1606" i="5" s="1"/>
  <c r="B1607" i="5" s="1"/>
  <c r="B1608" i="5" s="1"/>
  <c r="B1609" i="5" s="1"/>
  <c r="B1610" i="5" s="1"/>
  <c r="B1611" i="5" s="1"/>
  <c r="B1612" i="5" s="1"/>
  <c r="B1613" i="5" s="1"/>
  <c r="B1614" i="5" s="1"/>
  <c r="B1615" i="5" s="1"/>
  <c r="B1616" i="5" s="1"/>
  <c r="B1617" i="5" s="1"/>
  <c r="I1600" i="5"/>
  <c r="H1584" i="5"/>
  <c r="G1584" i="5"/>
  <c r="F1584" i="5"/>
  <c r="R1545" i="5" s="1"/>
  <c r="I1583" i="5"/>
  <c r="B1589" i="5"/>
  <c r="B1590" i="5" s="1"/>
  <c r="B1591" i="5" s="1"/>
  <c r="B1592" i="5" s="1"/>
  <c r="I1603" i="5"/>
  <c r="I1584" i="5" s="1"/>
  <c r="R1537" i="5" s="1"/>
  <c r="O494" i="3"/>
  <c r="M494" i="3"/>
  <c r="I1564" i="5"/>
  <c r="H1580" i="5"/>
  <c r="G1580" i="5"/>
  <c r="F1580" i="5"/>
  <c r="I1579" i="5"/>
  <c r="I1578" i="5"/>
  <c r="I1577" i="5"/>
  <c r="I1576" i="5"/>
  <c r="I1575" i="5"/>
  <c r="I1574" i="5"/>
  <c r="I1573" i="5"/>
  <c r="B1573" i="5"/>
  <c r="B1574" i="5" s="1"/>
  <c r="B1575" i="5" s="1"/>
  <c r="B1576" i="5" s="1"/>
  <c r="B1577" i="5" s="1"/>
  <c r="B1578" i="5" s="1"/>
  <c r="B1579" i="5" s="1"/>
  <c r="I1572" i="5"/>
  <c r="I1580" i="5" s="1"/>
  <c r="S1569" i="5"/>
  <c r="R1569" i="5"/>
  <c r="Q1569" i="5"/>
  <c r="P1569" i="5"/>
  <c r="O1569" i="5"/>
  <c r="N1569" i="5"/>
  <c r="M1569" i="5"/>
  <c r="L1569" i="5"/>
  <c r="K1569" i="5"/>
  <c r="S1568" i="5"/>
  <c r="R1568" i="5"/>
  <c r="Q1568" i="5"/>
  <c r="P1568" i="5"/>
  <c r="O1568" i="5"/>
  <c r="N1568" i="5"/>
  <c r="M1568" i="5"/>
  <c r="L1568" i="5"/>
  <c r="K1568" i="5"/>
  <c r="H1568" i="5"/>
  <c r="G1568" i="5"/>
  <c r="F1568" i="5"/>
  <c r="I1567" i="5"/>
  <c r="I1566" i="5"/>
  <c r="I1565" i="5"/>
  <c r="O1537" i="5" s="1"/>
  <c r="H505" i="4" s="1"/>
  <c r="I1563" i="5"/>
  <c r="I1562" i="5"/>
  <c r="I1561" i="5"/>
  <c r="I1560" i="5"/>
  <c r="M1537" i="5" s="1"/>
  <c r="F505" i="4" s="1"/>
  <c r="I1559" i="5"/>
  <c r="I1558" i="5"/>
  <c r="I1557" i="5"/>
  <c r="B1557" i="5"/>
  <c r="B1558" i="5" s="1"/>
  <c r="B1559" i="5" s="1"/>
  <c r="B1560" i="5" s="1"/>
  <c r="B1561" i="5" s="1"/>
  <c r="B1562" i="5" s="1"/>
  <c r="B1563" i="5" s="1"/>
  <c r="I1556" i="5"/>
  <c r="Q1547" i="5"/>
  <c r="O1547" i="5"/>
  <c r="N1547" i="5"/>
  <c r="M1547" i="5"/>
  <c r="L1547" i="5"/>
  <c r="K1547" i="5"/>
  <c r="Q1546" i="5"/>
  <c r="O1546" i="5"/>
  <c r="N1546" i="5"/>
  <c r="M1546" i="5"/>
  <c r="L1546" i="5"/>
  <c r="K1546" i="5"/>
  <c r="F1543" i="5"/>
  <c r="H1542" i="5"/>
  <c r="Q1541" i="5"/>
  <c r="O1541" i="5"/>
  <c r="M1541" i="5"/>
  <c r="F1541" i="5"/>
  <c r="H1541" i="5" s="1"/>
  <c r="Q1540" i="5"/>
  <c r="O1540" i="5"/>
  <c r="H506" i="4" s="1" a="1"/>
  <c r="H506" i="4" s="1"/>
  <c r="N1540" i="5"/>
  <c r="M1540" i="5"/>
  <c r="F506" i="4" s="1" a="1"/>
  <c r="F506" i="4" s="1"/>
  <c r="L1540" i="5"/>
  <c r="K1540" i="5"/>
  <c r="P1539" i="5"/>
  <c r="P1547" i="5" s="1"/>
  <c r="P1538" i="5"/>
  <c r="F1538" i="5"/>
  <c r="F1539" i="5" s="1"/>
  <c r="H1539" i="5" s="1"/>
  <c r="P505" i="4"/>
  <c r="S1532" i="5"/>
  <c r="R1532" i="5"/>
  <c r="Q1532" i="5"/>
  <c r="P1532" i="5"/>
  <c r="O1532" i="5"/>
  <c r="N1532" i="5"/>
  <c r="M1532" i="5"/>
  <c r="L1532" i="5"/>
  <c r="K1532" i="5"/>
  <c r="C1532" i="5"/>
  <c r="T1531" i="5"/>
  <c r="A505" i="4" s="1"/>
  <c r="S1531" i="5"/>
  <c r="R1531" i="5"/>
  <c r="Q1531" i="5"/>
  <c r="P1531" i="5"/>
  <c r="O1531" i="5"/>
  <c r="N1531" i="5"/>
  <c r="M1531" i="5"/>
  <c r="L1531" i="5"/>
  <c r="K1531" i="5"/>
  <c r="C1531" i="5"/>
  <c r="C1530" i="5"/>
  <c r="Q1050" i="17"/>
  <c r="H1081" i="17"/>
  <c r="F1081" i="17"/>
  <c r="V1080" i="17"/>
  <c r="F1477" i="5"/>
  <c r="Q1440" i="5" s="1"/>
  <c r="G1477" i="5"/>
  <c r="V1477" i="5"/>
  <c r="H1618" i="9"/>
  <c r="G1617" i="9"/>
  <c r="I1617" i="9" s="1"/>
  <c r="G1616" i="9"/>
  <c r="I1616" i="9" s="1"/>
  <c r="G1615" i="9"/>
  <c r="I1615" i="9" s="1"/>
  <c r="G1614" i="9"/>
  <c r="I1614" i="9" s="1"/>
  <c r="G1613" i="9"/>
  <c r="I1613" i="9" s="1"/>
  <c r="G1612" i="9"/>
  <c r="I1612" i="9" s="1"/>
  <c r="G1611" i="9"/>
  <c r="F1611" i="9"/>
  <c r="I1611" i="9" s="1"/>
  <c r="B1611" i="9"/>
  <c r="B1612" i="9" s="1"/>
  <c r="B1613" i="9" s="1"/>
  <c r="B1614" i="9" s="1"/>
  <c r="B1615" i="9" s="1"/>
  <c r="B1616" i="9" s="1"/>
  <c r="B1617" i="9" s="1"/>
  <c r="G1610" i="9"/>
  <c r="G1618" i="9" s="1"/>
  <c r="F1610" i="9"/>
  <c r="G1606" i="9"/>
  <c r="I1606" i="9" s="1"/>
  <c r="G1605" i="9"/>
  <c r="I1605" i="9" s="1"/>
  <c r="G1604" i="9"/>
  <c r="I1604" i="9" s="1"/>
  <c r="G1603" i="9"/>
  <c r="F1603" i="9"/>
  <c r="I1603" i="9" s="1"/>
  <c r="G1602" i="9"/>
  <c r="I1602" i="9" s="1"/>
  <c r="G1601" i="9"/>
  <c r="I1601" i="9" s="1"/>
  <c r="G1600" i="9"/>
  <c r="I1600" i="9" s="1"/>
  <c r="G1599" i="9"/>
  <c r="I1599" i="9" s="1"/>
  <c r="I1598" i="9"/>
  <c r="H1597" i="9"/>
  <c r="H1607" i="9" s="1"/>
  <c r="G1597" i="9"/>
  <c r="I1597" i="9" s="1"/>
  <c r="I1596" i="9"/>
  <c r="G1595" i="9"/>
  <c r="F1595" i="9"/>
  <c r="I1594" i="9"/>
  <c r="G1593" i="9"/>
  <c r="I1593" i="9" s="1"/>
  <c r="G1592" i="9"/>
  <c r="I1592" i="9" s="1"/>
  <c r="B1592" i="9"/>
  <c r="B1593" i="9" s="1"/>
  <c r="B1594" i="9" s="1"/>
  <c r="B1595" i="9" s="1"/>
  <c r="B1596" i="9" s="1"/>
  <c r="B1597" i="9" s="1"/>
  <c r="B1598" i="9" s="1"/>
  <c r="B1599" i="9" s="1"/>
  <c r="B1600" i="9" s="1"/>
  <c r="B1601" i="9" s="1"/>
  <c r="B1602" i="9" s="1"/>
  <c r="B1603" i="9" s="1"/>
  <c r="B1604" i="9" s="1"/>
  <c r="B1605" i="9" s="1"/>
  <c r="B1606" i="9" s="1"/>
  <c r="G1591" i="9"/>
  <c r="H1645" i="9"/>
  <c r="G1645" i="9"/>
  <c r="F1645" i="9"/>
  <c r="I1644" i="9"/>
  <c r="B1644" i="9"/>
  <c r="I1643" i="9"/>
  <c r="I1645" i="9" s="1"/>
  <c r="H1640" i="9"/>
  <c r="G1640" i="9"/>
  <c r="F1640" i="9"/>
  <c r="I1639" i="9"/>
  <c r="I1638" i="9"/>
  <c r="I1637" i="9"/>
  <c r="I1636" i="9"/>
  <c r="I1634" i="9"/>
  <c r="I1633" i="9"/>
  <c r="I1632" i="9"/>
  <c r="I1631" i="9"/>
  <c r="I1630" i="9"/>
  <c r="I1629" i="9"/>
  <c r="I1626" i="9"/>
  <c r="I1625" i="9"/>
  <c r="I1624" i="9"/>
  <c r="I1623" i="9"/>
  <c r="I1622" i="9"/>
  <c r="B1622" i="9"/>
  <c r="B1623" i="9" s="1"/>
  <c r="B1624" i="9" s="1"/>
  <c r="B1625" i="9" s="1"/>
  <c r="B1626" i="9" s="1"/>
  <c r="B1627" i="9" s="1"/>
  <c r="I1621" i="9"/>
  <c r="H1588" i="9"/>
  <c r="G1588" i="9"/>
  <c r="F1588" i="9"/>
  <c r="S1533" i="9" s="1"/>
  <c r="I1587" i="9"/>
  <c r="I1588" i="9" s="1"/>
  <c r="S1525" i="9" s="1"/>
  <c r="I1583" i="9"/>
  <c r="I1635" i="9"/>
  <c r="I1628" i="9"/>
  <c r="I1550" i="9"/>
  <c r="H1579" i="9"/>
  <c r="G1579" i="9"/>
  <c r="F1579" i="9"/>
  <c r="I1582" i="9"/>
  <c r="I1584" i="9" s="1"/>
  <c r="I1577" i="9"/>
  <c r="H1574" i="9"/>
  <c r="G1574" i="9"/>
  <c r="F1574" i="9"/>
  <c r="I1573" i="9"/>
  <c r="I1572" i="9"/>
  <c r="I1571" i="9"/>
  <c r="I1570" i="9"/>
  <c r="I1569" i="9"/>
  <c r="I1568" i="9"/>
  <c r="I1567" i="9"/>
  <c r="B1567" i="9"/>
  <c r="B1568" i="9" s="1"/>
  <c r="B1569" i="9" s="1"/>
  <c r="B1570" i="9" s="1"/>
  <c r="B1571" i="9" s="1"/>
  <c r="B1572" i="9" s="1"/>
  <c r="B1573" i="9" s="1"/>
  <c r="I1566" i="9"/>
  <c r="I1574" i="9" s="1"/>
  <c r="H1563" i="9"/>
  <c r="G1563" i="9"/>
  <c r="F1563" i="9"/>
  <c r="I1562" i="9"/>
  <c r="I1561" i="9"/>
  <c r="B1561" i="9"/>
  <c r="B1562" i="9" s="1"/>
  <c r="I1560" i="9"/>
  <c r="S1557" i="9"/>
  <c r="R1557" i="9"/>
  <c r="Q1557" i="9"/>
  <c r="P1557" i="9"/>
  <c r="O1557" i="9"/>
  <c r="N1557" i="9"/>
  <c r="M1557" i="9"/>
  <c r="L1557" i="9"/>
  <c r="K1557" i="9"/>
  <c r="S1556" i="9"/>
  <c r="R1556" i="9"/>
  <c r="Q1556" i="9"/>
  <c r="P1556" i="9"/>
  <c r="O1556" i="9"/>
  <c r="N1556" i="9"/>
  <c r="M1556" i="9"/>
  <c r="L1556" i="9"/>
  <c r="K1556" i="9"/>
  <c r="H1556" i="9"/>
  <c r="G1556" i="9"/>
  <c r="F1556" i="9"/>
  <c r="I1555" i="9"/>
  <c r="I1554" i="9"/>
  <c r="O1525" i="9" s="1"/>
  <c r="H517" i="4" s="1"/>
  <c r="I1553" i="9"/>
  <c r="I1552" i="9"/>
  <c r="I1551" i="9"/>
  <c r="I1549" i="9"/>
  <c r="I1548" i="9"/>
  <c r="I1547" i="9"/>
  <c r="I1546" i="9"/>
  <c r="I1545" i="9"/>
  <c r="B1545" i="9"/>
  <c r="B1546" i="9" s="1"/>
  <c r="B1547" i="9" s="1"/>
  <c r="B1548" i="9" s="1"/>
  <c r="B1549" i="9" s="1"/>
  <c r="B1552" i="9" s="1"/>
  <c r="B1553" i="9" s="1"/>
  <c r="B1554" i="9" s="1"/>
  <c r="B1555" i="9" s="1"/>
  <c r="I1544" i="9"/>
  <c r="I1556" i="9" s="1"/>
  <c r="Q1535" i="9"/>
  <c r="O1535" i="9"/>
  <c r="N1535" i="9"/>
  <c r="M1535" i="9"/>
  <c r="L1535" i="9"/>
  <c r="K1535" i="9"/>
  <c r="Q1534" i="9"/>
  <c r="O1534" i="9"/>
  <c r="N1534" i="9"/>
  <c r="M1534" i="9"/>
  <c r="L1534" i="9"/>
  <c r="K1534" i="9"/>
  <c r="O506" i="3"/>
  <c r="R1533" i="9"/>
  <c r="M506" i="3" s="1"/>
  <c r="F1531" i="9"/>
  <c r="H1530" i="9"/>
  <c r="O1529" i="9"/>
  <c r="F1529" i="9"/>
  <c r="H1529" i="9" s="1"/>
  <c r="Q1528" i="9"/>
  <c r="O1528" i="9"/>
  <c r="H518" i="4" s="1" a="1"/>
  <c r="H518" i="4" s="1"/>
  <c r="N1528" i="9"/>
  <c r="M1528" i="9"/>
  <c r="L1528" i="9"/>
  <c r="K1528" i="9"/>
  <c r="P1527" i="9"/>
  <c r="P1535" i="9" s="1"/>
  <c r="P1526" i="9"/>
  <c r="P517" i="4"/>
  <c r="F1524" i="9"/>
  <c r="S1520" i="9"/>
  <c r="R1520" i="9"/>
  <c r="Q1520" i="9"/>
  <c r="P1520" i="9"/>
  <c r="O1520" i="9"/>
  <c r="N1520" i="9"/>
  <c r="M1520" i="9"/>
  <c r="L1520" i="9"/>
  <c r="K1520" i="9"/>
  <c r="C1520" i="9"/>
  <c r="T1519" i="9"/>
  <c r="A517" i="4" s="1"/>
  <c r="S1519" i="9"/>
  <c r="R1519" i="9"/>
  <c r="Q1519" i="9"/>
  <c r="P1519" i="9"/>
  <c r="O1519" i="9"/>
  <c r="N1519" i="9"/>
  <c r="M1519" i="9"/>
  <c r="L1519" i="9"/>
  <c r="K1519" i="9"/>
  <c r="C1519" i="9"/>
  <c r="C1518" i="9"/>
  <c r="S1470" i="9"/>
  <c r="R1470" i="9"/>
  <c r="S1462" i="9"/>
  <c r="R1462" i="9"/>
  <c r="G1405" i="8"/>
  <c r="G1107" i="17"/>
  <c r="G1100" i="17"/>
  <c r="G1386" i="5"/>
  <c r="F680" i="20"/>
  <c r="F691" i="20"/>
  <c r="F1065" i="17"/>
  <c r="F1412" i="12"/>
  <c r="F308" i="23"/>
  <c r="G1433" i="8"/>
  <c r="F1367" i="8"/>
  <c r="F1047" i="17"/>
  <c r="F675" i="20"/>
  <c r="G1178" i="14"/>
  <c r="X1202" i="14"/>
  <c r="W1202" i="14"/>
  <c r="V1202" i="14"/>
  <c r="T1202" i="14"/>
  <c r="S1200" i="14"/>
  <c r="R1200" i="14"/>
  <c r="Q1200" i="14"/>
  <c r="P1200" i="14"/>
  <c r="O1200" i="14"/>
  <c r="N1200" i="14"/>
  <c r="M1200" i="14"/>
  <c r="L1200" i="14"/>
  <c r="K1200" i="14"/>
  <c r="S1199" i="14"/>
  <c r="R1199" i="14"/>
  <c r="Q1199" i="14"/>
  <c r="P1199" i="14"/>
  <c r="O1199" i="14"/>
  <c r="N1199" i="14"/>
  <c r="M1199" i="14"/>
  <c r="L1199" i="14"/>
  <c r="K1199" i="14"/>
  <c r="H1199" i="14"/>
  <c r="G1199" i="14"/>
  <c r="F1199" i="14"/>
  <c r="I1198" i="14"/>
  <c r="I1199" i="14" s="1"/>
  <c r="Q1190" i="14"/>
  <c r="O1190" i="14"/>
  <c r="N1190" i="14"/>
  <c r="M1190" i="14"/>
  <c r="L1190" i="14"/>
  <c r="K1190" i="14"/>
  <c r="Q1189" i="14"/>
  <c r="O1189" i="14"/>
  <c r="N1189" i="14"/>
  <c r="M1189" i="14"/>
  <c r="L1189" i="14"/>
  <c r="K1189" i="14"/>
  <c r="F1186" i="14"/>
  <c r="H1185" i="14"/>
  <c r="Q1184" i="14"/>
  <c r="O1184" i="14"/>
  <c r="N1184" i="14"/>
  <c r="M1184" i="14"/>
  <c r="L1184" i="14"/>
  <c r="K1184" i="14"/>
  <c r="F1184" i="14"/>
  <c r="H1184" i="14" s="1"/>
  <c r="Q1183" i="14"/>
  <c r="O1183" i="14"/>
  <c r="N1183" i="14"/>
  <c r="M1183" i="14"/>
  <c r="L1183" i="14"/>
  <c r="K1183" i="14"/>
  <c r="P1182" i="14"/>
  <c r="P1190" i="14" s="1"/>
  <c r="P1181" i="14"/>
  <c r="F1181" i="14"/>
  <c r="F1182" i="14" s="1"/>
  <c r="H1182" i="14" s="1"/>
  <c r="P1180" i="14"/>
  <c r="P1184" i="14" s="1"/>
  <c r="F1179" i="14"/>
  <c r="F1178" i="14"/>
  <c r="F1180" i="14" s="1"/>
  <c r="H1180" i="14" s="1"/>
  <c r="C1178" i="14"/>
  <c r="S1175" i="14"/>
  <c r="R1175" i="14"/>
  <c r="Q1175" i="14"/>
  <c r="P1175" i="14"/>
  <c r="O1175" i="14"/>
  <c r="N1175" i="14"/>
  <c r="M1175" i="14"/>
  <c r="L1175" i="14"/>
  <c r="K1175" i="14"/>
  <c r="C1175" i="14"/>
  <c r="T1174" i="14"/>
  <c r="S1174" i="14"/>
  <c r="R1174" i="14"/>
  <c r="Q1174" i="14"/>
  <c r="P1174" i="14"/>
  <c r="O1174" i="14"/>
  <c r="N1174" i="14"/>
  <c r="M1174" i="14"/>
  <c r="L1174" i="14"/>
  <c r="K1174" i="14"/>
  <c r="C1174" i="14"/>
  <c r="C1173" i="14"/>
  <c r="G1066" i="17"/>
  <c r="G1068" i="17"/>
  <c r="G1069" i="17"/>
  <c r="G1464" i="5"/>
  <c r="G330" i="23"/>
  <c r="G1470" i="5"/>
  <c r="G334" i="23"/>
  <c r="G1472" i="5"/>
  <c r="I1440" i="8"/>
  <c r="I1439" i="8"/>
  <c r="I1438" i="8"/>
  <c r="I1437" i="8"/>
  <c r="I1436" i="8"/>
  <c r="V1433" i="8"/>
  <c r="X369" i="23"/>
  <c r="W369" i="23"/>
  <c r="T369" i="23"/>
  <c r="O311" i="23"/>
  <c r="G333" i="23"/>
  <c r="V332" i="23"/>
  <c r="X1131" i="17"/>
  <c r="T1131" i="17"/>
  <c r="O1050" i="17"/>
  <c r="V1075" i="17"/>
  <c r="G1074" i="17"/>
  <c r="I1128" i="17"/>
  <c r="V1073" i="17"/>
  <c r="X746" i="20"/>
  <c r="W746" i="20"/>
  <c r="T746" i="20"/>
  <c r="O678" i="20"/>
  <c r="G742" i="20"/>
  <c r="V1468" i="5"/>
  <c r="O1440" i="5"/>
  <c r="G1518" i="5"/>
  <c r="V1518" i="5"/>
  <c r="F1516" i="5"/>
  <c r="F1519" i="5" s="1"/>
  <c r="V1472" i="5"/>
  <c r="V1471" i="5"/>
  <c r="G1471" i="5"/>
  <c r="V1469" i="5"/>
  <c r="G1469" i="5"/>
  <c r="I1472" i="5"/>
  <c r="I1471" i="5"/>
  <c r="I1470" i="5"/>
  <c r="N1415" i="12"/>
  <c r="F1442" i="12"/>
  <c r="G1437" i="12"/>
  <c r="G1473" i="12"/>
  <c r="G1436" i="12"/>
  <c r="G1435" i="12"/>
  <c r="G364" i="23"/>
  <c r="I364" i="23" s="1"/>
  <c r="F340" i="23"/>
  <c r="G340" i="23"/>
  <c r="V340" i="23"/>
  <c r="F331" i="23"/>
  <c r="N311" i="23" s="1"/>
  <c r="G331" i="23"/>
  <c r="V331" i="23"/>
  <c r="V329" i="23"/>
  <c r="G329" i="23"/>
  <c r="K1370" i="8"/>
  <c r="N1370" i="8"/>
  <c r="V1430" i="8"/>
  <c r="G1430" i="8"/>
  <c r="I1430" i="8" s="1"/>
  <c r="G1388" i="8"/>
  <c r="I1387" i="8"/>
  <c r="G1386" i="8"/>
  <c r="G1427" i="8"/>
  <c r="N1050" i="17"/>
  <c r="V1093" i="17"/>
  <c r="G1072" i="17"/>
  <c r="V1072" i="17"/>
  <c r="V1092" i="17"/>
  <c r="G1071" i="17"/>
  <c r="V1071" i="17"/>
  <c r="H705" i="20"/>
  <c r="G705" i="20"/>
  <c r="F705" i="20"/>
  <c r="V694" i="20"/>
  <c r="G739" i="20"/>
  <c r="I1468" i="5"/>
  <c r="V1466" i="5"/>
  <c r="V1467" i="5"/>
  <c r="F1467" i="5"/>
  <c r="N1440" i="5" s="1"/>
  <c r="V1465" i="5"/>
  <c r="V1464" i="5"/>
  <c r="G1459" i="5"/>
  <c r="G694" i="20"/>
  <c r="G690" i="20"/>
  <c r="G1090" i="17"/>
  <c r="G1060" i="17"/>
  <c r="G1419" i="8"/>
  <c r="G1384" i="8"/>
  <c r="G1383" i="8"/>
  <c r="G324" i="23"/>
  <c r="G1086" i="17"/>
  <c r="V1070" i="17"/>
  <c r="G1511" i="5"/>
  <c r="G1519" i="5" s="1"/>
  <c r="G1461" i="5"/>
  <c r="G1442" i="12"/>
  <c r="V1442" i="12"/>
  <c r="F1434" i="12"/>
  <c r="M1415" i="12" s="1"/>
  <c r="G1434" i="12"/>
  <c r="V1434" i="12"/>
  <c r="H1447" i="12"/>
  <c r="B1427" i="12"/>
  <c r="B1428" i="12" s="1"/>
  <c r="G1433" i="12"/>
  <c r="M1370" i="8"/>
  <c r="V1385" i="8"/>
  <c r="V1065" i="17"/>
  <c r="M1050" i="17"/>
  <c r="G1091" i="17"/>
  <c r="V1091" i="17"/>
  <c r="G1070" i="17"/>
  <c r="I1123" i="17"/>
  <c r="V1069" i="17"/>
  <c r="V1067" i="17"/>
  <c r="V1066" i="17"/>
  <c r="M678" i="20"/>
  <c r="G695" i="20"/>
  <c r="I694" i="20"/>
  <c r="G692" i="20"/>
  <c r="V1459" i="5"/>
  <c r="M1440" i="5"/>
  <c r="V1463" i="5"/>
  <c r="V1462" i="5"/>
  <c r="G1463" i="5"/>
  <c r="I1463" i="5" s="1"/>
  <c r="I1462" i="5"/>
  <c r="V1461" i="5"/>
  <c r="J473" i="4"/>
  <c r="G1413" i="8"/>
  <c r="G1085" i="17"/>
  <c r="G1456" i="5"/>
  <c r="G1458" i="5"/>
  <c r="G344" i="23"/>
  <c r="V691" i="20"/>
  <c r="V746" i="20" s="1"/>
  <c r="V1432" i="12"/>
  <c r="G1432" i="12"/>
  <c r="G1431" i="12"/>
  <c r="F1446" i="12"/>
  <c r="G1447" i="12"/>
  <c r="G1430" i="12"/>
  <c r="V326" i="23"/>
  <c r="F326" i="23"/>
  <c r="L311" i="23" s="1"/>
  <c r="G326" i="23"/>
  <c r="V344" i="23"/>
  <c r="H345" i="23"/>
  <c r="G345" i="23"/>
  <c r="F345" i="23"/>
  <c r="V325" i="23"/>
  <c r="V324" i="23"/>
  <c r="V339" i="23"/>
  <c r="L1370" i="8"/>
  <c r="V1383" i="8"/>
  <c r="I488" i="3"/>
  <c r="L1050" i="17"/>
  <c r="G1065" i="17"/>
  <c r="G1064" i="17"/>
  <c r="V1064" i="17"/>
  <c r="W1090" i="17"/>
  <c r="W1131" i="17" s="1"/>
  <c r="G1063" i="17"/>
  <c r="V1063" i="17"/>
  <c r="L678" i="20"/>
  <c r="G689" i="20"/>
  <c r="V1511" i="5"/>
  <c r="F1459" i="5"/>
  <c r="L1440" i="5" s="1"/>
  <c r="G1457" i="5"/>
  <c r="V1457" i="5"/>
  <c r="V1458" i="5"/>
  <c r="V1456" i="5"/>
  <c r="H136" i="24"/>
  <c r="F136" i="24"/>
  <c r="G354" i="23"/>
  <c r="G349" i="23"/>
  <c r="G348" i="23"/>
  <c r="G350" i="23" s="1"/>
  <c r="V252" i="23"/>
  <c r="H1512" i="9"/>
  <c r="G1511" i="9"/>
  <c r="I1511" i="9" s="1"/>
  <c r="G1510" i="9"/>
  <c r="I1510" i="9" s="1"/>
  <c r="G1509" i="9"/>
  <c r="I1509" i="9" s="1"/>
  <c r="G1508" i="9"/>
  <c r="I1508" i="9" s="1"/>
  <c r="G1507" i="9"/>
  <c r="I1507" i="9" s="1"/>
  <c r="G1506" i="9"/>
  <c r="I1506" i="9" s="1"/>
  <c r="G1505" i="9"/>
  <c r="F1505" i="9"/>
  <c r="I1505" i="9" s="1"/>
  <c r="B1505" i="9"/>
  <c r="B1506" i="9" s="1"/>
  <c r="B1507" i="9" s="1"/>
  <c r="B1508" i="9" s="1"/>
  <c r="B1509" i="9" s="1"/>
  <c r="B1510" i="9" s="1"/>
  <c r="B1511" i="9" s="1"/>
  <c r="G1504" i="9"/>
  <c r="G1512" i="9" s="1"/>
  <c r="F1504" i="9"/>
  <c r="G1500" i="9"/>
  <c r="I1500" i="9" s="1"/>
  <c r="G1499" i="9"/>
  <c r="I1499" i="9" s="1"/>
  <c r="G1498" i="9"/>
  <c r="I1498" i="9" s="1"/>
  <c r="G1497" i="9"/>
  <c r="F1497" i="9"/>
  <c r="I1497" i="9" s="1"/>
  <c r="G1496" i="9"/>
  <c r="I1496" i="9" s="1"/>
  <c r="G1495" i="9"/>
  <c r="I1495" i="9" s="1"/>
  <c r="G1494" i="9"/>
  <c r="I1494" i="9" s="1"/>
  <c r="G1493" i="9"/>
  <c r="I1493" i="9" s="1"/>
  <c r="I1492" i="9"/>
  <c r="H1491" i="9"/>
  <c r="H1501" i="9" s="1"/>
  <c r="G1491" i="9"/>
  <c r="I1491" i="9" s="1"/>
  <c r="I1490" i="9"/>
  <c r="G1489" i="9"/>
  <c r="F1489" i="9"/>
  <c r="I1488" i="9"/>
  <c r="G1487" i="9"/>
  <c r="I1487" i="9" s="1"/>
  <c r="G1486" i="9"/>
  <c r="I1486" i="9" s="1"/>
  <c r="B1486" i="9"/>
  <c r="B1487" i="9" s="1"/>
  <c r="B1488" i="9" s="1"/>
  <c r="B1489" i="9" s="1"/>
  <c r="B1490" i="9" s="1"/>
  <c r="B1491" i="9" s="1"/>
  <c r="B1492" i="9" s="1"/>
  <c r="B1493" i="9" s="1"/>
  <c r="B1494" i="9" s="1"/>
  <c r="B1495" i="9" s="1"/>
  <c r="B1496" i="9" s="1"/>
  <c r="B1497" i="9" s="1"/>
  <c r="B1498" i="9" s="1"/>
  <c r="B1499" i="9" s="1"/>
  <c r="B1500" i="9" s="1"/>
  <c r="G1485" i="9"/>
  <c r="V1030" i="8"/>
  <c r="F1414" i="8"/>
  <c r="I1413" i="8"/>
  <c r="G1412" i="8"/>
  <c r="I1412" i="8" s="1"/>
  <c r="I1405" i="8"/>
  <c r="H1404" i="8"/>
  <c r="H1406" i="8" s="1"/>
  <c r="G1404" i="8"/>
  <c r="I1404" i="8" s="1"/>
  <c r="G1403" i="8"/>
  <c r="I1403" i="8" s="1"/>
  <c r="G1411" i="8"/>
  <c r="I1411" i="8" s="1"/>
  <c r="H1410" i="8"/>
  <c r="H1414" i="8" s="1"/>
  <c r="G1410" i="8"/>
  <c r="I1410" i="8" s="1"/>
  <c r="B1410" i="8"/>
  <c r="B1411" i="8" s="1"/>
  <c r="B1412" i="8" s="1"/>
  <c r="B1413" i="8" s="1"/>
  <c r="G1409" i="8"/>
  <c r="G1414" i="8" s="1"/>
  <c r="I1402" i="8"/>
  <c r="G1401" i="8"/>
  <c r="I1401" i="8" s="1"/>
  <c r="G1400" i="8"/>
  <c r="I1400" i="8" s="1"/>
  <c r="G1399" i="8"/>
  <c r="I1399" i="8" s="1"/>
  <c r="G1398" i="8"/>
  <c r="I1398" i="8" s="1"/>
  <c r="G1397" i="8"/>
  <c r="I1397" i="8" s="1"/>
  <c r="G1396" i="8"/>
  <c r="I1396" i="8" s="1"/>
  <c r="I1395" i="8"/>
  <c r="B1395" i="8"/>
  <c r="B1396" i="8" s="1"/>
  <c r="B1397" i="8" s="1"/>
  <c r="B1398" i="8" s="1"/>
  <c r="B1399" i="8" s="1"/>
  <c r="B1400" i="8" s="1"/>
  <c r="B1401" i="8" s="1"/>
  <c r="B1402" i="8" s="1"/>
  <c r="B1403" i="8" s="1"/>
  <c r="B1404" i="8" s="1"/>
  <c r="B1405" i="8" s="1"/>
  <c r="G1394" i="8"/>
  <c r="G1406" i="8" s="1"/>
  <c r="G1312" i="8"/>
  <c r="B1301" i="8"/>
  <c r="V1301" i="8"/>
  <c r="V1062" i="17"/>
  <c r="G1306" i="8"/>
  <c r="I1100" i="17"/>
  <c r="H1108" i="17"/>
  <c r="F1108" i="17"/>
  <c r="B1098" i="17"/>
  <c r="B1099" i="17" s="1"/>
  <c r="B1100" i="17" s="1"/>
  <c r="I1086" i="17"/>
  <c r="I1107" i="17"/>
  <c r="I1085" i="17"/>
  <c r="G1099" i="17"/>
  <c r="I1099" i="17" s="1"/>
  <c r="H1098" i="17"/>
  <c r="H1101" i="17" s="1"/>
  <c r="G1098" i="17"/>
  <c r="I1098" i="17" s="1"/>
  <c r="F973" i="17"/>
  <c r="G973" i="17"/>
  <c r="B978" i="17"/>
  <c r="V978" i="17"/>
  <c r="G1084" i="17"/>
  <c r="I1084" i="17" s="1"/>
  <c r="G1106" i="17"/>
  <c r="I1106" i="17" s="1"/>
  <c r="G1105" i="17"/>
  <c r="G1108" i="17" s="1"/>
  <c r="G1097" i="17"/>
  <c r="G1101" i="17" s="1"/>
  <c r="F1097" i="17"/>
  <c r="F1101" i="17" s="1"/>
  <c r="G988" i="17"/>
  <c r="G987" i="17"/>
  <c r="H724" i="20"/>
  <c r="G723" i="20"/>
  <c r="I723" i="20" s="1"/>
  <c r="G722" i="20"/>
  <c r="F722" i="20"/>
  <c r="I722" i="20" s="1"/>
  <c r="G721" i="20"/>
  <c r="I721" i="20" s="1"/>
  <c r="T658" i="20"/>
  <c r="H729" i="20"/>
  <c r="F729" i="20"/>
  <c r="G728" i="20"/>
  <c r="I728" i="20" s="1"/>
  <c r="B728" i="20"/>
  <c r="G727" i="20"/>
  <c r="G720" i="20"/>
  <c r="I720" i="20" s="1"/>
  <c r="G719" i="20"/>
  <c r="I719" i="20" s="1"/>
  <c r="G718" i="20"/>
  <c r="I718" i="20" s="1"/>
  <c r="G717" i="20"/>
  <c r="I717" i="20" s="1"/>
  <c r="G716" i="20"/>
  <c r="I716" i="20" s="1"/>
  <c r="G715" i="20"/>
  <c r="I715" i="20" s="1"/>
  <c r="G714" i="20"/>
  <c r="I714" i="20" s="1"/>
  <c r="G713" i="20"/>
  <c r="F713" i="20"/>
  <c r="I713" i="20" s="1"/>
  <c r="B713" i="20"/>
  <c r="B714" i="20" s="1"/>
  <c r="B715" i="20" s="1"/>
  <c r="B716" i="20" s="1"/>
  <c r="B717" i="20" s="1"/>
  <c r="B718" i="20" s="1"/>
  <c r="B719" i="20" s="1"/>
  <c r="B720" i="20" s="1"/>
  <c r="B721" i="20" s="1"/>
  <c r="B722" i="20" s="1"/>
  <c r="B723" i="20" s="1"/>
  <c r="G712" i="20"/>
  <c r="G724" i="20" s="1"/>
  <c r="F712" i="20"/>
  <c r="F724" i="20" s="1"/>
  <c r="V628" i="20"/>
  <c r="G1502" i="5"/>
  <c r="F1502" i="5"/>
  <c r="I1502" i="5" s="1"/>
  <c r="G1501" i="5"/>
  <c r="I1501" i="5" s="1"/>
  <c r="G1500" i="5"/>
  <c r="I1500" i="5" s="1"/>
  <c r="G1499" i="5"/>
  <c r="I1499" i="5" s="1"/>
  <c r="G1483" i="5"/>
  <c r="F1483" i="5"/>
  <c r="F1503" i="5" s="1"/>
  <c r="G1482" i="5"/>
  <c r="I1482" i="5" s="1"/>
  <c r="H1498" i="5"/>
  <c r="G1498" i="5"/>
  <c r="I1498" i="5" s="1"/>
  <c r="G1481" i="5"/>
  <c r="I1481" i="5" s="1"/>
  <c r="B1498" i="5"/>
  <c r="H1497" i="5"/>
  <c r="H1503" i="5" s="1"/>
  <c r="G1497" i="5"/>
  <c r="G1503" i="5" s="1"/>
  <c r="H1402" i="5"/>
  <c r="F1402" i="5"/>
  <c r="G1368" i="5"/>
  <c r="H1460" i="12"/>
  <c r="F1460" i="12"/>
  <c r="G1459" i="12"/>
  <c r="I1459" i="12" s="1"/>
  <c r="G1458" i="12"/>
  <c r="I1458" i="12" s="1"/>
  <c r="G1457" i="12"/>
  <c r="I1457" i="12" s="1"/>
  <c r="B1457" i="12"/>
  <c r="B1458" i="12" s="1"/>
  <c r="B1459" i="12" s="1"/>
  <c r="G1456" i="12"/>
  <c r="G1460" i="12" s="1"/>
  <c r="H1453" i="12"/>
  <c r="F1453" i="12"/>
  <c r="G1452" i="12"/>
  <c r="I1452" i="12" s="1"/>
  <c r="G1451" i="12"/>
  <c r="I1451" i="12" s="1"/>
  <c r="B1451" i="12"/>
  <c r="B1452" i="12" s="1"/>
  <c r="G1450" i="12"/>
  <c r="B1361" i="12"/>
  <c r="H1378" i="12"/>
  <c r="F1378" i="12"/>
  <c r="X1395" i="12"/>
  <c r="T1395" i="12"/>
  <c r="G1341" i="12"/>
  <c r="G614" i="20"/>
  <c r="G989" i="17"/>
  <c r="G1427" i="12"/>
  <c r="G1455" i="5"/>
  <c r="G323" i="23"/>
  <c r="K1415" i="12"/>
  <c r="V1427" i="12"/>
  <c r="I1426" i="12"/>
  <c r="V323" i="23"/>
  <c r="F322" i="23"/>
  <c r="K311" i="23" s="1"/>
  <c r="V322" i="23"/>
  <c r="G322" i="23"/>
  <c r="V321" i="23"/>
  <c r="V369" i="23" s="1"/>
  <c r="G321" i="23"/>
  <c r="G1381" i="8"/>
  <c r="K1050" i="17"/>
  <c r="V1061" i="17"/>
  <c r="G1061" i="17"/>
  <c r="V1060" i="17"/>
  <c r="V1131" i="17" s="1"/>
  <c r="K678" i="20"/>
  <c r="K1440" i="5"/>
  <c r="V1455" i="5"/>
  <c r="V1454" i="5"/>
  <c r="V1453" i="5"/>
  <c r="B495" i="4"/>
  <c r="B492" i="4"/>
  <c r="B489" i="4"/>
  <c r="B486" i="4"/>
  <c r="B483" i="4"/>
  <c r="B480" i="4"/>
  <c r="E485" i="3"/>
  <c r="F485" i="3"/>
  <c r="C485" i="3"/>
  <c r="D482" i="3"/>
  <c r="F482" i="3"/>
  <c r="G482" i="3"/>
  <c r="C482" i="3"/>
  <c r="D479" i="3"/>
  <c r="E479" i="3"/>
  <c r="F479" i="3"/>
  <c r="C479" i="3"/>
  <c r="K476" i="3"/>
  <c r="D476" i="3"/>
  <c r="E476" i="3"/>
  <c r="F476" i="3"/>
  <c r="G476" i="3"/>
  <c r="C476" i="3"/>
  <c r="D473" i="3"/>
  <c r="E473" i="3"/>
  <c r="F473" i="3"/>
  <c r="G473" i="3"/>
  <c r="C473" i="3"/>
  <c r="K470" i="3"/>
  <c r="D470" i="3"/>
  <c r="E470" i="3"/>
  <c r="F470" i="3"/>
  <c r="G470" i="3"/>
  <c r="C470" i="3"/>
  <c r="V1292" i="8"/>
  <c r="S1377" i="5"/>
  <c r="R1377" i="5"/>
  <c r="Q1377" i="5"/>
  <c r="P1377" i="5"/>
  <c r="O1377" i="5"/>
  <c r="N1377" i="5"/>
  <c r="M1377" i="5"/>
  <c r="L1377" i="5"/>
  <c r="S1376" i="5"/>
  <c r="R1376" i="5"/>
  <c r="Q1376" i="5"/>
  <c r="P1376" i="5"/>
  <c r="O1376" i="5"/>
  <c r="N1376" i="5"/>
  <c r="M1376" i="5"/>
  <c r="L1376" i="5"/>
  <c r="K1377" i="5"/>
  <c r="K1376" i="5"/>
  <c r="H1376" i="5"/>
  <c r="V1375" i="5"/>
  <c r="F1322" i="12"/>
  <c r="F117" i="24"/>
  <c r="F220" i="23"/>
  <c r="F1271" i="8"/>
  <c r="F938" i="17"/>
  <c r="F589" i="20"/>
  <c r="F1350" i="5"/>
  <c r="G641" i="20"/>
  <c r="G972" i="17"/>
  <c r="G971" i="17"/>
  <c r="G962" i="17"/>
  <c r="V1216" i="8"/>
  <c r="Q941" i="17"/>
  <c r="L592" i="20"/>
  <c r="G994" i="17"/>
  <c r="V973" i="17"/>
  <c r="V972" i="17"/>
  <c r="V971" i="17"/>
  <c r="K446" i="3"/>
  <c r="K1325" i="12"/>
  <c r="I935" i="17"/>
  <c r="V1272" i="12"/>
  <c r="G260" i="23"/>
  <c r="H179" i="24"/>
  <c r="G178" i="24"/>
  <c r="F178" i="24"/>
  <c r="B178" i="24"/>
  <c r="G177" i="24"/>
  <c r="G1216" i="8"/>
  <c r="B498" i="4"/>
  <c r="P678" i="20"/>
  <c r="H473" i="3" s="1"/>
  <c r="P1050" i="17"/>
  <c r="H476" i="3" s="1"/>
  <c r="P1470" i="9"/>
  <c r="P162" i="24"/>
  <c r="P311" i="23"/>
  <c r="H482" i="3" s="1"/>
  <c r="H368" i="23"/>
  <c r="G368" i="23"/>
  <c r="F368" i="23"/>
  <c r="I367" i="23"/>
  <c r="I366" i="23"/>
  <c r="I365" i="23"/>
  <c r="I363" i="23"/>
  <c r="I362" i="23"/>
  <c r="I361" i="23"/>
  <c r="I360" i="23"/>
  <c r="I359" i="23"/>
  <c r="B359" i="23"/>
  <c r="B360" i="23" s="1"/>
  <c r="B361" i="23" s="1"/>
  <c r="B362" i="23" s="1"/>
  <c r="B363" i="23" s="1"/>
  <c r="I358" i="23"/>
  <c r="I368" i="23" s="1"/>
  <c r="I327" i="23"/>
  <c r="I344" i="23"/>
  <c r="I324" i="23"/>
  <c r="H341" i="23"/>
  <c r="G341" i="23"/>
  <c r="F341" i="23"/>
  <c r="I340" i="23"/>
  <c r="B340" i="23"/>
  <c r="I339" i="23"/>
  <c r="I341" i="23" s="1"/>
  <c r="S336" i="23"/>
  <c r="R336" i="23"/>
  <c r="Q336" i="23"/>
  <c r="P336" i="23"/>
  <c r="O336" i="23"/>
  <c r="N336" i="23"/>
  <c r="M336" i="23"/>
  <c r="L336" i="23"/>
  <c r="K336" i="23"/>
  <c r="S335" i="23"/>
  <c r="R335" i="23"/>
  <c r="Q335" i="23"/>
  <c r="P335" i="23"/>
  <c r="O335" i="23"/>
  <c r="N335" i="23"/>
  <c r="M335" i="23"/>
  <c r="L335" i="23"/>
  <c r="K335" i="23"/>
  <c r="H335" i="23"/>
  <c r="G335" i="23"/>
  <c r="F335" i="23"/>
  <c r="P482" i="3" s="1"/>
  <c r="I334" i="23"/>
  <c r="I333" i="23"/>
  <c r="I332" i="23"/>
  <c r="O303" i="23" s="1"/>
  <c r="H492" i="4" s="1"/>
  <c r="I331" i="23"/>
  <c r="I330" i="23"/>
  <c r="I329" i="23"/>
  <c r="I328" i="23"/>
  <c r="N303" i="23" s="1"/>
  <c r="G492" i="4" s="1"/>
  <c r="I326" i="23"/>
  <c r="I325" i="23"/>
  <c r="I323" i="23"/>
  <c r="I322" i="23"/>
  <c r="B322" i="23"/>
  <c r="B323" i="23" s="1"/>
  <c r="B324" i="23" s="1"/>
  <c r="B325" i="23" s="1"/>
  <c r="B326" i="23" s="1"/>
  <c r="B327" i="23" s="1"/>
  <c r="B328" i="23" s="1"/>
  <c r="B329" i="23" s="1"/>
  <c r="B330" i="23" s="1"/>
  <c r="B331" i="23" s="1"/>
  <c r="B332" i="23" s="1"/>
  <c r="B333" i="23" s="1"/>
  <c r="B334" i="23" s="1"/>
  <c r="I321" i="23"/>
  <c r="I335" i="23" s="1"/>
  <c r="Q313" i="23"/>
  <c r="O313" i="23"/>
  <c r="N313" i="23"/>
  <c r="M313" i="23"/>
  <c r="L313" i="23"/>
  <c r="K313" i="23"/>
  <c r="Q312" i="23"/>
  <c r="O312" i="23"/>
  <c r="N312" i="23"/>
  <c r="M312" i="23"/>
  <c r="L312" i="23"/>
  <c r="K312" i="23"/>
  <c r="O482" i="3"/>
  <c r="R311" i="23"/>
  <c r="M482" i="3" s="1"/>
  <c r="F309" i="23"/>
  <c r="H308" i="23"/>
  <c r="Q307" i="23"/>
  <c r="O307" i="23"/>
  <c r="N307" i="23"/>
  <c r="M307" i="23"/>
  <c r="F307" i="23"/>
  <c r="H307" i="23" s="1"/>
  <c r="Q306" i="23"/>
  <c r="O306" i="23"/>
  <c r="H493" i="4" s="1" a="1"/>
  <c r="H493" i="4" s="1"/>
  <c r="N306" i="23"/>
  <c r="G493" i="4" s="1" a="1"/>
  <c r="G493" i="4" s="1"/>
  <c r="M306" i="23"/>
  <c r="L306" i="23"/>
  <c r="K306" i="23"/>
  <c r="P305" i="23"/>
  <c r="P313" i="23" s="1"/>
  <c r="P304" i="23"/>
  <c r="F304" i="23"/>
  <c r="F305" i="23" s="1"/>
  <c r="H305" i="23" s="1"/>
  <c r="P492" i="4"/>
  <c r="F302" i="23"/>
  <c r="S298" i="23"/>
  <c r="R298" i="23"/>
  <c r="Q298" i="23"/>
  <c r="P298" i="23"/>
  <c r="O298" i="23"/>
  <c r="N298" i="23"/>
  <c r="M298" i="23"/>
  <c r="L298" i="23"/>
  <c r="K298" i="23"/>
  <c r="C298" i="23"/>
  <c r="T297" i="23"/>
  <c r="A492" i="4" s="1"/>
  <c r="S297" i="23"/>
  <c r="R297" i="23"/>
  <c r="Q297" i="23"/>
  <c r="P297" i="23"/>
  <c r="O297" i="23"/>
  <c r="N297" i="23"/>
  <c r="M297" i="23"/>
  <c r="L297" i="23"/>
  <c r="K297" i="23"/>
  <c r="C297" i="23"/>
  <c r="C296" i="23"/>
  <c r="X180" i="24"/>
  <c r="W180" i="24"/>
  <c r="V180" i="24"/>
  <c r="T180" i="24"/>
  <c r="S174" i="24"/>
  <c r="R174" i="24"/>
  <c r="Q174" i="24"/>
  <c r="P174" i="24"/>
  <c r="O174" i="24"/>
  <c r="N174" i="24"/>
  <c r="M174" i="24"/>
  <c r="L174" i="24"/>
  <c r="K174" i="24"/>
  <c r="S173" i="24"/>
  <c r="R173" i="24"/>
  <c r="Q173" i="24"/>
  <c r="P173" i="24"/>
  <c r="O173" i="24"/>
  <c r="N173" i="24"/>
  <c r="M173" i="24"/>
  <c r="L173" i="24"/>
  <c r="K173" i="24"/>
  <c r="H173" i="24"/>
  <c r="G173" i="24"/>
  <c r="F173" i="24"/>
  <c r="I172" i="24"/>
  <c r="I173" i="24" s="1"/>
  <c r="G152" i="24" s="1"/>
  <c r="Q164" i="24"/>
  <c r="O164" i="24"/>
  <c r="N164" i="24"/>
  <c r="M164" i="24"/>
  <c r="L164" i="24"/>
  <c r="K164" i="24"/>
  <c r="Q163" i="24"/>
  <c r="O163" i="24"/>
  <c r="N163" i="24"/>
  <c r="M163" i="24"/>
  <c r="L163" i="24"/>
  <c r="K163" i="24"/>
  <c r="S162" i="24"/>
  <c r="R162" i="24"/>
  <c r="F160" i="24"/>
  <c r="H159" i="24"/>
  <c r="Q158" i="24"/>
  <c r="O158" i="24"/>
  <c r="N158" i="24"/>
  <c r="M158" i="24"/>
  <c r="L158" i="24"/>
  <c r="K158" i="24"/>
  <c r="F158" i="24"/>
  <c r="H158" i="24" s="1"/>
  <c r="Q157" i="24"/>
  <c r="O157" i="24"/>
  <c r="N157" i="24"/>
  <c r="M157" i="24"/>
  <c r="L157" i="24"/>
  <c r="K157" i="24"/>
  <c r="P156" i="24"/>
  <c r="P164" i="24" s="1"/>
  <c r="P155" i="24"/>
  <c r="F155" i="24"/>
  <c r="F156" i="24" s="1"/>
  <c r="H156" i="24" s="1"/>
  <c r="S154" i="24"/>
  <c r="R154" i="24"/>
  <c r="P154" i="24"/>
  <c r="F153" i="24"/>
  <c r="F152" i="24"/>
  <c r="F154" i="24" s="1"/>
  <c r="H154" i="24" s="1"/>
  <c r="S149" i="24"/>
  <c r="R149" i="24"/>
  <c r="Q149" i="24"/>
  <c r="P149" i="24"/>
  <c r="O149" i="24"/>
  <c r="N149" i="24"/>
  <c r="M149" i="24"/>
  <c r="L149" i="24"/>
  <c r="K149" i="24"/>
  <c r="C149" i="24"/>
  <c r="T148" i="24"/>
  <c r="S148" i="24"/>
  <c r="R148" i="24"/>
  <c r="Q148" i="24"/>
  <c r="P148" i="24"/>
  <c r="O148" i="24"/>
  <c r="N148" i="24"/>
  <c r="M148" i="24"/>
  <c r="L148" i="24"/>
  <c r="K148" i="24"/>
  <c r="C148" i="24"/>
  <c r="C147" i="24"/>
  <c r="X1513" i="9"/>
  <c r="W1513" i="9"/>
  <c r="V1513" i="9"/>
  <c r="T1513" i="9"/>
  <c r="S1482" i="9"/>
  <c r="R1482" i="9"/>
  <c r="Q1482" i="9"/>
  <c r="P1482" i="9"/>
  <c r="O1482" i="9"/>
  <c r="N1482" i="9"/>
  <c r="M1482" i="9"/>
  <c r="L1482" i="9"/>
  <c r="K1482" i="9"/>
  <c r="S1481" i="9"/>
  <c r="R1481" i="9"/>
  <c r="Q1481" i="9"/>
  <c r="P1481" i="9"/>
  <c r="O1481" i="9"/>
  <c r="N1481" i="9"/>
  <c r="M1481" i="9"/>
  <c r="L1481" i="9"/>
  <c r="K1481" i="9"/>
  <c r="H1481" i="9"/>
  <c r="G1481" i="9"/>
  <c r="F1481" i="9"/>
  <c r="I1480" i="9"/>
  <c r="I1481" i="9" s="1"/>
  <c r="G1460" i="9" s="1"/>
  <c r="Q1472" i="9"/>
  <c r="O1472" i="9"/>
  <c r="N1472" i="9"/>
  <c r="M1472" i="9"/>
  <c r="L1472" i="9"/>
  <c r="K1472" i="9"/>
  <c r="Q1471" i="9"/>
  <c r="O1471" i="9"/>
  <c r="N1471" i="9"/>
  <c r="M1471" i="9"/>
  <c r="L1471" i="9"/>
  <c r="K1471" i="9"/>
  <c r="F1468" i="9"/>
  <c r="H1467" i="9"/>
  <c r="Q1466" i="9"/>
  <c r="O1466" i="9"/>
  <c r="N1466" i="9"/>
  <c r="M1466" i="9"/>
  <c r="L1466" i="9"/>
  <c r="K1466" i="9"/>
  <c r="F1466" i="9"/>
  <c r="H1466" i="9" s="1"/>
  <c r="Q1465" i="9"/>
  <c r="O1465" i="9"/>
  <c r="N1465" i="9"/>
  <c r="M1465" i="9"/>
  <c r="L1465" i="9"/>
  <c r="K1465" i="9"/>
  <c r="P1464" i="9"/>
  <c r="P1472" i="9" s="1"/>
  <c r="P1463" i="9"/>
  <c r="F1463" i="9"/>
  <c r="F1464" i="9" s="1"/>
  <c r="H1464" i="9" s="1"/>
  <c r="P1462" i="9"/>
  <c r="F1461" i="9"/>
  <c r="F1460" i="9"/>
  <c r="F1462" i="9" s="1"/>
  <c r="H1462" i="9" s="1"/>
  <c r="S1457" i="9"/>
  <c r="R1457" i="9"/>
  <c r="Q1457" i="9"/>
  <c r="P1457" i="9"/>
  <c r="O1457" i="9"/>
  <c r="N1457" i="9"/>
  <c r="M1457" i="9"/>
  <c r="L1457" i="9"/>
  <c r="K1457" i="9"/>
  <c r="C1457" i="9"/>
  <c r="T1456" i="9"/>
  <c r="S1456" i="9"/>
  <c r="R1456" i="9"/>
  <c r="Q1456" i="9"/>
  <c r="P1456" i="9"/>
  <c r="O1456" i="9"/>
  <c r="N1456" i="9"/>
  <c r="M1456" i="9"/>
  <c r="L1456" i="9"/>
  <c r="K1456" i="9"/>
  <c r="C1456" i="9"/>
  <c r="C1455" i="9"/>
  <c r="H1130" i="17"/>
  <c r="G1130" i="17"/>
  <c r="F1130" i="17"/>
  <c r="I1129" i="17"/>
  <c r="I1127" i="17"/>
  <c r="I1126" i="17"/>
  <c r="I1125" i="17"/>
  <c r="I1124" i="17"/>
  <c r="I1122" i="17"/>
  <c r="I1121" i="17"/>
  <c r="I1120" i="17"/>
  <c r="I1119" i="17"/>
  <c r="I1118" i="17"/>
  <c r="I1117" i="17"/>
  <c r="I1116" i="17"/>
  <c r="I1115" i="17"/>
  <c r="I1114" i="17"/>
  <c r="I1113" i="17"/>
  <c r="I1112" i="17"/>
  <c r="B1112" i="17"/>
  <c r="B1113" i="17" s="1"/>
  <c r="B1114" i="17" s="1"/>
  <c r="B1115" i="17" s="1"/>
  <c r="B1116" i="17" s="1"/>
  <c r="B1117" i="17" s="1"/>
  <c r="B1118" i="17" s="1"/>
  <c r="B1119" i="17" s="1"/>
  <c r="B1120" i="17" s="1"/>
  <c r="B1121" i="17" s="1"/>
  <c r="B1122" i="17" s="1"/>
  <c r="B1123" i="17" s="1"/>
  <c r="B1124" i="17" s="1"/>
  <c r="B1125" i="17" s="1"/>
  <c r="B1126" i="17" s="1"/>
  <c r="B1127" i="17" s="1"/>
  <c r="B1128" i="17" s="1"/>
  <c r="B1129" i="17" s="1"/>
  <c r="I1111" i="17"/>
  <c r="I1130" i="17" s="1"/>
  <c r="H1094" i="17"/>
  <c r="G1094" i="17"/>
  <c r="F1094" i="17"/>
  <c r="R1050" i="17" s="1"/>
  <c r="I1093" i="17"/>
  <c r="I1092" i="17"/>
  <c r="I1091" i="17"/>
  <c r="B1091" i="17"/>
  <c r="B1092" i="17" s="1"/>
  <c r="B1093" i="17" s="1"/>
  <c r="I1090" i="17"/>
  <c r="I1094" i="17" s="1"/>
  <c r="R1042" i="17" s="1"/>
  <c r="I1074" i="17"/>
  <c r="I1070" i="17"/>
  <c r="I1065" i="17"/>
  <c r="I1062" i="17"/>
  <c r="H1087" i="17"/>
  <c r="G1087" i="17"/>
  <c r="F1087" i="17"/>
  <c r="I1087" i="17"/>
  <c r="F1045" i="17" s="1"/>
  <c r="F1046" i="17" s="1"/>
  <c r="S1077" i="17"/>
  <c r="R1077" i="17"/>
  <c r="Q1077" i="17"/>
  <c r="P1077" i="17"/>
  <c r="O1077" i="17"/>
  <c r="N1077" i="17"/>
  <c r="M1077" i="17"/>
  <c r="L1077" i="17"/>
  <c r="K1077" i="17"/>
  <c r="S1076" i="17"/>
  <c r="R1076" i="17"/>
  <c r="Q1076" i="17"/>
  <c r="P1076" i="17"/>
  <c r="O1076" i="17"/>
  <c r="N1076" i="17"/>
  <c r="M1076" i="17"/>
  <c r="L1076" i="17"/>
  <c r="K1076" i="17"/>
  <c r="H1076" i="17"/>
  <c r="G1076" i="17"/>
  <c r="F1076" i="17"/>
  <c r="P476" i="3" s="1"/>
  <c r="I1075" i="17"/>
  <c r="I1073" i="17"/>
  <c r="O1042" i="17" s="1"/>
  <c r="H486" i="4" s="1"/>
  <c r="I1072" i="17"/>
  <c r="I1071" i="17"/>
  <c r="N1042" i="17" s="1"/>
  <c r="G486" i="4" s="1"/>
  <c r="I1069" i="17"/>
  <c r="I1068" i="17"/>
  <c r="I1067" i="17"/>
  <c r="I1066" i="17"/>
  <c r="M1042" i="17" s="1"/>
  <c r="F486" i="4" s="1"/>
  <c r="I1064" i="17"/>
  <c r="I1063" i="17"/>
  <c r="L1042" i="17" s="1"/>
  <c r="E486" i="4" s="1"/>
  <c r="I1061" i="17"/>
  <c r="B1061" i="17"/>
  <c r="B1062" i="17" s="1"/>
  <c r="B1063" i="17" s="1"/>
  <c r="B1064" i="17" s="1"/>
  <c r="I1060" i="17"/>
  <c r="Q1052" i="17"/>
  <c r="O1052" i="17"/>
  <c r="N1052" i="17"/>
  <c r="M1052" i="17"/>
  <c r="L1052" i="17"/>
  <c r="K1052" i="17"/>
  <c r="Q1051" i="17"/>
  <c r="O1051" i="17"/>
  <c r="N1051" i="17"/>
  <c r="M1051" i="17"/>
  <c r="L1051" i="17"/>
  <c r="K1051" i="17"/>
  <c r="O476" i="3"/>
  <c r="M476" i="3"/>
  <c r="F1048" i="17"/>
  <c r="H1047" i="17"/>
  <c r="O1046" i="17"/>
  <c r="N1046" i="17"/>
  <c r="M1046" i="17"/>
  <c r="L1046" i="17"/>
  <c r="H1046" i="17"/>
  <c r="Q1045" i="17"/>
  <c r="O1045" i="17"/>
  <c r="H487" i="4" s="1" a="1"/>
  <c r="H487" i="4" s="1"/>
  <c r="N1045" i="17"/>
  <c r="G487" i="4" s="1" a="1"/>
  <c r="G487" i="4" s="1"/>
  <c r="M1045" i="17"/>
  <c r="F487" i="4" s="1" a="1"/>
  <c r="F487" i="4" s="1"/>
  <c r="L1045" i="17"/>
  <c r="E487" i="4" s="1" a="1"/>
  <c r="E487" i="4" s="1"/>
  <c r="K1045" i="17"/>
  <c r="P1044" i="17"/>
  <c r="P1052" i="17" s="1"/>
  <c r="P1043" i="17"/>
  <c r="P486" i="4"/>
  <c r="F1041" i="17"/>
  <c r="S1037" i="17"/>
  <c r="R1037" i="17"/>
  <c r="Q1037" i="17"/>
  <c r="P1037" i="17"/>
  <c r="O1037" i="17"/>
  <c r="N1037" i="17"/>
  <c r="M1037" i="17"/>
  <c r="L1037" i="17"/>
  <c r="K1037" i="17"/>
  <c r="C1037" i="17"/>
  <c r="T1036" i="17"/>
  <c r="A486" i="4" s="1"/>
  <c r="S1036" i="17"/>
  <c r="R1036" i="17"/>
  <c r="Q1036" i="17"/>
  <c r="P1036" i="17"/>
  <c r="O1036" i="17"/>
  <c r="N1036" i="17"/>
  <c r="M1036" i="17"/>
  <c r="L1036" i="17"/>
  <c r="K1036" i="17"/>
  <c r="C1036" i="17"/>
  <c r="C1035" i="17"/>
  <c r="H745" i="20"/>
  <c r="G745" i="20"/>
  <c r="F745" i="20"/>
  <c r="I744" i="20"/>
  <c r="I743" i="20"/>
  <c r="I742" i="20"/>
  <c r="I741" i="20"/>
  <c r="I740" i="20"/>
  <c r="I738" i="20"/>
  <c r="I737" i="20"/>
  <c r="I736" i="20"/>
  <c r="I735" i="20"/>
  <c r="I734" i="20"/>
  <c r="I733" i="20"/>
  <c r="B733" i="20"/>
  <c r="B734" i="20" s="1"/>
  <c r="B735" i="20" s="1"/>
  <c r="B736" i="20" s="1"/>
  <c r="B737" i="20" s="1"/>
  <c r="B738" i="20" s="1"/>
  <c r="I732" i="20"/>
  <c r="I739" i="20"/>
  <c r="I691" i="20"/>
  <c r="I708" i="20"/>
  <c r="I709" i="20" s="1"/>
  <c r="I697" i="20"/>
  <c r="I704" i="20"/>
  <c r="I705" i="20" s="1"/>
  <c r="S701" i="20"/>
  <c r="R701" i="20"/>
  <c r="Q701" i="20"/>
  <c r="P701" i="20"/>
  <c r="O701" i="20"/>
  <c r="N701" i="20"/>
  <c r="M701" i="20"/>
  <c r="L701" i="20"/>
  <c r="K701" i="20"/>
  <c r="S700" i="20"/>
  <c r="R700" i="20"/>
  <c r="Q700" i="20"/>
  <c r="P700" i="20"/>
  <c r="O700" i="20"/>
  <c r="N700" i="20"/>
  <c r="M700" i="20"/>
  <c r="L700" i="20"/>
  <c r="K700" i="20"/>
  <c r="H700" i="20"/>
  <c r="G700" i="20"/>
  <c r="F700" i="20"/>
  <c r="I699" i="20"/>
  <c r="I698" i="20"/>
  <c r="O670" i="20" s="1"/>
  <c r="H483" i="4" s="1"/>
  <c r="I696" i="20"/>
  <c r="I695" i="20"/>
  <c r="I693" i="20"/>
  <c r="I692" i="20"/>
  <c r="I690" i="20"/>
  <c r="I689" i="20"/>
  <c r="L670" i="20" s="1"/>
  <c r="E483" i="4" s="1"/>
  <c r="B689" i="20"/>
  <c r="B690" i="20" s="1"/>
  <c r="B691" i="20" s="1"/>
  <c r="B692" i="20" s="1"/>
  <c r="B693" i="20" s="1"/>
  <c r="I688" i="20"/>
  <c r="I700" i="20" s="1"/>
  <c r="Q680" i="20"/>
  <c r="O680" i="20"/>
  <c r="N680" i="20"/>
  <c r="M680" i="20"/>
  <c r="L680" i="20"/>
  <c r="K680" i="20"/>
  <c r="Q679" i="20"/>
  <c r="O679" i="20"/>
  <c r="N679" i="20"/>
  <c r="M679" i="20"/>
  <c r="L679" i="20"/>
  <c r="K679" i="20"/>
  <c r="O473" i="3"/>
  <c r="F676" i="20"/>
  <c r="H675" i="20"/>
  <c r="Q674" i="20"/>
  <c r="O674" i="20"/>
  <c r="L674" i="20"/>
  <c r="F674" i="20"/>
  <c r="H674" i="20" s="1"/>
  <c r="Q673" i="20"/>
  <c r="O673" i="20"/>
  <c r="H484" i="4" s="1" a="1"/>
  <c r="H484" i="4" s="1"/>
  <c r="N673" i="20"/>
  <c r="M673" i="20"/>
  <c r="L673" i="20"/>
  <c r="E484" i="4" s="1" a="1"/>
  <c r="E484" i="4" s="1"/>
  <c r="K673" i="20"/>
  <c r="P672" i="20"/>
  <c r="P680" i="20" s="1"/>
  <c r="P671" i="20"/>
  <c r="F671" i="20"/>
  <c r="F672" i="20" s="1"/>
  <c r="H672" i="20" s="1"/>
  <c r="P483" i="4"/>
  <c r="F669" i="20"/>
  <c r="S665" i="20"/>
  <c r="R665" i="20"/>
  <c r="Q665" i="20"/>
  <c r="P665" i="20"/>
  <c r="O665" i="20"/>
  <c r="N665" i="20"/>
  <c r="M665" i="20"/>
  <c r="L665" i="20"/>
  <c r="K665" i="20"/>
  <c r="C665" i="20"/>
  <c r="T664" i="20"/>
  <c r="A483" i="4" s="1"/>
  <c r="S664" i="20"/>
  <c r="R664" i="20"/>
  <c r="Q664" i="20"/>
  <c r="P664" i="20"/>
  <c r="O664" i="20"/>
  <c r="N664" i="20"/>
  <c r="M664" i="20"/>
  <c r="L664" i="20"/>
  <c r="K664" i="20"/>
  <c r="C664" i="20"/>
  <c r="C663" i="20"/>
  <c r="P1370" i="8"/>
  <c r="H479" i="3" s="1"/>
  <c r="P1440" i="5"/>
  <c r="H470" i="3" s="1"/>
  <c r="X1480" i="12"/>
  <c r="W1480" i="12"/>
  <c r="V1480" i="12"/>
  <c r="T1480" i="12"/>
  <c r="H1479" i="12"/>
  <c r="G1479" i="12"/>
  <c r="F1479" i="12"/>
  <c r="I1478" i="12"/>
  <c r="I1477" i="12"/>
  <c r="I1476" i="12"/>
  <c r="I1475" i="12"/>
  <c r="I1474" i="12"/>
  <c r="I1473" i="12"/>
  <c r="I1472" i="12"/>
  <c r="I1471" i="12"/>
  <c r="I1470" i="12"/>
  <c r="I1469" i="12"/>
  <c r="I1468" i="12"/>
  <c r="I1467" i="12"/>
  <c r="I1466" i="12"/>
  <c r="I1465" i="12"/>
  <c r="I1464" i="12"/>
  <c r="B1464" i="12"/>
  <c r="B1465" i="12" s="1"/>
  <c r="B1466" i="12" s="1"/>
  <c r="B1467" i="12" s="1"/>
  <c r="B1468" i="12" s="1"/>
  <c r="B1469" i="12" s="1"/>
  <c r="B1470" i="12" s="1"/>
  <c r="B1471" i="12" s="1"/>
  <c r="B1472" i="12" s="1"/>
  <c r="B1473" i="12" s="1"/>
  <c r="B1474" i="12" s="1"/>
  <c r="B1475" i="12" s="1"/>
  <c r="B1476" i="12" s="1"/>
  <c r="B1477" i="12" s="1"/>
  <c r="B1478" i="12" s="1"/>
  <c r="I1463" i="12"/>
  <c r="I1479" i="12" s="1"/>
  <c r="I1446" i="12"/>
  <c r="I1447" i="12" s="1"/>
  <c r="I1427" i="12"/>
  <c r="O485" i="3"/>
  <c r="H1443" i="12"/>
  <c r="G1443" i="12"/>
  <c r="F1443" i="12"/>
  <c r="I1442" i="12"/>
  <c r="S1439" i="12"/>
  <c r="R1439" i="12"/>
  <c r="Q1439" i="12"/>
  <c r="P1439" i="12"/>
  <c r="O1439" i="12"/>
  <c r="N1439" i="12"/>
  <c r="M1439" i="12"/>
  <c r="L1439" i="12"/>
  <c r="K1439" i="12"/>
  <c r="S1438" i="12"/>
  <c r="R1438" i="12"/>
  <c r="Q1438" i="12"/>
  <c r="P1438" i="12"/>
  <c r="O1438" i="12"/>
  <c r="N1438" i="12"/>
  <c r="M1438" i="12"/>
  <c r="L1438" i="12"/>
  <c r="K1438" i="12"/>
  <c r="H1438" i="12"/>
  <c r="G1438" i="12"/>
  <c r="F1438" i="12"/>
  <c r="I1437" i="12"/>
  <c r="I1436" i="12"/>
  <c r="I1435" i="12"/>
  <c r="N1407" i="12" s="1"/>
  <c r="G495" i="4" s="1"/>
  <c r="I1434" i="12"/>
  <c r="I1433" i="12"/>
  <c r="I1432" i="12"/>
  <c r="I1431" i="12"/>
  <c r="I1430" i="12"/>
  <c r="L1407" i="12" s="1"/>
  <c r="E495" i="4" s="1"/>
  <c r="I1429" i="12"/>
  <c r="I1428" i="12"/>
  <c r="B1429" i="12"/>
  <c r="B1430" i="12" s="1"/>
  <c r="B1431" i="12" s="1"/>
  <c r="B1432" i="12" s="1"/>
  <c r="B1433" i="12" s="1"/>
  <c r="B1434" i="12" s="1"/>
  <c r="B1435" i="12" s="1"/>
  <c r="B1436" i="12" s="1"/>
  <c r="B1437" i="12" s="1"/>
  <c r="I1438" i="12"/>
  <c r="Q1417" i="12"/>
  <c r="O1417" i="12"/>
  <c r="N1417" i="12"/>
  <c r="M1417" i="12"/>
  <c r="L1417" i="12"/>
  <c r="K1417" i="12"/>
  <c r="Q1416" i="12"/>
  <c r="O1416" i="12"/>
  <c r="N1416" i="12"/>
  <c r="M1416" i="12"/>
  <c r="L1416" i="12"/>
  <c r="K1416" i="12"/>
  <c r="F1413" i="12"/>
  <c r="H1412" i="12"/>
  <c r="Q1411" i="12"/>
  <c r="O1411" i="12"/>
  <c r="N1411" i="12"/>
  <c r="L1411" i="12"/>
  <c r="F1411" i="12"/>
  <c r="H1411" i="12" s="1"/>
  <c r="Q1410" i="12"/>
  <c r="O1410" i="12"/>
  <c r="N1410" i="12"/>
  <c r="G496" i="4" s="1" a="1"/>
  <c r="G496" i="4" s="1"/>
  <c r="M1410" i="12"/>
  <c r="L1410" i="12"/>
  <c r="E496" i="4" s="1" a="1"/>
  <c r="E496" i="4" s="1"/>
  <c r="K1410" i="12"/>
  <c r="P1409" i="12"/>
  <c r="P1417" i="12" s="1"/>
  <c r="P1408" i="12"/>
  <c r="F1408" i="12"/>
  <c r="P495" i="4"/>
  <c r="S1402" i="12"/>
  <c r="R1402" i="12"/>
  <c r="Q1402" i="12"/>
  <c r="P1402" i="12"/>
  <c r="O1402" i="12"/>
  <c r="N1402" i="12"/>
  <c r="M1402" i="12"/>
  <c r="L1402" i="12"/>
  <c r="K1402" i="12"/>
  <c r="C1402" i="12"/>
  <c r="T1401" i="12"/>
  <c r="A495" i="4" s="1"/>
  <c r="S1401" i="12"/>
  <c r="R1401" i="12"/>
  <c r="Q1401" i="12"/>
  <c r="P1401" i="12"/>
  <c r="O1401" i="12"/>
  <c r="N1401" i="12"/>
  <c r="M1401" i="12"/>
  <c r="L1401" i="12"/>
  <c r="K1401" i="12"/>
  <c r="C1401" i="12"/>
  <c r="C1400" i="12"/>
  <c r="X1443" i="8"/>
  <c r="W1443" i="8"/>
  <c r="V1443" i="8"/>
  <c r="T1443" i="8"/>
  <c r="H1442" i="8"/>
  <c r="G1442" i="8"/>
  <c r="F1442" i="8"/>
  <c r="I1441" i="8"/>
  <c r="I1435" i="8"/>
  <c r="I1434" i="8"/>
  <c r="I1432" i="8"/>
  <c r="I1431" i="8"/>
  <c r="I1429" i="8"/>
  <c r="I1428" i="8"/>
  <c r="I1427" i="8"/>
  <c r="I1426" i="8"/>
  <c r="I1425" i="8"/>
  <c r="I1424" i="8"/>
  <c r="I1423" i="8"/>
  <c r="I1422" i="8"/>
  <c r="I1421" i="8"/>
  <c r="I1420" i="8"/>
  <c r="I1418" i="8"/>
  <c r="B1418" i="8"/>
  <c r="I1417" i="8"/>
  <c r="I1433" i="8"/>
  <c r="I1419" i="8"/>
  <c r="O479" i="3"/>
  <c r="I1381" i="8"/>
  <c r="K1362" i="8" s="1"/>
  <c r="S1390" i="8"/>
  <c r="R1390" i="8"/>
  <c r="Q1390" i="8"/>
  <c r="P1390" i="8"/>
  <c r="O1390" i="8"/>
  <c r="N1390" i="8"/>
  <c r="M1390" i="8"/>
  <c r="L1390" i="8"/>
  <c r="K1390" i="8"/>
  <c r="S1389" i="8"/>
  <c r="R1389" i="8"/>
  <c r="Q1389" i="8"/>
  <c r="P1389" i="8"/>
  <c r="O1389" i="8"/>
  <c r="N1389" i="8"/>
  <c r="M1389" i="8"/>
  <c r="L1389" i="8"/>
  <c r="K1389" i="8"/>
  <c r="H1389" i="8"/>
  <c r="G1389" i="8"/>
  <c r="F1389" i="8"/>
  <c r="P479" i="3" s="1"/>
  <c r="I1388" i="8"/>
  <c r="I1386" i="8"/>
  <c r="N1362" i="8" s="1"/>
  <c r="G489" i="4" s="1"/>
  <c r="I1385" i="8"/>
  <c r="M1362" i="8" s="1"/>
  <c r="F489" i="4" s="1"/>
  <c r="I1384" i="8"/>
  <c r="I1383" i="8"/>
  <c r="I1382" i="8"/>
  <c r="B1382" i="8"/>
  <c r="B1383" i="8" s="1"/>
  <c r="B1384" i="8" s="1"/>
  <c r="B1385" i="8" s="1"/>
  <c r="B1386" i="8" s="1"/>
  <c r="B1387" i="8" s="1"/>
  <c r="B1388" i="8" s="1"/>
  <c r="Q1372" i="8"/>
  <c r="O1372" i="8"/>
  <c r="N1372" i="8"/>
  <c r="M1372" i="8"/>
  <c r="L1372" i="8"/>
  <c r="K1372" i="8"/>
  <c r="Q1371" i="8"/>
  <c r="O1371" i="8"/>
  <c r="N1371" i="8"/>
  <c r="M1371" i="8"/>
  <c r="L1371" i="8"/>
  <c r="K1371" i="8"/>
  <c r="F1368" i="8"/>
  <c r="H1367" i="8"/>
  <c r="Q1366" i="8"/>
  <c r="O1366" i="8"/>
  <c r="N1366" i="8"/>
  <c r="M1366" i="8"/>
  <c r="F1366" i="8"/>
  <c r="H1366" i="8" s="1"/>
  <c r="Q1365" i="8"/>
  <c r="O1365" i="8"/>
  <c r="N1365" i="8"/>
  <c r="G490" i="4" s="1" a="1"/>
  <c r="G490" i="4" s="1"/>
  <c r="M1365" i="8"/>
  <c r="F490" i="4" s="1" a="1"/>
  <c r="F490" i="4" s="1"/>
  <c r="L1365" i="8"/>
  <c r="K1365" i="8"/>
  <c r="P1364" i="8"/>
  <c r="P1372" i="8" s="1"/>
  <c r="P1363" i="8"/>
  <c r="F1363" i="8"/>
  <c r="F1364" i="8" s="1"/>
  <c r="H1364" i="8" s="1"/>
  <c r="P489" i="4"/>
  <c r="S1357" i="8"/>
  <c r="R1357" i="8"/>
  <c r="Q1357" i="8"/>
  <c r="P1357" i="8"/>
  <c r="O1357" i="8"/>
  <c r="N1357" i="8"/>
  <c r="M1357" i="8"/>
  <c r="L1357" i="8"/>
  <c r="K1357" i="8"/>
  <c r="C1357" i="8"/>
  <c r="T1356" i="8"/>
  <c r="A489" i="4" s="1"/>
  <c r="S1356" i="8"/>
  <c r="R1356" i="8"/>
  <c r="Q1356" i="8"/>
  <c r="P1356" i="8"/>
  <c r="O1356" i="8"/>
  <c r="N1356" i="8"/>
  <c r="M1356" i="8"/>
  <c r="L1356" i="8"/>
  <c r="K1356" i="8"/>
  <c r="C1356" i="8"/>
  <c r="C1355" i="8"/>
  <c r="X1525" i="5"/>
  <c r="W1525" i="5"/>
  <c r="V1525" i="5"/>
  <c r="T1525" i="5"/>
  <c r="H1524" i="5"/>
  <c r="G1524" i="5"/>
  <c r="F1524" i="5"/>
  <c r="I1523" i="5"/>
  <c r="B1523" i="5"/>
  <c r="I1522" i="5"/>
  <c r="I1524" i="5" s="1"/>
  <c r="I1517" i="5"/>
  <c r="I1516" i="5"/>
  <c r="I1515" i="5"/>
  <c r="I1514" i="5"/>
  <c r="I1513" i="5"/>
  <c r="I1512" i="5"/>
  <c r="I1510" i="5"/>
  <c r="I1509" i="5"/>
  <c r="I1508" i="5"/>
  <c r="I1507" i="5"/>
  <c r="B1507" i="5"/>
  <c r="B1508" i="5" s="1"/>
  <c r="B1509" i="5" s="1"/>
  <c r="B1510" i="5" s="1"/>
  <c r="I1506" i="5"/>
  <c r="H1494" i="5"/>
  <c r="G1494" i="5"/>
  <c r="F1494" i="5"/>
  <c r="S1440" i="5" s="1"/>
  <c r="I1493" i="5"/>
  <c r="I1518" i="5"/>
  <c r="I1511" i="5"/>
  <c r="I1459" i="5"/>
  <c r="O470" i="3"/>
  <c r="H1484" i="5"/>
  <c r="G1484" i="5"/>
  <c r="F1484" i="5"/>
  <c r="H1478" i="5"/>
  <c r="G1478" i="5"/>
  <c r="F1478" i="5"/>
  <c r="I1477" i="5"/>
  <c r="S1474" i="5"/>
  <c r="R1474" i="5"/>
  <c r="Q1474" i="5"/>
  <c r="P1474" i="5"/>
  <c r="O1474" i="5"/>
  <c r="N1474" i="5"/>
  <c r="M1474" i="5"/>
  <c r="L1474" i="5"/>
  <c r="K1474" i="5"/>
  <c r="S1473" i="5"/>
  <c r="R1473" i="5"/>
  <c r="Q1473" i="5"/>
  <c r="P1473" i="5"/>
  <c r="O1473" i="5"/>
  <c r="N1473" i="5"/>
  <c r="M1473" i="5"/>
  <c r="L1473" i="5"/>
  <c r="K1473" i="5"/>
  <c r="H1473" i="5"/>
  <c r="G1473" i="5"/>
  <c r="F1473" i="5"/>
  <c r="P470" i="3" s="1"/>
  <c r="I1469" i="5"/>
  <c r="I1467" i="5"/>
  <c r="I1466" i="5"/>
  <c r="I1465" i="5"/>
  <c r="I1464" i="5"/>
  <c r="N1432" i="5" s="1"/>
  <c r="G480" i="4" s="1"/>
  <c r="I1461" i="5"/>
  <c r="I1460" i="5"/>
  <c r="M1432" i="5" s="1"/>
  <c r="F480" i="4" s="1"/>
  <c r="I1458" i="5"/>
  <c r="I1457" i="5"/>
  <c r="I1456" i="5"/>
  <c r="I1455" i="5"/>
  <c r="I1454" i="5"/>
  <c r="B1454" i="5"/>
  <c r="B1455" i="5" s="1"/>
  <c r="B1456" i="5" s="1"/>
  <c r="B1457" i="5" s="1"/>
  <c r="B1458" i="5" s="1"/>
  <c r="I1453" i="5"/>
  <c r="I1473" i="5" s="1"/>
  <c r="G1430" i="5" s="1"/>
  <c r="Q1442" i="5"/>
  <c r="O1442" i="5"/>
  <c r="N1442" i="5"/>
  <c r="M1442" i="5"/>
  <c r="L1442" i="5"/>
  <c r="K1442" i="5"/>
  <c r="Q1441" i="5"/>
  <c r="O1441" i="5"/>
  <c r="N1441" i="5"/>
  <c r="M1441" i="5"/>
  <c r="L1441" i="5"/>
  <c r="K1441" i="5"/>
  <c r="N1436" i="5"/>
  <c r="M1436" i="5"/>
  <c r="Q1435" i="5"/>
  <c r="O1435" i="5"/>
  <c r="N1435" i="5"/>
  <c r="G481" i="4" s="1" a="1"/>
  <c r="G481" i="4" s="1"/>
  <c r="M1435" i="5"/>
  <c r="F481" i="4" s="1" a="1"/>
  <c r="F481" i="4" s="1"/>
  <c r="L1435" i="5"/>
  <c r="K1435" i="5"/>
  <c r="P1434" i="5"/>
  <c r="P1442" i="5" s="1"/>
  <c r="P1433" i="5"/>
  <c r="S1427" i="5"/>
  <c r="R1427" i="5"/>
  <c r="Q1427" i="5"/>
  <c r="P1427" i="5"/>
  <c r="O1427" i="5"/>
  <c r="N1427" i="5"/>
  <c r="M1427" i="5"/>
  <c r="L1427" i="5"/>
  <c r="K1427" i="5"/>
  <c r="C1427" i="5"/>
  <c r="T1426" i="5"/>
  <c r="A480" i="4" s="1"/>
  <c r="A498" i="4" s="1"/>
  <c r="S1426" i="5"/>
  <c r="R1426" i="5"/>
  <c r="Q1426" i="5"/>
  <c r="P1426" i="5"/>
  <c r="O1426" i="5"/>
  <c r="N1426" i="5"/>
  <c r="M1426" i="5"/>
  <c r="L1426" i="5"/>
  <c r="K1426" i="5"/>
  <c r="C1426" i="5"/>
  <c r="C1425" i="5"/>
  <c r="G1292" i="8"/>
  <c r="G1375" i="5"/>
  <c r="G1354" i="12"/>
  <c r="G963" i="17"/>
  <c r="O1325" i="12"/>
  <c r="G1355" i="12"/>
  <c r="I1355" i="12"/>
  <c r="V1354" i="12"/>
  <c r="G1353" i="12"/>
  <c r="G1352" i="12"/>
  <c r="W1352" i="12"/>
  <c r="W1395" i="12" s="1"/>
  <c r="X1450" i="9"/>
  <c r="W1450" i="9"/>
  <c r="T1450" i="9"/>
  <c r="X291" i="23"/>
  <c r="W291" i="23"/>
  <c r="T291" i="23"/>
  <c r="V1409" i="9"/>
  <c r="O223" i="23"/>
  <c r="V247" i="23"/>
  <c r="I247" i="23"/>
  <c r="I289" i="23"/>
  <c r="G246" i="23"/>
  <c r="V246" i="23"/>
  <c r="V261" i="23"/>
  <c r="G261" i="23"/>
  <c r="I261" i="23" s="1"/>
  <c r="V260" i="23"/>
  <c r="G245" i="23"/>
  <c r="V1312" i="8"/>
  <c r="B1311" i="8"/>
  <c r="F1307" i="8"/>
  <c r="B1306" i="8"/>
  <c r="V1305" i="8"/>
  <c r="O1274" i="8"/>
  <c r="V1295" i="8"/>
  <c r="G1294" i="8"/>
  <c r="I1294" i="8" s="1"/>
  <c r="G1293" i="8"/>
  <c r="I1293" i="8" s="1"/>
  <c r="G1295" i="8"/>
  <c r="F990" i="17"/>
  <c r="H990" i="17"/>
  <c r="X1030" i="17"/>
  <c r="T1030" i="17"/>
  <c r="V987" i="17"/>
  <c r="O941" i="17"/>
  <c r="V966" i="17"/>
  <c r="V989" i="17"/>
  <c r="G990" i="17"/>
  <c r="V988" i="17"/>
  <c r="V965" i="17"/>
  <c r="G965" i="17"/>
  <c r="I965" i="17" s="1"/>
  <c r="V964" i="17"/>
  <c r="G964" i="17"/>
  <c r="X658" i="20"/>
  <c r="W658" i="20"/>
  <c r="O592" i="20"/>
  <c r="B615" i="20"/>
  <c r="B616" i="20" s="1"/>
  <c r="F615" i="20"/>
  <c r="G615" i="20"/>
  <c r="I615" i="20"/>
  <c r="V615" i="20"/>
  <c r="I655" i="20"/>
  <c r="V609" i="20"/>
  <c r="O1353" i="5"/>
  <c r="G1415" i="5"/>
  <c r="V1103" i="14"/>
  <c r="G1272" i="12"/>
  <c r="G1401" i="5"/>
  <c r="G1402" i="5" s="1"/>
  <c r="G236" i="23"/>
  <c r="G960" i="17"/>
  <c r="G1346" i="12"/>
  <c r="V1341" i="12"/>
  <c r="G1350" i="12"/>
  <c r="F1348" i="12"/>
  <c r="V1348" i="12"/>
  <c r="F1347" i="12"/>
  <c r="N1325" i="12" s="1"/>
  <c r="V1347" i="12"/>
  <c r="G1347" i="12"/>
  <c r="N223" i="23"/>
  <c r="H262" i="23"/>
  <c r="G262" i="23"/>
  <c r="F262" i="23"/>
  <c r="V236" i="23"/>
  <c r="G244" i="23"/>
  <c r="V243" i="23"/>
  <c r="I288" i="23"/>
  <c r="I287" i="23"/>
  <c r="I286" i="23"/>
  <c r="V242" i="23"/>
  <c r="G242" i="23"/>
  <c r="V238" i="23"/>
  <c r="N1274" i="8"/>
  <c r="B1285" i="8"/>
  <c r="B1286" i="8" s="1"/>
  <c r="I1292" i="8"/>
  <c r="G1291" i="8"/>
  <c r="G1290" i="8"/>
  <c r="N941" i="17"/>
  <c r="V963" i="17"/>
  <c r="V962" i="17"/>
  <c r="G1019" i="17"/>
  <c r="G961" i="17"/>
  <c r="V961" i="17"/>
  <c r="V960" i="17"/>
  <c r="N592" i="20"/>
  <c r="V607" i="20"/>
  <c r="G606" i="20"/>
  <c r="G616" i="20"/>
  <c r="N1354" i="5"/>
  <c r="F1382" i="5"/>
  <c r="V1382" i="5"/>
  <c r="G1382" i="5"/>
  <c r="V1373" i="5"/>
  <c r="G1372" i="5"/>
  <c r="F1372" i="5"/>
  <c r="N1353" i="5" s="1"/>
  <c r="V1372" i="5"/>
  <c r="G1413" i="5"/>
  <c r="V1371" i="5"/>
  <c r="G1301" i="8"/>
  <c r="G1396" i="5"/>
  <c r="G1310" i="8"/>
  <c r="G952" i="17"/>
  <c r="G1305" i="8"/>
  <c r="G1307" i="8" s="1"/>
  <c r="G958" i="17"/>
  <c r="G1285" i="8"/>
  <c r="G1345" i="12"/>
  <c r="G1364" i="5"/>
  <c r="G605" i="20"/>
  <c r="G240" i="23"/>
  <c r="L1325" i="12"/>
  <c r="M1325" i="12"/>
  <c r="I1345" i="12"/>
  <c r="G1344" i="12"/>
  <c r="G1343" i="12"/>
  <c r="F241" i="23"/>
  <c r="M223" i="23" s="1"/>
  <c r="V241" i="23"/>
  <c r="V240" i="23"/>
  <c r="G238" i="23"/>
  <c r="L1274" i="8"/>
  <c r="M1274" i="8"/>
  <c r="B1335" i="8"/>
  <c r="B1336" i="8" s="1"/>
  <c r="H1313" i="8"/>
  <c r="F1313" i="8"/>
  <c r="V1310" i="8"/>
  <c r="S1297" i="8"/>
  <c r="R1297" i="8"/>
  <c r="Q1297" i="8"/>
  <c r="P1297" i="8"/>
  <c r="O1297" i="8"/>
  <c r="N1297" i="8"/>
  <c r="M1297" i="8"/>
  <c r="L1297" i="8"/>
  <c r="S1296" i="8"/>
  <c r="R1296" i="8"/>
  <c r="Q1296" i="8"/>
  <c r="P1296" i="8"/>
  <c r="O1296" i="8"/>
  <c r="N1296" i="8"/>
  <c r="M1296" i="8"/>
  <c r="L1296" i="8"/>
  <c r="K1297" i="8"/>
  <c r="K1296" i="8"/>
  <c r="H1296" i="8"/>
  <c r="V1284" i="8"/>
  <c r="G1289" i="8"/>
  <c r="M941" i="17"/>
  <c r="B952" i="17"/>
  <c r="B953" i="17" s="1"/>
  <c r="W952" i="17"/>
  <c r="V959" i="17"/>
  <c r="G983" i="17"/>
  <c r="V983" i="17"/>
  <c r="I983" i="17"/>
  <c r="V958" i="17"/>
  <c r="M592" i="20"/>
  <c r="V641" i="20"/>
  <c r="M1353" i="5"/>
  <c r="H1383" i="5"/>
  <c r="F1383" i="5"/>
  <c r="B1364" i="5"/>
  <c r="B1365" i="5" s="1"/>
  <c r="V1364" i="5"/>
  <c r="V1386" i="5"/>
  <c r="G1381" i="5"/>
  <c r="W1381" i="5"/>
  <c r="V1370" i="5"/>
  <c r="G1370" i="5"/>
  <c r="V1380" i="5"/>
  <c r="G1380" i="5"/>
  <c r="G1383" i="5" s="1"/>
  <c r="V1284" i="5"/>
  <c r="G1383" i="12"/>
  <c r="G1339" i="12"/>
  <c r="G1337" i="12"/>
  <c r="G1311" i="8"/>
  <c r="G1335" i="8"/>
  <c r="H1306" i="8"/>
  <c r="H1307" i="8" s="1"/>
  <c r="H982" i="17"/>
  <c r="J442" i="4"/>
  <c r="G1159" i="14"/>
  <c r="F1183" i="8"/>
  <c r="G1294" i="5"/>
  <c r="G1158" i="14"/>
  <c r="G1406" i="9"/>
  <c r="G1409" i="9"/>
  <c r="V1306" i="8"/>
  <c r="I1306" i="8"/>
  <c r="G1288" i="8"/>
  <c r="V1288" i="8"/>
  <c r="V1311" i="8"/>
  <c r="G1287" i="8"/>
  <c r="V1335" i="8"/>
  <c r="L941" i="17"/>
  <c r="G957" i="17"/>
  <c r="V957" i="17"/>
  <c r="V956" i="17"/>
  <c r="G982" i="17"/>
  <c r="V982" i="17"/>
  <c r="V955" i="17"/>
  <c r="V954" i="17"/>
  <c r="V1369" i="5"/>
  <c r="F1369" i="5"/>
  <c r="G1369" i="5"/>
  <c r="V1368" i="5"/>
  <c r="G1367" i="5"/>
  <c r="V1367" i="5"/>
  <c r="V1366" i="5"/>
  <c r="G1366" i="5"/>
  <c r="S1357" i="12"/>
  <c r="R1357" i="12"/>
  <c r="Q1357" i="12"/>
  <c r="P1357" i="12"/>
  <c r="O1357" i="12"/>
  <c r="N1357" i="12"/>
  <c r="M1357" i="12"/>
  <c r="L1357" i="12"/>
  <c r="S1356" i="12"/>
  <c r="R1356" i="12"/>
  <c r="Q1356" i="12"/>
  <c r="P1356" i="12"/>
  <c r="O1356" i="12"/>
  <c r="N1356" i="12"/>
  <c r="M1356" i="12"/>
  <c r="L1356" i="12"/>
  <c r="K1357" i="12"/>
  <c r="K1356" i="12"/>
  <c r="H1356" i="12"/>
  <c r="B1337" i="12"/>
  <c r="B1338" i="12" s="1"/>
  <c r="B1339" i="12" s="1"/>
  <c r="B1340" i="12" s="1"/>
  <c r="B1341" i="12" s="1"/>
  <c r="B1342" i="12" s="1"/>
  <c r="V1337" i="12"/>
  <c r="I1341" i="12"/>
  <c r="I1383" i="12"/>
  <c r="G1340" i="12"/>
  <c r="G604" i="20"/>
  <c r="G603" i="20"/>
  <c r="V256" i="23"/>
  <c r="L223" i="23"/>
  <c r="G276" i="23"/>
  <c r="V234" i="23"/>
  <c r="L1395" i="9"/>
  <c r="V1408" i="9"/>
  <c r="G1407" i="9"/>
  <c r="V1407" i="9"/>
  <c r="V1406" i="9"/>
  <c r="S1410" i="9"/>
  <c r="V1405" i="9"/>
  <c r="V1450" i="9" s="1"/>
  <c r="G1405" i="9"/>
  <c r="X1305" i="12"/>
  <c r="W1305" i="12"/>
  <c r="T1305" i="12"/>
  <c r="G1361" i="12"/>
  <c r="I1361" i="12" s="1"/>
  <c r="G1360" i="12"/>
  <c r="I1360" i="12" s="1"/>
  <c r="G1377" i="12"/>
  <c r="I1377" i="12" s="1"/>
  <c r="G1376" i="12"/>
  <c r="I1376" i="12" s="1"/>
  <c r="B1376" i="12"/>
  <c r="B1377" i="12" s="1"/>
  <c r="G1375" i="12"/>
  <c r="G1378" i="12" s="1"/>
  <c r="H1372" i="12"/>
  <c r="F1372" i="12"/>
  <c r="G1371" i="12"/>
  <c r="I1371" i="12" s="1"/>
  <c r="G1370" i="12"/>
  <c r="I1370" i="12" s="1"/>
  <c r="B1370" i="12"/>
  <c r="B1371" i="12" s="1"/>
  <c r="G1369" i="12"/>
  <c r="F1255" i="12"/>
  <c r="X1071" i="14"/>
  <c r="T1071" i="14"/>
  <c r="G1160" i="14"/>
  <c r="G1006" i="14"/>
  <c r="G1003" i="14"/>
  <c r="H1162" i="14"/>
  <c r="G1161" i="14"/>
  <c r="I1161" i="14" s="1"/>
  <c r="I1160" i="14"/>
  <c r="I1159" i="14"/>
  <c r="I1158" i="14"/>
  <c r="G1157" i="14"/>
  <c r="I1157" i="14" s="1"/>
  <c r="G1156" i="14"/>
  <c r="I1156" i="14" s="1"/>
  <c r="H1146" i="14"/>
  <c r="I1145" i="14"/>
  <c r="G1144" i="14"/>
  <c r="I1144" i="14" s="1"/>
  <c r="G1155" i="14"/>
  <c r="I1155" i="14" s="1"/>
  <c r="G1154" i="14"/>
  <c r="F1154" i="14"/>
  <c r="F1162" i="14" s="1"/>
  <c r="G1153" i="14"/>
  <c r="I1153" i="14" s="1"/>
  <c r="G1152" i="14"/>
  <c r="I1152" i="14" s="1"/>
  <c r="G1151" i="14"/>
  <c r="I1151" i="14" s="1"/>
  <c r="G1150" i="14"/>
  <c r="I1150" i="14" s="1"/>
  <c r="B1150" i="14"/>
  <c r="B1151" i="14" s="1"/>
  <c r="B1152" i="14" s="1"/>
  <c r="B1153" i="14" s="1"/>
  <c r="B1154" i="14" s="1"/>
  <c r="B1155" i="14" s="1"/>
  <c r="B1156" i="14" s="1"/>
  <c r="B1157" i="14" s="1"/>
  <c r="B1158" i="14" s="1"/>
  <c r="B1159" i="14" s="1"/>
  <c r="B1160" i="14" s="1"/>
  <c r="B1161" i="14" s="1"/>
  <c r="G1149" i="14"/>
  <c r="G1162" i="14" s="1"/>
  <c r="I1143" i="14"/>
  <c r="G1142" i="14"/>
  <c r="I1142" i="14" s="1"/>
  <c r="I1141" i="14"/>
  <c r="I1140" i="14"/>
  <c r="G1139" i="14"/>
  <c r="I1139" i="14" s="1"/>
  <c r="G1138" i="14"/>
  <c r="I1138" i="14" s="1"/>
  <c r="G1137" i="14"/>
  <c r="I1137" i="14" s="1"/>
  <c r="G1136" i="14"/>
  <c r="I1136" i="14" s="1"/>
  <c r="G1135" i="14"/>
  <c r="I1135" i="14" s="1"/>
  <c r="G1134" i="14"/>
  <c r="I1134" i="14" s="1"/>
  <c r="G1133" i="14"/>
  <c r="F1133" i="14"/>
  <c r="I1133" i="14" s="1"/>
  <c r="F1132" i="14"/>
  <c r="I1132" i="14" s="1"/>
  <c r="G1131" i="14"/>
  <c r="I1131" i="14" s="1"/>
  <c r="G1130" i="14"/>
  <c r="I1130" i="14" s="1"/>
  <c r="G1129" i="14"/>
  <c r="I1129" i="14" s="1"/>
  <c r="G1128" i="14"/>
  <c r="F1128" i="14"/>
  <c r="F1146" i="14" s="1"/>
  <c r="I1127" i="14"/>
  <c r="G1126" i="14"/>
  <c r="I1126" i="14" s="1"/>
  <c r="G1125" i="14"/>
  <c r="I1125" i="14" s="1"/>
  <c r="G1124" i="14"/>
  <c r="I1124" i="14" s="1"/>
  <c r="B1124" i="14"/>
  <c r="B1125" i="14" s="1"/>
  <c r="B1126" i="14" s="1"/>
  <c r="B1127" i="14" s="1"/>
  <c r="B1128" i="14" s="1"/>
  <c r="B1129" i="14" s="1"/>
  <c r="B1130" i="14" s="1"/>
  <c r="B1131" i="14" s="1"/>
  <c r="B1132" i="14" s="1"/>
  <c r="B1133" i="14" s="1"/>
  <c r="B1134" i="14" s="1"/>
  <c r="B1135" i="14" s="1"/>
  <c r="B1136" i="14" s="1"/>
  <c r="B1137" i="14" s="1"/>
  <c r="B1138" i="14" s="1"/>
  <c r="B1139" i="14" s="1"/>
  <c r="B1140" i="14" s="1"/>
  <c r="B1141" i="14" s="1"/>
  <c r="B1142" i="14" s="1"/>
  <c r="B1143" i="14" s="1"/>
  <c r="B1144" i="14" s="1"/>
  <c r="B1145" i="14" s="1"/>
  <c r="G1123" i="14"/>
  <c r="G1146" i="14" s="1"/>
  <c r="H1042" i="14"/>
  <c r="H1032" i="14"/>
  <c r="V1031" i="14"/>
  <c r="V1027" i="14"/>
  <c r="G252" i="23"/>
  <c r="H266" i="23"/>
  <c r="F266" i="23"/>
  <c r="G265" i="23"/>
  <c r="G178" i="23"/>
  <c r="F178" i="23"/>
  <c r="V177" i="23"/>
  <c r="B176" i="23"/>
  <c r="V176" i="23"/>
  <c r="T203" i="23"/>
  <c r="H141" i="24"/>
  <c r="G135" i="24"/>
  <c r="G140" i="24"/>
  <c r="F140" i="24"/>
  <c r="B140" i="24"/>
  <c r="G139" i="24"/>
  <c r="F93" i="24"/>
  <c r="G407" i="11"/>
  <c r="F391" i="11"/>
  <c r="H1441" i="9"/>
  <c r="G1440" i="9"/>
  <c r="I1440" i="9" s="1"/>
  <c r="G1439" i="9"/>
  <c r="I1439" i="9" s="1"/>
  <c r="G1438" i="9"/>
  <c r="I1438" i="9" s="1"/>
  <c r="G1429" i="9"/>
  <c r="I1429" i="9" s="1"/>
  <c r="G1437" i="9"/>
  <c r="I1437" i="9" s="1"/>
  <c r="G1436" i="9"/>
  <c r="I1436" i="9" s="1"/>
  <c r="G1435" i="9"/>
  <c r="I1435" i="9" s="1"/>
  <c r="G1434" i="9"/>
  <c r="F1434" i="9"/>
  <c r="I1434" i="9" s="1"/>
  <c r="B1434" i="9"/>
  <c r="B1435" i="9" s="1"/>
  <c r="B1436" i="9" s="1"/>
  <c r="B1437" i="9" s="1"/>
  <c r="B1438" i="9" s="1"/>
  <c r="B1439" i="9" s="1"/>
  <c r="B1440" i="9" s="1"/>
  <c r="G1433" i="9"/>
  <c r="G1441" i="9" s="1"/>
  <c r="F1433" i="9"/>
  <c r="F1441" i="9" s="1"/>
  <c r="G1428" i="9"/>
  <c r="I1428" i="9" s="1"/>
  <c r="G1427" i="9"/>
  <c r="I1427" i="9" s="1"/>
  <c r="G1426" i="9"/>
  <c r="F1426" i="9"/>
  <c r="I1426" i="9" s="1"/>
  <c r="G1425" i="9"/>
  <c r="I1425" i="9" s="1"/>
  <c r="G1424" i="9"/>
  <c r="I1424" i="9" s="1"/>
  <c r="G1423" i="9"/>
  <c r="I1423" i="9" s="1"/>
  <c r="G1422" i="9"/>
  <c r="I1422" i="9" s="1"/>
  <c r="I1421" i="9"/>
  <c r="H1420" i="9"/>
  <c r="H1430" i="9" s="1"/>
  <c r="G1420" i="9"/>
  <c r="I1420" i="9" s="1"/>
  <c r="I1419" i="9"/>
  <c r="G1418" i="9"/>
  <c r="F1418" i="9"/>
  <c r="F1430" i="9" s="1"/>
  <c r="I1417" i="9"/>
  <c r="G1416" i="9"/>
  <c r="I1416" i="9" s="1"/>
  <c r="G1415" i="9"/>
  <c r="I1415" i="9" s="1"/>
  <c r="B1415" i="9"/>
  <c r="B1416" i="9" s="1"/>
  <c r="B1417" i="9" s="1"/>
  <c r="B1418" i="9" s="1"/>
  <c r="B1419" i="9" s="1"/>
  <c r="B1420" i="9" s="1"/>
  <c r="B1421" i="9" s="1"/>
  <c r="B1422" i="9" s="1"/>
  <c r="B1423" i="9" s="1"/>
  <c r="B1424" i="9" s="1"/>
  <c r="B1425" i="9" s="1"/>
  <c r="B1426" i="9" s="1"/>
  <c r="B1427" i="9" s="1"/>
  <c r="B1428" i="9" s="1"/>
  <c r="B1429" i="9" s="1"/>
  <c r="G1414" i="9"/>
  <c r="G1430" i="9" s="1"/>
  <c r="G1339" i="9"/>
  <c r="T1254" i="8"/>
  <c r="G1300" i="8"/>
  <c r="G1330" i="8"/>
  <c r="G1217" i="8"/>
  <c r="G1215" i="8"/>
  <c r="F1331" i="8"/>
  <c r="I1301" i="8"/>
  <c r="I1300" i="8"/>
  <c r="I1330" i="8"/>
  <c r="F1182" i="8"/>
  <c r="F1181" i="8"/>
  <c r="H1329" i="8"/>
  <c r="H1331" i="8" s="1"/>
  <c r="G1329" i="8"/>
  <c r="I1329" i="8" s="1"/>
  <c r="B1329" i="8"/>
  <c r="B1330" i="8" s="1"/>
  <c r="G1328" i="8"/>
  <c r="G1331" i="8" s="1"/>
  <c r="H1325" i="8"/>
  <c r="F1325" i="8"/>
  <c r="I1324" i="8"/>
  <c r="G1323" i="8"/>
  <c r="I1323" i="8" s="1"/>
  <c r="G1322" i="8"/>
  <c r="I1322" i="8" s="1"/>
  <c r="G1321" i="8"/>
  <c r="I1321" i="8" s="1"/>
  <c r="G1320" i="8"/>
  <c r="I1320" i="8" s="1"/>
  <c r="G1319" i="8"/>
  <c r="I1319" i="8" s="1"/>
  <c r="G1318" i="8"/>
  <c r="I1318" i="8" s="1"/>
  <c r="I1317" i="8"/>
  <c r="B1317" i="8"/>
  <c r="B1318" i="8" s="1"/>
  <c r="B1319" i="8" s="1"/>
  <c r="B1320" i="8" s="1"/>
  <c r="B1321" i="8" s="1"/>
  <c r="B1322" i="8" s="1"/>
  <c r="B1323" i="8" s="1"/>
  <c r="B1324" i="8" s="1"/>
  <c r="G1316" i="8"/>
  <c r="B1207" i="8"/>
  <c r="B1208" i="8" s="1"/>
  <c r="B1209" i="8" s="1"/>
  <c r="B1210" i="8" s="1"/>
  <c r="B1211" i="8" s="1"/>
  <c r="H1231" i="8"/>
  <c r="H1006" i="17"/>
  <c r="F1006" i="17"/>
  <c r="G978" i="17"/>
  <c r="I978" i="17" s="1"/>
  <c r="G1005" i="17"/>
  <c r="I1005" i="17" s="1"/>
  <c r="G858" i="17"/>
  <c r="G857" i="17"/>
  <c r="G855" i="17"/>
  <c r="G854" i="17"/>
  <c r="G1004" i="17"/>
  <c r="I1004" i="17" s="1"/>
  <c r="B1004" i="17"/>
  <c r="B1005" i="17" s="1"/>
  <c r="G1003" i="17"/>
  <c r="G1006" i="17" s="1"/>
  <c r="H999" i="17"/>
  <c r="G977" i="17"/>
  <c r="I977" i="17" s="1"/>
  <c r="G998" i="17"/>
  <c r="G999" i="17" s="1"/>
  <c r="F998" i="17"/>
  <c r="B883" i="17"/>
  <c r="B872" i="17"/>
  <c r="H884" i="17"/>
  <c r="H629" i="20"/>
  <c r="H634" i="20"/>
  <c r="F634" i="20"/>
  <c r="G628" i="20"/>
  <c r="I628" i="20" s="1"/>
  <c r="G627" i="20"/>
  <c r="I627" i="20" s="1"/>
  <c r="G626" i="20"/>
  <c r="I626" i="20" s="1"/>
  <c r="G625" i="20"/>
  <c r="I625" i="20" s="1"/>
  <c r="G624" i="20"/>
  <c r="I624" i="20" s="1"/>
  <c r="H1285" i="5"/>
  <c r="F1285" i="5"/>
  <c r="B1284" i="5"/>
  <c r="I1248" i="5"/>
  <c r="G1397" i="5"/>
  <c r="I1397" i="5" s="1"/>
  <c r="I1401" i="5"/>
  <c r="I1402" i="5" s="1"/>
  <c r="B1397" i="5"/>
  <c r="V1295" i="5"/>
  <c r="G164" i="23"/>
  <c r="G1271" i="12"/>
  <c r="G1004" i="14"/>
  <c r="G1218" i="8"/>
  <c r="G1297" i="5"/>
  <c r="G1103" i="14"/>
  <c r="V1339" i="12"/>
  <c r="F1338" i="12"/>
  <c r="Q1325" i="12" s="1"/>
  <c r="G1338" i="12"/>
  <c r="V1338" i="12"/>
  <c r="G1365" i="12"/>
  <c r="G1381" i="12"/>
  <c r="K1091" i="14"/>
  <c r="V1119" i="14"/>
  <c r="G1445" i="9"/>
  <c r="K223" i="23"/>
  <c r="G256" i="23"/>
  <c r="I256" i="23" s="1"/>
  <c r="V233" i="23"/>
  <c r="V291" i="23" s="1"/>
  <c r="F1286" i="8"/>
  <c r="G1286" i="8"/>
  <c r="V1286" i="8"/>
  <c r="G1284" i="8"/>
  <c r="G1296" i="8" s="1"/>
  <c r="K941" i="17"/>
  <c r="W953" i="17"/>
  <c r="V951" i="17"/>
  <c r="V1030" i="17" s="1"/>
  <c r="G951" i="17"/>
  <c r="K592" i="20"/>
  <c r="V614" i="20"/>
  <c r="K1353" i="5"/>
  <c r="G1405" i="5"/>
  <c r="G1365" i="5"/>
  <c r="V1365" i="5"/>
  <c r="V1363" i="5"/>
  <c r="G1363" i="5"/>
  <c r="G1376" i="5" s="1"/>
  <c r="B470" i="4"/>
  <c r="B467" i="4"/>
  <c r="B464" i="4"/>
  <c r="B461" i="4"/>
  <c r="B458" i="4"/>
  <c r="B455" i="4"/>
  <c r="B452" i="4"/>
  <c r="B449" i="4"/>
  <c r="K461" i="3"/>
  <c r="D461" i="3"/>
  <c r="E461" i="3"/>
  <c r="F461" i="3"/>
  <c r="G461" i="3"/>
  <c r="C458" i="3"/>
  <c r="D455" i="3"/>
  <c r="E455" i="3"/>
  <c r="F455" i="3"/>
  <c r="G455" i="3"/>
  <c r="C455" i="3"/>
  <c r="D452" i="3"/>
  <c r="D449" i="3"/>
  <c r="E449" i="3"/>
  <c r="F449" i="3"/>
  <c r="G449" i="3"/>
  <c r="D446" i="3"/>
  <c r="E446" i="3"/>
  <c r="F446" i="3"/>
  <c r="G446" i="3"/>
  <c r="C446" i="3"/>
  <c r="D443" i="3"/>
  <c r="E443" i="3"/>
  <c r="F443" i="3"/>
  <c r="G443" i="3"/>
  <c r="C443" i="3"/>
  <c r="E440" i="3"/>
  <c r="F440" i="3"/>
  <c r="G440" i="3"/>
  <c r="C440" i="3"/>
  <c r="P1395" i="9"/>
  <c r="H452" i="3" s="1"/>
  <c r="P435" i="11"/>
  <c r="P120" i="24"/>
  <c r="P223" i="23"/>
  <c r="H455" i="3" s="1"/>
  <c r="P1091" i="14"/>
  <c r="H458" i="3" s="1"/>
  <c r="P941" i="17"/>
  <c r="H446" i="3" s="1"/>
  <c r="P592" i="20"/>
  <c r="H443" i="3" s="1"/>
  <c r="K464" i="3"/>
  <c r="I464" i="3"/>
  <c r="G464" i="3"/>
  <c r="F464" i="3"/>
  <c r="E464" i="3"/>
  <c r="B473" i="4"/>
  <c r="O1239" i="12"/>
  <c r="H1275" i="12"/>
  <c r="F1275" i="12"/>
  <c r="H1304" i="12"/>
  <c r="F1304" i="12"/>
  <c r="G632" i="20"/>
  <c r="I632" i="20"/>
  <c r="B633" i="20"/>
  <c r="G633" i="20"/>
  <c r="I633" i="20"/>
  <c r="F620" i="20"/>
  <c r="G620" i="20"/>
  <c r="I620" i="20"/>
  <c r="B621" i="20"/>
  <c r="F621" i="20"/>
  <c r="G621" i="20"/>
  <c r="I621" i="20"/>
  <c r="B622" i="20"/>
  <c r="G622" i="20"/>
  <c r="I622" i="20"/>
  <c r="B623" i="20"/>
  <c r="B624" i="20" s="1"/>
  <c r="B625" i="20" s="1"/>
  <c r="B626" i="20" s="1"/>
  <c r="B627" i="20" s="1"/>
  <c r="B628" i="20" s="1"/>
  <c r="G623" i="20"/>
  <c r="I623" i="20"/>
  <c r="T1168" i="14"/>
  <c r="V1168" i="14"/>
  <c r="W1168" i="14"/>
  <c r="X1168" i="14"/>
  <c r="I1165" i="14"/>
  <c r="B1166" i="14"/>
  <c r="I1166" i="14"/>
  <c r="F1167" i="14"/>
  <c r="G1167" i="14"/>
  <c r="H1167" i="14"/>
  <c r="I1167" i="14"/>
  <c r="I1103" i="14"/>
  <c r="I1119" i="14"/>
  <c r="F1120" i="14"/>
  <c r="R1091" i="14" s="1"/>
  <c r="G1120" i="14"/>
  <c r="H1120" i="14"/>
  <c r="I1120" i="14"/>
  <c r="R1083" i="14" s="1"/>
  <c r="I1108" i="14"/>
  <c r="B1109" i="14"/>
  <c r="I1109" i="14"/>
  <c r="B1110" i="14"/>
  <c r="I1110" i="14"/>
  <c r="B1111" i="14"/>
  <c r="I1111" i="14"/>
  <c r="B1112" i="14"/>
  <c r="I1112" i="14"/>
  <c r="B1113" i="14"/>
  <c r="I1113" i="14"/>
  <c r="B1114" i="14"/>
  <c r="I1114" i="14"/>
  <c r="B1115" i="14"/>
  <c r="I1115" i="14"/>
  <c r="F1116" i="14"/>
  <c r="G1116" i="14"/>
  <c r="H1116" i="14"/>
  <c r="I1116" i="14"/>
  <c r="F1104" i="14"/>
  <c r="P458" i="3" s="1"/>
  <c r="G1104" i="14"/>
  <c r="H1104" i="14"/>
  <c r="I1104" i="14"/>
  <c r="G1081" i="14" s="1"/>
  <c r="K1104" i="14"/>
  <c r="L1104" i="14"/>
  <c r="M1104" i="14"/>
  <c r="N1104" i="14"/>
  <c r="O1104" i="14"/>
  <c r="P1104" i="14"/>
  <c r="Q1104" i="14"/>
  <c r="R1104" i="14"/>
  <c r="S1104" i="14"/>
  <c r="K1105" i="14"/>
  <c r="L1105" i="14"/>
  <c r="M1105" i="14"/>
  <c r="N1105" i="14"/>
  <c r="O1105" i="14"/>
  <c r="P1105" i="14"/>
  <c r="Q1105" i="14"/>
  <c r="R1105" i="14"/>
  <c r="S1105" i="14"/>
  <c r="K1077" i="14"/>
  <c r="L1077" i="14"/>
  <c r="M1077" i="14"/>
  <c r="N1077" i="14"/>
  <c r="O1077" i="14"/>
  <c r="P1077" i="14"/>
  <c r="Q1077" i="14"/>
  <c r="R1077" i="14"/>
  <c r="S1077" i="14"/>
  <c r="T1077" i="14"/>
  <c r="A467" i="4" s="1"/>
  <c r="K1078" i="14"/>
  <c r="L1078" i="14"/>
  <c r="M1078" i="14"/>
  <c r="N1078" i="14"/>
  <c r="O1078" i="14"/>
  <c r="P1078" i="14"/>
  <c r="Q1078" i="14"/>
  <c r="R1078" i="14"/>
  <c r="S1078" i="14"/>
  <c r="F1082" i="14"/>
  <c r="P467" i="4"/>
  <c r="F1084" i="14"/>
  <c r="P1084" i="14"/>
  <c r="C1077" i="14" s="1"/>
  <c r="F1085" i="14"/>
  <c r="H1085" i="14"/>
  <c r="P1085" i="14"/>
  <c r="C1078" i="14" s="1"/>
  <c r="K1086" i="14"/>
  <c r="L1086" i="14"/>
  <c r="M1086" i="14"/>
  <c r="N1086" i="14"/>
  <c r="O1086" i="14"/>
  <c r="P1086" i="14"/>
  <c r="Q1086" i="14"/>
  <c r="F1087" i="14"/>
  <c r="H1087" i="14"/>
  <c r="L1087" i="14"/>
  <c r="M1087" i="14"/>
  <c r="N1087" i="14"/>
  <c r="O1087" i="14"/>
  <c r="Q1087" i="14"/>
  <c r="H1088" i="14"/>
  <c r="F1089" i="14"/>
  <c r="M458" i="3"/>
  <c r="O458" i="3"/>
  <c r="K1092" i="14"/>
  <c r="L1092" i="14"/>
  <c r="M1092" i="14"/>
  <c r="N1092" i="14"/>
  <c r="O1092" i="14"/>
  <c r="P1092" i="14"/>
  <c r="Q1092" i="14"/>
  <c r="K1093" i="14"/>
  <c r="L1093" i="14"/>
  <c r="M1093" i="14"/>
  <c r="N1093" i="14"/>
  <c r="O1093" i="14"/>
  <c r="P1093" i="14"/>
  <c r="Q1093" i="14"/>
  <c r="K1094" i="14"/>
  <c r="L1094" i="14"/>
  <c r="M1094" i="14"/>
  <c r="N1094" i="14"/>
  <c r="O1094" i="14"/>
  <c r="P1094" i="14"/>
  <c r="Q1094" i="14"/>
  <c r="K1095" i="14"/>
  <c r="L1095" i="14"/>
  <c r="M1095" i="14"/>
  <c r="N1095" i="14"/>
  <c r="O1095" i="14"/>
  <c r="P1095" i="14"/>
  <c r="Q1095" i="14"/>
  <c r="I270" i="23"/>
  <c r="B271" i="23"/>
  <c r="I271" i="23"/>
  <c r="B272" i="23"/>
  <c r="I272" i="23"/>
  <c r="B273" i="23"/>
  <c r="I273" i="23"/>
  <c r="B274" i="23"/>
  <c r="I274" i="23"/>
  <c r="B275" i="23"/>
  <c r="I275" i="23"/>
  <c r="B276" i="23"/>
  <c r="I276" i="23"/>
  <c r="B277" i="23"/>
  <c r="I277" i="23"/>
  <c r="B278" i="23"/>
  <c r="I278" i="23"/>
  <c r="B279" i="23"/>
  <c r="I279" i="23"/>
  <c r="B280" i="23"/>
  <c r="I280" i="23"/>
  <c r="B281" i="23"/>
  <c r="I281" i="23"/>
  <c r="B282" i="23"/>
  <c r="I282" i="23"/>
  <c r="B283" i="23"/>
  <c r="I283" i="23"/>
  <c r="B284" i="23"/>
  <c r="I284" i="23"/>
  <c r="B285" i="23"/>
  <c r="B286" i="23" s="1"/>
  <c r="B287" i="23" s="1"/>
  <c r="B288" i="23" s="1"/>
  <c r="B289" i="23" s="1"/>
  <c r="I285" i="23"/>
  <c r="F290" i="23"/>
  <c r="G290" i="23"/>
  <c r="H290" i="23"/>
  <c r="I290" i="23"/>
  <c r="I236" i="23"/>
  <c r="I238" i="23"/>
  <c r="I242" i="23"/>
  <c r="I260" i="23"/>
  <c r="B261" i="23"/>
  <c r="F257" i="23"/>
  <c r="G257" i="23"/>
  <c r="H257" i="23"/>
  <c r="I257" i="23"/>
  <c r="F253" i="23"/>
  <c r="G253" i="23"/>
  <c r="H253" i="23"/>
  <c r="I233" i="23"/>
  <c r="K215" i="23" s="1"/>
  <c r="D464" i="4" s="1"/>
  <c r="B234" i="23"/>
  <c r="I234" i="23"/>
  <c r="B235" i="23"/>
  <c r="B236" i="23" s="1"/>
  <c r="B237" i="23" s="1"/>
  <c r="I235" i="23"/>
  <c r="B238" i="23"/>
  <c r="B239" i="23" s="1"/>
  <c r="I237" i="23"/>
  <c r="I239" i="23"/>
  <c r="B240" i="23"/>
  <c r="I240" i="23"/>
  <c r="B241" i="23"/>
  <c r="I241" i="23"/>
  <c r="B242" i="23"/>
  <c r="B243" i="23"/>
  <c r="I243" i="23"/>
  <c r="B244" i="23"/>
  <c r="I244" i="23"/>
  <c r="B245" i="23"/>
  <c r="I245" i="23"/>
  <c r="B246" i="23"/>
  <c r="I246" i="23"/>
  <c r="B247" i="23"/>
  <c r="F248" i="23"/>
  <c r="P455" i="3" s="1"/>
  <c r="G248" i="23"/>
  <c r="H248" i="23"/>
  <c r="I248" i="23"/>
  <c r="K248" i="23"/>
  <c r="L248" i="23"/>
  <c r="M248" i="23"/>
  <c r="N248" i="23"/>
  <c r="O248" i="23"/>
  <c r="P248" i="23"/>
  <c r="Q248" i="23"/>
  <c r="R248" i="23"/>
  <c r="S248" i="23"/>
  <c r="K249" i="23"/>
  <c r="L249" i="23"/>
  <c r="M249" i="23"/>
  <c r="N249" i="23"/>
  <c r="O249" i="23"/>
  <c r="P249" i="23"/>
  <c r="Q249" i="23"/>
  <c r="R249" i="23"/>
  <c r="S249" i="23"/>
  <c r="K209" i="23"/>
  <c r="L209" i="23"/>
  <c r="M209" i="23"/>
  <c r="N209" i="23"/>
  <c r="O209" i="23"/>
  <c r="P209" i="23"/>
  <c r="Q209" i="23"/>
  <c r="R209" i="23"/>
  <c r="S209" i="23"/>
  <c r="T209" i="23"/>
  <c r="A464" i="4" s="1"/>
  <c r="K210" i="23"/>
  <c r="L210" i="23"/>
  <c r="M210" i="23"/>
  <c r="N210" i="23"/>
  <c r="O210" i="23"/>
  <c r="P210" i="23"/>
  <c r="Q210" i="23"/>
  <c r="R210" i="23"/>
  <c r="S210" i="23"/>
  <c r="F214" i="23"/>
  <c r="P464" i="4"/>
  <c r="F216" i="23"/>
  <c r="P216" i="23"/>
  <c r="C209" i="23" s="1"/>
  <c r="F217" i="23"/>
  <c r="H217" i="23"/>
  <c r="P217" i="23"/>
  <c r="C210" i="23" s="1"/>
  <c r="K218" i="23"/>
  <c r="L218" i="23"/>
  <c r="M218" i="23"/>
  <c r="N218" i="23"/>
  <c r="O218" i="23"/>
  <c r="P218" i="23"/>
  <c r="Q218" i="23"/>
  <c r="K219" i="23"/>
  <c r="Q219" i="23"/>
  <c r="H220" i="23"/>
  <c r="F221" i="23"/>
  <c r="R223" i="23"/>
  <c r="M455" i="3" s="1"/>
  <c r="O455" i="3"/>
  <c r="K224" i="23"/>
  <c r="L224" i="23"/>
  <c r="M224" i="23"/>
  <c r="N224" i="23"/>
  <c r="O224" i="23"/>
  <c r="P224" i="23"/>
  <c r="Q224" i="23"/>
  <c r="K225" i="23"/>
  <c r="L225" i="23"/>
  <c r="M225" i="23"/>
  <c r="N225" i="23"/>
  <c r="O225" i="23"/>
  <c r="P225" i="23"/>
  <c r="Q225" i="23"/>
  <c r="K226" i="23"/>
  <c r="L226" i="23"/>
  <c r="M226" i="23"/>
  <c r="N226" i="23"/>
  <c r="O226" i="23"/>
  <c r="P226" i="23"/>
  <c r="Q226" i="23"/>
  <c r="K227" i="23"/>
  <c r="L227" i="23"/>
  <c r="M227" i="23"/>
  <c r="N227" i="23"/>
  <c r="O227" i="23"/>
  <c r="P227" i="23"/>
  <c r="Q227" i="23"/>
  <c r="T142" i="24"/>
  <c r="V142" i="24"/>
  <c r="W142" i="24"/>
  <c r="X142" i="24"/>
  <c r="I130" i="24"/>
  <c r="F131" i="24"/>
  <c r="G131" i="24"/>
  <c r="H131" i="24"/>
  <c r="I131" i="24"/>
  <c r="G110" i="24" s="1"/>
  <c r="K131" i="24"/>
  <c r="L131" i="24"/>
  <c r="M131" i="24"/>
  <c r="N131" i="24"/>
  <c r="O131" i="24"/>
  <c r="P131" i="24"/>
  <c r="Q131" i="24"/>
  <c r="R131" i="24"/>
  <c r="S131" i="24"/>
  <c r="K132" i="24"/>
  <c r="L132" i="24"/>
  <c r="M132" i="24"/>
  <c r="N132" i="24"/>
  <c r="O132" i="24"/>
  <c r="P132" i="24"/>
  <c r="Q132" i="24"/>
  <c r="R132" i="24"/>
  <c r="S132" i="24"/>
  <c r="K106" i="24"/>
  <c r="L106" i="24"/>
  <c r="M106" i="24"/>
  <c r="N106" i="24"/>
  <c r="O106" i="24"/>
  <c r="P106" i="24"/>
  <c r="Q106" i="24"/>
  <c r="R106" i="24"/>
  <c r="S106" i="24"/>
  <c r="T106" i="24"/>
  <c r="K107" i="24"/>
  <c r="L107" i="24"/>
  <c r="M107" i="24"/>
  <c r="N107" i="24"/>
  <c r="O107" i="24"/>
  <c r="P107" i="24"/>
  <c r="Q107" i="24"/>
  <c r="R107" i="24"/>
  <c r="S107" i="24"/>
  <c r="F111" i="24"/>
  <c r="P112" i="24"/>
  <c r="F110" i="24" s="1"/>
  <c r="F112" i="24" s="1"/>
  <c r="H112" i="24" s="1"/>
  <c r="F113" i="24"/>
  <c r="P113" i="24"/>
  <c r="C106" i="24" s="1"/>
  <c r="F114" i="24"/>
  <c r="H114" i="24"/>
  <c r="P114" i="24"/>
  <c r="C107" i="24" s="1"/>
  <c r="K115" i="24"/>
  <c r="L115" i="24"/>
  <c r="M115" i="24"/>
  <c r="N115" i="24"/>
  <c r="O115" i="24"/>
  <c r="P115" i="24"/>
  <c r="C108" i="24" s="1"/>
  <c r="Q115" i="24"/>
  <c r="K116" i="24"/>
  <c r="L116" i="24"/>
  <c r="M116" i="24"/>
  <c r="N116" i="24"/>
  <c r="O116" i="24"/>
  <c r="P116" i="24"/>
  <c r="C110" i="24" s="1"/>
  <c r="Q116" i="24"/>
  <c r="H117" i="24"/>
  <c r="F118" i="24"/>
  <c r="K121" i="24"/>
  <c r="L121" i="24"/>
  <c r="M121" i="24"/>
  <c r="N121" i="24"/>
  <c r="O121" i="24"/>
  <c r="P121" i="24"/>
  <c r="Q121" i="24"/>
  <c r="K122" i="24"/>
  <c r="L122" i="24"/>
  <c r="M122" i="24"/>
  <c r="N122" i="24"/>
  <c r="O122" i="24"/>
  <c r="P122" i="24"/>
  <c r="Q122" i="24"/>
  <c r="K123" i="24"/>
  <c r="L123" i="24"/>
  <c r="M123" i="24"/>
  <c r="N123" i="24"/>
  <c r="O123" i="24"/>
  <c r="P123" i="24"/>
  <c r="Q123" i="24"/>
  <c r="K124" i="24"/>
  <c r="L124" i="24"/>
  <c r="M124" i="24"/>
  <c r="N124" i="24"/>
  <c r="O124" i="24"/>
  <c r="P124" i="24"/>
  <c r="Q124" i="24"/>
  <c r="I1444" i="9"/>
  <c r="B1445" i="9"/>
  <c r="I1445" i="9"/>
  <c r="B1446" i="9"/>
  <c r="I1446" i="9"/>
  <c r="B1447" i="9"/>
  <c r="I1447" i="9"/>
  <c r="B1448" i="9"/>
  <c r="I1448" i="9"/>
  <c r="F1449" i="9"/>
  <c r="G1449" i="9"/>
  <c r="H1449" i="9"/>
  <c r="I1449" i="9"/>
  <c r="I1409" i="9"/>
  <c r="I1405" i="9"/>
  <c r="B1406" i="9"/>
  <c r="I1406" i="9"/>
  <c r="B1407" i="9"/>
  <c r="I1407" i="9"/>
  <c r="B1408" i="9"/>
  <c r="B1409" i="9" s="1"/>
  <c r="I1408" i="9"/>
  <c r="F1410" i="9"/>
  <c r="P452" i="3" s="1"/>
  <c r="G1410" i="9"/>
  <c r="H1410" i="9"/>
  <c r="I1410" i="9"/>
  <c r="G1385" i="9" s="1"/>
  <c r="K1410" i="9"/>
  <c r="L1410" i="9"/>
  <c r="M1410" i="9"/>
  <c r="N1410" i="9"/>
  <c r="O1410" i="9"/>
  <c r="P1410" i="9"/>
  <c r="Q1410" i="9"/>
  <c r="R1410" i="9"/>
  <c r="K1411" i="9"/>
  <c r="L1411" i="9"/>
  <c r="M1411" i="9"/>
  <c r="N1411" i="9"/>
  <c r="O1411" i="9"/>
  <c r="P1411" i="9"/>
  <c r="Q1411" i="9"/>
  <c r="R1411" i="9"/>
  <c r="S1411" i="9"/>
  <c r="K1381" i="9"/>
  <c r="L1381" i="9"/>
  <c r="M1381" i="9"/>
  <c r="N1381" i="9"/>
  <c r="O1381" i="9"/>
  <c r="P1381" i="9"/>
  <c r="Q1381" i="9"/>
  <c r="R1381" i="9"/>
  <c r="S1381" i="9"/>
  <c r="T1381" i="9"/>
  <c r="A461" i="4" s="1"/>
  <c r="K1382" i="9"/>
  <c r="L1382" i="9"/>
  <c r="M1382" i="9"/>
  <c r="N1382" i="9"/>
  <c r="O1382" i="9"/>
  <c r="P1382" i="9"/>
  <c r="Q1382" i="9"/>
  <c r="R1382" i="9"/>
  <c r="S1382" i="9"/>
  <c r="F1386" i="9"/>
  <c r="P461" i="4"/>
  <c r="F1388" i="9"/>
  <c r="P1388" i="9"/>
  <c r="C1381" i="9" s="1"/>
  <c r="F1389" i="9"/>
  <c r="H1389" i="9"/>
  <c r="P1389" i="9"/>
  <c r="C1382" i="9" s="1"/>
  <c r="K1390" i="9"/>
  <c r="L1390" i="9"/>
  <c r="M1390" i="9"/>
  <c r="N1390" i="9"/>
  <c r="O1390" i="9"/>
  <c r="P1390" i="9"/>
  <c r="C1383" i="9" s="1"/>
  <c r="Q1390" i="9"/>
  <c r="F1391" i="9"/>
  <c r="H1391" i="9"/>
  <c r="K1391" i="9"/>
  <c r="M1391" i="9"/>
  <c r="N1391" i="9"/>
  <c r="O1391" i="9"/>
  <c r="Q1391" i="9"/>
  <c r="H1392" i="9"/>
  <c r="F1393" i="9"/>
  <c r="M452" i="3"/>
  <c r="O452" i="3"/>
  <c r="K1396" i="9"/>
  <c r="L1396" i="9"/>
  <c r="M1396" i="9"/>
  <c r="N1396" i="9"/>
  <c r="O1396" i="9"/>
  <c r="P1396" i="9"/>
  <c r="Q1396" i="9"/>
  <c r="K1397" i="9"/>
  <c r="L1397" i="9"/>
  <c r="M1397" i="9"/>
  <c r="N1397" i="9"/>
  <c r="O1397" i="9"/>
  <c r="P1397" i="9"/>
  <c r="Q1397" i="9"/>
  <c r="K1398" i="9"/>
  <c r="L1398" i="9"/>
  <c r="M1398" i="9"/>
  <c r="N1398" i="9"/>
  <c r="O1398" i="9"/>
  <c r="P1398" i="9"/>
  <c r="Q1398" i="9"/>
  <c r="K1399" i="9"/>
  <c r="L1399" i="9"/>
  <c r="M1399" i="9"/>
  <c r="N1399" i="9"/>
  <c r="O1399" i="9"/>
  <c r="P1399" i="9"/>
  <c r="Q1399" i="9"/>
  <c r="I1027" i="17"/>
  <c r="B1028" i="17"/>
  <c r="I1028" i="17"/>
  <c r="F1029" i="17"/>
  <c r="G1029" i="17"/>
  <c r="H1029" i="17"/>
  <c r="I1029" i="17"/>
  <c r="I1009" i="17"/>
  <c r="B1010" i="17"/>
  <c r="I1010" i="17"/>
  <c r="B1011" i="17"/>
  <c r="I1011" i="17"/>
  <c r="B1012" i="17"/>
  <c r="I1012" i="17"/>
  <c r="B1013" i="17"/>
  <c r="I1013" i="17"/>
  <c r="B1014" i="17"/>
  <c r="I1014" i="17"/>
  <c r="B1015" i="17"/>
  <c r="I1015" i="17"/>
  <c r="B1016" i="17"/>
  <c r="I1016" i="17"/>
  <c r="B1017" i="17"/>
  <c r="I1017" i="17"/>
  <c r="B1018" i="17"/>
  <c r="I1018" i="17"/>
  <c r="B1019" i="17"/>
  <c r="I1019" i="17"/>
  <c r="B1020" i="17"/>
  <c r="I1020" i="17"/>
  <c r="B1021" i="17"/>
  <c r="I1021" i="17"/>
  <c r="B1022" i="17"/>
  <c r="I1022" i="17"/>
  <c r="B1023" i="17"/>
  <c r="I1023" i="17"/>
  <c r="F1024" i="17"/>
  <c r="G1024" i="17"/>
  <c r="H1024" i="17"/>
  <c r="I1024" i="17"/>
  <c r="I994" i="17"/>
  <c r="F995" i="17"/>
  <c r="S941" i="17" s="1"/>
  <c r="G995" i="17"/>
  <c r="H995" i="17"/>
  <c r="I995" i="17"/>
  <c r="S933" i="17" s="1"/>
  <c r="I952" i="17"/>
  <c r="I987" i="17"/>
  <c r="B988" i="17"/>
  <c r="I988" i="17"/>
  <c r="B989" i="17"/>
  <c r="I989" i="17"/>
  <c r="I982" i="17"/>
  <c r="B983" i="17"/>
  <c r="F984" i="17"/>
  <c r="R941" i="17" s="1"/>
  <c r="G984" i="17"/>
  <c r="H984" i="17"/>
  <c r="I984" i="17"/>
  <c r="F979" i="17"/>
  <c r="G979" i="17"/>
  <c r="H979" i="17"/>
  <c r="I979" i="17"/>
  <c r="F936" i="17" s="1"/>
  <c r="I971" i="17"/>
  <c r="B972" i="17"/>
  <c r="I972" i="17"/>
  <c r="B973" i="17"/>
  <c r="I973" i="17"/>
  <c r="Q933" i="17" s="1"/>
  <c r="F974" i="17"/>
  <c r="G974" i="17"/>
  <c r="H974" i="17"/>
  <c r="I974" i="17"/>
  <c r="I951" i="17"/>
  <c r="I953" i="17"/>
  <c r="B954" i="17"/>
  <c r="I954" i="17"/>
  <c r="B955" i="17"/>
  <c r="I955" i="17"/>
  <c r="B956" i="17"/>
  <c r="I956" i="17"/>
  <c r="B957" i="17"/>
  <c r="I957" i="17"/>
  <c r="B958" i="17"/>
  <c r="I958" i="17"/>
  <c r="B959" i="17"/>
  <c r="I959" i="17"/>
  <c r="B960" i="17"/>
  <c r="I960" i="17"/>
  <c r="B961" i="17"/>
  <c r="I961" i="17"/>
  <c r="B962" i="17"/>
  <c r="I962" i="17"/>
  <c r="B963" i="17"/>
  <c r="I963" i="17"/>
  <c r="B964" i="17"/>
  <c r="I964" i="17"/>
  <c r="B965" i="17"/>
  <c r="B966" i="17"/>
  <c r="I966" i="17"/>
  <c r="F967" i="17"/>
  <c r="P446" i="3" s="1"/>
  <c r="G967" i="17"/>
  <c r="H967" i="17"/>
  <c r="I967" i="17"/>
  <c r="K967" i="17"/>
  <c r="L967" i="17"/>
  <c r="M967" i="17"/>
  <c r="N967" i="17"/>
  <c r="O967" i="17"/>
  <c r="P967" i="17"/>
  <c r="Q967" i="17"/>
  <c r="R967" i="17"/>
  <c r="S967" i="17"/>
  <c r="K968" i="17"/>
  <c r="L968" i="17"/>
  <c r="M968" i="17"/>
  <c r="N968" i="17"/>
  <c r="O968" i="17"/>
  <c r="P968" i="17"/>
  <c r="Q968" i="17"/>
  <c r="R968" i="17"/>
  <c r="S968" i="17"/>
  <c r="K927" i="17"/>
  <c r="L927" i="17"/>
  <c r="M927" i="17"/>
  <c r="N927" i="17"/>
  <c r="O927" i="17"/>
  <c r="P927" i="17"/>
  <c r="Q927" i="17"/>
  <c r="R927" i="17"/>
  <c r="S927" i="17"/>
  <c r="T927" i="17"/>
  <c r="A455" i="4" s="1"/>
  <c r="K928" i="17"/>
  <c r="L928" i="17"/>
  <c r="M928" i="17"/>
  <c r="N928" i="17"/>
  <c r="O928" i="17"/>
  <c r="P928" i="17"/>
  <c r="Q928" i="17"/>
  <c r="R928" i="17"/>
  <c r="S928" i="17"/>
  <c r="F932" i="17"/>
  <c r="F934" i="17"/>
  <c r="F935" i="17" s="1"/>
  <c r="P934" i="17"/>
  <c r="C927" i="17" s="1"/>
  <c r="H935" i="17"/>
  <c r="P935" i="17"/>
  <c r="C928" i="17" s="1"/>
  <c r="K936" i="17"/>
  <c r="L936" i="17"/>
  <c r="M936" i="17"/>
  <c r="N936" i="17"/>
  <c r="O936" i="17"/>
  <c r="P936" i="17"/>
  <c r="Q936" i="17"/>
  <c r="F937" i="17"/>
  <c r="H937" i="17"/>
  <c r="Q937" i="17"/>
  <c r="H938" i="17"/>
  <c r="F939" i="17"/>
  <c r="K942" i="17"/>
  <c r="L942" i="17"/>
  <c r="M942" i="17"/>
  <c r="N942" i="17"/>
  <c r="O942" i="17"/>
  <c r="P942" i="17"/>
  <c r="Q942" i="17"/>
  <c r="K943" i="17"/>
  <c r="L943" i="17"/>
  <c r="M943" i="17"/>
  <c r="N943" i="17"/>
  <c r="O943" i="17"/>
  <c r="P943" i="17"/>
  <c r="Q943" i="17"/>
  <c r="K944" i="17"/>
  <c r="L944" i="17"/>
  <c r="M944" i="17"/>
  <c r="N944" i="17"/>
  <c r="O944" i="17"/>
  <c r="P944" i="17"/>
  <c r="Q944" i="17"/>
  <c r="K945" i="17"/>
  <c r="L945" i="17"/>
  <c r="M945" i="17"/>
  <c r="N945" i="17"/>
  <c r="O945" i="17"/>
  <c r="P945" i="17"/>
  <c r="Q945" i="17"/>
  <c r="I637" i="20"/>
  <c r="B638" i="20"/>
  <c r="I638" i="20"/>
  <c r="B639" i="20"/>
  <c r="I639" i="20"/>
  <c r="B640" i="20"/>
  <c r="B641" i="20" s="1"/>
  <c r="B642" i="20" s="1"/>
  <c r="I640" i="20"/>
  <c r="I642" i="20"/>
  <c r="B643" i="20"/>
  <c r="I643" i="20"/>
  <c r="B644" i="20"/>
  <c r="I644" i="20"/>
  <c r="B645" i="20"/>
  <c r="I645" i="20"/>
  <c r="B646" i="20"/>
  <c r="I646" i="20"/>
  <c r="B647" i="20"/>
  <c r="I647" i="20"/>
  <c r="B648" i="20"/>
  <c r="I648" i="20"/>
  <c r="B649" i="20"/>
  <c r="I649" i="20"/>
  <c r="B650" i="20"/>
  <c r="I650" i="20"/>
  <c r="B651" i="20"/>
  <c r="I651" i="20"/>
  <c r="B652" i="20"/>
  <c r="I652" i="20"/>
  <c r="B653" i="20"/>
  <c r="I653" i="20"/>
  <c r="B654" i="20"/>
  <c r="B655" i="20" s="1"/>
  <c r="B656" i="20" s="1"/>
  <c r="I654" i="20"/>
  <c r="I656" i="20"/>
  <c r="F657" i="20"/>
  <c r="G657" i="20"/>
  <c r="H657" i="20"/>
  <c r="I614" i="20"/>
  <c r="I641" i="20"/>
  <c r="I657" i="20" s="1"/>
  <c r="I604" i="20"/>
  <c r="I605" i="20"/>
  <c r="M584" i="20" s="1"/>
  <c r="F452" i="4" s="1"/>
  <c r="I616" i="20"/>
  <c r="F617" i="20"/>
  <c r="R592" i="20" s="1"/>
  <c r="G617" i="20"/>
  <c r="H617" i="20"/>
  <c r="I617" i="20"/>
  <c r="I602" i="20"/>
  <c r="B603" i="20"/>
  <c r="B604" i="20" s="1"/>
  <c r="B605" i="20" s="1"/>
  <c r="B606" i="20" s="1"/>
  <c r="I603" i="20"/>
  <c r="L584" i="20" s="1"/>
  <c r="I606" i="20"/>
  <c r="B607" i="20"/>
  <c r="I607" i="20"/>
  <c r="B608" i="20"/>
  <c r="I608" i="20"/>
  <c r="B609" i="20"/>
  <c r="I609" i="20"/>
  <c r="O584" i="20" s="1"/>
  <c r="H452" i="4" s="1"/>
  <c r="F610" i="20"/>
  <c r="P443" i="3" s="1"/>
  <c r="G610" i="20"/>
  <c r="H610" i="20"/>
  <c r="I610" i="20"/>
  <c r="K610" i="20"/>
  <c r="L610" i="20"/>
  <c r="M610" i="20"/>
  <c r="N610" i="20"/>
  <c r="O610" i="20"/>
  <c r="P610" i="20"/>
  <c r="Q610" i="20"/>
  <c r="R610" i="20"/>
  <c r="S610" i="20"/>
  <c r="K611" i="20"/>
  <c r="L611" i="20"/>
  <c r="M611" i="20"/>
  <c r="N611" i="20"/>
  <c r="O611" i="20"/>
  <c r="P611" i="20"/>
  <c r="Q611" i="20"/>
  <c r="R611" i="20"/>
  <c r="S611" i="20"/>
  <c r="K578" i="20"/>
  <c r="L578" i="20"/>
  <c r="M578" i="20"/>
  <c r="N578" i="20"/>
  <c r="O578" i="20"/>
  <c r="P578" i="20"/>
  <c r="Q578" i="20"/>
  <c r="R578" i="20"/>
  <c r="S578" i="20"/>
  <c r="T578" i="20"/>
  <c r="A452" i="4" s="1"/>
  <c r="K579" i="20"/>
  <c r="L579" i="20"/>
  <c r="M579" i="20"/>
  <c r="N579" i="20"/>
  <c r="O579" i="20"/>
  <c r="P579" i="20"/>
  <c r="Q579" i="20"/>
  <c r="R579" i="20"/>
  <c r="S579" i="20"/>
  <c r="F583" i="20"/>
  <c r="P452" i="4"/>
  <c r="F585" i="20"/>
  <c r="P585" i="20"/>
  <c r="C578" i="20" s="1"/>
  <c r="F586" i="20"/>
  <c r="H586" i="20"/>
  <c r="P586" i="20"/>
  <c r="C579" i="20" s="1"/>
  <c r="K587" i="20"/>
  <c r="L587" i="20"/>
  <c r="M587" i="20"/>
  <c r="N587" i="20"/>
  <c r="O587" i="20"/>
  <c r="P587" i="20"/>
  <c r="Q587" i="20"/>
  <c r="F588" i="20"/>
  <c r="H588" i="20"/>
  <c r="M588" i="20"/>
  <c r="O588" i="20"/>
  <c r="Q588" i="20"/>
  <c r="H589" i="20"/>
  <c r="F590" i="20"/>
  <c r="M443" i="3"/>
  <c r="O443" i="3"/>
  <c r="K593" i="20"/>
  <c r="L593" i="20"/>
  <c r="M593" i="20"/>
  <c r="N593" i="20"/>
  <c r="O593" i="20"/>
  <c r="P593" i="20"/>
  <c r="Q593" i="20"/>
  <c r="K594" i="20"/>
  <c r="L594" i="20"/>
  <c r="M594" i="20"/>
  <c r="N594" i="20"/>
  <c r="O594" i="20"/>
  <c r="P594" i="20"/>
  <c r="Q594" i="20"/>
  <c r="K595" i="20"/>
  <c r="L595" i="20"/>
  <c r="M595" i="20"/>
  <c r="N595" i="20"/>
  <c r="O595" i="20"/>
  <c r="P595" i="20"/>
  <c r="Q595" i="20"/>
  <c r="K596" i="20"/>
  <c r="L596" i="20"/>
  <c r="M596" i="20"/>
  <c r="N596" i="20"/>
  <c r="O596" i="20"/>
  <c r="P596" i="20"/>
  <c r="Q596" i="20"/>
  <c r="H544" i="20"/>
  <c r="V548" i="20"/>
  <c r="S1264" i="12"/>
  <c r="R1264" i="12"/>
  <c r="Q1264" i="12"/>
  <c r="P1264" i="12"/>
  <c r="O1264" i="12"/>
  <c r="N1264" i="12"/>
  <c r="M1264" i="12"/>
  <c r="L1264" i="12"/>
  <c r="S1263" i="12"/>
  <c r="R1263" i="12"/>
  <c r="Q1263" i="12"/>
  <c r="P1263" i="12"/>
  <c r="O1263" i="12"/>
  <c r="N1263" i="12"/>
  <c r="M1263" i="12"/>
  <c r="L1263" i="12"/>
  <c r="K1264" i="12"/>
  <c r="K1263" i="12"/>
  <c r="H1263" i="12"/>
  <c r="B1251" i="12"/>
  <c r="G1390" i="5"/>
  <c r="H1390" i="5"/>
  <c r="I1390" i="5"/>
  <c r="B1391" i="5"/>
  <c r="G1391" i="5"/>
  <c r="I1391" i="5"/>
  <c r="B1392" i="5"/>
  <c r="G1392" i="5"/>
  <c r="H1392" i="5"/>
  <c r="I1392" i="5"/>
  <c r="B1393" i="5"/>
  <c r="G1393" i="5"/>
  <c r="I1393" i="5"/>
  <c r="B1394" i="5"/>
  <c r="B1395" i="5" s="1"/>
  <c r="F1394" i="5"/>
  <c r="F1398" i="5" s="1"/>
  <c r="G1394" i="5"/>
  <c r="I1394" i="5"/>
  <c r="G1395" i="5"/>
  <c r="I1395" i="5"/>
  <c r="I1381" i="12"/>
  <c r="B1382" i="12"/>
  <c r="B1383" i="12" s="1"/>
  <c r="B1384" i="12" s="1"/>
  <c r="I1382" i="12"/>
  <c r="I1384" i="12"/>
  <c r="B1385" i="12"/>
  <c r="I1385" i="12"/>
  <c r="B1386" i="12"/>
  <c r="I1386" i="12"/>
  <c r="B1387" i="12"/>
  <c r="I1387" i="12"/>
  <c r="B1388" i="12"/>
  <c r="I1388" i="12"/>
  <c r="B1389" i="12"/>
  <c r="I1389" i="12"/>
  <c r="B1390" i="12"/>
  <c r="I1390" i="12"/>
  <c r="B1391" i="12"/>
  <c r="I1391" i="12"/>
  <c r="B1392" i="12"/>
  <c r="I1392" i="12"/>
  <c r="B1393" i="12"/>
  <c r="I1393" i="12"/>
  <c r="F1394" i="12"/>
  <c r="G1394" i="12"/>
  <c r="H1394" i="12"/>
  <c r="I1394" i="12"/>
  <c r="I1337" i="12"/>
  <c r="I1339" i="12"/>
  <c r="O461" i="3"/>
  <c r="I1365" i="12"/>
  <c r="I1336" i="12"/>
  <c r="F1366" i="12"/>
  <c r="R1325" i="12" s="1"/>
  <c r="G1366" i="12"/>
  <c r="H1366" i="12"/>
  <c r="I1366" i="12"/>
  <c r="R1317" i="12" s="1"/>
  <c r="F1362" i="12"/>
  <c r="G1362" i="12"/>
  <c r="H1362" i="12"/>
  <c r="I1362" i="12"/>
  <c r="F1320" i="12" s="1"/>
  <c r="F1321" i="12" s="1"/>
  <c r="I1338" i="12"/>
  <c r="Q1317" i="12" s="1"/>
  <c r="I1340" i="12"/>
  <c r="I1342" i="12"/>
  <c r="B1343" i="12"/>
  <c r="I1343" i="12"/>
  <c r="B1344" i="12"/>
  <c r="I1344" i="12"/>
  <c r="B1345" i="12"/>
  <c r="B1346" i="12"/>
  <c r="I1346" i="12"/>
  <c r="B1347" i="12"/>
  <c r="I1347" i="12"/>
  <c r="B1348" i="12"/>
  <c r="I1348" i="12"/>
  <c r="B1349" i="12"/>
  <c r="I1349" i="12"/>
  <c r="B1350" i="12"/>
  <c r="I1350" i="12"/>
  <c r="B1351" i="12"/>
  <c r="I1351" i="12"/>
  <c r="B1352" i="12"/>
  <c r="I1352" i="12"/>
  <c r="B1353" i="12"/>
  <c r="I1353" i="12"/>
  <c r="B1354" i="12"/>
  <c r="B1355" i="12" s="1"/>
  <c r="I1354" i="12"/>
  <c r="K1311" i="12"/>
  <c r="L1311" i="12"/>
  <c r="M1311" i="12"/>
  <c r="N1311" i="12"/>
  <c r="O1311" i="12"/>
  <c r="P1311" i="12"/>
  <c r="Q1311" i="12"/>
  <c r="R1311" i="12"/>
  <c r="S1311" i="12"/>
  <c r="T1311" i="12"/>
  <c r="A470" i="4" s="1"/>
  <c r="K1312" i="12"/>
  <c r="L1312" i="12"/>
  <c r="M1312" i="12"/>
  <c r="N1312" i="12"/>
  <c r="O1312" i="12"/>
  <c r="P1312" i="12"/>
  <c r="Q1312" i="12"/>
  <c r="R1312" i="12"/>
  <c r="S1312" i="12"/>
  <c r="P470" i="4"/>
  <c r="P1318" i="12"/>
  <c r="C1311" i="12" s="1"/>
  <c r="P1319" i="12"/>
  <c r="C1312" i="12" s="1"/>
  <c r="K1320" i="12"/>
  <c r="L1320" i="12"/>
  <c r="M1320" i="12"/>
  <c r="N1320" i="12"/>
  <c r="O1320" i="12"/>
  <c r="P1320" i="12"/>
  <c r="Q1320" i="12"/>
  <c r="H1321" i="12"/>
  <c r="Q1321" i="12"/>
  <c r="H1322" i="12"/>
  <c r="F1323" i="12"/>
  <c r="K1326" i="12"/>
  <c r="L1326" i="12"/>
  <c r="M1326" i="12"/>
  <c r="N1326" i="12"/>
  <c r="O1326" i="12"/>
  <c r="P1326" i="12"/>
  <c r="Q1326" i="12"/>
  <c r="K1327" i="12"/>
  <c r="L1327" i="12"/>
  <c r="M1327" i="12"/>
  <c r="N1327" i="12"/>
  <c r="O1327" i="12"/>
  <c r="P1327" i="12"/>
  <c r="Q1327" i="12"/>
  <c r="K1328" i="12"/>
  <c r="L1328" i="12"/>
  <c r="M1328" i="12"/>
  <c r="N1328" i="12"/>
  <c r="O1328" i="12"/>
  <c r="P1328" i="12"/>
  <c r="Q1328" i="12"/>
  <c r="L1329" i="12"/>
  <c r="M1329" i="12"/>
  <c r="N1329" i="12"/>
  <c r="O1329" i="12"/>
  <c r="Q1329" i="12"/>
  <c r="I553" i="11"/>
  <c r="B554" i="11"/>
  <c r="I554" i="11"/>
  <c r="B555" i="11"/>
  <c r="I555" i="11"/>
  <c r="B556" i="11"/>
  <c r="I556" i="11"/>
  <c r="B557" i="11"/>
  <c r="I557" i="11"/>
  <c r="B558" i="11"/>
  <c r="I558" i="11"/>
  <c r="F559" i="11"/>
  <c r="G559" i="11"/>
  <c r="H559" i="11"/>
  <c r="I559" i="11"/>
  <c r="T560" i="11"/>
  <c r="V560" i="11"/>
  <c r="W560" i="11"/>
  <c r="X560" i="11"/>
  <c r="I532" i="11"/>
  <c r="B533" i="11"/>
  <c r="I533" i="11"/>
  <c r="B534" i="11"/>
  <c r="I534" i="11"/>
  <c r="B535" i="11"/>
  <c r="I535" i="11"/>
  <c r="B536" i="11"/>
  <c r="I536" i="11"/>
  <c r="B537" i="11"/>
  <c r="I537" i="11"/>
  <c r="B538" i="11"/>
  <c r="I538" i="11"/>
  <c r="B539" i="11"/>
  <c r="I539" i="11"/>
  <c r="B540" i="11"/>
  <c r="I540" i="11"/>
  <c r="B541" i="11"/>
  <c r="I541" i="11"/>
  <c r="B542" i="11"/>
  <c r="I542" i="11"/>
  <c r="B543" i="11"/>
  <c r="I543" i="11"/>
  <c r="B544" i="11"/>
  <c r="I544" i="11"/>
  <c r="B545" i="11"/>
  <c r="I545" i="11"/>
  <c r="B546" i="11"/>
  <c r="I546" i="11"/>
  <c r="B547" i="11"/>
  <c r="I547" i="11"/>
  <c r="B548" i="11"/>
  <c r="I548" i="11"/>
  <c r="B549" i="11"/>
  <c r="I549" i="11"/>
  <c r="F550" i="11"/>
  <c r="G550" i="11"/>
  <c r="H550" i="11"/>
  <c r="I550" i="11"/>
  <c r="I521" i="11"/>
  <c r="B522" i="11"/>
  <c r="I522" i="11"/>
  <c r="B523" i="11"/>
  <c r="I523" i="11"/>
  <c r="B524" i="11"/>
  <c r="I524" i="11"/>
  <c r="B525" i="11"/>
  <c r="I525" i="11"/>
  <c r="B526" i="11"/>
  <c r="I526" i="11"/>
  <c r="B527" i="11"/>
  <c r="I527" i="11"/>
  <c r="B528" i="11"/>
  <c r="I528" i="11"/>
  <c r="F529" i="11"/>
  <c r="G529" i="11"/>
  <c r="H529" i="11"/>
  <c r="I529" i="11"/>
  <c r="I510" i="11"/>
  <c r="B511" i="11"/>
  <c r="I511" i="11"/>
  <c r="B512" i="11"/>
  <c r="I512" i="11"/>
  <c r="B513" i="11"/>
  <c r="I513" i="11"/>
  <c r="B514" i="11"/>
  <c r="I514" i="11"/>
  <c r="B515" i="11"/>
  <c r="I515" i="11"/>
  <c r="B516" i="11"/>
  <c r="I516" i="11"/>
  <c r="B517" i="11"/>
  <c r="I517" i="11"/>
  <c r="F518" i="11"/>
  <c r="G518" i="11"/>
  <c r="H518" i="11"/>
  <c r="I518" i="11"/>
  <c r="I499" i="11"/>
  <c r="B500" i="11"/>
  <c r="I500" i="11"/>
  <c r="B501" i="11"/>
  <c r="I501" i="11"/>
  <c r="B502" i="11"/>
  <c r="I502" i="11"/>
  <c r="B503" i="11"/>
  <c r="I503" i="11"/>
  <c r="B504" i="11"/>
  <c r="I504" i="11"/>
  <c r="B505" i="11"/>
  <c r="I505" i="11"/>
  <c r="B506" i="11"/>
  <c r="I506" i="11"/>
  <c r="F507" i="11"/>
  <c r="S435" i="11" s="1"/>
  <c r="G507" i="11"/>
  <c r="H507" i="11"/>
  <c r="I507" i="11"/>
  <c r="I488" i="11"/>
  <c r="B489" i="11"/>
  <c r="I489" i="11"/>
  <c r="B490" i="11"/>
  <c r="I490" i="11"/>
  <c r="B491" i="11"/>
  <c r="I491" i="11"/>
  <c r="B492" i="11"/>
  <c r="I492" i="11"/>
  <c r="B493" i="11"/>
  <c r="I493" i="11"/>
  <c r="B494" i="11"/>
  <c r="I494" i="11"/>
  <c r="B495" i="11"/>
  <c r="I495" i="11"/>
  <c r="F496" i="11"/>
  <c r="R435" i="11" s="1"/>
  <c r="G496" i="11"/>
  <c r="H496" i="11"/>
  <c r="I496" i="11"/>
  <c r="I477" i="11"/>
  <c r="B478" i="11"/>
  <c r="I478" i="11"/>
  <c r="B479" i="11"/>
  <c r="I479" i="11"/>
  <c r="B480" i="11"/>
  <c r="I480" i="11"/>
  <c r="B481" i="11"/>
  <c r="I481" i="11"/>
  <c r="B482" i="11"/>
  <c r="I482" i="11"/>
  <c r="B483" i="11"/>
  <c r="I483" i="11"/>
  <c r="B484" i="11"/>
  <c r="I484" i="11"/>
  <c r="F485" i="11"/>
  <c r="G485" i="11"/>
  <c r="H485" i="11"/>
  <c r="I485" i="11"/>
  <c r="I466" i="11"/>
  <c r="B467" i="11"/>
  <c r="I467" i="11"/>
  <c r="B468" i="11"/>
  <c r="I468" i="11"/>
  <c r="B469" i="11"/>
  <c r="I469" i="11"/>
  <c r="B470" i="11"/>
  <c r="I470" i="11"/>
  <c r="B471" i="11"/>
  <c r="I471" i="11"/>
  <c r="B472" i="11"/>
  <c r="I472" i="11"/>
  <c r="B473" i="11"/>
  <c r="I473" i="11"/>
  <c r="F474" i="11"/>
  <c r="G474" i="11"/>
  <c r="H474" i="11"/>
  <c r="I474" i="11"/>
  <c r="I446" i="11"/>
  <c r="B447" i="11"/>
  <c r="I447" i="11"/>
  <c r="B448" i="11"/>
  <c r="I448" i="11"/>
  <c r="B449" i="11"/>
  <c r="I449" i="11"/>
  <c r="B450" i="11"/>
  <c r="I450" i="11"/>
  <c r="B451" i="11"/>
  <c r="I451" i="11"/>
  <c r="B452" i="11"/>
  <c r="I452" i="11"/>
  <c r="B453" i="11"/>
  <c r="I453" i="11"/>
  <c r="B454" i="11"/>
  <c r="I454" i="11"/>
  <c r="B455" i="11"/>
  <c r="I455" i="11"/>
  <c r="B456" i="11"/>
  <c r="I456" i="11"/>
  <c r="B457" i="11"/>
  <c r="I457" i="11"/>
  <c r="B458" i="11"/>
  <c r="I458" i="11"/>
  <c r="B459" i="11"/>
  <c r="I459" i="11"/>
  <c r="B460" i="11"/>
  <c r="I460" i="11"/>
  <c r="B461" i="11"/>
  <c r="I461" i="11"/>
  <c r="F462" i="11"/>
  <c r="G462" i="11"/>
  <c r="H462" i="11"/>
  <c r="I462" i="11"/>
  <c r="K462" i="11"/>
  <c r="L462" i="11"/>
  <c r="M462" i="11"/>
  <c r="N462" i="11"/>
  <c r="O462" i="11"/>
  <c r="P462" i="11"/>
  <c r="Q462" i="11"/>
  <c r="R462" i="11"/>
  <c r="S462" i="11"/>
  <c r="K463" i="11"/>
  <c r="L463" i="11"/>
  <c r="M463" i="11"/>
  <c r="N463" i="11"/>
  <c r="O463" i="11"/>
  <c r="P463" i="11"/>
  <c r="Q463" i="11"/>
  <c r="R463" i="11"/>
  <c r="S463" i="11"/>
  <c r="K421" i="11"/>
  <c r="L421" i="11"/>
  <c r="M421" i="11"/>
  <c r="N421" i="11"/>
  <c r="O421" i="11"/>
  <c r="P421" i="11"/>
  <c r="Q421" i="11"/>
  <c r="R421" i="11"/>
  <c r="S421" i="11"/>
  <c r="T421" i="11"/>
  <c r="K422" i="11"/>
  <c r="L422" i="11"/>
  <c r="M422" i="11"/>
  <c r="N422" i="11"/>
  <c r="O422" i="11"/>
  <c r="P422" i="11"/>
  <c r="Q422" i="11"/>
  <c r="R422" i="11"/>
  <c r="S422" i="11"/>
  <c r="G425" i="11"/>
  <c r="P427" i="11"/>
  <c r="F425" i="11" s="1"/>
  <c r="R427" i="11"/>
  <c r="S427" i="11"/>
  <c r="F428" i="11"/>
  <c r="P428" i="11"/>
  <c r="C421" i="11" s="1"/>
  <c r="F429" i="11"/>
  <c r="H429" i="11"/>
  <c r="P429" i="11"/>
  <c r="C422" i="11" s="1"/>
  <c r="K430" i="11"/>
  <c r="L430" i="11"/>
  <c r="M430" i="11"/>
  <c r="N430" i="11"/>
  <c r="O430" i="11"/>
  <c r="P430" i="11"/>
  <c r="C423" i="11" s="1"/>
  <c r="Q430" i="11"/>
  <c r="F431" i="11"/>
  <c r="H431" i="11"/>
  <c r="K431" i="11"/>
  <c r="L431" i="11"/>
  <c r="M431" i="11"/>
  <c r="N431" i="11"/>
  <c r="O431" i="11"/>
  <c r="P431" i="11"/>
  <c r="C425" i="11" s="1"/>
  <c r="Q431" i="11"/>
  <c r="H432" i="11"/>
  <c r="F433" i="11"/>
  <c r="K436" i="11"/>
  <c r="L436" i="11"/>
  <c r="M436" i="11"/>
  <c r="N436" i="11"/>
  <c r="O436" i="11"/>
  <c r="P436" i="11"/>
  <c r="Q436" i="11"/>
  <c r="K437" i="11"/>
  <c r="L437" i="11"/>
  <c r="M437" i="11"/>
  <c r="N437" i="11"/>
  <c r="O437" i="11"/>
  <c r="P437" i="11"/>
  <c r="Q437" i="11"/>
  <c r="K438" i="11"/>
  <c r="L438" i="11"/>
  <c r="M438" i="11"/>
  <c r="N438" i="11"/>
  <c r="O438" i="11"/>
  <c r="P438" i="11"/>
  <c r="Q438" i="11"/>
  <c r="K439" i="11"/>
  <c r="L439" i="11"/>
  <c r="M439" i="11"/>
  <c r="N439" i="11"/>
  <c r="O439" i="11"/>
  <c r="P439" i="11"/>
  <c r="Q439" i="11"/>
  <c r="T1350" i="8"/>
  <c r="V1350" i="8"/>
  <c r="W1350" i="8"/>
  <c r="X1350" i="8"/>
  <c r="I1334" i="8"/>
  <c r="I1336" i="8"/>
  <c r="B1337" i="8"/>
  <c r="I1337" i="8"/>
  <c r="B1338" i="8"/>
  <c r="I1338" i="8"/>
  <c r="B1339" i="8"/>
  <c r="I1339" i="8"/>
  <c r="B1340" i="8"/>
  <c r="I1340" i="8"/>
  <c r="B1341" i="8"/>
  <c r="I1341" i="8"/>
  <c r="B1342" i="8"/>
  <c r="I1342" i="8"/>
  <c r="B1343" i="8"/>
  <c r="I1343" i="8"/>
  <c r="B1344" i="8"/>
  <c r="I1344" i="8"/>
  <c r="B1345" i="8"/>
  <c r="I1345" i="8"/>
  <c r="B1346" i="8"/>
  <c r="I1346" i="8"/>
  <c r="B1347" i="8"/>
  <c r="I1347" i="8"/>
  <c r="B1348" i="8"/>
  <c r="I1348" i="8"/>
  <c r="F1349" i="8"/>
  <c r="G1349" i="8"/>
  <c r="H1349" i="8"/>
  <c r="I1284" i="8"/>
  <c r="I1310" i="8"/>
  <c r="I1285" i="8"/>
  <c r="I1305" i="8"/>
  <c r="I1335" i="8"/>
  <c r="I1349" i="8" s="1"/>
  <c r="I1311" i="8"/>
  <c r="B1312" i="8"/>
  <c r="I1312" i="8"/>
  <c r="O449" i="3"/>
  <c r="F1302" i="8"/>
  <c r="G1302" i="8"/>
  <c r="H1302" i="8"/>
  <c r="I1302" i="8"/>
  <c r="F1269" i="8" s="1"/>
  <c r="F1270" i="8" s="1"/>
  <c r="I1286" i="8"/>
  <c r="B1287" i="8"/>
  <c r="I1287" i="8"/>
  <c r="B1288" i="8"/>
  <c r="I1288" i="8"/>
  <c r="B1289" i="8"/>
  <c r="I1289" i="8"/>
  <c r="M1266" i="8" s="1"/>
  <c r="F458" i="4" s="1"/>
  <c r="B1290" i="8"/>
  <c r="I1290" i="8"/>
  <c r="B1291" i="8"/>
  <c r="I1291" i="8"/>
  <c r="I1295" i="8"/>
  <c r="K1260" i="8"/>
  <c r="L1260" i="8"/>
  <c r="M1260" i="8"/>
  <c r="N1260" i="8"/>
  <c r="O1260" i="8"/>
  <c r="P1260" i="8"/>
  <c r="Q1260" i="8"/>
  <c r="R1260" i="8"/>
  <c r="S1260" i="8"/>
  <c r="T1260" i="8"/>
  <c r="A458" i="4" s="1"/>
  <c r="K1261" i="8"/>
  <c r="L1261" i="8"/>
  <c r="M1261" i="8"/>
  <c r="N1261" i="8"/>
  <c r="O1261" i="8"/>
  <c r="P1261" i="8"/>
  <c r="Q1261" i="8"/>
  <c r="R1261" i="8"/>
  <c r="S1261" i="8"/>
  <c r="P458" i="4"/>
  <c r="F1267" i="8"/>
  <c r="P1267" i="8"/>
  <c r="C1260" i="8" s="1"/>
  <c r="F1268" i="8"/>
  <c r="H1268" i="8"/>
  <c r="P1268" i="8"/>
  <c r="C1261" i="8" s="1"/>
  <c r="K1269" i="8"/>
  <c r="L1269" i="8"/>
  <c r="M1269" i="8"/>
  <c r="N1269" i="8"/>
  <c r="O1269" i="8"/>
  <c r="P1269" i="8"/>
  <c r="Q1269" i="8"/>
  <c r="H1270" i="8"/>
  <c r="M1270" i="8"/>
  <c r="Q1270" i="8"/>
  <c r="H1271" i="8"/>
  <c r="F1272" i="8"/>
  <c r="K1275" i="8"/>
  <c r="L1275" i="8"/>
  <c r="M1275" i="8"/>
  <c r="N1275" i="8"/>
  <c r="O1275" i="8"/>
  <c r="P1275" i="8"/>
  <c r="Q1275" i="8"/>
  <c r="K1276" i="8"/>
  <c r="L1276" i="8"/>
  <c r="M1276" i="8"/>
  <c r="N1276" i="8"/>
  <c r="O1276" i="8"/>
  <c r="P1276" i="8"/>
  <c r="Q1276" i="8"/>
  <c r="K1277" i="8"/>
  <c r="L1277" i="8"/>
  <c r="M1277" i="8"/>
  <c r="N1277" i="8"/>
  <c r="O1277" i="8"/>
  <c r="P1277" i="8"/>
  <c r="Q1277" i="8"/>
  <c r="L1278" i="8"/>
  <c r="M1278" i="8"/>
  <c r="N1278" i="8"/>
  <c r="O1278" i="8"/>
  <c r="Q1278" i="8"/>
  <c r="T1420" i="5"/>
  <c r="V1420" i="5"/>
  <c r="W1420" i="5"/>
  <c r="X1420" i="5"/>
  <c r="I1405" i="5"/>
  <c r="B1406" i="5"/>
  <c r="I1406" i="5"/>
  <c r="B1407" i="5"/>
  <c r="I1407" i="5"/>
  <c r="B1408" i="5"/>
  <c r="I1408" i="5"/>
  <c r="B1409" i="5"/>
  <c r="I1409" i="5"/>
  <c r="B1410" i="5"/>
  <c r="I1410" i="5"/>
  <c r="B1411" i="5"/>
  <c r="I1411" i="5"/>
  <c r="B1412" i="5"/>
  <c r="I1412" i="5"/>
  <c r="B1413" i="5"/>
  <c r="I1413" i="5"/>
  <c r="B1414" i="5"/>
  <c r="I1414" i="5"/>
  <c r="B1415" i="5"/>
  <c r="I1415" i="5"/>
  <c r="B1416" i="5"/>
  <c r="I1416" i="5"/>
  <c r="B1417" i="5"/>
  <c r="I1417" i="5"/>
  <c r="B1418" i="5"/>
  <c r="I1418" i="5"/>
  <c r="F1419" i="5"/>
  <c r="G1419" i="5"/>
  <c r="H1419" i="5"/>
  <c r="I1419" i="5"/>
  <c r="I1386" i="5"/>
  <c r="F1387" i="5"/>
  <c r="G1387" i="5"/>
  <c r="H1387" i="5"/>
  <c r="I1387" i="5"/>
  <c r="O440" i="3"/>
  <c r="I1364" i="5"/>
  <c r="I1380" i="5"/>
  <c r="B1381" i="5"/>
  <c r="I1381" i="5"/>
  <c r="B1382" i="5"/>
  <c r="I1382" i="5"/>
  <c r="I1375" i="5"/>
  <c r="I1363" i="5"/>
  <c r="I1365" i="5"/>
  <c r="B1366" i="5"/>
  <c r="I1366" i="5"/>
  <c r="B1367" i="5"/>
  <c r="I1367" i="5"/>
  <c r="B1368" i="5"/>
  <c r="I1368" i="5"/>
  <c r="B1369" i="5"/>
  <c r="I1369" i="5"/>
  <c r="B1370" i="5"/>
  <c r="I1370" i="5"/>
  <c r="M1345" i="5" s="1"/>
  <c r="F449" i="4" s="1"/>
  <c r="B1371" i="5"/>
  <c r="I1371" i="5"/>
  <c r="B1372" i="5"/>
  <c r="I1372" i="5"/>
  <c r="B1373" i="5"/>
  <c r="I1373" i="5"/>
  <c r="B1374" i="5"/>
  <c r="B1375" i="5" s="1"/>
  <c r="I1374" i="5"/>
  <c r="O1345" i="5" s="1"/>
  <c r="H449" i="4" s="1"/>
  <c r="R1353" i="5"/>
  <c r="M440" i="3" s="1"/>
  <c r="K1339" i="5"/>
  <c r="L1339" i="5"/>
  <c r="M1339" i="5"/>
  <c r="N1339" i="5"/>
  <c r="O1339" i="5"/>
  <c r="P1339" i="5"/>
  <c r="Q1339" i="5"/>
  <c r="R1339" i="5"/>
  <c r="S1339" i="5"/>
  <c r="T1339" i="5"/>
  <c r="A449" i="4" s="1"/>
  <c r="K1340" i="5"/>
  <c r="L1340" i="5"/>
  <c r="M1340" i="5"/>
  <c r="N1340" i="5"/>
  <c r="O1340" i="5"/>
  <c r="P1340" i="5"/>
  <c r="Q1340" i="5"/>
  <c r="R1340" i="5"/>
  <c r="S1340" i="5"/>
  <c r="P449" i="4"/>
  <c r="F1346" i="5"/>
  <c r="P1346" i="5"/>
  <c r="C1339" i="5" s="1"/>
  <c r="F1347" i="5"/>
  <c r="H1347" i="5"/>
  <c r="P1347" i="5"/>
  <c r="C1340" i="5" s="1"/>
  <c r="K1348" i="5"/>
  <c r="L1348" i="5"/>
  <c r="M1348" i="5"/>
  <c r="N1348" i="5"/>
  <c r="O1348" i="5"/>
  <c r="P1348" i="5"/>
  <c r="Q1348" i="5"/>
  <c r="F1349" i="5"/>
  <c r="H1349" i="5"/>
  <c r="M1349" i="5"/>
  <c r="O1349" i="5"/>
  <c r="Q1349" i="5"/>
  <c r="H1350" i="5"/>
  <c r="F1351" i="5"/>
  <c r="K1354" i="5"/>
  <c r="L1354" i="5"/>
  <c r="M1354" i="5"/>
  <c r="O1354" i="5"/>
  <c r="P1354" i="5"/>
  <c r="Q1354" i="5"/>
  <c r="K1355" i="5"/>
  <c r="L1355" i="5"/>
  <c r="M1355" i="5"/>
  <c r="N1355" i="5"/>
  <c r="O1355" i="5"/>
  <c r="P1355" i="5"/>
  <c r="Q1355" i="5"/>
  <c r="K1356" i="5"/>
  <c r="L1356" i="5"/>
  <c r="M1356" i="5"/>
  <c r="N1356" i="5"/>
  <c r="O1356" i="5"/>
  <c r="P1356" i="5"/>
  <c r="Q1356" i="5"/>
  <c r="K1357" i="5"/>
  <c r="M1357" i="5"/>
  <c r="N1357" i="5"/>
  <c r="O1357" i="5"/>
  <c r="Q1357" i="5"/>
  <c r="B1289" i="5"/>
  <c r="B1290" i="5" s="1"/>
  <c r="V1250" i="12"/>
  <c r="F1256" i="12"/>
  <c r="F1263" i="12" s="1"/>
  <c r="P431" i="3" s="1"/>
  <c r="H999" i="14"/>
  <c r="F999" i="14"/>
  <c r="V1338" i="9"/>
  <c r="O1181" i="8"/>
  <c r="H1219" i="8"/>
  <c r="F1219" i="8"/>
  <c r="H1253" i="8"/>
  <c r="F1253" i="8"/>
  <c r="G1273" i="12"/>
  <c r="G1303" i="12"/>
  <c r="G1274" i="12"/>
  <c r="G1007" i="14"/>
  <c r="G1005" i="14"/>
  <c r="G1340" i="9"/>
  <c r="G536" i="20"/>
  <c r="G1284" i="5"/>
  <c r="G1285" i="5" s="1"/>
  <c r="V1217" i="8"/>
  <c r="V1200" i="8"/>
  <c r="V1197" i="8"/>
  <c r="F1197" i="8"/>
  <c r="V536" i="20"/>
  <c r="G1068" i="14"/>
  <c r="I1068" i="14"/>
  <c r="G1067" i="14"/>
  <c r="I1067" i="14" s="1"/>
  <c r="H1069" i="14"/>
  <c r="G1069" i="14"/>
  <c r="F1069" i="14"/>
  <c r="I1069" i="14"/>
  <c r="F1330" i="5"/>
  <c r="H1331" i="5"/>
  <c r="H1325" i="5"/>
  <c r="F1325" i="5"/>
  <c r="B1329" i="5"/>
  <c r="B1330" i="5" s="1"/>
  <c r="X1333" i="5"/>
  <c r="W1333" i="5"/>
  <c r="T1333" i="5"/>
  <c r="Q1254" i="5"/>
  <c r="I1284" i="5"/>
  <c r="F1329" i="5"/>
  <c r="F1331" i="5" s="1"/>
  <c r="G1328" i="5"/>
  <c r="G1331" i="5" s="1"/>
  <c r="F1236" i="12"/>
  <c r="G1036" i="14"/>
  <c r="G412" i="11"/>
  <c r="F141" i="23"/>
  <c r="F393" i="11"/>
  <c r="F1178" i="8"/>
  <c r="F839" i="17"/>
  <c r="F504" i="20"/>
  <c r="F1251" i="5"/>
  <c r="G1242" i="9"/>
  <c r="G1200" i="8"/>
  <c r="G1275" i="12"/>
  <c r="G1338" i="9"/>
  <c r="G1295" i="5"/>
  <c r="G170" i="23"/>
  <c r="G1262" i="12"/>
  <c r="V1274" i="12"/>
  <c r="V1273" i="12"/>
  <c r="O974" i="14"/>
  <c r="V992" i="14"/>
  <c r="G992" i="14"/>
  <c r="I992" i="14" s="1"/>
  <c r="V1006" i="14"/>
  <c r="V1005" i="14"/>
  <c r="O1319" i="9"/>
  <c r="V1340" i="9"/>
  <c r="V1339" i="9"/>
  <c r="V1329" i="9"/>
  <c r="X203" i="23"/>
  <c r="W203" i="23"/>
  <c r="X100" i="24"/>
  <c r="W100" i="24"/>
  <c r="T100" i="24"/>
  <c r="X1375" i="9"/>
  <c r="W1375" i="9"/>
  <c r="T1375" i="9"/>
  <c r="X921" i="17"/>
  <c r="W921" i="17"/>
  <c r="T921" i="17"/>
  <c r="X572" i="20"/>
  <c r="T572" i="20"/>
  <c r="O144" i="23"/>
  <c r="G187" i="23"/>
  <c r="V187" i="23"/>
  <c r="V170" i="23"/>
  <c r="V169" i="23"/>
  <c r="V1252" i="8"/>
  <c r="G1252" i="8"/>
  <c r="G1251" i="8"/>
  <c r="V1218" i="8"/>
  <c r="B1216" i="8"/>
  <c r="V1199" i="8"/>
  <c r="G1201" i="8"/>
  <c r="V1201" i="8"/>
  <c r="O842" i="17"/>
  <c r="I918" i="17"/>
  <c r="G866" i="17"/>
  <c r="V866" i="17"/>
  <c r="G865" i="17"/>
  <c r="V865" i="17"/>
  <c r="H879" i="17"/>
  <c r="F879" i="17"/>
  <c r="R842" i="17" s="1"/>
  <c r="O507" i="20"/>
  <c r="O1254" i="5"/>
  <c r="V1296" i="5"/>
  <c r="G1278" i="5"/>
  <c r="V1276" i="5"/>
  <c r="G1277" i="5"/>
  <c r="G1276" i="5"/>
  <c r="G1275" i="5"/>
  <c r="V1275" i="5"/>
  <c r="V1297" i="5"/>
  <c r="V1271" i="5"/>
  <c r="V1294" i="5"/>
  <c r="G1358" i="9"/>
  <c r="I1358" i="9" s="1"/>
  <c r="G1357" i="9"/>
  <c r="I1357" i="9" s="1"/>
  <c r="G1356" i="9"/>
  <c r="F1356" i="9"/>
  <c r="I1356" i="9" s="1"/>
  <c r="G1355" i="9"/>
  <c r="I1355" i="9" s="1"/>
  <c r="G1354" i="9"/>
  <c r="I1354" i="9" s="1"/>
  <c r="H1367" i="9"/>
  <c r="G1366" i="9"/>
  <c r="I1366" i="9" s="1"/>
  <c r="G1365" i="9"/>
  <c r="I1365" i="9" s="1"/>
  <c r="G1364" i="9"/>
  <c r="I1364" i="9" s="1"/>
  <c r="G1363" i="9"/>
  <c r="F1363" i="9"/>
  <c r="I1363" i="9" s="1"/>
  <c r="B1363" i="9"/>
  <c r="B1364" i="9" s="1"/>
  <c r="B1365" i="9" s="1"/>
  <c r="B1366" i="9" s="1"/>
  <c r="G1362" i="9"/>
  <c r="G1367" i="9" s="1"/>
  <c r="F1362" i="9"/>
  <c r="G1353" i="9"/>
  <c r="I1353" i="9" s="1"/>
  <c r="G1352" i="9"/>
  <c r="I1352" i="9" s="1"/>
  <c r="I1351" i="9"/>
  <c r="H1350" i="9"/>
  <c r="H1359" i="9" s="1"/>
  <c r="G1350" i="9"/>
  <c r="I1350" i="9" s="1"/>
  <c r="I1349" i="9"/>
  <c r="G1348" i="9"/>
  <c r="F1348" i="9"/>
  <c r="F1359" i="9" s="1"/>
  <c r="I1347" i="9"/>
  <c r="G1346" i="9"/>
  <c r="I1346" i="9" s="1"/>
  <c r="G1345" i="9"/>
  <c r="I1345" i="9" s="1"/>
  <c r="B1345" i="9"/>
  <c r="B1346" i="9" s="1"/>
  <c r="B1347" i="9" s="1"/>
  <c r="B1348" i="9" s="1"/>
  <c r="B1349" i="9" s="1"/>
  <c r="B1350" i="9" s="1"/>
  <c r="B1351" i="9" s="1"/>
  <c r="B1352" i="9" s="1"/>
  <c r="B1353" i="9" s="1"/>
  <c r="B1354" i="9" s="1"/>
  <c r="B1355" i="9" s="1"/>
  <c r="B1356" i="9" s="1"/>
  <c r="B1357" i="9" s="1"/>
  <c r="B1358" i="9" s="1"/>
  <c r="G1344" i="9"/>
  <c r="G1359" i="9" s="1"/>
  <c r="V1252" i="9"/>
  <c r="G1249" i="9"/>
  <c r="G1230" i="9"/>
  <c r="G1258" i="12"/>
  <c r="G182" i="23"/>
  <c r="G529" i="20"/>
  <c r="G520" i="20"/>
  <c r="G1271" i="5"/>
  <c r="G1296" i="5"/>
  <c r="G1266" i="5"/>
  <c r="G1265" i="5"/>
  <c r="G889" i="17"/>
  <c r="G862" i="17"/>
  <c r="G853" i="17"/>
  <c r="G997" i="14"/>
  <c r="G999" i="14" s="1"/>
  <c r="G1334" i="9"/>
  <c r="N1239" i="12"/>
  <c r="G1260" i="12"/>
  <c r="V1271" i="12"/>
  <c r="G1259" i="12"/>
  <c r="V1258" i="12"/>
  <c r="N974" i="14"/>
  <c r="V1004" i="14"/>
  <c r="G1062" i="14"/>
  <c r="V997" i="14"/>
  <c r="I1060" i="14"/>
  <c r="I1059" i="14"/>
  <c r="N1319" i="9"/>
  <c r="V1334" i="9"/>
  <c r="V1375" i="9" s="1"/>
  <c r="N144" i="23"/>
  <c r="V182" i="23"/>
  <c r="N1181" i="8"/>
  <c r="G1199" i="8"/>
  <c r="G1198" i="8"/>
  <c r="G1197" i="8"/>
  <c r="I1197" i="8" s="1"/>
  <c r="G878" i="17"/>
  <c r="V878" i="17"/>
  <c r="F864" i="17"/>
  <c r="N842" i="17" s="1"/>
  <c r="V864" i="17"/>
  <c r="I915" i="17"/>
  <c r="I914" i="17"/>
  <c r="I913" i="17"/>
  <c r="G863" i="17"/>
  <c r="V863" i="17"/>
  <c r="V862" i="17"/>
  <c r="N507" i="20"/>
  <c r="I570" i="20"/>
  <c r="I569" i="20"/>
  <c r="I568" i="20"/>
  <c r="B530" i="20"/>
  <c r="G532" i="20"/>
  <c r="G531" i="20"/>
  <c r="G530" i="20"/>
  <c r="N1254" i="5"/>
  <c r="V1274" i="5"/>
  <c r="G1274" i="5"/>
  <c r="G1273" i="5"/>
  <c r="V1273" i="5"/>
  <c r="V1272" i="5"/>
  <c r="G1256" i="9"/>
  <c r="G176" i="23"/>
  <c r="G991" i="14"/>
  <c r="M1239" i="12"/>
  <c r="G1297" i="12"/>
  <c r="G1304" i="12" s="1"/>
  <c r="I1296" i="12"/>
  <c r="G1256" i="12"/>
  <c r="V1256" i="12"/>
  <c r="G1255" i="12"/>
  <c r="G1253" i="12"/>
  <c r="M974" i="14"/>
  <c r="B985" i="14"/>
  <c r="B986" i="14" s="1"/>
  <c r="V985" i="14"/>
  <c r="G989" i="14"/>
  <c r="V989" i="14"/>
  <c r="W988" i="14"/>
  <c r="G988" i="14"/>
  <c r="M144" i="23"/>
  <c r="G165" i="23"/>
  <c r="V165" i="23"/>
  <c r="H188" i="23"/>
  <c r="G188" i="23"/>
  <c r="F188" i="23"/>
  <c r="V159" i="23"/>
  <c r="V158" i="23"/>
  <c r="M1181" i="8"/>
  <c r="G1195" i="8"/>
  <c r="V1195" i="8"/>
  <c r="V1194" i="8"/>
  <c r="V858" i="17"/>
  <c r="V857" i="17"/>
  <c r="M842" i="17"/>
  <c r="V861" i="17"/>
  <c r="I916" i="17"/>
  <c r="I912" i="17"/>
  <c r="I911" i="17"/>
  <c r="I910" i="17"/>
  <c r="I909" i="17"/>
  <c r="V860" i="17"/>
  <c r="M507" i="20"/>
  <c r="H537" i="20"/>
  <c r="G537" i="20"/>
  <c r="F537" i="20"/>
  <c r="B1265" i="5"/>
  <c r="B1266" i="5" s="1"/>
  <c r="V1265" i="5"/>
  <c r="M1254" i="5"/>
  <c r="V1270" i="5"/>
  <c r="B1295" i="5"/>
  <c r="B1267" i="5"/>
  <c r="V1266" i="5"/>
  <c r="F1107" i="8"/>
  <c r="G1106" i="8"/>
  <c r="G1102" i="8"/>
  <c r="I1230" i="8"/>
  <c r="F1236" i="8"/>
  <c r="H1235" i="8"/>
  <c r="H1236" i="8" s="1"/>
  <c r="G1235" i="8"/>
  <c r="I1235" i="8" s="1"/>
  <c r="B1235" i="8"/>
  <c r="G1234" i="8"/>
  <c r="V1211" i="8"/>
  <c r="G1211" i="8"/>
  <c r="I1211" i="8" s="1"/>
  <c r="V1210" i="8"/>
  <c r="G1210" i="8"/>
  <c r="F1210" i="8"/>
  <c r="G1229" i="8"/>
  <c r="I1229" i="8" s="1"/>
  <c r="G1228" i="8"/>
  <c r="I1228" i="8" s="1"/>
  <c r="G1227" i="8"/>
  <c r="I1227" i="8" s="1"/>
  <c r="G1226" i="8"/>
  <c r="I1226" i="8" s="1"/>
  <c r="G1209" i="8"/>
  <c r="I1209" i="8" s="1"/>
  <c r="G1208" i="8"/>
  <c r="I1208" i="8" s="1"/>
  <c r="V1207" i="8"/>
  <c r="G1207" i="8"/>
  <c r="F1207" i="8"/>
  <c r="G1225" i="8"/>
  <c r="I1225" i="8" s="1"/>
  <c r="G1224" i="8"/>
  <c r="I1224" i="8" s="1"/>
  <c r="I1223" i="8"/>
  <c r="G1222" i="8"/>
  <c r="B1223" i="8"/>
  <c r="B1224" i="8" s="1"/>
  <c r="B1225" i="8" s="1"/>
  <c r="B1226" i="8" s="1"/>
  <c r="V1206" i="8"/>
  <c r="G1206" i="8"/>
  <c r="V1121" i="8"/>
  <c r="F1121" i="8"/>
  <c r="I1031" i="14"/>
  <c r="G1030" i="14"/>
  <c r="I1030" i="14" s="1"/>
  <c r="I1029" i="14"/>
  <c r="I1028" i="14"/>
  <c r="G1027" i="14"/>
  <c r="I1027" i="14" s="1"/>
  <c r="G1041" i="14"/>
  <c r="I1041" i="14" s="1"/>
  <c r="G1040" i="14"/>
  <c r="F1040" i="14"/>
  <c r="F1042" i="14" s="1"/>
  <c r="G1039" i="14"/>
  <c r="I1039" i="14" s="1"/>
  <c r="G1038" i="14"/>
  <c r="I1038" i="14" s="1"/>
  <c r="G1037" i="14"/>
  <c r="I1037" i="14" s="1"/>
  <c r="I1036" i="14"/>
  <c r="B1036" i="14"/>
  <c r="B1037" i="14" s="1"/>
  <c r="B1038" i="14" s="1"/>
  <c r="B1039" i="14" s="1"/>
  <c r="B1040" i="14" s="1"/>
  <c r="B1041" i="14" s="1"/>
  <c r="G1035" i="14"/>
  <c r="G1042" i="14" s="1"/>
  <c r="G1026" i="14"/>
  <c r="I1026" i="14" s="1"/>
  <c r="G1025" i="14"/>
  <c r="I1025" i="14" s="1"/>
  <c r="G1024" i="14"/>
  <c r="I1024" i="14" s="1"/>
  <c r="G1023" i="14"/>
  <c r="I1023" i="14" s="1"/>
  <c r="G1022" i="14"/>
  <c r="I1022" i="14" s="1"/>
  <c r="G1021" i="14"/>
  <c r="F1021" i="14"/>
  <c r="I1021" i="14" s="1"/>
  <c r="F1020" i="14"/>
  <c r="I1020" i="14" s="1"/>
  <c r="G1019" i="14"/>
  <c r="I1019" i="14" s="1"/>
  <c r="G1018" i="14"/>
  <c r="I1018" i="14" s="1"/>
  <c r="G1017" i="14"/>
  <c r="I1017" i="14" s="1"/>
  <c r="G1016" i="14"/>
  <c r="F1016" i="14"/>
  <c r="F1032" i="14" s="1"/>
  <c r="I1015" i="14"/>
  <c r="G1014" i="14"/>
  <c r="I1014" i="14" s="1"/>
  <c r="G1013" i="14"/>
  <c r="I1013" i="14" s="1"/>
  <c r="G1012" i="14"/>
  <c r="I1012" i="14" s="1"/>
  <c r="B1012" i="14"/>
  <c r="B1013" i="14" s="1"/>
  <c r="B1014" i="14" s="1"/>
  <c r="B1015" i="14" s="1"/>
  <c r="B1016" i="14" s="1"/>
  <c r="B1017" i="14" s="1"/>
  <c r="B1018" i="14" s="1"/>
  <c r="B1019" i="14" s="1"/>
  <c r="B1020" i="14" s="1"/>
  <c r="B1021" i="14" s="1"/>
  <c r="B1022" i="14" s="1"/>
  <c r="B1023" i="14" s="1"/>
  <c r="B1024" i="14" s="1"/>
  <c r="B1025" i="14" s="1"/>
  <c r="B1026" i="14" s="1"/>
  <c r="B1027" i="14" s="1"/>
  <c r="B1028" i="14" s="1"/>
  <c r="B1029" i="14" s="1"/>
  <c r="B1030" i="14" s="1"/>
  <c r="B1031" i="14" s="1"/>
  <c r="G1011" i="14"/>
  <c r="G1032" i="14" s="1"/>
  <c r="H923" i="14"/>
  <c r="H933" i="14"/>
  <c r="V922" i="14"/>
  <c r="G932" i="14"/>
  <c r="V931" i="14"/>
  <c r="B890" i="14"/>
  <c r="B891" i="14" s="1"/>
  <c r="H892" i="14"/>
  <c r="H549" i="20"/>
  <c r="F549" i="20"/>
  <c r="G543" i="20"/>
  <c r="I543" i="20" s="1"/>
  <c r="G542" i="20"/>
  <c r="I542" i="20" s="1"/>
  <c r="G548" i="20"/>
  <c r="I548" i="20" s="1"/>
  <c r="B548" i="20"/>
  <c r="G547" i="20"/>
  <c r="G549" i="20" s="1"/>
  <c r="G541" i="20"/>
  <c r="F541" i="20"/>
  <c r="I541" i="20" s="1"/>
  <c r="B541" i="20"/>
  <c r="B542" i="20" s="1"/>
  <c r="B543" i="20" s="1"/>
  <c r="G540" i="20"/>
  <c r="G544" i="20" s="1"/>
  <c r="F540" i="20"/>
  <c r="F544" i="20" s="1"/>
  <c r="F451" i="20"/>
  <c r="L1109" i="8"/>
  <c r="M1109" i="8"/>
  <c r="N1109" i="8"/>
  <c r="O1109" i="8"/>
  <c r="P1109" i="8"/>
  <c r="Q1109" i="8"/>
  <c r="R1109" i="8"/>
  <c r="S1109" i="8"/>
  <c r="L1108" i="8"/>
  <c r="M1108" i="8"/>
  <c r="N1108" i="8"/>
  <c r="O1108" i="8"/>
  <c r="P1108" i="8"/>
  <c r="Q1108" i="8"/>
  <c r="R1108" i="8"/>
  <c r="S1108" i="8"/>
  <c r="K1109" i="8"/>
  <c r="K1108" i="8"/>
  <c r="H1108" i="8"/>
  <c r="R1194" i="5"/>
  <c r="R1186" i="5"/>
  <c r="V1207" i="5"/>
  <c r="G1309" i="5"/>
  <c r="I1309" i="5" s="1"/>
  <c r="G1290" i="5"/>
  <c r="I1290" i="5" s="1"/>
  <c r="G1289" i="5"/>
  <c r="I1289" i="5" s="1"/>
  <c r="G1308" i="5"/>
  <c r="F1308" i="5"/>
  <c r="G1307" i="5"/>
  <c r="I1307" i="5" s="1"/>
  <c r="G1288" i="5"/>
  <c r="I1288" i="5" s="1"/>
  <c r="H1306" i="5"/>
  <c r="G1306" i="5"/>
  <c r="I1306" i="5" s="1"/>
  <c r="G1305" i="5"/>
  <c r="I1305" i="5" s="1"/>
  <c r="B1305" i="5"/>
  <c r="B1306" i="5" s="1"/>
  <c r="H1304" i="5"/>
  <c r="H1310" i="5" s="1"/>
  <c r="G1304" i="5"/>
  <c r="F1222" i="5"/>
  <c r="I178" i="23"/>
  <c r="G177" i="23"/>
  <c r="F177" i="23"/>
  <c r="B177" i="23"/>
  <c r="B178" i="23" s="1"/>
  <c r="G175" i="23"/>
  <c r="G158" i="23"/>
  <c r="G100" i="23"/>
  <c r="G986" i="14"/>
  <c r="G161" i="23"/>
  <c r="G1252" i="12"/>
  <c r="L1239" i="12"/>
  <c r="G1250" i="12"/>
  <c r="G1263" i="12" s="1"/>
  <c r="L974" i="14"/>
  <c r="H1008" i="14"/>
  <c r="F1008" i="14"/>
  <c r="I990" i="14"/>
  <c r="G1002" i="14"/>
  <c r="G1008" i="14" s="1"/>
  <c r="S994" i="14"/>
  <c r="R994" i="14"/>
  <c r="Q994" i="14"/>
  <c r="P994" i="14"/>
  <c r="O994" i="14"/>
  <c r="N994" i="14"/>
  <c r="M994" i="14"/>
  <c r="L994" i="14"/>
  <c r="S993" i="14"/>
  <c r="R993" i="14"/>
  <c r="Q993" i="14"/>
  <c r="P993" i="14"/>
  <c r="O993" i="14"/>
  <c r="N993" i="14"/>
  <c r="M993" i="14"/>
  <c r="L993" i="14"/>
  <c r="K994" i="14"/>
  <c r="K993" i="14"/>
  <c r="H993" i="14"/>
  <c r="F993" i="14"/>
  <c r="P428" i="3" s="1"/>
  <c r="V984" i="14"/>
  <c r="G1056" i="14"/>
  <c r="G987" i="14"/>
  <c r="G1053" i="14"/>
  <c r="G1050" i="14"/>
  <c r="W986" i="14"/>
  <c r="W1071" i="14" s="1"/>
  <c r="H183" i="23"/>
  <c r="G183" i="23"/>
  <c r="F183" i="23"/>
  <c r="B155" i="23"/>
  <c r="B156" i="23" s="1"/>
  <c r="G162" i="23"/>
  <c r="V161" i="23"/>
  <c r="G160" i="23"/>
  <c r="V160" i="23"/>
  <c r="F159" i="23"/>
  <c r="G159" i="23"/>
  <c r="L1181" i="8"/>
  <c r="V1106" i="8"/>
  <c r="G1194" i="8"/>
  <c r="G1193" i="8"/>
  <c r="V1193" i="8"/>
  <c r="V1215" i="8"/>
  <c r="G1192" i="8"/>
  <c r="G1239" i="8"/>
  <c r="G1253" i="8" s="1"/>
  <c r="L842" i="17"/>
  <c r="G877" i="17"/>
  <c r="G879" i="17" s="1"/>
  <c r="V877" i="17"/>
  <c r="V859" i="17"/>
  <c r="L507" i="20"/>
  <c r="G557" i="20"/>
  <c r="W520" i="20"/>
  <c r="W572" i="20" s="1"/>
  <c r="L76" i="24"/>
  <c r="V87" i="24"/>
  <c r="V86" i="24"/>
  <c r="L1254" i="5"/>
  <c r="V1269" i="5"/>
  <c r="G1269" i="5"/>
  <c r="V1268" i="5"/>
  <c r="G1268" i="5"/>
  <c r="F33" i="24"/>
  <c r="F31" i="24"/>
  <c r="V94" i="24"/>
  <c r="G94" i="24"/>
  <c r="I94" i="24" s="1"/>
  <c r="H95" i="24"/>
  <c r="F95" i="24"/>
  <c r="G93" i="24"/>
  <c r="I93" i="24" s="1"/>
  <c r="B93" i="24"/>
  <c r="B94" i="24" s="1"/>
  <c r="G92" i="24"/>
  <c r="G43" i="24"/>
  <c r="G777" i="17"/>
  <c r="G767" i="17"/>
  <c r="G96" i="23"/>
  <c r="H1183" i="12"/>
  <c r="F1183" i="12"/>
  <c r="G1150" i="12"/>
  <c r="G1149" i="12"/>
  <c r="G1147" i="12"/>
  <c r="H1281" i="12"/>
  <c r="F1281" i="12"/>
  <c r="V1267" i="12"/>
  <c r="G1267" i="12"/>
  <c r="I1267" i="12" s="1"/>
  <c r="F1134" i="12"/>
  <c r="H1134" i="12"/>
  <c r="F1135" i="12"/>
  <c r="H1286" i="12"/>
  <c r="F1286" i="12"/>
  <c r="G1285" i="12"/>
  <c r="I1285" i="12" s="1"/>
  <c r="B1285" i="12"/>
  <c r="G1284" i="12"/>
  <c r="G1280" i="12"/>
  <c r="I1280" i="12" s="1"/>
  <c r="G1279" i="12"/>
  <c r="I1279" i="12" s="1"/>
  <c r="B1279" i="12"/>
  <c r="B1280" i="12" s="1"/>
  <c r="G1278" i="12"/>
  <c r="G1281" i="12" s="1"/>
  <c r="F1173" i="12"/>
  <c r="V1172" i="12"/>
  <c r="G1172" i="12"/>
  <c r="I1172" i="12" s="1"/>
  <c r="H1173" i="12"/>
  <c r="B1193" i="12"/>
  <c r="H1168" i="12"/>
  <c r="V873" i="17"/>
  <c r="G873" i="17"/>
  <c r="I873" i="17" s="1"/>
  <c r="H890" i="17"/>
  <c r="F890" i="17"/>
  <c r="I889" i="17"/>
  <c r="B889" i="17"/>
  <c r="G888" i="17"/>
  <c r="G883" i="17"/>
  <c r="I883" i="17" s="1"/>
  <c r="G872" i="17"/>
  <c r="F872" i="17"/>
  <c r="I872" i="17" s="1"/>
  <c r="G882" i="17"/>
  <c r="G884" i="17" s="1"/>
  <c r="F882" i="17"/>
  <c r="F884" i="17" s="1"/>
  <c r="B873" i="17"/>
  <c r="I871" i="17"/>
  <c r="B798" i="17"/>
  <c r="H793" i="17"/>
  <c r="F791" i="17"/>
  <c r="G1178" i="12"/>
  <c r="G891" i="14"/>
  <c r="H876" i="14"/>
  <c r="G792" i="17"/>
  <c r="G785" i="17"/>
  <c r="G447" i="20"/>
  <c r="I397" i="3"/>
  <c r="J406" i="4"/>
  <c r="F1251" i="9"/>
  <c r="G1251" i="9"/>
  <c r="I1251" i="9"/>
  <c r="V1251" i="9"/>
  <c r="I1128" i="12"/>
  <c r="F852" i="14"/>
  <c r="F66" i="23"/>
  <c r="F16" i="24"/>
  <c r="F1217" i="9"/>
  <c r="F1079" i="8"/>
  <c r="F754" i="17"/>
  <c r="F416" i="20"/>
  <c r="F1191" i="5"/>
  <c r="G984" i="14"/>
  <c r="G876" i="14"/>
  <c r="G985" i="14"/>
  <c r="K974" i="14"/>
  <c r="V1003" i="14"/>
  <c r="V1002" i="14"/>
  <c r="F1047" i="14"/>
  <c r="B430" i="4"/>
  <c r="I434" i="3"/>
  <c r="K396" i="11"/>
  <c r="V407" i="11"/>
  <c r="I407" i="11"/>
  <c r="K388" i="11" s="1"/>
  <c r="D430" i="4" s="1"/>
  <c r="X415" i="11"/>
  <c r="W415" i="11"/>
  <c r="V415" i="11"/>
  <c r="T415" i="11"/>
  <c r="O422" i="3"/>
  <c r="M422" i="3"/>
  <c r="H413" i="11"/>
  <c r="G413" i="11"/>
  <c r="F413" i="11"/>
  <c r="S409" i="11"/>
  <c r="R409" i="11"/>
  <c r="Q409" i="11"/>
  <c r="P409" i="11"/>
  <c r="O409" i="11"/>
  <c r="N409" i="11"/>
  <c r="M409" i="11"/>
  <c r="L409" i="11"/>
  <c r="K409" i="11"/>
  <c r="S408" i="11"/>
  <c r="R408" i="11"/>
  <c r="Q408" i="11"/>
  <c r="P408" i="11"/>
  <c r="O408" i="11"/>
  <c r="N408" i="11"/>
  <c r="M408" i="11"/>
  <c r="L408" i="11"/>
  <c r="K408" i="11"/>
  <c r="H408" i="11"/>
  <c r="G408" i="11"/>
  <c r="F408" i="11"/>
  <c r="P422" i="3" s="1"/>
  <c r="I408" i="11"/>
  <c r="G386" i="11" s="1"/>
  <c r="Q398" i="11"/>
  <c r="O398" i="11"/>
  <c r="N398" i="11"/>
  <c r="M398" i="11"/>
  <c r="L398" i="11"/>
  <c r="K398" i="11"/>
  <c r="Q397" i="11"/>
  <c r="O397" i="11"/>
  <c r="N397" i="11"/>
  <c r="M397" i="11"/>
  <c r="L397" i="11"/>
  <c r="K397" i="11"/>
  <c r="F394" i="11"/>
  <c r="H393" i="11"/>
  <c r="Q392" i="11"/>
  <c r="O392" i="11"/>
  <c r="N392" i="11"/>
  <c r="M392" i="11"/>
  <c r="L392" i="11"/>
  <c r="K392" i="11"/>
  <c r="F392" i="11"/>
  <c r="H392" i="11" s="1"/>
  <c r="Q391" i="11"/>
  <c r="O391" i="11"/>
  <c r="N391" i="11"/>
  <c r="M391" i="11"/>
  <c r="L391" i="11"/>
  <c r="K391" i="11"/>
  <c r="D431" i="4" s="1" a="1"/>
  <c r="D431" i="4" s="1"/>
  <c r="P390" i="11"/>
  <c r="P398" i="11" s="1"/>
  <c r="P389" i="11"/>
  <c r="F389" i="11"/>
  <c r="F390" i="11" s="1"/>
  <c r="H390" i="11" s="1"/>
  <c r="P430" i="4"/>
  <c r="N430" i="4"/>
  <c r="P388" i="11"/>
  <c r="F386" i="11"/>
  <c r="S383" i="11"/>
  <c r="R383" i="11"/>
  <c r="Q383" i="11"/>
  <c r="P383" i="11"/>
  <c r="O383" i="11"/>
  <c r="N383" i="11"/>
  <c r="M383" i="11"/>
  <c r="L383" i="11"/>
  <c r="K383" i="11"/>
  <c r="C383" i="11"/>
  <c r="T382" i="11"/>
  <c r="A430" i="4" s="1"/>
  <c r="S382" i="11"/>
  <c r="R382" i="11"/>
  <c r="Q382" i="11"/>
  <c r="P382" i="11"/>
  <c r="O382" i="11"/>
  <c r="N382" i="11"/>
  <c r="M382" i="11"/>
  <c r="L382" i="11"/>
  <c r="K382" i="11"/>
  <c r="C382" i="11"/>
  <c r="C381" i="11"/>
  <c r="K144" i="23"/>
  <c r="V157" i="23"/>
  <c r="G157" i="23"/>
  <c r="V156" i="23"/>
  <c r="G154" i="23"/>
  <c r="V154" i="23"/>
  <c r="V203" i="23" s="1"/>
  <c r="F1154" i="12"/>
  <c r="V1242" i="9"/>
  <c r="X1299" i="9"/>
  <c r="W1299" i="9"/>
  <c r="T1299" i="9"/>
  <c r="N757" i="17"/>
  <c r="H786" i="17"/>
  <c r="F786" i="17"/>
  <c r="R757" i="17" s="1"/>
  <c r="V777" i="17"/>
  <c r="F857" i="17"/>
  <c r="K842" i="17" s="1"/>
  <c r="V856" i="17"/>
  <c r="I855" i="17"/>
  <c r="V854" i="17"/>
  <c r="V852" i="17"/>
  <c r="V921" i="17" s="1"/>
  <c r="T487" i="20"/>
  <c r="X487" i="20"/>
  <c r="W487" i="20"/>
  <c r="P1181" i="8"/>
  <c r="D404" i="3"/>
  <c r="E404" i="3"/>
  <c r="F404" i="3"/>
  <c r="G404" i="3"/>
  <c r="K507" i="20"/>
  <c r="P507" i="20" s="1"/>
  <c r="V529" i="20"/>
  <c r="I529" i="20"/>
  <c r="G517" i="20"/>
  <c r="V517" i="20"/>
  <c r="V572" i="20" s="1"/>
  <c r="K1194" i="5"/>
  <c r="H1233" i="5"/>
  <c r="F1233" i="5"/>
  <c r="B1230" i="5"/>
  <c r="K1254" i="5"/>
  <c r="P1254" i="5" s="1"/>
  <c r="H404" i="3" s="1"/>
  <c r="V1267" i="5"/>
  <c r="G1313" i="5"/>
  <c r="G1325" i="5" s="1"/>
  <c r="I1294" i="5"/>
  <c r="I1265" i="5"/>
  <c r="V1264" i="5"/>
  <c r="V1333" i="5" s="1"/>
  <c r="B439" i="4"/>
  <c r="B436" i="4"/>
  <c r="B427" i="4"/>
  <c r="B433" i="4"/>
  <c r="B424" i="4"/>
  <c r="B421" i="4"/>
  <c r="B418" i="4"/>
  <c r="B415" i="4"/>
  <c r="B412" i="4"/>
  <c r="D431" i="3"/>
  <c r="E431" i="3"/>
  <c r="F431" i="3"/>
  <c r="G431" i="3"/>
  <c r="D428" i="3"/>
  <c r="E428" i="3"/>
  <c r="F428" i="3"/>
  <c r="G428" i="3"/>
  <c r="C428" i="3"/>
  <c r="D425" i="3"/>
  <c r="F419" i="3"/>
  <c r="G419" i="3"/>
  <c r="E416" i="3"/>
  <c r="F416" i="3"/>
  <c r="G416" i="3"/>
  <c r="C416" i="3"/>
  <c r="D413" i="3"/>
  <c r="E413" i="3"/>
  <c r="F413" i="3"/>
  <c r="G413" i="3"/>
  <c r="H413" i="3"/>
  <c r="D410" i="3"/>
  <c r="E410" i="3"/>
  <c r="F410" i="3"/>
  <c r="G410" i="3"/>
  <c r="C410" i="3"/>
  <c r="D407" i="3"/>
  <c r="E407" i="3"/>
  <c r="F407" i="3"/>
  <c r="G407" i="3"/>
  <c r="H407" i="3"/>
  <c r="C407" i="3"/>
  <c r="K404" i="3"/>
  <c r="C404" i="3"/>
  <c r="B442" i="4"/>
  <c r="P842" i="17"/>
  <c r="H410" i="3" s="1"/>
  <c r="P19" i="21"/>
  <c r="P330" i="7"/>
  <c r="P1319" i="9"/>
  <c r="H419" i="3" s="1"/>
  <c r="P76" i="24"/>
  <c r="H425" i="3" s="1"/>
  <c r="P974" i="14"/>
  <c r="H428" i="3" s="1"/>
  <c r="P1239" i="12"/>
  <c r="H431" i="3" s="1"/>
  <c r="I1302" i="12"/>
  <c r="I1301" i="12"/>
  <c r="I1300" i="12"/>
  <c r="I1299" i="12"/>
  <c r="I1298" i="12"/>
  <c r="I1297" i="12"/>
  <c r="I1295" i="12"/>
  <c r="I1294" i="12"/>
  <c r="I1293" i="12"/>
  <c r="I1292" i="12"/>
  <c r="I1291" i="12"/>
  <c r="I1290" i="12"/>
  <c r="B1290" i="12"/>
  <c r="B1291" i="12" s="1"/>
  <c r="B1292" i="12" s="1"/>
  <c r="B1293" i="12" s="1"/>
  <c r="B1294" i="12" s="1"/>
  <c r="B1295" i="12" s="1"/>
  <c r="B1296" i="12" s="1"/>
  <c r="B1297" i="12" s="1"/>
  <c r="B1298" i="12" s="1"/>
  <c r="B1299" i="12" s="1"/>
  <c r="B1300" i="12" s="1"/>
  <c r="B1301" i="12" s="1"/>
  <c r="B1302" i="12" s="1"/>
  <c r="B1303" i="12" s="1"/>
  <c r="I1289" i="12"/>
  <c r="I1303" i="12"/>
  <c r="I1274" i="12"/>
  <c r="I1273" i="12"/>
  <c r="I1272" i="12"/>
  <c r="I1271" i="12"/>
  <c r="I1275" i="12" s="1"/>
  <c r="I1258" i="12"/>
  <c r="B1272" i="12"/>
  <c r="B1273" i="12" s="1"/>
  <c r="B1274" i="12" s="1"/>
  <c r="I1250" i="12"/>
  <c r="O431" i="3"/>
  <c r="H1268" i="12"/>
  <c r="G1268" i="12"/>
  <c r="F1268" i="12"/>
  <c r="I1268" i="12"/>
  <c r="F1234" i="12" s="1"/>
  <c r="F1235" i="12" s="1"/>
  <c r="I1262" i="12"/>
  <c r="I1261" i="12"/>
  <c r="O1231" i="12" s="1"/>
  <c r="I1260" i="12"/>
  <c r="I1259" i="12"/>
  <c r="I1257" i="12"/>
  <c r="I1256" i="12"/>
  <c r="I1255" i="12"/>
  <c r="I1254" i="12"/>
  <c r="I1253" i="12"/>
  <c r="M1231" i="12" s="1"/>
  <c r="F439" i="4" s="1"/>
  <c r="I1252" i="12"/>
  <c r="B1252" i="12"/>
  <c r="B1253" i="12" s="1"/>
  <c r="B1254" i="12" s="1"/>
  <c r="B1255" i="12" s="1"/>
  <c r="B1256" i="12" s="1"/>
  <c r="B1257" i="12" s="1"/>
  <c r="I1251" i="12"/>
  <c r="Q1241" i="12"/>
  <c r="O1241" i="12"/>
  <c r="N1241" i="12"/>
  <c r="M1241" i="12"/>
  <c r="L1241" i="12"/>
  <c r="K1241" i="12"/>
  <c r="Q1240" i="12"/>
  <c r="O1240" i="12"/>
  <c r="N1240" i="12"/>
  <c r="M1240" i="12"/>
  <c r="L1240" i="12"/>
  <c r="K1240" i="12"/>
  <c r="F1237" i="12"/>
  <c r="H1236" i="12"/>
  <c r="Q1235" i="12"/>
  <c r="M1235" i="12"/>
  <c r="K1235" i="12"/>
  <c r="H1235" i="12"/>
  <c r="Q1234" i="12"/>
  <c r="O1234" i="12"/>
  <c r="N1234" i="12"/>
  <c r="M1234" i="12"/>
  <c r="F440" i="4" s="1" a="1"/>
  <c r="F440" i="4" s="1"/>
  <c r="L1234" i="12"/>
  <c r="K1234" i="12"/>
  <c r="P1233" i="12"/>
  <c r="P1241" i="12" s="1"/>
  <c r="P1232" i="12"/>
  <c r="F1232" i="12"/>
  <c r="F1233" i="12" s="1"/>
  <c r="H1233" i="12" s="1"/>
  <c r="P439" i="4"/>
  <c r="S1226" i="12"/>
  <c r="R1226" i="12"/>
  <c r="Q1226" i="12"/>
  <c r="P1226" i="12"/>
  <c r="O1226" i="12"/>
  <c r="N1226" i="12"/>
  <c r="M1226" i="12"/>
  <c r="L1226" i="12"/>
  <c r="K1226" i="12"/>
  <c r="C1226" i="12"/>
  <c r="T1225" i="12"/>
  <c r="A439" i="4" s="1"/>
  <c r="S1225" i="12"/>
  <c r="R1225" i="12"/>
  <c r="Q1225" i="12"/>
  <c r="P1225" i="12"/>
  <c r="O1225" i="12"/>
  <c r="N1225" i="12"/>
  <c r="M1225" i="12"/>
  <c r="L1225" i="12"/>
  <c r="K1225" i="12"/>
  <c r="C1225" i="12"/>
  <c r="C1224" i="12"/>
  <c r="X1254" i="8"/>
  <c r="W1254" i="8"/>
  <c r="V1254" i="8"/>
  <c r="I1250" i="8"/>
  <c r="I1249" i="8"/>
  <c r="I1248" i="8"/>
  <c r="I1247" i="8"/>
  <c r="I1246" i="8"/>
  <c r="I1245" i="8"/>
  <c r="I1244" i="8"/>
  <c r="I1243" i="8"/>
  <c r="I1242" i="8"/>
  <c r="I1241" i="8"/>
  <c r="I1240" i="8"/>
  <c r="B1240" i="8"/>
  <c r="B1241" i="8" s="1"/>
  <c r="B1242" i="8" s="1"/>
  <c r="B1243" i="8" s="1"/>
  <c r="B1244" i="8" s="1"/>
  <c r="B1245" i="8" s="1"/>
  <c r="B1246" i="8" s="1"/>
  <c r="I1239" i="8"/>
  <c r="I1252" i="8"/>
  <c r="I1251" i="8"/>
  <c r="I1218" i="8"/>
  <c r="I1217" i="8"/>
  <c r="I1216" i="8"/>
  <c r="I1199" i="8"/>
  <c r="I1194" i="8"/>
  <c r="B1217" i="8"/>
  <c r="B1218" i="8" s="1"/>
  <c r="O413" i="3"/>
  <c r="I1200" i="8"/>
  <c r="H1212" i="8"/>
  <c r="G1212" i="8"/>
  <c r="F1212" i="8"/>
  <c r="S1203" i="8"/>
  <c r="R1203" i="8"/>
  <c r="Q1203" i="8"/>
  <c r="P1203" i="8"/>
  <c r="O1203" i="8"/>
  <c r="N1203" i="8"/>
  <c r="M1203" i="8"/>
  <c r="L1203" i="8"/>
  <c r="K1203" i="8"/>
  <c r="S1202" i="8"/>
  <c r="R1202" i="8"/>
  <c r="Q1202" i="8"/>
  <c r="P1202" i="8"/>
  <c r="O1202" i="8"/>
  <c r="N1202" i="8"/>
  <c r="M1202" i="8"/>
  <c r="L1202" i="8"/>
  <c r="K1202" i="8"/>
  <c r="H1202" i="8"/>
  <c r="G1202" i="8"/>
  <c r="F1202" i="8"/>
  <c r="P413" i="3" s="1"/>
  <c r="I1201" i="8"/>
  <c r="I1198" i="8"/>
  <c r="N1173" i="8" s="1"/>
  <c r="G421" i="4" s="1"/>
  <c r="I1196" i="8"/>
  <c r="I1195" i="8"/>
  <c r="M1173" i="8" s="1"/>
  <c r="F421" i="4" s="1"/>
  <c r="I1193" i="8"/>
  <c r="B1193" i="8"/>
  <c r="B1194" i="8" s="1"/>
  <c r="B1195" i="8" s="1"/>
  <c r="B1196" i="8" s="1"/>
  <c r="B1197" i="8" s="1"/>
  <c r="B1198" i="8" s="1"/>
  <c r="I1192" i="8"/>
  <c r="Q1183" i="8"/>
  <c r="O1183" i="8"/>
  <c r="N1183" i="8"/>
  <c r="M1183" i="8"/>
  <c r="L1183" i="8"/>
  <c r="K1183" i="8"/>
  <c r="Q1182" i="8"/>
  <c r="O1182" i="8"/>
  <c r="N1182" i="8"/>
  <c r="M1182" i="8"/>
  <c r="L1182" i="8"/>
  <c r="K1182" i="8"/>
  <c r="F1179" i="8"/>
  <c r="H1178" i="8"/>
  <c r="Q1177" i="8"/>
  <c r="N1177" i="8"/>
  <c r="M1177" i="8"/>
  <c r="K1177" i="8"/>
  <c r="Q1176" i="8"/>
  <c r="O1176" i="8"/>
  <c r="N1176" i="8"/>
  <c r="G422" i="4" s="1" a="1"/>
  <c r="G422" i="4" s="1"/>
  <c r="M1176" i="8"/>
  <c r="F422" i="4" s="1" a="1"/>
  <c r="F422" i="4" s="1"/>
  <c r="L1176" i="8"/>
  <c r="K1176" i="8"/>
  <c r="P1175" i="8"/>
  <c r="P1183" i="8" s="1"/>
  <c r="P1174" i="8"/>
  <c r="F1174" i="8"/>
  <c r="F1175" i="8" s="1"/>
  <c r="H1175" i="8" s="1"/>
  <c r="P421" i="4"/>
  <c r="S1168" i="8"/>
  <c r="R1168" i="8"/>
  <c r="Q1168" i="8"/>
  <c r="P1168" i="8"/>
  <c r="O1168" i="8"/>
  <c r="N1168" i="8"/>
  <c r="M1168" i="8"/>
  <c r="L1168" i="8"/>
  <c r="K1168" i="8"/>
  <c r="C1168" i="8"/>
  <c r="T1167" i="8"/>
  <c r="A421" i="4" s="1"/>
  <c r="S1167" i="8"/>
  <c r="R1167" i="8"/>
  <c r="Q1167" i="8"/>
  <c r="P1167" i="8"/>
  <c r="O1167" i="8"/>
  <c r="N1167" i="8"/>
  <c r="M1167" i="8"/>
  <c r="L1167" i="8"/>
  <c r="K1167" i="8"/>
  <c r="C1167" i="8"/>
  <c r="C1166" i="8"/>
  <c r="H1064" i="14"/>
  <c r="G1064" i="14"/>
  <c r="F1064" i="14"/>
  <c r="I1063" i="14"/>
  <c r="I1062" i="14"/>
  <c r="I1061" i="14"/>
  <c r="I1058" i="14"/>
  <c r="I1057" i="14"/>
  <c r="I1056" i="14"/>
  <c r="I1055" i="14"/>
  <c r="I1054" i="14"/>
  <c r="I1053" i="14"/>
  <c r="I1052" i="14"/>
  <c r="I1051" i="14"/>
  <c r="I1050" i="14"/>
  <c r="I1049" i="14"/>
  <c r="I1048" i="14"/>
  <c r="I1047" i="14"/>
  <c r="I1046" i="14"/>
  <c r="B1046" i="14"/>
  <c r="B1047" i="14" s="1"/>
  <c r="B1048" i="14" s="1"/>
  <c r="B1049" i="14" s="1"/>
  <c r="B1050" i="14" s="1"/>
  <c r="B1051" i="14" s="1"/>
  <c r="B1052" i="14" s="1"/>
  <c r="B1053" i="14" s="1"/>
  <c r="B1054" i="14" s="1"/>
  <c r="B1055" i="14" s="1"/>
  <c r="B1056" i="14" s="1"/>
  <c r="B1057" i="14" s="1"/>
  <c r="B1058" i="14" s="1"/>
  <c r="I1045" i="14"/>
  <c r="I1064" i="14" s="1"/>
  <c r="I1007" i="14"/>
  <c r="I1006" i="14"/>
  <c r="I1005" i="14"/>
  <c r="I1004" i="14"/>
  <c r="I1003" i="14"/>
  <c r="I1002" i="14"/>
  <c r="I1008" i="14" s="1"/>
  <c r="B1003" i="14"/>
  <c r="B1004" i="14" s="1"/>
  <c r="B1005" i="14" s="1"/>
  <c r="B1006" i="14" s="1"/>
  <c r="B1007" i="14" s="1"/>
  <c r="I985" i="14"/>
  <c r="I998" i="14"/>
  <c r="I997" i="14"/>
  <c r="I999" i="14" s="1"/>
  <c r="B998" i="14"/>
  <c r="I984" i="14"/>
  <c r="I991" i="14"/>
  <c r="I989" i="14"/>
  <c r="I988" i="14"/>
  <c r="I987" i="14"/>
  <c r="B987" i="14"/>
  <c r="B988" i="14" s="1"/>
  <c r="B989" i="14" s="1"/>
  <c r="I986" i="14"/>
  <c r="L966" i="14" s="1"/>
  <c r="E436" i="4" s="1"/>
  <c r="Q976" i="14"/>
  <c r="O976" i="14"/>
  <c r="N976" i="14"/>
  <c r="M976" i="14"/>
  <c r="L976" i="14"/>
  <c r="K976" i="14"/>
  <c r="Q975" i="14"/>
  <c r="O975" i="14"/>
  <c r="N975" i="14"/>
  <c r="M975" i="14"/>
  <c r="L975" i="14"/>
  <c r="K975" i="14"/>
  <c r="O428" i="3"/>
  <c r="F972" i="14"/>
  <c r="H971" i="14"/>
  <c r="Q970" i="14"/>
  <c r="L970" i="14"/>
  <c r="F970" i="14"/>
  <c r="H970" i="14" s="1"/>
  <c r="Q969" i="14"/>
  <c r="O969" i="14"/>
  <c r="N969" i="14"/>
  <c r="M969" i="14"/>
  <c r="L969" i="14"/>
  <c r="E437" i="4" s="1" a="1"/>
  <c r="E437" i="4" s="1"/>
  <c r="K969" i="14"/>
  <c r="P968" i="14"/>
  <c r="P976" i="14" s="1"/>
  <c r="P967" i="14"/>
  <c r="F967" i="14"/>
  <c r="F968" i="14" s="1"/>
  <c r="H968" i="14" s="1"/>
  <c r="P436" i="4"/>
  <c r="F965" i="14"/>
  <c r="S961" i="14"/>
  <c r="R961" i="14"/>
  <c r="Q961" i="14"/>
  <c r="P961" i="14"/>
  <c r="O961" i="14"/>
  <c r="N961" i="14"/>
  <c r="M961" i="14"/>
  <c r="L961" i="14"/>
  <c r="K961" i="14"/>
  <c r="C961" i="14"/>
  <c r="T960" i="14"/>
  <c r="A436" i="4" s="1"/>
  <c r="S960" i="14"/>
  <c r="R960" i="14"/>
  <c r="Q960" i="14"/>
  <c r="P960" i="14"/>
  <c r="O960" i="14"/>
  <c r="N960" i="14"/>
  <c r="M960" i="14"/>
  <c r="L960" i="14"/>
  <c r="K960" i="14"/>
  <c r="C960" i="14"/>
  <c r="C959" i="14"/>
  <c r="H202" i="23"/>
  <c r="G202" i="23"/>
  <c r="F202" i="23"/>
  <c r="I201" i="23"/>
  <c r="I200" i="23"/>
  <c r="I199" i="23"/>
  <c r="I198" i="23"/>
  <c r="I197" i="23"/>
  <c r="I196" i="23"/>
  <c r="I195" i="23"/>
  <c r="I194" i="23"/>
  <c r="I193" i="23"/>
  <c r="I192" i="23"/>
  <c r="B192" i="23"/>
  <c r="B193" i="23" s="1"/>
  <c r="B194" i="23" s="1"/>
  <c r="B195" i="23" s="1"/>
  <c r="B196" i="23" s="1"/>
  <c r="B197" i="23" s="1"/>
  <c r="B198" i="23" s="1"/>
  <c r="B199" i="23" s="1"/>
  <c r="B200" i="23" s="1"/>
  <c r="B201" i="23" s="1"/>
  <c r="I191" i="23"/>
  <c r="I202" i="23" s="1"/>
  <c r="I187" i="23"/>
  <c r="I188" i="23" s="1"/>
  <c r="I159" i="23"/>
  <c r="I158" i="23"/>
  <c r="I182" i="23"/>
  <c r="I155" i="23"/>
  <c r="H179" i="23"/>
  <c r="G179" i="23"/>
  <c r="F179" i="23"/>
  <c r="S172" i="23"/>
  <c r="R172" i="23"/>
  <c r="Q172" i="23"/>
  <c r="P172" i="23"/>
  <c r="O172" i="23"/>
  <c r="N172" i="23"/>
  <c r="M172" i="23"/>
  <c r="L172" i="23"/>
  <c r="K172" i="23"/>
  <c r="S171" i="23"/>
  <c r="R171" i="23"/>
  <c r="Q171" i="23"/>
  <c r="P171" i="23"/>
  <c r="O171" i="23"/>
  <c r="N171" i="23"/>
  <c r="M171" i="23"/>
  <c r="L171" i="23"/>
  <c r="K171" i="23"/>
  <c r="H171" i="23"/>
  <c r="G171" i="23"/>
  <c r="F171" i="23"/>
  <c r="P416" i="3" s="1"/>
  <c r="I170" i="23"/>
  <c r="I169" i="23"/>
  <c r="O136" i="23" s="1"/>
  <c r="H424" i="4" s="1"/>
  <c r="I168" i="23"/>
  <c r="I167" i="23"/>
  <c r="I166" i="23"/>
  <c r="I165" i="23"/>
  <c r="I164" i="23"/>
  <c r="M136" i="23" s="1"/>
  <c r="F424" i="4" s="1"/>
  <c r="I163" i="23"/>
  <c r="I162" i="23"/>
  <c r="I161" i="23"/>
  <c r="I160" i="23"/>
  <c r="I157" i="23"/>
  <c r="I156" i="23"/>
  <c r="B157" i="23"/>
  <c r="I154" i="23"/>
  <c r="Q146" i="23"/>
  <c r="O146" i="23"/>
  <c r="N146" i="23"/>
  <c r="M146" i="23"/>
  <c r="L146" i="23"/>
  <c r="K146" i="23"/>
  <c r="Q145" i="23"/>
  <c r="O145" i="23"/>
  <c r="N145" i="23"/>
  <c r="M145" i="23"/>
  <c r="L145" i="23"/>
  <c r="K145" i="23"/>
  <c r="O416" i="3"/>
  <c r="F142" i="23"/>
  <c r="H141" i="23"/>
  <c r="Q140" i="23"/>
  <c r="O140" i="23"/>
  <c r="M140" i="23"/>
  <c r="Q139" i="23"/>
  <c r="O139" i="23"/>
  <c r="H425" i="4" s="1" a="1"/>
  <c r="H425" i="4" s="1"/>
  <c r="N139" i="23"/>
  <c r="M139" i="23"/>
  <c r="F425" i="4" s="1" a="1"/>
  <c r="F425" i="4" s="1"/>
  <c r="L139" i="23"/>
  <c r="K139" i="23"/>
  <c r="P138" i="23"/>
  <c r="P146" i="23" s="1"/>
  <c r="P137" i="23"/>
  <c r="F137" i="23"/>
  <c r="F138" i="23" s="1"/>
  <c r="H138" i="23" s="1"/>
  <c r="P424" i="4"/>
  <c r="F135" i="23"/>
  <c r="S131" i="23"/>
  <c r="R131" i="23"/>
  <c r="Q131" i="23"/>
  <c r="P131" i="23"/>
  <c r="O131" i="23"/>
  <c r="N131" i="23"/>
  <c r="M131" i="23"/>
  <c r="L131" i="23"/>
  <c r="K131" i="23"/>
  <c r="C131" i="23"/>
  <c r="T130" i="23"/>
  <c r="A424" i="4" s="1"/>
  <c r="S130" i="23"/>
  <c r="R130" i="23"/>
  <c r="Q130" i="23"/>
  <c r="P130" i="23"/>
  <c r="O130" i="23"/>
  <c r="N130" i="23"/>
  <c r="M130" i="23"/>
  <c r="L130" i="23"/>
  <c r="K130" i="23"/>
  <c r="C130" i="23"/>
  <c r="C129" i="23"/>
  <c r="H99" i="24"/>
  <c r="G99" i="24"/>
  <c r="F99" i="24"/>
  <c r="I98" i="24"/>
  <c r="I99" i="24" s="1"/>
  <c r="S89" i="24"/>
  <c r="R89" i="24"/>
  <c r="Q89" i="24"/>
  <c r="P89" i="24"/>
  <c r="O89" i="24"/>
  <c r="N89" i="24"/>
  <c r="M89" i="24"/>
  <c r="L89" i="24"/>
  <c r="K89" i="24"/>
  <c r="S88" i="24"/>
  <c r="R88" i="24"/>
  <c r="Q88" i="24"/>
  <c r="P88" i="24"/>
  <c r="O88" i="24"/>
  <c r="N88" i="24"/>
  <c r="M88" i="24"/>
  <c r="L88" i="24"/>
  <c r="K88" i="24"/>
  <c r="H88" i="24"/>
  <c r="G88" i="24"/>
  <c r="F88" i="24"/>
  <c r="P425" i="3" s="1"/>
  <c r="I87" i="24"/>
  <c r="B87" i="24"/>
  <c r="I86" i="24"/>
  <c r="Q78" i="24"/>
  <c r="O78" i="24"/>
  <c r="N78" i="24"/>
  <c r="M78" i="24"/>
  <c r="L78" i="24"/>
  <c r="K78" i="24"/>
  <c r="Q77" i="24"/>
  <c r="O77" i="24"/>
  <c r="N77" i="24"/>
  <c r="M77" i="24"/>
  <c r="L77" i="24"/>
  <c r="K77" i="24"/>
  <c r="O425" i="3"/>
  <c r="M425" i="3"/>
  <c r="F74" i="24"/>
  <c r="H73" i="24"/>
  <c r="Q72" i="24"/>
  <c r="O72" i="24"/>
  <c r="N72" i="24"/>
  <c r="M72" i="24"/>
  <c r="K72" i="24"/>
  <c r="F72" i="24"/>
  <c r="H72" i="24" s="1"/>
  <c r="Q71" i="24"/>
  <c r="O71" i="24"/>
  <c r="N71" i="24"/>
  <c r="M71" i="24"/>
  <c r="L71" i="24"/>
  <c r="K71" i="24"/>
  <c r="P70" i="24"/>
  <c r="P78" i="24" s="1"/>
  <c r="P69" i="24"/>
  <c r="F69" i="24"/>
  <c r="F70" i="24" s="1"/>
  <c r="H70" i="24" s="1"/>
  <c r="P433" i="4"/>
  <c r="N433" i="4"/>
  <c r="F67" i="24"/>
  <c r="S63" i="24"/>
  <c r="R63" i="24"/>
  <c r="Q63" i="24"/>
  <c r="P63" i="24"/>
  <c r="O63" i="24"/>
  <c r="N63" i="24"/>
  <c r="M63" i="24"/>
  <c r="L63" i="24"/>
  <c r="K63" i="24"/>
  <c r="C63" i="24"/>
  <c r="T62" i="24"/>
  <c r="A433" i="4" s="1"/>
  <c r="S62" i="24"/>
  <c r="R62" i="24"/>
  <c r="Q62" i="24"/>
  <c r="P62" i="24"/>
  <c r="O62" i="24"/>
  <c r="N62" i="24"/>
  <c r="M62" i="24"/>
  <c r="L62" i="24"/>
  <c r="K62" i="24"/>
  <c r="C62" i="24"/>
  <c r="C61" i="24"/>
  <c r="H1374" i="9"/>
  <c r="G1374" i="9"/>
  <c r="F1374" i="9"/>
  <c r="I1373" i="9"/>
  <c r="I1372" i="9"/>
  <c r="I1371" i="9"/>
  <c r="B1371" i="9"/>
  <c r="B1372" i="9" s="1"/>
  <c r="B1373" i="9" s="1"/>
  <c r="I1370" i="9"/>
  <c r="I1374" i="9" s="1"/>
  <c r="H1341" i="9"/>
  <c r="G1341" i="9"/>
  <c r="F1341" i="9"/>
  <c r="I1340" i="9"/>
  <c r="I1339" i="9"/>
  <c r="B1339" i="9"/>
  <c r="B1340" i="9" s="1"/>
  <c r="I1338" i="9"/>
  <c r="I1341" i="9" s="1"/>
  <c r="H1335" i="9"/>
  <c r="G1335" i="9"/>
  <c r="F1335" i="9"/>
  <c r="I1334" i="9"/>
  <c r="S1331" i="9"/>
  <c r="R1331" i="9"/>
  <c r="Q1331" i="9"/>
  <c r="P1331" i="9"/>
  <c r="O1331" i="9"/>
  <c r="N1331" i="9"/>
  <c r="M1331" i="9"/>
  <c r="L1331" i="9"/>
  <c r="K1331" i="9"/>
  <c r="S1330" i="9"/>
  <c r="R1330" i="9"/>
  <c r="Q1330" i="9"/>
  <c r="P1330" i="9"/>
  <c r="O1330" i="9"/>
  <c r="N1330" i="9"/>
  <c r="M1330" i="9"/>
  <c r="L1330" i="9"/>
  <c r="K1330" i="9"/>
  <c r="H1330" i="9"/>
  <c r="G1330" i="9"/>
  <c r="F1330" i="9"/>
  <c r="P419" i="3" s="1"/>
  <c r="I1329" i="9"/>
  <c r="Q1321" i="9"/>
  <c r="O1321" i="9"/>
  <c r="N1321" i="9"/>
  <c r="M1321" i="9"/>
  <c r="L1321" i="9"/>
  <c r="K1321" i="9"/>
  <c r="Q1320" i="9"/>
  <c r="O1320" i="9"/>
  <c r="N1320" i="9"/>
  <c r="M1320" i="9"/>
  <c r="L1320" i="9"/>
  <c r="K1320" i="9"/>
  <c r="O419" i="3"/>
  <c r="R1319" i="9"/>
  <c r="M419" i="3" s="1"/>
  <c r="F1317" i="9"/>
  <c r="H1316" i="9"/>
  <c r="Q1315" i="9"/>
  <c r="M1315" i="9"/>
  <c r="L1315" i="9"/>
  <c r="K1315" i="9"/>
  <c r="F1315" i="9"/>
  <c r="H1315" i="9" s="1"/>
  <c r="Q1314" i="9"/>
  <c r="O1314" i="9"/>
  <c r="N1314" i="9"/>
  <c r="M1314" i="9"/>
  <c r="L1314" i="9"/>
  <c r="K1314" i="9"/>
  <c r="P1313" i="9"/>
  <c r="P1321" i="9" s="1"/>
  <c r="P1312" i="9"/>
  <c r="F1312" i="9"/>
  <c r="F1313" i="9" s="1"/>
  <c r="H1313" i="9" s="1"/>
  <c r="P427" i="4"/>
  <c r="F1310" i="9"/>
  <c r="S1306" i="9"/>
  <c r="R1306" i="9"/>
  <c r="Q1306" i="9"/>
  <c r="P1306" i="9"/>
  <c r="O1306" i="9"/>
  <c r="N1306" i="9"/>
  <c r="M1306" i="9"/>
  <c r="L1306" i="9"/>
  <c r="K1306" i="9"/>
  <c r="C1306" i="9"/>
  <c r="T1305" i="9"/>
  <c r="A427" i="4" s="1"/>
  <c r="S1305" i="9"/>
  <c r="R1305" i="9"/>
  <c r="Q1305" i="9"/>
  <c r="P1305" i="9"/>
  <c r="O1305" i="9"/>
  <c r="N1305" i="9"/>
  <c r="M1305" i="9"/>
  <c r="L1305" i="9"/>
  <c r="K1305" i="9"/>
  <c r="C1305" i="9"/>
  <c r="C1304" i="9"/>
  <c r="X454" i="7"/>
  <c r="W454" i="7"/>
  <c r="V454" i="7"/>
  <c r="T454" i="7"/>
  <c r="H453" i="7"/>
  <c r="G453" i="7"/>
  <c r="F453" i="7"/>
  <c r="I452" i="7"/>
  <c r="I451" i="7"/>
  <c r="I450" i="7"/>
  <c r="I449" i="7"/>
  <c r="I448" i="7"/>
  <c r="B448" i="7"/>
  <c r="B449" i="7" s="1"/>
  <c r="B450" i="7" s="1"/>
  <c r="B451" i="7" s="1"/>
  <c r="B452" i="7" s="1"/>
  <c r="I447" i="7"/>
  <c r="I453" i="7" s="1"/>
  <c r="H444" i="7"/>
  <c r="G444" i="7"/>
  <c r="F444" i="7"/>
  <c r="I443" i="7"/>
  <c r="I442" i="7"/>
  <c r="I441" i="7"/>
  <c r="I440" i="7"/>
  <c r="I439" i="7"/>
  <c r="I438" i="7"/>
  <c r="I437" i="7"/>
  <c r="I436" i="7"/>
  <c r="I435" i="7"/>
  <c r="I434" i="7"/>
  <c r="I433" i="7"/>
  <c r="I432" i="7"/>
  <c r="I431" i="7"/>
  <c r="I430" i="7"/>
  <c r="I429" i="7"/>
  <c r="I428" i="7"/>
  <c r="I427" i="7"/>
  <c r="B427" i="7"/>
  <c r="B428" i="7" s="1"/>
  <c r="B429" i="7" s="1"/>
  <c r="B430" i="7" s="1"/>
  <c r="B431" i="7" s="1"/>
  <c r="B432" i="7" s="1"/>
  <c r="B433" i="7" s="1"/>
  <c r="B434" i="7" s="1"/>
  <c r="B435" i="7" s="1"/>
  <c r="B436" i="7" s="1"/>
  <c r="B437" i="7" s="1"/>
  <c r="B438" i="7" s="1"/>
  <c r="B439" i="7" s="1"/>
  <c r="B440" i="7" s="1"/>
  <c r="B441" i="7" s="1"/>
  <c r="B442" i="7" s="1"/>
  <c r="B443" i="7" s="1"/>
  <c r="I426" i="7"/>
  <c r="I444" i="7" s="1"/>
  <c r="H423" i="7"/>
  <c r="G423" i="7"/>
  <c r="F423" i="7"/>
  <c r="I422" i="7"/>
  <c r="I421" i="7"/>
  <c r="I420" i="7"/>
  <c r="I419" i="7"/>
  <c r="I418" i="7"/>
  <c r="I417" i="7"/>
  <c r="I416" i="7"/>
  <c r="B416" i="7"/>
  <c r="B417" i="7" s="1"/>
  <c r="B418" i="7" s="1"/>
  <c r="B419" i="7" s="1"/>
  <c r="B420" i="7" s="1"/>
  <c r="B421" i="7" s="1"/>
  <c r="B422" i="7" s="1"/>
  <c r="I415" i="7"/>
  <c r="I423" i="7" s="1"/>
  <c r="H412" i="7"/>
  <c r="G412" i="7"/>
  <c r="F412" i="7"/>
  <c r="I411" i="7"/>
  <c r="I410" i="7"/>
  <c r="I409" i="7"/>
  <c r="I408" i="7"/>
  <c r="I407" i="7"/>
  <c r="I406" i="7"/>
  <c r="I405" i="7"/>
  <c r="B405" i="7"/>
  <c r="B406" i="7" s="1"/>
  <c r="B407" i="7" s="1"/>
  <c r="B408" i="7" s="1"/>
  <c r="B409" i="7" s="1"/>
  <c r="B410" i="7" s="1"/>
  <c r="B411" i="7" s="1"/>
  <c r="I404" i="7"/>
  <c r="I412" i="7" s="1"/>
  <c r="H401" i="7"/>
  <c r="G401" i="7"/>
  <c r="F401" i="7"/>
  <c r="I400" i="7"/>
  <c r="I399" i="7"/>
  <c r="I398" i="7"/>
  <c r="I397" i="7"/>
  <c r="I396" i="7"/>
  <c r="I395" i="7"/>
  <c r="I394" i="7"/>
  <c r="B394" i="7"/>
  <c r="B395" i="7" s="1"/>
  <c r="B396" i="7" s="1"/>
  <c r="B397" i="7" s="1"/>
  <c r="B398" i="7" s="1"/>
  <c r="B399" i="7" s="1"/>
  <c r="B400" i="7" s="1"/>
  <c r="I393" i="7"/>
  <c r="I401" i="7" s="1"/>
  <c r="H390" i="7"/>
  <c r="G390" i="7"/>
  <c r="F390" i="7"/>
  <c r="I389" i="7"/>
  <c r="I388" i="7"/>
  <c r="I387" i="7"/>
  <c r="I386" i="7"/>
  <c r="I385" i="7"/>
  <c r="I384" i="7"/>
  <c r="I383" i="7"/>
  <c r="B383" i="7"/>
  <c r="B384" i="7" s="1"/>
  <c r="B385" i="7" s="1"/>
  <c r="B386" i="7" s="1"/>
  <c r="B387" i="7" s="1"/>
  <c r="B388" i="7" s="1"/>
  <c r="B389" i="7" s="1"/>
  <c r="I382" i="7"/>
  <c r="I390" i="7" s="1"/>
  <c r="H379" i="7"/>
  <c r="G379" i="7"/>
  <c r="F379" i="7"/>
  <c r="I378" i="7"/>
  <c r="I377" i="7"/>
  <c r="I376" i="7"/>
  <c r="I375" i="7"/>
  <c r="I374" i="7"/>
  <c r="I373" i="7"/>
  <c r="I372" i="7"/>
  <c r="B372" i="7"/>
  <c r="B373" i="7" s="1"/>
  <c r="B374" i="7" s="1"/>
  <c r="B375" i="7" s="1"/>
  <c r="B376" i="7" s="1"/>
  <c r="B377" i="7" s="1"/>
  <c r="B378" i="7" s="1"/>
  <c r="I371" i="7"/>
  <c r="I379" i="7" s="1"/>
  <c r="H368" i="7"/>
  <c r="G368" i="7"/>
  <c r="F368" i="7"/>
  <c r="I367" i="7"/>
  <c r="I366" i="7"/>
  <c r="I365" i="7"/>
  <c r="I364" i="7"/>
  <c r="I363" i="7"/>
  <c r="I362" i="7"/>
  <c r="I361" i="7"/>
  <c r="B361" i="7"/>
  <c r="B362" i="7" s="1"/>
  <c r="B363" i="7" s="1"/>
  <c r="B364" i="7" s="1"/>
  <c r="B365" i="7" s="1"/>
  <c r="B366" i="7" s="1"/>
  <c r="B367" i="7" s="1"/>
  <c r="I360" i="7"/>
  <c r="I368" i="7" s="1"/>
  <c r="S357" i="7"/>
  <c r="R357" i="7"/>
  <c r="Q357" i="7"/>
  <c r="P357" i="7"/>
  <c r="O357" i="7"/>
  <c r="N357" i="7"/>
  <c r="M357" i="7"/>
  <c r="L357" i="7"/>
  <c r="K357" i="7"/>
  <c r="S356" i="7"/>
  <c r="R356" i="7"/>
  <c r="Q356" i="7"/>
  <c r="P356" i="7"/>
  <c r="O356" i="7"/>
  <c r="N356" i="7"/>
  <c r="M356" i="7"/>
  <c r="L356" i="7"/>
  <c r="K356" i="7"/>
  <c r="H356" i="7"/>
  <c r="G356" i="7"/>
  <c r="F356" i="7"/>
  <c r="I355" i="7"/>
  <c r="I354" i="7"/>
  <c r="I353" i="7"/>
  <c r="I352" i="7"/>
  <c r="I351" i="7"/>
  <c r="I350" i="7"/>
  <c r="I349" i="7"/>
  <c r="I348" i="7"/>
  <c r="I347" i="7"/>
  <c r="I346" i="7"/>
  <c r="I345" i="7"/>
  <c r="I344" i="7"/>
  <c r="I343" i="7"/>
  <c r="I342" i="7"/>
  <c r="I341" i="7"/>
  <c r="B341" i="7"/>
  <c r="B342" i="7" s="1"/>
  <c r="B343" i="7" s="1"/>
  <c r="B344" i="7" s="1"/>
  <c r="B345" i="7" s="1"/>
  <c r="B346" i="7" s="1"/>
  <c r="B347" i="7" s="1"/>
  <c r="B348" i="7" s="1"/>
  <c r="B349" i="7" s="1"/>
  <c r="B350" i="7" s="1"/>
  <c r="B351" i="7" s="1"/>
  <c r="B352" i="7" s="1"/>
  <c r="B353" i="7" s="1"/>
  <c r="B354" i="7" s="1"/>
  <c r="B355" i="7" s="1"/>
  <c r="I340" i="7"/>
  <c r="I356" i="7" s="1"/>
  <c r="Q332" i="7"/>
  <c r="O332" i="7"/>
  <c r="N332" i="7"/>
  <c r="M332" i="7"/>
  <c r="L332" i="7"/>
  <c r="K332" i="7"/>
  <c r="Q331" i="7"/>
  <c r="O331" i="7"/>
  <c r="N331" i="7"/>
  <c r="M331" i="7"/>
  <c r="L331" i="7"/>
  <c r="K331" i="7"/>
  <c r="S330" i="7"/>
  <c r="R330" i="7"/>
  <c r="F328" i="7"/>
  <c r="H327" i="7"/>
  <c r="Q326" i="7"/>
  <c r="O326" i="7"/>
  <c r="N326" i="7"/>
  <c r="M326" i="7"/>
  <c r="L326" i="7"/>
  <c r="K326" i="7"/>
  <c r="F326" i="7"/>
  <c r="H326" i="7" s="1"/>
  <c r="Q325" i="7"/>
  <c r="O325" i="7"/>
  <c r="N325" i="7"/>
  <c r="M325" i="7"/>
  <c r="L325" i="7"/>
  <c r="K325" i="7"/>
  <c r="P324" i="7"/>
  <c r="P332" i="7" s="1"/>
  <c r="P323" i="7"/>
  <c r="F323" i="7"/>
  <c r="F324" i="7" s="1"/>
  <c r="H324" i="7" s="1"/>
  <c r="S322" i="7"/>
  <c r="R322" i="7"/>
  <c r="P322" i="7"/>
  <c r="P326" i="7" s="1"/>
  <c r="F321" i="7"/>
  <c r="G320" i="7"/>
  <c r="F320" i="7"/>
  <c r="F322" i="7" s="1"/>
  <c r="H322" i="7" s="1"/>
  <c r="C320" i="7"/>
  <c r="S317" i="7"/>
  <c r="R317" i="7"/>
  <c r="Q317" i="7"/>
  <c r="P317" i="7"/>
  <c r="O317" i="7"/>
  <c r="N317" i="7"/>
  <c r="M317" i="7"/>
  <c r="L317" i="7"/>
  <c r="K317" i="7"/>
  <c r="C317" i="7"/>
  <c r="T316" i="7"/>
  <c r="S316" i="7"/>
  <c r="R316" i="7"/>
  <c r="Q316" i="7"/>
  <c r="P316" i="7"/>
  <c r="O316" i="7"/>
  <c r="N316" i="7"/>
  <c r="M316" i="7"/>
  <c r="L316" i="7"/>
  <c r="K316" i="7"/>
  <c r="C316" i="7"/>
  <c r="C315" i="7"/>
  <c r="H920" i="17"/>
  <c r="G920" i="17"/>
  <c r="F920" i="17"/>
  <c r="I919" i="17"/>
  <c r="I917" i="17"/>
  <c r="I908" i="17"/>
  <c r="I907" i="17"/>
  <c r="I906" i="17"/>
  <c r="I905" i="17"/>
  <c r="I904" i="17"/>
  <c r="I903" i="17"/>
  <c r="I902" i="17"/>
  <c r="I901" i="17"/>
  <c r="I900" i="17"/>
  <c r="I899" i="17"/>
  <c r="I898" i="17"/>
  <c r="I897" i="17"/>
  <c r="I896" i="17"/>
  <c r="I895" i="17"/>
  <c r="I894" i="17"/>
  <c r="B894" i="17"/>
  <c r="B895" i="17" s="1"/>
  <c r="B896" i="17" s="1"/>
  <c r="B897" i="17" s="1"/>
  <c r="B898" i="17" s="1"/>
  <c r="B899" i="17" s="1"/>
  <c r="B900" i="17" s="1"/>
  <c r="B901" i="17" s="1"/>
  <c r="B902" i="17" s="1"/>
  <c r="B903" i="17" s="1"/>
  <c r="B904" i="17" s="1"/>
  <c r="B905" i="17" s="1"/>
  <c r="B906" i="17" s="1"/>
  <c r="B907" i="17" s="1"/>
  <c r="B908" i="17" s="1"/>
  <c r="I893" i="17"/>
  <c r="I920" i="17" s="1"/>
  <c r="I878" i="17"/>
  <c r="I877" i="17"/>
  <c r="I879" i="17" s="1"/>
  <c r="R834" i="17" s="1"/>
  <c r="I858" i="17"/>
  <c r="I857" i="17"/>
  <c r="B878" i="17"/>
  <c r="I854" i="17"/>
  <c r="H874" i="17"/>
  <c r="G874" i="17"/>
  <c r="F874" i="17"/>
  <c r="I874" i="17"/>
  <c r="F837" i="17" s="1"/>
  <c r="F838" i="17" s="1"/>
  <c r="S868" i="17"/>
  <c r="R868" i="17"/>
  <c r="Q868" i="17"/>
  <c r="P868" i="17"/>
  <c r="O868" i="17"/>
  <c r="N868" i="17"/>
  <c r="M868" i="17"/>
  <c r="L868" i="17"/>
  <c r="K868" i="17"/>
  <c r="S867" i="17"/>
  <c r="R867" i="17"/>
  <c r="Q867" i="17"/>
  <c r="P867" i="17"/>
  <c r="O867" i="17"/>
  <c r="N867" i="17"/>
  <c r="M867" i="17"/>
  <c r="L867" i="17"/>
  <c r="K867" i="17"/>
  <c r="H867" i="17"/>
  <c r="G867" i="17"/>
  <c r="F867" i="17"/>
  <c r="P410" i="3" s="1"/>
  <c r="I866" i="17"/>
  <c r="I865" i="17"/>
  <c r="O834" i="17" s="1"/>
  <c r="H418" i="4" s="1"/>
  <c r="I864" i="17"/>
  <c r="I863" i="17"/>
  <c r="I862" i="17"/>
  <c r="N834" i="17" s="1"/>
  <c r="G418" i="4" s="1"/>
  <c r="I861" i="17"/>
  <c r="I860" i="17"/>
  <c r="M834" i="17" s="1"/>
  <c r="F418" i="4" s="1"/>
  <c r="I859" i="17"/>
  <c r="L834" i="17" s="1"/>
  <c r="E418" i="4" s="1"/>
  <c r="I856" i="17"/>
  <c r="I853" i="17"/>
  <c r="B853" i="17"/>
  <c r="B854" i="17" s="1"/>
  <c r="B855" i="17" s="1"/>
  <c r="B856" i="17" s="1"/>
  <c r="B857" i="17" s="1"/>
  <c r="B858" i="17" s="1"/>
  <c r="B859" i="17" s="1"/>
  <c r="I852" i="17"/>
  <c r="Q844" i="17"/>
  <c r="O844" i="17"/>
  <c r="N844" i="17"/>
  <c r="M844" i="17"/>
  <c r="L844" i="17"/>
  <c r="K844" i="17"/>
  <c r="Q843" i="17"/>
  <c r="O843" i="17"/>
  <c r="N843" i="17"/>
  <c r="M843" i="17"/>
  <c r="L843" i="17"/>
  <c r="K843" i="17"/>
  <c r="O410" i="3"/>
  <c r="M410" i="3"/>
  <c r="F840" i="17"/>
  <c r="H839" i="17"/>
  <c r="Q838" i="17"/>
  <c r="O838" i="17"/>
  <c r="N838" i="17"/>
  <c r="M838" i="17"/>
  <c r="L838" i="17"/>
  <c r="H838" i="17"/>
  <c r="Q837" i="17"/>
  <c r="O837" i="17"/>
  <c r="H419" i="4" s="1" a="1"/>
  <c r="H419" i="4" s="1"/>
  <c r="N837" i="17"/>
  <c r="G419" i="4" s="1" a="1"/>
  <c r="G419" i="4" s="1"/>
  <c r="M837" i="17"/>
  <c r="F419" i="4" s="1" a="1"/>
  <c r="F419" i="4" s="1"/>
  <c r="L837" i="17"/>
  <c r="E419" i="4" s="1" a="1"/>
  <c r="E419" i="4" s="1"/>
  <c r="K837" i="17"/>
  <c r="P836" i="17"/>
  <c r="P844" i="17" s="1"/>
  <c r="P835" i="17"/>
  <c r="F835" i="17"/>
  <c r="F836" i="17" s="1"/>
  <c r="H836" i="17" s="1"/>
  <c r="P418" i="4"/>
  <c r="F833" i="17"/>
  <c r="S829" i="17"/>
  <c r="R829" i="17"/>
  <c r="Q829" i="17"/>
  <c r="P829" i="17"/>
  <c r="O829" i="17"/>
  <c r="N829" i="17"/>
  <c r="M829" i="17"/>
  <c r="L829" i="17"/>
  <c r="K829" i="17"/>
  <c r="C829" i="17"/>
  <c r="T828" i="17"/>
  <c r="A418" i="4" s="1"/>
  <c r="S828" i="17"/>
  <c r="R828" i="17"/>
  <c r="Q828" i="17"/>
  <c r="P828" i="17"/>
  <c r="O828" i="17"/>
  <c r="N828" i="17"/>
  <c r="M828" i="17"/>
  <c r="L828" i="17"/>
  <c r="K828" i="17"/>
  <c r="C828" i="17"/>
  <c r="C827" i="17"/>
  <c r="H571" i="20"/>
  <c r="G571" i="20"/>
  <c r="F571" i="20"/>
  <c r="I567" i="20"/>
  <c r="I566" i="20"/>
  <c r="I565" i="20"/>
  <c r="I564" i="20"/>
  <c r="I563" i="20"/>
  <c r="I562" i="20"/>
  <c r="I561" i="20"/>
  <c r="I560" i="20"/>
  <c r="I559" i="20"/>
  <c r="I558" i="20"/>
  <c r="I557" i="20"/>
  <c r="I556" i="20"/>
  <c r="I555" i="20"/>
  <c r="I554" i="20"/>
  <c r="I553" i="20"/>
  <c r="B553" i="20"/>
  <c r="B554" i="20" s="1"/>
  <c r="B555" i="20" s="1"/>
  <c r="B556" i="20" s="1"/>
  <c r="I552" i="20"/>
  <c r="I571" i="20" s="1"/>
  <c r="I536" i="20"/>
  <c r="I537" i="20" s="1"/>
  <c r="I520" i="20"/>
  <c r="H533" i="20"/>
  <c r="G533" i="20"/>
  <c r="F533" i="20"/>
  <c r="I532" i="20"/>
  <c r="I531" i="20"/>
  <c r="I530" i="20"/>
  <c r="N499" i="20" s="1"/>
  <c r="G415" i="4" s="1"/>
  <c r="I523" i="20"/>
  <c r="I521" i="20"/>
  <c r="B531" i="20"/>
  <c r="B532" i="20" s="1"/>
  <c r="I533" i="20"/>
  <c r="S526" i="20"/>
  <c r="R526" i="20"/>
  <c r="Q526" i="20"/>
  <c r="P526" i="20"/>
  <c r="O526" i="20"/>
  <c r="N526" i="20"/>
  <c r="M526" i="20"/>
  <c r="L526" i="20"/>
  <c r="K526" i="20"/>
  <c r="S525" i="20"/>
  <c r="R525" i="20"/>
  <c r="Q525" i="20"/>
  <c r="P525" i="20"/>
  <c r="O525" i="20"/>
  <c r="N525" i="20"/>
  <c r="M525" i="20"/>
  <c r="L525" i="20"/>
  <c r="K525" i="20"/>
  <c r="H525" i="20"/>
  <c r="G525" i="20"/>
  <c r="F525" i="20"/>
  <c r="P407" i="3" s="1"/>
  <c r="I524" i="20"/>
  <c r="O499" i="20" s="1"/>
  <c r="H415" i="4" s="1"/>
  <c r="I522" i="20"/>
  <c r="M499" i="20" s="1"/>
  <c r="F415" i="4" s="1"/>
  <c r="I519" i="20"/>
  <c r="I518" i="20"/>
  <c r="B518" i="20"/>
  <c r="B519" i="20" s="1"/>
  <c r="I517" i="20"/>
  <c r="Q509" i="20"/>
  <c r="O509" i="20"/>
  <c r="N509" i="20"/>
  <c r="M509" i="20"/>
  <c r="L509" i="20"/>
  <c r="K509" i="20"/>
  <c r="Q508" i="20"/>
  <c r="O508" i="20"/>
  <c r="N508" i="20"/>
  <c r="M508" i="20"/>
  <c r="L508" i="20"/>
  <c r="K508" i="20"/>
  <c r="O407" i="3"/>
  <c r="R507" i="20"/>
  <c r="M407" i="3" s="1"/>
  <c r="F505" i="20"/>
  <c r="H504" i="20"/>
  <c r="Q503" i="20"/>
  <c r="O503" i="20"/>
  <c r="N503" i="20"/>
  <c r="M503" i="20"/>
  <c r="F503" i="20"/>
  <c r="H503" i="20" s="1"/>
  <c r="Q502" i="20"/>
  <c r="O502" i="20"/>
  <c r="H416" i="4" s="1" a="1"/>
  <c r="H416" i="4" s="1"/>
  <c r="N502" i="20"/>
  <c r="G416" i="4" s="1" a="1"/>
  <c r="G416" i="4" s="1"/>
  <c r="M502" i="20"/>
  <c r="F416" i="4" s="1" a="1"/>
  <c r="F416" i="4" s="1"/>
  <c r="L502" i="20"/>
  <c r="K502" i="20"/>
  <c r="P501" i="20"/>
  <c r="P509" i="20" s="1"/>
  <c r="P500" i="20"/>
  <c r="F500" i="20"/>
  <c r="F501" i="20" s="1"/>
  <c r="H501" i="20" s="1"/>
  <c r="P415" i="4"/>
  <c r="F498" i="20"/>
  <c r="S494" i="20"/>
  <c r="R494" i="20"/>
  <c r="Q494" i="20"/>
  <c r="P494" i="20"/>
  <c r="O494" i="20"/>
  <c r="N494" i="20"/>
  <c r="M494" i="20"/>
  <c r="L494" i="20"/>
  <c r="K494" i="20"/>
  <c r="C494" i="20"/>
  <c r="T493" i="20"/>
  <c r="A415" i="4" s="1"/>
  <c r="S493" i="20"/>
  <c r="R493" i="20"/>
  <c r="Q493" i="20"/>
  <c r="P493" i="20"/>
  <c r="O493" i="20"/>
  <c r="N493" i="20"/>
  <c r="M493" i="20"/>
  <c r="L493" i="20"/>
  <c r="K493" i="20"/>
  <c r="C493" i="20"/>
  <c r="C492" i="20"/>
  <c r="I1330" i="5"/>
  <c r="I1329" i="5"/>
  <c r="I1328" i="5"/>
  <c r="I1324" i="5"/>
  <c r="I1323" i="5"/>
  <c r="I1322" i="5"/>
  <c r="I1321" i="5"/>
  <c r="I1320" i="5"/>
  <c r="I1319" i="5"/>
  <c r="I1318" i="5"/>
  <c r="I1317" i="5"/>
  <c r="I1316" i="5"/>
  <c r="I1315" i="5"/>
  <c r="I1314" i="5"/>
  <c r="B1314" i="5"/>
  <c r="B1315" i="5" s="1"/>
  <c r="B1316" i="5" s="1"/>
  <c r="B1317" i="5" s="1"/>
  <c r="B1318" i="5" s="1"/>
  <c r="B1319" i="5" s="1"/>
  <c r="B1320" i="5" s="1"/>
  <c r="B1321" i="5" s="1"/>
  <c r="B1322" i="5" s="1"/>
  <c r="B1323" i="5" s="1"/>
  <c r="B1324" i="5" s="1"/>
  <c r="I1313" i="5"/>
  <c r="I1325" i="5" s="1"/>
  <c r="H1301" i="5"/>
  <c r="G1301" i="5"/>
  <c r="F1301" i="5"/>
  <c r="S1254" i="5" s="1"/>
  <c r="I1301" i="5"/>
  <c r="S1246" i="5" s="1"/>
  <c r="H1298" i="5"/>
  <c r="G1298" i="5"/>
  <c r="F1298" i="5"/>
  <c r="R1254" i="5" s="1"/>
  <c r="I1297" i="5"/>
  <c r="I1271" i="5"/>
  <c r="I1296" i="5"/>
  <c r="I1295" i="5"/>
  <c r="I1266" i="5"/>
  <c r="B1296" i="5"/>
  <c r="I1298" i="5"/>
  <c r="R1246" i="5" s="1"/>
  <c r="H1291" i="5"/>
  <c r="G1291" i="5"/>
  <c r="F1291" i="5"/>
  <c r="I1291" i="5"/>
  <c r="F1249" i="5" s="1"/>
  <c r="F1250" i="5" s="1"/>
  <c r="I1283" i="5"/>
  <c r="I1285" i="5" s="1"/>
  <c r="S1280" i="5"/>
  <c r="R1280" i="5"/>
  <c r="Q1280" i="5"/>
  <c r="P1280" i="5"/>
  <c r="O1280" i="5"/>
  <c r="N1280" i="5"/>
  <c r="M1280" i="5"/>
  <c r="L1280" i="5"/>
  <c r="K1280" i="5"/>
  <c r="S1279" i="5"/>
  <c r="R1279" i="5"/>
  <c r="Q1279" i="5"/>
  <c r="P1279" i="5"/>
  <c r="O1279" i="5"/>
  <c r="N1279" i="5"/>
  <c r="M1279" i="5"/>
  <c r="L1279" i="5"/>
  <c r="K1279" i="5"/>
  <c r="H1279" i="5"/>
  <c r="G1279" i="5"/>
  <c r="F1279" i="5"/>
  <c r="P404" i="3" s="1"/>
  <c r="I1278" i="5"/>
  <c r="I1277" i="5"/>
  <c r="I1276" i="5"/>
  <c r="I1275" i="5"/>
  <c r="I1274" i="5"/>
  <c r="I1273" i="5"/>
  <c r="I1272" i="5"/>
  <c r="N1246" i="5" s="1"/>
  <c r="G412" i="4" s="1"/>
  <c r="I1270" i="5"/>
  <c r="M1246" i="5" s="1"/>
  <c r="F412" i="4" s="1"/>
  <c r="I1269" i="5"/>
  <c r="I1268" i="5"/>
  <c r="L1246" i="5" s="1"/>
  <c r="E412" i="4" s="1"/>
  <c r="I1267" i="5"/>
  <c r="B1268" i="5"/>
  <c r="B1269" i="5" s="1"/>
  <c r="B1270" i="5" s="1"/>
  <c r="I1264" i="5"/>
  <c r="Q1256" i="5"/>
  <c r="O1256" i="5"/>
  <c r="N1256" i="5"/>
  <c r="M1256" i="5"/>
  <c r="L1256" i="5"/>
  <c r="K1256" i="5"/>
  <c r="Q1255" i="5"/>
  <c r="O1255" i="5"/>
  <c r="N1255" i="5"/>
  <c r="M1255" i="5"/>
  <c r="L1255" i="5"/>
  <c r="K1255" i="5"/>
  <c r="O404" i="3"/>
  <c r="M404" i="3"/>
  <c r="F1252" i="5"/>
  <c r="H1251" i="5"/>
  <c r="N1250" i="5"/>
  <c r="M1250" i="5"/>
  <c r="L1250" i="5"/>
  <c r="H1250" i="5"/>
  <c r="Q1249" i="5"/>
  <c r="O1249" i="5"/>
  <c r="N1249" i="5"/>
  <c r="G413" i="4" s="1" a="1"/>
  <c r="G413" i="4" s="1"/>
  <c r="M1249" i="5"/>
  <c r="F413" i="4" s="1" a="1"/>
  <c r="F413" i="4" s="1"/>
  <c r="L1249" i="5"/>
  <c r="E413" i="4" s="1" a="1"/>
  <c r="E413" i="4" s="1"/>
  <c r="K1249" i="5"/>
  <c r="P1248" i="5"/>
  <c r="P1256" i="5" s="1"/>
  <c r="P1247" i="5"/>
  <c r="P412" i="4"/>
  <c r="P442" i="4" s="1"/>
  <c r="S1241" i="5"/>
  <c r="R1241" i="5"/>
  <c r="Q1241" i="5"/>
  <c r="P1241" i="5"/>
  <c r="O1241" i="5"/>
  <c r="N1241" i="5"/>
  <c r="M1241" i="5"/>
  <c r="L1241" i="5"/>
  <c r="K1241" i="5"/>
  <c r="C1241" i="5"/>
  <c r="T1240" i="5"/>
  <c r="A412" i="4" s="1"/>
  <c r="A442" i="4" s="1"/>
  <c r="S1240" i="5"/>
  <c r="R1240" i="5"/>
  <c r="Q1240" i="5"/>
  <c r="P1240" i="5"/>
  <c r="O1240" i="5"/>
  <c r="N1240" i="5"/>
  <c r="M1240" i="5"/>
  <c r="L1240" i="5"/>
  <c r="K1240" i="5"/>
  <c r="C1240" i="5"/>
  <c r="C1239" i="5"/>
  <c r="V1256" i="9"/>
  <c r="F1164" i="12"/>
  <c r="Q1135" i="12" s="1"/>
  <c r="G1164" i="12"/>
  <c r="V1164" i="12"/>
  <c r="G1105" i="8"/>
  <c r="G31" i="24"/>
  <c r="G786" i="17"/>
  <c r="G882" i="14"/>
  <c r="G780" i="17"/>
  <c r="G778" i="17"/>
  <c r="G1107" i="8"/>
  <c r="G879" i="14"/>
  <c r="O1135" i="12"/>
  <c r="V1150" i="12"/>
  <c r="V1178" i="12"/>
  <c r="I1178" i="12"/>
  <c r="G1177" i="12"/>
  <c r="G1157" i="12"/>
  <c r="H904" i="14"/>
  <c r="G904" i="14"/>
  <c r="F904" i="14"/>
  <c r="H900" i="14"/>
  <c r="F900" i="14"/>
  <c r="X954" i="14"/>
  <c r="W954" i="14"/>
  <c r="T954" i="14"/>
  <c r="O855" i="14"/>
  <c r="G884" i="14"/>
  <c r="O1220" i="9"/>
  <c r="V1243" i="9"/>
  <c r="G1243" i="9"/>
  <c r="H1257" i="9"/>
  <c r="F1257" i="9"/>
  <c r="V1238" i="9"/>
  <c r="G1257" i="9"/>
  <c r="G1241" i="9"/>
  <c r="V1241" i="9"/>
  <c r="X124" i="23"/>
  <c r="W124" i="23"/>
  <c r="T124" i="23"/>
  <c r="O69" i="23"/>
  <c r="G91" i="23"/>
  <c r="V91" i="23"/>
  <c r="I1212" i="12"/>
  <c r="I1211" i="12"/>
  <c r="H1113" i="8"/>
  <c r="F1113" i="8"/>
  <c r="R1082" i="8" s="1"/>
  <c r="O1082" i="8"/>
  <c r="F1105" i="8"/>
  <c r="V1105" i="8"/>
  <c r="V1102" i="8"/>
  <c r="G1113" i="8"/>
  <c r="V1107" i="8"/>
  <c r="I1158" i="8"/>
  <c r="I1157" i="8"/>
  <c r="I1159" i="8"/>
  <c r="N1082" i="8"/>
  <c r="F1156" i="8"/>
  <c r="S782" i="17"/>
  <c r="R782" i="17"/>
  <c r="Q782" i="17"/>
  <c r="P782" i="17"/>
  <c r="O782" i="17"/>
  <c r="N782" i="17"/>
  <c r="M782" i="17"/>
  <c r="L782" i="17"/>
  <c r="S781" i="17"/>
  <c r="R781" i="17"/>
  <c r="Q781" i="17"/>
  <c r="P781" i="17"/>
  <c r="O781" i="17"/>
  <c r="N781" i="17"/>
  <c r="M781" i="17"/>
  <c r="L781" i="17"/>
  <c r="K782" i="17"/>
  <c r="K781" i="17"/>
  <c r="H781" i="17"/>
  <c r="O757" i="17"/>
  <c r="B768" i="17"/>
  <c r="X822" i="17"/>
  <c r="T822" i="17"/>
  <c r="V767" i="17"/>
  <c r="V785" i="17"/>
  <c r="V780" i="17"/>
  <c r="I818" i="17"/>
  <c r="I817" i="17"/>
  <c r="O419" i="20"/>
  <c r="G483" i="20"/>
  <c r="V879" i="14"/>
  <c r="I485" i="20"/>
  <c r="I484" i="20"/>
  <c r="I483" i="20"/>
  <c r="I482" i="20"/>
  <c r="I481" i="20"/>
  <c r="I480" i="20"/>
  <c r="H40" i="24"/>
  <c r="F40" i="24"/>
  <c r="H44" i="24"/>
  <c r="F44" i="24"/>
  <c r="B39" i="24"/>
  <c r="B30" i="24"/>
  <c r="B31" i="24" s="1"/>
  <c r="X1234" i="5"/>
  <c r="W1234" i="5"/>
  <c r="T1234" i="5"/>
  <c r="O19" i="24"/>
  <c r="V43" i="24"/>
  <c r="G44" i="24"/>
  <c r="G33" i="24"/>
  <c r="V33" i="24"/>
  <c r="G32" i="24"/>
  <c r="V32" i="24"/>
  <c r="V31" i="24"/>
  <c r="G1182" i="12"/>
  <c r="G1183" i="12" s="1"/>
  <c r="G899" i="14"/>
  <c r="G1252" i="9"/>
  <c r="G1235" i="9"/>
  <c r="G1234" i="9"/>
  <c r="G1103" i="8"/>
  <c r="G812" i="17"/>
  <c r="S1194" i="5"/>
  <c r="S1186" i="5"/>
  <c r="G1229" i="5"/>
  <c r="G1233" i="5" s="1"/>
  <c r="G1207" i="5"/>
  <c r="G776" i="17"/>
  <c r="G1154" i="12"/>
  <c r="G88" i="23"/>
  <c r="G39" i="24"/>
  <c r="G1156" i="12"/>
  <c r="G38" i="24"/>
  <c r="G40" i="24" s="1"/>
  <c r="N1135" i="12"/>
  <c r="G1155" i="12"/>
  <c r="V1154" i="12"/>
  <c r="V1182" i="12"/>
  <c r="V1149" i="12"/>
  <c r="H97" i="23"/>
  <c r="G97" i="23"/>
  <c r="F97" i="23"/>
  <c r="V96" i="23"/>
  <c r="V85" i="23"/>
  <c r="B80" i="23"/>
  <c r="B81" i="23" s="1"/>
  <c r="V1097" i="8"/>
  <c r="V1212" i="5"/>
  <c r="N855" i="14"/>
  <c r="G881" i="14"/>
  <c r="V899" i="14"/>
  <c r="I903" i="14"/>
  <c r="I904" i="14" s="1"/>
  <c r="I899" i="14"/>
  <c r="I898" i="14"/>
  <c r="V877" i="14"/>
  <c r="V1240" i="9"/>
  <c r="G1240" i="9"/>
  <c r="F1240" i="9"/>
  <c r="G1239" i="9"/>
  <c r="V1239" i="9"/>
  <c r="F1238" i="9"/>
  <c r="G1238" i="9"/>
  <c r="V1237" i="9"/>
  <c r="G1236" i="9"/>
  <c r="V1236" i="9"/>
  <c r="V1235" i="9"/>
  <c r="N69" i="23"/>
  <c r="V89" i="23"/>
  <c r="M759" i="17"/>
  <c r="V87" i="23"/>
  <c r="G87" i="23"/>
  <c r="G1156" i="8"/>
  <c r="V1156" i="8"/>
  <c r="G1104" i="8"/>
  <c r="V1103" i="8"/>
  <c r="G1101" i="8"/>
  <c r="V812" i="17"/>
  <c r="G779" i="17"/>
  <c r="V779" i="17"/>
  <c r="N419" i="20"/>
  <c r="I479" i="20"/>
  <c r="I478" i="20"/>
  <c r="I477" i="20"/>
  <c r="I476" i="20"/>
  <c r="N19" i="24"/>
  <c r="V30" i="24"/>
  <c r="V38" i="24"/>
  <c r="G30" i="24"/>
  <c r="V29" i="24"/>
  <c r="G29" i="24"/>
  <c r="V39" i="24"/>
  <c r="X56" i="24"/>
  <c r="W56" i="24"/>
  <c r="V56" i="24"/>
  <c r="T56" i="24"/>
  <c r="G388" i="3"/>
  <c r="F388" i="3"/>
  <c r="B397" i="4"/>
  <c r="P19" i="24"/>
  <c r="H388" i="3" s="1"/>
  <c r="H55" i="24"/>
  <c r="G55" i="24"/>
  <c r="F55" i="24"/>
  <c r="I54" i="24"/>
  <c r="I53" i="24"/>
  <c r="I52" i="24"/>
  <c r="I51" i="24"/>
  <c r="I31" i="24"/>
  <c r="I50" i="24"/>
  <c r="I49" i="24"/>
  <c r="I48" i="24"/>
  <c r="B48" i="24"/>
  <c r="B49" i="24" s="1"/>
  <c r="B50" i="24" s="1"/>
  <c r="I47" i="24"/>
  <c r="I55" i="24" s="1"/>
  <c r="I43" i="24"/>
  <c r="I44" i="24" s="1"/>
  <c r="I38" i="24"/>
  <c r="I30" i="24"/>
  <c r="I39" i="24"/>
  <c r="S35" i="24"/>
  <c r="R35" i="24"/>
  <c r="Q35" i="24"/>
  <c r="P35" i="24"/>
  <c r="O35" i="24"/>
  <c r="N35" i="24"/>
  <c r="M35" i="24"/>
  <c r="L35" i="24"/>
  <c r="K35" i="24"/>
  <c r="S34" i="24"/>
  <c r="R34" i="24"/>
  <c r="Q34" i="24"/>
  <c r="P34" i="24"/>
  <c r="O34" i="24"/>
  <c r="N34" i="24"/>
  <c r="M34" i="24"/>
  <c r="L34" i="24"/>
  <c r="K34" i="24"/>
  <c r="H34" i="24"/>
  <c r="G34" i="24"/>
  <c r="F34" i="24"/>
  <c r="P388" i="3" s="1"/>
  <c r="I33" i="24"/>
  <c r="I32" i="24"/>
  <c r="B32" i="24"/>
  <c r="B33" i="24" s="1"/>
  <c r="I29" i="24"/>
  <c r="I34" i="24" s="1"/>
  <c r="Q21" i="24"/>
  <c r="O21" i="24"/>
  <c r="N21" i="24"/>
  <c r="M21" i="24"/>
  <c r="L21" i="24"/>
  <c r="K21" i="24"/>
  <c r="Q20" i="24"/>
  <c r="O20" i="24"/>
  <c r="N20" i="24"/>
  <c r="M20" i="24"/>
  <c r="L20" i="24"/>
  <c r="K20" i="24"/>
  <c r="O388" i="3"/>
  <c r="R19" i="24"/>
  <c r="M388" i="3" s="1"/>
  <c r="F17" i="24"/>
  <c r="H16" i="24"/>
  <c r="Q15" i="24"/>
  <c r="M15" i="24"/>
  <c r="L15" i="24"/>
  <c r="K15" i="24"/>
  <c r="F15" i="24"/>
  <c r="H15" i="24" s="1"/>
  <c r="Q14" i="24"/>
  <c r="O14" i="24"/>
  <c r="N14" i="24"/>
  <c r="M14" i="24"/>
  <c r="L14" i="24"/>
  <c r="K14" i="24"/>
  <c r="P13" i="24"/>
  <c r="P21" i="24" s="1"/>
  <c r="P12" i="24"/>
  <c r="F12" i="24"/>
  <c r="F13" i="24" s="1"/>
  <c r="H13" i="24" s="1"/>
  <c r="P397" i="4"/>
  <c r="F10" i="24"/>
  <c r="S6" i="24"/>
  <c r="R6" i="24"/>
  <c r="Q6" i="24"/>
  <c r="P6" i="24"/>
  <c r="O6" i="24"/>
  <c r="N6" i="24"/>
  <c r="M6" i="24"/>
  <c r="L6" i="24"/>
  <c r="K6" i="24"/>
  <c r="C6" i="24"/>
  <c r="T5" i="24"/>
  <c r="A397" i="4" s="1"/>
  <c r="S5" i="24"/>
  <c r="R5" i="24"/>
  <c r="Q5" i="24"/>
  <c r="P5" i="24"/>
  <c r="O5" i="24"/>
  <c r="N5" i="24"/>
  <c r="M5" i="24"/>
  <c r="L5" i="24"/>
  <c r="K5" i="24"/>
  <c r="C5" i="24"/>
  <c r="C4" i="24"/>
  <c r="G457" i="20"/>
  <c r="G1276" i="9"/>
  <c r="G875" i="14"/>
  <c r="G775" i="17"/>
  <c r="G877" i="14"/>
  <c r="M1135" i="12"/>
  <c r="G1176" i="12"/>
  <c r="M855" i="14"/>
  <c r="G878" i="14"/>
  <c r="G945" i="14"/>
  <c r="V875" i="14"/>
  <c r="I1155" i="8"/>
  <c r="I1112" i="8"/>
  <c r="I1154" i="8"/>
  <c r="I1153" i="8"/>
  <c r="F775" i="17"/>
  <c r="F781" i="17" s="1"/>
  <c r="P376" i="3" s="1"/>
  <c r="V1234" i="9"/>
  <c r="F1234" i="9"/>
  <c r="M1220" i="9" s="1"/>
  <c r="G1250" i="9"/>
  <c r="M69" i="23"/>
  <c r="G85" i="23"/>
  <c r="I96" i="23"/>
  <c r="M1082" i="8"/>
  <c r="I1149" i="8"/>
  <c r="G1099" i="8"/>
  <c r="M757" i="17"/>
  <c r="V776" i="17"/>
  <c r="V775" i="17"/>
  <c r="V774" i="17"/>
  <c r="V773" i="17"/>
  <c r="G773" i="17"/>
  <c r="M419" i="20"/>
  <c r="G435" i="20"/>
  <c r="M1194" i="5"/>
  <c r="G1212" i="5"/>
  <c r="G1210" i="5"/>
  <c r="V1210" i="5"/>
  <c r="H1179" i="12"/>
  <c r="G1179" i="12"/>
  <c r="F1179" i="12"/>
  <c r="L855" i="14"/>
  <c r="B897" i="14"/>
  <c r="B898" i="14" s="1"/>
  <c r="V871" i="14"/>
  <c r="V101" i="23"/>
  <c r="F101" i="23"/>
  <c r="L1220" i="9"/>
  <c r="V1231" i="9"/>
  <c r="V1232" i="9"/>
  <c r="H1253" i="9"/>
  <c r="F1253" i="9"/>
  <c r="V1096" i="8"/>
  <c r="V1206" i="5"/>
  <c r="G871" i="14"/>
  <c r="G874" i="14"/>
  <c r="G873" i="14"/>
  <c r="G922" i="14"/>
  <c r="G102" i="23"/>
  <c r="G101" i="23"/>
  <c r="G1097" i="8"/>
  <c r="G770" i="17"/>
  <c r="G1206" i="5"/>
  <c r="G1204" i="5"/>
  <c r="G769" i="17"/>
  <c r="G1205" i="5"/>
  <c r="G82" i="23"/>
  <c r="G1231" i="9"/>
  <c r="G1096" i="8"/>
  <c r="L1135" i="12"/>
  <c r="G1152" i="12"/>
  <c r="G943" i="14"/>
  <c r="V874" i="14"/>
  <c r="V873" i="14"/>
  <c r="V872" i="14"/>
  <c r="I1289" i="9"/>
  <c r="I1288" i="9"/>
  <c r="G1286" i="9"/>
  <c r="I1286" i="9" s="1"/>
  <c r="G1285" i="9"/>
  <c r="I1285" i="9" s="1"/>
  <c r="V1287" i="9"/>
  <c r="G1287" i="9"/>
  <c r="I1287" i="9" s="1"/>
  <c r="V1249" i="9"/>
  <c r="I1232" i="9"/>
  <c r="I1231" i="9"/>
  <c r="I1152" i="12"/>
  <c r="F84" i="23"/>
  <c r="L69" i="23" s="1"/>
  <c r="G84" i="23"/>
  <c r="V84" i="23"/>
  <c r="V102" i="23"/>
  <c r="V83" i="23"/>
  <c r="G83" i="23"/>
  <c r="F81" i="23"/>
  <c r="V81" i="23"/>
  <c r="V124" i="23" s="1"/>
  <c r="L1082" i="8"/>
  <c r="L1194" i="5"/>
  <c r="G1209" i="5"/>
  <c r="L757" i="17"/>
  <c r="W772" i="17"/>
  <c r="W822" i="17" s="1"/>
  <c r="V770" i="17"/>
  <c r="G806" i="17"/>
  <c r="V771" i="17"/>
  <c r="L419" i="20"/>
  <c r="G434" i="20"/>
  <c r="G466" i="20"/>
  <c r="G433" i="20"/>
  <c r="G431" i="20"/>
  <c r="V1208" i="5"/>
  <c r="G1208" i="5"/>
  <c r="I1207" i="5"/>
  <c r="I1206" i="5"/>
  <c r="I1230" i="5"/>
  <c r="J372" i="4"/>
  <c r="F1158" i="9"/>
  <c r="H1278" i="9"/>
  <c r="G1277" i="9"/>
  <c r="I1277" i="9" s="1"/>
  <c r="G1269" i="9"/>
  <c r="I1269" i="9" s="1"/>
  <c r="G1268" i="9"/>
  <c r="I1268" i="9" s="1"/>
  <c r="V1164" i="9"/>
  <c r="G1164" i="9"/>
  <c r="G794" i="14"/>
  <c r="G1126" i="8"/>
  <c r="G798" i="17"/>
  <c r="G1186" i="9"/>
  <c r="G869" i="14"/>
  <c r="G81" i="23"/>
  <c r="G1148" i="12"/>
  <c r="F1146" i="12"/>
  <c r="K1135" i="12" s="1"/>
  <c r="G1146" i="12"/>
  <c r="V1146" i="12"/>
  <c r="K855" i="14"/>
  <c r="V870" i="14"/>
  <c r="V954" i="14" s="1"/>
  <c r="G896" i="14"/>
  <c r="G900" i="14" s="1"/>
  <c r="F1230" i="9"/>
  <c r="K1220" i="9" s="1"/>
  <c r="V1230" i="9"/>
  <c r="V1299" i="9" s="1"/>
  <c r="K69" i="23"/>
  <c r="G107" i="23"/>
  <c r="K1082" i="8"/>
  <c r="G1095" i="8"/>
  <c r="G1094" i="8"/>
  <c r="V1093" i="8"/>
  <c r="G1093" i="8"/>
  <c r="G1108" i="8" s="1"/>
  <c r="G1138" i="8"/>
  <c r="K757" i="17"/>
  <c r="V769" i="17"/>
  <c r="P69" i="23"/>
  <c r="D382" i="3"/>
  <c r="E382" i="3"/>
  <c r="F382" i="3"/>
  <c r="G382" i="3"/>
  <c r="H382" i="3"/>
  <c r="C382" i="3"/>
  <c r="B391" i="4"/>
  <c r="I101" i="23"/>
  <c r="I100" i="23"/>
  <c r="G80" i="23"/>
  <c r="I80" i="23" s="1"/>
  <c r="H123" i="23"/>
  <c r="G123" i="23"/>
  <c r="F123" i="23"/>
  <c r="I122" i="23"/>
  <c r="I121" i="23"/>
  <c r="I120" i="23"/>
  <c r="I119" i="23"/>
  <c r="I118" i="23"/>
  <c r="I117" i="23"/>
  <c r="I116" i="23"/>
  <c r="I115" i="23"/>
  <c r="I114" i="23"/>
  <c r="I113" i="23"/>
  <c r="I112" i="23"/>
  <c r="I111" i="23"/>
  <c r="I110" i="23"/>
  <c r="I109" i="23"/>
  <c r="I108" i="23"/>
  <c r="I107" i="23"/>
  <c r="B107" i="23"/>
  <c r="B108" i="23" s="1"/>
  <c r="B109" i="23" s="1"/>
  <c r="B110" i="23" s="1"/>
  <c r="B111" i="23" s="1"/>
  <c r="B112" i="23" s="1"/>
  <c r="B113" i="23" s="1"/>
  <c r="B114" i="23" s="1"/>
  <c r="B115" i="23" s="1"/>
  <c r="B116" i="23" s="1"/>
  <c r="B117" i="23" s="1"/>
  <c r="B118" i="23" s="1"/>
  <c r="B119" i="23" s="1"/>
  <c r="B120" i="23" s="1"/>
  <c r="B121" i="23" s="1"/>
  <c r="B122" i="23" s="1"/>
  <c r="I106" i="23"/>
  <c r="I123" i="23" s="1"/>
  <c r="H103" i="23"/>
  <c r="G103" i="23"/>
  <c r="F103" i="23"/>
  <c r="I102" i="23"/>
  <c r="B101" i="23"/>
  <c r="B102" i="23" s="1"/>
  <c r="I103" i="23"/>
  <c r="I85" i="23"/>
  <c r="I81" i="23"/>
  <c r="S93" i="23"/>
  <c r="R93" i="23"/>
  <c r="Q93" i="23"/>
  <c r="P93" i="23"/>
  <c r="O93" i="23"/>
  <c r="N93" i="23"/>
  <c r="M93" i="23"/>
  <c r="L93" i="23"/>
  <c r="K93" i="23"/>
  <c r="S92" i="23"/>
  <c r="R92" i="23"/>
  <c r="Q92" i="23"/>
  <c r="P92" i="23"/>
  <c r="O92" i="23"/>
  <c r="N92" i="23"/>
  <c r="M92" i="23"/>
  <c r="L92" i="23"/>
  <c r="K92" i="23"/>
  <c r="H92" i="23"/>
  <c r="G92" i="23"/>
  <c r="F92" i="23"/>
  <c r="P382" i="3" s="1"/>
  <c r="Q382" i="3" s="1"/>
  <c r="I91" i="23"/>
  <c r="O61" i="23" s="1"/>
  <c r="H391" i="4" s="1"/>
  <c r="I90" i="23"/>
  <c r="I89" i="23"/>
  <c r="I88" i="23"/>
  <c r="I87" i="23"/>
  <c r="N61" i="23" s="1"/>
  <c r="G391" i="4" s="1"/>
  <c r="I86" i="23"/>
  <c r="I84" i="23"/>
  <c r="I83" i="23"/>
  <c r="I82" i="23"/>
  <c r="B82" i="23"/>
  <c r="B83" i="23" s="1"/>
  <c r="B84" i="23" s="1"/>
  <c r="I79" i="23"/>
  <c r="I92" i="23" s="1"/>
  <c r="Q71" i="23"/>
  <c r="O71" i="23"/>
  <c r="N71" i="23"/>
  <c r="M71" i="23"/>
  <c r="L71" i="23"/>
  <c r="K71" i="23"/>
  <c r="Q70" i="23"/>
  <c r="O70" i="23"/>
  <c r="N70" i="23"/>
  <c r="M70" i="23"/>
  <c r="L70" i="23"/>
  <c r="K70" i="23"/>
  <c r="O382" i="3"/>
  <c r="R69" i="23"/>
  <c r="M382" i="3" s="1"/>
  <c r="F67" i="23"/>
  <c r="H66" i="23"/>
  <c r="Q65" i="23"/>
  <c r="O65" i="23"/>
  <c r="N65" i="23"/>
  <c r="F65" i="23"/>
  <c r="H65" i="23" s="1"/>
  <c r="Q64" i="23"/>
  <c r="O64" i="23"/>
  <c r="H392" i="4" s="1" a="1"/>
  <c r="H392" i="4" s="1"/>
  <c r="N64" i="23"/>
  <c r="G392" i="4" s="1" a="1"/>
  <c r="G392" i="4" s="1"/>
  <c r="M64" i="23"/>
  <c r="L64" i="23"/>
  <c r="K64" i="23"/>
  <c r="P63" i="23"/>
  <c r="P71" i="23" s="1"/>
  <c r="P62" i="23"/>
  <c r="F62" i="23"/>
  <c r="F63" i="23" s="1"/>
  <c r="H63" i="23" s="1"/>
  <c r="P391" i="4"/>
  <c r="F60" i="23"/>
  <c r="S56" i="23"/>
  <c r="R56" i="23"/>
  <c r="Q56" i="23"/>
  <c r="P56" i="23"/>
  <c r="O56" i="23"/>
  <c r="N56" i="23"/>
  <c r="M56" i="23"/>
  <c r="L56" i="23"/>
  <c r="K56" i="23"/>
  <c r="C56" i="23"/>
  <c r="T55" i="23"/>
  <c r="A391" i="4" s="1"/>
  <c r="S55" i="23"/>
  <c r="R55" i="23"/>
  <c r="Q55" i="23"/>
  <c r="P55" i="23"/>
  <c r="O55" i="23"/>
  <c r="N55" i="23"/>
  <c r="M55" i="23"/>
  <c r="L55" i="23"/>
  <c r="K55" i="23"/>
  <c r="C55" i="23"/>
  <c r="C54" i="23"/>
  <c r="G802" i="17"/>
  <c r="V768" i="17"/>
  <c r="V822" i="17" s="1"/>
  <c r="K419" i="20"/>
  <c r="G430" i="20"/>
  <c r="V443" i="20"/>
  <c r="V487" i="20" s="1"/>
  <c r="G443" i="20"/>
  <c r="I443" i="20" s="1"/>
  <c r="G429" i="20"/>
  <c r="V1205" i="5"/>
  <c r="V1229" i="5"/>
  <c r="V1204" i="5"/>
  <c r="V1234" i="5" s="1"/>
  <c r="T835" i="14"/>
  <c r="T1115" i="12"/>
  <c r="T1062" i="8"/>
  <c r="T737" i="17"/>
  <c r="T1174" i="5"/>
  <c r="I13" i="23"/>
  <c r="F34" i="23"/>
  <c r="F35" i="23"/>
  <c r="F36" i="23"/>
  <c r="S6" i="23"/>
  <c r="R6" i="23"/>
  <c r="Q6" i="23"/>
  <c r="P6" i="23"/>
  <c r="O6" i="23"/>
  <c r="N6" i="23"/>
  <c r="M6" i="23"/>
  <c r="L6" i="23"/>
  <c r="K6" i="23"/>
  <c r="T5" i="23"/>
  <c r="S5" i="23"/>
  <c r="R5" i="23"/>
  <c r="Q5" i="23"/>
  <c r="P5" i="23"/>
  <c r="O5" i="23"/>
  <c r="N5" i="23"/>
  <c r="M5" i="23"/>
  <c r="L5" i="23"/>
  <c r="K5" i="23"/>
  <c r="S31" i="23"/>
  <c r="R31" i="23"/>
  <c r="Q31" i="23"/>
  <c r="P31" i="23"/>
  <c r="O31" i="23"/>
  <c r="N31" i="23"/>
  <c r="M31" i="23"/>
  <c r="L31" i="23"/>
  <c r="K31" i="23"/>
  <c r="S30" i="23"/>
  <c r="R30" i="23"/>
  <c r="Q30" i="23"/>
  <c r="P30" i="23"/>
  <c r="O30" i="23"/>
  <c r="N30" i="23"/>
  <c r="M30" i="23"/>
  <c r="L30" i="23"/>
  <c r="K30" i="23"/>
  <c r="H30" i="23"/>
  <c r="G30" i="23"/>
  <c r="F30" i="23"/>
  <c r="I29" i="23"/>
  <c r="I30" i="23" s="1"/>
  <c r="H799" i="17"/>
  <c r="F799" i="17"/>
  <c r="I798" i="17"/>
  <c r="I792" i="17"/>
  <c r="G791" i="17"/>
  <c r="I791" i="17"/>
  <c r="G707" i="17"/>
  <c r="F690" i="17"/>
  <c r="G364" i="3"/>
  <c r="I364" i="3"/>
  <c r="Q361" i="3"/>
  <c r="J361" i="3"/>
  <c r="L361" i="3"/>
  <c r="M361" i="3"/>
  <c r="N361" i="3"/>
  <c r="O361" i="3"/>
  <c r="H372" i="4"/>
  <c r="P369" i="4"/>
  <c r="N369" i="4"/>
  <c r="K369" i="4"/>
  <c r="B369" i="4"/>
  <c r="M369" i="4"/>
  <c r="O369" i="4"/>
  <c r="P19" i="23"/>
  <c r="G46" i="23"/>
  <c r="V36" i="23"/>
  <c r="G36" i="23"/>
  <c r="V35" i="23"/>
  <c r="F701" i="17"/>
  <c r="H703" i="17"/>
  <c r="F703" i="17"/>
  <c r="B702" i="17"/>
  <c r="G353" i="20"/>
  <c r="Q19" i="23"/>
  <c r="K361" i="3" s="1"/>
  <c r="K364" i="3" s="1"/>
  <c r="V34" i="23"/>
  <c r="I35" i="23"/>
  <c r="I36" i="23"/>
  <c r="L38" i="23"/>
  <c r="M38" i="23"/>
  <c r="N38" i="23"/>
  <c r="O38" i="23"/>
  <c r="P38" i="23"/>
  <c r="Q38" i="23"/>
  <c r="R38" i="23"/>
  <c r="S38" i="23"/>
  <c r="L37" i="23"/>
  <c r="M37" i="23"/>
  <c r="N37" i="23"/>
  <c r="O37" i="23"/>
  <c r="P37" i="23"/>
  <c r="Q37" i="23"/>
  <c r="R37" i="23"/>
  <c r="S37" i="23"/>
  <c r="K38" i="23"/>
  <c r="K37" i="23"/>
  <c r="B35" i="23"/>
  <c r="B36" i="23" s="1"/>
  <c r="F37" i="23"/>
  <c r="G37" i="23"/>
  <c r="H37" i="23"/>
  <c r="W49" i="23"/>
  <c r="X49" i="23"/>
  <c r="V49" i="23"/>
  <c r="T49" i="23"/>
  <c r="I45" i="23"/>
  <c r="B46" i="23"/>
  <c r="I46" i="23"/>
  <c r="B47" i="23"/>
  <c r="I47" i="23"/>
  <c r="F48" i="23"/>
  <c r="G48" i="23"/>
  <c r="H48" i="23"/>
  <c r="I48" i="23"/>
  <c r="F1145" i="5"/>
  <c r="F1226" i="5"/>
  <c r="G1225" i="5"/>
  <c r="I1225" i="5" s="1"/>
  <c r="G1224" i="5"/>
  <c r="I1224" i="5" s="1"/>
  <c r="G1223" i="5"/>
  <c r="I1223" i="5" s="1"/>
  <c r="F343" i="20"/>
  <c r="F1044" i="12"/>
  <c r="F1128" i="9"/>
  <c r="F1004" i="8"/>
  <c r="F668" i="17"/>
  <c r="F340" i="20"/>
  <c r="F1123" i="5"/>
  <c r="B403" i="4"/>
  <c r="B400" i="4"/>
  <c r="B394" i="4"/>
  <c r="B388" i="4"/>
  <c r="B385" i="4"/>
  <c r="B382" i="4"/>
  <c r="B379" i="4"/>
  <c r="K394" i="3"/>
  <c r="K397" i="3" s="1"/>
  <c r="D394" i="3"/>
  <c r="E394" i="3"/>
  <c r="F394" i="3"/>
  <c r="G394" i="3"/>
  <c r="C394" i="3"/>
  <c r="D391" i="3"/>
  <c r="E391" i="3"/>
  <c r="F391" i="3"/>
  <c r="G391" i="3"/>
  <c r="C391" i="3"/>
  <c r="D385" i="3"/>
  <c r="E385" i="3"/>
  <c r="G385" i="3"/>
  <c r="C385" i="3"/>
  <c r="D379" i="3"/>
  <c r="E379" i="3"/>
  <c r="F379" i="3"/>
  <c r="G379" i="3"/>
  <c r="C379" i="3"/>
  <c r="D376" i="3"/>
  <c r="E376" i="3"/>
  <c r="F376" i="3"/>
  <c r="G376" i="3"/>
  <c r="C376" i="3"/>
  <c r="D373" i="3"/>
  <c r="E373" i="3"/>
  <c r="F373" i="3"/>
  <c r="G373" i="3"/>
  <c r="C373" i="3"/>
  <c r="D370" i="3"/>
  <c r="E370" i="3"/>
  <c r="C370" i="3"/>
  <c r="P1135" i="12"/>
  <c r="H394" i="3" s="1"/>
  <c r="P855" i="14"/>
  <c r="H391" i="3" s="1"/>
  <c r="L1131" i="9"/>
  <c r="P1082" i="8"/>
  <c r="H379" i="3" s="1"/>
  <c r="H708" i="17"/>
  <c r="F708" i="17"/>
  <c r="B707" i="17"/>
  <c r="V687" i="17"/>
  <c r="P757" i="17"/>
  <c r="H376" i="3" s="1"/>
  <c r="P419" i="20"/>
  <c r="H373" i="3" s="1"/>
  <c r="P1194" i="5"/>
  <c r="B406" i="4"/>
  <c r="V1139" i="5"/>
  <c r="V1144" i="5"/>
  <c r="I922" i="14"/>
  <c r="I932" i="14"/>
  <c r="G931" i="14"/>
  <c r="F931" i="14"/>
  <c r="F933" i="14" s="1"/>
  <c r="I891" i="14"/>
  <c r="G921" i="14"/>
  <c r="I921" i="14" s="1"/>
  <c r="G920" i="14"/>
  <c r="I920" i="14" s="1"/>
  <c r="G919" i="14"/>
  <c r="I919" i="14" s="1"/>
  <c r="G918" i="14"/>
  <c r="I918" i="14" s="1"/>
  <c r="G917" i="14"/>
  <c r="F917" i="14"/>
  <c r="I917" i="14" s="1"/>
  <c r="L777" i="14"/>
  <c r="M777" i="14"/>
  <c r="N777" i="14"/>
  <c r="O777" i="14"/>
  <c r="P777" i="14"/>
  <c r="Q777" i="14"/>
  <c r="R777" i="14"/>
  <c r="S777" i="14"/>
  <c r="L778" i="14"/>
  <c r="M778" i="14"/>
  <c r="N778" i="14"/>
  <c r="O778" i="14"/>
  <c r="P778" i="14"/>
  <c r="Q778" i="14"/>
  <c r="R778" i="14"/>
  <c r="S778" i="14"/>
  <c r="K778" i="14"/>
  <c r="K777" i="14"/>
  <c r="H777" i="14"/>
  <c r="V776" i="14"/>
  <c r="G1193" i="12"/>
  <c r="I1193" i="12" s="1"/>
  <c r="H1194" i="12"/>
  <c r="F1194" i="12"/>
  <c r="G1192" i="12"/>
  <c r="H1189" i="12"/>
  <c r="F1189" i="12"/>
  <c r="G1188" i="12"/>
  <c r="I1188" i="12" s="1"/>
  <c r="G1168" i="12"/>
  <c r="I1168" i="12" s="1"/>
  <c r="G1187" i="12"/>
  <c r="I1187" i="12" s="1"/>
  <c r="B1187" i="12"/>
  <c r="B1188" i="12" s="1"/>
  <c r="G1186" i="12"/>
  <c r="B927" i="14"/>
  <c r="B928" i="14" s="1"/>
  <c r="B929" i="14" s="1"/>
  <c r="B930" i="14" s="1"/>
  <c r="B931" i="14" s="1"/>
  <c r="B932" i="14" s="1"/>
  <c r="G930" i="14"/>
  <c r="I930" i="14" s="1"/>
  <c r="G929" i="14"/>
  <c r="I929" i="14" s="1"/>
  <c r="G928" i="14"/>
  <c r="I928" i="14" s="1"/>
  <c r="G927" i="14"/>
  <c r="I927" i="14" s="1"/>
  <c r="G926" i="14"/>
  <c r="G933" i="14" s="1"/>
  <c r="G890" i="14"/>
  <c r="F916" i="14"/>
  <c r="I916" i="14" s="1"/>
  <c r="G915" i="14"/>
  <c r="I915" i="14" s="1"/>
  <c r="G914" i="14"/>
  <c r="I914" i="14" s="1"/>
  <c r="G913" i="14"/>
  <c r="I913" i="14" s="1"/>
  <c r="G912" i="14"/>
  <c r="F912" i="14"/>
  <c r="I911" i="14"/>
  <c r="G910" i="14"/>
  <c r="I910" i="14" s="1"/>
  <c r="G889" i="14"/>
  <c r="G892" i="14" s="1"/>
  <c r="F889" i="14"/>
  <c r="G909" i="14"/>
  <c r="I909" i="14" s="1"/>
  <c r="G908" i="14"/>
  <c r="I908" i="14" s="1"/>
  <c r="B908" i="14"/>
  <c r="B909" i="14" s="1"/>
  <c r="B910" i="14" s="1"/>
  <c r="B911" i="14" s="1"/>
  <c r="B912" i="14" s="1"/>
  <c r="B913" i="14" s="1"/>
  <c r="B914" i="14" s="1"/>
  <c r="B915" i="14" s="1"/>
  <c r="B916" i="14" s="1"/>
  <c r="B917" i="14" s="1"/>
  <c r="B918" i="14" s="1"/>
  <c r="B919" i="14" s="1"/>
  <c r="B920" i="14" s="1"/>
  <c r="B921" i="14" s="1"/>
  <c r="B922" i="14" s="1"/>
  <c r="G907" i="14"/>
  <c r="G923" i="14" s="1"/>
  <c r="H818" i="14"/>
  <c r="F818" i="14"/>
  <c r="F804" i="14"/>
  <c r="I1276" i="9"/>
  <c r="G1275" i="9"/>
  <c r="I1275" i="9" s="1"/>
  <c r="G1274" i="9"/>
  <c r="F1274" i="9"/>
  <c r="I1274" i="9" s="1"/>
  <c r="B1274" i="9"/>
  <c r="B1275" i="9" s="1"/>
  <c r="B1276" i="9" s="1"/>
  <c r="B1277" i="9" s="1"/>
  <c r="G1273" i="9"/>
  <c r="G1278" i="9" s="1"/>
  <c r="F1273" i="9"/>
  <c r="F1278" i="9" s="1"/>
  <c r="I1267" i="9"/>
  <c r="H1266" i="9"/>
  <c r="H1270" i="9" s="1"/>
  <c r="G1266" i="9"/>
  <c r="I1266" i="9" s="1"/>
  <c r="I1265" i="9"/>
  <c r="G1264" i="9"/>
  <c r="F1264" i="9"/>
  <c r="F1270" i="9" s="1"/>
  <c r="I1263" i="9"/>
  <c r="G1262" i="9"/>
  <c r="I1262" i="9" s="1"/>
  <c r="G1261" i="9"/>
  <c r="I1261" i="9" s="1"/>
  <c r="B1261" i="9"/>
  <c r="B1262" i="9" s="1"/>
  <c r="B1263" i="9" s="1"/>
  <c r="B1264" i="9" s="1"/>
  <c r="B1265" i="9" s="1"/>
  <c r="B1266" i="9" s="1"/>
  <c r="B1267" i="9" s="1"/>
  <c r="B1268" i="9" s="1"/>
  <c r="B1269" i="9" s="1"/>
  <c r="G1260" i="9"/>
  <c r="G1270" i="9" s="1"/>
  <c r="F1135" i="8"/>
  <c r="H1134" i="8"/>
  <c r="H1135" i="8" s="1"/>
  <c r="G1134" i="8"/>
  <c r="I1134" i="8" s="1"/>
  <c r="B1134" i="8"/>
  <c r="G1133" i="8"/>
  <c r="H1130" i="8"/>
  <c r="V1129" i="8"/>
  <c r="G1129" i="8"/>
  <c r="I1129" i="8" s="1"/>
  <c r="V1128" i="8"/>
  <c r="G1128" i="8"/>
  <c r="F1128" i="8"/>
  <c r="G1127" i="8"/>
  <c r="I1127" i="8" s="1"/>
  <c r="I1126" i="8"/>
  <c r="G1125" i="8"/>
  <c r="I1125" i="8" s="1"/>
  <c r="G1124" i="8"/>
  <c r="I1124" i="8" s="1"/>
  <c r="G1123" i="8"/>
  <c r="I1123" i="8" s="1"/>
  <c r="G1122" i="8"/>
  <c r="I1122" i="8" s="1"/>
  <c r="G1121" i="8"/>
  <c r="I1121" i="8" s="1"/>
  <c r="G1120" i="8"/>
  <c r="I1120" i="8" s="1"/>
  <c r="G1119" i="8"/>
  <c r="I1119" i="8" s="1"/>
  <c r="I1118" i="8"/>
  <c r="G1117" i="8"/>
  <c r="I1117" i="8" s="1"/>
  <c r="B1117" i="8"/>
  <c r="B1118" i="8" s="1"/>
  <c r="B1119" i="8" s="1"/>
  <c r="B1120" i="8" s="1"/>
  <c r="B1121" i="8" s="1"/>
  <c r="B1122" i="8" s="1"/>
  <c r="B1123" i="8" s="1"/>
  <c r="B1124" i="8" s="1"/>
  <c r="B1125" i="8" s="1"/>
  <c r="B1126" i="8" s="1"/>
  <c r="B1127" i="8" s="1"/>
  <c r="B1128" i="8" s="1"/>
  <c r="B1129" i="8" s="1"/>
  <c r="V1116" i="8"/>
  <c r="G1116" i="8"/>
  <c r="F1053" i="8"/>
  <c r="V1046" i="8"/>
  <c r="V1034" i="8"/>
  <c r="G797" i="17"/>
  <c r="G799" i="17" s="1"/>
  <c r="G790" i="17"/>
  <c r="G793" i="17" s="1"/>
  <c r="F790" i="17"/>
  <c r="F793" i="17" s="1"/>
  <c r="B790" i="17"/>
  <c r="B791" i="17" s="1"/>
  <c r="B792" i="17" s="1"/>
  <c r="I789" i="17"/>
  <c r="B697" i="17"/>
  <c r="H718" i="17"/>
  <c r="F718" i="17"/>
  <c r="H713" i="17"/>
  <c r="H458" i="20"/>
  <c r="F458" i="20"/>
  <c r="I457" i="20"/>
  <c r="B457" i="20"/>
  <c r="G456" i="20"/>
  <c r="H453" i="20"/>
  <c r="G452" i="20"/>
  <c r="F452" i="20"/>
  <c r="B452" i="20"/>
  <c r="G451" i="20"/>
  <c r="F375" i="20"/>
  <c r="G1222" i="5"/>
  <c r="I1222" i="5" s="1"/>
  <c r="G1221" i="5"/>
  <c r="I1221" i="5" s="1"/>
  <c r="G1220" i="5"/>
  <c r="I1220" i="5" s="1"/>
  <c r="H1219" i="5"/>
  <c r="G1219" i="5"/>
  <c r="I1219" i="5" s="1"/>
  <c r="G1218" i="5"/>
  <c r="I1218" i="5" s="1"/>
  <c r="B1218" i="5"/>
  <c r="B1219" i="5" s="1"/>
  <c r="B1220" i="5" s="1"/>
  <c r="B1221" i="5" s="1"/>
  <c r="B1222" i="5" s="1"/>
  <c r="B1223" i="5" s="1"/>
  <c r="B1224" i="5" s="1"/>
  <c r="B1225" i="5" s="1"/>
  <c r="H1217" i="5"/>
  <c r="H1226" i="5" s="1"/>
  <c r="G1217" i="5"/>
  <c r="G1226" i="5" s="1"/>
  <c r="H953" i="14"/>
  <c r="G953" i="14"/>
  <c r="F953" i="14"/>
  <c r="I952" i="14"/>
  <c r="I951" i="14"/>
  <c r="I950" i="14"/>
  <c r="I949" i="14"/>
  <c r="I948" i="14"/>
  <c r="I947" i="14"/>
  <c r="I946" i="14"/>
  <c r="I945" i="14"/>
  <c r="I944" i="14"/>
  <c r="I942" i="14"/>
  <c r="I941" i="14"/>
  <c r="I940" i="14"/>
  <c r="I939" i="14"/>
  <c r="I938" i="14"/>
  <c r="I937" i="14"/>
  <c r="B937" i="14"/>
  <c r="B938" i="14" s="1"/>
  <c r="B939" i="14" s="1"/>
  <c r="B940" i="14" s="1"/>
  <c r="B941" i="14" s="1"/>
  <c r="B942" i="14" s="1"/>
  <c r="B943" i="14" s="1"/>
  <c r="B944" i="14" s="1"/>
  <c r="B945" i="14" s="1"/>
  <c r="B946" i="14" s="1"/>
  <c r="B947" i="14" s="1"/>
  <c r="B948" i="14" s="1"/>
  <c r="B949" i="14" s="1"/>
  <c r="B950" i="14" s="1"/>
  <c r="B951" i="14" s="1"/>
  <c r="B952" i="14" s="1"/>
  <c r="I936" i="14"/>
  <c r="I879" i="14"/>
  <c r="I877" i="14"/>
  <c r="I876" i="14"/>
  <c r="I943" i="14"/>
  <c r="I874" i="14"/>
  <c r="I871" i="14"/>
  <c r="I897" i="14"/>
  <c r="B899" i="14"/>
  <c r="I896" i="14"/>
  <c r="I900" i="14" s="1"/>
  <c r="S886" i="14"/>
  <c r="R886" i="14"/>
  <c r="Q886" i="14"/>
  <c r="P886" i="14"/>
  <c r="O886" i="14"/>
  <c r="N886" i="14"/>
  <c r="M886" i="14"/>
  <c r="L886" i="14"/>
  <c r="K886" i="14"/>
  <c r="S885" i="14"/>
  <c r="R885" i="14"/>
  <c r="Q885" i="14"/>
  <c r="P885" i="14"/>
  <c r="O885" i="14"/>
  <c r="N885" i="14"/>
  <c r="M885" i="14"/>
  <c r="L885" i="14"/>
  <c r="K885" i="14"/>
  <c r="H885" i="14"/>
  <c r="G885" i="14"/>
  <c r="F885" i="14"/>
  <c r="P391" i="3" s="1"/>
  <c r="I884" i="14"/>
  <c r="I883" i="14"/>
  <c r="I882" i="14"/>
  <c r="O847" i="14" s="1"/>
  <c r="H400" i="4" s="1"/>
  <c r="I881" i="14"/>
  <c r="I880" i="14"/>
  <c r="I878" i="14"/>
  <c r="I875" i="14"/>
  <c r="I873" i="14"/>
  <c r="I872" i="14"/>
  <c r="L847" i="14" s="1"/>
  <c r="I870" i="14"/>
  <c r="B870" i="14"/>
  <c r="I869" i="14"/>
  <c r="Q857" i="14"/>
  <c r="O857" i="14"/>
  <c r="N857" i="14"/>
  <c r="M857" i="14"/>
  <c r="L857" i="14"/>
  <c r="K857" i="14"/>
  <c r="Q856" i="14"/>
  <c r="O856" i="14"/>
  <c r="N856" i="14"/>
  <c r="M856" i="14"/>
  <c r="L856" i="14"/>
  <c r="K856" i="14"/>
  <c r="O391" i="3"/>
  <c r="R855" i="14"/>
  <c r="F853" i="14"/>
  <c r="H852" i="14"/>
  <c r="Q851" i="14"/>
  <c r="O851" i="14"/>
  <c r="F851" i="14"/>
  <c r="H851" i="14" s="1"/>
  <c r="Q850" i="14"/>
  <c r="O850" i="14"/>
  <c r="H401" i="4" s="1" a="1"/>
  <c r="H401" i="4" s="1"/>
  <c r="N850" i="14"/>
  <c r="M850" i="14"/>
  <c r="L850" i="14"/>
  <c r="K850" i="14"/>
  <c r="P849" i="14"/>
  <c r="P857" i="14" s="1"/>
  <c r="P848" i="14"/>
  <c r="F848" i="14"/>
  <c r="F849" i="14" s="1"/>
  <c r="H849" i="14" s="1"/>
  <c r="P400" i="4"/>
  <c r="F846" i="14"/>
  <c r="S842" i="14"/>
  <c r="R842" i="14"/>
  <c r="Q842" i="14"/>
  <c r="P842" i="14"/>
  <c r="O842" i="14"/>
  <c r="N842" i="14"/>
  <c r="M842" i="14"/>
  <c r="L842" i="14"/>
  <c r="K842" i="14"/>
  <c r="C842" i="14"/>
  <c r="T841" i="14"/>
  <c r="A400" i="4" s="1"/>
  <c r="S841" i="14"/>
  <c r="R841" i="14"/>
  <c r="Q841" i="14"/>
  <c r="P841" i="14"/>
  <c r="O841" i="14"/>
  <c r="N841" i="14"/>
  <c r="M841" i="14"/>
  <c r="L841" i="14"/>
  <c r="K841" i="14"/>
  <c r="C841" i="14"/>
  <c r="C840" i="14"/>
  <c r="H1298" i="9"/>
  <c r="G1298" i="9"/>
  <c r="F1298" i="9"/>
  <c r="I1297" i="9"/>
  <c r="I1296" i="9"/>
  <c r="I1295" i="9"/>
  <c r="I1294" i="9"/>
  <c r="I1293" i="9"/>
  <c r="I1292" i="9"/>
  <c r="I1291" i="9"/>
  <c r="I1290" i="9"/>
  <c r="I1284" i="9"/>
  <c r="I1283" i="9"/>
  <c r="I1282" i="9"/>
  <c r="B1282" i="9"/>
  <c r="B1283" i="9" s="1"/>
  <c r="B1284" i="9" s="1"/>
  <c r="B1285" i="9" s="1"/>
  <c r="B1286" i="9" s="1"/>
  <c r="I1281" i="9"/>
  <c r="I1298" i="9" s="1"/>
  <c r="I1242" i="9"/>
  <c r="I1256" i="9"/>
  <c r="I1257" i="9" s="1"/>
  <c r="I1238" i="9"/>
  <c r="I1252" i="9"/>
  <c r="I1250" i="9"/>
  <c r="B1250" i="9"/>
  <c r="B1251" i="9" s="1"/>
  <c r="B1252" i="9" s="1"/>
  <c r="S1246" i="9"/>
  <c r="R1246" i="9"/>
  <c r="Q1246" i="9"/>
  <c r="P1246" i="9"/>
  <c r="O1246" i="9"/>
  <c r="N1246" i="9"/>
  <c r="M1246" i="9"/>
  <c r="L1246" i="9"/>
  <c r="K1246" i="9"/>
  <c r="S1245" i="9"/>
  <c r="R1245" i="9"/>
  <c r="Q1245" i="9"/>
  <c r="P1245" i="9"/>
  <c r="O1245" i="9"/>
  <c r="N1245" i="9"/>
  <c r="M1245" i="9"/>
  <c r="L1245" i="9"/>
  <c r="K1245" i="9"/>
  <c r="H1245" i="9"/>
  <c r="G1245" i="9"/>
  <c r="F1245" i="9"/>
  <c r="P385" i="3" s="1"/>
  <c r="I1244" i="9"/>
  <c r="I1243" i="9"/>
  <c r="I1241" i="9"/>
  <c r="O1212" i="9" s="1"/>
  <c r="H394" i="4" s="1"/>
  <c r="I1239" i="9"/>
  <c r="I1237" i="9"/>
  <c r="I1236" i="9"/>
  <c r="I1235" i="9"/>
  <c r="I1234" i="9"/>
  <c r="I1233" i="9"/>
  <c r="B1231" i="9"/>
  <c r="B1232" i="9" s="1"/>
  <c r="I1230" i="9"/>
  <c r="Q1222" i="9"/>
  <c r="O1222" i="9"/>
  <c r="N1222" i="9"/>
  <c r="M1222" i="9"/>
  <c r="L1222" i="9"/>
  <c r="K1222" i="9"/>
  <c r="Q1221" i="9"/>
  <c r="O1221" i="9"/>
  <c r="N1221" i="9"/>
  <c r="M1221" i="9"/>
  <c r="L1221" i="9"/>
  <c r="K1221" i="9"/>
  <c r="O385" i="3"/>
  <c r="R1220" i="9"/>
  <c r="M385" i="3" s="1"/>
  <c r="F1218" i="9"/>
  <c r="H1217" i="9"/>
  <c r="Q1216" i="9"/>
  <c r="O1216" i="9"/>
  <c r="F1216" i="9"/>
  <c r="H1216" i="9" s="1"/>
  <c r="Q1215" i="9"/>
  <c r="O1215" i="9"/>
  <c r="H395" i="4" s="1" a="1"/>
  <c r="H395" i="4" s="1"/>
  <c r="N1215" i="9"/>
  <c r="M1215" i="9"/>
  <c r="L1215" i="9"/>
  <c r="K1215" i="9"/>
  <c r="P1214" i="9"/>
  <c r="P1222" i="9" s="1"/>
  <c r="P1213" i="9"/>
  <c r="F1213" i="9"/>
  <c r="F1214" i="9" s="1"/>
  <c r="H1214" i="9" s="1"/>
  <c r="P394" i="4"/>
  <c r="F1211" i="9"/>
  <c r="S1207" i="9"/>
  <c r="R1207" i="9"/>
  <c r="Q1207" i="9"/>
  <c r="P1207" i="9"/>
  <c r="O1207" i="9"/>
  <c r="N1207" i="9"/>
  <c r="M1207" i="9"/>
  <c r="L1207" i="9"/>
  <c r="K1207" i="9"/>
  <c r="C1207" i="9"/>
  <c r="T1206" i="9"/>
  <c r="A394" i="4" s="1"/>
  <c r="S1206" i="9"/>
  <c r="R1206" i="9"/>
  <c r="Q1206" i="9"/>
  <c r="P1206" i="9"/>
  <c r="O1206" i="9"/>
  <c r="N1206" i="9"/>
  <c r="M1206" i="9"/>
  <c r="L1206" i="9"/>
  <c r="K1206" i="9"/>
  <c r="C1206" i="9"/>
  <c r="C1205" i="9"/>
  <c r="H821" i="17"/>
  <c r="G821" i="17"/>
  <c r="F821" i="17"/>
  <c r="I820" i="17"/>
  <c r="I819" i="17"/>
  <c r="I816" i="17"/>
  <c r="I815" i="17"/>
  <c r="I814" i="17"/>
  <c r="I813" i="17"/>
  <c r="I811" i="17"/>
  <c r="I810" i="17"/>
  <c r="I809" i="17"/>
  <c r="I808" i="17"/>
  <c r="I807" i="17"/>
  <c r="I806" i="17"/>
  <c r="I805" i="17"/>
  <c r="I804" i="17"/>
  <c r="I803" i="17"/>
  <c r="B803" i="17"/>
  <c r="B804" i="17" s="1"/>
  <c r="B805" i="17" s="1"/>
  <c r="B806" i="17" s="1"/>
  <c r="I802" i="17"/>
  <c r="I785" i="17"/>
  <c r="I786" i="17" s="1"/>
  <c r="R749" i="17" s="1"/>
  <c r="I812" i="17"/>
  <c r="I770" i="17"/>
  <c r="I767" i="17"/>
  <c r="I777" i="17"/>
  <c r="I780" i="17"/>
  <c r="I779" i="17"/>
  <c r="I778" i="17"/>
  <c r="I776" i="17"/>
  <c r="I775" i="17"/>
  <c r="I774" i="17"/>
  <c r="I773" i="17"/>
  <c r="M749" i="17" s="1"/>
  <c r="F385" i="4" s="1"/>
  <c r="I772" i="17"/>
  <c r="I771" i="17"/>
  <c r="L749" i="17" s="1"/>
  <c r="E385" i="4" s="1"/>
  <c r="I769" i="17"/>
  <c r="B769" i="17"/>
  <c r="I768" i="17"/>
  <c r="Q759" i="17"/>
  <c r="O759" i="17"/>
  <c r="N759" i="17"/>
  <c r="L759" i="17"/>
  <c r="K759" i="17"/>
  <c r="Q758" i="17"/>
  <c r="O758" i="17"/>
  <c r="N758" i="17"/>
  <c r="M758" i="17"/>
  <c r="L758" i="17"/>
  <c r="K758" i="17"/>
  <c r="O376" i="3"/>
  <c r="M376" i="3"/>
  <c r="F755" i="17"/>
  <c r="H754" i="17"/>
  <c r="Q753" i="17"/>
  <c r="M753" i="17"/>
  <c r="L753" i="17"/>
  <c r="F753" i="17"/>
  <c r="H753" i="17" s="1"/>
  <c r="Q752" i="17"/>
  <c r="O752" i="17"/>
  <c r="N752" i="17"/>
  <c r="M752" i="17"/>
  <c r="F386" i="4" s="1" a="1"/>
  <c r="F386" i="4" s="1"/>
  <c r="L752" i="17"/>
  <c r="E386" i="4" s="1" a="1"/>
  <c r="E386" i="4" s="1"/>
  <c r="K752" i="17"/>
  <c r="P751" i="17"/>
  <c r="P759" i="17" s="1"/>
  <c r="P750" i="17"/>
  <c r="F750" i="17"/>
  <c r="F751" i="17" s="1"/>
  <c r="H751" i="17" s="1"/>
  <c r="P385" i="4"/>
  <c r="F748" i="17"/>
  <c r="S744" i="17"/>
  <c r="R744" i="17"/>
  <c r="Q744" i="17"/>
  <c r="P744" i="17"/>
  <c r="O744" i="17"/>
  <c r="N744" i="17"/>
  <c r="M744" i="17"/>
  <c r="L744" i="17"/>
  <c r="K744" i="17"/>
  <c r="C744" i="17"/>
  <c r="T743" i="17"/>
  <c r="A385" i="4" s="1"/>
  <c r="S743" i="17"/>
  <c r="R743" i="17"/>
  <c r="Q743" i="17"/>
  <c r="P743" i="17"/>
  <c r="O743" i="17"/>
  <c r="N743" i="17"/>
  <c r="M743" i="17"/>
  <c r="L743" i="17"/>
  <c r="K743" i="17"/>
  <c r="C743" i="17"/>
  <c r="C742" i="17"/>
  <c r="H486" i="20"/>
  <c r="G486" i="20"/>
  <c r="F486" i="20"/>
  <c r="I475" i="20"/>
  <c r="I474" i="20"/>
  <c r="I473" i="20"/>
  <c r="I472" i="20"/>
  <c r="I471" i="20"/>
  <c r="I470" i="20"/>
  <c r="I469" i="20"/>
  <c r="I468" i="20"/>
  <c r="I467" i="20"/>
  <c r="I466" i="20"/>
  <c r="I465" i="20"/>
  <c r="I464" i="20"/>
  <c r="I463" i="20"/>
  <c r="I462" i="20"/>
  <c r="B462" i="20"/>
  <c r="B463" i="20" s="1"/>
  <c r="B464" i="20" s="1"/>
  <c r="B465" i="20" s="1"/>
  <c r="B466" i="20" s="1"/>
  <c r="B467" i="20" s="1"/>
  <c r="B468" i="20" s="1"/>
  <c r="B469" i="20" s="1"/>
  <c r="B470" i="20" s="1"/>
  <c r="B471" i="20" s="1"/>
  <c r="B472" i="20" s="1"/>
  <c r="B473" i="20" s="1"/>
  <c r="B474" i="20" s="1"/>
  <c r="B475" i="20" s="1"/>
  <c r="I461" i="20"/>
  <c r="I486" i="20" s="1"/>
  <c r="H448" i="20"/>
  <c r="G448" i="20"/>
  <c r="F448" i="20"/>
  <c r="I447" i="20"/>
  <c r="I448" i="20" s="1"/>
  <c r="H444" i="20"/>
  <c r="G444" i="20"/>
  <c r="F444" i="20"/>
  <c r="I434" i="20"/>
  <c r="I444" i="20"/>
  <c r="S440" i="20"/>
  <c r="R440" i="20"/>
  <c r="Q440" i="20"/>
  <c r="P440" i="20"/>
  <c r="O440" i="20"/>
  <c r="N440" i="20"/>
  <c r="M440" i="20"/>
  <c r="L440" i="20"/>
  <c r="K440" i="20"/>
  <c r="S439" i="20"/>
  <c r="R439" i="20"/>
  <c r="Q439" i="20"/>
  <c r="P439" i="20"/>
  <c r="O439" i="20"/>
  <c r="N439" i="20"/>
  <c r="M439" i="20"/>
  <c r="L439" i="20"/>
  <c r="K439" i="20"/>
  <c r="H439" i="20"/>
  <c r="G439" i="20"/>
  <c r="F439" i="20"/>
  <c r="P373" i="3" s="1"/>
  <c r="I438" i="20"/>
  <c r="O411" i="20" s="1"/>
  <c r="H382" i="4" s="1"/>
  <c r="I437" i="20"/>
  <c r="I436" i="20"/>
  <c r="N411" i="20" s="1"/>
  <c r="G382" i="4" s="1"/>
  <c r="I435" i="20"/>
  <c r="M411" i="20" s="1"/>
  <c r="F382" i="4" s="1"/>
  <c r="I433" i="20"/>
  <c r="I432" i="20"/>
  <c r="I431" i="20"/>
  <c r="L411" i="20" s="1"/>
  <c r="E382" i="4" s="1"/>
  <c r="I430" i="20"/>
  <c r="B430" i="20"/>
  <c r="B431" i="20" s="1"/>
  <c r="B432" i="20" s="1"/>
  <c r="B433" i="20" s="1"/>
  <c r="B434" i="20" s="1"/>
  <c r="B435" i="20" s="1"/>
  <c r="B436" i="20" s="1"/>
  <c r="B437" i="20" s="1"/>
  <c r="B438" i="20" s="1"/>
  <c r="I429" i="20"/>
  <c r="Q421" i="20"/>
  <c r="O421" i="20"/>
  <c r="N421" i="20"/>
  <c r="M421" i="20"/>
  <c r="L421" i="20"/>
  <c r="K421" i="20"/>
  <c r="Q420" i="20"/>
  <c r="O420" i="20"/>
  <c r="N420" i="20"/>
  <c r="M420" i="20"/>
  <c r="L420" i="20"/>
  <c r="K420" i="20"/>
  <c r="O373" i="3"/>
  <c r="R419" i="20"/>
  <c r="M373" i="3" s="1"/>
  <c r="F417" i="20"/>
  <c r="H416" i="20"/>
  <c r="Q415" i="20"/>
  <c r="O415" i="20"/>
  <c r="N415" i="20"/>
  <c r="M415" i="20"/>
  <c r="L415" i="20"/>
  <c r="F415" i="20"/>
  <c r="H415" i="20" s="1"/>
  <c r="Q414" i="20"/>
  <c r="O414" i="20"/>
  <c r="H383" i="4" s="1" a="1"/>
  <c r="H383" i="4" s="1"/>
  <c r="N414" i="20"/>
  <c r="G383" i="4" s="1" a="1"/>
  <c r="G383" i="4" s="1"/>
  <c r="M414" i="20"/>
  <c r="F383" i="4" s="1" a="1"/>
  <c r="F383" i="4" s="1"/>
  <c r="L414" i="20"/>
  <c r="E383" i="4" s="1" a="1"/>
  <c r="E383" i="4" s="1"/>
  <c r="K414" i="20"/>
  <c r="P413" i="20"/>
  <c r="P421" i="20" s="1"/>
  <c r="P412" i="20"/>
  <c r="F412" i="20"/>
  <c r="F413" i="20" s="1"/>
  <c r="H413" i="20" s="1"/>
  <c r="P382" i="4"/>
  <c r="R411" i="20"/>
  <c r="F410" i="20"/>
  <c r="S406" i="20"/>
  <c r="R406" i="20"/>
  <c r="Q406" i="20"/>
  <c r="P406" i="20"/>
  <c r="O406" i="20"/>
  <c r="N406" i="20"/>
  <c r="M406" i="20"/>
  <c r="L406" i="20"/>
  <c r="K406" i="20"/>
  <c r="C406" i="20"/>
  <c r="T405" i="20"/>
  <c r="A382" i="4" s="1"/>
  <c r="S405" i="20"/>
  <c r="R405" i="20"/>
  <c r="Q405" i="20"/>
  <c r="P405" i="20"/>
  <c r="O405" i="20"/>
  <c r="N405" i="20"/>
  <c r="M405" i="20"/>
  <c r="L405" i="20"/>
  <c r="K405" i="20"/>
  <c r="C405" i="20"/>
  <c r="C404" i="20"/>
  <c r="I1232" i="5"/>
  <c r="I1231" i="5"/>
  <c r="B1231" i="5"/>
  <c r="B1232" i="5" s="1"/>
  <c r="I1209" i="5"/>
  <c r="I1229" i="5"/>
  <c r="I1233" i="5" s="1"/>
  <c r="I1212" i="5"/>
  <c r="S1214" i="5"/>
  <c r="R1214" i="5"/>
  <c r="Q1214" i="5"/>
  <c r="P1214" i="5"/>
  <c r="O1214" i="5"/>
  <c r="N1214" i="5"/>
  <c r="M1214" i="5"/>
  <c r="L1214" i="5"/>
  <c r="K1214" i="5"/>
  <c r="S1213" i="5"/>
  <c r="R1213" i="5"/>
  <c r="Q1213" i="5"/>
  <c r="P1213" i="5"/>
  <c r="O1213" i="5"/>
  <c r="N1213" i="5"/>
  <c r="M1213" i="5"/>
  <c r="L1213" i="5"/>
  <c r="K1213" i="5"/>
  <c r="H1213" i="5"/>
  <c r="G1213" i="5"/>
  <c r="F1213" i="5"/>
  <c r="P370" i="3" s="1"/>
  <c r="I1211" i="5"/>
  <c r="I1210" i="5"/>
  <c r="M1186" i="5" s="1"/>
  <c r="F379" i="4" s="1"/>
  <c r="I1208" i="5"/>
  <c r="I1205" i="5"/>
  <c r="B1205" i="5"/>
  <c r="I1204" i="5"/>
  <c r="Q1196" i="5"/>
  <c r="O1196" i="5"/>
  <c r="N1196" i="5"/>
  <c r="M1196" i="5"/>
  <c r="L1196" i="5"/>
  <c r="K1196" i="5"/>
  <c r="Q1195" i="5"/>
  <c r="O1195" i="5"/>
  <c r="N1195" i="5"/>
  <c r="M1195" i="5"/>
  <c r="L1195" i="5"/>
  <c r="K1195" i="5"/>
  <c r="O370" i="3"/>
  <c r="F1192" i="5"/>
  <c r="H1191" i="5"/>
  <c r="Q1190" i="5"/>
  <c r="O1190" i="5"/>
  <c r="N1190" i="5"/>
  <c r="M1190" i="5"/>
  <c r="F1190" i="5"/>
  <c r="H1190" i="5" s="1"/>
  <c r="Q1189" i="5"/>
  <c r="O1189" i="5"/>
  <c r="N1189" i="5"/>
  <c r="M1189" i="5"/>
  <c r="F380" i="4" s="1" a="1"/>
  <c r="F380" i="4" s="1"/>
  <c r="L1189" i="5"/>
  <c r="K1189" i="5"/>
  <c r="P1188" i="5"/>
  <c r="P1196" i="5" s="1"/>
  <c r="P1187" i="5"/>
  <c r="F1187" i="5"/>
  <c r="F1188" i="5" s="1"/>
  <c r="H1188" i="5" s="1"/>
  <c r="P379" i="4"/>
  <c r="F1185" i="5"/>
  <c r="S1181" i="5"/>
  <c r="R1181" i="5"/>
  <c r="Q1181" i="5"/>
  <c r="P1181" i="5"/>
  <c r="O1181" i="5"/>
  <c r="N1181" i="5"/>
  <c r="M1181" i="5"/>
  <c r="L1181" i="5"/>
  <c r="K1181" i="5"/>
  <c r="C1181" i="5"/>
  <c r="T1180" i="5"/>
  <c r="A379" i="4" s="1"/>
  <c r="S1180" i="5"/>
  <c r="R1180" i="5"/>
  <c r="Q1180" i="5"/>
  <c r="P1180" i="5"/>
  <c r="O1180" i="5"/>
  <c r="N1180" i="5"/>
  <c r="M1180" i="5"/>
  <c r="L1180" i="5"/>
  <c r="K1180" i="5"/>
  <c r="C1180" i="5"/>
  <c r="C1179" i="5"/>
  <c r="F1165" i="5"/>
  <c r="V1147" i="9"/>
  <c r="G1147" i="9"/>
  <c r="I1147" i="9" s="1"/>
  <c r="S1047" i="12"/>
  <c r="R1047" i="12"/>
  <c r="S1039" i="12"/>
  <c r="G1076" i="12"/>
  <c r="X1219" i="12"/>
  <c r="W1219" i="12"/>
  <c r="V1219" i="12"/>
  <c r="T1219" i="12"/>
  <c r="H1218" i="12"/>
  <c r="G1218" i="12"/>
  <c r="F1218" i="12"/>
  <c r="I1217" i="12"/>
  <c r="B1217" i="12"/>
  <c r="I1216" i="12"/>
  <c r="I1218" i="12" s="1"/>
  <c r="H1213" i="12"/>
  <c r="G1213" i="12"/>
  <c r="F1213" i="12"/>
  <c r="I1210" i="12"/>
  <c r="I1209" i="12"/>
  <c r="I1208" i="12"/>
  <c r="I1207" i="12"/>
  <c r="I1206" i="12"/>
  <c r="I1205" i="12"/>
  <c r="I1204" i="12"/>
  <c r="I1203" i="12"/>
  <c r="I1202" i="12"/>
  <c r="I1201" i="12"/>
  <c r="I1200" i="12"/>
  <c r="I1199" i="12"/>
  <c r="I1198" i="12"/>
  <c r="B1198" i="12"/>
  <c r="B1199" i="12" s="1"/>
  <c r="B1200" i="12" s="1"/>
  <c r="B1201" i="12" s="1"/>
  <c r="B1202" i="12" s="1"/>
  <c r="B1203" i="12" s="1"/>
  <c r="B1204" i="12" s="1"/>
  <c r="B1205" i="12" s="1"/>
  <c r="B1206" i="12" s="1"/>
  <c r="B1207" i="12" s="1"/>
  <c r="I1197" i="12"/>
  <c r="I1213" i="12" s="1"/>
  <c r="I1154" i="12"/>
  <c r="I1182" i="12"/>
  <c r="I1183" i="12" s="1"/>
  <c r="I1150" i="12"/>
  <c r="I1149" i="12"/>
  <c r="O394" i="3"/>
  <c r="I1177" i="12"/>
  <c r="I1176" i="12"/>
  <c r="I1179" i="12" s="1"/>
  <c r="B1177" i="12"/>
  <c r="B1178" i="12" s="1"/>
  <c r="H1169" i="12"/>
  <c r="G1169" i="12"/>
  <c r="F1169" i="12"/>
  <c r="I1169" i="12"/>
  <c r="F1130" i="12" s="1"/>
  <c r="H1165" i="12"/>
  <c r="G1165" i="12"/>
  <c r="F1165" i="12"/>
  <c r="I1164" i="12"/>
  <c r="B1164" i="12"/>
  <c r="I1163" i="12"/>
  <c r="S1160" i="12"/>
  <c r="R1160" i="12"/>
  <c r="Q1160" i="12"/>
  <c r="P1160" i="12"/>
  <c r="O1160" i="12"/>
  <c r="N1160" i="12"/>
  <c r="M1160" i="12"/>
  <c r="L1160" i="12"/>
  <c r="K1160" i="12"/>
  <c r="S1159" i="12"/>
  <c r="R1159" i="12"/>
  <c r="Q1159" i="12"/>
  <c r="P1159" i="12"/>
  <c r="O1159" i="12"/>
  <c r="N1159" i="12"/>
  <c r="M1159" i="12"/>
  <c r="L1159" i="12"/>
  <c r="K1159" i="12"/>
  <c r="H1159" i="12"/>
  <c r="G1159" i="12"/>
  <c r="F1159" i="12"/>
  <c r="I1158" i="12"/>
  <c r="I1157" i="12"/>
  <c r="O1127" i="12" s="1"/>
  <c r="H403" i="4" s="1"/>
  <c r="I1156" i="12"/>
  <c r="I1155" i="12"/>
  <c r="I1153" i="12"/>
  <c r="I1151" i="12"/>
  <c r="I1148" i="12"/>
  <c r="I1147" i="12"/>
  <c r="B1147" i="12"/>
  <c r="B1148" i="12" s="1"/>
  <c r="I1146" i="12"/>
  <c r="Q1137" i="12"/>
  <c r="O1137" i="12"/>
  <c r="N1137" i="12"/>
  <c r="M1137" i="12"/>
  <c r="L1137" i="12"/>
  <c r="K1137" i="12"/>
  <c r="Q1136" i="12"/>
  <c r="O1136" i="12"/>
  <c r="N1136" i="12"/>
  <c r="M1136" i="12"/>
  <c r="L1136" i="12"/>
  <c r="K1136" i="12"/>
  <c r="O1131" i="12"/>
  <c r="F1131" i="12"/>
  <c r="H1131" i="12" s="1"/>
  <c r="Q1130" i="12"/>
  <c r="O1130" i="12"/>
  <c r="H404" i="4" s="1" a="1"/>
  <c r="H404" i="4" s="1"/>
  <c r="N1130" i="12"/>
  <c r="M1130" i="12"/>
  <c r="L1130" i="12"/>
  <c r="K1130" i="12"/>
  <c r="P1129" i="12"/>
  <c r="P1137" i="12" s="1"/>
  <c r="P1128" i="12"/>
  <c r="P403" i="4"/>
  <c r="S1122" i="12"/>
  <c r="R1122" i="12"/>
  <c r="Q1122" i="12"/>
  <c r="P1122" i="12"/>
  <c r="O1122" i="12"/>
  <c r="N1122" i="12"/>
  <c r="M1122" i="12"/>
  <c r="L1122" i="12"/>
  <c r="K1122" i="12"/>
  <c r="C1122" i="12"/>
  <c r="T1121" i="12"/>
  <c r="A403" i="4" s="1"/>
  <c r="S1121" i="12"/>
  <c r="R1121" i="12"/>
  <c r="Q1121" i="12"/>
  <c r="P1121" i="12"/>
  <c r="O1121" i="12"/>
  <c r="N1121" i="12"/>
  <c r="M1121" i="12"/>
  <c r="L1121" i="12"/>
  <c r="K1121" i="12"/>
  <c r="C1121" i="12"/>
  <c r="C1120" i="12"/>
  <c r="X1161" i="8"/>
  <c r="W1161" i="8"/>
  <c r="V1161" i="8"/>
  <c r="T1161" i="8"/>
  <c r="H1160" i="8"/>
  <c r="G1160" i="8"/>
  <c r="F1160" i="8"/>
  <c r="I1152" i="8"/>
  <c r="I1151" i="8"/>
  <c r="I1150" i="8"/>
  <c r="I1148" i="8"/>
  <c r="I1147" i="8"/>
  <c r="I1146" i="8"/>
  <c r="I1145" i="8"/>
  <c r="I1144" i="8"/>
  <c r="I1143" i="8"/>
  <c r="I1142" i="8"/>
  <c r="I1141" i="8"/>
  <c r="I1140" i="8"/>
  <c r="I1139" i="8"/>
  <c r="B1139" i="8"/>
  <c r="B1140" i="8" s="1"/>
  <c r="B1141" i="8" s="1"/>
  <c r="B1142" i="8" s="1"/>
  <c r="B1143" i="8" s="1"/>
  <c r="B1144" i="8" s="1"/>
  <c r="B1145" i="8" s="1"/>
  <c r="B1146" i="8" s="1"/>
  <c r="B1147" i="8" s="1"/>
  <c r="B1148" i="8" s="1"/>
  <c r="B1149" i="8" s="1"/>
  <c r="B1150" i="8" s="1"/>
  <c r="B1151" i="8" s="1"/>
  <c r="B1152" i="8" s="1"/>
  <c r="I1138" i="8"/>
  <c r="I1107" i="8"/>
  <c r="I1156" i="8"/>
  <c r="I1105" i="8"/>
  <c r="I1102" i="8"/>
  <c r="I1097" i="8"/>
  <c r="I1106" i="8"/>
  <c r="I1096" i="8"/>
  <c r="I1104" i="8"/>
  <c r="I1103" i="8"/>
  <c r="I1101" i="8"/>
  <c r="I1100" i="8"/>
  <c r="I1099" i="8"/>
  <c r="I1098" i="8"/>
  <c r="M1074" i="8" s="1"/>
  <c r="F388" i="4" s="1"/>
  <c r="I1095" i="8"/>
  <c r="I1094" i="8"/>
  <c r="B1094" i="8"/>
  <c r="B1095" i="8" s="1"/>
  <c r="B1096" i="8" s="1"/>
  <c r="I1093" i="8"/>
  <c r="I1108" i="8" s="1"/>
  <c r="Q1084" i="8"/>
  <c r="O1084" i="8"/>
  <c r="N1084" i="8"/>
  <c r="M1084" i="8"/>
  <c r="L1084" i="8"/>
  <c r="K1084" i="8"/>
  <c r="Q1083" i="8"/>
  <c r="O1083" i="8"/>
  <c r="N1083" i="8"/>
  <c r="M1083" i="8"/>
  <c r="L1083" i="8"/>
  <c r="K1083" i="8"/>
  <c r="F1080" i="8"/>
  <c r="H1079" i="8"/>
  <c r="Q1078" i="8"/>
  <c r="M1078" i="8"/>
  <c r="F1078" i="8"/>
  <c r="H1078" i="8" s="1"/>
  <c r="Q1077" i="8"/>
  <c r="O1077" i="8"/>
  <c r="N1077" i="8"/>
  <c r="M1077" i="8"/>
  <c r="F389" i="4" s="1" a="1"/>
  <c r="F389" i="4" s="1"/>
  <c r="L1077" i="8"/>
  <c r="K1077" i="8"/>
  <c r="P1076" i="8"/>
  <c r="P1084" i="8" s="1"/>
  <c r="P1075" i="8"/>
  <c r="F1075" i="8"/>
  <c r="F1076" i="8" s="1"/>
  <c r="H1076" i="8" s="1"/>
  <c r="P388" i="4"/>
  <c r="S1069" i="8"/>
  <c r="R1069" i="8"/>
  <c r="Q1069" i="8"/>
  <c r="P1069" i="8"/>
  <c r="O1069" i="8"/>
  <c r="N1069" i="8"/>
  <c r="M1069" i="8"/>
  <c r="L1069" i="8"/>
  <c r="K1069" i="8"/>
  <c r="C1069" i="8"/>
  <c r="T1068" i="8"/>
  <c r="A388" i="4" s="1"/>
  <c r="S1068" i="8"/>
  <c r="R1068" i="8"/>
  <c r="Q1068" i="8"/>
  <c r="P1068" i="8"/>
  <c r="O1068" i="8"/>
  <c r="N1068" i="8"/>
  <c r="M1068" i="8"/>
  <c r="L1068" i="8"/>
  <c r="K1068" i="8"/>
  <c r="C1068" i="8"/>
  <c r="C1067" i="8"/>
  <c r="S764" i="14"/>
  <c r="S756" i="14"/>
  <c r="G793" i="14"/>
  <c r="G792" i="14"/>
  <c r="G790" i="14"/>
  <c r="G814" i="14"/>
  <c r="S350" i="11"/>
  <c r="R350" i="11"/>
  <c r="S1131" i="9"/>
  <c r="S1123" i="9"/>
  <c r="S1007" i="8"/>
  <c r="S999" i="8"/>
  <c r="G1041" i="8"/>
  <c r="S343" i="20"/>
  <c r="R343" i="20"/>
  <c r="S335" i="20"/>
  <c r="R335" i="20"/>
  <c r="G380" i="20"/>
  <c r="G1144" i="5"/>
  <c r="G817" i="14"/>
  <c r="G1155" i="5"/>
  <c r="G1141" i="5"/>
  <c r="G1155" i="9"/>
  <c r="G776" i="14"/>
  <c r="N1047" i="12"/>
  <c r="I1076" i="12"/>
  <c r="G1070" i="12"/>
  <c r="I1112" i="12"/>
  <c r="I1111" i="12"/>
  <c r="I1110" i="12"/>
  <c r="I1109" i="12"/>
  <c r="I1108" i="12"/>
  <c r="N764" i="14"/>
  <c r="I794" i="14"/>
  <c r="I786" i="14"/>
  <c r="V790" i="14"/>
  <c r="N1131" i="9"/>
  <c r="G1158" i="9"/>
  <c r="V1158" i="9"/>
  <c r="G1157" i="9"/>
  <c r="V1157" i="9"/>
  <c r="V1156" i="9"/>
  <c r="I1158" i="9"/>
  <c r="I1157" i="9"/>
  <c r="I1156" i="9"/>
  <c r="V1155" i="9"/>
  <c r="W1155" i="9"/>
  <c r="G1197" i="9"/>
  <c r="G1154" i="9"/>
  <c r="V1154" i="9"/>
  <c r="N671" i="17"/>
  <c r="V733" i="17"/>
  <c r="V707" i="17"/>
  <c r="V691" i="17"/>
  <c r="G691" i="17"/>
  <c r="N343" i="20"/>
  <c r="G365" i="20"/>
  <c r="G364" i="20"/>
  <c r="N1126" i="5"/>
  <c r="V1145" i="5"/>
  <c r="V1143" i="5"/>
  <c r="V1142" i="5"/>
  <c r="G1142" i="5"/>
  <c r="G1139" i="5"/>
  <c r="V1138" i="5"/>
  <c r="V1141" i="5"/>
  <c r="V1155" i="5"/>
  <c r="G1065" i="12"/>
  <c r="G1063" i="12"/>
  <c r="G1058" i="12"/>
  <c r="G784" i="14"/>
  <c r="G781" i="14"/>
  <c r="G1168" i="9"/>
  <c r="G1163" i="9"/>
  <c r="G1141" i="9"/>
  <c r="G1030" i="8"/>
  <c r="G1025" i="8"/>
  <c r="G1023" i="8"/>
  <c r="G1021" i="8"/>
  <c r="G1019" i="8"/>
  <c r="G702" i="17"/>
  <c r="G687" i="17"/>
  <c r="F685" i="17"/>
  <c r="G681" i="17"/>
  <c r="G1151" i="5"/>
  <c r="I320" i="20"/>
  <c r="G360" i="20"/>
  <c r="G1140" i="5"/>
  <c r="G1067" i="12"/>
  <c r="G686" i="17"/>
  <c r="G682" i="17"/>
  <c r="H1077" i="12"/>
  <c r="G1077" i="12"/>
  <c r="F1077" i="12"/>
  <c r="V1065" i="12"/>
  <c r="S1073" i="12"/>
  <c r="R1073" i="12"/>
  <c r="Q1073" i="12"/>
  <c r="P1073" i="12"/>
  <c r="O1073" i="12"/>
  <c r="N1073" i="12"/>
  <c r="M1073" i="12"/>
  <c r="L1073" i="12"/>
  <c r="S1072" i="12"/>
  <c r="R1072" i="12"/>
  <c r="Q1072" i="12"/>
  <c r="P1072" i="12"/>
  <c r="O1072" i="12"/>
  <c r="N1072" i="12"/>
  <c r="M1072" i="12"/>
  <c r="L1072" i="12"/>
  <c r="K1073" i="12"/>
  <c r="K1072" i="12"/>
  <c r="H1072" i="12"/>
  <c r="F1072" i="12"/>
  <c r="P358" i="3" s="1"/>
  <c r="B1059" i="12"/>
  <c r="B1060" i="12" s="1"/>
  <c r="V1058" i="12"/>
  <c r="M1047" i="12"/>
  <c r="G1069" i="12"/>
  <c r="G1068" i="12"/>
  <c r="V1067" i="12"/>
  <c r="B791" i="14"/>
  <c r="H795" i="14"/>
  <c r="H787" i="14"/>
  <c r="B782" i="14"/>
  <c r="V792" i="14"/>
  <c r="V791" i="14"/>
  <c r="F791" i="14"/>
  <c r="G791" i="14"/>
  <c r="V785" i="14"/>
  <c r="G785" i="14"/>
  <c r="B775" i="14"/>
  <c r="B776" i="14" s="1"/>
  <c r="B783" i="14"/>
  <c r="B784" i="14" s="1"/>
  <c r="B785" i="14" s="1"/>
  <c r="B786" i="14" s="1"/>
  <c r="V782" i="14"/>
  <c r="G828" i="14"/>
  <c r="M1131" i="9"/>
  <c r="V1153" i="9"/>
  <c r="G1153" i="9"/>
  <c r="G1152" i="9"/>
  <c r="V1152" i="9"/>
  <c r="M1007" i="8"/>
  <c r="V1025" i="8"/>
  <c r="M671" i="17"/>
  <c r="G690" i="17"/>
  <c r="V690" i="17"/>
  <c r="G689" i="17"/>
  <c r="G729" i="17"/>
  <c r="V688" i="17"/>
  <c r="G688" i="17"/>
  <c r="V686" i="17"/>
  <c r="V685" i="17"/>
  <c r="M343" i="20"/>
  <c r="G362" i="20"/>
  <c r="G392" i="20"/>
  <c r="G391" i="20"/>
  <c r="V359" i="20"/>
  <c r="G359" i="20"/>
  <c r="M1126" i="5"/>
  <c r="J340" i="4"/>
  <c r="G1088" i="12"/>
  <c r="G1063" i="9"/>
  <c r="G1061" i="12"/>
  <c r="G357" i="20"/>
  <c r="G1150" i="9"/>
  <c r="G783" i="14"/>
  <c r="L1047" i="12"/>
  <c r="G1066" i="12"/>
  <c r="G1064" i="12"/>
  <c r="L764" i="14"/>
  <c r="V775" i="14"/>
  <c r="G775" i="14"/>
  <c r="W784" i="14"/>
  <c r="V783" i="14"/>
  <c r="I783" i="14"/>
  <c r="H1169" i="9"/>
  <c r="G1169" i="9"/>
  <c r="F1169" i="9"/>
  <c r="V1163" i="9"/>
  <c r="V1151" i="9"/>
  <c r="G1151" i="9"/>
  <c r="V1150" i="9"/>
  <c r="I1150" i="9"/>
  <c r="G1149" i="9"/>
  <c r="V1168" i="9"/>
  <c r="V1148" i="9"/>
  <c r="G1148" i="9"/>
  <c r="L343" i="20"/>
  <c r="L1007" i="8"/>
  <c r="I1023" i="8"/>
  <c r="V1023" i="8"/>
  <c r="G1022" i="8"/>
  <c r="V1022" i="8"/>
  <c r="G1058" i="8"/>
  <c r="V1021" i="8"/>
  <c r="X835" i="14"/>
  <c r="W835" i="14"/>
  <c r="X1200" i="9"/>
  <c r="W1200" i="9"/>
  <c r="T1200" i="9"/>
  <c r="X737" i="17"/>
  <c r="W737" i="17"/>
  <c r="X399" i="20"/>
  <c r="W399" i="20"/>
  <c r="T399" i="20"/>
  <c r="X1174" i="5"/>
  <c r="W1174" i="5"/>
  <c r="L671" i="17"/>
  <c r="V702" i="17"/>
  <c r="V684" i="17"/>
  <c r="S693" i="17"/>
  <c r="R693" i="17"/>
  <c r="Q693" i="17"/>
  <c r="P693" i="17"/>
  <c r="O693" i="17"/>
  <c r="N693" i="17"/>
  <c r="M693" i="17"/>
  <c r="L693" i="17"/>
  <c r="S692" i="17"/>
  <c r="R692" i="17"/>
  <c r="Q692" i="17"/>
  <c r="P692" i="17"/>
  <c r="O692" i="17"/>
  <c r="N692" i="17"/>
  <c r="M692" i="17"/>
  <c r="L692" i="17"/>
  <c r="K693" i="17"/>
  <c r="K692" i="17"/>
  <c r="H692" i="17"/>
  <c r="B682" i="17"/>
  <c r="B683" i="17" s="1"/>
  <c r="B684" i="17" s="1"/>
  <c r="B685" i="17" s="1"/>
  <c r="B686" i="17" s="1"/>
  <c r="B687" i="17" s="1"/>
  <c r="B688" i="17" s="1"/>
  <c r="B689" i="17" s="1"/>
  <c r="B690" i="17" s="1"/>
  <c r="B691" i="17" s="1"/>
  <c r="V701" i="17"/>
  <c r="V681" i="17"/>
  <c r="V706" i="17"/>
  <c r="G706" i="17"/>
  <c r="G708" i="17" s="1"/>
  <c r="G725" i="17"/>
  <c r="L1126" i="5"/>
  <c r="V1140" i="5"/>
  <c r="H1152" i="5"/>
  <c r="F1152" i="5"/>
  <c r="B1137" i="5"/>
  <c r="B1138" i="5" s="1"/>
  <c r="B1139" i="5" s="1"/>
  <c r="B1140" i="5" s="1"/>
  <c r="B1151" i="5"/>
  <c r="G1138" i="5"/>
  <c r="V1151" i="5"/>
  <c r="G1137" i="5"/>
  <c r="V1137" i="5"/>
  <c r="G990" i="12"/>
  <c r="G682" i="14"/>
  <c r="I817" i="14"/>
  <c r="H1187" i="9"/>
  <c r="V1186" i="9"/>
  <c r="I1186" i="9"/>
  <c r="F1056" i="9"/>
  <c r="F1055" i="9"/>
  <c r="H1048" i="8"/>
  <c r="V1047" i="8"/>
  <c r="G1047" i="8"/>
  <c r="I1047" i="8" s="1"/>
  <c r="G1046" i="8"/>
  <c r="F1046" i="8"/>
  <c r="G1045" i="8"/>
  <c r="I1045" i="8" s="1"/>
  <c r="I696" i="17"/>
  <c r="L587" i="17"/>
  <c r="G285" i="20"/>
  <c r="H381" i="20"/>
  <c r="F381" i="20"/>
  <c r="B380" i="20"/>
  <c r="H376" i="20"/>
  <c r="F376" i="20"/>
  <c r="B375" i="20"/>
  <c r="I380" i="20"/>
  <c r="G295" i="20"/>
  <c r="G1072" i="5"/>
  <c r="F1072" i="5"/>
  <c r="G1054" i="5"/>
  <c r="G1073" i="9"/>
  <c r="G947" i="8"/>
  <c r="G1020" i="8"/>
  <c r="G1059" i="12"/>
  <c r="G1150" i="5"/>
  <c r="G1152" i="5" s="1"/>
  <c r="G354" i="20"/>
  <c r="K1047" i="12"/>
  <c r="G1060" i="12"/>
  <c r="V1059" i="12"/>
  <c r="G1092" i="12"/>
  <c r="F824" i="14"/>
  <c r="G824" i="14"/>
  <c r="G782" i="14"/>
  <c r="F781" i="14"/>
  <c r="F787" i="14" s="1"/>
  <c r="V781" i="14"/>
  <c r="V774" i="14"/>
  <c r="V835" i="14" s="1"/>
  <c r="G774" i="14"/>
  <c r="G777" i="14" s="1"/>
  <c r="F774" i="14"/>
  <c r="F777" i="14" s="1"/>
  <c r="K1131" i="9"/>
  <c r="V1145" i="9"/>
  <c r="G1145" i="9"/>
  <c r="V1144" i="9"/>
  <c r="V1142" i="9"/>
  <c r="G1142" i="9"/>
  <c r="V1141" i="9"/>
  <c r="V1200" i="9" s="1"/>
  <c r="H42" i="23"/>
  <c r="G42" i="23"/>
  <c r="F42" i="23"/>
  <c r="I41" i="23"/>
  <c r="I42" i="23" s="1"/>
  <c r="I34" i="23"/>
  <c r="Q11" i="23" s="1"/>
  <c r="L369" i="4" s="1"/>
  <c r="L372" i="4" s="1"/>
  <c r="Q21" i="23"/>
  <c r="O21" i="23"/>
  <c r="N21" i="23"/>
  <c r="M21" i="23"/>
  <c r="L21" i="23"/>
  <c r="K21" i="23"/>
  <c r="Q20" i="23"/>
  <c r="O20" i="23"/>
  <c r="N20" i="23"/>
  <c r="M20" i="23"/>
  <c r="L20" i="23"/>
  <c r="K20" i="23"/>
  <c r="F17" i="23"/>
  <c r="H16" i="23"/>
  <c r="Q15" i="23"/>
  <c r="O15" i="23"/>
  <c r="N15" i="23"/>
  <c r="M15" i="23"/>
  <c r="L15" i="23"/>
  <c r="K15" i="23"/>
  <c r="F15" i="23"/>
  <c r="H15" i="23" s="1"/>
  <c r="Q14" i="23"/>
  <c r="L370" i="4" s="1" a="1"/>
  <c r="L370" i="4" s="1"/>
  <c r="O14" i="23"/>
  <c r="N14" i="23"/>
  <c r="M14" i="23"/>
  <c r="L14" i="23"/>
  <c r="K14" i="23"/>
  <c r="P13" i="23"/>
  <c r="P21" i="23" s="1"/>
  <c r="P12" i="23"/>
  <c r="F12" i="23"/>
  <c r="F13" i="23" s="1"/>
  <c r="H13" i="23" s="1"/>
  <c r="P11" i="23"/>
  <c r="P15" i="23" s="1"/>
  <c r="F10" i="23"/>
  <c r="F9" i="23"/>
  <c r="F11" i="23" s="1"/>
  <c r="H11" i="23" s="1"/>
  <c r="C9" i="23"/>
  <c r="C6" i="23"/>
  <c r="A369" i="4"/>
  <c r="C5" i="23"/>
  <c r="C4" i="23"/>
  <c r="K1007" i="8"/>
  <c r="V1019" i="8"/>
  <c r="G1018" i="8"/>
  <c r="V683" i="17"/>
  <c r="G701" i="17"/>
  <c r="G703" i="17" s="1"/>
  <c r="V682" i="17"/>
  <c r="G356" i="20"/>
  <c r="F354" i="20"/>
  <c r="K343" i="20" s="1"/>
  <c r="G355" i="20"/>
  <c r="V354" i="20"/>
  <c r="V399" i="20" s="1"/>
  <c r="K1126" i="5"/>
  <c r="V1150" i="5"/>
  <c r="I1150" i="5"/>
  <c r="V1136" i="5"/>
  <c r="V1174" i="5" s="1"/>
  <c r="G1136" i="5"/>
  <c r="D358" i="3"/>
  <c r="E358" i="3"/>
  <c r="F358" i="3"/>
  <c r="C358" i="3"/>
  <c r="D355" i="3"/>
  <c r="F355" i="3"/>
  <c r="D352" i="3"/>
  <c r="E352" i="3"/>
  <c r="F352" i="3"/>
  <c r="C352" i="3"/>
  <c r="D349" i="3"/>
  <c r="E349" i="3"/>
  <c r="C349" i="3"/>
  <c r="D346" i="3"/>
  <c r="E346" i="3"/>
  <c r="F346" i="3"/>
  <c r="D343" i="3"/>
  <c r="E343" i="3"/>
  <c r="F343" i="3"/>
  <c r="C343" i="3"/>
  <c r="D340" i="3"/>
  <c r="E340" i="3"/>
  <c r="F340" i="3"/>
  <c r="C340" i="3"/>
  <c r="B366" i="4"/>
  <c r="B363" i="4"/>
  <c r="B360" i="4"/>
  <c r="B357" i="4"/>
  <c r="B354" i="4"/>
  <c r="B351" i="4"/>
  <c r="B348" i="4"/>
  <c r="P1047" i="12"/>
  <c r="H358" i="3" s="1"/>
  <c r="P1131" i="9"/>
  <c r="H352" i="3" s="1"/>
  <c r="P1007" i="8"/>
  <c r="H349" i="3" s="1"/>
  <c r="P343" i="20"/>
  <c r="H343" i="3" s="1"/>
  <c r="P1126" i="5"/>
  <c r="H340" i="3" s="1"/>
  <c r="G1087" i="12"/>
  <c r="I1087" i="12"/>
  <c r="B1088" i="12"/>
  <c r="I1088" i="12"/>
  <c r="V1088" i="12"/>
  <c r="F1089" i="12"/>
  <c r="G1089" i="12"/>
  <c r="H1089" i="12"/>
  <c r="I1089" i="12"/>
  <c r="G1080" i="12"/>
  <c r="I1080" i="12"/>
  <c r="B1081" i="12"/>
  <c r="G1081" i="12"/>
  <c r="I1081" i="12"/>
  <c r="B1082" i="12"/>
  <c r="G1082" i="12"/>
  <c r="I1082" i="12"/>
  <c r="B1083" i="12"/>
  <c r="G1083" i="12"/>
  <c r="I1083" i="12"/>
  <c r="F1084" i="12"/>
  <c r="G1084" i="12"/>
  <c r="H1084" i="12"/>
  <c r="I1084" i="12"/>
  <c r="G812" i="14"/>
  <c r="I812" i="14"/>
  <c r="B813" i="14"/>
  <c r="G813" i="14"/>
  <c r="I813" i="14"/>
  <c r="B814" i="14"/>
  <c r="I814" i="14"/>
  <c r="B815" i="14"/>
  <c r="G815" i="14"/>
  <c r="I815" i="14"/>
  <c r="B816" i="14"/>
  <c r="B817" i="14" s="1"/>
  <c r="G816" i="14"/>
  <c r="I816" i="14"/>
  <c r="G798" i="14"/>
  <c r="I798" i="14"/>
  <c r="B799" i="14"/>
  <c r="G799" i="14"/>
  <c r="I799" i="14"/>
  <c r="B800" i="14"/>
  <c r="G800" i="14"/>
  <c r="I800" i="14"/>
  <c r="B801" i="14"/>
  <c r="F801" i="14"/>
  <c r="G801" i="14"/>
  <c r="I801" i="14"/>
  <c r="B802" i="14"/>
  <c r="G802" i="14"/>
  <c r="I802" i="14"/>
  <c r="B803" i="14"/>
  <c r="I803" i="14"/>
  <c r="B804" i="14"/>
  <c r="G804" i="14"/>
  <c r="I804" i="14"/>
  <c r="B805" i="14"/>
  <c r="G805" i="14"/>
  <c r="I805" i="14"/>
  <c r="B806" i="14"/>
  <c r="G806" i="14"/>
  <c r="I806" i="14"/>
  <c r="B807" i="14"/>
  <c r="G807" i="14"/>
  <c r="I807" i="14"/>
  <c r="B808" i="14"/>
  <c r="F808" i="14"/>
  <c r="I808" i="14"/>
  <c r="F1183" i="9"/>
  <c r="G1183" i="9"/>
  <c r="I1183" i="9"/>
  <c r="B1184" i="9"/>
  <c r="F1184" i="9"/>
  <c r="G1184" i="9"/>
  <c r="I1184" i="9"/>
  <c r="B1185" i="9"/>
  <c r="B1186" i="9" s="1"/>
  <c r="G1185" i="9"/>
  <c r="I1185" i="9"/>
  <c r="G1172" i="9"/>
  <c r="I1172" i="9"/>
  <c r="B1173" i="9"/>
  <c r="G1173" i="9"/>
  <c r="I1173" i="9"/>
  <c r="B1174" i="9"/>
  <c r="G1174" i="9"/>
  <c r="I1174" i="9"/>
  <c r="B1175" i="9"/>
  <c r="I1175" i="9"/>
  <c r="B1176" i="9"/>
  <c r="F1176" i="9"/>
  <c r="G1176" i="9"/>
  <c r="I1176" i="9"/>
  <c r="B1177" i="9"/>
  <c r="I1177" i="9"/>
  <c r="B1178" i="9"/>
  <c r="G1178" i="9"/>
  <c r="H1178" i="9"/>
  <c r="I1178" i="9"/>
  <c r="B1179" i="9"/>
  <c r="I1179" i="9"/>
  <c r="F1180" i="9"/>
  <c r="G1180" i="9"/>
  <c r="H1180" i="9"/>
  <c r="I1180" i="9"/>
  <c r="I1041" i="8"/>
  <c r="G1051" i="8"/>
  <c r="I1051" i="8"/>
  <c r="B1052" i="8"/>
  <c r="G1052" i="8"/>
  <c r="H1052" i="8"/>
  <c r="H1053" i="8" s="1"/>
  <c r="I1052" i="8"/>
  <c r="G1034" i="8"/>
  <c r="I1034" i="8"/>
  <c r="B1035" i="8"/>
  <c r="G1035" i="8"/>
  <c r="I1035" i="8"/>
  <c r="B1036" i="8"/>
  <c r="I1036" i="8"/>
  <c r="B1037" i="8"/>
  <c r="G1037" i="8"/>
  <c r="I1037" i="8"/>
  <c r="B1038" i="8"/>
  <c r="G1038" i="8"/>
  <c r="I1038" i="8"/>
  <c r="B1039" i="8"/>
  <c r="B1040" i="8" s="1"/>
  <c r="B1041" i="8" s="1"/>
  <c r="B1042" i="8" s="1"/>
  <c r="B1043" i="8" s="1"/>
  <c r="B1044" i="8" s="1"/>
  <c r="B1045" i="8" s="1"/>
  <c r="B1046" i="8" s="1"/>
  <c r="B1047" i="8" s="1"/>
  <c r="G1039" i="8"/>
  <c r="I1039" i="8"/>
  <c r="G1040" i="8"/>
  <c r="I1040" i="8"/>
  <c r="G1042" i="8"/>
  <c r="I1042" i="8"/>
  <c r="G1043" i="8"/>
  <c r="I1043" i="8"/>
  <c r="G1044" i="8"/>
  <c r="I1044" i="8"/>
  <c r="G697" i="17"/>
  <c r="I697" i="17"/>
  <c r="G717" i="17"/>
  <c r="G718" i="17" s="1"/>
  <c r="I717" i="17"/>
  <c r="I718" i="17" s="1"/>
  <c r="I711" i="17"/>
  <c r="B712" i="17"/>
  <c r="F712" i="17"/>
  <c r="F713" i="17" s="1"/>
  <c r="G712" i="17"/>
  <c r="G713" i="17" s="1"/>
  <c r="I712" i="17"/>
  <c r="G379" i="20"/>
  <c r="G381" i="20" s="1"/>
  <c r="I379" i="20"/>
  <c r="I381" i="20" s="1"/>
  <c r="G370" i="20"/>
  <c r="I370" i="20"/>
  <c r="G374" i="20"/>
  <c r="I374" i="20"/>
  <c r="G375" i="20"/>
  <c r="I375" i="20"/>
  <c r="G1163" i="5"/>
  <c r="I1163" i="5"/>
  <c r="G1164" i="5"/>
  <c r="I1164" i="5"/>
  <c r="G1159" i="5"/>
  <c r="H1159" i="5"/>
  <c r="I1159" i="5"/>
  <c r="B1160" i="5"/>
  <c r="G1160" i="5"/>
  <c r="I1160" i="5"/>
  <c r="B1161" i="5"/>
  <c r="B1162" i="5" s="1"/>
  <c r="B1163" i="5" s="1"/>
  <c r="B1164" i="5" s="1"/>
  <c r="G1161" i="5"/>
  <c r="H1161" i="5"/>
  <c r="I1161" i="5"/>
  <c r="G1162" i="5"/>
  <c r="I1162" i="5"/>
  <c r="V1011" i="12"/>
  <c r="V999" i="12"/>
  <c r="H724" i="14"/>
  <c r="F724" i="14"/>
  <c r="F693" i="14"/>
  <c r="F711" i="14"/>
  <c r="H375" i="11"/>
  <c r="F375" i="11"/>
  <c r="G374" i="11"/>
  <c r="H1070" i="9"/>
  <c r="F1070" i="9"/>
  <c r="W1084" i="9"/>
  <c r="B1069" i="9"/>
  <c r="G1077" i="9"/>
  <c r="V611" i="17"/>
  <c r="V305" i="20"/>
  <c r="B1081" i="5"/>
  <c r="B1072" i="5"/>
  <c r="F1084" i="5"/>
  <c r="F948" i="8"/>
  <c r="H948" i="8"/>
  <c r="H944" i="8"/>
  <c r="B943" i="8"/>
  <c r="V615" i="17"/>
  <c r="L608" i="17"/>
  <c r="M608" i="17"/>
  <c r="N608" i="17"/>
  <c r="O608" i="17"/>
  <c r="P608" i="17"/>
  <c r="Q608" i="17"/>
  <c r="R608" i="17"/>
  <c r="S608" i="17"/>
  <c r="L607" i="17"/>
  <c r="M607" i="17"/>
  <c r="N607" i="17"/>
  <c r="O607" i="17"/>
  <c r="P607" i="17"/>
  <c r="Q607" i="17"/>
  <c r="R607" i="17"/>
  <c r="S607" i="17"/>
  <c r="K608" i="17"/>
  <c r="K607" i="17"/>
  <c r="F607" i="17"/>
  <c r="H607" i="17"/>
  <c r="G1066" i="5"/>
  <c r="G1067" i="5"/>
  <c r="V1073" i="9"/>
  <c r="V1066" i="5"/>
  <c r="W1067" i="5"/>
  <c r="F1066" i="5"/>
  <c r="Q1044" i="5" s="1"/>
  <c r="I1038" i="5"/>
  <c r="G948" i="8"/>
  <c r="F971" i="12"/>
  <c r="F1040" i="9"/>
  <c r="F913" i="8"/>
  <c r="F584" i="17"/>
  <c r="F271" i="20"/>
  <c r="F1041" i="5"/>
  <c r="S374" i="4"/>
  <c r="B372" i="4"/>
  <c r="H834" i="14"/>
  <c r="G834" i="14"/>
  <c r="F834" i="14"/>
  <c r="I833" i="14"/>
  <c r="I832" i="14"/>
  <c r="I831" i="14"/>
  <c r="I830" i="14"/>
  <c r="I829" i="14"/>
  <c r="I828" i="14"/>
  <c r="I827" i="14"/>
  <c r="I826" i="14"/>
  <c r="I825" i="14"/>
  <c r="I824" i="14"/>
  <c r="I823" i="14"/>
  <c r="I822" i="14"/>
  <c r="B822" i="14"/>
  <c r="B823" i="14" s="1"/>
  <c r="B824" i="14" s="1"/>
  <c r="B825" i="14" s="1"/>
  <c r="B826" i="14" s="1"/>
  <c r="B827" i="14" s="1"/>
  <c r="B828" i="14" s="1"/>
  <c r="B829" i="14" s="1"/>
  <c r="B830" i="14" s="1"/>
  <c r="B831" i="14" s="1"/>
  <c r="B832" i="14" s="1"/>
  <c r="B833" i="14" s="1"/>
  <c r="I821" i="14"/>
  <c r="I834" i="14" s="1"/>
  <c r="I793" i="14"/>
  <c r="I792" i="14"/>
  <c r="I791" i="14"/>
  <c r="I784" i="14"/>
  <c r="I790" i="14"/>
  <c r="I795" i="14" s="1"/>
  <c r="I782" i="14"/>
  <c r="B792" i="14"/>
  <c r="B793" i="14" s="1"/>
  <c r="B794" i="14" s="1"/>
  <c r="I781" i="14"/>
  <c r="I776" i="14"/>
  <c r="I785" i="14"/>
  <c r="I775" i="14"/>
  <c r="Q766" i="14"/>
  <c r="O766" i="14"/>
  <c r="N766" i="14"/>
  <c r="M766" i="14"/>
  <c r="L766" i="14"/>
  <c r="K766" i="14"/>
  <c r="Q765" i="14"/>
  <c r="O765" i="14"/>
  <c r="N765" i="14"/>
  <c r="M765" i="14"/>
  <c r="L765" i="14"/>
  <c r="K765" i="14"/>
  <c r="O355" i="3"/>
  <c r="F762" i="14"/>
  <c r="H761" i="14"/>
  <c r="Q760" i="14"/>
  <c r="O760" i="14"/>
  <c r="F760" i="14"/>
  <c r="H760" i="14" s="1"/>
  <c r="Q759" i="14"/>
  <c r="O759" i="14"/>
  <c r="N759" i="14"/>
  <c r="M759" i="14"/>
  <c r="L759" i="14"/>
  <c r="K759" i="14"/>
  <c r="P758" i="14"/>
  <c r="P766" i="14" s="1"/>
  <c r="P757" i="14"/>
  <c r="F757" i="14"/>
  <c r="F758" i="14" s="1"/>
  <c r="H758" i="14" s="1"/>
  <c r="P363" i="4"/>
  <c r="F755" i="14"/>
  <c r="S751" i="14"/>
  <c r="R751" i="14"/>
  <c r="Q751" i="14"/>
  <c r="P751" i="14"/>
  <c r="O751" i="14"/>
  <c r="N751" i="14"/>
  <c r="M751" i="14"/>
  <c r="L751" i="14"/>
  <c r="K751" i="14"/>
  <c r="C751" i="14"/>
  <c r="T750" i="14"/>
  <c r="A363" i="4" s="1"/>
  <c r="S750" i="14"/>
  <c r="R750" i="14"/>
  <c r="Q750" i="14"/>
  <c r="P750" i="14"/>
  <c r="O750" i="14"/>
  <c r="N750" i="14"/>
  <c r="M750" i="14"/>
  <c r="L750" i="14"/>
  <c r="K750" i="14"/>
  <c r="C750" i="14"/>
  <c r="C749" i="14"/>
  <c r="H736" i="17"/>
  <c r="G736" i="17"/>
  <c r="F736" i="17"/>
  <c r="I735" i="17"/>
  <c r="I734" i="17"/>
  <c r="I733" i="17"/>
  <c r="I732" i="17"/>
  <c r="I731" i="17"/>
  <c r="I730" i="17"/>
  <c r="I729" i="17"/>
  <c r="I728" i="17"/>
  <c r="I727" i="17"/>
  <c r="I726" i="17"/>
  <c r="I725" i="17"/>
  <c r="I724" i="17"/>
  <c r="I723" i="17"/>
  <c r="I722" i="17"/>
  <c r="B722" i="17"/>
  <c r="B723" i="17" s="1"/>
  <c r="B724" i="17" s="1"/>
  <c r="B725" i="17" s="1"/>
  <c r="B726" i="17" s="1"/>
  <c r="B727" i="17" s="1"/>
  <c r="B728" i="17" s="1"/>
  <c r="B729" i="17" s="1"/>
  <c r="B730" i="17" s="1"/>
  <c r="B731" i="17" s="1"/>
  <c r="B732" i="17" s="1"/>
  <c r="B733" i="17" s="1"/>
  <c r="B734" i="17" s="1"/>
  <c r="B735" i="17" s="1"/>
  <c r="I721" i="17"/>
  <c r="I736" i="17" s="1"/>
  <c r="I707" i="17"/>
  <c r="I702" i="17"/>
  <c r="I706" i="17"/>
  <c r="I708" i="17" s="1"/>
  <c r="I681" i="17"/>
  <c r="I687" i="17"/>
  <c r="I701" i="17"/>
  <c r="I703" i="17" s="1"/>
  <c r="H698" i="17"/>
  <c r="G698" i="17"/>
  <c r="F698" i="17"/>
  <c r="I698" i="17"/>
  <c r="F666" i="17" s="1"/>
  <c r="I691" i="17"/>
  <c r="I690" i="17"/>
  <c r="I689" i="17"/>
  <c r="I688" i="17"/>
  <c r="I686" i="17"/>
  <c r="I685" i="17"/>
  <c r="I684" i="17"/>
  <c r="I683" i="17"/>
  <c r="I682" i="17"/>
  <c r="Q673" i="17"/>
  <c r="O673" i="17"/>
  <c r="N673" i="17"/>
  <c r="M673" i="17"/>
  <c r="L673" i="17"/>
  <c r="K673" i="17"/>
  <c r="Q672" i="17"/>
  <c r="O672" i="17"/>
  <c r="N672" i="17"/>
  <c r="M672" i="17"/>
  <c r="L672" i="17"/>
  <c r="K672" i="17"/>
  <c r="O346" i="3"/>
  <c r="F669" i="17"/>
  <c r="H668" i="17"/>
  <c r="Q667" i="17"/>
  <c r="O667" i="17"/>
  <c r="F667" i="17"/>
  <c r="H667" i="17" s="1"/>
  <c r="Q666" i="17"/>
  <c r="O666" i="17"/>
  <c r="N666" i="17"/>
  <c r="M666" i="17"/>
  <c r="L666" i="17"/>
  <c r="K666" i="17"/>
  <c r="P665" i="17"/>
  <c r="P673" i="17" s="1"/>
  <c r="P664" i="17"/>
  <c r="F664" i="17"/>
  <c r="F665" i="17" s="1"/>
  <c r="H665" i="17" s="1"/>
  <c r="P354" i="4"/>
  <c r="F662" i="17"/>
  <c r="S658" i="17"/>
  <c r="R658" i="17"/>
  <c r="Q658" i="17"/>
  <c r="P658" i="17"/>
  <c r="O658" i="17"/>
  <c r="N658" i="17"/>
  <c r="M658" i="17"/>
  <c r="L658" i="17"/>
  <c r="K658" i="17"/>
  <c r="C658" i="17"/>
  <c r="T657" i="17"/>
  <c r="A354" i="4" s="1"/>
  <c r="S657" i="17"/>
  <c r="R657" i="17"/>
  <c r="Q657" i="17"/>
  <c r="P657" i="17"/>
  <c r="O657" i="17"/>
  <c r="N657" i="17"/>
  <c r="M657" i="17"/>
  <c r="L657" i="17"/>
  <c r="K657" i="17"/>
  <c r="C657" i="17"/>
  <c r="C656" i="17"/>
  <c r="H1199" i="9"/>
  <c r="G1199" i="9"/>
  <c r="F1199" i="9"/>
  <c r="I1198" i="9"/>
  <c r="I1197" i="9"/>
  <c r="I1196" i="9"/>
  <c r="I1195" i="9"/>
  <c r="I1194" i="9"/>
  <c r="I1193" i="9"/>
  <c r="I1192" i="9"/>
  <c r="I1191" i="9"/>
  <c r="B1191" i="9"/>
  <c r="B1192" i="9" s="1"/>
  <c r="B1193" i="9" s="1"/>
  <c r="B1194" i="9" s="1"/>
  <c r="B1195" i="9" s="1"/>
  <c r="B1196" i="9" s="1"/>
  <c r="B1197" i="9" s="1"/>
  <c r="B1198" i="9" s="1"/>
  <c r="I1190" i="9"/>
  <c r="I1199" i="9" s="1"/>
  <c r="I1168" i="9"/>
  <c r="I1169" i="9" s="1"/>
  <c r="I1163" i="9"/>
  <c r="H1165" i="9"/>
  <c r="G1165" i="9"/>
  <c r="F1165" i="9"/>
  <c r="I1164" i="9"/>
  <c r="B1164" i="9"/>
  <c r="I1165" i="9"/>
  <c r="S1160" i="9"/>
  <c r="R1160" i="9"/>
  <c r="Q1160" i="9"/>
  <c r="P1160" i="9"/>
  <c r="O1160" i="9"/>
  <c r="N1160" i="9"/>
  <c r="M1160" i="9"/>
  <c r="L1160" i="9"/>
  <c r="K1160" i="9"/>
  <c r="S1159" i="9"/>
  <c r="R1159" i="9"/>
  <c r="Q1159" i="9"/>
  <c r="P1159" i="9"/>
  <c r="O1159" i="9"/>
  <c r="N1159" i="9"/>
  <c r="M1159" i="9"/>
  <c r="L1159" i="9"/>
  <c r="K1159" i="9"/>
  <c r="H1159" i="9"/>
  <c r="G1159" i="9"/>
  <c r="F1159" i="9"/>
  <c r="P352" i="3" s="1"/>
  <c r="I1155" i="9"/>
  <c r="I1154" i="9"/>
  <c r="I1153" i="9"/>
  <c r="I1152" i="9"/>
  <c r="I1151" i="9"/>
  <c r="I1149" i="9"/>
  <c r="I1148" i="9"/>
  <c r="I1146" i="9"/>
  <c r="I1145" i="9"/>
  <c r="I1144" i="9"/>
  <c r="I1143" i="9"/>
  <c r="I1142" i="9"/>
  <c r="B1142" i="9"/>
  <c r="B1143" i="9" s="1"/>
  <c r="B1144" i="9" s="1"/>
  <c r="B1145" i="9" s="1"/>
  <c r="B1146" i="9" s="1"/>
  <c r="B1147" i="9" s="1"/>
  <c r="B1148" i="9" s="1"/>
  <c r="B1149" i="9" s="1"/>
  <c r="B1150" i="9" s="1"/>
  <c r="B1151" i="9" s="1"/>
  <c r="B1152" i="9" s="1"/>
  <c r="B1153" i="9" s="1"/>
  <c r="B1154" i="9" s="1"/>
  <c r="B1155" i="9" s="1"/>
  <c r="B1156" i="9" s="1"/>
  <c r="B1157" i="9" s="1"/>
  <c r="B1158" i="9" s="1"/>
  <c r="I1141" i="9"/>
  <c r="I1159" i="9" s="1"/>
  <c r="Q1133" i="9"/>
  <c r="O1133" i="9"/>
  <c r="N1133" i="9"/>
  <c r="M1133" i="9"/>
  <c r="L1133" i="9"/>
  <c r="K1133" i="9"/>
  <c r="Q1132" i="9"/>
  <c r="O1132" i="9"/>
  <c r="N1132" i="9"/>
  <c r="M1132" i="9"/>
  <c r="L1132" i="9"/>
  <c r="K1132" i="9"/>
  <c r="O352" i="3"/>
  <c r="R1131" i="9"/>
  <c r="M352" i="3" s="1"/>
  <c r="F1129" i="9"/>
  <c r="H1128" i="9"/>
  <c r="Q1127" i="9"/>
  <c r="O1127" i="9"/>
  <c r="F1127" i="9"/>
  <c r="H1127" i="9" s="1"/>
  <c r="Q1126" i="9"/>
  <c r="O1126" i="9"/>
  <c r="N1126" i="9"/>
  <c r="M1126" i="9"/>
  <c r="L1126" i="9"/>
  <c r="K1126" i="9"/>
  <c r="P1125" i="9"/>
  <c r="P1133" i="9" s="1"/>
  <c r="P1124" i="9"/>
  <c r="F1124" i="9"/>
  <c r="F1125" i="9" s="1"/>
  <c r="H1125" i="9" s="1"/>
  <c r="P360" i="4"/>
  <c r="F1122" i="9"/>
  <c r="S1118" i="9"/>
  <c r="R1118" i="9"/>
  <c r="Q1118" i="9"/>
  <c r="P1118" i="9"/>
  <c r="O1118" i="9"/>
  <c r="N1118" i="9"/>
  <c r="M1118" i="9"/>
  <c r="L1118" i="9"/>
  <c r="K1118" i="9"/>
  <c r="C1118" i="9"/>
  <c r="T1117" i="9"/>
  <c r="A360" i="4" s="1"/>
  <c r="S1117" i="9"/>
  <c r="R1117" i="9"/>
  <c r="Q1117" i="9"/>
  <c r="P1117" i="9"/>
  <c r="O1117" i="9"/>
  <c r="N1117" i="9"/>
  <c r="M1117" i="9"/>
  <c r="L1117" i="9"/>
  <c r="K1117" i="9"/>
  <c r="C1117" i="9"/>
  <c r="C1116" i="9"/>
  <c r="H398" i="20"/>
  <c r="G398" i="20"/>
  <c r="F398" i="20"/>
  <c r="I397" i="20"/>
  <c r="I396" i="20"/>
  <c r="I395" i="20"/>
  <c r="I394" i="20"/>
  <c r="I393" i="20"/>
  <c r="I392" i="20"/>
  <c r="I391" i="20"/>
  <c r="I390" i="20"/>
  <c r="I389" i="20"/>
  <c r="I388" i="20"/>
  <c r="I387" i="20"/>
  <c r="I386" i="20"/>
  <c r="I385" i="20"/>
  <c r="B385" i="20"/>
  <c r="B386" i="20" s="1"/>
  <c r="B387" i="20" s="1"/>
  <c r="B388" i="20" s="1"/>
  <c r="B389" i="20" s="1"/>
  <c r="B390" i="20" s="1"/>
  <c r="B391" i="20" s="1"/>
  <c r="B392" i="20" s="1"/>
  <c r="B393" i="20" s="1"/>
  <c r="B394" i="20" s="1"/>
  <c r="B395" i="20" s="1"/>
  <c r="B396" i="20" s="1"/>
  <c r="B397" i="20" s="1"/>
  <c r="I384" i="20"/>
  <c r="I398" i="20" s="1"/>
  <c r="H371" i="20"/>
  <c r="G371" i="20"/>
  <c r="F371" i="20"/>
  <c r="I371" i="20"/>
  <c r="F338" i="20" s="1"/>
  <c r="F339" i="20" s="1"/>
  <c r="S367" i="20"/>
  <c r="R367" i="20"/>
  <c r="Q367" i="20"/>
  <c r="P367" i="20"/>
  <c r="O367" i="20"/>
  <c r="N367" i="20"/>
  <c r="M367" i="20"/>
  <c r="L367" i="20"/>
  <c r="K367" i="20"/>
  <c r="S366" i="20"/>
  <c r="R366" i="20"/>
  <c r="Q366" i="20"/>
  <c r="P366" i="20"/>
  <c r="O366" i="20"/>
  <c r="N366" i="20"/>
  <c r="M366" i="20"/>
  <c r="L366" i="20"/>
  <c r="K366" i="20"/>
  <c r="H366" i="20"/>
  <c r="G366" i="20"/>
  <c r="F366" i="20"/>
  <c r="P343" i="3" s="1"/>
  <c r="I365" i="20"/>
  <c r="I364" i="20"/>
  <c r="I363" i="20"/>
  <c r="N335" i="20" s="1"/>
  <c r="G351" i="4" s="1"/>
  <c r="I362" i="20"/>
  <c r="I361" i="20"/>
  <c r="I360" i="20"/>
  <c r="I359" i="20"/>
  <c r="I358" i="20"/>
  <c r="I357" i="20"/>
  <c r="I356" i="20"/>
  <c r="I355" i="20"/>
  <c r="I354" i="20"/>
  <c r="B354" i="20"/>
  <c r="B355" i="20" s="1"/>
  <c r="B356" i="20" s="1"/>
  <c r="B357" i="20" s="1"/>
  <c r="B358" i="20" s="1"/>
  <c r="I353" i="20"/>
  <c r="I366" i="20" s="1"/>
  <c r="G333" i="20" s="1"/>
  <c r="Q345" i="20"/>
  <c r="O345" i="20"/>
  <c r="N345" i="20"/>
  <c r="M345" i="20"/>
  <c r="L345" i="20"/>
  <c r="K345" i="20"/>
  <c r="Q344" i="20"/>
  <c r="O344" i="20"/>
  <c r="N344" i="20"/>
  <c r="M344" i="20"/>
  <c r="L344" i="20"/>
  <c r="K344" i="20"/>
  <c r="O343" i="3"/>
  <c r="M343" i="3"/>
  <c r="F341" i="20"/>
  <c r="H340" i="20"/>
  <c r="Q339" i="20"/>
  <c r="O339" i="20"/>
  <c r="N339" i="20"/>
  <c r="H339" i="20"/>
  <c r="Q338" i="20"/>
  <c r="O338" i="20"/>
  <c r="N338" i="20"/>
  <c r="G352" i="4" s="1" a="1"/>
  <c r="G352" i="4" s="1"/>
  <c r="M338" i="20"/>
  <c r="L338" i="20"/>
  <c r="K338" i="20"/>
  <c r="P337" i="20"/>
  <c r="P345" i="20" s="1"/>
  <c r="P336" i="20"/>
  <c r="F336" i="20"/>
  <c r="F337" i="20" s="1"/>
  <c r="H337" i="20" s="1"/>
  <c r="P351" i="4"/>
  <c r="N351" i="4"/>
  <c r="F334" i="20"/>
  <c r="S330" i="20"/>
  <c r="R330" i="20"/>
  <c r="Q330" i="20"/>
  <c r="P330" i="20"/>
  <c r="O330" i="20"/>
  <c r="N330" i="20"/>
  <c r="M330" i="20"/>
  <c r="L330" i="20"/>
  <c r="K330" i="20"/>
  <c r="C330" i="20"/>
  <c r="T329" i="20"/>
  <c r="A351" i="4" s="1"/>
  <c r="S329" i="20"/>
  <c r="R329" i="20"/>
  <c r="Q329" i="20"/>
  <c r="P329" i="20"/>
  <c r="O329" i="20"/>
  <c r="N329" i="20"/>
  <c r="M329" i="20"/>
  <c r="L329" i="20"/>
  <c r="K329" i="20"/>
  <c r="C329" i="20"/>
  <c r="C328" i="20"/>
  <c r="H1173" i="5"/>
  <c r="G1173" i="5"/>
  <c r="F1173" i="5"/>
  <c r="I1172" i="5"/>
  <c r="I1171" i="5"/>
  <c r="I1170" i="5"/>
  <c r="I1169" i="5"/>
  <c r="B1169" i="5"/>
  <c r="B1170" i="5" s="1"/>
  <c r="B1171" i="5" s="1"/>
  <c r="B1172" i="5" s="1"/>
  <c r="I1168" i="5"/>
  <c r="I1173" i="5" s="1"/>
  <c r="H1156" i="5"/>
  <c r="G1156" i="5"/>
  <c r="F1156" i="5"/>
  <c r="I1144" i="5"/>
  <c r="I1141" i="5"/>
  <c r="M1118" i="5" s="1"/>
  <c r="F348" i="4" s="1"/>
  <c r="I1139" i="5"/>
  <c r="I1155" i="5"/>
  <c r="I1138" i="5"/>
  <c r="I1151" i="5"/>
  <c r="I1152" i="5" s="1"/>
  <c r="S1147" i="5"/>
  <c r="R1147" i="5"/>
  <c r="Q1147" i="5"/>
  <c r="P1147" i="5"/>
  <c r="O1147" i="5"/>
  <c r="N1147" i="5"/>
  <c r="M1147" i="5"/>
  <c r="L1147" i="5"/>
  <c r="K1147" i="5"/>
  <c r="S1146" i="5"/>
  <c r="R1146" i="5"/>
  <c r="Q1146" i="5"/>
  <c r="P1146" i="5"/>
  <c r="O1146" i="5"/>
  <c r="N1146" i="5"/>
  <c r="M1146" i="5"/>
  <c r="L1146" i="5"/>
  <c r="K1146" i="5"/>
  <c r="H1146" i="5"/>
  <c r="G1146" i="5"/>
  <c r="F1146" i="5"/>
  <c r="P340" i="3" s="1"/>
  <c r="I1145" i="5"/>
  <c r="I1143" i="5"/>
  <c r="I1142" i="5"/>
  <c r="I1140" i="5"/>
  <c r="I1137" i="5"/>
  <c r="B1141" i="5"/>
  <c r="B1142" i="5" s="1"/>
  <c r="B1143" i="5" s="1"/>
  <c r="I1136" i="5"/>
  <c r="I1146" i="5" s="1"/>
  <c r="Q1128" i="5"/>
  <c r="O1128" i="5"/>
  <c r="N1128" i="5"/>
  <c r="M1128" i="5"/>
  <c r="L1128" i="5"/>
  <c r="K1128" i="5"/>
  <c r="Q1127" i="5"/>
  <c r="O1127" i="5"/>
  <c r="N1127" i="5"/>
  <c r="M1127" i="5"/>
  <c r="L1127" i="5"/>
  <c r="K1127" i="5"/>
  <c r="O340" i="3"/>
  <c r="R1126" i="5"/>
  <c r="M340" i="3" s="1"/>
  <c r="F1124" i="5"/>
  <c r="H1123" i="5"/>
  <c r="Q1122" i="5"/>
  <c r="O1122" i="5"/>
  <c r="M1122" i="5"/>
  <c r="F1122" i="5"/>
  <c r="H1122" i="5" s="1"/>
  <c r="Q1121" i="5"/>
  <c r="O1121" i="5"/>
  <c r="N1121" i="5"/>
  <c r="M1121" i="5"/>
  <c r="F349" i="4" s="1" a="1"/>
  <c r="F349" i="4" s="1"/>
  <c r="L1121" i="5"/>
  <c r="K1121" i="5"/>
  <c r="P1120" i="5"/>
  <c r="P1128" i="5" s="1"/>
  <c r="P1119" i="5"/>
  <c r="F1119" i="5"/>
  <c r="F1120" i="5" s="1"/>
  <c r="H1120" i="5" s="1"/>
  <c r="P348" i="4"/>
  <c r="F1117" i="5"/>
  <c r="S1113" i="5"/>
  <c r="R1113" i="5"/>
  <c r="Q1113" i="5"/>
  <c r="P1113" i="5"/>
  <c r="O1113" i="5"/>
  <c r="N1113" i="5"/>
  <c r="M1113" i="5"/>
  <c r="L1113" i="5"/>
  <c r="C1113" i="5"/>
  <c r="T1112" i="5"/>
  <c r="A348" i="4" s="1"/>
  <c r="S1112" i="5"/>
  <c r="R1112" i="5"/>
  <c r="Q1112" i="5"/>
  <c r="P1112" i="5"/>
  <c r="O1112" i="5"/>
  <c r="N1112" i="5"/>
  <c r="M1112" i="5"/>
  <c r="L1112" i="5"/>
  <c r="K1112" i="5"/>
  <c r="C1112" i="5"/>
  <c r="C1111" i="5"/>
  <c r="X144" i="21"/>
  <c r="W144" i="21"/>
  <c r="V144" i="21"/>
  <c r="T144" i="21"/>
  <c r="H143" i="21"/>
  <c r="G143" i="21"/>
  <c r="F143" i="21"/>
  <c r="I142" i="21"/>
  <c r="I141" i="21"/>
  <c r="I140" i="21"/>
  <c r="I139" i="21"/>
  <c r="I138" i="21"/>
  <c r="B138" i="21"/>
  <c r="B139" i="21" s="1"/>
  <c r="B140" i="21" s="1"/>
  <c r="B141" i="21" s="1"/>
  <c r="B142" i="21" s="1"/>
  <c r="I137" i="21"/>
  <c r="I143" i="21" s="1"/>
  <c r="H134" i="21"/>
  <c r="G134" i="21"/>
  <c r="F134" i="21"/>
  <c r="I133" i="21"/>
  <c r="I132" i="21"/>
  <c r="I131" i="21"/>
  <c r="I130" i="21"/>
  <c r="I129" i="21"/>
  <c r="I128" i="21"/>
  <c r="I127" i="21"/>
  <c r="I126" i="21"/>
  <c r="I125" i="21"/>
  <c r="I124" i="21"/>
  <c r="I123" i="21"/>
  <c r="I122" i="21"/>
  <c r="I121" i="21"/>
  <c r="I120" i="21"/>
  <c r="I119" i="21"/>
  <c r="I118" i="21"/>
  <c r="I117" i="21"/>
  <c r="B117" i="21"/>
  <c r="B118" i="21" s="1"/>
  <c r="B119" i="21" s="1"/>
  <c r="B120" i="21" s="1"/>
  <c r="B121" i="21" s="1"/>
  <c r="B122" i="21" s="1"/>
  <c r="B123" i="21" s="1"/>
  <c r="B124" i="21" s="1"/>
  <c r="B125" i="21" s="1"/>
  <c r="B126" i="21" s="1"/>
  <c r="B127" i="21" s="1"/>
  <c r="B128" i="21" s="1"/>
  <c r="B129" i="21" s="1"/>
  <c r="B130" i="21" s="1"/>
  <c r="B131" i="21" s="1"/>
  <c r="B132" i="21" s="1"/>
  <c r="B133" i="21" s="1"/>
  <c r="I116" i="21"/>
  <c r="I134" i="21" s="1"/>
  <c r="H113" i="21"/>
  <c r="G113" i="21"/>
  <c r="F113" i="21"/>
  <c r="I112" i="21"/>
  <c r="I111" i="21"/>
  <c r="I110" i="21"/>
  <c r="I109" i="21"/>
  <c r="I108" i="21"/>
  <c r="I107" i="21"/>
  <c r="I106" i="21"/>
  <c r="B106" i="21"/>
  <c r="B107" i="21" s="1"/>
  <c r="B108" i="21" s="1"/>
  <c r="B109" i="21" s="1"/>
  <c r="B110" i="21" s="1"/>
  <c r="B111" i="21" s="1"/>
  <c r="B112" i="21" s="1"/>
  <c r="I105" i="21"/>
  <c r="I113" i="21" s="1"/>
  <c r="H102" i="21"/>
  <c r="G102" i="21"/>
  <c r="F102" i="21"/>
  <c r="I101" i="21"/>
  <c r="I100" i="21"/>
  <c r="I99" i="21"/>
  <c r="I98" i="21"/>
  <c r="I97" i="21"/>
  <c r="I96" i="21"/>
  <c r="I95" i="21"/>
  <c r="B95" i="21"/>
  <c r="B96" i="21" s="1"/>
  <c r="B97" i="21" s="1"/>
  <c r="B98" i="21" s="1"/>
  <c r="B99" i="21" s="1"/>
  <c r="B100" i="21" s="1"/>
  <c r="B101" i="21" s="1"/>
  <c r="I94" i="21"/>
  <c r="I102" i="21" s="1"/>
  <c r="H91" i="21"/>
  <c r="G91" i="21"/>
  <c r="F91" i="21"/>
  <c r="I90" i="21"/>
  <c r="I89" i="21"/>
  <c r="I88" i="21"/>
  <c r="I87" i="21"/>
  <c r="I86" i="21"/>
  <c r="I85" i="21"/>
  <c r="I84" i="21"/>
  <c r="B84" i="21"/>
  <c r="B85" i="21" s="1"/>
  <c r="B86" i="21" s="1"/>
  <c r="B87" i="21" s="1"/>
  <c r="B88" i="21" s="1"/>
  <c r="B89" i="21" s="1"/>
  <c r="B90" i="21" s="1"/>
  <c r="I83" i="21"/>
  <c r="I91" i="21" s="1"/>
  <c r="H80" i="21"/>
  <c r="G80" i="21"/>
  <c r="F80" i="21"/>
  <c r="I79" i="21"/>
  <c r="I78" i="21"/>
  <c r="I77" i="21"/>
  <c r="I76" i="21"/>
  <c r="I75" i="21"/>
  <c r="I74" i="21"/>
  <c r="I73" i="21"/>
  <c r="B73" i="21"/>
  <c r="B74" i="21" s="1"/>
  <c r="B75" i="21" s="1"/>
  <c r="B76" i="21" s="1"/>
  <c r="B77" i="21" s="1"/>
  <c r="B78" i="21" s="1"/>
  <c r="B79" i="21" s="1"/>
  <c r="I72" i="21"/>
  <c r="I80" i="21" s="1"/>
  <c r="H69" i="21"/>
  <c r="G69" i="21"/>
  <c r="F69" i="21"/>
  <c r="I68" i="21"/>
  <c r="I67" i="21"/>
  <c r="I66" i="21"/>
  <c r="I65" i="21"/>
  <c r="I64" i="21"/>
  <c r="I63" i="21"/>
  <c r="I62" i="21"/>
  <c r="B62" i="21"/>
  <c r="B63" i="21" s="1"/>
  <c r="B64" i="21" s="1"/>
  <c r="B65" i="21" s="1"/>
  <c r="B66" i="21" s="1"/>
  <c r="B67" i="21" s="1"/>
  <c r="B68" i="21" s="1"/>
  <c r="I61" i="21"/>
  <c r="I69" i="21" s="1"/>
  <c r="H58" i="21"/>
  <c r="G58" i="21"/>
  <c r="F58" i="21"/>
  <c r="I57" i="21"/>
  <c r="I56" i="21"/>
  <c r="I55" i="21"/>
  <c r="I54" i="21"/>
  <c r="I53" i="21"/>
  <c r="I52" i="21"/>
  <c r="I51" i="21"/>
  <c r="B51" i="21"/>
  <c r="B52" i="21" s="1"/>
  <c r="B53" i="21" s="1"/>
  <c r="B54" i="21" s="1"/>
  <c r="B55" i="21" s="1"/>
  <c r="B56" i="21" s="1"/>
  <c r="B57" i="21" s="1"/>
  <c r="I50" i="21"/>
  <c r="I58" i="21" s="1"/>
  <c r="S47" i="21"/>
  <c r="R47" i="21"/>
  <c r="Q47" i="21"/>
  <c r="P47" i="21"/>
  <c r="O47" i="21"/>
  <c r="N47" i="21"/>
  <c r="M47" i="21"/>
  <c r="L47" i="21"/>
  <c r="K47" i="21"/>
  <c r="S46" i="21"/>
  <c r="R46" i="21"/>
  <c r="Q46" i="21"/>
  <c r="P46" i="21"/>
  <c r="O46" i="21"/>
  <c r="N46" i="21"/>
  <c r="M46" i="21"/>
  <c r="L46" i="21"/>
  <c r="K46" i="21"/>
  <c r="H46" i="21"/>
  <c r="G46" i="21"/>
  <c r="F46" i="21"/>
  <c r="I45" i="21"/>
  <c r="I44" i="21"/>
  <c r="I43" i="21"/>
  <c r="I42" i="21"/>
  <c r="I41" i="21"/>
  <c r="I40" i="21"/>
  <c r="I39" i="21"/>
  <c r="I38" i="21"/>
  <c r="I37" i="21"/>
  <c r="I36" i="21"/>
  <c r="I35" i="21"/>
  <c r="I34" i="21"/>
  <c r="I33" i="21"/>
  <c r="I32" i="21"/>
  <c r="I31" i="21"/>
  <c r="B31" i="21"/>
  <c r="B32" i="21" s="1"/>
  <c r="B33" i="21" s="1"/>
  <c r="B34" i="21" s="1"/>
  <c r="B35" i="21" s="1"/>
  <c r="B36" i="21" s="1"/>
  <c r="B37" i="21" s="1"/>
  <c r="B38" i="21" s="1"/>
  <c r="B39" i="21" s="1"/>
  <c r="B40" i="21" s="1"/>
  <c r="B41" i="21" s="1"/>
  <c r="B42" i="21" s="1"/>
  <c r="B43" i="21" s="1"/>
  <c r="B44" i="21" s="1"/>
  <c r="B45" i="21" s="1"/>
  <c r="I30" i="21"/>
  <c r="I46" i="21" s="1"/>
  <c r="Q21" i="21"/>
  <c r="O21" i="21"/>
  <c r="N21" i="21"/>
  <c r="M21" i="21"/>
  <c r="L21" i="21"/>
  <c r="K21" i="21"/>
  <c r="Q20" i="21"/>
  <c r="O20" i="21"/>
  <c r="N20" i="21"/>
  <c r="M20" i="21"/>
  <c r="L20" i="21"/>
  <c r="K20" i="21"/>
  <c r="F17" i="21"/>
  <c r="H16" i="21"/>
  <c r="Q15" i="21"/>
  <c r="O15" i="21"/>
  <c r="N15" i="21"/>
  <c r="M15" i="21"/>
  <c r="L15" i="21"/>
  <c r="K15" i="21"/>
  <c r="F15" i="21"/>
  <c r="H15" i="21" s="1"/>
  <c r="Q14" i="21"/>
  <c r="O14" i="21"/>
  <c r="N14" i="21"/>
  <c r="M14" i="21"/>
  <c r="L14" i="21"/>
  <c r="K14" i="21"/>
  <c r="P13" i="21"/>
  <c r="P21" i="21" s="1"/>
  <c r="P12" i="21"/>
  <c r="F12" i="21"/>
  <c r="F13" i="21" s="1"/>
  <c r="H13" i="21" s="1"/>
  <c r="S11" i="21"/>
  <c r="R11" i="21"/>
  <c r="P11" i="21"/>
  <c r="P15" i="21" s="1"/>
  <c r="G9" i="21"/>
  <c r="F9" i="21"/>
  <c r="C9" i="21"/>
  <c r="S6" i="21"/>
  <c r="R6" i="21"/>
  <c r="Q6" i="21"/>
  <c r="P6" i="21"/>
  <c r="O6" i="21"/>
  <c r="N6" i="21"/>
  <c r="M6" i="21"/>
  <c r="L6" i="21"/>
  <c r="K6" i="21"/>
  <c r="C6" i="21"/>
  <c r="T5" i="21"/>
  <c r="S5" i="21"/>
  <c r="R5" i="21"/>
  <c r="Q5" i="21"/>
  <c r="P5" i="21"/>
  <c r="O5" i="21"/>
  <c r="N5" i="21"/>
  <c r="M5" i="21"/>
  <c r="L5" i="21"/>
  <c r="K5" i="21"/>
  <c r="C5" i="21"/>
  <c r="C4" i="21"/>
  <c r="X376" i="11"/>
  <c r="W376" i="11"/>
  <c r="V376" i="11"/>
  <c r="T376" i="11"/>
  <c r="S371" i="11"/>
  <c r="R371" i="11"/>
  <c r="Q371" i="11"/>
  <c r="P371" i="11"/>
  <c r="O371" i="11"/>
  <c r="N371" i="11"/>
  <c r="M371" i="11"/>
  <c r="L371" i="11"/>
  <c r="K371" i="11"/>
  <c r="S370" i="11"/>
  <c r="R370" i="11"/>
  <c r="Q370" i="11"/>
  <c r="P370" i="11"/>
  <c r="O370" i="11"/>
  <c r="N370" i="11"/>
  <c r="M370" i="11"/>
  <c r="L370" i="11"/>
  <c r="K370" i="11"/>
  <c r="H370" i="11"/>
  <c r="G370" i="11"/>
  <c r="F370" i="11"/>
  <c r="I369" i="11"/>
  <c r="I370" i="11" s="1"/>
  <c r="G348" i="11" s="1"/>
  <c r="Q360" i="11"/>
  <c r="O360" i="11"/>
  <c r="N360" i="11"/>
  <c r="M360" i="11"/>
  <c r="L360" i="11"/>
  <c r="K360" i="11"/>
  <c r="Q359" i="11"/>
  <c r="O359" i="11"/>
  <c r="N359" i="11"/>
  <c r="M359" i="11"/>
  <c r="L359" i="11"/>
  <c r="K359" i="11"/>
  <c r="F356" i="11"/>
  <c r="H355" i="11"/>
  <c r="Q354" i="11"/>
  <c r="O354" i="11"/>
  <c r="N354" i="11"/>
  <c r="M354" i="11"/>
  <c r="L354" i="11"/>
  <c r="K354" i="11"/>
  <c r="F354" i="11"/>
  <c r="H354" i="11" s="1"/>
  <c r="Q353" i="11"/>
  <c r="O353" i="11"/>
  <c r="N353" i="11"/>
  <c r="M353" i="11"/>
  <c r="L353" i="11"/>
  <c r="K353" i="11"/>
  <c r="P352" i="11"/>
  <c r="P360" i="11" s="1"/>
  <c r="P351" i="11"/>
  <c r="F351" i="11"/>
  <c r="F352" i="11" s="1"/>
  <c r="H352" i="11" s="1"/>
  <c r="P350" i="11"/>
  <c r="P354" i="11" s="1"/>
  <c r="F348" i="11"/>
  <c r="C348" i="11"/>
  <c r="S345" i="11"/>
  <c r="R345" i="11"/>
  <c r="Q345" i="11"/>
  <c r="P345" i="11"/>
  <c r="O345" i="11"/>
  <c r="N345" i="11"/>
  <c r="M345" i="11"/>
  <c r="L345" i="11"/>
  <c r="K345" i="11"/>
  <c r="C345" i="11"/>
  <c r="T344" i="11"/>
  <c r="S344" i="11"/>
  <c r="R344" i="11"/>
  <c r="Q344" i="11"/>
  <c r="P344" i="11"/>
  <c r="O344" i="11"/>
  <c r="N344" i="11"/>
  <c r="M344" i="11"/>
  <c r="L344" i="11"/>
  <c r="K344" i="11"/>
  <c r="C344" i="11"/>
  <c r="C343" i="11"/>
  <c r="X1115" i="12"/>
  <c r="W1115" i="12"/>
  <c r="H1114" i="12"/>
  <c r="G1114" i="12"/>
  <c r="F1114" i="12"/>
  <c r="I1113" i="12"/>
  <c r="I1107" i="12"/>
  <c r="I1106" i="12"/>
  <c r="I1105" i="12"/>
  <c r="I1104" i="12"/>
  <c r="I1103" i="12"/>
  <c r="I1102" i="12"/>
  <c r="I1101" i="12"/>
  <c r="I1100" i="12"/>
  <c r="I1099" i="12"/>
  <c r="I1098" i="12"/>
  <c r="I1097" i="12"/>
  <c r="I1096" i="12"/>
  <c r="I1095" i="12"/>
  <c r="I1094" i="12"/>
  <c r="I1093" i="12"/>
  <c r="B1093" i="12"/>
  <c r="B1094" i="12" s="1"/>
  <c r="B1095" i="12" s="1"/>
  <c r="B1096" i="12" s="1"/>
  <c r="B1097" i="12" s="1"/>
  <c r="B1098" i="12" s="1"/>
  <c r="B1099" i="12" s="1"/>
  <c r="B1100" i="12" s="1"/>
  <c r="B1101" i="12" s="1"/>
  <c r="B1102" i="12" s="1"/>
  <c r="B1103" i="12" s="1"/>
  <c r="B1104" i="12" s="1"/>
  <c r="B1105" i="12" s="1"/>
  <c r="B1106" i="12" s="1"/>
  <c r="B1107" i="12" s="1"/>
  <c r="I1092" i="12"/>
  <c r="I1114" i="12" s="1"/>
  <c r="I1077" i="12"/>
  <c r="R1039" i="12" s="1"/>
  <c r="I1065" i="12"/>
  <c r="I1058" i="12"/>
  <c r="O358" i="3"/>
  <c r="I1069" i="12"/>
  <c r="I1071" i="12"/>
  <c r="I1070" i="12"/>
  <c r="N1039" i="12" s="1"/>
  <c r="G366" i="4" s="1"/>
  <c r="I1068" i="12"/>
  <c r="I1067" i="12"/>
  <c r="M1039" i="12" s="1"/>
  <c r="F366" i="4" s="1"/>
  <c r="I1066" i="12"/>
  <c r="I1064" i="12"/>
  <c r="I1063" i="12"/>
  <c r="I1062" i="12"/>
  <c r="I1061" i="12"/>
  <c r="I1060" i="12"/>
  <c r="B1061" i="12"/>
  <c r="B1062" i="12" s="1"/>
  <c r="B1063" i="12" s="1"/>
  <c r="B1064" i="12" s="1"/>
  <c r="B1065" i="12" s="1"/>
  <c r="B1066" i="12" s="1"/>
  <c r="B1067" i="12" s="1"/>
  <c r="B1068" i="12" s="1"/>
  <c r="B1069" i="12" s="1"/>
  <c r="B1070" i="12" s="1"/>
  <c r="B1071" i="12" s="1"/>
  <c r="I1059" i="12"/>
  <c r="Q1049" i="12"/>
  <c r="O1049" i="12"/>
  <c r="N1049" i="12"/>
  <c r="M1049" i="12"/>
  <c r="L1049" i="12"/>
  <c r="K1049" i="12"/>
  <c r="Q1048" i="12"/>
  <c r="O1048" i="12"/>
  <c r="N1048" i="12"/>
  <c r="M1048" i="12"/>
  <c r="L1048" i="12"/>
  <c r="K1048" i="12"/>
  <c r="F1045" i="12"/>
  <c r="H1044" i="12"/>
  <c r="Q1043" i="12"/>
  <c r="O1043" i="12"/>
  <c r="N1043" i="12"/>
  <c r="M1043" i="12"/>
  <c r="F1043" i="12"/>
  <c r="H1043" i="12" s="1"/>
  <c r="Q1042" i="12"/>
  <c r="O1042" i="12"/>
  <c r="N1042" i="12"/>
  <c r="G367" i="4" s="1" a="1"/>
  <c r="G367" i="4" s="1"/>
  <c r="M1042" i="12"/>
  <c r="F367" i="4" s="1" a="1"/>
  <c r="F367" i="4" s="1"/>
  <c r="L1042" i="12"/>
  <c r="K1042" i="12"/>
  <c r="P1041" i="12"/>
  <c r="P1049" i="12" s="1"/>
  <c r="P1040" i="12"/>
  <c r="F1040" i="12"/>
  <c r="F1041" i="12" s="1"/>
  <c r="H1041" i="12" s="1"/>
  <c r="P366" i="4"/>
  <c r="S1034" i="12"/>
  <c r="R1034" i="12"/>
  <c r="Q1034" i="12"/>
  <c r="P1034" i="12"/>
  <c r="O1034" i="12"/>
  <c r="N1034" i="12"/>
  <c r="M1034" i="12"/>
  <c r="L1034" i="12"/>
  <c r="K1034" i="12"/>
  <c r="C1034" i="12"/>
  <c r="T1033" i="12"/>
  <c r="A366" i="4" s="1"/>
  <c r="S1033" i="12"/>
  <c r="R1033" i="12"/>
  <c r="Q1033" i="12"/>
  <c r="P1033" i="12"/>
  <c r="O1033" i="12"/>
  <c r="N1033" i="12"/>
  <c r="M1033" i="12"/>
  <c r="L1033" i="12"/>
  <c r="K1033" i="12"/>
  <c r="C1033" i="12"/>
  <c r="C1032" i="12"/>
  <c r="X1062" i="8"/>
  <c r="W1062" i="8"/>
  <c r="V1062" i="8"/>
  <c r="H1061" i="8"/>
  <c r="G1061" i="8"/>
  <c r="F1061" i="8"/>
  <c r="I1060" i="8"/>
  <c r="I1059" i="8"/>
  <c r="I1058" i="8"/>
  <c r="I1057" i="8"/>
  <c r="B1057" i="8"/>
  <c r="B1058" i="8" s="1"/>
  <c r="B1059" i="8" s="1"/>
  <c r="B1060" i="8" s="1"/>
  <c r="I1056" i="8"/>
  <c r="I1061" i="8" s="1"/>
  <c r="I1030" i="8"/>
  <c r="O349" i="3"/>
  <c r="H1031" i="8"/>
  <c r="G1031" i="8"/>
  <c r="F1031" i="8"/>
  <c r="R1007" i="8" s="1"/>
  <c r="I1031" i="8"/>
  <c r="R999" i="8" s="1"/>
  <c r="S1027" i="8"/>
  <c r="R1027" i="8"/>
  <c r="Q1027" i="8"/>
  <c r="P1027" i="8"/>
  <c r="O1027" i="8"/>
  <c r="N1027" i="8"/>
  <c r="M1027" i="8"/>
  <c r="L1027" i="8"/>
  <c r="K1027" i="8"/>
  <c r="S1026" i="8"/>
  <c r="R1026" i="8"/>
  <c r="Q1026" i="8"/>
  <c r="P1026" i="8"/>
  <c r="O1026" i="8"/>
  <c r="N1026" i="8"/>
  <c r="M1026" i="8"/>
  <c r="L1026" i="8"/>
  <c r="K1026" i="8"/>
  <c r="H1026" i="8"/>
  <c r="G1026" i="8"/>
  <c r="F1026" i="8"/>
  <c r="P349" i="3" s="1"/>
  <c r="I1025" i="8"/>
  <c r="I1024" i="8"/>
  <c r="I1022" i="8"/>
  <c r="I1021" i="8"/>
  <c r="L999" i="8" s="1"/>
  <c r="E357" i="4" s="1"/>
  <c r="I1020" i="8"/>
  <c r="I1019" i="8"/>
  <c r="B1019" i="8"/>
  <c r="B1020" i="8" s="1"/>
  <c r="B1021" i="8" s="1"/>
  <c r="B1022" i="8" s="1"/>
  <c r="B1023" i="8" s="1"/>
  <c r="B1024" i="8" s="1"/>
  <c r="B1025" i="8" s="1"/>
  <c r="I1018" i="8"/>
  <c r="I1026" i="8" s="1"/>
  <c r="G997" i="8" s="1"/>
  <c r="Q1009" i="8"/>
  <c r="O1009" i="8"/>
  <c r="N1009" i="8"/>
  <c r="M1009" i="8"/>
  <c r="L1009" i="8"/>
  <c r="K1009" i="8"/>
  <c r="Q1008" i="8"/>
  <c r="O1008" i="8"/>
  <c r="N1008" i="8"/>
  <c r="M1008" i="8"/>
  <c r="L1008" i="8"/>
  <c r="K1008" i="8"/>
  <c r="F1005" i="8"/>
  <c r="H1004" i="8"/>
  <c r="Q1003" i="8"/>
  <c r="O1003" i="8"/>
  <c r="N1003" i="8"/>
  <c r="L1003" i="8"/>
  <c r="F1003" i="8"/>
  <c r="H1003" i="8" s="1"/>
  <c r="Q1002" i="8"/>
  <c r="O1002" i="8"/>
  <c r="N1002" i="8"/>
  <c r="M1002" i="8"/>
  <c r="L1002" i="8"/>
  <c r="E358" i="4" s="1" a="1"/>
  <c r="E358" i="4" s="1"/>
  <c r="K1002" i="8"/>
  <c r="P1001" i="8"/>
  <c r="P1009" i="8" s="1"/>
  <c r="P1000" i="8"/>
  <c r="F1000" i="8"/>
  <c r="F1001" i="8" s="1"/>
  <c r="H1001" i="8" s="1"/>
  <c r="P357" i="4"/>
  <c r="S994" i="8"/>
  <c r="R994" i="8"/>
  <c r="Q994" i="8"/>
  <c r="P994" i="8"/>
  <c r="O994" i="8"/>
  <c r="N994" i="8"/>
  <c r="M994" i="8"/>
  <c r="L994" i="8"/>
  <c r="K994" i="8"/>
  <c r="C994" i="8"/>
  <c r="T993" i="8"/>
  <c r="A357" i="4" s="1"/>
  <c r="S993" i="8"/>
  <c r="R993" i="8"/>
  <c r="Q993" i="8"/>
  <c r="P993" i="8"/>
  <c r="O993" i="8"/>
  <c r="N993" i="8"/>
  <c r="M993" i="8"/>
  <c r="L993" i="8"/>
  <c r="K993" i="8"/>
  <c r="C993" i="8"/>
  <c r="C992" i="8"/>
  <c r="G687" i="14"/>
  <c r="G1060" i="5"/>
  <c r="G290" i="20"/>
  <c r="G1062" i="9"/>
  <c r="G937" i="8"/>
  <c r="O974" i="12"/>
  <c r="G991" i="12"/>
  <c r="V989" i="12"/>
  <c r="V990" i="12"/>
  <c r="G685" i="14"/>
  <c r="H702" i="14"/>
  <c r="F702" i="14"/>
  <c r="O665" i="14"/>
  <c r="V687" i="14"/>
  <c r="M1043" i="9"/>
  <c r="L1043" i="9"/>
  <c r="H1074" i="9"/>
  <c r="F1074" i="9"/>
  <c r="R1043" i="9" s="1"/>
  <c r="O1043" i="9"/>
  <c r="V1063" i="9"/>
  <c r="V1062" i="9"/>
  <c r="V1061" i="9"/>
  <c r="G1061" i="9"/>
  <c r="O916" i="8"/>
  <c r="V937" i="8"/>
  <c r="V947" i="8"/>
  <c r="G936" i="8"/>
  <c r="G983" i="8"/>
  <c r="O587" i="17"/>
  <c r="W606" i="17"/>
  <c r="G648" i="17"/>
  <c r="I649" i="17"/>
  <c r="V605" i="17"/>
  <c r="G605" i="17"/>
  <c r="V295" i="20"/>
  <c r="O274" i="20"/>
  <c r="G289" i="20"/>
  <c r="G1076" i="5"/>
  <c r="V1061" i="5"/>
  <c r="G1061" i="5"/>
  <c r="V1060" i="5"/>
  <c r="F1060" i="5"/>
  <c r="O1044" i="5" s="1"/>
  <c r="I1097" i="5"/>
  <c r="G988" i="12"/>
  <c r="G701" i="14"/>
  <c r="G702" i="14" s="1"/>
  <c r="G696" i="14"/>
  <c r="G679" i="14"/>
  <c r="G1102" i="9"/>
  <c r="G1053" i="9"/>
  <c r="G942" i="8"/>
  <c r="G929" i="8"/>
  <c r="G287" i="20"/>
  <c r="G1057" i="5"/>
  <c r="G1059" i="5"/>
  <c r="F990" i="12"/>
  <c r="S993" i="12"/>
  <c r="R993" i="12"/>
  <c r="Q993" i="12"/>
  <c r="P993" i="12"/>
  <c r="O993" i="12"/>
  <c r="N993" i="12"/>
  <c r="M993" i="12"/>
  <c r="L993" i="12"/>
  <c r="S992" i="12"/>
  <c r="R992" i="12"/>
  <c r="Q992" i="12"/>
  <c r="P992" i="12"/>
  <c r="O992" i="12"/>
  <c r="N992" i="12"/>
  <c r="M992" i="12"/>
  <c r="L992" i="12"/>
  <c r="K993" i="12"/>
  <c r="K992" i="12"/>
  <c r="H992" i="12"/>
  <c r="B986" i="12"/>
  <c r="F989" i="12"/>
  <c r="F992" i="12" s="1"/>
  <c r="P316" i="3" s="1"/>
  <c r="G989" i="12"/>
  <c r="N665" i="14"/>
  <c r="G739" i="14"/>
  <c r="I739" i="14"/>
  <c r="I738" i="14"/>
  <c r="I737" i="14"/>
  <c r="N1043" i="9"/>
  <c r="V1060" i="9"/>
  <c r="G1060" i="9"/>
  <c r="V943" i="8"/>
  <c r="F943" i="8"/>
  <c r="G943" i="8"/>
  <c r="G982" i="8"/>
  <c r="G934" i="8"/>
  <c r="V683" i="14"/>
  <c r="I701" i="14"/>
  <c r="I645" i="17"/>
  <c r="I647" i="17"/>
  <c r="I646" i="17"/>
  <c r="M587" i="17"/>
  <c r="H698" i="14"/>
  <c r="B697" i="14"/>
  <c r="X744" i="14"/>
  <c r="T744" i="14"/>
  <c r="X1111" i="9"/>
  <c r="W1111" i="9"/>
  <c r="T1111" i="9"/>
  <c r="X651" i="17"/>
  <c r="W651" i="17"/>
  <c r="T651" i="17"/>
  <c r="X323" i="20"/>
  <c r="T323" i="20"/>
  <c r="X1106" i="5"/>
  <c r="T1106" i="5"/>
  <c r="N1044" i="5"/>
  <c r="H1077" i="5"/>
  <c r="G1077" i="5"/>
  <c r="F1077" i="5"/>
  <c r="R1044" i="5" s="1"/>
  <c r="S1063" i="5"/>
  <c r="R1063" i="5"/>
  <c r="Q1063" i="5"/>
  <c r="P1063" i="5"/>
  <c r="O1063" i="5"/>
  <c r="N1063" i="5"/>
  <c r="M1063" i="5"/>
  <c r="L1063" i="5"/>
  <c r="S1062" i="5"/>
  <c r="R1062" i="5"/>
  <c r="Q1062" i="5"/>
  <c r="P1062" i="5"/>
  <c r="O1062" i="5"/>
  <c r="N1062" i="5"/>
  <c r="M1062" i="5"/>
  <c r="L1062" i="5"/>
  <c r="K1063" i="5"/>
  <c r="K1062" i="5"/>
  <c r="H1062" i="5"/>
  <c r="F1062" i="5"/>
  <c r="P319" i="3" s="1"/>
  <c r="B1055" i="5"/>
  <c r="V1054" i="5"/>
  <c r="V1059" i="5"/>
  <c r="H296" i="20"/>
  <c r="G296" i="20"/>
  <c r="F296" i="20"/>
  <c r="R274" i="20" s="1"/>
  <c r="W287" i="20"/>
  <c r="W323" i="20" s="1"/>
  <c r="G305" i="20"/>
  <c r="G1056" i="5"/>
  <c r="G985" i="12"/>
  <c r="G1058" i="9"/>
  <c r="G288" i="20"/>
  <c r="G603" i="17"/>
  <c r="G599" i="17"/>
  <c r="M974" i="12"/>
  <c r="V988" i="12"/>
  <c r="G987" i="12"/>
  <c r="G986" i="12"/>
  <c r="I985" i="12"/>
  <c r="V680" i="14"/>
  <c r="G684" i="14"/>
  <c r="F683" i="14"/>
  <c r="G683" i="14"/>
  <c r="V697" i="14"/>
  <c r="V744" i="14" s="1"/>
  <c r="V1056" i="9"/>
  <c r="V1059" i="9"/>
  <c r="G1059" i="9"/>
  <c r="G1104" i="9"/>
  <c r="V1103" i="9"/>
  <c r="V1058" i="9"/>
  <c r="G1103" i="9"/>
  <c r="G1074" i="9" s="1"/>
  <c r="M916" i="8"/>
  <c r="I979" i="8"/>
  <c r="I978" i="8"/>
  <c r="W942" i="8"/>
  <c r="G931" i="8"/>
  <c r="B285" i="20"/>
  <c r="B286" i="20" s="1"/>
  <c r="B287" i="20" s="1"/>
  <c r="B288" i="20" s="1"/>
  <c r="V285" i="20"/>
  <c r="V644" i="17"/>
  <c r="G644" i="17"/>
  <c r="V604" i="17"/>
  <c r="V603" i="17"/>
  <c r="V602" i="17"/>
  <c r="G602" i="17"/>
  <c r="M274" i="20"/>
  <c r="G286" i="20"/>
  <c r="M1044" i="5"/>
  <c r="V1058" i="5"/>
  <c r="G1058" i="5"/>
  <c r="I1058" i="5" s="1"/>
  <c r="W1057" i="5"/>
  <c r="W1106" i="5" s="1"/>
  <c r="G951" i="8"/>
  <c r="G680" i="14"/>
  <c r="G930" i="8"/>
  <c r="G284" i="20"/>
  <c r="G1055" i="5"/>
  <c r="K587" i="17"/>
  <c r="H616" i="17"/>
  <c r="F616" i="17"/>
  <c r="R587" i="17" s="1"/>
  <c r="L665" i="14"/>
  <c r="V1102" i="9"/>
  <c r="V1057" i="9"/>
  <c r="G1057" i="9"/>
  <c r="G1056" i="9"/>
  <c r="L916" i="8"/>
  <c r="V929" i="8"/>
  <c r="G641" i="17"/>
  <c r="V641" i="17"/>
  <c r="V601" i="17"/>
  <c r="G640" i="17"/>
  <c r="V600" i="17"/>
  <c r="G639" i="17"/>
  <c r="G616" i="17" s="1"/>
  <c r="V639" i="17"/>
  <c r="V599" i="17"/>
  <c r="F284" i="20"/>
  <c r="L274" i="20" s="1"/>
  <c r="V284" i="20"/>
  <c r="L1044" i="5"/>
  <c r="V1055" i="5"/>
  <c r="G1062" i="5"/>
  <c r="J312" i="4"/>
  <c r="I949" i="9"/>
  <c r="H1091" i="9"/>
  <c r="I1084" i="9"/>
  <c r="H716" i="14"/>
  <c r="G723" i="14"/>
  <c r="I723" i="14" s="1"/>
  <c r="H692" i="14"/>
  <c r="G692" i="14"/>
  <c r="F715" i="14"/>
  <c r="I715" i="14" s="1"/>
  <c r="G714" i="14"/>
  <c r="I714" i="14" s="1"/>
  <c r="G599" i="14"/>
  <c r="F583" i="14"/>
  <c r="T954" i="12"/>
  <c r="B1011" i="12"/>
  <c r="F901" i="12"/>
  <c r="B997" i="12"/>
  <c r="B998" i="12" s="1"/>
  <c r="B999" i="12" s="1"/>
  <c r="V997" i="12"/>
  <c r="V915" i="12"/>
  <c r="V996" i="12"/>
  <c r="V998" i="12"/>
  <c r="G998" i="12"/>
  <c r="I998" i="12" s="1"/>
  <c r="G1011" i="12"/>
  <c r="I1011" i="12" s="1"/>
  <c r="G997" i="12"/>
  <c r="I997" i="12" s="1"/>
  <c r="G1006" i="12"/>
  <c r="I1006" i="12" s="1"/>
  <c r="I999" i="12"/>
  <c r="G996" i="12"/>
  <c r="I996" i="12" s="1"/>
  <c r="F967" i="8"/>
  <c r="H966" i="8"/>
  <c r="H967" i="8" s="1"/>
  <c r="G966" i="8"/>
  <c r="I966" i="8" s="1"/>
  <c r="H961" i="8"/>
  <c r="F961" i="8"/>
  <c r="G960" i="8"/>
  <c r="I960" i="8" s="1"/>
  <c r="B837" i="8"/>
  <c r="B838" i="8" s="1"/>
  <c r="B839" i="8" s="1"/>
  <c r="B840" i="8" s="1"/>
  <c r="B841" i="8" s="1"/>
  <c r="B842" i="8" s="1"/>
  <c r="B843" i="8" s="1"/>
  <c r="B844" i="8" s="1"/>
  <c r="B845" i="8" s="1"/>
  <c r="B846" i="8" s="1"/>
  <c r="T896" i="8"/>
  <c r="F511" i="17"/>
  <c r="F627" i="17"/>
  <c r="H627" i="17"/>
  <c r="H621" i="17"/>
  <c r="B620" i="17"/>
  <c r="G611" i="17"/>
  <c r="I611" i="17" s="1"/>
  <c r="F582" i="17" s="1"/>
  <c r="F583" i="17" s="1"/>
  <c r="G620" i="17"/>
  <c r="G621" i="17" s="1"/>
  <c r="F620" i="17"/>
  <c r="F506" i="17"/>
  <c r="F197" i="20"/>
  <c r="H306" i="20"/>
  <c r="F306" i="20"/>
  <c r="I305" i="20"/>
  <c r="B305" i="20"/>
  <c r="V304" i="20"/>
  <c r="G304" i="20"/>
  <c r="G307" i="9"/>
  <c r="G230" i="20"/>
  <c r="G922" i="12"/>
  <c r="G721" i="14"/>
  <c r="G528" i="17"/>
  <c r="F828" i="8"/>
  <c r="G839" i="8"/>
  <c r="G923" i="12"/>
  <c r="G928" i="8"/>
  <c r="G678" i="14"/>
  <c r="K665" i="14"/>
  <c r="I678" i="14"/>
  <c r="I697" i="14"/>
  <c r="W744" i="14"/>
  <c r="G677" i="14"/>
  <c r="G676" i="14"/>
  <c r="G727" i="14"/>
  <c r="V1055" i="9"/>
  <c r="K1043" i="9"/>
  <c r="G1055" i="9"/>
  <c r="V1054" i="9"/>
  <c r="V1053" i="9"/>
  <c r="V1111" i="9" s="1"/>
  <c r="K916" i="8"/>
  <c r="V928" i="8"/>
  <c r="B334" i="4"/>
  <c r="B331" i="4"/>
  <c r="B325" i="4"/>
  <c r="B322" i="4"/>
  <c r="B319" i="4"/>
  <c r="B337" i="4"/>
  <c r="B328" i="4"/>
  <c r="D331" i="3"/>
  <c r="F331" i="3"/>
  <c r="G331" i="3"/>
  <c r="C331" i="3"/>
  <c r="D328" i="3"/>
  <c r="E328" i="3"/>
  <c r="F328" i="3"/>
  <c r="G328" i="3"/>
  <c r="C328" i="3"/>
  <c r="D325" i="3"/>
  <c r="E325" i="3"/>
  <c r="G325" i="3"/>
  <c r="D322" i="3"/>
  <c r="E322" i="3"/>
  <c r="G322" i="3"/>
  <c r="K319" i="3"/>
  <c r="D319" i="3"/>
  <c r="E319" i="3"/>
  <c r="F319" i="3"/>
  <c r="G319" i="3"/>
  <c r="E316" i="3"/>
  <c r="G316" i="3"/>
  <c r="D313" i="3"/>
  <c r="E313" i="3"/>
  <c r="G313" i="3"/>
  <c r="C313" i="3"/>
  <c r="P1043" i="9"/>
  <c r="H328" i="3" s="1"/>
  <c r="C325" i="3"/>
  <c r="P587" i="17"/>
  <c r="H325" i="3" s="1"/>
  <c r="P274" i="20"/>
  <c r="H322" i="3" s="1"/>
  <c r="P1044" i="5"/>
  <c r="H319" i="3" s="1"/>
  <c r="V598" i="17"/>
  <c r="G598" i="17"/>
  <c r="I606" i="17"/>
  <c r="G637" i="17"/>
  <c r="V597" i="17"/>
  <c r="V651" i="17" s="1"/>
  <c r="H1012" i="12"/>
  <c r="F1012" i="12"/>
  <c r="G1010" i="12"/>
  <c r="H1007" i="12"/>
  <c r="F1007" i="12"/>
  <c r="G1005" i="12"/>
  <c r="I1005" i="12" s="1"/>
  <c r="G1004" i="12"/>
  <c r="I1004" i="12" s="1"/>
  <c r="B1004" i="12"/>
  <c r="B1005" i="12" s="1"/>
  <c r="B1006" i="12" s="1"/>
  <c r="G1003" i="12"/>
  <c r="H931" i="12"/>
  <c r="F931" i="12"/>
  <c r="B911" i="12"/>
  <c r="B928" i="12"/>
  <c r="B929" i="12" s="1"/>
  <c r="B930" i="12" s="1"/>
  <c r="V910" i="12"/>
  <c r="G722" i="14"/>
  <c r="I722" i="14" s="1"/>
  <c r="I721" i="14"/>
  <c r="G720" i="14"/>
  <c r="I720" i="14" s="1"/>
  <c r="B720" i="14"/>
  <c r="B721" i="14" s="1"/>
  <c r="B722" i="14" s="1"/>
  <c r="B723" i="14" s="1"/>
  <c r="G719" i="14"/>
  <c r="G724" i="14" s="1"/>
  <c r="G713" i="14"/>
  <c r="I713" i="14" s="1"/>
  <c r="G712" i="14"/>
  <c r="I712" i="14" s="1"/>
  <c r="G711" i="14"/>
  <c r="I711" i="14" s="1"/>
  <c r="I710" i="14"/>
  <c r="G709" i="14"/>
  <c r="I709" i="14" s="1"/>
  <c r="G708" i="14"/>
  <c r="F708" i="14"/>
  <c r="F716" i="14" s="1"/>
  <c r="G707" i="14"/>
  <c r="I707" i="14" s="1"/>
  <c r="G706" i="14"/>
  <c r="I706" i="14" s="1"/>
  <c r="B706" i="14"/>
  <c r="B707" i="14" s="1"/>
  <c r="B708" i="14" s="1"/>
  <c r="B709" i="14" s="1"/>
  <c r="B710" i="14" s="1"/>
  <c r="B711" i="14" s="1"/>
  <c r="B712" i="14" s="1"/>
  <c r="B713" i="14" s="1"/>
  <c r="B714" i="14" s="1"/>
  <c r="B715" i="14" s="1"/>
  <c r="G705" i="14"/>
  <c r="G716" i="14" s="1"/>
  <c r="G618" i="14"/>
  <c r="G1090" i="9"/>
  <c r="I1090" i="9" s="1"/>
  <c r="G1089" i="9"/>
  <c r="F1089" i="9"/>
  <c r="I1089" i="9" s="1"/>
  <c r="B1089" i="9"/>
  <c r="B1090" i="9" s="1"/>
  <c r="G1088" i="9"/>
  <c r="G1091" i="9" s="1"/>
  <c r="F1088" i="9"/>
  <c r="F1091" i="9" s="1"/>
  <c r="G1069" i="9"/>
  <c r="H1083" i="9"/>
  <c r="H1085" i="9" s="1"/>
  <c r="G1083" i="9"/>
  <c r="I1083" i="9" s="1"/>
  <c r="I1082" i="9"/>
  <c r="G1081" i="9"/>
  <c r="F1081" i="9"/>
  <c r="F1085" i="9" s="1"/>
  <c r="I1080" i="9"/>
  <c r="G1079" i="9"/>
  <c r="I1079" i="9" s="1"/>
  <c r="G1078" i="9"/>
  <c r="I1077" i="9"/>
  <c r="B1078" i="9"/>
  <c r="B1079" i="9" s="1"/>
  <c r="B1080" i="9" s="1"/>
  <c r="B1081" i="9" s="1"/>
  <c r="B1082" i="9" s="1"/>
  <c r="B1083" i="9" s="1"/>
  <c r="B1084" i="9" s="1"/>
  <c r="I1068" i="9"/>
  <c r="V995" i="9"/>
  <c r="X995" i="9"/>
  <c r="H995" i="9"/>
  <c r="F955" i="9"/>
  <c r="F954" i="9"/>
  <c r="G965" i="8"/>
  <c r="I965" i="8" s="1"/>
  <c r="B965" i="8"/>
  <c r="B966" i="8" s="1"/>
  <c r="G964" i="8"/>
  <c r="G967" i="8" s="1"/>
  <c r="G959" i="8"/>
  <c r="I959" i="8" s="1"/>
  <c r="G958" i="8"/>
  <c r="I958" i="8" s="1"/>
  <c r="G957" i="8"/>
  <c r="I957" i="8" s="1"/>
  <c r="G956" i="8"/>
  <c r="I956" i="8" s="1"/>
  <c r="G955" i="8"/>
  <c r="I955" i="8" s="1"/>
  <c r="G954" i="8"/>
  <c r="I954" i="8" s="1"/>
  <c r="I953" i="8"/>
  <c r="G952" i="8"/>
  <c r="I952" i="8" s="1"/>
  <c r="B952" i="8"/>
  <c r="B953" i="8" s="1"/>
  <c r="B954" i="8" s="1"/>
  <c r="B955" i="8" s="1"/>
  <c r="B956" i="8" s="1"/>
  <c r="B957" i="8" s="1"/>
  <c r="B958" i="8" s="1"/>
  <c r="B959" i="8" s="1"/>
  <c r="B960" i="8" s="1"/>
  <c r="G961" i="8"/>
  <c r="H883" i="8"/>
  <c r="F883" i="8"/>
  <c r="V857" i="8"/>
  <c r="V856" i="8"/>
  <c r="V855" i="8"/>
  <c r="V881" i="8"/>
  <c r="F878" i="8"/>
  <c r="H854" i="8"/>
  <c r="B852" i="8"/>
  <c r="B853" i="8" s="1"/>
  <c r="B854" i="8" s="1"/>
  <c r="B855" i="8" s="1"/>
  <c r="B856" i="8" s="1"/>
  <c r="B857" i="8" s="1"/>
  <c r="B870" i="8"/>
  <c r="B871" i="8" s="1"/>
  <c r="B872" i="8" s="1"/>
  <c r="B873" i="8" s="1"/>
  <c r="B874" i="8" s="1"/>
  <c r="B875" i="8" s="1"/>
  <c r="B876" i="8" s="1"/>
  <c r="B877" i="8" s="1"/>
  <c r="V851" i="8"/>
  <c r="G626" i="17"/>
  <c r="I626" i="17" s="1"/>
  <c r="B626" i="17"/>
  <c r="G625" i="17"/>
  <c r="G627" i="17" s="1"/>
  <c r="I619" i="17"/>
  <c r="B538" i="17"/>
  <c r="G516" i="17"/>
  <c r="B517" i="17"/>
  <c r="B518" i="17" s="1"/>
  <c r="B519" i="17" s="1"/>
  <c r="B520" i="17" s="1"/>
  <c r="X517" i="17"/>
  <c r="H517" i="17"/>
  <c r="G533" i="17"/>
  <c r="H533" i="17"/>
  <c r="F533" i="17"/>
  <c r="F516" i="17"/>
  <c r="T567" i="17"/>
  <c r="T254" i="20"/>
  <c r="H301" i="20"/>
  <c r="F301" i="20"/>
  <c r="G300" i="20"/>
  <c r="I300" i="20" s="1"/>
  <c r="B300" i="20"/>
  <c r="G299" i="20"/>
  <c r="J319" i="3"/>
  <c r="L319" i="3"/>
  <c r="Q319" i="3"/>
  <c r="J322" i="3"/>
  <c r="L322" i="3"/>
  <c r="J325" i="3"/>
  <c r="L325" i="3"/>
  <c r="J328" i="3"/>
  <c r="L328" i="3"/>
  <c r="C334" i="3"/>
  <c r="D334" i="3"/>
  <c r="G334" i="3"/>
  <c r="I334" i="3"/>
  <c r="K334" i="3"/>
  <c r="G1083" i="5"/>
  <c r="I1083" i="5" s="1"/>
  <c r="H1089" i="5"/>
  <c r="F1089" i="5"/>
  <c r="G1088" i="5"/>
  <c r="I1088" i="5" s="1"/>
  <c r="B1088" i="5"/>
  <c r="G1087" i="5"/>
  <c r="H1082" i="5"/>
  <c r="G1082" i="5"/>
  <c r="I1082" i="5" s="1"/>
  <c r="G1081" i="5"/>
  <c r="I1081" i="5" s="1"/>
  <c r="F1071" i="5"/>
  <c r="H1080" i="5"/>
  <c r="H1084" i="5" s="1"/>
  <c r="G1080" i="5"/>
  <c r="G1084" i="5" s="1"/>
  <c r="B1082" i="5"/>
  <c r="B1083" i="5" s="1"/>
  <c r="B988" i="5"/>
  <c r="B989" i="5" s="1"/>
  <c r="B990" i="5" s="1"/>
  <c r="B991" i="5" s="1"/>
  <c r="H1004" i="5"/>
  <c r="H743" i="14"/>
  <c r="G743" i="14"/>
  <c r="F743" i="14"/>
  <c r="I742" i="14"/>
  <c r="I741" i="14"/>
  <c r="I740" i="14"/>
  <c r="I736" i="14"/>
  <c r="I735" i="14"/>
  <c r="I734" i="14"/>
  <c r="I733" i="14"/>
  <c r="I732" i="14"/>
  <c r="I731" i="14"/>
  <c r="I730" i="14"/>
  <c r="I729" i="14"/>
  <c r="I728" i="14"/>
  <c r="B728" i="14"/>
  <c r="B729" i="14" s="1"/>
  <c r="B730" i="14" s="1"/>
  <c r="B731" i="14" s="1"/>
  <c r="B732" i="14" s="1"/>
  <c r="B733" i="14" s="1"/>
  <c r="B734" i="14" s="1"/>
  <c r="B735" i="14" s="1"/>
  <c r="B736" i="14" s="1"/>
  <c r="B737" i="14" s="1"/>
  <c r="B738" i="14" s="1"/>
  <c r="B739" i="14" s="1"/>
  <c r="B740" i="14" s="1"/>
  <c r="B741" i="14" s="1"/>
  <c r="B742" i="14" s="1"/>
  <c r="I727" i="14"/>
  <c r="I743" i="14" s="1"/>
  <c r="I685" i="14"/>
  <c r="I702" i="14" s="1"/>
  <c r="I684" i="14"/>
  <c r="I682" i="14"/>
  <c r="I680" i="14"/>
  <c r="I696" i="14"/>
  <c r="I683" i="14"/>
  <c r="S689" i="14"/>
  <c r="R689" i="14"/>
  <c r="Q689" i="14"/>
  <c r="P689" i="14"/>
  <c r="O689" i="14"/>
  <c r="N689" i="14"/>
  <c r="M689" i="14"/>
  <c r="L689" i="14"/>
  <c r="K689" i="14"/>
  <c r="S688" i="14"/>
  <c r="R688" i="14"/>
  <c r="Q688" i="14"/>
  <c r="P688" i="14"/>
  <c r="O688" i="14"/>
  <c r="N688" i="14"/>
  <c r="M688" i="14"/>
  <c r="L688" i="14"/>
  <c r="K688" i="14"/>
  <c r="H688" i="14"/>
  <c r="G688" i="14"/>
  <c r="F688" i="14"/>
  <c r="I687" i="14"/>
  <c r="O657" i="14" s="1"/>
  <c r="H334" i="4" s="1"/>
  <c r="I686" i="14"/>
  <c r="I681" i="14"/>
  <c r="I679" i="14"/>
  <c r="I677" i="14"/>
  <c r="B677" i="14"/>
  <c r="B678" i="14" s="1"/>
  <c r="B679" i="14" s="1"/>
  <c r="B680" i="14" s="1"/>
  <c r="B681" i="14" s="1"/>
  <c r="I676" i="14"/>
  <c r="I688" i="14" s="1"/>
  <c r="Q667" i="14"/>
  <c r="O667" i="14"/>
  <c r="N667" i="14"/>
  <c r="M667" i="14"/>
  <c r="L667" i="14"/>
  <c r="K667" i="14"/>
  <c r="Q666" i="14"/>
  <c r="O666" i="14"/>
  <c r="N666" i="14"/>
  <c r="M666" i="14"/>
  <c r="L666" i="14"/>
  <c r="K666" i="14"/>
  <c r="O331" i="3"/>
  <c r="F663" i="14"/>
  <c r="H662" i="14"/>
  <c r="Q661" i="14"/>
  <c r="O661" i="14"/>
  <c r="Q660" i="14"/>
  <c r="O660" i="14"/>
  <c r="H335" i="4" s="1" a="1"/>
  <c r="H335" i="4" s="1"/>
  <c r="N660" i="14"/>
  <c r="M660" i="14"/>
  <c r="L660" i="14"/>
  <c r="K660" i="14"/>
  <c r="P659" i="14"/>
  <c r="P667" i="14" s="1"/>
  <c r="P658" i="14"/>
  <c r="F658" i="14"/>
  <c r="F659" i="14" s="1"/>
  <c r="H659" i="14" s="1"/>
  <c r="P334" i="4"/>
  <c r="F656" i="14"/>
  <c r="S652" i="14"/>
  <c r="R652" i="14"/>
  <c r="Q652" i="14"/>
  <c r="P652" i="14"/>
  <c r="O652" i="14"/>
  <c r="N652" i="14"/>
  <c r="M652" i="14"/>
  <c r="L652" i="14"/>
  <c r="K652" i="14"/>
  <c r="C652" i="14"/>
  <c r="T651" i="14"/>
  <c r="A334" i="4" s="1"/>
  <c r="S651" i="14"/>
  <c r="R651" i="14"/>
  <c r="Q651" i="14"/>
  <c r="P651" i="14"/>
  <c r="O651" i="14"/>
  <c r="N651" i="14"/>
  <c r="M651" i="14"/>
  <c r="L651" i="14"/>
  <c r="K651" i="14"/>
  <c r="C651" i="14"/>
  <c r="C650" i="14"/>
  <c r="H1110" i="9"/>
  <c r="G1110" i="9"/>
  <c r="F1110" i="9"/>
  <c r="I1109" i="9"/>
  <c r="I1108" i="9"/>
  <c r="I1107" i="9"/>
  <c r="I1106" i="9"/>
  <c r="I1105" i="9"/>
  <c r="I1104" i="9"/>
  <c r="I1101" i="9"/>
  <c r="I1100" i="9"/>
  <c r="I1099" i="9"/>
  <c r="I1098" i="9"/>
  <c r="I1097" i="9"/>
  <c r="I1096" i="9"/>
  <c r="I1095" i="9"/>
  <c r="B1095" i="9"/>
  <c r="B1096" i="9" s="1"/>
  <c r="B1097" i="9" s="1"/>
  <c r="B1098" i="9" s="1"/>
  <c r="B1099" i="9" s="1"/>
  <c r="B1100" i="9" s="1"/>
  <c r="B1101" i="9" s="1"/>
  <c r="I1094" i="9"/>
  <c r="I1073" i="9"/>
  <c r="I1103" i="9"/>
  <c r="I1074" i="9" s="1"/>
  <c r="R1035" i="9" s="1"/>
  <c r="I1102" i="9"/>
  <c r="I1056" i="9"/>
  <c r="S1065" i="9"/>
  <c r="R1065" i="9"/>
  <c r="Q1065" i="9"/>
  <c r="P1065" i="9"/>
  <c r="O1065" i="9"/>
  <c r="N1065" i="9"/>
  <c r="M1065" i="9"/>
  <c r="L1065" i="9"/>
  <c r="K1065" i="9"/>
  <c r="S1064" i="9"/>
  <c r="R1064" i="9"/>
  <c r="Q1064" i="9"/>
  <c r="P1064" i="9"/>
  <c r="O1064" i="9"/>
  <c r="N1064" i="9"/>
  <c r="M1064" i="9"/>
  <c r="L1064" i="9"/>
  <c r="K1064" i="9"/>
  <c r="H1064" i="9"/>
  <c r="G1064" i="9"/>
  <c r="F1064" i="9"/>
  <c r="P328" i="3" s="1"/>
  <c r="Q328" i="3" s="1"/>
  <c r="I1063" i="9"/>
  <c r="I1062" i="9"/>
  <c r="I1061" i="9"/>
  <c r="O1035" i="9" s="1"/>
  <c r="H331" i="4" s="1"/>
  <c r="I1060" i="9"/>
  <c r="N1035" i="9" s="1"/>
  <c r="G331" i="4" s="1"/>
  <c r="I1059" i="9"/>
  <c r="I1058" i="9"/>
  <c r="I1057" i="9"/>
  <c r="I1055" i="9"/>
  <c r="I1054" i="9"/>
  <c r="B1054" i="9"/>
  <c r="B1055" i="9" s="1"/>
  <c r="I1053" i="9"/>
  <c r="Q1045" i="9"/>
  <c r="O1045" i="9"/>
  <c r="N1045" i="9"/>
  <c r="M1045" i="9"/>
  <c r="L1045" i="9"/>
  <c r="K1045" i="9"/>
  <c r="Q1044" i="9"/>
  <c r="O1044" i="9"/>
  <c r="N1044" i="9"/>
  <c r="M1044" i="9"/>
  <c r="L1044" i="9"/>
  <c r="K1044" i="9"/>
  <c r="O328" i="3"/>
  <c r="M328" i="3"/>
  <c r="N328" i="3" s="1"/>
  <c r="F1041" i="9"/>
  <c r="H1040" i="9"/>
  <c r="Q1039" i="9"/>
  <c r="O1039" i="9"/>
  <c r="N1039" i="9"/>
  <c r="Q1038" i="9"/>
  <c r="O1038" i="9"/>
  <c r="H332" i="4" s="1" a="1"/>
  <c r="H332" i="4" s="1"/>
  <c r="N1038" i="9"/>
  <c r="G332" i="4" s="1" a="1"/>
  <c r="G332" i="4" s="1"/>
  <c r="M1038" i="9"/>
  <c r="L1038" i="9"/>
  <c r="K1038" i="9"/>
  <c r="P1037" i="9"/>
  <c r="P1045" i="9" s="1"/>
  <c r="P1036" i="9"/>
  <c r="F1036" i="9"/>
  <c r="F1037" i="9" s="1"/>
  <c r="H1037" i="9" s="1"/>
  <c r="P331" i="4"/>
  <c r="F1034" i="9"/>
  <c r="S1030" i="9"/>
  <c r="R1030" i="9"/>
  <c r="Q1030" i="9"/>
  <c r="P1030" i="9"/>
  <c r="O1030" i="9"/>
  <c r="N1030" i="9"/>
  <c r="M1030" i="9"/>
  <c r="L1030" i="9"/>
  <c r="K1030" i="9"/>
  <c r="C1030" i="9"/>
  <c r="T1029" i="9"/>
  <c r="A331" i="4" s="1"/>
  <c r="S1029" i="9"/>
  <c r="R1029" i="9"/>
  <c r="Q1029" i="9"/>
  <c r="P1029" i="9"/>
  <c r="O1029" i="9"/>
  <c r="N1029" i="9"/>
  <c r="M1029" i="9"/>
  <c r="L1029" i="9"/>
  <c r="K1029" i="9"/>
  <c r="C1029" i="9"/>
  <c r="C1028" i="9"/>
  <c r="H650" i="17"/>
  <c r="G650" i="17"/>
  <c r="F650" i="17"/>
  <c r="I648" i="17"/>
  <c r="I643" i="17"/>
  <c r="I642" i="17"/>
  <c r="I640" i="17"/>
  <c r="I638" i="17"/>
  <c r="I636" i="17"/>
  <c r="I635" i="17"/>
  <c r="I634" i="17"/>
  <c r="I633" i="17"/>
  <c r="I632" i="17"/>
  <c r="I631" i="17"/>
  <c r="B631" i="17"/>
  <c r="B632" i="17" s="1"/>
  <c r="B633" i="17" s="1"/>
  <c r="B634" i="17" s="1"/>
  <c r="B635" i="17" s="1"/>
  <c r="B636" i="17" s="1"/>
  <c r="B637" i="17" s="1"/>
  <c r="B638" i="17" s="1"/>
  <c r="B639" i="17" s="1"/>
  <c r="B640" i="17" s="1"/>
  <c r="B641" i="17" s="1"/>
  <c r="B642" i="17" s="1"/>
  <c r="B643" i="17" s="1"/>
  <c r="B644" i="17" s="1"/>
  <c r="B645" i="17" s="1"/>
  <c r="B646" i="17" s="1"/>
  <c r="B647" i="17" s="1"/>
  <c r="B648" i="17" s="1"/>
  <c r="B649" i="17" s="1"/>
  <c r="I630" i="17"/>
  <c r="I615" i="17"/>
  <c r="I644" i="17"/>
  <c r="I641" i="17"/>
  <c r="I639" i="17"/>
  <c r="I637" i="17"/>
  <c r="H612" i="17"/>
  <c r="G612" i="17"/>
  <c r="F612" i="17"/>
  <c r="I612" i="17"/>
  <c r="I605" i="17"/>
  <c r="O579" i="17" s="1"/>
  <c r="H325" i="4" s="1"/>
  <c r="I604" i="17"/>
  <c r="I603" i="17"/>
  <c r="I602" i="17"/>
  <c r="I601" i="17"/>
  <c r="I600" i="17"/>
  <c r="I599" i="17"/>
  <c r="L579" i="17" s="1"/>
  <c r="B598" i="17"/>
  <c r="B599" i="17" s="1"/>
  <c r="B600" i="17" s="1"/>
  <c r="B601" i="17" s="1"/>
  <c r="B602" i="17" s="1"/>
  <c r="B603" i="17" s="1"/>
  <c r="B604" i="17" s="1"/>
  <c r="B605" i="17" s="1"/>
  <c r="B606" i="17" s="1"/>
  <c r="I597" i="17"/>
  <c r="Q589" i="17"/>
  <c r="O589" i="17"/>
  <c r="N589" i="17"/>
  <c r="M589" i="17"/>
  <c r="L589" i="17"/>
  <c r="K589" i="17"/>
  <c r="Q588" i="17"/>
  <c r="O588" i="17"/>
  <c r="N588" i="17"/>
  <c r="M588" i="17"/>
  <c r="L588" i="17"/>
  <c r="K588" i="17"/>
  <c r="O325" i="3"/>
  <c r="M325" i="3"/>
  <c r="N325" i="3" s="1"/>
  <c r="F585" i="17"/>
  <c r="H584" i="17"/>
  <c r="Q583" i="17"/>
  <c r="O583" i="17"/>
  <c r="N583" i="17"/>
  <c r="H583" i="17"/>
  <c r="Q582" i="17"/>
  <c r="O582" i="17"/>
  <c r="H326" i="4" s="1" a="1"/>
  <c r="H326" i="4" s="1"/>
  <c r="N582" i="17"/>
  <c r="M582" i="17"/>
  <c r="L582" i="17"/>
  <c r="K582" i="17"/>
  <c r="P581" i="17"/>
  <c r="P589" i="17" s="1"/>
  <c r="P580" i="17"/>
  <c r="F580" i="17"/>
  <c r="F581" i="17" s="1"/>
  <c r="H581" i="17" s="1"/>
  <c r="P325" i="4"/>
  <c r="F578" i="17"/>
  <c r="S574" i="17"/>
  <c r="R574" i="17"/>
  <c r="Q574" i="17"/>
  <c r="P574" i="17"/>
  <c r="O574" i="17"/>
  <c r="N574" i="17"/>
  <c r="M574" i="17"/>
  <c r="L574" i="17"/>
  <c r="K574" i="17"/>
  <c r="C574" i="17"/>
  <c r="T573" i="17"/>
  <c r="A325" i="4" s="1"/>
  <c r="S573" i="17"/>
  <c r="R573" i="17"/>
  <c r="Q573" i="17"/>
  <c r="P573" i="17"/>
  <c r="O573" i="17"/>
  <c r="N573" i="17"/>
  <c r="M573" i="17"/>
  <c r="L573" i="17"/>
  <c r="K573" i="17"/>
  <c r="C573" i="17"/>
  <c r="C572" i="17"/>
  <c r="H322" i="20"/>
  <c r="G322" i="20"/>
  <c r="F322" i="20"/>
  <c r="I321" i="20"/>
  <c r="I319" i="20"/>
  <c r="I318" i="20"/>
  <c r="I317" i="20"/>
  <c r="I316" i="20"/>
  <c r="I315" i="20"/>
  <c r="I314" i="20"/>
  <c r="I313" i="20"/>
  <c r="I312" i="20"/>
  <c r="I311" i="20"/>
  <c r="I310" i="20"/>
  <c r="B310" i="20"/>
  <c r="B311" i="20" s="1"/>
  <c r="B312" i="20" s="1"/>
  <c r="B313" i="20" s="1"/>
  <c r="B314" i="20" s="1"/>
  <c r="B315" i="20" s="1"/>
  <c r="B316" i="20" s="1"/>
  <c r="B317" i="20" s="1"/>
  <c r="B318" i="20" s="1"/>
  <c r="B319" i="20" s="1"/>
  <c r="B320" i="20" s="1"/>
  <c r="B321" i="20" s="1"/>
  <c r="I309" i="20"/>
  <c r="I322" i="20" s="1"/>
  <c r="I295" i="20"/>
  <c r="I296" i="20" s="1"/>
  <c r="I287" i="20"/>
  <c r="I285" i="20"/>
  <c r="S292" i="20"/>
  <c r="R292" i="20"/>
  <c r="Q292" i="20"/>
  <c r="P292" i="20"/>
  <c r="O292" i="20"/>
  <c r="N292" i="20"/>
  <c r="M292" i="20"/>
  <c r="L292" i="20"/>
  <c r="K292" i="20"/>
  <c r="S291" i="20"/>
  <c r="R291" i="20"/>
  <c r="Q291" i="20"/>
  <c r="P291" i="20"/>
  <c r="O291" i="20"/>
  <c r="N291" i="20"/>
  <c r="M291" i="20"/>
  <c r="L291" i="20"/>
  <c r="K291" i="20"/>
  <c r="H291" i="20"/>
  <c r="G291" i="20"/>
  <c r="F291" i="20"/>
  <c r="P322" i="3" s="1"/>
  <c r="Q322" i="3" s="1"/>
  <c r="I290" i="20"/>
  <c r="I289" i="20"/>
  <c r="O266" i="20" s="1"/>
  <c r="H322" i="4" s="1"/>
  <c r="I288" i="20"/>
  <c r="I286" i="20"/>
  <c r="M266" i="20" s="1"/>
  <c r="F322" i="4" s="1"/>
  <c r="B289" i="20"/>
  <c r="B290" i="20" s="1"/>
  <c r="I284" i="20"/>
  <c r="Q276" i="20"/>
  <c r="O276" i="20"/>
  <c r="N276" i="20"/>
  <c r="M276" i="20"/>
  <c r="L276" i="20"/>
  <c r="K276" i="20"/>
  <c r="Q275" i="20"/>
  <c r="O275" i="20"/>
  <c r="N275" i="20"/>
  <c r="M275" i="20"/>
  <c r="L275" i="20"/>
  <c r="K275" i="20"/>
  <c r="O322" i="3"/>
  <c r="M322" i="3"/>
  <c r="N322" i="3" s="1"/>
  <c r="F272" i="20"/>
  <c r="H271" i="20"/>
  <c r="Q270" i="20"/>
  <c r="O270" i="20"/>
  <c r="N270" i="20"/>
  <c r="M270" i="20"/>
  <c r="K270" i="20"/>
  <c r="F270" i="20"/>
  <c r="H270" i="20" s="1"/>
  <c r="Q269" i="20"/>
  <c r="O269" i="20"/>
  <c r="H323" i="4" s="1" a="1"/>
  <c r="H323" i="4" s="1"/>
  <c r="N269" i="20"/>
  <c r="M269" i="20"/>
  <c r="F323" i="4" s="1" a="1"/>
  <c r="F323" i="4" s="1"/>
  <c r="L269" i="20"/>
  <c r="K269" i="20"/>
  <c r="P268" i="20"/>
  <c r="P276" i="20" s="1"/>
  <c r="P267" i="20"/>
  <c r="F267" i="20"/>
  <c r="F268" i="20" s="1"/>
  <c r="H268" i="20" s="1"/>
  <c r="P322" i="4"/>
  <c r="F265" i="20"/>
  <c r="S261" i="20"/>
  <c r="R261" i="20"/>
  <c r="Q261" i="20"/>
  <c r="P261" i="20"/>
  <c r="O261" i="20"/>
  <c r="N261" i="20"/>
  <c r="M261" i="20"/>
  <c r="L261" i="20"/>
  <c r="K261" i="20"/>
  <c r="C261" i="20"/>
  <c r="T260" i="20"/>
  <c r="A322" i="4" s="1"/>
  <c r="S260" i="20"/>
  <c r="R260" i="20"/>
  <c r="Q260" i="20"/>
  <c r="P260" i="20"/>
  <c r="O260" i="20"/>
  <c r="N260" i="20"/>
  <c r="M260" i="20"/>
  <c r="L260" i="20"/>
  <c r="K260" i="20"/>
  <c r="C260" i="20"/>
  <c r="C259" i="20"/>
  <c r="H1105" i="5"/>
  <c r="G1105" i="5"/>
  <c r="F1105" i="5"/>
  <c r="I1104" i="5"/>
  <c r="B1104" i="5"/>
  <c r="I1103" i="5"/>
  <c r="I1105" i="5" s="1"/>
  <c r="H1100" i="5"/>
  <c r="G1100" i="5"/>
  <c r="F1100" i="5"/>
  <c r="I1099" i="5"/>
  <c r="I1098" i="5"/>
  <c r="I1096" i="5"/>
  <c r="I1095" i="5"/>
  <c r="I1094" i="5"/>
  <c r="I1093" i="5"/>
  <c r="B1093" i="5"/>
  <c r="B1094" i="5" s="1"/>
  <c r="B1095" i="5" s="1"/>
  <c r="B1096" i="5" s="1"/>
  <c r="B1097" i="5" s="1"/>
  <c r="B1098" i="5" s="1"/>
  <c r="B1099" i="5" s="1"/>
  <c r="I1092" i="5"/>
  <c r="I1100" i="5" s="1"/>
  <c r="I1076" i="5"/>
  <c r="I1077" i="5" s="1"/>
  <c r="R1036" i="5" s="1"/>
  <c r="I1054" i="5"/>
  <c r="G1073" i="5"/>
  <c r="F1073" i="5"/>
  <c r="H1068" i="5"/>
  <c r="G1068" i="5"/>
  <c r="F1068" i="5"/>
  <c r="I1067" i="5"/>
  <c r="B1067" i="5"/>
  <c r="I1066" i="5"/>
  <c r="I1068" i="5" s="1"/>
  <c r="I1061" i="5"/>
  <c r="I1060" i="5"/>
  <c r="O1036" i="5" s="1"/>
  <c r="H319" i="4" s="1"/>
  <c r="I1059" i="5"/>
  <c r="N1036" i="5" s="1"/>
  <c r="G319" i="4" s="1"/>
  <c r="I1057" i="5"/>
  <c r="I1056" i="5"/>
  <c r="M1036" i="5" s="1"/>
  <c r="F319" i="4" s="1"/>
  <c r="B1056" i="5"/>
  <c r="B1057" i="5" s="1"/>
  <c r="B1058" i="5" s="1"/>
  <c r="B1059" i="5" s="1"/>
  <c r="B1060" i="5" s="1"/>
  <c r="B1061" i="5" s="1"/>
  <c r="I1055" i="5"/>
  <c r="Q1046" i="5"/>
  <c r="O1046" i="5"/>
  <c r="N1046" i="5"/>
  <c r="M1046" i="5"/>
  <c r="L1046" i="5"/>
  <c r="K1046" i="5"/>
  <c r="Q1045" i="5"/>
  <c r="O1045" i="5"/>
  <c r="N1045" i="5"/>
  <c r="M1045" i="5"/>
  <c r="L1045" i="5"/>
  <c r="K1045" i="5"/>
  <c r="O319" i="3"/>
  <c r="M319" i="3"/>
  <c r="N319" i="3" s="1"/>
  <c r="F1042" i="5"/>
  <c r="H1041" i="5"/>
  <c r="O1040" i="5"/>
  <c r="N1040" i="5"/>
  <c r="M1040" i="5"/>
  <c r="K1040" i="5"/>
  <c r="Q1039" i="5"/>
  <c r="O1039" i="5"/>
  <c r="H320" i="4" s="1" a="1"/>
  <c r="H320" i="4" s="1"/>
  <c r="N1039" i="5"/>
  <c r="G320" i="4" s="1" a="1"/>
  <c r="G320" i="4" s="1"/>
  <c r="M1039" i="5"/>
  <c r="F320" i="4" s="1" a="1"/>
  <c r="F320" i="4" s="1"/>
  <c r="L1039" i="5"/>
  <c r="K1039" i="5"/>
  <c r="P1038" i="5"/>
  <c r="P1046" i="5" s="1"/>
  <c r="P1037" i="5"/>
  <c r="P319" i="4"/>
  <c r="F1035" i="5"/>
  <c r="S1031" i="5"/>
  <c r="R1031" i="5"/>
  <c r="Q1031" i="5"/>
  <c r="P1031" i="5"/>
  <c r="O1031" i="5"/>
  <c r="N1031" i="5"/>
  <c r="M1031" i="5"/>
  <c r="L1031" i="5"/>
  <c r="K1031" i="5"/>
  <c r="C1031" i="5"/>
  <c r="T1030" i="5"/>
  <c r="A319" i="4" s="1"/>
  <c r="S1030" i="5"/>
  <c r="R1030" i="5"/>
  <c r="Q1030" i="5"/>
  <c r="P1030" i="5"/>
  <c r="O1030" i="5"/>
  <c r="N1030" i="5"/>
  <c r="M1030" i="5"/>
  <c r="L1030" i="5"/>
  <c r="K1030" i="5"/>
  <c r="C1030" i="5"/>
  <c r="C1029" i="5"/>
  <c r="X1027" i="12"/>
  <c r="W1027" i="12"/>
  <c r="V1027" i="12"/>
  <c r="T1027" i="12"/>
  <c r="H1026" i="12"/>
  <c r="G1026" i="12"/>
  <c r="F1026" i="12"/>
  <c r="I1025" i="12"/>
  <c r="I1024" i="12"/>
  <c r="I1023" i="12"/>
  <c r="I1022" i="12"/>
  <c r="I1021" i="12"/>
  <c r="I1020" i="12"/>
  <c r="I1019" i="12"/>
  <c r="I1018" i="12"/>
  <c r="I1017" i="12"/>
  <c r="I1016" i="12"/>
  <c r="B1016" i="12"/>
  <c r="B1017" i="12" s="1"/>
  <c r="B1018" i="12" s="1"/>
  <c r="B1019" i="12" s="1"/>
  <c r="B1020" i="12" s="1"/>
  <c r="B1021" i="12" s="1"/>
  <c r="B1022" i="12" s="1"/>
  <c r="B1023" i="12" s="1"/>
  <c r="B1024" i="12" s="1"/>
  <c r="B1025" i="12" s="1"/>
  <c r="I1015" i="12"/>
  <c r="I1026" i="12" s="1"/>
  <c r="I990" i="12"/>
  <c r="I988" i="12"/>
  <c r="I989" i="12"/>
  <c r="H1000" i="12"/>
  <c r="G1000" i="12"/>
  <c r="F1000" i="12"/>
  <c r="I1000" i="12"/>
  <c r="F969" i="12" s="1"/>
  <c r="F970" i="12" s="1"/>
  <c r="I991" i="12"/>
  <c r="O966" i="12" s="1"/>
  <c r="H337" i="4" s="1"/>
  <c r="I987" i="12"/>
  <c r="B987" i="12"/>
  <c r="I986" i="12"/>
  <c r="Q976" i="12"/>
  <c r="O976" i="12"/>
  <c r="N976" i="12"/>
  <c r="M976" i="12"/>
  <c r="L976" i="12"/>
  <c r="K976" i="12"/>
  <c r="Q975" i="12"/>
  <c r="O975" i="12"/>
  <c r="N975" i="12"/>
  <c r="M975" i="12"/>
  <c r="L975" i="12"/>
  <c r="K975" i="12"/>
  <c r="F972" i="12"/>
  <c r="H971" i="12"/>
  <c r="Q970" i="12"/>
  <c r="O970" i="12"/>
  <c r="L970" i="12"/>
  <c r="K970" i="12"/>
  <c r="H970" i="12"/>
  <c r="Q969" i="12"/>
  <c r="O969" i="12"/>
  <c r="H338" i="4" s="1" a="1"/>
  <c r="H338" i="4" s="1"/>
  <c r="N969" i="12"/>
  <c r="M969" i="12"/>
  <c r="L969" i="12"/>
  <c r="K969" i="12"/>
  <c r="P968" i="12"/>
  <c r="P976" i="12" s="1"/>
  <c r="P967" i="12"/>
  <c r="F967" i="12"/>
  <c r="F968" i="12" s="1"/>
  <c r="H968" i="12" s="1"/>
  <c r="P337" i="4"/>
  <c r="S961" i="12"/>
  <c r="R961" i="12"/>
  <c r="Q961" i="12"/>
  <c r="P961" i="12"/>
  <c r="O961" i="12"/>
  <c r="N961" i="12"/>
  <c r="M961" i="12"/>
  <c r="L961" i="12"/>
  <c r="K961" i="12"/>
  <c r="C961" i="12"/>
  <c r="T960" i="12"/>
  <c r="A337" i="4" s="1"/>
  <c r="S960" i="12"/>
  <c r="R960" i="12"/>
  <c r="Q960" i="12"/>
  <c r="P960" i="12"/>
  <c r="O960" i="12"/>
  <c r="N960" i="12"/>
  <c r="M960" i="12"/>
  <c r="L960" i="12"/>
  <c r="K960" i="12"/>
  <c r="C960" i="12"/>
  <c r="C959" i="12"/>
  <c r="X987" i="8"/>
  <c r="W987" i="8"/>
  <c r="V987" i="8"/>
  <c r="T987" i="8"/>
  <c r="H986" i="8"/>
  <c r="G986" i="8"/>
  <c r="F986" i="8"/>
  <c r="I985" i="8"/>
  <c r="I984" i="8"/>
  <c r="I983" i="8"/>
  <c r="I982" i="8"/>
  <c r="I981" i="8"/>
  <c r="I980" i="8"/>
  <c r="I977" i="8"/>
  <c r="I976" i="8"/>
  <c r="I975" i="8"/>
  <c r="I974" i="8"/>
  <c r="I973" i="8"/>
  <c r="I972" i="8"/>
  <c r="I971" i="8"/>
  <c r="B971" i="8"/>
  <c r="B972" i="8" s="1"/>
  <c r="B973" i="8" s="1"/>
  <c r="I970" i="8"/>
  <c r="I986" i="8" s="1"/>
  <c r="I947" i="8"/>
  <c r="I948" i="8" s="1"/>
  <c r="I942" i="8"/>
  <c r="I929" i="8"/>
  <c r="I943" i="8"/>
  <c r="O313" i="3"/>
  <c r="S939" i="8"/>
  <c r="R939" i="8"/>
  <c r="Q939" i="8"/>
  <c r="P939" i="8"/>
  <c r="O939" i="8"/>
  <c r="N939" i="8"/>
  <c r="M939" i="8"/>
  <c r="L939" i="8"/>
  <c r="K939" i="8"/>
  <c r="S938" i="8"/>
  <c r="R938" i="8"/>
  <c r="Q938" i="8"/>
  <c r="P938" i="8"/>
  <c r="O938" i="8"/>
  <c r="N938" i="8"/>
  <c r="M938" i="8"/>
  <c r="L938" i="8"/>
  <c r="K938" i="8"/>
  <c r="H938" i="8"/>
  <c r="G938" i="8"/>
  <c r="F938" i="8"/>
  <c r="I937" i="8"/>
  <c r="I936" i="8"/>
  <c r="O908" i="8" s="1"/>
  <c r="H328" i="4" s="1"/>
  <c r="I935" i="8"/>
  <c r="I934" i="8"/>
  <c r="N908" i="8" s="1"/>
  <c r="G328" i="4" s="1"/>
  <c r="I933" i="8"/>
  <c r="I932" i="8"/>
  <c r="I931" i="8"/>
  <c r="I930" i="8"/>
  <c r="L908" i="8" s="1"/>
  <c r="E328" i="4" s="1"/>
  <c r="I928" i="8"/>
  <c r="B928" i="8"/>
  <c r="I927" i="8"/>
  <c r="I938" i="8" s="1"/>
  <c r="Q918" i="8"/>
  <c r="O918" i="8"/>
  <c r="N918" i="8"/>
  <c r="M918" i="8"/>
  <c r="L918" i="8"/>
  <c r="K918" i="8"/>
  <c r="Q917" i="8"/>
  <c r="O917" i="8"/>
  <c r="N917" i="8"/>
  <c r="M917" i="8"/>
  <c r="L917" i="8"/>
  <c r="K917" i="8"/>
  <c r="F914" i="8"/>
  <c r="H913" i="8"/>
  <c r="Q912" i="8"/>
  <c r="O912" i="8"/>
  <c r="N912" i="8"/>
  <c r="L912" i="8"/>
  <c r="F912" i="8"/>
  <c r="H912" i="8" s="1"/>
  <c r="Q911" i="8"/>
  <c r="O911" i="8"/>
  <c r="H329" i="4" s="1" a="1"/>
  <c r="H329" i="4" s="1"/>
  <c r="N911" i="8"/>
  <c r="G329" i="4" s="1" a="1"/>
  <c r="G329" i="4" s="1"/>
  <c r="M911" i="8"/>
  <c r="L911" i="8"/>
  <c r="E329" i="4" s="1" a="1"/>
  <c r="E329" i="4" s="1"/>
  <c r="K911" i="8"/>
  <c r="P910" i="8"/>
  <c r="P918" i="8" s="1"/>
  <c r="P909" i="8"/>
  <c r="F909" i="8"/>
  <c r="F910" i="8" s="1"/>
  <c r="H910" i="8" s="1"/>
  <c r="P328" i="4"/>
  <c r="S903" i="8"/>
  <c r="R903" i="8"/>
  <c r="Q903" i="8"/>
  <c r="P903" i="8"/>
  <c r="O903" i="8"/>
  <c r="N903" i="8"/>
  <c r="M903" i="8"/>
  <c r="L903" i="8"/>
  <c r="K903" i="8"/>
  <c r="C903" i="8"/>
  <c r="T902" i="8"/>
  <c r="A328" i="4" s="1"/>
  <c r="S902" i="8"/>
  <c r="R902" i="8"/>
  <c r="Q902" i="8"/>
  <c r="P902" i="8"/>
  <c r="O902" i="8"/>
  <c r="N902" i="8"/>
  <c r="M902" i="8"/>
  <c r="L902" i="8"/>
  <c r="K902" i="8"/>
  <c r="C902" i="8"/>
  <c r="C901" i="8"/>
  <c r="G971" i="9"/>
  <c r="H837" i="8"/>
  <c r="G222" i="20"/>
  <c r="H595" i="14"/>
  <c r="L513" i="17"/>
  <c r="M513" i="17"/>
  <c r="N513" i="17"/>
  <c r="O513" i="17"/>
  <c r="P513" i="17"/>
  <c r="Q513" i="17"/>
  <c r="R513" i="17"/>
  <c r="S513" i="17"/>
  <c r="L512" i="17"/>
  <c r="M512" i="17"/>
  <c r="N512" i="17"/>
  <c r="O512" i="17"/>
  <c r="P512" i="17"/>
  <c r="Q512" i="17"/>
  <c r="R512" i="17"/>
  <c r="S512" i="17"/>
  <c r="K513" i="17"/>
  <c r="K512" i="17"/>
  <c r="F512" i="17"/>
  <c r="H512" i="17"/>
  <c r="V511" i="17"/>
  <c r="V222" i="20"/>
  <c r="V230" i="20"/>
  <c r="V922" i="12"/>
  <c r="Q955" i="9"/>
  <c r="V976" i="9"/>
  <c r="F824" i="8"/>
  <c r="F880" i="12"/>
  <c r="F567" i="14"/>
  <c r="F952" i="9"/>
  <c r="F822" i="8"/>
  <c r="F488" i="17"/>
  <c r="F958" i="5"/>
  <c r="G855" i="8"/>
  <c r="G911" i="12"/>
  <c r="G856" i="8"/>
  <c r="G593" i="14"/>
  <c r="G595" i="14" s="1"/>
  <c r="X837" i="8"/>
  <c r="G970" i="9"/>
  <c r="H924" i="12"/>
  <c r="F924" i="12"/>
  <c r="N883" i="12"/>
  <c r="O883" i="12"/>
  <c r="F918" i="12"/>
  <c r="B916" i="12"/>
  <c r="V923" i="12"/>
  <c r="I952" i="12"/>
  <c r="I951" i="12"/>
  <c r="G120" i="19"/>
  <c r="X645" i="14"/>
  <c r="W645" i="14"/>
  <c r="T645" i="14"/>
  <c r="M570" i="14"/>
  <c r="I593" i="14"/>
  <c r="B594" i="14"/>
  <c r="V839" i="8"/>
  <c r="V844" i="8"/>
  <c r="X567" i="17"/>
  <c r="V528" i="17"/>
  <c r="O491" i="17"/>
  <c r="I511" i="17"/>
  <c r="H985" i="9"/>
  <c r="G985" i="9"/>
  <c r="F985" i="9"/>
  <c r="V970" i="9"/>
  <c r="I564" i="17"/>
  <c r="I563" i="17"/>
  <c r="I562" i="17"/>
  <c r="I561" i="17"/>
  <c r="I560" i="17"/>
  <c r="X254" i="20"/>
  <c r="W254" i="20"/>
  <c r="X1024" i="5"/>
  <c r="T1024" i="5"/>
  <c r="O200" i="20"/>
  <c r="B211" i="20"/>
  <c r="B212" i="20" s="1"/>
  <c r="V211" i="20"/>
  <c r="G224" i="20"/>
  <c r="O961" i="5"/>
  <c r="V995" i="5"/>
  <c r="G995" i="5"/>
  <c r="V982" i="5"/>
  <c r="G982" i="5"/>
  <c r="V981" i="5"/>
  <c r="G921" i="12"/>
  <c r="G924" i="12" s="1"/>
  <c r="H918" i="12"/>
  <c r="H598" i="14"/>
  <c r="G844" i="8"/>
  <c r="H865" i="8"/>
  <c r="G617" i="14"/>
  <c r="G978" i="5"/>
  <c r="G976" i="5"/>
  <c r="G977" i="5"/>
  <c r="G218" i="20"/>
  <c r="G979" i="5"/>
  <c r="G837" i="8"/>
  <c r="B894" i="12"/>
  <c r="B895" i="12" s="1"/>
  <c r="V894" i="12"/>
  <c r="G917" i="12"/>
  <c r="V917" i="12"/>
  <c r="V921" i="12"/>
  <c r="G905" i="12"/>
  <c r="G947" i="12"/>
  <c r="G904" i="12"/>
  <c r="V599" i="14"/>
  <c r="I642" i="14"/>
  <c r="N955" i="9"/>
  <c r="V971" i="9"/>
  <c r="N825" i="8"/>
  <c r="G846" i="8"/>
  <c r="G845" i="8"/>
  <c r="F524" i="17"/>
  <c r="N491" i="17"/>
  <c r="V524" i="17"/>
  <c r="G524" i="17"/>
  <c r="V594" i="14"/>
  <c r="V509" i="17"/>
  <c r="G509" i="17"/>
  <c r="F594" i="14"/>
  <c r="F595" i="14" s="1"/>
  <c r="G587" i="14"/>
  <c r="V587" i="14"/>
  <c r="V840" i="8"/>
  <c r="M491" i="17"/>
  <c r="G221" i="20"/>
  <c r="G220" i="20"/>
  <c r="G219" i="20"/>
  <c r="V218" i="20"/>
  <c r="F217" i="20"/>
  <c r="N200" i="20" s="1"/>
  <c r="V217" i="20"/>
  <c r="G217" i="20"/>
  <c r="N961" i="5"/>
  <c r="V980" i="5"/>
  <c r="G980" i="5"/>
  <c r="W979" i="5"/>
  <c r="W1024" i="5" s="1"/>
  <c r="V978" i="5"/>
  <c r="G915" i="12"/>
  <c r="G918" i="12" s="1"/>
  <c r="G898" i="12"/>
  <c r="G893" i="12"/>
  <c r="G598" i="14"/>
  <c r="F581" i="14"/>
  <c r="G980" i="9"/>
  <c r="G967" i="9"/>
  <c r="G966" i="9"/>
  <c r="G840" i="8"/>
  <c r="G865" i="8"/>
  <c r="G861" i="8"/>
  <c r="G502" i="17"/>
  <c r="G215" i="20"/>
  <c r="G974" i="5"/>
  <c r="G972" i="5"/>
  <c r="G996" i="9"/>
  <c r="G854" i="8"/>
  <c r="G585" i="14"/>
  <c r="M883" i="12"/>
  <c r="G903" i="12"/>
  <c r="G902" i="12"/>
  <c r="G901" i="12"/>
  <c r="G584" i="14"/>
  <c r="I641" i="14"/>
  <c r="I640" i="14"/>
  <c r="I639" i="14"/>
  <c r="I638" i="14"/>
  <c r="I637" i="14"/>
  <c r="M955" i="9"/>
  <c r="G969" i="9"/>
  <c r="V969" i="9"/>
  <c r="V968" i="9"/>
  <c r="G968" i="9"/>
  <c r="G842" i="8"/>
  <c r="F841" i="8"/>
  <c r="M825" i="8" s="1"/>
  <c r="V841" i="8"/>
  <c r="G554" i="17"/>
  <c r="V554" i="17"/>
  <c r="G551" i="17"/>
  <c r="V507" i="17"/>
  <c r="M200" i="20"/>
  <c r="G216" i="20"/>
  <c r="G245" i="20"/>
  <c r="M961" i="5"/>
  <c r="H996" i="5"/>
  <c r="G996" i="5"/>
  <c r="F996" i="5"/>
  <c r="R961" i="5" s="1"/>
  <c r="V974" i="5"/>
  <c r="I1018" i="5"/>
  <c r="V977" i="5"/>
  <c r="V976" i="5"/>
  <c r="B230" i="20"/>
  <c r="V215" i="20"/>
  <c r="J284" i="4"/>
  <c r="G583" i="14"/>
  <c r="H337" i="11"/>
  <c r="F337" i="11"/>
  <c r="G336" i="11"/>
  <c r="G504" i="17"/>
  <c r="G506" i="17"/>
  <c r="L883" i="12"/>
  <c r="G900" i="12"/>
  <c r="G899" i="12"/>
  <c r="V898" i="12"/>
  <c r="G896" i="12"/>
  <c r="I896" i="12" s="1"/>
  <c r="I915" i="12"/>
  <c r="I629" i="14"/>
  <c r="L955" i="9"/>
  <c r="L825" i="8"/>
  <c r="V837" i="8"/>
  <c r="V865" i="8"/>
  <c r="K825" i="8"/>
  <c r="L491" i="17"/>
  <c r="H529" i="17"/>
  <c r="G529" i="17"/>
  <c r="F529" i="17"/>
  <c r="B502" i="17"/>
  <c r="B503" i="17" s="1"/>
  <c r="K491" i="17"/>
  <c r="V506" i="17"/>
  <c r="V505" i="17"/>
  <c r="G505" i="17"/>
  <c r="V504" i="17"/>
  <c r="G213" i="20"/>
  <c r="G212" i="20"/>
  <c r="B887" i="8"/>
  <c r="F211" i="20"/>
  <c r="L200" i="20" s="1"/>
  <c r="G211" i="20"/>
  <c r="L961" i="5"/>
  <c r="V975" i="5"/>
  <c r="V967" i="9"/>
  <c r="I967" i="9"/>
  <c r="L947" i="9" s="1"/>
  <c r="B972" i="5"/>
  <c r="B973" i="5" s="1"/>
  <c r="B974" i="5" s="1"/>
  <c r="B975" i="5" s="1"/>
  <c r="V972" i="5"/>
  <c r="F413" i="17"/>
  <c r="V519" i="17"/>
  <c r="G519" i="17"/>
  <c r="I519" i="17" s="1"/>
  <c r="I382" i="17"/>
  <c r="G407" i="17"/>
  <c r="F404" i="17"/>
  <c r="H539" i="17"/>
  <c r="F539" i="17"/>
  <c r="G538" i="17"/>
  <c r="I538" i="17" s="1"/>
  <c r="G518" i="17"/>
  <c r="I518" i="17" s="1"/>
  <c r="G517" i="17"/>
  <c r="I517" i="17" s="1"/>
  <c r="I532" i="17"/>
  <c r="T471" i="17"/>
  <c r="G426" i="17"/>
  <c r="G427" i="17"/>
  <c r="G520" i="17"/>
  <c r="I520" i="17" s="1"/>
  <c r="G537" i="17"/>
  <c r="G539" i="17" s="1"/>
  <c r="V417" i="17"/>
  <c r="V994" i="9"/>
  <c r="I994" i="9"/>
  <c r="F886" i="9"/>
  <c r="B885" i="9"/>
  <c r="V996" i="9"/>
  <c r="B1001" i="9"/>
  <c r="B1002" i="9" s="1"/>
  <c r="H885" i="9"/>
  <c r="H886" i="9" s="1"/>
  <c r="H997" i="9"/>
  <c r="I996" i="9"/>
  <c r="G1002" i="9"/>
  <c r="I1002" i="9" s="1"/>
  <c r="G1001" i="9"/>
  <c r="F1001" i="9"/>
  <c r="I1001" i="9" s="1"/>
  <c r="G995" i="9"/>
  <c r="I995" i="9" s="1"/>
  <c r="G891" i="9"/>
  <c r="G890" i="9"/>
  <c r="G880" i="9"/>
  <c r="F880" i="9"/>
  <c r="H1003" i="9"/>
  <c r="G1000" i="9"/>
  <c r="G1003" i="9" s="1"/>
  <c r="F1000" i="9"/>
  <c r="G993" i="9"/>
  <c r="F993" i="9"/>
  <c r="F997" i="9" s="1"/>
  <c r="I992" i="9"/>
  <c r="G991" i="9"/>
  <c r="I991" i="9" s="1"/>
  <c r="G990" i="9"/>
  <c r="G997" i="9" s="1"/>
  <c r="I989" i="9"/>
  <c r="B989" i="9"/>
  <c r="B990" i="9" s="1"/>
  <c r="B991" i="9" s="1"/>
  <c r="B992" i="9" s="1"/>
  <c r="B993" i="9" s="1"/>
  <c r="B995" i="9" s="1"/>
  <c r="B996" i="9" s="1"/>
  <c r="I988" i="9"/>
  <c r="G872" i="9"/>
  <c r="G869" i="9"/>
  <c r="G497" i="14"/>
  <c r="G496" i="14"/>
  <c r="G491" i="14"/>
  <c r="G490" i="14"/>
  <c r="I618" i="14"/>
  <c r="G508" i="14"/>
  <c r="G503" i="14"/>
  <c r="H619" i="14"/>
  <c r="F619" i="14"/>
  <c r="I617" i="14"/>
  <c r="G616" i="14"/>
  <c r="I616" i="14" s="1"/>
  <c r="B616" i="14"/>
  <c r="B617" i="14" s="1"/>
  <c r="B618" i="14" s="1"/>
  <c r="G615" i="14"/>
  <c r="H612" i="14"/>
  <c r="G611" i="14"/>
  <c r="I611" i="14" s="1"/>
  <c r="G610" i="14"/>
  <c r="I610" i="14" s="1"/>
  <c r="G609" i="14"/>
  <c r="I609" i="14" s="1"/>
  <c r="I608" i="14"/>
  <c r="G607" i="14"/>
  <c r="I607" i="14" s="1"/>
  <c r="G606" i="14"/>
  <c r="F606" i="14"/>
  <c r="G605" i="14"/>
  <c r="I605" i="14" s="1"/>
  <c r="G604" i="14"/>
  <c r="I604" i="14" s="1"/>
  <c r="B604" i="14"/>
  <c r="B605" i="14" s="1"/>
  <c r="B606" i="14" s="1"/>
  <c r="B607" i="14" s="1"/>
  <c r="B608" i="14" s="1"/>
  <c r="B609" i="14" s="1"/>
  <c r="B610" i="14" s="1"/>
  <c r="B611" i="14" s="1"/>
  <c r="G603" i="14"/>
  <c r="H521" i="14"/>
  <c r="F515" i="14"/>
  <c r="F521" i="14" s="1"/>
  <c r="G151" i="20"/>
  <c r="G147" i="20"/>
  <c r="G143" i="20"/>
  <c r="H236" i="20"/>
  <c r="F236" i="20"/>
  <c r="B235" i="20"/>
  <c r="G235" i="20"/>
  <c r="I235" i="20" s="1"/>
  <c r="G234" i="20"/>
  <c r="G236" i="20" s="1"/>
  <c r="V1004" i="5"/>
  <c r="G991" i="5"/>
  <c r="I991" i="5" s="1"/>
  <c r="V905" i="5"/>
  <c r="I891" i="5"/>
  <c r="V891" i="5"/>
  <c r="G889" i="5"/>
  <c r="P877" i="9"/>
  <c r="T863" i="12"/>
  <c r="T805" i="8"/>
  <c r="H1010" i="5"/>
  <c r="F1010" i="5"/>
  <c r="G1009" i="5"/>
  <c r="I1009" i="5" s="1"/>
  <c r="B1009" i="5"/>
  <c r="G1008" i="5"/>
  <c r="G990" i="5"/>
  <c r="I990" i="5" s="1"/>
  <c r="G1004" i="5"/>
  <c r="I1004" i="5" s="1"/>
  <c r="G989" i="5"/>
  <c r="I989" i="5" s="1"/>
  <c r="G1003" i="5"/>
  <c r="I1003" i="5" s="1"/>
  <c r="G988" i="5"/>
  <c r="I988" i="5" s="1"/>
  <c r="I987" i="5"/>
  <c r="G1002" i="5"/>
  <c r="F1002" i="5"/>
  <c r="F1001" i="5"/>
  <c r="F1005" i="5" s="1"/>
  <c r="H1000" i="5"/>
  <c r="G1000" i="5"/>
  <c r="G1005" i="5" s="1"/>
  <c r="B1000" i="5"/>
  <c r="B1001" i="5" s="1"/>
  <c r="H999" i="5"/>
  <c r="H924" i="5"/>
  <c r="F924" i="5"/>
  <c r="B923" i="5"/>
  <c r="V911" i="12"/>
  <c r="I911" i="12"/>
  <c r="G810" i="12"/>
  <c r="G809" i="12"/>
  <c r="G804" i="12"/>
  <c r="G801" i="12"/>
  <c r="H935" i="12"/>
  <c r="F935" i="12"/>
  <c r="G930" i="12"/>
  <c r="I930" i="12" s="1"/>
  <c r="G934" i="12"/>
  <c r="G929" i="12"/>
  <c r="I929" i="12" s="1"/>
  <c r="G928" i="12"/>
  <c r="I928" i="12" s="1"/>
  <c r="G910" i="12"/>
  <c r="F910" i="12"/>
  <c r="G927" i="12"/>
  <c r="G931" i="12" s="1"/>
  <c r="H842" i="12"/>
  <c r="F842" i="12"/>
  <c r="H837" i="12"/>
  <c r="B834" i="12"/>
  <c r="B835" i="12" s="1"/>
  <c r="B836" i="12" s="1"/>
  <c r="B824" i="12"/>
  <c r="H824" i="12"/>
  <c r="G526" i="14"/>
  <c r="G833" i="12"/>
  <c r="I854" i="8"/>
  <c r="G857" i="8"/>
  <c r="I857" i="8" s="1"/>
  <c r="I856" i="8"/>
  <c r="I855" i="8"/>
  <c r="H769" i="8"/>
  <c r="G766" i="8"/>
  <c r="G749" i="8"/>
  <c r="F748" i="8"/>
  <c r="G763" i="8"/>
  <c r="H763" i="8"/>
  <c r="F763" i="8"/>
  <c r="G742" i="8"/>
  <c r="G431" i="17"/>
  <c r="G406" i="17"/>
  <c r="G580" i="14"/>
  <c r="G894" i="12"/>
  <c r="K883" i="12"/>
  <c r="G895" i="12"/>
  <c r="V893" i="12"/>
  <c r="I893" i="12"/>
  <c r="K570" i="14"/>
  <c r="V583" i="14"/>
  <c r="V582" i="14"/>
  <c r="V645" i="14" s="1"/>
  <c r="G582" i="14"/>
  <c r="K955" i="9"/>
  <c r="V965" i="9"/>
  <c r="V966" i="9"/>
  <c r="I966" i="9"/>
  <c r="G887" i="8"/>
  <c r="V887" i="8"/>
  <c r="V861" i="8"/>
  <c r="G544" i="17"/>
  <c r="W544" i="17"/>
  <c r="W567" i="17"/>
  <c r="V502" i="17"/>
  <c r="V501" i="17"/>
  <c r="V567" i="17" s="1"/>
  <c r="O730" i="8"/>
  <c r="V210" i="20"/>
  <c r="F210" i="20"/>
  <c r="K200" i="20" s="1"/>
  <c r="G229" i="20"/>
  <c r="V229" i="20"/>
  <c r="B309" i="4"/>
  <c r="E306" i="4"/>
  <c r="B306" i="4"/>
  <c r="B303" i="4"/>
  <c r="B300" i="4"/>
  <c r="B297" i="4"/>
  <c r="B294" i="4"/>
  <c r="B291" i="4"/>
  <c r="E304" i="3"/>
  <c r="C304" i="3"/>
  <c r="K301" i="3"/>
  <c r="D301" i="3"/>
  <c r="E301" i="3"/>
  <c r="F301" i="3"/>
  <c r="C301" i="3"/>
  <c r="D298" i="3"/>
  <c r="E298" i="3"/>
  <c r="F298" i="3"/>
  <c r="G298" i="3"/>
  <c r="C298" i="3"/>
  <c r="D295" i="3"/>
  <c r="E295" i="3"/>
  <c r="F295" i="3"/>
  <c r="G295" i="3"/>
  <c r="C295" i="3"/>
  <c r="D292" i="3"/>
  <c r="E292" i="3"/>
  <c r="F292" i="3"/>
  <c r="G292" i="3"/>
  <c r="D289" i="3"/>
  <c r="E289" i="3"/>
  <c r="F289" i="3"/>
  <c r="G289" i="3"/>
  <c r="C289" i="3"/>
  <c r="K286" i="3"/>
  <c r="D286" i="3"/>
  <c r="E286" i="3"/>
  <c r="F286" i="3"/>
  <c r="C286" i="3"/>
  <c r="P321" i="11"/>
  <c r="P955" i="9"/>
  <c r="H301" i="3" s="1"/>
  <c r="P491" i="17"/>
  <c r="H298" i="3" s="1"/>
  <c r="P200" i="20"/>
  <c r="H295" i="3" s="1"/>
  <c r="P883" i="12"/>
  <c r="H289" i="3" s="1"/>
  <c r="P825" i="8"/>
  <c r="H286" i="3" s="1"/>
  <c r="K961" i="5"/>
  <c r="G973" i="5"/>
  <c r="V973" i="5"/>
  <c r="G1013" i="5"/>
  <c r="V971" i="5"/>
  <c r="V1024" i="5" s="1"/>
  <c r="G816" i="12"/>
  <c r="G769" i="8"/>
  <c r="G882" i="8"/>
  <c r="I882" i="8" s="1"/>
  <c r="B882" i="8"/>
  <c r="G881" i="8"/>
  <c r="G883" i="8" s="1"/>
  <c r="H878" i="8"/>
  <c r="G853" i="8"/>
  <c r="I853" i="8" s="1"/>
  <c r="G877" i="8"/>
  <c r="I877" i="8" s="1"/>
  <c r="G876" i="8"/>
  <c r="I876" i="8" s="1"/>
  <c r="G852" i="8"/>
  <c r="I852" i="8" s="1"/>
  <c r="G875" i="8"/>
  <c r="I875" i="8" s="1"/>
  <c r="G874" i="8"/>
  <c r="I874" i="8" s="1"/>
  <c r="G873" i="8"/>
  <c r="I873" i="8" s="1"/>
  <c r="G872" i="8"/>
  <c r="I872" i="8" s="1"/>
  <c r="I871" i="8"/>
  <c r="G870" i="8"/>
  <c r="I870" i="8" s="1"/>
  <c r="G851" i="8"/>
  <c r="I851" i="8" s="1"/>
  <c r="G869" i="8"/>
  <c r="B757" i="8"/>
  <c r="V784" i="8"/>
  <c r="G767" i="8"/>
  <c r="N874" i="5"/>
  <c r="G519" i="14"/>
  <c r="G145" i="19"/>
  <c r="I145" i="19" s="1"/>
  <c r="F802" i="8"/>
  <c r="V802" i="8"/>
  <c r="F741" i="8"/>
  <c r="S499" i="14"/>
  <c r="R499" i="14"/>
  <c r="Q499" i="14"/>
  <c r="P499" i="14"/>
  <c r="O499" i="14"/>
  <c r="N499" i="14"/>
  <c r="M499" i="14"/>
  <c r="L499" i="14"/>
  <c r="S498" i="14"/>
  <c r="R498" i="14"/>
  <c r="Q498" i="14"/>
  <c r="P498" i="14"/>
  <c r="O498" i="14"/>
  <c r="N498" i="14"/>
  <c r="M498" i="14"/>
  <c r="L498" i="14"/>
  <c r="K499" i="14"/>
  <c r="K498" i="14"/>
  <c r="H498" i="14"/>
  <c r="F498" i="14"/>
  <c r="V497" i="14"/>
  <c r="X550" i="14"/>
  <c r="T550" i="14"/>
  <c r="X935" i="9"/>
  <c r="W935" i="9"/>
  <c r="T935" i="9"/>
  <c r="S410" i="17"/>
  <c r="R410" i="17"/>
  <c r="Q410" i="17"/>
  <c r="P410" i="17"/>
  <c r="O410" i="17"/>
  <c r="N410" i="17"/>
  <c r="M410" i="17"/>
  <c r="L410" i="17"/>
  <c r="S409" i="17"/>
  <c r="R409" i="17"/>
  <c r="Q409" i="17"/>
  <c r="P409" i="17"/>
  <c r="O409" i="17"/>
  <c r="N409" i="17"/>
  <c r="M409" i="17"/>
  <c r="L409" i="17"/>
  <c r="K410" i="17"/>
  <c r="K409" i="17"/>
  <c r="H409" i="17"/>
  <c r="V408" i="17"/>
  <c r="V407" i="17"/>
  <c r="H770" i="8"/>
  <c r="F770" i="8"/>
  <c r="G747" i="8"/>
  <c r="I747" i="8"/>
  <c r="V747" i="8"/>
  <c r="V749" i="8"/>
  <c r="V891" i="9"/>
  <c r="I307" i="3"/>
  <c r="K307" i="3"/>
  <c r="G307" i="3"/>
  <c r="E307" i="3"/>
  <c r="D307" i="3"/>
  <c r="B312" i="4"/>
  <c r="V431" i="17"/>
  <c r="Q388" i="17"/>
  <c r="V413" i="17"/>
  <c r="V816" i="12"/>
  <c r="H644" i="14"/>
  <c r="G644" i="14"/>
  <c r="F644" i="14"/>
  <c r="I643" i="14"/>
  <c r="I636" i="14"/>
  <c r="I635" i="14"/>
  <c r="I634" i="14"/>
  <c r="I633" i="14"/>
  <c r="I632" i="14"/>
  <c r="I631" i="14"/>
  <c r="I630" i="14"/>
  <c r="I628" i="14"/>
  <c r="I627" i="14"/>
  <c r="I626" i="14"/>
  <c r="I625" i="14"/>
  <c r="I624" i="14"/>
  <c r="I623" i="14"/>
  <c r="B623" i="14"/>
  <c r="B624" i="14" s="1"/>
  <c r="B625" i="14" s="1"/>
  <c r="B626" i="14" s="1"/>
  <c r="B627" i="14" s="1"/>
  <c r="B628" i="14" s="1"/>
  <c r="B629" i="14" s="1"/>
  <c r="B630" i="14" s="1"/>
  <c r="B631" i="14" s="1"/>
  <c r="B632" i="14" s="1"/>
  <c r="B633" i="14" s="1"/>
  <c r="B634" i="14" s="1"/>
  <c r="B635" i="14" s="1"/>
  <c r="B636" i="14" s="1"/>
  <c r="I622" i="14"/>
  <c r="I644" i="14" s="1"/>
  <c r="H600" i="14"/>
  <c r="G600" i="14"/>
  <c r="F600" i="14"/>
  <c r="I599" i="14"/>
  <c r="B599" i="14"/>
  <c r="I598" i="14"/>
  <c r="I600" i="14" s="1"/>
  <c r="S590" i="14"/>
  <c r="R590" i="14"/>
  <c r="Q590" i="14"/>
  <c r="P590" i="14"/>
  <c r="O590" i="14"/>
  <c r="N590" i="14"/>
  <c r="M590" i="14"/>
  <c r="L590" i="14"/>
  <c r="K590" i="14"/>
  <c r="S589" i="14"/>
  <c r="R589" i="14"/>
  <c r="Q589" i="14"/>
  <c r="P589" i="14"/>
  <c r="O589" i="14"/>
  <c r="N589" i="14"/>
  <c r="M589" i="14"/>
  <c r="L589" i="14"/>
  <c r="K589" i="14"/>
  <c r="H589" i="14"/>
  <c r="G589" i="14"/>
  <c r="F589" i="14"/>
  <c r="P304" i="3" s="1"/>
  <c r="I588" i="14"/>
  <c r="I587" i="14"/>
  <c r="I586" i="14"/>
  <c r="I585" i="14"/>
  <c r="I584" i="14"/>
  <c r="M562" i="14" s="1"/>
  <c r="I583" i="14"/>
  <c r="I582" i="14"/>
  <c r="I581" i="14"/>
  <c r="B581" i="14"/>
  <c r="B582" i="14" s="1"/>
  <c r="B583" i="14" s="1"/>
  <c r="B584" i="14" s="1"/>
  <c r="B585" i="14" s="1"/>
  <c r="B586" i="14" s="1"/>
  <c r="B587" i="14" s="1"/>
  <c r="B588" i="14" s="1"/>
  <c r="I580" i="14"/>
  <c r="Q572" i="14"/>
  <c r="O572" i="14"/>
  <c r="N572" i="14"/>
  <c r="M572" i="14"/>
  <c r="L572" i="14"/>
  <c r="K572" i="14"/>
  <c r="Q571" i="14"/>
  <c r="O571" i="14"/>
  <c r="N571" i="14"/>
  <c r="M571" i="14"/>
  <c r="L571" i="14"/>
  <c r="K571" i="14"/>
  <c r="O304" i="3"/>
  <c r="R570" i="14"/>
  <c r="M304" i="3" s="1"/>
  <c r="F568" i="14"/>
  <c r="H567" i="14"/>
  <c r="Q566" i="14"/>
  <c r="O566" i="14"/>
  <c r="L566" i="14"/>
  <c r="F566" i="14"/>
  <c r="H566" i="14" s="1"/>
  <c r="Q565" i="14"/>
  <c r="O565" i="14"/>
  <c r="N565" i="14"/>
  <c r="M565" i="14"/>
  <c r="L565" i="14"/>
  <c r="K565" i="14"/>
  <c r="P564" i="14"/>
  <c r="P572" i="14" s="1"/>
  <c r="P563" i="14"/>
  <c r="F563" i="14"/>
  <c r="F564" i="14" s="1"/>
  <c r="H564" i="14" s="1"/>
  <c r="P309" i="4"/>
  <c r="F561" i="14"/>
  <c r="S557" i="14"/>
  <c r="R557" i="14"/>
  <c r="Q557" i="14"/>
  <c r="P557" i="14"/>
  <c r="O557" i="14"/>
  <c r="N557" i="14"/>
  <c r="M557" i="14"/>
  <c r="L557" i="14"/>
  <c r="K557" i="14"/>
  <c r="C557" i="14"/>
  <c r="T556" i="14"/>
  <c r="A309" i="4" s="1"/>
  <c r="S556" i="14"/>
  <c r="R556" i="14"/>
  <c r="Q556" i="14"/>
  <c r="P556" i="14"/>
  <c r="O556" i="14"/>
  <c r="N556" i="14"/>
  <c r="M556" i="14"/>
  <c r="L556" i="14"/>
  <c r="K556" i="14"/>
  <c r="C556" i="14"/>
  <c r="C555" i="14"/>
  <c r="X338" i="11"/>
  <c r="W338" i="11"/>
  <c r="V338" i="11"/>
  <c r="T338" i="11"/>
  <c r="S333" i="11"/>
  <c r="R333" i="11"/>
  <c r="Q333" i="11"/>
  <c r="P333" i="11"/>
  <c r="O333" i="11"/>
  <c r="N333" i="11"/>
  <c r="M333" i="11"/>
  <c r="L333" i="11"/>
  <c r="K333" i="11"/>
  <c r="S332" i="11"/>
  <c r="R332" i="11"/>
  <c r="Q332" i="11"/>
  <c r="P332" i="11"/>
  <c r="O332" i="11"/>
  <c r="N332" i="11"/>
  <c r="M332" i="11"/>
  <c r="L332" i="11"/>
  <c r="K332" i="11"/>
  <c r="H332" i="11"/>
  <c r="G332" i="11"/>
  <c r="F332" i="11"/>
  <c r="I331" i="11"/>
  <c r="I332" i="11" s="1"/>
  <c r="G311" i="11" s="1"/>
  <c r="Q323" i="11"/>
  <c r="O323" i="11"/>
  <c r="N323" i="11"/>
  <c r="M323" i="11"/>
  <c r="L323" i="11"/>
  <c r="K323" i="11"/>
  <c r="Q322" i="11"/>
  <c r="O322" i="11"/>
  <c r="N322" i="11"/>
  <c r="M322" i="11"/>
  <c r="L322" i="11"/>
  <c r="K322" i="11"/>
  <c r="F319" i="11"/>
  <c r="H318" i="11"/>
  <c r="Q317" i="11"/>
  <c r="O317" i="11"/>
  <c r="N317" i="11"/>
  <c r="M317" i="11"/>
  <c r="L317" i="11"/>
  <c r="K317" i="11"/>
  <c r="F317" i="11"/>
  <c r="H317" i="11" s="1"/>
  <c r="Q316" i="11"/>
  <c r="O316" i="11"/>
  <c r="N316" i="11"/>
  <c r="M316" i="11"/>
  <c r="L316" i="11"/>
  <c r="K316" i="11"/>
  <c r="P315" i="11"/>
  <c r="P323" i="11" s="1"/>
  <c r="P314" i="11"/>
  <c r="F314" i="11"/>
  <c r="F315" i="11" s="1"/>
  <c r="H315" i="11" s="1"/>
  <c r="P313" i="11"/>
  <c r="P317" i="11" s="1"/>
  <c r="F312" i="11"/>
  <c r="F311" i="11"/>
  <c r="F313" i="11" s="1"/>
  <c r="H313" i="11" s="1"/>
  <c r="C311" i="11"/>
  <c r="S308" i="11"/>
  <c r="R308" i="11"/>
  <c r="Q308" i="11"/>
  <c r="P308" i="11"/>
  <c r="O308" i="11"/>
  <c r="N308" i="11"/>
  <c r="M308" i="11"/>
  <c r="L308" i="11"/>
  <c r="K308" i="11"/>
  <c r="C308" i="11"/>
  <c r="T307" i="11"/>
  <c r="S307" i="11"/>
  <c r="R307" i="11"/>
  <c r="Q307" i="11"/>
  <c r="P307" i="11"/>
  <c r="O307" i="11"/>
  <c r="N307" i="11"/>
  <c r="M307" i="11"/>
  <c r="L307" i="11"/>
  <c r="K307" i="11"/>
  <c r="C307" i="11"/>
  <c r="C306" i="11"/>
  <c r="X1023" i="9"/>
  <c r="W1023" i="9"/>
  <c r="V1023" i="9"/>
  <c r="T1023" i="9"/>
  <c r="H1022" i="9"/>
  <c r="G1022" i="9"/>
  <c r="F1022" i="9"/>
  <c r="I1021" i="9"/>
  <c r="I1020" i="9"/>
  <c r="I1019" i="9"/>
  <c r="I1018" i="9"/>
  <c r="B1018" i="9"/>
  <c r="B1019" i="9" s="1"/>
  <c r="B1020" i="9" s="1"/>
  <c r="B1021" i="9" s="1"/>
  <c r="I1017" i="9"/>
  <c r="I1022" i="9" s="1"/>
  <c r="H1014" i="9"/>
  <c r="G1014" i="9"/>
  <c r="F1014" i="9"/>
  <c r="I1013" i="9"/>
  <c r="I1012" i="9"/>
  <c r="I1011" i="9"/>
  <c r="I1010" i="9"/>
  <c r="I1009" i="9"/>
  <c r="I1008" i="9"/>
  <c r="I1007" i="9"/>
  <c r="B1007" i="9"/>
  <c r="B1008" i="9" s="1"/>
  <c r="B1009" i="9" s="1"/>
  <c r="B1010" i="9" s="1"/>
  <c r="B1011" i="9" s="1"/>
  <c r="B1012" i="9" s="1"/>
  <c r="B1013" i="9" s="1"/>
  <c r="I1006" i="9"/>
  <c r="I1014" i="9" s="1"/>
  <c r="I984" i="9"/>
  <c r="I985" i="9" s="1"/>
  <c r="I970" i="9"/>
  <c r="H981" i="9"/>
  <c r="G981" i="9"/>
  <c r="F981" i="9"/>
  <c r="I980" i="9"/>
  <c r="I981" i="9" s="1"/>
  <c r="H977" i="9"/>
  <c r="G977" i="9"/>
  <c r="F977" i="9"/>
  <c r="I976" i="9"/>
  <c r="S973" i="9"/>
  <c r="R973" i="9"/>
  <c r="Q973" i="9"/>
  <c r="P973" i="9"/>
  <c r="O973" i="9"/>
  <c r="N973" i="9"/>
  <c r="M973" i="9"/>
  <c r="L973" i="9"/>
  <c r="K973" i="9"/>
  <c r="S972" i="9"/>
  <c r="R972" i="9"/>
  <c r="Q972" i="9"/>
  <c r="P972" i="9"/>
  <c r="O972" i="9"/>
  <c r="N972" i="9"/>
  <c r="M972" i="9"/>
  <c r="L972" i="9"/>
  <c r="K972" i="9"/>
  <c r="H972" i="9"/>
  <c r="G972" i="9"/>
  <c r="F972" i="9"/>
  <c r="P301" i="3" s="1"/>
  <c r="I971" i="9"/>
  <c r="N947" i="9" s="1"/>
  <c r="G306" i="4" s="1"/>
  <c r="I969" i="9"/>
  <c r="I968" i="9"/>
  <c r="B966" i="9"/>
  <c r="B967" i="9" s="1"/>
  <c r="B968" i="9" s="1"/>
  <c r="B969" i="9" s="1"/>
  <c r="I965" i="9"/>
  <c r="Q957" i="9"/>
  <c r="O957" i="9"/>
  <c r="N957" i="9"/>
  <c r="M957" i="9"/>
  <c r="L957" i="9"/>
  <c r="K957" i="9"/>
  <c r="Q956" i="9"/>
  <c r="O956" i="9"/>
  <c r="N956" i="9"/>
  <c r="M956" i="9"/>
  <c r="L956" i="9"/>
  <c r="K956" i="9"/>
  <c r="O301" i="3"/>
  <c r="R955" i="9"/>
  <c r="M301" i="3" s="1"/>
  <c r="F953" i="9"/>
  <c r="H952" i="9"/>
  <c r="O951" i="9"/>
  <c r="N951" i="9"/>
  <c r="L951" i="9"/>
  <c r="F951" i="9"/>
  <c r="H951" i="9" s="1"/>
  <c r="Q950" i="9"/>
  <c r="O950" i="9"/>
  <c r="N950" i="9"/>
  <c r="G307" i="4" s="1" a="1"/>
  <c r="G307" i="4" s="1"/>
  <c r="M950" i="9"/>
  <c r="L950" i="9"/>
  <c r="E307" i="4" s="1" a="1"/>
  <c r="E307" i="4" s="1"/>
  <c r="K950" i="9"/>
  <c r="P949" i="9"/>
  <c r="P957" i="9" s="1"/>
  <c r="P948" i="9"/>
  <c r="P306" i="4"/>
  <c r="F946" i="9"/>
  <c r="S942" i="9"/>
  <c r="R942" i="9"/>
  <c r="Q942" i="9"/>
  <c r="P942" i="9"/>
  <c r="O942" i="9"/>
  <c r="N942" i="9"/>
  <c r="M942" i="9"/>
  <c r="L942" i="9"/>
  <c r="K942" i="9"/>
  <c r="C942" i="9"/>
  <c r="T941" i="9"/>
  <c r="A306" i="4" s="1"/>
  <c r="S941" i="9"/>
  <c r="R941" i="9"/>
  <c r="Q941" i="9"/>
  <c r="P941" i="9"/>
  <c r="O941" i="9"/>
  <c r="N941" i="9"/>
  <c r="M941" i="9"/>
  <c r="L941" i="9"/>
  <c r="K941" i="9"/>
  <c r="C941" i="9"/>
  <c r="C940" i="9"/>
  <c r="H566" i="17"/>
  <c r="G566" i="17"/>
  <c r="F566" i="17"/>
  <c r="I565" i="17"/>
  <c r="I559" i="17"/>
  <c r="I558" i="17"/>
  <c r="I557" i="17"/>
  <c r="I556" i="17"/>
  <c r="I555" i="17"/>
  <c r="I553" i="17"/>
  <c r="I552" i="17"/>
  <c r="I551" i="17"/>
  <c r="I550" i="17"/>
  <c r="I549" i="17"/>
  <c r="I548" i="17"/>
  <c r="I547" i="17"/>
  <c r="I546" i="17"/>
  <c r="I545" i="17"/>
  <c r="I543" i="17"/>
  <c r="B543" i="17"/>
  <c r="I542" i="17"/>
  <c r="I554" i="17"/>
  <c r="I528" i="17"/>
  <c r="I544" i="17"/>
  <c r="I502" i="17"/>
  <c r="H525" i="17"/>
  <c r="G525" i="17"/>
  <c r="F525" i="17"/>
  <c r="I524" i="17"/>
  <c r="H521" i="17"/>
  <c r="G521" i="17"/>
  <c r="F521" i="17"/>
  <c r="I510" i="17"/>
  <c r="O483" i="17" s="1"/>
  <c r="H303" i="4" s="1"/>
  <c r="I509" i="17"/>
  <c r="I508" i="17"/>
  <c r="I507" i="17"/>
  <c r="I506" i="17"/>
  <c r="I505" i="17"/>
  <c r="I504" i="17"/>
  <c r="I503" i="17"/>
  <c r="B504" i="17"/>
  <c r="B505" i="17" s="1"/>
  <c r="B506" i="17" s="1"/>
  <c r="B507" i="17" s="1"/>
  <c r="B508" i="17" s="1"/>
  <c r="B509" i="17" s="1"/>
  <c r="B510" i="17" s="1"/>
  <c r="B511" i="17" s="1"/>
  <c r="I501" i="17"/>
  <c r="I512" i="17" s="1"/>
  <c r="Q493" i="17"/>
  <c r="O493" i="17"/>
  <c r="N493" i="17"/>
  <c r="M493" i="17"/>
  <c r="L493" i="17"/>
  <c r="K493" i="17"/>
  <c r="Q492" i="17"/>
  <c r="O492" i="17"/>
  <c r="N492" i="17"/>
  <c r="M492" i="17"/>
  <c r="L492" i="17"/>
  <c r="K492" i="17"/>
  <c r="O298" i="3"/>
  <c r="R491" i="17"/>
  <c r="M298" i="3" s="1"/>
  <c r="F489" i="17"/>
  <c r="H488" i="17"/>
  <c r="Q487" i="17"/>
  <c r="O487" i="17"/>
  <c r="Q486" i="17"/>
  <c r="O486" i="17"/>
  <c r="H304" i="4" s="1" a="1"/>
  <c r="H304" i="4" s="1"/>
  <c r="N486" i="17"/>
  <c r="M486" i="17"/>
  <c r="L486" i="17"/>
  <c r="K486" i="17"/>
  <c r="P485" i="17"/>
  <c r="P493" i="17" s="1"/>
  <c r="P484" i="17"/>
  <c r="F484" i="17"/>
  <c r="F485" i="17" s="1"/>
  <c r="H485" i="17" s="1"/>
  <c r="P303" i="4"/>
  <c r="F482" i="17"/>
  <c r="S478" i="17"/>
  <c r="R478" i="17"/>
  <c r="Q478" i="17"/>
  <c r="P478" i="17"/>
  <c r="O478" i="17"/>
  <c r="N478" i="17"/>
  <c r="M478" i="17"/>
  <c r="L478" i="17"/>
  <c r="K478" i="17"/>
  <c r="C478" i="17"/>
  <c r="T477" i="17"/>
  <c r="A303" i="4" s="1"/>
  <c r="S477" i="17"/>
  <c r="R477" i="17"/>
  <c r="Q477" i="17"/>
  <c r="P477" i="17"/>
  <c r="O477" i="17"/>
  <c r="N477" i="17"/>
  <c r="M477" i="17"/>
  <c r="L477" i="17"/>
  <c r="K477" i="17"/>
  <c r="C477" i="17"/>
  <c r="C476" i="17"/>
  <c r="H253" i="20"/>
  <c r="G253" i="20"/>
  <c r="F253" i="20"/>
  <c r="I252" i="20"/>
  <c r="I251" i="20"/>
  <c r="I250" i="20"/>
  <c r="I249" i="20"/>
  <c r="I248" i="20"/>
  <c r="I247" i="20"/>
  <c r="I246" i="20"/>
  <c r="I245" i="20"/>
  <c r="I244" i="20"/>
  <c r="I243" i="20"/>
  <c r="I242" i="20"/>
  <c r="I241" i="20"/>
  <c r="I240" i="20"/>
  <c r="B240" i="20"/>
  <c r="B241" i="20" s="1"/>
  <c r="B242" i="20" s="1"/>
  <c r="B243" i="20" s="1"/>
  <c r="B244" i="20" s="1"/>
  <c r="B245" i="20" s="1"/>
  <c r="B246" i="20" s="1"/>
  <c r="B247" i="20" s="1"/>
  <c r="B248" i="20" s="1"/>
  <c r="B249" i="20" s="1"/>
  <c r="B250" i="20" s="1"/>
  <c r="B251" i="20" s="1"/>
  <c r="B252" i="20" s="1"/>
  <c r="I239" i="20"/>
  <c r="I253" i="20" s="1"/>
  <c r="H231" i="20"/>
  <c r="G231" i="20"/>
  <c r="F231" i="20"/>
  <c r="R200" i="20" s="1"/>
  <c r="I222" i="20"/>
  <c r="I230" i="20"/>
  <c r="I215" i="20"/>
  <c r="I229" i="20"/>
  <c r="I231" i="20" s="1"/>
  <c r="I211" i="20"/>
  <c r="S226" i="20"/>
  <c r="R226" i="20"/>
  <c r="Q226" i="20"/>
  <c r="P226" i="20"/>
  <c r="O226" i="20"/>
  <c r="N226" i="20"/>
  <c r="M226" i="20"/>
  <c r="L226" i="20"/>
  <c r="K226" i="20"/>
  <c r="S225" i="20"/>
  <c r="R225" i="20"/>
  <c r="Q225" i="20"/>
  <c r="P225" i="20"/>
  <c r="O225" i="20"/>
  <c r="N225" i="20"/>
  <c r="M225" i="20"/>
  <c r="L225" i="20"/>
  <c r="K225" i="20"/>
  <c r="H225" i="20"/>
  <c r="G225" i="20"/>
  <c r="F225" i="20"/>
  <c r="P295" i="3" s="1"/>
  <c r="I224" i="20"/>
  <c r="I223" i="20"/>
  <c r="O192" i="20" s="1"/>
  <c r="H300" i="4" s="1"/>
  <c r="I221" i="20"/>
  <c r="I220" i="20"/>
  <c r="I219" i="20"/>
  <c r="I218" i="20"/>
  <c r="I217" i="20"/>
  <c r="I216" i="20"/>
  <c r="M192" i="20" s="1"/>
  <c r="F300" i="4" s="1"/>
  <c r="I214" i="20"/>
  <c r="I213" i="20"/>
  <c r="I212" i="20"/>
  <c r="L192" i="20" s="1"/>
  <c r="E300" i="4" s="1"/>
  <c r="B213" i="20"/>
  <c r="B214" i="20" s="1"/>
  <c r="B215" i="20" s="1"/>
  <c r="B216" i="20" s="1"/>
  <c r="B217" i="20" s="1"/>
  <c r="B218" i="20" s="1"/>
  <c r="B219" i="20" s="1"/>
  <c r="B220" i="20" s="1"/>
  <c r="B221" i="20" s="1"/>
  <c r="I210" i="20"/>
  <c r="Q202" i="20"/>
  <c r="O202" i="20"/>
  <c r="N202" i="20"/>
  <c r="M202" i="20"/>
  <c r="L202" i="20"/>
  <c r="K202" i="20"/>
  <c r="Q201" i="20"/>
  <c r="O201" i="20"/>
  <c r="N201" i="20"/>
  <c r="M201" i="20"/>
  <c r="L201" i="20"/>
  <c r="K201" i="20"/>
  <c r="O295" i="3"/>
  <c r="M295" i="3"/>
  <c r="F198" i="20"/>
  <c r="H197" i="20"/>
  <c r="Q196" i="20"/>
  <c r="O196" i="20"/>
  <c r="M196" i="20"/>
  <c r="L196" i="20"/>
  <c r="F196" i="20"/>
  <c r="H196" i="20" s="1"/>
  <c r="Q195" i="20"/>
  <c r="O195" i="20"/>
  <c r="H301" i="4" s="1" a="1"/>
  <c r="H301" i="4" s="1"/>
  <c r="N195" i="20"/>
  <c r="M195" i="20"/>
  <c r="F301" i="4" s="1" a="1"/>
  <c r="F301" i="4" s="1"/>
  <c r="L195" i="20"/>
  <c r="E301" i="4" s="1" a="1"/>
  <c r="E301" i="4" s="1"/>
  <c r="K195" i="20"/>
  <c r="P194" i="20"/>
  <c r="P202" i="20" s="1"/>
  <c r="P193" i="20"/>
  <c r="F193" i="20"/>
  <c r="F194" i="20" s="1"/>
  <c r="H194" i="20" s="1"/>
  <c r="P300" i="4"/>
  <c r="F191" i="20"/>
  <c r="S187" i="20"/>
  <c r="R187" i="20"/>
  <c r="Q187" i="20"/>
  <c r="P187" i="20"/>
  <c r="O187" i="20"/>
  <c r="N187" i="20"/>
  <c r="M187" i="20"/>
  <c r="L187" i="20"/>
  <c r="K187" i="20"/>
  <c r="C187" i="20"/>
  <c r="T186" i="20"/>
  <c r="A300" i="4" s="1"/>
  <c r="S186" i="20"/>
  <c r="R186" i="20"/>
  <c r="Q186" i="20"/>
  <c r="P186" i="20"/>
  <c r="O186" i="20"/>
  <c r="N186" i="20"/>
  <c r="M186" i="20"/>
  <c r="L186" i="20"/>
  <c r="K186" i="20"/>
  <c r="C186" i="20"/>
  <c r="C185" i="20"/>
  <c r="H1023" i="5"/>
  <c r="G1023" i="5"/>
  <c r="F1023" i="5"/>
  <c r="I1022" i="5"/>
  <c r="I1021" i="5"/>
  <c r="I1020" i="5"/>
  <c r="I1019" i="5"/>
  <c r="I1017" i="5"/>
  <c r="I1016" i="5"/>
  <c r="I1015" i="5"/>
  <c r="I1014" i="5"/>
  <c r="B1014" i="5"/>
  <c r="B1015" i="5" s="1"/>
  <c r="B1016" i="5" s="1"/>
  <c r="B1017" i="5" s="1"/>
  <c r="I1013" i="5"/>
  <c r="I1023" i="5" s="1"/>
  <c r="I995" i="5"/>
  <c r="I996" i="5" s="1"/>
  <c r="R953" i="5" s="1"/>
  <c r="I974" i="5"/>
  <c r="I972" i="5"/>
  <c r="H992" i="5"/>
  <c r="G992" i="5"/>
  <c r="F992" i="5"/>
  <c r="I992" i="5"/>
  <c r="F956" i="5" s="1"/>
  <c r="S984" i="5"/>
  <c r="R984" i="5"/>
  <c r="Q984" i="5"/>
  <c r="P984" i="5"/>
  <c r="O984" i="5"/>
  <c r="N984" i="5"/>
  <c r="M984" i="5"/>
  <c r="L984" i="5"/>
  <c r="K984" i="5"/>
  <c r="S983" i="5"/>
  <c r="R983" i="5"/>
  <c r="Q983" i="5"/>
  <c r="P983" i="5"/>
  <c r="O983" i="5"/>
  <c r="N983" i="5"/>
  <c r="M983" i="5"/>
  <c r="L983" i="5"/>
  <c r="K983" i="5"/>
  <c r="H983" i="5"/>
  <c r="G983" i="5"/>
  <c r="F983" i="5"/>
  <c r="P292" i="3" s="1"/>
  <c r="I982" i="5"/>
  <c r="I981" i="5"/>
  <c r="O953" i="5" s="1"/>
  <c r="H297" i="4" s="1"/>
  <c r="I980" i="5"/>
  <c r="I979" i="5"/>
  <c r="I978" i="5"/>
  <c r="I977" i="5"/>
  <c r="I976" i="5"/>
  <c r="I975" i="5"/>
  <c r="L953" i="5" s="1"/>
  <c r="E297" i="4" s="1"/>
  <c r="I973" i="5"/>
  <c r="B976" i="5"/>
  <c r="B977" i="5" s="1"/>
  <c r="B978" i="5" s="1"/>
  <c r="B979" i="5" s="1"/>
  <c r="B980" i="5" s="1"/>
  <c r="B981" i="5" s="1"/>
  <c r="B982" i="5" s="1"/>
  <c r="I971" i="5"/>
  <c r="I983" i="5" s="1"/>
  <c r="G951" i="5" s="1"/>
  <c r="Q963" i="5"/>
  <c r="O963" i="5"/>
  <c r="N963" i="5"/>
  <c r="M963" i="5"/>
  <c r="L963" i="5"/>
  <c r="K963" i="5"/>
  <c r="Q962" i="5"/>
  <c r="O962" i="5"/>
  <c r="N962" i="5"/>
  <c r="M962" i="5"/>
  <c r="L962" i="5"/>
  <c r="K962" i="5"/>
  <c r="O292" i="3"/>
  <c r="M292" i="3"/>
  <c r="F959" i="5"/>
  <c r="H958" i="5"/>
  <c r="Q957" i="5"/>
  <c r="O957" i="5"/>
  <c r="L957" i="5"/>
  <c r="F957" i="5"/>
  <c r="H957" i="5" s="1"/>
  <c r="Q956" i="5"/>
  <c r="O956" i="5"/>
  <c r="H298" i="4" s="1" a="1"/>
  <c r="H298" i="4" s="1"/>
  <c r="N956" i="5"/>
  <c r="M956" i="5"/>
  <c r="L956" i="5"/>
  <c r="E298" i="4" s="1" a="1"/>
  <c r="E298" i="4" s="1"/>
  <c r="K956" i="5"/>
  <c r="P955" i="5"/>
  <c r="P963" i="5" s="1"/>
  <c r="P954" i="5"/>
  <c r="F954" i="5"/>
  <c r="F955" i="5" s="1"/>
  <c r="H955" i="5" s="1"/>
  <c r="P297" i="4"/>
  <c r="F952" i="5"/>
  <c r="S948" i="5"/>
  <c r="R948" i="5"/>
  <c r="Q948" i="5"/>
  <c r="P948" i="5"/>
  <c r="O948" i="5"/>
  <c r="N948" i="5"/>
  <c r="M948" i="5"/>
  <c r="L948" i="5"/>
  <c r="K948" i="5"/>
  <c r="C948" i="5"/>
  <c r="T947" i="5"/>
  <c r="A297" i="4" s="1"/>
  <c r="S947" i="5"/>
  <c r="R947" i="5"/>
  <c r="Q947" i="5"/>
  <c r="P947" i="5"/>
  <c r="O947" i="5"/>
  <c r="N947" i="5"/>
  <c r="M947" i="5"/>
  <c r="L947" i="5"/>
  <c r="K947" i="5"/>
  <c r="C947" i="5"/>
  <c r="C946" i="5"/>
  <c r="X896" i="8"/>
  <c r="W896" i="8"/>
  <c r="V896" i="8"/>
  <c r="H895" i="8"/>
  <c r="G895" i="8"/>
  <c r="F895" i="8"/>
  <c r="I894" i="8"/>
  <c r="I893" i="8"/>
  <c r="I892" i="8"/>
  <c r="I891" i="8"/>
  <c r="I890" i="8"/>
  <c r="I889" i="8"/>
  <c r="I888" i="8"/>
  <c r="B888" i="8"/>
  <c r="B889" i="8" s="1"/>
  <c r="B890" i="8" s="1"/>
  <c r="B891" i="8" s="1"/>
  <c r="B892" i="8" s="1"/>
  <c r="B893" i="8" s="1"/>
  <c r="B894" i="8" s="1"/>
  <c r="I886" i="8"/>
  <c r="H866" i="8"/>
  <c r="G866" i="8"/>
  <c r="F866" i="8"/>
  <c r="I844" i="8"/>
  <c r="I840" i="8"/>
  <c r="I839" i="8"/>
  <c r="I837" i="8"/>
  <c r="I865" i="8"/>
  <c r="I887" i="8"/>
  <c r="I866" i="8" s="1"/>
  <c r="O286" i="3"/>
  <c r="H862" i="8"/>
  <c r="G862" i="8"/>
  <c r="F862" i="8"/>
  <c r="R825" i="8" s="1"/>
  <c r="M286" i="3" s="1"/>
  <c r="I861" i="8"/>
  <c r="H858" i="8"/>
  <c r="G858" i="8"/>
  <c r="F858" i="8"/>
  <c r="I858" i="8"/>
  <c r="F820" i="8" s="1"/>
  <c r="F821" i="8" s="1"/>
  <c r="S848" i="8"/>
  <c r="R848" i="8"/>
  <c r="Q848" i="8"/>
  <c r="P848" i="8"/>
  <c r="O848" i="8"/>
  <c r="N848" i="8"/>
  <c r="M848" i="8"/>
  <c r="L848" i="8"/>
  <c r="K848" i="8"/>
  <c r="S847" i="8"/>
  <c r="R847" i="8"/>
  <c r="Q847" i="8"/>
  <c r="P847" i="8"/>
  <c r="O847" i="8"/>
  <c r="N847" i="8"/>
  <c r="M847" i="8"/>
  <c r="L847" i="8"/>
  <c r="K847" i="8"/>
  <c r="H847" i="8"/>
  <c r="G847" i="8"/>
  <c r="F847" i="8"/>
  <c r="P286" i="3" s="1"/>
  <c r="I846" i="8"/>
  <c r="I845" i="8"/>
  <c r="I843" i="8"/>
  <c r="I842" i="8"/>
  <c r="I841" i="8"/>
  <c r="M817" i="8" s="1"/>
  <c r="F291" i="4" s="1"/>
  <c r="I838" i="8"/>
  <c r="I836" i="8"/>
  <c r="Q827" i="8"/>
  <c r="O827" i="8"/>
  <c r="N827" i="8"/>
  <c r="M827" i="8"/>
  <c r="L827" i="8"/>
  <c r="K827" i="8"/>
  <c r="Q826" i="8"/>
  <c r="O826" i="8"/>
  <c r="N826" i="8"/>
  <c r="M826" i="8"/>
  <c r="L826" i="8"/>
  <c r="K826" i="8"/>
  <c r="F823" i="8"/>
  <c r="H822" i="8"/>
  <c r="Q821" i="8"/>
  <c r="O821" i="8"/>
  <c r="M821" i="8"/>
  <c r="H821" i="8"/>
  <c r="Q820" i="8"/>
  <c r="O820" i="8"/>
  <c r="N820" i="8"/>
  <c r="M820" i="8"/>
  <c r="F292" i="4" s="1" a="1"/>
  <c r="F292" i="4" s="1"/>
  <c r="L820" i="8"/>
  <c r="K820" i="8"/>
  <c r="P819" i="8"/>
  <c r="P827" i="8" s="1"/>
  <c r="P818" i="8"/>
  <c r="F818" i="8"/>
  <c r="F819" i="8" s="1"/>
  <c r="H819" i="8" s="1"/>
  <c r="P291" i="4"/>
  <c r="S812" i="8"/>
  <c r="R812" i="8"/>
  <c r="Q812" i="8"/>
  <c r="P812" i="8"/>
  <c r="O812" i="8"/>
  <c r="N812" i="8"/>
  <c r="M812" i="8"/>
  <c r="L812" i="8"/>
  <c r="K812" i="8"/>
  <c r="C812" i="8"/>
  <c r="T811" i="8"/>
  <c r="A291" i="4" s="1"/>
  <c r="S811" i="8"/>
  <c r="R811" i="8"/>
  <c r="Q811" i="8"/>
  <c r="P811" i="8"/>
  <c r="O811" i="8"/>
  <c r="N811" i="8"/>
  <c r="M811" i="8"/>
  <c r="L811" i="8"/>
  <c r="K811" i="8"/>
  <c r="C811" i="8"/>
  <c r="C810" i="8"/>
  <c r="X954" i="12"/>
  <c r="W954" i="12"/>
  <c r="V954" i="12"/>
  <c r="H953" i="12"/>
  <c r="G953" i="12"/>
  <c r="F953" i="12"/>
  <c r="I950" i="12"/>
  <c r="I949" i="12"/>
  <c r="I948" i="12"/>
  <c r="I946" i="12"/>
  <c r="I945" i="12"/>
  <c r="I944" i="12"/>
  <c r="I943" i="12"/>
  <c r="I942" i="12"/>
  <c r="I941" i="12"/>
  <c r="I940" i="12"/>
  <c r="I939" i="12"/>
  <c r="B939" i="12"/>
  <c r="B940" i="12" s="1"/>
  <c r="B941" i="12" s="1"/>
  <c r="B942" i="12" s="1"/>
  <c r="B943" i="12" s="1"/>
  <c r="B944" i="12" s="1"/>
  <c r="B945" i="12" s="1"/>
  <c r="B946" i="12" s="1"/>
  <c r="I938" i="12"/>
  <c r="I923" i="12"/>
  <c r="O875" i="12" s="1"/>
  <c r="H294" i="4" s="1"/>
  <c r="I922" i="12"/>
  <c r="I921" i="12"/>
  <c r="I924" i="12" s="1"/>
  <c r="I947" i="12"/>
  <c r="I898" i="12"/>
  <c r="B922" i="12"/>
  <c r="B923" i="12" s="1"/>
  <c r="I917" i="12"/>
  <c r="I916" i="12"/>
  <c r="B917" i="12"/>
  <c r="I894" i="12"/>
  <c r="H912" i="12"/>
  <c r="G912" i="12"/>
  <c r="F912" i="12"/>
  <c r="S907" i="12"/>
  <c r="R907" i="12"/>
  <c r="Q907" i="12"/>
  <c r="P907" i="12"/>
  <c r="O907" i="12"/>
  <c r="N907" i="12"/>
  <c r="M907" i="12"/>
  <c r="L907" i="12"/>
  <c r="K907" i="12"/>
  <c r="S906" i="12"/>
  <c r="R906" i="12"/>
  <c r="Q906" i="12"/>
  <c r="P906" i="12"/>
  <c r="O906" i="12"/>
  <c r="N906" i="12"/>
  <c r="M906" i="12"/>
  <c r="L906" i="12"/>
  <c r="K906" i="12"/>
  <c r="H906" i="12"/>
  <c r="G906" i="12"/>
  <c r="F906" i="12"/>
  <c r="P289" i="3" s="1"/>
  <c r="I905" i="12"/>
  <c r="I904" i="12"/>
  <c r="N875" i="12" s="1"/>
  <c r="I903" i="12"/>
  <c r="I902" i="12"/>
  <c r="I901" i="12"/>
  <c r="M875" i="12" s="1"/>
  <c r="F294" i="4" s="1"/>
  <c r="I900" i="12"/>
  <c r="I899" i="12"/>
  <c r="I897" i="12"/>
  <c r="I895" i="12"/>
  <c r="B896" i="12"/>
  <c r="B897" i="12" s="1"/>
  <c r="B898" i="12" s="1"/>
  <c r="B899" i="12" s="1"/>
  <c r="B900" i="12" s="1"/>
  <c r="B901" i="12" s="1"/>
  <c r="B902" i="12" s="1"/>
  <c r="B903" i="12" s="1"/>
  <c r="B904" i="12" s="1"/>
  <c r="B905" i="12" s="1"/>
  <c r="I906" i="12"/>
  <c r="Q885" i="12"/>
  <c r="O885" i="12"/>
  <c r="N885" i="12"/>
  <c r="M885" i="12"/>
  <c r="L885" i="12"/>
  <c r="K885" i="12"/>
  <c r="Q884" i="12"/>
  <c r="O884" i="12"/>
  <c r="N884" i="12"/>
  <c r="M884" i="12"/>
  <c r="L884" i="12"/>
  <c r="K884" i="12"/>
  <c r="F881" i="12"/>
  <c r="H880" i="12"/>
  <c r="Q879" i="12"/>
  <c r="O879" i="12"/>
  <c r="M879" i="12"/>
  <c r="Q878" i="12"/>
  <c r="O878" i="12"/>
  <c r="H295" i="4" s="1" a="1"/>
  <c r="H295" i="4" s="1"/>
  <c r="N878" i="12"/>
  <c r="M878" i="12"/>
  <c r="F295" i="4" s="1" a="1"/>
  <c r="F295" i="4" s="1"/>
  <c r="L878" i="12"/>
  <c r="K878" i="12"/>
  <c r="P877" i="12"/>
  <c r="P885" i="12" s="1"/>
  <c r="P876" i="12"/>
  <c r="F876" i="12"/>
  <c r="F877" i="12" s="1"/>
  <c r="H877" i="12" s="1"/>
  <c r="P294" i="4"/>
  <c r="S870" i="12"/>
  <c r="R870" i="12"/>
  <c r="Q870" i="12"/>
  <c r="P870" i="12"/>
  <c r="O870" i="12"/>
  <c r="N870" i="12"/>
  <c r="M870" i="12"/>
  <c r="L870" i="12"/>
  <c r="K870" i="12"/>
  <c r="C870" i="12"/>
  <c r="T869" i="12"/>
  <c r="A294" i="4" s="1"/>
  <c r="S869" i="12"/>
  <c r="R869" i="12"/>
  <c r="Q869" i="12"/>
  <c r="P869" i="12"/>
  <c r="O869" i="12"/>
  <c r="N869" i="12"/>
  <c r="M869" i="12"/>
  <c r="L869" i="12"/>
  <c r="K869" i="12"/>
  <c r="C869" i="12"/>
  <c r="C868" i="12"/>
  <c r="T941" i="5"/>
  <c r="F782" i="12"/>
  <c r="F475" i="14"/>
  <c r="F727" i="8"/>
  <c r="F385" i="17"/>
  <c r="F130" i="20"/>
  <c r="F871" i="5"/>
  <c r="G893" i="5"/>
  <c r="G890" i="5"/>
  <c r="G892" i="5"/>
  <c r="G422" i="17"/>
  <c r="G814" i="12"/>
  <c r="G874" i="9"/>
  <c r="G896" i="5"/>
  <c r="O785" i="12"/>
  <c r="H830" i="12"/>
  <c r="F830" i="12"/>
  <c r="R785" i="12" s="1"/>
  <c r="V810" i="12"/>
  <c r="O478" i="14"/>
  <c r="G548" i="14"/>
  <c r="V508" i="14"/>
  <c r="G504" i="14"/>
  <c r="V504" i="14"/>
  <c r="W496" i="14"/>
  <c r="W550" i="14" s="1"/>
  <c r="G495" i="14"/>
  <c r="O857" i="9"/>
  <c r="V875" i="9"/>
  <c r="G875" i="9"/>
  <c r="V874" i="9"/>
  <c r="N857" i="9"/>
  <c r="B741" i="8"/>
  <c r="B742" i="8" s="1"/>
  <c r="V769" i="8"/>
  <c r="V768" i="8"/>
  <c r="G768" i="8"/>
  <c r="I768" i="8"/>
  <c r="V767" i="8"/>
  <c r="N388" i="17"/>
  <c r="H428" i="17"/>
  <c r="F428" i="17"/>
  <c r="N730" i="8"/>
  <c r="F407" i="17"/>
  <c r="F409" i="17" s="1"/>
  <c r="V406" i="17"/>
  <c r="V422" i="17"/>
  <c r="I422" i="17"/>
  <c r="O133" i="20"/>
  <c r="G156" i="20"/>
  <c r="G150" i="20"/>
  <c r="O874" i="5"/>
  <c r="V896" i="5"/>
  <c r="V894" i="5"/>
  <c r="G895" i="5"/>
  <c r="G894" i="5"/>
  <c r="V893" i="5"/>
  <c r="G905" i="5"/>
  <c r="G788" i="8"/>
  <c r="F784" i="12"/>
  <c r="G802" i="8"/>
  <c r="N785" i="12"/>
  <c r="G829" i="12"/>
  <c r="G830" i="12" s="1"/>
  <c r="V829" i="12"/>
  <c r="G813" i="12"/>
  <c r="G811" i="12"/>
  <c r="N478" i="14"/>
  <c r="I548" i="14"/>
  <c r="I547" i="14"/>
  <c r="I546" i="14"/>
  <c r="V502" i="14"/>
  <c r="G502" i="14"/>
  <c r="V493" i="14"/>
  <c r="G493" i="14"/>
  <c r="G543" i="14"/>
  <c r="V928" i="9"/>
  <c r="V873" i="9"/>
  <c r="G873" i="9"/>
  <c r="I932" i="9"/>
  <c r="I931" i="9"/>
  <c r="I930" i="9"/>
  <c r="I929" i="9"/>
  <c r="I927" i="9"/>
  <c r="I926" i="9"/>
  <c r="I925" i="9"/>
  <c r="I924" i="9"/>
  <c r="V872" i="9"/>
  <c r="W405" i="17"/>
  <c r="G405" i="17"/>
  <c r="V458" i="17"/>
  <c r="G458" i="17"/>
  <c r="V427" i="17"/>
  <c r="V421" i="17"/>
  <c r="I421" i="17"/>
  <c r="V404" i="17"/>
  <c r="G404" i="17"/>
  <c r="N133" i="20"/>
  <c r="G149" i="20"/>
  <c r="V901" i="5"/>
  <c r="V892" i="5"/>
  <c r="W890" i="5"/>
  <c r="I815" i="12"/>
  <c r="I814" i="12"/>
  <c r="I812" i="12"/>
  <c r="H505" i="14"/>
  <c r="G505" i="14"/>
  <c r="F505" i="14"/>
  <c r="V490" i="14"/>
  <c r="K388" i="17"/>
  <c r="V426" i="17"/>
  <c r="H423" i="17"/>
  <c r="G423" i="17"/>
  <c r="F423" i="17"/>
  <c r="V403" i="17"/>
  <c r="H902" i="5"/>
  <c r="G902" i="5"/>
  <c r="F902" i="5"/>
  <c r="V889" i="5"/>
  <c r="G784" i="8"/>
  <c r="G917" i="5"/>
  <c r="G885" i="9"/>
  <c r="G886" i="9" s="1"/>
  <c r="M785" i="12"/>
  <c r="G808" i="12"/>
  <c r="G852" i="12"/>
  <c r="G806" i="12"/>
  <c r="M478" i="14"/>
  <c r="V492" i="14"/>
  <c r="V491" i="14"/>
  <c r="G537" i="14"/>
  <c r="M857" i="9"/>
  <c r="I885" i="9"/>
  <c r="V871" i="9"/>
  <c r="V889" i="9"/>
  <c r="V766" i="8"/>
  <c r="G770" i="8"/>
  <c r="V748" i="8"/>
  <c r="G748" i="8"/>
  <c r="G746" i="8"/>
  <c r="M388" i="17"/>
  <c r="G403" i="17"/>
  <c r="V402" i="17"/>
  <c r="G402" i="17"/>
  <c r="M133" i="20"/>
  <c r="I172" i="20"/>
  <c r="V888" i="5"/>
  <c r="F888" i="5"/>
  <c r="M874" i="5" s="1"/>
  <c r="V887" i="5"/>
  <c r="G887" i="5"/>
  <c r="J257" i="4"/>
  <c r="G836" i="12"/>
  <c r="G740" i="8"/>
  <c r="G918" i="5"/>
  <c r="G889" i="9"/>
  <c r="G870" i="9"/>
  <c r="G745" i="8"/>
  <c r="V798" i="12"/>
  <c r="G805" i="12"/>
  <c r="V804" i="12"/>
  <c r="I804" i="12"/>
  <c r="G803" i="12"/>
  <c r="G802" i="12"/>
  <c r="F802" i="12"/>
  <c r="L478" i="14"/>
  <c r="G535" i="14"/>
  <c r="G534" i="14"/>
  <c r="G533" i="14"/>
  <c r="G489" i="14"/>
  <c r="G498" i="14" s="1"/>
  <c r="G530" i="14"/>
  <c r="V884" i="9"/>
  <c r="V870" i="9"/>
  <c r="F889" i="9"/>
  <c r="L857" i="9" s="1"/>
  <c r="K730" i="8"/>
  <c r="L730" i="8"/>
  <c r="B794" i="8"/>
  <c r="B795" i="8" s="1"/>
  <c r="B743" i="8"/>
  <c r="V742" i="8"/>
  <c r="X805" i="8"/>
  <c r="W805" i="8"/>
  <c r="X471" i="17"/>
  <c r="W471" i="17"/>
  <c r="X941" i="5"/>
  <c r="X180" i="20"/>
  <c r="W180" i="20"/>
  <c r="T180" i="20"/>
  <c r="S153" i="20"/>
  <c r="R153" i="20"/>
  <c r="Q153" i="20"/>
  <c r="P153" i="20"/>
  <c r="O153" i="20"/>
  <c r="N153" i="20"/>
  <c r="M153" i="20"/>
  <c r="L153" i="20"/>
  <c r="S152" i="20"/>
  <c r="R152" i="20"/>
  <c r="Q152" i="20"/>
  <c r="P152" i="20"/>
  <c r="O152" i="20"/>
  <c r="N152" i="20"/>
  <c r="M152" i="20"/>
  <c r="L152" i="20"/>
  <c r="K153" i="20"/>
  <c r="K152" i="20"/>
  <c r="H152" i="20"/>
  <c r="F152" i="20"/>
  <c r="B144" i="20"/>
  <c r="V143" i="20"/>
  <c r="G744" i="8"/>
  <c r="I797" i="8"/>
  <c r="L388" i="17"/>
  <c r="L133" i="20"/>
  <c r="V147" i="20"/>
  <c r="L874" i="5"/>
  <c r="G886" i="5"/>
  <c r="V886" i="5"/>
  <c r="V941" i="5" s="1"/>
  <c r="W885" i="5"/>
  <c r="G885" i="5"/>
  <c r="H892" i="9"/>
  <c r="G892" i="9"/>
  <c r="F892" i="9"/>
  <c r="I932" i="5"/>
  <c r="V869" i="9"/>
  <c r="V849" i="12"/>
  <c r="I836" i="12"/>
  <c r="G841" i="12"/>
  <c r="I841" i="12" s="1"/>
  <c r="T765" i="12"/>
  <c r="G840" i="12"/>
  <c r="B841" i="12"/>
  <c r="I825" i="12"/>
  <c r="G824" i="12"/>
  <c r="I824" i="12" s="1"/>
  <c r="G835" i="12"/>
  <c r="I835" i="12" s="1"/>
  <c r="G834" i="12"/>
  <c r="F834" i="12"/>
  <c r="F837" i="12" s="1"/>
  <c r="I823" i="12"/>
  <c r="F725" i="12"/>
  <c r="B724" i="12"/>
  <c r="V723" i="12"/>
  <c r="S367" i="14"/>
  <c r="S359" i="14"/>
  <c r="I519" i="14"/>
  <c r="G520" i="14"/>
  <c r="I520" i="14" s="1"/>
  <c r="G518" i="14"/>
  <c r="I518" i="14" s="1"/>
  <c r="F379" i="14"/>
  <c r="H398" i="14"/>
  <c r="B397" i="14"/>
  <c r="I361" i="14"/>
  <c r="H527" i="14"/>
  <c r="F527" i="14"/>
  <c r="I526" i="14"/>
  <c r="G525" i="14"/>
  <c r="I525" i="14" s="1"/>
  <c r="B525" i="14"/>
  <c r="B526" i="14" s="1"/>
  <c r="G524" i="14"/>
  <c r="I517" i="14"/>
  <c r="G516" i="14"/>
  <c r="I516" i="14" s="1"/>
  <c r="G515" i="14"/>
  <c r="I515" i="14" s="1"/>
  <c r="G514" i="14"/>
  <c r="I514" i="14" s="1"/>
  <c r="G513" i="14"/>
  <c r="I513" i="14" s="1"/>
  <c r="B513" i="14"/>
  <c r="B514" i="14" s="1"/>
  <c r="B515" i="14" s="1"/>
  <c r="B516" i="14" s="1"/>
  <c r="B517" i="14" s="1"/>
  <c r="B518" i="14" s="1"/>
  <c r="B519" i="14" s="1"/>
  <c r="B520" i="14" s="1"/>
  <c r="G512" i="14"/>
  <c r="G521" i="14" s="1"/>
  <c r="F427" i="14"/>
  <c r="B402" i="14"/>
  <c r="G402" i="14"/>
  <c r="F402" i="14"/>
  <c r="V401" i="14"/>
  <c r="T458" i="14"/>
  <c r="T837" i="9"/>
  <c r="H905" i="9"/>
  <c r="I880" i="9"/>
  <c r="G904" i="9"/>
  <c r="G905" i="9" s="1"/>
  <c r="F904" i="9"/>
  <c r="H901" i="9"/>
  <c r="G900" i="9"/>
  <c r="F900" i="9"/>
  <c r="I899" i="9"/>
  <c r="G898" i="9"/>
  <c r="I898" i="9" s="1"/>
  <c r="G897" i="9"/>
  <c r="I896" i="9"/>
  <c r="B896" i="9"/>
  <c r="B897" i="9" s="1"/>
  <c r="B898" i="9" s="1"/>
  <c r="B899" i="9" s="1"/>
  <c r="B900" i="9" s="1"/>
  <c r="I895" i="9"/>
  <c r="H814" i="9"/>
  <c r="B813" i="9"/>
  <c r="V799" i="9"/>
  <c r="G798" i="9"/>
  <c r="F798" i="9"/>
  <c r="B796" i="9"/>
  <c r="F790" i="8"/>
  <c r="H790" i="8"/>
  <c r="B789" i="8"/>
  <c r="I784" i="8"/>
  <c r="G789" i="8"/>
  <c r="I789" i="8" s="1"/>
  <c r="F652" i="8"/>
  <c r="H785" i="8"/>
  <c r="G783" i="8"/>
  <c r="I783" i="8" s="1"/>
  <c r="G648" i="8"/>
  <c r="F647" i="8"/>
  <c r="H667" i="8"/>
  <c r="F667" i="8"/>
  <c r="H662" i="8"/>
  <c r="F662" i="8"/>
  <c r="G790" i="8"/>
  <c r="G782" i="8"/>
  <c r="I782" i="8" s="1"/>
  <c r="G781" i="8"/>
  <c r="I781" i="8" s="1"/>
  <c r="F758" i="8"/>
  <c r="G757" i="8"/>
  <c r="I757" i="8" s="1"/>
  <c r="G780" i="8"/>
  <c r="I780" i="8" s="1"/>
  <c r="G756" i="8"/>
  <c r="I756" i="8" s="1"/>
  <c r="G779" i="8"/>
  <c r="I779" i="8" s="1"/>
  <c r="G778" i="8"/>
  <c r="I778" i="8" s="1"/>
  <c r="G777" i="8"/>
  <c r="I777" i="8" s="1"/>
  <c r="I776" i="8"/>
  <c r="G775" i="8"/>
  <c r="I775" i="8" s="1"/>
  <c r="G774" i="8"/>
  <c r="I774" i="8" s="1"/>
  <c r="B774" i="8"/>
  <c r="B775" i="8" s="1"/>
  <c r="B776" i="8" s="1"/>
  <c r="B777" i="8" s="1"/>
  <c r="B778" i="8" s="1"/>
  <c r="B779" i="8" s="1"/>
  <c r="B780" i="8" s="1"/>
  <c r="B781" i="8" s="1"/>
  <c r="B782" i="8" s="1"/>
  <c r="B783" i="8" s="1"/>
  <c r="B784" i="8" s="1"/>
  <c r="G773" i="8"/>
  <c r="H683" i="8"/>
  <c r="H687" i="8"/>
  <c r="F687" i="8"/>
  <c r="V681" i="8"/>
  <c r="V680" i="8"/>
  <c r="F680" i="8"/>
  <c r="F683" i="8" s="1"/>
  <c r="V679" i="8"/>
  <c r="V677" i="8"/>
  <c r="T710" i="8"/>
  <c r="F294" i="17"/>
  <c r="F442" i="17"/>
  <c r="H442" i="17"/>
  <c r="G417" i="17"/>
  <c r="I417" i="17" s="1"/>
  <c r="G320" i="17"/>
  <c r="H331" i="17"/>
  <c r="F331" i="17"/>
  <c r="I918" i="5"/>
  <c r="I917" i="5"/>
  <c r="G826" i="5"/>
  <c r="G448" i="17"/>
  <c r="G441" i="17"/>
  <c r="I441" i="17" s="1"/>
  <c r="B441" i="17"/>
  <c r="G440" i="17"/>
  <c r="G442" i="17" s="1"/>
  <c r="H436" i="17"/>
  <c r="F436" i="17"/>
  <c r="G435" i="17"/>
  <c r="H335" i="17"/>
  <c r="F335" i="17"/>
  <c r="G334" i="17"/>
  <c r="I334" i="17" s="1"/>
  <c r="I289" i="17"/>
  <c r="F325" i="17"/>
  <c r="T368" i="17"/>
  <c r="K785" i="12"/>
  <c r="G426" i="14"/>
  <c r="G411" i="14"/>
  <c r="G419" i="14"/>
  <c r="G397" i="14"/>
  <c r="G666" i="8"/>
  <c r="G318" i="17"/>
  <c r="G325" i="17"/>
  <c r="G445" i="17"/>
  <c r="G152" i="20"/>
  <c r="G798" i="12"/>
  <c r="G884" i="5"/>
  <c r="G849" i="12"/>
  <c r="G799" i="12"/>
  <c r="K857" i="9"/>
  <c r="G868" i="9"/>
  <c r="V868" i="9"/>
  <c r="V867" i="9"/>
  <c r="V935" i="9" s="1"/>
  <c r="G867" i="9"/>
  <c r="I867" i="9" s="1"/>
  <c r="V794" i="8"/>
  <c r="V805" i="8" s="1"/>
  <c r="G794" i="8"/>
  <c r="I741" i="8"/>
  <c r="V400" i="17"/>
  <c r="G400" i="17"/>
  <c r="V399" i="17"/>
  <c r="V398" i="17"/>
  <c r="V471" i="17" s="1"/>
  <c r="G398" i="17"/>
  <c r="G409" i="17" s="1"/>
  <c r="K133" i="20"/>
  <c r="K874" i="5"/>
  <c r="W884" i="5"/>
  <c r="W941" i="5" s="1"/>
  <c r="G929" i="5"/>
  <c r="I928" i="5"/>
  <c r="B281" i="4"/>
  <c r="B278" i="4"/>
  <c r="B275" i="4"/>
  <c r="B272" i="4"/>
  <c r="B269" i="4"/>
  <c r="B266" i="4"/>
  <c r="B263" i="4"/>
  <c r="E277" i="3"/>
  <c r="F277" i="3"/>
  <c r="G277" i="3"/>
  <c r="C277" i="3"/>
  <c r="D274" i="3"/>
  <c r="E274" i="3"/>
  <c r="F274" i="3"/>
  <c r="G274" i="3"/>
  <c r="D271" i="3"/>
  <c r="E271" i="3"/>
  <c r="F271" i="3"/>
  <c r="G271" i="3"/>
  <c r="C271" i="3"/>
  <c r="D268" i="3"/>
  <c r="F268" i="3"/>
  <c r="G268" i="3"/>
  <c r="C268" i="3"/>
  <c r="K265" i="3"/>
  <c r="D265" i="3"/>
  <c r="E265" i="3"/>
  <c r="F265" i="3"/>
  <c r="C265" i="3"/>
  <c r="D262" i="3"/>
  <c r="E262" i="3"/>
  <c r="F262" i="3"/>
  <c r="G262" i="3"/>
  <c r="C262" i="3"/>
  <c r="D259" i="3"/>
  <c r="E259" i="3"/>
  <c r="F259" i="3"/>
  <c r="G259" i="3"/>
  <c r="C259" i="3"/>
  <c r="F78" i="20"/>
  <c r="K90" i="20"/>
  <c r="T113" i="20"/>
  <c r="H161" i="20"/>
  <c r="F161" i="20"/>
  <c r="G160" i="20"/>
  <c r="H300" i="11"/>
  <c r="F300" i="11"/>
  <c r="G299" i="11"/>
  <c r="G923" i="5"/>
  <c r="I923" i="5" s="1"/>
  <c r="G916" i="5"/>
  <c r="I916" i="5" s="1"/>
  <c r="G922" i="5"/>
  <c r="G924" i="5" s="1"/>
  <c r="G915" i="5"/>
  <c r="I915" i="5" s="1"/>
  <c r="G914" i="5"/>
  <c r="I914" i="5" s="1"/>
  <c r="I913" i="5"/>
  <c r="G912" i="5"/>
  <c r="F912" i="5"/>
  <c r="F911" i="5"/>
  <c r="F919" i="5" s="1"/>
  <c r="H910" i="5"/>
  <c r="G910" i="5"/>
  <c r="G919" i="5" s="1"/>
  <c r="B910" i="5"/>
  <c r="B911" i="5" s="1"/>
  <c r="B912" i="5" s="1"/>
  <c r="B913" i="5" s="1"/>
  <c r="B914" i="5" s="1"/>
  <c r="B915" i="5" s="1"/>
  <c r="B916" i="5" s="1"/>
  <c r="B917" i="5" s="1"/>
  <c r="B918" i="5" s="1"/>
  <c r="H909" i="5"/>
  <c r="V390" i="14"/>
  <c r="V651" i="8"/>
  <c r="S322" i="17"/>
  <c r="R322" i="17"/>
  <c r="Q322" i="17"/>
  <c r="P322" i="17"/>
  <c r="O322" i="17"/>
  <c r="N322" i="17"/>
  <c r="M322" i="17"/>
  <c r="L322" i="17"/>
  <c r="S321" i="17"/>
  <c r="R321" i="17"/>
  <c r="Q321" i="17"/>
  <c r="P321" i="17"/>
  <c r="O321" i="17"/>
  <c r="N321" i="17"/>
  <c r="M321" i="17"/>
  <c r="L321" i="17"/>
  <c r="K322" i="17"/>
  <c r="K321" i="17"/>
  <c r="H321" i="17"/>
  <c r="V320" i="17"/>
  <c r="O66" i="20"/>
  <c r="V827" i="5"/>
  <c r="V397" i="14"/>
  <c r="F397" i="14"/>
  <c r="I397" i="14" s="1"/>
  <c r="V396" i="14"/>
  <c r="F396" i="14"/>
  <c r="G396" i="14"/>
  <c r="G398" i="14" s="1"/>
  <c r="H326" i="17"/>
  <c r="G326" i="17"/>
  <c r="V325" i="17"/>
  <c r="I325" i="17"/>
  <c r="G681" i="8"/>
  <c r="G314" i="17"/>
  <c r="G729" i="12"/>
  <c r="G717" i="12"/>
  <c r="G715" i="12"/>
  <c r="G390" i="14"/>
  <c r="G406" i="14"/>
  <c r="G382" i="14"/>
  <c r="G786" i="9"/>
  <c r="G783" i="9"/>
  <c r="G779" i="9"/>
  <c r="G661" i="8"/>
  <c r="G662" i="8" s="1"/>
  <c r="G651" i="8"/>
  <c r="G653" i="8"/>
  <c r="G665" i="8"/>
  <c r="G667" i="8" s="1"/>
  <c r="G330" i="17"/>
  <c r="G331" i="17" s="1"/>
  <c r="G311" i="17"/>
  <c r="F307" i="17"/>
  <c r="G87" i="20"/>
  <c r="G827" i="5"/>
  <c r="F695" i="12"/>
  <c r="F364" i="14"/>
  <c r="F765" i="9"/>
  <c r="F630" i="8"/>
  <c r="F292" i="17"/>
  <c r="F63" i="20"/>
  <c r="F803" i="5"/>
  <c r="F90" i="19"/>
  <c r="G686" i="8"/>
  <c r="G687" i="8" s="1"/>
  <c r="K280" i="3"/>
  <c r="I280" i="3"/>
  <c r="F280" i="3"/>
  <c r="C280" i="3"/>
  <c r="B284" i="4"/>
  <c r="P130" i="19"/>
  <c r="P874" i="5"/>
  <c r="H259" i="3" s="1"/>
  <c r="P133" i="20"/>
  <c r="H262" i="3" s="1"/>
  <c r="P857" i="9"/>
  <c r="H271" i="3" s="1"/>
  <c r="P284" i="11"/>
  <c r="P478" i="14"/>
  <c r="H274" i="3" s="1"/>
  <c r="X863" i="12"/>
  <c r="W863" i="12"/>
  <c r="V863" i="12"/>
  <c r="H862" i="12"/>
  <c r="G862" i="12"/>
  <c r="F862" i="12"/>
  <c r="I861" i="12"/>
  <c r="I860" i="12"/>
  <c r="I859" i="12"/>
  <c r="I858" i="12"/>
  <c r="I857" i="12"/>
  <c r="I856" i="12"/>
  <c r="I855" i="12"/>
  <c r="I854" i="12"/>
  <c r="I853" i="12"/>
  <c r="I852" i="12"/>
  <c r="I851" i="12"/>
  <c r="I850" i="12"/>
  <c r="I848" i="12"/>
  <c r="I847" i="12"/>
  <c r="I846" i="12"/>
  <c r="B846" i="12"/>
  <c r="B847" i="12" s="1"/>
  <c r="B848" i="12" s="1"/>
  <c r="B849" i="12" s="1"/>
  <c r="B850" i="12" s="1"/>
  <c r="B851" i="12" s="1"/>
  <c r="B852" i="12" s="1"/>
  <c r="B853" i="12" s="1"/>
  <c r="B854" i="12" s="1"/>
  <c r="B855" i="12" s="1"/>
  <c r="B856" i="12" s="1"/>
  <c r="B857" i="12" s="1"/>
  <c r="B858" i="12" s="1"/>
  <c r="B859" i="12" s="1"/>
  <c r="B860" i="12" s="1"/>
  <c r="B861" i="12" s="1"/>
  <c r="I845" i="12"/>
  <c r="I816" i="12"/>
  <c r="I829" i="12"/>
  <c r="I830" i="12" s="1"/>
  <c r="R777" i="12" s="1"/>
  <c r="I810" i="12"/>
  <c r="I801" i="12"/>
  <c r="I849" i="12"/>
  <c r="I798" i="12"/>
  <c r="I813" i="12"/>
  <c r="I809" i="12"/>
  <c r="I808" i="12"/>
  <c r="H826" i="12"/>
  <c r="G826" i="12"/>
  <c r="F826" i="12"/>
  <c r="I826" i="12"/>
  <c r="F780" i="12" s="1"/>
  <c r="F781" i="12" s="1"/>
  <c r="S820" i="12"/>
  <c r="R820" i="12"/>
  <c r="Q820" i="12"/>
  <c r="P820" i="12"/>
  <c r="O820" i="12"/>
  <c r="N820" i="12"/>
  <c r="M820" i="12"/>
  <c r="L820" i="12"/>
  <c r="K820" i="12"/>
  <c r="S819" i="12"/>
  <c r="R819" i="12"/>
  <c r="Q819" i="12"/>
  <c r="P819" i="12"/>
  <c r="O819" i="12"/>
  <c r="N819" i="12"/>
  <c r="M819" i="12"/>
  <c r="L819" i="12"/>
  <c r="K819" i="12"/>
  <c r="H819" i="12"/>
  <c r="G819" i="12"/>
  <c r="F819" i="12"/>
  <c r="P277" i="3" s="1"/>
  <c r="I818" i="12"/>
  <c r="I817" i="12"/>
  <c r="I811" i="12"/>
  <c r="N777" i="12" s="1"/>
  <c r="G281" i="4" s="1"/>
  <c r="I807" i="12"/>
  <c r="I806" i="12"/>
  <c r="I805" i="12"/>
  <c r="I803" i="12"/>
  <c r="I802" i="12"/>
  <c r="I800" i="12"/>
  <c r="I799" i="12"/>
  <c r="I797" i="12"/>
  <c r="I796" i="12"/>
  <c r="B796" i="12"/>
  <c r="B797" i="12" s="1"/>
  <c r="I795" i="12"/>
  <c r="Q787" i="12"/>
  <c r="O787" i="12"/>
  <c r="N787" i="12"/>
  <c r="M787" i="12"/>
  <c r="L787" i="12"/>
  <c r="K787" i="12"/>
  <c r="Q786" i="12"/>
  <c r="O786" i="12"/>
  <c r="N786" i="12"/>
  <c r="M786" i="12"/>
  <c r="L786" i="12"/>
  <c r="K786" i="12"/>
  <c r="O277" i="3"/>
  <c r="F783" i="12"/>
  <c r="H782" i="12"/>
  <c r="Q781" i="12"/>
  <c r="N781" i="12"/>
  <c r="H781" i="12"/>
  <c r="Q780" i="12"/>
  <c r="O780" i="12"/>
  <c r="N780" i="12"/>
  <c r="G282" i="4" s="1" a="1"/>
  <c r="G282" i="4" s="1"/>
  <c r="M780" i="12"/>
  <c r="L780" i="12"/>
  <c r="K780" i="12"/>
  <c r="P779" i="12"/>
  <c r="P787" i="12" s="1"/>
  <c r="P778" i="12"/>
  <c r="F778" i="12"/>
  <c r="F779" i="12" s="1"/>
  <c r="H779" i="12" s="1"/>
  <c r="P281" i="4"/>
  <c r="F776" i="12"/>
  <c r="S772" i="12"/>
  <c r="R772" i="12"/>
  <c r="Q772" i="12"/>
  <c r="P772" i="12"/>
  <c r="O772" i="12"/>
  <c r="N772" i="12"/>
  <c r="M772" i="12"/>
  <c r="L772" i="12"/>
  <c r="K772" i="12"/>
  <c r="C772" i="12"/>
  <c r="T771" i="12"/>
  <c r="A281" i="4" s="1"/>
  <c r="S771" i="12"/>
  <c r="R771" i="12"/>
  <c r="Q771" i="12"/>
  <c r="P771" i="12"/>
  <c r="O771" i="12"/>
  <c r="N771" i="12"/>
  <c r="M771" i="12"/>
  <c r="L771" i="12"/>
  <c r="K771" i="12"/>
  <c r="C771" i="12"/>
  <c r="C770" i="12"/>
  <c r="H549" i="14"/>
  <c r="G549" i="14"/>
  <c r="F549" i="14"/>
  <c r="I545" i="14"/>
  <c r="I544" i="14"/>
  <c r="I543" i="14"/>
  <c r="I542" i="14"/>
  <c r="I541" i="14"/>
  <c r="I540" i="14"/>
  <c r="I539" i="14"/>
  <c r="I538" i="14"/>
  <c r="I537" i="14"/>
  <c r="I536" i="14"/>
  <c r="I535" i="14"/>
  <c r="I534" i="14"/>
  <c r="I533" i="14"/>
  <c r="I532" i="14"/>
  <c r="I531" i="14"/>
  <c r="B531" i="14"/>
  <c r="B532" i="14" s="1"/>
  <c r="B533" i="14" s="1"/>
  <c r="B534" i="14" s="1"/>
  <c r="B535" i="14" s="1"/>
  <c r="B536" i="14" s="1"/>
  <c r="B537" i="14" s="1"/>
  <c r="B538" i="14" s="1"/>
  <c r="B539" i="14" s="1"/>
  <c r="B540" i="14" s="1"/>
  <c r="B541" i="14" s="1"/>
  <c r="B542" i="14" s="1"/>
  <c r="B543" i="14" s="1"/>
  <c r="B544" i="14" s="1"/>
  <c r="B545" i="14" s="1"/>
  <c r="I530" i="14"/>
  <c r="I549" i="14" s="1"/>
  <c r="H509" i="14"/>
  <c r="G509" i="14"/>
  <c r="F509" i="14"/>
  <c r="I508" i="14"/>
  <c r="I509" i="14" s="1"/>
  <c r="I504" i="14"/>
  <c r="I497" i="14"/>
  <c r="I503" i="14"/>
  <c r="I502" i="14"/>
  <c r="I505" i="14" s="1"/>
  <c r="B503" i="14"/>
  <c r="B504" i="14" s="1"/>
  <c r="I490" i="14"/>
  <c r="I496" i="14"/>
  <c r="I495" i="14"/>
  <c r="O470" i="14" s="1"/>
  <c r="H278" i="4" s="1"/>
  <c r="I494" i="14"/>
  <c r="I493" i="14"/>
  <c r="N470" i="14" s="1"/>
  <c r="G278" i="4" s="1"/>
  <c r="I492" i="14"/>
  <c r="I491" i="14"/>
  <c r="M470" i="14" s="1"/>
  <c r="F278" i="4" s="1"/>
  <c r="I489" i="14"/>
  <c r="B489" i="14"/>
  <c r="I488" i="14"/>
  <c r="I498" i="14" s="1"/>
  <c r="Q480" i="14"/>
  <c r="O480" i="14"/>
  <c r="N480" i="14"/>
  <c r="M480" i="14"/>
  <c r="L480" i="14"/>
  <c r="K480" i="14"/>
  <c r="Q479" i="14"/>
  <c r="O479" i="14"/>
  <c r="N479" i="14"/>
  <c r="M479" i="14"/>
  <c r="L479" i="14"/>
  <c r="K479" i="14"/>
  <c r="O274" i="3"/>
  <c r="R478" i="14"/>
  <c r="M274" i="3" s="1"/>
  <c r="F476" i="14"/>
  <c r="H475" i="14"/>
  <c r="Q474" i="14"/>
  <c r="O474" i="14"/>
  <c r="N474" i="14"/>
  <c r="M474" i="14"/>
  <c r="K474" i="14"/>
  <c r="F474" i="14"/>
  <c r="H474" i="14" s="1"/>
  <c r="Q473" i="14"/>
  <c r="O473" i="14"/>
  <c r="H279" i="4" s="1" a="1"/>
  <c r="H279" i="4" s="1"/>
  <c r="N473" i="14"/>
  <c r="G279" i="4" s="1" a="1"/>
  <c r="G279" i="4" s="1"/>
  <c r="M473" i="14"/>
  <c r="F279" i="4" s="1" a="1"/>
  <c r="F279" i="4" s="1"/>
  <c r="L473" i="14"/>
  <c r="K473" i="14"/>
  <c r="P472" i="14"/>
  <c r="P480" i="14" s="1"/>
  <c r="P471" i="14"/>
  <c r="F471" i="14"/>
  <c r="F472" i="14" s="1"/>
  <c r="H472" i="14" s="1"/>
  <c r="P278" i="4"/>
  <c r="F469" i="14"/>
  <c r="S465" i="14"/>
  <c r="R465" i="14"/>
  <c r="Q465" i="14"/>
  <c r="P465" i="14"/>
  <c r="O465" i="14"/>
  <c r="N465" i="14"/>
  <c r="M465" i="14"/>
  <c r="L465" i="14"/>
  <c r="K465" i="14"/>
  <c r="C465" i="14"/>
  <c r="T464" i="14"/>
  <c r="A278" i="4" s="1"/>
  <c r="S464" i="14"/>
  <c r="R464" i="14"/>
  <c r="Q464" i="14"/>
  <c r="P464" i="14"/>
  <c r="O464" i="14"/>
  <c r="N464" i="14"/>
  <c r="M464" i="14"/>
  <c r="L464" i="14"/>
  <c r="K464" i="14"/>
  <c r="C464" i="14"/>
  <c r="C463" i="14"/>
  <c r="X301" i="11"/>
  <c r="W301" i="11"/>
  <c r="V301" i="11"/>
  <c r="T301" i="11"/>
  <c r="S296" i="11"/>
  <c r="R296" i="11"/>
  <c r="Q296" i="11"/>
  <c r="P296" i="11"/>
  <c r="O296" i="11"/>
  <c r="N296" i="11"/>
  <c r="M296" i="11"/>
  <c r="L296" i="11"/>
  <c r="K296" i="11"/>
  <c r="S295" i="11"/>
  <c r="R295" i="11"/>
  <c r="Q295" i="11"/>
  <c r="P295" i="11"/>
  <c r="O295" i="11"/>
  <c r="N295" i="11"/>
  <c r="M295" i="11"/>
  <c r="L295" i="11"/>
  <c r="K295" i="11"/>
  <c r="H295" i="11"/>
  <c r="G295" i="11"/>
  <c r="F295" i="11"/>
  <c r="I294" i="11"/>
  <c r="I295" i="11" s="1"/>
  <c r="G274" i="11" s="1"/>
  <c r="Q286" i="11"/>
  <c r="O286" i="11"/>
  <c r="N286" i="11"/>
  <c r="M286" i="11"/>
  <c r="L286" i="11"/>
  <c r="K286" i="11"/>
  <c r="Q285" i="11"/>
  <c r="O285" i="11"/>
  <c r="N285" i="11"/>
  <c r="M285" i="11"/>
  <c r="L285" i="11"/>
  <c r="K285" i="11"/>
  <c r="F282" i="11"/>
  <c r="H281" i="11"/>
  <c r="Q280" i="11"/>
  <c r="O280" i="11"/>
  <c r="N280" i="11"/>
  <c r="M280" i="11"/>
  <c r="L280" i="11"/>
  <c r="K280" i="11"/>
  <c r="F280" i="11"/>
  <c r="H280" i="11" s="1"/>
  <c r="Q279" i="11"/>
  <c r="O279" i="11"/>
  <c r="N279" i="11"/>
  <c r="M279" i="11"/>
  <c r="L279" i="11"/>
  <c r="K279" i="11"/>
  <c r="P278" i="11"/>
  <c r="P286" i="11" s="1"/>
  <c r="P277" i="11"/>
  <c r="F277" i="11"/>
  <c r="F278" i="11" s="1"/>
  <c r="H278" i="11" s="1"/>
  <c r="P276" i="11"/>
  <c r="P280" i="11" s="1"/>
  <c r="F275" i="11"/>
  <c r="F274" i="11"/>
  <c r="F276" i="11" s="1"/>
  <c r="H276" i="11" s="1"/>
  <c r="C274" i="11"/>
  <c r="S271" i="11"/>
  <c r="R271" i="11"/>
  <c r="Q271" i="11"/>
  <c r="P271" i="11"/>
  <c r="O271" i="11"/>
  <c r="N271" i="11"/>
  <c r="M271" i="11"/>
  <c r="L271" i="11"/>
  <c r="K271" i="11"/>
  <c r="C271" i="11"/>
  <c r="T270" i="11"/>
  <c r="S270" i="11"/>
  <c r="R270" i="11"/>
  <c r="Q270" i="11"/>
  <c r="P270" i="11"/>
  <c r="O270" i="11"/>
  <c r="N270" i="11"/>
  <c r="M270" i="11"/>
  <c r="L270" i="11"/>
  <c r="K270" i="11"/>
  <c r="C270" i="11"/>
  <c r="C269" i="11"/>
  <c r="H934" i="9"/>
  <c r="G934" i="9"/>
  <c r="F934" i="9"/>
  <c r="I933" i="9"/>
  <c r="I923" i="9"/>
  <c r="I922" i="9"/>
  <c r="I921" i="9"/>
  <c r="I920" i="9"/>
  <c r="I919" i="9"/>
  <c r="I918" i="9"/>
  <c r="I917" i="9"/>
  <c r="I916" i="9"/>
  <c r="I915" i="9"/>
  <c r="I914" i="9"/>
  <c r="I913" i="9"/>
  <c r="I912" i="9"/>
  <c r="I911" i="9"/>
  <c r="I910" i="9"/>
  <c r="I909" i="9"/>
  <c r="B909" i="9"/>
  <c r="B910" i="9" s="1"/>
  <c r="B911" i="9" s="1"/>
  <c r="B912" i="9" s="1"/>
  <c r="B913" i="9" s="1"/>
  <c r="B914" i="9" s="1"/>
  <c r="B915" i="9" s="1"/>
  <c r="B916" i="9" s="1"/>
  <c r="B917" i="9" s="1"/>
  <c r="B918" i="9" s="1"/>
  <c r="B919" i="9" s="1"/>
  <c r="B920" i="9" s="1"/>
  <c r="B921" i="9" s="1"/>
  <c r="B922" i="9" s="1"/>
  <c r="B923" i="9" s="1"/>
  <c r="B924" i="9" s="1"/>
  <c r="B925" i="9" s="1"/>
  <c r="B926" i="9" s="1"/>
  <c r="B927" i="9" s="1"/>
  <c r="B928" i="9" s="1"/>
  <c r="B929" i="9" s="1"/>
  <c r="I908" i="9"/>
  <c r="I891" i="9"/>
  <c r="I928" i="9"/>
  <c r="I890" i="9"/>
  <c r="I889" i="9"/>
  <c r="I892" i="9" s="1"/>
  <c r="B890" i="9"/>
  <c r="I869" i="9"/>
  <c r="H881" i="9"/>
  <c r="G881" i="9"/>
  <c r="F881" i="9"/>
  <c r="I881" i="9"/>
  <c r="F852" i="9" s="1"/>
  <c r="F853" i="9" s="1"/>
  <c r="S877" i="9"/>
  <c r="R877" i="9"/>
  <c r="Q877" i="9"/>
  <c r="O877" i="9"/>
  <c r="N877" i="9"/>
  <c r="M877" i="9"/>
  <c r="L877" i="9"/>
  <c r="K877" i="9"/>
  <c r="S876" i="9"/>
  <c r="R876" i="9"/>
  <c r="Q876" i="9"/>
  <c r="P876" i="9"/>
  <c r="O876" i="9"/>
  <c r="N876" i="9"/>
  <c r="M876" i="9"/>
  <c r="L876" i="9"/>
  <c r="K876" i="9"/>
  <c r="H876" i="9"/>
  <c r="G876" i="9"/>
  <c r="F876" i="9"/>
  <c r="P271" i="3" s="1"/>
  <c r="I875" i="9"/>
  <c r="I874" i="9"/>
  <c r="O849" i="9" s="1"/>
  <c r="H275" i="4" s="1"/>
  <c r="I873" i="9"/>
  <c r="I872" i="9"/>
  <c r="I871" i="9"/>
  <c r="I884" i="9"/>
  <c r="I886" i="9" s="1"/>
  <c r="I870" i="9"/>
  <c r="L849" i="9" s="1"/>
  <c r="E275" i="4" s="1"/>
  <c r="I868" i="9"/>
  <c r="B868" i="9"/>
  <c r="B869" i="9" s="1"/>
  <c r="B870" i="9" s="1"/>
  <c r="B871" i="9" s="1"/>
  <c r="B872" i="9" s="1"/>
  <c r="B873" i="9" s="1"/>
  <c r="B874" i="9" s="1"/>
  <c r="B875" i="9" s="1"/>
  <c r="I876" i="9"/>
  <c r="Q859" i="9"/>
  <c r="O859" i="9"/>
  <c r="N859" i="9"/>
  <c r="M859" i="9"/>
  <c r="L859" i="9"/>
  <c r="K859" i="9"/>
  <c r="Q858" i="9"/>
  <c r="O858" i="9"/>
  <c r="N858" i="9"/>
  <c r="M858" i="9"/>
  <c r="L858" i="9"/>
  <c r="K858" i="9"/>
  <c r="O271" i="3"/>
  <c r="R857" i="9"/>
  <c r="M271" i="3" s="1"/>
  <c r="F855" i="9"/>
  <c r="H854" i="9"/>
  <c r="Q853" i="9"/>
  <c r="O853" i="9"/>
  <c r="L853" i="9"/>
  <c r="H853" i="9"/>
  <c r="Q852" i="9"/>
  <c r="O852" i="9"/>
  <c r="H276" i="4" s="1" a="1"/>
  <c r="H276" i="4" s="1"/>
  <c r="N852" i="9"/>
  <c r="M852" i="9"/>
  <c r="L852" i="9"/>
  <c r="E276" i="4" s="1" a="1"/>
  <c r="E276" i="4" s="1"/>
  <c r="K852" i="9"/>
  <c r="P851" i="9"/>
  <c r="P859" i="9" s="1"/>
  <c r="P850" i="9"/>
  <c r="F850" i="9"/>
  <c r="F851" i="9" s="1"/>
  <c r="H851" i="9" s="1"/>
  <c r="P275" i="4"/>
  <c r="F848" i="9"/>
  <c r="S844" i="9"/>
  <c r="R844" i="9"/>
  <c r="Q844" i="9"/>
  <c r="P844" i="9"/>
  <c r="O844" i="9"/>
  <c r="N844" i="9"/>
  <c r="M844" i="9"/>
  <c r="L844" i="9"/>
  <c r="K844" i="9"/>
  <c r="C844" i="9"/>
  <c r="T843" i="9"/>
  <c r="A275" i="4" s="1"/>
  <c r="S843" i="9"/>
  <c r="R843" i="9"/>
  <c r="Q843" i="9"/>
  <c r="P843" i="9"/>
  <c r="O843" i="9"/>
  <c r="N843" i="9"/>
  <c r="M843" i="9"/>
  <c r="L843" i="9"/>
  <c r="K843" i="9"/>
  <c r="C843" i="9"/>
  <c r="C842" i="9"/>
  <c r="H804" i="8"/>
  <c r="G804" i="8"/>
  <c r="F804" i="8"/>
  <c r="I803" i="8"/>
  <c r="I801" i="8"/>
  <c r="I800" i="8"/>
  <c r="I799" i="8"/>
  <c r="I798" i="8"/>
  <c r="I796" i="8"/>
  <c r="I795" i="8"/>
  <c r="B796" i="8"/>
  <c r="B797" i="8" s="1"/>
  <c r="I793" i="8"/>
  <c r="I767" i="8"/>
  <c r="I802" i="8"/>
  <c r="I766" i="8"/>
  <c r="I749" i="8"/>
  <c r="I794" i="8"/>
  <c r="I769" i="8"/>
  <c r="I762" i="8"/>
  <c r="I745" i="8"/>
  <c r="I744" i="8"/>
  <c r="H759" i="8"/>
  <c r="F759" i="8"/>
  <c r="S753" i="8"/>
  <c r="R753" i="8"/>
  <c r="Q753" i="8"/>
  <c r="P753" i="8"/>
  <c r="O753" i="8"/>
  <c r="N753" i="8"/>
  <c r="M753" i="8"/>
  <c r="L753" i="8"/>
  <c r="K753" i="8"/>
  <c r="S752" i="8"/>
  <c r="R752" i="8"/>
  <c r="Q752" i="8"/>
  <c r="P752" i="8"/>
  <c r="O752" i="8"/>
  <c r="N752" i="8"/>
  <c r="M752" i="8"/>
  <c r="L752" i="8"/>
  <c r="K752" i="8"/>
  <c r="H752" i="8"/>
  <c r="G752" i="8"/>
  <c r="F752" i="8"/>
  <c r="I751" i="8"/>
  <c r="I750" i="8"/>
  <c r="N722" i="8" s="1"/>
  <c r="I748" i="8"/>
  <c r="I746" i="8"/>
  <c r="M722" i="8" s="1"/>
  <c r="F272" i="4" s="1"/>
  <c r="I743" i="8"/>
  <c r="B744" i="8"/>
  <c r="B745" i="8" s="1"/>
  <c r="B746" i="8" s="1"/>
  <c r="B747" i="8" s="1"/>
  <c r="B748" i="8" s="1"/>
  <c r="B749" i="8" s="1"/>
  <c r="B750" i="8" s="1"/>
  <c r="B751" i="8" s="1"/>
  <c r="I740" i="8"/>
  <c r="Q732" i="8"/>
  <c r="O732" i="8"/>
  <c r="N732" i="8"/>
  <c r="M732" i="8"/>
  <c r="L732" i="8"/>
  <c r="K732" i="8"/>
  <c r="Q731" i="8"/>
  <c r="O731" i="8"/>
  <c r="N731" i="8"/>
  <c r="M731" i="8"/>
  <c r="L731" i="8"/>
  <c r="K731" i="8"/>
  <c r="O268" i="3"/>
  <c r="F728" i="8"/>
  <c r="H727" i="8"/>
  <c r="Q726" i="8"/>
  <c r="M726" i="8"/>
  <c r="Q725" i="8"/>
  <c r="O725" i="8"/>
  <c r="N725" i="8"/>
  <c r="M725" i="8"/>
  <c r="F273" i="4" s="1" a="1"/>
  <c r="F273" i="4" s="1"/>
  <c r="L725" i="8"/>
  <c r="K725" i="8"/>
  <c r="P724" i="8"/>
  <c r="P732" i="8" s="1"/>
  <c r="P723" i="8"/>
  <c r="F723" i="8"/>
  <c r="F724" i="8" s="1"/>
  <c r="H724" i="8" s="1"/>
  <c r="P272" i="4"/>
  <c r="F721" i="8"/>
  <c r="S717" i="8"/>
  <c r="R717" i="8"/>
  <c r="Q717" i="8"/>
  <c r="P717" i="8"/>
  <c r="O717" i="8"/>
  <c r="N717" i="8"/>
  <c r="M717" i="8"/>
  <c r="L717" i="8"/>
  <c r="K717" i="8"/>
  <c r="C717" i="8"/>
  <c r="T716" i="8"/>
  <c r="A272" i="4" s="1"/>
  <c r="S716" i="8"/>
  <c r="R716" i="8"/>
  <c r="Q716" i="8"/>
  <c r="P716" i="8"/>
  <c r="O716" i="8"/>
  <c r="N716" i="8"/>
  <c r="M716" i="8"/>
  <c r="L716" i="8"/>
  <c r="K716" i="8"/>
  <c r="C716" i="8"/>
  <c r="C715" i="8"/>
  <c r="H470" i="17"/>
  <c r="G470" i="17"/>
  <c r="F470" i="17"/>
  <c r="I469" i="17"/>
  <c r="I468" i="17"/>
  <c r="B468" i="17"/>
  <c r="B469" i="17" s="1"/>
  <c r="I467" i="17"/>
  <c r="I470" i="17" s="1"/>
  <c r="H464" i="17"/>
  <c r="G464" i="17"/>
  <c r="F464" i="17"/>
  <c r="I463" i="17"/>
  <c r="I462" i="17"/>
  <c r="I461" i="17"/>
  <c r="I460" i="17"/>
  <c r="I459" i="17"/>
  <c r="I457" i="17"/>
  <c r="I456" i="17"/>
  <c r="I455" i="17"/>
  <c r="I454" i="17"/>
  <c r="I453" i="17"/>
  <c r="I452" i="17"/>
  <c r="I451" i="17"/>
  <c r="I450" i="17"/>
  <c r="I449" i="17"/>
  <c r="I447" i="17"/>
  <c r="I446" i="17"/>
  <c r="B446" i="17"/>
  <c r="B447" i="17" s="1"/>
  <c r="I445" i="17"/>
  <c r="H432" i="17"/>
  <c r="G432" i="17"/>
  <c r="F432" i="17"/>
  <c r="S388" i="17" s="1"/>
  <c r="I431" i="17"/>
  <c r="I432" i="17" s="1"/>
  <c r="S380" i="17" s="1"/>
  <c r="I458" i="17"/>
  <c r="I427" i="17"/>
  <c r="I426" i="17"/>
  <c r="I428" i="17" s="1"/>
  <c r="B427" i="17"/>
  <c r="I448" i="17"/>
  <c r="I408" i="17"/>
  <c r="B422" i="17"/>
  <c r="I403" i="17"/>
  <c r="H418" i="17"/>
  <c r="G418" i="17"/>
  <c r="F418" i="17"/>
  <c r="I418" i="17"/>
  <c r="F383" i="17" s="1"/>
  <c r="F384" i="17" s="1"/>
  <c r="H414" i="17"/>
  <c r="G414" i="17"/>
  <c r="F414" i="17"/>
  <c r="I413" i="17"/>
  <c r="I406" i="17"/>
  <c r="I405" i="17"/>
  <c r="I404" i="17"/>
  <c r="I402" i="17"/>
  <c r="I401" i="17"/>
  <c r="L380" i="17" s="1"/>
  <c r="E269" i="4" s="1"/>
  <c r="I400" i="17"/>
  <c r="I399" i="17"/>
  <c r="B399" i="17"/>
  <c r="B400" i="17" s="1"/>
  <c r="B401" i="17" s="1"/>
  <c r="B402" i="17" s="1"/>
  <c r="B403" i="17" s="1"/>
  <c r="B404" i="17" s="1"/>
  <c r="B405" i="17" s="1"/>
  <c r="B406" i="17" s="1"/>
  <c r="B407" i="17" s="1"/>
  <c r="B408" i="17" s="1"/>
  <c r="I398" i="17"/>
  <c r="Q390" i="17"/>
  <c r="O390" i="17"/>
  <c r="N390" i="17"/>
  <c r="M390" i="17"/>
  <c r="L390" i="17"/>
  <c r="K390" i="17"/>
  <c r="Q389" i="17"/>
  <c r="O389" i="17"/>
  <c r="N389" i="17"/>
  <c r="M389" i="17"/>
  <c r="L389" i="17"/>
  <c r="K389" i="17"/>
  <c r="O265" i="3"/>
  <c r="F386" i="17"/>
  <c r="H385" i="17"/>
  <c r="L384" i="17"/>
  <c r="H384" i="17"/>
  <c r="Q383" i="17"/>
  <c r="O383" i="17"/>
  <c r="N383" i="17"/>
  <c r="M383" i="17"/>
  <c r="L383" i="17"/>
  <c r="E270" i="4" s="1" a="1"/>
  <c r="E270" i="4" s="1"/>
  <c r="K383" i="17"/>
  <c r="P382" i="17"/>
  <c r="P390" i="17" s="1"/>
  <c r="P381" i="17"/>
  <c r="P269" i="4"/>
  <c r="F379" i="17"/>
  <c r="S375" i="17"/>
  <c r="R375" i="17"/>
  <c r="Q375" i="17"/>
  <c r="P375" i="17"/>
  <c r="O375" i="17"/>
  <c r="N375" i="17"/>
  <c r="M375" i="17"/>
  <c r="L375" i="17"/>
  <c r="K375" i="17"/>
  <c r="C375" i="17"/>
  <c r="T374" i="17"/>
  <c r="A269" i="4" s="1"/>
  <c r="S374" i="17"/>
  <c r="R374" i="17"/>
  <c r="Q374" i="17"/>
  <c r="P374" i="17"/>
  <c r="O374" i="17"/>
  <c r="N374" i="17"/>
  <c r="M374" i="17"/>
  <c r="L374" i="17"/>
  <c r="K374" i="17"/>
  <c r="C374" i="17"/>
  <c r="C373" i="17"/>
  <c r="H179" i="20"/>
  <c r="G179" i="20"/>
  <c r="F179" i="20"/>
  <c r="I178" i="20"/>
  <c r="I177" i="20"/>
  <c r="I176" i="20"/>
  <c r="I175" i="20"/>
  <c r="I174" i="20"/>
  <c r="I173" i="20"/>
  <c r="I171" i="20"/>
  <c r="I170" i="20"/>
  <c r="I169" i="20"/>
  <c r="I168" i="20"/>
  <c r="I167" i="20"/>
  <c r="I166" i="20"/>
  <c r="I165" i="20"/>
  <c r="B165" i="20"/>
  <c r="B166" i="20" s="1"/>
  <c r="B167" i="20" s="1"/>
  <c r="B168" i="20" s="1"/>
  <c r="B169" i="20" s="1"/>
  <c r="B170" i="20" s="1"/>
  <c r="B171" i="20" s="1"/>
  <c r="B172" i="20" s="1"/>
  <c r="B173" i="20" s="1"/>
  <c r="B174" i="20" s="1"/>
  <c r="B175" i="20" s="1"/>
  <c r="B176" i="20" s="1"/>
  <c r="B177" i="20" s="1"/>
  <c r="B178" i="20" s="1"/>
  <c r="I164" i="20"/>
  <c r="I179" i="20" s="1"/>
  <c r="I143" i="20"/>
  <c r="H157" i="20"/>
  <c r="G157" i="20"/>
  <c r="F157" i="20"/>
  <c r="R133" i="20" s="1"/>
  <c r="I156" i="20"/>
  <c r="I157" i="20" s="1"/>
  <c r="R125" i="20" s="1"/>
  <c r="I151" i="20"/>
  <c r="I150" i="20"/>
  <c r="O125" i="20" s="1"/>
  <c r="H266" i="4" s="1"/>
  <c r="I149" i="20"/>
  <c r="N125" i="20" s="1"/>
  <c r="G266" i="4" s="1"/>
  <c r="I148" i="20"/>
  <c r="M125" i="20" s="1"/>
  <c r="F266" i="4" s="1"/>
  <c r="I147" i="20"/>
  <c r="L125" i="20" s="1"/>
  <c r="E266" i="4" s="1"/>
  <c r="I146" i="20"/>
  <c r="I145" i="20"/>
  <c r="B145" i="20"/>
  <c r="B146" i="20" s="1"/>
  <c r="B147" i="20" s="1"/>
  <c r="B148" i="20" s="1"/>
  <c r="B149" i="20" s="1"/>
  <c r="B150" i="20" s="1"/>
  <c r="B151" i="20" s="1"/>
  <c r="I144" i="20"/>
  <c r="Q135" i="20"/>
  <c r="O135" i="20"/>
  <c r="N135" i="20"/>
  <c r="M135" i="20"/>
  <c r="L135" i="20"/>
  <c r="K135" i="20"/>
  <c r="Q134" i="20"/>
  <c r="O134" i="20"/>
  <c r="N134" i="20"/>
  <c r="M134" i="20"/>
  <c r="L134" i="20"/>
  <c r="K134" i="20"/>
  <c r="O262" i="3"/>
  <c r="M262" i="3"/>
  <c r="F131" i="20"/>
  <c r="H130" i="20"/>
  <c r="Q129" i="20"/>
  <c r="O129" i="20"/>
  <c r="N129" i="20"/>
  <c r="M129" i="20"/>
  <c r="L129" i="20"/>
  <c r="F129" i="20"/>
  <c r="H129" i="20" s="1"/>
  <c r="Q128" i="20"/>
  <c r="O128" i="20"/>
  <c r="H267" i="4" s="1" a="1"/>
  <c r="H267" i="4" s="1"/>
  <c r="N128" i="20"/>
  <c r="G267" i="4" s="1" a="1"/>
  <c r="G267" i="4" s="1"/>
  <c r="M128" i="20"/>
  <c r="F267" i="4" s="1" a="1"/>
  <c r="F267" i="4" s="1"/>
  <c r="L128" i="20"/>
  <c r="E267" i="4" s="1" a="1"/>
  <c r="E267" i="4" s="1"/>
  <c r="K128" i="20"/>
  <c r="P127" i="20"/>
  <c r="P135" i="20" s="1"/>
  <c r="P126" i="20"/>
  <c r="F126" i="20"/>
  <c r="F127" i="20" s="1"/>
  <c r="H127" i="20" s="1"/>
  <c r="P266" i="4"/>
  <c r="F124" i="20"/>
  <c r="S120" i="20"/>
  <c r="R120" i="20"/>
  <c r="Q120" i="20"/>
  <c r="P120" i="20"/>
  <c r="O120" i="20"/>
  <c r="N120" i="20"/>
  <c r="M120" i="20"/>
  <c r="L120" i="20"/>
  <c r="K120" i="20"/>
  <c r="C120" i="20"/>
  <c r="T119" i="20"/>
  <c r="A266" i="4" s="1"/>
  <c r="S119" i="20"/>
  <c r="R119" i="20"/>
  <c r="Q119" i="20"/>
  <c r="P119" i="20"/>
  <c r="O119" i="20"/>
  <c r="N119" i="20"/>
  <c r="M119" i="20"/>
  <c r="L119" i="20"/>
  <c r="K119" i="20"/>
  <c r="C119" i="20"/>
  <c r="C118" i="20"/>
  <c r="H940" i="5"/>
  <c r="G940" i="5"/>
  <c r="F940" i="5"/>
  <c r="I939" i="5"/>
  <c r="I938" i="5"/>
  <c r="I937" i="5"/>
  <c r="I936" i="5"/>
  <c r="I935" i="5"/>
  <c r="I934" i="5"/>
  <c r="I933" i="5"/>
  <c r="I931" i="5"/>
  <c r="I930" i="5"/>
  <c r="I929" i="5"/>
  <c r="B928" i="5"/>
  <c r="B929" i="5" s="1"/>
  <c r="B930" i="5" s="1"/>
  <c r="B931" i="5" s="1"/>
  <c r="B932" i="5" s="1"/>
  <c r="B933" i="5" s="1"/>
  <c r="B934" i="5" s="1"/>
  <c r="B935" i="5" s="1"/>
  <c r="B936" i="5" s="1"/>
  <c r="B937" i="5" s="1"/>
  <c r="B938" i="5" s="1"/>
  <c r="B939" i="5" s="1"/>
  <c r="I927" i="5"/>
  <c r="I940" i="5" s="1"/>
  <c r="H906" i="5"/>
  <c r="G906" i="5"/>
  <c r="F906" i="5"/>
  <c r="I905" i="5"/>
  <c r="I906" i="5" s="1"/>
  <c r="I901" i="5"/>
  <c r="I902" i="5" s="1"/>
  <c r="I889" i="5"/>
  <c r="S898" i="5"/>
  <c r="R898" i="5"/>
  <c r="Q898" i="5"/>
  <c r="P898" i="5"/>
  <c r="O898" i="5"/>
  <c r="N898" i="5"/>
  <c r="M898" i="5"/>
  <c r="L898" i="5"/>
  <c r="K898" i="5"/>
  <c r="S897" i="5"/>
  <c r="R897" i="5"/>
  <c r="Q897" i="5"/>
  <c r="P897" i="5"/>
  <c r="O897" i="5"/>
  <c r="N897" i="5"/>
  <c r="M897" i="5"/>
  <c r="L897" i="5"/>
  <c r="K897" i="5"/>
  <c r="H897" i="5"/>
  <c r="G897" i="5"/>
  <c r="F897" i="5"/>
  <c r="P259" i="3" s="1"/>
  <c r="I896" i="5"/>
  <c r="I895" i="5"/>
  <c r="I894" i="5"/>
  <c r="I893" i="5"/>
  <c r="O866" i="5" s="1"/>
  <c r="H263" i="4" s="1"/>
  <c r="I892" i="5"/>
  <c r="I890" i="5"/>
  <c r="N866" i="5" s="1"/>
  <c r="I888" i="5"/>
  <c r="I887" i="5"/>
  <c r="I886" i="5"/>
  <c r="I885" i="5"/>
  <c r="L866" i="5" s="1"/>
  <c r="E263" i="4" s="1"/>
  <c r="B885" i="5"/>
  <c r="B886" i="5" s="1"/>
  <c r="B887" i="5" s="1"/>
  <c r="B888" i="5" s="1"/>
  <c r="B889" i="5" s="1"/>
  <c r="B890" i="5" s="1"/>
  <c r="I884" i="5"/>
  <c r="Q876" i="5"/>
  <c r="O876" i="5"/>
  <c r="N876" i="5"/>
  <c r="M876" i="5"/>
  <c r="L876" i="5"/>
  <c r="K876" i="5"/>
  <c r="Q875" i="5"/>
  <c r="O875" i="5"/>
  <c r="N875" i="5"/>
  <c r="M875" i="5"/>
  <c r="L875" i="5"/>
  <c r="K875" i="5"/>
  <c r="O259" i="3"/>
  <c r="R874" i="5"/>
  <c r="M259" i="3" s="1"/>
  <c r="F872" i="5"/>
  <c r="H871" i="5"/>
  <c r="Q870" i="5"/>
  <c r="O870" i="5"/>
  <c r="L870" i="5"/>
  <c r="F870" i="5"/>
  <c r="H870" i="5" s="1"/>
  <c r="Q869" i="5"/>
  <c r="O869" i="5"/>
  <c r="H264" i="4" s="1" a="1"/>
  <c r="H264" i="4" s="1"/>
  <c r="N869" i="5"/>
  <c r="M869" i="5"/>
  <c r="L869" i="5"/>
  <c r="E264" i="4" s="1" a="1"/>
  <c r="E264" i="4" s="1"/>
  <c r="K869" i="5"/>
  <c r="P868" i="5"/>
  <c r="P876" i="5" s="1"/>
  <c r="P867" i="5"/>
  <c r="F867" i="5"/>
  <c r="F868" i="5" s="1"/>
  <c r="H868" i="5" s="1"/>
  <c r="P263" i="4"/>
  <c r="F865" i="5"/>
  <c r="S861" i="5"/>
  <c r="R861" i="5"/>
  <c r="Q861" i="5"/>
  <c r="P861" i="5"/>
  <c r="O861" i="5"/>
  <c r="N861" i="5"/>
  <c r="M861" i="5"/>
  <c r="L861" i="5"/>
  <c r="K861" i="5"/>
  <c r="C861" i="5"/>
  <c r="T860" i="5"/>
  <c r="A263" i="4" s="1"/>
  <c r="S860" i="5"/>
  <c r="R860" i="5"/>
  <c r="Q860" i="5"/>
  <c r="P860" i="5"/>
  <c r="O860" i="5"/>
  <c r="N860" i="5"/>
  <c r="M860" i="5"/>
  <c r="L860" i="5"/>
  <c r="K860" i="5"/>
  <c r="C860" i="5"/>
  <c r="C859" i="5"/>
  <c r="X147" i="19"/>
  <c r="W147" i="19"/>
  <c r="V147" i="19"/>
  <c r="T147" i="19"/>
  <c r="H146" i="19"/>
  <c r="G146" i="19"/>
  <c r="F146" i="19"/>
  <c r="I146" i="19"/>
  <c r="F125" i="19" s="1"/>
  <c r="S142" i="19"/>
  <c r="R142" i="19"/>
  <c r="Q142" i="19"/>
  <c r="P142" i="19"/>
  <c r="O142" i="19"/>
  <c r="N142" i="19"/>
  <c r="M142" i="19"/>
  <c r="L142" i="19"/>
  <c r="K142" i="19"/>
  <c r="S141" i="19"/>
  <c r="R141" i="19"/>
  <c r="Q141" i="19"/>
  <c r="P141" i="19"/>
  <c r="O141" i="19"/>
  <c r="N141" i="19"/>
  <c r="M141" i="19"/>
  <c r="L141" i="19"/>
  <c r="K141" i="19"/>
  <c r="H141" i="19"/>
  <c r="G141" i="19"/>
  <c r="F141" i="19"/>
  <c r="I140" i="19"/>
  <c r="I141" i="19" s="1"/>
  <c r="Q132" i="19"/>
  <c r="O132" i="19"/>
  <c r="N132" i="19"/>
  <c r="M132" i="19"/>
  <c r="L132" i="19"/>
  <c r="K132" i="19"/>
  <c r="Q131" i="19"/>
  <c r="O131" i="19"/>
  <c r="N131" i="19"/>
  <c r="M131" i="19"/>
  <c r="L131" i="19"/>
  <c r="K131" i="19"/>
  <c r="F128" i="19"/>
  <c r="H127" i="19"/>
  <c r="Q126" i="19"/>
  <c r="O126" i="19"/>
  <c r="N126" i="19"/>
  <c r="M126" i="19"/>
  <c r="L126" i="19"/>
  <c r="K126" i="19"/>
  <c r="F126" i="19"/>
  <c r="H126" i="19" s="1"/>
  <c r="Q125" i="19"/>
  <c r="O125" i="19"/>
  <c r="N125" i="19"/>
  <c r="M125" i="19"/>
  <c r="L125" i="19"/>
  <c r="K125" i="19"/>
  <c r="P124" i="19"/>
  <c r="P132" i="19" s="1"/>
  <c r="P123" i="19"/>
  <c r="F123" i="19"/>
  <c r="F124" i="19" s="1"/>
  <c r="H124" i="19" s="1"/>
  <c r="P122" i="19"/>
  <c r="P126" i="19" s="1"/>
  <c r="F121" i="19"/>
  <c r="F120" i="19"/>
  <c r="F122" i="19" s="1"/>
  <c r="H122" i="19" s="1"/>
  <c r="C120" i="19"/>
  <c r="S117" i="19"/>
  <c r="R117" i="19"/>
  <c r="Q117" i="19"/>
  <c r="P117" i="19"/>
  <c r="O117" i="19"/>
  <c r="N117" i="19"/>
  <c r="M117" i="19"/>
  <c r="L117" i="19"/>
  <c r="K117" i="19"/>
  <c r="C117" i="19"/>
  <c r="T116" i="19"/>
  <c r="S116" i="19"/>
  <c r="R116" i="19"/>
  <c r="Q116" i="19"/>
  <c r="P116" i="19"/>
  <c r="O116" i="19"/>
  <c r="N116" i="19"/>
  <c r="M116" i="19"/>
  <c r="L116" i="19"/>
  <c r="K116" i="19"/>
  <c r="C116" i="19"/>
  <c r="C115" i="19"/>
  <c r="G762" i="12"/>
  <c r="G89" i="20"/>
  <c r="G820" i="5"/>
  <c r="X765" i="12"/>
  <c r="W765" i="12"/>
  <c r="N698" i="12"/>
  <c r="O698" i="12"/>
  <c r="G718" i="12"/>
  <c r="V717" i="12"/>
  <c r="O367" i="14"/>
  <c r="V391" i="14"/>
  <c r="G391" i="14"/>
  <c r="I451" i="14"/>
  <c r="I450" i="14"/>
  <c r="V389" i="14"/>
  <c r="G389" i="14"/>
  <c r="O768" i="9"/>
  <c r="V790" i="9"/>
  <c r="V783" i="9"/>
  <c r="V786" i="9"/>
  <c r="B779" i="9"/>
  <c r="B780" i="9" s="1"/>
  <c r="V779" i="9"/>
  <c r="V789" i="9"/>
  <c r="I835" i="9"/>
  <c r="I834" i="9"/>
  <c r="I833" i="9"/>
  <c r="O633" i="8"/>
  <c r="V666" i="8"/>
  <c r="I705" i="8"/>
  <c r="V411" i="14"/>
  <c r="X368" i="17"/>
  <c r="W368" i="17"/>
  <c r="O295" i="17"/>
  <c r="V330" i="17"/>
  <c r="V314" i="17"/>
  <c r="M66" i="20"/>
  <c r="V87" i="20"/>
  <c r="I111" i="20"/>
  <c r="I110" i="20"/>
  <c r="I108" i="20"/>
  <c r="I107" i="20"/>
  <c r="V109" i="20"/>
  <c r="G109" i="20"/>
  <c r="V89" i="20"/>
  <c r="I89" i="20"/>
  <c r="G88" i="20"/>
  <c r="I88" i="20" s="1"/>
  <c r="O58" i="20" s="1"/>
  <c r="G232" i="3"/>
  <c r="X710" i="8"/>
  <c r="W710" i="8"/>
  <c r="X854" i="5"/>
  <c r="W854" i="5"/>
  <c r="T854" i="5"/>
  <c r="O806" i="5"/>
  <c r="V821" i="5"/>
  <c r="G821" i="5"/>
  <c r="V820" i="5"/>
  <c r="F384" i="14"/>
  <c r="G843" i="5"/>
  <c r="G603" i="10"/>
  <c r="F368" i="14"/>
  <c r="G594" i="15"/>
  <c r="G319" i="17"/>
  <c r="G676" i="8"/>
  <c r="V762" i="12"/>
  <c r="I763" i="12"/>
  <c r="G716" i="12"/>
  <c r="V406" i="14"/>
  <c r="N367" i="14"/>
  <c r="V388" i="14"/>
  <c r="G388" i="14"/>
  <c r="G387" i="14"/>
  <c r="I447" i="14"/>
  <c r="I446" i="14"/>
  <c r="I445" i="14"/>
  <c r="N768" i="9"/>
  <c r="V787" i="9"/>
  <c r="N633" i="8"/>
  <c r="G655" i="8"/>
  <c r="V654" i="8"/>
  <c r="G654" i="8"/>
  <c r="F316" i="17"/>
  <c r="N295" i="17" s="1"/>
  <c r="V653" i="8"/>
  <c r="I652" i="8"/>
  <c r="V319" i="17"/>
  <c r="V318" i="17"/>
  <c r="G360" i="17"/>
  <c r="V360" i="17"/>
  <c r="V317" i="17"/>
  <c r="I363" i="17"/>
  <c r="I362" i="17"/>
  <c r="I361" i="17"/>
  <c r="I359" i="17"/>
  <c r="V316" i="17"/>
  <c r="N66" i="20"/>
  <c r="F232" i="3" s="1"/>
  <c r="G85" i="20"/>
  <c r="N806" i="5"/>
  <c r="V819" i="5"/>
  <c r="B848" i="5"/>
  <c r="V818" i="5"/>
  <c r="V817" i="5"/>
  <c r="G108" i="19"/>
  <c r="G313" i="17"/>
  <c r="G410" i="14"/>
  <c r="G257" i="11"/>
  <c r="G83" i="20"/>
  <c r="I253" i="3"/>
  <c r="G250" i="3"/>
  <c r="B254" i="4"/>
  <c r="M247" i="11"/>
  <c r="E250" i="3" s="1"/>
  <c r="V257" i="11"/>
  <c r="H412" i="14"/>
  <c r="G412" i="14"/>
  <c r="F412" i="14"/>
  <c r="V382" i="14"/>
  <c r="M367" i="14"/>
  <c r="V410" i="14"/>
  <c r="M768" i="9"/>
  <c r="I826" i="9"/>
  <c r="V784" i="9"/>
  <c r="M633" i="8"/>
  <c r="G649" i="8"/>
  <c r="B666" i="8"/>
  <c r="M295" i="17"/>
  <c r="V315" i="17"/>
  <c r="M806" i="5"/>
  <c r="P806" i="5" s="1"/>
  <c r="V826" i="5"/>
  <c r="M698" i="12"/>
  <c r="V715" i="12"/>
  <c r="H730" i="12"/>
  <c r="G730" i="12"/>
  <c r="F730" i="12"/>
  <c r="R698" i="12" s="1"/>
  <c r="I105" i="20"/>
  <c r="F590" i="12"/>
  <c r="H578" i="8"/>
  <c r="F578" i="8"/>
  <c r="H572" i="8"/>
  <c r="F572" i="8"/>
  <c r="H257" i="17"/>
  <c r="F257" i="17"/>
  <c r="J226" i="4"/>
  <c r="G799" i="9"/>
  <c r="G625" i="12"/>
  <c r="G578" i="15"/>
  <c r="G411" i="15"/>
  <c r="G308" i="17"/>
  <c r="G305" i="17"/>
  <c r="G306" i="17"/>
  <c r="G381" i="14"/>
  <c r="G383" i="14"/>
  <c r="L768" i="9"/>
  <c r="V782" i="9"/>
  <c r="V781" i="9"/>
  <c r="V778" i="9"/>
  <c r="V780" i="9"/>
  <c r="L633" i="8"/>
  <c r="V648" i="8"/>
  <c r="F711" i="12"/>
  <c r="L698" i="12" s="1"/>
  <c r="V711" i="12"/>
  <c r="L367" i="14"/>
  <c r="V385" i="14"/>
  <c r="V383" i="14"/>
  <c r="L295" i="17"/>
  <c r="V312" i="17"/>
  <c r="V311" i="17"/>
  <c r="V310" i="17"/>
  <c r="V309" i="17"/>
  <c r="K633" i="8"/>
  <c r="V661" i="8"/>
  <c r="X113" i="20"/>
  <c r="W113" i="20"/>
  <c r="V113" i="20"/>
  <c r="S91" i="20"/>
  <c r="R91" i="20"/>
  <c r="Q91" i="20"/>
  <c r="P91" i="20"/>
  <c r="O91" i="20"/>
  <c r="N91" i="20"/>
  <c r="M91" i="20"/>
  <c r="L91" i="20"/>
  <c r="S90" i="20"/>
  <c r="R90" i="20"/>
  <c r="Q90" i="20"/>
  <c r="P90" i="20"/>
  <c r="O90" i="20"/>
  <c r="N90" i="20"/>
  <c r="M90" i="20"/>
  <c r="L90" i="20"/>
  <c r="K91" i="20"/>
  <c r="H90" i="20"/>
  <c r="G90" i="20"/>
  <c r="F90" i="20"/>
  <c r="P232" i="3" s="1"/>
  <c r="B77" i="20"/>
  <c r="K66" i="20"/>
  <c r="F550" i="15"/>
  <c r="F613" i="12"/>
  <c r="H743" i="12"/>
  <c r="G725" i="12"/>
  <c r="I737" i="12"/>
  <c r="F636" i="12"/>
  <c r="G609" i="12"/>
  <c r="S582" i="12"/>
  <c r="S590" i="12"/>
  <c r="H677" i="12"/>
  <c r="F677" i="12"/>
  <c r="B676" i="12"/>
  <c r="G602" i="12"/>
  <c r="G742" i="12"/>
  <c r="I742" i="12" s="1"/>
  <c r="B742" i="12"/>
  <c r="B725" i="12" s="1"/>
  <c r="G741" i="12"/>
  <c r="G743" i="12" s="1"/>
  <c r="H736" i="12"/>
  <c r="G736" i="12"/>
  <c r="I736" i="12" s="1"/>
  <c r="G724" i="12"/>
  <c r="I724" i="12" s="1"/>
  <c r="G735" i="12"/>
  <c r="I735" i="12" s="1"/>
  <c r="G734" i="12"/>
  <c r="F734" i="12"/>
  <c r="I733" i="12"/>
  <c r="B734" i="12"/>
  <c r="B735" i="12" s="1"/>
  <c r="B736" i="12" s="1"/>
  <c r="B737" i="12" s="1"/>
  <c r="G723" i="12"/>
  <c r="B650" i="12"/>
  <c r="B626" i="12"/>
  <c r="B627" i="12" s="1"/>
  <c r="B628" i="12" s="1"/>
  <c r="G628" i="12"/>
  <c r="F628" i="12"/>
  <c r="G627" i="12"/>
  <c r="F627" i="12"/>
  <c r="G626" i="12"/>
  <c r="F626" i="12"/>
  <c r="V625" i="12"/>
  <c r="I625" i="12"/>
  <c r="H629" i="12"/>
  <c r="F629" i="12"/>
  <c r="H645" i="12"/>
  <c r="H421" i="14"/>
  <c r="F421" i="14"/>
  <c r="H427" i="14"/>
  <c r="I426" i="14"/>
  <c r="I402" i="14"/>
  <c r="G401" i="14"/>
  <c r="I401" i="14" s="1"/>
  <c r="I420" i="14"/>
  <c r="I419" i="14"/>
  <c r="M284" i="14"/>
  <c r="F294" i="14"/>
  <c r="F589" i="12"/>
  <c r="F283" i="14"/>
  <c r="H809" i="9"/>
  <c r="G795" i="9"/>
  <c r="I795" i="9" s="1"/>
  <c r="G813" i="9"/>
  <c r="I813" i="9" s="1"/>
  <c r="I799" i="9"/>
  <c r="F707" i="9"/>
  <c r="G713" i="9"/>
  <c r="G682" i="8"/>
  <c r="K768" i="9"/>
  <c r="I779" i="9"/>
  <c r="V692" i="8"/>
  <c r="K698" i="12"/>
  <c r="V729" i="12"/>
  <c r="G708" i="12"/>
  <c r="K367" i="14"/>
  <c r="V379" i="14"/>
  <c r="V378" i="14"/>
  <c r="B251" i="4"/>
  <c r="B248" i="4"/>
  <c r="B245" i="4"/>
  <c r="B242" i="4"/>
  <c r="B239" i="4"/>
  <c r="B236" i="4"/>
  <c r="B233" i="4"/>
  <c r="D247" i="3"/>
  <c r="E247" i="3"/>
  <c r="F247" i="3"/>
  <c r="G247" i="3"/>
  <c r="C247" i="3"/>
  <c r="D244" i="3"/>
  <c r="E244" i="3"/>
  <c r="F244" i="3"/>
  <c r="G244" i="3"/>
  <c r="C244" i="3"/>
  <c r="D241" i="3"/>
  <c r="E241" i="3"/>
  <c r="F241" i="3"/>
  <c r="G241" i="3"/>
  <c r="C241" i="3"/>
  <c r="D238" i="3"/>
  <c r="E238" i="3"/>
  <c r="F238" i="3"/>
  <c r="G238" i="3"/>
  <c r="C238" i="3"/>
  <c r="D235" i="3"/>
  <c r="E235" i="3"/>
  <c r="F235" i="3"/>
  <c r="G235" i="3"/>
  <c r="E232" i="3"/>
  <c r="C232" i="3"/>
  <c r="E229" i="3"/>
  <c r="F229" i="3"/>
  <c r="G229" i="3"/>
  <c r="H229" i="3"/>
  <c r="V308" i="17"/>
  <c r="V307" i="17"/>
  <c r="K295" i="17"/>
  <c r="C235" i="3" s="1"/>
  <c r="G307" i="17"/>
  <c r="V306" i="17"/>
  <c r="V305" i="17"/>
  <c r="V368" i="17" s="1"/>
  <c r="I708" i="12"/>
  <c r="P698" i="12"/>
  <c r="H247" i="3" s="1"/>
  <c r="P367" i="14"/>
  <c r="H244" i="3" s="1"/>
  <c r="P247" i="11"/>
  <c r="H250" i="3" s="1"/>
  <c r="P768" i="9"/>
  <c r="H241" i="3" s="1"/>
  <c r="P633" i="8"/>
  <c r="H238" i="3" s="1"/>
  <c r="P295" i="17"/>
  <c r="H235" i="3" s="1"/>
  <c r="P66" i="20"/>
  <c r="H232" i="3" s="1"/>
  <c r="P93" i="19"/>
  <c r="X110" i="19"/>
  <c r="W110" i="19"/>
  <c r="V110" i="19"/>
  <c r="T110" i="19"/>
  <c r="H109" i="19"/>
  <c r="G109" i="19"/>
  <c r="F109" i="19"/>
  <c r="S105" i="19"/>
  <c r="R105" i="19"/>
  <c r="Q105" i="19"/>
  <c r="P105" i="19"/>
  <c r="O105" i="19"/>
  <c r="N105" i="19"/>
  <c r="M105" i="19"/>
  <c r="L105" i="19"/>
  <c r="K105" i="19"/>
  <c r="S104" i="19"/>
  <c r="R104" i="19"/>
  <c r="Q104" i="19"/>
  <c r="P104" i="19"/>
  <c r="O104" i="19"/>
  <c r="N104" i="19"/>
  <c r="M104" i="19"/>
  <c r="L104" i="19"/>
  <c r="K104" i="19"/>
  <c r="H104" i="19"/>
  <c r="G104" i="19"/>
  <c r="F104" i="19"/>
  <c r="I103" i="19"/>
  <c r="I104" i="19" s="1"/>
  <c r="G83" i="19" s="1"/>
  <c r="Q95" i="19"/>
  <c r="O95" i="19"/>
  <c r="N95" i="19"/>
  <c r="M95" i="19"/>
  <c r="L95" i="19"/>
  <c r="K95" i="19"/>
  <c r="Q94" i="19"/>
  <c r="O94" i="19"/>
  <c r="N94" i="19"/>
  <c r="M94" i="19"/>
  <c r="L94" i="19"/>
  <c r="K94" i="19"/>
  <c r="F91" i="19"/>
  <c r="H90" i="19"/>
  <c r="Q89" i="19"/>
  <c r="O89" i="19"/>
  <c r="N89" i="19"/>
  <c r="M89" i="19"/>
  <c r="L89" i="19"/>
  <c r="K89" i="19"/>
  <c r="Q88" i="19"/>
  <c r="O88" i="19"/>
  <c r="N88" i="19"/>
  <c r="M88" i="19"/>
  <c r="L88" i="19"/>
  <c r="K88" i="19"/>
  <c r="P87" i="19"/>
  <c r="P95" i="19" s="1"/>
  <c r="P86" i="19"/>
  <c r="F86" i="19"/>
  <c r="F87" i="19" s="1"/>
  <c r="H87" i="19" s="1"/>
  <c r="P85" i="19"/>
  <c r="P89" i="19" s="1"/>
  <c r="F84" i="19"/>
  <c r="F83" i="19"/>
  <c r="F85" i="19" s="1"/>
  <c r="H85" i="19" s="1"/>
  <c r="C83" i="19"/>
  <c r="S80" i="19"/>
  <c r="R80" i="19"/>
  <c r="Q80" i="19"/>
  <c r="P80" i="19"/>
  <c r="O80" i="19"/>
  <c r="N80" i="19"/>
  <c r="M80" i="19"/>
  <c r="L80" i="19"/>
  <c r="K80" i="19"/>
  <c r="C80" i="19"/>
  <c r="T79" i="19"/>
  <c r="S79" i="19"/>
  <c r="R79" i="19"/>
  <c r="Q79" i="19"/>
  <c r="P79" i="19"/>
  <c r="O79" i="19"/>
  <c r="N79" i="19"/>
  <c r="M79" i="19"/>
  <c r="L79" i="19"/>
  <c r="K79" i="19"/>
  <c r="C79" i="19"/>
  <c r="C78" i="19"/>
  <c r="B257" i="4"/>
  <c r="L590" i="12"/>
  <c r="R558" i="15"/>
  <c r="R550" i="15"/>
  <c r="L558" i="15"/>
  <c r="L550" i="15"/>
  <c r="B599" i="15"/>
  <c r="B600" i="15" s="1"/>
  <c r="B601" i="15" s="1"/>
  <c r="B602" i="15" s="1"/>
  <c r="B603" i="15" s="1"/>
  <c r="B604" i="15" s="1"/>
  <c r="B605" i="15" s="1"/>
  <c r="B606" i="15" s="1"/>
  <c r="G579" i="15"/>
  <c r="F579" i="15"/>
  <c r="V578" i="15"/>
  <c r="B578" i="15"/>
  <c r="B579" i="15" s="1"/>
  <c r="F561" i="8"/>
  <c r="H646" i="12"/>
  <c r="G424" i="14"/>
  <c r="I424" i="14"/>
  <c r="B425" i="14"/>
  <c r="G425" i="14"/>
  <c r="I425" i="14"/>
  <c r="G415" i="14"/>
  <c r="I415" i="14"/>
  <c r="B416" i="14"/>
  <c r="G416" i="14"/>
  <c r="I416" i="14"/>
  <c r="B417" i="14"/>
  <c r="B418" i="14" s="1"/>
  <c r="B419" i="14" s="1"/>
  <c r="B420" i="14" s="1"/>
  <c r="G417" i="14"/>
  <c r="I417" i="14"/>
  <c r="G418" i="14"/>
  <c r="I418" i="14"/>
  <c r="B323" i="14"/>
  <c r="H319" i="14"/>
  <c r="F319" i="14"/>
  <c r="G796" i="9"/>
  <c r="I796" i="9"/>
  <c r="B797" i="9"/>
  <c r="B798" i="9" s="1"/>
  <c r="G797" i="9"/>
  <c r="I797" i="9"/>
  <c r="B799" i="9"/>
  <c r="F812" i="9"/>
  <c r="F814" i="9" s="1"/>
  <c r="G812" i="9"/>
  <c r="G814" i="9" s="1"/>
  <c r="I812" i="9"/>
  <c r="I814" i="9" s="1"/>
  <c r="I798" i="9"/>
  <c r="I803" i="9"/>
  <c r="B804" i="9"/>
  <c r="I804" i="9"/>
  <c r="B805" i="9"/>
  <c r="G805" i="9"/>
  <c r="I805" i="9"/>
  <c r="B806" i="9"/>
  <c r="G806" i="9"/>
  <c r="I806" i="9"/>
  <c r="B807" i="9"/>
  <c r="B808" i="9" s="1"/>
  <c r="I807" i="9"/>
  <c r="F808" i="9"/>
  <c r="F809" i="9" s="1"/>
  <c r="G808" i="9"/>
  <c r="I808" i="9"/>
  <c r="F724" i="9"/>
  <c r="I681" i="8"/>
  <c r="I686" i="8"/>
  <c r="I687" i="8" s="1"/>
  <c r="I682" i="8"/>
  <c r="G679" i="8"/>
  <c r="I679" i="8" s="1"/>
  <c r="N544" i="8"/>
  <c r="M558" i="15"/>
  <c r="H253" i="17"/>
  <c r="F253" i="17"/>
  <c r="G575" i="8"/>
  <c r="H716" i="9"/>
  <c r="F716" i="9"/>
  <c r="G670" i="8"/>
  <c r="I670" i="8"/>
  <c r="B671" i="8"/>
  <c r="G671" i="8"/>
  <c r="I671" i="8"/>
  <c r="B672" i="8"/>
  <c r="G672" i="8"/>
  <c r="I672" i="8"/>
  <c r="B673" i="8"/>
  <c r="I673" i="8"/>
  <c r="B674" i="8"/>
  <c r="G674" i="8"/>
  <c r="I674" i="8"/>
  <c r="B675" i="8"/>
  <c r="B676" i="8" s="1"/>
  <c r="B677" i="8" s="1"/>
  <c r="B678" i="8" s="1"/>
  <c r="B679" i="8" s="1"/>
  <c r="B680" i="8" s="1"/>
  <c r="B681" i="8" s="1"/>
  <c r="B682" i="8" s="1"/>
  <c r="G675" i="8"/>
  <c r="I675" i="8"/>
  <c r="I676" i="8"/>
  <c r="G677" i="8"/>
  <c r="I677" i="8"/>
  <c r="G678" i="8"/>
  <c r="I678" i="8"/>
  <c r="H590" i="8"/>
  <c r="F590" i="8"/>
  <c r="G589" i="8"/>
  <c r="V589" i="8"/>
  <c r="H607" i="15"/>
  <c r="F607" i="15"/>
  <c r="H573" i="15"/>
  <c r="F573" i="15"/>
  <c r="H614" i="12"/>
  <c r="H622" i="12"/>
  <c r="H633" i="12"/>
  <c r="G633" i="12"/>
  <c r="F633" i="12"/>
  <c r="H637" i="12"/>
  <c r="H672" i="12"/>
  <c r="F672" i="12"/>
  <c r="H341" i="17"/>
  <c r="F341" i="17"/>
  <c r="F637" i="12"/>
  <c r="V713" i="9"/>
  <c r="V706" i="9"/>
  <c r="L238" i="17"/>
  <c r="H747" i="9"/>
  <c r="F747" i="9"/>
  <c r="K692" i="9"/>
  <c r="G599" i="15"/>
  <c r="I599" i="15"/>
  <c r="V599" i="15"/>
  <c r="V606" i="12"/>
  <c r="L615" i="12"/>
  <c r="M615" i="12"/>
  <c r="N615" i="12"/>
  <c r="O615" i="12"/>
  <c r="P615" i="12"/>
  <c r="Q615" i="12"/>
  <c r="R615" i="12"/>
  <c r="S615" i="12"/>
  <c r="K615" i="12"/>
  <c r="L614" i="12"/>
  <c r="M614" i="12"/>
  <c r="N614" i="12"/>
  <c r="O614" i="12"/>
  <c r="P614" i="12"/>
  <c r="Q614" i="12"/>
  <c r="R614" i="12"/>
  <c r="S614" i="12"/>
  <c r="K614" i="12"/>
  <c r="V613" i="12"/>
  <c r="V610" i="12"/>
  <c r="H300" i="14"/>
  <c r="H306" i="14"/>
  <c r="F306" i="14"/>
  <c r="H312" i="14"/>
  <c r="F312" i="14"/>
  <c r="H346" i="14"/>
  <c r="F346" i="14"/>
  <c r="H274" i="17"/>
  <c r="F274" i="17"/>
  <c r="B305" i="14"/>
  <c r="N238" i="17"/>
  <c r="G249" i="17"/>
  <c r="K544" i="8"/>
  <c r="G339" i="17"/>
  <c r="I339" i="17"/>
  <c r="B340" i="17"/>
  <c r="G340" i="17"/>
  <c r="I340" i="17"/>
  <c r="G94" i="20"/>
  <c r="I94" i="20"/>
  <c r="F95" i="20"/>
  <c r="G95" i="20"/>
  <c r="H95" i="20"/>
  <c r="I95" i="20"/>
  <c r="G304" i="14"/>
  <c r="R20" i="20"/>
  <c r="N20" i="20"/>
  <c r="H45" i="20"/>
  <c r="G45" i="20"/>
  <c r="F45" i="20"/>
  <c r="H36" i="20"/>
  <c r="F36" i="20"/>
  <c r="H31" i="20"/>
  <c r="G31" i="20"/>
  <c r="S31" i="20"/>
  <c r="R31" i="20"/>
  <c r="Q31" i="20"/>
  <c r="P31" i="20"/>
  <c r="O31" i="20"/>
  <c r="N31" i="20"/>
  <c r="M31" i="20"/>
  <c r="L31" i="20"/>
  <c r="S32" i="20"/>
  <c r="R32" i="20"/>
  <c r="Q32" i="20"/>
  <c r="P32" i="20"/>
  <c r="O32" i="20"/>
  <c r="N32" i="20"/>
  <c r="M32" i="20"/>
  <c r="L32" i="20"/>
  <c r="K32" i="20"/>
  <c r="K31" i="20"/>
  <c r="F31" i="20"/>
  <c r="V35" i="20"/>
  <c r="G297" i="14"/>
  <c r="H844" i="5"/>
  <c r="F844" i="5"/>
  <c r="I843" i="5"/>
  <c r="G842" i="5"/>
  <c r="I842" i="5" s="1"/>
  <c r="B842" i="5"/>
  <c r="B843" i="5" s="1"/>
  <c r="G841" i="5"/>
  <c r="G837" i="5"/>
  <c r="I837" i="5" s="1"/>
  <c r="G836" i="5"/>
  <c r="I836" i="5" s="1"/>
  <c r="I835" i="5"/>
  <c r="G834" i="5"/>
  <c r="F834" i="5"/>
  <c r="F833" i="5"/>
  <c r="H832" i="5"/>
  <c r="G832" i="5"/>
  <c r="B832" i="5"/>
  <c r="B833" i="5" s="1"/>
  <c r="B834" i="5" s="1"/>
  <c r="B835" i="5" s="1"/>
  <c r="B836" i="5" s="1"/>
  <c r="B837" i="5" s="1"/>
  <c r="H831" i="5"/>
  <c r="G306" i="14"/>
  <c r="G576" i="8"/>
  <c r="G571" i="8"/>
  <c r="G572" i="8" s="1"/>
  <c r="G619" i="12"/>
  <c r="G622" i="12" s="1"/>
  <c r="G676" i="12"/>
  <c r="G677" i="12" s="1"/>
  <c r="G636" i="12"/>
  <c r="G637" i="12" s="1"/>
  <c r="G610" i="12"/>
  <c r="G294" i="14"/>
  <c r="G715" i="9"/>
  <c r="G714" i="9"/>
  <c r="G716" i="9"/>
  <c r="G740" i="9"/>
  <c r="G747" i="9" s="1"/>
  <c r="G577" i="8"/>
  <c r="G256" i="17"/>
  <c r="G257" i="17" s="1"/>
  <c r="G270" i="17"/>
  <c r="G35" i="20"/>
  <c r="G36" i="20" s="1"/>
  <c r="G309" i="14"/>
  <c r="G311" i="14"/>
  <c r="H263" i="11"/>
  <c r="F263" i="11"/>
  <c r="G262" i="11"/>
  <c r="H764" i="12"/>
  <c r="G764" i="12"/>
  <c r="F764" i="12"/>
  <c r="I761" i="12"/>
  <c r="I760" i="12"/>
  <c r="I759" i="12"/>
  <c r="I758" i="12"/>
  <c r="I757" i="12"/>
  <c r="I756" i="12"/>
  <c r="I755" i="12"/>
  <c r="I754" i="12"/>
  <c r="I753" i="12"/>
  <c r="I752" i="12"/>
  <c r="I751" i="12"/>
  <c r="I750" i="12"/>
  <c r="I749" i="12"/>
  <c r="I748" i="12"/>
  <c r="I747" i="12"/>
  <c r="B747" i="12"/>
  <c r="B748" i="12" s="1"/>
  <c r="B749" i="12" s="1"/>
  <c r="B750" i="12" s="1"/>
  <c r="B751" i="12" s="1"/>
  <c r="I746" i="12"/>
  <c r="I762" i="12"/>
  <c r="I729" i="12"/>
  <c r="I730" i="12"/>
  <c r="R690" i="12" s="1"/>
  <c r="I713" i="12"/>
  <c r="H726" i="12"/>
  <c r="G726" i="12"/>
  <c r="F726" i="12"/>
  <c r="S720" i="12"/>
  <c r="R720" i="12"/>
  <c r="Q720" i="12"/>
  <c r="P720" i="12"/>
  <c r="O720" i="12"/>
  <c r="N720" i="12"/>
  <c r="M720" i="12"/>
  <c r="L720" i="12"/>
  <c r="K720" i="12"/>
  <c r="S719" i="12"/>
  <c r="R719" i="12"/>
  <c r="Q719" i="12"/>
  <c r="P719" i="12"/>
  <c r="O719" i="12"/>
  <c r="N719" i="12"/>
  <c r="M719" i="12"/>
  <c r="L719" i="12"/>
  <c r="K719" i="12"/>
  <c r="H719" i="12"/>
  <c r="G719" i="12"/>
  <c r="F719" i="12"/>
  <c r="P247" i="3" s="1"/>
  <c r="I718" i="12"/>
  <c r="I717" i="12"/>
  <c r="O690" i="12" s="1"/>
  <c r="H251" i="4" s="1"/>
  <c r="I716" i="12"/>
  <c r="I715" i="12"/>
  <c r="I714" i="12"/>
  <c r="I712" i="12"/>
  <c r="I711" i="12"/>
  <c r="I710" i="12"/>
  <c r="L690" i="12" s="1"/>
  <c r="E251" i="4" s="1"/>
  <c r="I709" i="12"/>
  <c r="B709" i="12"/>
  <c r="B710" i="12" s="1"/>
  <c r="B711" i="12" s="1"/>
  <c r="B712" i="12" s="1"/>
  <c r="B713" i="12" s="1"/>
  <c r="B714" i="12" s="1"/>
  <c r="B715" i="12" s="1"/>
  <c r="B716" i="12" s="1"/>
  <c r="B717" i="12" s="1"/>
  <c r="B718" i="12" s="1"/>
  <c r="I719" i="12"/>
  <c r="G688" i="12" s="1"/>
  <c r="Q700" i="12"/>
  <c r="O700" i="12"/>
  <c r="N700" i="12"/>
  <c r="M700" i="12"/>
  <c r="L700" i="12"/>
  <c r="K700" i="12"/>
  <c r="Q699" i="12"/>
  <c r="O699" i="12"/>
  <c r="N699" i="12"/>
  <c r="M699" i="12"/>
  <c r="L699" i="12"/>
  <c r="K699" i="12"/>
  <c r="O247" i="3"/>
  <c r="M247" i="3"/>
  <c r="F696" i="12"/>
  <c r="H695" i="12"/>
  <c r="Q694" i="12"/>
  <c r="O694" i="12"/>
  <c r="L694" i="12"/>
  <c r="Q693" i="12"/>
  <c r="O693" i="12"/>
  <c r="H252" i="4" s="1" a="1"/>
  <c r="H252" i="4" s="1"/>
  <c r="N693" i="12"/>
  <c r="M693" i="12"/>
  <c r="L693" i="12"/>
  <c r="E252" i="4" s="1" a="1"/>
  <c r="E252" i="4" s="1"/>
  <c r="K693" i="12"/>
  <c r="P692" i="12"/>
  <c r="P700" i="12" s="1"/>
  <c r="P691" i="12"/>
  <c r="F691" i="12"/>
  <c r="F692" i="12" s="1"/>
  <c r="H692" i="12" s="1"/>
  <c r="P251" i="4"/>
  <c r="F689" i="12"/>
  <c r="S685" i="12"/>
  <c r="R685" i="12"/>
  <c r="Q685" i="12"/>
  <c r="P685" i="12"/>
  <c r="O685" i="12"/>
  <c r="N685" i="12"/>
  <c r="M685" i="12"/>
  <c r="L685" i="12"/>
  <c r="K685" i="12"/>
  <c r="C685" i="12"/>
  <c r="T684" i="12"/>
  <c r="A251" i="4" s="1"/>
  <c r="S684" i="12"/>
  <c r="R684" i="12"/>
  <c r="Q684" i="12"/>
  <c r="P684" i="12"/>
  <c r="O684" i="12"/>
  <c r="N684" i="12"/>
  <c r="M684" i="12"/>
  <c r="L684" i="12"/>
  <c r="K684" i="12"/>
  <c r="C684" i="12"/>
  <c r="C683" i="12"/>
  <c r="X458" i="14"/>
  <c r="W458" i="14"/>
  <c r="V458" i="14"/>
  <c r="H457" i="14"/>
  <c r="G457" i="14"/>
  <c r="F457" i="14"/>
  <c r="I456" i="14"/>
  <c r="B456" i="14"/>
  <c r="I455" i="14"/>
  <c r="I457" i="14" s="1"/>
  <c r="H452" i="14"/>
  <c r="G452" i="14"/>
  <c r="F452" i="14"/>
  <c r="I449" i="14"/>
  <c r="I448" i="14"/>
  <c r="I444" i="14"/>
  <c r="I443" i="14"/>
  <c r="I442" i="14"/>
  <c r="I441" i="14"/>
  <c r="I440" i="14"/>
  <c r="I439" i="14"/>
  <c r="I438" i="14"/>
  <c r="I437" i="14"/>
  <c r="I436" i="14"/>
  <c r="I435" i="14"/>
  <c r="I434" i="14"/>
  <c r="I433" i="14"/>
  <c r="I432" i="14"/>
  <c r="I431" i="14"/>
  <c r="B431" i="14"/>
  <c r="B432" i="14" s="1"/>
  <c r="B433" i="14" s="1"/>
  <c r="B434" i="14" s="1"/>
  <c r="B435" i="14" s="1"/>
  <c r="B436" i="14" s="1"/>
  <c r="B437" i="14" s="1"/>
  <c r="B438" i="14" s="1"/>
  <c r="B439" i="14" s="1"/>
  <c r="B440" i="14" s="1"/>
  <c r="B441" i="14" s="1"/>
  <c r="B442" i="14" s="1"/>
  <c r="B443" i="14" s="1"/>
  <c r="B444" i="14" s="1"/>
  <c r="I430" i="14"/>
  <c r="I452" i="14" s="1"/>
  <c r="I411" i="14"/>
  <c r="I410" i="14"/>
  <c r="I412" i="14" s="1"/>
  <c r="I406" i="14"/>
  <c r="B411" i="14"/>
  <c r="I382" i="14"/>
  <c r="H407" i="14"/>
  <c r="G407" i="14"/>
  <c r="F407" i="14"/>
  <c r="I390" i="14"/>
  <c r="I387" i="14"/>
  <c r="I407" i="14"/>
  <c r="H403" i="14"/>
  <c r="G403" i="14"/>
  <c r="F403" i="14"/>
  <c r="I403" i="14"/>
  <c r="F362" i="14" s="1"/>
  <c r="F363" i="14" s="1"/>
  <c r="I396" i="14"/>
  <c r="I398" i="14" s="1"/>
  <c r="S393" i="14"/>
  <c r="R393" i="14"/>
  <c r="Q393" i="14"/>
  <c r="P393" i="14"/>
  <c r="O393" i="14"/>
  <c r="N393" i="14"/>
  <c r="M393" i="14"/>
  <c r="L393" i="14"/>
  <c r="K393" i="14"/>
  <c r="S392" i="14"/>
  <c r="R392" i="14"/>
  <c r="Q392" i="14"/>
  <c r="P392" i="14"/>
  <c r="O392" i="14"/>
  <c r="N392" i="14"/>
  <c r="M392" i="14"/>
  <c r="L392" i="14"/>
  <c r="K392" i="14"/>
  <c r="H392" i="14"/>
  <c r="G392" i="14"/>
  <c r="F392" i="14"/>
  <c r="P244" i="3" s="1"/>
  <c r="I391" i="14"/>
  <c r="I389" i="14"/>
  <c r="O359" i="14" s="1"/>
  <c r="H248" i="4" s="1"/>
  <c r="I388" i="14"/>
  <c r="N359" i="14" s="1"/>
  <c r="G248" i="4" s="1"/>
  <c r="I386" i="14"/>
  <c r="M359" i="14" s="1"/>
  <c r="F248" i="4" s="1"/>
  <c r="I385" i="14"/>
  <c r="I384" i="14"/>
  <c r="I383" i="14"/>
  <c r="I381" i="14"/>
  <c r="I380" i="14"/>
  <c r="I379" i="14"/>
  <c r="B379" i="14"/>
  <c r="B380" i="14" s="1"/>
  <c r="B381" i="14" s="1"/>
  <c r="I378" i="14"/>
  <c r="Q369" i="14"/>
  <c r="O369" i="14"/>
  <c r="N369" i="14"/>
  <c r="M369" i="14"/>
  <c r="L369" i="14"/>
  <c r="K369" i="14"/>
  <c r="Q368" i="14"/>
  <c r="O368" i="14"/>
  <c r="N368" i="14"/>
  <c r="M368" i="14"/>
  <c r="L368" i="14"/>
  <c r="K368" i="14"/>
  <c r="O244" i="3"/>
  <c r="R367" i="14"/>
  <c r="M244" i="3" s="1"/>
  <c r="F365" i="14"/>
  <c r="H364" i="14"/>
  <c r="O363" i="14"/>
  <c r="N363" i="14"/>
  <c r="M363" i="14"/>
  <c r="H363" i="14"/>
  <c r="Q362" i="14"/>
  <c r="O362" i="14"/>
  <c r="H249" i="4" s="1" a="1"/>
  <c r="H249" i="4" s="1"/>
  <c r="N362" i="14"/>
  <c r="G249" i="4" s="1" a="1"/>
  <c r="G249" i="4" s="1"/>
  <c r="M362" i="14"/>
  <c r="F249" i="4" s="1" a="1"/>
  <c r="F249" i="4" s="1"/>
  <c r="L362" i="14"/>
  <c r="K362" i="14"/>
  <c r="P361" i="14"/>
  <c r="P369" i="14" s="1"/>
  <c r="P360" i="14"/>
  <c r="P248" i="4"/>
  <c r="F358" i="14"/>
  <c r="S354" i="14"/>
  <c r="R354" i="14"/>
  <c r="Q354" i="14"/>
  <c r="P354" i="14"/>
  <c r="O354" i="14"/>
  <c r="N354" i="14"/>
  <c r="M354" i="14"/>
  <c r="L354" i="14"/>
  <c r="K354" i="14"/>
  <c r="C354" i="14"/>
  <c r="T353" i="14"/>
  <c r="A248" i="4" s="1"/>
  <c r="S353" i="14"/>
  <c r="R353" i="14"/>
  <c r="Q353" i="14"/>
  <c r="P353" i="14"/>
  <c r="O353" i="14"/>
  <c r="N353" i="14"/>
  <c r="M353" i="14"/>
  <c r="L353" i="14"/>
  <c r="K353" i="14"/>
  <c r="C353" i="14"/>
  <c r="C352" i="14"/>
  <c r="X264" i="11"/>
  <c r="W264" i="11"/>
  <c r="V264" i="11"/>
  <c r="T264" i="11"/>
  <c r="S259" i="11"/>
  <c r="R259" i="11"/>
  <c r="Q259" i="11"/>
  <c r="P259" i="11"/>
  <c r="O259" i="11"/>
  <c r="N259" i="11"/>
  <c r="M259" i="11"/>
  <c r="L259" i="11"/>
  <c r="K259" i="11"/>
  <c r="S258" i="11"/>
  <c r="R258" i="11"/>
  <c r="Q258" i="11"/>
  <c r="P258" i="11"/>
  <c r="O258" i="11"/>
  <c r="N258" i="11"/>
  <c r="M258" i="11"/>
  <c r="L258" i="11"/>
  <c r="K258" i="11"/>
  <c r="H258" i="11"/>
  <c r="G258" i="11"/>
  <c r="F258" i="11"/>
  <c r="P250" i="3" s="1"/>
  <c r="I257" i="11"/>
  <c r="Q249" i="11"/>
  <c r="O249" i="11"/>
  <c r="N249" i="11"/>
  <c r="M249" i="11"/>
  <c r="L249" i="11"/>
  <c r="K249" i="11"/>
  <c r="Q248" i="11"/>
  <c r="O248" i="11"/>
  <c r="N248" i="11"/>
  <c r="M248" i="11"/>
  <c r="L248" i="11"/>
  <c r="K248" i="11"/>
  <c r="O250" i="3"/>
  <c r="M250" i="3"/>
  <c r="F245" i="11"/>
  <c r="H244" i="11"/>
  <c r="Q243" i="11"/>
  <c r="O243" i="11"/>
  <c r="N243" i="11"/>
  <c r="L243" i="11"/>
  <c r="K243" i="11"/>
  <c r="F243" i="11"/>
  <c r="H243" i="11" s="1"/>
  <c r="Q242" i="11"/>
  <c r="O242" i="11"/>
  <c r="N242" i="11"/>
  <c r="M242" i="11"/>
  <c r="L242" i="11"/>
  <c r="K242" i="11"/>
  <c r="P241" i="11"/>
  <c r="P249" i="11" s="1"/>
  <c r="P240" i="11"/>
  <c r="F240" i="11"/>
  <c r="F241" i="11" s="1"/>
  <c r="H241" i="11" s="1"/>
  <c r="P254" i="4"/>
  <c r="N254" i="4"/>
  <c r="F238" i="11"/>
  <c r="S234" i="11"/>
  <c r="R234" i="11"/>
  <c r="Q234" i="11"/>
  <c r="P234" i="11"/>
  <c r="O234" i="11"/>
  <c r="N234" i="11"/>
  <c r="M234" i="11"/>
  <c r="L234" i="11"/>
  <c r="K234" i="11"/>
  <c r="C234" i="11"/>
  <c r="T233" i="11"/>
  <c r="A254" i="4" s="1"/>
  <c r="S233" i="11"/>
  <c r="R233" i="11"/>
  <c r="Q233" i="11"/>
  <c r="P233" i="11"/>
  <c r="O233" i="11"/>
  <c r="N233" i="11"/>
  <c r="M233" i="11"/>
  <c r="L233" i="11"/>
  <c r="K233" i="11"/>
  <c r="C233" i="11"/>
  <c r="C232" i="11"/>
  <c r="X837" i="9"/>
  <c r="W837" i="9"/>
  <c r="V837" i="9"/>
  <c r="H836" i="9"/>
  <c r="G836" i="9"/>
  <c r="F836" i="9"/>
  <c r="I832" i="9"/>
  <c r="I831" i="9"/>
  <c r="I830" i="9"/>
  <c r="I829" i="9"/>
  <c r="I828" i="9"/>
  <c r="I827" i="9"/>
  <c r="I825" i="9"/>
  <c r="I824" i="9"/>
  <c r="I823" i="9"/>
  <c r="I822" i="9"/>
  <c r="I821" i="9"/>
  <c r="I820" i="9"/>
  <c r="I819" i="9"/>
  <c r="I818" i="9"/>
  <c r="B818" i="9"/>
  <c r="B819" i="9" s="1"/>
  <c r="B820" i="9" s="1"/>
  <c r="B821" i="9" s="1"/>
  <c r="B822" i="9" s="1"/>
  <c r="B823" i="9" s="1"/>
  <c r="B824" i="9" s="1"/>
  <c r="I817" i="9"/>
  <c r="I836" i="9" s="1"/>
  <c r="I783" i="9"/>
  <c r="I786" i="9"/>
  <c r="I785" i="9"/>
  <c r="H800" i="9"/>
  <c r="G800" i="9"/>
  <c r="F800" i="9"/>
  <c r="I800" i="9"/>
  <c r="F763" i="9" s="1"/>
  <c r="F764" i="9" s="1"/>
  <c r="S792" i="9"/>
  <c r="R792" i="9"/>
  <c r="Q792" i="9"/>
  <c r="P792" i="9"/>
  <c r="O792" i="9"/>
  <c r="N792" i="9"/>
  <c r="M792" i="9"/>
  <c r="L792" i="9"/>
  <c r="K792" i="9"/>
  <c r="S791" i="9"/>
  <c r="R791" i="9"/>
  <c r="Q791" i="9"/>
  <c r="P791" i="9"/>
  <c r="O791" i="9"/>
  <c r="N791" i="9"/>
  <c r="M791" i="9"/>
  <c r="L791" i="9"/>
  <c r="K791" i="9"/>
  <c r="H791" i="9"/>
  <c r="G791" i="9"/>
  <c r="F791" i="9"/>
  <c r="P241" i="3" s="1"/>
  <c r="I790" i="9"/>
  <c r="I789" i="9"/>
  <c r="I788" i="9"/>
  <c r="O760" i="9" s="1"/>
  <c r="H245" i="4" s="1"/>
  <c r="I787" i="9"/>
  <c r="N760" i="9" s="1"/>
  <c r="G245" i="4" s="1"/>
  <c r="I784" i="9"/>
  <c r="M760" i="9" s="1"/>
  <c r="F245" i="4" s="1"/>
  <c r="I782" i="9"/>
  <c r="I781" i="9"/>
  <c r="I780" i="9"/>
  <c r="B781" i="9"/>
  <c r="B782" i="9" s="1"/>
  <c r="B783" i="9" s="1"/>
  <c r="B784" i="9" s="1"/>
  <c r="I778" i="9"/>
  <c r="I791" i="9" s="1"/>
  <c r="G758" i="9" s="1"/>
  <c r="Q770" i="9"/>
  <c r="O770" i="9"/>
  <c r="N770" i="9"/>
  <c r="M770" i="9"/>
  <c r="L770" i="9"/>
  <c r="K770" i="9"/>
  <c r="Q769" i="9"/>
  <c r="O769" i="9"/>
  <c r="N769" i="9"/>
  <c r="M769" i="9"/>
  <c r="L769" i="9"/>
  <c r="K769" i="9"/>
  <c r="O241" i="3"/>
  <c r="M241" i="3"/>
  <c r="F766" i="9"/>
  <c r="H765" i="9"/>
  <c r="Q764" i="9"/>
  <c r="O764" i="9"/>
  <c r="N764" i="9"/>
  <c r="M764" i="9"/>
  <c r="H764" i="9"/>
  <c r="Q763" i="9"/>
  <c r="O763" i="9"/>
  <c r="H246" i="4" s="1" a="1"/>
  <c r="H246" i="4" s="1"/>
  <c r="N763" i="9"/>
  <c r="G246" i="4" s="1" a="1"/>
  <c r="G246" i="4" s="1"/>
  <c r="M763" i="9"/>
  <c r="F246" i="4" s="1" a="1"/>
  <c r="F246" i="4" s="1"/>
  <c r="L763" i="9"/>
  <c r="K763" i="9"/>
  <c r="P762" i="9"/>
  <c r="P770" i="9" s="1"/>
  <c r="P761" i="9"/>
  <c r="F761" i="9"/>
  <c r="F762" i="9" s="1"/>
  <c r="H762" i="9" s="1"/>
  <c r="P245" i="4"/>
  <c r="F759" i="9"/>
  <c r="S755" i="9"/>
  <c r="R755" i="9"/>
  <c r="Q755" i="9"/>
  <c r="P755" i="9"/>
  <c r="O755" i="9"/>
  <c r="N755" i="9"/>
  <c r="M755" i="9"/>
  <c r="L755" i="9"/>
  <c r="K755" i="9"/>
  <c r="C755" i="9"/>
  <c r="T754" i="9"/>
  <c r="A245" i="4" s="1"/>
  <c r="S754" i="9"/>
  <c r="R754" i="9"/>
  <c r="Q754" i="9"/>
  <c r="P754" i="9"/>
  <c r="O754" i="9"/>
  <c r="N754" i="9"/>
  <c r="M754" i="9"/>
  <c r="L754" i="9"/>
  <c r="K754" i="9"/>
  <c r="C754" i="9"/>
  <c r="C753" i="9"/>
  <c r="H709" i="8"/>
  <c r="G709" i="8"/>
  <c r="F709" i="8"/>
  <c r="I708" i="8"/>
  <c r="I707" i="8"/>
  <c r="I706" i="8"/>
  <c r="I704" i="8"/>
  <c r="I703" i="8"/>
  <c r="I702" i="8"/>
  <c r="I701" i="8"/>
  <c r="I700" i="8"/>
  <c r="I699" i="8"/>
  <c r="I698" i="8"/>
  <c r="I697" i="8"/>
  <c r="I696" i="8"/>
  <c r="I695" i="8"/>
  <c r="I694" i="8"/>
  <c r="I693" i="8"/>
  <c r="I691" i="8"/>
  <c r="B691" i="8"/>
  <c r="B692" i="8" s="1"/>
  <c r="B693" i="8" s="1"/>
  <c r="B694" i="8" s="1"/>
  <c r="B695" i="8" s="1"/>
  <c r="B696" i="8" s="1"/>
  <c r="B697" i="8" s="1"/>
  <c r="B698" i="8" s="1"/>
  <c r="B699" i="8" s="1"/>
  <c r="B700" i="8" s="1"/>
  <c r="B701" i="8" s="1"/>
  <c r="B702" i="8" s="1"/>
  <c r="B703" i="8" s="1"/>
  <c r="B704" i="8" s="1"/>
  <c r="I690" i="8"/>
  <c r="R633" i="8"/>
  <c r="I666" i="8"/>
  <c r="O625" i="8" s="1"/>
  <c r="I651" i="8"/>
  <c r="I665" i="8"/>
  <c r="I667" i="8" s="1"/>
  <c r="I648" i="8"/>
  <c r="L625" i="8" s="1"/>
  <c r="E242" i="4" s="1"/>
  <c r="I692" i="8"/>
  <c r="I661" i="8"/>
  <c r="I662" i="8" s="1"/>
  <c r="R625" i="8" s="1"/>
  <c r="S658" i="8"/>
  <c r="R658" i="8"/>
  <c r="Q658" i="8"/>
  <c r="P658" i="8"/>
  <c r="O658" i="8"/>
  <c r="N658" i="8"/>
  <c r="M658" i="8"/>
  <c r="L658" i="8"/>
  <c r="K658" i="8"/>
  <c r="S657" i="8"/>
  <c r="R657" i="8"/>
  <c r="Q657" i="8"/>
  <c r="P657" i="8"/>
  <c r="O657" i="8"/>
  <c r="N657" i="8"/>
  <c r="M657" i="8"/>
  <c r="L657" i="8"/>
  <c r="K657" i="8"/>
  <c r="H657" i="8"/>
  <c r="G657" i="8"/>
  <c r="F657" i="8"/>
  <c r="P238" i="3" s="1"/>
  <c r="H242" i="4"/>
  <c r="I656" i="8"/>
  <c r="I655" i="8"/>
  <c r="I654" i="8"/>
  <c r="I653" i="8"/>
  <c r="I650" i="8"/>
  <c r="I649" i="8"/>
  <c r="M625" i="8" s="1"/>
  <c r="F242" i="4" s="1"/>
  <c r="I647" i="8"/>
  <c r="B647" i="8"/>
  <c r="B648" i="8" s="1"/>
  <c r="B649" i="8" s="1"/>
  <c r="B650" i="8" s="1"/>
  <c r="I646" i="8"/>
  <c r="Q635" i="8"/>
  <c r="O635" i="8"/>
  <c r="N635" i="8"/>
  <c r="M635" i="8"/>
  <c r="L635" i="8"/>
  <c r="K635" i="8"/>
  <c r="Q634" i="8"/>
  <c r="O634" i="8"/>
  <c r="N634" i="8"/>
  <c r="M634" i="8"/>
  <c r="L634" i="8"/>
  <c r="K634" i="8"/>
  <c r="O238" i="3"/>
  <c r="M238" i="3"/>
  <c r="F631" i="8"/>
  <c r="H630" i="8"/>
  <c r="Q629" i="8"/>
  <c r="O629" i="8"/>
  <c r="M629" i="8"/>
  <c r="L629" i="8"/>
  <c r="F629" i="8"/>
  <c r="H629" i="8" s="1"/>
  <c r="Q628" i="8"/>
  <c r="O628" i="8"/>
  <c r="H243" i="4" s="1" a="1"/>
  <c r="H243" i="4" s="1"/>
  <c r="N628" i="8"/>
  <c r="M628" i="8"/>
  <c r="F243" i="4" s="1" a="1"/>
  <c r="F243" i="4" s="1"/>
  <c r="L628" i="8"/>
  <c r="E243" i="4" s="1" a="1"/>
  <c r="E243" i="4" s="1"/>
  <c r="K628" i="8"/>
  <c r="P627" i="8"/>
  <c r="P635" i="8" s="1"/>
  <c r="P626" i="8"/>
  <c r="F626" i="8"/>
  <c r="F627" i="8" s="1"/>
  <c r="H627" i="8" s="1"/>
  <c r="P242" i="4"/>
  <c r="F624" i="8"/>
  <c r="S620" i="8"/>
  <c r="R620" i="8"/>
  <c r="Q620" i="8"/>
  <c r="P620" i="8"/>
  <c r="O620" i="8"/>
  <c r="N620" i="8"/>
  <c r="M620" i="8"/>
  <c r="L620" i="8"/>
  <c r="K620" i="8"/>
  <c r="C620" i="8"/>
  <c r="T619" i="8"/>
  <c r="A242" i="4" s="1"/>
  <c r="S619" i="8"/>
  <c r="R619" i="8"/>
  <c r="Q619" i="8"/>
  <c r="P619" i="8"/>
  <c r="O619" i="8"/>
  <c r="N619" i="8"/>
  <c r="M619" i="8"/>
  <c r="L619" i="8"/>
  <c r="K619" i="8"/>
  <c r="C619" i="8"/>
  <c r="C618" i="8"/>
  <c r="H367" i="17"/>
  <c r="G367" i="17"/>
  <c r="F367" i="17"/>
  <c r="I366" i="17"/>
  <c r="I365" i="17"/>
  <c r="I364" i="17"/>
  <c r="I358" i="17"/>
  <c r="I357" i="17"/>
  <c r="I356" i="17"/>
  <c r="I355" i="17"/>
  <c r="I354" i="17"/>
  <c r="I353" i="17"/>
  <c r="I352" i="17"/>
  <c r="I351" i="17"/>
  <c r="I350" i="17"/>
  <c r="I349" i="17"/>
  <c r="I348" i="17"/>
  <c r="I347" i="17"/>
  <c r="I346" i="17"/>
  <c r="I345" i="17"/>
  <c r="B345" i="17"/>
  <c r="B346" i="17" s="1"/>
  <c r="B347" i="17" s="1"/>
  <c r="B348" i="17" s="1"/>
  <c r="B349" i="17" s="1"/>
  <c r="B350" i="17" s="1"/>
  <c r="B351" i="17" s="1"/>
  <c r="B352" i="17" s="1"/>
  <c r="B353" i="17" s="1"/>
  <c r="B354" i="17" s="1"/>
  <c r="B355" i="17" s="1"/>
  <c r="B356" i="17" s="1"/>
  <c r="B357" i="17" s="1"/>
  <c r="B358" i="17" s="1"/>
  <c r="I344" i="17"/>
  <c r="I330" i="17"/>
  <c r="I331" i="17" s="1"/>
  <c r="I360" i="17"/>
  <c r="I314" i="17"/>
  <c r="I311" i="17"/>
  <c r="I313" i="17"/>
  <c r="I320" i="17"/>
  <c r="O287" i="17" s="1"/>
  <c r="H239" i="4" s="1"/>
  <c r="I319" i="17"/>
  <c r="I318" i="17"/>
  <c r="I317" i="17"/>
  <c r="I316" i="17"/>
  <c r="I315" i="17"/>
  <c r="I312" i="17"/>
  <c r="I310" i="17"/>
  <c r="I309" i="17"/>
  <c r="I308" i="17"/>
  <c r="I307" i="17"/>
  <c r="I306" i="17"/>
  <c r="B306" i="17"/>
  <c r="B307" i="17" s="1"/>
  <c r="B308" i="17" s="1"/>
  <c r="B309" i="17" s="1"/>
  <c r="B310" i="17" s="1"/>
  <c r="B311" i="17" s="1"/>
  <c r="B312" i="17" s="1"/>
  <c r="B313" i="17" s="1"/>
  <c r="B314" i="17" s="1"/>
  <c r="B315" i="17" s="1"/>
  <c r="B316" i="17" s="1"/>
  <c r="B317" i="17" s="1"/>
  <c r="B318" i="17" s="1"/>
  <c r="B319" i="17" s="1"/>
  <c r="B320" i="17" s="1"/>
  <c r="I305" i="17"/>
  <c r="I321" i="17" s="1"/>
  <c r="Q297" i="17"/>
  <c r="O297" i="17"/>
  <c r="N297" i="17"/>
  <c r="M297" i="17"/>
  <c r="L297" i="17"/>
  <c r="K297" i="17"/>
  <c r="Q296" i="17"/>
  <c r="O296" i="17"/>
  <c r="N296" i="17"/>
  <c r="M296" i="17"/>
  <c r="L296" i="17"/>
  <c r="K296" i="17"/>
  <c r="O235" i="3"/>
  <c r="F293" i="17"/>
  <c r="H292" i="17"/>
  <c r="O291" i="17"/>
  <c r="F291" i="17"/>
  <c r="H291" i="17" s="1"/>
  <c r="Q290" i="17"/>
  <c r="O290" i="17"/>
  <c r="H240" i="4" s="1" a="1"/>
  <c r="H240" i="4" s="1"/>
  <c r="N290" i="17"/>
  <c r="M290" i="17"/>
  <c r="L290" i="17"/>
  <c r="K290" i="17"/>
  <c r="P289" i="17"/>
  <c r="P297" i="17" s="1"/>
  <c r="P288" i="17"/>
  <c r="F286" i="17"/>
  <c r="S282" i="17"/>
  <c r="R282" i="17"/>
  <c r="Q282" i="17"/>
  <c r="P282" i="17"/>
  <c r="O282" i="17"/>
  <c r="N282" i="17"/>
  <c r="M282" i="17"/>
  <c r="L282" i="17"/>
  <c r="K282" i="17"/>
  <c r="C282" i="17"/>
  <c r="T281" i="17"/>
  <c r="A239" i="4" s="1"/>
  <c r="S281" i="17"/>
  <c r="R281" i="17"/>
  <c r="Q281" i="17"/>
  <c r="P281" i="17"/>
  <c r="O281" i="17"/>
  <c r="N281" i="17"/>
  <c r="M281" i="17"/>
  <c r="L281" i="17"/>
  <c r="K281" i="17"/>
  <c r="C281" i="17"/>
  <c r="C280" i="17"/>
  <c r="H112" i="20"/>
  <c r="G112" i="20"/>
  <c r="F112" i="20"/>
  <c r="I106" i="20"/>
  <c r="I104" i="20"/>
  <c r="I103" i="20"/>
  <c r="I102" i="20"/>
  <c r="I101" i="20"/>
  <c r="I100" i="20"/>
  <c r="I99" i="20"/>
  <c r="B99" i="20"/>
  <c r="B100" i="20" s="1"/>
  <c r="B101" i="20" s="1"/>
  <c r="B102" i="20" s="1"/>
  <c r="B103" i="20" s="1"/>
  <c r="B104" i="20" s="1"/>
  <c r="I98" i="20"/>
  <c r="I87" i="20"/>
  <c r="I83" i="20"/>
  <c r="I86" i="20"/>
  <c r="I82" i="20"/>
  <c r="M58" i="20" s="1"/>
  <c r="I76" i="20"/>
  <c r="I85" i="20"/>
  <c r="I84" i="20"/>
  <c r="N58" i="20" s="1"/>
  <c r="G236" i="4" s="1"/>
  <c r="I81" i="20"/>
  <c r="I80" i="20"/>
  <c r="I79" i="20"/>
  <c r="I78" i="20"/>
  <c r="B78" i="20"/>
  <c r="B79" i="20" s="1"/>
  <c r="B80" i="20" s="1"/>
  <c r="B81" i="20" s="1"/>
  <c r="I77" i="20"/>
  <c r="Q68" i="20"/>
  <c r="O68" i="20"/>
  <c r="N68" i="20"/>
  <c r="M68" i="20"/>
  <c r="L68" i="20"/>
  <c r="K68" i="20"/>
  <c r="Q67" i="20"/>
  <c r="O67" i="20"/>
  <c r="N67" i="20"/>
  <c r="M67" i="20"/>
  <c r="L67" i="20"/>
  <c r="K67" i="20"/>
  <c r="O232" i="3"/>
  <c r="F64" i="20"/>
  <c r="H63" i="20"/>
  <c r="Q62" i="20"/>
  <c r="N62" i="20"/>
  <c r="L62" i="20"/>
  <c r="F62" i="20"/>
  <c r="H62" i="20" s="1"/>
  <c r="Q61" i="20"/>
  <c r="O61" i="20"/>
  <c r="N61" i="20"/>
  <c r="G237" i="4" s="1" a="1"/>
  <c r="G237" i="4" s="1"/>
  <c r="M61" i="20"/>
  <c r="L61" i="20"/>
  <c r="K61" i="20"/>
  <c r="P60" i="20"/>
  <c r="P68" i="20" s="1"/>
  <c r="P59" i="20"/>
  <c r="F59" i="20"/>
  <c r="F60" i="20" s="1"/>
  <c r="H60" i="20" s="1"/>
  <c r="P236" i="4"/>
  <c r="F57" i="20"/>
  <c r="S53" i="20"/>
  <c r="R53" i="20"/>
  <c r="Q53" i="20"/>
  <c r="P53" i="20"/>
  <c r="O53" i="20"/>
  <c r="N53" i="20"/>
  <c r="M53" i="20"/>
  <c r="L53" i="20"/>
  <c r="K53" i="20"/>
  <c r="C53" i="20"/>
  <c r="T52" i="20"/>
  <c r="A236" i="4" s="1"/>
  <c r="S52" i="20"/>
  <c r="R52" i="20"/>
  <c r="Q52" i="20"/>
  <c r="P52" i="20"/>
  <c r="O52" i="20"/>
  <c r="N52" i="20"/>
  <c r="M52" i="20"/>
  <c r="L52" i="20"/>
  <c r="K52" i="20"/>
  <c r="C52" i="20"/>
  <c r="C51" i="20"/>
  <c r="H853" i="5"/>
  <c r="G853" i="5"/>
  <c r="F853" i="5"/>
  <c r="I852" i="5"/>
  <c r="I851" i="5"/>
  <c r="I850" i="5"/>
  <c r="I849" i="5"/>
  <c r="I848" i="5"/>
  <c r="B849" i="5"/>
  <c r="B850" i="5" s="1"/>
  <c r="B851" i="5" s="1"/>
  <c r="B852" i="5" s="1"/>
  <c r="I847" i="5"/>
  <c r="I853" i="5" s="1"/>
  <c r="H828" i="5"/>
  <c r="G828" i="5"/>
  <c r="F828" i="5"/>
  <c r="R806" i="5" s="1"/>
  <c r="I827" i="5"/>
  <c r="B827" i="5"/>
  <c r="I826" i="5"/>
  <c r="S823" i="5"/>
  <c r="R823" i="5"/>
  <c r="Q823" i="5"/>
  <c r="P823" i="5"/>
  <c r="O823" i="5"/>
  <c r="N823" i="5"/>
  <c r="M823" i="5"/>
  <c r="L823" i="5"/>
  <c r="K823" i="5"/>
  <c r="S822" i="5"/>
  <c r="R822" i="5"/>
  <c r="Q822" i="5"/>
  <c r="P822" i="5"/>
  <c r="O822" i="5"/>
  <c r="N822" i="5"/>
  <c r="M822" i="5"/>
  <c r="L822" i="5"/>
  <c r="K822" i="5"/>
  <c r="H822" i="5"/>
  <c r="G822" i="5"/>
  <c r="F822" i="5"/>
  <c r="P229" i="3" s="1"/>
  <c r="I821" i="5"/>
  <c r="I820" i="5"/>
  <c r="O798" i="5" s="1"/>
  <c r="H233" i="4" s="1"/>
  <c r="I819" i="5"/>
  <c r="I818" i="5"/>
  <c r="B818" i="5"/>
  <c r="B819" i="5" s="1"/>
  <c r="B820" i="5" s="1"/>
  <c r="B821" i="5" s="1"/>
  <c r="I817" i="5"/>
  <c r="I822" i="5" s="1"/>
  <c r="Q808" i="5"/>
  <c r="O808" i="5"/>
  <c r="N808" i="5"/>
  <c r="M808" i="5"/>
  <c r="L808" i="5"/>
  <c r="K808" i="5"/>
  <c r="Q807" i="5"/>
  <c r="O807" i="5"/>
  <c r="N807" i="5"/>
  <c r="M807" i="5"/>
  <c r="L807" i="5"/>
  <c r="K807" i="5"/>
  <c r="O229" i="3"/>
  <c r="M229" i="3"/>
  <c r="F804" i="5"/>
  <c r="H803" i="5"/>
  <c r="Q802" i="5"/>
  <c r="O802" i="5"/>
  <c r="L802" i="5"/>
  <c r="K802" i="5"/>
  <c r="F802" i="5"/>
  <c r="H802" i="5" s="1"/>
  <c r="Q801" i="5"/>
  <c r="O801" i="5"/>
  <c r="H234" i="4" s="1" a="1"/>
  <c r="H234" i="4" s="1"/>
  <c r="N801" i="5"/>
  <c r="M801" i="5"/>
  <c r="L801" i="5"/>
  <c r="K801" i="5"/>
  <c r="P800" i="5"/>
  <c r="P808" i="5" s="1"/>
  <c r="P799" i="5"/>
  <c r="F799" i="5"/>
  <c r="F800" i="5" s="1"/>
  <c r="H800" i="5" s="1"/>
  <c r="P233" i="4"/>
  <c r="F797" i="5"/>
  <c r="S793" i="5"/>
  <c r="R793" i="5"/>
  <c r="Q793" i="5"/>
  <c r="P793" i="5"/>
  <c r="O793" i="5"/>
  <c r="N793" i="5"/>
  <c r="M793" i="5"/>
  <c r="L793" i="5"/>
  <c r="K793" i="5"/>
  <c r="C793" i="5"/>
  <c r="T792" i="5"/>
  <c r="A233" i="4" s="1"/>
  <c r="S792" i="5"/>
  <c r="R792" i="5"/>
  <c r="Q792" i="5"/>
  <c r="P792" i="5"/>
  <c r="O792" i="5"/>
  <c r="N792" i="5"/>
  <c r="M792" i="5"/>
  <c r="L792" i="5"/>
  <c r="K792" i="5"/>
  <c r="C792" i="5"/>
  <c r="C791" i="5"/>
  <c r="T748" i="9"/>
  <c r="V621" i="12"/>
  <c r="F621" i="12"/>
  <c r="V620" i="12"/>
  <c r="F620" i="12"/>
  <c r="B619" i="12"/>
  <c r="B620" i="12" s="1"/>
  <c r="V619" i="12"/>
  <c r="F618" i="12"/>
  <c r="V618" i="12"/>
  <c r="F587" i="12"/>
  <c r="F689" i="9"/>
  <c r="S692" i="9"/>
  <c r="R692" i="9"/>
  <c r="S684" i="9"/>
  <c r="R684" i="9"/>
  <c r="F541" i="8"/>
  <c r="F555" i="15"/>
  <c r="F235" i="17"/>
  <c r="F717" i="5"/>
  <c r="S57" i="19"/>
  <c r="R57" i="19"/>
  <c r="S49" i="19"/>
  <c r="R49" i="19"/>
  <c r="V576" i="8"/>
  <c r="V636" i="12"/>
  <c r="V577" i="8"/>
  <c r="O590" i="12"/>
  <c r="G560" i="8"/>
  <c r="G248" i="17"/>
  <c r="H612" i="8"/>
  <c r="F612" i="8"/>
  <c r="S562" i="8"/>
  <c r="R562" i="8"/>
  <c r="Q562" i="8"/>
  <c r="P562" i="8"/>
  <c r="O562" i="8"/>
  <c r="N562" i="8"/>
  <c r="M562" i="8"/>
  <c r="L562" i="8"/>
  <c r="K562" i="8"/>
  <c r="H562" i="8"/>
  <c r="V561" i="8"/>
  <c r="V560" i="8"/>
  <c r="S739" i="5"/>
  <c r="R739" i="5"/>
  <c r="Q739" i="5"/>
  <c r="P739" i="5"/>
  <c r="O739" i="5"/>
  <c r="N739" i="5"/>
  <c r="M739" i="5"/>
  <c r="L739" i="5"/>
  <c r="K739" i="5"/>
  <c r="S738" i="5"/>
  <c r="R738" i="5"/>
  <c r="Q738" i="5"/>
  <c r="P738" i="5"/>
  <c r="O738" i="5"/>
  <c r="N738" i="5"/>
  <c r="M738" i="5"/>
  <c r="L738" i="5"/>
  <c r="K738" i="5"/>
  <c r="H738" i="5"/>
  <c r="F738" i="5"/>
  <c r="H785" i="5"/>
  <c r="F785" i="5"/>
  <c r="O720" i="5"/>
  <c r="I784" i="5"/>
  <c r="I783" i="5"/>
  <c r="V737" i="5"/>
  <c r="X347" i="14"/>
  <c r="W347" i="14"/>
  <c r="T347" i="14"/>
  <c r="S301" i="14"/>
  <c r="R301" i="14"/>
  <c r="Q301" i="14"/>
  <c r="P301" i="14"/>
  <c r="O301" i="14"/>
  <c r="N301" i="14"/>
  <c r="M301" i="14"/>
  <c r="L301" i="14"/>
  <c r="K301" i="14"/>
  <c r="S300" i="14"/>
  <c r="R300" i="14"/>
  <c r="Q300" i="14"/>
  <c r="P300" i="14"/>
  <c r="O300" i="14"/>
  <c r="N300" i="14"/>
  <c r="M300" i="14"/>
  <c r="L300" i="14"/>
  <c r="K300" i="14"/>
  <c r="I345" i="14"/>
  <c r="S254" i="17"/>
  <c r="R254" i="17"/>
  <c r="Q254" i="17"/>
  <c r="P254" i="17"/>
  <c r="O254" i="17"/>
  <c r="N254" i="17"/>
  <c r="M254" i="17"/>
  <c r="L254" i="17"/>
  <c r="K254" i="17"/>
  <c r="S253" i="17"/>
  <c r="R253" i="17"/>
  <c r="Q253" i="17"/>
  <c r="P253" i="17"/>
  <c r="O253" i="17"/>
  <c r="N253" i="17"/>
  <c r="M253" i="17"/>
  <c r="L253" i="17"/>
  <c r="K253" i="17"/>
  <c r="X275" i="17"/>
  <c r="T275" i="17"/>
  <c r="H262" i="17"/>
  <c r="F262" i="17"/>
  <c r="X608" i="15"/>
  <c r="T608" i="15"/>
  <c r="K573" i="15"/>
  <c r="S574" i="15"/>
  <c r="R574" i="15"/>
  <c r="Q574" i="15"/>
  <c r="P574" i="15"/>
  <c r="O574" i="15"/>
  <c r="N574" i="15"/>
  <c r="M574" i="15"/>
  <c r="L574" i="15"/>
  <c r="K574" i="15"/>
  <c r="S573" i="15"/>
  <c r="R573" i="15"/>
  <c r="Q573" i="15"/>
  <c r="P573" i="15"/>
  <c r="O573" i="15"/>
  <c r="N573" i="15"/>
  <c r="M573" i="15"/>
  <c r="L573" i="15"/>
  <c r="B249" i="17"/>
  <c r="B310" i="14"/>
  <c r="B311" i="14" s="1"/>
  <c r="V248" i="17"/>
  <c r="V297" i="14"/>
  <c r="B571" i="15"/>
  <c r="B572" i="15" s="1"/>
  <c r="V571" i="15"/>
  <c r="G605" i="12"/>
  <c r="G645" i="12"/>
  <c r="G724" i="9"/>
  <c r="G601" i="12"/>
  <c r="G225" i="11"/>
  <c r="G593" i="8"/>
  <c r="G71" i="19"/>
  <c r="G521" i="15"/>
  <c r="G299" i="14"/>
  <c r="G735" i="5"/>
  <c r="N590" i="12"/>
  <c r="V611" i="12"/>
  <c r="V610" i="8"/>
  <c r="G610" i="8"/>
  <c r="G607" i="8"/>
  <c r="G559" i="8"/>
  <c r="V559" i="8"/>
  <c r="H709" i="9"/>
  <c r="N692" i="9"/>
  <c r="V558" i="8"/>
  <c r="V715" i="9"/>
  <c r="N720" i="5"/>
  <c r="V736" i="5"/>
  <c r="V735" i="5"/>
  <c r="N284" i="14"/>
  <c r="I342" i="14"/>
  <c r="W252" i="17"/>
  <c r="W275" i="17" s="1"/>
  <c r="B601" i="12"/>
  <c r="B602" i="12" s="1"/>
  <c r="B603" i="12" s="1"/>
  <c r="B604" i="12" s="1"/>
  <c r="B605" i="12" s="1"/>
  <c r="B606" i="12" s="1"/>
  <c r="B607" i="12" s="1"/>
  <c r="B608" i="12" s="1"/>
  <c r="B609" i="12" s="1"/>
  <c r="B610" i="12" s="1"/>
  <c r="B611" i="12" s="1"/>
  <c r="B612" i="12" s="1"/>
  <c r="B613" i="12" s="1"/>
  <c r="V601" i="12"/>
  <c r="W678" i="12"/>
  <c r="X678" i="12"/>
  <c r="T678" i="12"/>
  <c r="V605" i="12"/>
  <c r="V309" i="14"/>
  <c r="V714" i="9"/>
  <c r="V707" i="9"/>
  <c r="F705" i="9"/>
  <c r="J198" i="4"/>
  <c r="V256" i="17"/>
  <c r="G644" i="12"/>
  <c r="G587" i="8"/>
  <c r="G606" i="12"/>
  <c r="G296" i="14"/>
  <c r="G251" i="17"/>
  <c r="G608" i="12"/>
  <c r="G571" i="15"/>
  <c r="V251" i="17"/>
  <c r="V708" i="9"/>
  <c r="M692" i="9"/>
  <c r="G707" i="9"/>
  <c r="M544" i="8"/>
  <c r="G557" i="8"/>
  <c r="V608" i="12"/>
  <c r="F608" i="12"/>
  <c r="F614" i="12" s="1"/>
  <c r="M590" i="12"/>
  <c r="M720" i="5"/>
  <c r="I781" i="5"/>
  <c r="I780" i="5"/>
  <c r="I779" i="5"/>
  <c r="I778" i="5"/>
  <c r="I777" i="5"/>
  <c r="I776" i="5"/>
  <c r="I775" i="5"/>
  <c r="V733" i="5"/>
  <c r="G733" i="5"/>
  <c r="V298" i="14"/>
  <c r="G337" i="14"/>
  <c r="V296" i="14"/>
  <c r="V572" i="15"/>
  <c r="G572" i="15"/>
  <c r="V604" i="15"/>
  <c r="G604" i="15"/>
  <c r="W570" i="15"/>
  <c r="W608" i="15" s="1"/>
  <c r="G570" i="15"/>
  <c r="G573" i="15" s="1"/>
  <c r="G588" i="8"/>
  <c r="G753" i="5"/>
  <c r="G295" i="14"/>
  <c r="L692" i="9"/>
  <c r="G706" i="9"/>
  <c r="I706" i="9" s="1"/>
  <c r="I707" i="9"/>
  <c r="V705" i="9"/>
  <c r="X46" i="20"/>
  <c r="W46" i="20"/>
  <c r="V46" i="20"/>
  <c r="T46" i="20"/>
  <c r="I44" i="20"/>
  <c r="I43" i="20"/>
  <c r="I42" i="20"/>
  <c r="I41" i="20"/>
  <c r="I40" i="20"/>
  <c r="B40" i="20"/>
  <c r="B41" i="20" s="1"/>
  <c r="B42" i="20" s="1"/>
  <c r="B43" i="20" s="1"/>
  <c r="B44" i="20" s="1"/>
  <c r="I39" i="20"/>
  <c r="I45" i="20" s="1"/>
  <c r="I35" i="20"/>
  <c r="I36" i="20" s="1"/>
  <c r="R12" i="20" s="1"/>
  <c r="I30" i="20"/>
  <c r="Q22" i="20"/>
  <c r="O22" i="20"/>
  <c r="N22" i="20"/>
  <c r="M22" i="20"/>
  <c r="L22" i="20"/>
  <c r="K22" i="20"/>
  <c r="Q21" i="20"/>
  <c r="O21" i="20"/>
  <c r="N21" i="20"/>
  <c r="M21" i="20"/>
  <c r="L21" i="20"/>
  <c r="K21" i="20"/>
  <c r="P20" i="20"/>
  <c r="F18" i="20"/>
  <c r="H17" i="20"/>
  <c r="Q16" i="20"/>
  <c r="O16" i="20"/>
  <c r="M16" i="20"/>
  <c r="L16" i="20"/>
  <c r="K16" i="20"/>
  <c r="F16" i="20"/>
  <c r="H16" i="20" s="1"/>
  <c r="Q15" i="20"/>
  <c r="O15" i="20"/>
  <c r="N15" i="20"/>
  <c r="M15" i="20"/>
  <c r="L15" i="20"/>
  <c r="K15" i="20"/>
  <c r="P14" i="20"/>
  <c r="P22" i="20" s="1"/>
  <c r="P13" i="20"/>
  <c r="F13" i="20"/>
  <c r="F14" i="20" s="1"/>
  <c r="H14" i="20" s="1"/>
  <c r="F11" i="20"/>
  <c r="C7" i="20"/>
  <c r="T6" i="20"/>
  <c r="C6" i="20"/>
  <c r="C5" i="20"/>
  <c r="L544" i="8"/>
  <c r="G556" i="8"/>
  <c r="V575" i="8"/>
  <c r="V660" i="12"/>
  <c r="G660" i="12"/>
  <c r="G672" i="12" s="1"/>
  <c r="I605" i="12"/>
  <c r="L720" i="5"/>
  <c r="V732" i="5"/>
  <c r="G335" i="14"/>
  <c r="I335" i="14" s="1"/>
  <c r="V295" i="14"/>
  <c r="V294" i="14"/>
  <c r="F300" i="14"/>
  <c r="V571" i="8"/>
  <c r="V250" i="17"/>
  <c r="I250" i="17"/>
  <c r="V249" i="17"/>
  <c r="V141" i="8"/>
  <c r="F651" i="12"/>
  <c r="H651" i="12"/>
  <c r="I645" i="12"/>
  <c r="I644" i="12"/>
  <c r="G643" i="12"/>
  <c r="I643" i="12" s="1"/>
  <c r="V513" i="12"/>
  <c r="G650" i="12"/>
  <c r="I650" i="12" s="1"/>
  <c r="I628" i="12"/>
  <c r="I626" i="12"/>
  <c r="G649" i="12"/>
  <c r="G651" i="12" s="1"/>
  <c r="G642" i="12"/>
  <c r="F642" i="12"/>
  <c r="F646" i="12" s="1"/>
  <c r="I641" i="12"/>
  <c r="B641" i="12"/>
  <c r="B642" i="12" s="1"/>
  <c r="B643" i="12" s="1"/>
  <c r="B644" i="12" s="1"/>
  <c r="B645" i="12" s="1"/>
  <c r="G640" i="12"/>
  <c r="G646" i="12" s="1"/>
  <c r="V527" i="12"/>
  <c r="F454" i="8"/>
  <c r="H594" i="8"/>
  <c r="F594" i="8"/>
  <c r="I587" i="8"/>
  <c r="G473" i="8"/>
  <c r="G470" i="8"/>
  <c r="G467" i="8"/>
  <c r="I588" i="8"/>
  <c r="G586" i="8"/>
  <c r="I586" i="8" s="1"/>
  <c r="G585" i="8"/>
  <c r="I585" i="8" s="1"/>
  <c r="G567" i="8"/>
  <c r="I567" i="8" s="1"/>
  <c r="I566" i="8"/>
  <c r="I584" i="8"/>
  <c r="G583" i="8"/>
  <c r="I583" i="8" s="1"/>
  <c r="G582" i="8"/>
  <c r="I582" i="8" s="1"/>
  <c r="B582" i="8"/>
  <c r="B583" i="8" s="1"/>
  <c r="B584" i="8" s="1"/>
  <c r="G581" i="8"/>
  <c r="G590" i="8" s="1"/>
  <c r="H496" i="8"/>
  <c r="F496" i="8"/>
  <c r="H501" i="8"/>
  <c r="F501" i="8"/>
  <c r="B500" i="8"/>
  <c r="I579" i="15"/>
  <c r="H594" i="15"/>
  <c r="H595" i="15" s="1"/>
  <c r="I594" i="15"/>
  <c r="H505" i="15"/>
  <c r="G492" i="15"/>
  <c r="V200" i="17"/>
  <c r="G537" i="12"/>
  <c r="G500" i="8"/>
  <c r="G483" i="8"/>
  <c r="G505" i="15"/>
  <c r="G593" i="15"/>
  <c r="I593" i="15" s="1"/>
  <c r="I578" i="15"/>
  <c r="G592" i="15"/>
  <c r="I592" i="15" s="1"/>
  <c r="G591" i="15"/>
  <c r="I591" i="15" s="1"/>
  <c r="G590" i="15"/>
  <c r="G595" i="15" s="1"/>
  <c r="B590" i="15"/>
  <c r="B591" i="15" s="1"/>
  <c r="B592" i="15" s="1"/>
  <c r="B593" i="15" s="1"/>
  <c r="B594" i="15" s="1"/>
  <c r="F589" i="15"/>
  <c r="F595" i="15" s="1"/>
  <c r="H586" i="15"/>
  <c r="I577" i="15"/>
  <c r="G585" i="15"/>
  <c r="F585" i="15"/>
  <c r="G584" i="15"/>
  <c r="B584" i="15"/>
  <c r="B585" i="15" s="1"/>
  <c r="I583" i="15"/>
  <c r="G704" i="9"/>
  <c r="G709" i="9" s="1"/>
  <c r="G330" i="14"/>
  <c r="V739" i="9"/>
  <c r="I740" i="9"/>
  <c r="V703" i="9"/>
  <c r="V704" i="9"/>
  <c r="V702" i="9"/>
  <c r="G600" i="8"/>
  <c r="G555" i="8"/>
  <c r="G554" i="8"/>
  <c r="G562" i="8" s="1"/>
  <c r="G598" i="8"/>
  <c r="G612" i="8" s="1"/>
  <c r="K590" i="12"/>
  <c r="G603" i="12"/>
  <c r="V602" i="12"/>
  <c r="V678" i="12" s="1"/>
  <c r="G600" i="12"/>
  <c r="G614" i="12" s="1"/>
  <c r="K720" i="5"/>
  <c r="G764" i="5"/>
  <c r="V731" i="5"/>
  <c r="G731" i="5"/>
  <c r="V730" i="5"/>
  <c r="G758" i="5"/>
  <c r="G785" i="5" s="1"/>
  <c r="G730" i="5"/>
  <c r="G738" i="5" s="1"/>
  <c r="G331" i="14"/>
  <c r="V330" i="14"/>
  <c r="I330" i="14"/>
  <c r="G327" i="14"/>
  <c r="G346" i="14" s="1"/>
  <c r="K238" i="17"/>
  <c r="I249" i="17"/>
  <c r="G266" i="17"/>
  <c r="G274" i="17" s="1"/>
  <c r="G598" i="15"/>
  <c r="G607" i="15" s="1"/>
  <c r="B223" i="4"/>
  <c r="B220" i="4"/>
  <c r="B217" i="4"/>
  <c r="B214" i="4"/>
  <c r="B211" i="4"/>
  <c r="B208" i="4"/>
  <c r="B205" i="4"/>
  <c r="D220" i="3"/>
  <c r="E220" i="3"/>
  <c r="F220" i="3"/>
  <c r="G220" i="3"/>
  <c r="C220" i="3"/>
  <c r="K217" i="3"/>
  <c r="E217" i="3"/>
  <c r="F217" i="3"/>
  <c r="K214" i="3"/>
  <c r="D214" i="3"/>
  <c r="E214" i="3"/>
  <c r="F214" i="3"/>
  <c r="C214" i="3"/>
  <c r="K211" i="3"/>
  <c r="D211" i="3"/>
  <c r="E211" i="3"/>
  <c r="F211" i="3"/>
  <c r="C211" i="3"/>
  <c r="K208" i="3"/>
  <c r="E208" i="3"/>
  <c r="K205" i="3"/>
  <c r="D205" i="3"/>
  <c r="F205" i="3"/>
  <c r="C205" i="3"/>
  <c r="K202" i="3"/>
  <c r="D202" i="3"/>
  <c r="E202" i="3"/>
  <c r="F202" i="3"/>
  <c r="G202" i="3"/>
  <c r="C202" i="3"/>
  <c r="P590" i="12"/>
  <c r="H220" i="3" s="1"/>
  <c r="P692" i="9"/>
  <c r="H214" i="3" s="1"/>
  <c r="P238" i="17"/>
  <c r="H205" i="3" s="1"/>
  <c r="P720" i="5"/>
  <c r="H202" i="3" s="1"/>
  <c r="P57" i="19"/>
  <c r="I223" i="3"/>
  <c r="F223" i="3"/>
  <c r="E223" i="3"/>
  <c r="C223" i="3"/>
  <c r="B226" i="4"/>
  <c r="F501" i="12"/>
  <c r="H324" i="14"/>
  <c r="F324" i="14"/>
  <c r="G323" i="14"/>
  <c r="I323" i="14" s="1"/>
  <c r="G318" i="14"/>
  <c r="I318" i="14" s="1"/>
  <c r="G322" i="14"/>
  <c r="G220" i="14"/>
  <c r="F228" i="14"/>
  <c r="F227" i="14"/>
  <c r="I198" i="14"/>
  <c r="G317" i="14"/>
  <c r="I317" i="14" s="1"/>
  <c r="G316" i="14"/>
  <c r="I316" i="14" s="1"/>
  <c r="B316" i="14"/>
  <c r="B317" i="14" s="1"/>
  <c r="B318" i="14" s="1"/>
  <c r="G315" i="14"/>
  <c r="G319" i="14" s="1"/>
  <c r="B167" i="14"/>
  <c r="H725" i="9"/>
  <c r="F725" i="9"/>
  <c r="I724" i="9"/>
  <c r="H732" i="9"/>
  <c r="G731" i="9"/>
  <c r="I731" i="9" s="1"/>
  <c r="G730" i="9"/>
  <c r="F730" i="9"/>
  <c r="G729" i="9"/>
  <c r="I729" i="9" s="1"/>
  <c r="B729" i="9"/>
  <c r="B730" i="9" s="1"/>
  <c r="B731" i="9" s="1"/>
  <c r="G728" i="9"/>
  <c r="I723" i="9"/>
  <c r="G722" i="9"/>
  <c r="I722" i="9" s="1"/>
  <c r="G721" i="9"/>
  <c r="G725" i="9" s="1"/>
  <c r="I720" i="9"/>
  <c r="B720" i="9"/>
  <c r="B721" i="9" s="1"/>
  <c r="B722" i="9" s="1"/>
  <c r="B723" i="9" s="1"/>
  <c r="B724" i="9" s="1"/>
  <c r="I719" i="9"/>
  <c r="B261" i="17"/>
  <c r="G261" i="17"/>
  <c r="I261" i="17" s="1"/>
  <c r="O188" i="17"/>
  <c r="G260" i="17"/>
  <c r="G262" i="17" s="1"/>
  <c r="H755" i="5"/>
  <c r="F755" i="5"/>
  <c r="G754" i="5"/>
  <c r="I754" i="5" s="1"/>
  <c r="V537" i="12"/>
  <c r="L524" i="12"/>
  <c r="M524" i="12"/>
  <c r="N524" i="12"/>
  <c r="O524" i="12"/>
  <c r="P524" i="12"/>
  <c r="Q524" i="12"/>
  <c r="R524" i="12"/>
  <c r="S524" i="12"/>
  <c r="L523" i="12"/>
  <c r="M523" i="12"/>
  <c r="N523" i="12"/>
  <c r="O523" i="12"/>
  <c r="P523" i="12"/>
  <c r="Q523" i="12"/>
  <c r="R523" i="12"/>
  <c r="S523" i="12"/>
  <c r="K524" i="12"/>
  <c r="K523" i="12"/>
  <c r="H523" i="12"/>
  <c r="B536" i="12"/>
  <c r="B537" i="12" s="1"/>
  <c r="N457" i="8"/>
  <c r="I753" i="5"/>
  <c r="B753" i="5"/>
  <c r="B754" i="5" s="1"/>
  <c r="G752" i="5"/>
  <c r="G755" i="5" s="1"/>
  <c r="G748" i="5"/>
  <c r="I748" i="5" s="1"/>
  <c r="G747" i="5"/>
  <c r="I747" i="5" s="1"/>
  <c r="I746" i="5"/>
  <c r="G745" i="5"/>
  <c r="F745" i="5"/>
  <c r="F744" i="5"/>
  <c r="H743" i="5"/>
  <c r="G743" i="5"/>
  <c r="B743" i="5"/>
  <c r="B744" i="5" s="1"/>
  <c r="B745" i="5" s="1"/>
  <c r="B746" i="5" s="1"/>
  <c r="B747" i="5" s="1"/>
  <c r="B748" i="5" s="1"/>
  <c r="H742" i="5"/>
  <c r="B683" i="5"/>
  <c r="L476" i="8"/>
  <c r="M476" i="8"/>
  <c r="N476" i="8"/>
  <c r="O476" i="8"/>
  <c r="P476" i="8"/>
  <c r="Q476" i="8"/>
  <c r="R476" i="8"/>
  <c r="S476" i="8"/>
  <c r="L475" i="8"/>
  <c r="M475" i="8"/>
  <c r="N475" i="8"/>
  <c r="O475" i="8"/>
  <c r="P475" i="8"/>
  <c r="Q475" i="8"/>
  <c r="R475" i="8"/>
  <c r="S475" i="8"/>
  <c r="K476" i="8"/>
  <c r="K475" i="8"/>
  <c r="H475" i="8"/>
  <c r="I474" i="8"/>
  <c r="V474" i="8"/>
  <c r="B468" i="8"/>
  <c r="B469" i="8" s="1"/>
  <c r="V467" i="8"/>
  <c r="F507" i="15"/>
  <c r="H507" i="15"/>
  <c r="L202" i="17"/>
  <c r="M202" i="17"/>
  <c r="N202" i="17"/>
  <c r="O202" i="17"/>
  <c r="P202" i="17"/>
  <c r="Q202" i="17"/>
  <c r="R202" i="17"/>
  <c r="S202" i="17"/>
  <c r="L201" i="17"/>
  <c r="M201" i="17"/>
  <c r="N201" i="17"/>
  <c r="O201" i="17"/>
  <c r="P201" i="17"/>
  <c r="Q201" i="17"/>
  <c r="R201" i="17"/>
  <c r="S201" i="17"/>
  <c r="K202" i="17"/>
  <c r="K201" i="17"/>
  <c r="F201" i="17"/>
  <c r="H201" i="17"/>
  <c r="G200" i="17"/>
  <c r="W71" i="19"/>
  <c r="H72" i="19"/>
  <c r="F72" i="19"/>
  <c r="W35" i="19"/>
  <c r="I675" i="12"/>
  <c r="I671" i="12"/>
  <c r="I670" i="12"/>
  <c r="I669" i="12"/>
  <c r="I668" i="12"/>
  <c r="I667" i="12"/>
  <c r="I666" i="12"/>
  <c r="I665" i="12"/>
  <c r="I664" i="12"/>
  <c r="I663" i="12"/>
  <c r="I662" i="12"/>
  <c r="I661" i="12"/>
  <c r="I659" i="12"/>
  <c r="I658" i="12"/>
  <c r="I657" i="12"/>
  <c r="I656" i="12"/>
  <c r="I655" i="12"/>
  <c r="B655" i="12"/>
  <c r="B656" i="12" s="1"/>
  <c r="B657" i="12" s="1"/>
  <c r="B658" i="12" s="1"/>
  <c r="B659" i="12" s="1"/>
  <c r="B660" i="12" s="1"/>
  <c r="B661" i="12" s="1"/>
  <c r="B662" i="12" s="1"/>
  <c r="B663" i="12" s="1"/>
  <c r="B664" i="12" s="1"/>
  <c r="B665" i="12" s="1"/>
  <c r="B666" i="12" s="1"/>
  <c r="B667" i="12" s="1"/>
  <c r="B668" i="12" s="1"/>
  <c r="B669" i="12" s="1"/>
  <c r="B670" i="12" s="1"/>
  <c r="B671" i="12" s="1"/>
  <c r="I654" i="12"/>
  <c r="I676" i="12"/>
  <c r="I619" i="12"/>
  <c r="I636" i="12"/>
  <c r="I637" i="12" s="1"/>
  <c r="I660" i="12"/>
  <c r="I601" i="12"/>
  <c r="I600" i="12"/>
  <c r="I613" i="12"/>
  <c r="I610" i="12"/>
  <c r="I632" i="12"/>
  <c r="I633" i="12" s="1"/>
  <c r="I621" i="12"/>
  <c r="I620" i="12"/>
  <c r="B621" i="12"/>
  <c r="I618" i="12"/>
  <c r="I612" i="12"/>
  <c r="O582" i="12" s="1"/>
  <c r="H223" i="4" s="1"/>
  <c r="I611" i="12"/>
  <c r="I609" i="12"/>
  <c r="I608" i="12"/>
  <c r="I607" i="12"/>
  <c r="I606" i="12"/>
  <c r="I604" i="12"/>
  <c r="L582" i="12" s="1"/>
  <c r="I603" i="12"/>
  <c r="I602" i="12"/>
  <c r="K582" i="12" s="1"/>
  <c r="Q592" i="12"/>
  <c r="O592" i="12"/>
  <c r="N592" i="12"/>
  <c r="M592" i="12"/>
  <c r="L592" i="12"/>
  <c r="K592" i="12"/>
  <c r="Q591" i="12"/>
  <c r="O591" i="12"/>
  <c r="N591" i="12"/>
  <c r="M591" i="12"/>
  <c r="L591" i="12"/>
  <c r="K591" i="12"/>
  <c r="O220" i="3"/>
  <c r="F588" i="12"/>
  <c r="H587" i="12"/>
  <c r="O586" i="12"/>
  <c r="Q585" i="12"/>
  <c r="O585" i="12"/>
  <c r="H224" i="4" s="1" a="1"/>
  <c r="H224" i="4" s="1"/>
  <c r="N585" i="12"/>
  <c r="M585" i="12"/>
  <c r="L585" i="12"/>
  <c r="K585" i="12"/>
  <c r="P584" i="12"/>
  <c r="P592" i="12" s="1"/>
  <c r="P583" i="12"/>
  <c r="F581" i="12"/>
  <c r="S577" i="12"/>
  <c r="R577" i="12"/>
  <c r="Q577" i="12"/>
  <c r="P577" i="12"/>
  <c r="O577" i="12"/>
  <c r="N577" i="12"/>
  <c r="M577" i="12"/>
  <c r="L577" i="12"/>
  <c r="K577" i="12"/>
  <c r="C577" i="12"/>
  <c r="T576" i="12"/>
  <c r="A223" i="4" s="1"/>
  <c r="S576" i="12"/>
  <c r="R576" i="12"/>
  <c r="Q576" i="12"/>
  <c r="P576" i="12"/>
  <c r="O576" i="12"/>
  <c r="N576" i="12"/>
  <c r="M576" i="12"/>
  <c r="L576" i="12"/>
  <c r="K576" i="12"/>
  <c r="C576" i="12"/>
  <c r="C575" i="12"/>
  <c r="I344" i="14"/>
  <c r="I343" i="14"/>
  <c r="I304" i="14"/>
  <c r="I341" i="14"/>
  <c r="I340" i="14"/>
  <c r="I339" i="14"/>
  <c r="I338" i="14"/>
  <c r="I337" i="14"/>
  <c r="I336" i="14"/>
  <c r="I334" i="14"/>
  <c r="I333" i="14"/>
  <c r="I332" i="14"/>
  <c r="I331" i="14"/>
  <c r="I329" i="14"/>
  <c r="I328" i="14"/>
  <c r="B328" i="14"/>
  <c r="B329" i="14" s="1"/>
  <c r="B330" i="14" s="1"/>
  <c r="B331" i="14" s="1"/>
  <c r="B332" i="14" s="1"/>
  <c r="B333" i="14" s="1"/>
  <c r="B334" i="14" s="1"/>
  <c r="B335" i="14" s="1"/>
  <c r="B336" i="14" s="1"/>
  <c r="B337" i="14" s="1"/>
  <c r="B338" i="14" s="1"/>
  <c r="B339" i="14" s="1"/>
  <c r="B340" i="14" s="1"/>
  <c r="B341" i="14" s="1"/>
  <c r="B342" i="14" s="1"/>
  <c r="B343" i="14" s="1"/>
  <c r="B344" i="14" s="1"/>
  <c r="B345" i="14" s="1"/>
  <c r="I327" i="14"/>
  <c r="I346" i="14" s="1"/>
  <c r="I310" i="14"/>
  <c r="I297" i="14"/>
  <c r="I309" i="14"/>
  <c r="I311" i="14"/>
  <c r="I305" i="14"/>
  <c r="I299" i="14"/>
  <c r="I298" i="14"/>
  <c r="I296" i="14"/>
  <c r="M276" i="14" s="1"/>
  <c r="I295" i="14"/>
  <c r="B295" i="14"/>
  <c r="B296" i="14" s="1"/>
  <c r="B297" i="14" s="1"/>
  <c r="B298" i="14" s="1"/>
  <c r="B299" i="14" s="1"/>
  <c r="I294" i="14"/>
  <c r="I300" i="14" s="1"/>
  <c r="Q286" i="14"/>
  <c r="O286" i="14"/>
  <c r="N286" i="14"/>
  <c r="M286" i="14"/>
  <c r="L286" i="14"/>
  <c r="K286" i="14"/>
  <c r="Q285" i="14"/>
  <c r="O285" i="14"/>
  <c r="N285" i="14"/>
  <c r="M285" i="14"/>
  <c r="L285" i="14"/>
  <c r="K285" i="14"/>
  <c r="O217" i="3"/>
  <c r="R284" i="14"/>
  <c r="M217" i="3" s="1"/>
  <c r="F282" i="14"/>
  <c r="H281" i="14"/>
  <c r="Q280" i="14"/>
  <c r="O280" i="14"/>
  <c r="K280" i="14"/>
  <c r="F280" i="14"/>
  <c r="H280" i="14" s="1"/>
  <c r="Q279" i="14"/>
  <c r="O279" i="14"/>
  <c r="N279" i="14"/>
  <c r="M279" i="14"/>
  <c r="L279" i="14"/>
  <c r="K279" i="14"/>
  <c r="P278" i="14"/>
  <c r="P286" i="14" s="1"/>
  <c r="P277" i="14"/>
  <c r="F277" i="14"/>
  <c r="F278" i="14" s="1"/>
  <c r="H278" i="14" s="1"/>
  <c r="P220" i="4"/>
  <c r="F275" i="14"/>
  <c r="S271" i="14"/>
  <c r="R271" i="14"/>
  <c r="Q271" i="14"/>
  <c r="P271" i="14"/>
  <c r="O271" i="14"/>
  <c r="N271" i="14"/>
  <c r="M271" i="14"/>
  <c r="L271" i="14"/>
  <c r="K271" i="14"/>
  <c r="C271" i="14"/>
  <c r="T270" i="14"/>
  <c r="A220" i="4" s="1"/>
  <c r="S270" i="14"/>
  <c r="R270" i="14"/>
  <c r="Q270" i="14"/>
  <c r="P270" i="14"/>
  <c r="O270" i="14"/>
  <c r="N270" i="14"/>
  <c r="M270" i="14"/>
  <c r="L270" i="14"/>
  <c r="K270" i="14"/>
  <c r="C270" i="14"/>
  <c r="C269" i="14"/>
  <c r="X748" i="9"/>
  <c r="W748" i="9"/>
  <c r="V748" i="9"/>
  <c r="I746" i="9"/>
  <c r="I745" i="9"/>
  <c r="I744" i="9"/>
  <c r="I743" i="9"/>
  <c r="I742" i="9"/>
  <c r="I741" i="9"/>
  <c r="I738" i="9"/>
  <c r="I737" i="9"/>
  <c r="I736" i="9"/>
  <c r="B736" i="9"/>
  <c r="B737" i="9" s="1"/>
  <c r="B738" i="9" s="1"/>
  <c r="I735" i="9"/>
  <c r="I715" i="9"/>
  <c r="N684" i="9" s="1"/>
  <c r="G217" i="4" s="1"/>
  <c r="I714" i="9"/>
  <c r="I713" i="9"/>
  <c r="I716" i="9" s="1"/>
  <c r="B714" i="9"/>
  <c r="B715" i="9" s="1"/>
  <c r="I739" i="9"/>
  <c r="S710" i="9"/>
  <c r="R710" i="9"/>
  <c r="Q710" i="9"/>
  <c r="P710" i="9"/>
  <c r="O710" i="9"/>
  <c r="N710" i="9"/>
  <c r="M710" i="9"/>
  <c r="L710" i="9"/>
  <c r="K710" i="9"/>
  <c r="S709" i="9"/>
  <c r="R709" i="9"/>
  <c r="Q709" i="9"/>
  <c r="P709" i="9"/>
  <c r="O709" i="9"/>
  <c r="N709" i="9"/>
  <c r="M709" i="9"/>
  <c r="L709" i="9"/>
  <c r="K709" i="9"/>
  <c r="I708" i="9"/>
  <c r="M684" i="9" s="1"/>
  <c r="F217" i="4" s="1"/>
  <c r="I705" i="9"/>
  <c r="I704" i="9"/>
  <c r="I703" i="9"/>
  <c r="B703" i="9"/>
  <c r="B704" i="9" s="1"/>
  <c r="B705" i="9" s="1"/>
  <c r="B706" i="9" s="1"/>
  <c r="I702" i="9"/>
  <c r="K684" i="9" s="1"/>
  <c r="Q694" i="9"/>
  <c r="O694" i="9"/>
  <c r="N694" i="9"/>
  <c r="M694" i="9"/>
  <c r="L694" i="9"/>
  <c r="K694" i="9"/>
  <c r="Q693" i="9"/>
  <c r="O693" i="9"/>
  <c r="N693" i="9"/>
  <c r="M693" i="9"/>
  <c r="L693" i="9"/>
  <c r="K693" i="9"/>
  <c r="O214" i="3"/>
  <c r="M214" i="3"/>
  <c r="F690" i="9"/>
  <c r="H689" i="9"/>
  <c r="Q688" i="9"/>
  <c r="O688" i="9"/>
  <c r="N688" i="9"/>
  <c r="M688" i="9"/>
  <c r="F688" i="9"/>
  <c r="H688" i="9" s="1"/>
  <c r="Q687" i="9"/>
  <c r="O687" i="9"/>
  <c r="N687" i="9"/>
  <c r="G218" i="4" s="1" a="1"/>
  <c r="G218" i="4" s="1"/>
  <c r="M687" i="9"/>
  <c r="F218" i="4" s="1" a="1"/>
  <c r="F218" i="4" s="1"/>
  <c r="L687" i="9"/>
  <c r="K687" i="9"/>
  <c r="P686" i="9"/>
  <c r="P694" i="9" s="1"/>
  <c r="P685" i="9"/>
  <c r="F685" i="9"/>
  <c r="F686" i="9" s="1"/>
  <c r="H686" i="9" s="1"/>
  <c r="P217" i="4"/>
  <c r="N217" i="4"/>
  <c r="F683" i="9"/>
  <c r="S679" i="9"/>
  <c r="R679" i="9"/>
  <c r="Q679" i="9"/>
  <c r="P679" i="9"/>
  <c r="O679" i="9"/>
  <c r="N679" i="9"/>
  <c r="M679" i="9"/>
  <c r="L679" i="9"/>
  <c r="K679" i="9"/>
  <c r="C679" i="9"/>
  <c r="T678" i="9"/>
  <c r="A217" i="4" s="1"/>
  <c r="S678" i="9"/>
  <c r="R678" i="9"/>
  <c r="Q678" i="9"/>
  <c r="P678" i="9"/>
  <c r="O678" i="9"/>
  <c r="N678" i="9"/>
  <c r="M678" i="9"/>
  <c r="L678" i="9"/>
  <c r="K678" i="9"/>
  <c r="C678" i="9"/>
  <c r="C677" i="9"/>
  <c r="X613" i="8"/>
  <c r="W613" i="8"/>
  <c r="V613" i="8"/>
  <c r="T613" i="8"/>
  <c r="I611" i="8"/>
  <c r="I609" i="8"/>
  <c r="I608" i="8"/>
  <c r="I607" i="8"/>
  <c r="I606" i="8"/>
  <c r="I605" i="8"/>
  <c r="I604" i="8"/>
  <c r="I603" i="8"/>
  <c r="I602" i="8"/>
  <c r="I601" i="8"/>
  <c r="I600" i="8"/>
  <c r="I599" i="8"/>
  <c r="I598" i="8"/>
  <c r="B598" i="8"/>
  <c r="B599" i="8" s="1"/>
  <c r="B600" i="8" s="1"/>
  <c r="B601" i="8" s="1"/>
  <c r="B602" i="8" s="1"/>
  <c r="B603" i="8" s="1"/>
  <c r="B604" i="8" s="1"/>
  <c r="B605" i="8" s="1"/>
  <c r="B606" i="8" s="1"/>
  <c r="B607" i="8" s="1"/>
  <c r="B608" i="8" s="1"/>
  <c r="B609" i="8" s="1"/>
  <c r="B610" i="8" s="1"/>
  <c r="B611" i="8" s="1"/>
  <c r="I597" i="8"/>
  <c r="I610" i="8"/>
  <c r="I577" i="8"/>
  <c r="I576" i="8"/>
  <c r="I575" i="8"/>
  <c r="I578" i="8" s="1"/>
  <c r="B576" i="8"/>
  <c r="B577" i="8" s="1"/>
  <c r="I571" i="8"/>
  <c r="I572" i="8" s="1"/>
  <c r="H568" i="8"/>
  <c r="G568" i="8"/>
  <c r="F568" i="8"/>
  <c r="I568" i="8"/>
  <c r="F539" i="8" s="1"/>
  <c r="F540" i="8" s="1"/>
  <c r="S563" i="8"/>
  <c r="R563" i="8"/>
  <c r="Q563" i="8"/>
  <c r="P563" i="8"/>
  <c r="O563" i="8"/>
  <c r="N563" i="8"/>
  <c r="M563" i="8"/>
  <c r="L563" i="8"/>
  <c r="K563" i="8"/>
  <c r="I561" i="8"/>
  <c r="I560" i="8"/>
  <c r="I559" i="8"/>
  <c r="I558" i="8"/>
  <c r="I557" i="8"/>
  <c r="M536" i="8" s="1"/>
  <c r="F214" i="4" s="1"/>
  <c r="I556" i="8"/>
  <c r="L536" i="8" s="1"/>
  <c r="E214" i="4" s="1"/>
  <c r="I555" i="8"/>
  <c r="B555" i="8"/>
  <c r="B556" i="8" s="1"/>
  <c r="B557" i="8" s="1"/>
  <c r="B558" i="8" s="1"/>
  <c r="B559" i="8" s="1"/>
  <c r="B560" i="8" s="1"/>
  <c r="B561" i="8" s="1"/>
  <c r="I554" i="8"/>
  <c r="K536" i="8" s="1"/>
  <c r="Q546" i="8"/>
  <c r="O546" i="8"/>
  <c r="N546" i="8"/>
  <c r="M546" i="8"/>
  <c r="L546" i="8"/>
  <c r="K546" i="8"/>
  <c r="Q545" i="8"/>
  <c r="O545" i="8"/>
  <c r="N545" i="8"/>
  <c r="M545" i="8"/>
  <c r="L545" i="8"/>
  <c r="K545" i="8"/>
  <c r="O211" i="3"/>
  <c r="F542" i="8"/>
  <c r="H541" i="8"/>
  <c r="Q540" i="8"/>
  <c r="M540" i="8"/>
  <c r="L540" i="8"/>
  <c r="H540" i="8"/>
  <c r="Q539" i="8"/>
  <c r="O539" i="8"/>
  <c r="N539" i="8"/>
  <c r="M539" i="8"/>
  <c r="F215" i="4" s="1" a="1"/>
  <c r="F215" i="4" s="1"/>
  <c r="L539" i="8"/>
  <c r="E215" i="4" s="1" a="1"/>
  <c r="E215" i="4" s="1"/>
  <c r="K539" i="8"/>
  <c r="P538" i="8"/>
  <c r="P546" i="8" s="1"/>
  <c r="P537" i="8"/>
  <c r="F537" i="8"/>
  <c r="F538" i="8" s="1"/>
  <c r="H538" i="8" s="1"/>
  <c r="P214" i="4"/>
  <c r="F535" i="8"/>
  <c r="S531" i="8"/>
  <c r="R531" i="8"/>
  <c r="Q531" i="8"/>
  <c r="P531" i="8"/>
  <c r="O531" i="8"/>
  <c r="N531" i="8"/>
  <c r="M531" i="8"/>
  <c r="L531" i="8"/>
  <c r="K531" i="8"/>
  <c r="C531" i="8"/>
  <c r="T530" i="8"/>
  <c r="A214" i="4" s="1"/>
  <c r="S530" i="8"/>
  <c r="R530" i="8"/>
  <c r="Q530" i="8"/>
  <c r="P530" i="8"/>
  <c r="O530" i="8"/>
  <c r="N530" i="8"/>
  <c r="M530" i="8"/>
  <c r="L530" i="8"/>
  <c r="K530" i="8"/>
  <c r="C530" i="8"/>
  <c r="C529" i="8"/>
  <c r="I606" i="15"/>
  <c r="I605" i="15"/>
  <c r="I603" i="15"/>
  <c r="I602" i="15"/>
  <c r="I601" i="15"/>
  <c r="I600" i="15"/>
  <c r="I598" i="15"/>
  <c r="I571" i="15"/>
  <c r="I604" i="15"/>
  <c r="H580" i="15"/>
  <c r="G580" i="15"/>
  <c r="F580" i="15"/>
  <c r="I580" i="15"/>
  <c r="F553" i="15" s="1"/>
  <c r="F554" i="15" s="1"/>
  <c r="I572" i="15"/>
  <c r="Q560" i="15"/>
  <c r="O560" i="15"/>
  <c r="N560" i="15"/>
  <c r="M560" i="15"/>
  <c r="L560" i="15"/>
  <c r="K560" i="15"/>
  <c r="Q559" i="15"/>
  <c r="O559" i="15"/>
  <c r="N559" i="15"/>
  <c r="M559" i="15"/>
  <c r="L559" i="15"/>
  <c r="K559" i="15"/>
  <c r="O208" i="3"/>
  <c r="F556" i="15"/>
  <c r="H555" i="15"/>
  <c r="Q554" i="15"/>
  <c r="O554" i="15"/>
  <c r="N554" i="15"/>
  <c r="K554" i="15"/>
  <c r="H554" i="15"/>
  <c r="Q553" i="15"/>
  <c r="O553" i="15"/>
  <c r="N553" i="15"/>
  <c r="M553" i="15"/>
  <c r="L553" i="15"/>
  <c r="K553" i="15"/>
  <c r="P552" i="15"/>
  <c r="P560" i="15" s="1"/>
  <c r="P551" i="15"/>
  <c r="F551" i="15"/>
  <c r="F552" i="15" s="1"/>
  <c r="H552" i="15" s="1"/>
  <c r="P211" i="4"/>
  <c r="F549" i="15"/>
  <c r="S545" i="15"/>
  <c r="R545" i="15"/>
  <c r="Q545" i="15"/>
  <c r="P545" i="15"/>
  <c r="O545" i="15"/>
  <c r="N545" i="15"/>
  <c r="M545" i="15"/>
  <c r="L545" i="15"/>
  <c r="K545" i="15"/>
  <c r="C545" i="15"/>
  <c r="T544" i="15"/>
  <c r="A211" i="4" s="1"/>
  <c r="S544" i="15"/>
  <c r="R544" i="15"/>
  <c r="Q544" i="15"/>
  <c r="P544" i="15"/>
  <c r="O544" i="15"/>
  <c r="N544" i="15"/>
  <c r="M544" i="15"/>
  <c r="L544" i="15"/>
  <c r="K544" i="15"/>
  <c r="C544" i="15"/>
  <c r="C543" i="15"/>
  <c r="I273" i="17"/>
  <c r="I272" i="17"/>
  <c r="I271" i="17"/>
  <c r="I269" i="17"/>
  <c r="I268" i="17"/>
  <c r="I267" i="17"/>
  <c r="I266" i="17"/>
  <c r="B266" i="17"/>
  <c r="B267" i="17" s="1"/>
  <c r="B268" i="17" s="1"/>
  <c r="B269" i="17" s="1"/>
  <c r="I265" i="17"/>
  <c r="I256" i="17"/>
  <c r="I257" i="17" s="1"/>
  <c r="R230" i="17" s="1"/>
  <c r="I248" i="17"/>
  <c r="I270" i="17"/>
  <c r="I252" i="17"/>
  <c r="B250" i="17"/>
  <c r="B251" i="17" s="1"/>
  <c r="B252" i="17" s="1"/>
  <c r="Q240" i="17"/>
  <c r="O240" i="17"/>
  <c r="N240" i="17"/>
  <c r="M240" i="17"/>
  <c r="L240" i="17"/>
  <c r="K240" i="17"/>
  <c r="Q239" i="17"/>
  <c r="O239" i="17"/>
  <c r="N239" i="17"/>
  <c r="M239" i="17"/>
  <c r="L239" i="17"/>
  <c r="K239" i="17"/>
  <c r="O205" i="3"/>
  <c r="F236" i="17"/>
  <c r="H235" i="17"/>
  <c r="Q234" i="17"/>
  <c r="O234" i="17"/>
  <c r="M234" i="17"/>
  <c r="F234" i="17"/>
  <c r="H234" i="17" s="1"/>
  <c r="Q233" i="17"/>
  <c r="O233" i="17"/>
  <c r="N233" i="17"/>
  <c r="M233" i="17"/>
  <c r="L233" i="17"/>
  <c r="K233" i="17"/>
  <c r="P232" i="17"/>
  <c r="P240" i="17" s="1"/>
  <c r="P231" i="17"/>
  <c r="F231" i="17"/>
  <c r="F232" i="17" s="1"/>
  <c r="H232" i="17" s="1"/>
  <c r="P208" i="4"/>
  <c r="F229" i="17"/>
  <c r="S225" i="17"/>
  <c r="R225" i="17"/>
  <c r="Q225" i="17"/>
  <c r="P225" i="17"/>
  <c r="O225" i="17"/>
  <c r="N225" i="17"/>
  <c r="M225" i="17"/>
  <c r="L225" i="17"/>
  <c r="K225" i="17"/>
  <c r="C225" i="17"/>
  <c r="T224" i="17"/>
  <c r="S224" i="17"/>
  <c r="R224" i="17"/>
  <c r="Q224" i="17"/>
  <c r="P224" i="17"/>
  <c r="O224" i="17"/>
  <c r="N224" i="17"/>
  <c r="M224" i="17"/>
  <c r="L224" i="17"/>
  <c r="K224" i="17"/>
  <c r="C224" i="17"/>
  <c r="C223" i="17"/>
  <c r="X786" i="5"/>
  <c r="W786" i="5"/>
  <c r="V786" i="5"/>
  <c r="T786" i="5"/>
  <c r="I782" i="5"/>
  <c r="I774" i="5"/>
  <c r="I773" i="5"/>
  <c r="I772" i="5"/>
  <c r="I771" i="5"/>
  <c r="I770" i="5"/>
  <c r="I769" i="5"/>
  <c r="I768" i="5"/>
  <c r="I767" i="5"/>
  <c r="I766" i="5"/>
  <c r="I765" i="5"/>
  <c r="I764" i="5"/>
  <c r="I763" i="5"/>
  <c r="I762" i="5"/>
  <c r="I761" i="5"/>
  <c r="I760" i="5"/>
  <c r="I759" i="5"/>
  <c r="B759" i="5"/>
  <c r="B760" i="5" s="1"/>
  <c r="B761" i="5" s="1"/>
  <c r="B762" i="5" s="1"/>
  <c r="B763" i="5" s="1"/>
  <c r="B764" i="5" s="1"/>
  <c r="B765" i="5" s="1"/>
  <c r="B766" i="5" s="1"/>
  <c r="B767" i="5" s="1"/>
  <c r="B768" i="5" s="1"/>
  <c r="B769" i="5" s="1"/>
  <c r="B770" i="5" s="1"/>
  <c r="B771" i="5" s="1"/>
  <c r="B772" i="5" s="1"/>
  <c r="B773" i="5" s="1"/>
  <c r="B774" i="5" s="1"/>
  <c r="B775" i="5" s="1"/>
  <c r="B776" i="5" s="1"/>
  <c r="B777" i="5" s="1"/>
  <c r="B778" i="5" s="1"/>
  <c r="B779" i="5" s="1"/>
  <c r="B780" i="5" s="1"/>
  <c r="B781" i="5" s="1"/>
  <c r="B782" i="5" s="1"/>
  <c r="B783" i="5" s="1"/>
  <c r="B784" i="5" s="1"/>
  <c r="I758" i="5"/>
  <c r="I785" i="5" s="1"/>
  <c r="I737" i="5"/>
  <c r="O712" i="5" s="1"/>
  <c r="H205" i="4" s="1"/>
  <c r="I736" i="5"/>
  <c r="I735" i="5"/>
  <c r="I734" i="5"/>
  <c r="I733" i="5"/>
  <c r="M712" i="5" s="1"/>
  <c r="F205" i="4" s="1"/>
  <c r="I732" i="5"/>
  <c r="L712" i="5" s="1"/>
  <c r="E205" i="4" s="1"/>
  <c r="I731" i="5"/>
  <c r="B731" i="5"/>
  <c r="B732" i="5" s="1"/>
  <c r="B733" i="5" s="1"/>
  <c r="B734" i="5" s="1"/>
  <c r="B735" i="5" s="1"/>
  <c r="B736" i="5" s="1"/>
  <c r="B737" i="5" s="1"/>
  <c r="I730" i="5"/>
  <c r="I738" i="5" s="1"/>
  <c r="G710" i="5" s="1"/>
  <c r="Q722" i="5"/>
  <c r="O722" i="5"/>
  <c r="N722" i="5"/>
  <c r="M722" i="5"/>
  <c r="L722" i="5"/>
  <c r="K722" i="5"/>
  <c r="Q721" i="5"/>
  <c r="O721" i="5"/>
  <c r="N721" i="5"/>
  <c r="M721" i="5"/>
  <c r="L721" i="5"/>
  <c r="K721" i="5"/>
  <c r="O202" i="3"/>
  <c r="M202" i="3"/>
  <c r="F718" i="5"/>
  <c r="H717" i="5"/>
  <c r="Q716" i="5"/>
  <c r="O716" i="5"/>
  <c r="M716" i="5"/>
  <c r="L716" i="5"/>
  <c r="F716" i="5"/>
  <c r="H716" i="5" s="1"/>
  <c r="Q715" i="5"/>
  <c r="O715" i="5"/>
  <c r="H206" i="4" s="1" a="1"/>
  <c r="H206" i="4" s="1"/>
  <c r="N715" i="5"/>
  <c r="M715" i="5"/>
  <c r="F206" i="4" s="1" a="1"/>
  <c r="F206" i="4" s="1"/>
  <c r="L715" i="5"/>
  <c r="E206" i="4" s="1" a="1"/>
  <c r="E206" i="4" s="1"/>
  <c r="K715" i="5"/>
  <c r="P714" i="5"/>
  <c r="P722" i="5" s="1"/>
  <c r="P713" i="5"/>
  <c r="F713" i="5"/>
  <c r="F714" i="5" s="1"/>
  <c r="H714" i="5" s="1"/>
  <c r="P205" i="4"/>
  <c r="N205" i="4"/>
  <c r="F711" i="5"/>
  <c r="S707" i="5"/>
  <c r="R707" i="5"/>
  <c r="Q707" i="5"/>
  <c r="P707" i="5"/>
  <c r="O707" i="5"/>
  <c r="N707" i="5"/>
  <c r="M707" i="5"/>
  <c r="L707" i="5"/>
  <c r="K707" i="5"/>
  <c r="C707" i="5"/>
  <c r="T706" i="5"/>
  <c r="A205" i="4" s="1"/>
  <c r="S706" i="5"/>
  <c r="R706" i="5"/>
  <c r="Q706" i="5"/>
  <c r="P706" i="5"/>
  <c r="O706" i="5"/>
  <c r="N706" i="5"/>
  <c r="M706" i="5"/>
  <c r="L706" i="5"/>
  <c r="K706" i="5"/>
  <c r="C706" i="5"/>
  <c r="C705" i="5"/>
  <c r="X73" i="19"/>
  <c r="W73" i="19"/>
  <c r="V73" i="19"/>
  <c r="T73" i="19"/>
  <c r="S69" i="19"/>
  <c r="R69" i="19"/>
  <c r="Q69" i="19"/>
  <c r="P69" i="19"/>
  <c r="O69" i="19"/>
  <c r="N69" i="19"/>
  <c r="M69" i="19"/>
  <c r="L69" i="19"/>
  <c r="K69" i="19"/>
  <c r="S68" i="19"/>
  <c r="R68" i="19"/>
  <c r="Q68" i="19"/>
  <c r="P68" i="19"/>
  <c r="O68" i="19"/>
  <c r="N68" i="19"/>
  <c r="M68" i="19"/>
  <c r="L68" i="19"/>
  <c r="K68" i="19"/>
  <c r="H68" i="19"/>
  <c r="G68" i="19"/>
  <c r="F68" i="19"/>
  <c r="I67" i="19"/>
  <c r="I68" i="19" s="1"/>
  <c r="G47" i="19" s="1"/>
  <c r="Q59" i="19"/>
  <c r="O59" i="19"/>
  <c r="N59" i="19"/>
  <c r="M59" i="19"/>
  <c r="L59" i="19"/>
  <c r="K59" i="19"/>
  <c r="Q58" i="19"/>
  <c r="O58" i="19"/>
  <c r="N58" i="19"/>
  <c r="M58" i="19"/>
  <c r="L58" i="19"/>
  <c r="K58" i="19"/>
  <c r="F55" i="19"/>
  <c r="H54" i="19"/>
  <c r="Q53" i="19"/>
  <c r="O53" i="19"/>
  <c r="N53" i="19"/>
  <c r="M53" i="19"/>
  <c r="L53" i="19"/>
  <c r="K53" i="19"/>
  <c r="F53" i="19"/>
  <c r="H53" i="19" s="1"/>
  <c r="Q52" i="19"/>
  <c r="O52" i="19"/>
  <c r="N52" i="19"/>
  <c r="M52" i="19"/>
  <c r="L52" i="19"/>
  <c r="K52" i="19"/>
  <c r="P51" i="19"/>
  <c r="P59" i="19" s="1"/>
  <c r="P50" i="19"/>
  <c r="F50" i="19"/>
  <c r="F51" i="19" s="1"/>
  <c r="H51" i="19" s="1"/>
  <c r="P49" i="19"/>
  <c r="P53" i="19" s="1"/>
  <c r="F48" i="19"/>
  <c r="F47" i="19"/>
  <c r="F49" i="19" s="1"/>
  <c r="H49" i="19" s="1"/>
  <c r="C47" i="19"/>
  <c r="S44" i="19"/>
  <c r="R44" i="19"/>
  <c r="Q44" i="19"/>
  <c r="P44" i="19"/>
  <c r="O44" i="19"/>
  <c r="N44" i="19"/>
  <c r="M44" i="19"/>
  <c r="L44" i="19"/>
  <c r="K44" i="19"/>
  <c r="C44" i="19"/>
  <c r="T43" i="19"/>
  <c r="S43" i="19"/>
  <c r="R43" i="19"/>
  <c r="Q43" i="19"/>
  <c r="P43" i="19"/>
  <c r="O43" i="19"/>
  <c r="N43" i="19"/>
  <c r="M43" i="19"/>
  <c r="L43" i="19"/>
  <c r="K43" i="19"/>
  <c r="C43" i="19"/>
  <c r="C42" i="19"/>
  <c r="G35" i="19"/>
  <c r="G218" i="14"/>
  <c r="G217" i="14"/>
  <c r="Q204" i="14"/>
  <c r="V218" i="14"/>
  <c r="G495" i="8"/>
  <c r="G228" i="14"/>
  <c r="V228" i="14"/>
  <c r="V227" i="14"/>
  <c r="F498" i="12"/>
  <c r="F201" i="14"/>
  <c r="F627" i="9"/>
  <c r="F468" i="15"/>
  <c r="F185" i="17"/>
  <c r="F643" i="5"/>
  <c r="G506" i="15"/>
  <c r="G683" i="5"/>
  <c r="G232" i="14"/>
  <c r="G507" i="15"/>
  <c r="G536" i="12"/>
  <c r="G494" i="15"/>
  <c r="G500" i="15"/>
  <c r="H699" i="5"/>
  <c r="F699" i="5"/>
  <c r="H669" i="5"/>
  <c r="F669" i="5"/>
  <c r="S664" i="5"/>
  <c r="R664" i="5"/>
  <c r="Q664" i="5"/>
  <c r="P664" i="5"/>
  <c r="O664" i="5"/>
  <c r="N664" i="5"/>
  <c r="M664" i="5"/>
  <c r="L664" i="5"/>
  <c r="K664" i="5"/>
  <c r="H664" i="5"/>
  <c r="I196" i="3"/>
  <c r="H671" i="9"/>
  <c r="G671" i="9"/>
  <c r="F671" i="9"/>
  <c r="H569" i="12"/>
  <c r="F569" i="12"/>
  <c r="H239" i="14"/>
  <c r="F239" i="14"/>
  <c r="H233" i="14"/>
  <c r="G233" i="14"/>
  <c r="F233" i="14"/>
  <c r="S224" i="14"/>
  <c r="R224" i="14"/>
  <c r="Q224" i="14"/>
  <c r="P224" i="14"/>
  <c r="O224" i="14"/>
  <c r="N224" i="14"/>
  <c r="M224" i="14"/>
  <c r="L224" i="14"/>
  <c r="K224" i="14"/>
  <c r="S223" i="14"/>
  <c r="R223" i="14"/>
  <c r="Q223" i="14"/>
  <c r="P223" i="14"/>
  <c r="O223" i="14"/>
  <c r="N223" i="14"/>
  <c r="M223" i="14"/>
  <c r="L223" i="14"/>
  <c r="K223" i="14"/>
  <c r="H223" i="14"/>
  <c r="X264" i="14"/>
  <c r="W264" i="14"/>
  <c r="T264" i="14"/>
  <c r="H263" i="14"/>
  <c r="F263" i="14"/>
  <c r="H538" i="12"/>
  <c r="F538" i="12"/>
  <c r="H532" i="12"/>
  <c r="X570" i="12"/>
  <c r="W570" i="12"/>
  <c r="T570" i="12"/>
  <c r="R646" i="5"/>
  <c r="X700" i="5"/>
  <c r="W700" i="5"/>
  <c r="T700" i="5"/>
  <c r="S665" i="5"/>
  <c r="R665" i="5"/>
  <c r="Q665" i="5"/>
  <c r="P665" i="5"/>
  <c r="O665" i="5"/>
  <c r="N665" i="5"/>
  <c r="M665" i="5"/>
  <c r="L665" i="5"/>
  <c r="K665" i="5"/>
  <c r="X524" i="8"/>
  <c r="W524" i="8"/>
  <c r="T524" i="8"/>
  <c r="H523" i="8"/>
  <c r="F523" i="8"/>
  <c r="H485" i="8"/>
  <c r="F485" i="8"/>
  <c r="R457" i="8" s="1"/>
  <c r="I522" i="8"/>
  <c r="O20" i="19"/>
  <c r="O501" i="12"/>
  <c r="X218" i="17"/>
  <c r="T218" i="17"/>
  <c r="H217" i="17"/>
  <c r="F217" i="17"/>
  <c r="X538" i="15"/>
  <c r="W538" i="15"/>
  <c r="T538" i="15"/>
  <c r="H537" i="15"/>
  <c r="S502" i="15"/>
  <c r="R502" i="15"/>
  <c r="Q502" i="15"/>
  <c r="P502" i="15"/>
  <c r="O502" i="15"/>
  <c r="N502" i="15"/>
  <c r="M502" i="15"/>
  <c r="L502" i="15"/>
  <c r="K502" i="15"/>
  <c r="S501" i="15"/>
  <c r="R501" i="15"/>
  <c r="Q501" i="15"/>
  <c r="P501" i="15"/>
  <c r="O501" i="15"/>
  <c r="N501" i="15"/>
  <c r="M501" i="15"/>
  <c r="L501" i="15"/>
  <c r="K501" i="15"/>
  <c r="H501" i="15"/>
  <c r="P20" i="19"/>
  <c r="G193" i="3"/>
  <c r="H193" i="3"/>
  <c r="G522" i="12"/>
  <c r="G565" i="12"/>
  <c r="O204" i="14"/>
  <c r="X37" i="19"/>
  <c r="W37" i="19"/>
  <c r="V37" i="19"/>
  <c r="T37" i="19"/>
  <c r="H36" i="19"/>
  <c r="G36" i="19"/>
  <c r="F36" i="19"/>
  <c r="R20" i="19" s="1"/>
  <c r="I35" i="19"/>
  <c r="S32" i="19"/>
  <c r="R32" i="19"/>
  <c r="Q32" i="19"/>
  <c r="P32" i="19"/>
  <c r="O32" i="19"/>
  <c r="N32" i="19"/>
  <c r="M32" i="19"/>
  <c r="L32" i="19"/>
  <c r="K32" i="19"/>
  <c r="S31" i="19"/>
  <c r="R31" i="19"/>
  <c r="Q31" i="19"/>
  <c r="P31" i="19"/>
  <c r="O31" i="19"/>
  <c r="N31" i="19"/>
  <c r="M31" i="19"/>
  <c r="L31" i="19"/>
  <c r="K31" i="19"/>
  <c r="H31" i="19"/>
  <c r="G31" i="19"/>
  <c r="F31" i="19"/>
  <c r="I30" i="19"/>
  <c r="I31" i="19" s="1"/>
  <c r="Q22" i="19"/>
  <c r="O22" i="19"/>
  <c r="N22" i="19"/>
  <c r="M22" i="19"/>
  <c r="L22" i="19"/>
  <c r="K22" i="19"/>
  <c r="Q21" i="19"/>
  <c r="O21" i="19"/>
  <c r="N21" i="19"/>
  <c r="M21" i="19"/>
  <c r="L21" i="19"/>
  <c r="K21" i="19"/>
  <c r="O193" i="3"/>
  <c r="M193" i="3"/>
  <c r="F18" i="19"/>
  <c r="H17" i="19"/>
  <c r="Q16" i="19"/>
  <c r="N16" i="19"/>
  <c r="M16" i="19"/>
  <c r="L16" i="19"/>
  <c r="K16" i="19"/>
  <c r="F16" i="19"/>
  <c r="H16" i="19" s="1"/>
  <c r="Q15" i="19"/>
  <c r="O15" i="19"/>
  <c r="N15" i="19"/>
  <c r="M15" i="19"/>
  <c r="L15" i="19"/>
  <c r="K15" i="19"/>
  <c r="P14" i="19"/>
  <c r="P22" i="19" s="1"/>
  <c r="P13" i="19"/>
  <c r="F13" i="19"/>
  <c r="F14" i="19" s="1"/>
  <c r="H14" i="19" s="1"/>
  <c r="P195" i="4"/>
  <c r="F11" i="19"/>
  <c r="S7" i="19"/>
  <c r="R7" i="19"/>
  <c r="Q7" i="19"/>
  <c r="P7" i="19"/>
  <c r="O7" i="19"/>
  <c r="N7" i="19"/>
  <c r="M7" i="19"/>
  <c r="L7" i="19"/>
  <c r="K7" i="19"/>
  <c r="C7" i="19"/>
  <c r="T6" i="19"/>
  <c r="S6" i="19"/>
  <c r="R6" i="19"/>
  <c r="Q6" i="19"/>
  <c r="P6" i="19"/>
  <c r="O6" i="19"/>
  <c r="N6" i="19"/>
  <c r="M6" i="19"/>
  <c r="L6" i="19"/>
  <c r="K6" i="19"/>
  <c r="C6" i="19"/>
  <c r="C5" i="19"/>
  <c r="V222" i="14"/>
  <c r="G260" i="14"/>
  <c r="G238" i="14"/>
  <c r="V238" i="14"/>
  <c r="H206" i="17"/>
  <c r="F206" i="17"/>
  <c r="R188" i="17" s="1"/>
  <c r="R471" i="15"/>
  <c r="G536" i="15"/>
  <c r="G205" i="17"/>
  <c r="G206" i="17" s="1"/>
  <c r="G215" i="17"/>
  <c r="V205" i="17"/>
  <c r="V500" i="15"/>
  <c r="V499" i="15"/>
  <c r="G499" i="15"/>
  <c r="V498" i="15"/>
  <c r="F498" i="15"/>
  <c r="V506" i="15"/>
  <c r="G497" i="15"/>
  <c r="V497" i="15"/>
  <c r="N501" i="12"/>
  <c r="V517" i="12"/>
  <c r="V516" i="12"/>
  <c r="V221" i="14"/>
  <c r="V216" i="14"/>
  <c r="G512" i="12"/>
  <c r="G513" i="12"/>
  <c r="G516" i="12"/>
  <c r="G517" i="12"/>
  <c r="G535" i="12"/>
  <c r="G538" i="12" s="1"/>
  <c r="G237" i="14"/>
  <c r="G236" i="14"/>
  <c r="G239" i="14" s="1"/>
  <c r="G221" i="14"/>
  <c r="G216" i="14"/>
  <c r="G215" i="14"/>
  <c r="G647" i="9"/>
  <c r="G484" i="8"/>
  <c r="G485" i="8" s="1"/>
  <c r="G469" i="8"/>
  <c r="G486" i="15"/>
  <c r="G668" i="5"/>
  <c r="G669" i="5" s="1"/>
  <c r="G494" i="8"/>
  <c r="G662" i="5"/>
  <c r="G520" i="12"/>
  <c r="G519" i="12"/>
  <c r="G518" i="12"/>
  <c r="V520" i="12"/>
  <c r="V519" i="12"/>
  <c r="V536" i="12"/>
  <c r="V518" i="12"/>
  <c r="I565" i="12"/>
  <c r="G518" i="8"/>
  <c r="V473" i="8"/>
  <c r="V663" i="5"/>
  <c r="V662" i="5"/>
  <c r="F662" i="5"/>
  <c r="N646" i="5" s="1"/>
  <c r="N204" i="14"/>
  <c r="I222" i="14"/>
  <c r="V220" i="14"/>
  <c r="N471" i="15"/>
  <c r="V496" i="15"/>
  <c r="V495" i="15"/>
  <c r="V494" i="15"/>
  <c r="V535" i="12"/>
  <c r="V483" i="8"/>
  <c r="V505" i="15"/>
  <c r="V492" i="15"/>
  <c r="K646" i="5"/>
  <c r="G527" i="12"/>
  <c r="G488" i="15"/>
  <c r="G489" i="15"/>
  <c r="G661" i="5"/>
  <c r="M204" i="14"/>
  <c r="G255" i="14"/>
  <c r="F661" i="5"/>
  <c r="F664" i="5" s="1"/>
  <c r="P172" i="3" s="1"/>
  <c r="V661" i="5"/>
  <c r="G695" i="5"/>
  <c r="M188" i="17"/>
  <c r="M471" i="15"/>
  <c r="G694" i="5"/>
  <c r="G693" i="5"/>
  <c r="V660" i="5"/>
  <c r="W199" i="17"/>
  <c r="W218" i="17" s="1"/>
  <c r="G199" i="17"/>
  <c r="G201" i="17" s="1"/>
  <c r="V515" i="12"/>
  <c r="G515" i="12"/>
  <c r="G514" i="12"/>
  <c r="V514" i="12"/>
  <c r="V493" i="15"/>
  <c r="G493" i="15"/>
  <c r="G564" i="12"/>
  <c r="F513" i="12"/>
  <c r="F523" i="12" s="1"/>
  <c r="G534" i="15"/>
  <c r="G537" i="15" s="1"/>
  <c r="V491" i="15"/>
  <c r="V490" i="15"/>
  <c r="B237" i="14"/>
  <c r="B238" i="14" s="1"/>
  <c r="V215" i="14"/>
  <c r="V472" i="8"/>
  <c r="F471" i="8"/>
  <c r="F475" i="8" s="1"/>
  <c r="P181" i="3" s="1"/>
  <c r="B486" i="15"/>
  <c r="B487" i="15" s="1"/>
  <c r="V471" i="8"/>
  <c r="G471" i="8"/>
  <c r="V486" i="15"/>
  <c r="V668" i="5"/>
  <c r="V484" i="8"/>
  <c r="G511" i="8"/>
  <c r="G560" i="9"/>
  <c r="G412" i="15"/>
  <c r="L501" i="12"/>
  <c r="V512" i="12"/>
  <c r="L457" i="8"/>
  <c r="L630" i="9"/>
  <c r="V647" i="9"/>
  <c r="V642" i="9"/>
  <c r="L646" i="5"/>
  <c r="G659" i="5"/>
  <c r="V659" i="5"/>
  <c r="K630" i="9"/>
  <c r="C184" i="3" s="1"/>
  <c r="V237" i="14"/>
  <c r="F215" i="14"/>
  <c r="F223" i="14" s="1"/>
  <c r="P187" i="3" s="1"/>
  <c r="G251" i="14"/>
  <c r="V531" i="12"/>
  <c r="V511" i="12"/>
  <c r="V570" i="12" s="1"/>
  <c r="L471" i="15"/>
  <c r="V489" i="15"/>
  <c r="V488" i="15"/>
  <c r="I531" i="15"/>
  <c r="F378" i="15"/>
  <c r="V218" i="16"/>
  <c r="G9" i="16"/>
  <c r="G660" i="9"/>
  <c r="G551" i="12"/>
  <c r="D172" i="3"/>
  <c r="F172" i="3"/>
  <c r="P210" i="11"/>
  <c r="D181" i="3"/>
  <c r="F181" i="3"/>
  <c r="J167" i="4"/>
  <c r="G499" i="8"/>
  <c r="G501" i="8" s="1"/>
  <c r="I541" i="5"/>
  <c r="K457" i="8"/>
  <c r="G656" i="5"/>
  <c r="G487" i="15"/>
  <c r="G468" i="8"/>
  <c r="G475" i="8"/>
  <c r="G504" i="8"/>
  <c r="G523" i="8" s="1"/>
  <c r="K501" i="12"/>
  <c r="G559" i="12"/>
  <c r="G531" i="12"/>
  <c r="G532" i="12" s="1"/>
  <c r="G556" i="12"/>
  <c r="I511" i="12"/>
  <c r="G555" i="12"/>
  <c r="G569" i="12" s="1"/>
  <c r="V689" i="5"/>
  <c r="P630" i="9"/>
  <c r="R643" i="9"/>
  <c r="Q643" i="9"/>
  <c r="P643" i="9"/>
  <c r="O643" i="9"/>
  <c r="N643" i="9"/>
  <c r="M643" i="9"/>
  <c r="L643" i="9"/>
  <c r="K643" i="9"/>
  <c r="H643" i="9"/>
  <c r="G643" i="9"/>
  <c r="F643" i="9"/>
  <c r="V658" i="5"/>
  <c r="G658" i="5"/>
  <c r="H648" i="9"/>
  <c r="G648" i="9"/>
  <c r="F648" i="9"/>
  <c r="R630" i="9" s="1"/>
  <c r="S643" i="9"/>
  <c r="S644" i="9"/>
  <c r="R644" i="9"/>
  <c r="Q644" i="9"/>
  <c r="P644" i="9"/>
  <c r="O644" i="9"/>
  <c r="N644" i="9"/>
  <c r="M644" i="9"/>
  <c r="L644" i="9"/>
  <c r="K644" i="9"/>
  <c r="I642" i="9"/>
  <c r="V640" i="9"/>
  <c r="G657" i="5"/>
  <c r="G688" i="5"/>
  <c r="G687" i="5"/>
  <c r="G699" i="5" s="1"/>
  <c r="V656" i="5"/>
  <c r="V700" i="5" s="1"/>
  <c r="K204" i="14"/>
  <c r="G214" i="14"/>
  <c r="G223" i="14" s="1"/>
  <c r="G248" i="14"/>
  <c r="G263" i="14" s="1"/>
  <c r="K188" i="17"/>
  <c r="P188" i="17" s="1"/>
  <c r="K471" i="15"/>
  <c r="V487" i="15"/>
  <c r="G213" i="17"/>
  <c r="G217" i="17" s="1"/>
  <c r="D190" i="3"/>
  <c r="F190" i="3"/>
  <c r="G190" i="3"/>
  <c r="C190" i="3"/>
  <c r="K187" i="3"/>
  <c r="E187" i="3"/>
  <c r="F187" i="3"/>
  <c r="G187" i="3"/>
  <c r="C187" i="3"/>
  <c r="D184" i="3"/>
  <c r="H184" i="3"/>
  <c r="C181" i="3"/>
  <c r="D178" i="3"/>
  <c r="E178" i="3"/>
  <c r="F178" i="3"/>
  <c r="F196" i="3" s="1"/>
  <c r="C178" i="3"/>
  <c r="E175" i="3"/>
  <c r="G175" i="3"/>
  <c r="H175" i="3"/>
  <c r="C175" i="3"/>
  <c r="C172" i="3"/>
  <c r="B192" i="4"/>
  <c r="B189" i="4"/>
  <c r="B186" i="4"/>
  <c r="B183" i="4"/>
  <c r="B180" i="4"/>
  <c r="B177" i="4"/>
  <c r="B174" i="4"/>
  <c r="B198" i="4"/>
  <c r="V198" i="17"/>
  <c r="V485" i="15"/>
  <c r="V538" i="15" s="1"/>
  <c r="G485" i="15"/>
  <c r="G501" i="15" s="1"/>
  <c r="F526" i="15"/>
  <c r="F537" i="15" s="1"/>
  <c r="H552" i="12"/>
  <c r="F552" i="12"/>
  <c r="I527" i="12"/>
  <c r="G441" i="12"/>
  <c r="T481" i="12"/>
  <c r="I551" i="12"/>
  <c r="G550" i="12"/>
  <c r="I550" i="12" s="1"/>
  <c r="G549" i="12"/>
  <c r="I549" i="12" s="1"/>
  <c r="I548" i="12"/>
  <c r="B548" i="12"/>
  <c r="B549" i="12" s="1"/>
  <c r="B550" i="12" s="1"/>
  <c r="B551" i="12" s="1"/>
  <c r="G547" i="12"/>
  <c r="G552" i="12" s="1"/>
  <c r="H544" i="12"/>
  <c r="G543" i="12"/>
  <c r="F543" i="12"/>
  <c r="I542" i="12"/>
  <c r="B542" i="12"/>
  <c r="B543" i="12" s="1"/>
  <c r="G541" i="12"/>
  <c r="F155" i="14"/>
  <c r="B243" i="14"/>
  <c r="B244" i="14" s="1"/>
  <c r="H245" i="14"/>
  <c r="F245" i="14"/>
  <c r="G244" i="14"/>
  <c r="I244" i="14" s="1"/>
  <c r="T184" i="14"/>
  <c r="G243" i="14"/>
  <c r="G242" i="14"/>
  <c r="G245" i="14" s="1"/>
  <c r="H168" i="14"/>
  <c r="F168" i="14"/>
  <c r="H656" i="9"/>
  <c r="F656" i="9"/>
  <c r="I655" i="9"/>
  <c r="H663" i="9"/>
  <c r="G662" i="9"/>
  <c r="I662" i="9" s="1"/>
  <c r="G661" i="9"/>
  <c r="F661" i="9"/>
  <c r="I660" i="9"/>
  <c r="B660" i="9"/>
  <c r="B661" i="9" s="1"/>
  <c r="B662" i="9" s="1"/>
  <c r="G659" i="9"/>
  <c r="G654" i="9"/>
  <c r="I654" i="9" s="1"/>
  <c r="G653" i="9"/>
  <c r="G656" i="9" s="1"/>
  <c r="I652" i="9"/>
  <c r="B652" i="9"/>
  <c r="B653" i="9" s="1"/>
  <c r="B654" i="9" s="1"/>
  <c r="B655" i="9" s="1"/>
  <c r="I651" i="9"/>
  <c r="V566" i="9"/>
  <c r="I495" i="8"/>
  <c r="I500" i="8"/>
  <c r="G479" i="8"/>
  <c r="I499" i="8"/>
  <c r="I501" i="8" s="1"/>
  <c r="G493" i="8"/>
  <c r="I493" i="8" s="1"/>
  <c r="I492" i="8"/>
  <c r="I491" i="8"/>
  <c r="G414" i="8"/>
  <c r="H407" i="8"/>
  <c r="F407" i="8"/>
  <c r="B405" i="8"/>
  <c r="V411" i="8"/>
  <c r="G392" i="8"/>
  <c r="W437" i="8"/>
  <c r="T437" i="8"/>
  <c r="G490" i="8"/>
  <c r="I490" i="8" s="1"/>
  <c r="G489" i="8"/>
  <c r="I489" i="8" s="1"/>
  <c r="B489" i="8"/>
  <c r="B490" i="8" s="1"/>
  <c r="B491" i="8" s="1"/>
  <c r="B492" i="8" s="1"/>
  <c r="B493" i="8" s="1"/>
  <c r="B494" i="8" s="1"/>
  <c r="B495" i="8" s="1"/>
  <c r="G488" i="8"/>
  <c r="G496" i="8" s="1"/>
  <c r="H523" i="15"/>
  <c r="G522" i="15"/>
  <c r="I522" i="15" s="1"/>
  <c r="I521" i="15"/>
  <c r="F412" i="15"/>
  <c r="F152" i="14"/>
  <c r="T451" i="15"/>
  <c r="G520" i="15"/>
  <c r="I520" i="15" s="1"/>
  <c r="G519" i="15"/>
  <c r="I519" i="15" s="1"/>
  <c r="G518" i="15"/>
  <c r="G523" i="15" s="1"/>
  <c r="B518" i="15"/>
  <c r="B519" i="15" s="1"/>
  <c r="B520" i="15" s="1"/>
  <c r="B521" i="15" s="1"/>
  <c r="B522" i="15" s="1"/>
  <c r="F517" i="15"/>
  <c r="F523" i="15" s="1"/>
  <c r="H514" i="15"/>
  <c r="I513" i="15"/>
  <c r="G512" i="15"/>
  <c r="F512" i="15"/>
  <c r="G511" i="15"/>
  <c r="I510" i="15"/>
  <c r="I536" i="15"/>
  <c r="I535" i="15"/>
  <c r="I534" i="15"/>
  <c r="I533" i="15"/>
  <c r="I532" i="15"/>
  <c r="I530" i="15"/>
  <c r="I529" i="15"/>
  <c r="I528" i="15"/>
  <c r="I527" i="15"/>
  <c r="B527" i="15"/>
  <c r="B528" i="15" s="1"/>
  <c r="B529" i="15" s="1"/>
  <c r="B530" i="15" s="1"/>
  <c r="I526" i="15"/>
  <c r="I537" i="15" s="1"/>
  <c r="I506" i="15"/>
  <c r="I505" i="15"/>
  <c r="I507" i="15" s="1"/>
  <c r="B506" i="15"/>
  <c r="I486" i="15"/>
  <c r="O178" i="3"/>
  <c r="I500" i="15"/>
  <c r="I499" i="15"/>
  <c r="I498" i="15"/>
  <c r="I497" i="15"/>
  <c r="O463" i="15" s="1"/>
  <c r="H180" i="4" s="1"/>
  <c r="I496" i="15"/>
  <c r="I495" i="15"/>
  <c r="I494" i="15"/>
  <c r="I493" i="15"/>
  <c r="I491" i="15"/>
  <c r="I490" i="15"/>
  <c r="I489" i="15"/>
  <c r="I488" i="15"/>
  <c r="L463" i="15" s="1"/>
  <c r="E180" i="4" s="1"/>
  <c r="I487" i="15"/>
  <c r="B488" i="15"/>
  <c r="B489" i="15" s="1"/>
  <c r="B490" i="15" s="1"/>
  <c r="B491" i="15" s="1"/>
  <c r="I485" i="15"/>
  <c r="Q473" i="15"/>
  <c r="O473" i="15"/>
  <c r="N473" i="15"/>
  <c r="M473" i="15"/>
  <c r="L473" i="15"/>
  <c r="K473" i="15"/>
  <c r="Q472" i="15"/>
  <c r="O472" i="15"/>
  <c r="N472" i="15"/>
  <c r="M472" i="15"/>
  <c r="L472" i="15"/>
  <c r="K472" i="15"/>
  <c r="F469" i="15"/>
  <c r="H468" i="15"/>
  <c r="Q467" i="15"/>
  <c r="O467" i="15"/>
  <c r="L467" i="15"/>
  <c r="F467" i="15"/>
  <c r="H467" i="15" s="1"/>
  <c r="Q466" i="15"/>
  <c r="O466" i="15"/>
  <c r="H181" i="4" s="1" a="1"/>
  <c r="H181" i="4" s="1"/>
  <c r="N466" i="15"/>
  <c r="M466" i="15"/>
  <c r="L466" i="15"/>
  <c r="E181" i="4" s="1" a="1"/>
  <c r="E181" i="4" s="1"/>
  <c r="K466" i="15"/>
  <c r="P465" i="15"/>
  <c r="P473" i="15" s="1"/>
  <c r="P464" i="15"/>
  <c r="F464" i="15"/>
  <c r="F465" i="15" s="1"/>
  <c r="H465" i="15" s="1"/>
  <c r="P180" i="4"/>
  <c r="S458" i="15"/>
  <c r="R458" i="15"/>
  <c r="Q458" i="15"/>
  <c r="P458" i="15"/>
  <c r="O458" i="15"/>
  <c r="N458" i="15"/>
  <c r="M458" i="15"/>
  <c r="L458" i="15"/>
  <c r="K458" i="15"/>
  <c r="C458" i="15"/>
  <c r="T457" i="15"/>
  <c r="A180" i="4" s="1"/>
  <c r="S457" i="15"/>
  <c r="R457" i="15"/>
  <c r="Q457" i="15"/>
  <c r="P457" i="15"/>
  <c r="O457" i="15"/>
  <c r="N457" i="15"/>
  <c r="M457" i="15"/>
  <c r="L457" i="15"/>
  <c r="K457" i="15"/>
  <c r="C457" i="15"/>
  <c r="C456" i="15"/>
  <c r="B405" i="15"/>
  <c r="H420" i="15"/>
  <c r="T626" i="5"/>
  <c r="H684" i="5"/>
  <c r="F684" i="5"/>
  <c r="I683" i="5"/>
  <c r="G678" i="5"/>
  <c r="I678" i="5" s="1"/>
  <c r="G588" i="5"/>
  <c r="G409" i="15"/>
  <c r="V409" i="15"/>
  <c r="K376" i="15"/>
  <c r="H400" i="15"/>
  <c r="H413" i="15"/>
  <c r="K400" i="15"/>
  <c r="V588" i="5"/>
  <c r="S547" i="5"/>
  <c r="S539" i="5"/>
  <c r="G682" i="5"/>
  <c r="G684" i="5" s="1"/>
  <c r="G677" i="5"/>
  <c r="I677" i="5" s="1"/>
  <c r="I676" i="5"/>
  <c r="G675" i="5"/>
  <c r="F675" i="5"/>
  <c r="F674" i="5"/>
  <c r="F679" i="5" s="1"/>
  <c r="H673" i="5"/>
  <c r="G673" i="5"/>
  <c r="G679" i="5" s="1"/>
  <c r="B673" i="5"/>
  <c r="B674" i="5" s="1"/>
  <c r="B675" i="5" s="1"/>
  <c r="B676" i="5" s="1"/>
  <c r="B677" i="5" s="1"/>
  <c r="B678" i="5" s="1"/>
  <c r="H672" i="5"/>
  <c r="V579" i="5"/>
  <c r="V578" i="5"/>
  <c r="I568" i="12"/>
  <c r="I567" i="12"/>
  <c r="I566" i="12"/>
  <c r="I564" i="12"/>
  <c r="I563" i="12"/>
  <c r="I562" i="12"/>
  <c r="I561" i="12"/>
  <c r="I560" i="12"/>
  <c r="I559" i="12"/>
  <c r="I558" i="12"/>
  <c r="I557" i="12"/>
  <c r="I556" i="12"/>
  <c r="B556" i="12"/>
  <c r="B557" i="12" s="1"/>
  <c r="B558" i="12" s="1"/>
  <c r="B559" i="12" s="1"/>
  <c r="B560" i="12" s="1"/>
  <c r="B561" i="12" s="1"/>
  <c r="B562" i="12" s="1"/>
  <c r="B563" i="12" s="1"/>
  <c r="B564" i="12" s="1"/>
  <c r="B565" i="12" s="1"/>
  <c r="B566" i="12" s="1"/>
  <c r="B567" i="12" s="1"/>
  <c r="B568" i="12" s="1"/>
  <c r="I555" i="12"/>
  <c r="I569" i="12" s="1"/>
  <c r="I537" i="12"/>
  <c r="I536" i="12"/>
  <c r="I516" i="12"/>
  <c r="I535" i="12"/>
  <c r="I522" i="12"/>
  <c r="I521" i="12"/>
  <c r="O493" i="12" s="1"/>
  <c r="H192" i="4" s="1"/>
  <c r="I513" i="12"/>
  <c r="I531" i="12"/>
  <c r="H528" i="12"/>
  <c r="G528" i="12"/>
  <c r="F528" i="12"/>
  <c r="I528" i="12"/>
  <c r="F496" i="12" s="1"/>
  <c r="I520" i="12"/>
  <c r="I519" i="12"/>
  <c r="I518" i="12"/>
  <c r="I517" i="12"/>
  <c r="N493" i="12" s="1"/>
  <c r="I515" i="12"/>
  <c r="I514" i="12"/>
  <c r="I512" i="12"/>
  <c r="B512" i="12"/>
  <c r="B513" i="12" s="1"/>
  <c r="B514" i="12" s="1"/>
  <c r="B515" i="12" s="1"/>
  <c r="B516" i="12" s="1"/>
  <c r="B517" i="12" s="1"/>
  <c r="B518" i="12" s="1"/>
  <c r="B519" i="12" s="1"/>
  <c r="B520" i="12" s="1"/>
  <c r="B521" i="12" s="1"/>
  <c r="B522" i="12" s="1"/>
  <c r="Q503" i="12"/>
  <c r="O503" i="12"/>
  <c r="N503" i="12"/>
  <c r="M503" i="12"/>
  <c r="L503" i="12"/>
  <c r="K503" i="12"/>
  <c r="Q502" i="12"/>
  <c r="O502" i="12"/>
  <c r="N502" i="12"/>
  <c r="M502" i="12"/>
  <c r="L502" i="12"/>
  <c r="K502" i="12"/>
  <c r="O190" i="3"/>
  <c r="F499" i="12"/>
  <c r="H498" i="12"/>
  <c r="Q497" i="12"/>
  <c r="O497" i="12"/>
  <c r="F497" i="12"/>
  <c r="H497" i="12" s="1"/>
  <c r="Q496" i="12"/>
  <c r="O496" i="12"/>
  <c r="H193" i="4" s="1" a="1"/>
  <c r="H193" i="4" s="1"/>
  <c r="N496" i="12"/>
  <c r="M496" i="12"/>
  <c r="L496" i="12"/>
  <c r="K496" i="12"/>
  <c r="P495" i="12"/>
  <c r="P503" i="12" s="1"/>
  <c r="P494" i="12"/>
  <c r="F494" i="12"/>
  <c r="F495" i="12" s="1"/>
  <c r="H495" i="12" s="1"/>
  <c r="P192" i="4"/>
  <c r="F492" i="12"/>
  <c r="S488" i="12"/>
  <c r="R488" i="12"/>
  <c r="Q488" i="12"/>
  <c r="P488" i="12"/>
  <c r="O488" i="12"/>
  <c r="N488" i="12"/>
  <c r="M488" i="12"/>
  <c r="L488" i="12"/>
  <c r="K488" i="12"/>
  <c r="C488" i="12"/>
  <c r="T487" i="12"/>
  <c r="A192" i="4" s="1"/>
  <c r="S487" i="12"/>
  <c r="R487" i="12"/>
  <c r="Q487" i="12"/>
  <c r="P487" i="12"/>
  <c r="O487" i="12"/>
  <c r="N487" i="12"/>
  <c r="M487" i="12"/>
  <c r="L487" i="12"/>
  <c r="K487" i="12"/>
  <c r="C487" i="12"/>
  <c r="C486" i="12"/>
  <c r="I262" i="14"/>
  <c r="I261" i="14"/>
  <c r="I260" i="14"/>
  <c r="I259" i="14"/>
  <c r="I258" i="14"/>
  <c r="I257" i="14"/>
  <c r="I256" i="14"/>
  <c r="I255" i="14"/>
  <c r="I254" i="14"/>
  <c r="I253" i="14"/>
  <c r="I252" i="14"/>
  <c r="I251" i="14"/>
  <c r="I250" i="14"/>
  <c r="I249" i="14"/>
  <c r="B249" i="14"/>
  <c r="B250" i="14" s="1"/>
  <c r="B251" i="14" s="1"/>
  <c r="B252" i="14" s="1"/>
  <c r="B253" i="14" s="1"/>
  <c r="B254" i="14" s="1"/>
  <c r="B255" i="14" s="1"/>
  <c r="B256" i="14" s="1"/>
  <c r="B257" i="14" s="1"/>
  <c r="B258" i="14" s="1"/>
  <c r="B259" i="14" s="1"/>
  <c r="B260" i="14" s="1"/>
  <c r="B261" i="14" s="1"/>
  <c r="B262" i="14" s="1"/>
  <c r="I248" i="14"/>
  <c r="I263" i="14" s="1"/>
  <c r="I238" i="14"/>
  <c r="I232" i="14"/>
  <c r="I233" i="14" s="1"/>
  <c r="I218" i="14"/>
  <c r="I237" i="14"/>
  <c r="I215" i="14"/>
  <c r="I236" i="14"/>
  <c r="I216" i="14"/>
  <c r="H229" i="14"/>
  <c r="G229" i="14"/>
  <c r="F229" i="14"/>
  <c r="I228" i="14"/>
  <c r="B228" i="14"/>
  <c r="I227" i="14"/>
  <c r="I221" i="14"/>
  <c r="I220" i="14"/>
  <c r="I219" i="14"/>
  <c r="I217" i="14"/>
  <c r="B215" i="14"/>
  <c r="B216" i="14" s="1"/>
  <c r="B217" i="14" s="1"/>
  <c r="Q206" i="14"/>
  <c r="O206" i="14"/>
  <c r="N206" i="14"/>
  <c r="M206" i="14"/>
  <c r="L206" i="14"/>
  <c r="K206" i="14"/>
  <c r="Q205" i="14"/>
  <c r="O205" i="14"/>
  <c r="N205" i="14"/>
  <c r="M205" i="14"/>
  <c r="L205" i="14"/>
  <c r="K205" i="14"/>
  <c r="O187" i="3"/>
  <c r="R204" i="14"/>
  <c r="M187" i="3" s="1"/>
  <c r="F202" i="14"/>
  <c r="H201" i="14"/>
  <c r="F200" i="14"/>
  <c r="H200" i="14" s="1"/>
  <c r="Q199" i="14"/>
  <c r="O199" i="14"/>
  <c r="N199" i="14"/>
  <c r="M199" i="14"/>
  <c r="L199" i="14"/>
  <c r="K199" i="14"/>
  <c r="P198" i="14"/>
  <c r="P206" i="14" s="1"/>
  <c r="P197" i="14"/>
  <c r="P189" i="4"/>
  <c r="F195" i="14"/>
  <c r="S191" i="14"/>
  <c r="R191" i="14"/>
  <c r="Q191" i="14"/>
  <c r="P191" i="14"/>
  <c r="O191" i="14"/>
  <c r="N191" i="14"/>
  <c r="M191" i="14"/>
  <c r="L191" i="14"/>
  <c r="K191" i="14"/>
  <c r="C191" i="14"/>
  <c r="T190" i="14"/>
  <c r="A189" i="4" s="1"/>
  <c r="S190" i="14"/>
  <c r="R190" i="14"/>
  <c r="Q190" i="14"/>
  <c r="P190" i="14"/>
  <c r="O190" i="14"/>
  <c r="N190" i="14"/>
  <c r="M190" i="14"/>
  <c r="L190" i="14"/>
  <c r="K190" i="14"/>
  <c r="C190" i="14"/>
  <c r="C189" i="14"/>
  <c r="X672" i="9"/>
  <c r="W672" i="9"/>
  <c r="V672" i="9"/>
  <c r="T672" i="9"/>
  <c r="I670" i="9"/>
  <c r="I669" i="9"/>
  <c r="I668" i="9"/>
  <c r="I667" i="9"/>
  <c r="B667" i="9"/>
  <c r="B668" i="9" s="1"/>
  <c r="B669" i="9" s="1"/>
  <c r="B670" i="9" s="1"/>
  <c r="I666" i="9"/>
  <c r="I671" i="9" s="1"/>
  <c r="I647" i="9"/>
  <c r="I641" i="9"/>
  <c r="B641" i="9"/>
  <c r="B642" i="9" s="1"/>
  <c r="I640" i="9"/>
  <c r="Q632" i="9"/>
  <c r="O632" i="9"/>
  <c r="N632" i="9"/>
  <c r="M632" i="9"/>
  <c r="L632" i="9"/>
  <c r="K632" i="9"/>
  <c r="Q631" i="9"/>
  <c r="O631" i="9"/>
  <c r="N631" i="9"/>
  <c r="M631" i="9"/>
  <c r="L631" i="9"/>
  <c r="K631" i="9"/>
  <c r="O184" i="3"/>
  <c r="M184" i="3"/>
  <c r="F628" i="9"/>
  <c r="H627" i="9"/>
  <c r="Q626" i="9"/>
  <c r="O626" i="9"/>
  <c r="N626" i="9"/>
  <c r="M626" i="9"/>
  <c r="F626" i="9"/>
  <c r="H626" i="9" s="1"/>
  <c r="Q625" i="9"/>
  <c r="O625" i="9"/>
  <c r="N625" i="9"/>
  <c r="M625" i="9"/>
  <c r="L625" i="9"/>
  <c r="K625" i="9"/>
  <c r="P624" i="9"/>
  <c r="P632" i="9" s="1"/>
  <c r="P623" i="9"/>
  <c r="F623" i="9"/>
  <c r="F624" i="9" s="1"/>
  <c r="H624" i="9" s="1"/>
  <c r="P186" i="4"/>
  <c r="F621" i="9"/>
  <c r="S617" i="9"/>
  <c r="R617" i="9"/>
  <c r="Q617" i="9"/>
  <c r="P617" i="9"/>
  <c r="O617" i="9"/>
  <c r="N617" i="9"/>
  <c r="M617" i="9"/>
  <c r="L617" i="9"/>
  <c r="K617" i="9"/>
  <c r="C617" i="9"/>
  <c r="T616" i="9"/>
  <c r="A186" i="4" s="1"/>
  <c r="S616" i="9"/>
  <c r="R616" i="9"/>
  <c r="Q616" i="9"/>
  <c r="P616" i="9"/>
  <c r="O616" i="9"/>
  <c r="N616" i="9"/>
  <c r="M616" i="9"/>
  <c r="L616" i="9"/>
  <c r="K616" i="9"/>
  <c r="C616" i="9"/>
  <c r="C615" i="9"/>
  <c r="I521" i="8"/>
  <c r="I520" i="8"/>
  <c r="I519" i="8"/>
  <c r="I518" i="8"/>
  <c r="I517" i="8"/>
  <c r="I516" i="8"/>
  <c r="I515" i="8"/>
  <c r="I514" i="8"/>
  <c r="I513" i="8"/>
  <c r="I512" i="8"/>
  <c r="I511" i="8"/>
  <c r="I510" i="8"/>
  <c r="I509" i="8"/>
  <c r="I508" i="8"/>
  <c r="I507" i="8"/>
  <c r="I506" i="8"/>
  <c r="I505" i="8"/>
  <c r="B505" i="8"/>
  <c r="B506" i="8" s="1"/>
  <c r="B507" i="8" s="1"/>
  <c r="B508" i="8" s="1"/>
  <c r="B509" i="8" s="1"/>
  <c r="B510" i="8" s="1"/>
  <c r="B511" i="8" s="1"/>
  <c r="B512" i="8" s="1"/>
  <c r="B513" i="8" s="1"/>
  <c r="B514" i="8" s="1"/>
  <c r="B515" i="8" s="1"/>
  <c r="B516" i="8" s="1"/>
  <c r="B517" i="8" s="1"/>
  <c r="B518" i="8" s="1"/>
  <c r="B519" i="8" s="1"/>
  <c r="B520" i="8" s="1"/>
  <c r="B521" i="8" s="1"/>
  <c r="B522" i="8" s="1"/>
  <c r="I504" i="8"/>
  <c r="I523" i="8" s="1"/>
  <c r="I484" i="8"/>
  <c r="I483" i="8"/>
  <c r="I485" i="8" s="1"/>
  <c r="B484" i="8"/>
  <c r="I467" i="8"/>
  <c r="H480" i="8"/>
  <c r="G480" i="8"/>
  <c r="F480" i="8"/>
  <c r="I473" i="8"/>
  <c r="I472" i="8"/>
  <c r="I471" i="8"/>
  <c r="I470" i="8"/>
  <c r="I469" i="8"/>
  <c r="L449" i="8" s="1"/>
  <c r="E183" i="4" s="1"/>
  <c r="B470" i="8"/>
  <c r="B471" i="8" s="1"/>
  <c r="B472" i="8" s="1"/>
  <c r="B473" i="8" s="1"/>
  <c r="B474" i="8" s="1"/>
  <c r="I468" i="8"/>
  <c r="Q459" i="8"/>
  <c r="O459" i="8"/>
  <c r="N459" i="8"/>
  <c r="M459" i="8"/>
  <c r="L459" i="8"/>
  <c r="K459" i="8"/>
  <c r="Q458" i="8"/>
  <c r="O458" i="8"/>
  <c r="N458" i="8"/>
  <c r="M458" i="8"/>
  <c r="L458" i="8"/>
  <c r="K458" i="8"/>
  <c r="O181" i="3"/>
  <c r="F455" i="8"/>
  <c r="H454" i="8"/>
  <c r="Q453" i="8"/>
  <c r="O453" i="8"/>
  <c r="L453" i="8"/>
  <c r="Q452" i="8"/>
  <c r="O452" i="8"/>
  <c r="N452" i="8"/>
  <c r="M452" i="8"/>
  <c r="L452" i="8"/>
  <c r="E184" i="4" s="1" a="1"/>
  <c r="E184" i="4" s="1"/>
  <c r="K452" i="8"/>
  <c r="P451" i="8"/>
  <c r="P459" i="8" s="1"/>
  <c r="P450" i="8"/>
  <c r="F450" i="8"/>
  <c r="F451" i="8" s="1"/>
  <c r="H451" i="8" s="1"/>
  <c r="P183" i="4"/>
  <c r="F448" i="8"/>
  <c r="S444" i="8"/>
  <c r="R444" i="8"/>
  <c r="Q444" i="8"/>
  <c r="P444" i="8"/>
  <c r="O444" i="8"/>
  <c r="N444" i="8"/>
  <c r="M444" i="8"/>
  <c r="L444" i="8"/>
  <c r="K444" i="8"/>
  <c r="C444" i="8"/>
  <c r="T443" i="8"/>
  <c r="A183" i="4" s="1"/>
  <c r="S443" i="8"/>
  <c r="R443" i="8"/>
  <c r="Q443" i="8"/>
  <c r="P443" i="8"/>
  <c r="O443" i="8"/>
  <c r="N443" i="8"/>
  <c r="M443" i="8"/>
  <c r="L443" i="8"/>
  <c r="K443" i="8"/>
  <c r="C443" i="8"/>
  <c r="C442" i="8"/>
  <c r="I698" i="5"/>
  <c r="I697" i="5"/>
  <c r="I696" i="5"/>
  <c r="I695" i="5"/>
  <c r="I694" i="5"/>
  <c r="I693" i="5"/>
  <c r="I692" i="5"/>
  <c r="I691" i="5"/>
  <c r="I690" i="5"/>
  <c r="I688" i="5"/>
  <c r="B688" i="5"/>
  <c r="I687" i="5"/>
  <c r="I668" i="5"/>
  <c r="I669" i="5" s="1"/>
  <c r="R638" i="5" s="1"/>
  <c r="I689" i="5"/>
  <c r="I663" i="5"/>
  <c r="I662" i="5"/>
  <c r="I661" i="5"/>
  <c r="I660" i="5"/>
  <c r="I659" i="5"/>
  <c r="I658" i="5"/>
  <c r="I657" i="5"/>
  <c r="B657" i="5"/>
  <c r="B658" i="5" s="1"/>
  <c r="B659" i="5" s="1"/>
  <c r="B660" i="5" s="1"/>
  <c r="B661" i="5" s="1"/>
  <c r="B662" i="5" s="1"/>
  <c r="B663" i="5" s="1"/>
  <c r="I656" i="5"/>
  <c r="I664" i="5" s="1"/>
  <c r="G636" i="5" s="1"/>
  <c r="Q648" i="5"/>
  <c r="O648" i="5"/>
  <c r="N648" i="5"/>
  <c r="M648" i="5"/>
  <c r="L648" i="5"/>
  <c r="K648" i="5"/>
  <c r="Q647" i="5"/>
  <c r="O647" i="5"/>
  <c r="N647" i="5"/>
  <c r="M647" i="5"/>
  <c r="L647" i="5"/>
  <c r="K647" i="5"/>
  <c r="O172" i="3"/>
  <c r="M172" i="3"/>
  <c r="F644" i="5"/>
  <c r="H643" i="5"/>
  <c r="Q642" i="5"/>
  <c r="O642" i="5"/>
  <c r="F642" i="5"/>
  <c r="H642" i="5" s="1"/>
  <c r="Q641" i="5"/>
  <c r="O641" i="5"/>
  <c r="N641" i="5"/>
  <c r="M641" i="5"/>
  <c r="L641" i="5"/>
  <c r="K641" i="5"/>
  <c r="P640" i="5"/>
  <c r="P648" i="5" s="1"/>
  <c r="P639" i="5"/>
  <c r="F639" i="5"/>
  <c r="F640" i="5" s="1"/>
  <c r="H640" i="5" s="1"/>
  <c r="P174" i="4"/>
  <c r="F637" i="5"/>
  <c r="S633" i="5"/>
  <c r="R633" i="5"/>
  <c r="Q633" i="5"/>
  <c r="P633" i="5"/>
  <c r="O633" i="5"/>
  <c r="N633" i="5"/>
  <c r="M633" i="5"/>
  <c r="L633" i="5"/>
  <c r="K633" i="5"/>
  <c r="C633" i="5"/>
  <c r="T632" i="5"/>
  <c r="A174" i="4" s="1"/>
  <c r="S632" i="5"/>
  <c r="R632" i="5"/>
  <c r="Q632" i="5"/>
  <c r="P632" i="5"/>
  <c r="O632" i="5"/>
  <c r="N632" i="5"/>
  <c r="M632" i="5"/>
  <c r="L632" i="5"/>
  <c r="K632" i="5"/>
  <c r="C632" i="5"/>
  <c r="C631" i="5"/>
  <c r="G579" i="5"/>
  <c r="G578" i="5"/>
  <c r="G577" i="5"/>
  <c r="Q547" i="5"/>
  <c r="V577" i="5"/>
  <c r="H226" i="11"/>
  <c r="F226" i="11"/>
  <c r="X227" i="11"/>
  <c r="W227" i="11"/>
  <c r="V227" i="11"/>
  <c r="T227" i="11"/>
  <c r="S222" i="11"/>
  <c r="R222" i="11"/>
  <c r="Q222" i="11"/>
  <c r="P222" i="11"/>
  <c r="O222" i="11"/>
  <c r="N222" i="11"/>
  <c r="M222" i="11"/>
  <c r="L222" i="11"/>
  <c r="K222" i="11"/>
  <c r="S221" i="11"/>
  <c r="R221" i="11"/>
  <c r="Q221" i="11"/>
  <c r="P221" i="11"/>
  <c r="O221" i="11"/>
  <c r="N221" i="11"/>
  <c r="M221" i="11"/>
  <c r="L221" i="11"/>
  <c r="K221" i="11"/>
  <c r="H221" i="11"/>
  <c r="G221" i="11"/>
  <c r="F221" i="11"/>
  <c r="I220" i="11"/>
  <c r="I221" i="11" s="1"/>
  <c r="G200" i="11" s="1"/>
  <c r="Q212" i="11"/>
  <c r="O212" i="11"/>
  <c r="N212" i="11"/>
  <c r="M212" i="11"/>
  <c r="L212" i="11"/>
  <c r="K212" i="11"/>
  <c r="Q211" i="11"/>
  <c r="O211" i="11"/>
  <c r="N211" i="11"/>
  <c r="M211" i="11"/>
  <c r="L211" i="11"/>
  <c r="K211" i="11"/>
  <c r="F208" i="11"/>
  <c r="H207" i="11"/>
  <c r="Q206" i="11"/>
  <c r="O206" i="11"/>
  <c r="N206" i="11"/>
  <c r="M206" i="11"/>
  <c r="L206" i="11"/>
  <c r="K206" i="11"/>
  <c r="F206" i="11"/>
  <c r="H206" i="11" s="1"/>
  <c r="Q205" i="11"/>
  <c r="O205" i="11"/>
  <c r="N205" i="11"/>
  <c r="M205" i="11"/>
  <c r="L205" i="11"/>
  <c r="K205" i="11"/>
  <c r="P204" i="11"/>
  <c r="P212" i="11" s="1"/>
  <c r="P203" i="11"/>
  <c r="F203" i="11"/>
  <c r="F204" i="11" s="1"/>
  <c r="H204" i="11" s="1"/>
  <c r="P202" i="11"/>
  <c r="P206" i="11" s="1"/>
  <c r="F201" i="11"/>
  <c r="F200" i="11"/>
  <c r="F202" i="11" s="1"/>
  <c r="H202" i="11" s="1"/>
  <c r="C200" i="11"/>
  <c r="S197" i="11"/>
  <c r="R197" i="11"/>
  <c r="Q197" i="11"/>
  <c r="P197" i="11"/>
  <c r="O197" i="11"/>
  <c r="N197" i="11"/>
  <c r="M197" i="11"/>
  <c r="L197" i="11"/>
  <c r="K197" i="11"/>
  <c r="C197" i="11"/>
  <c r="T196" i="11"/>
  <c r="S196" i="11"/>
  <c r="R196" i="11"/>
  <c r="Q196" i="11"/>
  <c r="P196" i="11"/>
  <c r="O196" i="11"/>
  <c r="N196" i="11"/>
  <c r="M196" i="11"/>
  <c r="L196" i="11"/>
  <c r="K196" i="11"/>
  <c r="C196" i="11"/>
  <c r="C195" i="11"/>
  <c r="F546" i="5"/>
  <c r="F547" i="5"/>
  <c r="F135" i="14"/>
  <c r="F373" i="15"/>
  <c r="F138" i="17"/>
  <c r="F544" i="5"/>
  <c r="G561" i="9"/>
  <c r="F152" i="17"/>
  <c r="H210" i="17"/>
  <c r="F210" i="17"/>
  <c r="V209" i="17"/>
  <c r="G209" i="17"/>
  <c r="I215" i="17"/>
  <c r="I214" i="17"/>
  <c r="B214" i="17"/>
  <c r="B215" i="17" s="1"/>
  <c r="B216" i="17" s="1"/>
  <c r="I213" i="17"/>
  <c r="I217" i="17" s="1"/>
  <c r="I205" i="17"/>
  <c r="I206" i="17" s="1"/>
  <c r="R180" i="17" s="1"/>
  <c r="I200" i="17"/>
  <c r="O180" i="17" s="1"/>
  <c r="I199" i="17"/>
  <c r="M180" i="17" s="1"/>
  <c r="F177" i="4" s="1"/>
  <c r="B199" i="17"/>
  <c r="B200" i="17" s="1"/>
  <c r="I198" i="17"/>
  <c r="I201" i="17" s="1"/>
  <c r="G178" i="17" s="1"/>
  <c r="Q190" i="17"/>
  <c r="O190" i="17"/>
  <c r="N190" i="17"/>
  <c r="M190" i="17"/>
  <c r="L190" i="17"/>
  <c r="K190" i="17"/>
  <c r="Q189" i="17"/>
  <c r="O189" i="17"/>
  <c r="N189" i="17"/>
  <c r="M189" i="17"/>
  <c r="L189" i="17"/>
  <c r="K189" i="17"/>
  <c r="O175" i="3"/>
  <c r="O196" i="3" s="1"/>
  <c r="M175" i="3"/>
  <c r="F186" i="17"/>
  <c r="H185" i="17"/>
  <c r="Q184" i="17"/>
  <c r="N184" i="17"/>
  <c r="M184" i="17"/>
  <c r="L184" i="17"/>
  <c r="F184" i="17"/>
  <c r="H184" i="17" s="1"/>
  <c r="Q183" i="17"/>
  <c r="O183" i="17"/>
  <c r="N183" i="17"/>
  <c r="M183" i="17"/>
  <c r="F178" i="4" s="1" a="1"/>
  <c r="F178" i="4" s="1"/>
  <c r="L183" i="17"/>
  <c r="K183" i="17"/>
  <c r="P190" i="17"/>
  <c r="P181" i="17"/>
  <c r="F181" i="17"/>
  <c r="F182" i="17" s="1"/>
  <c r="H182" i="17" s="1"/>
  <c r="P177" i="4"/>
  <c r="F179" i="17"/>
  <c r="S175" i="17"/>
  <c r="R175" i="17"/>
  <c r="Q175" i="17"/>
  <c r="P175" i="17"/>
  <c r="O175" i="17"/>
  <c r="N175" i="17"/>
  <c r="M175" i="17"/>
  <c r="L175" i="17"/>
  <c r="K175" i="17"/>
  <c r="C175" i="17"/>
  <c r="T174" i="17"/>
  <c r="A177" i="4" s="1"/>
  <c r="S174" i="17"/>
  <c r="R174" i="17"/>
  <c r="Q174" i="17"/>
  <c r="P174" i="17"/>
  <c r="O174" i="17"/>
  <c r="N174" i="17"/>
  <c r="M174" i="17"/>
  <c r="L174" i="17"/>
  <c r="K174" i="17"/>
  <c r="C174" i="17"/>
  <c r="C173" i="17"/>
  <c r="W158" i="17"/>
  <c r="V162" i="17"/>
  <c r="G413" i="8"/>
  <c r="G411" i="8"/>
  <c r="G445" i="15"/>
  <c r="G571" i="5"/>
  <c r="G398" i="15"/>
  <c r="O381" i="8"/>
  <c r="V414" i="8"/>
  <c r="I414" i="8"/>
  <c r="O373" i="8" s="1"/>
  <c r="G436" i="12"/>
  <c r="O417" i="12"/>
  <c r="G478" i="12"/>
  <c r="I478" i="12"/>
  <c r="G435" i="12"/>
  <c r="O547" i="5"/>
  <c r="G618" i="5"/>
  <c r="V572" i="5"/>
  <c r="G572" i="5"/>
  <c r="G617" i="5"/>
  <c r="V571" i="5"/>
  <c r="I572" i="5"/>
  <c r="I571" i="5"/>
  <c r="G157" i="14"/>
  <c r="G156" i="14"/>
  <c r="O138" i="14"/>
  <c r="V155" i="14"/>
  <c r="G155" i="14"/>
  <c r="V154" i="14"/>
  <c r="G154" i="14"/>
  <c r="G181" i="14"/>
  <c r="O376" i="15"/>
  <c r="V399" i="15"/>
  <c r="G448" i="15"/>
  <c r="G399" i="15"/>
  <c r="G447" i="15"/>
  <c r="I447" i="15"/>
  <c r="I446" i="15"/>
  <c r="V398" i="15"/>
  <c r="V441" i="12"/>
  <c r="M417" i="12"/>
  <c r="H442" i="12"/>
  <c r="F442" i="12"/>
  <c r="R417" i="12" s="1"/>
  <c r="L417" i="12"/>
  <c r="N541" i="9"/>
  <c r="N540" i="9"/>
  <c r="O539" i="9"/>
  <c r="H562" i="9"/>
  <c r="H609" i="9"/>
  <c r="F609" i="9"/>
  <c r="H571" i="9"/>
  <c r="G571" i="9"/>
  <c r="F571" i="9"/>
  <c r="R539" i="9" s="1"/>
  <c r="V570" i="9"/>
  <c r="I608" i="9"/>
  <c r="V561" i="9"/>
  <c r="V397" i="8"/>
  <c r="V398" i="8"/>
  <c r="V412" i="15"/>
  <c r="V411" i="15"/>
  <c r="V397" i="15"/>
  <c r="B388" i="15"/>
  <c r="B389" i="15" s="1"/>
  <c r="B390" i="15" s="1"/>
  <c r="V396" i="15"/>
  <c r="V388" i="15"/>
  <c r="V587" i="5"/>
  <c r="G616" i="5"/>
  <c r="F559" i="9"/>
  <c r="G582" i="9"/>
  <c r="R173" i="11"/>
  <c r="S173" i="11"/>
  <c r="S165" i="11"/>
  <c r="R165" i="11"/>
  <c r="G467" i="12"/>
  <c r="G431" i="12"/>
  <c r="G427" i="12"/>
  <c r="G162" i="14"/>
  <c r="G152" i="14"/>
  <c r="G153" i="14"/>
  <c r="G149" i="14"/>
  <c r="G555" i="9"/>
  <c r="G553" i="9"/>
  <c r="G550" i="9"/>
  <c r="G406" i="8"/>
  <c r="G407" i="8" s="1"/>
  <c r="G412" i="8"/>
  <c r="G410" i="8"/>
  <c r="G410" i="15"/>
  <c r="G413" i="15"/>
  <c r="G389" i="15"/>
  <c r="G397" i="15"/>
  <c r="G396" i="15"/>
  <c r="G388" i="15"/>
  <c r="G566" i="5"/>
  <c r="G560" i="5"/>
  <c r="G587" i="5"/>
  <c r="G424" i="8"/>
  <c r="S563" i="9"/>
  <c r="R563" i="9"/>
  <c r="Q563" i="9"/>
  <c r="P563" i="9"/>
  <c r="O563" i="9"/>
  <c r="N563" i="9"/>
  <c r="M563" i="9"/>
  <c r="L563" i="9"/>
  <c r="K563" i="9"/>
  <c r="S562" i="9"/>
  <c r="R562" i="9"/>
  <c r="Q562" i="9"/>
  <c r="P562" i="9"/>
  <c r="O562" i="9"/>
  <c r="N562" i="9"/>
  <c r="M562" i="9"/>
  <c r="L562" i="9"/>
  <c r="K562" i="9"/>
  <c r="V560" i="9"/>
  <c r="I560" i="9"/>
  <c r="V559" i="9"/>
  <c r="V558" i="9"/>
  <c r="H153" i="17"/>
  <c r="V387" i="15"/>
  <c r="H450" i="15"/>
  <c r="F450" i="15"/>
  <c r="F413" i="15"/>
  <c r="R376" i="15" s="1"/>
  <c r="N381" i="8"/>
  <c r="G399" i="8"/>
  <c r="V413" i="8"/>
  <c r="G398" i="8"/>
  <c r="G397" i="8"/>
  <c r="H415" i="8"/>
  <c r="F415" i="8"/>
  <c r="I413" i="8"/>
  <c r="I397" i="8"/>
  <c r="G477" i="12"/>
  <c r="G476" i="12"/>
  <c r="G434" i="12"/>
  <c r="V434" i="12"/>
  <c r="F434" i="12"/>
  <c r="N417" i="12" s="1"/>
  <c r="G442" i="12"/>
  <c r="I165" i="3"/>
  <c r="B149" i="4"/>
  <c r="K147" i="3"/>
  <c r="V152" i="17"/>
  <c r="G152" i="17"/>
  <c r="G153" i="17" s="1"/>
  <c r="N547" i="5"/>
  <c r="G570" i="5"/>
  <c r="G615" i="5"/>
  <c r="V569" i="5"/>
  <c r="G569" i="5"/>
  <c r="G614" i="5"/>
  <c r="G612" i="5"/>
  <c r="G568" i="5"/>
  <c r="V568" i="5"/>
  <c r="V567" i="5"/>
  <c r="S400" i="15"/>
  <c r="R400" i="15"/>
  <c r="Q400" i="15"/>
  <c r="P400" i="15"/>
  <c r="O400" i="15"/>
  <c r="N400" i="15"/>
  <c r="M400" i="15"/>
  <c r="L400" i="15"/>
  <c r="S401" i="15"/>
  <c r="R401" i="15"/>
  <c r="Q401" i="15"/>
  <c r="P401" i="15"/>
  <c r="O401" i="15"/>
  <c r="N401" i="15"/>
  <c r="M401" i="15"/>
  <c r="L401" i="15"/>
  <c r="K401" i="15"/>
  <c r="V151" i="17"/>
  <c r="G166" i="17"/>
  <c r="N376" i="15"/>
  <c r="I397" i="15"/>
  <c r="G442" i="15"/>
  <c r="V153" i="14"/>
  <c r="V553" i="9"/>
  <c r="B588" i="5"/>
  <c r="W566" i="5"/>
  <c r="V563" i="5"/>
  <c r="M381" i="8"/>
  <c r="G390" i="15"/>
  <c r="G563" i="5"/>
  <c r="G556" i="9"/>
  <c r="G564" i="5"/>
  <c r="G394" i="15"/>
  <c r="G473" i="12"/>
  <c r="F472" i="12"/>
  <c r="G472" i="12"/>
  <c r="V472" i="12"/>
  <c r="G471" i="12"/>
  <c r="G433" i="12"/>
  <c r="G565" i="5"/>
  <c r="G432" i="12"/>
  <c r="M547" i="5"/>
  <c r="G611" i="5"/>
  <c r="V565" i="5"/>
  <c r="G610" i="5"/>
  <c r="I611" i="5"/>
  <c r="G609" i="5"/>
  <c r="I563" i="5"/>
  <c r="G179" i="14"/>
  <c r="V152" i="14"/>
  <c r="V151" i="14"/>
  <c r="F150" i="14"/>
  <c r="M138" i="14" s="1"/>
  <c r="G441" i="15"/>
  <c r="M539" i="9"/>
  <c r="V394" i="15"/>
  <c r="G440" i="15"/>
  <c r="F393" i="15"/>
  <c r="F400" i="15" s="1"/>
  <c r="V410" i="15"/>
  <c r="V556" i="9"/>
  <c r="H436" i="8"/>
  <c r="F436" i="8"/>
  <c r="H400" i="8"/>
  <c r="G400" i="8"/>
  <c r="F400" i="8"/>
  <c r="G392" i="15"/>
  <c r="I396" i="8"/>
  <c r="I395" i="8"/>
  <c r="L381" i="8"/>
  <c r="B411" i="8"/>
  <c r="V162" i="14"/>
  <c r="L539" i="9"/>
  <c r="V557" i="9"/>
  <c r="V555" i="9"/>
  <c r="B392" i="8"/>
  <c r="B393" i="8" s="1"/>
  <c r="V392" i="8"/>
  <c r="V389" i="15"/>
  <c r="B391" i="15"/>
  <c r="I439" i="15"/>
  <c r="J139" i="4"/>
  <c r="G167" i="14"/>
  <c r="G566" i="9"/>
  <c r="G602" i="10"/>
  <c r="V554" i="9"/>
  <c r="I554" i="9"/>
  <c r="V552" i="9"/>
  <c r="H589" i="5"/>
  <c r="F589" i="5"/>
  <c r="R547" i="5" s="1"/>
  <c r="G432" i="8"/>
  <c r="G436" i="8" s="1"/>
  <c r="I394" i="8"/>
  <c r="V393" i="8"/>
  <c r="G589" i="5"/>
  <c r="G561" i="5"/>
  <c r="G559" i="5"/>
  <c r="G469" i="12"/>
  <c r="G465" i="12"/>
  <c r="G464" i="12"/>
  <c r="I430" i="12"/>
  <c r="L138" i="14"/>
  <c r="G176" i="14"/>
  <c r="G175" i="14"/>
  <c r="G174" i="14"/>
  <c r="I467" i="12"/>
  <c r="I431" i="12"/>
  <c r="V149" i="14"/>
  <c r="I610" i="5"/>
  <c r="V562" i="5"/>
  <c r="F562" i="5"/>
  <c r="L547" i="5" s="1"/>
  <c r="G562" i="5"/>
  <c r="L376" i="15"/>
  <c r="G391" i="15"/>
  <c r="G438" i="15"/>
  <c r="V391" i="15"/>
  <c r="I390" i="15"/>
  <c r="G437" i="15"/>
  <c r="H456" i="12"/>
  <c r="F456" i="12"/>
  <c r="G296" i="15"/>
  <c r="G297" i="15"/>
  <c r="H427" i="15"/>
  <c r="G426" i="15"/>
  <c r="I426" i="15" s="1"/>
  <c r="V227" i="15"/>
  <c r="B311" i="15"/>
  <c r="I405" i="15"/>
  <c r="G425" i="15"/>
  <c r="I425" i="15" s="1"/>
  <c r="G424" i="15"/>
  <c r="G427" i="15" s="1"/>
  <c r="B424" i="15"/>
  <c r="B425" i="15" s="1"/>
  <c r="B426" i="15" s="1"/>
  <c r="F423" i="15"/>
  <c r="F427" i="15" s="1"/>
  <c r="I419" i="15"/>
  <c r="B419" i="15"/>
  <c r="G418" i="15"/>
  <c r="F418" i="15"/>
  <c r="F420" i="15" s="1"/>
  <c r="G417" i="15"/>
  <c r="G420" i="15" s="1"/>
  <c r="I416" i="15"/>
  <c r="B416" i="15"/>
  <c r="B417" i="15" s="1"/>
  <c r="B418" i="15" s="1"/>
  <c r="I404" i="15"/>
  <c r="H324" i="15"/>
  <c r="V311" i="15"/>
  <c r="T361" i="8"/>
  <c r="T118" i="14"/>
  <c r="H578" i="9"/>
  <c r="F578" i="9"/>
  <c r="G577" i="9"/>
  <c r="I577" i="9" s="1"/>
  <c r="H585" i="9"/>
  <c r="G584" i="9"/>
  <c r="I584" i="9" s="1"/>
  <c r="G583" i="9"/>
  <c r="F583" i="9"/>
  <c r="I582" i="9"/>
  <c r="B582" i="9"/>
  <c r="B583" i="9" s="1"/>
  <c r="B584" i="9" s="1"/>
  <c r="G581" i="9"/>
  <c r="I566" i="9"/>
  <c r="G576" i="9"/>
  <c r="G578" i="9" s="1"/>
  <c r="I575" i="9"/>
  <c r="B575" i="9"/>
  <c r="B576" i="9" s="1"/>
  <c r="B577" i="9" s="1"/>
  <c r="I574" i="9"/>
  <c r="F484" i="9"/>
  <c r="H495" i="9"/>
  <c r="F495" i="9"/>
  <c r="H502" i="9"/>
  <c r="G494" i="9"/>
  <c r="X483" i="9"/>
  <c r="H483" i="9"/>
  <c r="G481" i="9"/>
  <c r="B480" i="9"/>
  <c r="B481" i="9" s="1"/>
  <c r="B482" i="9" s="1"/>
  <c r="H479" i="9"/>
  <c r="H484" i="9" s="1"/>
  <c r="H448" i="12"/>
  <c r="G447" i="12"/>
  <c r="F447" i="12"/>
  <c r="G345" i="12"/>
  <c r="V148" i="14"/>
  <c r="V184" i="14" s="1"/>
  <c r="O330" i="12"/>
  <c r="B550" i="9"/>
  <c r="B551" i="9" s="1"/>
  <c r="G455" i="12"/>
  <c r="I455" i="12" s="1"/>
  <c r="G454" i="12"/>
  <c r="I454" i="12" s="1"/>
  <c r="G453" i="12"/>
  <c r="I453" i="12" s="1"/>
  <c r="I452" i="12"/>
  <c r="B452" i="12"/>
  <c r="B453" i="12" s="1"/>
  <c r="B454" i="12" s="1"/>
  <c r="B455" i="12" s="1"/>
  <c r="G451" i="12"/>
  <c r="G456" i="12" s="1"/>
  <c r="I446" i="12"/>
  <c r="B446" i="12"/>
  <c r="B447" i="12" s="1"/>
  <c r="G445" i="12"/>
  <c r="G448" i="12" s="1"/>
  <c r="H425" i="8"/>
  <c r="F425" i="8"/>
  <c r="H421" i="8"/>
  <c r="F421" i="8"/>
  <c r="G420" i="8"/>
  <c r="I420" i="8" s="1"/>
  <c r="G419" i="8"/>
  <c r="I419" i="8" s="1"/>
  <c r="B419" i="8"/>
  <c r="B420" i="8" s="1"/>
  <c r="G418" i="8"/>
  <c r="G68" i="14"/>
  <c r="G166" i="14"/>
  <c r="G168" i="14" s="1"/>
  <c r="G84" i="14"/>
  <c r="G83" i="14"/>
  <c r="V579" i="10"/>
  <c r="V281" i="10"/>
  <c r="G600" i="10"/>
  <c r="G579" i="10"/>
  <c r="H189" i="11"/>
  <c r="F189" i="11"/>
  <c r="G188" i="11"/>
  <c r="G483" i="9"/>
  <c r="G158" i="17"/>
  <c r="G171" i="14"/>
  <c r="G415" i="8"/>
  <c r="K539" i="9"/>
  <c r="V589" i="9"/>
  <c r="I589" i="9"/>
  <c r="V551" i="9"/>
  <c r="G551" i="9"/>
  <c r="V550" i="9"/>
  <c r="V549" i="9"/>
  <c r="G549" i="9"/>
  <c r="G562" i="9" s="1"/>
  <c r="G588" i="9"/>
  <c r="G609" i="9" s="1"/>
  <c r="K381" i="8"/>
  <c r="V410" i="8"/>
  <c r="K417" i="12"/>
  <c r="G428" i="12"/>
  <c r="G463" i="12"/>
  <c r="G461" i="12"/>
  <c r="K547" i="5"/>
  <c r="W560" i="5"/>
  <c r="G608" i="5"/>
  <c r="W559" i="5"/>
  <c r="W626" i="5" s="1"/>
  <c r="V558" i="5"/>
  <c r="G558" i="5"/>
  <c r="V557" i="5"/>
  <c r="V626" i="5" s="1"/>
  <c r="G557" i="5"/>
  <c r="G605" i="5"/>
  <c r="G173" i="14"/>
  <c r="G148" i="14"/>
  <c r="F148" i="14"/>
  <c r="F171" i="14"/>
  <c r="G435" i="15"/>
  <c r="G433" i="15"/>
  <c r="G431" i="15"/>
  <c r="G450" i="15" s="1"/>
  <c r="I388" i="15"/>
  <c r="K162" i="3"/>
  <c r="D162" i="3"/>
  <c r="F162" i="3"/>
  <c r="G162" i="3"/>
  <c r="C162" i="3"/>
  <c r="D159" i="3"/>
  <c r="E159" i="3"/>
  <c r="G159" i="3"/>
  <c r="K159" i="3"/>
  <c r="K156" i="3"/>
  <c r="D156" i="3"/>
  <c r="E156" i="3"/>
  <c r="G156" i="3"/>
  <c r="C156" i="3"/>
  <c r="K153" i="3"/>
  <c r="D153" i="3"/>
  <c r="E153" i="3"/>
  <c r="F153" i="3"/>
  <c r="G153" i="3"/>
  <c r="C153" i="3"/>
  <c r="K150" i="3"/>
  <c r="D150" i="3"/>
  <c r="F150" i="3"/>
  <c r="G150" i="3"/>
  <c r="C150" i="3"/>
  <c r="K144" i="3"/>
  <c r="D144" i="3"/>
  <c r="E144" i="3"/>
  <c r="F144" i="3"/>
  <c r="G144" i="3"/>
  <c r="C144" i="3"/>
  <c r="B164" i="4"/>
  <c r="B161" i="4"/>
  <c r="B158" i="4"/>
  <c r="H155" i="4"/>
  <c r="B155" i="4"/>
  <c r="B152" i="4"/>
  <c r="B146" i="4"/>
  <c r="H163" i="17"/>
  <c r="F163" i="17"/>
  <c r="I158" i="17"/>
  <c r="G157" i="17"/>
  <c r="I157" i="17" s="1"/>
  <c r="B157" i="17"/>
  <c r="B158" i="17" s="1"/>
  <c r="G162" i="17"/>
  <c r="G117" i="17"/>
  <c r="H583" i="5"/>
  <c r="G583" i="5"/>
  <c r="I583" i="5" s="1"/>
  <c r="H500" i="5"/>
  <c r="P173" i="11"/>
  <c r="P381" i="8"/>
  <c r="H153" i="3" s="1"/>
  <c r="P95" i="13"/>
  <c r="P547" i="5"/>
  <c r="H144" i="3" s="1"/>
  <c r="Q144" i="3" s="1"/>
  <c r="P94" i="16"/>
  <c r="J144" i="3"/>
  <c r="L144" i="3"/>
  <c r="J153" i="3"/>
  <c r="L153" i="3"/>
  <c r="Q153" i="3"/>
  <c r="B167" i="4"/>
  <c r="I211" i="16"/>
  <c r="B212" i="16"/>
  <c r="I212" i="16"/>
  <c r="B213" i="16"/>
  <c r="I213" i="16"/>
  <c r="B214" i="16"/>
  <c r="I214" i="16"/>
  <c r="B215" i="16"/>
  <c r="I215" i="16"/>
  <c r="B216" i="16"/>
  <c r="I216" i="16"/>
  <c r="F217" i="16"/>
  <c r="G217" i="16"/>
  <c r="H217" i="16"/>
  <c r="I217" i="16"/>
  <c r="T218" i="16"/>
  <c r="W218" i="16"/>
  <c r="X218" i="16"/>
  <c r="I190" i="16"/>
  <c r="B191" i="16"/>
  <c r="I191" i="16"/>
  <c r="B192" i="16"/>
  <c r="I192" i="16"/>
  <c r="B193" i="16"/>
  <c r="I193" i="16"/>
  <c r="B194" i="16"/>
  <c r="I194" i="16"/>
  <c r="B195" i="16"/>
  <c r="I195" i="16"/>
  <c r="B196" i="16"/>
  <c r="I196" i="16"/>
  <c r="B197" i="16"/>
  <c r="I197" i="16"/>
  <c r="B198" i="16"/>
  <c r="I198" i="16"/>
  <c r="B199" i="16"/>
  <c r="I199" i="16"/>
  <c r="B200" i="16"/>
  <c r="I200" i="16"/>
  <c r="B201" i="16"/>
  <c r="I201" i="16"/>
  <c r="B202" i="16"/>
  <c r="I202" i="16"/>
  <c r="B203" i="16"/>
  <c r="I203" i="16"/>
  <c r="B204" i="16"/>
  <c r="I204" i="16"/>
  <c r="B205" i="16"/>
  <c r="I205" i="16"/>
  <c r="B206" i="16"/>
  <c r="I206" i="16"/>
  <c r="B207" i="16"/>
  <c r="I207" i="16"/>
  <c r="F208" i="16"/>
  <c r="G208" i="16"/>
  <c r="H208" i="16"/>
  <c r="I208" i="16"/>
  <c r="I179" i="16"/>
  <c r="B180" i="16"/>
  <c r="I180" i="16"/>
  <c r="B181" i="16"/>
  <c r="I181" i="16"/>
  <c r="B182" i="16"/>
  <c r="I182" i="16"/>
  <c r="B183" i="16"/>
  <c r="I183" i="16"/>
  <c r="B184" i="16"/>
  <c r="I184" i="16"/>
  <c r="B185" i="16"/>
  <c r="I185" i="16"/>
  <c r="B186" i="16"/>
  <c r="I186" i="16"/>
  <c r="F187" i="16"/>
  <c r="G187" i="16"/>
  <c r="H187" i="16"/>
  <c r="I187" i="16"/>
  <c r="I168" i="16"/>
  <c r="B169" i="16"/>
  <c r="I169" i="16"/>
  <c r="B170" i="16"/>
  <c r="I170" i="16"/>
  <c r="B171" i="16"/>
  <c r="I171" i="16"/>
  <c r="B172" i="16"/>
  <c r="I172" i="16"/>
  <c r="B173" i="16"/>
  <c r="I173" i="16"/>
  <c r="B174" i="16"/>
  <c r="I174" i="16"/>
  <c r="B175" i="16"/>
  <c r="I175" i="16"/>
  <c r="F176" i="16"/>
  <c r="G176" i="16"/>
  <c r="H176" i="16"/>
  <c r="I176" i="16"/>
  <c r="I157" i="16"/>
  <c r="B158" i="16"/>
  <c r="I158" i="16"/>
  <c r="B159" i="16"/>
  <c r="I159" i="16"/>
  <c r="B160" i="16"/>
  <c r="I160" i="16"/>
  <c r="B161" i="16"/>
  <c r="I161" i="16"/>
  <c r="B162" i="16"/>
  <c r="I162" i="16"/>
  <c r="B163" i="16"/>
  <c r="I163" i="16"/>
  <c r="B164" i="16"/>
  <c r="I164" i="16"/>
  <c r="F165" i="16"/>
  <c r="G165" i="16"/>
  <c r="H165" i="16"/>
  <c r="I165" i="16"/>
  <c r="I146" i="16"/>
  <c r="B147" i="16"/>
  <c r="I147" i="16"/>
  <c r="B148" i="16"/>
  <c r="I148" i="16"/>
  <c r="B149" i="16"/>
  <c r="I149" i="16"/>
  <c r="B150" i="16"/>
  <c r="I150" i="16"/>
  <c r="B151" i="16"/>
  <c r="I151" i="16"/>
  <c r="B152" i="16"/>
  <c r="I152" i="16"/>
  <c r="B153" i="16"/>
  <c r="I153" i="16"/>
  <c r="F154" i="16"/>
  <c r="G154" i="16"/>
  <c r="H154" i="16"/>
  <c r="I154" i="16"/>
  <c r="I135" i="16"/>
  <c r="B136" i="16"/>
  <c r="I136" i="16"/>
  <c r="B137" i="16"/>
  <c r="I137" i="16"/>
  <c r="B138" i="16"/>
  <c r="I138" i="16"/>
  <c r="B139" i="16"/>
  <c r="I139" i="16"/>
  <c r="B140" i="16"/>
  <c r="I140" i="16"/>
  <c r="B141" i="16"/>
  <c r="I141" i="16"/>
  <c r="B142" i="16"/>
  <c r="I142" i="16"/>
  <c r="F143" i="16"/>
  <c r="G143" i="16"/>
  <c r="H143" i="16"/>
  <c r="I143" i="16"/>
  <c r="I124" i="16"/>
  <c r="B125" i="16"/>
  <c r="I125" i="16"/>
  <c r="B126" i="16"/>
  <c r="I126" i="16"/>
  <c r="B127" i="16"/>
  <c r="I127" i="16"/>
  <c r="B128" i="16"/>
  <c r="I128" i="16"/>
  <c r="B129" i="16"/>
  <c r="I129" i="16"/>
  <c r="B130" i="16"/>
  <c r="I130" i="16"/>
  <c r="B131" i="16"/>
  <c r="I131" i="16"/>
  <c r="F132" i="16"/>
  <c r="G132" i="16"/>
  <c r="H132" i="16"/>
  <c r="I132" i="16"/>
  <c r="I104" i="16"/>
  <c r="B105" i="16"/>
  <c r="I105" i="16"/>
  <c r="B106" i="16"/>
  <c r="I106" i="16"/>
  <c r="B107" i="16"/>
  <c r="I107" i="16"/>
  <c r="B108" i="16"/>
  <c r="I108" i="16"/>
  <c r="B109" i="16"/>
  <c r="I109" i="16"/>
  <c r="B110" i="16"/>
  <c r="I110" i="16"/>
  <c r="B111" i="16"/>
  <c r="I111" i="16"/>
  <c r="B112" i="16"/>
  <c r="I112" i="16"/>
  <c r="B113" i="16"/>
  <c r="I113" i="16"/>
  <c r="B114" i="16"/>
  <c r="I114" i="16"/>
  <c r="B115" i="16"/>
  <c r="I115" i="16"/>
  <c r="B116" i="16"/>
  <c r="I116" i="16"/>
  <c r="B117" i="16"/>
  <c r="I117" i="16"/>
  <c r="B118" i="16"/>
  <c r="I118" i="16"/>
  <c r="B119" i="16"/>
  <c r="I119" i="16"/>
  <c r="F120" i="16"/>
  <c r="G120" i="16"/>
  <c r="H120" i="16"/>
  <c r="I120" i="16"/>
  <c r="K120" i="16"/>
  <c r="L120" i="16"/>
  <c r="M120" i="16"/>
  <c r="N120" i="16"/>
  <c r="O120" i="16"/>
  <c r="P120" i="16"/>
  <c r="Q120" i="16"/>
  <c r="R120" i="16"/>
  <c r="S120" i="16"/>
  <c r="K121" i="16"/>
  <c r="L121" i="16"/>
  <c r="M121" i="16"/>
  <c r="N121" i="16"/>
  <c r="O121" i="16"/>
  <c r="P121" i="16"/>
  <c r="Q121" i="16"/>
  <c r="R121" i="16"/>
  <c r="S121" i="16"/>
  <c r="K80" i="16"/>
  <c r="L80" i="16"/>
  <c r="M80" i="16"/>
  <c r="N80" i="16"/>
  <c r="O80" i="16"/>
  <c r="P80" i="16"/>
  <c r="Q80" i="16"/>
  <c r="R80" i="16"/>
  <c r="S80" i="16"/>
  <c r="T80" i="16"/>
  <c r="K81" i="16"/>
  <c r="L81" i="16"/>
  <c r="M81" i="16"/>
  <c r="N81" i="16"/>
  <c r="O81" i="16"/>
  <c r="P81" i="16"/>
  <c r="Q81" i="16"/>
  <c r="R81" i="16"/>
  <c r="S81" i="16"/>
  <c r="G84" i="16"/>
  <c r="F85" i="16"/>
  <c r="P86" i="16"/>
  <c r="F84" i="16" s="1"/>
  <c r="F86" i="16" s="1"/>
  <c r="H86" i="16" s="1"/>
  <c r="R86" i="16"/>
  <c r="S86" i="16"/>
  <c r="F87" i="16"/>
  <c r="P87" i="16"/>
  <c r="C80" i="16" s="1"/>
  <c r="F88" i="16"/>
  <c r="H88" i="16"/>
  <c r="P88" i="16"/>
  <c r="C81" i="16" s="1"/>
  <c r="K89" i="16"/>
  <c r="L89" i="16"/>
  <c r="M89" i="16"/>
  <c r="N89" i="16"/>
  <c r="O89" i="16"/>
  <c r="P89" i="16"/>
  <c r="C82" i="16" s="1"/>
  <c r="Q89" i="16"/>
  <c r="F90" i="16"/>
  <c r="H90" i="16"/>
  <c r="K90" i="16"/>
  <c r="L90" i="16"/>
  <c r="M90" i="16"/>
  <c r="N90" i="16"/>
  <c r="O90" i="16"/>
  <c r="P90" i="16"/>
  <c r="C84" i="16" s="1"/>
  <c r="Q90" i="16"/>
  <c r="H91" i="16"/>
  <c r="F92" i="16"/>
  <c r="R94" i="16"/>
  <c r="S94" i="16"/>
  <c r="K95" i="16"/>
  <c r="L95" i="16"/>
  <c r="M95" i="16"/>
  <c r="N95" i="16"/>
  <c r="O95" i="16"/>
  <c r="P95" i="16"/>
  <c r="Q95" i="16"/>
  <c r="K96" i="16"/>
  <c r="L96" i="16"/>
  <c r="M96" i="16"/>
  <c r="N96" i="16"/>
  <c r="O96" i="16"/>
  <c r="P96" i="16"/>
  <c r="Q96" i="16"/>
  <c r="K97" i="16"/>
  <c r="L97" i="16"/>
  <c r="M97" i="16"/>
  <c r="N97" i="16"/>
  <c r="O97" i="16"/>
  <c r="P97" i="16"/>
  <c r="Q97" i="16"/>
  <c r="K98" i="16"/>
  <c r="L98" i="16"/>
  <c r="M98" i="16"/>
  <c r="N98" i="16"/>
  <c r="O98" i="16"/>
  <c r="P98" i="16"/>
  <c r="Q98" i="16"/>
  <c r="T190" i="11"/>
  <c r="V190" i="11"/>
  <c r="W190" i="11"/>
  <c r="X190" i="11"/>
  <c r="I183" i="11"/>
  <c r="F184" i="11"/>
  <c r="G184" i="11"/>
  <c r="H184" i="11"/>
  <c r="I184" i="11"/>
  <c r="G163" i="11" s="1"/>
  <c r="K184" i="11"/>
  <c r="L184" i="11"/>
  <c r="M184" i="11"/>
  <c r="N184" i="11"/>
  <c r="O184" i="11"/>
  <c r="P184" i="11"/>
  <c r="Q184" i="11"/>
  <c r="R184" i="11"/>
  <c r="S184" i="11"/>
  <c r="K185" i="11"/>
  <c r="L185" i="11"/>
  <c r="M185" i="11"/>
  <c r="N185" i="11"/>
  <c r="O185" i="11"/>
  <c r="P185" i="11"/>
  <c r="Q185" i="11"/>
  <c r="R185" i="11"/>
  <c r="S185" i="11"/>
  <c r="K159" i="11"/>
  <c r="L159" i="11"/>
  <c r="M159" i="11"/>
  <c r="N159" i="11"/>
  <c r="O159" i="11"/>
  <c r="P159" i="11"/>
  <c r="Q159" i="11"/>
  <c r="R159" i="11"/>
  <c r="S159" i="11"/>
  <c r="T159" i="11"/>
  <c r="K160" i="11"/>
  <c r="L160" i="11"/>
  <c r="M160" i="11"/>
  <c r="N160" i="11"/>
  <c r="O160" i="11"/>
  <c r="P160" i="11"/>
  <c r="Q160" i="11"/>
  <c r="R160" i="11"/>
  <c r="S160" i="11"/>
  <c r="F164" i="11"/>
  <c r="P165" i="11"/>
  <c r="F163" i="11" s="1"/>
  <c r="F165" i="11" s="1"/>
  <c r="H165" i="11" s="1"/>
  <c r="F166" i="11"/>
  <c r="P166" i="11"/>
  <c r="C159" i="11" s="1"/>
  <c r="F167" i="11"/>
  <c r="H167" i="11"/>
  <c r="P167" i="11"/>
  <c r="C160" i="11" s="1"/>
  <c r="K168" i="11"/>
  <c r="L168" i="11"/>
  <c r="M168" i="11"/>
  <c r="N168" i="11"/>
  <c r="O168" i="11"/>
  <c r="P168" i="11"/>
  <c r="C161" i="11" s="1"/>
  <c r="Q168" i="11"/>
  <c r="F169" i="11"/>
  <c r="H169" i="11"/>
  <c r="K169" i="11"/>
  <c r="L169" i="11"/>
  <c r="M169" i="11"/>
  <c r="N169" i="11"/>
  <c r="O169" i="11"/>
  <c r="P169" i="11"/>
  <c r="C163" i="11" s="1"/>
  <c r="Q169" i="11"/>
  <c r="H170" i="11"/>
  <c r="F171" i="11"/>
  <c r="K174" i="11"/>
  <c r="L174" i="11"/>
  <c r="M174" i="11"/>
  <c r="N174" i="11"/>
  <c r="O174" i="11"/>
  <c r="P174" i="11"/>
  <c r="Q174" i="11"/>
  <c r="K175" i="11"/>
  <c r="L175" i="11"/>
  <c r="M175" i="11"/>
  <c r="N175" i="11"/>
  <c r="O175" i="11"/>
  <c r="P175" i="11"/>
  <c r="Q175" i="11"/>
  <c r="K176" i="11"/>
  <c r="L176" i="11"/>
  <c r="M176" i="11"/>
  <c r="N176" i="11"/>
  <c r="O176" i="11"/>
  <c r="P176" i="11"/>
  <c r="Q176" i="11"/>
  <c r="K177" i="11"/>
  <c r="L177" i="11"/>
  <c r="M177" i="11"/>
  <c r="N177" i="11"/>
  <c r="O177" i="11"/>
  <c r="P177" i="11"/>
  <c r="Q177" i="11"/>
  <c r="B496" i="5"/>
  <c r="H602" i="5"/>
  <c r="F602" i="5"/>
  <c r="G601" i="5"/>
  <c r="G597" i="5"/>
  <c r="I597" i="5" s="1"/>
  <c r="I596" i="5"/>
  <c r="G595" i="5"/>
  <c r="F595" i="5"/>
  <c r="F594" i="5"/>
  <c r="F598" i="5" s="1"/>
  <c r="H593" i="5"/>
  <c r="G593" i="5"/>
  <c r="G598" i="5" s="1"/>
  <c r="B593" i="5"/>
  <c r="B594" i="5" s="1"/>
  <c r="B595" i="5" s="1"/>
  <c r="B596" i="5" s="1"/>
  <c r="B597" i="5" s="1"/>
  <c r="H592" i="5"/>
  <c r="H514" i="5"/>
  <c r="F514" i="5"/>
  <c r="H495" i="5"/>
  <c r="X495" i="5"/>
  <c r="O102" i="17"/>
  <c r="F120" i="17"/>
  <c r="H120" i="17"/>
  <c r="B118" i="17"/>
  <c r="V117" i="17"/>
  <c r="I117" i="17"/>
  <c r="X451" i="15"/>
  <c r="W451" i="15"/>
  <c r="I449" i="15"/>
  <c r="I448" i="15"/>
  <c r="I445" i="15"/>
  <c r="I444" i="15"/>
  <c r="I443" i="15"/>
  <c r="I442" i="15"/>
  <c r="I441" i="15"/>
  <c r="I440" i="15"/>
  <c r="I438" i="15"/>
  <c r="I437" i="15"/>
  <c r="I436" i="15"/>
  <c r="I435" i="15"/>
  <c r="I434" i="15"/>
  <c r="I433" i="15"/>
  <c r="I432" i="15"/>
  <c r="I431" i="15"/>
  <c r="B431" i="15"/>
  <c r="B432" i="15" s="1"/>
  <c r="B433" i="15" s="1"/>
  <c r="B434" i="15" s="1"/>
  <c r="B435" i="15" s="1"/>
  <c r="B436" i="15" s="1"/>
  <c r="B437" i="15" s="1"/>
  <c r="B438" i="15" s="1"/>
  <c r="B439" i="15" s="1"/>
  <c r="B440" i="15" s="1"/>
  <c r="B441" i="15" s="1"/>
  <c r="B442" i="15" s="1"/>
  <c r="B443" i="15" s="1"/>
  <c r="B444" i="15" s="1"/>
  <c r="B445" i="15" s="1"/>
  <c r="B446" i="15" s="1"/>
  <c r="B447" i="15" s="1"/>
  <c r="B448" i="15" s="1"/>
  <c r="B449" i="15" s="1"/>
  <c r="I430" i="15"/>
  <c r="I450" i="15" s="1"/>
  <c r="I412" i="15"/>
  <c r="I411" i="15"/>
  <c r="I410" i="15"/>
  <c r="I409" i="15"/>
  <c r="I413" i="15" s="1"/>
  <c r="B410" i="15"/>
  <c r="B411" i="15" s="1"/>
  <c r="B412" i="15" s="1"/>
  <c r="I389" i="15"/>
  <c r="I396" i="15"/>
  <c r="H406" i="15"/>
  <c r="G406" i="15"/>
  <c r="F406" i="15"/>
  <c r="I406" i="15"/>
  <c r="F371" i="15" s="1"/>
  <c r="F372" i="15" s="1"/>
  <c r="I399" i="15"/>
  <c r="I398" i="15"/>
  <c r="O368" i="15" s="1"/>
  <c r="H152" i="4" s="1"/>
  <c r="I395" i="15"/>
  <c r="I394" i="15"/>
  <c r="I393" i="15"/>
  <c r="I392" i="15"/>
  <c r="I391" i="15"/>
  <c r="B392" i="15"/>
  <c r="B393" i="15" s="1"/>
  <c r="B394" i="15" s="1"/>
  <c r="B395" i="15" s="1"/>
  <c r="B396" i="15" s="1"/>
  <c r="I387" i="15"/>
  <c r="Q378" i="15"/>
  <c r="O378" i="15"/>
  <c r="N378" i="15"/>
  <c r="M378" i="15"/>
  <c r="L378" i="15"/>
  <c r="K378" i="15"/>
  <c r="Q377" i="15"/>
  <c r="O377" i="15"/>
  <c r="N377" i="15"/>
  <c r="M377" i="15"/>
  <c r="L377" i="15"/>
  <c r="K377" i="15"/>
  <c r="F374" i="15"/>
  <c r="H373" i="15"/>
  <c r="Q372" i="15"/>
  <c r="O372" i="15"/>
  <c r="H372" i="15"/>
  <c r="Q371" i="15"/>
  <c r="O371" i="15"/>
  <c r="H153" i="4" s="1" a="1"/>
  <c r="H153" i="4" s="1"/>
  <c r="N371" i="15"/>
  <c r="M371" i="15"/>
  <c r="L371" i="15"/>
  <c r="K371" i="15"/>
  <c r="P370" i="15"/>
  <c r="P378" i="15" s="1"/>
  <c r="P369" i="15"/>
  <c r="F369" i="15"/>
  <c r="F370" i="15" s="1"/>
  <c r="H370" i="15" s="1"/>
  <c r="P152" i="4"/>
  <c r="S363" i="15"/>
  <c r="R363" i="15"/>
  <c r="Q363" i="15"/>
  <c r="P363" i="15"/>
  <c r="O363" i="15"/>
  <c r="N363" i="15"/>
  <c r="M363" i="15"/>
  <c r="L363" i="15"/>
  <c r="K363" i="15"/>
  <c r="C363" i="15"/>
  <c r="T362" i="15"/>
  <c r="A152" i="4" s="1"/>
  <c r="S362" i="15"/>
  <c r="R362" i="15"/>
  <c r="Q362" i="15"/>
  <c r="P362" i="15"/>
  <c r="O362" i="15"/>
  <c r="N362" i="15"/>
  <c r="M362" i="15"/>
  <c r="L362" i="15"/>
  <c r="K362" i="15"/>
  <c r="C362" i="15"/>
  <c r="C361" i="15"/>
  <c r="X481" i="12"/>
  <c r="W481" i="12"/>
  <c r="V481" i="12"/>
  <c r="H480" i="12"/>
  <c r="G480" i="12"/>
  <c r="F480" i="12"/>
  <c r="I479" i="12"/>
  <c r="I477" i="12"/>
  <c r="I476" i="12"/>
  <c r="I475" i="12"/>
  <c r="I474" i="12"/>
  <c r="I473" i="12"/>
  <c r="I471" i="12"/>
  <c r="I470" i="12"/>
  <c r="I469" i="12"/>
  <c r="I468" i="12"/>
  <c r="I466" i="12"/>
  <c r="I465" i="12"/>
  <c r="I464" i="12"/>
  <c r="I463" i="12"/>
  <c r="I462" i="12"/>
  <c r="I461" i="12"/>
  <c r="I460" i="12"/>
  <c r="B460" i="12"/>
  <c r="B461" i="12" s="1"/>
  <c r="B462" i="12" s="1"/>
  <c r="B463" i="12" s="1"/>
  <c r="B464" i="12" s="1"/>
  <c r="B465" i="12" s="1"/>
  <c r="B466" i="12" s="1"/>
  <c r="I459" i="12"/>
  <c r="I441" i="12"/>
  <c r="I442" i="12" s="1"/>
  <c r="R409" i="12" s="1"/>
  <c r="I472" i="12"/>
  <c r="I433" i="12"/>
  <c r="S438" i="12"/>
  <c r="R438" i="12"/>
  <c r="Q438" i="12"/>
  <c r="P438" i="12"/>
  <c r="O438" i="12"/>
  <c r="N438" i="12"/>
  <c r="M438" i="12"/>
  <c r="L438" i="12"/>
  <c r="K438" i="12"/>
  <c r="S437" i="12"/>
  <c r="R437" i="12"/>
  <c r="Q437" i="12"/>
  <c r="P437" i="12"/>
  <c r="O437" i="12"/>
  <c r="N437" i="12"/>
  <c r="M437" i="12"/>
  <c r="L437" i="12"/>
  <c r="K437" i="12"/>
  <c r="H437" i="12"/>
  <c r="G437" i="12"/>
  <c r="F437" i="12"/>
  <c r="I436" i="12"/>
  <c r="I435" i="12"/>
  <c r="I434" i="12"/>
  <c r="N409" i="12" s="1"/>
  <c r="G164" i="4" s="1"/>
  <c r="I432" i="12"/>
  <c r="I429" i="12"/>
  <c r="I428" i="12"/>
  <c r="B428" i="12"/>
  <c r="B429" i="12" s="1"/>
  <c r="I427" i="12"/>
  <c r="Q419" i="12"/>
  <c r="O419" i="12"/>
  <c r="N419" i="12"/>
  <c r="M419" i="12"/>
  <c r="L419" i="12"/>
  <c r="K419" i="12"/>
  <c r="Q418" i="12"/>
  <c r="O418" i="12"/>
  <c r="N418" i="12"/>
  <c r="M418" i="12"/>
  <c r="L418" i="12"/>
  <c r="K418" i="12"/>
  <c r="O162" i="3"/>
  <c r="F415" i="12"/>
  <c r="H414" i="12"/>
  <c r="Q413" i="12"/>
  <c r="N413" i="12"/>
  <c r="F413" i="12"/>
  <c r="H413" i="12" s="1"/>
  <c r="Q412" i="12"/>
  <c r="O412" i="12"/>
  <c r="N412" i="12"/>
  <c r="G165" i="4" s="1" a="1"/>
  <c r="G165" i="4" s="1"/>
  <c r="M412" i="12"/>
  <c r="L412" i="12"/>
  <c r="K412" i="12"/>
  <c r="P411" i="12"/>
  <c r="P419" i="12" s="1"/>
  <c r="P410" i="12"/>
  <c r="F410" i="12"/>
  <c r="F411" i="12" s="1"/>
  <c r="H411" i="12" s="1"/>
  <c r="P164" i="4"/>
  <c r="F408" i="12"/>
  <c r="S404" i="12"/>
  <c r="R404" i="12"/>
  <c r="Q404" i="12"/>
  <c r="P404" i="12"/>
  <c r="O404" i="12"/>
  <c r="N404" i="12"/>
  <c r="M404" i="12"/>
  <c r="L404" i="12"/>
  <c r="K404" i="12"/>
  <c r="C404" i="12"/>
  <c r="T403" i="12"/>
  <c r="A164" i="4" s="1"/>
  <c r="S403" i="12"/>
  <c r="R403" i="12"/>
  <c r="Q403" i="12"/>
  <c r="P403" i="12"/>
  <c r="O403" i="12"/>
  <c r="N403" i="12"/>
  <c r="M403" i="12"/>
  <c r="L403" i="12"/>
  <c r="K403" i="12"/>
  <c r="C403" i="12"/>
  <c r="C402" i="12"/>
  <c r="X184" i="14"/>
  <c r="W184" i="14"/>
  <c r="H183" i="14"/>
  <c r="G183" i="14"/>
  <c r="F183" i="14"/>
  <c r="I182" i="14"/>
  <c r="I181" i="14"/>
  <c r="I180" i="14"/>
  <c r="I179" i="14"/>
  <c r="I178" i="14"/>
  <c r="I177" i="14"/>
  <c r="I176" i="14"/>
  <c r="I175" i="14"/>
  <c r="I174" i="14"/>
  <c r="I173" i="14"/>
  <c r="I172" i="14"/>
  <c r="B172" i="14"/>
  <c r="B173" i="14" s="1"/>
  <c r="B174" i="14" s="1"/>
  <c r="B175" i="14" s="1"/>
  <c r="B176" i="14" s="1"/>
  <c r="B177" i="14" s="1"/>
  <c r="B178" i="14" s="1"/>
  <c r="B179" i="14" s="1"/>
  <c r="B180" i="14" s="1"/>
  <c r="B181" i="14" s="1"/>
  <c r="B182" i="14" s="1"/>
  <c r="I171" i="14"/>
  <c r="I183" i="14" s="1"/>
  <c r="I152" i="14"/>
  <c r="I153" i="14"/>
  <c r="I149" i="14"/>
  <c r="H163" i="14"/>
  <c r="G163" i="14"/>
  <c r="F163" i="14"/>
  <c r="R138" i="14" s="1"/>
  <c r="I151" i="14"/>
  <c r="I150" i="14"/>
  <c r="I162" i="14"/>
  <c r="S159" i="14"/>
  <c r="R159" i="14"/>
  <c r="Q159" i="14"/>
  <c r="P159" i="14"/>
  <c r="O159" i="14"/>
  <c r="N159" i="14"/>
  <c r="M159" i="14"/>
  <c r="L159" i="14"/>
  <c r="K159" i="14"/>
  <c r="S158" i="14"/>
  <c r="R158" i="14"/>
  <c r="Q158" i="14"/>
  <c r="P158" i="14"/>
  <c r="O158" i="14"/>
  <c r="N158" i="14"/>
  <c r="M158" i="14"/>
  <c r="L158" i="14"/>
  <c r="K158" i="14"/>
  <c r="H158" i="14"/>
  <c r="G158" i="14"/>
  <c r="F158" i="14"/>
  <c r="I157" i="14"/>
  <c r="I156" i="14"/>
  <c r="I155" i="14"/>
  <c r="I154" i="14"/>
  <c r="O130" i="14" s="1"/>
  <c r="H161" i="4" s="1"/>
  <c r="B149" i="14"/>
  <c r="B150" i="14" s="1"/>
  <c r="Q140" i="14"/>
  <c r="O140" i="14"/>
  <c r="N140" i="14"/>
  <c r="M140" i="14"/>
  <c r="L140" i="14"/>
  <c r="K140" i="14"/>
  <c r="Q139" i="14"/>
  <c r="O139" i="14"/>
  <c r="N139" i="14"/>
  <c r="M139" i="14"/>
  <c r="L139" i="14"/>
  <c r="K139" i="14"/>
  <c r="O159" i="3"/>
  <c r="M159" i="3"/>
  <c r="F136" i="14"/>
  <c r="H135" i="14"/>
  <c r="Q134" i="14"/>
  <c r="O134" i="14"/>
  <c r="N134" i="14"/>
  <c r="F134" i="14"/>
  <c r="H134" i="14" s="1"/>
  <c r="Q133" i="14"/>
  <c r="O133" i="14"/>
  <c r="H162" i="4" s="1" a="1"/>
  <c r="H162" i="4" s="1"/>
  <c r="N133" i="14"/>
  <c r="M133" i="14"/>
  <c r="L133" i="14"/>
  <c r="K133" i="14"/>
  <c r="P132" i="14"/>
  <c r="P140" i="14" s="1"/>
  <c r="P131" i="14"/>
  <c r="F131" i="14"/>
  <c r="F132" i="14" s="1"/>
  <c r="H132" i="14" s="1"/>
  <c r="P161" i="4"/>
  <c r="F129" i="14"/>
  <c r="S125" i="14"/>
  <c r="R125" i="14"/>
  <c r="Q125" i="14"/>
  <c r="P125" i="14"/>
  <c r="O125" i="14"/>
  <c r="N125" i="14"/>
  <c r="M125" i="14"/>
  <c r="L125" i="14"/>
  <c r="K125" i="14"/>
  <c r="C125" i="14"/>
  <c r="T124" i="14"/>
  <c r="A161" i="4" s="1"/>
  <c r="S124" i="14"/>
  <c r="R124" i="14"/>
  <c r="Q124" i="14"/>
  <c r="P124" i="14"/>
  <c r="O124" i="14"/>
  <c r="N124" i="14"/>
  <c r="M124" i="14"/>
  <c r="L124" i="14"/>
  <c r="K124" i="14"/>
  <c r="C124" i="14"/>
  <c r="C123" i="14"/>
  <c r="X610" i="9"/>
  <c r="W610" i="9"/>
  <c r="V610" i="9"/>
  <c r="T610" i="9"/>
  <c r="I607" i="9"/>
  <c r="I606" i="9"/>
  <c r="I605" i="9"/>
  <c r="I603" i="9"/>
  <c r="I601" i="9"/>
  <c r="I600" i="9"/>
  <c r="I599" i="9"/>
  <c r="I598" i="9"/>
  <c r="I597" i="9"/>
  <c r="I596" i="9"/>
  <c r="I595" i="9"/>
  <c r="I594" i="9"/>
  <c r="I593" i="9"/>
  <c r="I592" i="9"/>
  <c r="I591" i="9"/>
  <c r="I590" i="9"/>
  <c r="B589" i="9"/>
  <c r="B590" i="9" s="1"/>
  <c r="B591" i="9" s="1"/>
  <c r="B592" i="9" s="1"/>
  <c r="B593" i="9" s="1"/>
  <c r="B594" i="9" s="1"/>
  <c r="B595" i="9" s="1"/>
  <c r="B596" i="9" s="1"/>
  <c r="B597" i="9" s="1"/>
  <c r="B598" i="9" s="1"/>
  <c r="B599" i="9" s="1"/>
  <c r="B600" i="9" s="1"/>
  <c r="B601" i="9" s="1"/>
  <c r="B602" i="9" s="1"/>
  <c r="B603" i="9" s="1"/>
  <c r="I588" i="9"/>
  <c r="I604" i="9"/>
  <c r="I557" i="9"/>
  <c r="I555" i="9"/>
  <c r="I550" i="9"/>
  <c r="I570" i="9"/>
  <c r="H567" i="9"/>
  <c r="G567" i="9"/>
  <c r="F567" i="9"/>
  <c r="I567" i="9"/>
  <c r="F534" i="9" s="1"/>
  <c r="F535" i="9" s="1"/>
  <c r="I561" i="9"/>
  <c r="O531" i="9" s="1"/>
  <c r="H158" i="4" s="1"/>
  <c r="I602" i="9"/>
  <c r="I559" i="9"/>
  <c r="I558" i="9"/>
  <c r="N531" i="9" s="1"/>
  <c r="I556" i="9"/>
  <c r="M531" i="9" s="1"/>
  <c r="F158" i="4" s="1"/>
  <c r="I553" i="9"/>
  <c r="I552" i="9"/>
  <c r="L531" i="9" s="1"/>
  <c r="I551" i="9"/>
  <c r="B552" i="9"/>
  <c r="B553" i="9" s="1"/>
  <c r="B554" i="9" s="1"/>
  <c r="I549" i="9"/>
  <c r="I562" i="9" s="1"/>
  <c r="Q541" i="9"/>
  <c r="O541" i="9"/>
  <c r="M541" i="9"/>
  <c r="L541" i="9"/>
  <c r="K541" i="9"/>
  <c r="Q540" i="9"/>
  <c r="O540" i="9"/>
  <c r="M540" i="9"/>
  <c r="L540" i="9"/>
  <c r="K540" i="9"/>
  <c r="O156" i="3"/>
  <c r="F537" i="9"/>
  <c r="H536" i="9"/>
  <c r="Q535" i="9"/>
  <c r="O535" i="9"/>
  <c r="M535" i="9"/>
  <c r="H535" i="9"/>
  <c r="Q534" i="9"/>
  <c r="O534" i="9"/>
  <c r="H159" i="4" s="1" a="1"/>
  <c r="H159" i="4" s="1"/>
  <c r="N534" i="9"/>
  <c r="M534" i="9"/>
  <c r="F159" i="4" s="1" a="1"/>
  <c r="F159" i="4" s="1"/>
  <c r="L534" i="9"/>
  <c r="K534" i="9"/>
  <c r="P533" i="9"/>
  <c r="P541" i="9" s="1"/>
  <c r="P532" i="9"/>
  <c r="F532" i="9"/>
  <c r="F533" i="9" s="1"/>
  <c r="H533" i="9" s="1"/>
  <c r="P158" i="4"/>
  <c r="F530" i="9"/>
  <c r="S526" i="9"/>
  <c r="R526" i="9"/>
  <c r="Q526" i="9"/>
  <c r="P526" i="9"/>
  <c r="O526" i="9"/>
  <c r="N526" i="9"/>
  <c r="M526" i="9"/>
  <c r="L526" i="9"/>
  <c r="K526" i="9"/>
  <c r="C526" i="9"/>
  <c r="T525" i="9"/>
  <c r="A158" i="4" s="1"/>
  <c r="S525" i="9"/>
  <c r="R525" i="9"/>
  <c r="Q525" i="9"/>
  <c r="P525" i="9"/>
  <c r="O525" i="9"/>
  <c r="N525" i="9"/>
  <c r="M525" i="9"/>
  <c r="L525" i="9"/>
  <c r="K525" i="9"/>
  <c r="C525" i="9"/>
  <c r="C524" i="9"/>
  <c r="X437" i="8"/>
  <c r="I435" i="8"/>
  <c r="I434" i="8"/>
  <c r="I433" i="8"/>
  <c r="I430" i="8"/>
  <c r="I429" i="8"/>
  <c r="B429" i="8"/>
  <c r="B430" i="8" s="1"/>
  <c r="B431" i="8" s="1"/>
  <c r="I428" i="8"/>
  <c r="I406" i="8"/>
  <c r="I405" i="8"/>
  <c r="I432" i="8"/>
  <c r="I404" i="8"/>
  <c r="I407" i="8" s="1"/>
  <c r="I410" i="8"/>
  <c r="B412" i="8"/>
  <c r="B406" i="8" s="1"/>
  <c r="I392" i="8"/>
  <c r="I398" i="8"/>
  <c r="S401" i="8"/>
  <c r="R401" i="8"/>
  <c r="Q401" i="8"/>
  <c r="P401" i="8"/>
  <c r="O401" i="8"/>
  <c r="N401" i="8"/>
  <c r="M401" i="8"/>
  <c r="L401" i="8"/>
  <c r="K401" i="8"/>
  <c r="S400" i="8"/>
  <c r="R400" i="8"/>
  <c r="Q400" i="8"/>
  <c r="P400" i="8"/>
  <c r="O400" i="8"/>
  <c r="N400" i="8"/>
  <c r="M400" i="8"/>
  <c r="L400" i="8"/>
  <c r="K400" i="8"/>
  <c r="I399" i="8"/>
  <c r="I412" i="8"/>
  <c r="I411" i="8"/>
  <c r="I431" i="8"/>
  <c r="I393" i="8"/>
  <c r="L373" i="8" s="1"/>
  <c r="B394" i="8"/>
  <c r="B395" i="8" s="1"/>
  <c r="B396" i="8" s="1"/>
  <c r="B397" i="8" s="1"/>
  <c r="B398" i="8" s="1"/>
  <c r="I391" i="8"/>
  <c r="Q383" i="8"/>
  <c r="O383" i="8"/>
  <c r="N383" i="8"/>
  <c r="M383" i="8"/>
  <c r="L383" i="8"/>
  <c r="K383" i="8"/>
  <c r="Q382" i="8"/>
  <c r="O382" i="8"/>
  <c r="N382" i="8"/>
  <c r="M382" i="8"/>
  <c r="L382" i="8"/>
  <c r="K382" i="8"/>
  <c r="O153" i="3"/>
  <c r="R381" i="8"/>
  <c r="M153" i="3" s="1"/>
  <c r="F379" i="8"/>
  <c r="H378" i="8"/>
  <c r="Q377" i="8"/>
  <c r="O377" i="8"/>
  <c r="F377" i="8"/>
  <c r="H377" i="8" s="1"/>
  <c r="Q376" i="8"/>
  <c r="O376" i="8"/>
  <c r="H156" i="4" s="1" a="1"/>
  <c r="H156" i="4" s="1"/>
  <c r="N376" i="8"/>
  <c r="M376" i="8"/>
  <c r="L376" i="8"/>
  <c r="K376" i="8"/>
  <c r="P375" i="8"/>
  <c r="P383" i="8" s="1"/>
  <c r="P374" i="8"/>
  <c r="F374" i="8"/>
  <c r="F375" i="8" s="1"/>
  <c r="H375" i="8" s="1"/>
  <c r="P155" i="4"/>
  <c r="F372" i="8"/>
  <c r="S368" i="8"/>
  <c r="R368" i="8"/>
  <c r="Q368" i="8"/>
  <c r="P368" i="8"/>
  <c r="O368" i="8"/>
  <c r="N368" i="8"/>
  <c r="M368" i="8"/>
  <c r="L368" i="8"/>
  <c r="K368" i="8"/>
  <c r="C368" i="8"/>
  <c r="T367" i="8"/>
  <c r="A155" i="4" s="1"/>
  <c r="S367" i="8"/>
  <c r="R367" i="8"/>
  <c r="Q367" i="8"/>
  <c r="P367" i="8"/>
  <c r="O367" i="8"/>
  <c r="N367" i="8"/>
  <c r="M367" i="8"/>
  <c r="L367" i="8"/>
  <c r="K367" i="8"/>
  <c r="C367" i="8"/>
  <c r="C366" i="8"/>
  <c r="X168" i="17"/>
  <c r="W168" i="17"/>
  <c r="V168" i="17"/>
  <c r="T168" i="17"/>
  <c r="H167" i="17"/>
  <c r="G167" i="17"/>
  <c r="F167" i="17"/>
  <c r="I166" i="17"/>
  <c r="I167" i="17" s="1"/>
  <c r="H159" i="17"/>
  <c r="G159" i="17"/>
  <c r="F159" i="17"/>
  <c r="I159" i="17"/>
  <c r="F136" i="17" s="1"/>
  <c r="F137" i="17" s="1"/>
  <c r="S154" i="17"/>
  <c r="R154" i="17"/>
  <c r="Q154" i="17"/>
  <c r="P154" i="17"/>
  <c r="O154" i="17"/>
  <c r="N154" i="17"/>
  <c r="M154" i="17"/>
  <c r="L154" i="17"/>
  <c r="K154" i="17"/>
  <c r="S153" i="17"/>
  <c r="R153" i="17"/>
  <c r="Q153" i="17"/>
  <c r="P153" i="17"/>
  <c r="O153" i="17"/>
  <c r="N153" i="17"/>
  <c r="M153" i="17"/>
  <c r="L153" i="17"/>
  <c r="K153" i="17"/>
  <c r="B152" i="17"/>
  <c r="I151" i="17"/>
  <c r="Q143" i="17"/>
  <c r="O143" i="17"/>
  <c r="N143" i="17"/>
  <c r="M143" i="17"/>
  <c r="L143" i="17"/>
  <c r="K143" i="17"/>
  <c r="Q142" i="17"/>
  <c r="O142" i="17"/>
  <c r="N142" i="17"/>
  <c r="M142" i="17"/>
  <c r="L142" i="17"/>
  <c r="K142" i="17"/>
  <c r="O147" i="3"/>
  <c r="M147" i="3"/>
  <c r="F139" i="17"/>
  <c r="H138" i="17"/>
  <c r="Q137" i="17"/>
  <c r="O137" i="17"/>
  <c r="M137" i="17"/>
  <c r="L137" i="17"/>
  <c r="K137" i="17"/>
  <c r="H137" i="17"/>
  <c r="Q136" i="17"/>
  <c r="O136" i="17"/>
  <c r="N136" i="17"/>
  <c r="M136" i="17"/>
  <c r="L136" i="17"/>
  <c r="K136" i="17"/>
  <c r="P135" i="17"/>
  <c r="P143" i="17" s="1"/>
  <c r="P134" i="17"/>
  <c r="F134" i="17"/>
  <c r="F135" i="17" s="1"/>
  <c r="H135" i="17" s="1"/>
  <c r="P149" i="4"/>
  <c r="N149" i="4"/>
  <c r="F132" i="17"/>
  <c r="S128" i="17"/>
  <c r="R128" i="17"/>
  <c r="Q128" i="17"/>
  <c r="P128" i="17"/>
  <c r="O128" i="17"/>
  <c r="N128" i="17"/>
  <c r="M128" i="17"/>
  <c r="L128" i="17"/>
  <c r="K128" i="17"/>
  <c r="C128" i="17"/>
  <c r="T127" i="17"/>
  <c r="A149" i="4" s="1"/>
  <c r="S127" i="17"/>
  <c r="R127" i="17"/>
  <c r="Q127" i="17"/>
  <c r="P127" i="17"/>
  <c r="O127" i="17"/>
  <c r="N127" i="17"/>
  <c r="M127" i="17"/>
  <c r="L127" i="17"/>
  <c r="K127" i="17"/>
  <c r="C127" i="17"/>
  <c r="C126" i="17"/>
  <c r="X626" i="5"/>
  <c r="H625" i="5"/>
  <c r="G625" i="5"/>
  <c r="F625" i="5"/>
  <c r="I624" i="5"/>
  <c r="I625" i="5" s="1"/>
  <c r="H621" i="5"/>
  <c r="G621" i="5"/>
  <c r="F621" i="5"/>
  <c r="I620" i="5"/>
  <c r="I619" i="5"/>
  <c r="I618" i="5"/>
  <c r="I617" i="5"/>
  <c r="I616" i="5"/>
  <c r="I615" i="5"/>
  <c r="I614" i="5"/>
  <c r="I613" i="5"/>
  <c r="I612" i="5"/>
  <c r="I609" i="5"/>
  <c r="I608" i="5"/>
  <c r="I607" i="5"/>
  <c r="I606" i="5"/>
  <c r="B606" i="5"/>
  <c r="B607" i="5" s="1"/>
  <c r="B608" i="5" s="1"/>
  <c r="B609" i="5" s="1"/>
  <c r="B610" i="5" s="1"/>
  <c r="B611" i="5" s="1"/>
  <c r="B612" i="5" s="1"/>
  <c r="B613" i="5" s="1"/>
  <c r="B614" i="5" s="1"/>
  <c r="B615" i="5" s="1"/>
  <c r="B616" i="5" s="1"/>
  <c r="B617" i="5" s="1"/>
  <c r="B618" i="5" s="1"/>
  <c r="B619" i="5" s="1"/>
  <c r="B620" i="5" s="1"/>
  <c r="I605" i="5"/>
  <c r="I621" i="5" s="1"/>
  <c r="I588" i="5"/>
  <c r="I566" i="5"/>
  <c r="I587" i="5"/>
  <c r="I589" i="5" s="1"/>
  <c r="H584" i="5"/>
  <c r="G584" i="5"/>
  <c r="F584" i="5"/>
  <c r="I584" i="5"/>
  <c r="F542" i="5" s="1"/>
  <c r="F543" i="5" s="1"/>
  <c r="H580" i="5"/>
  <c r="G580" i="5"/>
  <c r="F580" i="5"/>
  <c r="I579" i="5"/>
  <c r="I578" i="5"/>
  <c r="B578" i="5"/>
  <c r="B579" i="5" s="1"/>
  <c r="I577" i="5"/>
  <c r="S574" i="5"/>
  <c r="R574" i="5"/>
  <c r="Q574" i="5"/>
  <c r="P574" i="5"/>
  <c r="O574" i="5"/>
  <c r="N574" i="5"/>
  <c r="M574" i="5"/>
  <c r="L574" i="5"/>
  <c r="K574" i="5"/>
  <c r="S573" i="5"/>
  <c r="R573" i="5"/>
  <c r="Q573" i="5"/>
  <c r="P573" i="5"/>
  <c r="O573" i="5"/>
  <c r="N573" i="5"/>
  <c r="M573" i="5"/>
  <c r="L573" i="5"/>
  <c r="K573" i="5"/>
  <c r="H573" i="5"/>
  <c r="G573" i="5"/>
  <c r="F573" i="5"/>
  <c r="I570" i="5"/>
  <c r="I569" i="5"/>
  <c r="I568" i="5"/>
  <c r="I567" i="5"/>
  <c r="N539" i="5" s="1"/>
  <c r="G146" i="4" s="1"/>
  <c r="I565" i="5"/>
  <c r="I564" i="5"/>
  <c r="I562" i="5"/>
  <c r="I561" i="5"/>
  <c r="I560" i="5"/>
  <c r="I559" i="5"/>
  <c r="I558" i="5"/>
  <c r="B558" i="5"/>
  <c r="B559" i="5" s="1"/>
  <c r="B560" i="5" s="1"/>
  <c r="B561" i="5" s="1"/>
  <c r="B562" i="5" s="1"/>
  <c r="I557" i="5"/>
  <c r="Q549" i="5"/>
  <c r="O549" i="5"/>
  <c r="N549" i="5"/>
  <c r="M549" i="5"/>
  <c r="L549" i="5"/>
  <c r="K549" i="5"/>
  <c r="Q548" i="5"/>
  <c r="O548" i="5"/>
  <c r="N548" i="5"/>
  <c r="M548" i="5"/>
  <c r="L548" i="5"/>
  <c r="K548" i="5"/>
  <c r="O144" i="3"/>
  <c r="M144" i="3"/>
  <c r="F545" i="5"/>
  <c r="H544" i="5"/>
  <c r="N543" i="5"/>
  <c r="H543" i="5"/>
  <c r="Q542" i="5"/>
  <c r="O542" i="5"/>
  <c r="N542" i="5"/>
  <c r="G147" i="4" s="1" a="1"/>
  <c r="G147" i="4" s="1"/>
  <c r="M542" i="5"/>
  <c r="L542" i="5"/>
  <c r="K542" i="5"/>
  <c r="P541" i="5"/>
  <c r="P549" i="5" s="1"/>
  <c r="P540" i="5"/>
  <c r="P146" i="4"/>
  <c r="F538" i="5"/>
  <c r="S534" i="5"/>
  <c r="R534" i="5"/>
  <c r="Q534" i="5"/>
  <c r="P534" i="5"/>
  <c r="O534" i="5"/>
  <c r="N534" i="5"/>
  <c r="M534" i="5"/>
  <c r="L534" i="5"/>
  <c r="K534" i="5"/>
  <c r="C534" i="5"/>
  <c r="T533" i="5"/>
  <c r="A146" i="4" s="1"/>
  <c r="S533" i="5"/>
  <c r="R533" i="5"/>
  <c r="Q533" i="5"/>
  <c r="P533" i="5"/>
  <c r="O533" i="5"/>
  <c r="N533" i="5"/>
  <c r="M533" i="5"/>
  <c r="L533" i="5"/>
  <c r="K533" i="5"/>
  <c r="C533" i="5"/>
  <c r="C532" i="5"/>
  <c r="S293" i="7"/>
  <c r="R293" i="7"/>
  <c r="S285" i="7"/>
  <c r="R285" i="7"/>
  <c r="H81" i="17"/>
  <c r="F81" i="17"/>
  <c r="H338" i="8"/>
  <c r="F338" i="8"/>
  <c r="B336" i="8"/>
  <c r="B337" i="8" s="1"/>
  <c r="M330" i="12"/>
  <c r="B331" i="8"/>
  <c r="X331" i="8"/>
  <c r="S358" i="12"/>
  <c r="R358" i="12"/>
  <c r="Q358" i="12"/>
  <c r="P358" i="12"/>
  <c r="O358" i="12"/>
  <c r="N358" i="12"/>
  <c r="M358" i="12"/>
  <c r="L358" i="12"/>
  <c r="K358" i="12"/>
  <c r="H358" i="12"/>
  <c r="F332" i="8"/>
  <c r="S359" i="12"/>
  <c r="R359" i="12"/>
  <c r="Q359" i="12"/>
  <c r="P359" i="12"/>
  <c r="O359" i="12"/>
  <c r="N359" i="12"/>
  <c r="M359" i="12"/>
  <c r="L359" i="12"/>
  <c r="K359" i="12"/>
  <c r="V330" i="8"/>
  <c r="H363" i="12"/>
  <c r="H368" i="12"/>
  <c r="F368" i="12"/>
  <c r="H376" i="12"/>
  <c r="F376" i="12"/>
  <c r="H396" i="12"/>
  <c r="F396" i="12"/>
  <c r="X397" i="12"/>
  <c r="T397" i="12"/>
  <c r="X153" i="11"/>
  <c r="W153" i="11"/>
  <c r="V153" i="11"/>
  <c r="T153" i="11"/>
  <c r="X605" i="10"/>
  <c r="W605" i="10"/>
  <c r="V605" i="10"/>
  <c r="T605" i="10"/>
  <c r="X519" i="9"/>
  <c r="W519" i="9"/>
  <c r="T519" i="9"/>
  <c r="X361" i="8"/>
  <c r="W361" i="8"/>
  <c r="W527" i="5"/>
  <c r="T527" i="5"/>
  <c r="X121" i="17"/>
  <c r="W121" i="17"/>
  <c r="T121" i="17"/>
  <c r="T356" i="15"/>
  <c r="I137" i="3"/>
  <c r="O134" i="3"/>
  <c r="M134" i="3"/>
  <c r="J134" i="3"/>
  <c r="L134" i="3"/>
  <c r="N134" i="3"/>
  <c r="P136" i="4"/>
  <c r="N136" i="4"/>
  <c r="B136" i="4"/>
  <c r="K136" i="4"/>
  <c r="M136" i="4"/>
  <c r="O136" i="4"/>
  <c r="H35" i="18"/>
  <c r="G35" i="18"/>
  <c r="F35" i="18"/>
  <c r="K70" i="14"/>
  <c r="H70" i="14"/>
  <c r="L327" i="8"/>
  <c r="M327" i="8"/>
  <c r="N327" i="8"/>
  <c r="O327" i="8"/>
  <c r="P327" i="8"/>
  <c r="Q327" i="8"/>
  <c r="R327" i="8"/>
  <c r="S327" i="8"/>
  <c r="L326" i="8"/>
  <c r="M326" i="8"/>
  <c r="N326" i="8"/>
  <c r="O326" i="8"/>
  <c r="P326" i="8"/>
  <c r="Q326" i="8"/>
  <c r="R326" i="8"/>
  <c r="S326" i="8"/>
  <c r="K327" i="8"/>
  <c r="K326" i="8"/>
  <c r="H326" i="8"/>
  <c r="H117" i="14"/>
  <c r="G117" i="14"/>
  <c r="F117" i="14"/>
  <c r="H85" i="14"/>
  <c r="F85" i="14"/>
  <c r="H80" i="14"/>
  <c r="F80" i="14"/>
  <c r="V325" i="8"/>
  <c r="H76" i="14"/>
  <c r="S71" i="14"/>
  <c r="R71" i="14"/>
  <c r="Q71" i="14"/>
  <c r="P71" i="14"/>
  <c r="O71" i="14"/>
  <c r="N71" i="14"/>
  <c r="M71" i="14"/>
  <c r="L71" i="14"/>
  <c r="K71" i="14"/>
  <c r="S70" i="14"/>
  <c r="R70" i="14"/>
  <c r="Q70" i="14"/>
  <c r="P70" i="14"/>
  <c r="O70" i="14"/>
  <c r="N70" i="14"/>
  <c r="M70" i="14"/>
  <c r="L70" i="14"/>
  <c r="V324" i="8"/>
  <c r="G74" i="14"/>
  <c r="G76" i="14" s="1"/>
  <c r="N52" i="14"/>
  <c r="L52" i="14"/>
  <c r="K52" i="14"/>
  <c r="R52" i="14"/>
  <c r="H111" i="14"/>
  <c r="F111" i="14"/>
  <c r="X118" i="14"/>
  <c r="Q19" i="18"/>
  <c r="K134" i="3" s="1"/>
  <c r="I34" i="18"/>
  <c r="T36" i="18"/>
  <c r="V36" i="18"/>
  <c r="W36" i="18"/>
  <c r="X36" i="18"/>
  <c r="I29" i="18"/>
  <c r="F30" i="18"/>
  <c r="P134" i="3" s="1"/>
  <c r="Q134" i="3" s="1"/>
  <c r="G30" i="18"/>
  <c r="H30" i="18"/>
  <c r="I30" i="18"/>
  <c r="G9" i="18" s="1"/>
  <c r="K30" i="18"/>
  <c r="L30" i="18"/>
  <c r="M30" i="18"/>
  <c r="N30" i="18"/>
  <c r="O30" i="18"/>
  <c r="P30" i="18"/>
  <c r="Q30" i="18"/>
  <c r="R30" i="18"/>
  <c r="S30" i="18"/>
  <c r="K31" i="18"/>
  <c r="L31" i="18"/>
  <c r="M31" i="18"/>
  <c r="N31" i="18"/>
  <c r="O31" i="18"/>
  <c r="P31" i="18"/>
  <c r="Q31" i="18"/>
  <c r="R31" i="18"/>
  <c r="S31" i="18"/>
  <c r="K5" i="18"/>
  <c r="L5" i="18"/>
  <c r="M5" i="18"/>
  <c r="N5" i="18"/>
  <c r="O5" i="18"/>
  <c r="P5" i="18"/>
  <c r="Q5" i="18"/>
  <c r="R5" i="18"/>
  <c r="S5" i="18"/>
  <c r="T5" i="18"/>
  <c r="A136" i="4" s="1"/>
  <c r="K6" i="18"/>
  <c r="L6" i="18"/>
  <c r="M6" i="18"/>
  <c r="N6" i="18"/>
  <c r="O6" i="18"/>
  <c r="P6" i="18"/>
  <c r="Q6" i="18"/>
  <c r="R6" i="18"/>
  <c r="S6" i="18"/>
  <c r="F10" i="18"/>
  <c r="P11" i="18"/>
  <c r="F9" i="18" s="1"/>
  <c r="F11" i="18" s="1"/>
  <c r="H11" i="18" s="1"/>
  <c r="P12" i="18"/>
  <c r="C5" i="18" s="1"/>
  <c r="P13" i="18"/>
  <c r="C6" i="18" s="1"/>
  <c r="K14" i="18"/>
  <c r="L14" i="18"/>
  <c r="M14" i="18"/>
  <c r="N14" i="18"/>
  <c r="O14" i="18"/>
  <c r="P14" i="18"/>
  <c r="C7" i="18" s="1"/>
  <c r="Q14" i="18"/>
  <c r="F15" i="18"/>
  <c r="H15" i="18"/>
  <c r="K15" i="18"/>
  <c r="L15" i="18"/>
  <c r="M15" i="18"/>
  <c r="N15" i="18"/>
  <c r="O15" i="18"/>
  <c r="P15" i="18"/>
  <c r="C9" i="18" s="1"/>
  <c r="H16" i="18"/>
  <c r="F17" i="18"/>
  <c r="K20" i="18"/>
  <c r="L20" i="18"/>
  <c r="M20" i="18"/>
  <c r="N20" i="18"/>
  <c r="O20" i="18"/>
  <c r="P20" i="18"/>
  <c r="Q20" i="18"/>
  <c r="K21" i="18"/>
  <c r="L21" i="18"/>
  <c r="M21" i="18"/>
  <c r="N21" i="18"/>
  <c r="O21" i="18"/>
  <c r="P21" i="18"/>
  <c r="Q21" i="18"/>
  <c r="K22" i="18"/>
  <c r="L22" i="18"/>
  <c r="M22" i="18"/>
  <c r="N22" i="18"/>
  <c r="O22" i="18"/>
  <c r="P22" i="18"/>
  <c r="Q22" i="18"/>
  <c r="K23" i="18"/>
  <c r="L23" i="18"/>
  <c r="M23" i="18"/>
  <c r="N23" i="18"/>
  <c r="O23" i="18"/>
  <c r="P23" i="18"/>
  <c r="Q23" i="18"/>
  <c r="F75" i="14"/>
  <c r="V75" i="14"/>
  <c r="G109" i="14"/>
  <c r="F74" i="14"/>
  <c r="F76" i="14" s="1"/>
  <c r="V74" i="14"/>
  <c r="F327" i="12"/>
  <c r="F49" i="14"/>
  <c r="F560" i="10"/>
  <c r="F99" i="17"/>
  <c r="F279" i="15"/>
  <c r="F470" i="5"/>
  <c r="I46" i="14"/>
  <c r="G485" i="5"/>
  <c r="G387" i="12"/>
  <c r="G362" i="12"/>
  <c r="G363" i="12" s="1"/>
  <c r="G350" i="12"/>
  <c r="G348" i="12"/>
  <c r="G347" i="12"/>
  <c r="G66" i="14"/>
  <c r="G79" i="14"/>
  <c r="G80" i="14" s="1"/>
  <c r="G487" i="9"/>
  <c r="G471" i="9"/>
  <c r="G325" i="8"/>
  <c r="G324" i="8"/>
  <c r="G318" i="8"/>
  <c r="G315" i="15"/>
  <c r="G299" i="15"/>
  <c r="G500" i="5"/>
  <c r="W66" i="14"/>
  <c r="W118" i="14" s="1"/>
  <c r="I66" i="14"/>
  <c r="G304" i="15"/>
  <c r="G393" i="12"/>
  <c r="G354" i="12"/>
  <c r="O52" i="14"/>
  <c r="G69" i="14"/>
  <c r="G67" i="14"/>
  <c r="G119" i="17"/>
  <c r="V119" i="17"/>
  <c r="G118" i="17"/>
  <c r="G120" i="17" s="1"/>
  <c r="V118" i="17"/>
  <c r="V121" i="17" s="1"/>
  <c r="O282" i="15"/>
  <c r="I353" i="15"/>
  <c r="I352" i="15"/>
  <c r="V305" i="15"/>
  <c r="V304" i="15"/>
  <c r="H360" i="8"/>
  <c r="F360" i="8"/>
  <c r="F325" i="8"/>
  <c r="V471" i="9"/>
  <c r="V297" i="15"/>
  <c r="I103" i="14"/>
  <c r="G330" i="8"/>
  <c r="G487" i="5"/>
  <c r="G489" i="5"/>
  <c r="G490" i="5"/>
  <c r="N304" i="8"/>
  <c r="H518" i="9"/>
  <c r="G518" i="9"/>
  <c r="F518" i="9"/>
  <c r="H488" i="9"/>
  <c r="F488" i="9"/>
  <c r="R457" i="9" s="1"/>
  <c r="S475" i="9"/>
  <c r="R475" i="9"/>
  <c r="Q475" i="9"/>
  <c r="P475" i="9"/>
  <c r="O475" i="9"/>
  <c r="N475" i="9"/>
  <c r="M475" i="9"/>
  <c r="L475" i="9"/>
  <c r="K475" i="9"/>
  <c r="H475" i="9"/>
  <c r="F475" i="9"/>
  <c r="P119" i="3" s="1"/>
  <c r="N457" i="9"/>
  <c r="V473" i="9"/>
  <c r="V472" i="9"/>
  <c r="N330" i="12"/>
  <c r="G353" i="12"/>
  <c r="I389" i="12"/>
  <c r="V322" i="8"/>
  <c r="V490" i="5"/>
  <c r="F490" i="5"/>
  <c r="N473" i="5" s="1"/>
  <c r="V489" i="5"/>
  <c r="V488" i="5"/>
  <c r="N563" i="10"/>
  <c r="I106" i="14"/>
  <c r="I107" i="14"/>
  <c r="I108" i="14"/>
  <c r="I109" i="14"/>
  <c r="G105" i="14"/>
  <c r="G104" i="14"/>
  <c r="G101" i="14"/>
  <c r="H316" i="15"/>
  <c r="G316" i="15"/>
  <c r="F316" i="15"/>
  <c r="R282" i="15" s="1"/>
  <c r="V296" i="15"/>
  <c r="G344" i="15"/>
  <c r="F362" i="12"/>
  <c r="F363" i="12" s="1"/>
  <c r="R330" i="12" s="1"/>
  <c r="W348" i="12"/>
  <c r="W397" i="12" s="1"/>
  <c r="B63" i="14"/>
  <c r="B64" i="14" s="1"/>
  <c r="F64" i="14"/>
  <c r="F70" i="14" s="1"/>
  <c r="V64" i="14"/>
  <c r="M457" i="9"/>
  <c r="X527" i="5"/>
  <c r="V487" i="5"/>
  <c r="H355" i="15"/>
  <c r="F355" i="15"/>
  <c r="V485" i="5"/>
  <c r="M473" i="5"/>
  <c r="S491" i="5"/>
  <c r="R491" i="5"/>
  <c r="Q491" i="5"/>
  <c r="P491" i="5"/>
  <c r="O491" i="5"/>
  <c r="N491" i="5"/>
  <c r="M491" i="5"/>
  <c r="L491" i="5"/>
  <c r="K491" i="5"/>
  <c r="H491" i="5"/>
  <c r="F491" i="5"/>
  <c r="H526" i="5"/>
  <c r="F526" i="5"/>
  <c r="H501" i="5"/>
  <c r="F501" i="5"/>
  <c r="R473" i="5" s="1"/>
  <c r="S492" i="5"/>
  <c r="R492" i="5"/>
  <c r="Q492" i="5"/>
  <c r="P492" i="5"/>
  <c r="O492" i="5"/>
  <c r="N492" i="5"/>
  <c r="M492" i="5"/>
  <c r="L492" i="5"/>
  <c r="K492" i="5"/>
  <c r="G501" i="5"/>
  <c r="G321" i="8"/>
  <c r="B380" i="12"/>
  <c r="I100" i="14"/>
  <c r="F303" i="15"/>
  <c r="V303" i="15"/>
  <c r="I471" i="9"/>
  <c r="M449" i="9" s="1"/>
  <c r="I303" i="15"/>
  <c r="G388" i="12"/>
  <c r="V302" i="15"/>
  <c r="V321" i="8"/>
  <c r="V320" i="8"/>
  <c r="F320" i="8"/>
  <c r="F326" i="8" s="1"/>
  <c r="P116" i="3" s="1"/>
  <c r="G320" i="8"/>
  <c r="G349" i="8"/>
  <c r="G319" i="8"/>
  <c r="G348" i="8"/>
  <c r="V318" i="8"/>
  <c r="I318" i="8"/>
  <c r="G352" i="12"/>
  <c r="G351" i="12"/>
  <c r="I351" i="12" s="1"/>
  <c r="V350" i="12"/>
  <c r="V387" i="12"/>
  <c r="V362" i="12"/>
  <c r="K330" i="12"/>
  <c r="B84" i="14"/>
  <c r="V83" i="14"/>
  <c r="V317" i="8"/>
  <c r="L282" i="15"/>
  <c r="X310" i="15"/>
  <c r="X356" i="15" s="1"/>
  <c r="H310" i="15"/>
  <c r="G483" i="5"/>
  <c r="G316" i="8"/>
  <c r="I349" i="12"/>
  <c r="G386" i="12"/>
  <c r="V346" i="12"/>
  <c r="F347" i="12"/>
  <c r="F358" i="12" s="1"/>
  <c r="P125" i="3" s="1"/>
  <c r="G346" i="12"/>
  <c r="G383" i="12"/>
  <c r="V345" i="12"/>
  <c r="V397" i="12" s="1"/>
  <c r="L457" i="9"/>
  <c r="G382" i="12"/>
  <c r="G396" i="12" s="1"/>
  <c r="V470" i="9"/>
  <c r="G470" i="9"/>
  <c r="L473" i="5"/>
  <c r="G488" i="9"/>
  <c r="L304" i="8"/>
  <c r="G317" i="8"/>
  <c r="G347" i="8"/>
  <c r="G486" i="5"/>
  <c r="V316" i="8"/>
  <c r="V361" i="8" s="1"/>
  <c r="V486" i="5"/>
  <c r="G346" i="8"/>
  <c r="G315" i="8"/>
  <c r="G345" i="8"/>
  <c r="G360" i="8" s="1"/>
  <c r="G314" i="8"/>
  <c r="G326" i="8" s="1"/>
  <c r="V484" i="5"/>
  <c r="V483" i="5"/>
  <c r="V527" i="5" s="1"/>
  <c r="G517" i="5"/>
  <c r="G526" i="5" s="1"/>
  <c r="G98" i="14"/>
  <c r="G97" i="14"/>
  <c r="G96" i="14"/>
  <c r="G95" i="14"/>
  <c r="G62" i="14"/>
  <c r="G70" i="14" s="1"/>
  <c r="G94" i="14"/>
  <c r="G93" i="14"/>
  <c r="G111" i="14" s="1"/>
  <c r="G339" i="15"/>
  <c r="G338" i="15"/>
  <c r="I302" i="15"/>
  <c r="G337" i="15"/>
  <c r="W301" i="15"/>
  <c r="W356" i="15" s="1"/>
  <c r="I301" i="15"/>
  <c r="G336" i="15"/>
  <c r="G355" i="15" s="1"/>
  <c r="V300" i="15"/>
  <c r="V299" i="15"/>
  <c r="V298" i="15"/>
  <c r="H331" i="15"/>
  <c r="I323" i="15"/>
  <c r="I330" i="15"/>
  <c r="G311" i="15"/>
  <c r="I311" i="15" s="1"/>
  <c r="G329" i="15"/>
  <c r="I329" i="15" s="1"/>
  <c r="G328" i="15"/>
  <c r="G331" i="15" s="1"/>
  <c r="B328" i="15"/>
  <c r="F327" i="15"/>
  <c r="F331" i="15" s="1"/>
  <c r="G310" i="15"/>
  <c r="I310" i="15" s="1"/>
  <c r="G322" i="15"/>
  <c r="F322" i="15"/>
  <c r="F324" i="15" s="1"/>
  <c r="G321" i="15"/>
  <c r="G324" i="15" s="1"/>
  <c r="I320" i="15"/>
  <c r="B320" i="15"/>
  <c r="B321" i="15" s="1"/>
  <c r="B322" i="15" s="1"/>
  <c r="I319" i="15"/>
  <c r="V224" i="15"/>
  <c r="T262" i="15"/>
  <c r="H221" i="15"/>
  <c r="F220" i="15"/>
  <c r="H243" i="15"/>
  <c r="B218" i="15"/>
  <c r="B219" i="15" s="1"/>
  <c r="B220" i="15" s="1"/>
  <c r="G218" i="15"/>
  <c r="I218" i="15" s="1"/>
  <c r="G217" i="15"/>
  <c r="G221" i="15" s="1"/>
  <c r="F217" i="15"/>
  <c r="F221" i="15" s="1"/>
  <c r="J105" i="4"/>
  <c r="G375" i="12"/>
  <c r="I375" i="12" s="1"/>
  <c r="G374" i="12"/>
  <c r="I374" i="12" s="1"/>
  <c r="G281" i="12"/>
  <c r="G373" i="12"/>
  <c r="I373" i="12" s="1"/>
  <c r="I372" i="12"/>
  <c r="B372" i="12"/>
  <c r="B373" i="12" s="1"/>
  <c r="B374" i="12" s="1"/>
  <c r="B375" i="12" s="1"/>
  <c r="G371" i="12"/>
  <c r="G376" i="12" s="1"/>
  <c r="I367" i="12"/>
  <c r="B367" i="12"/>
  <c r="G366" i="12"/>
  <c r="G368" i="12" s="1"/>
  <c r="T310" i="12"/>
  <c r="T437" i="9"/>
  <c r="T543" i="10"/>
  <c r="H288" i="12"/>
  <c r="F288" i="12"/>
  <c r="V277" i="12"/>
  <c r="G282" i="12"/>
  <c r="F594" i="10"/>
  <c r="H604" i="10"/>
  <c r="F604" i="10"/>
  <c r="I603" i="10"/>
  <c r="I602" i="10"/>
  <c r="G601" i="10"/>
  <c r="I601" i="10" s="1"/>
  <c r="I579" i="10"/>
  <c r="I600" i="10"/>
  <c r="H593" i="10"/>
  <c r="G593" i="10"/>
  <c r="I593" i="10" s="1"/>
  <c r="H592" i="10"/>
  <c r="G592" i="10"/>
  <c r="I592" i="10" s="1"/>
  <c r="F460" i="10"/>
  <c r="F563" i="10"/>
  <c r="H563" i="10" s="1"/>
  <c r="F562" i="10"/>
  <c r="H562" i="10" s="1"/>
  <c r="G599" i="10"/>
  <c r="I599" i="10" s="1"/>
  <c r="G598" i="10"/>
  <c r="G604" i="10" s="1"/>
  <c r="B598" i="10"/>
  <c r="B599" i="10" s="1"/>
  <c r="B600" i="10" s="1"/>
  <c r="B601" i="10" s="1"/>
  <c r="B602" i="10" s="1"/>
  <c r="B603" i="10" s="1"/>
  <c r="I597" i="10"/>
  <c r="H591" i="10"/>
  <c r="H594" i="10" s="1"/>
  <c r="I590" i="10"/>
  <c r="G589" i="10"/>
  <c r="I589" i="10" s="1"/>
  <c r="G588" i="10"/>
  <c r="I588" i="10" s="1"/>
  <c r="G587" i="10"/>
  <c r="I587" i="10" s="1"/>
  <c r="G586" i="10"/>
  <c r="I586" i="10" s="1"/>
  <c r="I585" i="10"/>
  <c r="G584" i="10"/>
  <c r="I584" i="10" s="1"/>
  <c r="B584" i="10"/>
  <c r="B585" i="10" s="1"/>
  <c r="B586" i="10" s="1"/>
  <c r="B587" i="10" s="1"/>
  <c r="B588" i="10" s="1"/>
  <c r="B589" i="10" s="1"/>
  <c r="B590" i="10" s="1"/>
  <c r="B591" i="10" s="1"/>
  <c r="B592" i="10" s="1"/>
  <c r="B593" i="10" s="1"/>
  <c r="G583" i="10"/>
  <c r="G594" i="10" s="1"/>
  <c r="V495" i="10"/>
  <c r="G493" i="10"/>
  <c r="F493" i="10"/>
  <c r="B494" i="10"/>
  <c r="B495" i="10" s="1"/>
  <c r="X494" i="10"/>
  <c r="H494" i="10"/>
  <c r="G504" i="10"/>
  <c r="I494" i="9"/>
  <c r="I483" i="9"/>
  <c r="G501" i="9"/>
  <c r="I501" i="9" s="1"/>
  <c r="G493" i="9"/>
  <c r="G479" i="9"/>
  <c r="G482" i="9"/>
  <c r="I482" i="9" s="1"/>
  <c r="I481" i="9"/>
  <c r="G480" i="9"/>
  <c r="I480" i="9" s="1"/>
  <c r="G500" i="9"/>
  <c r="F500" i="9"/>
  <c r="F502" i="9" s="1"/>
  <c r="G499" i="9"/>
  <c r="I499" i="9" s="1"/>
  <c r="B499" i="9"/>
  <c r="B500" i="9" s="1"/>
  <c r="B501" i="9" s="1"/>
  <c r="B483" i="9" s="1"/>
  <c r="G498" i="9"/>
  <c r="G502" i="9" s="1"/>
  <c r="I492" i="9"/>
  <c r="B492" i="9"/>
  <c r="B493" i="9" s="1"/>
  <c r="B494" i="9" s="1"/>
  <c r="I491" i="9"/>
  <c r="V395" i="9"/>
  <c r="V394" i="9"/>
  <c r="B411" i="9"/>
  <c r="H392" i="9"/>
  <c r="H342" i="8"/>
  <c r="F342" i="8"/>
  <c r="I330" i="8"/>
  <c r="G341" i="8"/>
  <c r="G337" i="8"/>
  <c r="I337" i="8" s="1"/>
  <c r="G336" i="8"/>
  <c r="I336" i="8" s="1"/>
  <c r="G335" i="8"/>
  <c r="H331" i="8"/>
  <c r="G331" i="8"/>
  <c r="G227" i="15"/>
  <c r="G224" i="15"/>
  <c r="F70" i="17"/>
  <c r="S52" i="17"/>
  <c r="S44" i="17"/>
  <c r="G71" i="17"/>
  <c r="H71" i="17"/>
  <c r="I46" i="17"/>
  <c r="E125" i="3"/>
  <c r="F125" i="3"/>
  <c r="G125" i="3"/>
  <c r="B127" i="4"/>
  <c r="K457" i="9"/>
  <c r="G342" i="12"/>
  <c r="G343" i="12"/>
  <c r="V468" i="9"/>
  <c r="V467" i="9"/>
  <c r="V519" i="9" s="1"/>
  <c r="I98" i="14"/>
  <c r="I97" i="14"/>
  <c r="I96" i="14"/>
  <c r="I95" i="14"/>
  <c r="I94" i="14"/>
  <c r="I93" i="14"/>
  <c r="I92" i="14"/>
  <c r="I91" i="14"/>
  <c r="I90" i="14"/>
  <c r="I88" i="14"/>
  <c r="C125" i="3"/>
  <c r="I342" i="12"/>
  <c r="K282" i="15"/>
  <c r="H306" i="15"/>
  <c r="G306" i="15"/>
  <c r="F306" i="15"/>
  <c r="P113" i="3" s="1"/>
  <c r="I298" i="15"/>
  <c r="I295" i="15"/>
  <c r="V295" i="15"/>
  <c r="V294" i="15"/>
  <c r="V293" i="15"/>
  <c r="V356" i="15" s="1"/>
  <c r="D110" i="3"/>
  <c r="E110" i="3"/>
  <c r="F110" i="3"/>
  <c r="D113" i="3"/>
  <c r="G113" i="3"/>
  <c r="D116" i="3"/>
  <c r="F116" i="3"/>
  <c r="D119" i="3"/>
  <c r="E119" i="3"/>
  <c r="F119" i="3"/>
  <c r="F122" i="3"/>
  <c r="G128" i="3"/>
  <c r="D131" i="3"/>
  <c r="F131" i="3"/>
  <c r="F137" i="3" s="1"/>
  <c r="G131" i="3"/>
  <c r="C131" i="3"/>
  <c r="O122" i="3"/>
  <c r="M122" i="3"/>
  <c r="C119" i="3"/>
  <c r="O113" i="3"/>
  <c r="M113" i="3"/>
  <c r="C113" i="3"/>
  <c r="H309" i="12"/>
  <c r="F309" i="12"/>
  <c r="I103" i="3"/>
  <c r="O97" i="3"/>
  <c r="K97" i="3"/>
  <c r="P99" i="4"/>
  <c r="B99" i="4"/>
  <c r="B133" i="4"/>
  <c r="B130" i="4"/>
  <c r="B124" i="4"/>
  <c r="B121" i="4"/>
  <c r="B118" i="4"/>
  <c r="B115" i="4"/>
  <c r="B112" i="4"/>
  <c r="P563" i="10"/>
  <c r="H122" i="3" s="1"/>
  <c r="P457" i="9"/>
  <c r="H119" i="3" s="1"/>
  <c r="P473" i="5"/>
  <c r="H110" i="3" s="1"/>
  <c r="P102" i="17"/>
  <c r="B139" i="4"/>
  <c r="I395" i="12"/>
  <c r="I394" i="12"/>
  <c r="I393" i="12"/>
  <c r="I392" i="12"/>
  <c r="I391" i="12"/>
  <c r="I390" i="12"/>
  <c r="I388" i="12"/>
  <c r="I386" i="12"/>
  <c r="I385" i="12"/>
  <c r="I384" i="12"/>
  <c r="I383" i="12"/>
  <c r="I382" i="12"/>
  <c r="I381" i="12"/>
  <c r="B381" i="12"/>
  <c r="B382" i="12" s="1"/>
  <c r="B383" i="12" s="1"/>
  <c r="B384" i="12" s="1"/>
  <c r="B385" i="12" s="1"/>
  <c r="B386" i="12" s="1"/>
  <c r="I379" i="12"/>
  <c r="I387" i="12"/>
  <c r="I362" i="12"/>
  <c r="I363" i="12" s="1"/>
  <c r="R322" i="12" s="1"/>
  <c r="I357" i="12"/>
  <c r="I356" i="12"/>
  <c r="I355" i="12"/>
  <c r="I354" i="12"/>
  <c r="I353" i="12"/>
  <c r="N322" i="12" s="1"/>
  <c r="G127" i="4" s="1"/>
  <c r="I352" i="12"/>
  <c r="I350" i="12"/>
  <c r="I348" i="12"/>
  <c r="I347" i="12"/>
  <c r="I346" i="12"/>
  <c r="I345" i="12"/>
  <c r="L322" i="12" s="1"/>
  <c r="E127" i="4" s="1"/>
  <c r="I344" i="12"/>
  <c r="I343" i="12"/>
  <c r="I380" i="12"/>
  <c r="B342" i="12"/>
  <c r="B343" i="12" s="1"/>
  <c r="B344" i="12" s="1"/>
  <c r="B345" i="12" s="1"/>
  <c r="B346" i="12" s="1"/>
  <c r="B347" i="12" s="1"/>
  <c r="I341" i="12"/>
  <c r="I358" i="12" s="1"/>
  <c r="G320" i="12" s="1"/>
  <c r="Q332" i="12"/>
  <c r="O332" i="12"/>
  <c r="N332" i="12"/>
  <c r="M332" i="12"/>
  <c r="L332" i="12"/>
  <c r="K332" i="12"/>
  <c r="Q331" i="12"/>
  <c r="O331" i="12"/>
  <c r="N331" i="12"/>
  <c r="M331" i="12"/>
  <c r="L331" i="12"/>
  <c r="K331" i="12"/>
  <c r="O125" i="3"/>
  <c r="F328" i="12"/>
  <c r="H327" i="12"/>
  <c r="Q326" i="12"/>
  <c r="N326" i="12"/>
  <c r="L326" i="12"/>
  <c r="F326" i="12"/>
  <c r="H326" i="12" s="1"/>
  <c r="Q325" i="12"/>
  <c r="O325" i="12"/>
  <c r="N325" i="12"/>
  <c r="G128" i="4" s="1" a="1"/>
  <c r="G128" i="4" s="1"/>
  <c r="M325" i="12"/>
  <c r="L325" i="12"/>
  <c r="E128" i="4" s="1" a="1"/>
  <c r="E128" i="4" s="1"/>
  <c r="K325" i="12"/>
  <c r="P324" i="12"/>
  <c r="P332" i="12" s="1"/>
  <c r="P323" i="12"/>
  <c r="F323" i="12"/>
  <c r="F324" i="12" s="1"/>
  <c r="H324" i="12" s="1"/>
  <c r="P127" i="4"/>
  <c r="F321" i="12"/>
  <c r="S317" i="12"/>
  <c r="R317" i="12"/>
  <c r="Q317" i="12"/>
  <c r="P317" i="12"/>
  <c r="O317" i="12"/>
  <c r="N317" i="12"/>
  <c r="M317" i="12"/>
  <c r="L317" i="12"/>
  <c r="K317" i="12"/>
  <c r="C317" i="12"/>
  <c r="T316" i="12"/>
  <c r="A127" i="4" s="1"/>
  <c r="S316" i="12"/>
  <c r="R316" i="12"/>
  <c r="Q316" i="12"/>
  <c r="P316" i="12"/>
  <c r="O316" i="12"/>
  <c r="N316" i="12"/>
  <c r="M316" i="12"/>
  <c r="L316" i="12"/>
  <c r="K316" i="12"/>
  <c r="C316" i="12"/>
  <c r="C315" i="12"/>
  <c r="I517" i="9"/>
  <c r="I516" i="9"/>
  <c r="I515" i="9"/>
  <c r="I514" i="9"/>
  <c r="I513" i="9"/>
  <c r="I512" i="9"/>
  <c r="I511" i="9"/>
  <c r="I510" i="9"/>
  <c r="I509" i="9"/>
  <c r="I508" i="9"/>
  <c r="I507" i="9"/>
  <c r="I506" i="9"/>
  <c r="B506" i="9"/>
  <c r="B507" i="9" s="1"/>
  <c r="B508" i="9" s="1"/>
  <c r="B509" i="9" s="1"/>
  <c r="B510" i="9" s="1"/>
  <c r="B511" i="9" s="1"/>
  <c r="B512" i="9" s="1"/>
  <c r="I505" i="9"/>
  <c r="I518" i="9" s="1"/>
  <c r="I487" i="9"/>
  <c r="I488" i="9" s="1"/>
  <c r="R449" i="9" s="1"/>
  <c r="I469" i="9"/>
  <c r="S476" i="9"/>
  <c r="R476" i="9"/>
  <c r="Q476" i="9"/>
  <c r="P476" i="9"/>
  <c r="O476" i="9"/>
  <c r="N476" i="9"/>
  <c r="M476" i="9"/>
  <c r="L476" i="9"/>
  <c r="K476" i="9"/>
  <c r="Q119" i="3"/>
  <c r="I474" i="9"/>
  <c r="I473" i="9"/>
  <c r="I472" i="9"/>
  <c r="N449" i="9" s="1"/>
  <c r="G121" i="4" s="1"/>
  <c r="I468" i="9"/>
  <c r="B468" i="9"/>
  <c r="I467" i="9"/>
  <c r="Q459" i="9"/>
  <c r="O459" i="9"/>
  <c r="N459" i="9"/>
  <c r="M459" i="9"/>
  <c r="L459" i="9"/>
  <c r="K459" i="9"/>
  <c r="Q458" i="9"/>
  <c r="O458" i="9"/>
  <c r="N458" i="9"/>
  <c r="M458" i="9"/>
  <c r="L458" i="9"/>
  <c r="K458" i="9"/>
  <c r="O119" i="3"/>
  <c r="M119" i="3"/>
  <c r="F455" i="9"/>
  <c r="H454" i="9"/>
  <c r="Q453" i="9"/>
  <c r="O453" i="9"/>
  <c r="N453" i="9"/>
  <c r="Q452" i="9"/>
  <c r="O452" i="9"/>
  <c r="N452" i="9"/>
  <c r="G122" i="4" s="1" a="1"/>
  <c r="G122" i="4" s="1"/>
  <c r="M452" i="9"/>
  <c r="L452" i="9"/>
  <c r="K452" i="9"/>
  <c r="P451" i="9"/>
  <c r="P459" i="9" s="1"/>
  <c r="P450" i="9"/>
  <c r="F450" i="9"/>
  <c r="F451" i="9" s="1"/>
  <c r="H451" i="9" s="1"/>
  <c r="P121" i="4"/>
  <c r="F448" i="9"/>
  <c r="S444" i="9"/>
  <c r="R444" i="9"/>
  <c r="Q444" i="9"/>
  <c r="P444" i="9"/>
  <c r="O444" i="9"/>
  <c r="N444" i="9"/>
  <c r="M444" i="9"/>
  <c r="L444" i="9"/>
  <c r="K444" i="9"/>
  <c r="C444" i="9"/>
  <c r="T443" i="9"/>
  <c r="A121" i="4" s="1"/>
  <c r="S443" i="9"/>
  <c r="R443" i="9"/>
  <c r="Q443" i="9"/>
  <c r="P443" i="9"/>
  <c r="O443" i="9"/>
  <c r="N443" i="9"/>
  <c r="M443" i="9"/>
  <c r="L443" i="9"/>
  <c r="K443" i="9"/>
  <c r="C443" i="9"/>
  <c r="C442" i="9"/>
  <c r="I359" i="8"/>
  <c r="I358" i="8"/>
  <c r="I357" i="8"/>
  <c r="I356" i="8"/>
  <c r="I355" i="8"/>
  <c r="I354" i="8"/>
  <c r="I353" i="8"/>
  <c r="I352" i="8"/>
  <c r="I351" i="8"/>
  <c r="I350" i="8"/>
  <c r="I349" i="8"/>
  <c r="I348" i="8"/>
  <c r="I347" i="8"/>
  <c r="I346" i="8"/>
  <c r="B346" i="8"/>
  <c r="B347" i="8" s="1"/>
  <c r="B348" i="8" s="1"/>
  <c r="B349" i="8" s="1"/>
  <c r="B350" i="8" s="1"/>
  <c r="B351" i="8" s="1"/>
  <c r="B352" i="8" s="1"/>
  <c r="B353" i="8" s="1"/>
  <c r="B354" i="8" s="1"/>
  <c r="B355" i="8" s="1"/>
  <c r="B356" i="8" s="1"/>
  <c r="B357" i="8" s="1"/>
  <c r="B358" i="8" s="1"/>
  <c r="B359" i="8" s="1"/>
  <c r="I345" i="8"/>
  <c r="I360" i="8" s="1"/>
  <c r="I317" i="8"/>
  <c r="I325" i="8"/>
  <c r="I324" i="8"/>
  <c r="I323" i="8"/>
  <c r="I322" i="8"/>
  <c r="N296" i="8" s="1"/>
  <c r="G118" i="4" s="1"/>
  <c r="I321" i="8"/>
  <c r="I320" i="8"/>
  <c r="I319" i="8"/>
  <c r="I316" i="8"/>
  <c r="I315" i="8"/>
  <c r="B315" i="8"/>
  <c r="B316" i="8" s="1"/>
  <c r="B317" i="8" s="1"/>
  <c r="B318" i="8" s="1"/>
  <c r="B319" i="8" s="1"/>
  <c r="B320" i="8" s="1"/>
  <c r="B321" i="8" s="1"/>
  <c r="B322" i="8" s="1"/>
  <c r="B323" i="8" s="1"/>
  <c r="B324" i="8" s="1"/>
  <c r="B325" i="8" s="1"/>
  <c r="I314" i="8"/>
  <c r="I326" i="8" s="1"/>
  <c r="G294" i="8" s="1"/>
  <c r="Q306" i="8"/>
  <c r="O306" i="8"/>
  <c r="N306" i="8"/>
  <c r="M306" i="8"/>
  <c r="L306" i="8"/>
  <c r="K306" i="8"/>
  <c r="Q305" i="8"/>
  <c r="O305" i="8"/>
  <c r="N305" i="8"/>
  <c r="M305" i="8"/>
  <c r="L305" i="8"/>
  <c r="K305" i="8"/>
  <c r="O116" i="3"/>
  <c r="F302" i="8"/>
  <c r="H301" i="8"/>
  <c r="Q300" i="8"/>
  <c r="N300" i="8"/>
  <c r="K300" i="8"/>
  <c r="Q299" i="8"/>
  <c r="O299" i="8"/>
  <c r="N299" i="8"/>
  <c r="G119" i="4" s="1" a="1"/>
  <c r="G119" i="4" s="1"/>
  <c r="M299" i="8"/>
  <c r="L299" i="8"/>
  <c r="K299" i="8"/>
  <c r="P298" i="8"/>
  <c r="P306" i="8" s="1"/>
  <c r="P297" i="8"/>
  <c r="F297" i="8"/>
  <c r="F298" i="8" s="1"/>
  <c r="H298" i="8" s="1"/>
  <c r="P118" i="4"/>
  <c r="F295" i="8"/>
  <c r="S291" i="8"/>
  <c r="R291" i="8"/>
  <c r="Q291" i="8"/>
  <c r="P291" i="8"/>
  <c r="O291" i="8"/>
  <c r="N291" i="8"/>
  <c r="M291" i="8"/>
  <c r="L291" i="8"/>
  <c r="K291" i="8"/>
  <c r="C291" i="8"/>
  <c r="T290" i="8"/>
  <c r="A118" i="4" s="1"/>
  <c r="S290" i="8"/>
  <c r="R290" i="8"/>
  <c r="Q290" i="8"/>
  <c r="P290" i="8"/>
  <c r="O290" i="8"/>
  <c r="N290" i="8"/>
  <c r="M290" i="8"/>
  <c r="L290" i="8"/>
  <c r="K290" i="8"/>
  <c r="C290" i="8"/>
  <c r="C289" i="8"/>
  <c r="R102" i="17"/>
  <c r="I119" i="17"/>
  <c r="B119" i="17"/>
  <c r="I118" i="17"/>
  <c r="S114" i="17"/>
  <c r="R114" i="17"/>
  <c r="Q114" i="17"/>
  <c r="P114" i="17"/>
  <c r="O114" i="17"/>
  <c r="N114" i="17"/>
  <c r="M114" i="17"/>
  <c r="L114" i="17"/>
  <c r="K114" i="17"/>
  <c r="S113" i="17"/>
  <c r="R113" i="17"/>
  <c r="Q113" i="17"/>
  <c r="P113" i="17"/>
  <c r="O113" i="17"/>
  <c r="N113" i="17"/>
  <c r="M113" i="17"/>
  <c r="L113" i="17"/>
  <c r="K113" i="17"/>
  <c r="H113" i="17"/>
  <c r="G113" i="17"/>
  <c r="F113" i="17"/>
  <c r="P128" i="3" s="1"/>
  <c r="I112" i="17"/>
  <c r="I113" i="17" s="1"/>
  <c r="Q104" i="17"/>
  <c r="O104" i="17"/>
  <c r="N104" i="17"/>
  <c r="M104" i="17"/>
  <c r="L104" i="17"/>
  <c r="K104" i="17"/>
  <c r="Q103" i="17"/>
  <c r="O103" i="17"/>
  <c r="N103" i="17"/>
  <c r="M103" i="17"/>
  <c r="L103" i="17"/>
  <c r="K103" i="17"/>
  <c r="O128" i="3"/>
  <c r="M128" i="3"/>
  <c r="F100" i="17"/>
  <c r="H99" i="17"/>
  <c r="Q98" i="17"/>
  <c r="N98" i="17"/>
  <c r="M98" i="17"/>
  <c r="L98" i="17"/>
  <c r="K98" i="17"/>
  <c r="F98" i="17"/>
  <c r="H98" i="17" s="1"/>
  <c r="Q97" i="17"/>
  <c r="O97" i="17"/>
  <c r="N97" i="17"/>
  <c r="M97" i="17"/>
  <c r="L97" i="17"/>
  <c r="K97" i="17"/>
  <c r="P96" i="17"/>
  <c r="P104" i="17" s="1"/>
  <c r="P95" i="17"/>
  <c r="F95" i="17"/>
  <c r="F96" i="17" s="1"/>
  <c r="H96" i="17" s="1"/>
  <c r="P130" i="4"/>
  <c r="F93" i="17"/>
  <c r="S89" i="17"/>
  <c r="R89" i="17"/>
  <c r="Q89" i="17"/>
  <c r="P89" i="17"/>
  <c r="O89" i="17"/>
  <c r="N89" i="17"/>
  <c r="M89" i="17"/>
  <c r="L89" i="17"/>
  <c r="K89" i="17"/>
  <c r="C89" i="17"/>
  <c r="T88" i="17"/>
  <c r="A130" i="4" s="1"/>
  <c r="S88" i="17"/>
  <c r="R88" i="17"/>
  <c r="Q88" i="17"/>
  <c r="P88" i="17"/>
  <c r="O88" i="17"/>
  <c r="N88" i="17"/>
  <c r="M88" i="17"/>
  <c r="L88" i="17"/>
  <c r="K88" i="17"/>
  <c r="C88" i="17"/>
  <c r="C87" i="17"/>
  <c r="I354" i="15"/>
  <c r="I351" i="15"/>
  <c r="I350" i="15"/>
  <c r="I349" i="15"/>
  <c r="I348" i="15"/>
  <c r="I347" i="15"/>
  <c r="I346" i="15"/>
  <c r="I345" i="15"/>
  <c r="I344" i="15"/>
  <c r="I343" i="15"/>
  <c r="I342" i="15"/>
  <c r="I340" i="15"/>
  <c r="I339" i="15"/>
  <c r="I338" i="15"/>
  <c r="I335" i="15"/>
  <c r="B335" i="15"/>
  <c r="I334" i="15"/>
  <c r="I341" i="15"/>
  <c r="I297" i="15"/>
  <c r="H312" i="15"/>
  <c r="G312" i="15"/>
  <c r="F312" i="15"/>
  <c r="I312" i="15"/>
  <c r="F277" i="15" s="1"/>
  <c r="F278" i="15" s="1"/>
  <c r="S307" i="15"/>
  <c r="R307" i="15"/>
  <c r="Q307" i="15"/>
  <c r="P307" i="15"/>
  <c r="O307" i="15"/>
  <c r="N307" i="15"/>
  <c r="M307" i="15"/>
  <c r="L307" i="15"/>
  <c r="K307" i="15"/>
  <c r="S306" i="15"/>
  <c r="R306" i="15"/>
  <c r="Q306" i="15"/>
  <c r="P306" i="15"/>
  <c r="O306" i="15"/>
  <c r="N306" i="15"/>
  <c r="M306" i="15"/>
  <c r="L306" i="15"/>
  <c r="K306" i="15"/>
  <c r="I305" i="15"/>
  <c r="I304" i="15"/>
  <c r="O274" i="15" s="1"/>
  <c r="H115" i="4" s="1"/>
  <c r="I315" i="15"/>
  <c r="I316" i="15" s="1"/>
  <c r="R274" i="15" s="1"/>
  <c r="I337" i="15"/>
  <c r="I336" i="15"/>
  <c r="I300" i="15"/>
  <c r="I299" i="15"/>
  <c r="I296" i="15"/>
  <c r="I294" i="15"/>
  <c r="B294" i="15"/>
  <c r="B295" i="15" s="1"/>
  <c r="I293" i="15"/>
  <c r="Q284" i="15"/>
  <c r="O284" i="15"/>
  <c r="N284" i="15"/>
  <c r="M284" i="15"/>
  <c r="L284" i="15"/>
  <c r="K284" i="15"/>
  <c r="Q283" i="15"/>
  <c r="O283" i="15"/>
  <c r="N283" i="15"/>
  <c r="M283" i="15"/>
  <c r="L283" i="15"/>
  <c r="K283" i="15"/>
  <c r="F280" i="15"/>
  <c r="H279" i="15"/>
  <c r="Q278" i="15"/>
  <c r="O278" i="15"/>
  <c r="N278" i="15"/>
  <c r="H278" i="15"/>
  <c r="Q277" i="15"/>
  <c r="O277" i="15"/>
  <c r="H116" i="4" s="1" a="1"/>
  <c r="H116" i="4" s="1"/>
  <c r="N277" i="15"/>
  <c r="M277" i="15"/>
  <c r="L277" i="15"/>
  <c r="K277" i="15"/>
  <c r="P276" i="15"/>
  <c r="P284" i="15" s="1"/>
  <c r="P275" i="15"/>
  <c r="F275" i="15"/>
  <c r="F276" i="15" s="1"/>
  <c r="H276" i="15" s="1"/>
  <c r="P115" i="4"/>
  <c r="S269" i="15"/>
  <c r="R269" i="15"/>
  <c r="Q269" i="15"/>
  <c r="P269" i="15"/>
  <c r="O269" i="15"/>
  <c r="N269" i="15"/>
  <c r="M269" i="15"/>
  <c r="L269" i="15"/>
  <c r="K269" i="15"/>
  <c r="C269" i="15"/>
  <c r="T268" i="15"/>
  <c r="A115" i="4" s="1"/>
  <c r="S268" i="15"/>
  <c r="R268" i="15"/>
  <c r="Q268" i="15"/>
  <c r="P268" i="15"/>
  <c r="O268" i="15"/>
  <c r="N268" i="15"/>
  <c r="M268" i="15"/>
  <c r="L268" i="15"/>
  <c r="K268" i="15"/>
  <c r="C268" i="15"/>
  <c r="C267" i="15"/>
  <c r="H580" i="10"/>
  <c r="G580" i="10"/>
  <c r="F580" i="10"/>
  <c r="I580" i="10"/>
  <c r="F558" i="10" s="1"/>
  <c r="F559" i="10" s="1"/>
  <c r="S576" i="10"/>
  <c r="R576" i="10"/>
  <c r="Q576" i="10"/>
  <c r="P576" i="10"/>
  <c r="O576" i="10"/>
  <c r="N576" i="10"/>
  <c r="M576" i="10"/>
  <c r="L576" i="10"/>
  <c r="K576" i="10"/>
  <c r="S575" i="10"/>
  <c r="R575" i="10"/>
  <c r="Q575" i="10"/>
  <c r="P575" i="10"/>
  <c r="O575" i="10"/>
  <c r="N575" i="10"/>
  <c r="M575" i="10"/>
  <c r="L575" i="10"/>
  <c r="K575" i="10"/>
  <c r="H575" i="10"/>
  <c r="G575" i="10"/>
  <c r="F575" i="10"/>
  <c r="P122" i="3" s="1"/>
  <c r="I574" i="10"/>
  <c r="Q565" i="10"/>
  <c r="O565" i="10"/>
  <c r="N565" i="10"/>
  <c r="M565" i="10"/>
  <c r="L565" i="10"/>
  <c r="K565" i="10"/>
  <c r="Q564" i="10"/>
  <c r="O564" i="10"/>
  <c r="N564" i="10"/>
  <c r="M564" i="10"/>
  <c r="L564" i="10"/>
  <c r="K564" i="10"/>
  <c r="F561" i="10"/>
  <c r="H560" i="10"/>
  <c r="Q559" i="10"/>
  <c r="O559" i="10"/>
  <c r="M559" i="10"/>
  <c r="L559" i="10"/>
  <c r="K559" i="10"/>
  <c r="H559" i="10"/>
  <c r="Q558" i="10"/>
  <c r="O558" i="10"/>
  <c r="N558" i="10"/>
  <c r="M558" i="10"/>
  <c r="L558" i="10"/>
  <c r="K558" i="10"/>
  <c r="P557" i="10"/>
  <c r="P565" i="10" s="1"/>
  <c r="P556" i="10"/>
  <c r="F556" i="10"/>
  <c r="F557" i="10" s="1"/>
  <c r="H557" i="10" s="1"/>
  <c r="P124" i="4"/>
  <c r="N124" i="4"/>
  <c r="S550" i="10"/>
  <c r="R550" i="10"/>
  <c r="Q550" i="10"/>
  <c r="P550" i="10"/>
  <c r="O550" i="10"/>
  <c r="N550" i="10"/>
  <c r="M550" i="10"/>
  <c r="L550" i="10"/>
  <c r="K550" i="10"/>
  <c r="C550" i="10"/>
  <c r="T549" i="10"/>
  <c r="A124" i="4" s="1"/>
  <c r="S549" i="10"/>
  <c r="R549" i="10"/>
  <c r="Q549" i="10"/>
  <c r="P549" i="10"/>
  <c r="O549" i="10"/>
  <c r="N549" i="10"/>
  <c r="M549" i="10"/>
  <c r="L549" i="10"/>
  <c r="K549" i="10"/>
  <c r="C549" i="10"/>
  <c r="C548" i="10"/>
  <c r="I496" i="5"/>
  <c r="G513" i="5"/>
  <c r="G514" i="5" s="1"/>
  <c r="I513" i="5"/>
  <c r="I514" i="5" s="1"/>
  <c r="H504" i="5"/>
  <c r="I504" i="5"/>
  <c r="B505" i="5"/>
  <c r="G505" i="5"/>
  <c r="H505" i="5"/>
  <c r="I505" i="5"/>
  <c r="B506" i="5"/>
  <c r="F506" i="5"/>
  <c r="I506" i="5"/>
  <c r="B507" i="5"/>
  <c r="F507" i="5"/>
  <c r="G507" i="5"/>
  <c r="H507" i="5"/>
  <c r="I507" i="5"/>
  <c r="B508" i="5"/>
  <c r="I508" i="5"/>
  <c r="B509" i="5"/>
  <c r="G509" i="5"/>
  <c r="I509" i="5"/>
  <c r="G495" i="5"/>
  <c r="I495" i="5"/>
  <c r="F510" i="5"/>
  <c r="G510" i="5"/>
  <c r="H510" i="5"/>
  <c r="I510" i="5"/>
  <c r="B421" i="5"/>
  <c r="I517" i="5"/>
  <c r="B518" i="5"/>
  <c r="I518" i="5"/>
  <c r="B519" i="5"/>
  <c r="I519" i="5"/>
  <c r="B520" i="5"/>
  <c r="I520" i="5"/>
  <c r="B521" i="5"/>
  <c r="I521" i="5"/>
  <c r="B522" i="5"/>
  <c r="I522" i="5"/>
  <c r="B523" i="5"/>
  <c r="I523" i="5"/>
  <c r="B524" i="5"/>
  <c r="I524" i="5"/>
  <c r="B525" i="5"/>
  <c r="I525" i="5"/>
  <c r="I485" i="5"/>
  <c r="I487" i="5"/>
  <c r="F497" i="5"/>
  <c r="G497" i="5"/>
  <c r="H497" i="5"/>
  <c r="I497" i="5"/>
  <c r="F468" i="5" s="1"/>
  <c r="F469" i="5" s="1"/>
  <c r="I483" i="5"/>
  <c r="B484" i="5"/>
  <c r="B485" i="5" s="1"/>
  <c r="B486" i="5" s="1"/>
  <c r="I484" i="5"/>
  <c r="I500" i="5"/>
  <c r="I501" i="5" s="1"/>
  <c r="R465" i="5" s="1"/>
  <c r="I486" i="5"/>
  <c r="B487" i="5"/>
  <c r="B488" i="5"/>
  <c r="I488" i="5"/>
  <c r="B489" i="5"/>
  <c r="I489" i="5"/>
  <c r="B490" i="5"/>
  <c r="I490" i="5"/>
  <c r="N465" i="5" s="1"/>
  <c r="G112" i="4" s="1"/>
  <c r="K459" i="5"/>
  <c r="L459" i="5"/>
  <c r="M459" i="5"/>
  <c r="N459" i="5"/>
  <c r="O459" i="5"/>
  <c r="P459" i="5"/>
  <c r="Q459" i="5"/>
  <c r="R459" i="5"/>
  <c r="S459" i="5"/>
  <c r="T459" i="5"/>
  <c r="A112" i="4" s="1"/>
  <c r="K460" i="5"/>
  <c r="L460" i="5"/>
  <c r="M460" i="5"/>
  <c r="N460" i="5"/>
  <c r="O460" i="5"/>
  <c r="P460" i="5"/>
  <c r="Q460" i="5"/>
  <c r="R460" i="5"/>
  <c r="S460" i="5"/>
  <c r="F464" i="5"/>
  <c r="P112" i="4"/>
  <c r="F466" i="5"/>
  <c r="P466" i="5"/>
  <c r="C459" i="5" s="1"/>
  <c r="F467" i="5"/>
  <c r="H467" i="5"/>
  <c r="P467" i="5"/>
  <c r="C460" i="5" s="1"/>
  <c r="K468" i="5"/>
  <c r="L468" i="5"/>
  <c r="M468" i="5"/>
  <c r="N468" i="5"/>
  <c r="O468" i="5"/>
  <c r="P468" i="5"/>
  <c r="Q468" i="5"/>
  <c r="H469" i="5"/>
  <c r="K469" i="5"/>
  <c r="N469" i="5"/>
  <c r="O469" i="5"/>
  <c r="Q469" i="5"/>
  <c r="H470" i="5"/>
  <c r="F471" i="5"/>
  <c r="O110" i="3"/>
  <c r="K474" i="5"/>
  <c r="L474" i="5"/>
  <c r="M474" i="5"/>
  <c r="N474" i="5"/>
  <c r="O474" i="5"/>
  <c r="P474" i="5"/>
  <c r="Q474" i="5"/>
  <c r="K475" i="5"/>
  <c r="L475" i="5"/>
  <c r="M475" i="5"/>
  <c r="N475" i="5"/>
  <c r="O475" i="5"/>
  <c r="P475" i="5"/>
  <c r="Q475" i="5"/>
  <c r="K476" i="5"/>
  <c r="L476" i="5"/>
  <c r="M476" i="5"/>
  <c r="N476" i="5"/>
  <c r="O476" i="5"/>
  <c r="P476" i="5"/>
  <c r="Q476" i="5"/>
  <c r="K477" i="5"/>
  <c r="L477" i="5"/>
  <c r="M477" i="5"/>
  <c r="N477" i="5"/>
  <c r="O477" i="5"/>
  <c r="P477" i="5"/>
  <c r="Q477" i="5"/>
  <c r="V421" i="5"/>
  <c r="X420" i="5"/>
  <c r="H420" i="5"/>
  <c r="G210" i="15"/>
  <c r="G211" i="15"/>
  <c r="L389" i="9"/>
  <c r="M389" i="9"/>
  <c r="N389" i="9"/>
  <c r="O389" i="9"/>
  <c r="P389" i="9"/>
  <c r="Q389" i="9"/>
  <c r="R389" i="9"/>
  <c r="S389" i="9"/>
  <c r="L388" i="9"/>
  <c r="M388" i="9"/>
  <c r="N388" i="9"/>
  <c r="O388" i="9"/>
  <c r="P388" i="9"/>
  <c r="Q388" i="9"/>
  <c r="R388" i="9"/>
  <c r="S388" i="9"/>
  <c r="K389" i="9"/>
  <c r="K388" i="9"/>
  <c r="H388" i="9"/>
  <c r="V387" i="9"/>
  <c r="G247" i="8"/>
  <c r="G265" i="12"/>
  <c r="G263" i="12"/>
  <c r="G507" i="10"/>
  <c r="G506" i="10"/>
  <c r="G505" i="10"/>
  <c r="G500" i="10"/>
  <c r="H500" i="10"/>
  <c r="G499" i="10"/>
  <c r="H499" i="10"/>
  <c r="G481" i="10"/>
  <c r="G474" i="10"/>
  <c r="I70" i="17"/>
  <c r="G387" i="9"/>
  <c r="H405" i="9"/>
  <c r="G405" i="9"/>
  <c r="F382" i="9"/>
  <c r="F375" i="9"/>
  <c r="G399" i="9"/>
  <c r="G400" i="9"/>
  <c r="G238" i="8"/>
  <c r="G233" i="8"/>
  <c r="G248" i="8"/>
  <c r="G80" i="17"/>
  <c r="G81" i="17" s="1"/>
  <c r="G410" i="5"/>
  <c r="F409" i="5"/>
  <c r="V70" i="17"/>
  <c r="T284" i="8"/>
  <c r="W284" i="8"/>
  <c r="X284" i="8"/>
  <c r="G508" i="10"/>
  <c r="W453" i="5"/>
  <c r="X453" i="5"/>
  <c r="T453" i="5"/>
  <c r="I79" i="17"/>
  <c r="F69" i="17"/>
  <c r="F71" i="17" s="1"/>
  <c r="V69" i="17"/>
  <c r="I69" i="17"/>
  <c r="I78" i="17"/>
  <c r="I77" i="17"/>
  <c r="H152" i="11"/>
  <c r="F152" i="11"/>
  <c r="G151" i="11"/>
  <c r="S148" i="11"/>
  <c r="R148" i="11"/>
  <c r="Q148" i="11"/>
  <c r="P148" i="11"/>
  <c r="O148" i="11"/>
  <c r="N148" i="11"/>
  <c r="M148" i="11"/>
  <c r="L148" i="11"/>
  <c r="K148" i="11"/>
  <c r="S147" i="11"/>
  <c r="R147" i="11"/>
  <c r="Q147" i="11"/>
  <c r="P147" i="11"/>
  <c r="O147" i="11"/>
  <c r="N147" i="11"/>
  <c r="M147" i="11"/>
  <c r="L147" i="11"/>
  <c r="K147" i="11"/>
  <c r="H147" i="11"/>
  <c r="G147" i="11"/>
  <c r="F147" i="11"/>
  <c r="I146" i="11"/>
  <c r="I147" i="11" s="1"/>
  <c r="Q138" i="11"/>
  <c r="O138" i="11"/>
  <c r="N138" i="11"/>
  <c r="M138" i="11"/>
  <c r="L138" i="11"/>
  <c r="K138" i="11"/>
  <c r="Q137" i="11"/>
  <c r="O137" i="11"/>
  <c r="N137" i="11"/>
  <c r="M137" i="11"/>
  <c r="L137" i="11"/>
  <c r="K137" i="11"/>
  <c r="F134" i="11"/>
  <c r="F133" i="11"/>
  <c r="H133" i="11" s="1"/>
  <c r="Q132" i="11"/>
  <c r="O132" i="11"/>
  <c r="N132" i="11"/>
  <c r="M132" i="11"/>
  <c r="L132" i="11"/>
  <c r="K132" i="11"/>
  <c r="F132" i="11"/>
  <c r="H132" i="11" s="1"/>
  <c r="Q131" i="11"/>
  <c r="O131" i="11"/>
  <c r="N131" i="11"/>
  <c r="M131" i="11"/>
  <c r="L131" i="11"/>
  <c r="K131" i="11"/>
  <c r="P130" i="11"/>
  <c r="P138" i="11" s="1"/>
  <c r="P129" i="11"/>
  <c r="F129" i="11"/>
  <c r="F130" i="11" s="1"/>
  <c r="H130" i="11" s="1"/>
  <c r="P128" i="11"/>
  <c r="P132" i="11" s="1"/>
  <c r="F127" i="11"/>
  <c r="G126" i="11"/>
  <c r="F126" i="11"/>
  <c r="F128" i="11" s="1"/>
  <c r="H128" i="11" s="1"/>
  <c r="C126" i="11"/>
  <c r="S123" i="11"/>
  <c r="R123" i="11"/>
  <c r="Q123" i="11"/>
  <c r="P123" i="11"/>
  <c r="O123" i="11"/>
  <c r="N123" i="11"/>
  <c r="M123" i="11"/>
  <c r="L123" i="11"/>
  <c r="K123" i="11"/>
  <c r="C123" i="11"/>
  <c r="T122" i="11"/>
  <c r="S122" i="11"/>
  <c r="R122" i="11"/>
  <c r="Q122" i="11"/>
  <c r="P122" i="11"/>
  <c r="O122" i="11"/>
  <c r="N122" i="11"/>
  <c r="M122" i="11"/>
  <c r="L122" i="11"/>
  <c r="K122" i="11"/>
  <c r="C122" i="11"/>
  <c r="C121" i="11"/>
  <c r="V67" i="17"/>
  <c r="F292" i="7"/>
  <c r="I308" i="7"/>
  <c r="F309" i="7"/>
  <c r="G309" i="7"/>
  <c r="H309" i="7"/>
  <c r="I309" i="7"/>
  <c r="F288" i="7" s="1"/>
  <c r="F289" i="7" s="1"/>
  <c r="V212" i="15"/>
  <c r="X310" i="7"/>
  <c r="W310" i="7"/>
  <c r="V310" i="7"/>
  <c r="T310" i="7"/>
  <c r="S305" i="7"/>
  <c r="R305" i="7"/>
  <c r="Q305" i="7"/>
  <c r="P305" i="7"/>
  <c r="O305" i="7"/>
  <c r="N305" i="7"/>
  <c r="M305" i="7"/>
  <c r="L305" i="7"/>
  <c r="K305" i="7"/>
  <c r="S304" i="7"/>
  <c r="R304" i="7"/>
  <c r="Q304" i="7"/>
  <c r="P304" i="7"/>
  <c r="O304" i="7"/>
  <c r="N304" i="7"/>
  <c r="M304" i="7"/>
  <c r="L304" i="7"/>
  <c r="K304" i="7"/>
  <c r="H304" i="7"/>
  <c r="G304" i="7"/>
  <c r="F304" i="7"/>
  <c r="I303" i="7"/>
  <c r="I304" i="7" s="1"/>
  <c r="G283" i="7" s="1"/>
  <c r="Q295" i="7"/>
  <c r="O295" i="7"/>
  <c r="N295" i="7"/>
  <c r="M295" i="7"/>
  <c r="L295" i="7"/>
  <c r="K295" i="7"/>
  <c r="Q294" i="7"/>
  <c r="O294" i="7"/>
  <c r="N294" i="7"/>
  <c r="M294" i="7"/>
  <c r="L294" i="7"/>
  <c r="K294" i="7"/>
  <c r="F291" i="7"/>
  <c r="H290" i="7"/>
  <c r="Q289" i="7"/>
  <c r="O289" i="7"/>
  <c r="N289" i="7"/>
  <c r="M289" i="7"/>
  <c r="L289" i="7"/>
  <c r="K289" i="7"/>
  <c r="H289" i="7"/>
  <c r="Q288" i="7"/>
  <c r="O288" i="7"/>
  <c r="N288" i="7"/>
  <c r="M288" i="7"/>
  <c r="L288" i="7"/>
  <c r="K288" i="7"/>
  <c r="P287" i="7"/>
  <c r="P295" i="7" s="1"/>
  <c r="P286" i="7"/>
  <c r="F286" i="7"/>
  <c r="F287" i="7" s="1"/>
  <c r="H287" i="7" s="1"/>
  <c r="P285" i="7"/>
  <c r="P289" i="7" s="1"/>
  <c r="F284" i="7"/>
  <c r="F283" i="7"/>
  <c r="F285" i="7" s="1"/>
  <c r="H285" i="7" s="1"/>
  <c r="C283" i="7"/>
  <c r="S280" i="7"/>
  <c r="R280" i="7"/>
  <c r="Q280" i="7"/>
  <c r="P280" i="7"/>
  <c r="O280" i="7"/>
  <c r="N280" i="7"/>
  <c r="M280" i="7"/>
  <c r="L280" i="7"/>
  <c r="K280" i="7"/>
  <c r="C280" i="7"/>
  <c r="T279" i="7"/>
  <c r="S279" i="7"/>
  <c r="R279" i="7"/>
  <c r="Q279" i="7"/>
  <c r="P279" i="7"/>
  <c r="O279" i="7"/>
  <c r="N279" i="7"/>
  <c r="M279" i="7"/>
  <c r="L279" i="7"/>
  <c r="K279" i="7"/>
  <c r="C279" i="7"/>
  <c r="C278" i="7"/>
  <c r="V228" i="15"/>
  <c r="V211" i="15"/>
  <c r="I76" i="17"/>
  <c r="G268" i="12"/>
  <c r="F250" i="12"/>
  <c r="F361" i="9"/>
  <c r="F96" i="11"/>
  <c r="F457" i="10"/>
  <c r="F253" i="7"/>
  <c r="F49" i="17"/>
  <c r="F189" i="15"/>
  <c r="F395" i="5"/>
  <c r="F209" i="15"/>
  <c r="F376" i="9"/>
  <c r="G413" i="5"/>
  <c r="G415" i="5"/>
  <c r="G212" i="15"/>
  <c r="P57" i="16"/>
  <c r="V506" i="10"/>
  <c r="O364" i="9"/>
  <c r="V386" i="9"/>
  <c r="G385" i="9"/>
  <c r="V385" i="9"/>
  <c r="O219" i="8"/>
  <c r="G243" i="8"/>
  <c r="I243" i="8" s="1"/>
  <c r="I282" i="8"/>
  <c r="I281" i="8"/>
  <c r="F220" i="8"/>
  <c r="G280" i="8"/>
  <c r="V248" i="8"/>
  <c r="G237" i="8"/>
  <c r="S274" i="12"/>
  <c r="R274" i="12"/>
  <c r="Q274" i="12"/>
  <c r="P274" i="12"/>
  <c r="O274" i="12"/>
  <c r="N274" i="12"/>
  <c r="M274" i="12"/>
  <c r="L274" i="12"/>
  <c r="K274" i="12"/>
  <c r="S273" i="12"/>
  <c r="R273" i="12"/>
  <c r="Q273" i="12"/>
  <c r="P273" i="12"/>
  <c r="O273" i="12"/>
  <c r="N273" i="12"/>
  <c r="M273" i="12"/>
  <c r="L273" i="12"/>
  <c r="K273" i="12"/>
  <c r="H273" i="12"/>
  <c r="X310" i="12"/>
  <c r="W310" i="12"/>
  <c r="H283" i="12"/>
  <c r="G283" i="12"/>
  <c r="F283" i="12"/>
  <c r="O253" i="12"/>
  <c r="G97" i="3" s="1"/>
  <c r="R253" i="12"/>
  <c r="M97" i="3" s="1"/>
  <c r="O398" i="5"/>
  <c r="I451" i="5"/>
  <c r="V415" i="5"/>
  <c r="V414" i="5"/>
  <c r="V413" i="5"/>
  <c r="W262" i="15"/>
  <c r="X262" i="15"/>
  <c r="H261" i="15"/>
  <c r="F261" i="15"/>
  <c r="H229" i="15"/>
  <c r="F229" i="15"/>
  <c r="R192" i="15" s="1"/>
  <c r="H213" i="15"/>
  <c r="G213" i="15"/>
  <c r="X543" i="10"/>
  <c r="W543" i="10"/>
  <c r="H542" i="10"/>
  <c r="F542" i="10"/>
  <c r="S214" i="15"/>
  <c r="R214" i="15"/>
  <c r="Q214" i="15"/>
  <c r="P214" i="15"/>
  <c r="O214" i="15"/>
  <c r="N214" i="15"/>
  <c r="M214" i="15"/>
  <c r="L214" i="15"/>
  <c r="K214" i="15"/>
  <c r="S213" i="15"/>
  <c r="R213" i="15"/>
  <c r="Q213" i="15"/>
  <c r="P213" i="15"/>
  <c r="O213" i="15"/>
  <c r="N213" i="15"/>
  <c r="M213" i="15"/>
  <c r="L213" i="15"/>
  <c r="K213" i="15"/>
  <c r="S490" i="10"/>
  <c r="R490" i="10"/>
  <c r="Q490" i="10"/>
  <c r="P490" i="10"/>
  <c r="O490" i="10"/>
  <c r="N490" i="10"/>
  <c r="M490" i="10"/>
  <c r="L490" i="10"/>
  <c r="K490" i="10"/>
  <c r="S489" i="10"/>
  <c r="R489" i="10"/>
  <c r="Q489" i="10"/>
  <c r="P489" i="10"/>
  <c r="O489" i="10"/>
  <c r="N489" i="10"/>
  <c r="M489" i="10"/>
  <c r="L489" i="10"/>
  <c r="K489" i="10"/>
  <c r="H489" i="10"/>
  <c r="H501" i="10"/>
  <c r="F501" i="10"/>
  <c r="H509" i="10"/>
  <c r="F509" i="10"/>
  <c r="O460" i="10"/>
  <c r="I488" i="10"/>
  <c r="V505" i="10"/>
  <c r="I487" i="10"/>
  <c r="V507" i="10"/>
  <c r="F212" i="15"/>
  <c r="I228" i="15"/>
  <c r="V210" i="15"/>
  <c r="B282" i="12"/>
  <c r="V481" i="10"/>
  <c r="M192" i="15"/>
  <c r="V209" i="15"/>
  <c r="V208" i="15"/>
  <c r="H436" i="9"/>
  <c r="F436" i="9"/>
  <c r="H407" i="9"/>
  <c r="F407" i="9"/>
  <c r="H401" i="9"/>
  <c r="F401" i="9"/>
  <c r="H283" i="8"/>
  <c r="G283" i="8"/>
  <c r="F283" i="8"/>
  <c r="H249" i="8"/>
  <c r="F249" i="8"/>
  <c r="S240" i="8"/>
  <c r="R240" i="8"/>
  <c r="Q240" i="8"/>
  <c r="P240" i="8"/>
  <c r="O240" i="8"/>
  <c r="N240" i="8"/>
  <c r="M240" i="8"/>
  <c r="L240" i="8"/>
  <c r="K240" i="8"/>
  <c r="S239" i="8"/>
  <c r="R239" i="8"/>
  <c r="Q239" i="8"/>
  <c r="P239" i="8"/>
  <c r="O239" i="8"/>
  <c r="N239" i="8"/>
  <c r="M239" i="8"/>
  <c r="L239" i="8"/>
  <c r="K239" i="8"/>
  <c r="H239" i="8"/>
  <c r="F239" i="8"/>
  <c r="S64" i="17"/>
  <c r="R64" i="17"/>
  <c r="Q64" i="17"/>
  <c r="P64" i="17"/>
  <c r="O64" i="17"/>
  <c r="N64" i="17"/>
  <c r="M64" i="17"/>
  <c r="L64" i="17"/>
  <c r="K64" i="17"/>
  <c r="S63" i="17"/>
  <c r="R63" i="17"/>
  <c r="Q63" i="17"/>
  <c r="P63" i="17"/>
  <c r="O63" i="17"/>
  <c r="N63" i="17"/>
  <c r="M63" i="17"/>
  <c r="L63" i="17"/>
  <c r="K63" i="17"/>
  <c r="H63" i="17"/>
  <c r="G63" i="17"/>
  <c r="F63" i="17"/>
  <c r="P100" i="3" s="1"/>
  <c r="H416" i="5"/>
  <c r="F416" i="5"/>
  <c r="P82" i="3" s="1"/>
  <c r="H452" i="5"/>
  <c r="F452" i="5"/>
  <c r="G484" i="10"/>
  <c r="G269" i="12"/>
  <c r="N192" i="15"/>
  <c r="N460" i="10"/>
  <c r="I209" i="15"/>
  <c r="V207" i="15"/>
  <c r="V500" i="10"/>
  <c r="G539" i="10"/>
  <c r="I540" i="10"/>
  <c r="I539" i="10"/>
  <c r="I541" i="10"/>
  <c r="I485" i="10"/>
  <c r="V206" i="15"/>
  <c r="I206" i="15"/>
  <c r="I257" i="15"/>
  <c r="I256" i="15"/>
  <c r="N398" i="5"/>
  <c r="V412" i="5"/>
  <c r="G449" i="5"/>
  <c r="G448" i="5"/>
  <c r="V411" i="5"/>
  <c r="G411" i="5"/>
  <c r="G416" i="5" s="1"/>
  <c r="G271" i="12"/>
  <c r="G270" i="12"/>
  <c r="F270" i="12"/>
  <c r="N253" i="12" s="1"/>
  <c r="F97" i="3" s="1"/>
  <c r="V270" i="12"/>
  <c r="G267" i="12"/>
  <c r="N364" i="9"/>
  <c r="G406" i="9"/>
  <c r="V406" i="9"/>
  <c r="V384" i="9"/>
  <c r="N219" i="8"/>
  <c r="G236" i="8"/>
  <c r="I279" i="8"/>
  <c r="I278" i="8"/>
  <c r="I277" i="8"/>
  <c r="I276" i="8"/>
  <c r="I275" i="8"/>
  <c r="I274" i="8"/>
  <c r="V504" i="10"/>
  <c r="G394" i="9"/>
  <c r="G395" i="9"/>
  <c r="G526" i="10"/>
  <c r="M364" i="9"/>
  <c r="V400" i="9"/>
  <c r="G479" i="10"/>
  <c r="G249" i="8"/>
  <c r="V383" i="9"/>
  <c r="G382" i="9"/>
  <c r="V382" i="9"/>
  <c r="M219" i="8"/>
  <c r="L253" i="12"/>
  <c r="M398" i="5"/>
  <c r="I411" i="5"/>
  <c r="M460" i="10"/>
  <c r="I483" i="10"/>
  <c r="I381" i="9"/>
  <c r="V405" i="9"/>
  <c r="I405" i="9"/>
  <c r="V380" i="9"/>
  <c r="I481" i="10"/>
  <c r="I537" i="10"/>
  <c r="V479" i="10"/>
  <c r="F265" i="12"/>
  <c r="F273" i="12" s="1"/>
  <c r="P97" i="3" s="1"/>
  <c r="V265" i="12"/>
  <c r="I252" i="15"/>
  <c r="V205" i="15"/>
  <c r="B405" i="9"/>
  <c r="B400" i="9"/>
  <c r="V378" i="9"/>
  <c r="B264" i="12"/>
  <c r="V263" i="12"/>
  <c r="V310" i="12" s="1"/>
  <c r="L398" i="5"/>
  <c r="S417" i="5"/>
  <c r="R417" i="5"/>
  <c r="Q417" i="5"/>
  <c r="P417" i="5"/>
  <c r="O417" i="5"/>
  <c r="N417" i="5"/>
  <c r="M417" i="5"/>
  <c r="L417" i="5"/>
  <c r="K417" i="5"/>
  <c r="S416" i="5"/>
  <c r="R416" i="5"/>
  <c r="Q416" i="5"/>
  <c r="P416" i="5"/>
  <c r="O416" i="5"/>
  <c r="N416" i="5"/>
  <c r="M416" i="5"/>
  <c r="L416" i="5"/>
  <c r="K416" i="5"/>
  <c r="K460" i="10"/>
  <c r="X82" i="17"/>
  <c r="W82" i="17"/>
  <c r="T82" i="17"/>
  <c r="K52" i="17"/>
  <c r="K192" i="15"/>
  <c r="G195" i="8"/>
  <c r="B247" i="15"/>
  <c r="I246" i="15"/>
  <c r="R79" i="4"/>
  <c r="L78" i="4"/>
  <c r="J78" i="4"/>
  <c r="P398" i="5"/>
  <c r="E82" i="3"/>
  <c r="F82" i="3"/>
  <c r="G82" i="3"/>
  <c r="H82" i="3"/>
  <c r="B106" i="13"/>
  <c r="I106" i="13"/>
  <c r="B107" i="13"/>
  <c r="I107" i="13"/>
  <c r="B108" i="13"/>
  <c r="I108" i="13"/>
  <c r="B109" i="13"/>
  <c r="I109" i="13"/>
  <c r="B110" i="13"/>
  <c r="I110" i="13"/>
  <c r="B111" i="13"/>
  <c r="I111" i="13"/>
  <c r="B112" i="13"/>
  <c r="I112" i="13"/>
  <c r="B113" i="13"/>
  <c r="I113" i="13"/>
  <c r="B114" i="13"/>
  <c r="I114" i="13"/>
  <c r="B115" i="13"/>
  <c r="I115" i="13"/>
  <c r="B116" i="13"/>
  <c r="I116" i="13"/>
  <c r="B117" i="13"/>
  <c r="I117" i="13"/>
  <c r="B118" i="13"/>
  <c r="I118" i="13"/>
  <c r="B119" i="13"/>
  <c r="I119" i="13"/>
  <c r="B120" i="13"/>
  <c r="I120" i="13"/>
  <c r="X219" i="13"/>
  <c r="W219" i="13"/>
  <c r="V219" i="13"/>
  <c r="T219" i="13"/>
  <c r="H218" i="13"/>
  <c r="G218" i="13"/>
  <c r="F218" i="13"/>
  <c r="I217" i="13"/>
  <c r="I216" i="13"/>
  <c r="I215" i="13"/>
  <c r="I214" i="13"/>
  <c r="I213" i="13"/>
  <c r="B213" i="13"/>
  <c r="B214" i="13" s="1"/>
  <c r="B215" i="13" s="1"/>
  <c r="B216" i="13" s="1"/>
  <c r="B217" i="13" s="1"/>
  <c r="I212" i="13"/>
  <c r="I218" i="13" s="1"/>
  <c r="H209" i="13"/>
  <c r="G209" i="13"/>
  <c r="F209" i="13"/>
  <c r="I208" i="13"/>
  <c r="I207" i="13"/>
  <c r="I206" i="13"/>
  <c r="I205" i="13"/>
  <c r="I204" i="13"/>
  <c r="I203" i="13"/>
  <c r="I202" i="13"/>
  <c r="I201" i="13"/>
  <c r="I200" i="13"/>
  <c r="I199" i="13"/>
  <c r="I198" i="13"/>
  <c r="I197" i="13"/>
  <c r="I196" i="13"/>
  <c r="I195" i="13"/>
  <c r="I194" i="13"/>
  <c r="I193" i="13"/>
  <c r="I192" i="13"/>
  <c r="B192" i="13"/>
  <c r="B193" i="13" s="1"/>
  <c r="B194" i="13" s="1"/>
  <c r="B195" i="13" s="1"/>
  <c r="B196" i="13" s="1"/>
  <c r="B197" i="13" s="1"/>
  <c r="B198" i="13" s="1"/>
  <c r="B199" i="13" s="1"/>
  <c r="B200" i="13" s="1"/>
  <c r="B201" i="13" s="1"/>
  <c r="B202" i="13" s="1"/>
  <c r="B203" i="13" s="1"/>
  <c r="B204" i="13" s="1"/>
  <c r="B205" i="13" s="1"/>
  <c r="B206" i="13" s="1"/>
  <c r="B207" i="13" s="1"/>
  <c r="B208" i="13" s="1"/>
  <c r="I191" i="13"/>
  <c r="I209" i="13" s="1"/>
  <c r="H188" i="13"/>
  <c r="G188" i="13"/>
  <c r="F188" i="13"/>
  <c r="I187" i="13"/>
  <c r="I186" i="13"/>
  <c r="I185" i="13"/>
  <c r="I184" i="13"/>
  <c r="I183" i="13"/>
  <c r="I182" i="13"/>
  <c r="I181" i="13"/>
  <c r="B181" i="13"/>
  <c r="B182" i="13" s="1"/>
  <c r="B183" i="13" s="1"/>
  <c r="B184" i="13" s="1"/>
  <c r="B185" i="13" s="1"/>
  <c r="B186" i="13" s="1"/>
  <c r="B187" i="13" s="1"/>
  <c r="I180" i="13"/>
  <c r="I188" i="13" s="1"/>
  <c r="H177" i="13"/>
  <c r="G177" i="13"/>
  <c r="F177" i="13"/>
  <c r="I176" i="13"/>
  <c r="I175" i="13"/>
  <c r="I174" i="13"/>
  <c r="I173" i="13"/>
  <c r="I172" i="13"/>
  <c r="I171" i="13"/>
  <c r="I170" i="13"/>
  <c r="B170" i="13"/>
  <c r="B171" i="13" s="1"/>
  <c r="B172" i="13" s="1"/>
  <c r="B173" i="13" s="1"/>
  <c r="B174" i="13" s="1"/>
  <c r="B175" i="13" s="1"/>
  <c r="B176" i="13" s="1"/>
  <c r="I169" i="13"/>
  <c r="I177" i="13" s="1"/>
  <c r="H166" i="13"/>
  <c r="G166" i="13"/>
  <c r="F166" i="13"/>
  <c r="I165" i="13"/>
  <c r="I164" i="13"/>
  <c r="I163" i="13"/>
  <c r="I162" i="13"/>
  <c r="I161" i="13"/>
  <c r="I160" i="13"/>
  <c r="I159" i="13"/>
  <c r="B159" i="13"/>
  <c r="B160" i="13" s="1"/>
  <c r="B161" i="13" s="1"/>
  <c r="B162" i="13" s="1"/>
  <c r="B163" i="13" s="1"/>
  <c r="B164" i="13" s="1"/>
  <c r="B165" i="13" s="1"/>
  <c r="I158" i="13"/>
  <c r="I166" i="13" s="1"/>
  <c r="H155" i="13"/>
  <c r="G155" i="13"/>
  <c r="F155" i="13"/>
  <c r="I154" i="13"/>
  <c r="I153" i="13"/>
  <c r="I152" i="13"/>
  <c r="I151" i="13"/>
  <c r="I150" i="13"/>
  <c r="I149" i="13"/>
  <c r="I148" i="13"/>
  <c r="B148" i="13"/>
  <c r="B149" i="13" s="1"/>
  <c r="B150" i="13" s="1"/>
  <c r="B151" i="13" s="1"/>
  <c r="B152" i="13" s="1"/>
  <c r="B153" i="13" s="1"/>
  <c r="B154" i="13" s="1"/>
  <c r="I147" i="13"/>
  <c r="I155" i="13" s="1"/>
  <c r="H144" i="13"/>
  <c r="G144" i="13"/>
  <c r="F144" i="13"/>
  <c r="I143" i="13"/>
  <c r="I142" i="13"/>
  <c r="I141" i="13"/>
  <c r="I140" i="13"/>
  <c r="I139" i="13"/>
  <c r="I138" i="13"/>
  <c r="I137" i="13"/>
  <c r="B137" i="13"/>
  <c r="B138" i="13" s="1"/>
  <c r="B139" i="13" s="1"/>
  <c r="B140" i="13" s="1"/>
  <c r="B141" i="13" s="1"/>
  <c r="B142" i="13" s="1"/>
  <c r="B143" i="13" s="1"/>
  <c r="I136" i="13"/>
  <c r="I144" i="13" s="1"/>
  <c r="H133" i="13"/>
  <c r="G133" i="13"/>
  <c r="F133" i="13"/>
  <c r="I132" i="13"/>
  <c r="I131" i="13"/>
  <c r="I130" i="13"/>
  <c r="I129" i="13"/>
  <c r="I128" i="13"/>
  <c r="I127" i="13"/>
  <c r="I126" i="13"/>
  <c r="B126" i="13"/>
  <c r="B127" i="13" s="1"/>
  <c r="B128" i="13" s="1"/>
  <c r="B129" i="13" s="1"/>
  <c r="B130" i="13" s="1"/>
  <c r="B131" i="13" s="1"/>
  <c r="B132" i="13" s="1"/>
  <c r="I125" i="13"/>
  <c r="I133" i="13" s="1"/>
  <c r="S122" i="13"/>
  <c r="R122" i="13"/>
  <c r="Q122" i="13"/>
  <c r="P122" i="13"/>
  <c r="O122" i="13"/>
  <c r="N122" i="13"/>
  <c r="M122" i="13"/>
  <c r="L122" i="13"/>
  <c r="K122" i="13"/>
  <c r="S121" i="13"/>
  <c r="R121" i="13"/>
  <c r="Q121" i="13"/>
  <c r="P121" i="13"/>
  <c r="O121" i="13"/>
  <c r="N121" i="13"/>
  <c r="M121" i="13"/>
  <c r="L121" i="13"/>
  <c r="K121" i="13"/>
  <c r="H121" i="13"/>
  <c r="G121" i="13"/>
  <c r="F121" i="13"/>
  <c r="I105" i="13"/>
  <c r="I121" i="13" s="1"/>
  <c r="Q97" i="13"/>
  <c r="O97" i="13"/>
  <c r="N97" i="13"/>
  <c r="M97" i="13"/>
  <c r="L97" i="13"/>
  <c r="K97" i="13"/>
  <c r="Q96" i="13"/>
  <c r="O96" i="13"/>
  <c r="N96" i="13"/>
  <c r="M96" i="13"/>
  <c r="L96" i="13"/>
  <c r="K96" i="13"/>
  <c r="S95" i="13"/>
  <c r="R95" i="13"/>
  <c r="F93" i="13"/>
  <c r="H92" i="13"/>
  <c r="Q91" i="13"/>
  <c r="O91" i="13"/>
  <c r="N91" i="13"/>
  <c r="M91" i="13"/>
  <c r="L91" i="13"/>
  <c r="K91" i="13"/>
  <c r="F91" i="13"/>
  <c r="H91" i="13" s="1"/>
  <c r="Q90" i="13"/>
  <c r="O90" i="13"/>
  <c r="N90" i="13"/>
  <c r="M90" i="13"/>
  <c r="L90" i="13"/>
  <c r="K90" i="13"/>
  <c r="P89" i="13"/>
  <c r="P97" i="13" s="1"/>
  <c r="P88" i="13"/>
  <c r="F88" i="13"/>
  <c r="F89" i="13" s="1"/>
  <c r="H89" i="13" s="1"/>
  <c r="S87" i="13"/>
  <c r="R87" i="13"/>
  <c r="P87" i="13"/>
  <c r="P91" i="13" s="1"/>
  <c r="F86" i="13"/>
  <c r="G85" i="13"/>
  <c r="F85" i="13"/>
  <c r="F87" i="13" s="1"/>
  <c r="H87" i="13" s="1"/>
  <c r="C85" i="13"/>
  <c r="S82" i="13"/>
  <c r="R82" i="13"/>
  <c r="Q82" i="13"/>
  <c r="P82" i="13"/>
  <c r="O82" i="13"/>
  <c r="N82" i="13"/>
  <c r="M82" i="13"/>
  <c r="L82" i="13"/>
  <c r="K82" i="13"/>
  <c r="C82" i="13"/>
  <c r="T81" i="13"/>
  <c r="S81" i="13"/>
  <c r="R81" i="13"/>
  <c r="Q81" i="13"/>
  <c r="P81" i="13"/>
  <c r="O81" i="13"/>
  <c r="N81" i="13"/>
  <c r="M81" i="13"/>
  <c r="L81" i="13"/>
  <c r="K81" i="13"/>
  <c r="C81" i="13"/>
  <c r="C80" i="13"/>
  <c r="G229" i="15"/>
  <c r="F379" i="9"/>
  <c r="G379" i="9"/>
  <c r="V379" i="9"/>
  <c r="G378" i="9"/>
  <c r="I378" i="9" s="1"/>
  <c r="L219" i="8"/>
  <c r="G234" i="8"/>
  <c r="V234" i="8"/>
  <c r="V233" i="8"/>
  <c r="V284" i="8" s="1"/>
  <c r="G264" i="12"/>
  <c r="G273" i="12" s="1"/>
  <c r="G297" i="12"/>
  <c r="G309" i="12" s="1"/>
  <c r="G442" i="5"/>
  <c r="G441" i="5"/>
  <c r="G440" i="5"/>
  <c r="G452" i="5" s="1"/>
  <c r="V408" i="5"/>
  <c r="V453" i="5" s="1"/>
  <c r="G476" i="10"/>
  <c r="G475" i="10"/>
  <c r="G535" i="10"/>
  <c r="G542" i="10" s="1"/>
  <c r="V475" i="10"/>
  <c r="F475" i="10"/>
  <c r="F489" i="10" s="1"/>
  <c r="G251" i="15"/>
  <c r="G250" i="15"/>
  <c r="G261" i="15" s="1"/>
  <c r="V204" i="15"/>
  <c r="G141" i="8"/>
  <c r="H165" i="8"/>
  <c r="F165" i="8"/>
  <c r="I141" i="8"/>
  <c r="G377" i="10"/>
  <c r="G137" i="15"/>
  <c r="G230" i="8"/>
  <c r="G471" i="10"/>
  <c r="G489" i="10" s="1"/>
  <c r="G401" i="9"/>
  <c r="G47" i="16"/>
  <c r="X74" i="16"/>
  <c r="W74" i="16"/>
  <c r="V74" i="16"/>
  <c r="T74" i="16"/>
  <c r="H73" i="16"/>
  <c r="G73" i="16"/>
  <c r="F73" i="16"/>
  <c r="I72" i="16"/>
  <c r="I73" i="16" s="1"/>
  <c r="S69" i="16"/>
  <c r="R69" i="16"/>
  <c r="Q69" i="16"/>
  <c r="P69" i="16"/>
  <c r="O69" i="16"/>
  <c r="N69" i="16"/>
  <c r="M69" i="16"/>
  <c r="L69" i="16"/>
  <c r="K69" i="16"/>
  <c r="S68" i="16"/>
  <c r="R68" i="16"/>
  <c r="Q68" i="16"/>
  <c r="P68" i="16"/>
  <c r="O68" i="16"/>
  <c r="N68" i="16"/>
  <c r="M68" i="16"/>
  <c r="L68" i="16"/>
  <c r="K68" i="16"/>
  <c r="H68" i="16"/>
  <c r="G68" i="16"/>
  <c r="F68" i="16"/>
  <c r="I67" i="16"/>
  <c r="I68" i="16" s="1"/>
  <c r="Q59" i="16"/>
  <c r="O59" i="16"/>
  <c r="N59" i="16"/>
  <c r="M59" i="16"/>
  <c r="L59" i="16"/>
  <c r="K59" i="16"/>
  <c r="Q58" i="16"/>
  <c r="O58" i="16"/>
  <c r="N58" i="16"/>
  <c r="M58" i="16"/>
  <c r="L58" i="16"/>
  <c r="K58" i="16"/>
  <c r="F55" i="16"/>
  <c r="H54" i="16"/>
  <c r="Q53" i="16"/>
  <c r="O53" i="16"/>
  <c r="N53" i="16"/>
  <c r="M53" i="16"/>
  <c r="L53" i="16"/>
  <c r="K53" i="16"/>
  <c r="F53" i="16"/>
  <c r="H53" i="16" s="1"/>
  <c r="Q52" i="16"/>
  <c r="O52" i="16"/>
  <c r="N52" i="16"/>
  <c r="M52" i="16"/>
  <c r="L52" i="16"/>
  <c r="K52" i="16"/>
  <c r="P51" i="16"/>
  <c r="P59" i="16" s="1"/>
  <c r="P50" i="16"/>
  <c r="F50" i="16"/>
  <c r="F51" i="16" s="1"/>
  <c r="H51" i="16" s="1"/>
  <c r="P49" i="16"/>
  <c r="P53" i="16" s="1"/>
  <c r="F48" i="16"/>
  <c r="F47" i="16"/>
  <c r="F49" i="16" s="1"/>
  <c r="H49" i="16" s="1"/>
  <c r="C47" i="16"/>
  <c r="S44" i="16"/>
  <c r="R44" i="16"/>
  <c r="Q44" i="16"/>
  <c r="P44" i="16"/>
  <c r="O44" i="16"/>
  <c r="N44" i="16"/>
  <c r="M44" i="16"/>
  <c r="L44" i="16"/>
  <c r="K44" i="16"/>
  <c r="C44" i="16"/>
  <c r="T43" i="16"/>
  <c r="S43" i="16"/>
  <c r="R43" i="16"/>
  <c r="Q43" i="16"/>
  <c r="P43" i="16"/>
  <c r="O43" i="16"/>
  <c r="N43" i="16"/>
  <c r="M43" i="16"/>
  <c r="L43" i="16"/>
  <c r="K43" i="16"/>
  <c r="C43" i="16"/>
  <c r="C42" i="16"/>
  <c r="K364" i="9"/>
  <c r="G377" i="9"/>
  <c r="G388" i="9" s="1"/>
  <c r="G404" i="9"/>
  <c r="G407" i="9" s="1"/>
  <c r="G424" i="9"/>
  <c r="G436" i="9" s="1"/>
  <c r="V399" i="9"/>
  <c r="I399" i="9"/>
  <c r="I404" i="9"/>
  <c r="V374" i="9"/>
  <c r="I374" i="9"/>
  <c r="K219" i="8"/>
  <c r="B259" i="8"/>
  <c r="B260" i="8" s="1"/>
  <c r="G232" i="8"/>
  <c r="G231" i="8"/>
  <c r="E94" i="3"/>
  <c r="F94" i="3"/>
  <c r="G94" i="3"/>
  <c r="E91" i="3"/>
  <c r="F91" i="3"/>
  <c r="G91" i="3"/>
  <c r="D88" i="3"/>
  <c r="E88" i="3"/>
  <c r="F88" i="3"/>
  <c r="G88" i="3"/>
  <c r="E85" i="3"/>
  <c r="F85" i="3"/>
  <c r="F103" i="3" s="1"/>
  <c r="D82" i="3"/>
  <c r="C100" i="3"/>
  <c r="C91" i="3"/>
  <c r="C88" i="3"/>
  <c r="H396" i="9"/>
  <c r="F396" i="9"/>
  <c r="P219" i="8"/>
  <c r="H88" i="3" s="1"/>
  <c r="P52" i="17"/>
  <c r="H100" i="3" s="1"/>
  <c r="I230" i="8"/>
  <c r="I247" i="8"/>
  <c r="V62" i="17"/>
  <c r="V82" i="17" s="1"/>
  <c r="I62" i="17"/>
  <c r="I205" i="15"/>
  <c r="V203" i="15"/>
  <c r="I203" i="15"/>
  <c r="V202" i="15"/>
  <c r="V262" i="15" s="1"/>
  <c r="V471" i="10"/>
  <c r="V543" i="10" s="1"/>
  <c r="F363" i="10"/>
  <c r="H527" i="10"/>
  <c r="F527" i="10"/>
  <c r="G495" i="10"/>
  <c r="I495" i="10" s="1"/>
  <c r="H520" i="10"/>
  <c r="I520" i="10" s="1"/>
  <c r="H521" i="10"/>
  <c r="G494" i="10"/>
  <c r="I494" i="10" s="1"/>
  <c r="G384" i="10"/>
  <c r="H397" i="10"/>
  <c r="H396" i="10"/>
  <c r="G396" i="10"/>
  <c r="G401" i="10"/>
  <c r="G376" i="10"/>
  <c r="G374" i="10"/>
  <c r="F255" i="8"/>
  <c r="G254" i="8"/>
  <c r="I254" i="8" s="1"/>
  <c r="V143" i="8"/>
  <c r="G149" i="8"/>
  <c r="G148" i="8"/>
  <c r="G140" i="8"/>
  <c r="G138" i="8"/>
  <c r="G242" i="15"/>
  <c r="I242" i="15"/>
  <c r="I220" i="15"/>
  <c r="I217" i="15"/>
  <c r="O94" i="3"/>
  <c r="M94" i="3"/>
  <c r="K94" i="3"/>
  <c r="K91" i="3"/>
  <c r="K88" i="3"/>
  <c r="O85" i="3"/>
  <c r="K85" i="3"/>
  <c r="K82" i="3"/>
  <c r="B102" i="4"/>
  <c r="B96" i="4"/>
  <c r="B93" i="4"/>
  <c r="B90" i="4"/>
  <c r="B87" i="4"/>
  <c r="B84" i="4"/>
  <c r="B105" i="4"/>
  <c r="G421" i="5"/>
  <c r="I421" i="5" s="1"/>
  <c r="G343" i="5"/>
  <c r="F364" i="10"/>
  <c r="F312" i="5"/>
  <c r="G324" i="5"/>
  <c r="H198" i="8"/>
  <c r="G198" i="8"/>
  <c r="H192" i="8"/>
  <c r="F192" i="8"/>
  <c r="V308" i="9"/>
  <c r="F195" i="8"/>
  <c r="F198" i="8" s="1"/>
  <c r="V195" i="8"/>
  <c r="F105" i="15"/>
  <c r="F123" i="8"/>
  <c r="F308" i="5"/>
  <c r="I526" i="10"/>
  <c r="G525" i="10"/>
  <c r="G527" i="10" s="1"/>
  <c r="B525" i="10"/>
  <c r="B526" i="10" s="1"/>
  <c r="I524" i="10"/>
  <c r="I519" i="10"/>
  <c r="F521" i="10"/>
  <c r="G518" i="10"/>
  <c r="I518" i="10" s="1"/>
  <c r="G517" i="10"/>
  <c r="I517" i="10" s="1"/>
  <c r="G516" i="10"/>
  <c r="I516" i="10" s="1"/>
  <c r="G515" i="10"/>
  <c r="I515" i="10" s="1"/>
  <c r="I514" i="10"/>
  <c r="G513" i="10"/>
  <c r="I513" i="10" s="1"/>
  <c r="B513" i="10"/>
  <c r="B514" i="10" s="1"/>
  <c r="B515" i="10" s="1"/>
  <c r="B516" i="10" s="1"/>
  <c r="B517" i="10" s="1"/>
  <c r="B518" i="10" s="1"/>
  <c r="B519" i="10" s="1"/>
  <c r="B520" i="10" s="1"/>
  <c r="G512" i="10"/>
  <c r="G521" i="10" s="1"/>
  <c r="G160" i="8"/>
  <c r="V160" i="8"/>
  <c r="G253" i="8"/>
  <c r="I253" i="8" s="1"/>
  <c r="B253" i="8"/>
  <c r="B254" i="8" s="1"/>
  <c r="H252" i="8"/>
  <c r="H255" i="8" s="1"/>
  <c r="G252" i="8"/>
  <c r="G255" i="8" s="1"/>
  <c r="G159" i="8"/>
  <c r="F159" i="8"/>
  <c r="B158" i="8"/>
  <c r="V158" i="8"/>
  <c r="F157" i="8"/>
  <c r="F110" i="15"/>
  <c r="F108" i="15"/>
  <c r="G123" i="15"/>
  <c r="G138" i="15"/>
  <c r="G241" i="15"/>
  <c r="G243" i="15" s="1"/>
  <c r="F240" i="15"/>
  <c r="F243" i="15" s="1"/>
  <c r="I219" i="15"/>
  <c r="B241" i="15"/>
  <c r="B242" i="15" s="1"/>
  <c r="H236" i="15"/>
  <c r="H237" i="15" s="1"/>
  <c r="G236" i="15"/>
  <c r="I236" i="15" s="1"/>
  <c r="G235" i="15"/>
  <c r="F235" i="15"/>
  <c r="G234" i="15"/>
  <c r="I233" i="15"/>
  <c r="B233" i="15"/>
  <c r="B234" i="15" s="1"/>
  <c r="B235" i="15" s="1"/>
  <c r="B236" i="15" s="1"/>
  <c r="I232" i="15"/>
  <c r="B152" i="15"/>
  <c r="B153" i="15" s="1"/>
  <c r="B154" i="15" s="1"/>
  <c r="B144" i="15"/>
  <c r="B145" i="15" s="1"/>
  <c r="B146" i="15" s="1"/>
  <c r="B147" i="15" s="1"/>
  <c r="H437" i="5"/>
  <c r="F437" i="5"/>
  <c r="G436" i="5"/>
  <c r="B436" i="5"/>
  <c r="I435" i="5"/>
  <c r="H431" i="5"/>
  <c r="G431" i="5"/>
  <c r="I431" i="5" s="1"/>
  <c r="G420" i="5"/>
  <c r="I420" i="5" s="1"/>
  <c r="G430" i="5"/>
  <c r="I430" i="5" s="1"/>
  <c r="I429" i="5"/>
  <c r="G428" i="5"/>
  <c r="F428" i="5"/>
  <c r="F427" i="5"/>
  <c r="F432" i="5" s="1"/>
  <c r="H426" i="5"/>
  <c r="G426" i="5"/>
  <c r="G432" i="5" s="1"/>
  <c r="B426" i="5"/>
  <c r="B427" i="5" s="1"/>
  <c r="B428" i="5" s="1"/>
  <c r="B429" i="5" s="1"/>
  <c r="B430" i="5" s="1"/>
  <c r="B431" i="5" s="1"/>
  <c r="H425" i="5"/>
  <c r="V359" i="5"/>
  <c r="F339" i="5"/>
  <c r="O108" i="15"/>
  <c r="H129" i="15"/>
  <c r="H30" i="17"/>
  <c r="F30" i="17"/>
  <c r="P72" i="3" s="1"/>
  <c r="G127" i="15"/>
  <c r="I127" i="15"/>
  <c r="V127" i="15"/>
  <c r="G29" i="17"/>
  <c r="G30" i="17" s="1"/>
  <c r="R19" i="17"/>
  <c r="R11" i="17"/>
  <c r="L31" i="17"/>
  <c r="M31" i="17"/>
  <c r="N31" i="17"/>
  <c r="O31" i="17"/>
  <c r="P31" i="17"/>
  <c r="Q31" i="17"/>
  <c r="R31" i="17"/>
  <c r="S31" i="17"/>
  <c r="K31" i="17"/>
  <c r="L30" i="17"/>
  <c r="M30" i="17"/>
  <c r="N30" i="17"/>
  <c r="O30" i="17"/>
  <c r="P30" i="17"/>
  <c r="Q30" i="17"/>
  <c r="R30" i="17"/>
  <c r="S30" i="17"/>
  <c r="K30" i="17"/>
  <c r="H421" i="9"/>
  <c r="G420" i="9"/>
  <c r="I420" i="9" s="1"/>
  <c r="G419" i="9"/>
  <c r="I419" i="9" s="1"/>
  <c r="I395" i="9"/>
  <c r="G418" i="9"/>
  <c r="I418" i="9" s="1"/>
  <c r="I394" i="9"/>
  <c r="G308" i="9"/>
  <c r="I411" i="9"/>
  <c r="G393" i="9"/>
  <c r="I393" i="9" s="1"/>
  <c r="G417" i="9"/>
  <c r="F417" i="9"/>
  <c r="G416" i="9"/>
  <c r="I416" i="9" s="1"/>
  <c r="B416" i="9"/>
  <c r="B417" i="9" s="1"/>
  <c r="B418" i="9" s="1"/>
  <c r="B419" i="9" s="1"/>
  <c r="B420" i="9" s="1"/>
  <c r="G415" i="9"/>
  <c r="G421" i="9" s="1"/>
  <c r="H412" i="9"/>
  <c r="G412" i="9"/>
  <c r="F412" i="9"/>
  <c r="G392" i="9"/>
  <c r="B392" i="9"/>
  <c r="B393" i="9" s="1"/>
  <c r="B394" i="9" s="1"/>
  <c r="B395" i="9" s="1"/>
  <c r="I410" i="9"/>
  <c r="I412" i="9" s="1"/>
  <c r="I538" i="10"/>
  <c r="I536" i="10"/>
  <c r="I535" i="10"/>
  <c r="I534" i="10"/>
  <c r="I533" i="10"/>
  <c r="I532" i="10"/>
  <c r="I531" i="10"/>
  <c r="B531" i="10"/>
  <c r="B532" i="10" s="1"/>
  <c r="B533" i="10" s="1"/>
  <c r="B534" i="10" s="1"/>
  <c r="B535" i="10" s="1"/>
  <c r="B536" i="10" s="1"/>
  <c r="B537" i="10" s="1"/>
  <c r="B538" i="10" s="1"/>
  <c r="B539" i="10" s="1"/>
  <c r="B540" i="10" s="1"/>
  <c r="B541" i="10" s="1"/>
  <c r="I530" i="10"/>
  <c r="I542" i="10" s="1"/>
  <c r="I508" i="10"/>
  <c r="I506" i="10"/>
  <c r="I500" i="10"/>
  <c r="I505" i="10"/>
  <c r="B505" i="10"/>
  <c r="I474" i="10"/>
  <c r="I484" i="10"/>
  <c r="I504" i="10"/>
  <c r="I482" i="10"/>
  <c r="B500" i="10"/>
  <c r="H496" i="10"/>
  <c r="G496" i="10"/>
  <c r="F496" i="10"/>
  <c r="I507" i="10"/>
  <c r="I486" i="10"/>
  <c r="O452" i="10" s="1"/>
  <c r="H96" i="4" s="1"/>
  <c r="I499" i="10"/>
  <c r="I501" i="10" s="1"/>
  <c r="I480" i="10"/>
  <c r="I479" i="10"/>
  <c r="I478" i="10"/>
  <c r="I477" i="10"/>
  <c r="I476" i="10"/>
  <c r="I475" i="10"/>
  <c r="L452" i="10" s="1"/>
  <c r="E96" i="4" s="1"/>
  <c r="I473" i="10"/>
  <c r="I472" i="10"/>
  <c r="I471" i="10"/>
  <c r="I470" i="10"/>
  <c r="I489" i="10" s="1"/>
  <c r="B471" i="10"/>
  <c r="B472" i="10" s="1"/>
  <c r="B473" i="10" s="1"/>
  <c r="B474" i="10" s="1"/>
  <c r="B475" i="10" s="1"/>
  <c r="B476" i="10" s="1"/>
  <c r="B477" i="10" s="1"/>
  <c r="B478" i="10" s="1"/>
  <c r="B479" i="10" s="1"/>
  <c r="B480" i="10" s="1"/>
  <c r="Q462" i="10"/>
  <c r="O462" i="10"/>
  <c r="N462" i="10"/>
  <c r="M462" i="10"/>
  <c r="L462" i="10"/>
  <c r="K462" i="10"/>
  <c r="Q461" i="10"/>
  <c r="O461" i="10"/>
  <c r="N461" i="10"/>
  <c r="M461" i="10"/>
  <c r="L461" i="10"/>
  <c r="K461" i="10"/>
  <c r="F458" i="10"/>
  <c r="H457" i="10"/>
  <c r="Q456" i="10"/>
  <c r="O456" i="10"/>
  <c r="L456" i="10"/>
  <c r="Q455" i="10"/>
  <c r="O455" i="10"/>
  <c r="H97" i="4" s="1" a="1"/>
  <c r="H97" i="4" s="1"/>
  <c r="N455" i="10"/>
  <c r="M455" i="10"/>
  <c r="L455" i="10"/>
  <c r="E97" i="4" s="1" a="1"/>
  <c r="E97" i="4" s="1"/>
  <c r="K455" i="10"/>
  <c r="P454" i="10"/>
  <c r="P462" i="10" s="1"/>
  <c r="P453" i="10"/>
  <c r="F453" i="10"/>
  <c r="F454" i="10" s="1"/>
  <c r="H454" i="10" s="1"/>
  <c r="P96" i="4"/>
  <c r="C447" i="10"/>
  <c r="T446" i="10"/>
  <c r="A96" i="4" s="1"/>
  <c r="C446" i="10"/>
  <c r="C445" i="10"/>
  <c r="I260" i="15"/>
  <c r="I259" i="15"/>
  <c r="I258" i="15"/>
  <c r="I253" i="15"/>
  <c r="I251" i="15"/>
  <c r="I250" i="15"/>
  <c r="I249" i="15"/>
  <c r="I248" i="15"/>
  <c r="B248" i="15"/>
  <c r="B249" i="15" s="1"/>
  <c r="B250" i="15" s="1"/>
  <c r="B251" i="15" s="1"/>
  <c r="I212" i="15"/>
  <c r="I211" i="15"/>
  <c r="I255" i="15"/>
  <c r="I254" i="15"/>
  <c r="I226" i="15"/>
  <c r="I225" i="15"/>
  <c r="B225" i="15"/>
  <c r="B226" i="15" s="1"/>
  <c r="B227" i="15" s="1"/>
  <c r="I227" i="15"/>
  <c r="I208" i="15"/>
  <c r="I210" i="15"/>
  <c r="O184" i="15" s="1"/>
  <c r="H87" i="4" s="1"/>
  <c r="I207" i="15"/>
  <c r="I224" i="15"/>
  <c r="I229" i="15" s="1"/>
  <c r="I204" i="15"/>
  <c r="I247" i="15"/>
  <c r="B203" i="15"/>
  <c r="B204" i="15" s="1"/>
  <c r="B205" i="15" s="1"/>
  <c r="B206" i="15" s="1"/>
  <c r="B207" i="15" s="1"/>
  <c r="B208" i="15" s="1"/>
  <c r="B209" i="15" s="1"/>
  <c r="B210" i="15" s="1"/>
  <c r="B211" i="15" s="1"/>
  <c r="B212" i="15" s="1"/>
  <c r="I202" i="15"/>
  <c r="I213" i="15" s="1"/>
  <c r="Q194" i="15"/>
  <c r="O194" i="15"/>
  <c r="N194" i="15"/>
  <c r="M194" i="15"/>
  <c r="L194" i="15"/>
  <c r="K194" i="15"/>
  <c r="Q193" i="15"/>
  <c r="O193" i="15"/>
  <c r="N193" i="15"/>
  <c r="M193" i="15"/>
  <c r="L193" i="15"/>
  <c r="K193" i="15"/>
  <c r="F190" i="15"/>
  <c r="H189" i="15"/>
  <c r="Q188" i="15"/>
  <c r="O188" i="15"/>
  <c r="L188" i="15"/>
  <c r="Q187" i="15"/>
  <c r="O187" i="15"/>
  <c r="H88" i="4" s="1" a="1"/>
  <c r="H88" i="4" s="1"/>
  <c r="N187" i="15"/>
  <c r="M187" i="15"/>
  <c r="L187" i="15"/>
  <c r="K187" i="15"/>
  <c r="P186" i="15"/>
  <c r="P194" i="15" s="1"/>
  <c r="P185" i="15"/>
  <c r="F185" i="15"/>
  <c r="F186" i="15" s="1"/>
  <c r="H186" i="15" s="1"/>
  <c r="P87" i="4"/>
  <c r="S179" i="15"/>
  <c r="R179" i="15"/>
  <c r="Q179" i="15"/>
  <c r="P179" i="15"/>
  <c r="O179" i="15"/>
  <c r="N179" i="15"/>
  <c r="M179" i="15"/>
  <c r="L179" i="15"/>
  <c r="K179" i="15"/>
  <c r="C179" i="15"/>
  <c r="T178" i="15"/>
  <c r="A87" i="4" s="1"/>
  <c r="S178" i="15"/>
  <c r="R178" i="15"/>
  <c r="Q178" i="15"/>
  <c r="P178" i="15"/>
  <c r="O178" i="15"/>
  <c r="N178" i="15"/>
  <c r="M178" i="15"/>
  <c r="L178" i="15"/>
  <c r="K178" i="15"/>
  <c r="C178" i="15"/>
  <c r="C177" i="15"/>
  <c r="I280" i="8"/>
  <c r="I273" i="8"/>
  <c r="I272" i="8"/>
  <c r="I271" i="8"/>
  <c r="I270" i="8"/>
  <c r="I269" i="8"/>
  <c r="I268" i="8"/>
  <c r="I267" i="8"/>
  <c r="I266" i="8"/>
  <c r="I265" i="8"/>
  <c r="I264" i="8"/>
  <c r="I262" i="8"/>
  <c r="I263" i="8"/>
  <c r="I260" i="8"/>
  <c r="I259" i="8"/>
  <c r="I261" i="8"/>
  <c r="B261" i="8"/>
  <c r="B262" i="8" s="1"/>
  <c r="B263" i="8" s="1"/>
  <c r="I258" i="8"/>
  <c r="I248" i="8"/>
  <c r="I249" i="8" s="1"/>
  <c r="B248" i="8"/>
  <c r="H244" i="8"/>
  <c r="G244" i="8"/>
  <c r="F244" i="8"/>
  <c r="I244" i="8"/>
  <c r="P88" i="3"/>
  <c r="I238" i="8"/>
  <c r="I237" i="8"/>
  <c r="O211" i="8" s="1"/>
  <c r="H90" i="4" s="1"/>
  <c r="I236" i="8"/>
  <c r="N211" i="8" s="1"/>
  <c r="G90" i="4" s="1"/>
  <c r="I235" i="8"/>
  <c r="I234" i="8"/>
  <c r="I233" i="8"/>
  <c r="L211" i="8" s="1"/>
  <c r="E90" i="4" s="1"/>
  <c r="I232" i="8"/>
  <c r="I231" i="8"/>
  <c r="B231" i="8"/>
  <c r="B232" i="8" s="1"/>
  <c r="B233" i="8" s="1"/>
  <c r="B234" i="8" s="1"/>
  <c r="B235" i="8" s="1"/>
  <c r="B236" i="8" s="1"/>
  <c r="B237" i="8" s="1"/>
  <c r="B238" i="8" s="1"/>
  <c r="Q221" i="8"/>
  <c r="O221" i="8"/>
  <c r="N221" i="8"/>
  <c r="M221" i="8"/>
  <c r="L221" i="8"/>
  <c r="K221" i="8"/>
  <c r="Q220" i="8"/>
  <c r="O220" i="8"/>
  <c r="N220" i="8"/>
  <c r="M220" i="8"/>
  <c r="L220" i="8"/>
  <c r="K220" i="8"/>
  <c r="O88" i="3"/>
  <c r="R219" i="8"/>
  <c r="F217" i="8"/>
  <c r="H216" i="8"/>
  <c r="Q215" i="8"/>
  <c r="O215" i="8"/>
  <c r="N215" i="8"/>
  <c r="L215" i="8"/>
  <c r="F215" i="8"/>
  <c r="H215" i="8" s="1"/>
  <c r="Q214" i="8"/>
  <c r="O214" i="8"/>
  <c r="H91" i="4" s="1" a="1"/>
  <c r="H91" i="4" s="1"/>
  <c r="N214" i="8"/>
  <c r="G91" i="4" s="1" a="1"/>
  <c r="G91" i="4" s="1"/>
  <c r="M214" i="8"/>
  <c r="L214" i="8"/>
  <c r="E91" i="4" s="1" a="1"/>
  <c r="E91" i="4" s="1"/>
  <c r="K214" i="8"/>
  <c r="P213" i="8"/>
  <c r="P221" i="8" s="1"/>
  <c r="P212" i="8"/>
  <c r="F212" i="8"/>
  <c r="F213" i="8" s="1"/>
  <c r="H213" i="8" s="1"/>
  <c r="P90" i="4"/>
  <c r="F210" i="8"/>
  <c r="S206" i="8"/>
  <c r="R206" i="8"/>
  <c r="Q206" i="8"/>
  <c r="P206" i="8"/>
  <c r="O206" i="8"/>
  <c r="N206" i="8"/>
  <c r="M206" i="8"/>
  <c r="L206" i="8"/>
  <c r="K206" i="8"/>
  <c r="C206" i="8"/>
  <c r="T205" i="8"/>
  <c r="A90" i="4" s="1"/>
  <c r="S205" i="8"/>
  <c r="R205" i="8"/>
  <c r="Q205" i="8"/>
  <c r="P205" i="8"/>
  <c r="O205" i="8"/>
  <c r="N205" i="8"/>
  <c r="M205" i="8"/>
  <c r="L205" i="8"/>
  <c r="K205" i="8"/>
  <c r="C205" i="8"/>
  <c r="C204" i="8"/>
  <c r="I75" i="17"/>
  <c r="B75" i="17"/>
  <c r="B76" i="17" s="1"/>
  <c r="B77" i="17" s="1"/>
  <c r="B78" i="17" s="1"/>
  <c r="B79" i="17" s="1"/>
  <c r="B80" i="17" s="1"/>
  <c r="I74" i="17"/>
  <c r="I68" i="17"/>
  <c r="B68" i="17"/>
  <c r="B69" i="17" s="1"/>
  <c r="B70" i="17" s="1"/>
  <c r="I67" i="17"/>
  <c r="Q54" i="17"/>
  <c r="O54" i="17"/>
  <c r="N54" i="17"/>
  <c r="M54" i="17"/>
  <c r="L54" i="17"/>
  <c r="K54" i="17"/>
  <c r="Q53" i="17"/>
  <c r="O53" i="17"/>
  <c r="N53" i="17"/>
  <c r="M53" i="17"/>
  <c r="L53" i="17"/>
  <c r="K53" i="17"/>
  <c r="O100" i="3"/>
  <c r="M100" i="3"/>
  <c r="F50" i="17"/>
  <c r="H49" i="17"/>
  <c r="O48" i="17"/>
  <c r="N48" i="17"/>
  <c r="M48" i="17"/>
  <c r="L48" i="17"/>
  <c r="F48" i="17"/>
  <c r="H48" i="17" s="1"/>
  <c r="Q47" i="17"/>
  <c r="O47" i="17"/>
  <c r="N47" i="17"/>
  <c r="M47" i="17"/>
  <c r="L47" i="17"/>
  <c r="K47" i="17"/>
  <c r="P46" i="17"/>
  <c r="P54" i="17" s="1"/>
  <c r="P45" i="17"/>
  <c r="N102" i="4"/>
  <c r="F43" i="17"/>
  <c r="S39" i="17"/>
  <c r="R39" i="17"/>
  <c r="Q39" i="17"/>
  <c r="P39" i="17"/>
  <c r="O39" i="17"/>
  <c r="N39" i="17"/>
  <c r="M39" i="17"/>
  <c r="L39" i="17"/>
  <c r="K39" i="17"/>
  <c r="C39" i="17"/>
  <c r="T38" i="17"/>
  <c r="A102" i="4" s="1"/>
  <c r="S38" i="17"/>
  <c r="R38" i="17"/>
  <c r="Q38" i="17"/>
  <c r="P38" i="17"/>
  <c r="O38" i="17"/>
  <c r="N38" i="17"/>
  <c r="M38" i="17"/>
  <c r="L38" i="17"/>
  <c r="K38" i="17"/>
  <c r="C38" i="17"/>
  <c r="C37" i="17"/>
  <c r="I450" i="5"/>
  <c r="I449" i="5"/>
  <c r="I448" i="5"/>
  <c r="I447" i="5"/>
  <c r="I446" i="5"/>
  <c r="I444" i="5"/>
  <c r="I443" i="5"/>
  <c r="I442" i="5"/>
  <c r="I441" i="5"/>
  <c r="B441" i="5"/>
  <c r="B442" i="5" s="1"/>
  <c r="B443" i="5" s="1"/>
  <c r="B444" i="5" s="1"/>
  <c r="I440" i="5"/>
  <c r="I410" i="5"/>
  <c r="H422" i="5"/>
  <c r="G422" i="5"/>
  <c r="F422" i="5"/>
  <c r="I422" i="5"/>
  <c r="F393" i="5" s="1"/>
  <c r="F394" i="5" s="1"/>
  <c r="Q82" i="3"/>
  <c r="I415" i="5"/>
  <c r="I414" i="5"/>
  <c r="I413" i="5"/>
  <c r="I412" i="5"/>
  <c r="I445" i="5"/>
  <c r="I409" i="5"/>
  <c r="M390" i="5" s="1"/>
  <c r="F84" i="4" s="1"/>
  <c r="B409" i="5"/>
  <c r="B410" i="5" s="1"/>
  <c r="B411" i="5" s="1"/>
  <c r="I408" i="5"/>
  <c r="Q400" i="5"/>
  <c r="O400" i="5"/>
  <c r="N400" i="5"/>
  <c r="M400" i="5"/>
  <c r="L400" i="5"/>
  <c r="K400" i="5"/>
  <c r="Q399" i="5"/>
  <c r="O399" i="5"/>
  <c r="N399" i="5"/>
  <c r="M399" i="5"/>
  <c r="L399" i="5"/>
  <c r="K399" i="5"/>
  <c r="O82" i="3"/>
  <c r="M82" i="3"/>
  <c r="F396" i="5"/>
  <c r="H395" i="5"/>
  <c r="Q394" i="5"/>
  <c r="M394" i="5"/>
  <c r="K394" i="5"/>
  <c r="H394" i="5"/>
  <c r="Q393" i="5"/>
  <c r="O393" i="5"/>
  <c r="N393" i="5"/>
  <c r="M393" i="5"/>
  <c r="F85" i="4" s="1" a="1"/>
  <c r="F85" i="4" s="1"/>
  <c r="L393" i="5"/>
  <c r="K393" i="5"/>
  <c r="P392" i="5"/>
  <c r="P400" i="5" s="1"/>
  <c r="P391" i="5"/>
  <c r="F391" i="5"/>
  <c r="F392" i="5" s="1"/>
  <c r="H392" i="5" s="1"/>
  <c r="P84" i="4"/>
  <c r="F389" i="5"/>
  <c r="S385" i="5"/>
  <c r="R385" i="5"/>
  <c r="Q385" i="5"/>
  <c r="P385" i="5"/>
  <c r="O385" i="5"/>
  <c r="N385" i="5"/>
  <c r="M385" i="5"/>
  <c r="L385" i="5"/>
  <c r="K385" i="5"/>
  <c r="C385" i="5"/>
  <c r="T384" i="5"/>
  <c r="A84" i="4" s="1"/>
  <c r="S384" i="5"/>
  <c r="R384" i="5"/>
  <c r="Q384" i="5"/>
  <c r="P384" i="5"/>
  <c r="O384" i="5"/>
  <c r="N384" i="5"/>
  <c r="M384" i="5"/>
  <c r="L384" i="5"/>
  <c r="K384" i="5"/>
  <c r="C384" i="5"/>
  <c r="C383" i="5"/>
  <c r="I75" i="3"/>
  <c r="X378" i="5"/>
  <c r="W378" i="5"/>
  <c r="T378" i="5"/>
  <c r="H377" i="5"/>
  <c r="F377" i="5"/>
  <c r="H344" i="5"/>
  <c r="F344" i="5"/>
  <c r="S336" i="5"/>
  <c r="R336" i="5"/>
  <c r="Q336" i="5"/>
  <c r="P336" i="5"/>
  <c r="O336" i="5"/>
  <c r="N336" i="5"/>
  <c r="M336" i="5"/>
  <c r="L336" i="5"/>
  <c r="K336" i="5"/>
  <c r="S335" i="5"/>
  <c r="R335" i="5"/>
  <c r="Q335" i="5"/>
  <c r="P335" i="5"/>
  <c r="O335" i="5"/>
  <c r="N335" i="5"/>
  <c r="M335" i="5"/>
  <c r="L335" i="5"/>
  <c r="K335" i="5"/>
  <c r="H335" i="5"/>
  <c r="R311" i="5"/>
  <c r="O311" i="5"/>
  <c r="V334" i="5"/>
  <c r="G344" i="5"/>
  <c r="V333" i="5"/>
  <c r="O361" i="10"/>
  <c r="H439" i="10"/>
  <c r="F439" i="10"/>
  <c r="H402" i="10"/>
  <c r="F402" i="10"/>
  <c r="H398" i="10"/>
  <c r="F398" i="10"/>
  <c r="S393" i="10"/>
  <c r="R393" i="10"/>
  <c r="Q393" i="10"/>
  <c r="P393" i="10"/>
  <c r="O393" i="10"/>
  <c r="N393" i="10"/>
  <c r="M393" i="10"/>
  <c r="L393" i="10"/>
  <c r="K393" i="10"/>
  <c r="S392" i="10"/>
  <c r="R392" i="10"/>
  <c r="Q392" i="10"/>
  <c r="P392" i="10"/>
  <c r="O392" i="10"/>
  <c r="N392" i="10"/>
  <c r="M392" i="10"/>
  <c r="L392" i="10"/>
  <c r="K392" i="10"/>
  <c r="H392" i="10"/>
  <c r="G391" i="10"/>
  <c r="O278" i="9"/>
  <c r="G310" i="9"/>
  <c r="W309" i="9"/>
  <c r="G309" i="9"/>
  <c r="I309" i="9" s="1"/>
  <c r="O19" i="17"/>
  <c r="N19" i="17"/>
  <c r="H140" i="15"/>
  <c r="G140" i="15"/>
  <c r="F140" i="15"/>
  <c r="H134" i="15"/>
  <c r="F134" i="15"/>
  <c r="S130" i="15"/>
  <c r="R130" i="15"/>
  <c r="Q130" i="15"/>
  <c r="P130" i="15"/>
  <c r="O130" i="15"/>
  <c r="N130" i="15"/>
  <c r="M130" i="15"/>
  <c r="L130" i="15"/>
  <c r="K130" i="15"/>
  <c r="S129" i="15"/>
  <c r="R129" i="15"/>
  <c r="Q129" i="15"/>
  <c r="P129" i="15"/>
  <c r="O129" i="15"/>
  <c r="N129" i="15"/>
  <c r="M129" i="15"/>
  <c r="L129" i="15"/>
  <c r="K129" i="15"/>
  <c r="X172" i="15"/>
  <c r="W172" i="15"/>
  <c r="T172" i="15"/>
  <c r="H171" i="15"/>
  <c r="F171" i="15"/>
  <c r="G152" i="8"/>
  <c r="O126" i="8"/>
  <c r="I197" i="8"/>
  <c r="I189" i="8"/>
  <c r="V128" i="15"/>
  <c r="K153" i="8"/>
  <c r="G164" i="15"/>
  <c r="H78" i="11"/>
  <c r="G78" i="11"/>
  <c r="F78" i="11"/>
  <c r="H153" i="8"/>
  <c r="S153" i="8"/>
  <c r="R153" i="8"/>
  <c r="Q153" i="8"/>
  <c r="P153" i="8"/>
  <c r="O153" i="8"/>
  <c r="N153" i="8"/>
  <c r="M153" i="8"/>
  <c r="L153" i="8"/>
  <c r="H343" i="9"/>
  <c r="F343" i="9"/>
  <c r="H298" i="9"/>
  <c r="F298" i="9"/>
  <c r="V384" i="10"/>
  <c r="V148" i="8"/>
  <c r="G315" i="9"/>
  <c r="G142" i="8"/>
  <c r="G332" i="5"/>
  <c r="X437" i="9"/>
  <c r="W437" i="9"/>
  <c r="V437" i="9"/>
  <c r="I435" i="9"/>
  <c r="I434" i="9"/>
  <c r="I433" i="9"/>
  <c r="I432" i="9"/>
  <c r="I431" i="9"/>
  <c r="I430" i="9"/>
  <c r="I429" i="9"/>
  <c r="I428" i="9"/>
  <c r="I427" i="9"/>
  <c r="I426" i="9"/>
  <c r="I425" i="9"/>
  <c r="B425" i="9"/>
  <c r="B426" i="9" s="1"/>
  <c r="B427" i="9" s="1"/>
  <c r="B428" i="9" s="1"/>
  <c r="B429" i="9" s="1"/>
  <c r="B430" i="9" s="1"/>
  <c r="B431" i="9" s="1"/>
  <c r="B432" i="9" s="1"/>
  <c r="B433" i="9" s="1"/>
  <c r="B434" i="9" s="1"/>
  <c r="B435" i="9" s="1"/>
  <c r="I424" i="9"/>
  <c r="I387" i="9"/>
  <c r="I406" i="9"/>
  <c r="B406" i="9"/>
  <c r="I386" i="9"/>
  <c r="I385" i="9"/>
  <c r="I384" i="9"/>
  <c r="N356" i="9" s="1"/>
  <c r="G93" i="4" s="1"/>
  <c r="I400" i="9"/>
  <c r="I383" i="9"/>
  <c r="I382" i="9"/>
  <c r="I380" i="9"/>
  <c r="I379" i="9"/>
  <c r="I377" i="9"/>
  <c r="I376" i="9"/>
  <c r="I375" i="9"/>
  <c r="B375" i="9"/>
  <c r="B376" i="9" s="1"/>
  <c r="B377" i="9" s="1"/>
  <c r="Q366" i="9"/>
  <c r="O366" i="9"/>
  <c r="N366" i="9"/>
  <c r="M366" i="9"/>
  <c r="L366" i="9"/>
  <c r="K366" i="9"/>
  <c r="Q365" i="9"/>
  <c r="O365" i="9"/>
  <c r="N365" i="9"/>
  <c r="M365" i="9"/>
  <c r="L365" i="9"/>
  <c r="K365" i="9"/>
  <c r="O91" i="3"/>
  <c r="R364" i="9"/>
  <c r="M91" i="3" s="1"/>
  <c r="F362" i="9"/>
  <c r="H361" i="9"/>
  <c r="Q360" i="9"/>
  <c r="N360" i="9"/>
  <c r="Q359" i="9"/>
  <c r="O359" i="9"/>
  <c r="N359" i="9"/>
  <c r="G94" i="4" s="1" a="1"/>
  <c r="G94" i="4" s="1"/>
  <c r="M359" i="9"/>
  <c r="L359" i="9"/>
  <c r="K359" i="9"/>
  <c r="P358" i="9"/>
  <c r="P366" i="9" s="1"/>
  <c r="P357" i="9"/>
  <c r="F357" i="9"/>
  <c r="F358" i="9" s="1"/>
  <c r="H358" i="9" s="1"/>
  <c r="P93" i="4"/>
  <c r="F355" i="9"/>
  <c r="S351" i="9"/>
  <c r="R351" i="9"/>
  <c r="Q351" i="9"/>
  <c r="P351" i="9"/>
  <c r="O351" i="9"/>
  <c r="N351" i="9"/>
  <c r="M351" i="9"/>
  <c r="L351" i="9"/>
  <c r="K351" i="9"/>
  <c r="C351" i="9"/>
  <c r="T350" i="9"/>
  <c r="A93" i="4" s="1"/>
  <c r="S350" i="9"/>
  <c r="R350" i="9"/>
  <c r="Q350" i="9"/>
  <c r="P350" i="9"/>
  <c r="O350" i="9"/>
  <c r="N350" i="9"/>
  <c r="M350" i="9"/>
  <c r="L350" i="9"/>
  <c r="K350" i="9"/>
  <c r="C350" i="9"/>
  <c r="C349" i="9"/>
  <c r="H115" i="11"/>
  <c r="F115" i="11"/>
  <c r="G114" i="11"/>
  <c r="X116" i="11"/>
  <c r="W116" i="11"/>
  <c r="V116" i="11"/>
  <c r="T116" i="11"/>
  <c r="S111" i="11"/>
  <c r="R111" i="11"/>
  <c r="Q111" i="11"/>
  <c r="P111" i="11"/>
  <c r="O111" i="11"/>
  <c r="N111" i="11"/>
  <c r="M111" i="11"/>
  <c r="L111" i="11"/>
  <c r="K111" i="11"/>
  <c r="S110" i="11"/>
  <c r="R110" i="11"/>
  <c r="Q110" i="11"/>
  <c r="P110" i="11"/>
  <c r="O110" i="11"/>
  <c r="N110" i="11"/>
  <c r="M110" i="11"/>
  <c r="L110" i="11"/>
  <c r="K110" i="11"/>
  <c r="H110" i="11"/>
  <c r="G110" i="11"/>
  <c r="F110" i="11"/>
  <c r="I109" i="11"/>
  <c r="I110" i="11" s="1"/>
  <c r="G89" i="11" s="1"/>
  <c r="Q101" i="11"/>
  <c r="O101" i="11"/>
  <c r="N101" i="11"/>
  <c r="M101" i="11"/>
  <c r="L101" i="11"/>
  <c r="K101" i="11"/>
  <c r="Q100" i="11"/>
  <c r="O100" i="11"/>
  <c r="N100" i="11"/>
  <c r="M100" i="11"/>
  <c r="L100" i="11"/>
  <c r="K100" i="11"/>
  <c r="F97" i="11"/>
  <c r="H96" i="11"/>
  <c r="Q95" i="11"/>
  <c r="O95" i="11"/>
  <c r="N95" i="11"/>
  <c r="M95" i="11"/>
  <c r="L95" i="11"/>
  <c r="K95" i="11"/>
  <c r="F95" i="11"/>
  <c r="H95" i="11" s="1"/>
  <c r="Q94" i="11"/>
  <c r="O94" i="11"/>
  <c r="N94" i="11"/>
  <c r="M94" i="11"/>
  <c r="L94" i="11"/>
  <c r="K94" i="11"/>
  <c r="P93" i="11"/>
  <c r="P101" i="11" s="1"/>
  <c r="P92" i="11"/>
  <c r="F92" i="11"/>
  <c r="F93" i="11" s="1"/>
  <c r="H93" i="11" s="1"/>
  <c r="P91" i="11"/>
  <c r="P95" i="11" s="1"/>
  <c r="F90" i="11"/>
  <c r="F89" i="11"/>
  <c r="F91" i="11" s="1"/>
  <c r="H91" i="11" s="1"/>
  <c r="C89" i="11"/>
  <c r="S86" i="11"/>
  <c r="R86" i="11"/>
  <c r="Q86" i="11"/>
  <c r="P86" i="11"/>
  <c r="O86" i="11"/>
  <c r="N86" i="11"/>
  <c r="M86" i="11"/>
  <c r="L86" i="11"/>
  <c r="K86" i="11"/>
  <c r="C86" i="11"/>
  <c r="T85" i="11"/>
  <c r="S85" i="11"/>
  <c r="R85" i="11"/>
  <c r="Q85" i="11"/>
  <c r="P85" i="11"/>
  <c r="O85" i="11"/>
  <c r="N85" i="11"/>
  <c r="M85" i="11"/>
  <c r="L85" i="11"/>
  <c r="K85" i="11"/>
  <c r="C85" i="11"/>
  <c r="C84" i="11"/>
  <c r="S58" i="11"/>
  <c r="S50" i="11"/>
  <c r="G73" i="11"/>
  <c r="G290" i="9"/>
  <c r="S58" i="13"/>
  <c r="R58" i="13"/>
  <c r="S50" i="13"/>
  <c r="R50" i="13"/>
  <c r="G383" i="10"/>
  <c r="H311" i="9"/>
  <c r="F311" i="9"/>
  <c r="R278" i="9" s="1"/>
  <c r="S299" i="9"/>
  <c r="R299" i="9"/>
  <c r="Q299" i="9"/>
  <c r="P299" i="9"/>
  <c r="O299" i="9"/>
  <c r="N299" i="9"/>
  <c r="M299" i="9"/>
  <c r="L299" i="9"/>
  <c r="K299" i="9"/>
  <c r="S298" i="9"/>
  <c r="R298" i="9"/>
  <c r="P298" i="9"/>
  <c r="O298" i="9"/>
  <c r="N298" i="9"/>
  <c r="M298" i="9"/>
  <c r="L298" i="9"/>
  <c r="K298" i="9"/>
  <c r="S154" i="8"/>
  <c r="R154" i="8"/>
  <c r="Q154" i="8"/>
  <c r="P154" i="8"/>
  <c r="O154" i="8"/>
  <c r="N154" i="8"/>
  <c r="M154" i="8"/>
  <c r="L154" i="8"/>
  <c r="K154" i="8"/>
  <c r="Q75" i="3"/>
  <c r="N311" i="5"/>
  <c r="V332" i="5"/>
  <c r="N361" i="10"/>
  <c r="G432" i="10"/>
  <c r="G164" i="8"/>
  <c r="G165" i="8" s="1"/>
  <c r="G294" i="9"/>
  <c r="G133" i="15"/>
  <c r="G134" i="15" s="1"/>
  <c r="G122" i="15"/>
  <c r="G125" i="15"/>
  <c r="P256" i="7"/>
  <c r="K57" i="3"/>
  <c r="B60" i="4"/>
  <c r="G57" i="3"/>
  <c r="R108" i="15"/>
  <c r="M57" i="3" s="1"/>
  <c r="N278" i="9"/>
  <c r="V294" i="9"/>
  <c r="G163" i="15"/>
  <c r="N108" i="15"/>
  <c r="F57" i="3" s="1"/>
  <c r="V307" i="9"/>
  <c r="V29" i="17"/>
  <c r="N126" i="8"/>
  <c r="P19" i="17"/>
  <c r="G180" i="8"/>
  <c r="V164" i="8"/>
  <c r="F72" i="3"/>
  <c r="G72" i="3"/>
  <c r="H72" i="3"/>
  <c r="K72" i="3"/>
  <c r="G150" i="8"/>
  <c r="J72" i="3"/>
  <c r="L72" i="3"/>
  <c r="B75" i="4"/>
  <c r="T32" i="17"/>
  <c r="V32" i="17"/>
  <c r="W32" i="17"/>
  <c r="X32" i="17"/>
  <c r="I29" i="17"/>
  <c r="K5" i="17"/>
  <c r="L5" i="17"/>
  <c r="M5" i="17"/>
  <c r="N5" i="17"/>
  <c r="O5" i="17"/>
  <c r="P5" i="17"/>
  <c r="Q5" i="17"/>
  <c r="R5" i="17"/>
  <c r="S5" i="17"/>
  <c r="T5" i="17"/>
  <c r="A75" i="4" s="1"/>
  <c r="K6" i="17"/>
  <c r="L6" i="17"/>
  <c r="M6" i="17"/>
  <c r="N6" i="17"/>
  <c r="O6" i="17"/>
  <c r="P6" i="17"/>
  <c r="Q6" i="17"/>
  <c r="R6" i="17"/>
  <c r="S6" i="17"/>
  <c r="F10" i="17"/>
  <c r="P75" i="4"/>
  <c r="F12" i="17"/>
  <c r="P12" i="17"/>
  <c r="C5" i="17" s="1"/>
  <c r="F13" i="17"/>
  <c r="H13" i="17"/>
  <c r="P13" i="17"/>
  <c r="C6" i="17" s="1"/>
  <c r="K14" i="17"/>
  <c r="L14" i="17"/>
  <c r="M14" i="17"/>
  <c r="N14" i="17"/>
  <c r="O14" i="17"/>
  <c r="P14" i="17"/>
  <c r="C7" i="17" s="1"/>
  <c r="Q14" i="17"/>
  <c r="F15" i="17"/>
  <c r="H15" i="17"/>
  <c r="K15" i="17"/>
  <c r="L15" i="17"/>
  <c r="M15" i="17"/>
  <c r="Q15" i="17"/>
  <c r="H16" i="17"/>
  <c r="F17" i="17"/>
  <c r="M72" i="3"/>
  <c r="N72" i="3" s="1"/>
  <c r="O72" i="3"/>
  <c r="K20" i="17"/>
  <c r="L20" i="17"/>
  <c r="M20" i="17"/>
  <c r="N20" i="17"/>
  <c r="O20" i="17"/>
  <c r="P20" i="17"/>
  <c r="Q20" i="17"/>
  <c r="K21" i="17"/>
  <c r="L21" i="17"/>
  <c r="M21" i="17"/>
  <c r="N21" i="17"/>
  <c r="O21" i="17"/>
  <c r="P21" i="17"/>
  <c r="Q21" i="17"/>
  <c r="K22" i="17"/>
  <c r="L22" i="17"/>
  <c r="M22" i="17"/>
  <c r="N22" i="17"/>
  <c r="O22" i="17"/>
  <c r="P22" i="17"/>
  <c r="Q22" i="17"/>
  <c r="K23" i="17"/>
  <c r="L23" i="17"/>
  <c r="M23" i="17"/>
  <c r="N23" i="17"/>
  <c r="O23" i="17"/>
  <c r="P23" i="17"/>
  <c r="H73" i="3" s="1" a="1"/>
  <c r="H73" i="3" s="1"/>
  <c r="Q23" i="17"/>
  <c r="V126" i="15"/>
  <c r="G162" i="15"/>
  <c r="G124" i="15"/>
  <c r="V125" i="15"/>
  <c r="V124" i="15"/>
  <c r="V376" i="10"/>
  <c r="B307" i="9"/>
  <c r="B72" i="4"/>
  <c r="K69" i="3"/>
  <c r="N58" i="11"/>
  <c r="V73" i="11"/>
  <c r="V140" i="8"/>
  <c r="V325" i="5"/>
  <c r="V326" i="5"/>
  <c r="G380" i="10"/>
  <c r="G121" i="15"/>
  <c r="G329" i="5"/>
  <c r="G330" i="5"/>
  <c r="V291" i="9"/>
  <c r="G325" i="5"/>
  <c r="G326" i="5"/>
  <c r="M278" i="9"/>
  <c r="P278" i="9" s="1"/>
  <c r="M311" i="5"/>
  <c r="G370" i="5"/>
  <c r="I332" i="5"/>
  <c r="V343" i="5"/>
  <c r="V331" i="5"/>
  <c r="V330" i="5"/>
  <c r="V329" i="5"/>
  <c r="G369" i="5"/>
  <c r="G367" i="5"/>
  <c r="G368" i="5"/>
  <c r="V328" i="5"/>
  <c r="V383" i="10"/>
  <c r="G382" i="10"/>
  <c r="G381" i="10"/>
  <c r="W381" i="10"/>
  <c r="G431" i="10"/>
  <c r="V380" i="10"/>
  <c r="F380" i="10"/>
  <c r="M361" i="10" s="1"/>
  <c r="G430" i="10"/>
  <c r="G160" i="15"/>
  <c r="G159" i="15"/>
  <c r="V123" i="15"/>
  <c r="I124" i="15"/>
  <c r="I123" i="15"/>
  <c r="F122" i="15"/>
  <c r="V122" i="15"/>
  <c r="F121" i="15"/>
  <c r="M108" i="15" s="1"/>
  <c r="E57" i="3" s="1"/>
  <c r="V121" i="15"/>
  <c r="G327" i="9"/>
  <c r="G343" i="9" s="1"/>
  <c r="V306" i="9"/>
  <c r="G306" i="9"/>
  <c r="G311" i="9" s="1"/>
  <c r="G179" i="8"/>
  <c r="V120" i="15"/>
  <c r="V119" i="15"/>
  <c r="V172" i="15" s="1"/>
  <c r="V324" i="5"/>
  <c r="B322" i="5"/>
  <c r="B323" i="5" s="1"/>
  <c r="B324" i="5" s="1"/>
  <c r="B325" i="5" s="1"/>
  <c r="B326" i="5" s="1"/>
  <c r="B327" i="5" s="1"/>
  <c r="V322" i="5"/>
  <c r="V149" i="8"/>
  <c r="F149" i="8"/>
  <c r="F153" i="8" s="1"/>
  <c r="G177" i="8"/>
  <c r="G176" i="8"/>
  <c r="G175" i="8"/>
  <c r="G178" i="8"/>
  <c r="G144" i="8"/>
  <c r="G147" i="8"/>
  <c r="G146" i="8"/>
  <c r="V146" i="8"/>
  <c r="G207" i="9"/>
  <c r="G158" i="8"/>
  <c r="G211" i="12"/>
  <c r="G277" i="10"/>
  <c r="G119" i="15"/>
  <c r="G402" i="10"/>
  <c r="G398" i="10"/>
  <c r="L126" i="8"/>
  <c r="G366" i="5"/>
  <c r="V327" i="5"/>
  <c r="G365" i="5"/>
  <c r="G364" i="5"/>
  <c r="F325" i="5"/>
  <c r="G429" i="10"/>
  <c r="G428" i="10"/>
  <c r="I380" i="10"/>
  <c r="G379" i="10"/>
  <c r="F379" i="10"/>
  <c r="F392" i="10" s="1"/>
  <c r="V429" i="10"/>
  <c r="V379" i="10"/>
  <c r="I379" i="10"/>
  <c r="V396" i="10"/>
  <c r="G378" i="10"/>
  <c r="G425" i="10"/>
  <c r="I396" i="10"/>
  <c r="V401" i="10"/>
  <c r="G158" i="15"/>
  <c r="G171" i="15" s="1"/>
  <c r="F120" i="15"/>
  <c r="F129" i="15" s="1"/>
  <c r="G120" i="15"/>
  <c r="F322" i="5"/>
  <c r="F335" i="5" s="1"/>
  <c r="P54" i="3" s="1"/>
  <c r="W199" i="8"/>
  <c r="X199" i="8"/>
  <c r="T199" i="8"/>
  <c r="V138" i="8"/>
  <c r="V199" i="8" s="1"/>
  <c r="V377" i="10"/>
  <c r="V374" i="10"/>
  <c r="B373" i="10"/>
  <c r="B374" i="10" s="1"/>
  <c r="B375" i="10" s="1"/>
  <c r="B376" i="10" s="1"/>
  <c r="B377" i="10" s="1"/>
  <c r="J51" i="4"/>
  <c r="F206" i="5"/>
  <c r="H420" i="10"/>
  <c r="F420" i="10"/>
  <c r="G419" i="10"/>
  <c r="I419" i="10" s="1"/>
  <c r="L272" i="10"/>
  <c r="M272" i="10"/>
  <c r="N272" i="10"/>
  <c r="O272" i="10"/>
  <c r="P272" i="10"/>
  <c r="Q272" i="10"/>
  <c r="R272" i="10"/>
  <c r="S272" i="10"/>
  <c r="K272" i="10"/>
  <c r="L271" i="10"/>
  <c r="M271" i="10"/>
  <c r="N271" i="10"/>
  <c r="O271" i="10"/>
  <c r="P271" i="10"/>
  <c r="Q271" i="10"/>
  <c r="R271" i="10"/>
  <c r="S271" i="10"/>
  <c r="K271" i="10"/>
  <c r="F271" i="10"/>
  <c r="F205" i="5"/>
  <c r="H271" i="10"/>
  <c r="H288" i="10"/>
  <c r="F288" i="10"/>
  <c r="B287" i="10"/>
  <c r="F278" i="10"/>
  <c r="G418" i="10"/>
  <c r="G420" i="10" s="1"/>
  <c r="B418" i="10"/>
  <c r="B419" i="10" s="1"/>
  <c r="I417" i="10"/>
  <c r="H414" i="10"/>
  <c r="I413" i="10"/>
  <c r="F412" i="10"/>
  <c r="G411" i="10"/>
  <c r="I411" i="10" s="1"/>
  <c r="G410" i="10"/>
  <c r="I410" i="10" s="1"/>
  <c r="G409" i="10"/>
  <c r="I409" i="10" s="1"/>
  <c r="G408" i="10"/>
  <c r="I408" i="10" s="1"/>
  <c r="I407" i="10"/>
  <c r="G406" i="10"/>
  <c r="I406" i="10" s="1"/>
  <c r="B406" i="10"/>
  <c r="B407" i="10" s="1"/>
  <c r="B408" i="10" s="1"/>
  <c r="B409" i="10" s="1"/>
  <c r="B410" i="10" s="1"/>
  <c r="B411" i="10" s="1"/>
  <c r="B412" i="10" s="1"/>
  <c r="B413" i="10" s="1"/>
  <c r="G405" i="10"/>
  <c r="V277" i="10"/>
  <c r="B276" i="10"/>
  <c r="H276" i="10"/>
  <c r="H278" i="10" s="1"/>
  <c r="V275" i="10"/>
  <c r="I323" i="9"/>
  <c r="G322" i="9"/>
  <c r="I322" i="9" s="1"/>
  <c r="G321" i="9"/>
  <c r="F321" i="9"/>
  <c r="I321" i="9" s="1"/>
  <c r="I315" i="9"/>
  <c r="G222" i="9"/>
  <c r="H324" i="9"/>
  <c r="F324" i="9"/>
  <c r="G320" i="9"/>
  <c r="I320" i="9" s="1"/>
  <c r="B320" i="9"/>
  <c r="B321" i="9" s="1"/>
  <c r="B322" i="9" s="1"/>
  <c r="B323" i="9" s="1"/>
  <c r="G319" i="9"/>
  <c r="H316" i="9"/>
  <c r="F316" i="9"/>
  <c r="G302" i="9"/>
  <c r="B315" i="9"/>
  <c r="I314" i="9"/>
  <c r="H234" i="9"/>
  <c r="F234" i="9"/>
  <c r="H229" i="9"/>
  <c r="F229" i="9"/>
  <c r="B228" i="9"/>
  <c r="V228" i="9"/>
  <c r="F212" i="9"/>
  <c r="I160" i="8"/>
  <c r="I159" i="8"/>
  <c r="B159" i="8"/>
  <c r="B160" i="8" s="1"/>
  <c r="I157" i="8"/>
  <c r="G170" i="8"/>
  <c r="I170" i="8" s="1"/>
  <c r="B170" i="8"/>
  <c r="H169" i="8"/>
  <c r="H171" i="8" s="1"/>
  <c r="G169" i="8"/>
  <c r="V87" i="8"/>
  <c r="V80" i="8"/>
  <c r="G86" i="8"/>
  <c r="G85" i="8"/>
  <c r="H78" i="8"/>
  <c r="V74" i="8"/>
  <c r="G246" i="5"/>
  <c r="G359" i="5"/>
  <c r="H272" i="7"/>
  <c r="G272" i="7"/>
  <c r="F272" i="7"/>
  <c r="I271" i="7"/>
  <c r="I272" i="7" s="1"/>
  <c r="G214" i="7"/>
  <c r="F214" i="7"/>
  <c r="V213" i="7"/>
  <c r="G220" i="7"/>
  <c r="H220" i="7"/>
  <c r="F220" i="7"/>
  <c r="B211" i="7"/>
  <c r="B212" i="7" s="1"/>
  <c r="B213" i="7" s="1"/>
  <c r="V211" i="7"/>
  <c r="V210" i="7"/>
  <c r="G322" i="5"/>
  <c r="K126" i="8"/>
  <c r="I139" i="8"/>
  <c r="G137" i="8"/>
  <c r="G136" i="8"/>
  <c r="G153" i="8" s="1"/>
  <c r="I325" i="5"/>
  <c r="V321" i="5"/>
  <c r="G363" i="5"/>
  <c r="G377" i="5" s="1"/>
  <c r="K361" i="10"/>
  <c r="G424" i="10"/>
  <c r="G423" i="10"/>
  <c r="G439" i="10" s="1"/>
  <c r="G373" i="10"/>
  <c r="G375" i="10"/>
  <c r="I376" i="10"/>
  <c r="I375" i="10"/>
  <c r="H340" i="10"/>
  <c r="G340" i="10"/>
  <c r="F340" i="10"/>
  <c r="I339" i="10"/>
  <c r="I340" i="10" s="1"/>
  <c r="E54" i="3"/>
  <c r="F54" i="3"/>
  <c r="G54" i="3"/>
  <c r="D60" i="3"/>
  <c r="F60" i="3"/>
  <c r="G60" i="3"/>
  <c r="E63" i="3"/>
  <c r="F63" i="3"/>
  <c r="G63" i="3"/>
  <c r="H63" i="3"/>
  <c r="E66" i="3"/>
  <c r="F66" i="3"/>
  <c r="G66" i="3"/>
  <c r="K66" i="3"/>
  <c r="C66" i="3"/>
  <c r="K63" i="3"/>
  <c r="K60" i="3"/>
  <c r="C60" i="3"/>
  <c r="K54" i="3"/>
  <c r="I47" i="3"/>
  <c r="B69" i="4"/>
  <c r="B66" i="4"/>
  <c r="B63" i="4"/>
  <c r="B57" i="4"/>
  <c r="G360" i="5"/>
  <c r="H360" i="5"/>
  <c r="F360" i="5"/>
  <c r="B359" i="5"/>
  <c r="I359" i="5"/>
  <c r="G339" i="5"/>
  <c r="I339" i="5" s="1"/>
  <c r="G242" i="5"/>
  <c r="H237" i="5"/>
  <c r="B237" i="5"/>
  <c r="B238" i="5" s="1"/>
  <c r="I358" i="5"/>
  <c r="I360" i="5" s="1"/>
  <c r="H354" i="5"/>
  <c r="G354" i="5"/>
  <c r="I354" i="5" s="1"/>
  <c r="H353" i="5"/>
  <c r="G353" i="5"/>
  <c r="I353" i="5" s="1"/>
  <c r="G352" i="5"/>
  <c r="I352" i="5" s="1"/>
  <c r="I351" i="5"/>
  <c r="G350" i="5"/>
  <c r="F350" i="5"/>
  <c r="F349" i="5"/>
  <c r="F355" i="5" s="1"/>
  <c r="H348" i="5"/>
  <c r="G348" i="5"/>
  <c r="G355" i="5" s="1"/>
  <c r="B348" i="5"/>
  <c r="B349" i="5" s="1"/>
  <c r="B350" i="5" s="1"/>
  <c r="B351" i="5" s="1"/>
  <c r="B352" i="5" s="1"/>
  <c r="B353" i="5" s="1"/>
  <c r="B354" i="5" s="1"/>
  <c r="H347" i="5"/>
  <c r="H257" i="5"/>
  <c r="H256" i="5"/>
  <c r="V238" i="5"/>
  <c r="X237" i="5"/>
  <c r="G287" i="10"/>
  <c r="G288" i="10" s="1"/>
  <c r="F236" i="5"/>
  <c r="I34" i="16"/>
  <c r="F35" i="16"/>
  <c r="G35" i="16"/>
  <c r="H35" i="16"/>
  <c r="I35" i="16"/>
  <c r="T36" i="16"/>
  <c r="V36" i="16"/>
  <c r="W36" i="16"/>
  <c r="X36" i="16"/>
  <c r="I29" i="16"/>
  <c r="F30" i="16"/>
  <c r="G30" i="16"/>
  <c r="H30" i="16"/>
  <c r="I30" i="16"/>
  <c r="K30" i="16"/>
  <c r="L30" i="16"/>
  <c r="M30" i="16"/>
  <c r="N30" i="16"/>
  <c r="O30" i="16"/>
  <c r="P30" i="16"/>
  <c r="Q30" i="16"/>
  <c r="R30" i="16"/>
  <c r="S30" i="16"/>
  <c r="K31" i="16"/>
  <c r="L31" i="16"/>
  <c r="M31" i="16"/>
  <c r="N31" i="16"/>
  <c r="O31" i="16"/>
  <c r="P31" i="16"/>
  <c r="Q31" i="16"/>
  <c r="R31" i="16"/>
  <c r="S31" i="16"/>
  <c r="K5" i="16"/>
  <c r="L5" i="16"/>
  <c r="M5" i="16"/>
  <c r="N5" i="16"/>
  <c r="O5" i="16"/>
  <c r="P5" i="16"/>
  <c r="Q5" i="16"/>
  <c r="R5" i="16"/>
  <c r="S5" i="16"/>
  <c r="T5" i="16"/>
  <c r="K6" i="16"/>
  <c r="L6" i="16"/>
  <c r="M6" i="16"/>
  <c r="N6" i="16"/>
  <c r="O6" i="16"/>
  <c r="P6" i="16"/>
  <c r="Q6" i="16"/>
  <c r="R6" i="16"/>
  <c r="S6" i="16"/>
  <c r="F10" i="16"/>
  <c r="P11" i="16"/>
  <c r="F9" i="16" s="1"/>
  <c r="F11" i="16" s="1"/>
  <c r="H11" i="16" s="1"/>
  <c r="F12" i="16"/>
  <c r="P12" i="16"/>
  <c r="C5" i="16" s="1"/>
  <c r="F13" i="16"/>
  <c r="H13" i="16"/>
  <c r="P13" i="16"/>
  <c r="C6" i="16" s="1"/>
  <c r="K14" i="16"/>
  <c r="L14" i="16"/>
  <c r="M14" i="16"/>
  <c r="N14" i="16"/>
  <c r="O14" i="16"/>
  <c r="P14" i="16"/>
  <c r="C7" i="16" s="1"/>
  <c r="Q14" i="16"/>
  <c r="F15" i="16"/>
  <c r="H15" i="16"/>
  <c r="K15" i="16"/>
  <c r="L15" i="16"/>
  <c r="M15" i="16"/>
  <c r="N15" i="16"/>
  <c r="O15" i="16"/>
  <c r="P15" i="16"/>
  <c r="C9" i="16" s="1"/>
  <c r="Q15" i="16"/>
  <c r="H16" i="16"/>
  <c r="F17" i="16"/>
  <c r="K20" i="16"/>
  <c r="L20" i="16"/>
  <c r="M20" i="16"/>
  <c r="N20" i="16"/>
  <c r="O20" i="16"/>
  <c r="P20" i="16"/>
  <c r="Q20" i="16"/>
  <c r="K21" i="16"/>
  <c r="L21" i="16"/>
  <c r="M21" i="16"/>
  <c r="N21" i="16"/>
  <c r="O21" i="16"/>
  <c r="P21" i="16"/>
  <c r="Q21" i="16"/>
  <c r="K22" i="16"/>
  <c r="L22" i="16"/>
  <c r="M22" i="16"/>
  <c r="N22" i="16"/>
  <c r="O22" i="16"/>
  <c r="P22" i="16"/>
  <c r="Q22" i="16"/>
  <c r="K23" i="16"/>
  <c r="L23" i="16"/>
  <c r="M23" i="16"/>
  <c r="N23" i="16"/>
  <c r="O23" i="16"/>
  <c r="P23" i="16"/>
  <c r="Q23" i="16"/>
  <c r="V232" i="5"/>
  <c r="F232" i="5"/>
  <c r="V231" i="5"/>
  <c r="F231" i="5"/>
  <c r="V230" i="5"/>
  <c r="F230" i="5"/>
  <c r="Q203" i="5" s="1"/>
  <c r="G223" i="5"/>
  <c r="I197" i="5"/>
  <c r="F241" i="10"/>
  <c r="F200" i="5"/>
  <c r="G78" i="8"/>
  <c r="F81" i="8"/>
  <c r="V81" i="8"/>
  <c r="S227" i="5"/>
  <c r="R227" i="5"/>
  <c r="Q227" i="5"/>
  <c r="P227" i="5"/>
  <c r="O227" i="5"/>
  <c r="N227" i="5"/>
  <c r="M227" i="5"/>
  <c r="L227" i="5"/>
  <c r="S226" i="5"/>
  <c r="R226" i="5"/>
  <c r="Q226" i="5"/>
  <c r="P226" i="5"/>
  <c r="O226" i="5"/>
  <c r="N226" i="5"/>
  <c r="M226" i="5"/>
  <c r="L226" i="5"/>
  <c r="K227" i="5"/>
  <c r="K226" i="5"/>
  <c r="H226" i="5"/>
  <c r="V225" i="5"/>
  <c r="F220" i="5"/>
  <c r="I283" i="5"/>
  <c r="O244" i="10"/>
  <c r="V287" i="10"/>
  <c r="I328" i="10"/>
  <c r="G228" i="9"/>
  <c r="G229" i="9" s="1"/>
  <c r="H281" i="10"/>
  <c r="G263" i="10"/>
  <c r="X233" i="12"/>
  <c r="W233" i="12"/>
  <c r="T233" i="12"/>
  <c r="H232" i="12"/>
  <c r="G232" i="12"/>
  <c r="F232" i="12"/>
  <c r="S208" i="12"/>
  <c r="R208" i="12"/>
  <c r="Q208" i="12"/>
  <c r="P208" i="12"/>
  <c r="O208" i="12"/>
  <c r="N208" i="12"/>
  <c r="M208" i="12"/>
  <c r="L208" i="12"/>
  <c r="K208" i="12"/>
  <c r="S207" i="12"/>
  <c r="R207" i="12"/>
  <c r="Q207" i="12"/>
  <c r="P207" i="12"/>
  <c r="O207" i="12"/>
  <c r="N207" i="12"/>
  <c r="M207" i="12"/>
  <c r="L207" i="12"/>
  <c r="K207" i="12"/>
  <c r="H207" i="12"/>
  <c r="X341" i="10"/>
  <c r="W341" i="10"/>
  <c r="T341" i="10"/>
  <c r="H336" i="10"/>
  <c r="G336" i="10"/>
  <c r="F336" i="10"/>
  <c r="H283" i="10"/>
  <c r="F283" i="10"/>
  <c r="X106" i="8"/>
  <c r="W106" i="8"/>
  <c r="T106" i="8"/>
  <c r="H104" i="8"/>
  <c r="F104" i="8"/>
  <c r="H88" i="8"/>
  <c r="G88" i="8"/>
  <c r="F88" i="8"/>
  <c r="H82" i="8"/>
  <c r="S71" i="8"/>
  <c r="R71" i="8"/>
  <c r="Q71" i="8"/>
  <c r="P71" i="8"/>
  <c r="O71" i="8"/>
  <c r="N71" i="8"/>
  <c r="M71" i="8"/>
  <c r="L71" i="8"/>
  <c r="K71" i="8"/>
  <c r="S70" i="8"/>
  <c r="R70" i="8"/>
  <c r="Q70" i="8"/>
  <c r="P70" i="8"/>
  <c r="O70" i="8"/>
  <c r="N70" i="8"/>
  <c r="M70" i="8"/>
  <c r="L70" i="8"/>
  <c r="K70" i="8"/>
  <c r="H70" i="8"/>
  <c r="X236" i="7"/>
  <c r="W236" i="7"/>
  <c r="V236" i="7"/>
  <c r="T236" i="7"/>
  <c r="H234" i="7"/>
  <c r="G234" i="7"/>
  <c r="F234" i="7"/>
  <c r="S207" i="7"/>
  <c r="R207" i="7"/>
  <c r="Q207" i="7"/>
  <c r="P207" i="7"/>
  <c r="O207" i="7"/>
  <c r="N207" i="7"/>
  <c r="M207" i="7"/>
  <c r="L207" i="7"/>
  <c r="K207" i="7"/>
  <c r="S206" i="7"/>
  <c r="R206" i="7"/>
  <c r="Q206" i="7"/>
  <c r="P206" i="7"/>
  <c r="O206" i="7"/>
  <c r="N206" i="7"/>
  <c r="M206" i="7"/>
  <c r="L206" i="7"/>
  <c r="K206" i="7"/>
  <c r="H206" i="7"/>
  <c r="G206" i="7"/>
  <c r="F206" i="7"/>
  <c r="X291" i="5"/>
  <c r="W291" i="5"/>
  <c r="H285" i="5"/>
  <c r="G285" i="5"/>
  <c r="F285" i="5"/>
  <c r="H247" i="5"/>
  <c r="G247" i="5"/>
  <c r="F247" i="5"/>
  <c r="H243" i="5"/>
  <c r="F243" i="5"/>
  <c r="P38" i="3"/>
  <c r="G266" i="10"/>
  <c r="G267" i="10"/>
  <c r="G243" i="5"/>
  <c r="G224" i="5"/>
  <c r="V85" i="8"/>
  <c r="V106" i="8" s="1"/>
  <c r="O188" i="9"/>
  <c r="V207" i="9"/>
  <c r="I255" i="9"/>
  <c r="B79" i="8"/>
  <c r="F80" i="8"/>
  <c r="B80" i="8"/>
  <c r="B81" i="8" s="1"/>
  <c r="O203" i="5"/>
  <c r="V220" i="5"/>
  <c r="V224" i="5"/>
  <c r="V223" i="5"/>
  <c r="V222" i="5"/>
  <c r="I330" i="10"/>
  <c r="I287" i="10"/>
  <c r="I335" i="10"/>
  <c r="I334" i="10"/>
  <c r="I333" i="10"/>
  <c r="I332" i="10"/>
  <c r="I331" i="10"/>
  <c r="V267" i="10"/>
  <c r="S20" i="11"/>
  <c r="R20" i="11"/>
  <c r="S12" i="11"/>
  <c r="R12" i="11"/>
  <c r="H37" i="11"/>
  <c r="F37" i="11"/>
  <c r="B36" i="11"/>
  <c r="F206" i="12"/>
  <c r="F207" i="12" s="1"/>
  <c r="H294" i="12"/>
  <c r="F294" i="12"/>
  <c r="G293" i="12"/>
  <c r="I293" i="12" s="1"/>
  <c r="I292" i="12"/>
  <c r="B292" i="12"/>
  <c r="B293" i="12" s="1"/>
  <c r="G291" i="12"/>
  <c r="I287" i="12"/>
  <c r="G286" i="12"/>
  <c r="B287" i="12"/>
  <c r="G277" i="12"/>
  <c r="X440" i="10"/>
  <c r="W440" i="10"/>
  <c r="V440" i="10"/>
  <c r="T440" i="10"/>
  <c r="I438" i="10"/>
  <c r="I437" i="10"/>
  <c r="I436" i="10"/>
  <c r="I435" i="10"/>
  <c r="I434" i="10"/>
  <c r="I433" i="10"/>
  <c r="I432" i="10"/>
  <c r="I431" i="10"/>
  <c r="I430" i="10"/>
  <c r="I428" i="10"/>
  <c r="I427" i="10"/>
  <c r="I426" i="10"/>
  <c r="I425" i="10"/>
  <c r="I424" i="10"/>
  <c r="B424" i="10"/>
  <c r="B425" i="10" s="1"/>
  <c r="B426" i="10" s="1"/>
  <c r="B427" i="10" s="1"/>
  <c r="B428" i="10" s="1"/>
  <c r="B429" i="10" s="1"/>
  <c r="B430" i="10" s="1"/>
  <c r="B431" i="10" s="1"/>
  <c r="B432" i="10" s="1"/>
  <c r="B433" i="10" s="1"/>
  <c r="B434" i="10" s="1"/>
  <c r="B435" i="10" s="1"/>
  <c r="B436" i="10" s="1"/>
  <c r="B437" i="10" s="1"/>
  <c r="B438" i="10" s="1"/>
  <c r="I423" i="10"/>
  <c r="I384" i="10"/>
  <c r="I377" i="10"/>
  <c r="O66" i="3"/>
  <c r="I397" i="10"/>
  <c r="B397" i="10"/>
  <c r="I391" i="10"/>
  <c r="I390" i="10"/>
  <c r="I389" i="10"/>
  <c r="I388" i="10"/>
  <c r="I387" i="10"/>
  <c r="I386" i="10"/>
  <c r="I385" i="10"/>
  <c r="N353" i="10" s="1"/>
  <c r="G69" i="4" s="1"/>
  <c r="I383" i="10"/>
  <c r="I382" i="10"/>
  <c r="I381" i="10"/>
  <c r="I429" i="10"/>
  <c r="I401" i="10"/>
  <c r="I402" i="10" s="1"/>
  <c r="I378" i="10"/>
  <c r="L353" i="10" s="1"/>
  <c r="I374" i="10"/>
  <c r="I373" i="10"/>
  <c r="B378" i="10"/>
  <c r="B379" i="10" s="1"/>
  <c r="B380" i="10" s="1"/>
  <c r="B381" i="10" s="1"/>
  <c r="B382" i="10" s="1"/>
  <c r="B383" i="10" s="1"/>
  <c r="I372" i="10"/>
  <c r="I392" i="10" s="1"/>
  <c r="Q363" i="10"/>
  <c r="O363" i="10"/>
  <c r="N363" i="10"/>
  <c r="M363" i="10"/>
  <c r="L363" i="10"/>
  <c r="K363" i="10"/>
  <c r="Q362" i="10"/>
  <c r="O362" i="10"/>
  <c r="N362" i="10"/>
  <c r="M362" i="10"/>
  <c r="L362" i="10"/>
  <c r="K362" i="10"/>
  <c r="F359" i="10"/>
  <c r="H358" i="10"/>
  <c r="Q357" i="10"/>
  <c r="N357" i="10"/>
  <c r="F357" i="10"/>
  <c r="H357" i="10" s="1"/>
  <c r="Q356" i="10"/>
  <c r="O356" i="10"/>
  <c r="N356" i="10"/>
  <c r="G70" i="4" s="1" a="1"/>
  <c r="G70" i="4" s="1"/>
  <c r="M356" i="10"/>
  <c r="L356" i="10"/>
  <c r="K356" i="10"/>
  <c r="P355" i="10"/>
  <c r="P363" i="10" s="1"/>
  <c r="P354" i="10"/>
  <c r="F354" i="10"/>
  <c r="F355" i="10" s="1"/>
  <c r="H355" i="10" s="1"/>
  <c r="P69" i="4"/>
  <c r="S348" i="10"/>
  <c r="R348" i="10"/>
  <c r="Q348" i="10"/>
  <c r="P348" i="10"/>
  <c r="O348" i="10"/>
  <c r="N348" i="10"/>
  <c r="M348" i="10"/>
  <c r="L348" i="10"/>
  <c r="K348" i="10"/>
  <c r="C348" i="10"/>
  <c r="T347" i="10"/>
  <c r="A69" i="4" s="1"/>
  <c r="S347" i="10"/>
  <c r="R347" i="10"/>
  <c r="Q347" i="10"/>
  <c r="P347" i="10"/>
  <c r="O347" i="10"/>
  <c r="N347" i="10"/>
  <c r="M347" i="10"/>
  <c r="L347" i="10"/>
  <c r="K347" i="10"/>
  <c r="C347" i="10"/>
  <c r="C346" i="10"/>
  <c r="I376" i="5"/>
  <c r="I375" i="5"/>
  <c r="I374" i="5"/>
  <c r="I373" i="5"/>
  <c r="I372" i="5"/>
  <c r="I371" i="5"/>
  <c r="I370" i="5"/>
  <c r="I369" i="5"/>
  <c r="I368" i="5"/>
  <c r="I367" i="5"/>
  <c r="I366" i="5"/>
  <c r="I365" i="5"/>
  <c r="I364" i="5"/>
  <c r="I363" i="5"/>
  <c r="I377" i="5" s="1"/>
  <c r="B364" i="5"/>
  <c r="B365" i="5" s="1"/>
  <c r="B366" i="5" s="1"/>
  <c r="B367" i="5" s="1"/>
  <c r="B368" i="5" s="1"/>
  <c r="B369" i="5" s="1"/>
  <c r="B370" i="5" s="1"/>
  <c r="B371" i="5" s="1"/>
  <c r="B372" i="5" s="1"/>
  <c r="B373" i="5" s="1"/>
  <c r="B374" i="5" s="1"/>
  <c r="B375" i="5" s="1"/>
  <c r="B376" i="5" s="1"/>
  <c r="I326" i="5"/>
  <c r="I322" i="5"/>
  <c r="H340" i="5"/>
  <c r="G340" i="5"/>
  <c r="F340" i="5"/>
  <c r="I340" i="5"/>
  <c r="F306" i="5" s="1"/>
  <c r="F307" i="5" s="1"/>
  <c r="I334" i="5"/>
  <c r="I333" i="5"/>
  <c r="O303" i="5" s="1"/>
  <c r="H57" i="4" s="1"/>
  <c r="I343" i="5"/>
  <c r="I344" i="5" s="1"/>
  <c r="R303" i="5" s="1"/>
  <c r="I331" i="5"/>
  <c r="I330" i="5"/>
  <c r="I329" i="5"/>
  <c r="I328" i="5"/>
  <c r="I327" i="5"/>
  <c r="I324" i="5"/>
  <c r="I323" i="5"/>
  <c r="B328" i="5"/>
  <c r="B329" i="5" s="1"/>
  <c r="B330" i="5" s="1"/>
  <c r="B331" i="5" s="1"/>
  <c r="B332" i="5" s="1"/>
  <c r="B333" i="5" s="1"/>
  <c r="B334" i="5" s="1"/>
  <c r="I321" i="5"/>
  <c r="I335" i="5" s="1"/>
  <c r="G301" i="5" s="1"/>
  <c r="Q313" i="5"/>
  <c r="O313" i="5"/>
  <c r="N313" i="5"/>
  <c r="M313" i="5"/>
  <c r="L313" i="5"/>
  <c r="K313" i="5"/>
  <c r="Q312" i="5"/>
  <c r="O312" i="5"/>
  <c r="N312" i="5"/>
  <c r="M312" i="5"/>
  <c r="L312" i="5"/>
  <c r="K312" i="5"/>
  <c r="O54" i="3"/>
  <c r="F309" i="5"/>
  <c r="H308" i="5"/>
  <c r="Q307" i="5"/>
  <c r="O307" i="5"/>
  <c r="H307" i="5"/>
  <c r="Q306" i="5"/>
  <c r="O306" i="5"/>
  <c r="H58" i="4" s="1" a="1"/>
  <c r="H58" i="4" s="1"/>
  <c r="N306" i="5"/>
  <c r="M306" i="5"/>
  <c r="L306" i="5"/>
  <c r="K306" i="5"/>
  <c r="P305" i="5"/>
  <c r="P313" i="5" s="1"/>
  <c r="P304" i="5"/>
  <c r="F304" i="5"/>
  <c r="F305" i="5" s="1"/>
  <c r="H305" i="5" s="1"/>
  <c r="P57" i="4"/>
  <c r="F302" i="5"/>
  <c r="S298" i="5"/>
  <c r="R298" i="5"/>
  <c r="Q298" i="5"/>
  <c r="P298" i="5"/>
  <c r="O298" i="5"/>
  <c r="N298" i="5"/>
  <c r="M298" i="5"/>
  <c r="L298" i="5"/>
  <c r="K298" i="5"/>
  <c r="C298" i="5"/>
  <c r="T297" i="5"/>
  <c r="A57" i="4" s="1"/>
  <c r="S297" i="5"/>
  <c r="R297" i="5"/>
  <c r="Q297" i="5"/>
  <c r="P297" i="5"/>
  <c r="O297" i="5"/>
  <c r="N297" i="5"/>
  <c r="M297" i="5"/>
  <c r="L297" i="5"/>
  <c r="K297" i="5"/>
  <c r="C297" i="5"/>
  <c r="C296" i="5"/>
  <c r="X273" i="7"/>
  <c r="W273" i="7"/>
  <c r="V273" i="7"/>
  <c r="T273" i="7"/>
  <c r="S268" i="7"/>
  <c r="R268" i="7"/>
  <c r="Q268" i="7"/>
  <c r="P268" i="7"/>
  <c r="O268" i="7"/>
  <c r="N268" i="7"/>
  <c r="M268" i="7"/>
  <c r="L268" i="7"/>
  <c r="K268" i="7"/>
  <c r="S267" i="7"/>
  <c r="R267" i="7"/>
  <c r="Q267" i="7"/>
  <c r="P267" i="7"/>
  <c r="O267" i="7"/>
  <c r="N267" i="7"/>
  <c r="M267" i="7"/>
  <c r="L267" i="7"/>
  <c r="K267" i="7"/>
  <c r="H267" i="7"/>
  <c r="G267" i="7"/>
  <c r="F267" i="7"/>
  <c r="I266" i="7"/>
  <c r="I267" i="7" s="1"/>
  <c r="G246" i="7" s="1"/>
  <c r="Q258" i="7"/>
  <c r="O258" i="7"/>
  <c r="N258" i="7"/>
  <c r="M258" i="7"/>
  <c r="L258" i="7"/>
  <c r="K258" i="7"/>
  <c r="Q257" i="7"/>
  <c r="O257" i="7"/>
  <c r="N257" i="7"/>
  <c r="M257" i="7"/>
  <c r="L257" i="7"/>
  <c r="K257" i="7"/>
  <c r="F254" i="7"/>
  <c r="H253" i="7"/>
  <c r="Q252" i="7"/>
  <c r="O252" i="7"/>
  <c r="N252" i="7"/>
  <c r="M252" i="7"/>
  <c r="L252" i="7"/>
  <c r="K252" i="7"/>
  <c r="F252" i="7"/>
  <c r="H252" i="7" s="1"/>
  <c r="Q251" i="7"/>
  <c r="O251" i="7"/>
  <c r="N251" i="7"/>
  <c r="M251" i="7"/>
  <c r="L251" i="7"/>
  <c r="K251" i="7"/>
  <c r="P250" i="7"/>
  <c r="P258" i="7" s="1"/>
  <c r="P249" i="7"/>
  <c r="F249" i="7"/>
  <c r="F250" i="7" s="1"/>
  <c r="H250" i="7" s="1"/>
  <c r="P248" i="7"/>
  <c r="F247" i="7"/>
  <c r="F246" i="7"/>
  <c r="F248" i="7" s="1"/>
  <c r="H248" i="7" s="1"/>
  <c r="S243" i="7"/>
  <c r="R243" i="7"/>
  <c r="Q243" i="7"/>
  <c r="P243" i="7"/>
  <c r="O243" i="7"/>
  <c r="N243" i="7"/>
  <c r="M243" i="7"/>
  <c r="L243" i="7"/>
  <c r="K243" i="7"/>
  <c r="C243" i="7"/>
  <c r="T242" i="7"/>
  <c r="S242" i="7"/>
  <c r="R242" i="7"/>
  <c r="Q242" i="7"/>
  <c r="P242" i="7"/>
  <c r="O242" i="7"/>
  <c r="N242" i="7"/>
  <c r="M242" i="7"/>
  <c r="L242" i="7"/>
  <c r="K242" i="7"/>
  <c r="C242" i="7"/>
  <c r="C241" i="7"/>
  <c r="I196" i="8"/>
  <c r="B196" i="8"/>
  <c r="B197" i="8" s="1"/>
  <c r="I191" i="8"/>
  <c r="I190" i="8"/>
  <c r="I188" i="8"/>
  <c r="I187" i="8"/>
  <c r="I186" i="8"/>
  <c r="I185" i="8"/>
  <c r="I184" i="8"/>
  <c r="I183" i="8"/>
  <c r="I182" i="8"/>
  <c r="I181" i="8"/>
  <c r="I180" i="8"/>
  <c r="I179" i="8"/>
  <c r="I178" i="8"/>
  <c r="I177" i="8"/>
  <c r="I176" i="8"/>
  <c r="I175" i="8"/>
  <c r="B175" i="8"/>
  <c r="B176" i="8" s="1"/>
  <c r="B177" i="8" s="1"/>
  <c r="B178" i="8" s="1"/>
  <c r="B179" i="8" s="1"/>
  <c r="B180" i="8" s="1"/>
  <c r="B181" i="8" s="1"/>
  <c r="B182" i="8" s="1"/>
  <c r="B183" i="8" s="1"/>
  <c r="B184" i="8" s="1"/>
  <c r="B185" i="8" s="1"/>
  <c r="B186" i="8" s="1"/>
  <c r="B187" i="8" s="1"/>
  <c r="B188" i="8" s="1"/>
  <c r="B189" i="8" s="1"/>
  <c r="B190" i="8" s="1"/>
  <c r="B191" i="8" s="1"/>
  <c r="I174" i="8"/>
  <c r="I192" i="8" s="1"/>
  <c r="I195" i="8"/>
  <c r="I198" i="8" s="1"/>
  <c r="I148" i="8"/>
  <c r="I140" i="8"/>
  <c r="I164" i="8"/>
  <c r="I165" i="8" s="1"/>
  <c r="I142" i="8"/>
  <c r="I143" i="8"/>
  <c r="I138" i="8"/>
  <c r="H161" i="8"/>
  <c r="G161" i="8"/>
  <c r="F161" i="8"/>
  <c r="I152" i="8"/>
  <c r="I151" i="8"/>
  <c r="I150" i="8"/>
  <c r="I149" i="8"/>
  <c r="I147" i="8"/>
  <c r="I146" i="8"/>
  <c r="I145" i="8"/>
  <c r="I144" i="8"/>
  <c r="I137" i="8"/>
  <c r="B137" i="8"/>
  <c r="B138" i="8" s="1"/>
  <c r="B139" i="8" s="1"/>
  <c r="B140" i="8" s="1"/>
  <c r="B141" i="8" s="1"/>
  <c r="I136" i="8"/>
  <c r="Q128" i="8"/>
  <c r="O128" i="8"/>
  <c r="N128" i="8"/>
  <c r="M128" i="8"/>
  <c r="L128" i="8"/>
  <c r="K128" i="8"/>
  <c r="Q127" i="8"/>
  <c r="O127" i="8"/>
  <c r="N127" i="8"/>
  <c r="M127" i="8"/>
  <c r="L127" i="8"/>
  <c r="K127" i="8"/>
  <c r="O60" i="3"/>
  <c r="F124" i="8"/>
  <c r="H123" i="8"/>
  <c r="Q122" i="8"/>
  <c r="Q121" i="8"/>
  <c r="O121" i="8"/>
  <c r="N121" i="8"/>
  <c r="M121" i="8"/>
  <c r="L121" i="8"/>
  <c r="K121" i="8"/>
  <c r="P120" i="8"/>
  <c r="P128" i="8" s="1"/>
  <c r="P119" i="8"/>
  <c r="F119" i="8"/>
  <c r="F120" i="8" s="1"/>
  <c r="H120" i="8" s="1"/>
  <c r="F117" i="8"/>
  <c r="S113" i="8"/>
  <c r="R113" i="8"/>
  <c r="Q113" i="8"/>
  <c r="P113" i="8"/>
  <c r="O113" i="8"/>
  <c r="N113" i="8"/>
  <c r="M113" i="8"/>
  <c r="L113" i="8"/>
  <c r="K113" i="8"/>
  <c r="C113" i="8"/>
  <c r="T112" i="8"/>
  <c r="A63" i="4" s="1"/>
  <c r="S112" i="8"/>
  <c r="R112" i="8"/>
  <c r="Q112" i="8"/>
  <c r="P112" i="8"/>
  <c r="O112" i="8"/>
  <c r="N112" i="8"/>
  <c r="M112" i="8"/>
  <c r="L112" i="8"/>
  <c r="K112" i="8"/>
  <c r="C112" i="8"/>
  <c r="C111" i="8"/>
  <c r="X344" i="9"/>
  <c r="W344" i="9"/>
  <c r="V344" i="9"/>
  <c r="T344" i="9"/>
  <c r="I342" i="9"/>
  <c r="I341" i="9"/>
  <c r="I340" i="9"/>
  <c r="I339" i="9"/>
  <c r="I338" i="9"/>
  <c r="I337" i="9"/>
  <c r="I336" i="9"/>
  <c r="I335" i="9"/>
  <c r="I334" i="9"/>
  <c r="I333" i="9"/>
  <c r="I332" i="9"/>
  <c r="I331" i="9"/>
  <c r="I330" i="9"/>
  <c r="I329" i="9"/>
  <c r="I328" i="9"/>
  <c r="B328" i="9"/>
  <c r="B329" i="9" s="1"/>
  <c r="B330" i="9" s="1"/>
  <c r="B331" i="9" s="1"/>
  <c r="B332" i="9" s="1"/>
  <c r="B333" i="9" s="1"/>
  <c r="B334" i="9" s="1"/>
  <c r="B335" i="9" s="1"/>
  <c r="B336" i="9" s="1"/>
  <c r="B337" i="9" s="1"/>
  <c r="B338" i="9" s="1"/>
  <c r="B339" i="9" s="1"/>
  <c r="B340" i="9" s="1"/>
  <c r="B341" i="9" s="1"/>
  <c r="B342" i="9" s="1"/>
  <c r="I327" i="9"/>
  <c r="I310" i="9"/>
  <c r="I308" i="9"/>
  <c r="I307" i="9"/>
  <c r="I291" i="9"/>
  <c r="I290" i="9"/>
  <c r="B308" i="9"/>
  <c r="I306" i="9"/>
  <c r="I311" i="9" s="1"/>
  <c r="R270" i="9" s="1"/>
  <c r="H303" i="9"/>
  <c r="G303" i="9"/>
  <c r="F303" i="9"/>
  <c r="Q298" i="9"/>
  <c r="I297" i="9"/>
  <c r="I296" i="9"/>
  <c r="I295" i="9"/>
  <c r="O270" i="9" s="1"/>
  <c r="H66" i="4" s="1"/>
  <c r="I294" i="9"/>
  <c r="I293" i="9"/>
  <c r="I292" i="9"/>
  <c r="I289" i="9"/>
  <c r="B289" i="9"/>
  <c r="B290" i="9" s="1"/>
  <c r="B291" i="9" s="1"/>
  <c r="B292" i="9" s="1"/>
  <c r="B293" i="9" s="1"/>
  <c r="B294" i="9" s="1"/>
  <c r="B295" i="9" s="1"/>
  <c r="B296" i="9" s="1"/>
  <c r="B297" i="9" s="1"/>
  <c r="I288" i="9"/>
  <c r="Q280" i="9"/>
  <c r="O280" i="9"/>
  <c r="N280" i="9"/>
  <c r="M280" i="9"/>
  <c r="L280" i="9"/>
  <c r="K280" i="9"/>
  <c r="Q279" i="9"/>
  <c r="O279" i="9"/>
  <c r="N279" i="9"/>
  <c r="M279" i="9"/>
  <c r="L279" i="9"/>
  <c r="K279" i="9"/>
  <c r="O63" i="3"/>
  <c r="F276" i="9"/>
  <c r="H275" i="9"/>
  <c r="Q274" i="9"/>
  <c r="O274" i="9"/>
  <c r="L274" i="9"/>
  <c r="K274" i="9"/>
  <c r="Q273" i="9"/>
  <c r="O273" i="9"/>
  <c r="H67" i="4" s="1" a="1"/>
  <c r="H67" i="4" s="1"/>
  <c r="N273" i="9"/>
  <c r="M273" i="9"/>
  <c r="L273" i="9"/>
  <c r="K273" i="9"/>
  <c r="P272" i="9"/>
  <c r="P280" i="9" s="1"/>
  <c r="P271" i="9"/>
  <c r="F271" i="9"/>
  <c r="F272" i="9" s="1"/>
  <c r="H272" i="9" s="1"/>
  <c r="P66" i="4"/>
  <c r="F269" i="9"/>
  <c r="S265" i="9"/>
  <c r="R265" i="9"/>
  <c r="Q265" i="9"/>
  <c r="P265" i="9"/>
  <c r="O265" i="9"/>
  <c r="N265" i="9"/>
  <c r="M265" i="9"/>
  <c r="L265" i="9"/>
  <c r="K265" i="9"/>
  <c r="C265" i="9"/>
  <c r="T264" i="9"/>
  <c r="A66" i="4" s="1"/>
  <c r="S264" i="9"/>
  <c r="R264" i="9"/>
  <c r="Q264" i="9"/>
  <c r="P264" i="9"/>
  <c r="O264" i="9"/>
  <c r="N264" i="9"/>
  <c r="M264" i="9"/>
  <c r="L264" i="9"/>
  <c r="K264" i="9"/>
  <c r="C264" i="9"/>
  <c r="C263" i="9"/>
  <c r="X79" i="11"/>
  <c r="W79" i="11"/>
  <c r="V79" i="11"/>
  <c r="T79" i="11"/>
  <c r="I77" i="11"/>
  <c r="I78" i="11" s="1"/>
  <c r="H74" i="11"/>
  <c r="G74" i="11"/>
  <c r="F74" i="11"/>
  <c r="R58" i="11" s="1"/>
  <c r="I73" i="11"/>
  <c r="S70" i="11"/>
  <c r="R70" i="11"/>
  <c r="Q70" i="11"/>
  <c r="O70" i="11"/>
  <c r="N70" i="11"/>
  <c r="M70" i="11"/>
  <c r="L70" i="11"/>
  <c r="K70" i="11"/>
  <c r="S69" i="11"/>
  <c r="R69" i="11"/>
  <c r="Q69" i="11"/>
  <c r="O69" i="11"/>
  <c r="N69" i="11"/>
  <c r="M69" i="11"/>
  <c r="L69" i="11"/>
  <c r="K69" i="11"/>
  <c r="H69" i="11"/>
  <c r="G69" i="11"/>
  <c r="F69" i="11"/>
  <c r="P69" i="3" s="1"/>
  <c r="I68" i="11"/>
  <c r="I69" i="11" s="1"/>
  <c r="Q60" i="11"/>
  <c r="O60" i="11"/>
  <c r="N60" i="11"/>
  <c r="M60" i="11"/>
  <c r="L60" i="11"/>
  <c r="K60" i="11"/>
  <c r="Q59" i="11"/>
  <c r="O59" i="11"/>
  <c r="N59" i="11"/>
  <c r="M59" i="11"/>
  <c r="L59" i="11"/>
  <c r="K59" i="11"/>
  <c r="O69" i="3"/>
  <c r="M69" i="3"/>
  <c r="F56" i="11"/>
  <c r="H55" i="11"/>
  <c r="Q54" i="11"/>
  <c r="O54" i="11"/>
  <c r="M54" i="11"/>
  <c r="L54" i="11"/>
  <c r="K54" i="11"/>
  <c r="F54" i="11"/>
  <c r="H54" i="11" s="1"/>
  <c r="Q53" i="11"/>
  <c r="O53" i="11"/>
  <c r="N53" i="11"/>
  <c r="M53" i="11"/>
  <c r="L53" i="11"/>
  <c r="K53" i="11"/>
  <c r="P52" i="11"/>
  <c r="P60" i="11" s="1"/>
  <c r="P51" i="11"/>
  <c r="F51" i="11"/>
  <c r="F52" i="11" s="1"/>
  <c r="H52" i="11" s="1"/>
  <c r="P72" i="4"/>
  <c r="F49" i="11"/>
  <c r="S45" i="11"/>
  <c r="R45" i="11"/>
  <c r="Q45" i="11"/>
  <c r="O45" i="11"/>
  <c r="N45" i="11"/>
  <c r="M45" i="11"/>
  <c r="L45" i="11"/>
  <c r="K45" i="11"/>
  <c r="C45" i="11"/>
  <c r="T44" i="11"/>
  <c r="A72" i="4" s="1"/>
  <c r="S44" i="11"/>
  <c r="R44" i="11"/>
  <c r="Q44" i="11"/>
  <c r="O44" i="11"/>
  <c r="N44" i="11"/>
  <c r="M44" i="11"/>
  <c r="L44" i="11"/>
  <c r="K44" i="11"/>
  <c r="C44" i="11"/>
  <c r="C43" i="11"/>
  <c r="I308" i="12"/>
  <c r="I307" i="12"/>
  <c r="I306" i="12"/>
  <c r="I305" i="12"/>
  <c r="I304" i="12"/>
  <c r="I303" i="12"/>
  <c r="I302" i="12"/>
  <c r="I301" i="12"/>
  <c r="I300" i="12"/>
  <c r="I299" i="12"/>
  <c r="I298" i="12"/>
  <c r="B298" i="12"/>
  <c r="B299" i="12" s="1"/>
  <c r="B300" i="12" s="1"/>
  <c r="B301" i="12" s="1"/>
  <c r="B302" i="12" s="1"/>
  <c r="B303" i="12" s="1"/>
  <c r="B304" i="12" s="1"/>
  <c r="B305" i="12" s="1"/>
  <c r="B306" i="12" s="1"/>
  <c r="B307" i="12" s="1"/>
  <c r="B308" i="12" s="1"/>
  <c r="I297" i="12"/>
  <c r="I309" i="12" s="1"/>
  <c r="I282" i="12"/>
  <c r="I268" i="12"/>
  <c r="I281" i="12"/>
  <c r="I263" i="12"/>
  <c r="I266" i="12"/>
  <c r="H278" i="12"/>
  <c r="G278" i="12"/>
  <c r="F278" i="12"/>
  <c r="I272" i="12"/>
  <c r="I271" i="12"/>
  <c r="I270" i="12"/>
  <c r="I269" i="12"/>
  <c r="I267" i="12"/>
  <c r="I265" i="12"/>
  <c r="M245" i="12" s="1"/>
  <c r="F99" i="4" s="1"/>
  <c r="B265" i="12"/>
  <c r="B266" i="12" s="1"/>
  <c r="B267" i="12" s="1"/>
  <c r="I264" i="12"/>
  <c r="Q255" i="12"/>
  <c r="O255" i="12"/>
  <c r="N255" i="12"/>
  <c r="M255" i="12"/>
  <c r="L255" i="12"/>
  <c r="K255" i="12"/>
  <c r="Q254" i="12"/>
  <c r="O254" i="12"/>
  <c r="N254" i="12"/>
  <c r="M254" i="12"/>
  <c r="L254" i="12"/>
  <c r="K254" i="12"/>
  <c r="F251" i="12"/>
  <c r="H250" i="12"/>
  <c r="Q249" i="12"/>
  <c r="M249" i="12"/>
  <c r="K249" i="12"/>
  <c r="Q248" i="12"/>
  <c r="O248" i="12"/>
  <c r="N248" i="12"/>
  <c r="M248" i="12"/>
  <c r="F100" i="4" s="1" a="1"/>
  <c r="F100" i="4" s="1"/>
  <c r="L248" i="12"/>
  <c r="K248" i="12"/>
  <c r="P247" i="12"/>
  <c r="P255" i="12" s="1"/>
  <c r="P246" i="12"/>
  <c r="F246" i="12"/>
  <c r="F247" i="12" s="1"/>
  <c r="H247" i="12" s="1"/>
  <c r="F244" i="12"/>
  <c r="S240" i="12"/>
  <c r="R240" i="12"/>
  <c r="Q240" i="12"/>
  <c r="P240" i="12"/>
  <c r="O240" i="12"/>
  <c r="N240" i="12"/>
  <c r="M240" i="12"/>
  <c r="L240" i="12"/>
  <c r="K240" i="12"/>
  <c r="C240" i="12"/>
  <c r="T239" i="12"/>
  <c r="A99" i="4" s="1"/>
  <c r="S239" i="12"/>
  <c r="R239" i="12"/>
  <c r="Q239" i="12"/>
  <c r="P239" i="12"/>
  <c r="O239" i="12"/>
  <c r="N239" i="12"/>
  <c r="M239" i="12"/>
  <c r="L239" i="12"/>
  <c r="K239" i="12"/>
  <c r="C239" i="12"/>
  <c r="C238" i="12"/>
  <c r="G204" i="12"/>
  <c r="G203" i="12"/>
  <c r="G201" i="12"/>
  <c r="G36" i="11"/>
  <c r="G37" i="11" s="1"/>
  <c r="G258" i="10"/>
  <c r="G282" i="10"/>
  <c r="G283" i="10" s="1"/>
  <c r="G204" i="9"/>
  <c r="G217" i="9"/>
  <c r="G213" i="7"/>
  <c r="G257" i="5"/>
  <c r="V266" i="10"/>
  <c r="V263" i="10"/>
  <c r="I279" i="5"/>
  <c r="X258" i="9"/>
  <c r="W258" i="9"/>
  <c r="T258" i="9"/>
  <c r="H256" i="9"/>
  <c r="F256" i="9"/>
  <c r="H224" i="9"/>
  <c r="H218" i="9"/>
  <c r="G218" i="9"/>
  <c r="F218" i="9"/>
  <c r="S209" i="9"/>
  <c r="R209" i="9"/>
  <c r="Q209" i="9"/>
  <c r="P209" i="9"/>
  <c r="O209" i="9"/>
  <c r="N209" i="9"/>
  <c r="M209" i="9"/>
  <c r="L209" i="9"/>
  <c r="K209" i="9"/>
  <c r="R208" i="9"/>
  <c r="Q208" i="9"/>
  <c r="P208" i="9"/>
  <c r="O208" i="9"/>
  <c r="N208" i="9"/>
  <c r="M208" i="9"/>
  <c r="L208" i="9"/>
  <c r="K208" i="9"/>
  <c r="H208" i="9"/>
  <c r="G249" i="9"/>
  <c r="G221" i="9"/>
  <c r="G224" i="9" s="1"/>
  <c r="V222" i="9"/>
  <c r="G205" i="9"/>
  <c r="F221" i="9"/>
  <c r="V221" i="9"/>
  <c r="V204" i="9"/>
  <c r="G97" i="8"/>
  <c r="G96" i="8"/>
  <c r="G104" i="8" s="1"/>
  <c r="G79" i="8"/>
  <c r="G82" i="8" s="1"/>
  <c r="G69" i="8"/>
  <c r="G70" i="8" s="1"/>
  <c r="G244" i="9"/>
  <c r="G256" i="9" s="1"/>
  <c r="N58" i="8"/>
  <c r="N244" i="10"/>
  <c r="I329" i="10"/>
  <c r="I327" i="10"/>
  <c r="I326" i="10"/>
  <c r="V221" i="5"/>
  <c r="F221" i="5"/>
  <c r="M244" i="10"/>
  <c r="B217" i="9"/>
  <c r="W38" i="11"/>
  <c r="V38" i="11"/>
  <c r="T38" i="11"/>
  <c r="B214" i="5"/>
  <c r="B215" i="5" s="1"/>
  <c r="B216" i="5" s="1"/>
  <c r="B217" i="5" s="1"/>
  <c r="B218" i="5" s="1"/>
  <c r="B219" i="5" s="1"/>
  <c r="B220" i="5" s="1"/>
  <c r="B221" i="5" s="1"/>
  <c r="B222" i="5" s="1"/>
  <c r="B223" i="5" s="1"/>
  <c r="B224" i="5" s="1"/>
  <c r="B225" i="5" s="1"/>
  <c r="V218" i="5"/>
  <c r="S191" i="12"/>
  <c r="R191" i="12"/>
  <c r="R183" i="12"/>
  <c r="S183" i="12"/>
  <c r="X38" i="11"/>
  <c r="P35" i="3"/>
  <c r="S208" i="9"/>
  <c r="G218" i="5"/>
  <c r="G202" i="9"/>
  <c r="G208" i="9" s="1"/>
  <c r="L191" i="12"/>
  <c r="B48" i="4"/>
  <c r="F44" i="3"/>
  <c r="V202" i="9"/>
  <c r="F202" i="9"/>
  <c r="M188" i="9" s="1"/>
  <c r="I85" i="8"/>
  <c r="I87" i="8"/>
  <c r="I35" i="11"/>
  <c r="I36" i="11"/>
  <c r="F68" i="8"/>
  <c r="F70" i="8" s="1"/>
  <c r="I78" i="8"/>
  <c r="M203" i="5"/>
  <c r="V219" i="5"/>
  <c r="V246" i="5"/>
  <c r="V217" i="5"/>
  <c r="I261" i="10"/>
  <c r="I259" i="10"/>
  <c r="I262" i="10"/>
  <c r="B202" i="12"/>
  <c r="B203" i="12" s="1"/>
  <c r="G216" i="5"/>
  <c r="F112" i="7"/>
  <c r="G29" i="14"/>
  <c r="G148" i="10"/>
  <c r="G232" i="9"/>
  <c r="G205" i="12"/>
  <c r="G256" i="10"/>
  <c r="G271" i="10" s="1"/>
  <c r="V201" i="12"/>
  <c r="L192" i="7"/>
  <c r="L203" i="5"/>
  <c r="L244" i="10"/>
  <c r="X143" i="2"/>
  <c r="W143" i="2"/>
  <c r="V143" i="2"/>
  <c r="T143" i="2"/>
  <c r="T5" i="2"/>
  <c r="J27" i="4"/>
  <c r="B199" i="9"/>
  <c r="G111" i="12"/>
  <c r="G109" i="12"/>
  <c r="V211" i="12"/>
  <c r="I211" i="12"/>
  <c r="G132" i="12"/>
  <c r="V132" i="12"/>
  <c r="H224" i="12"/>
  <c r="F224" i="12"/>
  <c r="G223" i="12"/>
  <c r="I223" i="12" s="1"/>
  <c r="I222" i="12"/>
  <c r="B222" i="12"/>
  <c r="B223" i="12" s="1"/>
  <c r="G221" i="12"/>
  <c r="H218" i="12"/>
  <c r="F218" i="12"/>
  <c r="I217" i="12"/>
  <c r="G216" i="12"/>
  <c r="I216" i="12" s="1"/>
  <c r="B216" i="12"/>
  <c r="B217" i="12" s="1"/>
  <c r="G215" i="12"/>
  <c r="B143" i="12"/>
  <c r="B144" i="12" s="1"/>
  <c r="G128" i="12"/>
  <c r="F128" i="12"/>
  <c r="B203" i="7"/>
  <c r="B204" i="7" s="1"/>
  <c r="B205" i="7" s="1"/>
  <c r="B137" i="12"/>
  <c r="H305" i="10"/>
  <c r="F305" i="10"/>
  <c r="B304" i="10"/>
  <c r="B277" i="10" s="1"/>
  <c r="G304" i="10"/>
  <c r="I303" i="10"/>
  <c r="F298" i="10"/>
  <c r="G297" i="10"/>
  <c r="I297" i="10" s="1"/>
  <c r="G296" i="10"/>
  <c r="I296" i="10" s="1"/>
  <c r="G295" i="10"/>
  <c r="I295" i="10" s="1"/>
  <c r="G275" i="10"/>
  <c r="G294" i="10"/>
  <c r="I294" i="10" s="1"/>
  <c r="I293" i="10"/>
  <c r="G292" i="10"/>
  <c r="I292" i="10" s="1"/>
  <c r="B292" i="10"/>
  <c r="B293" i="10" s="1"/>
  <c r="B294" i="10" s="1"/>
  <c r="G291" i="10"/>
  <c r="H300" i="10"/>
  <c r="G276" i="10"/>
  <c r="I299" i="10"/>
  <c r="F161" i="10"/>
  <c r="F97" i="12"/>
  <c r="G146" i="10"/>
  <c r="G180" i="10"/>
  <c r="H176" i="10"/>
  <c r="G154" i="10"/>
  <c r="G153" i="10"/>
  <c r="G149" i="10"/>
  <c r="G171" i="10"/>
  <c r="V171" i="10"/>
  <c r="B197" i="10"/>
  <c r="B171" i="10" s="1"/>
  <c r="H193" i="10"/>
  <c r="I228" i="9"/>
  <c r="I227" i="9"/>
  <c r="I229" i="9" s="1"/>
  <c r="G212" i="9"/>
  <c r="G137" i="9"/>
  <c r="G132" i="9"/>
  <c r="G233" i="9"/>
  <c r="I233" i="9" s="1"/>
  <c r="B233" i="9"/>
  <c r="G110" i="12"/>
  <c r="G176" i="10"/>
  <c r="G165" i="10"/>
  <c r="G256" i="5"/>
  <c r="G213" i="5"/>
  <c r="G226" i="5" s="1"/>
  <c r="V198" i="9"/>
  <c r="V258" i="9" s="1"/>
  <c r="F198" i="9"/>
  <c r="F208" i="9" s="1"/>
  <c r="K191" i="12"/>
  <c r="P191" i="12" s="1"/>
  <c r="K203" i="5"/>
  <c r="V215" i="5"/>
  <c r="V214" i="5"/>
  <c r="V213" i="5"/>
  <c r="V291" i="5" s="1"/>
  <c r="K244" i="10"/>
  <c r="P244" i="10" s="1"/>
  <c r="K192" i="7"/>
  <c r="P192" i="7" s="1"/>
  <c r="Q47" i="3"/>
  <c r="E41" i="3"/>
  <c r="G41" i="3"/>
  <c r="D38" i="3"/>
  <c r="H38" i="3"/>
  <c r="C38" i="3"/>
  <c r="D35" i="3"/>
  <c r="H35" i="3"/>
  <c r="C35" i="3"/>
  <c r="K32" i="3"/>
  <c r="K47" i="3" s="1"/>
  <c r="D32" i="3"/>
  <c r="E32" i="3"/>
  <c r="G32" i="3"/>
  <c r="C32" i="3"/>
  <c r="O29" i="3"/>
  <c r="D29" i="3"/>
  <c r="D47" i="3" s="1"/>
  <c r="E29" i="3"/>
  <c r="F29" i="3"/>
  <c r="G29" i="3"/>
  <c r="H29" i="3"/>
  <c r="C29" i="3"/>
  <c r="B45" i="4"/>
  <c r="B42" i="4"/>
  <c r="B39" i="4"/>
  <c r="B36" i="4"/>
  <c r="B33" i="4"/>
  <c r="G113" i="9"/>
  <c r="F143" i="9"/>
  <c r="G126" i="5"/>
  <c r="I214" i="7"/>
  <c r="B214" i="7"/>
  <c r="I213" i="7"/>
  <c r="I212" i="7"/>
  <c r="G146" i="7"/>
  <c r="G145" i="7"/>
  <c r="H170" i="7"/>
  <c r="G170" i="7"/>
  <c r="F170" i="7"/>
  <c r="I219" i="7"/>
  <c r="I220" i="7" s="1"/>
  <c r="F211" i="7"/>
  <c r="G210" i="7"/>
  <c r="H153" i="7"/>
  <c r="B135" i="7"/>
  <c r="V135" i="7"/>
  <c r="W168" i="9"/>
  <c r="T168" i="9"/>
  <c r="H167" i="9"/>
  <c r="G167" i="9"/>
  <c r="F167" i="9"/>
  <c r="H143" i="9"/>
  <c r="H138" i="9"/>
  <c r="F138" i="9"/>
  <c r="H134" i="9"/>
  <c r="F134" i="9"/>
  <c r="S124" i="9"/>
  <c r="R124" i="9"/>
  <c r="Q124" i="9"/>
  <c r="P124" i="9"/>
  <c r="O124" i="9"/>
  <c r="N124" i="9"/>
  <c r="M124" i="9"/>
  <c r="K124" i="9"/>
  <c r="H124" i="9"/>
  <c r="F124" i="9"/>
  <c r="H166" i="10"/>
  <c r="H223" i="10"/>
  <c r="F223" i="10"/>
  <c r="H142" i="7"/>
  <c r="G142" i="7"/>
  <c r="F142" i="7"/>
  <c r="F147" i="7"/>
  <c r="X171" i="12"/>
  <c r="W171" i="12"/>
  <c r="H169" i="12"/>
  <c r="G169" i="12"/>
  <c r="F169" i="12"/>
  <c r="X224" i="10"/>
  <c r="W224" i="10"/>
  <c r="H133" i="12"/>
  <c r="F133" i="12"/>
  <c r="S167" i="10"/>
  <c r="R167" i="10"/>
  <c r="Q167" i="10"/>
  <c r="P167" i="10"/>
  <c r="O167" i="10"/>
  <c r="N167" i="10"/>
  <c r="M167" i="10"/>
  <c r="L167" i="10"/>
  <c r="K167" i="10"/>
  <c r="S125" i="12"/>
  <c r="R125" i="12"/>
  <c r="Q125" i="12"/>
  <c r="P125" i="12"/>
  <c r="O125" i="12"/>
  <c r="N125" i="12"/>
  <c r="M125" i="12"/>
  <c r="L125" i="12"/>
  <c r="K125" i="12"/>
  <c r="S124" i="12"/>
  <c r="R124" i="12"/>
  <c r="Q124" i="12"/>
  <c r="P124" i="12"/>
  <c r="O124" i="12"/>
  <c r="N124" i="12"/>
  <c r="M124" i="12"/>
  <c r="L124" i="12"/>
  <c r="K124" i="12"/>
  <c r="S166" i="10"/>
  <c r="R166" i="10"/>
  <c r="Q166" i="10"/>
  <c r="P166" i="10"/>
  <c r="O166" i="10"/>
  <c r="N166" i="10"/>
  <c r="M166" i="10"/>
  <c r="L166" i="10"/>
  <c r="K166" i="10"/>
  <c r="H124" i="12"/>
  <c r="H177" i="10"/>
  <c r="G177" i="10"/>
  <c r="F177" i="10"/>
  <c r="H181" i="10"/>
  <c r="G181" i="10"/>
  <c r="F181" i="10"/>
  <c r="T224" i="10"/>
  <c r="X168" i="9"/>
  <c r="S125" i="9"/>
  <c r="R125" i="9"/>
  <c r="Q125" i="9"/>
  <c r="P125" i="9"/>
  <c r="O125" i="9"/>
  <c r="N125" i="9"/>
  <c r="M125" i="9"/>
  <c r="L125" i="9"/>
  <c r="L124" i="9"/>
  <c r="H147" i="7"/>
  <c r="S131" i="7"/>
  <c r="R131" i="7"/>
  <c r="Q131" i="7"/>
  <c r="P131" i="7"/>
  <c r="O131" i="7"/>
  <c r="N131" i="7"/>
  <c r="M131" i="7"/>
  <c r="L131" i="7"/>
  <c r="K131" i="7"/>
  <c r="S130" i="7"/>
  <c r="R130" i="7"/>
  <c r="Q130" i="7"/>
  <c r="P130" i="7"/>
  <c r="O130" i="7"/>
  <c r="N130" i="7"/>
  <c r="M130" i="7"/>
  <c r="L130" i="7"/>
  <c r="K130" i="7"/>
  <c r="H130" i="7"/>
  <c r="X172" i="7"/>
  <c r="W172" i="7"/>
  <c r="T172" i="7"/>
  <c r="K125" i="9"/>
  <c r="X183" i="5"/>
  <c r="W183" i="5"/>
  <c r="T183" i="5"/>
  <c r="H177" i="5"/>
  <c r="G177" i="5"/>
  <c r="F177" i="5"/>
  <c r="F262" i="5"/>
  <c r="I257" i="5"/>
  <c r="I256" i="5"/>
  <c r="H262" i="5"/>
  <c r="I254" i="5"/>
  <c r="R97" i="12"/>
  <c r="O97" i="12"/>
  <c r="M97" i="12"/>
  <c r="L97" i="12"/>
  <c r="K97" i="12"/>
  <c r="N135" i="10"/>
  <c r="M135" i="10"/>
  <c r="K135" i="10"/>
  <c r="G118" i="5"/>
  <c r="O103" i="9"/>
  <c r="N103" i="9"/>
  <c r="M103" i="9"/>
  <c r="L103" i="9"/>
  <c r="K103" i="9"/>
  <c r="G146" i="5"/>
  <c r="V180" i="10"/>
  <c r="G116" i="5"/>
  <c r="O115" i="7"/>
  <c r="N115" i="7"/>
  <c r="M115" i="7"/>
  <c r="L115" i="7"/>
  <c r="K115" i="7"/>
  <c r="O113" i="7"/>
  <c r="M113" i="7"/>
  <c r="P94" i="5"/>
  <c r="K101" i="5"/>
  <c r="L101" i="5"/>
  <c r="H182" i="5"/>
  <c r="G182" i="5"/>
  <c r="F182" i="5"/>
  <c r="H147" i="5"/>
  <c r="F147" i="5"/>
  <c r="H142" i="5"/>
  <c r="G142" i="5"/>
  <c r="F142" i="5"/>
  <c r="H137" i="5"/>
  <c r="F137" i="5"/>
  <c r="K122" i="5"/>
  <c r="H129" i="5"/>
  <c r="G129" i="5"/>
  <c r="S123" i="5"/>
  <c r="R123" i="5"/>
  <c r="Q123" i="5"/>
  <c r="P123" i="5"/>
  <c r="O123" i="5"/>
  <c r="N123" i="5"/>
  <c r="M123" i="5"/>
  <c r="L123" i="5"/>
  <c r="K123" i="5"/>
  <c r="S122" i="5"/>
  <c r="R122" i="5"/>
  <c r="Q122" i="5"/>
  <c r="P122" i="5"/>
  <c r="O122" i="5"/>
  <c r="N122" i="5"/>
  <c r="M122" i="5"/>
  <c r="L122" i="5"/>
  <c r="H122" i="5"/>
  <c r="F122" i="5"/>
  <c r="V120" i="5"/>
  <c r="I95" i="5"/>
  <c r="J29" i="3"/>
  <c r="L29" i="3"/>
  <c r="J35" i="3"/>
  <c r="L35" i="3"/>
  <c r="J38" i="3"/>
  <c r="L38" i="3"/>
  <c r="B51" i="4"/>
  <c r="I308" i="10"/>
  <c r="B309" i="10"/>
  <c r="I309" i="10"/>
  <c r="B310" i="10"/>
  <c r="I310" i="10"/>
  <c r="B311" i="10"/>
  <c r="I311" i="10"/>
  <c r="B312" i="10"/>
  <c r="I312" i="10"/>
  <c r="B313" i="10"/>
  <c r="I313" i="10"/>
  <c r="B314" i="10"/>
  <c r="I314" i="10"/>
  <c r="B315" i="10"/>
  <c r="B316" i="10" s="1"/>
  <c r="B317" i="10" s="1"/>
  <c r="B318" i="10" s="1"/>
  <c r="I315" i="10"/>
  <c r="I317" i="10"/>
  <c r="I316" i="10"/>
  <c r="I318" i="10"/>
  <c r="B319" i="10"/>
  <c r="I319" i="10"/>
  <c r="B320" i="10"/>
  <c r="I320" i="10"/>
  <c r="B321" i="10"/>
  <c r="I321" i="10"/>
  <c r="B322" i="10"/>
  <c r="I322" i="10"/>
  <c r="B323" i="10"/>
  <c r="I323" i="10"/>
  <c r="B324" i="10"/>
  <c r="I324" i="10"/>
  <c r="B325" i="10"/>
  <c r="B326" i="10" s="1"/>
  <c r="B327" i="10" s="1"/>
  <c r="I325" i="10"/>
  <c r="I263" i="10"/>
  <c r="I266" i="10"/>
  <c r="I286" i="10"/>
  <c r="I288" i="10" s="1"/>
  <c r="I270" i="10"/>
  <c r="I281" i="10"/>
  <c r="B282" i="10"/>
  <c r="I282" i="10"/>
  <c r="I260" i="10"/>
  <c r="I265" i="10"/>
  <c r="I255" i="10"/>
  <c r="B256" i="10"/>
  <c r="I256" i="10"/>
  <c r="B257" i="10"/>
  <c r="I257" i="10"/>
  <c r="B258" i="10"/>
  <c r="B259" i="10" s="1"/>
  <c r="B260" i="10" s="1"/>
  <c r="B261" i="10" s="1"/>
  <c r="B262" i="10" s="1"/>
  <c r="B263" i="10" s="1"/>
  <c r="B264" i="10" s="1"/>
  <c r="I258" i="10"/>
  <c r="I264" i="10"/>
  <c r="I267" i="10"/>
  <c r="I268" i="10"/>
  <c r="I269" i="10"/>
  <c r="L230" i="10"/>
  <c r="M230" i="10"/>
  <c r="N230" i="10"/>
  <c r="O230" i="10"/>
  <c r="P230" i="10"/>
  <c r="Q230" i="10"/>
  <c r="R230" i="10"/>
  <c r="S230" i="10"/>
  <c r="T230" i="10"/>
  <c r="A42" i="4" s="1"/>
  <c r="L231" i="10"/>
  <c r="M231" i="10"/>
  <c r="N231" i="10"/>
  <c r="O231" i="10"/>
  <c r="P231" i="10"/>
  <c r="Q231" i="10"/>
  <c r="R231" i="10"/>
  <c r="S231" i="10"/>
  <c r="P42" i="4"/>
  <c r="F237" i="10"/>
  <c r="P237" i="10"/>
  <c r="C230" i="10" s="1"/>
  <c r="F238" i="10"/>
  <c r="H238" i="10"/>
  <c r="P238" i="10"/>
  <c r="C231" i="10" s="1"/>
  <c r="K239" i="10"/>
  <c r="L239" i="10"/>
  <c r="M239" i="10"/>
  <c r="N239" i="10"/>
  <c r="O239" i="10"/>
  <c r="P239" i="10"/>
  <c r="C232" i="10" s="1"/>
  <c r="Q239" i="10"/>
  <c r="Q240" i="10"/>
  <c r="H241" i="10"/>
  <c r="F242" i="10"/>
  <c r="K245" i="10"/>
  <c r="L245" i="10"/>
  <c r="M245" i="10"/>
  <c r="N245" i="10"/>
  <c r="O245" i="10"/>
  <c r="P245" i="10"/>
  <c r="Q245" i="10"/>
  <c r="K246" i="10"/>
  <c r="L246" i="10"/>
  <c r="M246" i="10"/>
  <c r="N246" i="10"/>
  <c r="O246" i="10"/>
  <c r="P246" i="10"/>
  <c r="Q246" i="10"/>
  <c r="K247" i="10"/>
  <c r="L247" i="10"/>
  <c r="M247" i="10"/>
  <c r="N247" i="10"/>
  <c r="O247" i="10"/>
  <c r="P247" i="10"/>
  <c r="Q247" i="10"/>
  <c r="K248" i="10"/>
  <c r="C30" i="3" s="1" a="1"/>
  <c r="C30" i="3" s="1"/>
  <c r="L248" i="10"/>
  <c r="M248" i="10"/>
  <c r="N248" i="10"/>
  <c r="O248" i="10"/>
  <c r="P248" i="10"/>
  <c r="Q248" i="10"/>
  <c r="I110" i="14"/>
  <c r="I114" i="14"/>
  <c r="B115" i="14"/>
  <c r="I115" i="14"/>
  <c r="B116" i="14"/>
  <c r="I116" i="14"/>
  <c r="B89" i="14"/>
  <c r="I89" i="14"/>
  <c r="B90" i="14"/>
  <c r="B91" i="14"/>
  <c r="B92" i="14"/>
  <c r="B93" i="14"/>
  <c r="B94" i="14"/>
  <c r="B95" i="14"/>
  <c r="B96" i="14"/>
  <c r="B97" i="14"/>
  <c r="B98" i="14"/>
  <c r="B99" i="14"/>
  <c r="I99" i="14"/>
  <c r="B100" i="14"/>
  <c r="B101" i="14"/>
  <c r="I101" i="14"/>
  <c r="B102" i="14"/>
  <c r="B103" i="14" s="1"/>
  <c r="B104" i="14" s="1"/>
  <c r="I102" i="14"/>
  <c r="I104" i="14"/>
  <c r="B105" i="14"/>
  <c r="B106" i="14" s="1"/>
  <c r="B107" i="14" s="1"/>
  <c r="B108" i="14" s="1"/>
  <c r="B109" i="14" s="1"/>
  <c r="B110" i="14" s="1"/>
  <c r="I105" i="14"/>
  <c r="I83" i="14"/>
  <c r="I79" i="14"/>
  <c r="I80" i="14" s="1"/>
  <c r="I84" i="14"/>
  <c r="I68" i="14"/>
  <c r="I63" i="14"/>
  <c r="I74" i="14"/>
  <c r="B75" i="14"/>
  <c r="I75" i="14"/>
  <c r="I62" i="14"/>
  <c r="I64" i="14"/>
  <c r="B65" i="14"/>
  <c r="B66" i="14" s="1"/>
  <c r="B67" i="14" s="1"/>
  <c r="I65" i="14"/>
  <c r="B68" i="14"/>
  <c r="B69" i="14" s="1"/>
  <c r="I67" i="14"/>
  <c r="I69" i="14"/>
  <c r="K38" i="14"/>
  <c r="L38" i="14"/>
  <c r="M38" i="14"/>
  <c r="N38" i="14"/>
  <c r="O38" i="14"/>
  <c r="P38" i="14"/>
  <c r="Q38" i="14"/>
  <c r="R38" i="14"/>
  <c r="S38" i="14"/>
  <c r="T38" i="14"/>
  <c r="A133" i="4" s="1"/>
  <c r="K39" i="14"/>
  <c r="L39" i="14"/>
  <c r="M39" i="14"/>
  <c r="N39" i="14"/>
  <c r="O39" i="14"/>
  <c r="P39" i="14"/>
  <c r="Q39" i="14"/>
  <c r="R39" i="14"/>
  <c r="S39" i="14"/>
  <c r="F43" i="14"/>
  <c r="P133" i="4"/>
  <c r="P139" i="4" s="1"/>
  <c r="P45" i="14"/>
  <c r="C38" i="14" s="1"/>
  <c r="P46" i="14"/>
  <c r="C39" i="14" s="1"/>
  <c r="K47" i="14"/>
  <c r="L47" i="14"/>
  <c r="M47" i="14"/>
  <c r="N47" i="14"/>
  <c r="O47" i="14"/>
  <c r="P47" i="14"/>
  <c r="Q47" i="14"/>
  <c r="F48" i="14"/>
  <c r="H48" i="14"/>
  <c r="H49" i="14"/>
  <c r="F50" i="14"/>
  <c r="M131" i="3"/>
  <c r="O131" i="3"/>
  <c r="O137" i="3" s="1"/>
  <c r="K53" i="14"/>
  <c r="L53" i="14"/>
  <c r="M53" i="14"/>
  <c r="N53" i="14"/>
  <c r="O53" i="14"/>
  <c r="P53" i="14"/>
  <c r="Q53" i="14"/>
  <c r="K54" i="14"/>
  <c r="L54" i="14"/>
  <c r="M54" i="14"/>
  <c r="N54" i="14"/>
  <c r="O54" i="14"/>
  <c r="P54" i="14"/>
  <c r="Q54" i="14"/>
  <c r="K55" i="14"/>
  <c r="L55" i="14"/>
  <c r="M55" i="14"/>
  <c r="N55" i="14"/>
  <c r="O55" i="14"/>
  <c r="P55" i="14"/>
  <c r="Q55" i="14"/>
  <c r="K56" i="14"/>
  <c r="L56" i="14"/>
  <c r="N56" i="14"/>
  <c r="O56" i="14"/>
  <c r="I227" i="12"/>
  <c r="B228" i="12"/>
  <c r="I228" i="12"/>
  <c r="B229" i="12"/>
  <c r="I229" i="12"/>
  <c r="B230" i="12"/>
  <c r="B231" i="12" s="1"/>
  <c r="I230" i="12"/>
  <c r="I201" i="12"/>
  <c r="I203" i="12"/>
  <c r="I231" i="12"/>
  <c r="I204" i="12"/>
  <c r="F212" i="12"/>
  <c r="G212" i="12"/>
  <c r="H212" i="12"/>
  <c r="I212" i="12"/>
  <c r="F186" i="12" s="1"/>
  <c r="I202" i="12"/>
  <c r="I205" i="12"/>
  <c r="I206" i="12"/>
  <c r="K177" i="12"/>
  <c r="L177" i="12"/>
  <c r="M177" i="12"/>
  <c r="N177" i="12"/>
  <c r="O177" i="12"/>
  <c r="P177" i="12"/>
  <c r="Q177" i="12"/>
  <c r="R177" i="12"/>
  <c r="S177" i="12"/>
  <c r="T177" i="12"/>
  <c r="A45" i="4" s="1"/>
  <c r="K178" i="12"/>
  <c r="L178" i="12"/>
  <c r="M178" i="12"/>
  <c r="N178" i="12"/>
  <c r="O178" i="12"/>
  <c r="P178" i="12"/>
  <c r="Q178" i="12"/>
  <c r="R178" i="12"/>
  <c r="S178" i="12"/>
  <c r="F182" i="12"/>
  <c r="P45" i="4"/>
  <c r="F184" i="12"/>
  <c r="P184" i="12"/>
  <c r="C177" i="12" s="1"/>
  <c r="F185" i="12"/>
  <c r="H185" i="12"/>
  <c r="P185" i="12"/>
  <c r="C178" i="12" s="1"/>
  <c r="K186" i="12"/>
  <c r="L186" i="12"/>
  <c r="M186" i="12"/>
  <c r="N186" i="12"/>
  <c r="O186" i="12"/>
  <c r="P186" i="12"/>
  <c r="C179" i="12" s="1"/>
  <c r="Q186" i="12"/>
  <c r="F187" i="12"/>
  <c r="H187" i="12"/>
  <c r="M187" i="12"/>
  <c r="N187" i="12"/>
  <c r="O187" i="12"/>
  <c r="Q187" i="12"/>
  <c r="H188" i="12"/>
  <c r="F189" i="12"/>
  <c r="O35" i="3"/>
  <c r="K192" i="12"/>
  <c r="L192" i="12"/>
  <c r="M192" i="12"/>
  <c r="N192" i="12"/>
  <c r="O192" i="12"/>
  <c r="P192" i="12"/>
  <c r="Q192" i="12"/>
  <c r="K193" i="12"/>
  <c r="L193" i="12"/>
  <c r="M193" i="12"/>
  <c r="N193" i="12"/>
  <c r="O193" i="12"/>
  <c r="P193" i="12"/>
  <c r="Q193" i="12"/>
  <c r="K194" i="12"/>
  <c r="L194" i="12"/>
  <c r="M194" i="12"/>
  <c r="N194" i="12"/>
  <c r="O194" i="12"/>
  <c r="P194" i="12"/>
  <c r="Q194" i="12"/>
  <c r="K195" i="12"/>
  <c r="C36" i="3" s="1" a="1"/>
  <c r="C36" i="3" s="1"/>
  <c r="L195" i="12"/>
  <c r="M195" i="12"/>
  <c r="N195" i="12"/>
  <c r="O195" i="12"/>
  <c r="P195" i="12"/>
  <c r="Q195" i="12"/>
  <c r="I237" i="9"/>
  <c r="B238" i="9"/>
  <c r="I238" i="9"/>
  <c r="B239" i="9"/>
  <c r="I239" i="9"/>
  <c r="B240" i="9"/>
  <c r="I240" i="9"/>
  <c r="B241" i="9"/>
  <c r="I241" i="9"/>
  <c r="B242" i="9"/>
  <c r="I242" i="9"/>
  <c r="B243" i="9"/>
  <c r="I243" i="9"/>
  <c r="B244" i="9"/>
  <c r="I244" i="9"/>
  <c r="B245" i="9"/>
  <c r="I245" i="9"/>
  <c r="B246" i="9"/>
  <c r="I246" i="9"/>
  <c r="B247" i="9"/>
  <c r="I247" i="9"/>
  <c r="B248" i="9"/>
  <c r="I248" i="9"/>
  <c r="B249" i="9"/>
  <c r="I249" i="9"/>
  <c r="B250" i="9"/>
  <c r="I250" i="9"/>
  <c r="B251" i="9"/>
  <c r="I251" i="9"/>
  <c r="B252" i="9"/>
  <c r="I252" i="9"/>
  <c r="B253" i="9"/>
  <c r="I253" i="9"/>
  <c r="B254" i="9"/>
  <c r="B255" i="9" s="1"/>
  <c r="I254" i="9"/>
  <c r="I198" i="9"/>
  <c r="I216" i="9"/>
  <c r="I217" i="9"/>
  <c r="I221" i="9"/>
  <c r="B222" i="9"/>
  <c r="I222" i="9"/>
  <c r="B223" i="9"/>
  <c r="I223" i="9"/>
  <c r="I207" i="9"/>
  <c r="F213" i="9"/>
  <c r="G213" i="9"/>
  <c r="H213" i="9"/>
  <c r="I199" i="9"/>
  <c r="B200" i="9"/>
  <c r="I200" i="9"/>
  <c r="B201" i="9"/>
  <c r="I201" i="9"/>
  <c r="B202" i="9"/>
  <c r="I202" i="9"/>
  <c r="M180" i="9" s="1"/>
  <c r="F39" i="4" s="1"/>
  <c r="B203" i="9"/>
  <c r="I203" i="9"/>
  <c r="B204" i="9"/>
  <c r="I204" i="9"/>
  <c r="B205" i="9"/>
  <c r="B206" i="9" s="1"/>
  <c r="B207" i="9" s="1"/>
  <c r="I205" i="9"/>
  <c r="I206" i="9"/>
  <c r="K174" i="9"/>
  <c r="L174" i="9"/>
  <c r="M174" i="9"/>
  <c r="N174" i="9"/>
  <c r="O174" i="9"/>
  <c r="P174" i="9"/>
  <c r="Q174" i="9"/>
  <c r="R174" i="9"/>
  <c r="S174" i="9"/>
  <c r="T174" i="9"/>
  <c r="A39" i="4" s="1"/>
  <c r="K175" i="9"/>
  <c r="L175" i="9"/>
  <c r="M175" i="9"/>
  <c r="N175" i="9"/>
  <c r="O175" i="9"/>
  <c r="P175" i="9"/>
  <c r="Q175" i="9"/>
  <c r="R175" i="9"/>
  <c r="S175" i="9"/>
  <c r="F179" i="9"/>
  <c r="P39" i="4"/>
  <c r="F181" i="9"/>
  <c r="P181" i="9"/>
  <c r="C174" i="9" s="1"/>
  <c r="F182" i="9"/>
  <c r="H182" i="9"/>
  <c r="P182" i="9"/>
  <c r="C175" i="9" s="1"/>
  <c r="K183" i="9"/>
  <c r="L183" i="9"/>
  <c r="M183" i="9"/>
  <c r="N183" i="9"/>
  <c r="O183" i="9"/>
  <c r="P183" i="9"/>
  <c r="C176" i="9" s="1"/>
  <c r="Q183" i="9"/>
  <c r="L184" i="9"/>
  <c r="M184" i="9"/>
  <c r="Q184" i="9"/>
  <c r="H185" i="9"/>
  <c r="F186" i="9"/>
  <c r="O41" i="3"/>
  <c r="K189" i="9"/>
  <c r="L189" i="9"/>
  <c r="M189" i="9"/>
  <c r="N189" i="9"/>
  <c r="O189" i="9"/>
  <c r="P189" i="9"/>
  <c r="Q189" i="9"/>
  <c r="K190" i="9"/>
  <c r="L190" i="9"/>
  <c r="M190" i="9"/>
  <c r="N190" i="9"/>
  <c r="O190" i="9"/>
  <c r="P190" i="9"/>
  <c r="Q190" i="9"/>
  <c r="K191" i="9"/>
  <c r="L191" i="9"/>
  <c r="M191" i="9"/>
  <c r="N191" i="9"/>
  <c r="O191" i="9"/>
  <c r="P191" i="9"/>
  <c r="Q191" i="9"/>
  <c r="L192" i="9"/>
  <c r="M192" i="9"/>
  <c r="O192" i="9"/>
  <c r="Q192" i="9"/>
  <c r="I223" i="7"/>
  <c r="B224" i="7"/>
  <c r="I224" i="7"/>
  <c r="B225" i="7"/>
  <c r="I225" i="7"/>
  <c r="B226" i="7"/>
  <c r="I226" i="7"/>
  <c r="B227" i="7"/>
  <c r="I227" i="7"/>
  <c r="B228" i="7"/>
  <c r="I228" i="7"/>
  <c r="B229" i="7"/>
  <c r="I229" i="7"/>
  <c r="B230" i="7"/>
  <c r="I230" i="7"/>
  <c r="B231" i="7"/>
  <c r="I231" i="7"/>
  <c r="B232" i="7"/>
  <c r="I232" i="7"/>
  <c r="B233" i="7"/>
  <c r="I233" i="7"/>
  <c r="I203" i="7"/>
  <c r="I205" i="7"/>
  <c r="F215" i="7"/>
  <c r="G215" i="7"/>
  <c r="H215" i="7"/>
  <c r="I202" i="7"/>
  <c r="I204" i="7"/>
  <c r="K178" i="7"/>
  <c r="L178" i="7"/>
  <c r="M178" i="7"/>
  <c r="N178" i="7"/>
  <c r="O178" i="7"/>
  <c r="P178" i="7"/>
  <c r="Q178" i="7"/>
  <c r="R178" i="7"/>
  <c r="S178" i="7"/>
  <c r="T178" i="7"/>
  <c r="A36" i="4" s="1"/>
  <c r="K179" i="7"/>
  <c r="L179" i="7"/>
  <c r="M179" i="7"/>
  <c r="N179" i="7"/>
  <c r="O179" i="7"/>
  <c r="P179" i="7"/>
  <c r="Q179" i="7"/>
  <c r="R179" i="7"/>
  <c r="S179" i="7"/>
  <c r="F183" i="7"/>
  <c r="P36" i="4"/>
  <c r="F185" i="7"/>
  <c r="P185" i="7"/>
  <c r="C178" i="7" s="1"/>
  <c r="F186" i="7"/>
  <c r="H186" i="7"/>
  <c r="P186" i="7"/>
  <c r="C179" i="7" s="1"/>
  <c r="K187" i="7"/>
  <c r="L187" i="7"/>
  <c r="M187" i="7"/>
  <c r="N187" i="7"/>
  <c r="O187" i="7"/>
  <c r="P187" i="7"/>
  <c r="C180" i="7" s="1"/>
  <c r="Q187" i="7"/>
  <c r="M188" i="7"/>
  <c r="N188" i="7"/>
  <c r="O188" i="7"/>
  <c r="Q188" i="7"/>
  <c r="H189" i="7"/>
  <c r="F190" i="7"/>
  <c r="O38" i="3"/>
  <c r="K193" i="7"/>
  <c r="L193" i="7"/>
  <c r="M193" i="7"/>
  <c r="N193" i="7"/>
  <c r="O193" i="7"/>
  <c r="P193" i="7"/>
  <c r="Q193" i="7"/>
  <c r="K194" i="7"/>
  <c r="L194" i="7"/>
  <c r="M194" i="7"/>
  <c r="N194" i="7"/>
  <c r="O194" i="7"/>
  <c r="P194" i="7"/>
  <c r="Q194" i="7"/>
  <c r="K195" i="7"/>
  <c r="L195" i="7"/>
  <c r="M195" i="7"/>
  <c r="N195" i="7"/>
  <c r="O195" i="7"/>
  <c r="P195" i="7"/>
  <c r="Q195" i="7"/>
  <c r="K196" i="7"/>
  <c r="C39" i="3" s="1" a="1"/>
  <c r="C39" i="3" s="1"/>
  <c r="L196" i="7"/>
  <c r="M196" i="7"/>
  <c r="N196" i="7"/>
  <c r="O196" i="7"/>
  <c r="P196" i="7"/>
  <c r="Q196" i="7"/>
  <c r="S101" i="5"/>
  <c r="S93" i="5"/>
  <c r="G255" i="5"/>
  <c r="G262" i="5" s="1"/>
  <c r="I261" i="5"/>
  <c r="I238" i="5"/>
  <c r="G253" i="5"/>
  <c r="F253" i="5"/>
  <c r="G237" i="5"/>
  <c r="I237" i="5" s="1"/>
  <c r="F252" i="5"/>
  <c r="F258" i="5" s="1"/>
  <c r="H251" i="5"/>
  <c r="G251" i="5"/>
  <c r="G258" i="5" s="1"/>
  <c r="H250" i="5"/>
  <c r="B251" i="5"/>
  <c r="B252" i="5" s="1"/>
  <c r="B253" i="5" s="1"/>
  <c r="B254" i="5" s="1"/>
  <c r="B255" i="5" s="1"/>
  <c r="B256" i="5" s="1"/>
  <c r="B257" i="5" s="1"/>
  <c r="I236" i="5"/>
  <c r="Q101" i="5"/>
  <c r="H162" i="5"/>
  <c r="F162" i="5"/>
  <c r="B161" i="5"/>
  <c r="V136" i="5"/>
  <c r="V128" i="5"/>
  <c r="F128" i="5"/>
  <c r="F129" i="5" s="1"/>
  <c r="F153" i="5"/>
  <c r="F155" i="5"/>
  <c r="V127" i="5"/>
  <c r="H155" i="5"/>
  <c r="V126" i="5"/>
  <c r="F102" i="5"/>
  <c r="B133" i="5"/>
  <c r="B134" i="5" s="1"/>
  <c r="B135" i="5" s="1"/>
  <c r="H290" i="5"/>
  <c r="G290" i="5"/>
  <c r="F290" i="5"/>
  <c r="I289" i="5"/>
  <c r="B289" i="5"/>
  <c r="I288" i="5"/>
  <c r="I290" i="5" s="1"/>
  <c r="I284" i="5"/>
  <c r="I282" i="5"/>
  <c r="I281" i="5"/>
  <c r="I280" i="5"/>
  <c r="I278" i="5"/>
  <c r="I277" i="5"/>
  <c r="I276" i="5"/>
  <c r="I275" i="5"/>
  <c r="I274" i="5"/>
  <c r="I273" i="5"/>
  <c r="I272" i="5"/>
  <c r="I271" i="5"/>
  <c r="I270" i="5"/>
  <c r="I269" i="5"/>
  <c r="I268" i="5"/>
  <c r="I267" i="5"/>
  <c r="I266" i="5"/>
  <c r="B266" i="5"/>
  <c r="B267" i="5" s="1"/>
  <c r="B268" i="5" s="1"/>
  <c r="B269" i="5" s="1"/>
  <c r="B270" i="5" s="1"/>
  <c r="B271" i="5" s="1"/>
  <c r="B272" i="5" s="1"/>
  <c r="B273" i="5" s="1"/>
  <c r="B274" i="5" s="1"/>
  <c r="B275" i="5" s="1"/>
  <c r="B276" i="5" s="1"/>
  <c r="B277" i="5" s="1"/>
  <c r="B278" i="5" s="1"/>
  <c r="I265" i="5"/>
  <c r="I285" i="5" s="1"/>
  <c r="I220" i="5"/>
  <c r="I246" i="5"/>
  <c r="I247" i="5" s="1"/>
  <c r="I225" i="5"/>
  <c r="I218" i="5"/>
  <c r="H239" i="5"/>
  <c r="G239" i="5"/>
  <c r="F239" i="5"/>
  <c r="I239" i="5"/>
  <c r="F198" i="5" s="1"/>
  <c r="F199" i="5" s="1"/>
  <c r="H233" i="5"/>
  <c r="G233" i="5"/>
  <c r="F233" i="5"/>
  <c r="I232" i="5"/>
  <c r="I231" i="5"/>
  <c r="B231" i="5"/>
  <c r="B232" i="5" s="1"/>
  <c r="I230" i="5"/>
  <c r="I224" i="5"/>
  <c r="I242" i="5"/>
  <c r="I243" i="5" s="1"/>
  <c r="I223" i="5"/>
  <c r="I222" i="5"/>
  <c r="I221" i="5"/>
  <c r="N195" i="5" s="1"/>
  <c r="G33" i="4" s="1"/>
  <c r="I219" i="5"/>
  <c r="I217" i="5"/>
  <c r="I216" i="5"/>
  <c r="I215" i="5"/>
  <c r="I214" i="5"/>
  <c r="I213" i="5"/>
  <c r="Q205" i="5"/>
  <c r="O205" i="5"/>
  <c r="N205" i="5"/>
  <c r="M205" i="5"/>
  <c r="L205" i="5"/>
  <c r="K205" i="5"/>
  <c r="Q204" i="5"/>
  <c r="O204" i="5"/>
  <c r="N204" i="5"/>
  <c r="M204" i="5"/>
  <c r="L204" i="5"/>
  <c r="K204" i="5"/>
  <c r="O32" i="3"/>
  <c r="F201" i="5"/>
  <c r="H200" i="5"/>
  <c r="N199" i="5"/>
  <c r="H199" i="5"/>
  <c r="Q198" i="5"/>
  <c r="O198" i="5"/>
  <c r="N198" i="5"/>
  <c r="G34" i="4" s="1" a="1"/>
  <c r="G34" i="4" s="1"/>
  <c r="M198" i="5"/>
  <c r="L198" i="5"/>
  <c r="K198" i="5"/>
  <c r="P197" i="5"/>
  <c r="P205" i="5" s="1"/>
  <c r="P196" i="5"/>
  <c r="P33" i="4"/>
  <c r="F194" i="5"/>
  <c r="S190" i="5"/>
  <c r="R190" i="5"/>
  <c r="Q190" i="5"/>
  <c r="P190" i="5"/>
  <c r="O190" i="5"/>
  <c r="N190" i="5"/>
  <c r="M190" i="5"/>
  <c r="L190" i="5"/>
  <c r="K190" i="5"/>
  <c r="C190" i="5"/>
  <c r="S189" i="5"/>
  <c r="R189" i="5"/>
  <c r="Q189" i="5"/>
  <c r="P189" i="5"/>
  <c r="O189" i="5"/>
  <c r="N189" i="5"/>
  <c r="M189" i="5"/>
  <c r="L189" i="5"/>
  <c r="K189" i="5"/>
  <c r="C189" i="5"/>
  <c r="C188" i="5"/>
  <c r="F94" i="12"/>
  <c r="I169" i="7"/>
  <c r="G138" i="9"/>
  <c r="I137" i="9"/>
  <c r="I138" i="9" s="1"/>
  <c r="M20" i="3"/>
  <c r="O11" i="3"/>
  <c r="G162" i="10"/>
  <c r="G147" i="7"/>
  <c r="G128" i="7"/>
  <c r="G123" i="12"/>
  <c r="G120" i="5"/>
  <c r="G133" i="12"/>
  <c r="I166" i="9"/>
  <c r="I165" i="9"/>
  <c r="V122" i="9"/>
  <c r="I168" i="12"/>
  <c r="I167" i="12"/>
  <c r="I166" i="12"/>
  <c r="O101" i="5"/>
  <c r="V121" i="5"/>
  <c r="V119" i="5"/>
  <c r="O136" i="10"/>
  <c r="V165" i="10"/>
  <c r="I222" i="10"/>
  <c r="V137" i="9"/>
  <c r="I221" i="10"/>
  <c r="I220" i="10"/>
  <c r="R103" i="9"/>
  <c r="I155" i="9"/>
  <c r="V163" i="10"/>
  <c r="F163" i="10"/>
  <c r="O135" i="10" s="1"/>
  <c r="V29" i="14"/>
  <c r="V111" i="12"/>
  <c r="V145" i="7"/>
  <c r="V172" i="7" s="1"/>
  <c r="V153" i="10"/>
  <c r="F150" i="10"/>
  <c r="G141" i="9"/>
  <c r="G135" i="7"/>
  <c r="G201" i="10"/>
  <c r="G223" i="10" s="1"/>
  <c r="V119" i="9"/>
  <c r="G145" i="5"/>
  <c r="G147" i="5" s="1"/>
  <c r="G158" i="10"/>
  <c r="V158" i="9"/>
  <c r="V120" i="12"/>
  <c r="F120" i="12"/>
  <c r="N101" i="5"/>
  <c r="V118" i="5"/>
  <c r="V158" i="10"/>
  <c r="V132" i="9"/>
  <c r="B140" i="7"/>
  <c r="B146" i="5"/>
  <c r="G124" i="12"/>
  <c r="H155" i="15"/>
  <c r="G154" i="15"/>
  <c r="I154" i="15" s="1"/>
  <c r="F153" i="15"/>
  <c r="F155" i="15" s="1"/>
  <c r="I152" i="15"/>
  <c r="G145" i="15"/>
  <c r="G151" i="15"/>
  <c r="G155" i="15" s="1"/>
  <c r="H147" i="15"/>
  <c r="H148" i="15" s="1"/>
  <c r="G147" i="15"/>
  <c r="I147" i="15" s="1"/>
  <c r="I143" i="15"/>
  <c r="G146" i="15"/>
  <c r="F146" i="15"/>
  <c r="F148" i="15" s="1"/>
  <c r="I144" i="15"/>
  <c r="F21" i="15"/>
  <c r="F558" i="15" s="1"/>
  <c r="H558" i="15" s="1"/>
  <c r="F20" i="15"/>
  <c r="F19" i="15"/>
  <c r="F107" i="15" s="1"/>
  <c r="H21" i="15"/>
  <c r="H20" i="15"/>
  <c r="H19" i="15"/>
  <c r="F18" i="15"/>
  <c r="F17" i="15"/>
  <c r="H17" i="15" s="1"/>
  <c r="F13" i="15"/>
  <c r="F14" i="15" s="1"/>
  <c r="H14" i="15" s="1"/>
  <c r="H107" i="15"/>
  <c r="I170" i="15"/>
  <c r="I169" i="15"/>
  <c r="I168" i="15"/>
  <c r="I166" i="15"/>
  <c r="I165" i="15"/>
  <c r="I164" i="15"/>
  <c r="I163" i="15"/>
  <c r="I162" i="15"/>
  <c r="I161" i="15"/>
  <c r="I160" i="15"/>
  <c r="B159" i="15"/>
  <c r="B160" i="15" s="1"/>
  <c r="B161" i="15" s="1"/>
  <c r="B162" i="15" s="1"/>
  <c r="B163" i="15" s="1"/>
  <c r="B164" i="15" s="1"/>
  <c r="B165" i="15" s="1"/>
  <c r="B166" i="15" s="1"/>
  <c r="B167" i="15" s="1"/>
  <c r="B168" i="15" s="1"/>
  <c r="B169" i="15" s="1"/>
  <c r="B170" i="15" s="1"/>
  <c r="I158" i="15"/>
  <c r="I139" i="15"/>
  <c r="I159" i="15"/>
  <c r="B138" i="15"/>
  <c r="B139" i="15" s="1"/>
  <c r="I120" i="15"/>
  <c r="O57" i="3"/>
  <c r="I167" i="15"/>
  <c r="I138" i="15"/>
  <c r="I128" i="15"/>
  <c r="I126" i="15"/>
  <c r="I125" i="15"/>
  <c r="N100" i="15" s="1"/>
  <c r="G60" i="4" s="1"/>
  <c r="I137" i="15"/>
  <c r="I140" i="15" s="1"/>
  <c r="I122" i="15"/>
  <c r="I133" i="15"/>
  <c r="I134" i="15" s="1"/>
  <c r="I121" i="15"/>
  <c r="B120" i="15"/>
  <c r="B121" i="15" s="1"/>
  <c r="B122" i="15" s="1"/>
  <c r="B123" i="15" s="1"/>
  <c r="B124" i="15" s="1"/>
  <c r="B125" i="15" s="1"/>
  <c r="B126" i="15" s="1"/>
  <c r="B127" i="15" s="1"/>
  <c r="B128" i="15" s="1"/>
  <c r="I119" i="15"/>
  <c r="I129" i="15" s="1"/>
  <c r="Q110" i="15"/>
  <c r="O110" i="15"/>
  <c r="N110" i="15"/>
  <c r="M110" i="15"/>
  <c r="L110" i="15"/>
  <c r="K110" i="15"/>
  <c r="Q109" i="15"/>
  <c r="O109" i="15"/>
  <c r="N109" i="15"/>
  <c r="M109" i="15"/>
  <c r="L109" i="15"/>
  <c r="K109" i="15"/>
  <c r="F106" i="15"/>
  <c r="H105" i="15"/>
  <c r="Q104" i="15"/>
  <c r="N104" i="15"/>
  <c r="K104" i="15"/>
  <c r="F104" i="15"/>
  <c r="H104" i="15" s="1"/>
  <c r="Q103" i="15"/>
  <c r="O103" i="15"/>
  <c r="N103" i="15"/>
  <c r="M103" i="15"/>
  <c r="L103" i="15"/>
  <c r="K103" i="15"/>
  <c r="P102" i="15"/>
  <c r="P110" i="15" s="1"/>
  <c r="P101" i="15"/>
  <c r="F101" i="15"/>
  <c r="F102" i="15" s="1"/>
  <c r="H102" i="15" s="1"/>
  <c r="P60" i="4"/>
  <c r="S95" i="15"/>
  <c r="R95" i="15"/>
  <c r="Q95" i="15"/>
  <c r="P95" i="15"/>
  <c r="O95" i="15"/>
  <c r="N95" i="15"/>
  <c r="M95" i="15"/>
  <c r="L95" i="15"/>
  <c r="K95" i="15"/>
  <c r="C95" i="15"/>
  <c r="T94" i="15"/>
  <c r="A60" i="4" s="1"/>
  <c r="S94" i="15"/>
  <c r="R94" i="15"/>
  <c r="Q94" i="15"/>
  <c r="P94" i="15"/>
  <c r="O94" i="15"/>
  <c r="N94" i="15"/>
  <c r="M94" i="15"/>
  <c r="L94" i="15"/>
  <c r="K94" i="15"/>
  <c r="C94" i="15"/>
  <c r="C93" i="15"/>
  <c r="X87" i="15"/>
  <c r="W87" i="15"/>
  <c r="T87" i="15"/>
  <c r="H86" i="15"/>
  <c r="F86" i="15"/>
  <c r="I85" i="15"/>
  <c r="I84" i="15"/>
  <c r="V83" i="15"/>
  <c r="G83" i="15"/>
  <c r="I82" i="15"/>
  <c r="I81" i="15"/>
  <c r="I80" i="15"/>
  <c r="I79" i="15"/>
  <c r="I78" i="15"/>
  <c r="I77" i="15"/>
  <c r="I76" i="15"/>
  <c r="I75" i="15"/>
  <c r="I74" i="15"/>
  <c r="B74" i="15"/>
  <c r="B75" i="15" s="1"/>
  <c r="B76" i="15" s="1"/>
  <c r="B77" i="15" s="1"/>
  <c r="B78" i="15" s="1"/>
  <c r="B79" i="15" s="1"/>
  <c r="B80" i="15" s="1"/>
  <c r="B81" i="15" s="1"/>
  <c r="B82" i="15" s="1"/>
  <c r="B83" i="15" s="1"/>
  <c r="B84" i="15" s="1"/>
  <c r="B85" i="15" s="1"/>
  <c r="I73" i="15"/>
  <c r="H70" i="15"/>
  <c r="F69" i="15"/>
  <c r="I68" i="15"/>
  <c r="G67" i="15"/>
  <c r="I67" i="15" s="1"/>
  <c r="B67" i="15"/>
  <c r="B68" i="15" s="1"/>
  <c r="B69" i="15" s="1"/>
  <c r="G66" i="15"/>
  <c r="H62" i="15"/>
  <c r="H63" i="15" s="1"/>
  <c r="G62" i="15"/>
  <c r="I62" i="15" s="1"/>
  <c r="I61" i="15"/>
  <c r="G60" i="15"/>
  <c r="G63" i="15" s="1"/>
  <c r="F60" i="15"/>
  <c r="B60" i="15"/>
  <c r="B61" i="15" s="1"/>
  <c r="B62" i="15" s="1"/>
  <c r="I59" i="15"/>
  <c r="H56" i="15"/>
  <c r="F56" i="15"/>
  <c r="V55" i="15"/>
  <c r="G55" i="15"/>
  <c r="F51" i="15"/>
  <c r="I51" i="15" s="1"/>
  <c r="B51" i="15"/>
  <c r="H50" i="15"/>
  <c r="H52" i="15" s="1"/>
  <c r="G50" i="15"/>
  <c r="G52" i="15" s="1"/>
  <c r="F50" i="15"/>
  <c r="S47" i="15"/>
  <c r="R47" i="15"/>
  <c r="Q47" i="15"/>
  <c r="P47" i="15"/>
  <c r="O47" i="15"/>
  <c r="N47" i="15"/>
  <c r="M47" i="15"/>
  <c r="L47" i="15"/>
  <c r="K47" i="15"/>
  <c r="S46" i="15"/>
  <c r="R46" i="15"/>
  <c r="Q46" i="15"/>
  <c r="P46" i="15"/>
  <c r="O46" i="15"/>
  <c r="N46" i="15"/>
  <c r="M46" i="15"/>
  <c r="L46" i="15"/>
  <c r="K46" i="15"/>
  <c r="H46" i="15"/>
  <c r="V45" i="15"/>
  <c r="I45" i="15"/>
  <c r="V44" i="15"/>
  <c r="G44" i="15"/>
  <c r="I44" i="15" s="1"/>
  <c r="V43" i="15"/>
  <c r="I43" i="15"/>
  <c r="V42" i="15"/>
  <c r="G42" i="15"/>
  <c r="I42" i="15" s="1"/>
  <c r="V41" i="15"/>
  <c r="I41" i="15"/>
  <c r="V40" i="15"/>
  <c r="G40" i="15"/>
  <c r="F40" i="15"/>
  <c r="I40" i="15" s="1"/>
  <c r="V39" i="15"/>
  <c r="G39" i="15"/>
  <c r="I39" i="15" s="1"/>
  <c r="V38" i="15"/>
  <c r="I38" i="15"/>
  <c r="V37" i="15"/>
  <c r="G37" i="15"/>
  <c r="I37" i="15" s="1"/>
  <c r="V36" i="15"/>
  <c r="I36" i="15"/>
  <c r="V35" i="15"/>
  <c r="F35" i="15"/>
  <c r="V34" i="15"/>
  <c r="G34" i="15"/>
  <c r="I34" i="15" s="1"/>
  <c r="V33" i="15"/>
  <c r="I33" i="15"/>
  <c r="V32" i="15"/>
  <c r="G32" i="15"/>
  <c r="B32" i="15"/>
  <c r="B33" i="15" s="1"/>
  <c r="B34" i="15" s="1"/>
  <c r="B35" i="15" s="1"/>
  <c r="B36" i="15" s="1"/>
  <c r="B37" i="15" s="1"/>
  <c r="B38" i="15" s="1"/>
  <c r="B39" i="15" s="1"/>
  <c r="B40" i="15" s="1"/>
  <c r="B41" i="15" s="1"/>
  <c r="B42" i="15" s="1"/>
  <c r="B43" i="15" s="1"/>
  <c r="B44" i="15" s="1"/>
  <c r="B45" i="15" s="1"/>
  <c r="V31" i="15"/>
  <c r="V87" i="15" s="1"/>
  <c r="I31" i="15"/>
  <c r="Q22" i="15"/>
  <c r="O22" i="15"/>
  <c r="N22" i="15"/>
  <c r="M22" i="15"/>
  <c r="L22" i="15"/>
  <c r="K22" i="15"/>
  <c r="Q21" i="15"/>
  <c r="O21" i="15"/>
  <c r="N21" i="15"/>
  <c r="N23" i="15" s="1"/>
  <c r="M21" i="15"/>
  <c r="M23" i="15" s="1"/>
  <c r="L21" i="15"/>
  <c r="L23" i="15" s="1"/>
  <c r="K21" i="15"/>
  <c r="K23" i="15" s="1"/>
  <c r="R20" i="15"/>
  <c r="N20" i="15"/>
  <c r="N24" i="15" s="1"/>
  <c r="M20" i="15"/>
  <c r="M24" i="15" s="1"/>
  <c r="L20" i="15"/>
  <c r="L24" i="15" s="1"/>
  <c r="K20" i="15"/>
  <c r="Q16" i="15"/>
  <c r="O16" i="15"/>
  <c r="Q15" i="15"/>
  <c r="O15" i="15"/>
  <c r="N15" i="15"/>
  <c r="M15" i="15"/>
  <c r="L15" i="15"/>
  <c r="K15" i="15"/>
  <c r="P14" i="15"/>
  <c r="P22" i="15" s="1"/>
  <c r="P13" i="15"/>
  <c r="N12" i="15"/>
  <c r="N16" i="15" s="1"/>
  <c r="M12" i="15"/>
  <c r="M16" i="15" s="1"/>
  <c r="S7" i="15"/>
  <c r="R7" i="15"/>
  <c r="Q7" i="15"/>
  <c r="P7" i="15"/>
  <c r="O7" i="15"/>
  <c r="N7" i="15"/>
  <c r="M7" i="15"/>
  <c r="L7" i="15"/>
  <c r="K7" i="15"/>
  <c r="C7" i="15"/>
  <c r="T6" i="15"/>
  <c r="S6" i="15"/>
  <c r="R6" i="15"/>
  <c r="Q6" i="15"/>
  <c r="P6" i="15"/>
  <c r="O6" i="15"/>
  <c r="N6" i="15"/>
  <c r="M6" i="15"/>
  <c r="L6" i="15"/>
  <c r="K6" i="15"/>
  <c r="C6" i="15"/>
  <c r="C5" i="15"/>
  <c r="G134" i="9"/>
  <c r="K20" i="3"/>
  <c r="B24" i="4"/>
  <c r="M19" i="14"/>
  <c r="X32" i="14"/>
  <c r="W32" i="14"/>
  <c r="V32" i="14"/>
  <c r="T32" i="14"/>
  <c r="I29" i="14"/>
  <c r="S31" i="14"/>
  <c r="R31" i="14"/>
  <c r="Q31" i="14"/>
  <c r="P31" i="14"/>
  <c r="O31" i="14"/>
  <c r="N31" i="14"/>
  <c r="M31" i="14"/>
  <c r="L31" i="14"/>
  <c r="K31" i="14"/>
  <c r="S30" i="14"/>
  <c r="R30" i="14"/>
  <c r="Q30" i="14"/>
  <c r="P30" i="14"/>
  <c r="O30" i="14"/>
  <c r="N30" i="14"/>
  <c r="M30" i="14"/>
  <c r="L30" i="14"/>
  <c r="K30" i="14"/>
  <c r="H30" i="14"/>
  <c r="G30" i="14"/>
  <c r="F30" i="14"/>
  <c r="I30" i="14"/>
  <c r="G9" i="14" s="1"/>
  <c r="Q21" i="14"/>
  <c r="O21" i="14"/>
  <c r="N21" i="14"/>
  <c r="M21" i="14"/>
  <c r="L21" i="14"/>
  <c r="K21" i="14"/>
  <c r="P21" i="14" s="1"/>
  <c r="Q20" i="14"/>
  <c r="O20" i="14"/>
  <c r="N20" i="14"/>
  <c r="M20" i="14"/>
  <c r="L20" i="14"/>
  <c r="K20" i="14"/>
  <c r="P20" i="14" s="1"/>
  <c r="O20" i="3"/>
  <c r="F17" i="14"/>
  <c r="H16" i="14"/>
  <c r="Q15" i="14"/>
  <c r="O15" i="14"/>
  <c r="N15" i="14"/>
  <c r="L15" i="14"/>
  <c r="K15" i="14"/>
  <c r="F15" i="14"/>
  <c r="H15" i="14" s="1"/>
  <c r="Q14" i="14"/>
  <c r="O14" i="14"/>
  <c r="N14" i="14"/>
  <c r="M14" i="14"/>
  <c r="F25" i="4" s="1"/>
  <c r="L14" i="14"/>
  <c r="K14" i="14"/>
  <c r="P13" i="14"/>
  <c r="P12" i="14"/>
  <c r="F12" i="14"/>
  <c r="F13" i="14" s="1"/>
  <c r="H13" i="14" s="1"/>
  <c r="P24" i="4"/>
  <c r="F10" i="14"/>
  <c r="S6" i="14"/>
  <c r="R6" i="14"/>
  <c r="Q6" i="14"/>
  <c r="P6" i="14"/>
  <c r="O6" i="14"/>
  <c r="N6" i="14"/>
  <c r="M6" i="14"/>
  <c r="L6" i="14"/>
  <c r="K6" i="14"/>
  <c r="C6" i="14"/>
  <c r="T5" i="14"/>
  <c r="A24" i="4" s="1"/>
  <c r="S5" i="14"/>
  <c r="R5" i="14"/>
  <c r="Q5" i="14"/>
  <c r="P5" i="14"/>
  <c r="O5" i="14"/>
  <c r="N5" i="14"/>
  <c r="M5" i="14"/>
  <c r="L5" i="14"/>
  <c r="K5" i="14"/>
  <c r="C5" i="14"/>
  <c r="C4" i="14"/>
  <c r="M101" i="5"/>
  <c r="V117" i="5"/>
  <c r="V116" i="5"/>
  <c r="B147" i="10"/>
  <c r="V154" i="10"/>
  <c r="I145" i="7"/>
  <c r="I139" i="7"/>
  <c r="V149" i="10"/>
  <c r="B148" i="10"/>
  <c r="B149" i="10" s="1"/>
  <c r="B150" i="10" s="1"/>
  <c r="V148" i="10"/>
  <c r="V146" i="10"/>
  <c r="V116" i="9"/>
  <c r="B108" i="12"/>
  <c r="B109" i="12" s="1"/>
  <c r="B110" i="12" s="1"/>
  <c r="B111" i="12" s="1"/>
  <c r="B112" i="12" s="1"/>
  <c r="B113" i="12" s="1"/>
  <c r="B114" i="12" s="1"/>
  <c r="B115" i="12" s="1"/>
  <c r="B116" i="12" s="1"/>
  <c r="B117" i="12" s="1"/>
  <c r="B118" i="12" s="1"/>
  <c r="B119" i="12" s="1"/>
  <c r="B120" i="12" s="1"/>
  <c r="B121" i="12" s="1"/>
  <c r="B122" i="12" s="1"/>
  <c r="B123" i="12" s="1"/>
  <c r="H17" i="12"/>
  <c r="H17" i="9"/>
  <c r="H17" i="10"/>
  <c r="X37" i="13"/>
  <c r="W37" i="13"/>
  <c r="V37" i="13"/>
  <c r="T37" i="13"/>
  <c r="H36" i="13"/>
  <c r="F36" i="13"/>
  <c r="G35" i="13"/>
  <c r="S32" i="13"/>
  <c r="R32" i="13"/>
  <c r="Q32" i="13"/>
  <c r="P32" i="13"/>
  <c r="O32" i="13"/>
  <c r="N32" i="13"/>
  <c r="M32" i="13"/>
  <c r="L32" i="13"/>
  <c r="K32" i="13"/>
  <c r="S31" i="13"/>
  <c r="R31" i="13"/>
  <c r="Q31" i="13"/>
  <c r="P31" i="13"/>
  <c r="O31" i="13"/>
  <c r="N31" i="13"/>
  <c r="M31" i="13"/>
  <c r="L31" i="13"/>
  <c r="K31" i="13"/>
  <c r="H31" i="13"/>
  <c r="G31" i="13"/>
  <c r="F31" i="13"/>
  <c r="I30" i="13"/>
  <c r="I31" i="13" s="1"/>
  <c r="Q22" i="13"/>
  <c r="O22" i="13"/>
  <c r="N22" i="13"/>
  <c r="M22" i="13"/>
  <c r="L22" i="13"/>
  <c r="K22" i="13"/>
  <c r="Q21" i="13"/>
  <c r="O21" i="13"/>
  <c r="N21" i="13"/>
  <c r="M21" i="13"/>
  <c r="L21" i="13"/>
  <c r="K21" i="13"/>
  <c r="F18" i="13"/>
  <c r="F17" i="13"/>
  <c r="H17" i="13" s="1"/>
  <c r="Q16" i="13"/>
  <c r="O16" i="13"/>
  <c r="N16" i="13"/>
  <c r="M16" i="13"/>
  <c r="L16" i="13"/>
  <c r="K16" i="13"/>
  <c r="F16" i="13"/>
  <c r="H16" i="13" s="1"/>
  <c r="Q15" i="13"/>
  <c r="O15" i="13"/>
  <c r="N15" i="13"/>
  <c r="M15" i="13"/>
  <c r="L15" i="13"/>
  <c r="K15" i="13"/>
  <c r="P14" i="13"/>
  <c r="P22" i="13" s="1"/>
  <c r="P13" i="13"/>
  <c r="F13" i="13"/>
  <c r="F14" i="13" s="1"/>
  <c r="H14" i="13" s="1"/>
  <c r="R12" i="13"/>
  <c r="P12" i="13"/>
  <c r="P16" i="13" s="1"/>
  <c r="F11" i="13"/>
  <c r="G10" i="13"/>
  <c r="F10" i="13"/>
  <c r="F12" i="13" s="1"/>
  <c r="H12" i="13" s="1"/>
  <c r="C10" i="13"/>
  <c r="S7" i="13"/>
  <c r="R7" i="13"/>
  <c r="Q7" i="13"/>
  <c r="P7" i="13"/>
  <c r="O7" i="13"/>
  <c r="N7" i="13"/>
  <c r="M7" i="13"/>
  <c r="L7" i="13"/>
  <c r="K7" i="13"/>
  <c r="C7" i="13"/>
  <c r="T6" i="13"/>
  <c r="S6" i="13"/>
  <c r="R6" i="13"/>
  <c r="Q6" i="13"/>
  <c r="P6" i="13"/>
  <c r="O6" i="13"/>
  <c r="N6" i="13"/>
  <c r="M6" i="13"/>
  <c r="L6" i="13"/>
  <c r="K6" i="13"/>
  <c r="C6" i="13"/>
  <c r="C5" i="13"/>
  <c r="X76" i="12"/>
  <c r="W76" i="12"/>
  <c r="T76" i="12"/>
  <c r="H75" i="12"/>
  <c r="G75" i="12"/>
  <c r="F75" i="12"/>
  <c r="I74" i="12"/>
  <c r="I73" i="12"/>
  <c r="I72" i="12"/>
  <c r="I71" i="12"/>
  <c r="I70" i="12"/>
  <c r="I69" i="12"/>
  <c r="I68" i="12"/>
  <c r="I67" i="12"/>
  <c r="B67" i="12"/>
  <c r="B68" i="12" s="1"/>
  <c r="B69" i="12" s="1"/>
  <c r="B70" i="12" s="1"/>
  <c r="B71" i="12" s="1"/>
  <c r="B72" i="12" s="1"/>
  <c r="B73" i="12" s="1"/>
  <c r="B74" i="12" s="1"/>
  <c r="I66" i="12"/>
  <c r="I75" i="12" s="1"/>
  <c r="H63" i="12"/>
  <c r="G62" i="12"/>
  <c r="I62" i="12" s="1"/>
  <c r="G61" i="12"/>
  <c r="F61" i="12"/>
  <c r="I60" i="12"/>
  <c r="B60" i="12"/>
  <c r="B61" i="12" s="1"/>
  <c r="B62" i="12" s="1"/>
  <c r="G59" i="12"/>
  <c r="H56" i="12"/>
  <c r="F56" i="12"/>
  <c r="G55" i="12"/>
  <c r="H52" i="12"/>
  <c r="F52" i="12"/>
  <c r="I51" i="12"/>
  <c r="B51" i="12"/>
  <c r="V50" i="12"/>
  <c r="G50" i="12"/>
  <c r="H47" i="12"/>
  <c r="F47" i="12"/>
  <c r="G46" i="12"/>
  <c r="I46" i="12" s="1"/>
  <c r="V45" i="12"/>
  <c r="G45" i="12"/>
  <c r="B45" i="12"/>
  <c r="B46" i="12" s="1"/>
  <c r="I44" i="12"/>
  <c r="S41" i="12"/>
  <c r="R41" i="12"/>
  <c r="Q41" i="12"/>
  <c r="P41" i="12"/>
  <c r="O41" i="12"/>
  <c r="N41" i="12"/>
  <c r="M41" i="12"/>
  <c r="L41" i="12"/>
  <c r="K41" i="12"/>
  <c r="S40" i="12"/>
  <c r="R40" i="12"/>
  <c r="Q40" i="12"/>
  <c r="P40" i="12"/>
  <c r="O40" i="12"/>
  <c r="N40" i="12"/>
  <c r="M40" i="12"/>
  <c r="L40" i="12"/>
  <c r="K40" i="12"/>
  <c r="H40" i="12"/>
  <c r="F40" i="12"/>
  <c r="V39" i="12"/>
  <c r="G39" i="12"/>
  <c r="I39" i="12" s="1"/>
  <c r="V38" i="12"/>
  <c r="G38" i="12"/>
  <c r="I38" i="12" s="1"/>
  <c r="G37" i="12"/>
  <c r="I37" i="12" s="1"/>
  <c r="V36" i="12"/>
  <c r="V76" i="12" s="1"/>
  <c r="G36" i="12"/>
  <c r="I35" i="12"/>
  <c r="I34" i="12"/>
  <c r="I33" i="12"/>
  <c r="I32" i="12"/>
  <c r="B32" i="12"/>
  <c r="B33" i="12" s="1"/>
  <c r="B34" i="12" s="1"/>
  <c r="B35" i="12" s="1"/>
  <c r="B36" i="12" s="1"/>
  <c r="B37" i="12" s="1"/>
  <c r="B38" i="12" s="1"/>
  <c r="B39" i="12" s="1"/>
  <c r="I31" i="12"/>
  <c r="Q22" i="12"/>
  <c r="O22" i="12"/>
  <c r="N22" i="12"/>
  <c r="M22" i="12"/>
  <c r="L22" i="12"/>
  <c r="K22" i="12"/>
  <c r="Q21" i="12"/>
  <c r="O21" i="12"/>
  <c r="N21" i="12"/>
  <c r="M21" i="12"/>
  <c r="M23" i="12" s="1"/>
  <c r="L21" i="12"/>
  <c r="L23" i="12" s="1"/>
  <c r="K21" i="12"/>
  <c r="K23" i="12" s="1"/>
  <c r="R20" i="12"/>
  <c r="M20" i="12"/>
  <c r="M24" i="12" s="1"/>
  <c r="L20" i="12"/>
  <c r="L24" i="12" s="1"/>
  <c r="K20" i="12"/>
  <c r="F18" i="12"/>
  <c r="Q16" i="12"/>
  <c r="O16" i="12"/>
  <c r="N16" i="12"/>
  <c r="Q15" i="12"/>
  <c r="O15" i="12"/>
  <c r="N15" i="12"/>
  <c r="M15" i="12"/>
  <c r="L15" i="12"/>
  <c r="K15" i="12"/>
  <c r="P14" i="12"/>
  <c r="P22" i="12" s="1"/>
  <c r="P13" i="12"/>
  <c r="F13" i="12"/>
  <c r="F14" i="12" s="1"/>
  <c r="H14" i="12" s="1"/>
  <c r="K12" i="12"/>
  <c r="F11" i="12"/>
  <c r="S7" i="12"/>
  <c r="R7" i="12"/>
  <c r="Q7" i="12"/>
  <c r="P7" i="12"/>
  <c r="O7" i="12"/>
  <c r="N7" i="12"/>
  <c r="M7" i="12"/>
  <c r="L7" i="12"/>
  <c r="K7" i="12"/>
  <c r="C7" i="12"/>
  <c r="T6" i="12"/>
  <c r="S6" i="12"/>
  <c r="R6" i="12"/>
  <c r="Q6" i="12"/>
  <c r="P6" i="12"/>
  <c r="O6" i="12"/>
  <c r="N6" i="12"/>
  <c r="M6" i="12"/>
  <c r="L6" i="12"/>
  <c r="K6" i="12"/>
  <c r="C6" i="12"/>
  <c r="C5" i="12"/>
  <c r="X114" i="10"/>
  <c r="W114" i="10"/>
  <c r="T114" i="10"/>
  <c r="H113" i="10"/>
  <c r="G113" i="10"/>
  <c r="I112" i="10"/>
  <c r="I111" i="10"/>
  <c r="F110" i="10"/>
  <c r="B110" i="10"/>
  <c r="B111" i="10" s="1"/>
  <c r="B112" i="10" s="1"/>
  <c r="I109" i="10"/>
  <c r="H106" i="10"/>
  <c r="G106" i="10"/>
  <c r="F106" i="10"/>
  <c r="I105" i="10"/>
  <c r="I104" i="10"/>
  <c r="I103" i="10"/>
  <c r="I102" i="10"/>
  <c r="I101" i="10"/>
  <c r="I100" i="10"/>
  <c r="I99" i="10"/>
  <c r="I98" i="10"/>
  <c r="I97" i="10"/>
  <c r="I96" i="10"/>
  <c r="B96" i="10"/>
  <c r="B97" i="10" s="1"/>
  <c r="B98" i="10" s="1"/>
  <c r="B99" i="10" s="1"/>
  <c r="B100" i="10" s="1"/>
  <c r="B101" i="10" s="1"/>
  <c r="B102" i="10" s="1"/>
  <c r="B103" i="10" s="1"/>
  <c r="B104" i="10" s="1"/>
  <c r="B105" i="10" s="1"/>
  <c r="I95" i="10"/>
  <c r="I106" i="10" s="1"/>
  <c r="G91" i="10"/>
  <c r="I91" i="10" s="1"/>
  <c r="B91" i="10"/>
  <c r="I90" i="10"/>
  <c r="G86" i="10"/>
  <c r="I86" i="10" s="1"/>
  <c r="G85" i="10"/>
  <c r="I85" i="10" s="1"/>
  <c r="G84" i="10"/>
  <c r="I84" i="10" s="1"/>
  <c r="I83" i="10"/>
  <c r="G82" i="10"/>
  <c r="I82" i="10" s="1"/>
  <c r="B82" i="10"/>
  <c r="B83" i="10" s="1"/>
  <c r="B84" i="10" s="1"/>
  <c r="B85" i="10" s="1"/>
  <c r="B86" i="10" s="1"/>
  <c r="G81" i="10"/>
  <c r="I81" i="10" s="1"/>
  <c r="H78" i="10"/>
  <c r="F78" i="10"/>
  <c r="V77" i="10"/>
  <c r="G77" i="10"/>
  <c r="I77" i="10" s="1"/>
  <c r="B77" i="10"/>
  <c r="G76" i="10"/>
  <c r="H73" i="10"/>
  <c r="G73" i="10"/>
  <c r="F72" i="10"/>
  <c r="H69" i="10"/>
  <c r="F69" i="10"/>
  <c r="V68" i="10"/>
  <c r="G68" i="10"/>
  <c r="I68" i="10" s="1"/>
  <c r="B68" i="10"/>
  <c r="G67" i="10"/>
  <c r="H64" i="10"/>
  <c r="G63" i="10"/>
  <c r="F63" i="10"/>
  <c r="I62" i="10"/>
  <c r="V61" i="10"/>
  <c r="I61" i="10"/>
  <c r="V60" i="10"/>
  <c r="I60" i="10"/>
  <c r="G59" i="10"/>
  <c r="I59" i="10" s="1"/>
  <c r="B59" i="10"/>
  <c r="B60" i="10" s="1"/>
  <c r="B61" i="10" s="1"/>
  <c r="B62" i="10" s="1"/>
  <c r="B63" i="10" s="1"/>
  <c r="G58" i="10"/>
  <c r="H55" i="10"/>
  <c r="G55" i="10"/>
  <c r="F54" i="10"/>
  <c r="I54" i="10" s="1"/>
  <c r="F53" i="10"/>
  <c r="B53" i="10"/>
  <c r="B54" i="10" s="1"/>
  <c r="V52" i="10"/>
  <c r="I52" i="10"/>
  <c r="S49" i="10"/>
  <c r="R49" i="10"/>
  <c r="Q49" i="10"/>
  <c r="P49" i="10"/>
  <c r="O49" i="10"/>
  <c r="N49" i="10"/>
  <c r="M49" i="10"/>
  <c r="L49" i="10"/>
  <c r="K49" i="10"/>
  <c r="S48" i="10"/>
  <c r="R48" i="10"/>
  <c r="Q48" i="10"/>
  <c r="P48" i="10"/>
  <c r="O48" i="10"/>
  <c r="N48" i="10"/>
  <c r="M48" i="10"/>
  <c r="L48" i="10"/>
  <c r="K48" i="10"/>
  <c r="H48" i="10"/>
  <c r="G47" i="10"/>
  <c r="I47" i="10" s="1"/>
  <c r="V46" i="10"/>
  <c r="G46" i="10"/>
  <c r="I46" i="10" s="1"/>
  <c r="G45" i="10"/>
  <c r="I45" i="10" s="1"/>
  <c r="V44" i="10"/>
  <c r="I44" i="10"/>
  <c r="I43" i="10"/>
  <c r="V42" i="10"/>
  <c r="G42" i="10"/>
  <c r="I42" i="10" s="1"/>
  <c r="I41" i="10"/>
  <c r="V40" i="10"/>
  <c r="G40" i="10"/>
  <c r="I40" i="10" s="1"/>
  <c r="I39" i="10"/>
  <c r="G38" i="10"/>
  <c r="I38" i="10" s="1"/>
  <c r="V37" i="10"/>
  <c r="G37" i="10"/>
  <c r="I37" i="10" s="1"/>
  <c r="I36" i="10"/>
  <c r="G35" i="10"/>
  <c r="I35" i="10" s="1"/>
  <c r="I34" i="10"/>
  <c r="V33" i="10"/>
  <c r="V114" i="10" s="1"/>
  <c r="G33" i="10"/>
  <c r="F33" i="10"/>
  <c r="B33" i="10"/>
  <c r="B34" i="10" s="1"/>
  <c r="B35" i="10" s="1"/>
  <c r="B36" i="10" s="1"/>
  <c r="B37" i="10" s="1"/>
  <c r="B38" i="10" s="1"/>
  <c r="B39" i="10" s="1"/>
  <c r="B40" i="10" s="1"/>
  <c r="B41" i="10" s="1"/>
  <c r="B42" i="10" s="1"/>
  <c r="B43" i="10" s="1"/>
  <c r="B44" i="10" s="1"/>
  <c r="B45" i="10" s="1"/>
  <c r="B46" i="10" s="1"/>
  <c r="B47" i="10" s="1"/>
  <c r="G32" i="10"/>
  <c r="Q22" i="10"/>
  <c r="O22" i="10"/>
  <c r="N22" i="10"/>
  <c r="M22" i="10"/>
  <c r="L22" i="10"/>
  <c r="K22" i="10"/>
  <c r="Q21" i="10"/>
  <c r="Q23" i="10" s="1"/>
  <c r="O21" i="10"/>
  <c r="O23" i="10" s="1"/>
  <c r="N21" i="10"/>
  <c r="M21" i="10"/>
  <c r="M23" i="10" s="1"/>
  <c r="L21" i="10"/>
  <c r="L23" i="10" s="1"/>
  <c r="K21" i="10"/>
  <c r="K23" i="10" s="1"/>
  <c r="R20" i="10"/>
  <c r="Q20" i="10"/>
  <c r="Q24" i="10" s="1"/>
  <c r="O20" i="10"/>
  <c r="O24" i="10" s="1"/>
  <c r="M20" i="10"/>
  <c r="M24" i="10" s="1"/>
  <c r="L20" i="10"/>
  <c r="L24" i="10" s="1"/>
  <c r="K20" i="10"/>
  <c r="F18" i="10"/>
  <c r="N16" i="10"/>
  <c r="Q15" i="10"/>
  <c r="O15" i="10"/>
  <c r="N15" i="10"/>
  <c r="M15" i="10"/>
  <c r="L15" i="10"/>
  <c r="K15" i="10"/>
  <c r="P14" i="10"/>
  <c r="P22" i="10" s="1"/>
  <c r="I14" i="10"/>
  <c r="P13" i="10"/>
  <c r="L12" i="10"/>
  <c r="L16" i="10" s="1"/>
  <c r="S7" i="10"/>
  <c r="R7" i="10"/>
  <c r="Q7" i="10"/>
  <c r="P7" i="10"/>
  <c r="O7" i="10"/>
  <c r="N7" i="10"/>
  <c r="M7" i="10"/>
  <c r="L7" i="10"/>
  <c r="K7" i="10"/>
  <c r="C7" i="10"/>
  <c r="T6" i="10"/>
  <c r="S6" i="10"/>
  <c r="R6" i="10"/>
  <c r="Q6" i="10"/>
  <c r="P6" i="10"/>
  <c r="O6" i="10"/>
  <c r="N6" i="10"/>
  <c r="M6" i="10"/>
  <c r="L6" i="10"/>
  <c r="K6" i="10"/>
  <c r="C6" i="10"/>
  <c r="C5" i="10"/>
  <c r="X82" i="9"/>
  <c r="W82" i="9"/>
  <c r="T82" i="9"/>
  <c r="H81" i="9"/>
  <c r="G81" i="9"/>
  <c r="F81" i="9"/>
  <c r="I80" i="9"/>
  <c r="I79" i="9"/>
  <c r="I77" i="9"/>
  <c r="I76" i="9"/>
  <c r="I75" i="9"/>
  <c r="I74" i="9"/>
  <c r="I73" i="9"/>
  <c r="I72" i="9"/>
  <c r="I71" i="9"/>
  <c r="I70" i="9"/>
  <c r="I69" i="9"/>
  <c r="I68" i="9"/>
  <c r="I67" i="9"/>
  <c r="I66" i="9"/>
  <c r="I65" i="9"/>
  <c r="I64" i="9"/>
  <c r="I63" i="9"/>
  <c r="I62" i="9"/>
  <c r="I61" i="9"/>
  <c r="I60" i="9"/>
  <c r="B60" i="9"/>
  <c r="B61" i="9" s="1"/>
  <c r="B62" i="9" s="1"/>
  <c r="B63" i="9" s="1"/>
  <c r="B64" i="9" s="1"/>
  <c r="B65" i="9" s="1"/>
  <c r="B66" i="9" s="1"/>
  <c r="B67" i="9" s="1"/>
  <c r="B68" i="9" s="1"/>
  <c r="B69" i="9" s="1"/>
  <c r="B70" i="9" s="1"/>
  <c r="B71" i="9" s="1"/>
  <c r="B72" i="9" s="1"/>
  <c r="B73" i="9" s="1"/>
  <c r="B74" i="9" s="1"/>
  <c r="B75" i="9" s="1"/>
  <c r="B76" i="9" s="1"/>
  <c r="B77" i="9" s="1"/>
  <c r="B78" i="9" s="1"/>
  <c r="B79" i="9" s="1"/>
  <c r="B80" i="9" s="1"/>
  <c r="I59" i="9"/>
  <c r="I81" i="9" s="1"/>
  <c r="H56" i="9"/>
  <c r="G55" i="9"/>
  <c r="F55" i="9"/>
  <c r="G54" i="9"/>
  <c r="I54" i="9" s="1"/>
  <c r="B54" i="9"/>
  <c r="B55" i="9" s="1"/>
  <c r="G53" i="9"/>
  <c r="H50" i="9"/>
  <c r="F50" i="9"/>
  <c r="G49" i="9"/>
  <c r="I49" i="9" s="1"/>
  <c r="V48" i="9"/>
  <c r="G48" i="9"/>
  <c r="I48" i="9" s="1"/>
  <c r="B48" i="9"/>
  <c r="B49" i="9" s="1"/>
  <c r="V47" i="9"/>
  <c r="G47" i="9"/>
  <c r="H44" i="9"/>
  <c r="G43" i="9"/>
  <c r="F43" i="9"/>
  <c r="B43" i="9"/>
  <c r="V42" i="9"/>
  <c r="G42" i="9"/>
  <c r="S39" i="9"/>
  <c r="R39" i="9"/>
  <c r="Q39" i="9"/>
  <c r="P39" i="9"/>
  <c r="O39" i="9"/>
  <c r="N39" i="9"/>
  <c r="M39" i="9"/>
  <c r="L39" i="9"/>
  <c r="K39" i="9"/>
  <c r="S38" i="9"/>
  <c r="R38" i="9"/>
  <c r="Q38" i="9"/>
  <c r="P38" i="9"/>
  <c r="O38" i="9"/>
  <c r="N38" i="9"/>
  <c r="M38" i="9"/>
  <c r="L38" i="9"/>
  <c r="K38" i="9"/>
  <c r="H38" i="9"/>
  <c r="F38" i="9"/>
  <c r="V37" i="9"/>
  <c r="G37" i="9"/>
  <c r="I37" i="9" s="1"/>
  <c r="I36" i="9"/>
  <c r="V35" i="9"/>
  <c r="G35" i="9"/>
  <c r="I35" i="9" s="1"/>
  <c r="I34" i="9"/>
  <c r="I33" i="9"/>
  <c r="I32" i="9"/>
  <c r="I31" i="9"/>
  <c r="B31" i="9"/>
  <c r="B32" i="9" s="1"/>
  <c r="B33" i="9" s="1"/>
  <c r="B34" i="9" s="1"/>
  <c r="B35" i="9" s="1"/>
  <c r="B36" i="9" s="1"/>
  <c r="B37" i="9" s="1"/>
  <c r="V30" i="9"/>
  <c r="V82" i="9" s="1"/>
  <c r="G30" i="9"/>
  <c r="Q22" i="9"/>
  <c r="O22" i="9"/>
  <c r="N22" i="9"/>
  <c r="M22" i="9"/>
  <c r="L22" i="9"/>
  <c r="K22" i="9"/>
  <c r="Q21" i="9"/>
  <c r="O21" i="9"/>
  <c r="O23" i="9" s="1"/>
  <c r="N21" i="9"/>
  <c r="N23" i="9" s="1"/>
  <c r="M21" i="9"/>
  <c r="M23" i="9" s="1"/>
  <c r="L21" i="9"/>
  <c r="L23" i="9" s="1"/>
  <c r="K21" i="9"/>
  <c r="R20" i="9"/>
  <c r="O20" i="9"/>
  <c r="O24" i="9" s="1"/>
  <c r="N20" i="9"/>
  <c r="N24" i="9" s="1"/>
  <c r="M20" i="9"/>
  <c r="M24" i="9" s="1"/>
  <c r="L20" i="9"/>
  <c r="F20" i="9"/>
  <c r="F19" i="9"/>
  <c r="F18" i="9"/>
  <c r="Q16" i="9"/>
  <c r="K16" i="9"/>
  <c r="Q15" i="9"/>
  <c r="O15" i="9"/>
  <c r="N15" i="9"/>
  <c r="M15" i="9"/>
  <c r="L15" i="9"/>
  <c r="K15" i="9"/>
  <c r="P14" i="9"/>
  <c r="P22" i="9" s="1"/>
  <c r="P13" i="9"/>
  <c r="F13" i="9"/>
  <c r="F14" i="9" s="1"/>
  <c r="H14" i="9" s="1"/>
  <c r="O12" i="9"/>
  <c r="O16" i="9" s="1"/>
  <c r="M12" i="9"/>
  <c r="M16" i="9" s="1"/>
  <c r="F11" i="9"/>
  <c r="S7" i="9"/>
  <c r="R7" i="9"/>
  <c r="Q7" i="9"/>
  <c r="P7" i="9"/>
  <c r="O7" i="9"/>
  <c r="N7" i="9"/>
  <c r="M7" i="9"/>
  <c r="L7" i="9"/>
  <c r="K7" i="9"/>
  <c r="C7" i="9"/>
  <c r="T6" i="9"/>
  <c r="S6" i="9"/>
  <c r="R6" i="9"/>
  <c r="Q6" i="9"/>
  <c r="P6" i="9"/>
  <c r="O6" i="9"/>
  <c r="N6" i="9"/>
  <c r="M6" i="9"/>
  <c r="L6" i="9"/>
  <c r="K6" i="9"/>
  <c r="C6" i="9"/>
  <c r="C5" i="9"/>
  <c r="X37" i="8"/>
  <c r="W37" i="8"/>
  <c r="V37" i="8"/>
  <c r="T37" i="8"/>
  <c r="H36" i="8"/>
  <c r="G36" i="8"/>
  <c r="F36" i="8"/>
  <c r="I35" i="8"/>
  <c r="I36" i="8" s="1"/>
  <c r="S32" i="8"/>
  <c r="R32" i="8"/>
  <c r="Q32" i="8"/>
  <c r="P32" i="8"/>
  <c r="O32" i="8"/>
  <c r="N32" i="8"/>
  <c r="M32" i="8"/>
  <c r="L32" i="8"/>
  <c r="K32" i="8"/>
  <c r="S31" i="8"/>
  <c r="R31" i="8"/>
  <c r="Q31" i="8"/>
  <c r="P31" i="8"/>
  <c r="O31" i="8"/>
  <c r="N31" i="8"/>
  <c r="M31" i="8"/>
  <c r="L31" i="8"/>
  <c r="K31" i="8"/>
  <c r="H31" i="8"/>
  <c r="G31" i="8"/>
  <c r="F31" i="8"/>
  <c r="I30" i="8"/>
  <c r="I31" i="8" s="1"/>
  <c r="Q22" i="8"/>
  <c r="O22" i="8"/>
  <c r="N22" i="8"/>
  <c r="M22" i="8"/>
  <c r="L22" i="8"/>
  <c r="K22" i="8"/>
  <c r="Q21" i="8"/>
  <c r="O21" i="8"/>
  <c r="N21" i="8"/>
  <c r="M21" i="8"/>
  <c r="L21" i="8"/>
  <c r="K21" i="8"/>
  <c r="F18" i="8"/>
  <c r="H17" i="8"/>
  <c r="Q16" i="8"/>
  <c r="O16" i="8"/>
  <c r="N16" i="8"/>
  <c r="M16" i="8"/>
  <c r="L16" i="8"/>
  <c r="K16" i="8"/>
  <c r="F16" i="8"/>
  <c r="H16" i="8" s="1"/>
  <c r="Q15" i="8"/>
  <c r="O15" i="8"/>
  <c r="N15" i="8"/>
  <c r="M15" i="8"/>
  <c r="L15" i="8"/>
  <c r="K15" i="8"/>
  <c r="P14" i="8"/>
  <c r="P22" i="8" s="1"/>
  <c r="P13" i="8"/>
  <c r="F13" i="8"/>
  <c r="F14" i="8" s="1"/>
  <c r="H14" i="8" s="1"/>
  <c r="R12" i="8"/>
  <c r="P12" i="8"/>
  <c r="P16" i="8" s="1"/>
  <c r="F11" i="8"/>
  <c r="G10" i="8"/>
  <c r="F10" i="8"/>
  <c r="F12" i="8" s="1"/>
  <c r="H12" i="8" s="1"/>
  <c r="C10" i="8"/>
  <c r="S7" i="8"/>
  <c r="R7" i="8"/>
  <c r="Q7" i="8"/>
  <c r="P7" i="8"/>
  <c r="O7" i="8"/>
  <c r="N7" i="8"/>
  <c r="M7" i="8"/>
  <c r="L7" i="8"/>
  <c r="K7" i="8"/>
  <c r="C7" i="8"/>
  <c r="T6" i="8"/>
  <c r="S6" i="8"/>
  <c r="R6" i="8"/>
  <c r="Q6" i="8"/>
  <c r="P6" i="8"/>
  <c r="O6" i="8"/>
  <c r="N6" i="8"/>
  <c r="M6" i="8"/>
  <c r="L6" i="8"/>
  <c r="K6" i="8"/>
  <c r="C6" i="8"/>
  <c r="C5" i="8"/>
  <c r="X92" i="7"/>
  <c r="W92" i="7"/>
  <c r="T92" i="7"/>
  <c r="H91" i="7"/>
  <c r="G91" i="7"/>
  <c r="F91" i="7"/>
  <c r="I90" i="7"/>
  <c r="I89" i="7"/>
  <c r="I88" i="7"/>
  <c r="I87" i="7"/>
  <c r="I86" i="7"/>
  <c r="I85" i="7"/>
  <c r="I84" i="7"/>
  <c r="I83" i="7"/>
  <c r="I82" i="7"/>
  <c r="I81" i="7"/>
  <c r="I80" i="7"/>
  <c r="I79" i="7"/>
  <c r="I78" i="7"/>
  <c r="I77" i="7"/>
  <c r="I76" i="7"/>
  <c r="I75" i="7"/>
  <c r="I74" i="7"/>
  <c r="I73" i="7"/>
  <c r="I72" i="7"/>
  <c r="I71" i="7"/>
  <c r="I70" i="7"/>
  <c r="I69" i="7"/>
  <c r="I68" i="7"/>
  <c r="I67" i="7"/>
  <c r="I66" i="7"/>
  <c r="B66" i="7"/>
  <c r="B67" i="7" s="1"/>
  <c r="B68" i="7" s="1"/>
  <c r="B69" i="7" s="1"/>
  <c r="B70" i="7" s="1"/>
  <c r="B71" i="7" s="1"/>
  <c r="B72" i="7" s="1"/>
  <c r="B73" i="7" s="1"/>
  <c r="B74" i="7" s="1"/>
  <c r="B75" i="7" s="1"/>
  <c r="B76" i="7" s="1"/>
  <c r="B77" i="7" s="1"/>
  <c r="B78" i="7" s="1"/>
  <c r="B79" i="7" s="1"/>
  <c r="B80" i="7" s="1"/>
  <c r="B81" i="7" s="1"/>
  <c r="B82" i="7" s="1"/>
  <c r="B83" i="7" s="1"/>
  <c r="B84" i="7" s="1"/>
  <c r="B85" i="7" s="1"/>
  <c r="B86" i="7" s="1"/>
  <c r="B87" i="7" s="1"/>
  <c r="B88" i="7" s="1"/>
  <c r="B89" i="7" s="1"/>
  <c r="B90" i="7" s="1"/>
  <c r="I65" i="7"/>
  <c r="I91" i="7" s="1"/>
  <c r="H62" i="7"/>
  <c r="F62" i="7"/>
  <c r="V61" i="7"/>
  <c r="G61" i="7"/>
  <c r="H58" i="7"/>
  <c r="G57" i="7"/>
  <c r="I57" i="7" s="1"/>
  <c r="B57" i="7"/>
  <c r="G56" i="7"/>
  <c r="G58" i="7" s="1"/>
  <c r="F56" i="7"/>
  <c r="H53" i="7"/>
  <c r="G53" i="7"/>
  <c r="F53" i="7"/>
  <c r="I52" i="7"/>
  <c r="I53" i="7" s="1"/>
  <c r="H49" i="7"/>
  <c r="G49" i="7"/>
  <c r="F48" i="7"/>
  <c r="H45" i="7"/>
  <c r="F45" i="7"/>
  <c r="V44" i="7"/>
  <c r="V92" i="7" s="1"/>
  <c r="G44" i="7"/>
  <c r="S41" i="7"/>
  <c r="R41" i="7"/>
  <c r="Q41" i="7"/>
  <c r="P41" i="7"/>
  <c r="O41" i="7"/>
  <c r="N41" i="7"/>
  <c r="M41" i="7"/>
  <c r="L41" i="7"/>
  <c r="K41" i="7"/>
  <c r="S40" i="7"/>
  <c r="R40" i="7"/>
  <c r="Q40" i="7"/>
  <c r="P40" i="7"/>
  <c r="O40" i="7"/>
  <c r="N40" i="7"/>
  <c r="M40" i="7"/>
  <c r="L40" i="7"/>
  <c r="K40" i="7"/>
  <c r="H40" i="7"/>
  <c r="G40" i="7"/>
  <c r="F40" i="7"/>
  <c r="I39" i="7"/>
  <c r="I38" i="7"/>
  <c r="I37" i="7"/>
  <c r="I36" i="7"/>
  <c r="I35" i="7"/>
  <c r="I34" i="7"/>
  <c r="I33" i="7"/>
  <c r="I32" i="7"/>
  <c r="I31" i="7"/>
  <c r="B31" i="7"/>
  <c r="B32" i="7" s="1"/>
  <c r="B33" i="7" s="1"/>
  <c r="B34" i="7" s="1"/>
  <c r="B35" i="7" s="1"/>
  <c r="B36" i="7" s="1"/>
  <c r="B37" i="7" s="1"/>
  <c r="B38" i="7" s="1"/>
  <c r="B39" i="7" s="1"/>
  <c r="I30" i="7"/>
  <c r="I40" i="7" s="1"/>
  <c r="Q22" i="7"/>
  <c r="O22" i="7"/>
  <c r="N22" i="7"/>
  <c r="M22" i="7"/>
  <c r="L22" i="7"/>
  <c r="K22" i="7"/>
  <c r="Q21" i="7"/>
  <c r="O21" i="7"/>
  <c r="O23" i="7" s="1"/>
  <c r="N21" i="7"/>
  <c r="N23" i="7" s="1"/>
  <c r="M21" i="7"/>
  <c r="M23" i="7" s="1"/>
  <c r="L21" i="7"/>
  <c r="L23" i="7" s="1"/>
  <c r="K21" i="7"/>
  <c r="K23" i="7" s="1"/>
  <c r="O20" i="7"/>
  <c r="O24" i="7" s="1"/>
  <c r="N20" i="7"/>
  <c r="N24" i="7" s="1"/>
  <c r="M20" i="7"/>
  <c r="M24" i="7" s="1"/>
  <c r="L20" i="7"/>
  <c r="L24" i="7" s="1"/>
  <c r="K20" i="7"/>
  <c r="F18" i="7"/>
  <c r="H17" i="7"/>
  <c r="Q16" i="7"/>
  <c r="F16" i="7"/>
  <c r="H16" i="7" s="1"/>
  <c r="Q15" i="7"/>
  <c r="O15" i="7"/>
  <c r="N15" i="7"/>
  <c r="M15" i="7"/>
  <c r="L15" i="7"/>
  <c r="K15" i="7"/>
  <c r="P14" i="7"/>
  <c r="P22" i="7" s="1"/>
  <c r="P13" i="7"/>
  <c r="F13" i="7"/>
  <c r="F14" i="7" s="1"/>
  <c r="H14" i="7" s="1"/>
  <c r="O12" i="7"/>
  <c r="O16" i="7" s="1"/>
  <c r="N12" i="7"/>
  <c r="N16" i="7" s="1"/>
  <c r="L12" i="7"/>
  <c r="L16" i="7" s="1"/>
  <c r="K12" i="7"/>
  <c r="F11" i="7"/>
  <c r="S7" i="7"/>
  <c r="R7" i="7"/>
  <c r="Q7" i="7"/>
  <c r="P7" i="7"/>
  <c r="O7" i="7"/>
  <c r="N7" i="7"/>
  <c r="M7" i="7"/>
  <c r="L7" i="7"/>
  <c r="K7" i="7"/>
  <c r="C7" i="7"/>
  <c r="T6" i="7"/>
  <c r="S6" i="7"/>
  <c r="R6" i="7"/>
  <c r="Q6" i="7"/>
  <c r="P6" i="7"/>
  <c r="O6" i="7"/>
  <c r="N6" i="7"/>
  <c r="M6" i="7"/>
  <c r="L6" i="7"/>
  <c r="K6" i="7"/>
  <c r="C6" i="7"/>
  <c r="C5" i="7"/>
  <c r="X80" i="5"/>
  <c r="W80" i="5"/>
  <c r="T80" i="5"/>
  <c r="H79" i="5"/>
  <c r="G79" i="5"/>
  <c r="F79" i="5"/>
  <c r="I78" i="5"/>
  <c r="I77" i="5"/>
  <c r="I76" i="5"/>
  <c r="I75" i="5"/>
  <c r="I74" i="5"/>
  <c r="I73" i="5"/>
  <c r="I72" i="5"/>
  <c r="I71" i="5"/>
  <c r="I70" i="5"/>
  <c r="I69" i="5"/>
  <c r="I68" i="5"/>
  <c r="I67" i="5"/>
  <c r="B67" i="5"/>
  <c r="B68" i="5" s="1"/>
  <c r="B69" i="5" s="1"/>
  <c r="B70" i="5" s="1"/>
  <c r="B71" i="5" s="1"/>
  <c r="B72" i="5" s="1"/>
  <c r="B73" i="5" s="1"/>
  <c r="B74" i="5" s="1"/>
  <c r="B75" i="5" s="1"/>
  <c r="B76" i="5" s="1"/>
  <c r="B77" i="5" s="1"/>
  <c r="B78" i="5" s="1"/>
  <c r="I66" i="5"/>
  <c r="I79" i="5" s="1"/>
  <c r="H63" i="5"/>
  <c r="G63" i="5"/>
  <c r="F63" i="5"/>
  <c r="I62" i="5"/>
  <c r="I63" i="5" s="1"/>
  <c r="F59" i="5"/>
  <c r="I58" i="5"/>
  <c r="H57" i="5"/>
  <c r="G57" i="5"/>
  <c r="H56" i="5"/>
  <c r="B56" i="5"/>
  <c r="B57" i="5" s="1"/>
  <c r="B58" i="5" s="1"/>
  <c r="I55" i="5"/>
  <c r="H52" i="5"/>
  <c r="F52" i="5"/>
  <c r="G51" i="5"/>
  <c r="H48" i="5"/>
  <c r="I47" i="5"/>
  <c r="G46" i="5"/>
  <c r="I46" i="5" s="1"/>
  <c r="I45" i="5"/>
  <c r="V44" i="5"/>
  <c r="G44" i="5"/>
  <c r="I44" i="5" s="1"/>
  <c r="F43" i="5"/>
  <c r="B43" i="5"/>
  <c r="B44" i="5" s="1"/>
  <c r="B45" i="5" s="1"/>
  <c r="V42" i="5"/>
  <c r="G42" i="5"/>
  <c r="S39" i="5"/>
  <c r="R39" i="5"/>
  <c r="Q39" i="5"/>
  <c r="P39" i="5"/>
  <c r="O39" i="5"/>
  <c r="N39" i="5"/>
  <c r="M39" i="5"/>
  <c r="L39" i="5"/>
  <c r="K39" i="5"/>
  <c r="S38" i="5"/>
  <c r="R38" i="5"/>
  <c r="Q38" i="5"/>
  <c r="P38" i="5"/>
  <c r="O38" i="5"/>
  <c r="N38" i="5"/>
  <c r="M38" i="5"/>
  <c r="L38" i="5"/>
  <c r="K38" i="5"/>
  <c r="H38" i="5"/>
  <c r="F38" i="5"/>
  <c r="I37" i="5"/>
  <c r="V36" i="5"/>
  <c r="I36" i="5"/>
  <c r="V35" i="5"/>
  <c r="I35" i="5"/>
  <c r="V34" i="5"/>
  <c r="G34" i="5"/>
  <c r="I34" i="5" s="1"/>
  <c r="V33" i="5"/>
  <c r="G33" i="5"/>
  <c r="I33" i="5" s="1"/>
  <c r="V32" i="5"/>
  <c r="V80" i="5" s="1"/>
  <c r="G32" i="5"/>
  <c r="I31" i="5"/>
  <c r="B31" i="5"/>
  <c r="B32" i="5" s="1"/>
  <c r="B33" i="5" s="1"/>
  <c r="I30" i="5"/>
  <c r="Q22" i="5"/>
  <c r="O22" i="5"/>
  <c r="N22" i="5"/>
  <c r="M22" i="5"/>
  <c r="L22" i="5"/>
  <c r="K22" i="5"/>
  <c r="Q21" i="5"/>
  <c r="O21" i="5"/>
  <c r="O23" i="5" s="1"/>
  <c r="N21" i="5"/>
  <c r="N23" i="5" s="1"/>
  <c r="M21" i="5"/>
  <c r="M23" i="5" s="1"/>
  <c r="L21" i="5"/>
  <c r="L23" i="5" s="1"/>
  <c r="K21" i="5"/>
  <c r="K23" i="5" s="1"/>
  <c r="O20" i="5"/>
  <c r="O24" i="5" s="1"/>
  <c r="N20" i="5"/>
  <c r="N24" i="5" s="1"/>
  <c r="M20" i="5"/>
  <c r="M24" i="5" s="1"/>
  <c r="L20" i="5"/>
  <c r="L24" i="5" s="1"/>
  <c r="K20" i="5"/>
  <c r="F19" i="5"/>
  <c r="F18" i="5"/>
  <c r="F17" i="5"/>
  <c r="H17" i="5" s="1"/>
  <c r="Q16" i="5"/>
  <c r="F16" i="5"/>
  <c r="H16" i="5" s="1"/>
  <c r="Q15" i="5"/>
  <c r="O15" i="5"/>
  <c r="N15" i="5"/>
  <c r="M15" i="5"/>
  <c r="L15" i="5"/>
  <c r="K15" i="5"/>
  <c r="P14" i="5"/>
  <c r="P22" i="5" s="1"/>
  <c r="P13" i="5"/>
  <c r="F13" i="5"/>
  <c r="F14" i="5" s="1"/>
  <c r="H14" i="5" s="1"/>
  <c r="O12" i="5"/>
  <c r="O16" i="5" s="1"/>
  <c r="M12" i="5"/>
  <c r="M16" i="5" s="1"/>
  <c r="F11" i="5"/>
  <c r="S7" i="5"/>
  <c r="R7" i="5"/>
  <c r="Q7" i="5"/>
  <c r="P7" i="5"/>
  <c r="O7" i="5"/>
  <c r="N7" i="5"/>
  <c r="M7" i="5"/>
  <c r="L7" i="5"/>
  <c r="K7" i="5"/>
  <c r="C7" i="5"/>
  <c r="T6" i="5"/>
  <c r="S6" i="5"/>
  <c r="R6" i="5"/>
  <c r="Q6" i="5"/>
  <c r="P6" i="5"/>
  <c r="O6" i="5"/>
  <c r="N6" i="5"/>
  <c r="M6" i="5"/>
  <c r="L6" i="5"/>
  <c r="K6" i="5"/>
  <c r="C6" i="5"/>
  <c r="C5" i="5"/>
  <c r="G136" i="5"/>
  <c r="G115" i="9"/>
  <c r="G116" i="9"/>
  <c r="V141" i="5"/>
  <c r="V115" i="5"/>
  <c r="V150" i="10"/>
  <c r="V109" i="12"/>
  <c r="B112" i="5"/>
  <c r="B113" i="5" s="1"/>
  <c r="V112" i="5"/>
  <c r="F124" i="7"/>
  <c r="G135" i="5"/>
  <c r="I135" i="5"/>
  <c r="I136" i="5"/>
  <c r="G161" i="5"/>
  <c r="G162" i="5" s="1"/>
  <c r="I161" i="5"/>
  <c r="F157" i="5"/>
  <c r="G128" i="9"/>
  <c r="F128" i="9"/>
  <c r="G142" i="9"/>
  <c r="I142" i="9" s="1"/>
  <c r="B142" i="9"/>
  <c r="I152" i="7"/>
  <c r="F151" i="7"/>
  <c r="F153" i="7" s="1"/>
  <c r="G150" i="7"/>
  <c r="G153" i="7" s="1"/>
  <c r="B151" i="7"/>
  <c r="B152" i="7" s="1"/>
  <c r="G134" i="7"/>
  <c r="F134" i="7"/>
  <c r="B136" i="5"/>
  <c r="G155" i="5"/>
  <c r="I156" i="5"/>
  <c r="G154" i="5"/>
  <c r="I154" i="5" s="1"/>
  <c r="G134" i="5"/>
  <c r="I134" i="5" s="1"/>
  <c r="I133" i="5"/>
  <c r="G132" i="5"/>
  <c r="I160" i="5"/>
  <c r="I162" i="5" s="1"/>
  <c r="I153" i="5"/>
  <c r="H152" i="5"/>
  <c r="G152" i="5"/>
  <c r="G157" i="5" s="1"/>
  <c r="H151" i="5"/>
  <c r="H157" i="5" s="1"/>
  <c r="B151" i="5"/>
  <c r="B152" i="5" s="1"/>
  <c r="B153" i="5" s="1"/>
  <c r="B154" i="5" s="1"/>
  <c r="B155" i="5" s="1"/>
  <c r="B156" i="5" s="1"/>
  <c r="I150" i="5"/>
  <c r="H198" i="10"/>
  <c r="I171" i="10"/>
  <c r="G170" i="10"/>
  <c r="I170" i="10" s="1"/>
  <c r="F192" i="10"/>
  <c r="F193" i="10" s="1"/>
  <c r="G191" i="10"/>
  <c r="I191" i="10" s="1"/>
  <c r="G190" i="10"/>
  <c r="I190" i="10" s="1"/>
  <c r="G197" i="10"/>
  <c r="I196" i="10"/>
  <c r="G189" i="10"/>
  <c r="I189" i="10" s="1"/>
  <c r="G188" i="10"/>
  <c r="I188" i="10" s="1"/>
  <c r="G187" i="10"/>
  <c r="I187" i="10" s="1"/>
  <c r="I186" i="10"/>
  <c r="G185" i="10"/>
  <c r="I185" i="10" s="1"/>
  <c r="B185" i="10"/>
  <c r="B186" i="10" s="1"/>
  <c r="B187" i="10" s="1"/>
  <c r="B188" i="10" s="1"/>
  <c r="B189" i="10" s="1"/>
  <c r="B190" i="10" s="1"/>
  <c r="B191" i="10" s="1"/>
  <c r="B192" i="10" s="1"/>
  <c r="G184" i="10"/>
  <c r="G193" i="10" s="1"/>
  <c r="G111" i="5"/>
  <c r="G124" i="9"/>
  <c r="G124" i="7"/>
  <c r="G130" i="7" s="1"/>
  <c r="G166" i="10"/>
  <c r="G114" i="5"/>
  <c r="P20" i="6"/>
  <c r="P103" i="9"/>
  <c r="V113" i="9"/>
  <c r="V168" i="9" s="1"/>
  <c r="V110" i="12"/>
  <c r="P101" i="5"/>
  <c r="V114" i="5"/>
  <c r="V113" i="5"/>
  <c r="V111" i="5"/>
  <c r="V183" i="5" s="1"/>
  <c r="Q24" i="3"/>
  <c r="K17" i="3"/>
  <c r="D17" i="3"/>
  <c r="E17" i="3"/>
  <c r="F17" i="3"/>
  <c r="G17" i="3"/>
  <c r="H17" i="3"/>
  <c r="C17" i="3"/>
  <c r="K14" i="3"/>
  <c r="E14" i="3"/>
  <c r="F14" i="3"/>
  <c r="G14" i="3"/>
  <c r="K11" i="3"/>
  <c r="D11" i="3"/>
  <c r="E11" i="3"/>
  <c r="G11" i="3"/>
  <c r="C11" i="3"/>
  <c r="K8" i="3"/>
  <c r="D8" i="3"/>
  <c r="E8" i="3"/>
  <c r="F8" i="3"/>
  <c r="G8" i="3"/>
  <c r="H8" i="3"/>
  <c r="C8" i="3"/>
  <c r="O5" i="3"/>
  <c r="K5" i="3"/>
  <c r="E5" i="3"/>
  <c r="F5" i="3"/>
  <c r="G5" i="3"/>
  <c r="C5" i="3"/>
  <c r="I23" i="3"/>
  <c r="K23" i="3"/>
  <c r="G23" i="3"/>
  <c r="B15" i="4"/>
  <c r="B21" i="4"/>
  <c r="B9" i="4"/>
  <c r="B18" i="4"/>
  <c r="B12" i="4"/>
  <c r="B27" i="4" s="1"/>
  <c r="G12" i="4"/>
  <c r="G144" i="12"/>
  <c r="I74" i="8"/>
  <c r="H55" i="13"/>
  <c r="H94" i="12"/>
  <c r="S32" i="11"/>
  <c r="R32" i="11"/>
  <c r="Q32" i="11"/>
  <c r="P32" i="11"/>
  <c r="O32" i="11"/>
  <c r="N32" i="11"/>
  <c r="M32" i="11"/>
  <c r="L32" i="11"/>
  <c r="K32" i="11"/>
  <c r="S31" i="11"/>
  <c r="R31" i="11"/>
  <c r="Q31" i="11"/>
  <c r="P31" i="11"/>
  <c r="O31" i="11"/>
  <c r="N31" i="11"/>
  <c r="M31" i="11"/>
  <c r="L31" i="11"/>
  <c r="K31" i="11"/>
  <c r="H31" i="11"/>
  <c r="G31" i="11"/>
  <c r="F31" i="11"/>
  <c r="I30" i="11"/>
  <c r="I31" i="11" s="1"/>
  <c r="G10" i="11" s="1"/>
  <c r="Q22" i="11"/>
  <c r="O22" i="11"/>
  <c r="N22" i="11"/>
  <c r="M22" i="11"/>
  <c r="L22" i="11"/>
  <c r="K22" i="11"/>
  <c r="Q21" i="11"/>
  <c r="O21" i="11"/>
  <c r="N21" i="11"/>
  <c r="M21" i="11"/>
  <c r="L21" i="11"/>
  <c r="K21" i="11"/>
  <c r="F18" i="11"/>
  <c r="H17" i="11"/>
  <c r="Q16" i="11"/>
  <c r="O16" i="11"/>
  <c r="N16" i="11"/>
  <c r="L16" i="11"/>
  <c r="K16" i="11"/>
  <c r="F16" i="11"/>
  <c r="H16" i="11" s="1"/>
  <c r="Q15" i="11"/>
  <c r="O15" i="11"/>
  <c r="N15" i="11"/>
  <c r="M15" i="11"/>
  <c r="L15" i="11"/>
  <c r="K15" i="11"/>
  <c r="P14" i="11"/>
  <c r="P22" i="11" s="1"/>
  <c r="P13" i="11"/>
  <c r="F13" i="11"/>
  <c r="F14" i="11" s="1"/>
  <c r="H14" i="11" s="1"/>
  <c r="F11" i="11"/>
  <c r="S7" i="11"/>
  <c r="R7" i="11"/>
  <c r="Q7" i="11"/>
  <c r="P7" i="11"/>
  <c r="O7" i="11"/>
  <c r="N7" i="11"/>
  <c r="M7" i="11"/>
  <c r="L7" i="11"/>
  <c r="K7" i="11"/>
  <c r="C7" i="11"/>
  <c r="T6" i="11"/>
  <c r="S6" i="11"/>
  <c r="R6" i="11"/>
  <c r="Q6" i="11"/>
  <c r="P6" i="11"/>
  <c r="O6" i="11"/>
  <c r="N6" i="11"/>
  <c r="M6" i="11"/>
  <c r="L6" i="11"/>
  <c r="K6" i="11"/>
  <c r="C6" i="11"/>
  <c r="C5" i="11"/>
  <c r="I164" i="9"/>
  <c r="I163" i="9"/>
  <c r="I162" i="9"/>
  <c r="I161" i="9"/>
  <c r="I160" i="9"/>
  <c r="I159" i="9"/>
  <c r="I157" i="9"/>
  <c r="I156" i="9"/>
  <c r="I154" i="9"/>
  <c r="I153" i="9"/>
  <c r="I152" i="9"/>
  <c r="I151" i="9"/>
  <c r="I150" i="9"/>
  <c r="I149" i="9"/>
  <c r="I148" i="9"/>
  <c r="I147" i="9"/>
  <c r="B147" i="9"/>
  <c r="B148" i="9" s="1"/>
  <c r="B149" i="9" s="1"/>
  <c r="B150" i="9" s="1"/>
  <c r="B151" i="9" s="1"/>
  <c r="B152" i="9" s="1"/>
  <c r="B153" i="9" s="1"/>
  <c r="B154" i="9" s="1"/>
  <c r="I146" i="9"/>
  <c r="I158" i="9"/>
  <c r="I119" i="9"/>
  <c r="I132" i="9"/>
  <c r="I133" i="9"/>
  <c r="I116" i="9"/>
  <c r="B133" i="9"/>
  <c r="H129" i="9"/>
  <c r="G129" i="9"/>
  <c r="F129" i="9"/>
  <c r="I123" i="9"/>
  <c r="I122" i="9"/>
  <c r="I121" i="9"/>
  <c r="I120" i="9"/>
  <c r="N95" i="9" s="1"/>
  <c r="I118" i="9"/>
  <c r="I117" i="9"/>
  <c r="M95" i="9" s="1"/>
  <c r="I115" i="9"/>
  <c r="L95" i="9" s="1"/>
  <c r="I114" i="9"/>
  <c r="B114" i="9"/>
  <c r="B115" i="9" s="1"/>
  <c r="I113" i="9"/>
  <c r="I124" i="9" s="1"/>
  <c r="Q105" i="9"/>
  <c r="O105" i="9"/>
  <c r="N105" i="9"/>
  <c r="M105" i="9"/>
  <c r="L105" i="9"/>
  <c r="K105" i="9"/>
  <c r="Q104" i="9"/>
  <c r="O104" i="9"/>
  <c r="N104" i="9"/>
  <c r="M104" i="9"/>
  <c r="L104" i="9"/>
  <c r="K104" i="9"/>
  <c r="O17" i="3"/>
  <c r="M17" i="3"/>
  <c r="F101" i="9"/>
  <c r="H100" i="9"/>
  <c r="Q99" i="9"/>
  <c r="Q98" i="9"/>
  <c r="O98" i="9"/>
  <c r="N98" i="9"/>
  <c r="M98" i="9"/>
  <c r="L98" i="9"/>
  <c r="K98" i="9"/>
  <c r="P97" i="9"/>
  <c r="P105" i="9" s="1"/>
  <c r="P96" i="9"/>
  <c r="F96" i="9"/>
  <c r="F97" i="9" s="1"/>
  <c r="H97" i="9" s="1"/>
  <c r="P15" i="4"/>
  <c r="F94" i="9"/>
  <c r="S90" i="9"/>
  <c r="R90" i="9"/>
  <c r="Q90" i="9"/>
  <c r="P90" i="9"/>
  <c r="O90" i="9"/>
  <c r="N90" i="9"/>
  <c r="M90" i="9"/>
  <c r="L90" i="9"/>
  <c r="K90" i="9"/>
  <c r="C90" i="9"/>
  <c r="T89" i="9"/>
  <c r="A15" i="4" s="1"/>
  <c r="S89" i="9"/>
  <c r="R89" i="9"/>
  <c r="Q89" i="9"/>
  <c r="P89" i="9"/>
  <c r="O89" i="9"/>
  <c r="N89" i="9"/>
  <c r="M89" i="9"/>
  <c r="L89" i="9"/>
  <c r="K89" i="9"/>
  <c r="C89" i="9"/>
  <c r="C88" i="9"/>
  <c r="I103" i="8"/>
  <c r="I102" i="8"/>
  <c r="I101" i="8"/>
  <c r="I100" i="8"/>
  <c r="I99" i="8"/>
  <c r="I98" i="8"/>
  <c r="I97" i="8"/>
  <c r="I96" i="8"/>
  <c r="I95" i="8"/>
  <c r="I94" i="8"/>
  <c r="I93" i="8"/>
  <c r="I92" i="8"/>
  <c r="B92" i="8"/>
  <c r="B93" i="8" s="1"/>
  <c r="B94" i="8" s="1"/>
  <c r="B95" i="8" s="1"/>
  <c r="I91" i="8"/>
  <c r="I104" i="8" s="1"/>
  <c r="I79" i="8"/>
  <c r="H75" i="8"/>
  <c r="G75" i="8"/>
  <c r="F75" i="8"/>
  <c r="I75" i="8"/>
  <c r="F53" i="8" s="1"/>
  <c r="F54" i="8" s="1"/>
  <c r="I86" i="8"/>
  <c r="I81" i="8"/>
  <c r="I80" i="8"/>
  <c r="I69" i="8"/>
  <c r="B69" i="8"/>
  <c r="I68" i="8"/>
  <c r="I70" i="8" s="1"/>
  <c r="Q60" i="8"/>
  <c r="O60" i="8"/>
  <c r="N60" i="8"/>
  <c r="M60" i="8"/>
  <c r="L60" i="8"/>
  <c r="K60" i="8"/>
  <c r="Q59" i="8"/>
  <c r="O59" i="8"/>
  <c r="N59" i="8"/>
  <c r="M59" i="8"/>
  <c r="L59" i="8"/>
  <c r="K59" i="8"/>
  <c r="O44" i="3"/>
  <c r="F56" i="8"/>
  <c r="H55" i="8"/>
  <c r="Q54" i="8"/>
  <c r="L54" i="8"/>
  <c r="K54" i="8"/>
  <c r="H54" i="8"/>
  <c r="Q53" i="8"/>
  <c r="O53" i="8"/>
  <c r="N53" i="8"/>
  <c r="M53" i="8"/>
  <c r="L53" i="8"/>
  <c r="K53" i="8"/>
  <c r="P52" i="8"/>
  <c r="P60" i="8" s="1"/>
  <c r="P51" i="8"/>
  <c r="F51" i="8"/>
  <c r="F52" i="8" s="1"/>
  <c r="H52" i="8" s="1"/>
  <c r="P48" i="4"/>
  <c r="F49" i="8"/>
  <c r="S45" i="8"/>
  <c r="R45" i="8"/>
  <c r="Q45" i="8"/>
  <c r="P45" i="8"/>
  <c r="O45" i="8"/>
  <c r="N45" i="8"/>
  <c r="M45" i="8"/>
  <c r="L45" i="8"/>
  <c r="K45" i="8"/>
  <c r="C45" i="8"/>
  <c r="T44" i="8"/>
  <c r="A48" i="4" s="1"/>
  <c r="S44" i="8"/>
  <c r="R44" i="8"/>
  <c r="Q44" i="8"/>
  <c r="P44" i="8"/>
  <c r="O44" i="8"/>
  <c r="N44" i="8"/>
  <c r="M44" i="8"/>
  <c r="L44" i="8"/>
  <c r="K44" i="8"/>
  <c r="C44" i="8"/>
  <c r="C43" i="8"/>
  <c r="I168" i="7"/>
  <c r="I167" i="7"/>
  <c r="I166" i="7"/>
  <c r="I165" i="7"/>
  <c r="I164" i="7"/>
  <c r="I163" i="7"/>
  <c r="I162" i="7"/>
  <c r="I161" i="7"/>
  <c r="I160" i="7"/>
  <c r="I159" i="7"/>
  <c r="I158" i="7"/>
  <c r="I157" i="7"/>
  <c r="B157" i="7"/>
  <c r="B158" i="7" s="1"/>
  <c r="B159" i="7" s="1"/>
  <c r="B160" i="7" s="1"/>
  <c r="B161" i="7" s="1"/>
  <c r="B162" i="7" s="1"/>
  <c r="B163" i="7" s="1"/>
  <c r="B164" i="7" s="1"/>
  <c r="B165" i="7" s="1"/>
  <c r="B166" i="7" s="1"/>
  <c r="B167" i="7" s="1"/>
  <c r="B168" i="7" s="1"/>
  <c r="B169" i="7" s="1"/>
  <c r="I156" i="7"/>
  <c r="I170" i="7" s="1"/>
  <c r="I141" i="7"/>
  <c r="I146" i="7"/>
  <c r="B146" i="7"/>
  <c r="B141" i="7" s="1"/>
  <c r="I140" i="7"/>
  <c r="I126" i="7"/>
  <c r="I124" i="7"/>
  <c r="B124" i="7"/>
  <c r="I123" i="7"/>
  <c r="H136" i="7"/>
  <c r="G136" i="7"/>
  <c r="F136" i="7"/>
  <c r="I129" i="7"/>
  <c r="I128" i="7"/>
  <c r="I127" i="7"/>
  <c r="I125" i="7"/>
  <c r="K105" i="7" s="1"/>
  <c r="Q115" i="7"/>
  <c r="Q114" i="7"/>
  <c r="O114" i="7"/>
  <c r="N114" i="7"/>
  <c r="M114" i="7"/>
  <c r="L114" i="7"/>
  <c r="K114" i="7"/>
  <c r="O14" i="3"/>
  <c r="R113" i="7"/>
  <c r="F111" i="7"/>
  <c r="H110" i="7"/>
  <c r="Q109" i="7"/>
  <c r="N109" i="7"/>
  <c r="L109" i="7"/>
  <c r="Q108" i="7"/>
  <c r="O108" i="7"/>
  <c r="N108" i="7"/>
  <c r="G13" i="4" s="1" a="1"/>
  <c r="G13" i="4" s="1"/>
  <c r="M108" i="7"/>
  <c r="L108" i="7"/>
  <c r="K108" i="7"/>
  <c r="P107" i="7"/>
  <c r="P115" i="7" s="1"/>
  <c r="P106" i="7"/>
  <c r="P114" i="7" s="1"/>
  <c r="F106" i="7"/>
  <c r="F107" i="7" s="1"/>
  <c r="H107" i="7" s="1"/>
  <c r="P12" i="4"/>
  <c r="F104" i="7"/>
  <c r="S100" i="7"/>
  <c r="R100" i="7"/>
  <c r="Q100" i="7"/>
  <c r="P100" i="7"/>
  <c r="O100" i="7"/>
  <c r="N100" i="7"/>
  <c r="M100" i="7"/>
  <c r="L100" i="7"/>
  <c r="K100" i="7"/>
  <c r="C100" i="7"/>
  <c r="T99" i="7"/>
  <c r="A12" i="4" s="1"/>
  <c r="S99" i="7"/>
  <c r="R99" i="7"/>
  <c r="Q99" i="7"/>
  <c r="P99" i="7"/>
  <c r="O99" i="7"/>
  <c r="N99" i="7"/>
  <c r="M99" i="7"/>
  <c r="L99" i="7"/>
  <c r="K99" i="7"/>
  <c r="C99" i="7"/>
  <c r="C98" i="7"/>
  <c r="X33" i="6"/>
  <c r="W33" i="6"/>
  <c r="V33" i="6"/>
  <c r="T33" i="6"/>
  <c r="S32" i="6"/>
  <c r="R32" i="6"/>
  <c r="Q32" i="6"/>
  <c r="P32" i="6"/>
  <c r="O32" i="6"/>
  <c r="N32" i="6"/>
  <c r="M32" i="6"/>
  <c r="L32" i="6"/>
  <c r="K32" i="6"/>
  <c r="S31" i="6"/>
  <c r="R31" i="6"/>
  <c r="Q31" i="6"/>
  <c r="P31" i="6"/>
  <c r="O31" i="6"/>
  <c r="N31" i="6"/>
  <c r="M31" i="6"/>
  <c r="L31" i="6"/>
  <c r="K31" i="6"/>
  <c r="H31" i="6"/>
  <c r="G31" i="6"/>
  <c r="F31" i="6"/>
  <c r="I30" i="6"/>
  <c r="I31" i="6" s="1"/>
  <c r="G10" i="6" s="1"/>
  <c r="Q22" i="6"/>
  <c r="O22" i="6"/>
  <c r="N22" i="6"/>
  <c r="M22" i="6"/>
  <c r="L22" i="6"/>
  <c r="K22" i="6"/>
  <c r="Q21" i="6"/>
  <c r="O21" i="6"/>
  <c r="N21" i="6"/>
  <c r="M21" i="6"/>
  <c r="L21" i="6"/>
  <c r="K21" i="6"/>
  <c r="F18" i="6"/>
  <c r="H17" i="6"/>
  <c r="Q16" i="6"/>
  <c r="O16" i="6"/>
  <c r="N16" i="6"/>
  <c r="M16" i="6"/>
  <c r="L16" i="6"/>
  <c r="K16" i="6"/>
  <c r="F16" i="6"/>
  <c r="H16" i="6" s="1"/>
  <c r="Q15" i="6"/>
  <c r="O15" i="6"/>
  <c r="N15" i="6"/>
  <c r="M15" i="6"/>
  <c r="L15" i="6"/>
  <c r="K15" i="6"/>
  <c r="P14" i="6"/>
  <c r="P22" i="6" s="1"/>
  <c r="P13" i="6"/>
  <c r="F13" i="6"/>
  <c r="F14" i="6" s="1"/>
  <c r="H14" i="6" s="1"/>
  <c r="P12" i="6"/>
  <c r="P16" i="6" s="1"/>
  <c r="F11" i="6"/>
  <c r="F10" i="6"/>
  <c r="F12" i="6" s="1"/>
  <c r="H12" i="6" s="1"/>
  <c r="C10" i="6"/>
  <c r="S7" i="6"/>
  <c r="R7" i="6"/>
  <c r="Q7" i="6"/>
  <c r="P7" i="6"/>
  <c r="O7" i="6"/>
  <c r="N7" i="6"/>
  <c r="M7" i="6"/>
  <c r="L7" i="6"/>
  <c r="K7" i="6"/>
  <c r="C7" i="6"/>
  <c r="T6" i="6"/>
  <c r="S6" i="6"/>
  <c r="R6" i="6"/>
  <c r="Q6" i="6"/>
  <c r="P6" i="6"/>
  <c r="O6" i="6"/>
  <c r="N6" i="6"/>
  <c r="M6" i="6"/>
  <c r="L6" i="6"/>
  <c r="K6" i="6"/>
  <c r="C6" i="6"/>
  <c r="C5" i="6"/>
  <c r="H98" i="5"/>
  <c r="H160" i="2"/>
  <c r="H159" i="2"/>
  <c r="H157" i="2"/>
  <c r="H155" i="2"/>
  <c r="H16" i="2"/>
  <c r="H15" i="2"/>
  <c r="H13" i="2"/>
  <c r="H11" i="2"/>
  <c r="H132" i="10"/>
  <c r="H139" i="12"/>
  <c r="F139" i="12"/>
  <c r="I138" i="12"/>
  <c r="G137" i="12"/>
  <c r="I137" i="12" s="1"/>
  <c r="H145" i="12"/>
  <c r="I144" i="12"/>
  <c r="I143" i="12"/>
  <c r="G142" i="12"/>
  <c r="B138" i="12"/>
  <c r="G136" i="12"/>
  <c r="G139" i="12" s="1"/>
  <c r="G73" i="13"/>
  <c r="F57" i="13"/>
  <c r="I219" i="10"/>
  <c r="I218" i="10"/>
  <c r="I217" i="10"/>
  <c r="I216" i="10"/>
  <c r="I215" i="10"/>
  <c r="I214" i="10"/>
  <c r="I213" i="10"/>
  <c r="I212" i="10"/>
  <c r="I211" i="10"/>
  <c r="I210" i="10"/>
  <c r="I209" i="10"/>
  <c r="I208" i="10"/>
  <c r="I207" i="10"/>
  <c r="I206" i="10"/>
  <c r="I205" i="10"/>
  <c r="I203" i="10"/>
  <c r="I202" i="10"/>
  <c r="B202" i="10"/>
  <c r="B203" i="10" s="1"/>
  <c r="B204" i="10" s="1"/>
  <c r="B205" i="10" s="1"/>
  <c r="B206" i="10" s="1"/>
  <c r="B207" i="10" s="1"/>
  <c r="B208" i="10" s="1"/>
  <c r="B209" i="10" s="1"/>
  <c r="B210" i="10" s="1"/>
  <c r="B211" i="10" s="1"/>
  <c r="B212" i="10" s="1"/>
  <c r="B213" i="10" s="1"/>
  <c r="B214" i="10" s="1"/>
  <c r="B215" i="10" s="1"/>
  <c r="B216" i="10" s="1"/>
  <c r="B217" i="10" s="1"/>
  <c r="B218" i="10" s="1"/>
  <c r="B219" i="10" s="1"/>
  <c r="B220" i="10" s="1"/>
  <c r="B221" i="10" s="1"/>
  <c r="B222" i="10" s="1"/>
  <c r="I201" i="10"/>
  <c r="I165" i="10"/>
  <c r="I164" i="10"/>
  <c r="I180" i="10"/>
  <c r="I181" i="10" s="1"/>
  <c r="I154" i="10"/>
  <c r="I153" i="10"/>
  <c r="I149" i="10"/>
  <c r="I148" i="10"/>
  <c r="I146" i="10"/>
  <c r="I176" i="10"/>
  <c r="I156" i="10"/>
  <c r="I175" i="10"/>
  <c r="B176" i="10"/>
  <c r="I204" i="10"/>
  <c r="I177" i="10" s="1"/>
  <c r="H172" i="10"/>
  <c r="G172" i="10"/>
  <c r="F172" i="10"/>
  <c r="I172" i="10"/>
  <c r="F130" i="10" s="1"/>
  <c r="F131" i="10" s="1"/>
  <c r="I163" i="10"/>
  <c r="I162" i="10"/>
  <c r="I161" i="10"/>
  <c r="I160" i="10"/>
  <c r="I159" i="10"/>
  <c r="I158" i="10"/>
  <c r="I157" i="10"/>
  <c r="N127" i="10" s="1"/>
  <c r="I155" i="10"/>
  <c r="I152" i="10"/>
  <c r="I151" i="10"/>
  <c r="I150" i="10"/>
  <c r="L127" i="10" s="1"/>
  <c r="B151" i="10"/>
  <c r="B152" i="10" s="1"/>
  <c r="B153" i="10" s="1"/>
  <c r="B154" i="10" s="1"/>
  <c r="I147" i="10"/>
  <c r="K127" i="10" s="1"/>
  <c r="Q137" i="10"/>
  <c r="O137" i="10"/>
  <c r="N137" i="10"/>
  <c r="M137" i="10"/>
  <c r="L137" i="10"/>
  <c r="K137" i="10"/>
  <c r="Q136" i="10"/>
  <c r="N136" i="10"/>
  <c r="M136" i="10"/>
  <c r="L136" i="10"/>
  <c r="K136" i="10"/>
  <c r="F133" i="10"/>
  <c r="Q131" i="10"/>
  <c r="H131" i="10"/>
  <c r="Q130" i="10"/>
  <c r="O130" i="10"/>
  <c r="N130" i="10"/>
  <c r="M130" i="10"/>
  <c r="L130" i="10"/>
  <c r="K130" i="10"/>
  <c r="P129" i="10"/>
  <c r="P137" i="10" s="1"/>
  <c r="P128" i="10"/>
  <c r="F128" i="10"/>
  <c r="F129" i="10" s="1"/>
  <c r="H129" i="10" s="1"/>
  <c r="P18" i="4"/>
  <c r="S122" i="10"/>
  <c r="R122" i="10"/>
  <c r="Q122" i="10"/>
  <c r="P122" i="10"/>
  <c r="O122" i="10"/>
  <c r="N122" i="10"/>
  <c r="M122" i="10"/>
  <c r="L122" i="10"/>
  <c r="K122" i="10"/>
  <c r="C122" i="10"/>
  <c r="T121" i="10"/>
  <c r="A18" i="4" s="1"/>
  <c r="S121" i="10"/>
  <c r="R121" i="10"/>
  <c r="Q121" i="10"/>
  <c r="P121" i="10"/>
  <c r="O121" i="10"/>
  <c r="N121" i="10"/>
  <c r="M121" i="10"/>
  <c r="L121" i="10"/>
  <c r="K121" i="10"/>
  <c r="C121" i="10"/>
  <c r="C120" i="10"/>
  <c r="X75" i="13"/>
  <c r="W75" i="13"/>
  <c r="V75" i="13"/>
  <c r="T75" i="13"/>
  <c r="H74" i="13"/>
  <c r="G74" i="13"/>
  <c r="F74" i="13"/>
  <c r="S70" i="13"/>
  <c r="R70" i="13"/>
  <c r="Q70" i="13"/>
  <c r="P70" i="13"/>
  <c r="O70" i="13"/>
  <c r="N70" i="13"/>
  <c r="M70" i="13"/>
  <c r="L70" i="13"/>
  <c r="K70" i="13"/>
  <c r="S69" i="13"/>
  <c r="R69" i="13"/>
  <c r="Q69" i="13"/>
  <c r="P69" i="13"/>
  <c r="O69" i="13"/>
  <c r="N69" i="13"/>
  <c r="M69" i="13"/>
  <c r="L69" i="13"/>
  <c r="K69" i="13"/>
  <c r="H69" i="13"/>
  <c r="G69" i="13"/>
  <c r="F69" i="13"/>
  <c r="I68" i="13"/>
  <c r="I69" i="13" s="1"/>
  <c r="G48" i="13" s="1"/>
  <c r="Q60" i="13"/>
  <c r="O60" i="13"/>
  <c r="N60" i="13"/>
  <c r="M60" i="13"/>
  <c r="L60" i="13"/>
  <c r="K60" i="13"/>
  <c r="Q59" i="13"/>
  <c r="O59" i="13"/>
  <c r="N59" i="13"/>
  <c r="M59" i="13"/>
  <c r="L59" i="13"/>
  <c r="K59" i="13"/>
  <c r="F56" i="13"/>
  <c r="Q54" i="13"/>
  <c r="O54" i="13"/>
  <c r="N54" i="13"/>
  <c r="M54" i="13"/>
  <c r="L54" i="13"/>
  <c r="K54" i="13"/>
  <c r="Q53" i="13"/>
  <c r="O53" i="13"/>
  <c r="N53" i="13"/>
  <c r="M53" i="13"/>
  <c r="L53" i="13"/>
  <c r="K53" i="13"/>
  <c r="P52" i="13"/>
  <c r="P60" i="13" s="1"/>
  <c r="P51" i="13"/>
  <c r="F51" i="13"/>
  <c r="F52" i="13" s="1"/>
  <c r="H52" i="13" s="1"/>
  <c r="P50" i="13"/>
  <c r="P54" i="13" s="1"/>
  <c r="F49" i="13"/>
  <c r="F48" i="13"/>
  <c r="F50" i="13" s="1"/>
  <c r="H50" i="13" s="1"/>
  <c r="C48" i="13"/>
  <c r="S45" i="13"/>
  <c r="R45" i="13"/>
  <c r="Q45" i="13"/>
  <c r="P45" i="13"/>
  <c r="O45" i="13"/>
  <c r="N45" i="13"/>
  <c r="M45" i="13"/>
  <c r="L45" i="13"/>
  <c r="K45" i="13"/>
  <c r="C45" i="13"/>
  <c r="T44" i="13"/>
  <c r="S44" i="13"/>
  <c r="R44" i="13"/>
  <c r="Q44" i="13"/>
  <c r="P44" i="13"/>
  <c r="O44" i="13"/>
  <c r="N44" i="13"/>
  <c r="M44" i="13"/>
  <c r="L44" i="13"/>
  <c r="K44" i="13"/>
  <c r="C44" i="13"/>
  <c r="C43" i="13"/>
  <c r="I165" i="12"/>
  <c r="I164" i="12"/>
  <c r="I163" i="12"/>
  <c r="I162" i="12"/>
  <c r="I161" i="12"/>
  <c r="I160" i="12"/>
  <c r="I159" i="12"/>
  <c r="I158" i="12"/>
  <c r="I157" i="12"/>
  <c r="I156" i="12"/>
  <c r="I155" i="12"/>
  <c r="I154" i="12"/>
  <c r="I153" i="12"/>
  <c r="I152" i="12"/>
  <c r="I151" i="12"/>
  <c r="I150" i="12"/>
  <c r="I149" i="12"/>
  <c r="B149" i="12"/>
  <c r="B150" i="12" s="1"/>
  <c r="B151" i="12" s="1"/>
  <c r="B152" i="12" s="1"/>
  <c r="B153" i="12" s="1"/>
  <c r="B154" i="12" s="1"/>
  <c r="B155" i="12" s="1"/>
  <c r="B156" i="12" s="1"/>
  <c r="B157" i="12" s="1"/>
  <c r="B158" i="12" s="1"/>
  <c r="B159" i="12" s="1"/>
  <c r="B160" i="12" s="1"/>
  <c r="B161" i="12" s="1"/>
  <c r="B162" i="12" s="1"/>
  <c r="B163" i="12" s="1"/>
  <c r="B164" i="12" s="1"/>
  <c r="B165" i="12" s="1"/>
  <c r="B166" i="12" s="1"/>
  <c r="B167" i="12" s="1"/>
  <c r="B168" i="12" s="1"/>
  <c r="I148" i="12"/>
  <c r="I169" i="12" s="1"/>
  <c r="I132" i="12"/>
  <c r="I133" i="12" s="1"/>
  <c r="R89" i="12" s="1"/>
  <c r="I111" i="12"/>
  <c r="I109" i="12"/>
  <c r="I108" i="12"/>
  <c r="I120" i="12"/>
  <c r="H129" i="12"/>
  <c r="G129" i="12"/>
  <c r="F129" i="12"/>
  <c r="I123" i="12"/>
  <c r="I122" i="12"/>
  <c r="I121" i="12"/>
  <c r="I119" i="12"/>
  <c r="I118" i="12"/>
  <c r="N89" i="12" s="1"/>
  <c r="I117" i="12"/>
  <c r="I116" i="12"/>
  <c r="I115" i="12"/>
  <c r="I114" i="12"/>
  <c r="I113" i="12"/>
  <c r="M89" i="12" s="1"/>
  <c r="I112" i="12"/>
  <c r="L89" i="12" s="1"/>
  <c r="I110" i="12"/>
  <c r="I107" i="12"/>
  <c r="Q99" i="12"/>
  <c r="O99" i="12"/>
  <c r="N99" i="12"/>
  <c r="M99" i="12"/>
  <c r="L99" i="12"/>
  <c r="K99" i="12"/>
  <c r="Q98" i="12"/>
  <c r="O98" i="12"/>
  <c r="N98" i="12"/>
  <c r="M98" i="12"/>
  <c r="L98" i="12"/>
  <c r="K98" i="12"/>
  <c r="M11" i="3"/>
  <c r="F95" i="12"/>
  <c r="Q93" i="12"/>
  <c r="Q92" i="12"/>
  <c r="O92" i="12"/>
  <c r="N92" i="12"/>
  <c r="M92" i="12"/>
  <c r="L92" i="12"/>
  <c r="K92" i="12"/>
  <c r="P91" i="12"/>
  <c r="P99" i="12" s="1"/>
  <c r="P90" i="12"/>
  <c r="F90" i="12"/>
  <c r="F91" i="12" s="1"/>
  <c r="H91" i="12" s="1"/>
  <c r="P21" i="4"/>
  <c r="F88" i="12"/>
  <c r="S84" i="12"/>
  <c r="R84" i="12"/>
  <c r="Q84" i="12"/>
  <c r="P84" i="12"/>
  <c r="O84" i="12"/>
  <c r="N84" i="12"/>
  <c r="M84" i="12"/>
  <c r="L84" i="12"/>
  <c r="K84" i="12"/>
  <c r="C84" i="12"/>
  <c r="S83" i="12"/>
  <c r="R83" i="12"/>
  <c r="Q83" i="12"/>
  <c r="P83" i="12"/>
  <c r="O83" i="12"/>
  <c r="N83" i="12"/>
  <c r="M83" i="12"/>
  <c r="L83" i="12"/>
  <c r="K83" i="12"/>
  <c r="C83" i="12"/>
  <c r="C82" i="12"/>
  <c r="I181" i="5"/>
  <c r="B181" i="5"/>
  <c r="I180" i="5"/>
  <c r="I182" i="5" s="1"/>
  <c r="I176" i="5"/>
  <c r="I175" i="5"/>
  <c r="I174" i="5"/>
  <c r="I173" i="5"/>
  <c r="I172" i="5"/>
  <c r="I171" i="5"/>
  <c r="I170" i="5"/>
  <c r="I169" i="5"/>
  <c r="I168" i="5"/>
  <c r="I167" i="5"/>
  <c r="I166" i="5"/>
  <c r="B166" i="5"/>
  <c r="B167" i="5" s="1"/>
  <c r="B168" i="5" s="1"/>
  <c r="B169" i="5" s="1"/>
  <c r="B170" i="5" s="1"/>
  <c r="B171" i="5" s="1"/>
  <c r="B172" i="5" s="1"/>
  <c r="B173" i="5" s="1"/>
  <c r="B174" i="5" s="1"/>
  <c r="B175" i="5" s="1"/>
  <c r="B176" i="5" s="1"/>
  <c r="I165" i="5"/>
  <c r="I177" i="5" s="1"/>
  <c r="I146" i="5"/>
  <c r="I112" i="5"/>
  <c r="I120" i="5"/>
  <c r="I145" i="5"/>
  <c r="I141" i="5"/>
  <c r="B141" i="5"/>
  <c r="I140" i="5"/>
  <c r="I142" i="5" s="1"/>
  <c r="I128" i="5"/>
  <c r="I127" i="5"/>
  <c r="B127" i="5"/>
  <c r="B128" i="5" s="1"/>
  <c r="I126" i="5"/>
  <c r="I129" i="5" s="1"/>
  <c r="I121" i="5"/>
  <c r="I119" i="5"/>
  <c r="O93" i="5" s="1"/>
  <c r="H9" i="4" s="1"/>
  <c r="I118" i="5"/>
  <c r="N93" i="5" s="1"/>
  <c r="G9" i="4" s="1"/>
  <c r="I117" i="5"/>
  <c r="I116" i="5"/>
  <c r="I115" i="5"/>
  <c r="I114" i="5"/>
  <c r="I113" i="5"/>
  <c r="B114" i="5"/>
  <c r="B115" i="5" s="1"/>
  <c r="B116" i="5" s="1"/>
  <c r="B117" i="5" s="1"/>
  <c r="B118" i="5" s="1"/>
  <c r="B119" i="5" s="1"/>
  <c r="B120" i="5" s="1"/>
  <c r="B121" i="5" s="1"/>
  <c r="I111" i="5"/>
  <c r="K93" i="5" s="1"/>
  <c r="Q103" i="5"/>
  <c r="O103" i="5"/>
  <c r="N103" i="5"/>
  <c r="M103" i="5"/>
  <c r="L103" i="5"/>
  <c r="K103" i="5"/>
  <c r="Q102" i="5"/>
  <c r="O102" i="5"/>
  <c r="N102" i="5"/>
  <c r="M102" i="5"/>
  <c r="L102" i="5"/>
  <c r="K102" i="5"/>
  <c r="O8" i="3"/>
  <c r="F99" i="5"/>
  <c r="O97" i="5"/>
  <c r="N97" i="5"/>
  <c r="Q96" i="5"/>
  <c r="O96" i="5"/>
  <c r="H10" i="4" s="1" a="1"/>
  <c r="H10" i="4" s="1"/>
  <c r="N96" i="5"/>
  <c r="G10" i="4" s="1" a="1"/>
  <c r="G10" i="4" s="1"/>
  <c r="M96" i="5"/>
  <c r="L96" i="5"/>
  <c r="K96" i="5"/>
  <c r="P95" i="5"/>
  <c r="P103" i="5" s="1"/>
  <c r="P9" i="4"/>
  <c r="F92" i="5"/>
  <c r="S88" i="5"/>
  <c r="R88" i="5"/>
  <c r="Q88" i="5"/>
  <c r="P88" i="5"/>
  <c r="O88" i="5"/>
  <c r="N88" i="5"/>
  <c r="M88" i="5"/>
  <c r="L88" i="5"/>
  <c r="K88" i="5"/>
  <c r="C88" i="5"/>
  <c r="T87" i="5"/>
  <c r="A9" i="4" s="1"/>
  <c r="S87" i="5"/>
  <c r="R87" i="5"/>
  <c r="Q87" i="5"/>
  <c r="P87" i="5"/>
  <c r="O87" i="5"/>
  <c r="N87" i="5"/>
  <c r="M87" i="5"/>
  <c r="L87" i="5"/>
  <c r="K87" i="5"/>
  <c r="C87" i="5"/>
  <c r="C86" i="5"/>
  <c r="P315" i="2"/>
  <c r="N315" i="2"/>
  <c r="L315" i="2"/>
  <c r="J315" i="2"/>
  <c r="I315" i="2"/>
  <c r="I316" i="2" s="1"/>
  <c r="H315" i="2"/>
  <c r="G315" i="2"/>
  <c r="F315" i="2"/>
  <c r="E315" i="2"/>
  <c r="D315" i="2"/>
  <c r="B315" i="2"/>
  <c r="A315" i="2"/>
  <c r="M312" i="2"/>
  <c r="O312" i="2" s="1"/>
  <c r="K312" i="2"/>
  <c r="M309" i="2"/>
  <c r="O309" i="2" s="1"/>
  <c r="K309" i="2"/>
  <c r="M306" i="2"/>
  <c r="O306" i="2" s="1"/>
  <c r="K306" i="2"/>
  <c r="M303" i="2"/>
  <c r="O303" i="2" s="1"/>
  <c r="K303" i="2"/>
  <c r="M300" i="2"/>
  <c r="O300" i="2" s="1"/>
  <c r="K300" i="2"/>
  <c r="M297" i="2"/>
  <c r="O297" i="2" s="1"/>
  <c r="K297" i="2"/>
  <c r="M294" i="2"/>
  <c r="K294" i="2"/>
  <c r="K315" i="2" s="1"/>
  <c r="X288" i="2"/>
  <c r="W288" i="2"/>
  <c r="V288" i="2"/>
  <c r="T288" i="2"/>
  <c r="H287" i="2"/>
  <c r="G287" i="2"/>
  <c r="F287" i="2"/>
  <c r="I286" i="2"/>
  <c r="I285" i="2"/>
  <c r="I284" i="2"/>
  <c r="I283" i="2"/>
  <c r="I282" i="2"/>
  <c r="B282" i="2"/>
  <c r="B283" i="2" s="1"/>
  <c r="B284" i="2" s="1"/>
  <c r="B285" i="2" s="1"/>
  <c r="B286" i="2" s="1"/>
  <c r="I281" i="2"/>
  <c r="I287" i="2" s="1"/>
  <c r="H278" i="2"/>
  <c r="G278" i="2"/>
  <c r="F278" i="2"/>
  <c r="I277" i="2"/>
  <c r="I276" i="2"/>
  <c r="I275" i="2"/>
  <c r="I274" i="2"/>
  <c r="I273" i="2"/>
  <c r="I272" i="2"/>
  <c r="I271" i="2"/>
  <c r="I270" i="2"/>
  <c r="I269" i="2"/>
  <c r="I268" i="2"/>
  <c r="I267" i="2"/>
  <c r="I266" i="2"/>
  <c r="I265" i="2"/>
  <c r="I264" i="2"/>
  <c r="I263" i="2"/>
  <c r="I262" i="2"/>
  <c r="I261" i="2"/>
  <c r="B261" i="2"/>
  <c r="B262" i="2" s="1"/>
  <c r="B263" i="2" s="1"/>
  <c r="B264" i="2" s="1"/>
  <c r="B265" i="2" s="1"/>
  <c r="B266" i="2" s="1"/>
  <c r="B267" i="2" s="1"/>
  <c r="B268" i="2" s="1"/>
  <c r="B269" i="2" s="1"/>
  <c r="B270" i="2" s="1"/>
  <c r="B271" i="2" s="1"/>
  <c r="B272" i="2" s="1"/>
  <c r="B273" i="2" s="1"/>
  <c r="B274" i="2" s="1"/>
  <c r="B275" i="2" s="1"/>
  <c r="B276" i="2" s="1"/>
  <c r="B277" i="2" s="1"/>
  <c r="I260" i="2"/>
  <c r="I278" i="2" s="1"/>
  <c r="H257" i="2"/>
  <c r="G257" i="2"/>
  <c r="F257" i="2"/>
  <c r="I256" i="2"/>
  <c r="I255" i="2"/>
  <c r="I254" i="2"/>
  <c r="I253" i="2"/>
  <c r="I252" i="2"/>
  <c r="I251" i="2"/>
  <c r="I250" i="2"/>
  <c r="B250" i="2"/>
  <c r="B251" i="2" s="1"/>
  <c r="B252" i="2" s="1"/>
  <c r="B253" i="2" s="1"/>
  <c r="B254" i="2" s="1"/>
  <c r="B255" i="2" s="1"/>
  <c r="B256" i="2" s="1"/>
  <c r="I249" i="2"/>
  <c r="I257" i="2" s="1"/>
  <c r="H246" i="2"/>
  <c r="G246" i="2"/>
  <c r="F246" i="2"/>
  <c r="I245" i="2"/>
  <c r="I244" i="2"/>
  <c r="I243" i="2"/>
  <c r="I242" i="2"/>
  <c r="I241" i="2"/>
  <c r="I240" i="2"/>
  <c r="I239" i="2"/>
  <c r="B239" i="2"/>
  <c r="B240" i="2" s="1"/>
  <c r="B241" i="2" s="1"/>
  <c r="B242" i="2" s="1"/>
  <c r="B243" i="2" s="1"/>
  <c r="B244" i="2" s="1"/>
  <c r="B245" i="2" s="1"/>
  <c r="I238" i="2"/>
  <c r="I246" i="2" s="1"/>
  <c r="H235" i="2"/>
  <c r="G235" i="2"/>
  <c r="F235" i="2"/>
  <c r="I234" i="2"/>
  <c r="I233" i="2"/>
  <c r="I232" i="2"/>
  <c r="I231" i="2"/>
  <c r="I230" i="2"/>
  <c r="I229" i="2"/>
  <c r="I228" i="2"/>
  <c r="B228" i="2"/>
  <c r="B229" i="2" s="1"/>
  <c r="B230" i="2" s="1"/>
  <c r="B231" i="2" s="1"/>
  <c r="B232" i="2" s="1"/>
  <c r="B233" i="2" s="1"/>
  <c r="B234" i="2" s="1"/>
  <c r="I227" i="2"/>
  <c r="I235" i="2" s="1"/>
  <c r="H224" i="2"/>
  <c r="G224" i="2"/>
  <c r="F224" i="2"/>
  <c r="I223" i="2"/>
  <c r="I222" i="2"/>
  <c r="I221" i="2"/>
  <c r="I220" i="2"/>
  <c r="I219" i="2"/>
  <c r="I218" i="2"/>
  <c r="I217" i="2"/>
  <c r="B217" i="2"/>
  <c r="B218" i="2" s="1"/>
  <c r="B219" i="2" s="1"/>
  <c r="B220" i="2" s="1"/>
  <c r="B221" i="2" s="1"/>
  <c r="B222" i="2" s="1"/>
  <c r="B223" i="2" s="1"/>
  <c r="I216" i="2"/>
  <c r="I224" i="2" s="1"/>
  <c r="H213" i="2"/>
  <c r="G213" i="2"/>
  <c r="F213" i="2"/>
  <c r="I212" i="2"/>
  <c r="I211" i="2"/>
  <c r="I210" i="2"/>
  <c r="I209" i="2"/>
  <c r="I208" i="2"/>
  <c r="I207" i="2"/>
  <c r="I206" i="2"/>
  <c r="B206" i="2"/>
  <c r="B207" i="2" s="1"/>
  <c r="B208" i="2" s="1"/>
  <c r="B209" i="2" s="1"/>
  <c r="B210" i="2" s="1"/>
  <c r="B211" i="2" s="1"/>
  <c r="B212" i="2" s="1"/>
  <c r="I205" i="2"/>
  <c r="I213" i="2" s="1"/>
  <c r="H202" i="2"/>
  <c r="G202" i="2"/>
  <c r="F202" i="2"/>
  <c r="I201" i="2"/>
  <c r="I200" i="2"/>
  <c r="I199" i="2"/>
  <c r="I198" i="2"/>
  <c r="I197" i="2"/>
  <c r="I196" i="2"/>
  <c r="I195" i="2"/>
  <c r="B195" i="2"/>
  <c r="B196" i="2" s="1"/>
  <c r="B197" i="2" s="1"/>
  <c r="B198" i="2" s="1"/>
  <c r="B199" i="2" s="1"/>
  <c r="B200" i="2" s="1"/>
  <c r="B201" i="2" s="1"/>
  <c r="I194" i="2"/>
  <c r="I202" i="2" s="1"/>
  <c r="S191" i="2"/>
  <c r="R191" i="2"/>
  <c r="Q191" i="2"/>
  <c r="P191" i="2"/>
  <c r="O191" i="2"/>
  <c r="N191" i="2"/>
  <c r="M191" i="2"/>
  <c r="L191" i="2"/>
  <c r="K191" i="2"/>
  <c r="S190" i="2"/>
  <c r="R190" i="2"/>
  <c r="Q190" i="2"/>
  <c r="P190" i="2"/>
  <c r="O190" i="2"/>
  <c r="N190" i="2"/>
  <c r="M190" i="2"/>
  <c r="L190" i="2"/>
  <c r="K190" i="2"/>
  <c r="H190" i="2"/>
  <c r="G190" i="2"/>
  <c r="F190" i="2"/>
  <c r="I189" i="2"/>
  <c r="I188" i="2"/>
  <c r="I187" i="2"/>
  <c r="I186" i="2"/>
  <c r="I185" i="2"/>
  <c r="I184" i="2"/>
  <c r="I183" i="2"/>
  <c r="I182" i="2"/>
  <c r="I181" i="2"/>
  <c r="I180" i="2"/>
  <c r="I179" i="2"/>
  <c r="I178" i="2"/>
  <c r="I177" i="2"/>
  <c r="I176" i="2"/>
  <c r="I175" i="2"/>
  <c r="B175" i="2"/>
  <c r="B176" i="2" s="1"/>
  <c r="B177" i="2" s="1"/>
  <c r="B178" i="2" s="1"/>
  <c r="B179" i="2" s="1"/>
  <c r="B180" i="2" s="1"/>
  <c r="B181" i="2" s="1"/>
  <c r="B182" i="2" s="1"/>
  <c r="B183" i="2" s="1"/>
  <c r="B184" i="2" s="1"/>
  <c r="B185" i="2" s="1"/>
  <c r="B186" i="2" s="1"/>
  <c r="B187" i="2" s="1"/>
  <c r="B188" i="2" s="1"/>
  <c r="B189" i="2" s="1"/>
  <c r="I174" i="2"/>
  <c r="I190" i="2" s="1"/>
  <c r="Q165" i="2"/>
  <c r="O165" i="2"/>
  <c r="N165" i="2"/>
  <c r="M165" i="2"/>
  <c r="L165" i="2"/>
  <c r="K165" i="2"/>
  <c r="Q164" i="2"/>
  <c r="O164" i="2"/>
  <c r="N164" i="2"/>
  <c r="M164" i="2"/>
  <c r="L164" i="2"/>
  <c r="K164" i="2"/>
  <c r="F161" i="2"/>
  <c r="Q159" i="2"/>
  <c r="O159" i="2"/>
  <c r="N159" i="2"/>
  <c r="M159" i="2"/>
  <c r="L159" i="2"/>
  <c r="K159" i="2"/>
  <c r="F159" i="2"/>
  <c r="Q158" i="2"/>
  <c r="O158" i="2"/>
  <c r="N158" i="2"/>
  <c r="M158" i="2"/>
  <c r="L158" i="2"/>
  <c r="K158" i="2"/>
  <c r="P157" i="2"/>
  <c r="P165" i="2" s="1"/>
  <c r="P156" i="2"/>
  <c r="F156" i="2"/>
  <c r="F157" i="2" s="1"/>
  <c r="S155" i="2"/>
  <c r="R155" i="2"/>
  <c r="P155" i="2"/>
  <c r="P159" i="2" s="1"/>
  <c r="G153" i="2"/>
  <c r="F153" i="2"/>
  <c r="C153" i="2"/>
  <c r="S150" i="2"/>
  <c r="R150" i="2"/>
  <c r="Q150" i="2"/>
  <c r="P150" i="2"/>
  <c r="O150" i="2"/>
  <c r="N150" i="2"/>
  <c r="M150" i="2"/>
  <c r="L150" i="2"/>
  <c r="K150" i="2"/>
  <c r="C150" i="2"/>
  <c r="T149" i="2"/>
  <c r="S149" i="2"/>
  <c r="R149" i="2"/>
  <c r="Q149" i="2"/>
  <c r="P149" i="2"/>
  <c r="O149" i="2"/>
  <c r="N149" i="2"/>
  <c r="M149" i="2"/>
  <c r="L149" i="2"/>
  <c r="K149" i="2"/>
  <c r="C149" i="2"/>
  <c r="C148" i="2"/>
  <c r="H142" i="2"/>
  <c r="G142" i="2"/>
  <c r="F142" i="2"/>
  <c r="I141" i="2"/>
  <c r="I140" i="2"/>
  <c r="I139" i="2"/>
  <c r="I138" i="2"/>
  <c r="I137" i="2"/>
  <c r="B137" i="2"/>
  <c r="B138" i="2" s="1"/>
  <c r="B139" i="2" s="1"/>
  <c r="B140" i="2" s="1"/>
  <c r="B141" i="2" s="1"/>
  <c r="I136" i="2"/>
  <c r="I142" i="2" s="1"/>
  <c r="H133" i="2"/>
  <c r="G133" i="2"/>
  <c r="F133" i="2"/>
  <c r="I132" i="2"/>
  <c r="I131" i="2"/>
  <c r="I130" i="2"/>
  <c r="I129" i="2"/>
  <c r="I128" i="2"/>
  <c r="I127" i="2"/>
  <c r="I126" i="2"/>
  <c r="I125" i="2"/>
  <c r="I124" i="2"/>
  <c r="I123" i="2"/>
  <c r="I122" i="2"/>
  <c r="I121" i="2"/>
  <c r="I120" i="2"/>
  <c r="I119" i="2"/>
  <c r="I118" i="2"/>
  <c r="I117" i="2"/>
  <c r="I116" i="2"/>
  <c r="B116" i="2"/>
  <c r="B117" i="2" s="1"/>
  <c r="B118" i="2" s="1"/>
  <c r="B119" i="2" s="1"/>
  <c r="B120" i="2" s="1"/>
  <c r="B121" i="2" s="1"/>
  <c r="B122" i="2" s="1"/>
  <c r="B123" i="2" s="1"/>
  <c r="B124" i="2" s="1"/>
  <c r="B125" i="2" s="1"/>
  <c r="B126" i="2" s="1"/>
  <c r="B127" i="2" s="1"/>
  <c r="B128" i="2" s="1"/>
  <c r="B129" i="2" s="1"/>
  <c r="B130" i="2" s="1"/>
  <c r="B131" i="2" s="1"/>
  <c r="B132" i="2" s="1"/>
  <c r="I115" i="2"/>
  <c r="I133" i="2" s="1"/>
  <c r="H112" i="2"/>
  <c r="G112" i="2"/>
  <c r="F112" i="2"/>
  <c r="I111" i="2"/>
  <c r="I110" i="2"/>
  <c r="I109" i="2"/>
  <c r="I108" i="2"/>
  <c r="I107" i="2"/>
  <c r="I106" i="2"/>
  <c r="I105" i="2"/>
  <c r="B105" i="2"/>
  <c r="B106" i="2" s="1"/>
  <c r="B107" i="2" s="1"/>
  <c r="B108" i="2" s="1"/>
  <c r="B109" i="2" s="1"/>
  <c r="B110" i="2" s="1"/>
  <c r="B111" i="2" s="1"/>
  <c r="I104" i="2"/>
  <c r="I112" i="2" s="1"/>
  <c r="H101" i="2"/>
  <c r="G101" i="2"/>
  <c r="F101" i="2"/>
  <c r="I100" i="2"/>
  <c r="I99" i="2"/>
  <c r="I98" i="2"/>
  <c r="I97" i="2"/>
  <c r="I96" i="2"/>
  <c r="I95" i="2"/>
  <c r="I94" i="2"/>
  <c r="B94" i="2"/>
  <c r="B95" i="2" s="1"/>
  <c r="B96" i="2" s="1"/>
  <c r="B97" i="2" s="1"/>
  <c r="B98" i="2" s="1"/>
  <c r="B99" i="2" s="1"/>
  <c r="B100" i="2" s="1"/>
  <c r="I93" i="2"/>
  <c r="I101" i="2" s="1"/>
  <c r="H90" i="2"/>
  <c r="G90" i="2"/>
  <c r="F90" i="2"/>
  <c r="I89" i="2"/>
  <c r="I88" i="2"/>
  <c r="I87" i="2"/>
  <c r="I86" i="2"/>
  <c r="I85" i="2"/>
  <c r="I84" i="2"/>
  <c r="I83" i="2"/>
  <c r="B83" i="2"/>
  <c r="B84" i="2" s="1"/>
  <c r="B85" i="2" s="1"/>
  <c r="B86" i="2" s="1"/>
  <c r="B87" i="2" s="1"/>
  <c r="B88" i="2" s="1"/>
  <c r="B89" i="2" s="1"/>
  <c r="I82" i="2"/>
  <c r="I90" i="2" s="1"/>
  <c r="H79" i="2"/>
  <c r="G79" i="2"/>
  <c r="F79" i="2"/>
  <c r="I78" i="2"/>
  <c r="I77" i="2"/>
  <c r="I76" i="2"/>
  <c r="I75" i="2"/>
  <c r="I74" i="2"/>
  <c r="I73" i="2"/>
  <c r="I72" i="2"/>
  <c r="B72" i="2"/>
  <c r="B73" i="2" s="1"/>
  <c r="B74" i="2" s="1"/>
  <c r="B75" i="2" s="1"/>
  <c r="B76" i="2" s="1"/>
  <c r="B77" i="2" s="1"/>
  <c r="B78" i="2" s="1"/>
  <c r="I71" i="2"/>
  <c r="I79" i="2" s="1"/>
  <c r="H68" i="2"/>
  <c r="G68" i="2"/>
  <c r="F68" i="2"/>
  <c r="I67" i="2"/>
  <c r="I66" i="2"/>
  <c r="I65" i="2"/>
  <c r="I64" i="2"/>
  <c r="I63" i="2"/>
  <c r="I62" i="2"/>
  <c r="I61" i="2"/>
  <c r="B61" i="2"/>
  <c r="B62" i="2" s="1"/>
  <c r="B63" i="2" s="1"/>
  <c r="B64" i="2" s="1"/>
  <c r="B65" i="2" s="1"/>
  <c r="B66" i="2" s="1"/>
  <c r="B67" i="2" s="1"/>
  <c r="I60" i="2"/>
  <c r="I68" i="2" s="1"/>
  <c r="H57" i="2"/>
  <c r="G57" i="2"/>
  <c r="F57" i="2"/>
  <c r="I56" i="2"/>
  <c r="I55" i="2"/>
  <c r="I54" i="2"/>
  <c r="I53" i="2"/>
  <c r="I52" i="2"/>
  <c r="I51" i="2"/>
  <c r="I50" i="2"/>
  <c r="B50" i="2"/>
  <c r="B51" i="2" s="1"/>
  <c r="B52" i="2" s="1"/>
  <c r="B53" i="2" s="1"/>
  <c r="B54" i="2" s="1"/>
  <c r="B55" i="2" s="1"/>
  <c r="B56" i="2" s="1"/>
  <c r="I49" i="2"/>
  <c r="I57" i="2" s="1"/>
  <c r="S46" i="2"/>
  <c r="R46" i="2"/>
  <c r="Q46" i="2"/>
  <c r="P46" i="2"/>
  <c r="O46" i="2"/>
  <c r="N46" i="2"/>
  <c r="M46" i="2"/>
  <c r="L46" i="2"/>
  <c r="K46" i="2"/>
  <c r="S45" i="2"/>
  <c r="R45" i="2"/>
  <c r="Q45" i="2"/>
  <c r="P45" i="2"/>
  <c r="O45" i="2"/>
  <c r="N45" i="2"/>
  <c r="M45" i="2"/>
  <c r="L45" i="2"/>
  <c r="K45" i="2"/>
  <c r="H45" i="2"/>
  <c r="G45" i="2"/>
  <c r="F45" i="2"/>
  <c r="I44" i="2"/>
  <c r="I43" i="2"/>
  <c r="I42" i="2"/>
  <c r="I41" i="2"/>
  <c r="I40" i="2"/>
  <c r="I39" i="2"/>
  <c r="I38" i="2"/>
  <c r="I37" i="2"/>
  <c r="I36" i="2"/>
  <c r="I35" i="2"/>
  <c r="I34" i="2"/>
  <c r="I33" i="2"/>
  <c r="I32" i="2"/>
  <c r="I31" i="2"/>
  <c r="I30" i="2"/>
  <c r="B30" i="2"/>
  <c r="B31" i="2" s="1"/>
  <c r="B32" i="2" s="1"/>
  <c r="B33" i="2" s="1"/>
  <c r="B34" i="2" s="1"/>
  <c r="B35" i="2" s="1"/>
  <c r="B36" i="2" s="1"/>
  <c r="B37" i="2" s="1"/>
  <c r="B38" i="2" s="1"/>
  <c r="B39" i="2" s="1"/>
  <c r="B40" i="2" s="1"/>
  <c r="B41" i="2" s="1"/>
  <c r="B42" i="2" s="1"/>
  <c r="B43" i="2" s="1"/>
  <c r="B44" i="2" s="1"/>
  <c r="I29" i="2"/>
  <c r="I45" i="2" s="1"/>
  <c r="Q21" i="2"/>
  <c r="O21" i="2"/>
  <c r="N21" i="2"/>
  <c r="M21" i="2"/>
  <c r="L21" i="2"/>
  <c r="K21" i="2"/>
  <c r="Q20" i="2"/>
  <c r="O20" i="2"/>
  <c r="N20" i="2"/>
  <c r="M20" i="2"/>
  <c r="L20" i="2"/>
  <c r="K20" i="2"/>
  <c r="S19" i="2"/>
  <c r="R19" i="2"/>
  <c r="F17" i="2"/>
  <c r="Q15" i="2"/>
  <c r="O15" i="2"/>
  <c r="N15" i="2"/>
  <c r="M15" i="2"/>
  <c r="L15" i="2"/>
  <c r="K15" i="2"/>
  <c r="F15" i="2"/>
  <c r="Q14" i="2"/>
  <c r="O14" i="2"/>
  <c r="N14" i="2"/>
  <c r="M14" i="2"/>
  <c r="L14" i="2"/>
  <c r="K14" i="2"/>
  <c r="P13" i="2"/>
  <c r="P21" i="2" s="1"/>
  <c r="P12" i="2"/>
  <c r="F12" i="2"/>
  <c r="F13" i="2" s="1"/>
  <c r="S11" i="2"/>
  <c r="R11" i="2"/>
  <c r="P11" i="2"/>
  <c r="P15" i="2" s="1"/>
  <c r="F10" i="2"/>
  <c r="G9" i="2"/>
  <c r="F9" i="2"/>
  <c r="F11" i="2" s="1"/>
  <c r="C9" i="2"/>
  <c r="S6" i="2"/>
  <c r="R6" i="2"/>
  <c r="Q6" i="2"/>
  <c r="P6" i="2"/>
  <c r="O6" i="2"/>
  <c r="N6" i="2"/>
  <c r="M6" i="2"/>
  <c r="L6" i="2"/>
  <c r="K6" i="2"/>
  <c r="C6" i="2"/>
  <c r="S5" i="2"/>
  <c r="R5" i="2"/>
  <c r="Q5" i="2"/>
  <c r="P5" i="2"/>
  <c r="O5" i="2"/>
  <c r="N5" i="2"/>
  <c r="M5" i="2"/>
  <c r="L5" i="2"/>
  <c r="K5" i="2"/>
  <c r="C5" i="2"/>
  <c r="C4" i="2"/>
  <c r="G1490" i="12" l="1"/>
  <c r="R1492" i="12"/>
  <c r="I1648" i="8"/>
  <c r="K1557" i="8"/>
  <c r="B1524" i="12"/>
  <c r="B1525" i="12" s="1"/>
  <c r="B1526" i="12" s="1"/>
  <c r="B1527" i="12" s="1"/>
  <c r="B1528" i="12" s="1"/>
  <c r="B1529" i="12" s="1"/>
  <c r="P1238" i="17"/>
  <c r="C1232" i="17" s="1"/>
  <c r="I535" i="4"/>
  <c r="I794" i="20"/>
  <c r="G794" i="20"/>
  <c r="B1564" i="5"/>
  <c r="B1565" i="5" s="1"/>
  <c r="B1566" i="5" s="1"/>
  <c r="B1567" i="5" s="1"/>
  <c r="P1635" i="5"/>
  <c r="C1629" i="5" s="1"/>
  <c r="I529" i="4"/>
  <c r="F1409" i="12"/>
  <c r="H1409" i="12" s="1"/>
  <c r="H1500" i="12"/>
  <c r="P1594" i="12"/>
  <c r="C1588" i="12" s="1"/>
  <c r="I544" i="4"/>
  <c r="A547" i="4"/>
  <c r="P547" i="4"/>
  <c r="M536" i="3"/>
  <c r="O536" i="3"/>
  <c r="I1563" i="9"/>
  <c r="Q1525" i="9"/>
  <c r="P1662" i="9"/>
  <c r="C1656" i="9" s="1"/>
  <c r="I541" i="4"/>
  <c r="B780" i="20"/>
  <c r="B781" i="20" s="1"/>
  <c r="B782" i="20" s="1"/>
  <c r="B783" i="20" s="1"/>
  <c r="B784" i="20" s="1"/>
  <c r="B785" i="20" s="1"/>
  <c r="B786" i="20" s="1"/>
  <c r="B787" i="20" s="1"/>
  <c r="G512" i="3"/>
  <c r="F512" i="3"/>
  <c r="E512" i="3"/>
  <c r="K512" i="3"/>
  <c r="P869" i="20"/>
  <c r="C863" i="20" s="1"/>
  <c r="I532" i="4"/>
  <c r="P523" i="4"/>
  <c r="H536" i="3"/>
  <c r="H537" i="3" s="1"/>
  <c r="Q518" i="3"/>
  <c r="L518" i="3"/>
  <c r="J518" i="3"/>
  <c r="Q521" i="3"/>
  <c r="L521" i="3"/>
  <c r="N521" i="3" s="1"/>
  <c r="J521" i="3"/>
  <c r="Q524" i="3"/>
  <c r="L524" i="3"/>
  <c r="N524" i="3" s="1"/>
  <c r="J524" i="3"/>
  <c r="Q527" i="3"/>
  <c r="L527" i="3"/>
  <c r="N527" i="3" s="1"/>
  <c r="J527" i="3"/>
  <c r="Q530" i="3"/>
  <c r="L530" i="3"/>
  <c r="N530" i="3" s="1"/>
  <c r="J530" i="3"/>
  <c r="Q533" i="3"/>
  <c r="L533" i="3"/>
  <c r="N533" i="3" s="1"/>
  <c r="J533" i="3"/>
  <c r="P250" i="24"/>
  <c r="P252" i="24" s="1"/>
  <c r="P244" i="24"/>
  <c r="C237" i="24" s="1"/>
  <c r="P253" i="24"/>
  <c r="K253" i="24"/>
  <c r="K252" i="24"/>
  <c r="L253" i="24"/>
  <c r="L252" i="24"/>
  <c r="M253" i="24"/>
  <c r="M252" i="24"/>
  <c r="N253" i="24"/>
  <c r="N252" i="24"/>
  <c r="O253" i="24"/>
  <c r="O252" i="24"/>
  <c r="Q253" i="24"/>
  <c r="Q252" i="24"/>
  <c r="P1667" i="9"/>
  <c r="P1661" i="9"/>
  <c r="K1670" i="9"/>
  <c r="K1669" i="9"/>
  <c r="C531" i="3" s="1" a="1"/>
  <c r="C531" i="3" s="1"/>
  <c r="L1670" i="9"/>
  <c r="L1669" i="9"/>
  <c r="D531" i="3" s="1" a="1"/>
  <c r="D531" i="3" s="1"/>
  <c r="M1670" i="9"/>
  <c r="M1669" i="9"/>
  <c r="E531" i="3" s="1" a="1"/>
  <c r="E531" i="3" s="1"/>
  <c r="N1670" i="9"/>
  <c r="N1669" i="9"/>
  <c r="F531" i="3" s="1" a="1"/>
  <c r="F531" i="3" s="1"/>
  <c r="O1670" i="9"/>
  <c r="O1669" i="9"/>
  <c r="G531" i="3" s="1" a="1"/>
  <c r="G531" i="3" s="1"/>
  <c r="Q1670" i="9"/>
  <c r="Q1669" i="9"/>
  <c r="K531" i="3" s="1" a="1"/>
  <c r="K531" i="3" s="1"/>
  <c r="P1243" i="17"/>
  <c r="P1237" i="17"/>
  <c r="K1246" i="17"/>
  <c r="K1245" i="17"/>
  <c r="C525" i="3" s="1" a="1"/>
  <c r="C525" i="3" s="1"/>
  <c r="L1246" i="17"/>
  <c r="L1245" i="17"/>
  <c r="D525" i="3" s="1" a="1"/>
  <c r="D525" i="3" s="1"/>
  <c r="M1246" i="17"/>
  <c r="M1245" i="17"/>
  <c r="E525" i="3" s="1" a="1"/>
  <c r="E525" i="3" s="1"/>
  <c r="N1246" i="17"/>
  <c r="N1245" i="17"/>
  <c r="F525" i="3" s="1" a="1"/>
  <c r="F525" i="3" s="1"/>
  <c r="O1246" i="17"/>
  <c r="O1245" i="17"/>
  <c r="G525" i="3" s="1" a="1"/>
  <c r="G525" i="3" s="1"/>
  <c r="Q1246" i="17"/>
  <c r="Q1245" i="17"/>
  <c r="K525" i="3" s="1" a="1"/>
  <c r="K525" i="3" s="1"/>
  <c r="P874" i="20"/>
  <c r="P868" i="20"/>
  <c r="K877" i="20"/>
  <c r="K876" i="20"/>
  <c r="C522" i="3" s="1" a="1"/>
  <c r="C522" i="3" s="1"/>
  <c r="L877" i="20"/>
  <c r="L876" i="20"/>
  <c r="D522" i="3" s="1" a="1"/>
  <c r="D522" i="3" s="1"/>
  <c r="M877" i="20"/>
  <c r="M876" i="20"/>
  <c r="E522" i="3" s="1" a="1"/>
  <c r="E522" i="3" s="1"/>
  <c r="N877" i="20"/>
  <c r="N876" i="20"/>
  <c r="F522" i="3" s="1" a="1"/>
  <c r="F522" i="3" s="1"/>
  <c r="O877" i="20"/>
  <c r="O876" i="20"/>
  <c r="G522" i="3" s="1" a="1"/>
  <c r="G522" i="3" s="1"/>
  <c r="Q877" i="20"/>
  <c r="Q876" i="20"/>
  <c r="K522" i="3" s="1" a="1"/>
  <c r="K522" i="3" s="1"/>
  <c r="F1589" i="12"/>
  <c r="F1590" i="12" s="1"/>
  <c r="H1590" i="12" s="1"/>
  <c r="P1599" i="12"/>
  <c r="P1593" i="12"/>
  <c r="K1602" i="12"/>
  <c r="K1601" i="12"/>
  <c r="C534" i="3" s="1" a="1"/>
  <c r="C534" i="3" s="1"/>
  <c r="L1602" i="12"/>
  <c r="L1601" i="12"/>
  <c r="D534" i="3" s="1" a="1"/>
  <c r="D534" i="3" s="1"/>
  <c r="M1602" i="12"/>
  <c r="M1601" i="12"/>
  <c r="E534" i="3" s="1" a="1"/>
  <c r="E534" i="3" s="1"/>
  <c r="N1602" i="12"/>
  <c r="N1601" i="12"/>
  <c r="F534" i="3" s="1" a="1"/>
  <c r="F534" i="3" s="1"/>
  <c r="O1602" i="12"/>
  <c r="O1601" i="12"/>
  <c r="G534" i="3" s="1" a="1"/>
  <c r="G534" i="3" s="1"/>
  <c r="Q1602" i="12"/>
  <c r="Q1601" i="12"/>
  <c r="K534" i="3" s="1" a="1"/>
  <c r="K534" i="3" s="1"/>
  <c r="P1566" i="8"/>
  <c r="P1560" i="8"/>
  <c r="K1569" i="8"/>
  <c r="K1568" i="8"/>
  <c r="C528" i="3" s="1" a="1"/>
  <c r="C528" i="3" s="1"/>
  <c r="L1569" i="8"/>
  <c r="L1568" i="8"/>
  <c r="D528" i="3" s="1" a="1"/>
  <c r="D528" i="3" s="1"/>
  <c r="M1569" i="8"/>
  <c r="M1568" i="8"/>
  <c r="E528" i="3" s="1" a="1"/>
  <c r="E528" i="3" s="1"/>
  <c r="N1569" i="8"/>
  <c r="N1568" i="8"/>
  <c r="F528" i="3" s="1" a="1"/>
  <c r="F528" i="3" s="1"/>
  <c r="O1569" i="8"/>
  <c r="O1568" i="8"/>
  <c r="G528" i="3" s="1" a="1"/>
  <c r="G528" i="3" s="1"/>
  <c r="Q1569" i="8"/>
  <c r="Q1568" i="8"/>
  <c r="K528" i="3" s="1" a="1"/>
  <c r="K528" i="3" s="1"/>
  <c r="F1630" i="5"/>
  <c r="F1631" i="5" s="1"/>
  <c r="H1631" i="5" s="1"/>
  <c r="P1640" i="5"/>
  <c r="P1634" i="5"/>
  <c r="K1643" i="5"/>
  <c r="K1642" i="5"/>
  <c r="C519" i="3" s="1" a="1"/>
  <c r="C519" i="3" s="1"/>
  <c r="L1643" i="5"/>
  <c r="L1642" i="5"/>
  <c r="D519" i="3" s="1" a="1"/>
  <c r="D519" i="3" s="1"/>
  <c r="M1643" i="5"/>
  <c r="M1642" i="5"/>
  <c r="E519" i="3" s="1" a="1"/>
  <c r="E519" i="3" s="1"/>
  <c r="N1643" i="5"/>
  <c r="N1642" i="5"/>
  <c r="F519" i="3" s="1" a="1"/>
  <c r="F519" i="3" s="1"/>
  <c r="O1643" i="5"/>
  <c r="O1642" i="5"/>
  <c r="G519" i="3" s="1" a="1"/>
  <c r="G519" i="3" s="1"/>
  <c r="Q1643" i="5"/>
  <c r="Q1642" i="5"/>
  <c r="K519" i="3" s="1" a="1"/>
  <c r="K519" i="3" s="1"/>
  <c r="H523" i="4"/>
  <c r="O512" i="3"/>
  <c r="N758" i="20"/>
  <c r="L1492" i="12"/>
  <c r="N1492" i="12"/>
  <c r="B1216" i="17"/>
  <c r="B1217" i="17" s="1"/>
  <c r="I1503" i="8"/>
  <c r="N505" i="4"/>
  <c r="N1537" i="5"/>
  <c r="B1568" i="12"/>
  <c r="B1569" i="12" s="1"/>
  <c r="B1570" i="12" s="1"/>
  <c r="B1571" i="12" s="1"/>
  <c r="B1572" i="12" s="1"/>
  <c r="B1573" i="12" s="1"/>
  <c r="B1574" i="12" s="1"/>
  <c r="B1575" i="12" s="1"/>
  <c r="B1576" i="12" s="1"/>
  <c r="I1577" i="12"/>
  <c r="M1492" i="12"/>
  <c r="M1525" i="9"/>
  <c r="B1628" i="9"/>
  <c r="B1629" i="9" s="1"/>
  <c r="B1630" i="9" s="1"/>
  <c r="B1631" i="9" s="1"/>
  <c r="B1632" i="9" s="1"/>
  <c r="B1633" i="9" s="1"/>
  <c r="B1634" i="9" s="1"/>
  <c r="I1640" i="9"/>
  <c r="K1463" i="8"/>
  <c r="B1476" i="8"/>
  <c r="B1477" i="8" s="1"/>
  <c r="B788" i="20"/>
  <c r="B789" i="20" s="1"/>
  <c r="B790" i="20" s="1"/>
  <c r="B791" i="20" s="1"/>
  <c r="B792" i="20" s="1"/>
  <c r="B793" i="20" s="1"/>
  <c r="M758" i="20"/>
  <c r="V853" i="20"/>
  <c r="L766" i="20"/>
  <c r="R766" i="20"/>
  <c r="M497" i="3" s="1"/>
  <c r="L1537" i="5"/>
  <c r="M1455" i="8"/>
  <c r="I1618" i="5"/>
  <c r="I1579" i="9"/>
  <c r="L1525" i="9"/>
  <c r="Q506" i="3"/>
  <c r="L506" i="3"/>
  <c r="J506" i="3"/>
  <c r="G1553" i="12"/>
  <c r="I1550" i="12"/>
  <c r="I1553" i="12" s="1"/>
  <c r="G1560" i="12"/>
  <c r="I1556" i="12"/>
  <c r="I1560" i="12" s="1"/>
  <c r="I354" i="23"/>
  <c r="I355" i="23" s="1"/>
  <c r="G355" i="23"/>
  <c r="G405" i="23"/>
  <c r="I403" i="23"/>
  <c r="I405" i="23" s="1"/>
  <c r="G410" i="23"/>
  <c r="I409" i="23"/>
  <c r="I410" i="23" s="1"/>
  <c r="G1522" i="8"/>
  <c r="I1510" i="8"/>
  <c r="I1522" i="8" s="1"/>
  <c r="G1530" i="8"/>
  <c r="I1525" i="8"/>
  <c r="I1530" i="8" s="1"/>
  <c r="I1185" i="17"/>
  <c r="I1189" i="17" s="1"/>
  <c r="I1193" i="17"/>
  <c r="I1200" i="17" s="1"/>
  <c r="K1143" i="17"/>
  <c r="I818" i="20"/>
  <c r="I831" i="20" s="1"/>
  <c r="G836" i="20"/>
  <c r="I834" i="20"/>
  <c r="I836" i="20" s="1"/>
  <c r="N670" i="20"/>
  <c r="K758" i="20"/>
  <c r="G1490" i="5"/>
  <c r="G1597" i="5"/>
  <c r="I1596" i="5"/>
  <c r="I1597" i="5" s="1"/>
  <c r="G1593" i="5"/>
  <c r="I1587" i="5"/>
  <c r="F1593" i="5"/>
  <c r="I1591" i="5"/>
  <c r="B1499" i="5"/>
  <c r="I1494" i="5"/>
  <c r="S1432" i="5" s="1"/>
  <c r="P480" i="4" s="1"/>
  <c r="P498" i="4" s="1"/>
  <c r="I1436" i="5"/>
  <c r="O1432" i="5"/>
  <c r="I1519" i="5"/>
  <c r="I1568" i="5"/>
  <c r="G1535" i="5" s="1"/>
  <c r="K1537" i="5"/>
  <c r="G228" i="24"/>
  <c r="I226" i="24"/>
  <c r="F228" i="24"/>
  <c r="I227" i="24"/>
  <c r="K1525" i="9"/>
  <c r="D517" i="4" s="1"/>
  <c r="I1487" i="8"/>
  <c r="K1455" i="8"/>
  <c r="I1514" i="12"/>
  <c r="K1492" i="12" s="1"/>
  <c r="M509" i="3"/>
  <c r="P385" i="23"/>
  <c r="M479" i="3"/>
  <c r="B739" i="20"/>
  <c r="B740" i="20" s="1"/>
  <c r="B741" i="20" s="1"/>
  <c r="B742" i="20" s="1"/>
  <c r="B743" i="20" s="1"/>
  <c r="B744" i="20" s="1"/>
  <c r="I745" i="20"/>
  <c r="A523" i="4"/>
  <c r="G1081" i="17"/>
  <c r="I1080" i="17"/>
  <c r="Q494" i="3"/>
  <c r="L494" i="3"/>
  <c r="J494" i="3"/>
  <c r="Q500" i="3"/>
  <c r="L500" i="3"/>
  <c r="N500" i="3" s="1"/>
  <c r="J500" i="3"/>
  <c r="Q509" i="3"/>
  <c r="L509" i="3"/>
  <c r="N509" i="3" s="1"/>
  <c r="J509" i="3"/>
  <c r="P390" i="23"/>
  <c r="P384" i="23"/>
  <c r="C377" i="23" s="1"/>
  <c r="K393" i="23"/>
  <c r="K392" i="23"/>
  <c r="L393" i="23"/>
  <c r="L392" i="23"/>
  <c r="M393" i="23"/>
  <c r="M392" i="23"/>
  <c r="N393" i="23"/>
  <c r="N392" i="23"/>
  <c r="O393" i="23"/>
  <c r="O392" i="23"/>
  <c r="Q393" i="23"/>
  <c r="Q392" i="23"/>
  <c r="P201" i="24"/>
  <c r="P195" i="24"/>
  <c r="C188" i="24" s="1"/>
  <c r="K204" i="24"/>
  <c r="K203" i="24"/>
  <c r="L204" i="24"/>
  <c r="L203" i="24"/>
  <c r="M204" i="24"/>
  <c r="M203" i="24"/>
  <c r="N204" i="24"/>
  <c r="N203" i="24"/>
  <c r="O204" i="24"/>
  <c r="O203" i="24"/>
  <c r="Q204" i="24"/>
  <c r="Q203" i="24"/>
  <c r="P1152" i="17"/>
  <c r="P1146" i="17"/>
  <c r="K1155" i="17"/>
  <c r="K1154" i="17"/>
  <c r="C501" i="3" s="1" a="1"/>
  <c r="C501" i="3" s="1"/>
  <c r="L1155" i="17"/>
  <c r="L1154" i="17"/>
  <c r="D501" i="3" s="1" a="1"/>
  <c r="D501" i="3" s="1"/>
  <c r="M1155" i="17"/>
  <c r="M1154" i="17"/>
  <c r="E501" i="3" s="1" a="1"/>
  <c r="E501" i="3" s="1"/>
  <c r="N1155" i="17"/>
  <c r="N1154" i="17"/>
  <c r="O1155" i="17"/>
  <c r="O1154" i="17"/>
  <c r="G501" i="3" s="1" a="1"/>
  <c r="G501" i="3" s="1"/>
  <c r="Q1155" i="17"/>
  <c r="Q1154" i="17"/>
  <c r="P767" i="20"/>
  <c r="P761" i="20"/>
  <c r="K770" i="20"/>
  <c r="K769" i="20"/>
  <c r="C498" i="3" s="1" a="1"/>
  <c r="C498" i="3" s="1"/>
  <c r="L770" i="20"/>
  <c r="L769" i="20"/>
  <c r="D498" i="3" s="1" a="1"/>
  <c r="D498" i="3" s="1"/>
  <c r="M770" i="20"/>
  <c r="M769" i="20"/>
  <c r="E498" i="3" s="1" a="1"/>
  <c r="E498" i="3" s="1"/>
  <c r="N770" i="20"/>
  <c r="N769" i="20"/>
  <c r="F498" i="3" s="1" a="1"/>
  <c r="F498" i="3" s="1"/>
  <c r="O770" i="20"/>
  <c r="O769" i="20"/>
  <c r="G498" i="3" s="1" a="1"/>
  <c r="G498" i="3" s="1"/>
  <c r="Q770" i="20"/>
  <c r="Q769" i="20"/>
  <c r="P1501" i="12"/>
  <c r="P1495" i="12"/>
  <c r="K1504" i="12"/>
  <c r="K1503" i="12"/>
  <c r="C510" i="3" s="1" a="1"/>
  <c r="C510" i="3" s="1"/>
  <c r="L1504" i="12"/>
  <c r="L1503" i="12"/>
  <c r="D510" i="3" s="1" a="1"/>
  <c r="D510" i="3" s="1"/>
  <c r="M1504" i="12"/>
  <c r="M1503" i="12"/>
  <c r="E510" i="3" s="1" a="1"/>
  <c r="E510" i="3" s="1"/>
  <c r="N1504" i="12"/>
  <c r="N1503" i="12"/>
  <c r="F510" i="3" s="1" a="1"/>
  <c r="F510" i="3" s="1"/>
  <c r="O1504" i="12"/>
  <c r="O1503" i="12"/>
  <c r="G510" i="3" s="1" a="1"/>
  <c r="G510" i="3" s="1"/>
  <c r="Q1504" i="12"/>
  <c r="Q1503" i="12"/>
  <c r="P1464" i="8"/>
  <c r="P1458" i="8"/>
  <c r="K1467" i="8"/>
  <c r="K1466" i="8"/>
  <c r="C504" i="3" s="1" a="1"/>
  <c r="C504" i="3" s="1"/>
  <c r="L1467" i="8"/>
  <c r="L1466" i="8"/>
  <c r="D504" i="3" s="1" a="1"/>
  <c r="D504" i="3" s="1"/>
  <c r="M1467" i="8"/>
  <c r="M1466" i="8"/>
  <c r="E504" i="3" s="1" a="1"/>
  <c r="E504" i="3" s="1"/>
  <c r="N1467" i="8"/>
  <c r="N1466" i="8"/>
  <c r="F504" i="3" s="1" a="1"/>
  <c r="F504" i="3" s="1"/>
  <c r="O1467" i="8"/>
  <c r="O1466" i="8"/>
  <c r="G504" i="3" s="1" a="1"/>
  <c r="G504" i="3" s="1"/>
  <c r="Q1467" i="8"/>
  <c r="Q1466" i="8"/>
  <c r="P1546" i="5"/>
  <c r="P1540" i="5"/>
  <c r="K1549" i="5"/>
  <c r="K1548" i="5"/>
  <c r="C495" i="3" s="1" a="1"/>
  <c r="C495" i="3" s="1"/>
  <c r="L1549" i="5"/>
  <c r="L1548" i="5"/>
  <c r="D495" i="3" s="1" a="1"/>
  <c r="D495" i="3" s="1"/>
  <c r="M1549" i="5"/>
  <c r="M1548" i="5"/>
  <c r="E495" i="3" s="1" a="1"/>
  <c r="E495" i="3" s="1"/>
  <c r="N1549" i="5"/>
  <c r="N1548" i="5"/>
  <c r="F495" i="3" s="1" a="1"/>
  <c r="F495" i="3" s="1"/>
  <c r="O1549" i="5"/>
  <c r="O1548" i="5"/>
  <c r="G495" i="3" s="1" a="1"/>
  <c r="G495" i="3" s="1"/>
  <c r="Q1549" i="5"/>
  <c r="Q1548" i="5"/>
  <c r="I1478" i="5"/>
  <c r="Q1432" i="5"/>
  <c r="G1607" i="9"/>
  <c r="I1591" i="9"/>
  <c r="F1607" i="9"/>
  <c r="I1595" i="9"/>
  <c r="F1618" i="9"/>
  <c r="I1610" i="9"/>
  <c r="I1618" i="9" s="1"/>
  <c r="P1534" i="9"/>
  <c r="P1528" i="9"/>
  <c r="K1537" i="9"/>
  <c r="K1536" i="9"/>
  <c r="C507" i="3" s="1" a="1"/>
  <c r="C507" i="3" s="1"/>
  <c r="L1537" i="9"/>
  <c r="L1536" i="9"/>
  <c r="D507" i="3" s="1" a="1"/>
  <c r="D507" i="3" s="1"/>
  <c r="M1537" i="9"/>
  <c r="M1536" i="9"/>
  <c r="E507" i="3" s="1" a="1"/>
  <c r="E507" i="3" s="1"/>
  <c r="N1537" i="9"/>
  <c r="N1536" i="9"/>
  <c r="F507" i="3" s="1" a="1"/>
  <c r="F507" i="3" s="1"/>
  <c r="O1537" i="9"/>
  <c r="O1536" i="9"/>
  <c r="G507" i="3" s="1" a="1"/>
  <c r="G507" i="3" s="1"/>
  <c r="Q1537" i="9"/>
  <c r="Q1536" i="9"/>
  <c r="K507" i="3" s="1" a="1"/>
  <c r="K507" i="3" s="1"/>
  <c r="P1189" i="14"/>
  <c r="P1183" i="14"/>
  <c r="C1176" i="14" s="1"/>
  <c r="K1192" i="14"/>
  <c r="K1191" i="14"/>
  <c r="L1192" i="14"/>
  <c r="L1191" i="14"/>
  <c r="M1192" i="14"/>
  <c r="M1191" i="14"/>
  <c r="N1192" i="14"/>
  <c r="N1191" i="14"/>
  <c r="O1192" i="14"/>
  <c r="O1191" i="14"/>
  <c r="Q1192" i="14"/>
  <c r="Q1191" i="14"/>
  <c r="L1415" i="12"/>
  <c r="F1447" i="12"/>
  <c r="P485" i="3" s="1"/>
  <c r="L1432" i="5"/>
  <c r="I1443" i="12"/>
  <c r="M1407" i="12"/>
  <c r="B364" i="23"/>
  <c r="B365" i="23" s="1"/>
  <c r="B366" i="23" s="1"/>
  <c r="B367" i="23" s="1"/>
  <c r="B1419" i="8"/>
  <c r="B1420" i="8" s="1"/>
  <c r="B1421" i="8" s="1"/>
  <c r="B1422" i="8" s="1"/>
  <c r="B1423" i="8" s="1"/>
  <c r="B1424" i="8" s="1"/>
  <c r="B1425" i="8" s="1"/>
  <c r="B1426" i="8" s="1"/>
  <c r="B1427" i="8" s="1"/>
  <c r="B1428" i="8" s="1"/>
  <c r="B1429" i="8" s="1"/>
  <c r="B1430" i="8" s="1"/>
  <c r="B1431" i="8" s="1"/>
  <c r="B1432" i="8" s="1"/>
  <c r="I1442" i="8"/>
  <c r="L1362" i="8"/>
  <c r="I1389" i="8"/>
  <c r="G1360" i="8" s="1"/>
  <c r="B694" i="20"/>
  <c r="B695" i="20" s="1"/>
  <c r="B696" i="20" s="1"/>
  <c r="M670" i="20"/>
  <c r="L303" i="23"/>
  <c r="R1415" i="12"/>
  <c r="M485" i="3" s="1"/>
  <c r="B1065" i="17"/>
  <c r="B1066" i="17" s="1"/>
  <c r="B1067" i="17" s="1"/>
  <c r="B1068" i="17" s="1"/>
  <c r="B1069" i="17" s="1"/>
  <c r="B1070" i="17" s="1"/>
  <c r="B1071" i="17" s="1"/>
  <c r="B1072" i="17" s="1"/>
  <c r="B1073" i="17" s="1"/>
  <c r="B1074" i="17" s="1"/>
  <c r="B1075" i="17" s="1"/>
  <c r="B1511" i="5"/>
  <c r="B1512" i="5" s="1"/>
  <c r="B1513" i="5" s="1"/>
  <c r="B1514" i="5" s="1"/>
  <c r="B1515" i="5" s="1"/>
  <c r="B1516" i="5" s="1"/>
  <c r="B1517" i="5" s="1"/>
  <c r="B1518" i="5" s="1"/>
  <c r="B1459" i="5"/>
  <c r="B1460" i="5" s="1"/>
  <c r="B1461" i="5" s="1"/>
  <c r="B1462" i="5" s="1"/>
  <c r="B1463" i="5" s="1"/>
  <c r="B1464" i="5" s="1"/>
  <c r="B1465" i="5" s="1"/>
  <c r="B1466" i="5" s="1"/>
  <c r="B1467" i="5" s="1"/>
  <c r="M470" i="3"/>
  <c r="I345" i="23"/>
  <c r="O488" i="3"/>
  <c r="C488" i="3"/>
  <c r="G488" i="3"/>
  <c r="F488" i="3"/>
  <c r="E488" i="3"/>
  <c r="K488" i="3"/>
  <c r="I135" i="24"/>
  <c r="I136" i="24" s="1"/>
  <c r="F115" i="24" s="1"/>
  <c r="F116" i="24" s="1"/>
  <c r="H116" i="24" s="1"/>
  <c r="G136" i="24"/>
  <c r="I349" i="23"/>
  <c r="I348" i="23"/>
  <c r="I350" i="23" s="1"/>
  <c r="K303" i="23"/>
  <c r="P1466" i="9"/>
  <c r="C1460" i="9" s="1"/>
  <c r="G1501" i="9"/>
  <c r="I1485" i="9"/>
  <c r="F1501" i="9"/>
  <c r="I1489" i="9"/>
  <c r="F1512" i="9"/>
  <c r="I1504" i="9"/>
  <c r="I1512" i="9" s="1"/>
  <c r="I1394" i="8"/>
  <c r="I1406" i="8" s="1"/>
  <c r="I1409" i="8"/>
  <c r="I1414" i="8" s="1"/>
  <c r="I1097" i="17"/>
  <c r="I1101" i="17" s="1"/>
  <c r="I1105" i="17"/>
  <c r="I1108" i="17" s="1"/>
  <c r="I712" i="20"/>
  <c r="I724" i="20" s="1"/>
  <c r="G729" i="20"/>
  <c r="I727" i="20"/>
  <c r="I729" i="20" s="1"/>
  <c r="H1398" i="5"/>
  <c r="G1398" i="5"/>
  <c r="I1497" i="5"/>
  <c r="I1483" i="5"/>
  <c r="K1432" i="5"/>
  <c r="G1453" i="12"/>
  <c r="I1450" i="12"/>
  <c r="I1453" i="12" s="1"/>
  <c r="I1456" i="12"/>
  <c r="I1460" i="12" s="1"/>
  <c r="F1318" i="12"/>
  <c r="F1319" i="12" s="1"/>
  <c r="H1319" i="12" s="1"/>
  <c r="L470" i="4"/>
  <c r="K1317" i="12"/>
  <c r="L1317" i="12"/>
  <c r="V1395" i="12"/>
  <c r="G582" i="20"/>
  <c r="R584" i="20"/>
  <c r="K1407" i="12"/>
  <c r="I1076" i="17"/>
  <c r="G1040" i="17" s="1"/>
  <c r="K1042" i="17"/>
  <c r="K670" i="20"/>
  <c r="B1292" i="8"/>
  <c r="B1293" i="8" s="1"/>
  <c r="B1294" i="8" s="1"/>
  <c r="B1295" i="8" s="1"/>
  <c r="I1376" i="5"/>
  <c r="L1353" i="5"/>
  <c r="F1376" i="5"/>
  <c r="P440" i="3" s="1"/>
  <c r="L455" i="4"/>
  <c r="L473" i="4" s="1"/>
  <c r="S475" i="4"/>
  <c r="K447" i="3" a="1"/>
  <c r="K447" i="3" s="1"/>
  <c r="L456" i="4" a="1"/>
  <c r="L456" i="4" s="1"/>
  <c r="I990" i="17"/>
  <c r="V658" i="20"/>
  <c r="G179" i="24"/>
  <c r="I177" i="24"/>
  <c r="F179" i="24"/>
  <c r="I178" i="24"/>
  <c r="P158" i="24"/>
  <c r="C152" i="24" s="1"/>
  <c r="Q470" i="3"/>
  <c r="L470" i="3"/>
  <c r="J470" i="3"/>
  <c r="L473" i="3"/>
  <c r="J473" i="3"/>
  <c r="Q476" i="3"/>
  <c r="L476" i="3"/>
  <c r="N476" i="3" s="1"/>
  <c r="J476" i="3"/>
  <c r="Q479" i="3"/>
  <c r="L479" i="3"/>
  <c r="J479" i="3"/>
  <c r="Q482" i="3"/>
  <c r="L482" i="3"/>
  <c r="N482" i="3" s="1"/>
  <c r="J482" i="3"/>
  <c r="P312" i="23"/>
  <c r="P306" i="23"/>
  <c r="K315" i="23"/>
  <c r="K314" i="23"/>
  <c r="C483" i="3" s="1" a="1"/>
  <c r="C483" i="3" s="1"/>
  <c r="L315" i="23"/>
  <c r="L314" i="23"/>
  <c r="D483" i="3" s="1" a="1"/>
  <c r="D483" i="3" s="1"/>
  <c r="M315" i="23"/>
  <c r="M314" i="23"/>
  <c r="N315" i="23"/>
  <c r="N314" i="23"/>
  <c r="F483" i="3" s="1" a="1"/>
  <c r="F483" i="3" s="1"/>
  <c r="O315" i="23"/>
  <c r="O314" i="23"/>
  <c r="G483" i="3" s="1" a="1"/>
  <c r="G483" i="3" s="1"/>
  <c r="Q315" i="23"/>
  <c r="Q314" i="23"/>
  <c r="P163" i="24"/>
  <c r="P157" i="24"/>
  <c r="C150" i="24" s="1"/>
  <c r="K166" i="24"/>
  <c r="K165" i="24"/>
  <c r="L166" i="24"/>
  <c r="L165" i="24"/>
  <c r="M166" i="24"/>
  <c r="M165" i="24"/>
  <c r="N166" i="24"/>
  <c r="N165" i="24"/>
  <c r="O166" i="24"/>
  <c r="O165" i="24"/>
  <c r="Q166" i="24"/>
  <c r="Q165" i="24"/>
  <c r="P1471" i="9"/>
  <c r="P1465" i="9"/>
  <c r="K1474" i="9"/>
  <c r="K1473" i="9"/>
  <c r="L1474" i="9"/>
  <c r="L1473" i="9"/>
  <c r="M1474" i="9"/>
  <c r="M1473" i="9"/>
  <c r="N1474" i="9"/>
  <c r="N1473" i="9"/>
  <c r="O1474" i="9"/>
  <c r="O1473" i="9"/>
  <c r="Q1474" i="9"/>
  <c r="Q1473" i="9"/>
  <c r="P1051" i="17"/>
  <c r="P1045" i="17"/>
  <c r="K1054" i="17"/>
  <c r="K1053" i="17"/>
  <c r="C477" i="3" s="1" a="1"/>
  <c r="C477" i="3" s="1"/>
  <c r="L1054" i="17"/>
  <c r="L1053" i="17"/>
  <c r="D477" i="3" s="1" a="1"/>
  <c r="D477" i="3" s="1"/>
  <c r="M1054" i="17"/>
  <c r="M1053" i="17"/>
  <c r="E477" i="3" s="1" a="1"/>
  <c r="E477" i="3" s="1"/>
  <c r="N1054" i="17"/>
  <c r="N1053" i="17"/>
  <c r="F477" i="3" s="1" a="1"/>
  <c r="F477" i="3" s="1"/>
  <c r="O1054" i="17"/>
  <c r="O1053" i="17"/>
  <c r="G477" i="3" s="1" a="1"/>
  <c r="G477" i="3" s="1"/>
  <c r="Q1054" i="17"/>
  <c r="Q1053" i="17"/>
  <c r="K477" i="3" s="1" a="1"/>
  <c r="K477" i="3" s="1"/>
  <c r="P679" i="20"/>
  <c r="P673" i="20"/>
  <c r="K682" i="20"/>
  <c r="K681" i="20"/>
  <c r="C474" i="3" s="1" a="1"/>
  <c r="C474" i="3" s="1"/>
  <c r="L682" i="20"/>
  <c r="L681" i="20"/>
  <c r="D474" i="3" s="1" a="1"/>
  <c r="D474" i="3" s="1"/>
  <c r="M682" i="20"/>
  <c r="M681" i="20"/>
  <c r="E474" i="3" s="1" a="1"/>
  <c r="E474" i="3" s="1"/>
  <c r="N682" i="20"/>
  <c r="N681" i="20"/>
  <c r="F474" i="3" s="1" a="1"/>
  <c r="F474" i="3" s="1"/>
  <c r="O682" i="20"/>
  <c r="O681" i="20"/>
  <c r="G474" i="3" s="1" a="1"/>
  <c r="G474" i="3" s="1"/>
  <c r="Q682" i="20"/>
  <c r="Q681" i="20"/>
  <c r="P1416" i="12"/>
  <c r="P1410" i="12"/>
  <c r="K1419" i="12"/>
  <c r="K1418" i="12"/>
  <c r="C486" i="3" s="1" a="1"/>
  <c r="C486" i="3" s="1"/>
  <c r="L1419" i="12"/>
  <c r="L1418" i="12"/>
  <c r="D486" i="3" s="1" a="1"/>
  <c r="D486" i="3" s="1"/>
  <c r="M1419" i="12"/>
  <c r="M1418" i="12"/>
  <c r="E486" i="3" s="1" a="1"/>
  <c r="E486" i="3" s="1"/>
  <c r="N1419" i="12"/>
  <c r="N1418" i="12"/>
  <c r="F486" i="3" s="1" a="1"/>
  <c r="F486" i="3" s="1"/>
  <c r="O1419" i="12"/>
  <c r="O1418" i="12"/>
  <c r="Q1419" i="12"/>
  <c r="Q1418" i="12"/>
  <c r="P1371" i="8"/>
  <c r="P1365" i="8"/>
  <c r="K1374" i="8"/>
  <c r="K1373" i="8"/>
  <c r="C480" i="3" s="1" a="1"/>
  <c r="C480" i="3" s="1"/>
  <c r="L1374" i="8"/>
  <c r="L1373" i="8"/>
  <c r="D480" i="3" s="1" a="1"/>
  <c r="D480" i="3" s="1"/>
  <c r="M1374" i="8"/>
  <c r="M1373" i="8"/>
  <c r="E480" i="3" s="1" a="1"/>
  <c r="E480" i="3" s="1"/>
  <c r="N1374" i="8"/>
  <c r="N1373" i="8"/>
  <c r="F480" i="3" s="1" a="1"/>
  <c r="F480" i="3" s="1"/>
  <c r="O1374" i="8"/>
  <c r="O1373" i="8"/>
  <c r="Q1374" i="8"/>
  <c r="Q1373" i="8"/>
  <c r="P1441" i="5"/>
  <c r="P1435" i="5"/>
  <c r="K1444" i="5"/>
  <c r="K1443" i="5"/>
  <c r="C471" i="3" s="1" a="1"/>
  <c r="C471" i="3" s="1"/>
  <c r="L1444" i="5"/>
  <c r="L1443" i="5"/>
  <c r="D471" i="3" s="1" a="1"/>
  <c r="D471" i="3" s="1"/>
  <c r="M1444" i="5"/>
  <c r="M1443" i="5"/>
  <c r="E471" i="3" s="1" a="1"/>
  <c r="E471" i="3" s="1"/>
  <c r="N1444" i="5"/>
  <c r="N1443" i="5"/>
  <c r="F471" i="3" s="1" a="1"/>
  <c r="F471" i="3" s="1"/>
  <c r="O1444" i="5"/>
  <c r="O1443" i="5"/>
  <c r="G471" i="3" s="1" a="1"/>
  <c r="G471" i="3" s="1"/>
  <c r="Q1444" i="5"/>
  <c r="Q1443" i="5"/>
  <c r="K471" i="3" s="1" a="1"/>
  <c r="K471" i="3" s="1"/>
  <c r="O1317" i="12"/>
  <c r="O215" i="23"/>
  <c r="I262" i="23"/>
  <c r="N215" i="23"/>
  <c r="I1307" i="8"/>
  <c r="O1266" i="8"/>
  <c r="N1266" i="8"/>
  <c r="W1030" i="17"/>
  <c r="O933" i="17"/>
  <c r="N933" i="17"/>
  <c r="M933" i="17"/>
  <c r="N584" i="20"/>
  <c r="N1345" i="5"/>
  <c r="V1071" i="14"/>
  <c r="N1317" i="12"/>
  <c r="M1317" i="12"/>
  <c r="M215" i="23"/>
  <c r="L215" i="23"/>
  <c r="L1266" i="8"/>
  <c r="I1383" i="5"/>
  <c r="I1313" i="8"/>
  <c r="G1313" i="8"/>
  <c r="I1296" i="8"/>
  <c r="K1274" i="8"/>
  <c r="F1296" i="8"/>
  <c r="P449" i="3" s="1"/>
  <c r="K933" i="17"/>
  <c r="L933" i="17"/>
  <c r="L1345" i="5"/>
  <c r="L1387" i="9"/>
  <c r="I1356" i="12"/>
  <c r="G1315" i="12" s="1"/>
  <c r="F1356" i="12"/>
  <c r="P461" i="3" s="1"/>
  <c r="G1356" i="12"/>
  <c r="M461" i="3"/>
  <c r="V1305" i="12"/>
  <c r="I629" i="20"/>
  <c r="G629" i="20"/>
  <c r="F629" i="20"/>
  <c r="G1372" i="12"/>
  <c r="I1369" i="12"/>
  <c r="I1372" i="12" s="1"/>
  <c r="I1375" i="12"/>
  <c r="I1378" i="12" s="1"/>
  <c r="K462" i="3" a="1"/>
  <c r="K462" i="3" s="1"/>
  <c r="G462" i="3" a="1"/>
  <c r="G462" i="3" s="1"/>
  <c r="F462" i="3" a="1"/>
  <c r="F462" i="3" s="1"/>
  <c r="E462" i="3" a="1"/>
  <c r="E462" i="3" s="1"/>
  <c r="D462" i="3" a="1"/>
  <c r="D462" i="3" s="1"/>
  <c r="L471" i="4" a="1"/>
  <c r="L471" i="4" s="1"/>
  <c r="I1123" i="14"/>
  <c r="I1128" i="14"/>
  <c r="I1149" i="14"/>
  <c r="I1154" i="14"/>
  <c r="K1083" i="14"/>
  <c r="G266" i="23"/>
  <c r="I265" i="23"/>
  <c r="I266" i="23" s="1"/>
  <c r="I252" i="23"/>
  <c r="G456" i="3" a="1"/>
  <c r="G456" i="3" s="1"/>
  <c r="F456" i="3" a="1"/>
  <c r="F456" i="3" s="1"/>
  <c r="E456" i="3" a="1"/>
  <c r="E456" i="3" s="1"/>
  <c r="D456" i="3" a="1"/>
  <c r="D456" i="3" s="1"/>
  <c r="G141" i="24"/>
  <c r="I139" i="24"/>
  <c r="F141" i="24"/>
  <c r="I140" i="24"/>
  <c r="V100" i="24"/>
  <c r="I1414" i="9"/>
  <c r="I1418" i="9"/>
  <c r="I1433" i="9"/>
  <c r="I1441" i="9" s="1"/>
  <c r="D453" i="3" a="1"/>
  <c r="D453" i="3" s="1"/>
  <c r="B1227" i="8"/>
  <c r="B1228" i="8" s="1"/>
  <c r="B1229" i="8" s="1"/>
  <c r="G1325" i="8"/>
  <c r="I1316" i="8"/>
  <c r="I1325" i="8" s="1"/>
  <c r="I1328" i="8"/>
  <c r="I1331" i="8" s="1"/>
  <c r="I1222" i="8"/>
  <c r="G1231" i="8"/>
  <c r="I1210" i="8"/>
  <c r="F1231" i="8"/>
  <c r="F999" i="17"/>
  <c r="I998" i="17"/>
  <c r="I999" i="17" s="1"/>
  <c r="I1003" i="17"/>
  <c r="I1006" i="17" s="1"/>
  <c r="G447" i="3" a="1"/>
  <c r="G447" i="3" s="1"/>
  <c r="F447" i="3" a="1"/>
  <c r="F447" i="3" s="1"/>
  <c r="E447" i="3" a="1"/>
  <c r="E447" i="3" s="1"/>
  <c r="D447" i="3" a="1"/>
  <c r="D447" i="3" s="1"/>
  <c r="P455" i="4"/>
  <c r="P473" i="4" s="1"/>
  <c r="O446" i="3"/>
  <c r="I634" i="20"/>
  <c r="G634" i="20"/>
  <c r="G444" i="3" a="1"/>
  <c r="G444" i="3" s="1"/>
  <c r="F444" i="3" a="1"/>
  <c r="F444" i="3" s="1"/>
  <c r="E444" i="3" a="1"/>
  <c r="E444" i="3" s="1"/>
  <c r="D444" i="3" a="1"/>
  <c r="D444" i="3" s="1"/>
  <c r="H453" i="4" a="1"/>
  <c r="H453" i="4" s="1"/>
  <c r="F453" i="4" a="1"/>
  <c r="F453" i="4" s="1"/>
  <c r="K584" i="20"/>
  <c r="I1396" i="5"/>
  <c r="I1398" i="5" s="1"/>
  <c r="G441" i="3" a="1"/>
  <c r="G441" i="3" s="1"/>
  <c r="F441" i="3" a="1"/>
  <c r="F441" i="3" s="1"/>
  <c r="E441" i="3" a="1"/>
  <c r="E441" i="3" s="1"/>
  <c r="H450" i="4" a="1"/>
  <c r="H450" i="4" s="1"/>
  <c r="F450" i="4" a="1"/>
  <c r="F450" i="4" s="1"/>
  <c r="K1345" i="5"/>
  <c r="O464" i="3"/>
  <c r="G450" i="3" a="1"/>
  <c r="G450" i="3" s="1"/>
  <c r="F450" i="3" a="1"/>
  <c r="F450" i="3" s="1"/>
  <c r="E450" i="3" a="1"/>
  <c r="E450" i="3" s="1"/>
  <c r="D450" i="3" a="1"/>
  <c r="D450" i="3" s="1"/>
  <c r="F459" i="4" a="1"/>
  <c r="F459" i="4" s="1"/>
  <c r="R1274" i="8"/>
  <c r="M449" i="3" s="1"/>
  <c r="K1266" i="8"/>
  <c r="A473" i="4"/>
  <c r="C1313" i="12"/>
  <c r="H459" i="3" a="1"/>
  <c r="H459" i="3" s="1"/>
  <c r="C459" i="3" a="1"/>
  <c r="C459" i="3" s="1"/>
  <c r="C1079" i="14"/>
  <c r="H453" i="3" a="1"/>
  <c r="H453" i="3" s="1"/>
  <c r="H456" i="3" a="1"/>
  <c r="H456" i="3" s="1"/>
  <c r="C456" i="3" a="1"/>
  <c r="C456" i="3" s="1"/>
  <c r="C211" i="23"/>
  <c r="D465" i="4" a="1"/>
  <c r="D465" i="4" s="1"/>
  <c r="C1262" i="8"/>
  <c r="H447" i="3" a="1"/>
  <c r="H447" i="3" s="1"/>
  <c r="C447" i="3" a="1"/>
  <c r="C447" i="3" s="1"/>
  <c r="C929" i="17"/>
  <c r="N455" i="4"/>
  <c r="M446" i="3"/>
  <c r="M464" i="3" s="1"/>
  <c r="H444" i="3" a="1"/>
  <c r="H444" i="3" s="1"/>
  <c r="C444" i="3" a="1"/>
  <c r="C444" i="3" s="1"/>
  <c r="C580" i="20"/>
  <c r="C441" i="3" a="1"/>
  <c r="C441" i="3" s="1"/>
  <c r="C1341" i="5"/>
  <c r="Q443" i="3"/>
  <c r="L443" i="3"/>
  <c r="N443" i="3" s="1"/>
  <c r="J443" i="3"/>
  <c r="Q446" i="3"/>
  <c r="L446" i="3"/>
  <c r="N446" i="3" s="1"/>
  <c r="J446" i="3"/>
  <c r="Q452" i="3"/>
  <c r="L452" i="3"/>
  <c r="N452" i="3" s="1"/>
  <c r="J452" i="3"/>
  <c r="Q455" i="3"/>
  <c r="L455" i="3"/>
  <c r="N455" i="3" s="1"/>
  <c r="J455" i="3"/>
  <c r="Q458" i="3"/>
  <c r="L458" i="3"/>
  <c r="N458" i="3" s="1"/>
  <c r="J458" i="3"/>
  <c r="I1304" i="12"/>
  <c r="C1076" i="14"/>
  <c r="C208" i="23"/>
  <c r="C105" i="24"/>
  <c r="C1380" i="9"/>
  <c r="C926" i="17"/>
  <c r="C577" i="20"/>
  <c r="B1258" i="12"/>
  <c r="B1259" i="12" s="1"/>
  <c r="B1260" i="12" s="1"/>
  <c r="B1261" i="12" s="1"/>
  <c r="B1262" i="12" s="1"/>
  <c r="I1263" i="12"/>
  <c r="C1310" i="12"/>
  <c r="C420" i="11"/>
  <c r="F426" i="11"/>
  <c r="F427" i="11"/>
  <c r="H427" i="11" s="1"/>
  <c r="C1259" i="8"/>
  <c r="C1338" i="5"/>
  <c r="B1307" i="5"/>
  <c r="B1308" i="5" s="1"/>
  <c r="B1309" i="5" s="1"/>
  <c r="I1331" i="5"/>
  <c r="B990" i="14"/>
  <c r="B991" i="14" s="1"/>
  <c r="B992" i="14" s="1"/>
  <c r="O1173" i="8"/>
  <c r="I1215" i="8"/>
  <c r="I1219" i="8" s="1"/>
  <c r="G1219" i="8"/>
  <c r="I1253" i="8"/>
  <c r="Q1246" i="5"/>
  <c r="B1297" i="5"/>
  <c r="O1246" i="5"/>
  <c r="I412" i="11"/>
  <c r="O966" i="14"/>
  <c r="B1059" i="14"/>
  <c r="B1060" i="14" s="1"/>
  <c r="B1061" i="14" s="1"/>
  <c r="B1062" i="14" s="1"/>
  <c r="B1063" i="14" s="1"/>
  <c r="I1330" i="9"/>
  <c r="O1311" i="9"/>
  <c r="I88" i="24"/>
  <c r="G66" i="24" s="1"/>
  <c r="L68" i="24"/>
  <c r="P392" i="11"/>
  <c r="C386" i="11" s="1"/>
  <c r="I430" i="4"/>
  <c r="C422" i="3"/>
  <c r="C434" i="3" s="1"/>
  <c r="P396" i="11"/>
  <c r="H422" i="3" s="1"/>
  <c r="Q422" i="3" s="1"/>
  <c r="B1247" i="8"/>
  <c r="B1248" i="8" s="1"/>
  <c r="B1249" i="8" s="1"/>
  <c r="B1250" i="8" s="1"/>
  <c r="B1251" i="8" s="1"/>
  <c r="B1252" i="8" s="1"/>
  <c r="B1199" i="8"/>
  <c r="B1200" i="8" s="1"/>
  <c r="B1201" i="8" s="1"/>
  <c r="B1271" i="5"/>
  <c r="B1272" i="5" s="1"/>
  <c r="B1273" i="5" s="1"/>
  <c r="B1274" i="5" s="1"/>
  <c r="B1275" i="5" s="1"/>
  <c r="B1276" i="5" s="1"/>
  <c r="B1277" i="5" s="1"/>
  <c r="B1278" i="5" s="1"/>
  <c r="I1344" i="9"/>
  <c r="I1348" i="9"/>
  <c r="F1367" i="9"/>
  <c r="I1362" i="9"/>
  <c r="I1367" i="9" s="1"/>
  <c r="N966" i="14"/>
  <c r="N1231" i="12"/>
  <c r="I1335" i="9"/>
  <c r="N1311" i="9"/>
  <c r="I183" i="23"/>
  <c r="N136" i="23"/>
  <c r="M966" i="14"/>
  <c r="L1231" i="12"/>
  <c r="G993" i="14"/>
  <c r="R974" i="14"/>
  <c r="M428" i="3" s="1"/>
  <c r="L144" i="23"/>
  <c r="R144" i="23"/>
  <c r="M416" i="3" s="1"/>
  <c r="B158" i="23"/>
  <c r="B909" i="17"/>
  <c r="B910" i="17" s="1"/>
  <c r="B911" i="17" s="1"/>
  <c r="B912" i="17" s="1"/>
  <c r="B520" i="20"/>
  <c r="B557" i="20"/>
  <c r="B558" i="20" s="1"/>
  <c r="B559" i="20" s="1"/>
  <c r="B560" i="20" s="1"/>
  <c r="B561" i="20" s="1"/>
  <c r="B562" i="20" s="1"/>
  <c r="B563" i="20" s="1"/>
  <c r="B564" i="20" s="1"/>
  <c r="B565" i="20" s="1"/>
  <c r="B566" i="20" s="1"/>
  <c r="B567" i="20" s="1"/>
  <c r="B568" i="20" s="1"/>
  <c r="B569" i="20" s="1"/>
  <c r="B570" i="20" s="1"/>
  <c r="I1206" i="8"/>
  <c r="I1207" i="8"/>
  <c r="G1236" i="8"/>
  <c r="I1234" i="8"/>
  <c r="I1236" i="8" s="1"/>
  <c r="F1108" i="8"/>
  <c r="P379" i="3" s="1"/>
  <c r="I912" i="14"/>
  <c r="F923" i="14"/>
  <c r="I1011" i="14"/>
  <c r="I1016" i="14"/>
  <c r="I1035" i="14"/>
  <c r="I1040" i="14"/>
  <c r="I926" i="14"/>
  <c r="F892" i="14"/>
  <c r="N1220" i="9"/>
  <c r="I540" i="20"/>
  <c r="I544" i="20" s="1"/>
  <c r="I547" i="20"/>
  <c r="I549" i="20" s="1"/>
  <c r="G397" i="3"/>
  <c r="I1202" i="8"/>
  <c r="L1173" i="8"/>
  <c r="G1310" i="5"/>
  <c r="I1304" i="5"/>
  <c r="F1310" i="5"/>
  <c r="I1308" i="5"/>
  <c r="I1213" i="5"/>
  <c r="G1184" i="5" s="1"/>
  <c r="K1186" i="5"/>
  <c r="C397" i="3"/>
  <c r="E397" i="3"/>
  <c r="D397" i="3"/>
  <c r="L136" i="23"/>
  <c r="I175" i="23"/>
  <c r="I176" i="23"/>
  <c r="I177" i="23"/>
  <c r="L499" i="20"/>
  <c r="I993" i="14"/>
  <c r="G95" i="24"/>
  <c r="I92" i="24"/>
  <c r="I95" i="24" s="1"/>
  <c r="P394" i="3"/>
  <c r="I1278" i="12"/>
  <c r="I1281" i="12" s="1"/>
  <c r="G1286" i="12"/>
  <c r="I1284" i="12"/>
  <c r="I1286" i="12" s="1"/>
  <c r="G1173" i="12"/>
  <c r="I1173" i="12"/>
  <c r="F1132" i="12" s="1"/>
  <c r="F1133" i="12" s="1"/>
  <c r="H1133" i="12" s="1"/>
  <c r="P406" i="4"/>
  <c r="I171" i="23"/>
  <c r="K136" i="23"/>
  <c r="I882" i="17"/>
  <c r="I884" i="17" s="1"/>
  <c r="G890" i="17"/>
  <c r="I888" i="17"/>
  <c r="I890" i="17" s="1"/>
  <c r="B860" i="17"/>
  <c r="B861" i="17" s="1"/>
  <c r="B862" i="17" s="1"/>
  <c r="B863" i="17" s="1"/>
  <c r="B864" i="17" s="1"/>
  <c r="B865" i="17" s="1"/>
  <c r="B866" i="17" s="1"/>
  <c r="N382" i="4"/>
  <c r="O434" i="3"/>
  <c r="G434" i="3"/>
  <c r="F434" i="3"/>
  <c r="E434" i="3"/>
  <c r="K434" i="3"/>
  <c r="K966" i="14"/>
  <c r="K834" i="17"/>
  <c r="M430" i="4"/>
  <c r="O430" i="4" s="1"/>
  <c r="K430" i="4"/>
  <c r="L422" i="3"/>
  <c r="N422" i="3" s="1"/>
  <c r="J422" i="3"/>
  <c r="N749" i="17"/>
  <c r="F387" i="11"/>
  <c r="F388" i="11" s="1"/>
  <c r="H388" i="11" s="1"/>
  <c r="P397" i="11"/>
  <c r="P391" i="11"/>
  <c r="K400" i="11"/>
  <c r="K399" i="11"/>
  <c r="C423" i="3" s="1" a="1"/>
  <c r="C423" i="3" s="1"/>
  <c r="L400" i="11"/>
  <c r="L399" i="11"/>
  <c r="M400" i="11"/>
  <c r="M399" i="11"/>
  <c r="N400" i="11"/>
  <c r="N399" i="11"/>
  <c r="O400" i="11"/>
  <c r="O399" i="11"/>
  <c r="Q400" i="11"/>
  <c r="Q399" i="11"/>
  <c r="I1165" i="12"/>
  <c r="Q1127" i="12"/>
  <c r="I821" i="17"/>
  <c r="G781" i="17"/>
  <c r="I867" i="17"/>
  <c r="G832" i="17" s="1"/>
  <c r="I525" i="20"/>
  <c r="K499" i="20"/>
  <c r="I1279" i="5"/>
  <c r="G1244" i="5" s="1"/>
  <c r="K1246" i="5"/>
  <c r="Q404" i="3"/>
  <c r="L404" i="3"/>
  <c r="J404" i="3"/>
  <c r="Q407" i="3"/>
  <c r="L407" i="3"/>
  <c r="N407" i="3" s="1"/>
  <c r="J407" i="3"/>
  <c r="Q410" i="3"/>
  <c r="L410" i="3"/>
  <c r="N410" i="3" s="1"/>
  <c r="J410" i="3"/>
  <c r="Q413" i="3"/>
  <c r="L413" i="3"/>
  <c r="J413" i="3"/>
  <c r="Q419" i="3"/>
  <c r="L419" i="3"/>
  <c r="N419" i="3" s="1"/>
  <c r="J419" i="3"/>
  <c r="Q425" i="3"/>
  <c r="L425" i="3"/>
  <c r="N425" i="3" s="1"/>
  <c r="J425" i="3"/>
  <c r="Q428" i="3"/>
  <c r="L428" i="3"/>
  <c r="J428" i="3"/>
  <c r="Q431" i="3"/>
  <c r="L431" i="3"/>
  <c r="J431" i="3"/>
  <c r="P1240" i="12"/>
  <c r="P1234" i="12"/>
  <c r="K1243" i="12"/>
  <c r="K1242" i="12"/>
  <c r="L1243" i="12"/>
  <c r="L1242" i="12"/>
  <c r="D432" i="3" s="1" a="1"/>
  <c r="D432" i="3" s="1"/>
  <c r="M1243" i="12"/>
  <c r="M1242" i="12"/>
  <c r="E432" i="3" s="1" a="1"/>
  <c r="E432" i="3" s="1"/>
  <c r="N1243" i="12"/>
  <c r="N1242" i="12"/>
  <c r="F432" i="3" s="1" a="1"/>
  <c r="F432" i="3" s="1"/>
  <c r="O1243" i="12"/>
  <c r="O1242" i="12"/>
  <c r="G432" i="3" s="1" a="1"/>
  <c r="G432" i="3" s="1"/>
  <c r="Q1243" i="12"/>
  <c r="Q1242" i="12"/>
  <c r="P1182" i="8"/>
  <c r="P1176" i="8"/>
  <c r="K1185" i="8"/>
  <c r="K1184" i="8"/>
  <c r="L1185" i="8"/>
  <c r="L1184" i="8"/>
  <c r="D414" i="3" s="1" a="1"/>
  <c r="D414" i="3" s="1"/>
  <c r="M1185" i="8"/>
  <c r="M1184" i="8"/>
  <c r="E414" i="3" s="1" a="1"/>
  <c r="E414" i="3" s="1"/>
  <c r="N1185" i="8"/>
  <c r="N1184" i="8"/>
  <c r="F414" i="3" s="1" a="1"/>
  <c r="F414" i="3" s="1"/>
  <c r="O1185" i="8"/>
  <c r="O1184" i="8"/>
  <c r="G414" i="3" s="1" a="1"/>
  <c r="G414" i="3" s="1"/>
  <c r="Q1185" i="8"/>
  <c r="Q1184" i="8"/>
  <c r="P975" i="14"/>
  <c r="P969" i="14"/>
  <c r="K978" i="14"/>
  <c r="K977" i="14"/>
  <c r="C429" i="3" s="1" a="1"/>
  <c r="C429" i="3" s="1"/>
  <c r="L978" i="14"/>
  <c r="L977" i="14"/>
  <c r="D429" i="3" s="1" a="1"/>
  <c r="D429" i="3" s="1"/>
  <c r="M978" i="14"/>
  <c r="M977" i="14"/>
  <c r="E429" i="3" s="1" a="1"/>
  <c r="E429" i="3" s="1"/>
  <c r="N978" i="14"/>
  <c r="N977" i="14"/>
  <c r="F429" i="3" s="1" a="1"/>
  <c r="F429" i="3" s="1"/>
  <c r="O978" i="14"/>
  <c r="O977" i="14"/>
  <c r="G429" i="3" s="1" a="1"/>
  <c r="G429" i="3" s="1"/>
  <c r="Q978" i="14"/>
  <c r="Q977" i="14"/>
  <c r="P145" i="23"/>
  <c r="P139" i="23"/>
  <c r="K148" i="23"/>
  <c r="K147" i="23"/>
  <c r="C417" i="3" s="1" a="1"/>
  <c r="C417" i="3" s="1"/>
  <c r="L148" i="23"/>
  <c r="L147" i="23"/>
  <c r="D417" i="3" s="1" a="1"/>
  <c r="D417" i="3" s="1"/>
  <c r="M148" i="23"/>
  <c r="M147" i="23"/>
  <c r="E417" i="3" s="1" a="1"/>
  <c r="E417" i="3" s="1"/>
  <c r="N148" i="23"/>
  <c r="N147" i="23"/>
  <c r="F417" i="3" s="1" a="1"/>
  <c r="F417" i="3" s="1"/>
  <c r="O148" i="23"/>
  <c r="O147" i="23"/>
  <c r="G417" i="3" s="1" a="1"/>
  <c r="G417" i="3" s="1"/>
  <c r="Q148" i="23"/>
  <c r="Q147" i="23"/>
  <c r="P77" i="24"/>
  <c r="P71" i="24"/>
  <c r="K80" i="24"/>
  <c r="K79" i="24"/>
  <c r="L80" i="24"/>
  <c r="L79" i="24"/>
  <c r="D426" i="3" s="1" a="1"/>
  <c r="D426" i="3" s="1"/>
  <c r="M80" i="24"/>
  <c r="M79" i="24"/>
  <c r="N80" i="24"/>
  <c r="N79" i="24"/>
  <c r="O80" i="24"/>
  <c r="O79" i="24"/>
  <c r="Q80" i="24"/>
  <c r="Q79" i="24"/>
  <c r="P1320" i="9"/>
  <c r="P1314" i="9"/>
  <c r="K1323" i="9"/>
  <c r="K1322" i="9"/>
  <c r="L1323" i="9"/>
  <c r="L1322" i="9"/>
  <c r="M1323" i="9"/>
  <c r="M1322" i="9"/>
  <c r="N1323" i="9"/>
  <c r="N1322" i="9"/>
  <c r="F420" i="3" s="1" a="1"/>
  <c r="F420" i="3" s="1"/>
  <c r="O1323" i="9"/>
  <c r="O1322" i="9"/>
  <c r="G420" i="3" s="1" a="1"/>
  <c r="G420" i="3" s="1"/>
  <c r="Q1323" i="9"/>
  <c r="Q1322" i="9"/>
  <c r="P331" i="7"/>
  <c r="P325" i="7"/>
  <c r="C318" i="7" s="1"/>
  <c r="K334" i="7"/>
  <c r="K333" i="7"/>
  <c r="L334" i="7"/>
  <c r="L333" i="7"/>
  <c r="M334" i="7"/>
  <c r="M333" i="7"/>
  <c r="N334" i="7"/>
  <c r="N333" i="7"/>
  <c r="O334" i="7"/>
  <c r="O333" i="7"/>
  <c r="Q334" i="7"/>
  <c r="Q333" i="7"/>
  <c r="P843" i="17"/>
  <c r="P837" i="17"/>
  <c r="K846" i="17"/>
  <c r="K845" i="17"/>
  <c r="C411" i="3" s="1" a="1"/>
  <c r="C411" i="3" s="1"/>
  <c r="L846" i="17"/>
  <c r="L845" i="17"/>
  <c r="D411" i="3" s="1" a="1"/>
  <c r="D411" i="3" s="1"/>
  <c r="M846" i="17"/>
  <c r="M845" i="17"/>
  <c r="E411" i="3" s="1" a="1"/>
  <c r="E411" i="3" s="1"/>
  <c r="N846" i="17"/>
  <c r="N845" i="17"/>
  <c r="F411" i="3" s="1" a="1"/>
  <c r="F411" i="3" s="1"/>
  <c r="O846" i="17"/>
  <c r="O845" i="17"/>
  <c r="G411" i="3" s="1" a="1"/>
  <c r="G411" i="3" s="1"/>
  <c r="Q846" i="17"/>
  <c r="Q845" i="17"/>
  <c r="P508" i="20"/>
  <c r="P502" i="20"/>
  <c r="K511" i="20"/>
  <c r="K510" i="20"/>
  <c r="C408" i="3" s="1" a="1"/>
  <c r="C408" i="3" s="1"/>
  <c r="L511" i="20"/>
  <c r="L510" i="20"/>
  <c r="D408" i="3" s="1" a="1"/>
  <c r="D408" i="3" s="1"/>
  <c r="M511" i="20"/>
  <c r="M510" i="20"/>
  <c r="E408" i="3" s="1" a="1"/>
  <c r="E408" i="3" s="1"/>
  <c r="N511" i="20"/>
  <c r="N510" i="20"/>
  <c r="F408" i="3" s="1" a="1"/>
  <c r="F408" i="3" s="1"/>
  <c r="O511" i="20"/>
  <c r="O510" i="20"/>
  <c r="G408" i="3" s="1" a="1"/>
  <c r="G408" i="3" s="1"/>
  <c r="Q511" i="20"/>
  <c r="Q510" i="20"/>
  <c r="P1255" i="5"/>
  <c r="P1249" i="5"/>
  <c r="K1258" i="5"/>
  <c r="K1257" i="5"/>
  <c r="C405" i="3" s="1" a="1"/>
  <c r="C405" i="3" s="1"/>
  <c r="L1258" i="5"/>
  <c r="L1257" i="5"/>
  <c r="D405" i="3" s="1" a="1"/>
  <c r="D405" i="3" s="1"/>
  <c r="M1258" i="5"/>
  <c r="M1257" i="5"/>
  <c r="E405" i="3" s="1" a="1"/>
  <c r="E405" i="3" s="1"/>
  <c r="N1258" i="5"/>
  <c r="N1257" i="5"/>
  <c r="F405" i="3" s="1" a="1"/>
  <c r="F405" i="3" s="1"/>
  <c r="O1258" i="5"/>
  <c r="O1257" i="5"/>
  <c r="G405" i="3" s="1" a="1"/>
  <c r="G405" i="3" s="1"/>
  <c r="Q1258" i="5"/>
  <c r="Q1257" i="5"/>
  <c r="K405" i="3" s="1" a="1"/>
  <c r="K405" i="3" s="1"/>
  <c r="O749" i="17"/>
  <c r="I781" i="17"/>
  <c r="G747" i="17" s="1"/>
  <c r="B1208" i="12"/>
  <c r="B1209" i="12" s="1"/>
  <c r="B1210" i="12" s="1"/>
  <c r="B1211" i="12"/>
  <c r="B1212" i="12" s="1"/>
  <c r="B1233" i="9"/>
  <c r="B1234" i="9" s="1"/>
  <c r="B1235" i="9" s="1"/>
  <c r="B1236" i="9" s="1"/>
  <c r="B1237" i="9" s="1"/>
  <c r="M1212" i="9"/>
  <c r="I1240" i="9"/>
  <c r="N1212" i="9" s="1"/>
  <c r="I97" i="23"/>
  <c r="N1127" i="12"/>
  <c r="O1074" i="8"/>
  <c r="I1113" i="8"/>
  <c r="N1074" i="8"/>
  <c r="I1160" i="8"/>
  <c r="B476" i="20"/>
  <c r="B477" i="20" s="1"/>
  <c r="B478" i="20" s="1"/>
  <c r="B479" i="20" s="1"/>
  <c r="B480" i="20" s="1"/>
  <c r="B481" i="20" s="1"/>
  <c r="B482" i="20" s="1"/>
  <c r="B483" i="20" s="1"/>
  <c r="B484" i="20" s="1"/>
  <c r="B485" i="20" s="1"/>
  <c r="I40" i="24"/>
  <c r="B51" i="24"/>
  <c r="B52" i="24" s="1"/>
  <c r="B53" i="24" s="1"/>
  <c r="B54" i="24" s="1"/>
  <c r="O11" i="24"/>
  <c r="N847" i="14"/>
  <c r="N11" i="24"/>
  <c r="B1149" i="12"/>
  <c r="B1150" i="12" s="1"/>
  <c r="B1151" i="12" s="1"/>
  <c r="B1152" i="12" s="1"/>
  <c r="B1153" i="12" s="1"/>
  <c r="B1154" i="12" s="1"/>
  <c r="B1155" i="12" s="1"/>
  <c r="B1156" i="12" s="1"/>
  <c r="B1157" i="12" s="1"/>
  <c r="B1158" i="12" s="1"/>
  <c r="B85" i="23"/>
  <c r="B86" i="23" s="1"/>
  <c r="B87" i="23" s="1"/>
  <c r="B88" i="23" s="1"/>
  <c r="B89" i="23" s="1"/>
  <c r="B90" i="23" s="1"/>
  <c r="B91" i="23" s="1"/>
  <c r="L61" i="23"/>
  <c r="M61" i="23"/>
  <c r="B1097" i="8"/>
  <c r="B1098" i="8" s="1"/>
  <c r="B1099" i="8" s="1"/>
  <c r="B1100" i="8" s="1"/>
  <c r="B1101" i="8" s="1"/>
  <c r="B1153" i="8"/>
  <c r="B1154" i="8" s="1"/>
  <c r="B807" i="17"/>
  <c r="B808" i="17" s="1"/>
  <c r="B809" i="17" s="1"/>
  <c r="B810" i="17" s="1"/>
  <c r="Q388" i="3"/>
  <c r="L388" i="3"/>
  <c r="J388" i="3"/>
  <c r="N388" i="3"/>
  <c r="P20" i="24"/>
  <c r="P14" i="24"/>
  <c r="K23" i="24"/>
  <c r="K22" i="24"/>
  <c r="L23" i="24"/>
  <c r="L22" i="24"/>
  <c r="M23" i="24"/>
  <c r="M22" i="24"/>
  <c r="N23" i="24"/>
  <c r="N22" i="24"/>
  <c r="F389" i="3" s="1" a="1"/>
  <c r="F389" i="3" s="1"/>
  <c r="O23" i="24"/>
  <c r="O22" i="24"/>
  <c r="G389" i="3" s="1" a="1"/>
  <c r="G389" i="3" s="1"/>
  <c r="Q23" i="24"/>
  <c r="Q22" i="24"/>
  <c r="M847" i="14"/>
  <c r="M1127" i="12"/>
  <c r="V1115" i="12"/>
  <c r="I1159" i="12"/>
  <c r="K1127" i="12"/>
  <c r="R1127" i="12"/>
  <c r="N403" i="4" s="1"/>
  <c r="L1127" i="12"/>
  <c r="I953" i="14"/>
  <c r="B871" i="14"/>
  <c r="B872" i="14" s="1"/>
  <c r="B873" i="14" s="1"/>
  <c r="B874" i="14" s="1"/>
  <c r="B875" i="14" s="1"/>
  <c r="B876" i="14" s="1"/>
  <c r="B877" i="14" s="1"/>
  <c r="B1287" i="9"/>
  <c r="B1288" i="9" s="1"/>
  <c r="B1289" i="9" s="1"/>
  <c r="B1290" i="9" s="1"/>
  <c r="B1291" i="9" s="1"/>
  <c r="B1292" i="9" s="1"/>
  <c r="B1293" i="9" s="1"/>
  <c r="B1294" i="9" s="1"/>
  <c r="B1295" i="9" s="1"/>
  <c r="B1296" i="9" s="1"/>
  <c r="B1297" i="9" s="1"/>
  <c r="I1249" i="9"/>
  <c r="L1212" i="9" s="1"/>
  <c r="G1253" i="9"/>
  <c r="O379" i="3"/>
  <c r="O397" i="3" s="1"/>
  <c r="M379" i="3"/>
  <c r="K1074" i="8"/>
  <c r="B1206" i="5"/>
  <c r="B1207" i="5" s="1"/>
  <c r="B1208" i="5" s="1"/>
  <c r="B1209" i="5" s="1"/>
  <c r="B1210" i="5" s="1"/>
  <c r="B1211" i="5" s="1"/>
  <c r="B1212" i="5" s="1"/>
  <c r="L1186" i="5"/>
  <c r="L1074" i="8"/>
  <c r="R1135" i="12"/>
  <c r="M394" i="3" s="1"/>
  <c r="K61" i="23"/>
  <c r="B770" i="17"/>
  <c r="B771" i="17" s="1"/>
  <c r="B772" i="17" s="1"/>
  <c r="B773" i="17" s="1"/>
  <c r="B774" i="17" s="1"/>
  <c r="B775" i="17" s="1"/>
  <c r="B776" i="17" s="1"/>
  <c r="K749" i="17"/>
  <c r="I439" i="20"/>
  <c r="G409" i="20" s="1"/>
  <c r="K411" i="20"/>
  <c r="L1123" i="9"/>
  <c r="I1245" i="9"/>
  <c r="K1212" i="9"/>
  <c r="I931" i="14"/>
  <c r="I885" i="14"/>
  <c r="K847" i="14"/>
  <c r="M391" i="3"/>
  <c r="A406" i="4"/>
  <c r="L382" i="3"/>
  <c r="N382" i="3" s="1"/>
  <c r="J382" i="3"/>
  <c r="P70" i="23"/>
  <c r="P64" i="23"/>
  <c r="K73" i="23"/>
  <c r="K72" i="23"/>
  <c r="C383" i="3" s="1" a="1"/>
  <c r="C383" i="3" s="1"/>
  <c r="L73" i="23"/>
  <c r="L72" i="23"/>
  <c r="D383" i="3" s="1" a="1"/>
  <c r="D383" i="3" s="1"/>
  <c r="M73" i="23"/>
  <c r="M72" i="23"/>
  <c r="E383" i="3" s="1" a="1"/>
  <c r="E383" i="3" s="1"/>
  <c r="N73" i="23"/>
  <c r="N72" i="23"/>
  <c r="F383" i="3" s="1" a="1"/>
  <c r="F383" i="3" s="1"/>
  <c r="O73" i="23"/>
  <c r="O72" i="23"/>
  <c r="G383" i="3" s="1" a="1"/>
  <c r="G383" i="3" s="1"/>
  <c r="Q73" i="23"/>
  <c r="Q72" i="23"/>
  <c r="O364" i="3"/>
  <c r="F364" i="3"/>
  <c r="D364" i="3"/>
  <c r="P372" i="4"/>
  <c r="I37" i="23"/>
  <c r="M370" i="3"/>
  <c r="H370" i="3"/>
  <c r="Q370" i="3"/>
  <c r="L370" i="3"/>
  <c r="J370" i="3"/>
  <c r="Q373" i="3"/>
  <c r="L373" i="3"/>
  <c r="N373" i="3" s="1"/>
  <c r="J373" i="3"/>
  <c r="Q376" i="3"/>
  <c r="L376" i="3"/>
  <c r="J376" i="3"/>
  <c r="Q379" i="3"/>
  <c r="L379" i="3"/>
  <c r="N379" i="3" s="1"/>
  <c r="J379" i="3"/>
  <c r="Q391" i="3"/>
  <c r="L391" i="3"/>
  <c r="N391" i="3" s="1"/>
  <c r="J391" i="3"/>
  <c r="Q394" i="3"/>
  <c r="L394" i="3"/>
  <c r="N394" i="3" s="1"/>
  <c r="J394" i="3"/>
  <c r="B1144" i="5"/>
  <c r="B1145" i="5" s="1"/>
  <c r="K1113" i="5"/>
  <c r="G1189" i="12"/>
  <c r="I1186" i="12"/>
  <c r="I1189" i="12" s="1"/>
  <c r="G1194" i="12"/>
  <c r="I1192" i="12"/>
  <c r="I1194" i="12" s="1"/>
  <c r="I818" i="14"/>
  <c r="G818" i="14"/>
  <c r="I907" i="14"/>
  <c r="I923" i="14" s="1"/>
  <c r="I889" i="14"/>
  <c r="I890" i="14"/>
  <c r="I1260" i="9"/>
  <c r="I1264" i="9"/>
  <c r="I1273" i="9"/>
  <c r="I1278" i="9" s="1"/>
  <c r="I1053" i="8"/>
  <c r="G1053" i="8"/>
  <c r="G1130" i="8"/>
  <c r="I1116" i="8"/>
  <c r="F1130" i="8"/>
  <c r="I1128" i="8"/>
  <c r="G1135" i="8"/>
  <c r="I1133" i="8"/>
  <c r="I1135" i="8" s="1"/>
  <c r="I790" i="17"/>
  <c r="I793" i="17" s="1"/>
  <c r="I797" i="17"/>
  <c r="I799" i="17" s="1"/>
  <c r="I713" i="17"/>
  <c r="G453" i="20"/>
  <c r="I451" i="20"/>
  <c r="F453" i="20"/>
  <c r="I452" i="20"/>
  <c r="G458" i="20"/>
  <c r="I456" i="20"/>
  <c r="I458" i="20" s="1"/>
  <c r="I1165" i="5"/>
  <c r="H1165" i="5"/>
  <c r="G1165" i="5"/>
  <c r="I1217" i="5"/>
  <c r="I1226" i="5" s="1"/>
  <c r="P856" i="14"/>
  <c r="P850" i="14"/>
  <c r="K859" i="14"/>
  <c r="K858" i="14"/>
  <c r="C392" i="3" s="1" a="1"/>
  <c r="C392" i="3" s="1"/>
  <c r="L859" i="14"/>
  <c r="L858" i="14"/>
  <c r="D392" i="3" s="1" a="1"/>
  <c r="D392" i="3" s="1"/>
  <c r="M859" i="14"/>
  <c r="M858" i="14"/>
  <c r="E392" i="3" s="1" a="1"/>
  <c r="E392" i="3" s="1"/>
  <c r="N859" i="14"/>
  <c r="N858" i="14"/>
  <c r="F392" i="3" s="1" a="1"/>
  <c r="F392" i="3" s="1"/>
  <c r="O859" i="14"/>
  <c r="O858" i="14"/>
  <c r="G392" i="3" s="1" a="1"/>
  <c r="G392" i="3" s="1"/>
  <c r="Q859" i="14"/>
  <c r="Q858" i="14"/>
  <c r="P1221" i="9"/>
  <c r="P1215" i="9"/>
  <c r="K1224" i="9"/>
  <c r="K1223" i="9"/>
  <c r="C386" i="3" s="1" a="1"/>
  <c r="C386" i="3" s="1"/>
  <c r="L1224" i="9"/>
  <c r="L1223" i="9"/>
  <c r="D386" i="3" s="1" a="1"/>
  <c r="D386" i="3" s="1"/>
  <c r="M1224" i="9"/>
  <c r="M1223" i="9"/>
  <c r="E386" i="3" s="1" a="1"/>
  <c r="E386" i="3" s="1"/>
  <c r="N1224" i="9"/>
  <c r="N1223" i="9"/>
  <c r="F386" i="3" s="1" a="1"/>
  <c r="F386" i="3" s="1"/>
  <c r="O1224" i="9"/>
  <c r="O1223" i="9"/>
  <c r="G386" i="3" s="1" a="1"/>
  <c r="G386" i="3" s="1"/>
  <c r="Q1224" i="9"/>
  <c r="Q1223" i="9"/>
  <c r="P758" i="17"/>
  <c r="P752" i="17"/>
  <c r="K761" i="17"/>
  <c r="K760" i="17"/>
  <c r="C377" i="3" s="1" a="1"/>
  <c r="C377" i="3" s="1"/>
  <c r="L761" i="17"/>
  <c r="L760" i="17"/>
  <c r="D377" i="3" s="1" a="1"/>
  <c r="D377" i="3" s="1"/>
  <c r="M761" i="17"/>
  <c r="M760" i="17"/>
  <c r="E377" i="3" s="1" a="1"/>
  <c r="E377" i="3" s="1"/>
  <c r="N761" i="17"/>
  <c r="N760" i="17"/>
  <c r="F377" i="3" s="1" a="1"/>
  <c r="F377" i="3" s="1"/>
  <c r="O761" i="17"/>
  <c r="O760" i="17"/>
  <c r="G377" i="3" s="1" a="1"/>
  <c r="G377" i="3" s="1"/>
  <c r="Q761" i="17"/>
  <c r="Q760" i="17"/>
  <c r="P420" i="20"/>
  <c r="P414" i="20"/>
  <c r="K423" i="20"/>
  <c r="K422" i="20"/>
  <c r="C374" i="3" s="1" a="1"/>
  <c r="C374" i="3" s="1"/>
  <c r="L423" i="20"/>
  <c r="L422" i="20"/>
  <c r="D374" i="3" s="1" a="1"/>
  <c r="D374" i="3" s="1"/>
  <c r="M423" i="20"/>
  <c r="M422" i="20"/>
  <c r="E374" i="3" s="1" a="1"/>
  <c r="E374" i="3" s="1"/>
  <c r="N423" i="20"/>
  <c r="N422" i="20"/>
  <c r="F374" i="3" s="1" a="1"/>
  <c r="F374" i="3" s="1"/>
  <c r="O423" i="20"/>
  <c r="O422" i="20"/>
  <c r="G374" i="3" s="1" a="1"/>
  <c r="G374" i="3" s="1"/>
  <c r="Q423" i="20"/>
  <c r="Q422" i="20"/>
  <c r="P1195" i="5"/>
  <c r="P1189" i="5"/>
  <c r="K1198" i="5"/>
  <c r="K1197" i="5"/>
  <c r="C371" i="3" s="1" a="1"/>
  <c r="C371" i="3" s="1"/>
  <c r="L1198" i="5"/>
  <c r="L1197" i="5"/>
  <c r="D371" i="3" s="1" a="1"/>
  <c r="D371" i="3" s="1"/>
  <c r="M1198" i="5"/>
  <c r="M1197" i="5"/>
  <c r="E371" i="3" s="1" a="1"/>
  <c r="E371" i="3" s="1"/>
  <c r="N1198" i="5"/>
  <c r="N1197" i="5"/>
  <c r="O1198" i="5"/>
  <c r="O1197" i="5"/>
  <c r="Q1198" i="5"/>
  <c r="Q1197" i="5"/>
  <c r="N1118" i="5"/>
  <c r="P1136" i="12"/>
  <c r="P1130" i="12"/>
  <c r="K1139" i="12"/>
  <c r="K1138" i="12"/>
  <c r="C395" i="3" s="1" a="1"/>
  <c r="C395" i="3" s="1"/>
  <c r="L1139" i="12"/>
  <c r="L1138" i="12"/>
  <c r="D395" i="3" s="1" a="1"/>
  <c r="D395" i="3" s="1"/>
  <c r="M1139" i="12"/>
  <c r="M1138" i="12"/>
  <c r="E395" i="3" s="1" a="1"/>
  <c r="E395" i="3" s="1"/>
  <c r="N1139" i="12"/>
  <c r="N1138" i="12"/>
  <c r="F395" i="3" s="1" a="1"/>
  <c r="F395" i="3" s="1"/>
  <c r="O1139" i="12"/>
  <c r="O1138" i="12"/>
  <c r="G395" i="3" s="1" a="1"/>
  <c r="G395" i="3" s="1"/>
  <c r="Q1139" i="12"/>
  <c r="Q1138" i="12"/>
  <c r="K395" i="3" s="1" a="1"/>
  <c r="K395" i="3" s="1"/>
  <c r="P1083" i="8"/>
  <c r="P1077" i="8"/>
  <c r="K1086" i="8"/>
  <c r="K1085" i="8"/>
  <c r="C380" i="3" s="1" a="1"/>
  <c r="C380" i="3" s="1"/>
  <c r="L1086" i="8"/>
  <c r="L1085" i="8"/>
  <c r="D380" i="3" s="1" a="1"/>
  <c r="D380" i="3" s="1"/>
  <c r="M1086" i="8"/>
  <c r="M1085" i="8"/>
  <c r="E380" i="3" s="1" a="1"/>
  <c r="E380" i="3" s="1"/>
  <c r="N1086" i="8"/>
  <c r="N1085" i="8"/>
  <c r="F380" i="3" s="1" a="1"/>
  <c r="F380" i="3" s="1"/>
  <c r="O1086" i="8"/>
  <c r="O1085" i="8"/>
  <c r="G380" i="3" s="1" a="1"/>
  <c r="G380" i="3" s="1"/>
  <c r="Q1086" i="8"/>
  <c r="Q1085" i="8"/>
  <c r="N1123" i="9"/>
  <c r="L663" i="17"/>
  <c r="N663" i="17"/>
  <c r="V737" i="17"/>
  <c r="N756" i="14"/>
  <c r="B1108" i="12"/>
  <c r="B1109" i="12" s="1"/>
  <c r="B1110" i="12" s="1"/>
  <c r="B1111" i="12" s="1"/>
  <c r="B1112" i="12" s="1"/>
  <c r="B1113" i="12" s="1"/>
  <c r="M999" i="8"/>
  <c r="M1123" i="9"/>
  <c r="B359" i="20"/>
  <c r="B360" i="20" s="1"/>
  <c r="B361" i="20" s="1"/>
  <c r="B362" i="20" s="1"/>
  <c r="B363" i="20" s="1"/>
  <c r="B364" i="20" s="1"/>
  <c r="B365" i="20" s="1"/>
  <c r="M335" i="20"/>
  <c r="M663" i="17"/>
  <c r="I1072" i="12"/>
  <c r="G1037" i="12" s="1"/>
  <c r="G1072" i="12"/>
  <c r="P340" i="4"/>
  <c r="H340" i="4"/>
  <c r="M358" i="3"/>
  <c r="I787" i="14"/>
  <c r="G795" i="14"/>
  <c r="G787" i="14"/>
  <c r="M764" i="14"/>
  <c r="E355" i="3" s="1"/>
  <c r="E364" i="3" s="1"/>
  <c r="F795" i="14"/>
  <c r="M756" i="14"/>
  <c r="L1039" i="12"/>
  <c r="L335" i="20"/>
  <c r="L1118" i="5"/>
  <c r="L756" i="14"/>
  <c r="I1187" i="9"/>
  <c r="G1187" i="9"/>
  <c r="F1187" i="9"/>
  <c r="I376" i="20"/>
  <c r="G376" i="20"/>
  <c r="G1048" i="8"/>
  <c r="I1046" i="8"/>
  <c r="F1048" i="8"/>
  <c r="I692" i="17"/>
  <c r="K671" i="17"/>
  <c r="F692" i="17"/>
  <c r="P346" i="3" s="1"/>
  <c r="G692" i="17"/>
  <c r="I774" i="14"/>
  <c r="I777" i="14" s="1"/>
  <c r="K764" i="14"/>
  <c r="K999" i="8"/>
  <c r="M349" i="3"/>
  <c r="P325" i="3"/>
  <c r="Q325" i="3" s="1"/>
  <c r="K335" i="20"/>
  <c r="K1039" i="12"/>
  <c r="K1123" i="9"/>
  <c r="I1156" i="5"/>
  <c r="K1118" i="5"/>
  <c r="K663" i="17"/>
  <c r="A372" i="4"/>
  <c r="P20" i="23"/>
  <c r="P14" i="23"/>
  <c r="C7" i="23" s="1"/>
  <c r="K23" i="23"/>
  <c r="K22" i="23"/>
  <c r="L23" i="23"/>
  <c r="L22" i="23"/>
  <c r="M23" i="23"/>
  <c r="M22" i="23"/>
  <c r="N23" i="23"/>
  <c r="N22" i="23"/>
  <c r="O23" i="23"/>
  <c r="O22" i="23"/>
  <c r="Q23" i="23"/>
  <c r="Q22" i="23"/>
  <c r="K362" i="3" s="1" a="1"/>
  <c r="K362" i="3" s="1"/>
  <c r="I1069" i="9"/>
  <c r="I1070" i="9" s="1"/>
  <c r="G1070" i="9"/>
  <c r="G1085" i="9"/>
  <c r="I692" i="14"/>
  <c r="I693" i="14" s="1"/>
  <c r="F660" i="14" s="1"/>
  <c r="F661" i="14" s="1"/>
  <c r="H661" i="14" s="1"/>
  <c r="G693" i="14"/>
  <c r="H693" i="14"/>
  <c r="G375" i="11"/>
  <c r="I374" i="11"/>
  <c r="I375" i="11" s="1"/>
  <c r="I944" i="8"/>
  <c r="N916" i="8"/>
  <c r="F944" i="8"/>
  <c r="P313" i="3" s="1"/>
  <c r="G944" i="8"/>
  <c r="I598" i="17"/>
  <c r="I607" i="17" s="1"/>
  <c r="G607" i="17"/>
  <c r="Q1036" i="5"/>
  <c r="S342" i="4"/>
  <c r="L319" i="4"/>
  <c r="L340" i="4" s="1"/>
  <c r="Q340" i="3"/>
  <c r="L340" i="3"/>
  <c r="J340" i="3"/>
  <c r="Q343" i="3"/>
  <c r="L343" i="3"/>
  <c r="N343" i="3" s="1"/>
  <c r="J343" i="3"/>
  <c r="Q349" i="3"/>
  <c r="L349" i="3"/>
  <c r="N349" i="3" s="1"/>
  <c r="J349" i="3"/>
  <c r="Q352" i="3"/>
  <c r="L352" i="3"/>
  <c r="N352" i="3" s="1"/>
  <c r="J352" i="3"/>
  <c r="Q358" i="3"/>
  <c r="L358" i="3"/>
  <c r="N358" i="3" s="1"/>
  <c r="J358" i="3"/>
  <c r="P765" i="14"/>
  <c r="P759" i="14"/>
  <c r="K768" i="14"/>
  <c r="K767" i="14"/>
  <c r="C356" i="3" s="1" a="1"/>
  <c r="C356" i="3" s="1"/>
  <c r="L768" i="14"/>
  <c r="L767" i="14"/>
  <c r="D356" i="3" s="1" a="1"/>
  <c r="D356" i="3" s="1"/>
  <c r="M768" i="14"/>
  <c r="M767" i="14"/>
  <c r="E356" i="3" s="1" a="1"/>
  <c r="E356" i="3" s="1"/>
  <c r="N768" i="14"/>
  <c r="N767" i="14"/>
  <c r="F356" i="3" s="1" a="1"/>
  <c r="F356" i="3" s="1"/>
  <c r="O768" i="14"/>
  <c r="O767" i="14"/>
  <c r="Q768" i="14"/>
  <c r="Q767" i="14"/>
  <c r="P672" i="17"/>
  <c r="P666" i="17"/>
  <c r="K675" i="17"/>
  <c r="K674" i="17"/>
  <c r="C347" i="3" s="1" a="1"/>
  <c r="C347" i="3" s="1"/>
  <c r="L675" i="17"/>
  <c r="L674" i="17"/>
  <c r="D347" i="3" s="1" a="1"/>
  <c r="D347" i="3" s="1"/>
  <c r="M675" i="17"/>
  <c r="M674" i="17"/>
  <c r="E347" i="3" s="1" a="1"/>
  <c r="E347" i="3" s="1"/>
  <c r="N675" i="17"/>
  <c r="N674" i="17"/>
  <c r="F347" i="3" s="1" a="1"/>
  <c r="F347" i="3" s="1"/>
  <c r="O675" i="17"/>
  <c r="O674" i="17"/>
  <c r="Q675" i="17"/>
  <c r="Q674" i="17"/>
  <c r="P1132" i="9"/>
  <c r="P1126" i="9"/>
  <c r="K1135" i="9"/>
  <c r="K1134" i="9"/>
  <c r="C353" i="3" s="1" a="1"/>
  <c r="C353" i="3" s="1"/>
  <c r="L1135" i="9"/>
  <c r="L1134" i="9"/>
  <c r="D353" i="3" s="1" a="1"/>
  <c r="D353" i="3" s="1"/>
  <c r="M1135" i="9"/>
  <c r="M1134" i="9"/>
  <c r="E353" i="3" s="1" a="1"/>
  <c r="E353" i="3" s="1"/>
  <c r="N1135" i="9"/>
  <c r="N1134" i="9"/>
  <c r="F353" i="3" s="1" a="1"/>
  <c r="F353" i="3" s="1"/>
  <c r="O1135" i="9"/>
  <c r="O1134" i="9"/>
  <c r="Q1135" i="9"/>
  <c r="Q1134" i="9"/>
  <c r="P344" i="20"/>
  <c r="P338" i="20"/>
  <c r="K347" i="20"/>
  <c r="K346" i="20"/>
  <c r="C344" i="3" s="1" a="1"/>
  <c r="C344" i="3" s="1"/>
  <c r="L347" i="20"/>
  <c r="L346" i="20"/>
  <c r="D344" i="3" s="1" a="1"/>
  <c r="D344" i="3" s="1"/>
  <c r="M347" i="20"/>
  <c r="M346" i="20"/>
  <c r="E344" i="3" s="1" a="1"/>
  <c r="E344" i="3" s="1"/>
  <c r="N347" i="20"/>
  <c r="N346" i="20"/>
  <c r="F344" i="3" s="1" a="1"/>
  <c r="F344" i="3" s="1"/>
  <c r="O347" i="20"/>
  <c r="O346" i="20"/>
  <c r="Q347" i="20"/>
  <c r="Q346" i="20"/>
  <c r="P1127" i="5"/>
  <c r="P1121" i="5"/>
  <c r="K1130" i="5"/>
  <c r="K1129" i="5"/>
  <c r="C341" i="3" s="1" a="1"/>
  <c r="C341" i="3" s="1"/>
  <c r="L1130" i="5"/>
  <c r="L1129" i="5"/>
  <c r="D341" i="3" s="1" a="1"/>
  <c r="D341" i="3" s="1"/>
  <c r="M1130" i="5"/>
  <c r="M1129" i="5"/>
  <c r="E341" i="3" s="1" a="1"/>
  <c r="E341" i="3" s="1"/>
  <c r="N1130" i="5"/>
  <c r="N1129" i="5"/>
  <c r="F341" i="3" s="1" a="1"/>
  <c r="F341" i="3" s="1"/>
  <c r="O1130" i="5"/>
  <c r="O1129" i="5"/>
  <c r="Q1130" i="5"/>
  <c r="Q1129" i="5"/>
  <c r="F10" i="21"/>
  <c r="F11" i="21" s="1"/>
  <c r="H11" i="21" s="1"/>
  <c r="P20" i="21"/>
  <c r="P14" i="21"/>
  <c r="C7" i="21" s="1"/>
  <c r="K23" i="21"/>
  <c r="K22" i="21"/>
  <c r="L23" i="21"/>
  <c r="L22" i="21"/>
  <c r="M23" i="21"/>
  <c r="M22" i="21"/>
  <c r="N23" i="21"/>
  <c r="N22" i="21"/>
  <c r="O23" i="21"/>
  <c r="O22" i="21"/>
  <c r="Q23" i="21"/>
  <c r="Q22" i="21"/>
  <c r="F349" i="11"/>
  <c r="F350" i="11" s="1"/>
  <c r="H350" i="11" s="1"/>
  <c r="P359" i="11"/>
  <c r="P353" i="11"/>
  <c r="C346" i="11" s="1"/>
  <c r="K362" i="11"/>
  <c r="K361" i="11"/>
  <c r="L362" i="11"/>
  <c r="L361" i="11"/>
  <c r="M362" i="11"/>
  <c r="M361" i="11"/>
  <c r="N362" i="11"/>
  <c r="N361" i="11"/>
  <c r="O362" i="11"/>
  <c r="O361" i="11"/>
  <c r="Q362" i="11"/>
  <c r="Q361" i="11"/>
  <c r="P1048" i="12"/>
  <c r="P1042" i="12"/>
  <c r="K1051" i="12"/>
  <c r="K1050" i="12"/>
  <c r="C359" i="3" s="1" a="1"/>
  <c r="C359" i="3" s="1"/>
  <c r="L1051" i="12"/>
  <c r="L1050" i="12"/>
  <c r="D359" i="3" s="1" a="1"/>
  <c r="D359" i="3" s="1"/>
  <c r="M1051" i="12"/>
  <c r="M1050" i="12"/>
  <c r="E359" i="3" s="1" a="1"/>
  <c r="E359" i="3" s="1"/>
  <c r="N1051" i="12"/>
  <c r="N1050" i="12"/>
  <c r="F359" i="3" s="1" a="1"/>
  <c r="F359" i="3" s="1"/>
  <c r="O1051" i="12"/>
  <c r="O1050" i="12"/>
  <c r="Q1051" i="12"/>
  <c r="Q1050" i="12"/>
  <c r="P1008" i="8"/>
  <c r="P1002" i="8"/>
  <c r="K1011" i="8"/>
  <c r="K1010" i="8"/>
  <c r="C350" i="3" s="1" a="1"/>
  <c r="C350" i="3" s="1"/>
  <c r="L1011" i="8"/>
  <c r="L1010" i="8"/>
  <c r="D350" i="3" s="1" a="1"/>
  <c r="D350" i="3" s="1"/>
  <c r="M1011" i="8"/>
  <c r="M1010" i="8"/>
  <c r="E350" i="3" s="1" a="1"/>
  <c r="E350" i="3" s="1"/>
  <c r="N1011" i="8"/>
  <c r="N1010" i="8"/>
  <c r="O1011" i="8"/>
  <c r="O1010" i="8"/>
  <c r="Q1011" i="8"/>
  <c r="Q1010" i="8"/>
  <c r="R266" i="20"/>
  <c r="B988" i="12"/>
  <c r="O316" i="3"/>
  <c r="N966" i="12"/>
  <c r="N974" i="12"/>
  <c r="F698" i="14"/>
  <c r="P331" i="3" s="1"/>
  <c r="N657" i="14"/>
  <c r="M1035" i="9"/>
  <c r="L1035" i="9"/>
  <c r="B1102" i="9"/>
  <c r="I1110" i="9"/>
  <c r="B929" i="8"/>
  <c r="B930" i="8" s="1"/>
  <c r="B931" i="8" s="1"/>
  <c r="B932" i="8" s="1"/>
  <c r="B933" i="8" s="1"/>
  <c r="B934" i="8" s="1"/>
  <c r="B935" i="8" s="1"/>
  <c r="R916" i="8"/>
  <c r="M313" i="3" s="1"/>
  <c r="B936" i="8"/>
  <c r="B937" i="8" s="1"/>
  <c r="M908" i="8"/>
  <c r="B974" i="8"/>
  <c r="B975" i="8" s="1"/>
  <c r="B976" i="8" s="1"/>
  <c r="B977" i="8" s="1"/>
  <c r="B978" i="8" s="1"/>
  <c r="B979" i="8" s="1"/>
  <c r="B980" i="8" s="1"/>
  <c r="B981" i="8" s="1"/>
  <c r="B982" i="8" s="1"/>
  <c r="B983" i="8" s="1"/>
  <c r="B984" i="8" s="1"/>
  <c r="B985" i="8" s="1"/>
  <c r="V323" i="20"/>
  <c r="V1106" i="5"/>
  <c r="I992" i="12"/>
  <c r="G964" i="12" s="1"/>
  <c r="G992" i="12"/>
  <c r="H312" i="4"/>
  <c r="B682" i="14"/>
  <c r="B683" i="14" s="1"/>
  <c r="B684" i="14" s="1"/>
  <c r="M579" i="17"/>
  <c r="I698" i="14"/>
  <c r="G698" i="14"/>
  <c r="M657" i="14"/>
  <c r="M665" i="14"/>
  <c r="I1062" i="5"/>
  <c r="G1034" i="5" s="1"/>
  <c r="M966" i="12"/>
  <c r="B1056" i="9"/>
  <c r="B1057" i="9" s="1"/>
  <c r="B1058" i="9" s="1"/>
  <c r="B1059" i="9" s="1"/>
  <c r="B1060" i="9" s="1"/>
  <c r="B1061" i="9" s="1"/>
  <c r="B1062" i="9" s="1"/>
  <c r="B1063" i="9" s="1"/>
  <c r="K579" i="17"/>
  <c r="I616" i="17"/>
  <c r="L657" i="14"/>
  <c r="I291" i="20"/>
  <c r="G264" i="20" s="1"/>
  <c r="L266" i="20"/>
  <c r="L1036" i="5"/>
  <c r="I650" i="17"/>
  <c r="I620" i="17"/>
  <c r="I621" i="17" s="1"/>
  <c r="F621" i="17"/>
  <c r="K657" i="14"/>
  <c r="K908" i="8"/>
  <c r="O334" i="3"/>
  <c r="A340" i="4"/>
  <c r="B340" i="4"/>
  <c r="D325" i="4"/>
  <c r="G306" i="20"/>
  <c r="I304" i="20"/>
  <c r="I306" i="20" s="1"/>
  <c r="I1064" i="9"/>
  <c r="G1033" i="9" s="1"/>
  <c r="K1035" i="9"/>
  <c r="G1007" i="12"/>
  <c r="I1003" i="12"/>
  <c r="I1007" i="12" s="1"/>
  <c r="G1012" i="12"/>
  <c r="I1010" i="12"/>
  <c r="I1012" i="12" s="1"/>
  <c r="I705" i="14"/>
  <c r="I708" i="14"/>
  <c r="I719" i="14"/>
  <c r="I724" i="14" s="1"/>
  <c r="I1078" i="9"/>
  <c r="I1081" i="9"/>
  <c r="I1088" i="9"/>
  <c r="I1091" i="9" s="1"/>
  <c r="I977" i="9"/>
  <c r="Q947" i="9"/>
  <c r="I951" i="8"/>
  <c r="I961" i="8" s="1"/>
  <c r="I964" i="8"/>
  <c r="I967" i="8" s="1"/>
  <c r="I625" i="17"/>
  <c r="I627" i="17" s="1"/>
  <c r="I533" i="17"/>
  <c r="P298" i="3"/>
  <c r="G301" i="20"/>
  <c r="I299" i="20"/>
  <c r="I301" i="20" s="1"/>
  <c r="I1080" i="5"/>
  <c r="I1084" i="5" s="1"/>
  <c r="I1071" i="5"/>
  <c r="H1072" i="5"/>
  <c r="H1073" i="5" s="1"/>
  <c r="G1089" i="5"/>
  <c r="I1087" i="5"/>
  <c r="I1089" i="5" s="1"/>
  <c r="B1002" i="5"/>
  <c r="P666" i="14"/>
  <c r="P660" i="14"/>
  <c r="K669" i="14"/>
  <c r="K668" i="14"/>
  <c r="C332" i="3" s="1" a="1"/>
  <c r="C332" i="3" s="1"/>
  <c r="L669" i="14"/>
  <c r="L668" i="14"/>
  <c r="D332" i="3" s="1" a="1"/>
  <c r="D332" i="3" s="1"/>
  <c r="M669" i="14"/>
  <c r="M668" i="14"/>
  <c r="E332" i="3" s="1" a="1"/>
  <c r="E332" i="3" s="1"/>
  <c r="N669" i="14"/>
  <c r="N668" i="14"/>
  <c r="F332" i="3" s="1" a="1"/>
  <c r="F332" i="3" s="1"/>
  <c r="O669" i="14"/>
  <c r="O668" i="14"/>
  <c r="G332" i="3" s="1" a="1"/>
  <c r="G332" i="3" s="1"/>
  <c r="Q669" i="14"/>
  <c r="Q668" i="14"/>
  <c r="P1044" i="9"/>
  <c r="P1038" i="9"/>
  <c r="K1047" i="9"/>
  <c r="K1046" i="9"/>
  <c r="C329" i="3" s="1" a="1"/>
  <c r="C329" i="3" s="1"/>
  <c r="L1047" i="9"/>
  <c r="L1046" i="9"/>
  <c r="D329" i="3" s="1" a="1"/>
  <c r="D329" i="3" s="1"/>
  <c r="M1047" i="9"/>
  <c r="M1046" i="9"/>
  <c r="E329" i="3" s="1" a="1"/>
  <c r="E329" i="3" s="1"/>
  <c r="N1047" i="9"/>
  <c r="N1046" i="9"/>
  <c r="F329" i="3" s="1" a="1"/>
  <c r="F329" i="3" s="1"/>
  <c r="O1047" i="9"/>
  <c r="O1046" i="9"/>
  <c r="G329" i="3" s="1" a="1"/>
  <c r="G329" i="3" s="1"/>
  <c r="Q1047" i="9"/>
  <c r="Q1046" i="9"/>
  <c r="P588" i="17"/>
  <c r="P582" i="17"/>
  <c r="C575" i="17" s="1"/>
  <c r="K591" i="17"/>
  <c r="K590" i="17"/>
  <c r="L591" i="17"/>
  <c r="L590" i="17"/>
  <c r="D326" i="3" s="1" a="1"/>
  <c r="D326" i="3" s="1"/>
  <c r="M591" i="17"/>
  <c r="M590" i="17"/>
  <c r="E326" i="3" s="1" a="1"/>
  <c r="E326" i="3" s="1"/>
  <c r="N591" i="17"/>
  <c r="N590" i="17"/>
  <c r="O591" i="17"/>
  <c r="O590" i="17"/>
  <c r="G326" i="3" s="1" a="1"/>
  <c r="G326" i="3" s="1"/>
  <c r="Q591" i="17"/>
  <c r="Q590" i="17"/>
  <c r="P275" i="20"/>
  <c r="P269" i="20"/>
  <c r="K278" i="20"/>
  <c r="K277" i="20"/>
  <c r="L278" i="20"/>
  <c r="L277" i="20"/>
  <c r="D323" i="3" s="1" a="1"/>
  <c r="D323" i="3" s="1"/>
  <c r="M278" i="20"/>
  <c r="M277" i="20"/>
  <c r="E323" i="3" s="1" a="1"/>
  <c r="E323" i="3" s="1"/>
  <c r="N278" i="20"/>
  <c r="N277" i="20"/>
  <c r="O278" i="20"/>
  <c r="O277" i="20"/>
  <c r="G323" i="3" s="1" a="1"/>
  <c r="G323" i="3" s="1"/>
  <c r="Q278" i="20"/>
  <c r="Q277" i="20"/>
  <c r="P1045" i="5"/>
  <c r="P1039" i="5"/>
  <c r="K1048" i="5"/>
  <c r="K1047" i="5"/>
  <c r="L1048" i="5"/>
  <c r="L1047" i="5"/>
  <c r="D320" i="3" s="1" a="1"/>
  <c r="D320" i="3" s="1"/>
  <c r="M1048" i="5"/>
  <c r="M1047" i="5"/>
  <c r="E320" i="3" s="1" a="1"/>
  <c r="E320" i="3" s="1"/>
  <c r="N1048" i="5"/>
  <c r="N1047" i="5"/>
  <c r="F320" i="3" s="1" a="1"/>
  <c r="F320" i="3" s="1"/>
  <c r="O1048" i="5"/>
  <c r="O1047" i="5"/>
  <c r="G320" i="3" s="1" a="1"/>
  <c r="G320" i="3" s="1"/>
  <c r="Q1048" i="5"/>
  <c r="Q1047" i="5"/>
  <c r="K320" i="3" s="1" a="1"/>
  <c r="K320" i="3" s="1"/>
  <c r="P975" i="12"/>
  <c r="P969" i="12"/>
  <c r="K978" i="12"/>
  <c r="K977" i="12"/>
  <c r="L978" i="12"/>
  <c r="L977" i="12"/>
  <c r="M978" i="12"/>
  <c r="M977" i="12"/>
  <c r="E317" i="3" s="1" a="1"/>
  <c r="E317" i="3" s="1"/>
  <c r="N978" i="12"/>
  <c r="N977" i="12"/>
  <c r="F317" i="3" s="1" a="1"/>
  <c r="F317" i="3" s="1"/>
  <c r="O978" i="12"/>
  <c r="O977" i="12"/>
  <c r="G317" i="3" s="1" a="1"/>
  <c r="G317" i="3" s="1"/>
  <c r="Q978" i="12"/>
  <c r="Q977" i="12"/>
  <c r="P917" i="8"/>
  <c r="P911" i="8"/>
  <c r="K920" i="8"/>
  <c r="K919" i="8"/>
  <c r="C314" i="3" s="1" a="1"/>
  <c r="C314" i="3" s="1"/>
  <c r="L920" i="8"/>
  <c r="L919" i="8"/>
  <c r="D314" i="3" s="1" a="1"/>
  <c r="D314" i="3" s="1"/>
  <c r="M920" i="8"/>
  <c r="M919" i="8"/>
  <c r="E314" i="3" s="1" a="1"/>
  <c r="E314" i="3" s="1"/>
  <c r="N920" i="8"/>
  <c r="N919" i="8"/>
  <c r="F314" i="3" s="1" a="1"/>
  <c r="F314" i="3" s="1"/>
  <c r="O920" i="8"/>
  <c r="O919" i="8"/>
  <c r="G314" i="3" s="1" a="1"/>
  <c r="G314" i="3" s="1"/>
  <c r="Q920" i="8"/>
  <c r="Q919" i="8"/>
  <c r="G512" i="17"/>
  <c r="B222" i="20"/>
  <c r="B223" i="20" s="1"/>
  <c r="B224" i="20" s="1"/>
  <c r="V254" i="20"/>
  <c r="R192" i="20"/>
  <c r="B947" i="12"/>
  <c r="B948" i="12" s="1"/>
  <c r="B949" i="12" s="1"/>
  <c r="B950" i="12" s="1"/>
  <c r="B951" i="12" s="1"/>
  <c r="B952" i="12" s="1"/>
  <c r="I953" i="12"/>
  <c r="I918" i="12"/>
  <c r="O289" i="3"/>
  <c r="I594" i="14"/>
  <c r="I595" i="14" s="1"/>
  <c r="N570" i="14"/>
  <c r="N817" i="8"/>
  <c r="B970" i="9"/>
  <c r="B971" i="9" s="1"/>
  <c r="M483" i="17"/>
  <c r="N953" i="5"/>
  <c r="M953" i="5"/>
  <c r="N192" i="20"/>
  <c r="L875" i="12"/>
  <c r="B637" i="14"/>
  <c r="B638" i="14" s="1"/>
  <c r="B639" i="14" s="1"/>
  <c r="B640" i="14" s="1"/>
  <c r="B641" i="14" s="1"/>
  <c r="B642" i="14" s="1"/>
  <c r="B643" i="14" s="1"/>
  <c r="I525" i="17"/>
  <c r="N483" i="17"/>
  <c r="M947" i="9"/>
  <c r="I529" i="17"/>
  <c r="I847" i="8"/>
  <c r="K817" i="8"/>
  <c r="L817" i="8"/>
  <c r="B1018" i="5"/>
  <c r="B1019" i="5" s="1"/>
  <c r="B1020" i="5" s="1"/>
  <c r="B1021" i="5" s="1"/>
  <c r="B1022" i="5" s="1"/>
  <c r="P284" i="4"/>
  <c r="G337" i="11"/>
  <c r="I336" i="11"/>
  <c r="I337" i="11" s="1"/>
  <c r="Q250" i="3"/>
  <c r="L483" i="17"/>
  <c r="I895" i="8"/>
  <c r="K483" i="17"/>
  <c r="B544" i="17"/>
  <c r="B545" i="17" s="1"/>
  <c r="B546" i="17" s="1"/>
  <c r="B547" i="17" s="1"/>
  <c r="B548" i="17" s="1"/>
  <c r="B549" i="17" s="1"/>
  <c r="B550" i="17" s="1"/>
  <c r="B551" i="17" s="1"/>
  <c r="B552" i="17" s="1"/>
  <c r="B553" i="17" s="1"/>
  <c r="B554" i="17" s="1"/>
  <c r="B555" i="17" s="1"/>
  <c r="B556" i="17" s="1"/>
  <c r="B557" i="17" s="1"/>
  <c r="B558" i="17" s="1"/>
  <c r="B559" i="17" s="1"/>
  <c r="B560" i="17" s="1"/>
  <c r="B561" i="17" s="1"/>
  <c r="B562" i="17" s="1"/>
  <c r="B563" i="17" s="1"/>
  <c r="B564" i="17" s="1"/>
  <c r="B565" i="17" s="1"/>
  <c r="I566" i="17"/>
  <c r="I516" i="17"/>
  <c r="I537" i="17"/>
  <c r="I539" i="17" s="1"/>
  <c r="P265" i="3"/>
  <c r="I990" i="9"/>
  <c r="I993" i="9"/>
  <c r="F1003" i="9"/>
  <c r="I1000" i="9"/>
  <c r="I1003" i="9" s="1"/>
  <c r="I972" i="9"/>
  <c r="K947" i="9"/>
  <c r="G612" i="14"/>
  <c r="I603" i="14"/>
  <c r="F612" i="14"/>
  <c r="I606" i="14"/>
  <c r="G619" i="14"/>
  <c r="I615" i="14"/>
  <c r="I619" i="14" s="1"/>
  <c r="P274" i="3"/>
  <c r="I234" i="20"/>
  <c r="I236" i="20" s="1"/>
  <c r="P262" i="3"/>
  <c r="I225" i="20"/>
  <c r="G190" i="20" s="1"/>
  <c r="K192" i="20"/>
  <c r="B891" i="5"/>
  <c r="B892" i="5" s="1"/>
  <c r="B893" i="5" s="1"/>
  <c r="B894" i="5" s="1"/>
  <c r="B895" i="5" s="1"/>
  <c r="B896" i="5" s="1"/>
  <c r="I999" i="5"/>
  <c r="I1000" i="5"/>
  <c r="I1001" i="5"/>
  <c r="H1002" i="5"/>
  <c r="H1005" i="5" s="1"/>
  <c r="G1010" i="5"/>
  <c r="I1008" i="5"/>
  <c r="I1010" i="5" s="1"/>
  <c r="C292" i="3"/>
  <c r="C307" i="3" s="1"/>
  <c r="P961" i="5"/>
  <c r="H292" i="3" s="1"/>
  <c r="I840" i="12"/>
  <c r="I842" i="12" s="1"/>
  <c r="G842" i="12"/>
  <c r="G837" i="12"/>
  <c r="I927" i="12"/>
  <c r="I931" i="12" s="1"/>
  <c r="I910" i="12"/>
  <c r="I912" i="12" s="1"/>
  <c r="F878" i="12" s="1"/>
  <c r="F879" i="12" s="1"/>
  <c r="H879" i="12" s="1"/>
  <c r="G935" i="12"/>
  <c r="I934" i="12"/>
  <c r="I935" i="12" s="1"/>
  <c r="B825" i="12"/>
  <c r="I834" i="12"/>
  <c r="P312" i="4"/>
  <c r="O307" i="3"/>
  <c r="O722" i="8"/>
  <c r="I763" i="8"/>
  <c r="P268" i="3"/>
  <c r="I862" i="8"/>
  <c r="K953" i="5"/>
  <c r="K875" i="12"/>
  <c r="I589" i="14"/>
  <c r="K562" i="14"/>
  <c r="R883" i="12"/>
  <c r="M289" i="3" s="1"/>
  <c r="A312" i="4"/>
  <c r="M307" i="3"/>
  <c r="G878" i="8"/>
  <c r="I869" i="8"/>
  <c r="I878" i="8" s="1"/>
  <c r="I881" i="8"/>
  <c r="I883" i="8" s="1"/>
  <c r="B758" i="8"/>
  <c r="I770" i="8"/>
  <c r="V550" i="14"/>
  <c r="K380" i="17"/>
  <c r="I414" i="17"/>
  <c r="Q380" i="17"/>
  <c r="M730" i="8"/>
  <c r="Q286" i="3"/>
  <c r="L286" i="3"/>
  <c r="J286" i="3"/>
  <c r="Q289" i="3"/>
  <c r="L289" i="3"/>
  <c r="N289" i="3" s="1"/>
  <c r="J289" i="3"/>
  <c r="Q292" i="3"/>
  <c r="L292" i="3"/>
  <c r="N292" i="3" s="1"/>
  <c r="J292" i="3"/>
  <c r="Q295" i="3"/>
  <c r="L295" i="3"/>
  <c r="N295" i="3" s="1"/>
  <c r="J295" i="3"/>
  <c r="Q298" i="3"/>
  <c r="L298" i="3"/>
  <c r="N298" i="3" s="1"/>
  <c r="J298" i="3"/>
  <c r="Q301" i="3"/>
  <c r="L301" i="3"/>
  <c r="N301" i="3" s="1"/>
  <c r="J301" i="3"/>
  <c r="N380" i="17"/>
  <c r="G428" i="17"/>
  <c r="P571" i="14"/>
  <c r="P565" i="14"/>
  <c r="K574" i="14"/>
  <c r="K573" i="14"/>
  <c r="C305" i="3" s="1" a="1"/>
  <c r="C305" i="3" s="1"/>
  <c r="L574" i="14"/>
  <c r="L573" i="14"/>
  <c r="M574" i="14"/>
  <c r="M573" i="14"/>
  <c r="E305" i="3" s="1" a="1"/>
  <c r="E305" i="3" s="1"/>
  <c r="N574" i="14"/>
  <c r="N573" i="14"/>
  <c r="F305" i="3" s="1" a="1"/>
  <c r="F305" i="3" s="1"/>
  <c r="O574" i="14"/>
  <c r="O573" i="14"/>
  <c r="Q574" i="14"/>
  <c r="Q573" i="14"/>
  <c r="P322" i="11"/>
  <c r="P316" i="11"/>
  <c r="C309" i="11" s="1"/>
  <c r="K325" i="11"/>
  <c r="K324" i="11"/>
  <c r="L325" i="11"/>
  <c r="L324" i="11"/>
  <c r="M325" i="11"/>
  <c r="M324" i="11"/>
  <c r="N325" i="11"/>
  <c r="N324" i="11"/>
  <c r="O325" i="11"/>
  <c r="O324" i="11"/>
  <c r="Q325" i="11"/>
  <c r="Q324" i="11"/>
  <c r="P956" i="9"/>
  <c r="P950" i="9"/>
  <c r="K959" i="9"/>
  <c r="K958" i="9"/>
  <c r="C302" i="3" s="1" a="1"/>
  <c r="C302" i="3" s="1"/>
  <c r="L959" i="9"/>
  <c r="L958" i="9"/>
  <c r="D302" i="3" s="1" a="1"/>
  <c r="D302" i="3" s="1"/>
  <c r="M959" i="9"/>
  <c r="M958" i="9"/>
  <c r="E302" i="3" s="1" a="1"/>
  <c r="E302" i="3" s="1"/>
  <c r="N959" i="9"/>
  <c r="N958" i="9"/>
  <c r="F302" i="3" s="1" a="1"/>
  <c r="F302" i="3" s="1"/>
  <c r="O959" i="9"/>
  <c r="O958" i="9"/>
  <c r="Q959" i="9"/>
  <c r="Q958" i="9"/>
  <c r="K302" i="3" s="1" a="1"/>
  <c r="K302" i="3" s="1"/>
  <c r="P492" i="17"/>
  <c r="P486" i="17"/>
  <c r="K495" i="17"/>
  <c r="K494" i="17"/>
  <c r="C299" i="3" s="1" a="1"/>
  <c r="C299" i="3" s="1"/>
  <c r="L495" i="17"/>
  <c r="L494" i="17"/>
  <c r="D299" i="3" s="1" a="1"/>
  <c r="D299" i="3" s="1"/>
  <c r="M495" i="17"/>
  <c r="M494" i="17"/>
  <c r="E299" i="3" s="1" a="1"/>
  <c r="E299" i="3" s="1"/>
  <c r="N495" i="17"/>
  <c r="N494" i="17"/>
  <c r="F299" i="3" s="1" a="1"/>
  <c r="F299" i="3" s="1"/>
  <c r="O495" i="17"/>
  <c r="O494" i="17"/>
  <c r="G299" i="3" s="1" a="1"/>
  <c r="G299" i="3" s="1"/>
  <c r="Q495" i="17"/>
  <c r="Q494" i="17"/>
  <c r="P201" i="20"/>
  <c r="P195" i="20"/>
  <c r="K204" i="20"/>
  <c r="K203" i="20"/>
  <c r="C296" i="3" s="1" a="1"/>
  <c r="C296" i="3" s="1"/>
  <c r="L204" i="20"/>
  <c r="L203" i="20"/>
  <c r="D296" i="3" s="1" a="1"/>
  <c r="D296" i="3" s="1"/>
  <c r="M204" i="20"/>
  <c r="M203" i="20"/>
  <c r="E296" i="3" s="1" a="1"/>
  <c r="E296" i="3" s="1"/>
  <c r="N204" i="20"/>
  <c r="N203" i="20"/>
  <c r="F296" i="3" s="1" a="1"/>
  <c r="F296" i="3" s="1"/>
  <c r="O204" i="20"/>
  <c r="O203" i="20"/>
  <c r="G296" i="3" s="1" a="1"/>
  <c r="G296" i="3" s="1"/>
  <c r="Q204" i="20"/>
  <c r="Q203" i="20"/>
  <c r="P962" i="5"/>
  <c r="P956" i="5"/>
  <c r="C949" i="5" s="1"/>
  <c r="K965" i="5"/>
  <c r="K964" i="5"/>
  <c r="C293" i="3" s="1" a="1"/>
  <c r="C293" i="3" s="1"/>
  <c r="L965" i="5"/>
  <c r="L964" i="5"/>
  <c r="D293" i="3" s="1" a="1"/>
  <c r="D293" i="3" s="1"/>
  <c r="M965" i="5"/>
  <c r="M964" i="5"/>
  <c r="E293" i="3" s="1" a="1"/>
  <c r="E293" i="3" s="1"/>
  <c r="N965" i="5"/>
  <c r="N964" i="5"/>
  <c r="F293" i="3" s="1" a="1"/>
  <c r="F293" i="3" s="1"/>
  <c r="O965" i="5"/>
  <c r="O964" i="5"/>
  <c r="G293" i="3" s="1" a="1"/>
  <c r="G293" i="3" s="1"/>
  <c r="Q965" i="5"/>
  <c r="Q964" i="5"/>
  <c r="P826" i="8"/>
  <c r="P820" i="8"/>
  <c r="K829" i="8"/>
  <c r="K828" i="8"/>
  <c r="C287" i="3" s="1" a="1"/>
  <c r="C287" i="3" s="1"/>
  <c r="L829" i="8"/>
  <c r="L828" i="8"/>
  <c r="D287" i="3" s="1" a="1"/>
  <c r="D287" i="3" s="1"/>
  <c r="M829" i="8"/>
  <c r="M828" i="8"/>
  <c r="E287" i="3" s="1" a="1"/>
  <c r="E287" i="3" s="1"/>
  <c r="N829" i="8"/>
  <c r="N828" i="8"/>
  <c r="F287" i="3" s="1" a="1"/>
  <c r="F287" i="3" s="1"/>
  <c r="O829" i="8"/>
  <c r="O828" i="8"/>
  <c r="Q829" i="8"/>
  <c r="Q828" i="8"/>
  <c r="P884" i="12"/>
  <c r="P878" i="12"/>
  <c r="K887" i="12"/>
  <c r="K886" i="12"/>
  <c r="C290" i="3" s="1" a="1"/>
  <c r="C290" i="3" s="1"/>
  <c r="L887" i="12"/>
  <c r="L886" i="12"/>
  <c r="D290" i="3" s="1" a="1"/>
  <c r="D290" i="3" s="1"/>
  <c r="M887" i="12"/>
  <c r="M886" i="12"/>
  <c r="E290" i="3" s="1" a="1"/>
  <c r="E290" i="3" s="1"/>
  <c r="N887" i="12"/>
  <c r="N886" i="12"/>
  <c r="F290" i="3" s="1" a="1"/>
  <c r="F290" i="3" s="1"/>
  <c r="O887" i="12"/>
  <c r="O886" i="12"/>
  <c r="G290" i="3" s="1" a="1"/>
  <c r="G290" i="3" s="1"/>
  <c r="Q887" i="12"/>
  <c r="Q886" i="12"/>
  <c r="O777" i="12"/>
  <c r="B546" i="14"/>
  <c r="B547" i="14" s="1"/>
  <c r="B548" i="14" s="1"/>
  <c r="N849" i="9"/>
  <c r="B891" i="9"/>
  <c r="I934" i="9"/>
  <c r="B930" i="9"/>
  <c r="B931" i="9" s="1"/>
  <c r="B932" i="9" s="1"/>
  <c r="B933" i="9" s="1"/>
  <c r="B767" i="8"/>
  <c r="B768" i="8" s="1"/>
  <c r="B769" i="8" s="1"/>
  <c r="I407" i="17"/>
  <c r="I409" i="17" s="1"/>
  <c r="O388" i="17"/>
  <c r="A284" i="4"/>
  <c r="M849" i="9"/>
  <c r="B490" i="14"/>
  <c r="B491" i="14" s="1"/>
  <c r="B492" i="14" s="1"/>
  <c r="B493" i="14" s="1"/>
  <c r="B494" i="14" s="1"/>
  <c r="B495" i="14" s="1"/>
  <c r="B496" i="14" s="1"/>
  <c r="B497" i="14" s="1"/>
  <c r="L470" i="14"/>
  <c r="B448" i="17"/>
  <c r="B449" i="17" s="1"/>
  <c r="B450" i="17" s="1"/>
  <c r="B451" i="17" s="1"/>
  <c r="B452" i="17" s="1"/>
  <c r="B453" i="17" s="1"/>
  <c r="B454" i="17" s="1"/>
  <c r="B455" i="17" s="1"/>
  <c r="B456" i="17" s="1"/>
  <c r="B457" i="17" s="1"/>
  <c r="I464" i="17"/>
  <c r="M380" i="17"/>
  <c r="B798" i="8"/>
  <c r="M866" i="5"/>
  <c r="M777" i="12"/>
  <c r="L785" i="12"/>
  <c r="M277" i="3"/>
  <c r="L777" i="12"/>
  <c r="L722" i="8"/>
  <c r="F785" i="8"/>
  <c r="G758" i="8"/>
  <c r="B798" i="12"/>
  <c r="B799" i="12" s="1"/>
  <c r="B800" i="12" s="1"/>
  <c r="I804" i="8"/>
  <c r="I152" i="20"/>
  <c r="G123" i="20" s="1"/>
  <c r="V180" i="20"/>
  <c r="I833" i="12"/>
  <c r="I837" i="12" s="1"/>
  <c r="G738" i="12"/>
  <c r="F738" i="12"/>
  <c r="H738" i="12"/>
  <c r="Q367" i="14"/>
  <c r="K244" i="3" s="1"/>
  <c r="F398" i="14"/>
  <c r="I512" i="14"/>
  <c r="I521" i="14" s="1"/>
  <c r="G527" i="14"/>
  <c r="I524" i="14"/>
  <c r="I527" i="14" s="1"/>
  <c r="B426" i="14"/>
  <c r="G901" i="9"/>
  <c r="I897" i="9"/>
  <c r="F901" i="9"/>
  <c r="I900" i="9"/>
  <c r="F905" i="9"/>
  <c r="I904" i="9"/>
  <c r="I905" i="9" s="1"/>
  <c r="K849" i="9"/>
  <c r="I657" i="8"/>
  <c r="G623" i="8" s="1"/>
  <c r="K625" i="8"/>
  <c r="I773" i="8"/>
  <c r="G785" i="8"/>
  <c r="I788" i="8"/>
  <c r="I790" i="8" s="1"/>
  <c r="G680" i="8"/>
  <c r="G683" i="8" s="1"/>
  <c r="I742" i="8"/>
  <c r="G436" i="17"/>
  <c r="I435" i="17"/>
  <c r="I436" i="17" s="1"/>
  <c r="I440" i="17"/>
  <c r="I442" i="17" s="1"/>
  <c r="O280" i="3"/>
  <c r="G335" i="17"/>
  <c r="I335" i="17"/>
  <c r="I819" i="12"/>
  <c r="G775" i="12" s="1"/>
  <c r="K777" i="12"/>
  <c r="N690" i="12"/>
  <c r="V765" i="12"/>
  <c r="I862" i="12"/>
  <c r="K125" i="20"/>
  <c r="I897" i="5"/>
  <c r="K866" i="5"/>
  <c r="G161" i="20"/>
  <c r="I160" i="20"/>
  <c r="I161" i="20" s="1"/>
  <c r="G300" i="11"/>
  <c r="I299" i="11"/>
  <c r="I300" i="11" s="1"/>
  <c r="I909" i="5"/>
  <c r="I910" i="5"/>
  <c r="I911" i="5"/>
  <c r="H912" i="5"/>
  <c r="H919" i="5" s="1"/>
  <c r="I922" i="5"/>
  <c r="I924" i="5" s="1"/>
  <c r="Q359" i="14"/>
  <c r="B651" i="8"/>
  <c r="B652" i="8" s="1"/>
  <c r="B653" i="8" s="1"/>
  <c r="B654" i="8" s="1"/>
  <c r="B655" i="8" s="1"/>
  <c r="B656" i="8" s="1"/>
  <c r="G321" i="17"/>
  <c r="F321" i="17"/>
  <c r="P235" i="3" s="1"/>
  <c r="M287" i="17"/>
  <c r="Q287" i="17"/>
  <c r="I326" i="17"/>
  <c r="Q295" i="17"/>
  <c r="K235" i="3" s="1"/>
  <c r="F326" i="17"/>
  <c r="Q259" i="3"/>
  <c r="L259" i="3"/>
  <c r="J259" i="3"/>
  <c r="Q262" i="3"/>
  <c r="L262" i="3"/>
  <c r="N262" i="3" s="1"/>
  <c r="J262" i="3"/>
  <c r="Q271" i="3"/>
  <c r="L271" i="3"/>
  <c r="N271" i="3" s="1"/>
  <c r="J271" i="3"/>
  <c r="Q274" i="3"/>
  <c r="L274" i="3"/>
  <c r="N274" i="3" s="1"/>
  <c r="J274" i="3"/>
  <c r="P786" i="12"/>
  <c r="P780" i="12"/>
  <c r="K789" i="12"/>
  <c r="K788" i="12"/>
  <c r="C278" i="3" s="1" a="1"/>
  <c r="C278" i="3" s="1"/>
  <c r="L789" i="12"/>
  <c r="L788" i="12"/>
  <c r="D278" i="3" s="1" a="1"/>
  <c r="D278" i="3" s="1"/>
  <c r="M789" i="12"/>
  <c r="M788" i="12"/>
  <c r="E278" i="3" s="1" a="1"/>
  <c r="E278" i="3" s="1"/>
  <c r="N789" i="12"/>
  <c r="N788" i="12"/>
  <c r="F278" i="3" s="1" a="1"/>
  <c r="F278" i="3" s="1"/>
  <c r="O789" i="12"/>
  <c r="O788" i="12"/>
  <c r="G278" i="3" s="1" a="1"/>
  <c r="G278" i="3" s="1"/>
  <c r="Q789" i="12"/>
  <c r="Q788" i="12"/>
  <c r="P479" i="14"/>
  <c r="P473" i="14"/>
  <c r="K482" i="14"/>
  <c r="K481" i="14"/>
  <c r="L482" i="14"/>
  <c r="L481" i="14"/>
  <c r="D275" i="3" s="1" a="1"/>
  <c r="D275" i="3" s="1"/>
  <c r="M482" i="14"/>
  <c r="M481" i="14"/>
  <c r="E275" i="3" s="1" a="1"/>
  <c r="E275" i="3" s="1"/>
  <c r="N482" i="14"/>
  <c r="N481" i="14"/>
  <c r="F275" i="3" s="1" a="1"/>
  <c r="F275" i="3" s="1"/>
  <c r="O482" i="14"/>
  <c r="O481" i="14"/>
  <c r="G275" i="3" s="1" a="1"/>
  <c r="G275" i="3" s="1"/>
  <c r="Q482" i="14"/>
  <c r="Q481" i="14"/>
  <c r="P285" i="11"/>
  <c r="P279" i="11"/>
  <c r="C272" i="11" s="1"/>
  <c r="K288" i="11"/>
  <c r="K287" i="11"/>
  <c r="L288" i="11"/>
  <c r="L287" i="11"/>
  <c r="M288" i="11"/>
  <c r="M287" i="11"/>
  <c r="N288" i="11"/>
  <c r="N287" i="11"/>
  <c r="O288" i="11"/>
  <c r="O287" i="11"/>
  <c r="Q288" i="11"/>
  <c r="Q287" i="11"/>
  <c r="P858" i="9"/>
  <c r="P852" i="9"/>
  <c r="K861" i="9"/>
  <c r="K860" i="9"/>
  <c r="C272" i="3" s="1" a="1"/>
  <c r="C272" i="3" s="1"/>
  <c r="L861" i="9"/>
  <c r="L860" i="9"/>
  <c r="D272" i="3" s="1" a="1"/>
  <c r="D272" i="3" s="1"/>
  <c r="M861" i="9"/>
  <c r="M860" i="9"/>
  <c r="E272" i="3" s="1" a="1"/>
  <c r="E272" i="3" s="1"/>
  <c r="N861" i="9"/>
  <c r="N860" i="9"/>
  <c r="F272" i="3" s="1" a="1"/>
  <c r="F272" i="3" s="1"/>
  <c r="O861" i="9"/>
  <c r="O860" i="9"/>
  <c r="G272" i="3" s="1" a="1"/>
  <c r="G272" i="3" s="1"/>
  <c r="Q861" i="9"/>
  <c r="Q860" i="9"/>
  <c r="P731" i="8"/>
  <c r="P725" i="8"/>
  <c r="K734" i="8"/>
  <c r="K733" i="8"/>
  <c r="C269" i="3" s="1" a="1"/>
  <c r="C269" i="3" s="1"/>
  <c r="L734" i="8"/>
  <c r="L733" i="8"/>
  <c r="D269" i="3" s="1" a="1"/>
  <c r="D269" i="3" s="1"/>
  <c r="M734" i="8"/>
  <c r="M733" i="8"/>
  <c r="E269" i="3" s="1" a="1"/>
  <c r="E269" i="3" s="1"/>
  <c r="N734" i="8"/>
  <c r="N733" i="8"/>
  <c r="F269" i="3" s="1" a="1"/>
  <c r="F269" i="3" s="1"/>
  <c r="O734" i="8"/>
  <c r="O733" i="8"/>
  <c r="G269" i="3" s="1" a="1"/>
  <c r="G269" i="3" s="1"/>
  <c r="Q734" i="8"/>
  <c r="Q733" i="8"/>
  <c r="P389" i="17"/>
  <c r="P383" i="17"/>
  <c r="K392" i="17"/>
  <c r="K391" i="17"/>
  <c r="C266" i="3" s="1" a="1"/>
  <c r="C266" i="3" s="1"/>
  <c r="L392" i="17"/>
  <c r="L391" i="17"/>
  <c r="D266" i="3" s="1" a="1"/>
  <c r="D266" i="3" s="1"/>
  <c r="M392" i="17"/>
  <c r="M391" i="17"/>
  <c r="E266" i="3" s="1" a="1"/>
  <c r="E266" i="3" s="1"/>
  <c r="N392" i="17"/>
  <c r="N391" i="17"/>
  <c r="F266" i="3" s="1" a="1"/>
  <c r="F266" i="3" s="1"/>
  <c r="O392" i="17"/>
  <c r="O391" i="17"/>
  <c r="G266" i="3" s="1" a="1"/>
  <c r="G266" i="3" s="1"/>
  <c r="Q392" i="17"/>
  <c r="Q391" i="17"/>
  <c r="K266" i="3" s="1" a="1"/>
  <c r="K266" i="3" s="1"/>
  <c r="P134" i="20"/>
  <c r="P128" i="20"/>
  <c r="K137" i="20"/>
  <c r="K136" i="20"/>
  <c r="C263" i="3" s="1" a="1"/>
  <c r="C263" i="3" s="1"/>
  <c r="L137" i="20"/>
  <c r="L136" i="20"/>
  <c r="D263" i="3" s="1" a="1"/>
  <c r="D263" i="3" s="1"/>
  <c r="M137" i="20"/>
  <c r="M136" i="20"/>
  <c r="E263" i="3" s="1" a="1"/>
  <c r="E263" i="3" s="1"/>
  <c r="N137" i="20"/>
  <c r="N136" i="20"/>
  <c r="F263" i="3" s="1" a="1"/>
  <c r="F263" i="3" s="1"/>
  <c r="O137" i="20"/>
  <c r="O136" i="20"/>
  <c r="G263" i="3" s="1" a="1"/>
  <c r="G263" i="3" s="1"/>
  <c r="Q137" i="20"/>
  <c r="Q136" i="20"/>
  <c r="P875" i="5"/>
  <c r="P869" i="5"/>
  <c r="K878" i="5"/>
  <c r="K877" i="5"/>
  <c r="C260" i="3" s="1" a="1"/>
  <c r="C260" i="3" s="1"/>
  <c r="L878" i="5"/>
  <c r="L877" i="5"/>
  <c r="D260" i="3" s="1" a="1"/>
  <c r="D260" i="3" s="1"/>
  <c r="M878" i="5"/>
  <c r="M877" i="5"/>
  <c r="E260" i="3" s="1" a="1"/>
  <c r="E260" i="3" s="1"/>
  <c r="N878" i="5"/>
  <c r="N877" i="5"/>
  <c r="F260" i="3" s="1" a="1"/>
  <c r="F260" i="3" s="1"/>
  <c r="O878" i="5"/>
  <c r="O877" i="5"/>
  <c r="G260" i="3" s="1" a="1"/>
  <c r="G260" i="3" s="1"/>
  <c r="Q878" i="5"/>
  <c r="Q877" i="5"/>
  <c r="P131" i="19"/>
  <c r="P125" i="19"/>
  <c r="C118" i="19" s="1"/>
  <c r="K134" i="19"/>
  <c r="K133" i="19"/>
  <c r="L134" i="19"/>
  <c r="L133" i="19"/>
  <c r="M134" i="19"/>
  <c r="M133" i="19"/>
  <c r="N134" i="19"/>
  <c r="N133" i="19"/>
  <c r="O134" i="19"/>
  <c r="O133" i="19"/>
  <c r="Q134" i="19"/>
  <c r="Q133" i="19"/>
  <c r="I764" i="12"/>
  <c r="B445" i="14"/>
  <c r="B446" i="14" s="1"/>
  <c r="B447" i="14" s="1"/>
  <c r="B448" i="14" s="1"/>
  <c r="B449" i="14" s="1"/>
  <c r="B450" i="14" s="1"/>
  <c r="B451" i="14" s="1"/>
  <c r="B785" i="9"/>
  <c r="L760" i="9"/>
  <c r="B825" i="9"/>
  <c r="B826" i="9" s="1"/>
  <c r="B827" i="9" s="1"/>
  <c r="B828" i="9" s="1"/>
  <c r="B829" i="9" s="1"/>
  <c r="B830" i="9" s="1"/>
  <c r="B831" i="9" s="1"/>
  <c r="B832" i="9" s="1"/>
  <c r="B833" i="9" s="1"/>
  <c r="B834" i="9" s="1"/>
  <c r="B835" i="9" s="1"/>
  <c r="B705" i="8"/>
  <c r="B706" i="8" s="1"/>
  <c r="B707" i="8" s="1"/>
  <c r="B708" i="8" s="1"/>
  <c r="V710" i="8"/>
  <c r="N287" i="17"/>
  <c r="I367" i="17"/>
  <c r="B359" i="17"/>
  <c r="I109" i="20"/>
  <c r="I112" i="20" s="1"/>
  <c r="V854" i="5"/>
  <c r="B105" i="20"/>
  <c r="B106" i="20" s="1"/>
  <c r="B107" i="20" s="1"/>
  <c r="B108" i="20" s="1"/>
  <c r="N798" i="5"/>
  <c r="M690" i="12"/>
  <c r="N625" i="8"/>
  <c r="D253" i="3"/>
  <c r="B82" i="20"/>
  <c r="H253" i="3"/>
  <c r="C253" i="3"/>
  <c r="O253" i="3"/>
  <c r="G253" i="3"/>
  <c r="F253" i="3"/>
  <c r="E253" i="3"/>
  <c r="K253" i="3"/>
  <c r="I108" i="19"/>
  <c r="I828" i="5"/>
  <c r="M798" i="5"/>
  <c r="I258" i="11"/>
  <c r="G237" i="11" s="1"/>
  <c r="M239" i="11"/>
  <c r="L250" i="3"/>
  <c r="J250" i="3"/>
  <c r="B382" i="14"/>
  <c r="B383" i="14" s="1"/>
  <c r="B384" i="14" s="1"/>
  <c r="B385" i="14" s="1"/>
  <c r="I421" i="14"/>
  <c r="G421" i="14"/>
  <c r="I427" i="14"/>
  <c r="G427" i="14"/>
  <c r="G809" i="9"/>
  <c r="I809" i="9"/>
  <c r="G578" i="8"/>
  <c r="G253" i="17"/>
  <c r="P239" i="4"/>
  <c r="P257" i="4" s="1"/>
  <c r="I341" i="17"/>
  <c r="G341" i="17"/>
  <c r="B752" i="12"/>
  <c r="B753" i="12" s="1"/>
  <c r="B754" i="12" s="1"/>
  <c r="B755" i="12" s="1"/>
  <c r="B756" i="12" s="1"/>
  <c r="B757" i="12" s="1"/>
  <c r="B758" i="12" s="1"/>
  <c r="B759" i="12" s="1"/>
  <c r="B760" i="12" s="1"/>
  <c r="B761" i="12" s="1"/>
  <c r="I725" i="12"/>
  <c r="F743" i="12"/>
  <c r="K287" i="17"/>
  <c r="L359" i="14"/>
  <c r="L287" i="17"/>
  <c r="I709" i="8"/>
  <c r="I90" i="20"/>
  <c r="G56" i="20" s="1"/>
  <c r="K58" i="20"/>
  <c r="I622" i="12"/>
  <c r="Q582" i="12"/>
  <c r="F622" i="12"/>
  <c r="Q590" i="12"/>
  <c r="I677" i="12"/>
  <c r="I723" i="12"/>
  <c r="I726" i="12" s="1"/>
  <c r="F693" i="12" s="1"/>
  <c r="I734" i="12"/>
  <c r="I741" i="12"/>
  <c r="I743" i="12" s="1"/>
  <c r="I627" i="12"/>
  <c r="I629" i="12" s="1"/>
  <c r="F585" i="12" s="1"/>
  <c r="F586" i="12" s="1"/>
  <c r="G629" i="12"/>
  <c r="I392" i="14"/>
  <c r="K359" i="14"/>
  <c r="K760" i="9"/>
  <c r="K690" i="12"/>
  <c r="A257" i="4"/>
  <c r="P94" i="19"/>
  <c r="P88" i="19"/>
  <c r="C81" i="19" s="1"/>
  <c r="K97" i="19"/>
  <c r="K96" i="19"/>
  <c r="L97" i="19"/>
  <c r="L96" i="19"/>
  <c r="M97" i="19"/>
  <c r="M96" i="19"/>
  <c r="N97" i="19"/>
  <c r="N96" i="19"/>
  <c r="O97" i="19"/>
  <c r="O96" i="19"/>
  <c r="Q97" i="19"/>
  <c r="Q96" i="19"/>
  <c r="H254" i="3"/>
  <c r="Q229" i="3"/>
  <c r="L229" i="3"/>
  <c r="J229" i="3"/>
  <c r="Q232" i="3"/>
  <c r="L232" i="3"/>
  <c r="J232" i="3"/>
  <c r="Q235" i="3"/>
  <c r="L235" i="3"/>
  <c r="J235" i="3"/>
  <c r="Q238" i="3"/>
  <c r="L238" i="3"/>
  <c r="N238" i="3" s="1"/>
  <c r="J238" i="3"/>
  <c r="Q241" i="3"/>
  <c r="L241" i="3"/>
  <c r="N241" i="3" s="1"/>
  <c r="J241" i="3"/>
  <c r="Q244" i="3"/>
  <c r="L244" i="3"/>
  <c r="N244" i="3" s="1"/>
  <c r="J244" i="3"/>
  <c r="Q247" i="3"/>
  <c r="L247" i="3"/>
  <c r="N247" i="3" s="1"/>
  <c r="J247" i="3"/>
  <c r="I607" i="15"/>
  <c r="I614" i="12"/>
  <c r="I672" i="12"/>
  <c r="I306" i="14"/>
  <c r="I312" i="14"/>
  <c r="G312" i="14"/>
  <c r="G300" i="14"/>
  <c r="I747" i="9"/>
  <c r="N536" i="8"/>
  <c r="I612" i="8"/>
  <c r="B567" i="8"/>
  <c r="B585" i="8"/>
  <c r="B586" i="8" s="1"/>
  <c r="B587" i="8" s="1"/>
  <c r="B588" i="8" s="1"/>
  <c r="B589" i="8" s="1"/>
  <c r="P558" i="15"/>
  <c r="H208" i="3" s="1"/>
  <c r="L554" i="15"/>
  <c r="N230" i="17"/>
  <c r="I274" i="17"/>
  <c r="B270" i="17"/>
  <c r="B271" i="17" s="1"/>
  <c r="B272" i="17" s="1"/>
  <c r="B273" i="17" s="1"/>
  <c r="V608" i="15"/>
  <c r="I709" i="9"/>
  <c r="G682" i="9" s="1"/>
  <c r="B739" i="9"/>
  <c r="V275" i="17"/>
  <c r="N12" i="20"/>
  <c r="I31" i="20"/>
  <c r="G10" i="20" s="1"/>
  <c r="F562" i="8"/>
  <c r="O544" i="8"/>
  <c r="I831" i="5"/>
  <c r="G838" i="5"/>
  <c r="I832" i="5"/>
  <c r="F838" i="5"/>
  <c r="I833" i="5"/>
  <c r="H834" i="5"/>
  <c r="G844" i="5"/>
  <c r="I841" i="5"/>
  <c r="I844" i="5" s="1"/>
  <c r="G263" i="11"/>
  <c r="I262" i="11"/>
  <c r="I263" i="11" s="1"/>
  <c r="P699" i="12"/>
  <c r="P693" i="12"/>
  <c r="K702" i="12"/>
  <c r="K701" i="12"/>
  <c r="C248" i="3" s="1" a="1"/>
  <c r="C248" i="3" s="1"/>
  <c r="L702" i="12"/>
  <c r="L701" i="12"/>
  <c r="D248" i="3" s="1" a="1"/>
  <c r="D248" i="3" s="1"/>
  <c r="M702" i="12"/>
  <c r="M701" i="12"/>
  <c r="E248" i="3" s="1" a="1"/>
  <c r="E248" i="3" s="1"/>
  <c r="N702" i="12"/>
  <c r="N701" i="12"/>
  <c r="F248" i="3" s="1" a="1"/>
  <c r="F248" i="3" s="1"/>
  <c r="O702" i="12"/>
  <c r="O701" i="12"/>
  <c r="G248" i="3" s="1" a="1"/>
  <c r="G248" i="3" s="1"/>
  <c r="Q702" i="12"/>
  <c r="Q701" i="12"/>
  <c r="P368" i="14"/>
  <c r="P362" i="14"/>
  <c r="K371" i="14"/>
  <c r="K370" i="14"/>
  <c r="C245" i="3" s="1" a="1"/>
  <c r="C245" i="3" s="1"/>
  <c r="L371" i="14"/>
  <c r="L370" i="14"/>
  <c r="D245" i="3" s="1" a="1"/>
  <c r="D245" i="3" s="1"/>
  <c r="M371" i="14"/>
  <c r="M370" i="14"/>
  <c r="E245" i="3" s="1" a="1"/>
  <c r="E245" i="3" s="1"/>
  <c r="N371" i="14"/>
  <c r="N370" i="14"/>
  <c r="F245" i="3" s="1" a="1"/>
  <c r="F245" i="3" s="1"/>
  <c r="O371" i="14"/>
  <c r="O370" i="14"/>
  <c r="G245" i="3" s="1" a="1"/>
  <c r="G245" i="3" s="1"/>
  <c r="Q371" i="14"/>
  <c r="Q370" i="14"/>
  <c r="K245" i="3" s="1" a="1"/>
  <c r="K245" i="3" s="1"/>
  <c r="P248" i="11"/>
  <c r="P242" i="11"/>
  <c r="C235" i="11" s="1"/>
  <c r="K251" i="11"/>
  <c r="K250" i="11"/>
  <c r="L251" i="11"/>
  <c r="L250" i="11"/>
  <c r="M251" i="11"/>
  <c r="M250" i="11"/>
  <c r="E251" i="3" s="1" a="1"/>
  <c r="E251" i="3" s="1"/>
  <c r="N251" i="11"/>
  <c r="N250" i="11"/>
  <c r="O251" i="11"/>
  <c r="O250" i="11"/>
  <c r="G251" i="3" s="1" a="1"/>
  <c r="G251" i="3" s="1"/>
  <c r="Q251" i="11"/>
  <c r="Q250" i="11"/>
  <c r="P769" i="9"/>
  <c r="P763" i="9"/>
  <c r="K772" i="9"/>
  <c r="K771" i="9"/>
  <c r="C242" i="3" s="1" a="1"/>
  <c r="C242" i="3" s="1"/>
  <c r="L772" i="9"/>
  <c r="L771" i="9"/>
  <c r="D242" i="3" s="1" a="1"/>
  <c r="D242" i="3" s="1"/>
  <c r="M772" i="9"/>
  <c r="M771" i="9"/>
  <c r="E242" i="3" s="1" a="1"/>
  <c r="E242" i="3" s="1"/>
  <c r="N772" i="9"/>
  <c r="N771" i="9"/>
  <c r="F242" i="3" s="1" a="1"/>
  <c r="F242" i="3" s="1"/>
  <c r="O772" i="9"/>
  <c r="O771" i="9"/>
  <c r="G242" i="3" s="1" a="1"/>
  <c r="G242" i="3" s="1"/>
  <c r="Q772" i="9"/>
  <c r="Q771" i="9"/>
  <c r="P634" i="8"/>
  <c r="P628" i="8"/>
  <c r="K637" i="8"/>
  <c r="K636" i="8"/>
  <c r="C239" i="3" s="1" a="1"/>
  <c r="C239" i="3" s="1"/>
  <c r="L637" i="8"/>
  <c r="L636" i="8"/>
  <c r="D239" i="3" s="1" a="1"/>
  <c r="D239" i="3" s="1"/>
  <c r="M637" i="8"/>
  <c r="M636" i="8"/>
  <c r="E239" i="3" s="1" a="1"/>
  <c r="E239" i="3" s="1"/>
  <c r="N637" i="8"/>
  <c r="N636" i="8"/>
  <c r="F239" i="3" s="1" a="1"/>
  <c r="F239" i="3" s="1"/>
  <c r="O637" i="8"/>
  <c r="O636" i="8"/>
  <c r="G239" i="3" s="1" a="1"/>
  <c r="G239" i="3" s="1"/>
  <c r="Q637" i="8"/>
  <c r="Q636" i="8"/>
  <c r="P296" i="17"/>
  <c r="P290" i="17"/>
  <c r="K299" i="17"/>
  <c r="K298" i="17"/>
  <c r="C236" i="3" s="1" a="1"/>
  <c r="C236" i="3" s="1"/>
  <c r="L299" i="17"/>
  <c r="L298" i="17"/>
  <c r="D236" i="3" s="1" a="1"/>
  <c r="D236" i="3" s="1"/>
  <c r="M299" i="17"/>
  <c r="M298" i="17"/>
  <c r="E236" i="3" s="1" a="1"/>
  <c r="E236" i="3" s="1"/>
  <c r="N299" i="17"/>
  <c r="N298" i="17"/>
  <c r="F236" i="3" s="1" a="1"/>
  <c r="F236" i="3" s="1"/>
  <c r="O299" i="17"/>
  <c r="O298" i="17"/>
  <c r="G236" i="3" s="1" a="1"/>
  <c r="G236" i="3" s="1"/>
  <c r="Q299" i="17"/>
  <c r="Q298" i="17"/>
  <c r="K236" i="3" s="1" a="1"/>
  <c r="K236" i="3" s="1"/>
  <c r="P67" i="20"/>
  <c r="P61" i="20"/>
  <c r="K70" i="20"/>
  <c r="K69" i="20"/>
  <c r="C233" i="3" s="1" a="1"/>
  <c r="C233" i="3" s="1"/>
  <c r="L70" i="20"/>
  <c r="L69" i="20"/>
  <c r="M70" i="20"/>
  <c r="M69" i="20"/>
  <c r="E233" i="3" s="1" a="1"/>
  <c r="E233" i="3" s="1"/>
  <c r="N70" i="20"/>
  <c r="N69" i="20"/>
  <c r="F233" i="3" s="1" a="1"/>
  <c r="F233" i="3" s="1"/>
  <c r="O70" i="20"/>
  <c r="O69" i="20"/>
  <c r="G233" i="3" s="1" a="1"/>
  <c r="G233" i="3" s="1"/>
  <c r="Q70" i="20"/>
  <c r="Q69" i="20"/>
  <c r="P807" i="5"/>
  <c r="P801" i="5"/>
  <c r="C794" i="5" s="1"/>
  <c r="K810" i="5"/>
  <c r="K809" i="5"/>
  <c r="L810" i="5"/>
  <c r="L809" i="5"/>
  <c r="M810" i="5"/>
  <c r="M809" i="5"/>
  <c r="E230" i="3" s="1" a="1"/>
  <c r="E230" i="3" s="1"/>
  <c r="N810" i="5"/>
  <c r="N809" i="5"/>
  <c r="F230" i="3" s="1" a="1"/>
  <c r="F230" i="3" s="1"/>
  <c r="O810" i="5"/>
  <c r="O809" i="5"/>
  <c r="G230" i="3" s="1" a="1"/>
  <c r="G230" i="3" s="1"/>
  <c r="Q810" i="5"/>
  <c r="Q809" i="5"/>
  <c r="K220" i="3"/>
  <c r="K223" i="3" s="1"/>
  <c r="V347" i="14"/>
  <c r="F709" i="9"/>
  <c r="I562" i="8"/>
  <c r="O536" i="8"/>
  <c r="I570" i="15"/>
  <c r="L284" i="14"/>
  <c r="N276" i="14"/>
  <c r="N712" i="5"/>
  <c r="P223" i="4"/>
  <c r="P226" i="4" s="1"/>
  <c r="N582" i="12"/>
  <c r="L276" i="14"/>
  <c r="P198" i="4"/>
  <c r="R590" i="12"/>
  <c r="M220" i="3" s="1"/>
  <c r="B707" i="9"/>
  <c r="B708" i="9" s="1"/>
  <c r="L684" i="9"/>
  <c r="M582" i="12"/>
  <c r="I589" i="8"/>
  <c r="G594" i="8"/>
  <c r="I251" i="17"/>
  <c r="I253" i="17" s="1"/>
  <c r="K712" i="5"/>
  <c r="O223" i="3"/>
  <c r="P21" i="20"/>
  <c r="P23" i="20" s="1"/>
  <c r="P15" i="20"/>
  <c r="C8" i="20" s="1"/>
  <c r="P24" i="20"/>
  <c r="K24" i="20"/>
  <c r="K23" i="20"/>
  <c r="L24" i="20"/>
  <c r="L23" i="20"/>
  <c r="M24" i="20"/>
  <c r="M23" i="20"/>
  <c r="N24" i="20"/>
  <c r="N23" i="20"/>
  <c r="O24" i="20"/>
  <c r="O23" i="20"/>
  <c r="Q24" i="20"/>
  <c r="Q23" i="20"/>
  <c r="A208" i="4"/>
  <c r="A226" i="4" s="1"/>
  <c r="I640" i="12"/>
  <c r="I642" i="12"/>
  <c r="I649" i="12"/>
  <c r="I651" i="12" s="1"/>
  <c r="I523" i="12"/>
  <c r="G523" i="12"/>
  <c r="I581" i="8"/>
  <c r="I590" i="8" s="1"/>
  <c r="I593" i="8"/>
  <c r="I594" i="8" s="1"/>
  <c r="N449" i="8"/>
  <c r="F557" i="15"/>
  <c r="H557" i="15" s="1"/>
  <c r="I475" i="8"/>
  <c r="G447" i="8"/>
  <c r="R449" i="8"/>
  <c r="G586" i="15"/>
  <c r="I584" i="15"/>
  <c r="F586" i="15"/>
  <c r="I585" i="15"/>
  <c r="I589" i="15"/>
  <c r="I590" i="15"/>
  <c r="K230" i="17"/>
  <c r="P175" i="3"/>
  <c r="Q202" i="3"/>
  <c r="L202" i="3"/>
  <c r="J202" i="3"/>
  <c r="Q205" i="3"/>
  <c r="L205" i="3"/>
  <c r="J205" i="3"/>
  <c r="Q208" i="3"/>
  <c r="L208" i="3"/>
  <c r="J208" i="3"/>
  <c r="Q214" i="3"/>
  <c r="L214" i="3"/>
  <c r="N214" i="3" s="1"/>
  <c r="J214" i="3"/>
  <c r="Q220" i="3"/>
  <c r="L220" i="3"/>
  <c r="N220" i="3" s="1"/>
  <c r="J220" i="3"/>
  <c r="G324" i="14"/>
  <c r="I322" i="14"/>
  <c r="I324" i="14" s="1"/>
  <c r="I315" i="14"/>
  <c r="I319" i="14" s="1"/>
  <c r="I721" i="9"/>
  <c r="I725" i="9" s="1"/>
  <c r="G732" i="9"/>
  <c r="I728" i="9"/>
  <c r="F732" i="9"/>
  <c r="I730" i="9"/>
  <c r="P184" i="3"/>
  <c r="I260" i="17"/>
  <c r="I262" i="17" s="1"/>
  <c r="I742" i="5"/>
  <c r="G749" i="5"/>
  <c r="I743" i="5"/>
  <c r="F749" i="5"/>
  <c r="I744" i="5"/>
  <c r="H745" i="5"/>
  <c r="I752" i="5"/>
  <c r="I755" i="5" s="1"/>
  <c r="I699" i="5"/>
  <c r="C196" i="3"/>
  <c r="K196" i="3"/>
  <c r="G664" i="5"/>
  <c r="M181" i="3"/>
  <c r="V524" i="8"/>
  <c r="B492" i="15"/>
  <c r="B493" i="15" s="1"/>
  <c r="B494" i="15" s="1"/>
  <c r="B495" i="15" s="1"/>
  <c r="B496" i="15" s="1"/>
  <c r="B497" i="15" s="1"/>
  <c r="B498" i="15" s="1"/>
  <c r="B499" i="15" s="1"/>
  <c r="B500" i="15" s="1"/>
  <c r="G72" i="19"/>
  <c r="I71" i="19"/>
  <c r="I72" i="19" s="1"/>
  <c r="P591" i="12"/>
  <c r="P585" i="12"/>
  <c r="K594" i="12"/>
  <c r="K593" i="12"/>
  <c r="C221" i="3" s="1" a="1"/>
  <c r="C221" i="3" s="1"/>
  <c r="L594" i="12"/>
  <c r="L593" i="12"/>
  <c r="D221" i="3" s="1" a="1"/>
  <c r="D221" i="3" s="1"/>
  <c r="M594" i="12"/>
  <c r="M593" i="12"/>
  <c r="E221" i="3" s="1" a="1"/>
  <c r="E221" i="3" s="1"/>
  <c r="N594" i="12"/>
  <c r="N593" i="12"/>
  <c r="F221" i="3" s="1" a="1"/>
  <c r="F221" i="3" s="1"/>
  <c r="O594" i="12"/>
  <c r="O593" i="12"/>
  <c r="G221" i="3" s="1" a="1"/>
  <c r="G221" i="3" s="1"/>
  <c r="Q594" i="12"/>
  <c r="Q593" i="12"/>
  <c r="K221" i="3" s="1" a="1"/>
  <c r="K221" i="3" s="1"/>
  <c r="P285" i="14"/>
  <c r="P279" i="14"/>
  <c r="C272" i="14" s="1"/>
  <c r="K288" i="14"/>
  <c r="K287" i="14"/>
  <c r="L288" i="14"/>
  <c r="L287" i="14"/>
  <c r="D218" i="3" s="1" a="1"/>
  <c r="D218" i="3" s="1"/>
  <c r="M288" i="14"/>
  <c r="M287" i="14"/>
  <c r="E218" i="3" s="1" a="1"/>
  <c r="E218" i="3" s="1"/>
  <c r="N288" i="14"/>
  <c r="N287" i="14"/>
  <c r="F218" i="3" s="1" a="1"/>
  <c r="F218" i="3" s="1"/>
  <c r="O288" i="14"/>
  <c r="O287" i="14"/>
  <c r="Q288" i="14"/>
  <c r="Q287" i="14"/>
  <c r="K218" i="3" s="1" a="1"/>
  <c r="K218" i="3" s="1"/>
  <c r="P693" i="9"/>
  <c r="P687" i="9"/>
  <c r="K696" i="9"/>
  <c r="K695" i="9"/>
  <c r="C215" i="3" s="1" a="1"/>
  <c r="C215" i="3" s="1"/>
  <c r="L696" i="9"/>
  <c r="L695" i="9"/>
  <c r="D215" i="3" s="1" a="1"/>
  <c r="D215" i="3" s="1"/>
  <c r="M696" i="9"/>
  <c r="M695" i="9"/>
  <c r="E215" i="3" s="1" a="1"/>
  <c r="E215" i="3" s="1"/>
  <c r="N696" i="9"/>
  <c r="N695" i="9"/>
  <c r="F215" i="3" s="1" a="1"/>
  <c r="F215" i="3" s="1"/>
  <c r="O696" i="9"/>
  <c r="O695" i="9"/>
  <c r="Q696" i="9"/>
  <c r="Q695" i="9"/>
  <c r="K215" i="3" s="1" a="1"/>
  <c r="K215" i="3" s="1"/>
  <c r="P545" i="8"/>
  <c r="P539" i="8"/>
  <c r="K548" i="8"/>
  <c r="K547" i="8"/>
  <c r="C212" i="3" s="1" a="1"/>
  <c r="C212" i="3" s="1"/>
  <c r="L548" i="8"/>
  <c r="L547" i="8"/>
  <c r="D212" i="3" s="1" a="1"/>
  <c r="D212" i="3" s="1"/>
  <c r="M548" i="8"/>
  <c r="M547" i="8"/>
  <c r="E212" i="3" s="1" a="1"/>
  <c r="E212" i="3" s="1"/>
  <c r="N548" i="8"/>
  <c r="N547" i="8"/>
  <c r="F212" i="3" s="1" a="1"/>
  <c r="F212" i="3" s="1"/>
  <c r="O548" i="8"/>
  <c r="O547" i="8"/>
  <c r="G212" i="3" s="1" a="1"/>
  <c r="G212" i="3" s="1"/>
  <c r="Q548" i="8"/>
  <c r="Q547" i="8"/>
  <c r="K212" i="3" s="1" a="1"/>
  <c r="K212" i="3" s="1"/>
  <c r="P559" i="15"/>
  <c r="P553" i="15"/>
  <c r="K562" i="15"/>
  <c r="K561" i="15"/>
  <c r="L562" i="15"/>
  <c r="L561" i="15"/>
  <c r="M562" i="15"/>
  <c r="M561" i="15"/>
  <c r="E209" i="3" s="1" a="1"/>
  <c r="E209" i="3" s="1"/>
  <c r="N562" i="15"/>
  <c r="N561" i="15"/>
  <c r="O562" i="15"/>
  <c r="O561" i="15"/>
  <c r="Q562" i="15"/>
  <c r="Q561" i="15"/>
  <c r="K209" i="3" s="1" a="1"/>
  <c r="K209" i="3" s="1"/>
  <c r="P239" i="17"/>
  <c r="P233" i="17"/>
  <c r="K242" i="17"/>
  <c r="K241" i="17"/>
  <c r="C206" i="3" s="1" a="1"/>
  <c r="C206" i="3" s="1"/>
  <c r="L242" i="17"/>
  <c r="L241" i="17"/>
  <c r="D206" i="3" s="1" a="1"/>
  <c r="D206" i="3" s="1"/>
  <c r="M242" i="17"/>
  <c r="M241" i="17"/>
  <c r="N242" i="17"/>
  <c r="N241" i="17"/>
  <c r="F206" i="3" s="1" a="1"/>
  <c r="F206" i="3" s="1"/>
  <c r="O242" i="17"/>
  <c r="O241" i="17"/>
  <c r="Q242" i="17"/>
  <c r="Q241" i="17"/>
  <c r="K206" i="3" s="1" a="1"/>
  <c r="K206" i="3" s="1"/>
  <c r="P721" i="5"/>
  <c r="P715" i="5"/>
  <c r="K724" i="5"/>
  <c r="K723" i="5"/>
  <c r="C203" i="3" s="1" a="1"/>
  <c r="C203" i="3" s="1"/>
  <c r="L724" i="5"/>
  <c r="L723" i="5"/>
  <c r="D203" i="3" s="1" a="1"/>
  <c r="D203" i="3" s="1"/>
  <c r="M724" i="5"/>
  <c r="M723" i="5"/>
  <c r="E203" i="3" s="1" a="1"/>
  <c r="E203" i="3" s="1"/>
  <c r="N724" i="5"/>
  <c r="N723" i="5"/>
  <c r="F203" i="3" s="1" a="1"/>
  <c r="F203" i="3" s="1"/>
  <c r="O724" i="5"/>
  <c r="O723" i="5"/>
  <c r="G203" i="3" s="1" a="1"/>
  <c r="G203" i="3" s="1"/>
  <c r="Q724" i="5"/>
  <c r="Q723" i="5"/>
  <c r="K203" i="3" s="1" a="1"/>
  <c r="K203" i="3" s="1"/>
  <c r="P58" i="19"/>
  <c r="P52" i="19"/>
  <c r="C45" i="19" s="1"/>
  <c r="K61" i="19"/>
  <c r="K60" i="19"/>
  <c r="L61" i="19"/>
  <c r="L60" i="19"/>
  <c r="M61" i="19"/>
  <c r="M60" i="19"/>
  <c r="N61" i="19"/>
  <c r="N60" i="19"/>
  <c r="O61" i="19"/>
  <c r="O60" i="19"/>
  <c r="Q61" i="19"/>
  <c r="Q60" i="19"/>
  <c r="B218" i="14"/>
  <c r="B219" i="14" s="1"/>
  <c r="B220" i="14" s="1"/>
  <c r="B221" i="14" s="1"/>
  <c r="B222" i="14" s="1"/>
  <c r="I229" i="14"/>
  <c r="Q196" i="14"/>
  <c r="I239" i="14"/>
  <c r="V264" i="14"/>
  <c r="I532" i="12"/>
  <c r="I538" i="12"/>
  <c r="M501" i="12"/>
  <c r="F532" i="12"/>
  <c r="R501" i="12" s="1"/>
  <c r="M190" i="3" s="1"/>
  <c r="P193" i="3"/>
  <c r="Q193" i="3" s="1"/>
  <c r="O471" i="15"/>
  <c r="F501" i="15"/>
  <c r="P178" i="3" s="1"/>
  <c r="V218" i="17"/>
  <c r="Q175" i="3"/>
  <c r="K638" i="5"/>
  <c r="M646" i="5"/>
  <c r="I36" i="19"/>
  <c r="O12" i="19"/>
  <c r="M493" i="12"/>
  <c r="P190" i="3"/>
  <c r="L193" i="3"/>
  <c r="M196" i="14"/>
  <c r="L196" i="14"/>
  <c r="O196" i="14"/>
  <c r="P21" i="19"/>
  <c r="P15" i="19"/>
  <c r="C8" i="19" s="1"/>
  <c r="K24" i="19"/>
  <c r="K23" i="19"/>
  <c r="L24" i="19"/>
  <c r="L23" i="19"/>
  <c r="M24" i="19"/>
  <c r="M23" i="19"/>
  <c r="N24" i="19"/>
  <c r="N23" i="19"/>
  <c r="O24" i="19"/>
  <c r="O23" i="19"/>
  <c r="G194" i="3" s="1" a="1"/>
  <c r="G194" i="3" s="1"/>
  <c r="Q24" i="19"/>
  <c r="Q23" i="19"/>
  <c r="K180" i="17"/>
  <c r="N177" i="4"/>
  <c r="N463" i="15"/>
  <c r="I492" i="15"/>
  <c r="M449" i="8"/>
  <c r="I479" i="8"/>
  <c r="I480" i="8" s="1"/>
  <c r="F452" i="8" s="1"/>
  <c r="F453" i="8" s="1"/>
  <c r="H453" i="8" s="1"/>
  <c r="M457" i="8"/>
  <c r="N196" i="14"/>
  <c r="N638" i="5"/>
  <c r="R493" i="12"/>
  <c r="B689" i="5"/>
  <c r="B690" i="5" s="1"/>
  <c r="B691" i="5" s="1"/>
  <c r="B692" i="5" s="1"/>
  <c r="B693" i="5" s="1"/>
  <c r="B694" i="5" s="1"/>
  <c r="B695" i="5" s="1"/>
  <c r="B696" i="5" s="1"/>
  <c r="B697" i="5" s="1"/>
  <c r="B698" i="5" s="1"/>
  <c r="M638" i="5"/>
  <c r="K135" i="3" a="1"/>
  <c r="K135" i="3" s="1"/>
  <c r="I214" i="14"/>
  <c r="I223" i="14" s="1"/>
  <c r="L204" i="14"/>
  <c r="I643" i="9"/>
  <c r="K622" i="9"/>
  <c r="L493" i="12"/>
  <c r="G491" i="12"/>
  <c r="L622" i="9"/>
  <c r="N174" i="4"/>
  <c r="L638" i="5"/>
  <c r="K449" i="8"/>
  <c r="K493" i="12"/>
  <c r="P167" i="4"/>
  <c r="I648" i="9"/>
  <c r="R622" i="9" s="1"/>
  <c r="M178" i="3"/>
  <c r="M196" i="3" s="1"/>
  <c r="B531" i="15"/>
  <c r="B532" i="15" s="1"/>
  <c r="B533" i="15" s="1"/>
  <c r="B534" i="15" s="1"/>
  <c r="B535" i="15" s="1"/>
  <c r="B536" i="15" s="1"/>
  <c r="K463" i="15"/>
  <c r="A198" i="4"/>
  <c r="L175" i="3"/>
  <c r="J175" i="3"/>
  <c r="Q184" i="3"/>
  <c r="L184" i="3"/>
  <c r="N184" i="3" s="1"/>
  <c r="J184" i="3"/>
  <c r="G544" i="12"/>
  <c r="I541" i="12"/>
  <c r="F544" i="12"/>
  <c r="I543" i="12"/>
  <c r="I547" i="12"/>
  <c r="I552" i="12" s="1"/>
  <c r="I242" i="14"/>
  <c r="I243" i="14"/>
  <c r="I653" i="9"/>
  <c r="I656" i="9" s="1"/>
  <c r="G663" i="9"/>
  <c r="I659" i="9"/>
  <c r="F663" i="9"/>
  <c r="I661" i="9"/>
  <c r="V437" i="8"/>
  <c r="I488" i="8"/>
  <c r="I494" i="8"/>
  <c r="V451" i="15"/>
  <c r="B511" i="15"/>
  <c r="B512" i="15" s="1"/>
  <c r="B513" i="15" s="1"/>
  <c r="G514" i="15"/>
  <c r="I511" i="15"/>
  <c r="F514" i="15"/>
  <c r="I512" i="15"/>
  <c r="I517" i="15"/>
  <c r="I518" i="15"/>
  <c r="P472" i="15"/>
  <c r="P466" i="15"/>
  <c r="K475" i="15"/>
  <c r="K474" i="15"/>
  <c r="C179" i="3" s="1" a="1"/>
  <c r="C179" i="3" s="1"/>
  <c r="L475" i="15"/>
  <c r="L474" i="15"/>
  <c r="D179" i="3" s="1" a="1"/>
  <c r="D179" i="3" s="1"/>
  <c r="M475" i="15"/>
  <c r="M474" i="15"/>
  <c r="E179" i="3" s="1" a="1"/>
  <c r="E179" i="3" s="1"/>
  <c r="N475" i="15"/>
  <c r="N474" i="15"/>
  <c r="F179" i="3" s="1" a="1"/>
  <c r="F179" i="3" s="1"/>
  <c r="O475" i="15"/>
  <c r="O474" i="15"/>
  <c r="G179" i="3" s="1" a="1"/>
  <c r="G179" i="3" s="1"/>
  <c r="Q475" i="15"/>
  <c r="Q474" i="15"/>
  <c r="R539" i="5"/>
  <c r="R368" i="15"/>
  <c r="F562" i="9"/>
  <c r="N539" i="9"/>
  <c r="K368" i="15"/>
  <c r="I400" i="15"/>
  <c r="G366" i="15" s="1"/>
  <c r="G400" i="15"/>
  <c r="I672" i="5"/>
  <c r="I673" i="5"/>
  <c r="I674" i="5"/>
  <c r="H675" i="5"/>
  <c r="H679" i="5" s="1"/>
  <c r="I682" i="5"/>
  <c r="I684" i="5" s="1"/>
  <c r="P502" i="12"/>
  <c r="P496" i="12"/>
  <c r="K505" i="12"/>
  <c r="K504" i="12"/>
  <c r="C191" i="3" s="1" a="1"/>
  <c r="C191" i="3" s="1"/>
  <c r="L505" i="12"/>
  <c r="L504" i="12"/>
  <c r="D191" i="3" s="1" a="1"/>
  <c r="D191" i="3" s="1"/>
  <c r="M505" i="12"/>
  <c r="M504" i="12"/>
  <c r="E191" i="3" s="1" a="1"/>
  <c r="E191" i="3" s="1"/>
  <c r="N505" i="12"/>
  <c r="N504" i="12"/>
  <c r="F191" i="3" s="1" a="1"/>
  <c r="F191" i="3" s="1"/>
  <c r="O505" i="12"/>
  <c r="O504" i="12"/>
  <c r="G191" i="3" s="1" a="1"/>
  <c r="G191" i="3" s="1"/>
  <c r="Q505" i="12"/>
  <c r="Q504" i="12"/>
  <c r="P205" i="14"/>
  <c r="P199" i="14"/>
  <c r="K208" i="14"/>
  <c r="K207" i="14"/>
  <c r="C188" i="3" s="1" a="1"/>
  <c r="C188" i="3" s="1"/>
  <c r="L208" i="14"/>
  <c r="L207" i="14"/>
  <c r="D188" i="3" s="1" a="1"/>
  <c r="D188" i="3" s="1"/>
  <c r="M208" i="14"/>
  <c r="M207" i="14"/>
  <c r="E188" i="3" s="1" a="1"/>
  <c r="E188" i="3" s="1"/>
  <c r="N208" i="14"/>
  <c r="N207" i="14"/>
  <c r="F188" i="3" s="1" a="1"/>
  <c r="F188" i="3" s="1"/>
  <c r="O208" i="14"/>
  <c r="O207" i="14"/>
  <c r="G188" i="3" s="1" a="1"/>
  <c r="G188" i="3" s="1"/>
  <c r="Q208" i="14"/>
  <c r="Q207" i="14"/>
  <c r="K188" i="3" s="1" a="1"/>
  <c r="K188" i="3" s="1"/>
  <c r="P631" i="9"/>
  <c r="P625" i="9"/>
  <c r="K634" i="9"/>
  <c r="K633" i="9"/>
  <c r="C185" i="3" s="1" a="1"/>
  <c r="C185" i="3" s="1"/>
  <c r="L634" i="9"/>
  <c r="L633" i="9"/>
  <c r="D185" i="3" s="1" a="1"/>
  <c r="D185" i="3" s="1"/>
  <c r="M634" i="9"/>
  <c r="M633" i="9"/>
  <c r="N634" i="9"/>
  <c r="N633" i="9"/>
  <c r="O634" i="9"/>
  <c r="O633" i="9"/>
  <c r="Q634" i="9"/>
  <c r="Q633" i="9"/>
  <c r="P458" i="8"/>
  <c r="P452" i="8"/>
  <c r="K461" i="8"/>
  <c r="K460" i="8"/>
  <c r="C182" i="3" s="1" a="1"/>
  <c r="C182" i="3" s="1"/>
  <c r="L461" i="8"/>
  <c r="L460" i="8"/>
  <c r="M461" i="8"/>
  <c r="M460" i="8"/>
  <c r="E182" i="3" s="1" a="1"/>
  <c r="E182" i="3" s="1"/>
  <c r="N461" i="8"/>
  <c r="N460" i="8"/>
  <c r="F182" i="3" s="1" a="1"/>
  <c r="F182" i="3" s="1"/>
  <c r="O461" i="8"/>
  <c r="O460" i="8"/>
  <c r="Q461" i="8"/>
  <c r="Q460" i="8"/>
  <c r="P647" i="5"/>
  <c r="P641" i="5"/>
  <c r="K650" i="5"/>
  <c r="K649" i="5"/>
  <c r="C173" i="3" s="1" a="1"/>
  <c r="C173" i="3" s="1"/>
  <c r="L650" i="5"/>
  <c r="L649" i="5"/>
  <c r="D173" i="3" s="1" a="1"/>
  <c r="D173" i="3" s="1"/>
  <c r="M650" i="5"/>
  <c r="M649" i="5"/>
  <c r="E173" i="3" s="1" a="1"/>
  <c r="E173" i="3" s="1"/>
  <c r="N650" i="5"/>
  <c r="N649" i="5"/>
  <c r="F173" i="3" s="1" a="1"/>
  <c r="F173" i="3" s="1"/>
  <c r="O650" i="5"/>
  <c r="O649" i="5"/>
  <c r="Q650" i="5"/>
  <c r="Q649" i="5"/>
  <c r="I580" i="5"/>
  <c r="Q539" i="5"/>
  <c r="G226" i="11"/>
  <c r="I225" i="11"/>
  <c r="I226" i="11" s="1"/>
  <c r="P211" i="11"/>
  <c r="P205" i="11"/>
  <c r="C198" i="11" s="1"/>
  <c r="K214" i="11"/>
  <c r="K213" i="11"/>
  <c r="L214" i="11"/>
  <c r="L213" i="11"/>
  <c r="M214" i="11"/>
  <c r="M213" i="11"/>
  <c r="N214" i="11"/>
  <c r="N213" i="11"/>
  <c r="O214" i="11"/>
  <c r="O213" i="11"/>
  <c r="Q214" i="11"/>
  <c r="Q213" i="11"/>
  <c r="G210" i="17"/>
  <c r="I209" i="17"/>
  <c r="I210" i="17" s="1"/>
  <c r="P189" i="17"/>
  <c r="P183" i="17"/>
  <c r="K192" i="17"/>
  <c r="K191" i="17"/>
  <c r="C176" i="3" s="1" a="1"/>
  <c r="C176" i="3" s="1"/>
  <c r="L192" i="17"/>
  <c r="L191" i="17"/>
  <c r="M192" i="17"/>
  <c r="M191" i="17"/>
  <c r="E176" i="3" s="1" a="1"/>
  <c r="E176" i="3" s="1"/>
  <c r="N192" i="17"/>
  <c r="N191" i="17"/>
  <c r="O192" i="17"/>
  <c r="O191" i="17"/>
  <c r="G176" i="3" s="1" a="1"/>
  <c r="G176" i="3" s="1"/>
  <c r="Q192" i="17"/>
  <c r="Q191" i="17"/>
  <c r="I152" i="17"/>
  <c r="F153" i="17"/>
  <c r="N141" i="17"/>
  <c r="O539" i="5"/>
  <c r="B413" i="8"/>
  <c r="B414" i="8" s="1"/>
  <c r="O409" i="12"/>
  <c r="M409" i="12"/>
  <c r="K165" i="3"/>
  <c r="I480" i="12"/>
  <c r="L409" i="12"/>
  <c r="M162" i="3"/>
  <c r="B467" i="12"/>
  <c r="B468" i="12" s="1"/>
  <c r="B469" i="12" s="1"/>
  <c r="B470" i="12" s="1"/>
  <c r="B471" i="12" s="1"/>
  <c r="B151" i="14"/>
  <c r="I609" i="9"/>
  <c r="I571" i="9"/>
  <c r="B604" i="9"/>
  <c r="B605" i="9" s="1"/>
  <c r="B606" i="9" s="1"/>
  <c r="B607" i="9" s="1"/>
  <c r="B608" i="9" s="1"/>
  <c r="B399" i="8"/>
  <c r="G165" i="3"/>
  <c r="D165" i="3"/>
  <c r="M376" i="15"/>
  <c r="M156" i="3"/>
  <c r="N368" i="15"/>
  <c r="N373" i="8"/>
  <c r="I415" i="8"/>
  <c r="I400" i="8"/>
  <c r="I436" i="8"/>
  <c r="M373" i="8"/>
  <c r="B430" i="12"/>
  <c r="B431" i="12" s="1"/>
  <c r="B432" i="12" s="1"/>
  <c r="B433" i="12" s="1"/>
  <c r="B434" i="12" s="1"/>
  <c r="B435" i="12" s="1"/>
  <c r="B436" i="12" s="1"/>
  <c r="B397" i="15"/>
  <c r="B398" i="15" s="1"/>
  <c r="B399" i="15" s="1"/>
  <c r="O150" i="3"/>
  <c r="O165" i="3" s="1"/>
  <c r="B563" i="5"/>
  <c r="B564" i="5" s="1"/>
  <c r="B565" i="5" s="1"/>
  <c r="B566" i="5" s="1"/>
  <c r="B567" i="5" s="1"/>
  <c r="B568" i="5" s="1"/>
  <c r="B569" i="5" s="1"/>
  <c r="B570" i="5" s="1"/>
  <c r="B571" i="5" s="1"/>
  <c r="B572" i="5" s="1"/>
  <c r="M539" i="5"/>
  <c r="M368" i="15"/>
  <c r="M130" i="14"/>
  <c r="L539" i="5"/>
  <c r="B555" i="9"/>
  <c r="B556" i="9" s="1"/>
  <c r="B557" i="9" s="1"/>
  <c r="B558" i="9" s="1"/>
  <c r="B559" i="9" s="1"/>
  <c r="B560" i="9" s="1"/>
  <c r="B561" i="9" s="1"/>
  <c r="B432" i="8"/>
  <c r="B433" i="8" s="1"/>
  <c r="B434" i="8" s="1"/>
  <c r="B435" i="8" s="1"/>
  <c r="L130" i="14"/>
  <c r="L368" i="15"/>
  <c r="I573" i="5"/>
  <c r="G537" i="5" s="1"/>
  <c r="K539" i="5"/>
  <c r="I447" i="12"/>
  <c r="F448" i="12"/>
  <c r="I417" i="15"/>
  <c r="I418" i="15"/>
  <c r="I423" i="15"/>
  <c r="I424" i="15"/>
  <c r="B329" i="15"/>
  <c r="G484" i="9"/>
  <c r="I576" i="9"/>
  <c r="I578" i="9" s="1"/>
  <c r="G585" i="9"/>
  <c r="I581" i="9"/>
  <c r="F585" i="9"/>
  <c r="I583" i="9"/>
  <c r="I493" i="9"/>
  <c r="I495" i="9" s="1"/>
  <c r="G495" i="9"/>
  <c r="O322" i="12"/>
  <c r="P63" i="3"/>
  <c r="Q63" i="3" s="1"/>
  <c r="I445" i="12"/>
  <c r="I448" i="12" s="1"/>
  <c r="I451" i="12"/>
  <c r="I456" i="12" s="1"/>
  <c r="N153" i="3"/>
  <c r="G421" i="8"/>
  <c r="I418" i="8"/>
  <c r="I421" i="8" s="1"/>
  <c r="G425" i="8"/>
  <c r="I424" i="8"/>
  <c r="I425" i="8" s="1"/>
  <c r="N144" i="3"/>
  <c r="C137" i="3"/>
  <c r="I166" i="14"/>
  <c r="I167" i="14"/>
  <c r="I148" i="14"/>
  <c r="K138" i="14"/>
  <c r="M322" i="12"/>
  <c r="I437" i="12"/>
  <c r="G407" i="12" s="1"/>
  <c r="K409" i="12"/>
  <c r="G189" i="11"/>
  <c r="I188" i="11"/>
  <c r="I189" i="11" s="1"/>
  <c r="K531" i="9"/>
  <c r="I163" i="14"/>
  <c r="R130" i="14" s="1"/>
  <c r="K130" i="14"/>
  <c r="K373" i="8"/>
  <c r="A167" i="4"/>
  <c r="M150" i="3"/>
  <c r="M165" i="3" s="1"/>
  <c r="G163" i="17"/>
  <c r="I162" i="17"/>
  <c r="I163" i="17" s="1"/>
  <c r="O94" i="17"/>
  <c r="I120" i="17"/>
  <c r="C79" i="16"/>
  <c r="C158" i="11"/>
  <c r="I592" i="5"/>
  <c r="I593" i="5"/>
  <c r="I594" i="5"/>
  <c r="H595" i="5"/>
  <c r="H598" i="5" s="1"/>
  <c r="G602" i="5"/>
  <c r="I601" i="5"/>
  <c r="I602" i="5" s="1"/>
  <c r="P110" i="3"/>
  <c r="P377" i="15"/>
  <c r="P371" i="15"/>
  <c r="K380" i="15"/>
  <c r="K379" i="15"/>
  <c r="C151" i="3" s="1" a="1"/>
  <c r="C151" i="3" s="1"/>
  <c r="L380" i="15"/>
  <c r="L379" i="15"/>
  <c r="D151" i="3" s="1" a="1"/>
  <c r="D151" i="3" s="1"/>
  <c r="M380" i="15"/>
  <c r="M379" i="15"/>
  <c r="E151" i="3" s="1" a="1"/>
  <c r="E151" i="3" s="1"/>
  <c r="N380" i="15"/>
  <c r="N379" i="15"/>
  <c r="F151" i="3" s="1" a="1"/>
  <c r="F151" i="3" s="1"/>
  <c r="O380" i="15"/>
  <c r="O379" i="15"/>
  <c r="G151" i="3" s="1" a="1"/>
  <c r="G151" i="3" s="1"/>
  <c r="Q380" i="15"/>
  <c r="Q379" i="15"/>
  <c r="K151" i="3" s="1" a="1"/>
  <c r="K151" i="3" s="1"/>
  <c r="P418" i="12"/>
  <c r="P412" i="12"/>
  <c r="K421" i="12"/>
  <c r="K420" i="12"/>
  <c r="C163" i="3" s="1" a="1"/>
  <c r="C163" i="3" s="1"/>
  <c r="L421" i="12"/>
  <c r="L420" i="12"/>
  <c r="D163" i="3" s="1" a="1"/>
  <c r="D163" i="3" s="1"/>
  <c r="M421" i="12"/>
  <c r="M420" i="12"/>
  <c r="E163" i="3" s="1" a="1"/>
  <c r="E163" i="3" s="1"/>
  <c r="N421" i="12"/>
  <c r="N420" i="12"/>
  <c r="F163" i="3" s="1" a="1"/>
  <c r="F163" i="3" s="1"/>
  <c r="O421" i="12"/>
  <c r="O420" i="12"/>
  <c r="G163" i="3" s="1" a="1"/>
  <c r="G163" i="3" s="1"/>
  <c r="Q421" i="12"/>
  <c r="Q420" i="12"/>
  <c r="K163" i="3" s="1" a="1"/>
  <c r="K163" i="3" s="1"/>
  <c r="P139" i="14"/>
  <c r="P133" i="14"/>
  <c r="K142" i="14"/>
  <c r="K141" i="14"/>
  <c r="C160" i="3" s="1" a="1"/>
  <c r="C160" i="3" s="1"/>
  <c r="L142" i="14"/>
  <c r="L141" i="14"/>
  <c r="D160" i="3" s="1" a="1"/>
  <c r="D160" i="3" s="1"/>
  <c r="M142" i="14"/>
  <c r="M141" i="14"/>
  <c r="E160" i="3" s="1" a="1"/>
  <c r="E160" i="3" s="1"/>
  <c r="N142" i="14"/>
  <c r="N141" i="14"/>
  <c r="O142" i="14"/>
  <c r="O141" i="14"/>
  <c r="G160" i="3" s="1" a="1"/>
  <c r="G160" i="3" s="1"/>
  <c r="Q142" i="14"/>
  <c r="Q141" i="14"/>
  <c r="K160" i="3" s="1" a="1"/>
  <c r="K160" i="3" s="1"/>
  <c r="P540" i="9"/>
  <c r="P534" i="9"/>
  <c r="K543" i="9"/>
  <c r="K542" i="9"/>
  <c r="C157" i="3" s="1" a="1"/>
  <c r="C157" i="3" s="1"/>
  <c r="L543" i="9"/>
  <c r="L542" i="9"/>
  <c r="D157" i="3" s="1" a="1"/>
  <c r="D157" i="3" s="1"/>
  <c r="M543" i="9"/>
  <c r="M542" i="9"/>
  <c r="E157" i="3" s="1" a="1"/>
  <c r="E157" i="3" s="1"/>
  <c r="N543" i="9"/>
  <c r="N542" i="9"/>
  <c r="F157" i="3" s="1" a="1"/>
  <c r="F157" i="3" s="1"/>
  <c r="O543" i="9"/>
  <c r="O542" i="9"/>
  <c r="G157" i="3" s="1" a="1"/>
  <c r="G157" i="3" s="1"/>
  <c r="Q543" i="9"/>
  <c r="Q542" i="9"/>
  <c r="K157" i="3" s="1" a="1"/>
  <c r="K157" i="3" s="1"/>
  <c r="P382" i="8"/>
  <c r="P376" i="8"/>
  <c r="K385" i="8"/>
  <c r="K384" i="8"/>
  <c r="C154" i="3" s="1" a="1"/>
  <c r="C154" i="3" s="1"/>
  <c r="L385" i="8"/>
  <c r="L384" i="8"/>
  <c r="D154" i="3" s="1" a="1"/>
  <c r="D154" i="3" s="1"/>
  <c r="M385" i="8"/>
  <c r="M384" i="8"/>
  <c r="E154" i="3" s="1" a="1"/>
  <c r="E154" i="3" s="1"/>
  <c r="N385" i="8"/>
  <c r="N384" i="8"/>
  <c r="F154" i="3" s="1" a="1"/>
  <c r="F154" i="3" s="1"/>
  <c r="O385" i="8"/>
  <c r="O384" i="8"/>
  <c r="G154" i="3" s="1" a="1"/>
  <c r="G154" i="3" s="1"/>
  <c r="Q385" i="8"/>
  <c r="Q384" i="8"/>
  <c r="K154" i="3" s="1" a="1"/>
  <c r="K154" i="3" s="1"/>
  <c r="P142" i="17"/>
  <c r="P136" i="17"/>
  <c r="K145" i="17"/>
  <c r="K144" i="17"/>
  <c r="L145" i="17"/>
  <c r="L144" i="17"/>
  <c r="M145" i="17"/>
  <c r="M144" i="17"/>
  <c r="N145" i="17"/>
  <c r="N144" i="17"/>
  <c r="F148" i="3" s="1" a="1"/>
  <c r="F148" i="3" s="1"/>
  <c r="O145" i="17"/>
  <c r="O144" i="17"/>
  <c r="Q145" i="17"/>
  <c r="Q144" i="17"/>
  <c r="K148" i="3" s="1" a="1"/>
  <c r="K148" i="3" s="1"/>
  <c r="P548" i="5"/>
  <c r="P542" i="5"/>
  <c r="K551" i="5"/>
  <c r="K550" i="5"/>
  <c r="C145" i="3" s="1" a="1"/>
  <c r="C145" i="3" s="1"/>
  <c r="L551" i="5"/>
  <c r="L550" i="5"/>
  <c r="D145" i="3" s="1" a="1"/>
  <c r="D145" i="3" s="1"/>
  <c r="M551" i="5"/>
  <c r="M550" i="5"/>
  <c r="E145" i="3" s="1" a="1"/>
  <c r="E145" i="3" s="1"/>
  <c r="N551" i="5"/>
  <c r="N550" i="5"/>
  <c r="F145" i="3" s="1" a="1"/>
  <c r="F145" i="3" s="1"/>
  <c r="O551" i="5"/>
  <c r="O550" i="5"/>
  <c r="G145" i="3" s="1" a="1"/>
  <c r="G145" i="3" s="1"/>
  <c r="Q551" i="5"/>
  <c r="Q550" i="5"/>
  <c r="K145" i="3" s="1" a="1"/>
  <c r="K145" i="3" s="1"/>
  <c r="I335" i="8"/>
  <c r="I338" i="8" s="1"/>
  <c r="G338" i="8"/>
  <c r="H332" i="8"/>
  <c r="G332" i="8"/>
  <c r="B387" i="12"/>
  <c r="B388" i="12" s="1"/>
  <c r="B389" i="12" s="1"/>
  <c r="B390" i="12" s="1"/>
  <c r="B391" i="12" s="1"/>
  <c r="B392" i="12" s="1"/>
  <c r="B393" i="12" s="1"/>
  <c r="B394" i="12" s="1"/>
  <c r="B395" i="12" s="1"/>
  <c r="I396" i="12"/>
  <c r="G358" i="12"/>
  <c r="I70" i="14"/>
  <c r="I76" i="14"/>
  <c r="I85" i="14"/>
  <c r="I117" i="14"/>
  <c r="V118" i="14"/>
  <c r="G85" i="14"/>
  <c r="I35" i="18"/>
  <c r="Q11" i="18"/>
  <c r="L136" i="4" s="1"/>
  <c r="N44" i="14"/>
  <c r="M44" i="14"/>
  <c r="L44" i="14"/>
  <c r="M52" i="14"/>
  <c r="O304" i="8"/>
  <c r="G116" i="3" s="1"/>
  <c r="G137" i="3" s="1"/>
  <c r="Q44" i="14"/>
  <c r="R140" i="4" s="1"/>
  <c r="K44" i="14"/>
  <c r="R44" i="14"/>
  <c r="I111" i="14"/>
  <c r="Q52" i="14"/>
  <c r="Q137" i="3" s="1"/>
  <c r="C4" i="18"/>
  <c r="O296" i="8"/>
  <c r="O44" i="14"/>
  <c r="I575" i="10"/>
  <c r="G553" i="10" s="1"/>
  <c r="N555" i="10"/>
  <c r="I71" i="17"/>
  <c r="O98" i="17"/>
  <c r="G130" i="4"/>
  <c r="H130" i="4"/>
  <c r="P94" i="17"/>
  <c r="M296" i="8"/>
  <c r="M304" i="8"/>
  <c r="B513" i="9"/>
  <c r="B514" i="9" s="1"/>
  <c r="B515" i="9" s="1"/>
  <c r="B516" i="9" s="1"/>
  <c r="B517" i="9" s="1"/>
  <c r="I470" i="9"/>
  <c r="I475" i="9" s="1"/>
  <c r="G447" i="9" s="1"/>
  <c r="G475" i="9"/>
  <c r="B296" i="15"/>
  <c r="M282" i="15"/>
  <c r="M274" i="15"/>
  <c r="B348" i="12"/>
  <c r="B349" i="12" s="1"/>
  <c r="B350" i="12" s="1"/>
  <c r="B351" i="12" s="1"/>
  <c r="B352" i="12" s="1"/>
  <c r="B353" i="12" s="1"/>
  <c r="B354" i="12" s="1"/>
  <c r="B355" i="12" s="1"/>
  <c r="B356" i="12" s="1"/>
  <c r="B357" i="12" s="1"/>
  <c r="I355" i="15"/>
  <c r="M465" i="5"/>
  <c r="M110" i="3"/>
  <c r="I491" i="5"/>
  <c r="G463" i="5" s="1"/>
  <c r="I526" i="5"/>
  <c r="G491" i="5"/>
  <c r="K322" i="12"/>
  <c r="L274" i="15"/>
  <c r="L330" i="12"/>
  <c r="B469" i="9"/>
  <c r="B470" i="9" s="1"/>
  <c r="I479" i="9"/>
  <c r="I484" i="9" s="1"/>
  <c r="F452" i="9" s="1"/>
  <c r="F453" i="9" s="1"/>
  <c r="H453" i="9" s="1"/>
  <c r="L449" i="9"/>
  <c r="B336" i="15"/>
  <c r="B337" i="15" s="1"/>
  <c r="B338" i="15" s="1"/>
  <c r="B339" i="15" s="1"/>
  <c r="B340" i="15" s="1"/>
  <c r="L296" i="8"/>
  <c r="N112" i="4"/>
  <c r="L465" i="5"/>
  <c r="H111" i="3" a="1"/>
  <c r="H111" i="3" s="1"/>
  <c r="F111" i="3" a="1"/>
  <c r="F111" i="3" s="1"/>
  <c r="E111" i="3" a="1"/>
  <c r="E111" i="3" s="1"/>
  <c r="D111" i="3" a="1"/>
  <c r="D111" i="3" s="1"/>
  <c r="C461" i="5"/>
  <c r="G113" i="4" a="1"/>
  <c r="G113" i="4" s="1"/>
  <c r="Q110" i="3"/>
  <c r="I221" i="15"/>
  <c r="F187" i="15" s="1"/>
  <c r="F188" i="15" s="1"/>
  <c r="H188" i="15" s="1"/>
  <c r="I321" i="15"/>
  <c r="I322" i="15"/>
  <c r="I327" i="15"/>
  <c r="I328" i="15"/>
  <c r="I241" i="15"/>
  <c r="K274" i="15"/>
  <c r="I306" i="15"/>
  <c r="G272" i="15" s="1"/>
  <c r="I286" i="12"/>
  <c r="I288" i="12" s="1"/>
  <c r="G288" i="12"/>
  <c r="I366" i="12"/>
  <c r="I368" i="12" s="1"/>
  <c r="I371" i="12"/>
  <c r="I376" i="12" s="1"/>
  <c r="I583" i="10"/>
  <c r="I591" i="10"/>
  <c r="I598" i="10"/>
  <c r="I604" i="10" s="1"/>
  <c r="Q122" i="3"/>
  <c r="I498" i="9"/>
  <c r="I500" i="9"/>
  <c r="I392" i="9"/>
  <c r="I396" i="9" s="1"/>
  <c r="F359" i="9" s="1"/>
  <c r="G396" i="9"/>
  <c r="K449" i="9"/>
  <c r="G342" i="8"/>
  <c r="I341" i="8"/>
  <c r="I342" i="8" s="1"/>
  <c r="R103" i="3"/>
  <c r="I331" i="8"/>
  <c r="Q44" i="17"/>
  <c r="Q52" i="17"/>
  <c r="I80" i="17"/>
  <c r="I81" i="17" s="1"/>
  <c r="P102" i="4"/>
  <c r="P105" i="4" s="1"/>
  <c r="H128" i="3"/>
  <c r="O103" i="3"/>
  <c r="G132" i="3" a="1"/>
  <c r="G132" i="3" s="1"/>
  <c r="F132" i="3" a="1"/>
  <c r="F132" i="3" s="1"/>
  <c r="D132" i="3" a="1"/>
  <c r="D132" i="3" s="1"/>
  <c r="C132" i="3" a="1"/>
  <c r="C132" i="3" s="1"/>
  <c r="C40" i="14"/>
  <c r="P131" i="3"/>
  <c r="A139" i="4"/>
  <c r="D97" i="3"/>
  <c r="L110" i="3"/>
  <c r="J110" i="3"/>
  <c r="L119" i="3"/>
  <c r="N119" i="3" s="1"/>
  <c r="J119" i="3"/>
  <c r="L122" i="3"/>
  <c r="N122" i="3" s="1"/>
  <c r="J122" i="3"/>
  <c r="L128" i="3"/>
  <c r="J128" i="3"/>
  <c r="P331" i="12"/>
  <c r="P325" i="12"/>
  <c r="K334" i="12"/>
  <c r="K333" i="12"/>
  <c r="C126" i="3" s="1" a="1"/>
  <c r="C126" i="3" s="1"/>
  <c r="L334" i="12"/>
  <c r="L333" i="12"/>
  <c r="D126" i="3" s="1" a="1"/>
  <c r="D126" i="3" s="1"/>
  <c r="M334" i="12"/>
  <c r="M333" i="12"/>
  <c r="E126" i="3" s="1" a="1"/>
  <c r="E126" i="3" s="1"/>
  <c r="N334" i="12"/>
  <c r="N333" i="12"/>
  <c r="F126" i="3" s="1" a="1"/>
  <c r="F126" i="3" s="1"/>
  <c r="O334" i="12"/>
  <c r="O333" i="12"/>
  <c r="G126" i="3" s="1" a="1"/>
  <c r="G126" i="3" s="1"/>
  <c r="Q334" i="12"/>
  <c r="Q333" i="12"/>
  <c r="P458" i="9"/>
  <c r="P452" i="9"/>
  <c r="C445" i="9" s="1"/>
  <c r="K461" i="9"/>
  <c r="K460" i="9"/>
  <c r="C120" i="3" s="1" a="1"/>
  <c r="C120" i="3" s="1"/>
  <c r="L461" i="9"/>
  <c r="L460" i="9"/>
  <c r="D120" i="3" s="1" a="1"/>
  <c r="D120" i="3" s="1"/>
  <c r="M461" i="9"/>
  <c r="M460" i="9"/>
  <c r="E120" i="3" s="1" a="1"/>
  <c r="E120" i="3" s="1"/>
  <c r="N461" i="9"/>
  <c r="N460" i="9"/>
  <c r="F120" i="3" s="1" a="1"/>
  <c r="F120" i="3" s="1"/>
  <c r="O461" i="9"/>
  <c r="O460" i="9"/>
  <c r="Q461" i="9"/>
  <c r="Q460" i="9"/>
  <c r="P305" i="8"/>
  <c r="P299" i="8"/>
  <c r="K308" i="8"/>
  <c r="K307" i="8"/>
  <c r="L308" i="8"/>
  <c r="L307" i="8"/>
  <c r="D117" i="3" s="1" a="1"/>
  <c r="D117" i="3" s="1"/>
  <c r="M308" i="8"/>
  <c r="M307" i="8"/>
  <c r="E117" i="3" s="1" a="1"/>
  <c r="E117" i="3" s="1"/>
  <c r="N308" i="8"/>
  <c r="N307" i="8"/>
  <c r="F117" i="3" s="1" a="1"/>
  <c r="F117" i="3" s="1"/>
  <c r="O308" i="8"/>
  <c r="O307" i="8"/>
  <c r="G117" i="3" s="1" a="1"/>
  <c r="G117" i="3" s="1"/>
  <c r="Q308" i="8"/>
  <c r="Q307" i="8"/>
  <c r="P103" i="17"/>
  <c r="P97" i="17"/>
  <c r="K106" i="17"/>
  <c r="K105" i="17"/>
  <c r="L106" i="17"/>
  <c r="L105" i="17"/>
  <c r="M106" i="17"/>
  <c r="M105" i="17"/>
  <c r="N106" i="17"/>
  <c r="N105" i="17"/>
  <c r="O106" i="17"/>
  <c r="O105" i="17"/>
  <c r="G129" i="3" s="1" a="1"/>
  <c r="G129" i="3" s="1"/>
  <c r="Q106" i="17"/>
  <c r="Q105" i="17"/>
  <c r="P283" i="15"/>
  <c r="P277" i="15"/>
  <c r="K286" i="15"/>
  <c r="K285" i="15"/>
  <c r="C114" i="3" s="1" a="1"/>
  <c r="C114" i="3" s="1"/>
  <c r="L286" i="15"/>
  <c r="L285" i="15"/>
  <c r="D114" i="3" s="1" a="1"/>
  <c r="D114" i="3" s="1"/>
  <c r="M286" i="15"/>
  <c r="M285" i="15"/>
  <c r="E114" i="3" s="1" a="1"/>
  <c r="E114" i="3" s="1"/>
  <c r="N286" i="15"/>
  <c r="N285" i="15"/>
  <c r="O286" i="15"/>
  <c r="O285" i="15"/>
  <c r="G114" i="3" s="1" a="1"/>
  <c r="G114" i="3" s="1"/>
  <c r="Q286" i="15"/>
  <c r="Q285" i="15"/>
  <c r="P564" i="10"/>
  <c r="P558" i="10"/>
  <c r="K567" i="10"/>
  <c r="K566" i="10"/>
  <c r="L567" i="10"/>
  <c r="L566" i="10"/>
  <c r="M567" i="10"/>
  <c r="M566" i="10"/>
  <c r="N567" i="10"/>
  <c r="N566" i="10"/>
  <c r="F123" i="3" s="1" a="1"/>
  <c r="F123" i="3" s="1"/>
  <c r="O567" i="10"/>
  <c r="O566" i="10"/>
  <c r="Q567" i="10"/>
  <c r="Q566" i="10"/>
  <c r="C458" i="5"/>
  <c r="I388" i="9"/>
  <c r="F388" i="9"/>
  <c r="I273" i="12"/>
  <c r="I283" i="12"/>
  <c r="O245" i="12"/>
  <c r="R184" i="15"/>
  <c r="G182" i="15"/>
  <c r="P137" i="11"/>
  <c r="P131" i="11"/>
  <c r="C124" i="11" s="1"/>
  <c r="K140" i="11"/>
  <c r="K139" i="11"/>
  <c r="L140" i="11"/>
  <c r="L139" i="11"/>
  <c r="M140" i="11"/>
  <c r="M139" i="11"/>
  <c r="N140" i="11"/>
  <c r="N139" i="11"/>
  <c r="O140" i="11"/>
  <c r="O139" i="11"/>
  <c r="Q140" i="11"/>
  <c r="Q139" i="11"/>
  <c r="G152" i="11"/>
  <c r="I151" i="11"/>
  <c r="I152" i="11" s="1"/>
  <c r="P294" i="7"/>
  <c r="P288" i="7"/>
  <c r="C281" i="7" s="1"/>
  <c r="K297" i="7"/>
  <c r="K296" i="7"/>
  <c r="L297" i="7"/>
  <c r="L296" i="7"/>
  <c r="M297" i="7"/>
  <c r="M296" i="7"/>
  <c r="N297" i="7"/>
  <c r="N296" i="7"/>
  <c r="O297" i="7"/>
  <c r="O296" i="7"/>
  <c r="Q297" i="7"/>
  <c r="Q296" i="7"/>
  <c r="O390" i="5"/>
  <c r="I261" i="15"/>
  <c r="O192" i="15"/>
  <c r="G85" i="3" s="1"/>
  <c r="G103" i="3" s="1"/>
  <c r="F213" i="15"/>
  <c r="P85" i="3" s="1"/>
  <c r="I63" i="17"/>
  <c r="G42" i="17" s="1"/>
  <c r="K44" i="17"/>
  <c r="O356" i="9"/>
  <c r="I407" i="9"/>
  <c r="I436" i="9"/>
  <c r="I401" i="9"/>
  <c r="I239" i="8"/>
  <c r="I283" i="8"/>
  <c r="G239" i="8"/>
  <c r="B268" i="12"/>
  <c r="B269" i="12" s="1"/>
  <c r="B270" i="12" s="1"/>
  <c r="B271" i="12" s="1"/>
  <c r="B272" i="12" s="1"/>
  <c r="I509" i="10"/>
  <c r="G501" i="10"/>
  <c r="G509" i="10"/>
  <c r="M184" i="15"/>
  <c r="N245" i="12"/>
  <c r="B506" i="10"/>
  <c r="B507" i="10" s="1"/>
  <c r="B508" i="10" s="1"/>
  <c r="B481" i="10"/>
  <c r="B482" i="10" s="1"/>
  <c r="B483" i="10" s="1"/>
  <c r="B228" i="15"/>
  <c r="K184" i="15"/>
  <c r="N184" i="15"/>
  <c r="L390" i="5"/>
  <c r="I416" i="5"/>
  <c r="G388" i="5" s="1"/>
  <c r="B412" i="5"/>
  <c r="B413" i="5" s="1"/>
  <c r="B414" i="5" s="1"/>
  <c r="B415" i="5" s="1"/>
  <c r="I452" i="5"/>
  <c r="B445" i="5"/>
  <c r="B446" i="5" s="1"/>
  <c r="B447" i="5" s="1"/>
  <c r="B448" i="5" s="1"/>
  <c r="B449" i="5" s="1"/>
  <c r="B450" i="5" s="1"/>
  <c r="B451" i="5" s="1"/>
  <c r="N84" i="4"/>
  <c r="N390" i="5"/>
  <c r="N452" i="10"/>
  <c r="B252" i="15"/>
  <c r="B253" i="15" s="1"/>
  <c r="B254" i="15" s="1"/>
  <c r="B255" i="15" s="1"/>
  <c r="M211" i="8"/>
  <c r="B264" i="8"/>
  <c r="B265" i="8" s="1"/>
  <c r="B266" i="8" s="1"/>
  <c r="B267" i="8" s="1"/>
  <c r="B268" i="8" s="1"/>
  <c r="B269" i="8" s="1"/>
  <c r="B270" i="8" s="1"/>
  <c r="B271" i="8" s="1"/>
  <c r="B272" i="8" s="1"/>
  <c r="B273" i="8" s="1"/>
  <c r="B274" i="8" s="1"/>
  <c r="B275" i="8" s="1"/>
  <c r="B276" i="8" s="1"/>
  <c r="B277" i="8" s="1"/>
  <c r="B278" i="8" s="1"/>
  <c r="B279" i="8" s="1"/>
  <c r="B280" i="8" s="1"/>
  <c r="B281" i="8" s="1"/>
  <c r="B282" i="8" s="1"/>
  <c r="R211" i="8"/>
  <c r="N90" i="4" s="1"/>
  <c r="M253" i="12"/>
  <c r="M356" i="9"/>
  <c r="L356" i="9"/>
  <c r="L364" i="9"/>
  <c r="L245" i="12"/>
  <c r="E99" i="4" s="1"/>
  <c r="M452" i="10"/>
  <c r="K452" i="10"/>
  <c r="L460" i="10"/>
  <c r="D94" i="3" s="1"/>
  <c r="B378" i="9"/>
  <c r="B379" i="9" s="1"/>
  <c r="B380" i="9" s="1"/>
  <c r="B381" i="9" s="1"/>
  <c r="B382" i="9" s="1"/>
  <c r="B383" i="9" s="1"/>
  <c r="I417" i="9"/>
  <c r="F421" i="9"/>
  <c r="K356" i="9"/>
  <c r="R356" i="9"/>
  <c r="N93" i="4" s="1"/>
  <c r="I207" i="12"/>
  <c r="I232" i="12"/>
  <c r="V233" i="12"/>
  <c r="G207" i="12"/>
  <c r="P96" i="13"/>
  <c r="P90" i="13"/>
  <c r="C83" i="13" s="1"/>
  <c r="K99" i="13"/>
  <c r="K98" i="13"/>
  <c r="L99" i="13"/>
  <c r="L98" i="13"/>
  <c r="M99" i="13"/>
  <c r="M98" i="13"/>
  <c r="N99" i="13"/>
  <c r="N98" i="13"/>
  <c r="O99" i="13"/>
  <c r="O98" i="13"/>
  <c r="Q99" i="13"/>
  <c r="Q98" i="13"/>
  <c r="I153" i="8"/>
  <c r="C94" i="3"/>
  <c r="P460" i="10"/>
  <c r="H94" i="3" s="1"/>
  <c r="C85" i="3"/>
  <c r="C103" i="3" s="1"/>
  <c r="P192" i="15"/>
  <c r="B142" i="8"/>
  <c r="B143" i="8" s="1"/>
  <c r="B144" i="8" s="1"/>
  <c r="B145" i="8" s="1"/>
  <c r="B146" i="8" s="1"/>
  <c r="B147" i="8" s="1"/>
  <c r="B148" i="8" s="1"/>
  <c r="B149" i="8" s="1"/>
  <c r="B150" i="8" s="1"/>
  <c r="B151" i="8" s="1"/>
  <c r="B152" i="8" s="1"/>
  <c r="R126" i="8"/>
  <c r="K211" i="8"/>
  <c r="P58" i="16"/>
  <c r="P52" i="16"/>
  <c r="C45" i="16" s="1"/>
  <c r="K61" i="16"/>
  <c r="K60" i="16"/>
  <c r="L61" i="16"/>
  <c r="L60" i="16"/>
  <c r="M61" i="16"/>
  <c r="M60" i="16"/>
  <c r="N61" i="16"/>
  <c r="N60" i="16"/>
  <c r="O61" i="16"/>
  <c r="O60" i="16"/>
  <c r="Q61" i="16"/>
  <c r="Q60" i="16"/>
  <c r="P91" i="3"/>
  <c r="N11" i="17"/>
  <c r="I30" i="17"/>
  <c r="G9" i="17" s="1"/>
  <c r="Q100" i="3"/>
  <c r="M88" i="3"/>
  <c r="A105" i="4"/>
  <c r="Q88" i="3"/>
  <c r="L82" i="3"/>
  <c r="J82" i="3"/>
  <c r="L88" i="3"/>
  <c r="N88" i="3" s="1"/>
  <c r="J88" i="3"/>
  <c r="L94" i="3"/>
  <c r="N94" i="3" s="1"/>
  <c r="J94" i="3"/>
  <c r="L100" i="3"/>
  <c r="J100" i="3"/>
  <c r="G192" i="8"/>
  <c r="P63" i="4"/>
  <c r="O353" i="10"/>
  <c r="G75" i="3"/>
  <c r="I512" i="10"/>
  <c r="I493" i="10"/>
  <c r="I496" i="10" s="1"/>
  <c r="F455" i="10" s="1"/>
  <c r="I525" i="10"/>
  <c r="I527" i="10" s="1"/>
  <c r="I252" i="8"/>
  <c r="I255" i="8" s="1"/>
  <c r="G237" i="15"/>
  <c r="I234" i="15"/>
  <c r="F237" i="15"/>
  <c r="I235" i="15"/>
  <c r="I240" i="15"/>
  <c r="I243" i="15" s="1"/>
  <c r="I145" i="15"/>
  <c r="G148" i="15"/>
  <c r="O100" i="15"/>
  <c r="G129" i="15"/>
  <c r="I425" i="5"/>
  <c r="I426" i="5"/>
  <c r="I427" i="5"/>
  <c r="H428" i="5"/>
  <c r="H432" i="5" s="1"/>
  <c r="G437" i="5"/>
  <c r="I436" i="5"/>
  <c r="I437" i="5" s="1"/>
  <c r="K75" i="3"/>
  <c r="V378" i="5"/>
  <c r="G335" i="5"/>
  <c r="I171" i="15"/>
  <c r="P78" i="4"/>
  <c r="O75" i="3"/>
  <c r="N75" i="4"/>
  <c r="I415" i="9"/>
  <c r="I421" i="9" s="1"/>
  <c r="P461" i="10"/>
  <c r="P455" i="10"/>
  <c r="K464" i="10"/>
  <c r="K463" i="10"/>
  <c r="C95" i="3" s="1" a="1"/>
  <c r="C95" i="3" s="1"/>
  <c r="L464" i="10"/>
  <c r="L463" i="10"/>
  <c r="D95" i="3" s="1" a="1"/>
  <c r="D95" i="3" s="1"/>
  <c r="M464" i="10"/>
  <c r="M463" i="10"/>
  <c r="E95" i="3" s="1" a="1"/>
  <c r="E95" i="3" s="1"/>
  <c r="N464" i="10"/>
  <c r="N463" i="10"/>
  <c r="F95" i="3" s="1" a="1"/>
  <c r="F95" i="3" s="1"/>
  <c r="O464" i="10"/>
  <c r="O463" i="10"/>
  <c r="G95" i="3" s="1" a="1"/>
  <c r="G95" i="3" s="1"/>
  <c r="Q464" i="10"/>
  <c r="Q463" i="10"/>
  <c r="K95" i="3" s="1" a="1"/>
  <c r="K95" i="3" s="1"/>
  <c r="P193" i="15"/>
  <c r="P187" i="15"/>
  <c r="K196" i="15"/>
  <c r="K195" i="15"/>
  <c r="C86" i="3" s="1" a="1"/>
  <c r="C86" i="3" s="1"/>
  <c r="L196" i="15"/>
  <c r="L195" i="15"/>
  <c r="M196" i="15"/>
  <c r="M195" i="15"/>
  <c r="E86" i="3" s="1" a="1"/>
  <c r="E86" i="3" s="1"/>
  <c r="N196" i="15"/>
  <c r="N195" i="15"/>
  <c r="F86" i="3" s="1" a="1"/>
  <c r="F86" i="3" s="1"/>
  <c r="O196" i="15"/>
  <c r="O195" i="15"/>
  <c r="G86" i="3" s="1" a="1"/>
  <c r="G86" i="3" s="1"/>
  <c r="Q196" i="15"/>
  <c r="Q195" i="15"/>
  <c r="K86" i="3" s="1" a="1"/>
  <c r="K86" i="3" s="1"/>
  <c r="P220" i="8"/>
  <c r="P214" i="8"/>
  <c r="K223" i="8"/>
  <c r="K222" i="8"/>
  <c r="C89" i="3" s="1" a="1"/>
  <c r="C89" i="3" s="1"/>
  <c r="L223" i="8"/>
  <c r="L222" i="8"/>
  <c r="D89" i="3" s="1" a="1"/>
  <c r="D89" i="3" s="1"/>
  <c r="M223" i="8"/>
  <c r="M222" i="8"/>
  <c r="E89" i="3" s="1" a="1"/>
  <c r="E89" i="3" s="1"/>
  <c r="N223" i="8"/>
  <c r="N222" i="8"/>
  <c r="F89" i="3" s="1" a="1"/>
  <c r="F89" i="3" s="1"/>
  <c r="O223" i="8"/>
  <c r="O222" i="8"/>
  <c r="G89" i="3" s="1" a="1"/>
  <c r="G89" i="3" s="1"/>
  <c r="Q223" i="8"/>
  <c r="Q222" i="8"/>
  <c r="K89" i="3" s="1" a="1"/>
  <c r="K89" i="3" s="1"/>
  <c r="P53" i="17"/>
  <c r="P47" i="17"/>
  <c r="K56" i="17"/>
  <c r="K55" i="17"/>
  <c r="L56" i="17"/>
  <c r="L55" i="17"/>
  <c r="M56" i="17"/>
  <c r="M55" i="17"/>
  <c r="N56" i="17"/>
  <c r="N55" i="17"/>
  <c r="O56" i="17"/>
  <c r="O55" i="17"/>
  <c r="Q56" i="17"/>
  <c r="Q55" i="17"/>
  <c r="K101" i="3" s="1" a="1"/>
  <c r="K101" i="3" s="1"/>
  <c r="P399" i="5"/>
  <c r="P393" i="5"/>
  <c r="C386" i="5" s="1"/>
  <c r="K402" i="5"/>
  <c r="K401" i="5"/>
  <c r="L402" i="5"/>
  <c r="L401" i="5"/>
  <c r="D83" i="3" s="1" a="1"/>
  <c r="D83" i="3" s="1"/>
  <c r="M402" i="5"/>
  <c r="M401" i="5"/>
  <c r="E83" i="3" s="1" a="1"/>
  <c r="E83" i="3" s="1"/>
  <c r="N402" i="5"/>
  <c r="N401" i="5"/>
  <c r="F83" i="3" s="1" a="1"/>
  <c r="F83" i="3" s="1"/>
  <c r="O402" i="5"/>
  <c r="O401" i="5"/>
  <c r="G83" i="3" s="1" a="1"/>
  <c r="G83" i="3" s="1"/>
  <c r="Q402" i="5"/>
  <c r="Q401" i="5"/>
  <c r="K83" i="3" s="1" a="1"/>
  <c r="K83" i="3" s="1"/>
  <c r="K303" i="5"/>
  <c r="I439" i="10"/>
  <c r="G392" i="10"/>
  <c r="I398" i="10"/>
  <c r="L361" i="10"/>
  <c r="O118" i="8"/>
  <c r="B309" i="9"/>
  <c r="B310" i="9" s="1"/>
  <c r="I298" i="9"/>
  <c r="G268" i="9" s="1"/>
  <c r="I343" i="9"/>
  <c r="G298" i="9"/>
  <c r="K73" i="3" a="1"/>
  <c r="K73" i="3" s="1"/>
  <c r="G73" i="3" a="1"/>
  <c r="G73" i="3" s="1"/>
  <c r="G61" i="4" a="1"/>
  <c r="G61" i="4" s="1"/>
  <c r="L108" i="15"/>
  <c r="P57" i="3"/>
  <c r="B384" i="10"/>
  <c r="B385" i="10" s="1"/>
  <c r="B386" i="10" s="1"/>
  <c r="B387" i="10" s="1"/>
  <c r="B388" i="10" s="1"/>
  <c r="B389" i="10" s="1"/>
  <c r="B390" i="10" s="1"/>
  <c r="B391" i="10" s="1"/>
  <c r="N118" i="8"/>
  <c r="M126" i="8"/>
  <c r="N303" i="5"/>
  <c r="N270" i="9"/>
  <c r="P365" i="9"/>
  <c r="P359" i="9"/>
  <c r="K368" i="9"/>
  <c r="K367" i="9"/>
  <c r="C92" i="3" s="1" a="1"/>
  <c r="C92" i="3" s="1"/>
  <c r="L368" i="9"/>
  <c r="L367" i="9"/>
  <c r="D92" i="3" s="1" a="1"/>
  <c r="D92" i="3" s="1"/>
  <c r="M368" i="9"/>
  <c r="M367" i="9"/>
  <c r="E92" i="3" s="1" a="1"/>
  <c r="E92" i="3" s="1"/>
  <c r="N368" i="9"/>
  <c r="N367" i="9"/>
  <c r="F92" i="3" s="1" a="1"/>
  <c r="F92" i="3" s="1"/>
  <c r="O368" i="9"/>
  <c r="O367" i="9"/>
  <c r="G92" i="3" s="1" a="1"/>
  <c r="G92" i="3" s="1"/>
  <c r="Q368" i="9"/>
  <c r="Q367" i="9"/>
  <c r="K92" i="3" s="1" a="1"/>
  <c r="K92" i="3" s="1"/>
  <c r="G115" i="11"/>
  <c r="I114" i="11"/>
  <c r="I115" i="11" s="1"/>
  <c r="P100" i="11"/>
  <c r="P94" i="11"/>
  <c r="C87" i="11" s="1"/>
  <c r="K103" i="11"/>
  <c r="K102" i="11"/>
  <c r="L103" i="11"/>
  <c r="L102" i="11"/>
  <c r="M103" i="11"/>
  <c r="M102" i="11"/>
  <c r="N103" i="11"/>
  <c r="N102" i="11"/>
  <c r="O103" i="11"/>
  <c r="O102" i="11"/>
  <c r="Q103" i="11"/>
  <c r="Q102" i="11"/>
  <c r="I37" i="11"/>
  <c r="P58" i="11"/>
  <c r="H69" i="3" s="1"/>
  <c r="F69" i="3"/>
  <c r="F75" i="3" s="1"/>
  <c r="F73" i="3" a="1"/>
  <c r="F73" i="3" s="1"/>
  <c r="B78" i="4"/>
  <c r="A78" i="4"/>
  <c r="I74" i="11"/>
  <c r="N50" i="11"/>
  <c r="N66" i="4"/>
  <c r="M63" i="3"/>
  <c r="Q72" i="3"/>
  <c r="C4" i="17"/>
  <c r="M353" i="10"/>
  <c r="L69" i="3"/>
  <c r="N69" i="3" s="1"/>
  <c r="J69" i="3"/>
  <c r="M270" i="9"/>
  <c r="M303" i="5"/>
  <c r="M118" i="8"/>
  <c r="M100" i="15"/>
  <c r="F60" i="4" s="1"/>
  <c r="M104" i="15"/>
  <c r="F61" i="4" s="1" a="1"/>
  <c r="F61" i="4" s="1"/>
  <c r="L303" i="5"/>
  <c r="K311" i="5"/>
  <c r="L311" i="5"/>
  <c r="D54" i="3" s="1"/>
  <c r="L118" i="8"/>
  <c r="L100" i="15"/>
  <c r="E60" i="4" s="1"/>
  <c r="R100" i="15"/>
  <c r="P51" i="4"/>
  <c r="P66" i="3"/>
  <c r="I271" i="10"/>
  <c r="I275" i="10"/>
  <c r="G278" i="10"/>
  <c r="G414" i="10"/>
  <c r="I405" i="10"/>
  <c r="F414" i="10"/>
  <c r="I412" i="10"/>
  <c r="I418" i="10"/>
  <c r="I420" i="10" s="1"/>
  <c r="B295" i="10"/>
  <c r="B296" i="10" s="1"/>
  <c r="B297" i="10" s="1"/>
  <c r="B298" i="10" s="1"/>
  <c r="B299" i="10" s="1"/>
  <c r="K353" i="10"/>
  <c r="R361" i="10"/>
  <c r="G234" i="9"/>
  <c r="G316" i="9"/>
  <c r="I302" i="9"/>
  <c r="G324" i="9"/>
  <c r="I319" i="9"/>
  <c r="I324" i="9" s="1"/>
  <c r="G171" i="8"/>
  <c r="I169" i="8"/>
  <c r="F171" i="8"/>
  <c r="I158" i="8"/>
  <c r="I206" i="7"/>
  <c r="G182" i="7" s="1"/>
  <c r="I234" i="7"/>
  <c r="P252" i="7"/>
  <c r="C246" i="7" s="1"/>
  <c r="K118" i="8"/>
  <c r="I88" i="8"/>
  <c r="F82" i="8"/>
  <c r="R58" i="8" s="1"/>
  <c r="M44" i="3" s="1"/>
  <c r="O58" i="8"/>
  <c r="G44" i="3" s="1"/>
  <c r="G47" i="3" s="1"/>
  <c r="O47" i="3"/>
  <c r="O236" i="10"/>
  <c r="L63" i="3"/>
  <c r="J63" i="3"/>
  <c r="I347" i="5"/>
  <c r="I348" i="5"/>
  <c r="I349" i="5"/>
  <c r="H350" i="5"/>
  <c r="I226" i="5"/>
  <c r="I233" i="5"/>
  <c r="Q195" i="5"/>
  <c r="F226" i="5"/>
  <c r="C4" i="16"/>
  <c r="I82" i="8"/>
  <c r="O50" i="8"/>
  <c r="B328" i="10"/>
  <c r="B329" i="10" s="1"/>
  <c r="B330" i="10" s="1"/>
  <c r="B331" i="10" s="1"/>
  <c r="B332" i="10" s="1"/>
  <c r="B333" i="10" s="1"/>
  <c r="B334" i="10" s="1"/>
  <c r="B335" i="10" s="1"/>
  <c r="R244" i="10"/>
  <c r="M29" i="3" s="1"/>
  <c r="I283" i="10"/>
  <c r="I336" i="10"/>
  <c r="V341" i="10"/>
  <c r="O180" i="9"/>
  <c r="O195" i="5"/>
  <c r="I224" i="9"/>
  <c r="F224" i="9"/>
  <c r="N188" i="9"/>
  <c r="I218" i="9"/>
  <c r="I256" i="9"/>
  <c r="B86" i="8"/>
  <c r="B87" i="8" s="1"/>
  <c r="P44" i="3"/>
  <c r="M58" i="8"/>
  <c r="B279" i="5"/>
  <c r="B280" i="5" s="1"/>
  <c r="B281" i="5" s="1"/>
  <c r="B282" i="5" s="1"/>
  <c r="B283" i="5" s="1"/>
  <c r="B284" i="5" s="1"/>
  <c r="I277" i="12"/>
  <c r="G294" i="12"/>
  <c r="I291" i="12"/>
  <c r="I294" i="12" s="1"/>
  <c r="P362" i="10"/>
  <c r="P356" i="10"/>
  <c r="K365" i="10"/>
  <c r="K364" i="10"/>
  <c r="C67" i="3" s="1" a="1"/>
  <c r="C67" i="3" s="1"/>
  <c r="L365" i="10"/>
  <c r="L364" i="10"/>
  <c r="D67" i="3" s="1" a="1"/>
  <c r="D67" i="3" s="1"/>
  <c r="M365" i="10"/>
  <c r="M364" i="10"/>
  <c r="E67" i="3" s="1" a="1"/>
  <c r="E67" i="3" s="1"/>
  <c r="N365" i="10"/>
  <c r="N364" i="10"/>
  <c r="F67" i="3" s="1" a="1"/>
  <c r="F67" i="3" s="1"/>
  <c r="O365" i="10"/>
  <c r="O364" i="10"/>
  <c r="G67" i="3" s="1" a="1"/>
  <c r="G67" i="3" s="1"/>
  <c r="Q365" i="10"/>
  <c r="Q364" i="10"/>
  <c r="K67" i="3" s="1" a="1"/>
  <c r="K67" i="3" s="1"/>
  <c r="P312" i="5"/>
  <c r="P306" i="5"/>
  <c r="K315" i="5"/>
  <c r="K314" i="5"/>
  <c r="C55" i="3" s="1" a="1"/>
  <c r="C55" i="3" s="1"/>
  <c r="L315" i="5"/>
  <c r="L314" i="5"/>
  <c r="D55" i="3" s="1" a="1"/>
  <c r="D55" i="3" s="1"/>
  <c r="M315" i="5"/>
  <c r="M314" i="5"/>
  <c r="E55" i="3" s="1" a="1"/>
  <c r="E55" i="3" s="1"/>
  <c r="N315" i="5"/>
  <c r="N314" i="5"/>
  <c r="F55" i="3" s="1" a="1"/>
  <c r="F55" i="3" s="1"/>
  <c r="O315" i="5"/>
  <c r="O314" i="5"/>
  <c r="G55" i="3" s="1" a="1"/>
  <c r="G55" i="3" s="1"/>
  <c r="Q315" i="5"/>
  <c r="Q314" i="5"/>
  <c r="K55" i="3" s="1" a="1"/>
  <c r="K55" i="3" s="1"/>
  <c r="P257" i="7"/>
  <c r="P251" i="7"/>
  <c r="K260" i="7"/>
  <c r="K259" i="7"/>
  <c r="L260" i="7"/>
  <c r="L259" i="7"/>
  <c r="M260" i="7"/>
  <c r="M259" i="7"/>
  <c r="N260" i="7"/>
  <c r="N259" i="7"/>
  <c r="O260" i="7"/>
  <c r="O259" i="7"/>
  <c r="Q260" i="7"/>
  <c r="Q259" i="7"/>
  <c r="P127" i="8"/>
  <c r="P121" i="8"/>
  <c r="K130" i="8"/>
  <c r="K129" i="8"/>
  <c r="C61" i="3" s="1" a="1"/>
  <c r="C61" i="3" s="1"/>
  <c r="L130" i="8"/>
  <c r="L129" i="8"/>
  <c r="D61" i="3" s="1" a="1"/>
  <c r="D61" i="3" s="1"/>
  <c r="M130" i="8"/>
  <c r="M129" i="8"/>
  <c r="E61" i="3" s="1" a="1"/>
  <c r="E61" i="3" s="1"/>
  <c r="N130" i="8"/>
  <c r="N129" i="8"/>
  <c r="F61" i="3" s="1" a="1"/>
  <c r="F61" i="3" s="1"/>
  <c r="O130" i="8"/>
  <c r="O129" i="8"/>
  <c r="G61" i="3" s="1" a="1"/>
  <c r="G61" i="3" s="1"/>
  <c r="Q130" i="8"/>
  <c r="Q129" i="8"/>
  <c r="K61" i="3" s="1" a="1"/>
  <c r="K61" i="3" s="1"/>
  <c r="P279" i="9"/>
  <c r="P273" i="9"/>
  <c r="K282" i="9"/>
  <c r="K281" i="9"/>
  <c r="L282" i="9"/>
  <c r="L281" i="9"/>
  <c r="M282" i="9"/>
  <c r="M281" i="9"/>
  <c r="E64" i="3" s="1" a="1"/>
  <c r="E64" i="3" s="1"/>
  <c r="N282" i="9"/>
  <c r="N281" i="9"/>
  <c r="F64" i="3" s="1" a="1"/>
  <c r="F64" i="3" s="1"/>
  <c r="O282" i="9"/>
  <c r="O281" i="9"/>
  <c r="G64" i="3" s="1" a="1"/>
  <c r="G64" i="3" s="1"/>
  <c r="Q282" i="9"/>
  <c r="Q281" i="9"/>
  <c r="K64" i="3" s="1" a="1"/>
  <c r="K64" i="3" s="1"/>
  <c r="P59" i="11"/>
  <c r="P53" i="11"/>
  <c r="C46" i="11" s="1"/>
  <c r="K62" i="11"/>
  <c r="K61" i="11"/>
  <c r="L62" i="11"/>
  <c r="L61" i="11"/>
  <c r="M62" i="11"/>
  <c r="M61" i="11"/>
  <c r="N62" i="11"/>
  <c r="N61" i="11"/>
  <c r="F70" i="3" s="1" a="1"/>
  <c r="F70" i="3" s="1"/>
  <c r="O62" i="11"/>
  <c r="O61" i="11"/>
  <c r="Q62" i="11"/>
  <c r="Q61" i="11"/>
  <c r="K70" i="3" s="1" a="1"/>
  <c r="K70" i="3" s="1"/>
  <c r="P254" i="12"/>
  <c r="P248" i="12"/>
  <c r="K257" i="12"/>
  <c r="K256" i="12"/>
  <c r="L257" i="12"/>
  <c r="L256" i="12"/>
  <c r="D98" i="3" s="1" a="1"/>
  <c r="D98" i="3" s="1"/>
  <c r="M257" i="12"/>
  <c r="M256" i="12"/>
  <c r="E98" i="3" s="1" a="1"/>
  <c r="E98" i="3" s="1"/>
  <c r="N257" i="12"/>
  <c r="N256" i="12"/>
  <c r="F98" i="3" s="1" a="1"/>
  <c r="F98" i="3" s="1"/>
  <c r="O257" i="12"/>
  <c r="O256" i="12"/>
  <c r="G98" i="3" s="1" a="1"/>
  <c r="G98" i="3" s="1"/>
  <c r="Q257" i="12"/>
  <c r="Q256" i="12"/>
  <c r="K98" i="3" s="1" a="1"/>
  <c r="K98" i="3" s="1"/>
  <c r="N180" i="9"/>
  <c r="I208" i="9"/>
  <c r="N236" i="10"/>
  <c r="N203" i="5"/>
  <c r="N50" i="8"/>
  <c r="B265" i="10"/>
  <c r="M236" i="10"/>
  <c r="M50" i="8"/>
  <c r="P20" i="11"/>
  <c r="L183" i="12"/>
  <c r="G181" i="12"/>
  <c r="R195" i="5"/>
  <c r="N33" i="4" s="1"/>
  <c r="M195" i="5"/>
  <c r="B96" i="8"/>
  <c r="B97" i="8" s="1"/>
  <c r="B98" i="8" s="1"/>
  <c r="B99" i="8" s="1"/>
  <c r="B100" i="8" s="1"/>
  <c r="B101" i="8" s="1"/>
  <c r="B102" i="8" s="1"/>
  <c r="B103" i="8" s="1"/>
  <c r="K236" i="10"/>
  <c r="R236" i="10"/>
  <c r="N42" i="4" s="1"/>
  <c r="B204" i="12"/>
  <c r="B205" i="12" s="1"/>
  <c r="B206" i="12" s="1"/>
  <c r="L184" i="7"/>
  <c r="L195" i="5"/>
  <c r="G234" i="10"/>
  <c r="L236" i="10"/>
  <c r="M35" i="3"/>
  <c r="N35" i="3" s="1"/>
  <c r="K188" i="9"/>
  <c r="R188" i="9"/>
  <c r="M41" i="3" s="1"/>
  <c r="I291" i="10"/>
  <c r="G300" i="10"/>
  <c r="I298" i="10"/>
  <c r="F300" i="10"/>
  <c r="I304" i="10"/>
  <c r="G305" i="10"/>
  <c r="G218" i="12"/>
  <c r="I215" i="12"/>
  <c r="I218" i="12" s="1"/>
  <c r="G224" i="12"/>
  <c r="I221" i="12"/>
  <c r="I224" i="12" s="1"/>
  <c r="D39" i="3" a="1"/>
  <c r="D39" i="3" s="1"/>
  <c r="K184" i="7"/>
  <c r="O89" i="12"/>
  <c r="V171" i="12"/>
  <c r="F124" i="12"/>
  <c r="P11" i="3" s="1"/>
  <c r="N97" i="12"/>
  <c r="D36" i="3" a="1"/>
  <c r="D36" i="3" s="1"/>
  <c r="K183" i="12"/>
  <c r="F166" i="10"/>
  <c r="L135" i="10"/>
  <c r="I276" i="10"/>
  <c r="I277" i="10"/>
  <c r="I223" i="10"/>
  <c r="G30" i="3" a="1"/>
  <c r="G30" i="3" s="1"/>
  <c r="F30" i="3" a="1"/>
  <c r="F30" i="3" s="1"/>
  <c r="E30" i="3" a="1"/>
  <c r="E30" i="3" s="1"/>
  <c r="D30" i="3" a="1"/>
  <c r="D30" i="3" s="1"/>
  <c r="P29" i="3"/>
  <c r="Q29" i="3" s="1"/>
  <c r="I212" i="9"/>
  <c r="G42" i="3" a="1"/>
  <c r="G42" i="3" s="1"/>
  <c r="E42" i="3" a="1"/>
  <c r="E42" i="3" s="1"/>
  <c r="F40" i="4" a="1"/>
  <c r="F40" i="4" s="1"/>
  <c r="K180" i="9"/>
  <c r="I232" i="9"/>
  <c r="I234" i="9" s="1"/>
  <c r="I124" i="12"/>
  <c r="G87" i="12" s="1"/>
  <c r="K89" i="12"/>
  <c r="G193" i="5"/>
  <c r="K195" i="5"/>
  <c r="P41" i="3"/>
  <c r="H36" i="3" a="1"/>
  <c r="H36" i="3" s="1"/>
  <c r="Q35" i="3"/>
  <c r="H30" i="3" a="1"/>
  <c r="H30" i="3" s="1"/>
  <c r="H39" i="3" a="1"/>
  <c r="H39" i="3" s="1"/>
  <c r="I134" i="9"/>
  <c r="I167" i="9"/>
  <c r="G143" i="9"/>
  <c r="I210" i="7"/>
  <c r="I211" i="7"/>
  <c r="I150" i="7"/>
  <c r="I151" i="7"/>
  <c r="I142" i="7"/>
  <c r="I147" i="7"/>
  <c r="I166" i="10"/>
  <c r="M127" i="10"/>
  <c r="V224" i="10"/>
  <c r="O105" i="7"/>
  <c r="I130" i="7"/>
  <c r="F130" i="7"/>
  <c r="K113" i="7"/>
  <c r="M105" i="7"/>
  <c r="P105" i="7" s="1"/>
  <c r="K95" i="9"/>
  <c r="O95" i="9"/>
  <c r="O127" i="10"/>
  <c r="I147" i="5"/>
  <c r="G122" i="5"/>
  <c r="I132" i="5"/>
  <c r="I137" i="5" s="1"/>
  <c r="F96" i="5" s="1"/>
  <c r="F97" i="5" s="1"/>
  <c r="G137" i="5"/>
  <c r="M93" i="5"/>
  <c r="I122" i="5"/>
  <c r="C229" i="10"/>
  <c r="C177" i="7"/>
  <c r="C173" i="9"/>
  <c r="C176" i="12"/>
  <c r="C37" i="14"/>
  <c r="I250" i="5"/>
  <c r="I251" i="5"/>
  <c r="I252" i="5"/>
  <c r="H253" i="5"/>
  <c r="H258" i="5" s="1"/>
  <c r="I255" i="5"/>
  <c r="I262" i="5" s="1"/>
  <c r="Q93" i="5"/>
  <c r="P204" i="5"/>
  <c r="P198" i="5"/>
  <c r="C191" i="5" s="1"/>
  <c r="K207" i="5"/>
  <c r="K206" i="5"/>
  <c r="L207" i="5"/>
  <c r="L206" i="5"/>
  <c r="M207" i="5"/>
  <c r="M206" i="5"/>
  <c r="N207" i="5"/>
  <c r="N206" i="5"/>
  <c r="F33" i="3" s="1" a="1"/>
  <c r="F33" i="3" s="1"/>
  <c r="O207" i="5"/>
  <c r="O206" i="5"/>
  <c r="G33" i="3" s="1" a="1"/>
  <c r="G33" i="3" s="1"/>
  <c r="Q207" i="5"/>
  <c r="Q206" i="5"/>
  <c r="K33" i="3" s="1" a="1"/>
  <c r="K33" i="3" s="1"/>
  <c r="R95" i="9"/>
  <c r="B155" i="9"/>
  <c r="B156" i="9" s="1"/>
  <c r="B157" i="9" s="1"/>
  <c r="B158" i="9" s="1"/>
  <c r="B159" i="9" s="1"/>
  <c r="B160" i="9" s="1"/>
  <c r="B161" i="9" s="1"/>
  <c r="B162" i="9" s="1"/>
  <c r="B163" i="9" s="1"/>
  <c r="B164" i="9" s="1"/>
  <c r="B165" i="9" s="1"/>
  <c r="B166" i="9" s="1"/>
  <c r="K21" i="3"/>
  <c r="K22" i="3"/>
  <c r="P19" i="14"/>
  <c r="E20" i="3"/>
  <c r="E23" i="3" s="1"/>
  <c r="B116" i="9"/>
  <c r="B117" i="9" s="1"/>
  <c r="B118" i="9" s="1"/>
  <c r="B119" i="9" s="1"/>
  <c r="B120" i="9" s="1"/>
  <c r="B125" i="7"/>
  <c r="I146" i="15"/>
  <c r="I151" i="15"/>
  <c r="I153" i="15"/>
  <c r="P109" i="15"/>
  <c r="P103" i="15"/>
  <c r="C96" i="15" s="1"/>
  <c r="K112" i="15"/>
  <c r="K111" i="15"/>
  <c r="L112" i="15"/>
  <c r="L111" i="15"/>
  <c r="D58" i="3" s="1" a="1"/>
  <c r="D58" i="3" s="1"/>
  <c r="M112" i="15"/>
  <c r="M111" i="15"/>
  <c r="E58" i="3" s="1" a="1"/>
  <c r="E58" i="3" s="1"/>
  <c r="N112" i="15"/>
  <c r="N111" i="15"/>
  <c r="F58" i="3" s="1" a="1"/>
  <c r="F58" i="3" s="1"/>
  <c r="O112" i="15"/>
  <c r="O111" i="15"/>
  <c r="G58" i="3" s="1" a="1"/>
  <c r="G58" i="3" s="1"/>
  <c r="Q112" i="15"/>
  <c r="Q111" i="15"/>
  <c r="K58" i="3" s="1" a="1"/>
  <c r="K58" i="3" s="1"/>
  <c r="P21" i="15"/>
  <c r="P23" i="15" s="1"/>
  <c r="P15" i="15"/>
  <c r="C8" i="15" s="1"/>
  <c r="K24" i="15"/>
  <c r="P20" i="15"/>
  <c r="P24" i="15" s="1"/>
  <c r="O24" i="15"/>
  <c r="O23" i="15"/>
  <c r="Q24" i="15"/>
  <c r="Q23" i="15"/>
  <c r="G46" i="15"/>
  <c r="I32" i="15"/>
  <c r="F46" i="15"/>
  <c r="I35" i="15"/>
  <c r="L12" i="15" s="1"/>
  <c r="L16" i="15" s="1"/>
  <c r="F52" i="15"/>
  <c r="I50" i="15"/>
  <c r="I52" i="15" s="1"/>
  <c r="F15" i="15" s="1"/>
  <c r="F16" i="15" s="1"/>
  <c r="H16" i="15" s="1"/>
  <c r="G56" i="15"/>
  <c r="I55" i="15"/>
  <c r="I56" i="15" s="1"/>
  <c r="R12" i="15" s="1"/>
  <c r="F63" i="15"/>
  <c r="I60" i="15"/>
  <c r="I63" i="15" s="1"/>
  <c r="G70" i="15"/>
  <c r="I66" i="15"/>
  <c r="F70" i="15"/>
  <c r="I69" i="15"/>
  <c r="G86" i="15"/>
  <c r="I83" i="15"/>
  <c r="I86" i="15" s="1"/>
  <c r="M11" i="14"/>
  <c r="P27" i="4"/>
  <c r="B155" i="10"/>
  <c r="P14" i="14"/>
  <c r="K23" i="14"/>
  <c r="K22" i="14"/>
  <c r="L23" i="14"/>
  <c r="L22" i="14"/>
  <c r="M23" i="14"/>
  <c r="E22" i="3" s="1"/>
  <c r="M22" i="14"/>
  <c r="E21" i="3" s="1"/>
  <c r="N23" i="14"/>
  <c r="N22" i="14"/>
  <c r="O23" i="14"/>
  <c r="O22" i="14"/>
  <c r="Q23" i="14"/>
  <c r="Q22" i="14"/>
  <c r="P21" i="13"/>
  <c r="P15" i="13"/>
  <c r="C8" i="13" s="1"/>
  <c r="K24" i="13"/>
  <c r="K23" i="13"/>
  <c r="L24" i="13"/>
  <c r="L23" i="13"/>
  <c r="M24" i="13"/>
  <c r="M23" i="13"/>
  <c r="N24" i="13"/>
  <c r="N23" i="13"/>
  <c r="O24" i="13"/>
  <c r="O23" i="13"/>
  <c r="Q24" i="13"/>
  <c r="Q23" i="13"/>
  <c r="G36" i="13"/>
  <c r="I35" i="13"/>
  <c r="I36" i="13" s="1"/>
  <c r="K16" i="12"/>
  <c r="P21" i="12"/>
  <c r="P23" i="12" s="1"/>
  <c r="P15" i="12"/>
  <c r="C8" i="12" s="1"/>
  <c r="K24" i="12"/>
  <c r="P20" i="12"/>
  <c r="P24" i="12" s="1"/>
  <c r="N24" i="12"/>
  <c r="N23" i="12"/>
  <c r="O24" i="12"/>
  <c r="O23" i="12"/>
  <c r="Q24" i="12"/>
  <c r="Q23" i="12"/>
  <c r="G40" i="12"/>
  <c r="I36" i="12"/>
  <c r="G47" i="12"/>
  <c r="I45" i="12"/>
  <c r="I47" i="12" s="1"/>
  <c r="F15" i="12" s="1"/>
  <c r="F16" i="12" s="1"/>
  <c r="H16" i="12" s="1"/>
  <c r="G52" i="12"/>
  <c r="I50" i="12"/>
  <c r="G56" i="12"/>
  <c r="I55" i="12"/>
  <c r="I56" i="12" s="1"/>
  <c r="G63" i="12"/>
  <c r="I59" i="12"/>
  <c r="F63" i="12"/>
  <c r="I61" i="12"/>
  <c r="P21" i="10"/>
  <c r="P23" i="10" s="1"/>
  <c r="P15" i="10"/>
  <c r="C8" i="10" s="1"/>
  <c r="K24" i="10"/>
  <c r="P20" i="10"/>
  <c r="P24" i="10" s="1"/>
  <c r="N24" i="10"/>
  <c r="N23" i="10"/>
  <c r="G48" i="10"/>
  <c r="I32" i="10"/>
  <c r="F48" i="10"/>
  <c r="I33" i="10"/>
  <c r="F55" i="10"/>
  <c r="I53" i="10"/>
  <c r="G64" i="10"/>
  <c r="I58" i="10"/>
  <c r="F64" i="10"/>
  <c r="I63" i="10"/>
  <c r="H87" i="10"/>
  <c r="H92" i="10" s="1"/>
  <c r="G69" i="10"/>
  <c r="I67" i="10"/>
  <c r="F73" i="10"/>
  <c r="S20" i="10" s="1"/>
  <c r="I72" i="10"/>
  <c r="G78" i="10"/>
  <c r="I76" i="10"/>
  <c r="F113" i="10"/>
  <c r="I110" i="10"/>
  <c r="I113" i="10" s="1"/>
  <c r="I197" i="10"/>
  <c r="G198" i="10"/>
  <c r="I192" i="10"/>
  <c r="F198" i="10"/>
  <c r="P21" i="9"/>
  <c r="P23" i="9" s="1"/>
  <c r="P15" i="9"/>
  <c r="C8" i="9" s="1"/>
  <c r="L24" i="9"/>
  <c r="P20" i="9"/>
  <c r="P24" i="9" s="1"/>
  <c r="K24" i="9"/>
  <c r="K23" i="9"/>
  <c r="Q24" i="9"/>
  <c r="Q23" i="9"/>
  <c r="G38" i="9"/>
  <c r="I30" i="9"/>
  <c r="G44" i="9"/>
  <c r="I42" i="9"/>
  <c r="F44" i="9"/>
  <c r="I43" i="9"/>
  <c r="G50" i="9"/>
  <c r="I47" i="9"/>
  <c r="G56" i="9"/>
  <c r="I53" i="9"/>
  <c r="F56" i="9"/>
  <c r="I55" i="9"/>
  <c r="P21" i="8"/>
  <c r="P15" i="8"/>
  <c r="C8" i="8" s="1"/>
  <c r="K24" i="8"/>
  <c r="K23" i="8"/>
  <c r="L24" i="8"/>
  <c r="L23" i="8"/>
  <c r="M24" i="8"/>
  <c r="M23" i="8"/>
  <c r="N24" i="8"/>
  <c r="N23" i="8"/>
  <c r="O24" i="8"/>
  <c r="O23" i="8"/>
  <c r="Q24" i="8"/>
  <c r="Q23" i="8"/>
  <c r="K16" i="7"/>
  <c r="P21" i="7"/>
  <c r="P23" i="7" s="1"/>
  <c r="P15" i="7"/>
  <c r="C8" i="7" s="1"/>
  <c r="K24" i="7"/>
  <c r="P20" i="7"/>
  <c r="P24" i="7" s="1"/>
  <c r="Q24" i="7"/>
  <c r="Q23" i="7"/>
  <c r="G45" i="7"/>
  <c r="I44" i="7"/>
  <c r="I45" i="7" s="1"/>
  <c r="F49" i="7"/>
  <c r="R20" i="7" s="1"/>
  <c r="I48" i="7"/>
  <c r="F58" i="7"/>
  <c r="I56" i="7"/>
  <c r="I58" i="7" s="1"/>
  <c r="G62" i="7"/>
  <c r="I61" i="7"/>
  <c r="I62" i="7" s="1"/>
  <c r="P21" i="5"/>
  <c r="P23" i="5" s="1"/>
  <c r="P15" i="5"/>
  <c r="C8" i="5" s="1"/>
  <c r="K24" i="5"/>
  <c r="P20" i="5"/>
  <c r="P24" i="5" s="1"/>
  <c r="Q24" i="5"/>
  <c r="Q23" i="5"/>
  <c r="B46" i="5"/>
  <c r="B47" i="5" s="1"/>
  <c r="B34" i="5"/>
  <c r="B35" i="5" s="1"/>
  <c r="B36" i="5" s="1"/>
  <c r="B37" i="5" s="1"/>
  <c r="G38" i="5"/>
  <c r="I32" i="5"/>
  <c r="I38" i="5" s="1"/>
  <c r="G48" i="5"/>
  <c r="I42" i="5"/>
  <c r="F48" i="5"/>
  <c r="R20" i="5" s="1"/>
  <c r="I43" i="5"/>
  <c r="L12" i="5" s="1"/>
  <c r="L16" i="5" s="1"/>
  <c r="G52" i="5"/>
  <c r="I51" i="5"/>
  <c r="H59" i="5"/>
  <c r="I56" i="5"/>
  <c r="G59" i="5"/>
  <c r="I57" i="5"/>
  <c r="L93" i="5"/>
  <c r="I155" i="5"/>
  <c r="I141" i="9"/>
  <c r="I128" i="9"/>
  <c r="I134" i="7"/>
  <c r="I135" i="7"/>
  <c r="I151" i="5"/>
  <c r="I152" i="5"/>
  <c r="O23" i="3"/>
  <c r="I184" i="10"/>
  <c r="I193" i="10" s="1"/>
  <c r="P17" i="3"/>
  <c r="Q17" i="3" s="1"/>
  <c r="P5" i="3"/>
  <c r="R135" i="10"/>
  <c r="M5" i="3" s="1"/>
  <c r="P14" i="3"/>
  <c r="M14" i="3"/>
  <c r="L8" i="3"/>
  <c r="J8" i="3"/>
  <c r="L17" i="3"/>
  <c r="N17" i="3" s="1"/>
  <c r="J17" i="3"/>
  <c r="P21" i="11"/>
  <c r="P15" i="11"/>
  <c r="K24" i="11"/>
  <c r="K23" i="11"/>
  <c r="L24" i="11"/>
  <c r="L23" i="11"/>
  <c r="M24" i="11"/>
  <c r="M23" i="11"/>
  <c r="N24" i="11"/>
  <c r="N23" i="11"/>
  <c r="O24" i="11"/>
  <c r="O23" i="11"/>
  <c r="Q24" i="11"/>
  <c r="Q23" i="11"/>
  <c r="P104" i="9"/>
  <c r="P98" i="9"/>
  <c r="K107" i="9"/>
  <c r="K106" i="9"/>
  <c r="C18" i="3" s="1" a="1"/>
  <c r="C18" i="3" s="1"/>
  <c r="L107" i="9"/>
  <c r="L106" i="9"/>
  <c r="D18" i="3" s="1" a="1"/>
  <c r="D18" i="3" s="1"/>
  <c r="M107" i="9"/>
  <c r="M106" i="9"/>
  <c r="E18" i="3" s="1" a="1"/>
  <c r="E18" i="3" s="1"/>
  <c r="N107" i="9"/>
  <c r="N106" i="9"/>
  <c r="F18" i="3" s="1" a="1"/>
  <c r="F18" i="3" s="1"/>
  <c r="O107" i="9"/>
  <c r="O106" i="9"/>
  <c r="G18" i="3" s="1" a="1"/>
  <c r="G18" i="3" s="1"/>
  <c r="Q107" i="9"/>
  <c r="Q106" i="9"/>
  <c r="K18" i="3" s="1" a="1"/>
  <c r="K18" i="3" s="1"/>
  <c r="P59" i="8"/>
  <c r="P53" i="8"/>
  <c r="C46" i="8" s="1"/>
  <c r="K62" i="8"/>
  <c r="K61" i="8"/>
  <c r="L62" i="8"/>
  <c r="L61" i="8"/>
  <c r="M62" i="8"/>
  <c r="M61" i="8"/>
  <c r="E45" i="3" s="1" a="1"/>
  <c r="E45" i="3" s="1"/>
  <c r="N62" i="8"/>
  <c r="N61" i="8"/>
  <c r="F45" i="3" s="1" a="1"/>
  <c r="F45" i="3" s="1"/>
  <c r="O62" i="8"/>
  <c r="O61" i="8"/>
  <c r="G45" i="3" s="1" a="1"/>
  <c r="G45" i="3" s="1"/>
  <c r="Q62" i="8"/>
  <c r="Q61" i="8"/>
  <c r="P108" i="7"/>
  <c r="C101" i="7" s="1"/>
  <c r="K117" i="7"/>
  <c r="K116" i="7"/>
  <c r="L117" i="7"/>
  <c r="L116" i="7"/>
  <c r="M117" i="7"/>
  <c r="M116" i="7"/>
  <c r="E15" i="3" s="1" a="1"/>
  <c r="E15" i="3" s="1"/>
  <c r="N117" i="7"/>
  <c r="N116" i="7"/>
  <c r="F15" i="3" s="1" a="1"/>
  <c r="F15" i="3" s="1"/>
  <c r="O117" i="7"/>
  <c r="O116" i="7"/>
  <c r="G15" i="3" s="1" a="1"/>
  <c r="G15" i="3" s="1"/>
  <c r="Q117" i="7"/>
  <c r="Q116" i="7"/>
  <c r="K15" i="3" s="1" a="1"/>
  <c r="K15" i="3" s="1"/>
  <c r="P21" i="6"/>
  <c r="P15" i="6"/>
  <c r="C8" i="6" s="1"/>
  <c r="K24" i="6"/>
  <c r="K23" i="6"/>
  <c r="L24" i="6"/>
  <c r="L23" i="6"/>
  <c r="M24" i="6"/>
  <c r="M23" i="6"/>
  <c r="N24" i="6"/>
  <c r="N23" i="6"/>
  <c r="O24" i="6"/>
  <c r="O23" i="6"/>
  <c r="Q24" i="6"/>
  <c r="Q23" i="6"/>
  <c r="I136" i="12"/>
  <c r="I139" i="12" s="1"/>
  <c r="G145" i="12"/>
  <c r="I142" i="12"/>
  <c r="F145" i="12"/>
  <c r="I128" i="12"/>
  <c r="I129" i="12" s="1"/>
  <c r="I73" i="13"/>
  <c r="P136" i="10"/>
  <c r="P130" i="10"/>
  <c r="C123" i="10" s="1"/>
  <c r="K139" i="10"/>
  <c r="K138" i="10"/>
  <c r="L139" i="10"/>
  <c r="L138" i="10"/>
  <c r="D6" i="3" s="1" a="1"/>
  <c r="D6" i="3" s="1"/>
  <c r="M139" i="10"/>
  <c r="M138" i="10"/>
  <c r="E6" i="3" s="1" a="1"/>
  <c r="E6" i="3" s="1"/>
  <c r="N139" i="10"/>
  <c r="N138" i="10"/>
  <c r="F6" i="3" s="1" a="1"/>
  <c r="F6" i="3" s="1"/>
  <c r="O139" i="10"/>
  <c r="O138" i="10"/>
  <c r="G6" i="3" s="1" a="1"/>
  <c r="G6" i="3" s="1"/>
  <c r="Q139" i="10"/>
  <c r="Q138" i="10"/>
  <c r="K6" i="3" s="1" a="1"/>
  <c r="K6" i="3" s="1"/>
  <c r="P59" i="13"/>
  <c r="P53" i="13"/>
  <c r="C46" i="13" s="1"/>
  <c r="K62" i="13"/>
  <c r="K61" i="13"/>
  <c r="L62" i="13"/>
  <c r="L61" i="13"/>
  <c r="M62" i="13"/>
  <c r="M61" i="13"/>
  <c r="N62" i="13"/>
  <c r="N61" i="13"/>
  <c r="O62" i="13"/>
  <c r="O61" i="13"/>
  <c r="Q62" i="13"/>
  <c r="Q61" i="13"/>
  <c r="P98" i="12"/>
  <c r="P92" i="12"/>
  <c r="C85" i="12" s="1"/>
  <c r="K101" i="12"/>
  <c r="K100" i="12"/>
  <c r="L101" i="12"/>
  <c r="L100" i="12"/>
  <c r="D12" i="3" s="1" a="1"/>
  <c r="D12" i="3" s="1"/>
  <c r="M101" i="12"/>
  <c r="M100" i="12"/>
  <c r="E12" i="3" s="1" a="1"/>
  <c r="E12" i="3" s="1"/>
  <c r="N101" i="12"/>
  <c r="N100" i="12"/>
  <c r="F12" i="3" s="1" a="1"/>
  <c r="F12" i="3" s="1"/>
  <c r="O101" i="12"/>
  <c r="O100" i="12"/>
  <c r="G12" i="3" s="1" a="1"/>
  <c r="G12" i="3" s="1"/>
  <c r="Q101" i="12"/>
  <c r="Q100" i="12"/>
  <c r="P102" i="5"/>
  <c r="P96" i="5"/>
  <c r="C89" i="5" s="1"/>
  <c r="K105" i="5"/>
  <c r="K104" i="5"/>
  <c r="L105" i="5"/>
  <c r="L104" i="5"/>
  <c r="D9" i="3" s="1" a="1"/>
  <c r="D9" i="3" s="1"/>
  <c r="M105" i="5"/>
  <c r="M104" i="5"/>
  <c r="E9" i="3" s="1" a="1"/>
  <c r="E9" i="3" s="1"/>
  <c r="N105" i="5"/>
  <c r="N104" i="5"/>
  <c r="F9" i="3" s="1" a="1"/>
  <c r="F9" i="3" s="1"/>
  <c r="O105" i="5"/>
  <c r="O104" i="5"/>
  <c r="G9" i="3" s="1" a="1"/>
  <c r="G9" i="3" s="1"/>
  <c r="Q105" i="5"/>
  <c r="Q104" i="5"/>
  <c r="K9" i="3" s="1" a="1"/>
  <c r="K9" i="3" s="1"/>
  <c r="P20" i="2"/>
  <c r="P14" i="2"/>
  <c r="C7" i="2" s="1"/>
  <c r="K23" i="2"/>
  <c r="K22" i="2"/>
  <c r="L23" i="2"/>
  <c r="L22" i="2"/>
  <c r="M23" i="2"/>
  <c r="M22" i="2"/>
  <c r="N23" i="2"/>
  <c r="N22" i="2"/>
  <c r="O23" i="2"/>
  <c r="O22" i="2"/>
  <c r="Q23" i="2"/>
  <c r="Q22" i="2"/>
  <c r="F154" i="2"/>
  <c r="F155" i="2" s="1"/>
  <c r="P164" i="2"/>
  <c r="P158" i="2"/>
  <c r="C151" i="2" s="1"/>
  <c r="K167" i="2"/>
  <c r="K166" i="2"/>
  <c r="L167" i="2"/>
  <c r="L166" i="2"/>
  <c r="M167" i="2"/>
  <c r="M166" i="2"/>
  <c r="N167" i="2"/>
  <c r="N166" i="2"/>
  <c r="O167" i="2"/>
  <c r="O166" i="2"/>
  <c r="Q167" i="2"/>
  <c r="Q166" i="2"/>
  <c r="M315" i="2"/>
  <c r="O294" i="2"/>
  <c r="O315" i="2" s="1"/>
  <c r="J316" i="2"/>
  <c r="D538" i="4" l="1"/>
  <c r="D547" i="4" s="1"/>
  <c r="K1561" i="8"/>
  <c r="D539" i="4" s="1" a="1"/>
  <c r="D539" i="4" s="1"/>
  <c r="P1557" i="8"/>
  <c r="R1557" i="8"/>
  <c r="N538" i="4" s="1"/>
  <c r="N547" i="4" s="1"/>
  <c r="G1555" i="8"/>
  <c r="B1635" i="9"/>
  <c r="B1636" i="9" s="1"/>
  <c r="B1637" i="9" s="1"/>
  <c r="B1638" i="9" s="1"/>
  <c r="B1639" i="9" s="1"/>
  <c r="C1553" i="8"/>
  <c r="C1230" i="17"/>
  <c r="I536" i="4" a="1"/>
  <c r="I536" i="4" s="1"/>
  <c r="M535" i="4"/>
  <c r="O535" i="4" s="1"/>
  <c r="K535" i="4"/>
  <c r="C1627" i="5"/>
  <c r="I530" i="4" a="1"/>
  <c r="I530" i="4" s="1"/>
  <c r="M529" i="4"/>
  <c r="O529" i="4" s="1"/>
  <c r="K529" i="4"/>
  <c r="C1586" i="12"/>
  <c r="I545" i="4" a="1"/>
  <c r="I545" i="4" s="1"/>
  <c r="M544" i="4"/>
  <c r="O544" i="4" s="1"/>
  <c r="K544" i="4"/>
  <c r="C1654" i="9"/>
  <c r="I542" i="4" a="1"/>
  <c r="I542" i="4" s="1"/>
  <c r="M541" i="4"/>
  <c r="O541" i="4" s="1"/>
  <c r="K541" i="4"/>
  <c r="L517" i="4"/>
  <c r="L523" i="4" s="1"/>
  <c r="Q1529" i="9"/>
  <c r="L518" i="4" s="1" a="1"/>
  <c r="L518" i="4" s="1"/>
  <c r="F1526" i="9"/>
  <c r="F1527" i="9" s="1"/>
  <c r="H1527" i="9" s="1"/>
  <c r="C861" i="20"/>
  <c r="I533" i="4" a="1"/>
  <c r="I533" i="4" s="1"/>
  <c r="M532" i="4"/>
  <c r="K532" i="4"/>
  <c r="J536" i="3"/>
  <c r="I537" i="3" s="1"/>
  <c r="L536" i="3"/>
  <c r="N518" i="3"/>
  <c r="N536" i="3" s="1"/>
  <c r="P1670" i="9"/>
  <c r="P1669" i="9"/>
  <c r="H531" i="3" s="1" a="1"/>
  <c r="H531" i="3" s="1"/>
  <c r="P1246" i="17"/>
  <c r="P1245" i="17"/>
  <c r="H525" i="3" s="1" a="1"/>
  <c r="H525" i="3" s="1"/>
  <c r="P877" i="20"/>
  <c r="P876" i="20"/>
  <c r="H522" i="3" s="1" a="1"/>
  <c r="H522" i="3" s="1"/>
  <c r="P1602" i="12"/>
  <c r="P1601" i="12"/>
  <c r="H534" i="3" s="1" a="1"/>
  <c r="H534" i="3" s="1"/>
  <c r="P1569" i="8"/>
  <c r="P1568" i="8"/>
  <c r="H528" i="3" s="1" a="1"/>
  <c r="H528" i="3" s="1"/>
  <c r="P1643" i="5"/>
  <c r="P1642" i="5"/>
  <c r="H519" i="3" s="1" a="1"/>
  <c r="H519" i="3" s="1"/>
  <c r="B1539" i="8"/>
  <c r="B1540" i="8" s="1"/>
  <c r="B1541" i="8" s="1"/>
  <c r="B1542" i="8" s="1"/>
  <c r="B1543" i="8" s="1"/>
  <c r="B1218" i="17"/>
  <c r="B1219" i="17" s="1"/>
  <c r="B1220" i="17" s="1"/>
  <c r="G508" i="4"/>
  <c r="N762" i="20"/>
  <c r="G509" i="4" s="1" a="1"/>
  <c r="G509" i="4" s="1"/>
  <c r="G520" i="4"/>
  <c r="N1496" i="12"/>
  <c r="G521" i="4" s="1" a="1"/>
  <c r="G521" i="4" s="1"/>
  <c r="L1496" i="12"/>
  <c r="E521" i="4" s="1" a="1"/>
  <c r="E521" i="4" s="1"/>
  <c r="E520" i="4"/>
  <c r="G517" i="4"/>
  <c r="N1529" i="9"/>
  <c r="G518" i="4" s="1" a="1"/>
  <c r="G518" i="4" s="1"/>
  <c r="G514" i="4"/>
  <c r="N1459" i="8"/>
  <c r="G515" i="4" s="1" a="1"/>
  <c r="G515" i="4" s="1"/>
  <c r="G505" i="4"/>
  <c r="N1541" i="5"/>
  <c r="G506" i="4" s="1" a="1"/>
  <c r="G506" i="4" s="1"/>
  <c r="B1478" i="8"/>
  <c r="B1479" i="8" s="1"/>
  <c r="B1480" i="8" s="1"/>
  <c r="F520" i="4"/>
  <c r="M1496" i="12"/>
  <c r="F521" i="4" s="1" a="1"/>
  <c r="F521" i="4" s="1"/>
  <c r="M1529" i="9"/>
  <c r="F518" i="4" s="1" a="1"/>
  <c r="F518" i="4" s="1"/>
  <c r="F517" i="4"/>
  <c r="B1481" i="8"/>
  <c r="B1482" i="8" s="1"/>
  <c r="B1483" i="8" s="1"/>
  <c r="B1484" i="8" s="1"/>
  <c r="B1485" i="8" s="1"/>
  <c r="B1486" i="8" s="1"/>
  <c r="C503" i="3"/>
  <c r="C512" i="3" s="1"/>
  <c r="P1463" i="8"/>
  <c r="H503" i="3" s="1"/>
  <c r="D497" i="3"/>
  <c r="D512" i="3" s="1"/>
  <c r="P766" i="20"/>
  <c r="H497" i="3" s="1"/>
  <c r="F508" i="4"/>
  <c r="M762" i="20"/>
  <c r="F509" i="4" s="1" a="1"/>
  <c r="F509" i="4" s="1"/>
  <c r="L1541" i="5"/>
  <c r="E506" i="4" s="1" a="1"/>
  <c r="E506" i="4" s="1"/>
  <c r="E505" i="4"/>
  <c r="F514" i="4"/>
  <c r="M1459" i="8"/>
  <c r="F515" i="4" s="1" a="1"/>
  <c r="F515" i="4" s="1"/>
  <c r="E517" i="4"/>
  <c r="L1529" i="9"/>
  <c r="E518" i="4" s="1" a="1"/>
  <c r="E518" i="4" s="1"/>
  <c r="R1525" i="9"/>
  <c r="N517" i="4" s="1"/>
  <c r="G1523" i="9"/>
  <c r="N506" i="3"/>
  <c r="C1521" i="9"/>
  <c r="D511" i="4"/>
  <c r="K1147" i="17"/>
  <c r="D512" i="4" s="1" a="1"/>
  <c r="D512" i="4" s="1"/>
  <c r="P1143" i="17"/>
  <c r="C754" i="20"/>
  <c r="D508" i="4"/>
  <c r="K762" i="20"/>
  <c r="D509" i="4" s="1" a="1"/>
  <c r="D509" i="4" s="1"/>
  <c r="P758" i="20"/>
  <c r="N674" i="20"/>
  <c r="G484" i="4" s="1" a="1"/>
  <c r="G484" i="4" s="1"/>
  <c r="G483" i="4"/>
  <c r="G498" i="4" s="1"/>
  <c r="I1490" i="5"/>
  <c r="F1437" i="5" s="1"/>
  <c r="I1593" i="5"/>
  <c r="I1484" i="5"/>
  <c r="F1435" i="5" s="1"/>
  <c r="F1436" i="5" s="1"/>
  <c r="B1500" i="5"/>
  <c r="B1501" i="5" s="1"/>
  <c r="B1502" i="5" s="1"/>
  <c r="O1436" i="5"/>
  <c r="H481" i="4" s="1" a="1"/>
  <c r="H481" i="4" s="1"/>
  <c r="H480" i="4"/>
  <c r="H498" i="4" s="1"/>
  <c r="D505" i="4"/>
  <c r="K1541" i="5"/>
  <c r="D506" i="4" s="1" a="1"/>
  <c r="D506" i="4" s="1"/>
  <c r="P1537" i="5"/>
  <c r="I228" i="24"/>
  <c r="K1529" i="9"/>
  <c r="D518" i="4" s="1" a="1"/>
  <c r="D518" i="4" s="1"/>
  <c r="P1525" i="9"/>
  <c r="I517" i="4" s="1"/>
  <c r="D514" i="4"/>
  <c r="K1459" i="8"/>
  <c r="D515" i="4" s="1" a="1"/>
  <c r="D515" i="4" s="1"/>
  <c r="P1455" i="8"/>
  <c r="I1530" i="12"/>
  <c r="D520" i="4"/>
  <c r="D523" i="4" s="1"/>
  <c r="K1496" i="12"/>
  <c r="D521" i="4" s="1" a="1"/>
  <c r="D521" i="4" s="1"/>
  <c r="P1492" i="12"/>
  <c r="N520" i="4"/>
  <c r="C379" i="23"/>
  <c r="C1488" i="12"/>
  <c r="C1533" i="5"/>
  <c r="B1433" i="8"/>
  <c r="B1434" i="8" s="1"/>
  <c r="B1435" i="8" s="1"/>
  <c r="B1436" i="8" s="1"/>
  <c r="B1437" i="8" s="1"/>
  <c r="B1438" i="8" s="1"/>
  <c r="B1439" i="8" s="1"/>
  <c r="B1440" i="8" s="1"/>
  <c r="B1441" i="8" s="1"/>
  <c r="C1451" i="8"/>
  <c r="B697" i="20"/>
  <c r="B698" i="20" s="1"/>
  <c r="B699" i="20" s="1"/>
  <c r="C1139" i="17"/>
  <c r="Q1042" i="17"/>
  <c r="S500" i="4" s="1"/>
  <c r="I1081" i="17"/>
  <c r="N494" i="3"/>
  <c r="P393" i="23"/>
  <c r="P392" i="23"/>
  <c r="P204" i="24"/>
  <c r="P203" i="24"/>
  <c r="P1155" i="17"/>
  <c r="P1154" i="17"/>
  <c r="H501" i="3" s="1" a="1"/>
  <c r="H501" i="3" s="1"/>
  <c r="P770" i="20"/>
  <c r="P769" i="20"/>
  <c r="H498" i="3" s="1" a="1"/>
  <c r="H498" i="3" s="1"/>
  <c r="P1504" i="12"/>
  <c r="P1503" i="12"/>
  <c r="H510" i="3" s="1" a="1"/>
  <c r="H510" i="3" s="1"/>
  <c r="P1467" i="8"/>
  <c r="P1466" i="8"/>
  <c r="H504" i="3" s="1" a="1"/>
  <c r="H504" i="3" s="1"/>
  <c r="P1549" i="5"/>
  <c r="P1548" i="5"/>
  <c r="H495" i="3" s="1" a="1"/>
  <c r="H495" i="3" s="1"/>
  <c r="L480" i="4"/>
  <c r="Q1436" i="5"/>
  <c r="L481" i="4" s="1" a="1"/>
  <c r="L481" i="4" s="1"/>
  <c r="F1433" i="5"/>
  <c r="F1434" i="5" s="1"/>
  <c r="I1607" i="9"/>
  <c r="P1537" i="9"/>
  <c r="P1536" i="9"/>
  <c r="H507" i="3" s="1" a="1"/>
  <c r="H507" i="3" s="1"/>
  <c r="P1192" i="14"/>
  <c r="P1191" i="14"/>
  <c r="D485" i="3"/>
  <c r="D488" i="3" s="1"/>
  <c r="P1415" i="12"/>
  <c r="H485" i="3" s="1"/>
  <c r="B1468" i="5"/>
  <c r="B1469" i="5" s="1"/>
  <c r="B1470" i="5" s="1"/>
  <c r="B1471" i="5" s="1"/>
  <c r="B1472" i="5" s="1"/>
  <c r="F495" i="4"/>
  <c r="M1411" i="12"/>
  <c r="F496" i="4" s="1" a="1"/>
  <c r="F496" i="4" s="1"/>
  <c r="E489" i="4"/>
  <c r="L1366" i="8"/>
  <c r="E490" i="4" s="1" a="1"/>
  <c r="E490" i="4" s="1"/>
  <c r="F483" i="4"/>
  <c r="M674" i="20"/>
  <c r="F484" i="4" s="1" a="1"/>
  <c r="F484" i="4" s="1"/>
  <c r="E492" i="4"/>
  <c r="L307" i="23"/>
  <c r="E493" i="4" s="1" a="1"/>
  <c r="E493" i="4" s="1"/>
  <c r="I1503" i="5"/>
  <c r="N480" i="4"/>
  <c r="E480" i="4"/>
  <c r="E498" i="4" s="1"/>
  <c r="L1436" i="5"/>
  <c r="E481" i="4" s="1" a="1"/>
  <c r="E481" i="4" s="1"/>
  <c r="R303" i="23"/>
  <c r="N492" i="4" s="1"/>
  <c r="G301" i="23"/>
  <c r="N479" i="3"/>
  <c r="I253" i="23"/>
  <c r="F218" i="23" s="1"/>
  <c r="F219" i="23" s="1"/>
  <c r="H219" i="23" s="1"/>
  <c r="D492" i="4"/>
  <c r="K307" i="23"/>
  <c r="D493" i="4" s="1" a="1"/>
  <c r="D493" i="4" s="1"/>
  <c r="P303" i="23"/>
  <c r="C1458" i="9"/>
  <c r="I1501" i="9"/>
  <c r="D489" i="4"/>
  <c r="K1366" i="8"/>
  <c r="D490" i="4" s="1" a="1"/>
  <c r="D490" i="4" s="1"/>
  <c r="P1362" i="8"/>
  <c r="N489" i="4"/>
  <c r="D480" i="4"/>
  <c r="K1436" i="5"/>
  <c r="D481" i="4" s="1" a="1"/>
  <c r="D481" i="4" s="1"/>
  <c r="P1432" i="5"/>
  <c r="D495" i="4"/>
  <c r="K1411" i="12"/>
  <c r="D496" i="4" s="1" a="1"/>
  <c r="D496" i="4" s="1"/>
  <c r="P1407" i="12"/>
  <c r="R1407" i="12"/>
  <c r="G1405" i="12"/>
  <c r="D486" i="4"/>
  <c r="K1046" i="17"/>
  <c r="D487" i="4" s="1" a="1"/>
  <c r="D487" i="4" s="1"/>
  <c r="P1042" i="17"/>
  <c r="C1403" i="12"/>
  <c r="C299" i="23"/>
  <c r="C1358" i="8"/>
  <c r="C1038" i="17"/>
  <c r="D483" i="4"/>
  <c r="K674" i="20"/>
  <c r="D484" i="4" s="1" a="1"/>
  <c r="D484" i="4" s="1"/>
  <c r="P670" i="20"/>
  <c r="C666" i="20"/>
  <c r="C1428" i="5"/>
  <c r="D440" i="3"/>
  <c r="D464" i="3" s="1"/>
  <c r="P1353" i="5"/>
  <c r="L1357" i="5"/>
  <c r="D441" i="3" s="1" a="1"/>
  <c r="D441" i="3" s="1"/>
  <c r="R933" i="17"/>
  <c r="G931" i="17"/>
  <c r="I179" i="24"/>
  <c r="N470" i="3"/>
  <c r="P315" i="23"/>
  <c r="P314" i="23"/>
  <c r="H483" i="3" s="1" a="1"/>
  <c r="H483" i="3" s="1"/>
  <c r="P166" i="24"/>
  <c r="P165" i="24"/>
  <c r="P1474" i="9"/>
  <c r="P1473" i="9"/>
  <c r="P1054" i="17"/>
  <c r="P1053" i="17"/>
  <c r="H477" i="3" s="1" a="1"/>
  <c r="H477" i="3" s="1"/>
  <c r="P682" i="20"/>
  <c r="P681" i="20"/>
  <c r="H474" i="3" s="1" a="1"/>
  <c r="H474" i="3" s="1"/>
  <c r="P1419" i="12"/>
  <c r="P1418" i="12"/>
  <c r="H486" i="3" s="1" a="1"/>
  <c r="H486" i="3" s="1"/>
  <c r="P1374" i="8"/>
  <c r="P1373" i="8"/>
  <c r="H480" i="3" s="1" a="1"/>
  <c r="H480" i="3" s="1"/>
  <c r="P1444" i="5"/>
  <c r="P1443" i="5"/>
  <c r="H471" i="3" s="1" a="1"/>
  <c r="H471" i="3" s="1"/>
  <c r="H470" i="4"/>
  <c r="O1321" i="12"/>
  <c r="H471" i="4" s="1" a="1"/>
  <c r="H471" i="4" s="1"/>
  <c r="H464" i="4"/>
  <c r="O219" i="23"/>
  <c r="H465" i="4" s="1" a="1"/>
  <c r="H465" i="4" s="1"/>
  <c r="N461" i="4"/>
  <c r="G464" i="4"/>
  <c r="N219" i="23"/>
  <c r="G465" i="4" s="1" a="1"/>
  <c r="G465" i="4" s="1"/>
  <c r="H458" i="4"/>
  <c r="O1270" i="8"/>
  <c r="H459" i="4" s="1" a="1"/>
  <c r="H459" i="4" s="1"/>
  <c r="G458" i="4"/>
  <c r="N1270" i="8"/>
  <c r="G459" i="4" s="1" a="1"/>
  <c r="G459" i="4" s="1"/>
  <c r="F455" i="4"/>
  <c r="M937" i="17"/>
  <c r="F456" i="4" s="1" a="1"/>
  <c r="F456" i="4" s="1"/>
  <c r="G455" i="4"/>
  <c r="N937" i="17"/>
  <c r="G456" i="4" s="1" a="1"/>
  <c r="G456" i="4" s="1"/>
  <c r="H455" i="4"/>
  <c r="H473" i="4" s="1"/>
  <c r="O937" i="17"/>
  <c r="H456" i="4" s="1" a="1"/>
  <c r="H456" i="4" s="1"/>
  <c r="G452" i="4"/>
  <c r="N588" i="20"/>
  <c r="G453" i="4" s="1" a="1"/>
  <c r="G453" i="4" s="1"/>
  <c r="N467" i="4"/>
  <c r="G449" i="4"/>
  <c r="N1349" i="5"/>
  <c r="G450" i="4" s="1" a="1"/>
  <c r="G450" i="4" s="1"/>
  <c r="I1162" i="14"/>
  <c r="G470" i="4"/>
  <c r="N1321" i="12"/>
  <c r="G471" i="4" s="1" a="1"/>
  <c r="G471" i="4" s="1"/>
  <c r="G213" i="23"/>
  <c r="R215" i="23"/>
  <c r="N464" i="4" s="1"/>
  <c r="E464" i="4"/>
  <c r="P215" i="23"/>
  <c r="L219" i="23"/>
  <c r="E465" i="4" s="1" a="1"/>
  <c r="E465" i="4" s="1"/>
  <c r="F464" i="4"/>
  <c r="M219" i="23"/>
  <c r="F465" i="4" s="1" a="1"/>
  <c r="F465" i="4" s="1"/>
  <c r="F470" i="4"/>
  <c r="M1321" i="12"/>
  <c r="F471" i="4" s="1" a="1"/>
  <c r="F471" i="4" s="1"/>
  <c r="C449" i="3"/>
  <c r="P1274" i="8"/>
  <c r="K1278" i="8"/>
  <c r="C450" i="3" s="1" a="1"/>
  <c r="C450" i="3" s="1"/>
  <c r="G1264" i="8"/>
  <c r="R1266" i="8"/>
  <c r="N458" i="4" s="1"/>
  <c r="D455" i="4"/>
  <c r="K937" i="17"/>
  <c r="D456" i="4" s="1" a="1"/>
  <c r="D456" i="4" s="1"/>
  <c r="E452" i="4"/>
  <c r="L588" i="20"/>
  <c r="E453" i="4" s="1" a="1"/>
  <c r="E453" i="4" s="1"/>
  <c r="G1343" i="5"/>
  <c r="R1345" i="5"/>
  <c r="N449" i="4" s="1"/>
  <c r="E470" i="4"/>
  <c r="L1321" i="12"/>
  <c r="E471" i="4" s="1" a="1"/>
  <c r="E471" i="4" s="1"/>
  <c r="E455" i="4"/>
  <c r="P933" i="17"/>
  <c r="L937" i="17"/>
  <c r="E456" i="4" s="1" a="1"/>
  <c r="E456" i="4" s="1"/>
  <c r="E449" i="4"/>
  <c r="L1349" i="5"/>
  <c r="E450" i="4" s="1" a="1"/>
  <c r="E450" i="4" s="1"/>
  <c r="L1270" i="8"/>
  <c r="E459" i="4" s="1" a="1"/>
  <c r="E459" i="4" s="1"/>
  <c r="E458" i="4"/>
  <c r="E461" i="4"/>
  <c r="P1387" i="9"/>
  <c r="L1391" i="9"/>
  <c r="E462" i="4" s="1" a="1"/>
  <c r="E462" i="4" s="1"/>
  <c r="C461" i="3"/>
  <c r="C464" i="3" s="1"/>
  <c r="P1325" i="12"/>
  <c r="K1329" i="12"/>
  <c r="C462" i="3" s="1" a="1"/>
  <c r="C462" i="3" s="1"/>
  <c r="N452" i="4"/>
  <c r="D470" i="4"/>
  <c r="P1317" i="12"/>
  <c r="K1321" i="12"/>
  <c r="D471" i="4" s="1" a="1"/>
  <c r="D471" i="4" s="1"/>
  <c r="I1146" i="14"/>
  <c r="I1042" i="14"/>
  <c r="I1032" i="14"/>
  <c r="D467" i="4"/>
  <c r="P1083" i="14"/>
  <c r="K1087" i="14"/>
  <c r="D468" i="4" s="1" a="1"/>
  <c r="D468" i="4" s="1"/>
  <c r="I179" i="23"/>
  <c r="F139" i="23" s="1"/>
  <c r="I141" i="24"/>
  <c r="I413" i="11"/>
  <c r="I1430" i="9"/>
  <c r="B1230" i="8"/>
  <c r="I1212" i="8"/>
  <c r="F1176" i="8" s="1"/>
  <c r="I1231" i="8"/>
  <c r="D452" i="4"/>
  <c r="P584" i="20"/>
  <c r="K588" i="20"/>
  <c r="D453" i="4" s="1" a="1"/>
  <c r="D453" i="4" s="1"/>
  <c r="D449" i="4"/>
  <c r="P1345" i="5"/>
  <c r="K1349" i="5"/>
  <c r="D450" i="4" s="1" a="1"/>
  <c r="D450" i="4" s="1"/>
  <c r="D458" i="4"/>
  <c r="P1266" i="8"/>
  <c r="K1270" i="8"/>
  <c r="D459" i="4" s="1" a="1"/>
  <c r="D459" i="4" s="1"/>
  <c r="H439" i="4"/>
  <c r="O1235" i="12"/>
  <c r="H440" i="4" s="1" a="1"/>
  <c r="H440" i="4" s="1"/>
  <c r="O1177" i="8"/>
  <c r="H422" i="4" s="1" a="1"/>
  <c r="H422" i="4" s="1"/>
  <c r="H421" i="4"/>
  <c r="S444" i="4"/>
  <c r="L412" i="4"/>
  <c r="L442" i="4" s="1"/>
  <c r="Q1250" i="5"/>
  <c r="L413" i="4" s="1" a="1"/>
  <c r="L413" i="4" s="1"/>
  <c r="F1247" i="5"/>
  <c r="F1248" i="5" s="1"/>
  <c r="H412" i="4"/>
  <c r="O1250" i="5"/>
  <c r="H413" i="4" s="1" a="1"/>
  <c r="H413" i="4" s="1"/>
  <c r="H436" i="4"/>
  <c r="O970" i="14"/>
  <c r="H437" i="4" s="1" a="1"/>
  <c r="H437" i="4" s="1"/>
  <c r="H427" i="4"/>
  <c r="O1315" i="9"/>
  <c r="H428" i="4" s="1" a="1"/>
  <c r="H428" i="4" s="1"/>
  <c r="E433" i="4"/>
  <c r="L72" i="24"/>
  <c r="E434" i="4" s="1" a="1"/>
  <c r="E434" i="4" s="1"/>
  <c r="P68" i="24"/>
  <c r="C384" i="11"/>
  <c r="I431" i="4" a="1"/>
  <c r="I431" i="4" s="1"/>
  <c r="I1359" i="9"/>
  <c r="B913" i="17"/>
  <c r="B914" i="17" s="1"/>
  <c r="B915" i="17" s="1"/>
  <c r="B916" i="17" s="1"/>
  <c r="B917" i="17" s="1"/>
  <c r="B918" i="17" s="1"/>
  <c r="B919" i="17" s="1"/>
  <c r="G436" i="4"/>
  <c r="N970" i="14"/>
  <c r="G437" i="4" s="1" a="1"/>
  <c r="G437" i="4" s="1"/>
  <c r="G439" i="4"/>
  <c r="N1235" i="12"/>
  <c r="G440" i="4" s="1" a="1"/>
  <c r="G440" i="4" s="1"/>
  <c r="G427" i="4"/>
  <c r="N1315" i="9"/>
  <c r="G428" i="4" s="1" a="1"/>
  <c r="G428" i="4" s="1"/>
  <c r="P1311" i="9"/>
  <c r="R1311" i="9"/>
  <c r="N427" i="4" s="1"/>
  <c r="G1309" i="9"/>
  <c r="G424" i="4"/>
  <c r="N140" i="23"/>
  <c r="G425" i="4" s="1" a="1"/>
  <c r="G425" i="4" s="1"/>
  <c r="F436" i="4"/>
  <c r="F442" i="4" s="1"/>
  <c r="M970" i="14"/>
  <c r="F437" i="4" s="1" a="1"/>
  <c r="F437" i="4" s="1"/>
  <c r="B521" i="20"/>
  <c r="B522" i="20" s="1"/>
  <c r="B523" i="20" s="1"/>
  <c r="B524" i="20" s="1"/>
  <c r="E439" i="4"/>
  <c r="L1235" i="12"/>
  <c r="E440" i="4" s="1" a="1"/>
  <c r="E440" i="4" s="1"/>
  <c r="P1231" i="12"/>
  <c r="B159" i="23"/>
  <c r="B160" i="23" s="1"/>
  <c r="B161" i="23" s="1"/>
  <c r="B162" i="23" s="1"/>
  <c r="B163" i="23" s="1"/>
  <c r="B164" i="23" s="1"/>
  <c r="B165" i="23" s="1"/>
  <c r="B166" i="23" s="1"/>
  <c r="B167" i="23" s="1"/>
  <c r="B168" i="23" s="1"/>
  <c r="B169" i="23" s="1"/>
  <c r="B170" i="23" s="1"/>
  <c r="D416" i="3"/>
  <c r="D434" i="3" s="1"/>
  <c r="P144" i="23"/>
  <c r="H416" i="3" s="1"/>
  <c r="I933" i="14"/>
  <c r="I892" i="14"/>
  <c r="R1074" i="8"/>
  <c r="G1072" i="8"/>
  <c r="E421" i="4"/>
  <c r="L1177" i="8"/>
  <c r="E422" i="4" s="1" a="1"/>
  <c r="E422" i="4" s="1"/>
  <c r="P1173" i="8"/>
  <c r="I1310" i="5"/>
  <c r="E424" i="4"/>
  <c r="L140" i="23"/>
  <c r="E425" i="4" s="1" a="1"/>
  <c r="E425" i="4" s="1"/>
  <c r="E415" i="4"/>
  <c r="L503" i="20"/>
  <c r="E416" i="4" s="1" a="1"/>
  <c r="E416" i="4" s="1"/>
  <c r="M397" i="3"/>
  <c r="D424" i="4"/>
  <c r="K140" i="23"/>
  <c r="D425" i="4" s="1" a="1"/>
  <c r="D425" i="4" s="1"/>
  <c r="P136" i="23"/>
  <c r="D436" i="4"/>
  <c r="K970" i="14"/>
  <c r="D437" i="4" s="1" a="1"/>
  <c r="D437" i="4" s="1"/>
  <c r="P966" i="14"/>
  <c r="R966" i="14"/>
  <c r="G964" i="14"/>
  <c r="N428" i="3"/>
  <c r="P400" i="11"/>
  <c r="P399" i="11"/>
  <c r="H423" i="3" s="1" a="1"/>
  <c r="H423" i="3" s="1"/>
  <c r="C962" i="14"/>
  <c r="C1227" i="12"/>
  <c r="S408" i="4"/>
  <c r="L403" i="4"/>
  <c r="L406" i="4" s="1"/>
  <c r="Q1131" i="12"/>
  <c r="L404" i="4" s="1" a="1"/>
  <c r="L404" i="4" s="1"/>
  <c r="F1128" i="12"/>
  <c r="F1129" i="12" s="1"/>
  <c r="H1129" i="12" s="1"/>
  <c r="C132" i="23"/>
  <c r="C64" i="24"/>
  <c r="C1307" i="9"/>
  <c r="C1169" i="8"/>
  <c r="B777" i="17"/>
  <c r="B778" i="17" s="1"/>
  <c r="B779" i="17" s="1"/>
  <c r="B780" i="17" s="1"/>
  <c r="D418" i="4"/>
  <c r="K838" i="17"/>
  <c r="D419" i="4" s="1" a="1"/>
  <c r="D419" i="4" s="1"/>
  <c r="P834" i="17"/>
  <c r="C830" i="17"/>
  <c r="D415" i="4"/>
  <c r="K503" i="20"/>
  <c r="D416" i="4" s="1" a="1"/>
  <c r="D416" i="4" s="1"/>
  <c r="P499" i="20"/>
  <c r="C495" i="20"/>
  <c r="D412" i="4"/>
  <c r="D442" i="4" s="1"/>
  <c r="K1250" i="5"/>
  <c r="D413" i="4" s="1" a="1"/>
  <c r="D413" i="4" s="1"/>
  <c r="P1246" i="5"/>
  <c r="F1244" i="5" s="1"/>
  <c r="C1242" i="5"/>
  <c r="N404" i="3"/>
  <c r="P1243" i="12"/>
  <c r="P1242" i="12"/>
  <c r="H432" i="3" s="1" a="1"/>
  <c r="H432" i="3" s="1"/>
  <c r="P1185" i="8"/>
  <c r="P1184" i="8"/>
  <c r="P978" i="14"/>
  <c r="P977" i="14"/>
  <c r="H429" i="3" s="1" a="1"/>
  <c r="H429" i="3" s="1"/>
  <c r="P148" i="23"/>
  <c r="P147" i="23"/>
  <c r="H417" i="3" s="1" a="1"/>
  <c r="H417" i="3" s="1"/>
  <c r="P80" i="24"/>
  <c r="P79" i="24"/>
  <c r="H426" i="3" s="1" a="1"/>
  <c r="H426" i="3" s="1"/>
  <c r="P1323" i="9"/>
  <c r="P1322" i="9"/>
  <c r="H420" i="3" s="1" a="1"/>
  <c r="H420" i="3" s="1"/>
  <c r="P334" i="7"/>
  <c r="P333" i="7"/>
  <c r="P846" i="17"/>
  <c r="P845" i="17"/>
  <c r="H411" i="3" s="1" a="1"/>
  <c r="H411" i="3" s="1"/>
  <c r="P511" i="20"/>
  <c r="P510" i="20"/>
  <c r="H408" i="3" s="1" a="1"/>
  <c r="H408" i="3" s="1"/>
  <c r="P1258" i="5"/>
  <c r="P1257" i="5"/>
  <c r="H385" i="4"/>
  <c r="O753" i="17"/>
  <c r="H386" i="4" s="1" a="1"/>
  <c r="H386" i="4" s="1"/>
  <c r="G385" i="4"/>
  <c r="N753" i="17"/>
  <c r="G386" i="4" s="1" a="1"/>
  <c r="G386" i="4" s="1"/>
  <c r="B1238" i="9"/>
  <c r="B1239" i="9" s="1"/>
  <c r="B1240" i="9" s="1"/>
  <c r="B1241" i="9" s="1"/>
  <c r="F385" i="3"/>
  <c r="F397" i="3" s="1"/>
  <c r="P1220" i="9"/>
  <c r="H385" i="3" s="1"/>
  <c r="H397" i="3" s="1"/>
  <c r="F394" i="4"/>
  <c r="M1216" i="9"/>
  <c r="F395" i="4" s="1" a="1"/>
  <c r="F395" i="4" s="1"/>
  <c r="G403" i="4"/>
  <c r="N1131" i="12"/>
  <c r="G404" i="4" s="1" a="1"/>
  <c r="G404" i="4" s="1"/>
  <c r="H388" i="4"/>
  <c r="O1078" i="8"/>
  <c r="H389" i="4" s="1" a="1"/>
  <c r="H389" i="4" s="1"/>
  <c r="B1102" i="8"/>
  <c r="B1103" i="8" s="1"/>
  <c r="B1104" i="8" s="1"/>
  <c r="B1105" i="8" s="1"/>
  <c r="B1106" i="8" s="1"/>
  <c r="B1107" i="8" s="1"/>
  <c r="B1155" i="8"/>
  <c r="B1156" i="8" s="1"/>
  <c r="B1157" i="8" s="1"/>
  <c r="N1078" i="8"/>
  <c r="G389" i="4" s="1" a="1"/>
  <c r="G389" i="4" s="1"/>
  <c r="G388" i="4"/>
  <c r="B811" i="17"/>
  <c r="R11" i="24"/>
  <c r="N397" i="4" s="1"/>
  <c r="G9" i="24"/>
  <c r="H397" i="4"/>
  <c r="O15" i="24"/>
  <c r="H398" i="4" s="1" a="1"/>
  <c r="H398" i="4" s="1"/>
  <c r="G400" i="4"/>
  <c r="N851" i="14"/>
  <c r="G401" i="4" s="1" a="1"/>
  <c r="G401" i="4" s="1"/>
  <c r="G394" i="4"/>
  <c r="N1216" i="9"/>
  <c r="G395" i="4" s="1" a="1"/>
  <c r="G395" i="4" s="1"/>
  <c r="G397" i="4"/>
  <c r="N15" i="24"/>
  <c r="G398" i="4" s="1" a="1"/>
  <c r="G398" i="4" s="1"/>
  <c r="P11" i="24"/>
  <c r="R61" i="23"/>
  <c r="N391" i="4" s="1"/>
  <c r="G59" i="23"/>
  <c r="E391" i="4"/>
  <c r="L65" i="23"/>
  <c r="E392" i="4" s="1" a="1"/>
  <c r="E392" i="4" s="1"/>
  <c r="F391" i="4"/>
  <c r="M65" i="23"/>
  <c r="F392" i="4" s="1" a="1"/>
  <c r="F392" i="4" s="1"/>
  <c r="B878" i="14"/>
  <c r="C7" i="24"/>
  <c r="P23" i="24"/>
  <c r="P22" i="24"/>
  <c r="H389" i="3" s="1" a="1"/>
  <c r="H389" i="3" s="1"/>
  <c r="F400" i="4"/>
  <c r="M851" i="14"/>
  <c r="F401" i="4" s="1" a="1"/>
  <c r="F401" i="4" s="1"/>
  <c r="F403" i="4"/>
  <c r="M1131" i="12"/>
  <c r="F404" i="4" s="1" a="1"/>
  <c r="F404" i="4" s="1"/>
  <c r="L1131" i="12"/>
  <c r="E404" i="4" s="1" a="1"/>
  <c r="E404" i="4" s="1"/>
  <c r="E403" i="4"/>
  <c r="D403" i="4"/>
  <c r="K1131" i="12"/>
  <c r="D404" i="4" s="1" a="1"/>
  <c r="D404" i="4" s="1"/>
  <c r="P1127" i="12"/>
  <c r="G1125" i="12"/>
  <c r="E400" i="4"/>
  <c r="L851" i="14"/>
  <c r="E401" i="4" s="1" a="1"/>
  <c r="E401" i="4" s="1"/>
  <c r="I1253" i="9"/>
  <c r="I1270" i="9"/>
  <c r="D388" i="4"/>
  <c r="K1078" i="8"/>
  <c r="D389" i="4" s="1" a="1"/>
  <c r="D389" i="4" s="1"/>
  <c r="N379" i="4"/>
  <c r="E379" i="4"/>
  <c r="L1190" i="5"/>
  <c r="E380" i="4" s="1" a="1"/>
  <c r="E380" i="4" s="1"/>
  <c r="E388" i="4"/>
  <c r="L1078" i="8"/>
  <c r="E389" i="4" s="1" a="1"/>
  <c r="E389" i="4" s="1"/>
  <c r="P1074" i="8"/>
  <c r="D391" i="4"/>
  <c r="K65" i="23"/>
  <c r="D392" i="4" s="1" a="1"/>
  <c r="D392" i="4" s="1"/>
  <c r="P61" i="23"/>
  <c r="D379" i="4"/>
  <c r="K1190" i="5"/>
  <c r="D380" i="4" s="1" a="1"/>
  <c r="D380" i="4" s="1"/>
  <c r="P1186" i="5"/>
  <c r="D385" i="4"/>
  <c r="K753" i="17"/>
  <c r="D386" i="4" s="1" a="1"/>
  <c r="D386" i="4" s="1"/>
  <c r="P749" i="17"/>
  <c r="D382" i="4"/>
  <c r="K415" i="20"/>
  <c r="D383" i="4" s="1" a="1"/>
  <c r="D383" i="4" s="1"/>
  <c r="P411" i="20"/>
  <c r="D394" i="4"/>
  <c r="K1216" i="9"/>
  <c r="D395" i="4" s="1" a="1"/>
  <c r="D395" i="4" s="1"/>
  <c r="P1212" i="9"/>
  <c r="L1127" i="9"/>
  <c r="E361" i="4" s="1" a="1"/>
  <c r="E361" i="4" s="1"/>
  <c r="E360" i="4"/>
  <c r="R764" i="14"/>
  <c r="M355" i="3" s="1"/>
  <c r="P355" i="3"/>
  <c r="D400" i="4"/>
  <c r="K851" i="14"/>
  <c r="D401" i="4" s="1" a="1"/>
  <c r="D401" i="4" s="1"/>
  <c r="P847" i="14"/>
  <c r="C1123" i="12"/>
  <c r="C843" i="14"/>
  <c r="C1208" i="9"/>
  <c r="C57" i="23"/>
  <c r="C1070" i="8"/>
  <c r="N376" i="3"/>
  <c r="P73" i="23"/>
  <c r="P72" i="23"/>
  <c r="C407" i="20"/>
  <c r="C745" i="17"/>
  <c r="C1182" i="5"/>
  <c r="N370" i="3"/>
  <c r="I1130" i="8"/>
  <c r="I1048" i="8"/>
  <c r="I453" i="20"/>
  <c r="P859" i="14"/>
  <c r="P858" i="14"/>
  <c r="H392" i="3" s="1" a="1"/>
  <c r="H392" i="3" s="1"/>
  <c r="P1224" i="9"/>
  <c r="P1223" i="9"/>
  <c r="H386" i="3" s="1" a="1"/>
  <c r="H386" i="3" s="1"/>
  <c r="P761" i="17"/>
  <c r="P760" i="17"/>
  <c r="H377" i="3" s="1" a="1"/>
  <c r="H377" i="3" s="1"/>
  <c r="P423" i="20"/>
  <c r="P422" i="20"/>
  <c r="H374" i="3" s="1" a="1"/>
  <c r="H374" i="3" s="1"/>
  <c r="P1198" i="5"/>
  <c r="P1197" i="5"/>
  <c r="H371" i="3" s="1" a="1"/>
  <c r="H371" i="3" s="1"/>
  <c r="G348" i="4"/>
  <c r="N1122" i="5"/>
  <c r="G349" i="4" s="1" a="1"/>
  <c r="G349" i="4" s="1"/>
  <c r="P1139" i="12"/>
  <c r="P1138" i="12"/>
  <c r="H395" i="3" s="1" a="1"/>
  <c r="H395" i="3" s="1"/>
  <c r="P1086" i="8"/>
  <c r="P1085" i="8"/>
  <c r="H380" i="3" s="1" a="1"/>
  <c r="H380" i="3" s="1"/>
  <c r="G360" i="4"/>
  <c r="N1127" i="9"/>
  <c r="G361" i="4" s="1" a="1"/>
  <c r="G361" i="4" s="1"/>
  <c r="G354" i="4"/>
  <c r="N667" i="17"/>
  <c r="G355" i="4" s="1" a="1"/>
  <c r="G355" i="4" s="1"/>
  <c r="E354" i="4"/>
  <c r="L667" i="17"/>
  <c r="E355" i="4" s="1" a="1"/>
  <c r="E355" i="4" s="1"/>
  <c r="G363" i="4"/>
  <c r="G372" i="4" s="1"/>
  <c r="N760" i="14"/>
  <c r="G364" i="4" s="1" a="1"/>
  <c r="G364" i="4" s="1"/>
  <c r="N357" i="4"/>
  <c r="F357" i="4"/>
  <c r="M1003" i="8"/>
  <c r="F358" i="4" s="1" a="1"/>
  <c r="F358" i="4" s="1"/>
  <c r="F360" i="4"/>
  <c r="M1127" i="9"/>
  <c r="F361" i="4" s="1" a="1"/>
  <c r="F361" i="4" s="1"/>
  <c r="F351" i="4"/>
  <c r="M339" i="20"/>
  <c r="F352" i="4" s="1" a="1"/>
  <c r="F352" i="4" s="1"/>
  <c r="F354" i="4"/>
  <c r="M667" i="17"/>
  <c r="F355" i="4" s="1" a="1"/>
  <c r="F355" i="4" s="1"/>
  <c r="R756" i="14"/>
  <c r="N363" i="4" s="1"/>
  <c r="F363" i="4"/>
  <c r="F372" i="4" s="1"/>
  <c r="M760" i="14"/>
  <c r="F364" i="4" s="1" a="1"/>
  <c r="F364" i="4" s="1"/>
  <c r="E366" i="4"/>
  <c r="L1043" i="12"/>
  <c r="E367" i="4" s="1" a="1"/>
  <c r="E367" i="4" s="1"/>
  <c r="L339" i="20"/>
  <c r="E352" i="4" s="1" a="1"/>
  <c r="E352" i="4" s="1"/>
  <c r="E351" i="4"/>
  <c r="E348" i="4"/>
  <c r="L1122" i="5"/>
  <c r="E349" i="4" s="1" a="1"/>
  <c r="E349" i="4" s="1"/>
  <c r="E363" i="4"/>
  <c r="E372" i="4" s="1"/>
  <c r="L760" i="14"/>
  <c r="E364" i="4" s="1" a="1"/>
  <c r="E364" i="4" s="1"/>
  <c r="C346" i="3"/>
  <c r="P671" i="17"/>
  <c r="H346" i="3" s="1"/>
  <c r="R671" i="17"/>
  <c r="M346" i="3" s="1"/>
  <c r="M364" i="3" s="1"/>
  <c r="C355" i="3"/>
  <c r="P764" i="14"/>
  <c r="H355" i="3" s="1"/>
  <c r="K756" i="14"/>
  <c r="G754" i="14"/>
  <c r="D357" i="4"/>
  <c r="K1003" i="8"/>
  <c r="D358" i="4" s="1" a="1"/>
  <c r="D358" i="4" s="1"/>
  <c r="P999" i="8"/>
  <c r="R579" i="17"/>
  <c r="G577" i="17"/>
  <c r="D351" i="4"/>
  <c r="K339" i="20"/>
  <c r="D352" i="4" s="1" a="1"/>
  <c r="D352" i="4" s="1"/>
  <c r="P335" i="20"/>
  <c r="D366" i="4"/>
  <c r="K1043" i="12"/>
  <c r="D367" i="4" s="1" a="1"/>
  <c r="D367" i="4" s="1"/>
  <c r="P1039" i="12"/>
  <c r="D360" i="4"/>
  <c r="K1127" i="9"/>
  <c r="D361" i="4" s="1" a="1"/>
  <c r="D361" i="4" s="1"/>
  <c r="P1123" i="9"/>
  <c r="R1123" i="9"/>
  <c r="N360" i="4" s="1"/>
  <c r="G1121" i="9"/>
  <c r="D348" i="4"/>
  <c r="K1122" i="5"/>
  <c r="D349" i="4" s="1" a="1"/>
  <c r="D349" i="4" s="1"/>
  <c r="P1118" i="5"/>
  <c r="R1118" i="5"/>
  <c r="N348" i="4" s="1"/>
  <c r="G1116" i="5"/>
  <c r="D354" i="4"/>
  <c r="K667" i="17"/>
  <c r="D355" i="4" s="1" a="1"/>
  <c r="D355" i="4" s="1"/>
  <c r="P663" i="17"/>
  <c r="R663" i="17"/>
  <c r="G661" i="17"/>
  <c r="C1035" i="12"/>
  <c r="C752" i="14"/>
  <c r="C1119" i="9"/>
  <c r="P23" i="23"/>
  <c r="P22" i="23"/>
  <c r="C995" i="8"/>
  <c r="C659" i="17"/>
  <c r="C331" i="20"/>
  <c r="C1114" i="5"/>
  <c r="I1085" i="9"/>
  <c r="F313" i="3"/>
  <c r="P916" i="8"/>
  <c r="H313" i="3" s="1"/>
  <c r="Q1040" i="5"/>
  <c r="L320" i="4" s="1" a="1"/>
  <c r="L320" i="4" s="1"/>
  <c r="F1037" i="5"/>
  <c r="F1038" i="5" s="1"/>
  <c r="H1038" i="5" s="1"/>
  <c r="N340" i="3"/>
  <c r="P768" i="14"/>
  <c r="P767" i="14"/>
  <c r="H356" i="3" s="1" a="1"/>
  <c r="H356" i="3" s="1"/>
  <c r="P675" i="17"/>
  <c r="P674" i="17"/>
  <c r="H347" i="3" s="1" a="1"/>
  <c r="H347" i="3" s="1"/>
  <c r="P1135" i="9"/>
  <c r="P1134" i="9"/>
  <c r="H353" i="3" s="1" a="1"/>
  <c r="H353" i="3" s="1"/>
  <c r="P347" i="20"/>
  <c r="P346" i="20"/>
  <c r="H344" i="3" s="1" a="1"/>
  <c r="H344" i="3" s="1"/>
  <c r="P1130" i="5"/>
  <c r="P1129" i="5"/>
  <c r="H341" i="3" s="1" a="1"/>
  <c r="H341" i="3" s="1"/>
  <c r="P23" i="21"/>
  <c r="P22" i="21"/>
  <c r="P362" i="11"/>
  <c r="P361" i="11"/>
  <c r="P1051" i="12"/>
  <c r="P1050" i="12"/>
  <c r="H359" i="3" s="1" a="1"/>
  <c r="H359" i="3" s="1"/>
  <c r="P1011" i="8"/>
  <c r="P1010" i="8"/>
  <c r="H350" i="3" s="1" a="1"/>
  <c r="H350" i="3" s="1"/>
  <c r="B989" i="12"/>
  <c r="B990" i="12" s="1"/>
  <c r="B991" i="12" s="1"/>
  <c r="M316" i="3"/>
  <c r="F316" i="3"/>
  <c r="F334" i="3" s="1"/>
  <c r="P974" i="12"/>
  <c r="H316" i="3" s="1"/>
  <c r="G337" i="4"/>
  <c r="N970" i="12"/>
  <c r="G338" i="4" s="1" a="1"/>
  <c r="G338" i="4" s="1"/>
  <c r="B685" i="14"/>
  <c r="B686" i="14" s="1"/>
  <c r="B687" i="14" s="1"/>
  <c r="G334" i="4"/>
  <c r="G340" i="4" s="1"/>
  <c r="N661" i="14"/>
  <c r="G335" i="4" s="1" a="1"/>
  <c r="G335" i="4" s="1"/>
  <c r="M1039" i="9"/>
  <c r="F332" i="4" s="1" a="1"/>
  <c r="F332" i="4" s="1"/>
  <c r="F331" i="4"/>
  <c r="B1103" i="9"/>
  <c r="B1104" i="9" s="1"/>
  <c r="B1105" i="9" s="1"/>
  <c r="B1106" i="9" s="1"/>
  <c r="B1107" i="9" s="1"/>
  <c r="B1108" i="9" s="1"/>
  <c r="B1109" i="9" s="1"/>
  <c r="R908" i="8"/>
  <c r="N328" i="4" s="1"/>
  <c r="G906" i="8"/>
  <c r="F328" i="4"/>
  <c r="M912" i="8"/>
  <c r="F329" i="4" s="1" a="1"/>
  <c r="F329" i="4" s="1"/>
  <c r="M583" i="17"/>
  <c r="F326" i="4" s="1" a="1"/>
  <c r="F326" i="4" s="1"/>
  <c r="F325" i="4"/>
  <c r="R665" i="14"/>
  <c r="M331" i="3" s="1"/>
  <c r="M334" i="3" s="1"/>
  <c r="E331" i="3"/>
  <c r="E334" i="3" s="1"/>
  <c r="P665" i="14"/>
  <c r="H331" i="3" s="1"/>
  <c r="F334" i="4"/>
  <c r="M661" i="14"/>
  <c r="F335" i="4" s="1" a="1"/>
  <c r="F335" i="4" s="1"/>
  <c r="L583" i="17"/>
  <c r="E326" i="4" s="1" a="1"/>
  <c r="E326" i="4" s="1"/>
  <c r="E325" i="4"/>
  <c r="F337" i="4"/>
  <c r="M970" i="12"/>
  <c r="F338" i="4" s="1" a="1"/>
  <c r="F338" i="4" s="1"/>
  <c r="P966" i="12"/>
  <c r="N337" i="4"/>
  <c r="R657" i="14"/>
  <c r="N334" i="4" s="1"/>
  <c r="G655" i="14"/>
  <c r="E331" i="4"/>
  <c r="L1039" i="9"/>
  <c r="E332" i="4" s="1" a="1"/>
  <c r="E332" i="4" s="1"/>
  <c r="I716" i="14"/>
  <c r="E334" i="4"/>
  <c r="L661" i="14"/>
  <c r="E335" i="4" s="1" a="1"/>
  <c r="E335" i="4" s="1"/>
  <c r="E322" i="4"/>
  <c r="L270" i="20"/>
  <c r="E323" i="4" s="1" a="1"/>
  <c r="E323" i="4" s="1"/>
  <c r="P266" i="20"/>
  <c r="E319" i="4"/>
  <c r="E340" i="4" s="1"/>
  <c r="L1040" i="5"/>
  <c r="E320" i="4" s="1" a="1"/>
  <c r="E320" i="4" s="1"/>
  <c r="P1036" i="5"/>
  <c r="C1032" i="5"/>
  <c r="D334" i="4"/>
  <c r="K661" i="14"/>
  <c r="D335" i="4" s="1" a="1"/>
  <c r="D335" i="4" s="1"/>
  <c r="P657" i="14"/>
  <c r="C962" i="12"/>
  <c r="D328" i="4"/>
  <c r="K912" i="8"/>
  <c r="D329" i="4" s="1" a="1"/>
  <c r="D329" i="4" s="1"/>
  <c r="P908" i="8"/>
  <c r="C326" i="3" a="1"/>
  <c r="C326" i="3" s="1"/>
  <c r="C262" i="20"/>
  <c r="D331" i="4"/>
  <c r="K1039" i="9"/>
  <c r="D332" i="4" s="1" a="1"/>
  <c r="D332" i="4" s="1"/>
  <c r="P1035" i="9"/>
  <c r="C653" i="14"/>
  <c r="C1031" i="9"/>
  <c r="C904" i="8"/>
  <c r="K583" i="17"/>
  <c r="D326" i="4" s="1" a="1"/>
  <c r="D326" i="4" s="1"/>
  <c r="P579" i="17"/>
  <c r="S314" i="4"/>
  <c r="L306" i="4"/>
  <c r="L312" i="4" s="1"/>
  <c r="Q951" i="9"/>
  <c r="L307" i="4" s="1" a="1"/>
  <c r="L307" i="4" s="1"/>
  <c r="F948" i="9"/>
  <c r="F949" i="9" s="1"/>
  <c r="H949" i="9" s="1"/>
  <c r="I521" i="17"/>
  <c r="F486" i="17" s="1"/>
  <c r="I1072" i="5"/>
  <c r="I1073" i="5" s="1"/>
  <c r="B1003" i="5"/>
  <c r="B1004" i="5" s="1"/>
  <c r="P669" i="14"/>
  <c r="P668" i="14"/>
  <c r="H332" i="3" s="1" a="1"/>
  <c r="H332" i="3" s="1"/>
  <c r="P1047" i="9"/>
  <c r="P1046" i="9"/>
  <c r="H329" i="3" s="1" a="1"/>
  <c r="H329" i="3" s="1"/>
  <c r="P591" i="17"/>
  <c r="P590" i="17"/>
  <c r="P278" i="20"/>
  <c r="P277" i="20"/>
  <c r="H323" i="3" s="1" a="1"/>
  <c r="H323" i="3" s="1"/>
  <c r="P1048" i="5"/>
  <c r="P1047" i="5"/>
  <c r="H320" i="3" s="1" a="1"/>
  <c r="H320" i="3" s="1"/>
  <c r="P978" i="12"/>
  <c r="P977" i="12"/>
  <c r="H317" i="3" s="1" a="1"/>
  <c r="H317" i="3" s="1"/>
  <c r="P920" i="8"/>
  <c r="P919" i="8"/>
  <c r="H314" i="3" s="1" a="1"/>
  <c r="H314" i="3" s="1"/>
  <c r="F88" i="19"/>
  <c r="F89" i="19" s="1"/>
  <c r="H89" i="19" s="1"/>
  <c r="F304" i="3"/>
  <c r="F307" i="3" s="1"/>
  <c r="P570" i="14"/>
  <c r="H304" i="3" s="1"/>
  <c r="N562" i="14"/>
  <c r="G291" i="4"/>
  <c r="N821" i="8"/>
  <c r="G292" i="4" s="1" a="1"/>
  <c r="G292" i="4" s="1"/>
  <c r="M487" i="17"/>
  <c r="F304" i="4" s="1" a="1"/>
  <c r="F304" i="4" s="1"/>
  <c r="F303" i="4"/>
  <c r="G294" i="4"/>
  <c r="N879" i="12"/>
  <c r="G295" i="4" s="1" a="1"/>
  <c r="G295" i="4" s="1"/>
  <c r="G297" i="4"/>
  <c r="N957" i="5"/>
  <c r="G298" i="4" s="1" a="1"/>
  <c r="G298" i="4" s="1"/>
  <c r="F297" i="4"/>
  <c r="M957" i="5"/>
  <c r="F298" i="4" s="1" a="1"/>
  <c r="F298" i="4" s="1"/>
  <c r="G300" i="4"/>
  <c r="N196" i="20"/>
  <c r="G301" i="4" s="1" a="1"/>
  <c r="G301" i="4" s="1"/>
  <c r="E294" i="4"/>
  <c r="L879" i="12"/>
  <c r="E295" i="4" s="1" a="1"/>
  <c r="E295" i="4" s="1"/>
  <c r="F309" i="4"/>
  <c r="M566" i="14"/>
  <c r="F310" i="4" s="1" a="1"/>
  <c r="F310" i="4" s="1"/>
  <c r="G303" i="4"/>
  <c r="N487" i="17"/>
  <c r="G304" i="4" s="1" a="1"/>
  <c r="G304" i="4" s="1"/>
  <c r="F306" i="4"/>
  <c r="M951" i="9"/>
  <c r="F307" i="4" s="1" a="1"/>
  <c r="F307" i="4" s="1"/>
  <c r="E291" i="4"/>
  <c r="L821" i="8"/>
  <c r="E292" i="4" s="1" a="1"/>
  <c r="E292" i="4" s="1"/>
  <c r="E303" i="4"/>
  <c r="L487" i="17"/>
  <c r="E304" i="4" s="1" a="1"/>
  <c r="E304" i="4" s="1"/>
  <c r="I997" i="9"/>
  <c r="D306" i="4"/>
  <c r="K951" i="9"/>
  <c r="D307" i="4" s="1" a="1"/>
  <c r="D307" i="4" s="1"/>
  <c r="P947" i="9"/>
  <c r="I612" i="14"/>
  <c r="D300" i="4"/>
  <c r="K196" i="20"/>
  <c r="D301" i="4" s="1" a="1"/>
  <c r="D301" i="4" s="1"/>
  <c r="P192" i="20"/>
  <c r="I1002" i="5"/>
  <c r="I1005" i="5" s="1"/>
  <c r="H272" i="4"/>
  <c r="O726" i="8"/>
  <c r="H273" i="4" s="1" a="1"/>
  <c r="H273" i="4" s="1"/>
  <c r="G759" i="8"/>
  <c r="D291" i="4"/>
  <c r="K821" i="8"/>
  <c r="D292" i="4" s="1" a="1"/>
  <c r="D292" i="4" s="1"/>
  <c r="P817" i="8"/>
  <c r="R817" i="8"/>
  <c r="G815" i="8"/>
  <c r="D297" i="4"/>
  <c r="K957" i="5"/>
  <c r="D298" i="4" s="1" a="1"/>
  <c r="D298" i="4" s="1"/>
  <c r="P953" i="5"/>
  <c r="N297" i="4"/>
  <c r="D294" i="4"/>
  <c r="K879" i="12"/>
  <c r="D295" i="4" s="1" a="1"/>
  <c r="D295" i="4" s="1"/>
  <c r="P875" i="12"/>
  <c r="R875" i="12"/>
  <c r="N294" i="4" s="1"/>
  <c r="G873" i="12"/>
  <c r="D303" i="4"/>
  <c r="K487" i="17"/>
  <c r="D304" i="4" s="1" a="1"/>
  <c r="D304" i="4" s="1"/>
  <c r="P483" i="17"/>
  <c r="R483" i="17"/>
  <c r="N303" i="4" s="1"/>
  <c r="G481" i="17"/>
  <c r="D309" i="4"/>
  <c r="K566" i="14"/>
  <c r="D310" i="4" s="1" a="1"/>
  <c r="D310" i="4" s="1"/>
  <c r="P562" i="14"/>
  <c r="C871" i="12"/>
  <c r="C558" i="14"/>
  <c r="C943" i="9"/>
  <c r="C813" i="8"/>
  <c r="C479" i="17"/>
  <c r="C188" i="20"/>
  <c r="S286" i="4"/>
  <c r="L269" i="4"/>
  <c r="L284" i="4" s="1"/>
  <c r="Q384" i="17"/>
  <c r="L270" i="4" s="1" a="1"/>
  <c r="L270" i="4" s="1"/>
  <c r="F381" i="17"/>
  <c r="F382" i="17" s="1"/>
  <c r="E268" i="3"/>
  <c r="E280" i="3" s="1"/>
  <c r="P730" i="8"/>
  <c r="H268" i="3" s="1"/>
  <c r="N286" i="3"/>
  <c r="N384" i="17"/>
  <c r="G270" i="4" s="1" a="1"/>
  <c r="G270" i="4" s="1"/>
  <c r="G269" i="4"/>
  <c r="P574" i="14"/>
  <c r="P573" i="14"/>
  <c r="H305" i="3" s="1" a="1"/>
  <c r="H305" i="3" s="1"/>
  <c r="P325" i="11"/>
  <c r="P324" i="11"/>
  <c r="P959" i="9"/>
  <c r="P958" i="9"/>
  <c r="H302" i="3" s="1" a="1"/>
  <c r="H302" i="3" s="1"/>
  <c r="P495" i="17"/>
  <c r="P494" i="17"/>
  <c r="H299" i="3" s="1" a="1"/>
  <c r="H299" i="3" s="1"/>
  <c r="P204" i="20"/>
  <c r="P203" i="20"/>
  <c r="H296" i="3" s="1" a="1"/>
  <c r="H296" i="3" s="1"/>
  <c r="P965" i="5"/>
  <c r="P964" i="5"/>
  <c r="H293" i="3" s="1" a="1"/>
  <c r="H293" i="3" s="1"/>
  <c r="P829" i="8"/>
  <c r="P828" i="8"/>
  <c r="H287" i="3" s="1" a="1"/>
  <c r="H287" i="3" s="1"/>
  <c r="P887" i="12"/>
  <c r="P886" i="12"/>
  <c r="H290" i="3" s="1" a="1"/>
  <c r="H290" i="3" s="1"/>
  <c r="H281" i="4"/>
  <c r="O781" i="12"/>
  <c r="H282" i="4" s="1" a="1"/>
  <c r="H282" i="4" s="1"/>
  <c r="N853" i="9"/>
  <c r="G276" i="4" s="1" a="1"/>
  <c r="G276" i="4" s="1"/>
  <c r="G275" i="4"/>
  <c r="B458" i="17"/>
  <c r="B459" i="17" s="1"/>
  <c r="B460" i="17" s="1"/>
  <c r="B461" i="17" s="1"/>
  <c r="B462" i="17" s="1"/>
  <c r="B463" i="17" s="1"/>
  <c r="B799" i="8"/>
  <c r="B800" i="8" s="1"/>
  <c r="G272" i="4"/>
  <c r="N726" i="8"/>
  <c r="G273" i="4" s="1" a="1"/>
  <c r="G273" i="4" s="1"/>
  <c r="G265" i="3"/>
  <c r="G280" i="3" s="1"/>
  <c r="P388" i="17"/>
  <c r="H265" i="3" s="1"/>
  <c r="I423" i="17"/>
  <c r="O380" i="17"/>
  <c r="G263" i="4"/>
  <c r="G284" i="4" s="1"/>
  <c r="N870" i="5"/>
  <c r="G264" i="4" s="1" a="1"/>
  <c r="G264" i="4" s="1"/>
  <c r="F275" i="4"/>
  <c r="M853" i="9"/>
  <c r="F276" i="4" s="1" a="1"/>
  <c r="F276" i="4" s="1"/>
  <c r="E278" i="4"/>
  <c r="L474" i="14"/>
  <c r="E279" i="4" s="1" a="1"/>
  <c r="E279" i="4" s="1"/>
  <c r="P470" i="14"/>
  <c r="F269" i="4"/>
  <c r="M384" i="17"/>
  <c r="F270" i="4" s="1" a="1"/>
  <c r="F270" i="4" s="1"/>
  <c r="F263" i="4"/>
  <c r="M870" i="5"/>
  <c r="F264" i="4" s="1" a="1"/>
  <c r="F264" i="4" s="1"/>
  <c r="F281" i="4"/>
  <c r="M781" i="12"/>
  <c r="F282" i="4" s="1" a="1"/>
  <c r="F282" i="4" s="1"/>
  <c r="B801" i="12"/>
  <c r="B802" i="12" s="1"/>
  <c r="B803" i="12" s="1"/>
  <c r="B804" i="12" s="1"/>
  <c r="B805" i="12" s="1"/>
  <c r="B806" i="12" s="1"/>
  <c r="B807" i="12" s="1"/>
  <c r="B808" i="12" s="1"/>
  <c r="B809" i="12" s="1"/>
  <c r="D277" i="3"/>
  <c r="D280" i="3" s="1"/>
  <c r="P785" i="12"/>
  <c r="H277" i="3" s="1"/>
  <c r="F694" i="12"/>
  <c r="H694" i="12" s="1"/>
  <c r="E281" i="4"/>
  <c r="L781" i="12"/>
  <c r="E282" i="4" s="1" a="1"/>
  <c r="E282" i="4" s="1"/>
  <c r="E272" i="4"/>
  <c r="L726" i="8"/>
  <c r="E273" i="4" s="1" a="1"/>
  <c r="E273" i="4" s="1"/>
  <c r="I752" i="8"/>
  <c r="K722" i="8"/>
  <c r="R849" i="9"/>
  <c r="N275" i="4" s="1"/>
  <c r="G847" i="9"/>
  <c r="C466" i="14"/>
  <c r="I901" i="9"/>
  <c r="D275" i="4"/>
  <c r="K853" i="9"/>
  <c r="D276" i="4" s="1" a="1"/>
  <c r="D276" i="4" s="1"/>
  <c r="P849" i="9"/>
  <c r="I758" i="8"/>
  <c r="I680" i="8"/>
  <c r="I683" i="8" s="1"/>
  <c r="R295" i="17"/>
  <c r="M235" i="3" s="1"/>
  <c r="N235" i="3" s="1"/>
  <c r="R287" i="17"/>
  <c r="G285" i="17"/>
  <c r="D269" i="4"/>
  <c r="K384" i="17"/>
  <c r="D270" i="4" s="1" a="1"/>
  <c r="D270" i="4" s="1"/>
  <c r="P380" i="17"/>
  <c r="N694" i="12"/>
  <c r="G252" i="4" s="1" a="1"/>
  <c r="G252" i="4" s="1"/>
  <c r="G251" i="4"/>
  <c r="D266" i="4"/>
  <c r="K129" i="20"/>
  <c r="D267" i="4" s="1" a="1"/>
  <c r="D267" i="4" s="1"/>
  <c r="P125" i="20"/>
  <c r="N266" i="4"/>
  <c r="D281" i="4"/>
  <c r="K781" i="12"/>
  <c r="D282" i="4" s="1" a="1"/>
  <c r="D282" i="4" s="1"/>
  <c r="P777" i="12"/>
  <c r="D263" i="4"/>
  <c r="K870" i="5"/>
  <c r="D264" i="4" s="1" a="1"/>
  <c r="D264" i="4" s="1"/>
  <c r="P866" i="5"/>
  <c r="C773" i="12"/>
  <c r="C845" i="9"/>
  <c r="C718" i="8"/>
  <c r="C376" i="17"/>
  <c r="C121" i="20"/>
  <c r="C862" i="5"/>
  <c r="I912" i="5"/>
  <c r="I919" i="5" s="1"/>
  <c r="B386" i="14"/>
  <c r="B387" i="14" s="1"/>
  <c r="B388" i="14" s="1"/>
  <c r="B389" i="14" s="1"/>
  <c r="B390" i="14" s="1"/>
  <c r="B391" i="14" s="1"/>
  <c r="L248" i="4"/>
  <c r="Q363" i="14"/>
  <c r="L249" i="4" s="1" a="1"/>
  <c r="L249" i="4" s="1"/>
  <c r="F360" i="14"/>
  <c r="F239" i="4"/>
  <c r="M291" i="17"/>
  <c r="F240" i="4" s="1" a="1"/>
  <c r="F240" i="4" s="1"/>
  <c r="S258" i="4"/>
  <c r="L239" i="4"/>
  <c r="L257" i="4" s="1"/>
  <c r="Q291" i="17"/>
  <c r="L240" i="4" s="1" a="1"/>
  <c r="L240" i="4" s="1"/>
  <c r="F288" i="17"/>
  <c r="F289" i="17" s="1"/>
  <c r="H289" i="17" s="1"/>
  <c r="B109" i="20"/>
  <c r="B110" i="20" s="1"/>
  <c r="B111" i="20" s="1"/>
  <c r="B83" i="20"/>
  <c r="B84" i="20" s="1"/>
  <c r="B85" i="20" s="1"/>
  <c r="B86" i="20" s="1"/>
  <c r="B87" i="20" s="1"/>
  <c r="I109" i="19"/>
  <c r="N259" i="3"/>
  <c r="P789" i="12"/>
  <c r="P788" i="12"/>
  <c r="H278" i="3" s="1" a="1"/>
  <c r="H278" i="3" s="1"/>
  <c r="P482" i="14"/>
  <c r="P481" i="14"/>
  <c r="H275" i="3" s="1" a="1"/>
  <c r="H275" i="3" s="1"/>
  <c r="P288" i="11"/>
  <c r="P287" i="11"/>
  <c r="P861" i="9"/>
  <c r="P860" i="9"/>
  <c r="H272" i="3" s="1" a="1"/>
  <c r="H272" i="3" s="1"/>
  <c r="P734" i="8"/>
  <c r="P733" i="8"/>
  <c r="H269" i="3" s="1" a="1"/>
  <c r="H269" i="3" s="1"/>
  <c r="P392" i="17"/>
  <c r="P391" i="17"/>
  <c r="H266" i="3" s="1" a="1"/>
  <c r="H266" i="3" s="1"/>
  <c r="P137" i="20"/>
  <c r="P136" i="20"/>
  <c r="H263" i="3" s="1" a="1"/>
  <c r="H263" i="3" s="1"/>
  <c r="P878" i="5"/>
  <c r="P877" i="5"/>
  <c r="H260" i="3" s="1" a="1"/>
  <c r="H260" i="3" s="1"/>
  <c r="P134" i="19"/>
  <c r="P133" i="19"/>
  <c r="B762" i="12"/>
  <c r="B763" i="12" s="1"/>
  <c r="B786" i="9"/>
  <c r="B787" i="9" s="1"/>
  <c r="B788" i="9" s="1"/>
  <c r="B789" i="9" s="1"/>
  <c r="B790" i="9" s="1"/>
  <c r="N245" i="4"/>
  <c r="E245" i="4"/>
  <c r="L764" i="9"/>
  <c r="E246" i="4" s="1" a="1"/>
  <c r="E246" i="4" s="1"/>
  <c r="B360" i="17"/>
  <c r="B361" i="17" s="1"/>
  <c r="B362" i="17" s="1"/>
  <c r="B363" i="17" s="1"/>
  <c r="B364" i="17" s="1"/>
  <c r="B365" i="17" s="1"/>
  <c r="B366" i="17" s="1"/>
  <c r="N291" i="17"/>
  <c r="G240" i="4" s="1" a="1"/>
  <c r="G240" i="4" s="1"/>
  <c r="G239" i="4"/>
  <c r="R798" i="5"/>
  <c r="G796" i="5"/>
  <c r="B88" i="20"/>
  <c r="B89" i="20" s="1"/>
  <c r="G233" i="4"/>
  <c r="N802" i="5"/>
  <c r="G234" i="4" s="1" a="1"/>
  <c r="G234" i="4" s="1"/>
  <c r="F251" i="4"/>
  <c r="M694" i="12"/>
  <c r="F252" i="4" s="1" a="1"/>
  <c r="F252" i="4" s="1"/>
  <c r="G242" i="4"/>
  <c r="G257" i="4" s="1"/>
  <c r="N629" i="8"/>
  <c r="G243" i="4" s="1" a="1"/>
  <c r="G243" i="4" s="1"/>
  <c r="M232" i="3"/>
  <c r="F236" i="4"/>
  <c r="M62" i="20"/>
  <c r="F237" i="4" s="1" a="1"/>
  <c r="F237" i="4" s="1"/>
  <c r="F233" i="4"/>
  <c r="M802" i="5"/>
  <c r="F234" i="4" s="1" a="1"/>
  <c r="F234" i="4" s="1"/>
  <c r="P798" i="5"/>
  <c r="N233" i="4"/>
  <c r="J253" i="3"/>
  <c r="F254" i="4"/>
  <c r="M243" i="11"/>
  <c r="F255" i="4" s="1" a="1"/>
  <c r="F255" i="4" s="1"/>
  <c r="P239" i="11"/>
  <c r="N250" i="3"/>
  <c r="L253" i="3"/>
  <c r="I738" i="12"/>
  <c r="D239" i="4"/>
  <c r="K291" i="17"/>
  <c r="D240" i="4" s="1" a="1"/>
  <c r="D240" i="4" s="1"/>
  <c r="E248" i="4"/>
  <c r="L363" i="14"/>
  <c r="E249" i="4" s="1" a="1"/>
  <c r="E249" i="4" s="1"/>
  <c r="E239" i="4"/>
  <c r="E257" i="4" s="1"/>
  <c r="L291" i="17"/>
  <c r="E240" i="4" s="1" a="1"/>
  <c r="E240" i="4" s="1"/>
  <c r="P287" i="17"/>
  <c r="N239" i="4"/>
  <c r="C283" i="17"/>
  <c r="D236" i="4"/>
  <c r="K62" i="20"/>
  <c r="D237" i="4" s="1" a="1"/>
  <c r="D237" i="4" s="1"/>
  <c r="P58" i="20"/>
  <c r="H586" i="12"/>
  <c r="D248" i="4"/>
  <c r="K363" i="14"/>
  <c r="D249" i="4" s="1" a="1"/>
  <c r="D249" i="4" s="1"/>
  <c r="P359" i="14"/>
  <c r="D245" i="4"/>
  <c r="K764" i="9"/>
  <c r="D246" i="4" s="1" a="1"/>
  <c r="D246" i="4" s="1"/>
  <c r="P760" i="9"/>
  <c r="D242" i="4"/>
  <c r="K629" i="8"/>
  <c r="D243" i="4" s="1" a="1"/>
  <c r="D243" i="4" s="1"/>
  <c r="P625" i="8"/>
  <c r="N242" i="4"/>
  <c r="D251" i="4"/>
  <c r="K694" i="12"/>
  <c r="D252" i="4" s="1" a="1"/>
  <c r="D252" i="4" s="1"/>
  <c r="P690" i="12"/>
  <c r="C756" i="9"/>
  <c r="C54" i="20"/>
  <c r="C621" i="8"/>
  <c r="C686" i="12"/>
  <c r="C355" i="14"/>
  <c r="P97" i="19"/>
  <c r="P96" i="19"/>
  <c r="I254" i="3"/>
  <c r="N229" i="3"/>
  <c r="M550" i="15"/>
  <c r="I573" i="15"/>
  <c r="G548" i="15" s="1"/>
  <c r="I646" i="12"/>
  <c r="B740" i="9"/>
  <c r="B741" i="9" s="1"/>
  <c r="B742" i="9" s="1"/>
  <c r="B743" i="9" s="1"/>
  <c r="B744" i="9" s="1"/>
  <c r="B745" i="9" s="1"/>
  <c r="B746" i="9" s="1"/>
  <c r="N540" i="8"/>
  <c r="G215" i="4" s="1" a="1"/>
  <c r="G215" i="4" s="1"/>
  <c r="G214" i="4"/>
  <c r="L230" i="17"/>
  <c r="N234" i="17"/>
  <c r="G209" i="4" s="1" a="1"/>
  <c r="G209" i="4" s="1"/>
  <c r="G208" i="4"/>
  <c r="G211" i="3"/>
  <c r="G223" i="3" s="1"/>
  <c r="P544" i="8"/>
  <c r="H211" i="3" s="1"/>
  <c r="H838" i="5"/>
  <c r="I834" i="5"/>
  <c r="I838" i="5"/>
  <c r="P702" i="12"/>
  <c r="P701" i="12"/>
  <c r="H248" i="3" s="1" a="1"/>
  <c r="H248" i="3" s="1"/>
  <c r="P371" i="14"/>
  <c r="P370" i="14"/>
  <c r="H245" i="3" s="1" a="1"/>
  <c r="H245" i="3" s="1"/>
  <c r="P251" i="11"/>
  <c r="P250" i="11"/>
  <c r="H251" i="3" s="1" a="1"/>
  <c r="H251" i="3" s="1"/>
  <c r="P772" i="9"/>
  <c r="P771" i="9"/>
  <c r="H242" i="3" s="1" a="1"/>
  <c r="H242" i="3" s="1"/>
  <c r="P637" i="8"/>
  <c r="P636" i="8"/>
  <c r="H239" i="3" s="1" a="1"/>
  <c r="H239" i="3" s="1"/>
  <c r="P299" i="17"/>
  <c r="P298" i="17"/>
  <c r="H236" i="3" s="1" a="1"/>
  <c r="H236" i="3" s="1"/>
  <c r="P70" i="20"/>
  <c r="P69" i="20"/>
  <c r="H233" i="3" s="1" a="1"/>
  <c r="H233" i="3" s="1"/>
  <c r="P810" i="5"/>
  <c r="P809" i="5"/>
  <c r="H230" i="3" s="1" a="1"/>
  <c r="H230" i="3" s="1"/>
  <c r="S228" i="4"/>
  <c r="L223" i="4"/>
  <c r="L226" i="4" s="1"/>
  <c r="Q586" i="12"/>
  <c r="L224" i="4" s="1" a="1"/>
  <c r="L224" i="4" s="1"/>
  <c r="F583" i="12"/>
  <c r="F584" i="12" s="1"/>
  <c r="H214" i="4"/>
  <c r="H226" i="4" s="1"/>
  <c r="O540" i="8"/>
  <c r="H215" i="4" s="1" a="1"/>
  <c r="H215" i="4" s="1"/>
  <c r="N16" i="20"/>
  <c r="P12" i="20"/>
  <c r="D217" i="3"/>
  <c r="D223" i="3" s="1"/>
  <c r="P284" i="14"/>
  <c r="H217" i="3" s="1"/>
  <c r="I595" i="15"/>
  <c r="F211" i="4"/>
  <c r="M554" i="15"/>
  <c r="F212" i="4" s="1" a="1"/>
  <c r="F212" i="4" s="1"/>
  <c r="P550" i="15"/>
  <c r="G220" i="4"/>
  <c r="N280" i="14"/>
  <c r="G221" i="4" s="1" a="1"/>
  <c r="G221" i="4" s="1"/>
  <c r="G205" i="4"/>
  <c r="N716" i="5"/>
  <c r="G206" i="4" s="1" a="1"/>
  <c r="G206" i="4" s="1"/>
  <c r="G223" i="4"/>
  <c r="G226" i="4" s="1"/>
  <c r="N586" i="12"/>
  <c r="G224" i="4" s="1" a="1"/>
  <c r="G224" i="4" s="1"/>
  <c r="R276" i="14"/>
  <c r="N220" i="4" s="1"/>
  <c r="G274" i="14"/>
  <c r="E220" i="4"/>
  <c r="L280" i="14"/>
  <c r="E221" i="4" s="1" a="1"/>
  <c r="E221" i="4" s="1"/>
  <c r="R582" i="12"/>
  <c r="N223" i="4" s="1"/>
  <c r="G580" i="12"/>
  <c r="D217" i="4"/>
  <c r="K688" i="9"/>
  <c r="D218" i="4" s="1" a="1"/>
  <c r="D218" i="4" s="1"/>
  <c r="E217" i="4"/>
  <c r="L688" i="9"/>
  <c r="E218" i="4" s="1" a="1"/>
  <c r="E218" i="4" s="1"/>
  <c r="P684" i="9"/>
  <c r="E223" i="4"/>
  <c r="L586" i="12"/>
  <c r="E224" i="4" s="1" a="1"/>
  <c r="E224" i="4" s="1"/>
  <c r="F223" i="4"/>
  <c r="M586" i="12"/>
  <c r="F224" i="4" s="1" a="1"/>
  <c r="F224" i="4" s="1"/>
  <c r="F220" i="4"/>
  <c r="M280" i="14"/>
  <c r="F221" i="4" s="1" a="1"/>
  <c r="F221" i="4" s="1"/>
  <c r="P276" i="14"/>
  <c r="E208" i="4"/>
  <c r="L234" i="17"/>
  <c r="E209" i="4" s="1" a="1"/>
  <c r="E209" i="4" s="1"/>
  <c r="D205" i="4"/>
  <c r="K716" i="5"/>
  <c r="D206" i="4" s="1" a="1"/>
  <c r="D206" i="4" s="1"/>
  <c r="P712" i="5"/>
  <c r="D223" i="4"/>
  <c r="K586" i="12"/>
  <c r="D224" i="4" s="1" a="1"/>
  <c r="D224" i="4" s="1"/>
  <c r="P582" i="12"/>
  <c r="I496" i="8"/>
  <c r="N453" i="8"/>
  <c r="G184" i="4" s="1" a="1"/>
  <c r="G184" i="4" s="1"/>
  <c r="G183" i="4"/>
  <c r="I586" i="15"/>
  <c r="D214" i="4"/>
  <c r="K540" i="8"/>
  <c r="D215" i="4" s="1" a="1"/>
  <c r="D215" i="4" s="1"/>
  <c r="P536" i="8"/>
  <c r="D208" i="4"/>
  <c r="K234" i="17"/>
  <c r="D209" i="4" s="1" a="1"/>
  <c r="D209" i="4" s="1"/>
  <c r="P230" i="17"/>
  <c r="C680" i="9"/>
  <c r="C532" i="8"/>
  <c r="C578" i="12"/>
  <c r="C708" i="5"/>
  <c r="C546" i="15"/>
  <c r="C226" i="17"/>
  <c r="N202" i="3"/>
  <c r="I732" i="9"/>
  <c r="G620" i="9"/>
  <c r="H749" i="5"/>
  <c r="I745" i="5"/>
  <c r="I749" i="5"/>
  <c r="R463" i="15"/>
  <c r="I501" i="15"/>
  <c r="P594" i="12"/>
  <c r="P593" i="12"/>
  <c r="H221" i="3" s="1" a="1"/>
  <c r="H221" i="3" s="1"/>
  <c r="P288" i="14"/>
  <c r="P287" i="14"/>
  <c r="H218" i="3" s="1" a="1"/>
  <c r="H218" i="3" s="1"/>
  <c r="P696" i="9"/>
  <c r="P695" i="9"/>
  <c r="H215" i="3" s="1" a="1"/>
  <c r="H215" i="3" s="1"/>
  <c r="P548" i="8"/>
  <c r="P547" i="8"/>
  <c r="H212" i="3" s="1" a="1"/>
  <c r="H212" i="3" s="1"/>
  <c r="P562" i="15"/>
  <c r="P561" i="15"/>
  <c r="H209" i="3" s="1" a="1"/>
  <c r="H209" i="3" s="1"/>
  <c r="P242" i="17"/>
  <c r="P241" i="17"/>
  <c r="H206" i="3" s="1" a="1"/>
  <c r="H206" i="3" s="1"/>
  <c r="P724" i="5"/>
  <c r="P723" i="5"/>
  <c r="H203" i="3" s="1" a="1"/>
  <c r="H203" i="3" s="1"/>
  <c r="P61" i="19"/>
  <c r="P60" i="19"/>
  <c r="S200" i="4"/>
  <c r="L189" i="4"/>
  <c r="L198" i="4" s="1"/>
  <c r="Q200" i="14"/>
  <c r="L190" i="4" s="1" a="1"/>
  <c r="L190" i="4" s="1"/>
  <c r="F197" i="14"/>
  <c r="F198" i="14" s="1"/>
  <c r="H198" i="14" s="1"/>
  <c r="E190" i="3"/>
  <c r="P501" i="12"/>
  <c r="H190" i="3" s="1"/>
  <c r="R12" i="19"/>
  <c r="G10" i="19"/>
  <c r="G461" i="15"/>
  <c r="G178" i="3"/>
  <c r="G196" i="3" s="1"/>
  <c r="P471" i="15"/>
  <c r="H178" i="3" s="1"/>
  <c r="N175" i="3"/>
  <c r="E172" i="3"/>
  <c r="P646" i="5"/>
  <c r="H172" i="3" s="1"/>
  <c r="H195" i="4"/>
  <c r="O16" i="19"/>
  <c r="H196" i="4" s="1" a="1"/>
  <c r="H196" i="4" s="1"/>
  <c r="P12" i="19"/>
  <c r="N195" i="4"/>
  <c r="M497" i="12"/>
  <c r="F193" i="4" s="1" a="1"/>
  <c r="F193" i="4" s="1"/>
  <c r="F192" i="4"/>
  <c r="N193" i="3"/>
  <c r="N192" i="4"/>
  <c r="K196" i="14"/>
  <c r="H189" i="4"/>
  <c r="O200" i="14"/>
  <c r="H190" i="4" s="1" a="1"/>
  <c r="H190" i="4" s="1"/>
  <c r="L200" i="14"/>
  <c r="E190" i="4" s="1" a="1"/>
  <c r="E190" i="4" s="1"/>
  <c r="E189" i="4"/>
  <c r="M200" i="14"/>
  <c r="F190" i="4" s="1" a="1"/>
  <c r="F190" i="4" s="1"/>
  <c r="F189" i="4"/>
  <c r="P24" i="19"/>
  <c r="P23" i="19"/>
  <c r="H177" i="4"/>
  <c r="H198" i="4" s="1"/>
  <c r="O184" i="17"/>
  <c r="H178" i="4" s="1" a="1"/>
  <c r="H178" i="4" s="1"/>
  <c r="D177" i="4"/>
  <c r="K184" i="17"/>
  <c r="D178" i="4" s="1" a="1"/>
  <c r="D178" i="4" s="1"/>
  <c r="P180" i="17"/>
  <c r="M463" i="15"/>
  <c r="G180" i="4"/>
  <c r="N467" i="15"/>
  <c r="G181" i="4" s="1" a="1"/>
  <c r="G181" i="4" s="1"/>
  <c r="E181" i="3"/>
  <c r="P457" i="8"/>
  <c r="H181" i="3" s="1"/>
  <c r="F183" i="4"/>
  <c r="M453" i="8"/>
  <c r="F184" i="4" s="1" a="1"/>
  <c r="F184" i="4" s="1"/>
  <c r="G189" i="4"/>
  <c r="N200" i="14"/>
  <c r="G190" i="4" s="1" a="1"/>
  <c r="G190" i="4" s="1"/>
  <c r="G192" i="4"/>
  <c r="N497" i="12"/>
  <c r="G193" i="4" s="1" a="1"/>
  <c r="G193" i="4" s="1"/>
  <c r="G174" i="4"/>
  <c r="N642" i="5"/>
  <c r="G175" i="4" s="1" a="1"/>
  <c r="G175" i="4" s="1"/>
  <c r="F174" i="4"/>
  <c r="M642" i="5"/>
  <c r="F175" i="4" s="1" a="1"/>
  <c r="F175" i="4" s="1"/>
  <c r="D187" i="3"/>
  <c r="D196" i="3" s="1"/>
  <c r="P204" i="14"/>
  <c r="H187" i="3" s="1"/>
  <c r="E192" i="4"/>
  <c r="L497" i="12"/>
  <c r="E193" i="4" s="1" a="1"/>
  <c r="E193" i="4" s="1"/>
  <c r="E186" i="4"/>
  <c r="L626" i="9"/>
  <c r="E187" i="4" s="1" a="1"/>
  <c r="E187" i="4" s="1"/>
  <c r="E174" i="4"/>
  <c r="L642" i="5"/>
  <c r="E175" i="4" s="1" a="1"/>
  <c r="E175" i="4" s="1"/>
  <c r="D183" i="4"/>
  <c r="K453" i="8"/>
  <c r="D184" i="4" s="1" a="1"/>
  <c r="D184" i="4" s="1"/>
  <c r="P449" i="8"/>
  <c r="N183" i="4"/>
  <c r="D182" i="3" a="1"/>
  <c r="D182" i="3" s="1"/>
  <c r="I245" i="14"/>
  <c r="D192" i="4"/>
  <c r="K497" i="12"/>
  <c r="D193" i="4" s="1" a="1"/>
  <c r="D193" i="4" s="1"/>
  <c r="P493" i="12"/>
  <c r="N186" i="4"/>
  <c r="D186" i="4"/>
  <c r="K626" i="9"/>
  <c r="D187" i="4" s="1" a="1"/>
  <c r="D187" i="4" s="1"/>
  <c r="P622" i="9"/>
  <c r="C445" i="8"/>
  <c r="I523" i="15"/>
  <c r="D180" i="4"/>
  <c r="K467" i="15"/>
  <c r="D181" i="4" s="1" a="1"/>
  <c r="D181" i="4" s="1"/>
  <c r="P463" i="15"/>
  <c r="D174" i="4"/>
  <c r="K642" i="5"/>
  <c r="D175" i="4" s="1" a="1"/>
  <c r="D175" i="4" s="1"/>
  <c r="P638" i="5"/>
  <c r="C489" i="12"/>
  <c r="C634" i="5"/>
  <c r="C618" i="9"/>
  <c r="D189" i="4"/>
  <c r="K200" i="14"/>
  <c r="D190" i="4" s="1" a="1"/>
  <c r="D190" i="4" s="1"/>
  <c r="P196" i="14"/>
  <c r="R196" i="14"/>
  <c r="G194" i="14"/>
  <c r="C192" i="14"/>
  <c r="C176" i="17"/>
  <c r="C459" i="15"/>
  <c r="I544" i="12"/>
  <c r="I168" i="14"/>
  <c r="I663" i="9"/>
  <c r="I514" i="15"/>
  <c r="P475" i="15"/>
  <c r="P474" i="15"/>
  <c r="H179" i="3" s="1" a="1"/>
  <c r="H179" i="3" s="1"/>
  <c r="I420" i="15"/>
  <c r="B152" i="14"/>
  <c r="B153" i="14" s="1"/>
  <c r="B154" i="14" s="1"/>
  <c r="B155" i="14" s="1"/>
  <c r="B156" i="14" s="1"/>
  <c r="B157" i="14" s="1"/>
  <c r="R531" i="9"/>
  <c r="G529" i="9"/>
  <c r="I675" i="5"/>
  <c r="I679" i="5" s="1"/>
  <c r="P505" i="12"/>
  <c r="P504" i="12"/>
  <c r="H191" i="3" s="1" a="1"/>
  <c r="H191" i="3" s="1"/>
  <c r="P208" i="14"/>
  <c r="P207" i="14"/>
  <c r="H188" i="3" s="1" a="1"/>
  <c r="H188" i="3" s="1"/>
  <c r="P634" i="9"/>
  <c r="P633" i="9"/>
  <c r="H185" i="3" s="1" a="1"/>
  <c r="H185" i="3" s="1"/>
  <c r="P461" i="8"/>
  <c r="P460" i="8"/>
  <c r="H182" i="3" s="1" a="1"/>
  <c r="H182" i="3" s="1"/>
  <c r="P650" i="5"/>
  <c r="P649" i="5"/>
  <c r="H173" i="3" s="1" a="1"/>
  <c r="H173" i="3" s="1"/>
  <c r="S169" i="4"/>
  <c r="L146" i="4"/>
  <c r="L167" i="4" s="1"/>
  <c r="Q543" i="5"/>
  <c r="L147" i="4" s="1" a="1"/>
  <c r="L147" i="4" s="1"/>
  <c r="F540" i="5"/>
  <c r="F541" i="5" s="1"/>
  <c r="H541" i="5" s="1"/>
  <c r="P214" i="11"/>
  <c r="P213" i="11"/>
  <c r="P192" i="17"/>
  <c r="P191" i="17"/>
  <c r="H176" i="3" s="1" a="1"/>
  <c r="H176" i="3" s="1"/>
  <c r="C129" i="17"/>
  <c r="F147" i="3"/>
  <c r="P141" i="17"/>
  <c r="H147" i="3" s="1"/>
  <c r="I153" i="17"/>
  <c r="G131" i="17" s="1"/>
  <c r="N133" i="17"/>
  <c r="H146" i="4"/>
  <c r="O543" i="5"/>
  <c r="H147" i="4" s="1" a="1"/>
  <c r="H147" i="4" s="1"/>
  <c r="H164" i="4"/>
  <c r="H167" i="4" s="1"/>
  <c r="O413" i="12"/>
  <c r="H165" i="4" s="1" a="1"/>
  <c r="H165" i="4" s="1"/>
  <c r="M413" i="12"/>
  <c r="F165" i="4" s="1" a="1"/>
  <c r="F165" i="4" s="1"/>
  <c r="F164" i="4"/>
  <c r="B472" i="12"/>
  <c r="B473" i="12" s="1"/>
  <c r="B474" i="12" s="1"/>
  <c r="B475" i="12" s="1"/>
  <c r="B476" i="12" s="1"/>
  <c r="B477" i="12" s="1"/>
  <c r="B478" i="12" s="1"/>
  <c r="B479" i="12" s="1"/>
  <c r="E162" i="3"/>
  <c r="P417" i="12"/>
  <c r="H162" i="3" s="1"/>
  <c r="E150" i="3"/>
  <c r="E165" i="3" s="1"/>
  <c r="P376" i="15"/>
  <c r="H150" i="3" s="1"/>
  <c r="F156" i="3"/>
  <c r="F165" i="3" s="1"/>
  <c r="P539" i="9"/>
  <c r="H156" i="3" s="1"/>
  <c r="G158" i="4"/>
  <c r="N535" i="9"/>
  <c r="G159" i="4" s="1" a="1"/>
  <c r="G159" i="4" s="1"/>
  <c r="G152" i="4"/>
  <c r="N372" i="15"/>
  <c r="G153" i="4" s="1" a="1"/>
  <c r="G153" i="4" s="1"/>
  <c r="G155" i="4"/>
  <c r="N377" i="8"/>
  <c r="G156" i="4" s="1" a="1"/>
  <c r="G156" i="4" s="1"/>
  <c r="E164" i="4"/>
  <c r="L413" i="12"/>
  <c r="E165" i="4" s="1" a="1"/>
  <c r="E165" i="4" s="1"/>
  <c r="F146" i="4"/>
  <c r="M543" i="5"/>
  <c r="F147" i="4" s="1" a="1"/>
  <c r="F147" i="4" s="1"/>
  <c r="F155" i="4"/>
  <c r="M377" i="8"/>
  <c r="F156" i="4" s="1" a="1"/>
  <c r="F156" i="4" s="1"/>
  <c r="F152" i="4"/>
  <c r="M372" i="15"/>
  <c r="F153" i="4" s="1" a="1"/>
  <c r="F153" i="4" s="1"/>
  <c r="F161" i="4"/>
  <c r="M134" i="14"/>
  <c r="F162" i="4" s="1" a="1"/>
  <c r="F162" i="4" s="1"/>
  <c r="L543" i="5"/>
  <c r="E147" i="4" s="1" a="1"/>
  <c r="E147" i="4" s="1"/>
  <c r="E146" i="4"/>
  <c r="E161" i="4"/>
  <c r="L134" i="14"/>
  <c r="E162" i="4" s="1" a="1"/>
  <c r="E162" i="4" s="1"/>
  <c r="E158" i="4"/>
  <c r="L535" i="9"/>
  <c r="E159" i="4" s="1" a="1"/>
  <c r="E159" i="4" s="1"/>
  <c r="E155" i="4"/>
  <c r="L377" i="8"/>
  <c r="E156" i="4" s="1" a="1"/>
  <c r="E156" i="4" s="1"/>
  <c r="E152" i="4"/>
  <c r="E167" i="4" s="1"/>
  <c r="L372" i="15"/>
  <c r="E153" i="4" s="1" a="1"/>
  <c r="E153" i="4" s="1"/>
  <c r="R373" i="8"/>
  <c r="N155" i="4" s="1"/>
  <c r="G371" i="8"/>
  <c r="D146" i="4"/>
  <c r="K543" i="5"/>
  <c r="D147" i="4" s="1" a="1"/>
  <c r="D147" i="4" s="1"/>
  <c r="P539" i="5"/>
  <c r="I427" i="15"/>
  <c r="I324" i="15"/>
  <c r="B330" i="15"/>
  <c r="B323" i="15" s="1"/>
  <c r="I585" i="9"/>
  <c r="I502" i="9"/>
  <c r="O326" i="12"/>
  <c r="H128" i="4" s="1" a="1"/>
  <c r="H128" i="4" s="1"/>
  <c r="H127" i="4"/>
  <c r="I158" i="14"/>
  <c r="G128" i="14" s="1"/>
  <c r="D152" i="4"/>
  <c r="K372" i="15"/>
  <c r="D153" i="4" s="1" a="1"/>
  <c r="D153" i="4" s="1"/>
  <c r="P368" i="15"/>
  <c r="C159" i="3"/>
  <c r="C165" i="3" s="1"/>
  <c r="P138" i="14"/>
  <c r="H159" i="3" s="1"/>
  <c r="D164" i="4"/>
  <c r="K413" i="12"/>
  <c r="D165" i="4" s="1" a="1"/>
  <c r="D165" i="4" s="1"/>
  <c r="P409" i="12"/>
  <c r="D158" i="4"/>
  <c r="K535" i="9"/>
  <c r="D159" i="4" s="1" a="1"/>
  <c r="D159" i="4" s="1"/>
  <c r="P531" i="9"/>
  <c r="N158" i="4"/>
  <c r="D161" i="4"/>
  <c r="K134" i="14"/>
  <c r="D162" i="4" s="1" a="1"/>
  <c r="D162" i="4" s="1"/>
  <c r="P130" i="14"/>
  <c r="N161" i="4"/>
  <c r="D155" i="4"/>
  <c r="K377" i="8"/>
  <c r="D156" i="4" s="1" a="1"/>
  <c r="D156" i="4" s="1"/>
  <c r="P373" i="8"/>
  <c r="C527" i="9"/>
  <c r="C369" i="8"/>
  <c r="C405" i="12"/>
  <c r="C535" i="5"/>
  <c r="C126" i="14"/>
  <c r="C364" i="15"/>
  <c r="G92" i="17"/>
  <c r="R94" i="17"/>
  <c r="I595" i="5"/>
  <c r="I598" i="5" s="1"/>
  <c r="P380" i="15"/>
  <c r="P379" i="15"/>
  <c r="H151" i="3" s="1" a="1"/>
  <c r="H151" i="3" s="1"/>
  <c r="P421" i="12"/>
  <c r="P420" i="12"/>
  <c r="H163" i="3" s="1" a="1"/>
  <c r="H163" i="3" s="1"/>
  <c r="P142" i="14"/>
  <c r="P141" i="14"/>
  <c r="H160" i="3" s="1" a="1"/>
  <c r="H160" i="3" s="1"/>
  <c r="P543" i="9"/>
  <c r="P542" i="9"/>
  <c r="H157" i="3" s="1" a="1"/>
  <c r="H157" i="3" s="1"/>
  <c r="P385" i="8"/>
  <c r="P384" i="8"/>
  <c r="H154" i="3" s="1" a="1"/>
  <c r="H154" i="3" s="1"/>
  <c r="P145" i="17"/>
  <c r="P144" i="17"/>
  <c r="H148" i="3" s="1" a="1"/>
  <c r="H148" i="3" s="1"/>
  <c r="P551" i="5"/>
  <c r="P550" i="5"/>
  <c r="H145" i="3" s="1" a="1"/>
  <c r="H145" i="3" s="1"/>
  <c r="I332" i="8"/>
  <c r="F299" i="8" s="1"/>
  <c r="F12" i="18"/>
  <c r="F13" i="18" s="1"/>
  <c r="H13" i="18" s="1"/>
  <c r="Q15" i="18"/>
  <c r="L137" i="4" s="1" a="1"/>
  <c r="L137" i="4" s="1"/>
  <c r="E131" i="3"/>
  <c r="P52" i="14"/>
  <c r="M56" i="14"/>
  <c r="E132" i="3" s="1" a="1"/>
  <c r="E132" i="3" s="1"/>
  <c r="M48" i="14"/>
  <c r="F134" i="4" s="1" a="1"/>
  <c r="F134" i="4" s="1"/>
  <c r="F133" i="4"/>
  <c r="N48" i="14"/>
  <c r="G134" i="4" s="1" a="1"/>
  <c r="G134" i="4" s="1"/>
  <c r="G133" i="4"/>
  <c r="K131" i="3"/>
  <c r="K137" i="3" s="1"/>
  <c r="Q56" i="14"/>
  <c r="K132" i="3" s="1" a="1"/>
  <c r="K132" i="3" s="1"/>
  <c r="P44" i="14"/>
  <c r="F45" i="14"/>
  <c r="F46" i="14" s="1"/>
  <c r="H46" i="14" s="1"/>
  <c r="L133" i="4"/>
  <c r="L139" i="4" s="1"/>
  <c r="Q48" i="14"/>
  <c r="L134" i="4" s="1" a="1"/>
  <c r="L134" i="4" s="1"/>
  <c r="G42" i="14"/>
  <c r="H118" i="4"/>
  <c r="O300" i="8"/>
  <c r="H119" i="4" s="1" a="1"/>
  <c r="H119" i="4" s="1"/>
  <c r="H133" i="4"/>
  <c r="O48" i="14"/>
  <c r="H134" i="4" s="1" a="1"/>
  <c r="H134" i="4" s="1"/>
  <c r="I594" i="10"/>
  <c r="G124" i="4"/>
  <c r="N559" i="10"/>
  <c r="G125" i="4" s="1" a="1"/>
  <c r="G125" i="4" s="1"/>
  <c r="P555" i="10"/>
  <c r="G131" i="4" a="1"/>
  <c r="G131" i="4" s="1"/>
  <c r="H131" i="4" a="1"/>
  <c r="H131" i="4" s="1"/>
  <c r="I130" i="4"/>
  <c r="P98" i="17"/>
  <c r="C92" i="17" s="1"/>
  <c r="F92" i="17"/>
  <c r="E116" i="3"/>
  <c r="P304" i="8"/>
  <c r="H116" i="3" s="1"/>
  <c r="F118" i="4"/>
  <c r="M300" i="8"/>
  <c r="F119" i="4" s="1" a="1"/>
  <c r="F119" i="4" s="1"/>
  <c r="B471" i="9"/>
  <c r="B472" i="9" s="1"/>
  <c r="B473" i="9" s="1"/>
  <c r="B474" i="9" s="1"/>
  <c r="B297" i="15"/>
  <c r="B298" i="15" s="1"/>
  <c r="B299" i="15" s="1"/>
  <c r="B300" i="15" s="1"/>
  <c r="B301" i="15" s="1"/>
  <c r="B302" i="15" s="1"/>
  <c r="B303" i="15" s="1"/>
  <c r="B304" i="15" s="1"/>
  <c r="B305" i="15" s="1"/>
  <c r="N115" i="4"/>
  <c r="E113" i="3"/>
  <c r="P282" i="15"/>
  <c r="H113" i="3" s="1"/>
  <c r="F121" i="4"/>
  <c r="M453" i="9"/>
  <c r="F122" i="4" s="1" a="1"/>
  <c r="F122" i="4" s="1"/>
  <c r="B341" i="15"/>
  <c r="B342" i="15" s="1"/>
  <c r="B343" i="15" s="1"/>
  <c r="B344" i="15" s="1"/>
  <c r="B345" i="15" s="1"/>
  <c r="B346" i="15" s="1"/>
  <c r="B347" i="15" s="1"/>
  <c r="B348" i="15" s="1"/>
  <c r="B349" i="15" s="1"/>
  <c r="B350" i="15" s="1"/>
  <c r="B351" i="15" s="1"/>
  <c r="B352" i="15" s="1"/>
  <c r="B353" i="15" s="1"/>
  <c r="B354" i="15" s="1"/>
  <c r="F115" i="4"/>
  <c r="M278" i="15"/>
  <c r="F116" i="4" s="1" a="1"/>
  <c r="F116" i="4" s="1"/>
  <c r="F112" i="4"/>
  <c r="M469" i="5"/>
  <c r="F113" i="4" s="1" a="1"/>
  <c r="F113" i="4" s="1"/>
  <c r="F127" i="4"/>
  <c r="M326" i="12"/>
  <c r="F128" i="4" s="1" a="1"/>
  <c r="F128" i="4" s="1"/>
  <c r="D125" i="3"/>
  <c r="D137" i="3" s="1"/>
  <c r="P330" i="12"/>
  <c r="D133" i="4"/>
  <c r="K48" i="14"/>
  <c r="D134" i="4" s="1" a="1"/>
  <c r="D134" i="4" s="1"/>
  <c r="N133" i="4"/>
  <c r="E133" i="4"/>
  <c r="L48" i="14"/>
  <c r="E134" i="4" s="1" a="1"/>
  <c r="E134" i="4" s="1"/>
  <c r="F360" i="9"/>
  <c r="H360" i="9" s="1"/>
  <c r="E121" i="4"/>
  <c r="L453" i="9"/>
  <c r="E122" i="4" s="1" a="1"/>
  <c r="E122" i="4" s="1"/>
  <c r="Q116" i="3"/>
  <c r="E118" i="4"/>
  <c r="L300" i="8"/>
  <c r="E119" i="4" s="1" a="1"/>
  <c r="E119" i="4" s="1"/>
  <c r="P296" i="8"/>
  <c r="E115" i="4"/>
  <c r="L278" i="15"/>
  <c r="E116" i="4" s="1" a="1"/>
  <c r="E116" i="4" s="1"/>
  <c r="E112" i="4"/>
  <c r="P465" i="5"/>
  <c r="L469" i="5"/>
  <c r="E113" i="4" s="1" a="1"/>
  <c r="E113" i="4" s="1"/>
  <c r="I331" i="15"/>
  <c r="D115" i="4"/>
  <c r="K278" i="15"/>
  <c r="D116" i="4" s="1" a="1"/>
  <c r="D116" i="4" s="1"/>
  <c r="P274" i="15"/>
  <c r="I278" i="12"/>
  <c r="F248" i="12" s="1"/>
  <c r="F249" i="12" s="1"/>
  <c r="H249" i="12" s="1"/>
  <c r="C318" i="12"/>
  <c r="D127" i="4"/>
  <c r="K326" i="12"/>
  <c r="D128" i="4" s="1" a="1"/>
  <c r="D128" i="4" s="1"/>
  <c r="P322" i="12"/>
  <c r="F456" i="10"/>
  <c r="H456" i="10" s="1"/>
  <c r="C551" i="10"/>
  <c r="D121" i="4"/>
  <c r="K453" i="9"/>
  <c r="D122" i="4" s="1" a="1"/>
  <c r="D122" i="4" s="1"/>
  <c r="P449" i="9"/>
  <c r="C292" i="8"/>
  <c r="C90" i="17"/>
  <c r="I131" i="4" a="1"/>
  <c r="I131" i="4" s="1"/>
  <c r="N128" i="3"/>
  <c r="Q128" i="3"/>
  <c r="Q103" i="3"/>
  <c r="K100" i="3"/>
  <c r="K103" i="3" s="1"/>
  <c r="R106" i="4"/>
  <c r="L102" i="4"/>
  <c r="L105" i="4" s="1"/>
  <c r="Q48" i="17"/>
  <c r="L103" i="4" s="1" a="1"/>
  <c r="L103" i="4" s="1"/>
  <c r="F45" i="17"/>
  <c r="F46" i="17" s="1"/>
  <c r="C241" i="12"/>
  <c r="E97" i="3"/>
  <c r="E103" i="3" s="1"/>
  <c r="P253" i="12"/>
  <c r="H97" i="3" s="1"/>
  <c r="N249" i="12"/>
  <c r="G100" i="4" s="1" a="1"/>
  <c r="G100" i="4" s="1"/>
  <c r="G99" i="4"/>
  <c r="O249" i="12"/>
  <c r="H100" i="4" s="1" a="1"/>
  <c r="H100" i="4" s="1"/>
  <c r="H99" i="4"/>
  <c r="H85" i="3"/>
  <c r="C270" i="15"/>
  <c r="Q113" i="3"/>
  <c r="N110" i="3"/>
  <c r="P334" i="12"/>
  <c r="P333" i="12"/>
  <c r="H126" i="3" s="1" a="1"/>
  <c r="H126" i="3" s="1"/>
  <c r="P461" i="9"/>
  <c r="P460" i="9"/>
  <c r="H120" i="3" s="1" a="1"/>
  <c r="H120" i="3" s="1"/>
  <c r="P308" i="8"/>
  <c r="P307" i="8"/>
  <c r="H117" i="3" s="1" a="1"/>
  <c r="H117" i="3" s="1"/>
  <c r="P106" i="17"/>
  <c r="P105" i="17"/>
  <c r="H129" i="3" s="1" a="1"/>
  <c r="H129" i="3" s="1"/>
  <c r="P286" i="15"/>
  <c r="P285" i="15"/>
  <c r="H114" i="3" s="1" a="1"/>
  <c r="H114" i="3" s="1"/>
  <c r="P567" i="10"/>
  <c r="P566" i="10"/>
  <c r="H123" i="3" s="1" a="1"/>
  <c r="H123" i="3" s="1"/>
  <c r="R245" i="12"/>
  <c r="G243" i="12"/>
  <c r="P140" i="11"/>
  <c r="P139" i="11"/>
  <c r="P297" i="7"/>
  <c r="P296" i="7"/>
  <c r="H84" i="4"/>
  <c r="O394" i="5"/>
  <c r="H85" i="4" s="1" a="1"/>
  <c r="H85" i="4" s="1"/>
  <c r="N100" i="3"/>
  <c r="C101" i="3" a="1"/>
  <c r="C101" i="3" s="1"/>
  <c r="D102" i="4"/>
  <c r="K48" i="17"/>
  <c r="D103" i="4" s="1" a="1"/>
  <c r="D103" i="4" s="1"/>
  <c r="P44" i="17"/>
  <c r="H93" i="4"/>
  <c r="O360" i="9"/>
  <c r="H94" i="4" s="1" a="1"/>
  <c r="H94" i="4" s="1"/>
  <c r="B484" i="10"/>
  <c r="B485" i="10" s="1"/>
  <c r="B486" i="10" s="1"/>
  <c r="B487" i="10" s="1"/>
  <c r="B488" i="10" s="1"/>
  <c r="B256" i="15"/>
  <c r="B257" i="15" s="1"/>
  <c r="B258" i="15" s="1"/>
  <c r="B259" i="15" s="1"/>
  <c r="B260" i="15" s="1"/>
  <c r="G87" i="4"/>
  <c r="N188" i="15"/>
  <c r="G88" i="4" s="1" a="1"/>
  <c r="G88" i="4" s="1"/>
  <c r="Q85" i="3"/>
  <c r="E84" i="4"/>
  <c r="L394" i="5"/>
  <c r="E85" i="4" s="1" a="1"/>
  <c r="E85" i="4" s="1"/>
  <c r="G84" i="4"/>
  <c r="N394" i="5"/>
  <c r="G85" i="4" s="1" a="1"/>
  <c r="G85" i="4" s="1"/>
  <c r="P390" i="5"/>
  <c r="G96" i="4"/>
  <c r="N456" i="10"/>
  <c r="G97" i="4" s="1" a="1"/>
  <c r="G97" i="4" s="1"/>
  <c r="F87" i="4"/>
  <c r="M188" i="15"/>
  <c r="F88" i="4" s="1" a="1"/>
  <c r="F88" i="4" s="1"/>
  <c r="F90" i="4"/>
  <c r="M215" i="8"/>
  <c r="F91" i="4" s="1" a="1"/>
  <c r="F91" i="4" s="1"/>
  <c r="G209" i="8"/>
  <c r="B384" i="9"/>
  <c r="B385" i="9" s="1"/>
  <c r="B386" i="9" s="1"/>
  <c r="B387" i="9" s="1"/>
  <c r="L360" i="9"/>
  <c r="E94" i="4" s="1" a="1"/>
  <c r="E94" i="4" s="1"/>
  <c r="E93" i="4"/>
  <c r="F93" i="4"/>
  <c r="M360" i="9"/>
  <c r="F94" i="4" s="1" a="1"/>
  <c r="F94" i="4" s="1"/>
  <c r="F96" i="4"/>
  <c r="M456" i="10"/>
  <c r="F97" i="4" s="1" a="1"/>
  <c r="F97" i="4" s="1"/>
  <c r="D91" i="3"/>
  <c r="D103" i="3" s="1"/>
  <c r="P364" i="9"/>
  <c r="D93" i="4"/>
  <c r="K360" i="9"/>
  <c r="D94" i="4" s="1" a="1"/>
  <c r="D94" i="4" s="1"/>
  <c r="P356" i="9"/>
  <c r="G354" i="9"/>
  <c r="N60" i="4"/>
  <c r="P99" i="13"/>
  <c r="P98" i="13"/>
  <c r="L249" i="12"/>
  <c r="E100" i="4" s="1" a="1"/>
  <c r="E100" i="4" s="1"/>
  <c r="P245" i="12"/>
  <c r="I99" i="4" s="1"/>
  <c r="D87" i="4"/>
  <c r="K188" i="15"/>
  <c r="D88" i="4" s="1" a="1"/>
  <c r="D88" i="4" s="1"/>
  <c r="P184" i="15"/>
  <c r="D90" i="4"/>
  <c r="K215" i="8"/>
  <c r="D91" i="4" s="1" a="1"/>
  <c r="D91" i="4" s="1"/>
  <c r="P211" i="8"/>
  <c r="P60" i="3"/>
  <c r="N87" i="4"/>
  <c r="D96" i="4"/>
  <c r="P452" i="10"/>
  <c r="K456" i="10"/>
  <c r="D97" i="4" s="1" a="1"/>
  <c r="D97" i="4" s="1"/>
  <c r="R452" i="10"/>
  <c r="P61" i="16"/>
  <c r="P60" i="16"/>
  <c r="C352" i="9"/>
  <c r="C40" i="17"/>
  <c r="I521" i="10"/>
  <c r="C448" i="10"/>
  <c r="C207" i="8"/>
  <c r="C180" i="15"/>
  <c r="N82" i="3"/>
  <c r="O357" i="10"/>
  <c r="H70" i="4" s="1" a="1"/>
  <c r="H70" i="4" s="1"/>
  <c r="H69" i="4"/>
  <c r="I161" i="8"/>
  <c r="I237" i="15"/>
  <c r="I148" i="15"/>
  <c r="O104" i="15"/>
  <c r="H61" i="4" s="1" a="1"/>
  <c r="H61" i="4" s="1"/>
  <c r="H60" i="4"/>
  <c r="I428" i="5"/>
  <c r="I432" i="5" s="1"/>
  <c r="O15" i="17"/>
  <c r="P11" i="17"/>
  <c r="N15" i="17"/>
  <c r="G76" i="4" s="1" a="1"/>
  <c r="G76" i="4" s="1"/>
  <c r="G75" i="4"/>
  <c r="P464" i="10"/>
  <c r="P463" i="10"/>
  <c r="H95" i="3" s="1" a="1"/>
  <c r="H95" i="3" s="1"/>
  <c r="P196" i="15"/>
  <c r="P195" i="15"/>
  <c r="H86" i="3" s="1" a="1"/>
  <c r="H86" i="3" s="1"/>
  <c r="P223" i="8"/>
  <c r="P222" i="8"/>
  <c r="H89" i="3" s="1" a="1"/>
  <c r="H89" i="3" s="1"/>
  <c r="P56" i="17"/>
  <c r="P55" i="17"/>
  <c r="P402" i="5"/>
  <c r="P401" i="5"/>
  <c r="H63" i="4"/>
  <c r="O122" i="8"/>
  <c r="H64" i="4" s="1" a="1"/>
  <c r="H64" i="4" s="1"/>
  <c r="D57" i="3"/>
  <c r="P108" i="15"/>
  <c r="H57" i="3" s="1"/>
  <c r="E60" i="3"/>
  <c r="E75" i="3" s="1"/>
  <c r="P126" i="8"/>
  <c r="H60" i="3" s="1"/>
  <c r="G63" i="4"/>
  <c r="N122" i="8"/>
  <c r="G64" i="4" s="1" a="1"/>
  <c r="G64" i="4" s="1"/>
  <c r="G57" i="4"/>
  <c r="N307" i="5"/>
  <c r="G58" i="4" s="1" a="1"/>
  <c r="G58" i="4" s="1"/>
  <c r="I316" i="9"/>
  <c r="I303" i="9"/>
  <c r="F273" i="9" s="1"/>
  <c r="F274" i="9" s="1"/>
  <c r="H274" i="9" s="1"/>
  <c r="G66" i="4"/>
  <c r="N274" i="9"/>
  <c r="G67" i="4" s="1" a="1"/>
  <c r="G67" i="4" s="1"/>
  <c r="P368" i="9"/>
  <c r="P367" i="9"/>
  <c r="H92" i="3" s="1" a="1"/>
  <c r="H92" i="3" s="1"/>
  <c r="R50" i="11"/>
  <c r="G48" i="11"/>
  <c r="P103" i="11"/>
  <c r="P102" i="11"/>
  <c r="Q69" i="3"/>
  <c r="D66" i="3"/>
  <c r="P361" i="10"/>
  <c r="I74" i="13"/>
  <c r="F53" i="13" s="1"/>
  <c r="G72" i="4"/>
  <c r="N54" i="11"/>
  <c r="G73" i="4" s="1" a="1"/>
  <c r="G73" i="4" s="1"/>
  <c r="P50" i="11"/>
  <c r="N72" i="4"/>
  <c r="M66" i="3"/>
  <c r="F69" i="4"/>
  <c r="M357" i="10"/>
  <c r="F70" i="4" s="1" a="1"/>
  <c r="F70" i="4" s="1"/>
  <c r="N63" i="3"/>
  <c r="F66" i="4"/>
  <c r="M274" i="9"/>
  <c r="F67" i="4" s="1" a="1"/>
  <c r="F67" i="4" s="1"/>
  <c r="P270" i="9"/>
  <c r="F57" i="4"/>
  <c r="M307" i="5"/>
  <c r="F58" i="4" s="1" a="1"/>
  <c r="F58" i="4" s="1"/>
  <c r="M122" i="8"/>
  <c r="F64" i="4" s="1" a="1"/>
  <c r="F64" i="4" s="1"/>
  <c r="F63" i="4"/>
  <c r="P311" i="5"/>
  <c r="C54" i="3"/>
  <c r="C75" i="3" s="1"/>
  <c r="E57" i="4"/>
  <c r="L307" i="5"/>
  <c r="E58" i="4" s="1" a="1"/>
  <c r="E58" i="4" s="1"/>
  <c r="E63" i="4"/>
  <c r="L122" i="8"/>
  <c r="E64" i="4" s="1" a="1"/>
  <c r="E64" i="4" s="1"/>
  <c r="E69" i="4"/>
  <c r="E78" i="4" s="1"/>
  <c r="L357" i="10"/>
  <c r="E70" i="4" s="1" a="1"/>
  <c r="E70" i="4" s="1"/>
  <c r="L104" i="15"/>
  <c r="E61" i="4" s="1" a="1"/>
  <c r="E61" i="4" s="1"/>
  <c r="P100" i="15"/>
  <c r="I60" i="4" s="1"/>
  <c r="I155" i="15"/>
  <c r="G98" i="15"/>
  <c r="H355" i="5"/>
  <c r="Q60" i="3"/>
  <c r="R353" i="10"/>
  <c r="G351" i="10"/>
  <c r="I278" i="10"/>
  <c r="F239" i="10" s="1"/>
  <c r="I414" i="10"/>
  <c r="D69" i="4"/>
  <c r="K357" i="10"/>
  <c r="D70" i="4" s="1" a="1"/>
  <c r="D70" i="4" s="1"/>
  <c r="P353" i="10"/>
  <c r="I213" i="9"/>
  <c r="F183" i="9" s="1"/>
  <c r="F184" i="9" s="1"/>
  <c r="H184" i="9" s="1"/>
  <c r="C266" i="9"/>
  <c r="I171" i="8"/>
  <c r="I215" i="7"/>
  <c r="F187" i="7" s="1"/>
  <c r="F188" i="7" s="1"/>
  <c r="H188" i="7" s="1"/>
  <c r="C244" i="7"/>
  <c r="D63" i="4"/>
  <c r="K122" i="8"/>
  <c r="D64" i="4" s="1" a="1"/>
  <c r="D64" i="4" s="1"/>
  <c r="P118" i="8"/>
  <c r="K307" i="5"/>
  <c r="D58" i="4" s="1" a="1"/>
  <c r="D58" i="4" s="1"/>
  <c r="P303" i="5"/>
  <c r="D57" i="4"/>
  <c r="C114" i="8"/>
  <c r="C299" i="5"/>
  <c r="C349" i="10"/>
  <c r="I350" i="5"/>
  <c r="S52" i="4"/>
  <c r="L33" i="4"/>
  <c r="L51" i="4" s="1"/>
  <c r="Q199" i="5"/>
  <c r="L34" i="4" s="1" a="1"/>
  <c r="L34" i="4" s="1"/>
  <c r="F196" i="5"/>
  <c r="F197" i="5" s="1"/>
  <c r="H197" i="5" s="1"/>
  <c r="H48" i="4"/>
  <c r="O54" i="8"/>
  <c r="H49" i="4" s="1" a="1"/>
  <c r="H49" i="4" s="1"/>
  <c r="N29" i="3"/>
  <c r="H39" i="4"/>
  <c r="O184" i="9"/>
  <c r="H40" i="4" s="1" a="1"/>
  <c r="H40" i="4" s="1"/>
  <c r="H42" i="4"/>
  <c r="O240" i="10"/>
  <c r="H43" i="4" s="1" a="1"/>
  <c r="H43" i="4" s="1"/>
  <c r="H33" i="4"/>
  <c r="O199" i="5"/>
  <c r="H34" i="4" s="1" a="1"/>
  <c r="H34" i="4" s="1"/>
  <c r="F41" i="3"/>
  <c r="N192" i="9"/>
  <c r="F42" i="3" s="1" a="1"/>
  <c r="F42" i="3" s="1"/>
  <c r="P58" i="8"/>
  <c r="H44" i="3" s="1"/>
  <c r="E44" i="3"/>
  <c r="E47" i="3" s="1"/>
  <c r="Q44" i="3"/>
  <c r="B266" i="10"/>
  <c r="B267" i="10" s="1"/>
  <c r="B268" i="10" s="1"/>
  <c r="B269" i="10" s="1"/>
  <c r="B270" i="10" s="1"/>
  <c r="P365" i="10"/>
  <c r="P364" i="10"/>
  <c r="H67" i="3" s="1" a="1"/>
  <c r="H67" i="3" s="1"/>
  <c r="P315" i="5"/>
  <c r="P314" i="5"/>
  <c r="H55" i="3" s="1" a="1"/>
  <c r="H55" i="3" s="1"/>
  <c r="P260" i="7"/>
  <c r="P259" i="7"/>
  <c r="P130" i="8"/>
  <c r="P129" i="8"/>
  <c r="H61" i="3" s="1" a="1"/>
  <c r="H61" i="3" s="1"/>
  <c r="P282" i="9"/>
  <c r="P281" i="9"/>
  <c r="H64" i="3" s="1" a="1"/>
  <c r="H64" i="3" s="1"/>
  <c r="P62" i="11"/>
  <c r="P61" i="11"/>
  <c r="H70" i="3" s="1" a="1"/>
  <c r="H70" i="3" s="1"/>
  <c r="P257" i="12"/>
  <c r="P256" i="12"/>
  <c r="G39" i="4"/>
  <c r="N184" i="9"/>
  <c r="G40" i="4" s="1" a="1"/>
  <c r="G40" i="4" s="1"/>
  <c r="G42" i="4"/>
  <c r="N240" i="10"/>
  <c r="G43" i="4" s="1" a="1"/>
  <c r="G43" i="4" s="1"/>
  <c r="F32" i="3"/>
  <c r="F47" i="3" s="1"/>
  <c r="P203" i="5"/>
  <c r="G48" i="4"/>
  <c r="N54" i="8"/>
  <c r="G49" i="4" s="1" a="1"/>
  <c r="G49" i="4" s="1"/>
  <c r="F48" i="4"/>
  <c r="M54" i="8"/>
  <c r="F49" i="4" s="1" a="1"/>
  <c r="F49" i="4" s="1"/>
  <c r="P50" i="8"/>
  <c r="F42" i="4"/>
  <c r="M240" i="10"/>
  <c r="F43" i="4" s="1" a="1"/>
  <c r="F43" i="4" s="1"/>
  <c r="C8" i="11"/>
  <c r="M16" i="11"/>
  <c r="P12" i="11"/>
  <c r="P32" i="3"/>
  <c r="R203" i="5"/>
  <c r="M32" i="3" s="1"/>
  <c r="F33" i="4"/>
  <c r="M199" i="5"/>
  <c r="F34" i="4" s="1" a="1"/>
  <c r="F34" i="4" s="1"/>
  <c r="R50" i="8"/>
  <c r="N48" i="4" s="1"/>
  <c r="G48" i="8"/>
  <c r="E33" i="3" a="1"/>
  <c r="E33" i="3" s="1"/>
  <c r="D42" i="4"/>
  <c r="K240" i="10"/>
  <c r="D43" i="4" s="1" a="1"/>
  <c r="D43" i="4" s="1"/>
  <c r="E36" i="4"/>
  <c r="L188" i="7"/>
  <c r="E37" i="4" s="1" a="1"/>
  <c r="E37" i="4" s="1"/>
  <c r="E33" i="4"/>
  <c r="L199" i="5"/>
  <c r="E34" i="4" s="1" a="1"/>
  <c r="E34" i="4" s="1"/>
  <c r="E42" i="4"/>
  <c r="P236" i="10"/>
  <c r="L240" i="10"/>
  <c r="E43" i="4" s="1" a="1"/>
  <c r="E43" i="4" s="1"/>
  <c r="F92" i="12"/>
  <c r="F93" i="12" s="1"/>
  <c r="H93" i="12" s="1"/>
  <c r="E45" i="4"/>
  <c r="L187" i="12"/>
  <c r="E46" i="4" s="1" a="1"/>
  <c r="E46" i="4" s="1"/>
  <c r="D33" i="3" a="1"/>
  <c r="D33" i="3" s="1"/>
  <c r="P188" i="9"/>
  <c r="C41" i="3"/>
  <c r="C47" i="3" s="1"/>
  <c r="K192" i="9"/>
  <c r="C42" i="3" s="1" a="1"/>
  <c r="C42" i="3" s="1"/>
  <c r="G178" i="9"/>
  <c r="R180" i="9"/>
  <c r="I305" i="10"/>
  <c r="I300" i="10"/>
  <c r="D36" i="4"/>
  <c r="P184" i="7"/>
  <c r="K188" i="7"/>
  <c r="D37" i="4" s="1" a="1"/>
  <c r="D37" i="4" s="1"/>
  <c r="Q38" i="3"/>
  <c r="D45" i="4"/>
  <c r="P183" i="12"/>
  <c r="K187" i="12"/>
  <c r="D46" i="4" s="1" a="1"/>
  <c r="D46" i="4" s="1"/>
  <c r="O93" i="12"/>
  <c r="H22" i="4" s="1" a="1"/>
  <c r="H22" i="4" s="1"/>
  <c r="H21" i="4"/>
  <c r="I129" i="9"/>
  <c r="F98" i="9"/>
  <c r="F99" i="9" s="1"/>
  <c r="H99" i="9" s="1"/>
  <c r="D39" i="4"/>
  <c r="P180" i="9"/>
  <c r="K184" i="9"/>
  <c r="D40" i="4" s="1" a="1"/>
  <c r="D40" i="4" s="1"/>
  <c r="D33" i="4"/>
  <c r="K199" i="5"/>
  <c r="D34" i="4" s="1" a="1"/>
  <c r="D34" i="4" s="1"/>
  <c r="P195" i="5"/>
  <c r="C33" i="3" a="1"/>
  <c r="C33" i="3" s="1"/>
  <c r="I153" i="7"/>
  <c r="I136" i="7"/>
  <c r="F108" i="7" s="1"/>
  <c r="P135" i="10"/>
  <c r="H5" i="3" s="1"/>
  <c r="Q5" i="3" s="1"/>
  <c r="D5" i="3"/>
  <c r="D23" i="3" s="1"/>
  <c r="L131" i="10"/>
  <c r="E19" i="4" s="1" a="1"/>
  <c r="E19" i="4" s="1"/>
  <c r="E18" i="4"/>
  <c r="P113" i="7"/>
  <c r="H14" i="3" s="1"/>
  <c r="C14" i="3"/>
  <c r="C23" i="3" s="1"/>
  <c r="O109" i="7"/>
  <c r="H13" i="4" s="1" a="1"/>
  <c r="H13" i="4" s="1"/>
  <c r="H12" i="4"/>
  <c r="O99" i="9"/>
  <c r="H16" i="4" s="1" a="1"/>
  <c r="H16" i="4" s="1"/>
  <c r="H15" i="4"/>
  <c r="O131" i="10"/>
  <c r="H19" i="4" s="1" a="1"/>
  <c r="H19" i="4" s="1"/>
  <c r="H18" i="4"/>
  <c r="H97" i="5"/>
  <c r="F11" i="3"/>
  <c r="F23" i="3" s="1"/>
  <c r="P97" i="12"/>
  <c r="F9" i="4"/>
  <c r="M97" i="5"/>
  <c r="F10" i="4" s="1" a="1"/>
  <c r="F10" i="4" s="1"/>
  <c r="I253" i="5"/>
  <c r="I258" i="5" s="1"/>
  <c r="S28" i="4"/>
  <c r="L9" i="4"/>
  <c r="L27" i="4" s="1"/>
  <c r="Q97" i="5"/>
  <c r="L10" i="4" s="1" a="1"/>
  <c r="L10" i="4" s="1"/>
  <c r="F94" i="5"/>
  <c r="F95" i="5" s="1"/>
  <c r="H95" i="5" s="1"/>
  <c r="P207" i="5"/>
  <c r="P206" i="5"/>
  <c r="H33" i="3" s="1" a="1"/>
  <c r="H33" i="3" s="1"/>
  <c r="B126" i="7"/>
  <c r="B127" i="7" s="1"/>
  <c r="B128" i="7" s="1"/>
  <c r="B129" i="7" s="1"/>
  <c r="N99" i="9"/>
  <c r="G16" i="4" s="1" a="1"/>
  <c r="G16" i="4" s="1"/>
  <c r="G15" i="4"/>
  <c r="B121" i="9"/>
  <c r="B122" i="9" s="1"/>
  <c r="B123" i="9" s="1"/>
  <c r="B156" i="10"/>
  <c r="B157" i="10" s="1"/>
  <c r="B158" i="10" s="1"/>
  <c r="B159" i="10" s="1"/>
  <c r="B160" i="10" s="1"/>
  <c r="B161" i="10" s="1"/>
  <c r="B162" i="10" s="1"/>
  <c r="B163" i="10" s="1"/>
  <c r="B164" i="10" s="1"/>
  <c r="B165" i="10" s="1"/>
  <c r="G18" i="4"/>
  <c r="N131" i="10"/>
  <c r="G19" i="4" s="1" a="1"/>
  <c r="G19" i="4" s="1"/>
  <c r="G21" i="4"/>
  <c r="G27" i="4" s="1"/>
  <c r="N93" i="12"/>
  <c r="G22" i="4" s="1" a="1"/>
  <c r="G22" i="4" s="1"/>
  <c r="C7" i="14"/>
  <c r="I25" i="4"/>
  <c r="P20" i="3"/>
  <c r="H20" i="3"/>
  <c r="F21" i="4"/>
  <c r="M93" i="12"/>
  <c r="F22" i="4" s="1" a="1"/>
  <c r="F22" i="4" s="1"/>
  <c r="F12" i="4"/>
  <c r="M109" i="7"/>
  <c r="F13" i="4" s="1" a="1"/>
  <c r="F13" i="4" s="1"/>
  <c r="P112" i="15"/>
  <c r="P111" i="15"/>
  <c r="H58" i="3" s="1" a="1"/>
  <c r="H58" i="3" s="1"/>
  <c r="I70" i="15"/>
  <c r="K12" i="15"/>
  <c r="I46" i="15"/>
  <c r="G10" i="15" s="1"/>
  <c r="F24" i="4"/>
  <c r="M15" i="14"/>
  <c r="F26" i="4" s="1"/>
  <c r="P11" i="14"/>
  <c r="N24" i="4"/>
  <c r="F15" i="4"/>
  <c r="M99" i="9"/>
  <c r="F16" i="4" s="1" a="1"/>
  <c r="F16" i="4" s="1"/>
  <c r="F18" i="4"/>
  <c r="M131" i="10"/>
  <c r="F19" i="4" s="1" a="1"/>
  <c r="F19" i="4" s="1"/>
  <c r="P23" i="14"/>
  <c r="H22" i="3" s="1"/>
  <c r="P22" i="14"/>
  <c r="H21" i="3" s="1"/>
  <c r="P24" i="13"/>
  <c r="P23" i="13"/>
  <c r="I63" i="12"/>
  <c r="I52" i="12"/>
  <c r="R12" i="12" s="1"/>
  <c r="M12" i="12"/>
  <c r="M16" i="12" s="1"/>
  <c r="L12" i="12"/>
  <c r="I40" i="12"/>
  <c r="G10" i="12" s="1"/>
  <c r="I78" i="10"/>
  <c r="O12" i="10"/>
  <c r="O16" i="10" s="1"/>
  <c r="I73" i="10"/>
  <c r="S12" i="10" s="1"/>
  <c r="I16" i="10"/>
  <c r="I69" i="10"/>
  <c r="R12" i="10" s="1"/>
  <c r="M12" i="10"/>
  <c r="M16" i="10" s="1"/>
  <c r="F87" i="10"/>
  <c r="F92" i="10" s="1"/>
  <c r="I64" i="10"/>
  <c r="G87" i="10"/>
  <c r="G92" i="10" s="1"/>
  <c r="Q12" i="10"/>
  <c r="I55" i="10"/>
  <c r="I48" i="10"/>
  <c r="G10" i="10" s="1"/>
  <c r="K12" i="10"/>
  <c r="I198" i="10"/>
  <c r="I56" i="9"/>
  <c r="I50" i="9"/>
  <c r="R12" i="9" s="1"/>
  <c r="N12" i="9"/>
  <c r="N16" i="9" s="1"/>
  <c r="I44" i="9"/>
  <c r="F15" i="9" s="1"/>
  <c r="F16" i="9" s="1"/>
  <c r="H16" i="9" s="1"/>
  <c r="I38" i="9"/>
  <c r="G10" i="9" s="1"/>
  <c r="L12" i="9"/>
  <c r="P24" i="8"/>
  <c r="P23" i="8"/>
  <c r="I49" i="7"/>
  <c r="M12" i="7"/>
  <c r="I59" i="5"/>
  <c r="I52" i="5"/>
  <c r="N12" i="5"/>
  <c r="N16" i="5" s="1"/>
  <c r="I48" i="5"/>
  <c r="R12" i="5" s="1"/>
  <c r="K12" i="5"/>
  <c r="G10" i="5"/>
  <c r="E9" i="4"/>
  <c r="L97" i="5"/>
  <c r="E10" i="4" s="1" a="1"/>
  <c r="E10" i="4" s="1"/>
  <c r="E15" i="4"/>
  <c r="L99" i="9"/>
  <c r="E16" i="4" s="1" a="1"/>
  <c r="E16" i="4" s="1"/>
  <c r="E21" i="4"/>
  <c r="E27" i="4" s="1"/>
  <c r="L93" i="12"/>
  <c r="E22" i="4" s="1" a="1"/>
  <c r="E22" i="4" s="1"/>
  <c r="N21" i="4"/>
  <c r="K12" i="3" a="1"/>
  <c r="K12" i="3" s="1"/>
  <c r="D21" i="4"/>
  <c r="K93" i="12"/>
  <c r="D22" i="4" s="1" a="1"/>
  <c r="D22" i="4" s="1"/>
  <c r="P89" i="12"/>
  <c r="R93" i="5"/>
  <c r="G91" i="5"/>
  <c r="R101" i="5"/>
  <c r="P8" i="3"/>
  <c r="Q8" i="3" s="1"/>
  <c r="R105" i="7"/>
  <c r="N12" i="4" s="1"/>
  <c r="G103" i="7"/>
  <c r="I157" i="5"/>
  <c r="I143" i="9"/>
  <c r="D12" i="4"/>
  <c r="K109" i="7"/>
  <c r="D13" i="4" s="1" a="1"/>
  <c r="D13" i="4" s="1"/>
  <c r="D9" i="4"/>
  <c r="K97" i="5"/>
  <c r="D10" i="4" s="1" a="1"/>
  <c r="D10" i="4" s="1"/>
  <c r="P93" i="5"/>
  <c r="D15" i="4"/>
  <c r="K99" i="9"/>
  <c r="D16" i="4" s="1" a="1"/>
  <c r="D16" i="4" s="1"/>
  <c r="P95" i="9"/>
  <c r="D18" i="4"/>
  <c r="K131" i="10"/>
  <c r="D19" i="4" s="1" a="1"/>
  <c r="D19" i="4" s="1"/>
  <c r="P127" i="10"/>
  <c r="R127" i="10"/>
  <c r="G125" i="10"/>
  <c r="C91" i="9"/>
  <c r="C12" i="3" a="1"/>
  <c r="C12" i="3" s="1"/>
  <c r="C9" i="3" a="1"/>
  <c r="C9" i="3" s="1"/>
  <c r="C6" i="3" a="1"/>
  <c r="C6" i="3" s="1"/>
  <c r="C15" i="3" a="1"/>
  <c r="C15" i="3" s="1"/>
  <c r="P24" i="11"/>
  <c r="P23" i="11"/>
  <c r="P107" i="9"/>
  <c r="P106" i="9"/>
  <c r="H18" i="3" s="1" a="1"/>
  <c r="H18" i="3" s="1"/>
  <c r="P62" i="8"/>
  <c r="P61" i="8"/>
  <c r="P117" i="7"/>
  <c r="P116" i="7"/>
  <c r="H15" i="3" s="1" a="1"/>
  <c r="H15" i="3" s="1"/>
  <c r="P24" i="6"/>
  <c r="P23" i="6"/>
  <c r="I145" i="12"/>
  <c r="P139" i="10"/>
  <c r="P138" i="10"/>
  <c r="H6" i="3" s="1" a="1"/>
  <c r="H6" i="3" s="1"/>
  <c r="P62" i="13"/>
  <c r="P61" i="13"/>
  <c r="P101" i="12"/>
  <c r="P100" i="12"/>
  <c r="H12" i="3" s="1" a="1"/>
  <c r="H12" i="3" s="1"/>
  <c r="P105" i="5"/>
  <c r="P104" i="5"/>
  <c r="H9" i="3" s="1" a="1"/>
  <c r="H9" i="3" s="1"/>
  <c r="N316" i="2"/>
  <c r="P167" i="2"/>
  <c r="P166" i="2"/>
  <c r="P23" i="2"/>
  <c r="P22" i="2"/>
  <c r="F1555" i="8" l="1"/>
  <c r="F1556" i="8" s="1"/>
  <c r="F1557" i="8" s="1"/>
  <c r="H1557" i="8" s="1"/>
  <c r="P1561" i="8"/>
  <c r="I538" i="4"/>
  <c r="H512" i="3"/>
  <c r="O532" i="4"/>
  <c r="E523" i="4"/>
  <c r="M537" i="3"/>
  <c r="F523" i="4"/>
  <c r="G523" i="4"/>
  <c r="Q503" i="3"/>
  <c r="L503" i="3"/>
  <c r="J503" i="3"/>
  <c r="F498" i="4"/>
  <c r="H513" i="3"/>
  <c r="Q497" i="3"/>
  <c r="L497" i="3"/>
  <c r="J497" i="3"/>
  <c r="F1438" i="5"/>
  <c r="H1438" i="5" s="1"/>
  <c r="N495" i="4"/>
  <c r="R500" i="4"/>
  <c r="R501" i="4" s="1"/>
  <c r="D498" i="4"/>
  <c r="M517" i="4"/>
  <c r="K517" i="4"/>
  <c r="R758" i="20"/>
  <c r="N508" i="4" s="1"/>
  <c r="G756" i="20"/>
  <c r="F1141" i="17"/>
  <c r="F1143" i="17" s="1"/>
  <c r="H1143" i="17" s="1"/>
  <c r="P1147" i="17"/>
  <c r="I511" i="4"/>
  <c r="I508" i="4"/>
  <c r="F756" i="20"/>
  <c r="F758" i="20" s="1"/>
  <c r="H758" i="20" s="1"/>
  <c r="P762" i="20"/>
  <c r="H1434" i="5"/>
  <c r="F1535" i="5"/>
  <c r="F1536" i="5" s="1"/>
  <c r="F1537" i="5" s="1"/>
  <c r="H1537" i="5" s="1"/>
  <c r="P1541" i="5"/>
  <c r="I505" i="4"/>
  <c r="P1529" i="9"/>
  <c r="F1523" i="9"/>
  <c r="F1525" i="9" s="1"/>
  <c r="H1525" i="9" s="1"/>
  <c r="F1453" i="8"/>
  <c r="F1454" i="8" s="1"/>
  <c r="F1455" i="8" s="1"/>
  <c r="H1455" i="8" s="1"/>
  <c r="P1459" i="8"/>
  <c r="I515" i="4" s="1" a="1"/>
  <c r="I515" i="4" s="1"/>
  <c r="I514" i="4"/>
  <c r="F1490" i="12"/>
  <c r="F1491" i="12" s="1"/>
  <c r="F1492" i="12" s="1"/>
  <c r="H1492" i="12" s="1"/>
  <c r="P1496" i="12"/>
  <c r="I520" i="4"/>
  <c r="I523" i="4" s="1"/>
  <c r="L486" i="4"/>
  <c r="L498" i="4" s="1"/>
  <c r="Q1046" i="17"/>
  <c r="L487" i="4" s="1" a="1"/>
  <c r="L487" i="4" s="1"/>
  <c r="F1043" i="17"/>
  <c r="F1044" i="17" s="1"/>
  <c r="H1044" i="17" s="1"/>
  <c r="H488" i="3"/>
  <c r="H489" i="3" s="1"/>
  <c r="Q485" i="3"/>
  <c r="L485" i="3"/>
  <c r="J485" i="3"/>
  <c r="J488" i="3" s="1"/>
  <c r="I489" i="3" s="1"/>
  <c r="D473" i="4"/>
  <c r="E473" i="4"/>
  <c r="G473" i="4"/>
  <c r="F473" i="4"/>
  <c r="F301" i="23"/>
  <c r="F303" i="23" s="1"/>
  <c r="P307" i="23"/>
  <c r="I492" i="4"/>
  <c r="F1360" i="8"/>
  <c r="P1366" i="8"/>
  <c r="I489" i="4"/>
  <c r="N486" i="4"/>
  <c r="F1430" i="5"/>
  <c r="P1436" i="5"/>
  <c r="I480" i="4"/>
  <c r="F1405" i="12"/>
  <c r="P1411" i="12"/>
  <c r="I495" i="4"/>
  <c r="F1040" i="17"/>
  <c r="F1042" i="17" s="1"/>
  <c r="P1046" i="17"/>
  <c r="I486" i="4"/>
  <c r="F668" i="20"/>
  <c r="F670" i="20" s="1"/>
  <c r="P674" i="20"/>
  <c r="I483" i="4"/>
  <c r="H440" i="3"/>
  <c r="P1357" i="5"/>
  <c r="H441" i="3" s="1" a="1"/>
  <c r="H441" i="3" s="1"/>
  <c r="H442" i="4"/>
  <c r="E442" i="4"/>
  <c r="G442" i="4"/>
  <c r="F140" i="23"/>
  <c r="H140" i="23" s="1"/>
  <c r="P219" i="23"/>
  <c r="F213" i="23"/>
  <c r="F215" i="23" s="1"/>
  <c r="F388" i="23" s="1"/>
  <c r="H388" i="23" s="1"/>
  <c r="I464" i="4"/>
  <c r="H449" i="3"/>
  <c r="P1278" i="8"/>
  <c r="H450" i="3" s="1" a="1"/>
  <c r="H450" i="3" s="1"/>
  <c r="F1177" i="8"/>
  <c r="H1177" i="8" s="1"/>
  <c r="P937" i="17"/>
  <c r="F931" i="17"/>
  <c r="F933" i="17" s="1"/>
  <c r="I455" i="4"/>
  <c r="P1391" i="9"/>
  <c r="F1385" i="9"/>
  <c r="I461" i="4"/>
  <c r="H461" i="3"/>
  <c r="P1329" i="12"/>
  <c r="H462" i="3" s="1" a="1"/>
  <c r="H462" i="3" s="1"/>
  <c r="N470" i="4"/>
  <c r="N473" i="4" s="1"/>
  <c r="T475" i="4"/>
  <c r="P1321" i="12"/>
  <c r="F1315" i="12"/>
  <c r="I470" i="4"/>
  <c r="P1087" i="14"/>
  <c r="F1081" i="14"/>
  <c r="F1083" i="14" s="1"/>
  <c r="H1083" i="14" s="1"/>
  <c r="I467" i="4"/>
  <c r="P588" i="20"/>
  <c r="F582" i="20"/>
  <c r="F584" i="20" s="1"/>
  <c r="I452" i="4"/>
  <c r="H1248" i="5"/>
  <c r="P1349" i="5"/>
  <c r="F1343" i="5"/>
  <c r="I449" i="4"/>
  <c r="R475" i="4"/>
  <c r="R476" i="4" s="1"/>
  <c r="P1270" i="8"/>
  <c r="F1264" i="8"/>
  <c r="I458" i="4"/>
  <c r="F1245" i="5"/>
  <c r="F1246" i="5" s="1"/>
  <c r="F1544" i="5" s="1"/>
  <c r="H1544" i="5" s="1"/>
  <c r="F66" i="24"/>
  <c r="F68" i="24" s="1"/>
  <c r="P72" i="24"/>
  <c r="I433" i="4"/>
  <c r="F1309" i="9"/>
  <c r="P1315" i="9"/>
  <c r="I427" i="4"/>
  <c r="F1229" i="12"/>
  <c r="P1235" i="12"/>
  <c r="I439" i="4"/>
  <c r="H434" i="3"/>
  <c r="H435" i="3" s="1"/>
  <c r="Q416" i="3"/>
  <c r="L416" i="3"/>
  <c r="J416" i="3"/>
  <c r="J434" i="3" s="1"/>
  <c r="I435" i="3" s="1"/>
  <c r="N418" i="4"/>
  <c r="R499" i="20"/>
  <c r="N415" i="4" s="1"/>
  <c r="G497" i="20"/>
  <c r="N412" i="4"/>
  <c r="D406" i="4"/>
  <c r="F1171" i="8"/>
  <c r="P1177" i="8"/>
  <c r="I421" i="4"/>
  <c r="R136" i="23"/>
  <c r="N424" i="4" s="1"/>
  <c r="G134" i="23"/>
  <c r="R444" i="4"/>
  <c r="R445" i="4" s="1"/>
  <c r="H405" i="3" a="1"/>
  <c r="H405" i="3" s="1"/>
  <c r="N436" i="4"/>
  <c r="F406" i="4"/>
  <c r="G406" i="4"/>
  <c r="F134" i="23"/>
  <c r="P140" i="23"/>
  <c r="I424" i="4"/>
  <c r="H406" i="4"/>
  <c r="R408" i="4"/>
  <c r="F964" i="14"/>
  <c r="F966" i="14" s="1"/>
  <c r="P970" i="14"/>
  <c r="I436" i="4"/>
  <c r="B1242" i="9"/>
  <c r="B1243" i="9" s="1"/>
  <c r="B1244" i="9" s="1"/>
  <c r="H414" i="3" a="1"/>
  <c r="H414" i="3" s="1"/>
  <c r="B812" i="17"/>
  <c r="B813" i="17" s="1"/>
  <c r="B814" i="17" s="1"/>
  <c r="B815" i="17" s="1"/>
  <c r="B816" i="17" s="1"/>
  <c r="F832" i="17"/>
  <c r="P838" i="17"/>
  <c r="I418" i="4"/>
  <c r="F497" i="20"/>
  <c r="F499" i="20" s="1"/>
  <c r="F678" i="20" s="1"/>
  <c r="H678" i="20" s="1"/>
  <c r="P503" i="20"/>
  <c r="I415" i="4"/>
  <c r="H1246" i="5"/>
  <c r="P1250" i="5"/>
  <c r="I412" i="4"/>
  <c r="I442" i="4" s="1"/>
  <c r="I443" i="4" s="1"/>
  <c r="Q385" i="3"/>
  <c r="L385" i="3"/>
  <c r="L397" i="3" s="1"/>
  <c r="J385" i="3"/>
  <c r="H398" i="3"/>
  <c r="B1158" i="8"/>
  <c r="B1159" i="8" s="1"/>
  <c r="N385" i="4"/>
  <c r="B817" i="17"/>
  <c r="B818" i="17" s="1"/>
  <c r="B819" i="17" s="1"/>
  <c r="B820" i="17" s="1"/>
  <c r="B879" i="14"/>
  <c r="B880" i="14" s="1"/>
  <c r="B881" i="14" s="1"/>
  <c r="B882" i="14" s="1"/>
  <c r="B883" i="14" s="1"/>
  <c r="B884" i="14" s="1"/>
  <c r="F9" i="24"/>
  <c r="F11" i="24" s="1"/>
  <c r="P15" i="24"/>
  <c r="I397" i="4"/>
  <c r="F1125" i="12"/>
  <c r="P1131" i="12"/>
  <c r="I403" i="4"/>
  <c r="R847" i="14"/>
  <c r="N400" i="4" s="1"/>
  <c r="G845" i="14"/>
  <c r="E394" i="4"/>
  <c r="E406" i="4" s="1"/>
  <c r="L1216" i="9"/>
  <c r="E395" i="4" s="1" a="1"/>
  <c r="E395" i="4" s="1"/>
  <c r="R1212" i="9"/>
  <c r="T408" i="4" s="1"/>
  <c r="G1210" i="9"/>
  <c r="N388" i="4"/>
  <c r="F1072" i="8"/>
  <c r="P1078" i="8"/>
  <c r="I388" i="4"/>
  <c r="F59" i="23"/>
  <c r="P65" i="23"/>
  <c r="I391" i="4"/>
  <c r="F1184" i="5"/>
  <c r="F1186" i="5" s="1"/>
  <c r="P1190" i="5"/>
  <c r="I379" i="4"/>
  <c r="F747" i="17"/>
  <c r="P753" i="17"/>
  <c r="I385" i="4"/>
  <c r="F409" i="20"/>
  <c r="F411" i="20" s="1"/>
  <c r="F677" i="20" s="1"/>
  <c r="H677" i="20" s="1"/>
  <c r="P415" i="20"/>
  <c r="I382" i="4"/>
  <c r="R409" i="4"/>
  <c r="F1210" i="9"/>
  <c r="P1216" i="9"/>
  <c r="I394" i="4"/>
  <c r="F845" i="14"/>
  <c r="F847" i="14" s="1"/>
  <c r="F1093" i="14" s="1"/>
  <c r="H1093" i="14" s="1"/>
  <c r="P851" i="14"/>
  <c r="I400" i="4"/>
  <c r="H383" i="3" a="1"/>
  <c r="H383" i="3" s="1"/>
  <c r="H364" i="3"/>
  <c r="C364" i="3"/>
  <c r="D340" i="4"/>
  <c r="N366" i="4"/>
  <c r="F340" i="4"/>
  <c r="Q346" i="3"/>
  <c r="L346" i="3"/>
  <c r="J346" i="3"/>
  <c r="N346" i="3"/>
  <c r="D363" i="4"/>
  <c r="D372" i="4" s="1"/>
  <c r="K760" i="14"/>
  <c r="D364" i="4" s="1" a="1"/>
  <c r="D364" i="4" s="1"/>
  <c r="P756" i="14"/>
  <c r="H365" i="3"/>
  <c r="Q355" i="3"/>
  <c r="L355" i="3"/>
  <c r="J355" i="3"/>
  <c r="F997" i="8"/>
  <c r="P1003" i="8"/>
  <c r="I357" i="4"/>
  <c r="F1039" i="5"/>
  <c r="F1040" i="5" s="1"/>
  <c r="H1040" i="5" s="1"/>
  <c r="F333" i="20"/>
  <c r="F335" i="20" s="1"/>
  <c r="P339" i="20"/>
  <c r="I351" i="4"/>
  <c r="F1037" i="12"/>
  <c r="P1043" i="12"/>
  <c r="I366" i="4"/>
  <c r="F1121" i="9"/>
  <c r="P1127" i="9"/>
  <c r="I360" i="4"/>
  <c r="I348" i="4"/>
  <c r="F1116" i="5"/>
  <c r="F1118" i="5" s="1"/>
  <c r="P1122" i="5"/>
  <c r="N354" i="4"/>
  <c r="N372" i="4" s="1"/>
  <c r="T374" i="4"/>
  <c r="F661" i="17"/>
  <c r="P667" i="17"/>
  <c r="I354" i="4"/>
  <c r="R374" i="4"/>
  <c r="R375" i="4" s="1"/>
  <c r="J313" i="3"/>
  <c r="L313" i="3"/>
  <c r="N313" i="3" s="1"/>
  <c r="Q313" i="3"/>
  <c r="J316" i="3"/>
  <c r="L316" i="3"/>
  <c r="N316" i="3" s="1"/>
  <c r="Q316" i="3"/>
  <c r="J331" i="3"/>
  <c r="J334" i="3" s="1"/>
  <c r="I335" i="3" s="1"/>
  <c r="L331" i="3"/>
  <c r="Q331" i="3"/>
  <c r="H334" i="3"/>
  <c r="H335" i="3" s="1"/>
  <c r="N319" i="4"/>
  <c r="F964" i="12"/>
  <c r="P970" i="12"/>
  <c r="I337" i="4"/>
  <c r="N331" i="4"/>
  <c r="N322" i="4"/>
  <c r="F312" i="4"/>
  <c r="F264" i="20"/>
  <c r="F266" i="20" s="1"/>
  <c r="P270" i="20"/>
  <c r="I322" i="4"/>
  <c r="F1034" i="5"/>
  <c r="P1040" i="5"/>
  <c r="I319" i="4"/>
  <c r="D312" i="4"/>
  <c r="E312" i="4"/>
  <c r="F655" i="14"/>
  <c r="F657" i="14" s="1"/>
  <c r="P661" i="14"/>
  <c r="I334" i="4"/>
  <c r="F906" i="8"/>
  <c r="P912" i="8"/>
  <c r="I328" i="4"/>
  <c r="F487" i="17"/>
  <c r="H487" i="17" s="1"/>
  <c r="H326" i="3" a="1"/>
  <c r="H326" i="3" s="1"/>
  <c r="N325" i="4"/>
  <c r="T342" i="4"/>
  <c r="I325" i="4"/>
  <c r="R342" i="4"/>
  <c r="R343" i="4" s="1"/>
  <c r="F1033" i="9"/>
  <c r="F1035" i="9" s="1"/>
  <c r="P1039" i="9"/>
  <c r="I331" i="4"/>
  <c r="P583" i="17"/>
  <c r="F577" i="17"/>
  <c r="F579" i="17" s="1"/>
  <c r="G309" i="4"/>
  <c r="G312" i="4" s="1"/>
  <c r="N566" i="14"/>
  <c r="G310" i="4" s="1" a="1"/>
  <c r="G310" i="4" s="1"/>
  <c r="R562" i="14"/>
  <c r="N309" i="4" s="1"/>
  <c r="G560" i="14"/>
  <c r="H307" i="3"/>
  <c r="H308" i="3" s="1"/>
  <c r="Q304" i="3"/>
  <c r="L304" i="3"/>
  <c r="J304" i="3"/>
  <c r="J307" i="3" s="1"/>
  <c r="I308" i="3" s="1"/>
  <c r="R947" i="9"/>
  <c r="N306" i="4" s="1"/>
  <c r="G945" i="9"/>
  <c r="N300" i="4"/>
  <c r="F284" i="4"/>
  <c r="E284" i="4"/>
  <c r="H382" i="17"/>
  <c r="F945" i="9"/>
  <c r="F947" i="9" s="1"/>
  <c r="P951" i="9"/>
  <c r="I306" i="4"/>
  <c r="F190" i="20"/>
  <c r="P196" i="20"/>
  <c r="I300" i="4"/>
  <c r="R314" i="4"/>
  <c r="R315" i="4" s="1"/>
  <c r="N291" i="4"/>
  <c r="N312" i="4" s="1"/>
  <c r="T314" i="4"/>
  <c r="F815" i="8"/>
  <c r="P821" i="8"/>
  <c r="I291" i="4"/>
  <c r="P957" i="5"/>
  <c r="I297" i="4"/>
  <c r="F951" i="5"/>
  <c r="F873" i="12"/>
  <c r="P879" i="12"/>
  <c r="I294" i="4"/>
  <c r="F481" i="17"/>
  <c r="P487" i="17"/>
  <c r="I303" i="4"/>
  <c r="F560" i="14"/>
  <c r="F562" i="14" s="1"/>
  <c r="P566" i="14"/>
  <c r="I309" i="4"/>
  <c r="I785" i="8"/>
  <c r="I759" i="8"/>
  <c r="Q268" i="3"/>
  <c r="L268" i="3"/>
  <c r="J268" i="3"/>
  <c r="B810" i="12"/>
  <c r="B811" i="12" s="1"/>
  <c r="B812" i="12" s="1"/>
  <c r="B813" i="12" s="1"/>
  <c r="B814" i="12" s="1"/>
  <c r="B815" i="12" s="1"/>
  <c r="B801" i="8"/>
  <c r="B802" i="8" s="1"/>
  <c r="B803" i="8" s="1"/>
  <c r="H269" i="4"/>
  <c r="H284" i="4" s="1"/>
  <c r="O384" i="17"/>
  <c r="H270" i="4" s="1" a="1"/>
  <c r="H270" i="4" s="1"/>
  <c r="Q265" i="3"/>
  <c r="L265" i="3"/>
  <c r="J265" i="3"/>
  <c r="R470" i="14"/>
  <c r="N278" i="4" s="1"/>
  <c r="G468" i="14"/>
  <c r="F361" i="14"/>
  <c r="H361" i="14" s="1"/>
  <c r="F468" i="14"/>
  <c r="F470" i="14" s="1"/>
  <c r="P474" i="14"/>
  <c r="I278" i="4"/>
  <c r="F257" i="4"/>
  <c r="R866" i="5"/>
  <c r="N263" i="4" s="1"/>
  <c r="G864" i="5"/>
  <c r="H280" i="3"/>
  <c r="H281" i="3" s="1"/>
  <c r="Q277" i="3"/>
  <c r="L277" i="3"/>
  <c r="J277" i="3"/>
  <c r="J280" i="3" s="1"/>
  <c r="I281" i="3" s="1"/>
  <c r="D257" i="4"/>
  <c r="F847" i="9"/>
  <c r="P853" i="9"/>
  <c r="I275" i="4"/>
  <c r="D272" i="4"/>
  <c r="D284" i="4" s="1"/>
  <c r="K726" i="8"/>
  <c r="D273" i="4" s="1" a="1"/>
  <c r="D273" i="4" s="1"/>
  <c r="P722" i="8"/>
  <c r="R286" i="4"/>
  <c r="R287" i="4" s="1"/>
  <c r="F378" i="17"/>
  <c r="F380" i="17" s="1"/>
  <c r="P384" i="17"/>
  <c r="I269" i="4"/>
  <c r="N281" i="4"/>
  <c r="F123" i="20"/>
  <c r="P129" i="20"/>
  <c r="I266" i="4"/>
  <c r="F775" i="12"/>
  <c r="P781" i="12"/>
  <c r="I281" i="4"/>
  <c r="F864" i="5"/>
  <c r="F866" i="5" s="1"/>
  <c r="P870" i="5"/>
  <c r="I263" i="4"/>
  <c r="H236" i="4"/>
  <c r="H257" i="4" s="1"/>
  <c r="O62" i="20"/>
  <c r="H237" i="4" s="1" a="1"/>
  <c r="H237" i="4" s="1"/>
  <c r="M253" i="3"/>
  <c r="N232" i="3"/>
  <c r="N253" i="3"/>
  <c r="F796" i="5"/>
  <c r="F798" i="5" s="1"/>
  <c r="F961" i="5" s="1"/>
  <c r="H961" i="5" s="1"/>
  <c r="P802" i="5"/>
  <c r="I233" i="4"/>
  <c r="P243" i="11"/>
  <c r="I254" i="4"/>
  <c r="F237" i="11"/>
  <c r="F239" i="11" s="1"/>
  <c r="F395" i="11" s="1"/>
  <c r="H395" i="11" s="1"/>
  <c r="R258" i="4"/>
  <c r="R359" i="14"/>
  <c r="N248" i="4" s="1"/>
  <c r="G357" i="14"/>
  <c r="F226" i="4"/>
  <c r="D226" i="4"/>
  <c r="E226" i="4"/>
  <c r="F285" i="17"/>
  <c r="P291" i="17"/>
  <c r="I239" i="4"/>
  <c r="N236" i="4"/>
  <c r="F56" i="20"/>
  <c r="P62" i="20"/>
  <c r="I236" i="4"/>
  <c r="N251" i="4"/>
  <c r="T258" i="4"/>
  <c r="F357" i="14"/>
  <c r="P363" i="14"/>
  <c r="I248" i="4"/>
  <c r="R259" i="4"/>
  <c r="F758" i="9"/>
  <c r="F760" i="9" s="1"/>
  <c r="H760" i="9" s="1"/>
  <c r="P764" i="9"/>
  <c r="I245" i="4"/>
  <c r="F623" i="8"/>
  <c r="P629" i="8"/>
  <c r="I242" i="4"/>
  <c r="F688" i="12"/>
  <c r="F690" i="12" s="1"/>
  <c r="P694" i="12"/>
  <c r="I251" i="4"/>
  <c r="M254" i="3"/>
  <c r="H584" i="12"/>
  <c r="Q211" i="3"/>
  <c r="L211" i="3"/>
  <c r="J211" i="3"/>
  <c r="P16" i="20"/>
  <c r="C10" i="20" s="1"/>
  <c r="F10" i="20"/>
  <c r="F12" i="20" s="1"/>
  <c r="E198" i="4"/>
  <c r="G198" i="4"/>
  <c r="H223" i="3"/>
  <c r="H224" i="3" s="1"/>
  <c r="Q217" i="3"/>
  <c r="L217" i="3"/>
  <c r="J217" i="3"/>
  <c r="J223" i="3" s="1"/>
  <c r="I224" i="3" s="1"/>
  <c r="F548" i="15"/>
  <c r="H550" i="15" s="1"/>
  <c r="P554" i="15"/>
  <c r="I211" i="4"/>
  <c r="D198" i="4"/>
  <c r="F682" i="9"/>
  <c r="P688" i="9"/>
  <c r="I217" i="4"/>
  <c r="F274" i="14"/>
  <c r="F276" i="14" s="1"/>
  <c r="P280" i="14"/>
  <c r="I220" i="4"/>
  <c r="F710" i="5"/>
  <c r="F712" i="5" s="1"/>
  <c r="F960" i="5" s="1"/>
  <c r="H960" i="5" s="1"/>
  <c r="P716" i="5"/>
  <c r="I205" i="4"/>
  <c r="R228" i="4"/>
  <c r="R229" i="4" s="1"/>
  <c r="F580" i="12"/>
  <c r="F582" i="12" s="1"/>
  <c r="P586" i="12"/>
  <c r="I223" i="4"/>
  <c r="F534" i="8"/>
  <c r="F536" i="8" s="1"/>
  <c r="F825" i="8" s="1"/>
  <c r="H825" i="8" s="1"/>
  <c r="P540" i="8"/>
  <c r="I214" i="4"/>
  <c r="F228" i="17"/>
  <c r="F230" i="17" s="1"/>
  <c r="P234" i="17"/>
  <c r="I208" i="4"/>
  <c r="E196" i="3"/>
  <c r="Q190" i="3"/>
  <c r="L190" i="3"/>
  <c r="N190" i="3" s="1"/>
  <c r="J190" i="3"/>
  <c r="H196" i="3"/>
  <c r="Q178" i="3"/>
  <c r="L178" i="3"/>
  <c r="J178" i="3"/>
  <c r="R200" i="4"/>
  <c r="Q172" i="3"/>
  <c r="L172" i="3"/>
  <c r="N172" i="3" s="1"/>
  <c r="J172" i="3"/>
  <c r="F10" i="19"/>
  <c r="P16" i="19"/>
  <c r="I195" i="4"/>
  <c r="M195" i="4" s="1"/>
  <c r="O195" i="4" s="1"/>
  <c r="H194" i="3" a="1"/>
  <c r="H194" i="3" s="1"/>
  <c r="N189" i="4"/>
  <c r="T200" i="4"/>
  <c r="F178" i="17"/>
  <c r="P184" i="17"/>
  <c r="I177" i="4"/>
  <c r="F180" i="4"/>
  <c r="F198" i="4" s="1"/>
  <c r="M467" i="15"/>
  <c r="F181" i="4" s="1" a="1"/>
  <c r="F181" i="4" s="1"/>
  <c r="Q181" i="3"/>
  <c r="L181" i="3"/>
  <c r="J181" i="3"/>
  <c r="H197" i="3"/>
  <c r="Q187" i="3"/>
  <c r="L187" i="3"/>
  <c r="J187" i="3"/>
  <c r="F447" i="8"/>
  <c r="F449" i="8" s="1"/>
  <c r="F729" i="8" s="1"/>
  <c r="H729" i="8" s="1"/>
  <c r="P453" i="8"/>
  <c r="I183" i="4"/>
  <c r="F167" i="4"/>
  <c r="R201" i="4"/>
  <c r="F491" i="12"/>
  <c r="F493" i="12" s="1"/>
  <c r="P497" i="12"/>
  <c r="I192" i="4"/>
  <c r="D167" i="4"/>
  <c r="F620" i="9"/>
  <c r="P626" i="9"/>
  <c r="I186" i="4"/>
  <c r="N180" i="4"/>
  <c r="F461" i="15"/>
  <c r="P467" i="15"/>
  <c r="I180" i="4"/>
  <c r="F636" i="5"/>
  <c r="P642" i="5"/>
  <c r="I174" i="4"/>
  <c r="F194" i="14"/>
  <c r="F196" i="14" s="1"/>
  <c r="P200" i="14"/>
  <c r="I189" i="4"/>
  <c r="F94" i="17"/>
  <c r="H94" i="17" s="1"/>
  <c r="G149" i="4"/>
  <c r="G167" i="4" s="1"/>
  <c r="N137" i="17"/>
  <c r="G150" i="4" s="1" a="1"/>
  <c r="G150" i="4" s="1"/>
  <c r="P133" i="17"/>
  <c r="Q147" i="3"/>
  <c r="L147" i="3"/>
  <c r="N147" i="3" s="1"/>
  <c r="J147" i="3"/>
  <c r="J162" i="3"/>
  <c r="L162" i="3"/>
  <c r="N162" i="3" s="1"/>
  <c r="Q162" i="3"/>
  <c r="R169" i="4"/>
  <c r="J150" i="3"/>
  <c r="L150" i="3"/>
  <c r="N150" i="3" s="1"/>
  <c r="Q150" i="3"/>
  <c r="J156" i="3"/>
  <c r="L156" i="3"/>
  <c r="Q156" i="3"/>
  <c r="H165" i="3"/>
  <c r="G139" i="4"/>
  <c r="N164" i="4"/>
  <c r="N146" i="4"/>
  <c r="E139" i="4"/>
  <c r="F139" i="4"/>
  <c r="H139" i="4"/>
  <c r="D139" i="4"/>
  <c r="N152" i="4"/>
  <c r="N167" i="4" s="1"/>
  <c r="T169" i="4"/>
  <c r="F300" i="8"/>
  <c r="H300" i="8" s="1"/>
  <c r="F537" i="5"/>
  <c r="P543" i="5"/>
  <c r="I146" i="4"/>
  <c r="F366" i="15"/>
  <c r="P372" i="15"/>
  <c r="I152" i="4"/>
  <c r="J159" i="3"/>
  <c r="L159" i="3"/>
  <c r="Q159" i="3"/>
  <c r="H166" i="3"/>
  <c r="Q140" i="4"/>
  <c r="Q141" i="4" s="1"/>
  <c r="R170" i="4"/>
  <c r="F407" i="12"/>
  <c r="F409" i="12" s="1"/>
  <c r="P413" i="12"/>
  <c r="I164" i="4"/>
  <c r="F529" i="9"/>
  <c r="F531" i="9" s="1"/>
  <c r="F691" i="9" s="1"/>
  <c r="H691" i="9" s="1"/>
  <c r="P535" i="9"/>
  <c r="I158" i="4"/>
  <c r="F128" i="14"/>
  <c r="F130" i="14" s="1"/>
  <c r="P134" i="14"/>
  <c r="I161" i="4"/>
  <c r="F371" i="8"/>
  <c r="F373" i="8" s="1"/>
  <c r="F632" i="8" s="1"/>
  <c r="H632" i="8" s="1"/>
  <c r="P377" i="8"/>
  <c r="I155" i="4"/>
  <c r="N130" i="4"/>
  <c r="S140" i="4"/>
  <c r="P137" i="3"/>
  <c r="E137" i="3"/>
  <c r="H131" i="3"/>
  <c r="P56" i="14"/>
  <c r="H132" i="3" s="1" a="1"/>
  <c r="H132" i="3" s="1"/>
  <c r="F553" i="10"/>
  <c r="F554" i="10" s="1"/>
  <c r="F555" i="10" s="1"/>
  <c r="H555" i="10" s="1"/>
  <c r="P559" i="10"/>
  <c r="I124" i="4"/>
  <c r="M130" i="4"/>
  <c r="O130" i="4" s="1"/>
  <c r="K130" i="4"/>
  <c r="L116" i="3"/>
  <c r="J116" i="3"/>
  <c r="L113" i="3"/>
  <c r="N113" i="3" s="1"/>
  <c r="J113" i="3"/>
  <c r="N127" i="4"/>
  <c r="M125" i="3"/>
  <c r="H125" i="3"/>
  <c r="P138" i="3"/>
  <c r="P48" i="14"/>
  <c r="F42" i="14"/>
  <c r="F44" i="14" s="1"/>
  <c r="I133" i="4"/>
  <c r="N121" i="4"/>
  <c r="E105" i="4"/>
  <c r="H105" i="4"/>
  <c r="M116" i="3"/>
  <c r="R137" i="3"/>
  <c r="N118" i="4"/>
  <c r="N139" i="4" s="1"/>
  <c r="D105" i="4"/>
  <c r="F105" i="4"/>
  <c r="F294" i="8"/>
  <c r="F296" i="8" s="1"/>
  <c r="H296" i="8" s="1"/>
  <c r="P300" i="8"/>
  <c r="I118" i="4"/>
  <c r="P469" i="5"/>
  <c r="F463" i="5"/>
  <c r="I112" i="4"/>
  <c r="G105" i="4"/>
  <c r="F272" i="15"/>
  <c r="P278" i="15"/>
  <c r="I115" i="4"/>
  <c r="P326" i="12"/>
  <c r="I127" i="4"/>
  <c r="F320" i="12"/>
  <c r="F322" i="12" s="1"/>
  <c r="H91" i="3"/>
  <c r="P103" i="3"/>
  <c r="F447" i="9"/>
  <c r="P453" i="9"/>
  <c r="I121" i="4"/>
  <c r="Q106" i="4"/>
  <c r="Q107" i="4" s="1"/>
  <c r="H46" i="17"/>
  <c r="H98" i="3" a="1"/>
  <c r="H98" i="3" s="1"/>
  <c r="M99" i="4"/>
  <c r="K99" i="4"/>
  <c r="N99" i="4"/>
  <c r="S106" i="4"/>
  <c r="Q97" i="3"/>
  <c r="L97" i="3"/>
  <c r="N97" i="3" s="1"/>
  <c r="J97" i="3"/>
  <c r="H103" i="3"/>
  <c r="L85" i="3"/>
  <c r="J85" i="3"/>
  <c r="G78" i="4"/>
  <c r="H101" i="3" a="1"/>
  <c r="H101" i="3" s="1"/>
  <c r="I102" i="4"/>
  <c r="F42" i="17"/>
  <c r="P48" i="17"/>
  <c r="M85" i="3"/>
  <c r="M103" i="3" s="1"/>
  <c r="F388" i="5"/>
  <c r="F390" i="5" s="1"/>
  <c r="P394" i="5"/>
  <c r="I84" i="4"/>
  <c r="H78" i="4"/>
  <c r="D78" i="4"/>
  <c r="F78" i="4"/>
  <c r="H83" i="3" a="1"/>
  <c r="H83" i="3" s="1"/>
  <c r="F354" i="9"/>
  <c r="P360" i="9"/>
  <c r="I93" i="4"/>
  <c r="L91" i="3"/>
  <c r="J91" i="3"/>
  <c r="Q91" i="3"/>
  <c r="H104" i="3"/>
  <c r="F54" i="13"/>
  <c r="H54" i="13" s="1"/>
  <c r="P249" i="12"/>
  <c r="F243" i="12"/>
  <c r="F245" i="12" s="1"/>
  <c r="I87" i="4"/>
  <c r="F182" i="15"/>
  <c r="P188" i="15"/>
  <c r="F121" i="8"/>
  <c r="F122" i="8" s="1"/>
  <c r="F209" i="8"/>
  <c r="F211" i="8" s="1"/>
  <c r="I90" i="4"/>
  <c r="P215" i="8"/>
  <c r="N96" i="4"/>
  <c r="I96" i="4"/>
  <c r="F450" i="10"/>
  <c r="P104" i="3"/>
  <c r="P456" i="10"/>
  <c r="H122" i="8"/>
  <c r="D75" i="3"/>
  <c r="P15" i="17"/>
  <c r="F9" i="17"/>
  <c r="F11" i="17" s="1"/>
  <c r="H11" i="17" s="1"/>
  <c r="I75" i="4"/>
  <c r="Q57" i="3"/>
  <c r="L57" i="3"/>
  <c r="J57" i="3"/>
  <c r="L60" i="3"/>
  <c r="J60" i="3"/>
  <c r="P75" i="3"/>
  <c r="H66" i="3"/>
  <c r="M60" i="4"/>
  <c r="K60" i="4"/>
  <c r="P54" i="11"/>
  <c r="Q79" i="4"/>
  <c r="I72" i="4"/>
  <c r="F48" i="11"/>
  <c r="F50" i="11" s="1"/>
  <c r="H50" i="11" s="1"/>
  <c r="N69" i="4"/>
  <c r="E51" i="4"/>
  <c r="F268" i="9"/>
  <c r="F270" i="9" s="1"/>
  <c r="P274" i="9"/>
  <c r="I66" i="4"/>
  <c r="F240" i="10"/>
  <c r="H240" i="10" s="1"/>
  <c r="H54" i="3"/>
  <c r="H75" i="3" s="1"/>
  <c r="P76" i="3"/>
  <c r="P104" i="15"/>
  <c r="F98" i="15"/>
  <c r="D51" i="4"/>
  <c r="F51" i="4"/>
  <c r="H51" i="4"/>
  <c r="I355" i="5"/>
  <c r="M60" i="3"/>
  <c r="G51" i="4"/>
  <c r="F351" i="10"/>
  <c r="P357" i="10"/>
  <c r="I69" i="4"/>
  <c r="F116" i="8"/>
  <c r="F118" i="8" s="1"/>
  <c r="P122" i="8"/>
  <c r="I63" i="4"/>
  <c r="F301" i="5"/>
  <c r="F303" i="5" s="1"/>
  <c r="P307" i="5"/>
  <c r="I57" i="4"/>
  <c r="Q80" i="4"/>
  <c r="N57" i="4"/>
  <c r="L44" i="3"/>
  <c r="N44" i="3" s="1"/>
  <c r="J44" i="3"/>
  <c r="P47" i="3"/>
  <c r="H32" i="3"/>
  <c r="H45" i="3" a="1"/>
  <c r="H45" i="3" s="1"/>
  <c r="P54" i="8"/>
  <c r="I48" i="4"/>
  <c r="F48" i="8"/>
  <c r="P16" i="11"/>
  <c r="F10" i="11"/>
  <c r="F12" i="11" s="1"/>
  <c r="H12" i="11" s="1"/>
  <c r="N39" i="4"/>
  <c r="R52" i="4"/>
  <c r="F109" i="7"/>
  <c r="H109" i="7" s="1"/>
  <c r="H27" i="4"/>
  <c r="F27" i="4"/>
  <c r="D27" i="4"/>
  <c r="P240" i="10"/>
  <c r="F234" i="10"/>
  <c r="I42" i="4"/>
  <c r="P48" i="3"/>
  <c r="H41" i="3"/>
  <c r="P192" i="9"/>
  <c r="H42" i="3" s="1" a="1"/>
  <c r="H42" i="3" s="1"/>
  <c r="R47" i="3"/>
  <c r="M38" i="3"/>
  <c r="M47" i="3" s="1"/>
  <c r="N36" i="4"/>
  <c r="P188" i="7"/>
  <c r="F182" i="7"/>
  <c r="I36" i="4"/>
  <c r="P187" i="12"/>
  <c r="F181" i="12"/>
  <c r="F183" i="12" s="1"/>
  <c r="H183" i="12" s="1"/>
  <c r="I45" i="4"/>
  <c r="P184" i="9"/>
  <c r="F178" i="9"/>
  <c r="I39" i="4"/>
  <c r="F193" i="5"/>
  <c r="F195" i="5" s="1"/>
  <c r="P199" i="5"/>
  <c r="I33" i="4"/>
  <c r="R53" i="4"/>
  <c r="L5" i="3"/>
  <c r="N5" i="3" s="1"/>
  <c r="J5" i="3"/>
  <c r="L14" i="3"/>
  <c r="N14" i="3" s="1"/>
  <c r="J14" i="3"/>
  <c r="Q14" i="3"/>
  <c r="H11" i="3"/>
  <c r="P24" i="3"/>
  <c r="P25" i="3" s="1"/>
  <c r="Q20" i="3"/>
  <c r="H23" i="3"/>
  <c r="H24" i="3" s="1"/>
  <c r="L20" i="3"/>
  <c r="J20" i="3"/>
  <c r="K16" i="15"/>
  <c r="P12" i="15"/>
  <c r="F10" i="15" s="1"/>
  <c r="P15" i="14"/>
  <c r="I24" i="4"/>
  <c r="F9" i="14"/>
  <c r="R28" i="4"/>
  <c r="R29" i="4" s="1"/>
  <c r="N15" i="4"/>
  <c r="G93" i="9"/>
  <c r="L16" i="12"/>
  <c r="P12" i="12"/>
  <c r="K16" i="10"/>
  <c r="P12" i="10"/>
  <c r="Q16" i="10"/>
  <c r="F13" i="10"/>
  <c r="F14" i="10" s="1"/>
  <c r="H14" i="10" s="1"/>
  <c r="F15" i="10"/>
  <c r="F16" i="10" s="1"/>
  <c r="H16" i="10" s="1"/>
  <c r="I87" i="10"/>
  <c r="I92" i="10" s="1"/>
  <c r="L16" i="9"/>
  <c r="P12" i="9"/>
  <c r="M16" i="7"/>
  <c r="P12" i="7"/>
  <c r="R12" i="7"/>
  <c r="G10" i="7"/>
  <c r="K16" i="5"/>
  <c r="P12" i="5"/>
  <c r="N9" i="4"/>
  <c r="T28" i="4"/>
  <c r="F87" i="12"/>
  <c r="F89" i="12" s="1"/>
  <c r="P93" i="12"/>
  <c r="I21" i="4"/>
  <c r="M8" i="3"/>
  <c r="R24" i="3"/>
  <c r="F103" i="7"/>
  <c r="P109" i="7"/>
  <c r="I12" i="4"/>
  <c r="F91" i="5"/>
  <c r="F93" i="5" s="1"/>
  <c r="P97" i="5"/>
  <c r="I9" i="4"/>
  <c r="F93" i="9"/>
  <c r="F95" i="9" s="1"/>
  <c r="P99" i="9"/>
  <c r="I15" i="4"/>
  <c r="N18" i="4"/>
  <c r="N27" i="4" s="1"/>
  <c r="F125" i="10"/>
  <c r="P131" i="10"/>
  <c r="I18" i="4"/>
  <c r="M538" i="4" l="1"/>
  <c r="K538" i="4"/>
  <c r="K547" i="4" s="1"/>
  <c r="J548" i="4" s="1"/>
  <c r="I547" i="4"/>
  <c r="I548" i="4" s="1"/>
  <c r="C1555" i="8"/>
  <c r="I539" i="4" a="1"/>
  <c r="I539" i="4" s="1"/>
  <c r="J512" i="3"/>
  <c r="I513" i="3" s="1"/>
  <c r="L512" i="3"/>
  <c r="F1361" i="8"/>
  <c r="F1362" i="8"/>
  <c r="F1463" i="8" s="1"/>
  <c r="H1463" i="8" s="1"/>
  <c r="N497" i="3"/>
  <c r="F1406" i="12"/>
  <c r="F1407" i="12"/>
  <c r="I498" i="4"/>
  <c r="I499" i="4" s="1"/>
  <c r="F1431" i="5"/>
  <c r="F1432" i="5" s="1"/>
  <c r="H1042" i="17"/>
  <c r="O517" i="4"/>
  <c r="C1523" i="9"/>
  <c r="I518" i="4" a="1"/>
  <c r="I518" i="4" s="1"/>
  <c r="H670" i="20"/>
  <c r="H1407" i="12"/>
  <c r="H303" i="23"/>
  <c r="F389" i="23"/>
  <c r="H389" i="23" s="1"/>
  <c r="M511" i="4"/>
  <c r="O511" i="4" s="1"/>
  <c r="K511" i="4"/>
  <c r="C1141" i="17"/>
  <c r="I512" i="4" a="1"/>
  <c r="I512" i="4" s="1"/>
  <c r="C756" i="20"/>
  <c r="I509" i="4" a="1"/>
  <c r="I509" i="4" s="1"/>
  <c r="M508" i="4"/>
  <c r="O508" i="4" s="1"/>
  <c r="K508" i="4"/>
  <c r="M505" i="4"/>
  <c r="O505" i="4" s="1"/>
  <c r="K505" i="4"/>
  <c r="C1535" i="5"/>
  <c r="I506" i="4" a="1"/>
  <c r="I506" i="4" s="1"/>
  <c r="M514" i="4"/>
  <c r="K514" i="4"/>
  <c r="C1453" i="8"/>
  <c r="M520" i="4"/>
  <c r="M523" i="4" s="1"/>
  <c r="K520" i="4"/>
  <c r="K523" i="4" s="1"/>
  <c r="I524" i="4"/>
  <c r="C1490" i="12"/>
  <c r="I521" i="4" a="1"/>
  <c r="I521" i="4" s="1"/>
  <c r="F1387" i="9"/>
  <c r="F1534" i="9" s="1"/>
  <c r="H1534" i="9" s="1"/>
  <c r="N485" i="3"/>
  <c r="L488" i="3"/>
  <c r="I473" i="4"/>
  <c r="I474" i="4" s="1"/>
  <c r="M492" i="4"/>
  <c r="O492" i="4" s="1"/>
  <c r="K492" i="4"/>
  <c r="C301" i="23"/>
  <c r="I493" i="4" a="1"/>
  <c r="I493" i="4" s="1"/>
  <c r="M489" i="4"/>
  <c r="K489" i="4"/>
  <c r="C1360" i="8"/>
  <c r="I490" i="4" a="1"/>
  <c r="I490" i="4" s="1"/>
  <c r="H933" i="17"/>
  <c r="H584" i="20"/>
  <c r="F679" i="20"/>
  <c r="H679" i="20" s="1"/>
  <c r="M480" i="4"/>
  <c r="K480" i="4"/>
  <c r="C1430" i="5"/>
  <c r="I481" i="4" a="1"/>
  <c r="I481" i="4" s="1"/>
  <c r="M495" i="4"/>
  <c r="O495" i="4" s="1"/>
  <c r="K495" i="4"/>
  <c r="C1405" i="12"/>
  <c r="I496" i="4" a="1"/>
  <c r="I496" i="4" s="1"/>
  <c r="M486" i="4"/>
  <c r="O486" i="4" s="1"/>
  <c r="K486" i="4"/>
  <c r="C1040" i="17"/>
  <c r="I487" i="4" a="1"/>
  <c r="I487" i="4" s="1"/>
  <c r="M483" i="4"/>
  <c r="K483" i="4"/>
  <c r="C668" i="20"/>
  <c r="I484" i="4" a="1"/>
  <c r="I484" i="4" s="1"/>
  <c r="Q440" i="3"/>
  <c r="L440" i="3"/>
  <c r="N440" i="3" s="1"/>
  <c r="J440" i="3"/>
  <c r="F119" i="24"/>
  <c r="H119" i="24" s="1"/>
  <c r="F1311" i="9"/>
  <c r="F136" i="23"/>
  <c r="H136" i="23" s="1"/>
  <c r="M464" i="4"/>
  <c r="O464" i="4" s="1"/>
  <c r="K464" i="4"/>
  <c r="C213" i="23"/>
  <c r="I465" i="4" a="1"/>
  <c r="I465" i="4" s="1"/>
  <c r="Q449" i="3"/>
  <c r="L449" i="3"/>
  <c r="N449" i="3" s="1"/>
  <c r="J449" i="3"/>
  <c r="F834" i="17"/>
  <c r="H834" i="17" s="1"/>
  <c r="M455" i="4"/>
  <c r="O455" i="4" s="1"/>
  <c r="K455" i="4"/>
  <c r="C931" i="17"/>
  <c r="I456" i="4" a="1"/>
  <c r="I456" i="4" s="1"/>
  <c r="F1172" i="8"/>
  <c r="F1173" i="8" s="1"/>
  <c r="F1462" i="8" s="1"/>
  <c r="H1462" i="8" s="1"/>
  <c r="M461" i="4"/>
  <c r="O461" i="4" s="1"/>
  <c r="K461" i="4"/>
  <c r="C1385" i="9"/>
  <c r="I462" i="4" a="1"/>
  <c r="I462" i="4" s="1"/>
  <c r="H464" i="3"/>
  <c r="H465" i="3" s="1"/>
  <c r="Q461" i="3"/>
  <c r="L461" i="3"/>
  <c r="J461" i="3"/>
  <c r="J464" i="3" s="1"/>
  <c r="I465" i="3" s="1"/>
  <c r="F1230" i="12"/>
  <c r="F1231" i="12" s="1"/>
  <c r="F1324" i="12"/>
  <c r="H1324" i="12" s="1"/>
  <c r="M470" i="4"/>
  <c r="O470" i="4" s="1"/>
  <c r="K470" i="4"/>
  <c r="F1316" i="12"/>
  <c r="F1317" i="12" s="1"/>
  <c r="H1317" i="12"/>
  <c r="C1315" i="12"/>
  <c r="I471" i="4" a="1"/>
  <c r="I471" i="4" s="1"/>
  <c r="F1091" i="14"/>
  <c r="H1091" i="14" s="1"/>
  <c r="F1092" i="14"/>
  <c r="H1092" i="14" s="1"/>
  <c r="M467" i="4"/>
  <c r="O467" i="4" s="1"/>
  <c r="K467" i="4"/>
  <c r="C1081" i="14"/>
  <c r="I468" i="4" a="1"/>
  <c r="I468" i="4" s="1"/>
  <c r="H1173" i="8"/>
  <c r="M452" i="4"/>
  <c r="O452" i="4" s="1"/>
  <c r="K452" i="4"/>
  <c r="C582" i="20"/>
  <c r="I453" i="4" a="1"/>
  <c r="I453" i="4" s="1"/>
  <c r="M449" i="4"/>
  <c r="K449" i="4"/>
  <c r="F1344" i="5"/>
  <c r="F1345" i="5" s="1"/>
  <c r="F1441" i="5" s="1"/>
  <c r="H1345" i="5"/>
  <c r="C1343" i="5"/>
  <c r="I450" i="4" a="1"/>
  <c r="I450" i="4" s="1"/>
  <c r="M458" i="4"/>
  <c r="K458" i="4"/>
  <c r="F1265" i="8"/>
  <c r="F1266" i="8" s="1"/>
  <c r="H1266" i="8"/>
  <c r="C1264" i="8"/>
  <c r="I459" i="4" a="1"/>
  <c r="I459" i="4" s="1"/>
  <c r="H499" i="20"/>
  <c r="M433" i="4"/>
  <c r="O433" i="4" s="1"/>
  <c r="K433" i="4"/>
  <c r="C66" i="24"/>
  <c r="I434" i="4" a="1"/>
  <c r="I434" i="4" s="1"/>
  <c r="M427" i="4"/>
  <c r="O427" i="4" s="1"/>
  <c r="K427" i="4"/>
  <c r="C1309" i="9"/>
  <c r="I428" i="4" a="1"/>
  <c r="I428" i="4" s="1"/>
  <c r="F1126" i="12"/>
  <c r="F1127" i="12"/>
  <c r="M439" i="4"/>
  <c r="K439" i="4"/>
  <c r="C1229" i="12"/>
  <c r="I440" i="4" a="1"/>
  <c r="I440" i="4" s="1"/>
  <c r="N416" i="3"/>
  <c r="L434" i="3"/>
  <c r="F1073" i="8"/>
  <c r="F1074" i="8"/>
  <c r="F1180" i="8" s="1"/>
  <c r="H1180" i="8" s="1"/>
  <c r="F1212" i="9"/>
  <c r="M421" i="4"/>
  <c r="K421" i="4"/>
  <c r="C1171" i="8"/>
  <c r="I422" i="4" a="1"/>
  <c r="I422" i="4" s="1"/>
  <c r="F61" i="23"/>
  <c r="H61" i="23" s="1"/>
  <c r="J397" i="3"/>
  <c r="I398" i="3" s="1"/>
  <c r="F749" i="17"/>
  <c r="H749" i="17" s="1"/>
  <c r="H847" i="14"/>
  <c r="H11" i="24"/>
  <c r="M424" i="4"/>
  <c r="O424" i="4" s="1"/>
  <c r="K424" i="4"/>
  <c r="C134" i="23"/>
  <c r="I425" i="4" a="1"/>
  <c r="I425" i="4" s="1"/>
  <c r="I406" i="4"/>
  <c r="M436" i="4"/>
  <c r="O436" i="4" s="1"/>
  <c r="K436" i="4"/>
  <c r="C964" i="14"/>
  <c r="I437" i="4" a="1"/>
  <c r="I437" i="4" s="1"/>
  <c r="M418" i="4"/>
  <c r="K418" i="4"/>
  <c r="C832" i="17"/>
  <c r="I419" i="4" a="1"/>
  <c r="I419" i="4" s="1"/>
  <c r="M415" i="4"/>
  <c r="O415" i="4" s="1"/>
  <c r="K415" i="4"/>
  <c r="C497" i="20"/>
  <c r="I416" i="4" a="1"/>
  <c r="I416" i="4" s="1"/>
  <c r="M412" i="4"/>
  <c r="M442" i="4" s="1"/>
  <c r="K412" i="4"/>
  <c r="K442" i="4" s="1"/>
  <c r="J443" i="4" s="1"/>
  <c r="C1244" i="5"/>
  <c r="I413" i="4" a="1"/>
  <c r="I413" i="4" s="1"/>
  <c r="N385" i="3"/>
  <c r="N397" i="3" s="1"/>
  <c r="M398" i="3"/>
  <c r="M397" i="4"/>
  <c r="O397" i="4" s="1"/>
  <c r="K397" i="4"/>
  <c r="C9" i="24"/>
  <c r="I398" i="4" a="1"/>
  <c r="I398" i="4" s="1"/>
  <c r="N394" i="4"/>
  <c r="N406" i="4" s="1"/>
  <c r="M403" i="4"/>
  <c r="O403" i="4" s="1"/>
  <c r="K403" i="4"/>
  <c r="C1125" i="12"/>
  <c r="I404" i="4" a="1"/>
  <c r="I404" i="4" s="1"/>
  <c r="F1123" i="9"/>
  <c r="H1123" i="9" s="1"/>
  <c r="M388" i="4"/>
  <c r="O388" i="4" s="1"/>
  <c r="K388" i="4"/>
  <c r="C1072" i="8"/>
  <c r="I389" i="4" a="1"/>
  <c r="I389" i="4" s="1"/>
  <c r="M391" i="4"/>
  <c r="O391" i="4" s="1"/>
  <c r="K391" i="4"/>
  <c r="C59" i="23"/>
  <c r="I392" i="4" a="1"/>
  <c r="I392" i="4" s="1"/>
  <c r="M379" i="4"/>
  <c r="O379" i="4" s="1"/>
  <c r="K379" i="4"/>
  <c r="C1184" i="5"/>
  <c r="I380" i="4" a="1"/>
  <c r="I380" i="4" s="1"/>
  <c r="F663" i="17"/>
  <c r="H663" i="17" s="1"/>
  <c r="M385" i="4"/>
  <c r="K385" i="4"/>
  <c r="C747" i="17"/>
  <c r="I386" i="4" a="1"/>
  <c r="I386" i="4" s="1"/>
  <c r="M382" i="4"/>
  <c r="K382" i="4"/>
  <c r="C409" i="20"/>
  <c r="I383" i="4" a="1"/>
  <c r="I383" i="4" s="1"/>
  <c r="M394" i="4"/>
  <c r="O394" i="4" s="1"/>
  <c r="K394" i="4"/>
  <c r="C1210" i="9"/>
  <c r="I395" i="4" a="1"/>
  <c r="I395" i="4" s="1"/>
  <c r="I407" i="4"/>
  <c r="M400" i="4"/>
  <c r="K400" i="4"/>
  <c r="C845" i="14"/>
  <c r="I401" i="4" a="1"/>
  <c r="I401" i="4" s="1"/>
  <c r="J364" i="3"/>
  <c r="I365" i="3" s="1"/>
  <c r="L364" i="3"/>
  <c r="H335" i="20"/>
  <c r="H1118" i="5"/>
  <c r="F1038" i="12"/>
  <c r="F1039" i="12" s="1"/>
  <c r="F998" i="8"/>
  <c r="F999" i="8" s="1"/>
  <c r="N340" i="4"/>
  <c r="F965" i="12"/>
  <c r="F966" i="12"/>
  <c r="I340" i="4"/>
  <c r="I341" i="4" s="1"/>
  <c r="F907" i="8"/>
  <c r="F908" i="8"/>
  <c r="F1036" i="5"/>
  <c r="F1253" i="5" s="1"/>
  <c r="H1253" i="5" s="1"/>
  <c r="H966" i="12"/>
  <c r="F1046" i="12"/>
  <c r="H1046" i="12" s="1"/>
  <c r="N355" i="3"/>
  <c r="N364" i="3" s="1"/>
  <c r="M365" i="3"/>
  <c r="F754" i="14"/>
  <c r="F756" i="14" s="1"/>
  <c r="P760" i="14"/>
  <c r="I363" i="4"/>
  <c r="I372" i="4" s="1"/>
  <c r="I373" i="4" s="1"/>
  <c r="H1035" i="9"/>
  <c r="M357" i="4"/>
  <c r="O357" i="4" s="1"/>
  <c r="K357" i="4"/>
  <c r="C997" i="8"/>
  <c r="I358" i="4" a="1"/>
  <c r="I358" i="4" s="1"/>
  <c r="H579" i="17"/>
  <c r="H266" i="20"/>
  <c r="F342" i="20"/>
  <c r="H342" i="20" s="1"/>
  <c r="M351" i="4"/>
  <c r="O351" i="4" s="1"/>
  <c r="K351" i="4"/>
  <c r="C333" i="20"/>
  <c r="I352" i="4" a="1"/>
  <c r="I352" i="4" s="1"/>
  <c r="M366" i="4"/>
  <c r="O366" i="4" s="1"/>
  <c r="K366" i="4"/>
  <c r="C1037" i="12"/>
  <c r="I367" i="4" a="1"/>
  <c r="I367" i="4" s="1"/>
  <c r="M360" i="4"/>
  <c r="O360" i="4" s="1"/>
  <c r="K360" i="4"/>
  <c r="C1121" i="9"/>
  <c r="I361" i="4" a="1"/>
  <c r="I361" i="4" s="1"/>
  <c r="C1116" i="5"/>
  <c r="I349" i="4" a="1"/>
  <c r="I349" i="4" s="1"/>
  <c r="M348" i="4"/>
  <c r="O348" i="4" s="1"/>
  <c r="K348" i="4"/>
  <c r="M354" i="4"/>
  <c r="K354" i="4"/>
  <c r="C661" i="17"/>
  <c r="I355" i="4" a="1"/>
  <c r="I355" i="4" s="1"/>
  <c r="H657" i="14"/>
  <c r="F874" i="12"/>
  <c r="F875" i="12"/>
  <c r="L334" i="3"/>
  <c r="N331" i="3"/>
  <c r="N334" i="3" s="1"/>
  <c r="M335" i="3" s="1"/>
  <c r="K337" i="4"/>
  <c r="M337" i="4"/>
  <c r="O337" i="4" s="1"/>
  <c r="C964" i="12"/>
  <c r="I338" i="4" a="1"/>
  <c r="I338" i="4" s="1"/>
  <c r="F192" i="20"/>
  <c r="H192" i="20" s="1"/>
  <c r="K322" i="4"/>
  <c r="M322" i="4"/>
  <c r="O322" i="4" s="1"/>
  <c r="C264" i="20"/>
  <c r="I323" i="4" a="1"/>
  <c r="I323" i="4" s="1"/>
  <c r="K319" i="4"/>
  <c r="M319" i="4"/>
  <c r="C1034" i="5"/>
  <c r="I320" i="4" a="1"/>
  <c r="I320" i="4" s="1"/>
  <c r="F483" i="17"/>
  <c r="H483" i="17" s="1"/>
  <c r="I312" i="4"/>
  <c r="I313" i="4" s="1"/>
  <c r="F816" i="8"/>
  <c r="F817" i="8"/>
  <c r="F953" i="5"/>
  <c r="H953" i="5" s="1"/>
  <c r="K334" i="4"/>
  <c r="M334" i="4"/>
  <c r="O334" i="4" s="1"/>
  <c r="C655" i="14"/>
  <c r="I335" i="4" a="1"/>
  <c r="I335" i="4" s="1"/>
  <c r="K328" i="4"/>
  <c r="M328" i="4"/>
  <c r="O328" i="4" s="1"/>
  <c r="C906" i="8"/>
  <c r="I329" i="4" a="1"/>
  <c r="I329" i="4" s="1"/>
  <c r="C577" i="17"/>
  <c r="I326" i="4" a="1"/>
  <c r="I326" i="4" s="1"/>
  <c r="K325" i="4"/>
  <c r="M325" i="4"/>
  <c r="K331" i="4"/>
  <c r="M331" i="4"/>
  <c r="C1033" i="9"/>
  <c r="I332" i="4" a="1"/>
  <c r="I332" i="4" s="1"/>
  <c r="H562" i="14"/>
  <c r="H947" i="9"/>
  <c r="F1043" i="9"/>
  <c r="H1043" i="9" s="1"/>
  <c r="N304" i="3"/>
  <c r="N307" i="3" s="1"/>
  <c r="L307" i="3"/>
  <c r="M308" i="3" s="1"/>
  <c r="F849" i="9"/>
  <c r="F1042" i="9" s="1"/>
  <c r="H1042" i="9" s="1"/>
  <c r="F125" i="20"/>
  <c r="H125" i="20" s="1"/>
  <c r="F777" i="12"/>
  <c r="H777" i="12" s="1"/>
  <c r="H380" i="17"/>
  <c r="M306" i="4"/>
  <c r="O306" i="4" s="1"/>
  <c r="K306" i="4"/>
  <c r="C945" i="9"/>
  <c r="I307" i="4" a="1"/>
  <c r="I307" i="4" s="1"/>
  <c r="H470" i="14"/>
  <c r="M300" i="4"/>
  <c r="O300" i="4" s="1"/>
  <c r="K300" i="4"/>
  <c r="C190" i="20"/>
  <c r="I301" i="4" a="1"/>
  <c r="I301" i="4" s="1"/>
  <c r="H866" i="5"/>
  <c r="F725" i="8"/>
  <c r="M291" i="4"/>
  <c r="O291" i="4" s="1"/>
  <c r="K291" i="4"/>
  <c r="C815" i="8"/>
  <c r="I292" i="4" a="1"/>
  <c r="I292" i="4" s="1"/>
  <c r="M297" i="4"/>
  <c r="K297" i="4"/>
  <c r="I298" i="4" a="1"/>
  <c r="I298" i="4" s="1"/>
  <c r="C951" i="5"/>
  <c r="M294" i="4"/>
  <c r="O294" i="4" s="1"/>
  <c r="K294" i="4"/>
  <c r="C873" i="12"/>
  <c r="I295" i="4" a="1"/>
  <c r="I295" i="4" s="1"/>
  <c r="M303" i="4"/>
  <c r="O303" i="4" s="1"/>
  <c r="K303" i="4"/>
  <c r="C481" i="17"/>
  <c r="I304" i="4" a="1"/>
  <c r="I304" i="4" s="1"/>
  <c r="M309" i="4"/>
  <c r="K309" i="4"/>
  <c r="C560" i="14"/>
  <c r="I310" i="4" a="1"/>
  <c r="I310" i="4" s="1"/>
  <c r="B816" i="12"/>
  <c r="B817" i="12" s="1"/>
  <c r="B818" i="12" s="1"/>
  <c r="H239" i="11"/>
  <c r="F359" i="14"/>
  <c r="H359" i="14" s="1"/>
  <c r="M278" i="4"/>
  <c r="O278" i="4" s="1"/>
  <c r="K278" i="4"/>
  <c r="C468" i="14"/>
  <c r="I279" i="4" a="1"/>
  <c r="I279" i="4" s="1"/>
  <c r="F287" i="17"/>
  <c r="H287" i="17" s="1"/>
  <c r="N277" i="3"/>
  <c r="L280" i="3"/>
  <c r="N257" i="4"/>
  <c r="I257" i="4"/>
  <c r="I258" i="4" s="1"/>
  <c r="F58" i="20"/>
  <c r="H58" i="20" s="1"/>
  <c r="H690" i="12"/>
  <c r="M275" i="4"/>
  <c r="O275" i="4" s="1"/>
  <c r="K275" i="4"/>
  <c r="C847" i="9"/>
  <c r="I276" i="4" a="1"/>
  <c r="I276" i="4" s="1"/>
  <c r="F625" i="8"/>
  <c r="H625" i="8" s="1"/>
  <c r="F720" i="8"/>
  <c r="P726" i="8"/>
  <c r="I272" i="4"/>
  <c r="I284" i="4" s="1"/>
  <c r="I285" i="4" s="1"/>
  <c r="M269" i="4"/>
  <c r="K269" i="4"/>
  <c r="C378" i="17"/>
  <c r="I270" i="4" a="1"/>
  <c r="I270" i="4" s="1"/>
  <c r="M266" i="4"/>
  <c r="K266" i="4"/>
  <c r="C123" i="20"/>
  <c r="I267" i="4" a="1"/>
  <c r="I267" i="4" s="1"/>
  <c r="M281" i="4"/>
  <c r="O281" i="4" s="1"/>
  <c r="K281" i="4"/>
  <c r="C775" i="12"/>
  <c r="I282" i="4" a="1"/>
  <c r="I282" i="4" s="1"/>
  <c r="M263" i="4"/>
  <c r="K263" i="4"/>
  <c r="C864" i="5"/>
  <c r="I264" i="4" a="1"/>
  <c r="I264" i="4" s="1"/>
  <c r="H798" i="5"/>
  <c r="M233" i="4"/>
  <c r="O233" i="4" s="1"/>
  <c r="K233" i="4"/>
  <c r="I234" i="4" a="1"/>
  <c r="I234" i="4" s="1"/>
  <c r="C796" i="5"/>
  <c r="M254" i="4"/>
  <c r="O254" i="4" s="1"/>
  <c r="K254" i="4"/>
  <c r="I255" i="4" a="1"/>
  <c r="I255" i="4" s="1"/>
  <c r="C237" i="11"/>
  <c r="F684" i="9"/>
  <c r="H684" i="9" s="1"/>
  <c r="I226" i="4"/>
  <c r="I227" i="4" s="1"/>
  <c r="M239" i="4"/>
  <c r="O239" i="4" s="1"/>
  <c r="K239" i="4"/>
  <c r="C285" i="17"/>
  <c r="I240" i="4" a="1"/>
  <c r="I240" i="4" s="1"/>
  <c r="M236" i="4"/>
  <c r="K236" i="4"/>
  <c r="C56" i="20"/>
  <c r="I237" i="4" a="1"/>
  <c r="I237" i="4" s="1"/>
  <c r="H582" i="12"/>
  <c r="M248" i="4"/>
  <c r="K248" i="4"/>
  <c r="C357" i="14"/>
  <c r="I249" i="4" a="1"/>
  <c r="I249" i="4" s="1"/>
  <c r="M245" i="4"/>
  <c r="O245" i="4" s="1"/>
  <c r="K245" i="4"/>
  <c r="C758" i="9"/>
  <c r="I246" i="4" a="1"/>
  <c r="I246" i="4" s="1"/>
  <c r="M242" i="4"/>
  <c r="O242" i="4" s="1"/>
  <c r="K242" i="4"/>
  <c r="C623" i="8"/>
  <c r="I243" i="4" a="1"/>
  <c r="I243" i="4" s="1"/>
  <c r="M251" i="4"/>
  <c r="K251" i="4"/>
  <c r="C688" i="12"/>
  <c r="I252" i="4" a="1"/>
  <c r="I252" i="4" s="1"/>
  <c r="H536" i="8"/>
  <c r="H230" i="17"/>
  <c r="H12" i="20"/>
  <c r="H712" i="5"/>
  <c r="F12" i="19"/>
  <c r="H12" i="19" s="1"/>
  <c r="N217" i="3"/>
  <c r="L223" i="3"/>
  <c r="N198" i="4"/>
  <c r="M211" i="4"/>
  <c r="K211" i="4"/>
  <c r="C548" i="15"/>
  <c r="I212" i="4" a="1"/>
  <c r="I212" i="4" s="1"/>
  <c r="I198" i="4"/>
  <c r="I199" i="4" s="1"/>
  <c r="F622" i="9"/>
  <c r="M217" i="4"/>
  <c r="O217" i="4" s="1"/>
  <c r="K217" i="4"/>
  <c r="C682" i="9"/>
  <c r="I218" i="4" a="1"/>
  <c r="I218" i="4" s="1"/>
  <c r="M220" i="4"/>
  <c r="O220" i="4" s="1"/>
  <c r="K220" i="4"/>
  <c r="I221" i="4" a="1"/>
  <c r="I221" i="4" s="1"/>
  <c r="C274" i="14"/>
  <c r="F638" i="5"/>
  <c r="M205" i="4"/>
  <c r="O205" i="4" s="1"/>
  <c r="K205" i="4"/>
  <c r="C710" i="5"/>
  <c r="I206" i="4" a="1"/>
  <c r="I206" i="4" s="1"/>
  <c r="H493" i="12"/>
  <c r="M223" i="4"/>
  <c r="K223" i="4"/>
  <c r="C580" i="12"/>
  <c r="I224" i="4" a="1"/>
  <c r="I224" i="4" s="1"/>
  <c r="H449" i="8"/>
  <c r="F462" i="15"/>
  <c r="F463" i="15" s="1"/>
  <c r="M214" i="4"/>
  <c r="K214" i="4"/>
  <c r="C534" i="8"/>
  <c r="I215" i="4" a="1"/>
  <c r="I215" i="4" s="1"/>
  <c r="M208" i="4"/>
  <c r="K208" i="4"/>
  <c r="C228" i="17"/>
  <c r="I209" i="4" a="1"/>
  <c r="I209" i="4" s="1"/>
  <c r="F180" i="17"/>
  <c r="H180" i="17" s="1"/>
  <c r="H196" i="14"/>
  <c r="J196" i="3"/>
  <c r="I197" i="3" s="1"/>
  <c r="N178" i="3"/>
  <c r="L196" i="3"/>
  <c r="I196" i="4" a="1"/>
  <c r="I196" i="4" s="1"/>
  <c r="C10" i="19"/>
  <c r="N181" i="3"/>
  <c r="M177" i="4"/>
  <c r="O177" i="4" s="1"/>
  <c r="K177" i="4"/>
  <c r="C178" i="17"/>
  <c r="I178" i="4" a="1"/>
  <c r="I178" i="4" s="1"/>
  <c r="N187" i="3"/>
  <c r="M183" i="4"/>
  <c r="O183" i="4" s="1"/>
  <c r="K183" i="4"/>
  <c r="C447" i="8"/>
  <c r="I184" i="4" a="1"/>
  <c r="I184" i="4" s="1"/>
  <c r="F203" i="14"/>
  <c r="H203" i="14" s="1"/>
  <c r="M192" i="4"/>
  <c r="K192" i="4"/>
  <c r="C491" i="12"/>
  <c r="I193" i="4" a="1"/>
  <c r="I193" i="4" s="1"/>
  <c r="M186" i="4"/>
  <c r="K186" i="4"/>
  <c r="C620" i="9"/>
  <c r="I187" i="4" a="1"/>
  <c r="I187" i="4" s="1"/>
  <c r="F367" i="15"/>
  <c r="F368" i="15" s="1"/>
  <c r="F560" i="15" s="1"/>
  <c r="H560" i="15" s="1"/>
  <c r="M180" i="4"/>
  <c r="O180" i="4" s="1"/>
  <c r="K180" i="4"/>
  <c r="C461" i="15"/>
  <c r="I181" i="4" a="1"/>
  <c r="I181" i="4" s="1"/>
  <c r="M174" i="4"/>
  <c r="K174" i="4"/>
  <c r="C636" i="5"/>
  <c r="I175" i="4" a="1"/>
  <c r="I175" i="4" s="1"/>
  <c r="M189" i="4"/>
  <c r="K189" i="4"/>
  <c r="C194" i="14"/>
  <c r="I190" i="4" a="1"/>
  <c r="I190" i="4" s="1"/>
  <c r="H409" i="12"/>
  <c r="F500" i="12"/>
  <c r="H500" i="12" s="1"/>
  <c r="H130" i="14"/>
  <c r="H531" i="9"/>
  <c r="H373" i="8"/>
  <c r="F539" i="5"/>
  <c r="F873" i="5" s="1"/>
  <c r="H873" i="5" s="1"/>
  <c r="P137" i="17"/>
  <c r="I149" i="4"/>
  <c r="I167" i="4" s="1"/>
  <c r="I168" i="4" s="1"/>
  <c r="F131" i="17"/>
  <c r="J165" i="3"/>
  <c r="L165" i="3"/>
  <c r="N156" i="3"/>
  <c r="I139" i="4"/>
  <c r="I140" i="4" s="1"/>
  <c r="F273" i="15"/>
  <c r="F274" i="15"/>
  <c r="F449" i="9"/>
  <c r="H449" i="9" s="1"/>
  <c r="F465" i="5"/>
  <c r="H465" i="5" s="1"/>
  <c r="K146" i="4"/>
  <c r="M146" i="4"/>
  <c r="O146" i="4" s="1"/>
  <c r="C537" i="5"/>
  <c r="I147" i="4" a="1"/>
  <c r="I147" i="4" s="1"/>
  <c r="H322" i="12"/>
  <c r="K152" i="4"/>
  <c r="M152" i="4"/>
  <c r="C366" i="15"/>
  <c r="I153" i="4" a="1"/>
  <c r="I153" i="4" s="1"/>
  <c r="I166" i="3"/>
  <c r="N159" i="3"/>
  <c r="M164" i="4"/>
  <c r="K164" i="4"/>
  <c r="C407" i="12"/>
  <c r="I165" i="4" a="1"/>
  <c r="I165" i="4" s="1"/>
  <c r="K158" i="4"/>
  <c r="M158" i="4"/>
  <c r="O158" i="4" s="1"/>
  <c r="C529" i="9"/>
  <c r="I159" i="4" a="1"/>
  <c r="I159" i="4" s="1"/>
  <c r="M161" i="4"/>
  <c r="O161" i="4" s="1"/>
  <c r="K161" i="4"/>
  <c r="C128" i="14"/>
  <c r="I162" i="4" a="1"/>
  <c r="I162" i="4" s="1"/>
  <c r="K155" i="4"/>
  <c r="M155" i="4"/>
  <c r="C371" i="8"/>
  <c r="I156" i="4" a="1"/>
  <c r="I156" i="4" s="1"/>
  <c r="M137" i="3"/>
  <c r="H137" i="3"/>
  <c r="Q131" i="3"/>
  <c r="L131" i="3"/>
  <c r="J131" i="3"/>
  <c r="H44" i="14"/>
  <c r="N105" i="4"/>
  <c r="M124" i="4"/>
  <c r="O124" i="4" s="1"/>
  <c r="K124" i="4"/>
  <c r="C553" i="10"/>
  <c r="I125" i="4" a="1"/>
  <c r="I125" i="4" s="1"/>
  <c r="Q125" i="3"/>
  <c r="L125" i="3"/>
  <c r="J125" i="3"/>
  <c r="H138" i="3"/>
  <c r="M133" i="4"/>
  <c r="K133" i="4"/>
  <c r="C42" i="14"/>
  <c r="I134" i="4" a="1"/>
  <c r="I134" i="4" s="1"/>
  <c r="F356" i="9"/>
  <c r="H356" i="9" s="1"/>
  <c r="N116" i="3"/>
  <c r="H211" i="8"/>
  <c r="I105" i="4"/>
  <c r="I106" i="4" s="1"/>
  <c r="M118" i="4"/>
  <c r="O118" i="4" s="1"/>
  <c r="K118" i="4"/>
  <c r="C294" i="8"/>
  <c r="I119" i="4" a="1"/>
  <c r="I119" i="4" s="1"/>
  <c r="M112" i="4"/>
  <c r="O112" i="4" s="1"/>
  <c r="K112" i="4"/>
  <c r="C463" i="5"/>
  <c r="I113" i="4" a="1"/>
  <c r="I113" i="4" s="1"/>
  <c r="H390" i="5"/>
  <c r="F183" i="15"/>
  <c r="M115" i="4"/>
  <c r="K115" i="4"/>
  <c r="C272" i="15"/>
  <c r="I116" i="4" a="1"/>
  <c r="I116" i="4" s="1"/>
  <c r="H245" i="12"/>
  <c r="M127" i="4"/>
  <c r="O127" i="4" s="1"/>
  <c r="K127" i="4"/>
  <c r="C320" i="12"/>
  <c r="I128" i="4" a="1"/>
  <c r="I128" i="4" s="1"/>
  <c r="F451" i="10"/>
  <c r="F452" i="10" s="1"/>
  <c r="M121" i="4"/>
  <c r="K121" i="4"/>
  <c r="I122" i="4" a="1"/>
  <c r="I122" i="4" s="1"/>
  <c r="C447" i="9"/>
  <c r="F44" i="17"/>
  <c r="H44" i="17" s="1"/>
  <c r="J103" i="3"/>
  <c r="L103" i="3"/>
  <c r="F11" i="14"/>
  <c r="H11" i="14" s="1"/>
  <c r="C243" i="12"/>
  <c r="I100" i="4" a="1"/>
  <c r="I100" i="4" s="1"/>
  <c r="O99" i="4"/>
  <c r="F184" i="7"/>
  <c r="H184" i="7" s="1"/>
  <c r="I104" i="3"/>
  <c r="C42" i="17"/>
  <c r="I103" i="4" a="1"/>
  <c r="I103" i="4" s="1"/>
  <c r="M102" i="4"/>
  <c r="K102" i="4"/>
  <c r="N85" i="3"/>
  <c r="M84" i="4"/>
  <c r="O84" i="4" s="1"/>
  <c r="K84" i="4"/>
  <c r="I85" i="4" a="1"/>
  <c r="I85" i="4" s="1"/>
  <c r="C388" i="5"/>
  <c r="I78" i="4"/>
  <c r="N91" i="3"/>
  <c r="M93" i="4"/>
  <c r="O93" i="4" s="1"/>
  <c r="K93" i="4"/>
  <c r="C354" i="9"/>
  <c r="I94" i="4" a="1"/>
  <c r="I94" i="4" s="1"/>
  <c r="O60" i="4"/>
  <c r="C182" i="15"/>
  <c r="I88" i="4" a="1"/>
  <c r="I88" i="4" s="1"/>
  <c r="M87" i="4"/>
  <c r="K87" i="4"/>
  <c r="C209" i="8"/>
  <c r="I91" i="4" a="1"/>
  <c r="I91" i="4" s="1"/>
  <c r="M90" i="4"/>
  <c r="O90" i="4" s="1"/>
  <c r="K90" i="4"/>
  <c r="R118" i="8"/>
  <c r="S79" i="4" s="1"/>
  <c r="G116" i="8"/>
  <c r="C450" i="10"/>
  <c r="I97" i="4" a="1"/>
  <c r="I97" i="4" s="1"/>
  <c r="M96" i="4"/>
  <c r="K96" i="4"/>
  <c r="F99" i="15"/>
  <c r="F100" i="15" s="1"/>
  <c r="F559" i="15" s="1"/>
  <c r="H559" i="15" s="1"/>
  <c r="F352" i="10"/>
  <c r="F353" i="10" s="1"/>
  <c r="H118" i="8"/>
  <c r="H303" i="5"/>
  <c r="N57" i="3"/>
  <c r="M75" i="4"/>
  <c r="O75" i="4" s="1"/>
  <c r="K75" i="4"/>
  <c r="C9" i="17"/>
  <c r="I76" i="4" a="1"/>
  <c r="I76" i="4" s="1"/>
  <c r="H270" i="9"/>
  <c r="L66" i="3"/>
  <c r="J66" i="3"/>
  <c r="Q66" i="3"/>
  <c r="M54" i="3"/>
  <c r="M75" i="3" s="1"/>
  <c r="R75" i="3"/>
  <c r="P70" i="11"/>
  <c r="P69" i="11"/>
  <c r="C98" i="15"/>
  <c r="I61" i="4" a="1"/>
  <c r="I61" i="4" s="1"/>
  <c r="M72" i="4"/>
  <c r="K72" i="4"/>
  <c r="I73" i="4" a="1"/>
  <c r="I73" i="4" s="1"/>
  <c r="C48" i="11"/>
  <c r="M66" i="4"/>
  <c r="K66" i="4"/>
  <c r="C268" i="9"/>
  <c r="I67" i="4" a="1"/>
  <c r="I67" i="4" s="1"/>
  <c r="H76" i="3"/>
  <c r="L54" i="3"/>
  <c r="L75" i="3" s="1"/>
  <c r="J54" i="3"/>
  <c r="J75" i="3" s="1"/>
  <c r="Q54" i="3"/>
  <c r="F180" i="9"/>
  <c r="H180" i="9" s="1"/>
  <c r="I51" i="4"/>
  <c r="I52" i="4" s="1"/>
  <c r="N60" i="3"/>
  <c r="M69" i="4"/>
  <c r="K69" i="4"/>
  <c r="C351" i="10"/>
  <c r="I70" i="4" a="1"/>
  <c r="I70" i="4" s="1"/>
  <c r="H47" i="3"/>
  <c r="F50" i="8"/>
  <c r="H50" i="8" s="1"/>
  <c r="M63" i="4"/>
  <c r="K63" i="4"/>
  <c r="C116" i="8"/>
  <c r="I64" i="4" a="1"/>
  <c r="I64" i="4" s="1"/>
  <c r="M57" i="4"/>
  <c r="K57" i="4"/>
  <c r="I79" i="4"/>
  <c r="C301" i="5"/>
  <c r="I58" i="4" a="1"/>
  <c r="I58" i="4" s="1"/>
  <c r="H195" i="5"/>
  <c r="O57" i="4"/>
  <c r="J32" i="3"/>
  <c r="L32" i="3"/>
  <c r="Q32" i="3"/>
  <c r="M48" i="4"/>
  <c r="K48" i="4"/>
  <c r="I49" i="4" a="1"/>
  <c r="I49" i="4" s="1"/>
  <c r="C48" i="8"/>
  <c r="C10" i="11"/>
  <c r="N45" i="4"/>
  <c r="N51" i="4" s="1"/>
  <c r="T52" i="4"/>
  <c r="I27" i="4"/>
  <c r="I28" i="4" s="1"/>
  <c r="H2" i="4" s="1"/>
  <c r="K42" i="4"/>
  <c r="M42" i="4"/>
  <c r="F235" i="10"/>
  <c r="F236" i="10" s="1"/>
  <c r="C234" i="10"/>
  <c r="I43" i="4" a="1"/>
  <c r="I43" i="4" s="1"/>
  <c r="J41" i="3"/>
  <c r="L41" i="3"/>
  <c r="H48" i="3"/>
  <c r="Q41" i="3"/>
  <c r="H95" i="9"/>
  <c r="H89" i="12"/>
  <c r="F105" i="7"/>
  <c r="H105" i="7" s="1"/>
  <c r="K36" i="4"/>
  <c r="M36" i="4"/>
  <c r="O36" i="4" s="1"/>
  <c r="C182" i="7"/>
  <c r="I37" i="4" a="1"/>
  <c r="I37" i="4" s="1"/>
  <c r="N38" i="3"/>
  <c r="K45" i="4"/>
  <c r="M45" i="4"/>
  <c r="C181" i="12"/>
  <c r="I46" i="4" a="1"/>
  <c r="I46" i="4" s="1"/>
  <c r="F126" i="10"/>
  <c r="F127" i="10" s="1"/>
  <c r="K39" i="4"/>
  <c r="M39" i="4"/>
  <c r="O39" i="4" s="1"/>
  <c r="C178" i="9"/>
  <c r="I40" i="4" a="1"/>
  <c r="I40" i="4" s="1"/>
  <c r="K33" i="4"/>
  <c r="M33" i="4"/>
  <c r="I34" i="4" a="1"/>
  <c r="I34" i="4" s="1"/>
  <c r="C193" i="5"/>
  <c r="H93" i="5"/>
  <c r="Q11" i="3"/>
  <c r="L11" i="3"/>
  <c r="N11" i="3" s="1"/>
  <c r="J11" i="3"/>
  <c r="J23" i="3" s="1"/>
  <c r="I24" i="3" s="1"/>
  <c r="N20" i="3"/>
  <c r="L23" i="3"/>
  <c r="F11" i="15"/>
  <c r="P16" i="15"/>
  <c r="C10" i="15" s="1"/>
  <c r="M24" i="4"/>
  <c r="O24" i="4" s="1"/>
  <c r="K24" i="4"/>
  <c r="I26" i="4"/>
  <c r="C9" i="14"/>
  <c r="P16" i="12"/>
  <c r="C10" i="12" s="1"/>
  <c r="F10" i="12"/>
  <c r="F12" i="12" s="1"/>
  <c r="H12" i="12" s="1"/>
  <c r="P16" i="10"/>
  <c r="C10" i="10" s="1"/>
  <c r="F10" i="10"/>
  <c r="P16" i="9"/>
  <c r="C10" i="9" s="1"/>
  <c r="F10" i="9"/>
  <c r="F12" i="9" s="1"/>
  <c r="H12" i="9" s="1"/>
  <c r="P16" i="7"/>
  <c r="C10" i="7" s="1"/>
  <c r="F10" i="7"/>
  <c r="F12" i="7" s="1"/>
  <c r="H12" i="7" s="1"/>
  <c r="P16" i="5"/>
  <c r="C10" i="5" s="1"/>
  <c r="F10" i="5"/>
  <c r="F12" i="5" s="1"/>
  <c r="H12" i="5" s="1"/>
  <c r="M21" i="4"/>
  <c r="K21" i="4"/>
  <c r="I22" i="4" a="1"/>
  <c r="I22" i="4" s="1"/>
  <c r="C87" i="12"/>
  <c r="N8" i="3"/>
  <c r="N23" i="3" s="1"/>
  <c r="M24" i="3" s="1"/>
  <c r="M23" i="3"/>
  <c r="M12" i="4"/>
  <c r="K12" i="4"/>
  <c r="I13" i="4" a="1"/>
  <c r="I13" i="4" s="1"/>
  <c r="C103" i="7"/>
  <c r="M9" i="4"/>
  <c r="O9" i="4" s="1"/>
  <c r="K9" i="4"/>
  <c r="I10" i="4" a="1"/>
  <c r="I10" i="4" s="1"/>
  <c r="C91" i="5"/>
  <c r="M15" i="4"/>
  <c r="O15" i="4" s="1"/>
  <c r="K15" i="4"/>
  <c r="C93" i="9"/>
  <c r="I16" i="4" a="1"/>
  <c r="I16" i="4" s="1"/>
  <c r="M18" i="4"/>
  <c r="K18" i="4"/>
  <c r="I19" i="4" a="1"/>
  <c r="I19" i="4" s="1"/>
  <c r="C125" i="10"/>
  <c r="O538" i="4" l="1"/>
  <c r="O547" i="4" s="1"/>
  <c r="M547" i="4"/>
  <c r="N548" i="4" s="1"/>
  <c r="H1362" i="8"/>
  <c r="K498" i="4"/>
  <c r="J499" i="4" s="1"/>
  <c r="O480" i="4"/>
  <c r="M498" i="4"/>
  <c r="H1432" i="5"/>
  <c r="J524" i="4"/>
  <c r="H1441" i="5"/>
  <c r="H1436" i="5"/>
  <c r="O520" i="4"/>
  <c r="F1532" i="9"/>
  <c r="H1532" i="9" s="1"/>
  <c r="F1533" i="9"/>
  <c r="H1533" i="9" s="1"/>
  <c r="H1387" i="9"/>
  <c r="K473" i="4"/>
  <c r="J474" i="4" s="1"/>
  <c r="O449" i="4"/>
  <c r="M473" i="4"/>
  <c r="O489" i="4"/>
  <c r="H215" i="23"/>
  <c r="H68" i="24"/>
  <c r="H1311" i="9"/>
  <c r="N461" i="3"/>
  <c r="N464" i="3" s="1"/>
  <c r="L464" i="3"/>
  <c r="M465" i="3" s="1"/>
  <c r="H1231" i="12"/>
  <c r="F1094" i="14"/>
  <c r="H1094" i="14" s="1"/>
  <c r="H966" i="14"/>
  <c r="F1090" i="14"/>
  <c r="H1090" i="14" s="1"/>
  <c r="F1273" i="8"/>
  <c r="H1273" i="8" s="1"/>
  <c r="O458" i="4"/>
  <c r="H1127" i="12"/>
  <c r="H1074" i="8"/>
  <c r="H1212" i="9"/>
  <c r="H411" i="20"/>
  <c r="F1254" i="5"/>
  <c r="H1254" i="5" s="1"/>
  <c r="H1186" i="5"/>
  <c r="K406" i="4"/>
  <c r="M406" i="4"/>
  <c r="O418" i="4"/>
  <c r="O412" i="4"/>
  <c r="O385" i="4"/>
  <c r="J407" i="4"/>
  <c r="O382" i="4"/>
  <c r="O400" i="4"/>
  <c r="H1039" i="12"/>
  <c r="H756" i="14"/>
  <c r="H999" i="8"/>
  <c r="M340" i="4"/>
  <c r="K340" i="4"/>
  <c r="J341" i="4" s="1"/>
  <c r="H908" i="8"/>
  <c r="O319" i="4"/>
  <c r="H1036" i="5"/>
  <c r="M363" i="4"/>
  <c r="M372" i="4" s="1"/>
  <c r="K363" i="4"/>
  <c r="K372" i="4" s="1"/>
  <c r="J373" i="4" s="1"/>
  <c r="C754" i="14"/>
  <c r="I364" i="4" a="1"/>
  <c r="I364" i="4" s="1"/>
  <c r="O354" i="4"/>
  <c r="H875" i="12"/>
  <c r="K312" i="4"/>
  <c r="J313" i="4" s="1"/>
  <c r="H817" i="8"/>
  <c r="O297" i="4"/>
  <c r="M312" i="4"/>
  <c r="O325" i="4"/>
  <c r="O331" i="4"/>
  <c r="H849" i="9"/>
  <c r="O266" i="4"/>
  <c r="F722" i="8"/>
  <c r="H722" i="8" s="1"/>
  <c r="F726" i="8"/>
  <c r="H726" i="8" s="1"/>
  <c r="O309" i="4"/>
  <c r="K257" i="4"/>
  <c r="J258" i="4" s="1"/>
  <c r="O236" i="4"/>
  <c r="M257" i="4"/>
  <c r="M272" i="4"/>
  <c r="M284" i="4" s="1"/>
  <c r="K272" i="4"/>
  <c r="K284" i="4" s="1"/>
  <c r="J285" i="4" s="1"/>
  <c r="C720" i="8"/>
  <c r="I273" i="4" a="1"/>
  <c r="I273" i="4" s="1"/>
  <c r="O263" i="4"/>
  <c r="F874" i="5"/>
  <c r="H874" i="5" s="1"/>
  <c r="O248" i="4"/>
  <c r="F366" i="14"/>
  <c r="H366" i="14" s="1"/>
  <c r="H276" i="14"/>
  <c r="K226" i="4"/>
  <c r="J227" i="4" s="1"/>
  <c r="O223" i="4"/>
  <c r="M226" i="4"/>
  <c r="O251" i="4"/>
  <c r="F184" i="15"/>
  <c r="F470" i="15" s="1"/>
  <c r="H470" i="15" s="1"/>
  <c r="K198" i="4"/>
  <c r="J199" i="4" s="1"/>
  <c r="O186" i="4"/>
  <c r="M198" i="4"/>
  <c r="F692" i="9"/>
  <c r="H692" i="9" s="1"/>
  <c r="H622" i="9"/>
  <c r="H638" i="5"/>
  <c r="H463" i="15"/>
  <c r="N196" i="3"/>
  <c r="M197" i="3" s="1"/>
  <c r="O192" i="4"/>
  <c r="F133" i="17"/>
  <c r="H133" i="17" s="1"/>
  <c r="O174" i="4"/>
  <c r="H539" i="5"/>
  <c r="F564" i="10"/>
  <c r="H564" i="10" s="1"/>
  <c r="O152" i="4"/>
  <c r="H368" i="15"/>
  <c r="O189" i="4"/>
  <c r="M149" i="4"/>
  <c r="K149" i="4"/>
  <c r="K167" i="4" s="1"/>
  <c r="J168" i="4" s="1"/>
  <c r="C131" i="17"/>
  <c r="I150" i="4" a="1"/>
  <c r="I150" i="4" s="1"/>
  <c r="N165" i="3"/>
  <c r="K139" i="4"/>
  <c r="J140" i="4" s="1"/>
  <c r="O115" i="4"/>
  <c r="M139" i="4"/>
  <c r="H274" i="15"/>
  <c r="M166" i="3"/>
  <c r="O164" i="4"/>
  <c r="O155" i="4"/>
  <c r="J137" i="3"/>
  <c r="I138" i="3" s="1"/>
  <c r="O133" i="4"/>
  <c r="N131" i="3"/>
  <c r="L137" i="3"/>
  <c r="N125" i="3"/>
  <c r="K105" i="4"/>
  <c r="J106" i="4" s="1"/>
  <c r="M105" i="4"/>
  <c r="H184" i="15"/>
  <c r="H452" i="10"/>
  <c r="O121" i="4"/>
  <c r="N103" i="3"/>
  <c r="M104" i="3" s="1"/>
  <c r="O87" i="4"/>
  <c r="O102" i="4"/>
  <c r="K78" i="4"/>
  <c r="M78" i="4"/>
  <c r="N63" i="4"/>
  <c r="N78" i="4" s="1"/>
  <c r="O96" i="4"/>
  <c r="H100" i="15"/>
  <c r="H353" i="10"/>
  <c r="N66" i="3"/>
  <c r="O69" i="4"/>
  <c r="P45" i="11"/>
  <c r="P44" i="11"/>
  <c r="O72" i="4"/>
  <c r="I76" i="3"/>
  <c r="J79" i="4"/>
  <c r="O66" i="4"/>
  <c r="N54" i="3"/>
  <c r="N75" i="3" s="1"/>
  <c r="K51" i="4"/>
  <c r="J52" i="4" s="1"/>
  <c r="O42" i="4"/>
  <c r="M51" i="4"/>
  <c r="H236" i="10"/>
  <c r="L47" i="3"/>
  <c r="J47" i="3"/>
  <c r="O63" i="4"/>
  <c r="O48" i="4"/>
  <c r="N32" i="3"/>
  <c r="I48" i="3"/>
  <c r="O45" i="4"/>
  <c r="K27" i="4"/>
  <c r="J28" i="4" s="1"/>
  <c r="O21" i="4"/>
  <c r="M27" i="4"/>
  <c r="N41" i="3"/>
  <c r="H127" i="10"/>
  <c r="O33" i="4"/>
  <c r="F12" i="15"/>
  <c r="H12" i="15" s="1"/>
  <c r="O12" i="4"/>
  <c r="J2" i="4"/>
  <c r="F11" i="10"/>
  <c r="F12" i="10" s="1"/>
  <c r="H12" i="10" s="1"/>
  <c r="O18" i="4"/>
  <c r="O473" i="4" l="1"/>
  <c r="N474" i="4" s="1"/>
  <c r="O406" i="4"/>
  <c r="N407" i="4"/>
  <c r="O363" i="4"/>
  <c r="O372" i="4" s="1"/>
  <c r="N373" i="4" s="1"/>
  <c r="O340" i="4"/>
  <c r="N341" i="4" s="1"/>
  <c r="O312" i="4"/>
  <c r="N313" i="4" s="1"/>
  <c r="O257" i="4"/>
  <c r="N258" i="4" s="1"/>
  <c r="O198" i="4"/>
  <c r="O149" i="4"/>
  <c r="M167" i="4"/>
  <c r="N199" i="4"/>
  <c r="O167" i="4"/>
  <c r="N168" i="4" s="1"/>
  <c r="O139" i="4"/>
  <c r="N140" i="4" s="1"/>
  <c r="N137" i="3"/>
  <c r="O105" i="4"/>
  <c r="N106" i="4" s="1"/>
  <c r="M138" i="3"/>
  <c r="O78" i="4"/>
  <c r="N79" i="4" s="1"/>
  <c r="M76" i="3"/>
  <c r="O51" i="4"/>
  <c r="N52" i="4" s="1"/>
  <c r="N47" i="3"/>
  <c r="M48" i="3"/>
  <c r="O27" i="4"/>
  <c r="N28" i="4" s="1"/>
  <c r="K231" i="10"/>
  <c r="K230" i="10"/>
  <c r="G450" i="10"/>
  <c r="K447" i="10"/>
  <c r="K446" i="10"/>
  <c r="L446" i="10"/>
  <c r="L447" i="10"/>
  <c r="M446" i="10"/>
  <c r="M447" i="10"/>
  <c r="N446" i="10"/>
  <c r="N447" i="10"/>
  <c r="O446" i="10"/>
  <c r="O447" i="10"/>
  <c r="P446" i="10"/>
  <c r="P447" i="10"/>
  <c r="Q446" i="10"/>
  <c r="Q447" i="10"/>
  <c r="R446" i="10"/>
  <c r="R447" i="10"/>
  <c r="S446" i="10"/>
  <c r="S447" i="10"/>
  <c r="P94" i="3"/>
  <c r="Q94" i="3" s="1"/>
  <c r="K6" i="20"/>
  <c r="K7" i="20"/>
  <c r="S7" i="20"/>
  <c r="S6" i="20"/>
  <c r="R7" i="20"/>
  <c r="R6" i="20"/>
  <c r="Q7" i="20"/>
  <c r="Q6" i="20"/>
  <c r="P7" i="20"/>
  <c r="P6" i="20"/>
  <c r="O7" i="20"/>
  <c r="O6" i="20"/>
  <c r="N7" i="20"/>
  <c r="N6" i="20"/>
  <c r="M7" i="20"/>
  <c r="M6" i="20"/>
  <c r="L7" i="20"/>
  <c r="L6" i="20"/>
  <c r="G228" i="17"/>
  <c r="N208" i="4"/>
  <c r="O208" i="4"/>
  <c r="R238" i="17"/>
  <c r="M205" i="3"/>
  <c r="N205" i="3"/>
  <c r="M208" i="3"/>
  <c r="N208" i="3" s="1"/>
  <c r="N211" i="4"/>
  <c r="O211" i="4" l="1"/>
  <c r="R544" i="8"/>
  <c r="M211" i="3"/>
  <c r="N211" i="3" s="1"/>
  <c r="N223" i="3" s="1"/>
  <c r="M224" i="3" s="1"/>
  <c r="M223" i="3"/>
  <c r="R536" i="8"/>
  <c r="N214" i="4" s="1"/>
  <c r="T228" i="4"/>
  <c r="G534" i="8"/>
  <c r="O214" i="4" l="1"/>
  <c r="O226" i="4" s="1"/>
  <c r="N227" i="4" s="1"/>
  <c r="N226" i="4"/>
  <c r="R380" i="17"/>
  <c r="N269" i="4" s="1"/>
  <c r="G378" i="17"/>
  <c r="O269" i="4" l="1"/>
  <c r="R388" i="17"/>
  <c r="M265" i="3"/>
  <c r="N265" i="3" s="1"/>
  <c r="G720" i="8"/>
  <c r="R722" i="8"/>
  <c r="T286" i="4" s="1"/>
  <c r="N272" i="4"/>
  <c r="N284" i="4" s="1"/>
  <c r="O272" i="4"/>
  <c r="O284" i="4" s="1"/>
  <c r="N285" i="4" s="1"/>
  <c r="R730" i="8"/>
  <c r="M268" i="3"/>
  <c r="N268" i="3" s="1"/>
  <c r="N280" i="3" s="1"/>
  <c r="M281" i="3" s="1"/>
  <c r="M280" i="3"/>
  <c r="F1038" i="9"/>
  <c r="F1039" i="9" s="1"/>
  <c r="H1039" i="9" l="1"/>
  <c r="R1173" i="8"/>
  <c r="N421" i="4" s="1"/>
  <c r="G1171" i="8"/>
  <c r="O421" i="4" l="1"/>
  <c r="R1181" i="8"/>
  <c r="M413" i="3"/>
  <c r="N413" i="3" s="1"/>
  <c r="R1231" i="12"/>
  <c r="N439" i="4" s="1"/>
  <c r="N442" i="4" s="1"/>
  <c r="T444" i="4"/>
  <c r="G1229" i="12"/>
  <c r="O439" i="4" l="1"/>
  <c r="O442" i="4" s="1"/>
  <c r="N443" i="4" s="1"/>
  <c r="R1239" i="12"/>
  <c r="M431" i="3"/>
  <c r="M434" i="3" s="1"/>
  <c r="N431" i="3"/>
  <c r="N434" i="3"/>
  <c r="M435" i="3"/>
  <c r="G668" i="20"/>
  <c r="R670" i="20"/>
  <c r="T500" i="4" s="1"/>
  <c r="N483" i="4"/>
  <c r="N498" i="4" s="1"/>
  <c r="O483" i="4"/>
  <c r="O498" i="4" s="1"/>
  <c r="N499" i="4" s="1"/>
  <c r="R678" i="20"/>
  <c r="M473" i="3"/>
  <c r="M488" i="3" s="1"/>
  <c r="N473" i="3"/>
  <c r="N488" i="3"/>
  <c r="M489" i="3"/>
  <c r="P473" i="3"/>
  <c r="Q473" i="3"/>
  <c r="R1455" i="8"/>
  <c r="N514" i="4"/>
  <c r="O514" i="4" s="1"/>
  <c r="O523" i="4" s="1"/>
  <c r="N524" i="4" s="1"/>
  <c r="N523" i="4"/>
  <c r="G1453" i="8"/>
  <c r="R1463" i="8"/>
  <c r="M503" i="3"/>
  <c r="N503" i="3" s="1"/>
  <c r="N512" i="3" s="1"/>
  <c r="M513" i="3" s="1"/>
  <c r="M512" i="3"/>
  <c r="H809" i="14"/>
  <c r="F809" i="14"/>
  <c r="I809" i="14"/>
  <c r="G809" i="14"/>
  <c r="A27" i="4"/>
  <c r="A21" i="4"/>
  <c r="T83" i="12"/>
  <c r="T171" i="12"/>
  <c r="T291" i="5"/>
  <c r="T189" i="5"/>
  <c r="A33" i="4"/>
  <c r="A5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A75" authorId="0" shapeId="0" xr:uid="{A904363B-A51A-4886-B962-7E4EF1C95547}">
      <text>
        <r>
          <rPr>
            <sz val="11"/>
            <color theme="1"/>
            <rFont val="Aptos Narrow"/>
            <family val="2"/>
            <scheme val="minor"/>
          </rPr>
          <t>Unknown User:
1X Heath</t>
        </r>
      </text>
    </comment>
    <comment ref="A87" authorId="0" shapeId="0" xr:uid="{1EEBF945-77F9-412C-B2E0-C5CCC5887981}">
      <text>
        <r>
          <rPr>
            <sz val="11"/>
            <color theme="1"/>
            <rFont val="Aptos Narrow"/>
            <family val="2"/>
            <scheme val="minor"/>
          </rPr>
          <t>Unknown User:
0.5X Elliot</t>
        </r>
      </text>
    </comment>
    <comment ref="A112" authorId="0" shapeId="0" xr:uid="{A4794BC5-7ABD-4FC4-A9D9-80290F08543F}">
      <text>
        <r>
          <rPr>
            <sz val="11"/>
            <color theme="1"/>
            <rFont val="Aptos Narrow"/>
            <family val="2"/>
            <scheme val="minor"/>
          </rPr>
          <t>Unknown User:
0.5x Alex &amp; Riley</t>
        </r>
      </text>
    </comment>
    <comment ref="A133" authorId="0" shapeId="0" xr:uid="{D7081347-343C-474D-966F-251088B02059}">
      <text>
        <r>
          <rPr>
            <sz val="11"/>
            <color theme="1"/>
            <rFont val="Aptos Narrow"/>
            <family val="2"/>
            <scheme val="minor"/>
          </rPr>
          <t>Unknown User:
0.5x Mathew B</t>
        </r>
      </text>
    </comment>
    <comment ref="A146" authorId="0" shapeId="0" xr:uid="{52E68CD3-A06D-4106-B0AD-446CB484C707}">
      <text>
        <r>
          <rPr>
            <sz val="11"/>
            <color theme="1"/>
            <rFont val="Aptos Narrow"/>
            <family val="2"/>
            <scheme val="minor"/>
          </rPr>
          <t>Unknown User:
1x Riley</t>
        </r>
      </text>
    </comment>
    <comment ref="A152" authorId="0" shapeId="0" xr:uid="{CA079B8E-2A66-4A71-928E-51F598468DF6}">
      <text>
        <r>
          <rPr>
            <sz val="11"/>
            <color theme="1"/>
            <rFont val="Aptos Narrow"/>
            <family val="2"/>
            <scheme val="minor"/>
          </rPr>
          <t>Unknown User:
0.5 X Aden
0.5 X Daniel B</t>
        </r>
      </text>
    </comment>
    <comment ref="A174" authorId="0" shapeId="0" xr:uid="{37397911-6602-4EFA-8E0A-93799BDBDC4E}">
      <text>
        <r>
          <rPr>
            <sz val="11"/>
            <color theme="1"/>
            <rFont val="Aptos Narrow"/>
            <family val="2"/>
            <scheme val="minor"/>
          </rPr>
          <t>Unknown User:
0.5x Riley</t>
        </r>
      </text>
    </comment>
    <comment ref="A177" authorId="0" shapeId="0" xr:uid="{B9C24E88-01CD-4EC6-837B-867CF0B69E74}">
      <text>
        <r>
          <rPr>
            <sz val="11"/>
            <color theme="1"/>
            <rFont val="Aptos Narrow"/>
            <family val="2"/>
            <scheme val="minor"/>
          </rPr>
          <t>Unknown User:
1x Heath</t>
        </r>
      </text>
    </comment>
    <comment ref="A180" authorId="0" shapeId="0" xr:uid="{9784AE8C-5432-4657-AACF-92DBEB0A02B7}">
      <text>
        <r>
          <rPr>
            <sz val="11"/>
            <color theme="1"/>
            <rFont val="Aptos Narrow"/>
            <family val="2"/>
            <scheme val="minor"/>
          </rPr>
          <t>Unknown User:
0.5x Elliot</t>
        </r>
      </text>
    </comment>
    <comment ref="A183" authorId="0" shapeId="0" xr:uid="{34ED0758-CE5F-411C-A21F-13C85A50616B}">
      <text>
        <r>
          <rPr>
            <sz val="11"/>
            <color theme="1"/>
            <rFont val="Aptos Narrow"/>
            <family val="2"/>
            <scheme val="minor"/>
          </rPr>
          <t>Unknown User:
1.5x Bradley</t>
        </r>
      </text>
    </comment>
    <comment ref="A189" authorId="0" shapeId="0" xr:uid="{6EFF25BF-091B-4192-BE59-55402624BDAF}">
      <text>
        <r>
          <rPr>
            <sz val="11"/>
            <color theme="1"/>
            <rFont val="Aptos Narrow"/>
            <family val="2"/>
            <scheme val="minor"/>
          </rPr>
          <t xml:space="preserve">Unknown User:
0.5x Jayden
</t>
        </r>
      </text>
    </comment>
    <comment ref="A208" authorId="0" shapeId="0" xr:uid="{EC8E85F1-C4E8-4118-9FCB-24A86EA29EE8}">
      <text>
        <r>
          <rPr>
            <sz val="11"/>
            <color theme="1"/>
            <rFont val="Aptos Narrow"/>
            <family val="2"/>
            <scheme val="minor"/>
          </rPr>
          <t>Unknown User:
1x Heath</t>
        </r>
      </text>
    </comment>
    <comment ref="A223" authorId="0" shapeId="0" xr:uid="{BF83F21E-BF2C-408B-8D01-85D79D21FAF8}">
      <text>
        <r>
          <rPr>
            <sz val="11"/>
            <color theme="1"/>
            <rFont val="Aptos Narrow"/>
            <family val="2"/>
            <scheme val="minor"/>
          </rPr>
          <t xml:space="preserve">Unknown User:
1x Jayden
</t>
        </r>
      </text>
    </comment>
    <comment ref="A248" authorId="0" shapeId="0" xr:uid="{A65B3BEA-E98E-4796-A99F-E44AB84C9837}">
      <text>
        <r>
          <rPr>
            <sz val="11"/>
            <color theme="1"/>
            <rFont val="Aptos Narrow"/>
            <family val="2"/>
            <scheme val="minor"/>
          </rPr>
          <t>Unknown User:
0.5x Tolga Bal</t>
        </r>
      </text>
    </comment>
    <comment ref="A251" authorId="0" shapeId="0" xr:uid="{64CDA3CC-D6F3-41C8-87DA-FA43D8CA54A8}">
      <text>
        <r>
          <rPr>
            <sz val="11"/>
            <color theme="1"/>
            <rFont val="Aptos Narrow"/>
            <family val="2"/>
            <scheme val="minor"/>
          </rPr>
          <t>Unknown User:
0.5x Tolga,Alex &amp; Jayden</t>
        </r>
      </text>
    </comment>
    <comment ref="A263" authorId="0" shapeId="0" xr:uid="{28EE64B1-892C-4EA1-8AE5-84080AF23F78}">
      <text>
        <r>
          <rPr>
            <sz val="11"/>
            <color theme="1"/>
            <rFont val="Aptos Narrow"/>
            <family val="2"/>
            <scheme val="minor"/>
          </rPr>
          <t>Unknown User:
1.5x Riley</t>
        </r>
      </text>
    </comment>
    <comment ref="A275" authorId="0" shapeId="0" xr:uid="{F17E5293-77C6-41C5-95BB-3B7806F089B3}">
      <text>
        <r>
          <rPr>
            <sz val="11"/>
            <color theme="1"/>
            <rFont val="Aptos Narrow"/>
            <family val="2"/>
            <scheme val="minor"/>
          </rPr>
          <t>Unknown User:
1x Ben
0.5x Tolga,0.5x Rylee W</t>
        </r>
      </text>
    </comment>
    <comment ref="A281" authorId="0" shapeId="0" xr:uid="{11D37152-2D26-4FDC-B97D-433012CBB019}">
      <text>
        <r>
          <rPr>
            <sz val="11"/>
            <color theme="1"/>
            <rFont val="Aptos Narrow"/>
            <family val="2"/>
            <scheme val="minor"/>
          </rPr>
          <t>Unknown User:
1.5x Will Dower</t>
        </r>
      </text>
    </comment>
    <comment ref="A291" authorId="0" shapeId="0" xr:uid="{2EE5EA56-09C9-448A-8FB3-1626C8C3DC1F}">
      <text>
        <r>
          <rPr>
            <sz val="11"/>
            <color theme="1"/>
            <rFont val="Aptos Narrow"/>
            <family val="2"/>
            <scheme val="minor"/>
          </rPr>
          <t>Unknown User:
1x Elliot</t>
        </r>
      </text>
    </comment>
    <comment ref="A294" authorId="0" shapeId="0" xr:uid="{4C8C8F6D-64F5-43E8-A24B-6A635BA0E972}">
      <text>
        <r>
          <rPr>
            <sz val="11"/>
            <color theme="1"/>
            <rFont val="Aptos Narrow"/>
            <family val="2"/>
            <scheme val="minor"/>
          </rPr>
          <t>Unknown User:
0.5x Will Dower</t>
        </r>
      </text>
    </comment>
    <comment ref="A297" authorId="0" shapeId="0" xr:uid="{39AF28E0-3F03-4A4F-BAA4-05023F7F9E6B}">
      <text>
        <r>
          <rPr>
            <sz val="11"/>
            <color theme="1"/>
            <rFont val="Aptos Narrow"/>
            <family val="2"/>
            <scheme val="minor"/>
          </rPr>
          <t>Unknown User:
1.5x Nicholas</t>
        </r>
      </text>
    </comment>
    <comment ref="A334" authorId="0" shapeId="0" xr:uid="{76C84DB9-D364-4832-9F53-FE0E48D701F7}">
      <text>
        <r>
          <rPr>
            <sz val="11"/>
            <color theme="1"/>
            <rFont val="Aptos Narrow"/>
            <family val="2"/>
            <scheme val="minor"/>
          </rPr>
          <t xml:space="preserve">Unknown User:
1x Will Dower
</t>
        </r>
      </text>
    </comment>
    <comment ref="A348" authorId="0" shapeId="0" xr:uid="{C52C059E-878E-42F6-AF8C-9E041342AF21}">
      <text>
        <r>
          <rPr>
            <sz val="11"/>
            <color theme="1"/>
            <rFont val="Aptos Narrow"/>
            <family val="2"/>
            <scheme val="minor"/>
          </rPr>
          <t>Unknown User:
1x Will Dower
0.5x for Nicholas,Alex and Eric</t>
        </r>
      </text>
    </comment>
    <comment ref="A360" authorId="0" shapeId="0" xr:uid="{6C09E75A-09EF-4305-85AC-2098FB6CD495}">
      <text>
        <r>
          <rPr>
            <sz val="11"/>
            <color theme="1"/>
            <rFont val="Aptos Narrow"/>
            <family val="2"/>
            <scheme val="minor"/>
          </rPr>
          <t>Unknown User:
0.5x Junior</t>
        </r>
      </text>
    </comment>
    <comment ref="A379" authorId="0" shapeId="0" xr:uid="{EB469385-508F-4439-B3C4-1B7C94AD1131}">
      <text>
        <r>
          <rPr>
            <sz val="11"/>
            <color theme="1"/>
            <rFont val="Aptos Narrow"/>
            <family val="2"/>
            <scheme val="minor"/>
          </rPr>
          <t>Unknown User:
0.5x Nicholas</t>
        </r>
      </text>
    </comment>
    <comment ref="A418" authorId="0" shapeId="0" xr:uid="{CEA381B5-768F-4A8A-A904-A6421F572AAA}">
      <text>
        <r>
          <rPr>
            <sz val="11"/>
            <color theme="1"/>
            <rFont val="Aptos Narrow"/>
            <family val="2"/>
            <scheme val="minor"/>
          </rPr>
          <t>Unknown User:
1x Matthew H</t>
        </r>
      </text>
    </comment>
    <comment ref="A421" authorId="0" shapeId="0" xr:uid="{FB52BBFE-9525-4F36-92C2-869D8DB76A30}">
      <text>
        <r>
          <rPr>
            <sz val="11"/>
            <color theme="1"/>
            <rFont val="Aptos Narrow"/>
            <family val="2"/>
            <scheme val="minor"/>
          </rPr>
          <t>Unknown User:
1x Will Dower</t>
        </r>
      </text>
    </comment>
    <comment ref="A436" authorId="0" shapeId="0" xr:uid="{7F01A27F-39D7-4ACD-A713-62BDDFFF9A8D}">
      <text>
        <r>
          <rPr>
            <sz val="11"/>
            <color theme="1"/>
            <rFont val="Aptos Narrow"/>
            <family val="2"/>
            <scheme val="minor"/>
          </rPr>
          <t>Unknown User:
0.5x Rhys</t>
        </r>
      </text>
    </comment>
    <comment ref="A455" authorId="0" shapeId="0" xr:uid="{DC628C83-B843-4D57-9E1E-BD8DECD561C3}">
      <text>
        <r>
          <rPr>
            <sz val="11"/>
            <color theme="1"/>
            <rFont val="Aptos Narrow"/>
            <family val="2"/>
            <scheme val="minor"/>
          </rPr>
          <t>Unknown User:
1x Nicholas</t>
        </r>
      </text>
    </comment>
    <comment ref="A505" authorId="0" shapeId="0" xr:uid="{E0FADADF-70EB-42AC-B51F-938AFA6F1FA4}">
      <text>
        <r>
          <rPr>
            <sz val="11"/>
            <color theme="1"/>
            <rFont val="Aptos Narrow"/>
            <family val="2"/>
            <scheme val="minor"/>
          </rPr>
          <t>Unknown User:
0.5x Kyle</t>
        </r>
      </text>
    </comment>
    <comment ref="A514" authorId="0" shapeId="0" xr:uid="{C95D3C50-BF4B-4511-9C4C-3B66AD6B7103}">
      <text>
        <r>
          <rPr>
            <sz val="11"/>
            <color theme="1"/>
            <rFont val="Aptos Narrow"/>
            <family val="2"/>
            <scheme val="minor"/>
          </rPr>
          <t>Unknown User:
0.5x Aden &amp; Will Dower</t>
        </r>
      </text>
    </comment>
    <comment ref="A520" authorId="0" shapeId="0" xr:uid="{D06EBFA2-5AD4-4956-B528-8021380074AC}">
      <text>
        <r>
          <rPr>
            <sz val="11"/>
            <color theme="1"/>
            <rFont val="Aptos Narrow"/>
            <family val="2"/>
            <scheme val="minor"/>
          </rPr>
          <t>Unknown User:
0.5 Will Dower
0.5x Matthew &amp; 0.5x Junior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Guest User</author>
    <author>tc={A7A2B1CC-6BE0-4236-827D-0345C2F1C44A}</author>
    <author>tc={2B8642B5-FBBD-4890-BC13-972E944AE51B}</author>
    <author>tc={8839E6DB-319C-44E6-9DCC-2FA3B3593C0E}</author>
  </authors>
  <commentList>
    <comment ref="G35" authorId="0" shapeId="0" xr:uid="{CE2B4230-664C-4813-A6CC-7D133845F63B}">
      <text>
        <r>
          <rPr>
            <sz val="11"/>
            <color theme="1"/>
            <rFont val="Aptos Narrow"/>
            <family val="2"/>
            <scheme val="minor"/>
          </rPr>
          <t xml:space="preserve">Unknown User:
SPECIALIST LEAK DETECTION (WATER SERVICE)
10% Seniors &amp; Pensioners Discount
</t>
        </r>
      </text>
    </comment>
    <comment ref="P35" authorId="0" shapeId="0" xr:uid="{F0E85871-CFF4-4C30-9946-CFA26E0C79AB}">
      <text>
        <r>
          <rPr>
            <sz val="11"/>
            <color theme="1"/>
            <rFont val="Aptos Narrow"/>
            <family val="2"/>
            <scheme val="minor"/>
          </rPr>
          <t>Unknown User:
Quote not emailed</t>
        </r>
      </text>
    </comment>
    <comment ref="W35" authorId="0" shapeId="0" xr:uid="{4B8F9759-71EE-4455-90D1-9863C6CB7636}">
      <text>
        <r>
          <rPr>
            <sz val="11"/>
            <color theme="1"/>
            <rFont val="Aptos Narrow"/>
            <family val="2"/>
            <scheme val="minor"/>
          </rPr>
          <t>Unknown User:
Cash Denomination
$50 * 4 = $200
Total = $200</t>
        </r>
      </text>
    </comment>
    <comment ref="A71" authorId="1" shapeId="0" xr:uid="{A7A2B1CC-6BE0-4236-827D-0345C2F1C44A}">
      <text>
        <t>[Threaded comment]
Your version of Excel allows you to read this threaded comment; however, any edits to it will get removed if the file is opened in a newer version of Excel. Learn more: https://go.microsoft.com/fwlink/?linkid=870924
Comment:
    5% Comm'ns will be Paid Upon Achieving 1 x 5 Star Review</t>
      </text>
    </comment>
    <comment ref="G71" authorId="0" shapeId="0" xr:uid="{8756A092-8C64-4CB8-9829-2F0E00B673F1}">
      <text>
        <r>
          <rPr>
            <sz val="11"/>
            <color theme="1"/>
            <rFont val="Aptos Narrow"/>
            <family val="2"/>
            <scheme val="minor"/>
          </rPr>
          <t xml:space="preserve">Unknown User:
SPECIALIST LEAK DETECTION (WATER SERVICE)
10% Seniors &amp; Pensioners Discount
</t>
        </r>
      </text>
    </comment>
    <comment ref="P71" authorId="0" shapeId="0" xr:uid="{C2392BE5-6C6D-47CC-8222-AE1179915686}">
      <text>
        <r>
          <rPr>
            <sz val="11"/>
            <color theme="1"/>
            <rFont val="Aptos Narrow"/>
            <family val="2"/>
            <scheme val="minor"/>
          </rPr>
          <t>Unknown User:
Quote not emailed</t>
        </r>
      </text>
    </comment>
    <comment ref="W71" authorId="0" shapeId="0" xr:uid="{921646EA-BFEE-44D7-8D01-F8824396FA64}">
      <text>
        <r>
          <rPr>
            <sz val="11"/>
            <color theme="1"/>
            <rFont val="Aptos Narrow"/>
            <family val="2"/>
            <scheme val="minor"/>
          </rPr>
          <t>Unknown User:
Cash Denomination
$50 * 4 = $200
Total = $200</t>
        </r>
      </text>
    </comment>
    <comment ref="A108" authorId="2" shapeId="0" xr:uid="{2B8642B5-FBBD-4890-BC13-972E944AE51B}">
      <text>
        <t>[Threaded comment]
Your version of Excel allows you to read this threaded comment; however, any edits to it will get removed if the file is opened in a newer version of Excel. Learn more: https://go.microsoft.com/fwlink/?linkid=870924
Comment:
    5% Comm'ns will be Paid Upon Achieving 1 x 5 Star Review</t>
      </text>
    </comment>
    <comment ref="G108" authorId="0" shapeId="0" xr:uid="{EBB153BC-8F5E-433D-9073-0D23254916EC}">
      <text>
        <r>
          <rPr>
            <sz val="11"/>
            <color theme="1"/>
            <rFont val="Aptos Narrow"/>
            <family val="2"/>
            <scheme val="minor"/>
          </rPr>
          <t xml:space="preserve">Unknown User:
SPECIALIST LEAK DETECTION (WATER SERVICE)
10% Seniors &amp; Pensioners Discount
</t>
        </r>
      </text>
    </comment>
    <comment ref="P108" authorId="0" shapeId="0" xr:uid="{DF18275E-5C74-4B49-BE65-C0ED4DD448C3}">
      <text>
        <r>
          <rPr>
            <sz val="11"/>
            <color theme="1"/>
            <rFont val="Aptos Narrow"/>
            <family val="2"/>
            <scheme val="minor"/>
          </rPr>
          <t>Unknown User:
Quote not emailed</t>
        </r>
      </text>
    </comment>
    <comment ref="A145" authorId="3" shapeId="0" xr:uid="{8839E6DB-319C-44E6-9DCC-2FA3B3593C0E}">
      <text>
        <t>[Threaded comment]
Your version of Excel allows you to read this threaded comment; however, any edits to it will get removed if the file is opened in a newer version of Excel. Learn more: https://go.microsoft.com/fwlink/?linkid=870924
Comment:
    5% Comm'ns will be Paid Upon Achieving 1 x 5 Star Review</t>
      </text>
    </comment>
    <comment ref="G145" authorId="0" shapeId="0" xr:uid="{CA952F63-2CFE-4F5E-BE1B-87F52A41ABE2}">
      <text>
        <r>
          <rPr>
            <sz val="11"/>
            <color theme="1"/>
            <rFont val="Aptos Narrow"/>
            <family val="2"/>
            <scheme val="minor"/>
          </rPr>
          <t xml:space="preserve">Unknown User:
SPECIALIST LEAK DETECTION (WATER SERVICE)
10% Seniors &amp; Pensioners Discount
</t>
        </r>
      </text>
    </comment>
    <comment ref="P145" authorId="0" shapeId="0" xr:uid="{5CD5D9A6-F9E2-431C-936C-27BCEA87679B}">
      <text>
        <r>
          <rPr>
            <sz val="11"/>
            <color theme="1"/>
            <rFont val="Aptos Narrow"/>
            <family val="2"/>
            <scheme val="minor"/>
          </rPr>
          <t>Unknown User:
Quote not emailed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Guest User</author>
    <author>tc={8E4CE7E1-9658-4A49-B84A-0DC045655901}</author>
    <author>tc={5AC5DCD8-56BE-43FF-98A7-ACA93440E9C5}</author>
    <author>tc={38181725-AF3D-4337-B92F-0F2AA1174FFC}</author>
    <author>tc={5A09E947-E726-4621-89C5-BEF237A79047}</author>
    <author>tc={CBFE5E57-749B-4024-8AE1-65DCC8A28D40}</author>
    <author>tc={DF06B6A1-54AD-46CF-86AF-2C7D6AC08B55}</author>
    <author>tc={46016688-55DE-41BA-868E-B9E54196D780}</author>
    <author>tc={976D6D49-CBFF-4E88-8A80-51554FF7487C}</author>
    <author>tc={9A4FBAF4-EA00-45E1-99A6-9DED79EE2887}</author>
    <author>tc={CE2AA2F6-0D50-43D1-BD4E-F25CB1F3A694}</author>
    <author>tc={2FE613BB-6D85-4155-A4D0-E796B9948C90}</author>
    <author>tc={AC0621FE-EBEB-44E7-9704-58B6AFFFD90D}</author>
    <author>tc={63E1D396-CFFA-4A6E-987A-7BFCC430128A}</author>
    <author>tc={5D4E7509-D202-42A5-97CA-9DEA1E961AB9}</author>
    <author>tc={C24CC012-2266-4C36-88E7-798676DDAFB7}</author>
    <author>tc={B447AD5C-095A-4794-BEA2-A63E34F5841B}</author>
    <author>tc={273E820C-40EA-42D2-B37C-D87A52B2B671}</author>
    <author>tc={6CCB0C55-A107-4FE3-A0D8-C961426E7F2D}</author>
    <author>tc={DEA5B9A6-9FB9-49D1-A859-25E89F224721}</author>
    <author>tc={FBEAA3CA-BFE9-4AFB-AB00-9BD4784C906B}</author>
    <author>tc={68BCF3A7-DF7D-46C7-B0A6-4ECBB1829968}</author>
    <author>tc={F59953B7-AFF7-40E3-8DB2-68A465B296E9}</author>
    <author>tc={8D88FAB7-552A-454B-9BE3-AC470655B998}</author>
    <author>tc={E62E6E9E-93F2-452D-B805-964D22DF0DF9}</author>
    <author>tc={53B4FFC5-A97B-4DBF-98D9-0A9BFD3ABB7B}</author>
    <author>tc={D879292E-38E1-43DC-8904-1DC3B050577D}</author>
    <author>tc={3E7EF3C9-7E93-4B41-BB91-1783ECD96222}</author>
    <author>Accounts | Australia Trades</author>
    <author>tc={E683C7B9-C72A-4AEA-B2DD-ECEFD78A8919}</author>
    <author>tc={76F2D728-7F82-4800-8C44-3EC51AA056FF}</author>
    <author>tc={00EE1AB2-D8C3-4D90-AAD9-6B6142E44098}</author>
    <author>tc={6454AB60-2133-4351-82C7-D8412951370D}</author>
    <author>tc={C5A75C61-D5A8-4E79-A612-0F4FBE7FF87A}</author>
    <author>tc={A18F2146-B8CD-47FB-BC65-F13775796A4F}</author>
    <author>Finance - Pointplumbing</author>
    <author>tc={CF00CDE1-3789-436D-B406-4945514505C9}</author>
    <author>tc={593665AB-4F14-4DE2-8521-13ACB7428C26}</author>
    <author>tc={590871B3-E2DE-46BC-BB25-934C503F9806}</author>
    <author>tc={838CE3FB-69EF-404F-BEDE-C9DCBB2E07C6}</author>
    <author>tc={1C662504-2101-4E86-8B33-A68412191D98}</author>
    <author>tc={3994CF75-E292-45BE-90F7-B6E4BB9CD1F2}</author>
    <author>tc={F755DE35-3DFA-4EB4-80C2-3DC02140FF89}</author>
    <author>tc={572E9F36-BE05-47CB-BAD1-BB71D7027823}</author>
    <author>tc={BF7BB616-E19F-4491-8061-CDF4D30E4A16}</author>
    <author>tc={0311537A-9F02-44AD-9CA4-F226606385DD}</author>
    <author>tc={6072931B-3F68-41F4-95BE-6D5350029D6E}</author>
    <author>tc={8E91C694-A3BA-44B4-86D6-4015AB3F24CB}</author>
    <author>tc={3FCE686E-F6BF-40DD-B26D-647194CED1F2}</author>
    <author>tc={F3F81626-2E9F-4540-AC42-15676B40E369}</author>
    <author>tc={DBAFC465-572C-4FF1-A4EA-0B99BD9EADDA}</author>
    <author>tc={6F75A3FE-AFC7-45D7-8680-5975417F93A2}</author>
    <author>tc={26E35355-DA4E-4DC8-AD0D-BCDDB6A87894}</author>
    <author>tc={B6DAEEC1-0D52-4C34-B433-0E0F06BE4444}</author>
    <author>tc={D66C4C6B-FD99-442C-AE2E-E7D2F1A976F4}</author>
    <author>tc={D8A1FDB4-D8C0-4BB8-AC21-4E0AFACCF73E}</author>
    <author>tc={D1EF8B66-0DB2-426F-B98C-C3ED7ABF27F1}</author>
    <author>tc={6008B61A-00F7-45F4-8479-E1980A6C45DD}</author>
    <author>tc={BD3752A7-B9CB-40C9-899E-7F682AF6A5A8}</author>
    <author>tc={2C681668-D0D9-4F70-9464-52C5601721B0}</author>
    <author>tc={988869E8-F480-4ED7-B192-321D14DA61D3}</author>
    <author>tc={E132ED7F-651C-41DF-90E7-350BA50B1B18}</author>
    <author>tc={AC6DF1CE-7898-47A5-BE03-11C8734FFCF1}</author>
    <author>tc={4698990F-5F54-410A-8BD3-0BCC363EAF97}</author>
    <author>tc={CFECF196-1155-4F89-BE18-B0EC6B837BBB}</author>
    <author>tc={0BB7DB69-117D-4354-A906-46AED791C576}</author>
    <author>tc={4C2C03E6-D299-41ED-8650-3B553FE755F4}</author>
    <author>tc={27BA06EB-43B1-4F7A-8B20-A9D421713E1F}</author>
    <author>tc={A1DD4268-73A2-49E1-B55A-08665301044D}</author>
    <author>tc={72C68B1C-69AC-4B25-B7AD-73A27919CBD3}</author>
    <author>tc={8AC4592A-740E-47DF-AC77-6245AFAB75C2}</author>
    <author>tc={E47A60B3-2438-4A3A-8F77-7EBD8EF509DD}</author>
    <author>tc={B2858411-E11D-4034-8868-3880087FE2FE}</author>
    <author>tc={5876FBD7-3592-4EFD-A3D5-1F6C53520D96}</author>
    <author>tc={AD3A20B9-9941-43FD-A472-FAB5A7924297}</author>
    <author>tc={C3130A65-145C-4C4B-B94D-E7A4DCBC351F}</author>
    <author>tc={3CE42443-DBF3-4A4C-8798-509EDE16D6E1}</author>
    <author>tc={8D415C25-9392-41EE-8BF6-5014DAC4ADEE}</author>
    <author>tc={EE1A5374-2F06-402B-8977-176310F52C69}</author>
    <author>tc={7F0BF887-79D0-4E73-A125-7DDD3AFEEED3}</author>
    <author>tc={B5DF5AB8-D803-4BD9-87E5-58AE2FACD65B}</author>
    <author>tc={268A8B4D-9A91-420C-B024-AED2622BBDA7}</author>
    <author>tc={3D357D5B-0EF8-424E-8868-BEF4A6732E1F}</author>
    <author>tc={7FA76D87-1AE9-43B8-89FE-68329A83B482}</author>
    <author>tc={C89B83B1-FF0D-4493-BF9F-B5AEF4A239C3}</author>
  </authors>
  <commentList>
    <comment ref="U34" authorId="0" shapeId="0" xr:uid="{22D7B282-F364-4F6A-86C1-202974D90A00}">
      <text>
        <r>
          <rPr>
            <sz val="11"/>
            <color theme="1"/>
            <rFont val="Aptos Narrow"/>
            <family val="2"/>
            <scheme val="minor"/>
          </rPr>
          <t>Unknown User:
NOTES FROM DANIEL B
Customer was finding that after we had completed the work required customer could smell a damp smell.
I had a look around in the laundry and noticed that there was no real ventilation.
There was a window ,
so I opened it and told her to keep it open a little just to vent the laundry out .
Once open the smell went away.
Customer was very happy with our service</t>
        </r>
      </text>
    </comment>
    <comment ref="E100" authorId="1" shapeId="0" xr:uid="{8E4CE7E1-9658-4A49-B84A-0DC045655901}">
      <text>
        <t>[Threaded comment]
Your version of Excel allows you to read this threaded comment; however, any edits to it will get removed if the file is opened in a newer version of Excel. Learn more: https://go.microsoft.com/fwlink/?linkid=870924
Comment:
    Stock</t>
      </text>
    </comment>
    <comment ref="E101" authorId="2" shapeId="0" xr:uid="{5AC5DCD8-56BE-43FF-98A7-ACA93440E9C5}">
      <text>
        <t>[Threaded comment]
Your version of Excel allows you to read this threaded comment; however, any edits to it will get removed if the file is opened in a newer version of Excel. Learn more: https://go.microsoft.com/fwlink/?linkid=870924
Comment:
    Stock</t>
      </text>
    </comment>
    <comment ref="E102" authorId="3" shapeId="0" xr:uid="{38181725-AF3D-4337-B92F-0F2AA1174FFC}">
      <text>
        <t>[Threaded comment]
Your version of Excel allows you to read this threaded comment; however, any edits to it will get removed if the file is opened in a newer version of Excel. Learn more: https://go.microsoft.com/fwlink/?linkid=870924
Comment:
    Stock</t>
      </text>
    </comment>
    <comment ref="E103" authorId="4" shapeId="0" xr:uid="{5A09E947-E726-4621-89C5-BEF237A79047}">
      <text>
        <t>[Threaded comment]
Your version of Excel allows you to read this threaded comment; however, any edits to it will get removed if the file is opened in a newer version of Excel. Learn more: https://go.microsoft.com/fwlink/?linkid=870924
Comment:
    Stock</t>
      </text>
    </comment>
    <comment ref="G111" authorId="0" shapeId="0" xr:uid="{F832D339-8313-4A57-9528-A708062465B9}">
      <text>
        <r>
          <rPr>
            <sz val="11"/>
            <color theme="1"/>
            <rFont val="Aptos Narrow"/>
            <family val="2"/>
            <scheme val="minor"/>
          </rPr>
          <t xml:space="preserve">Unknown User:
DISCONNECT &amp; ISOLATE GAS SERVICE
*Isolate gas supply to the property
*Perform drop test to property
*Disconnect and remove existing gas service
*Clean and prepare existing gas service
*Supply and install gas press fittings
*Crimp fittings with hydraulic press tool
*Reinstate gas supply to the property
*Perform drop test to property
*Test and commission on completion
ISOLATION OF WATER SERVICES
*Gain access to site
*Isolate water to property
*Disconnect and remove cold connection
*Clean and prepare worked area
*Supply and install brass cap on cold line
*Test and commission installation
*Removal of trade waste
*Tidy worked area
PLEASE NOTE IF FURTHER WORKS ARE REQUIRED ADDITIONAL COSTS
WILL APPLY
</t>
        </r>
      </text>
    </comment>
    <comment ref="G112" authorId="0" shapeId="0" xr:uid="{40E129F7-E7BD-4B58-B7FE-CEFA49572CD8}">
      <text>
        <r>
          <rPr>
            <sz val="11"/>
            <color theme="1"/>
            <rFont val="Aptos Narrow"/>
            <family val="2"/>
            <scheme val="minor"/>
          </rPr>
          <t xml:space="preserve">Unknown User:
RECTIFICATION OF GAS SERVICE (EXPOSED)
Isolate main gas supply to property
Make safe to property
Gain access to damaged section of gas service
Cut &amp; remove existing damaged gas service up to 1.5M
Supply &amp; install new gas section of gas service up to 1.5M
Supply &amp; install new press fittings
Supply &amp; install new brass fittings
Supply &amp; install gas cock
Supply &amp; install gas steel braided hose to gas oven
Connect new section of gas service to existing gas service
Use of specialist hydraulic crimping tool
Crimp new section of gas service using specialist crimping tool
Reinstate main gas supply to the property
Set up specialist manometer gas testing equipment
Connect specialist manometer testing equipment to main gas
service
Conduct specialist manometer test on the main gas service
upon completion of the installation to ensure there are no leaks
Test &amp; commission the installation
Removal of all trade waste
Provide certificate of compliance (If gas service is compliant &amp;
no leaks)
PLEASE NOTE IF FURTHER WORK REQUIRED OTHER THEN QUOTED
WORK FURTHER COST WILL APPLY
</t>
        </r>
      </text>
    </comment>
    <comment ref="P112" authorId="0" shapeId="0" xr:uid="{014A8EF5-AC77-4839-963A-2414DDB18E82}">
      <text>
        <r>
          <rPr>
            <sz val="11"/>
            <color theme="1"/>
            <rFont val="Aptos Narrow"/>
            <family val="2"/>
            <scheme val="minor"/>
          </rPr>
          <t>Unknown User:
Quote not Emailed</t>
        </r>
      </text>
    </comment>
    <comment ref="Q112" authorId="0" shapeId="0" xr:uid="{A543EBEF-67A7-44F0-821E-E204E6BBA2D8}">
      <text>
        <r>
          <rPr>
            <sz val="11"/>
            <color theme="1"/>
            <rFont val="Aptos Narrow"/>
            <family val="2"/>
            <scheme val="minor"/>
          </rPr>
          <t>Unknown User:
Invoice not raised</t>
        </r>
      </text>
    </comment>
    <comment ref="G113" authorId="0" shapeId="0" xr:uid="{E2DADC0A-9B04-4D0C-B9CE-5DEF73D1D2A4}">
      <text>
        <r>
          <rPr>
            <sz val="11"/>
            <color theme="1"/>
            <rFont val="Aptos Narrow"/>
            <family val="2"/>
            <scheme val="minor"/>
          </rPr>
          <t>Unknown User:
SEARCH &amp; INVESTIGATION OF GAS STORAGE HOT WATER SYSTEM
Gain access to gas hot water system
Gain access to main gas isolation valve to property
Test gas supply with specialist manometer device
Visually inspect gas supply and fittings to hot water system
Use soapy spray on fittings and pipework
Check gas supply pressure to hot water system and control unit
Check integrity of gas isolation valve at hot water system
Check power supply to hot water system using testing pen
Check electrical box (IF REQUIRED)
Check circuit switch (IF REQUIRED)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will apply.</t>
        </r>
      </text>
    </comment>
    <comment ref="M113" authorId="0" shapeId="0" xr:uid="{D48F864F-4269-4093-9403-FE75AC7B6E95}">
      <text>
        <r>
          <rPr>
            <sz val="11"/>
            <color theme="1"/>
            <rFont val="Aptos Narrow"/>
            <family val="2"/>
            <scheme val="minor"/>
          </rPr>
          <t>Unknown User:
Receipt for $68 is not uploaded by plumber now uploaded by Modoras team</t>
        </r>
      </text>
    </comment>
    <comment ref="Q113" authorId="0" shapeId="0" xr:uid="{194AF8BC-6B1B-4DA3-BCA5-3C9D28139012}">
      <text>
        <r>
          <rPr>
            <sz val="11"/>
            <color theme="1"/>
            <rFont val="Aptos Narrow"/>
            <family val="2"/>
            <scheme val="minor"/>
          </rPr>
          <t>Unknown User:
Combined and raised for 2 estimates</t>
        </r>
      </text>
    </comment>
    <comment ref="G114" authorId="0" shapeId="0" xr:uid="{ABF7EE02-228A-4240-9B3E-56A1767F4EB2}">
      <text>
        <r>
          <rPr>
            <sz val="11"/>
            <color theme="1"/>
            <rFont val="Aptos Narrow"/>
            <family val="2"/>
            <scheme val="minor"/>
          </rPr>
          <t>Unknown User:
SUPPLY AND INSTALLATION OF GAS WATER HEATER UNITROL
Isolate main gas supply to hot water service
Conduct pressure test at main gas meter using specialist manometer testing equipment prior to commencing work to identify potential gas leaks on site
Purge gas supply
Gain access to hot water service
Removal of existing hot water service access panel
Disconnect &amp; removal of thermocouple service union from unitrol
Disconnect &amp; removal of piezo service union from unitrol
Disconnect &amp; removal of main burner service union from unitrol
Disconnect &amp; removal of existing unitrol from hot water unit
Clean and prepare burner connections
Supply &amp; install new unitrol to hot water unit
Reinstate existing thermocouple to unitrol
Reinstate existing main burner plate service union to unitrol
Reinstate existing piezo servcie union to unitrol
Reinstate gas service to hot water unit
Purge gas service
Conduct final gas test with specialist manometer device to ensure no leaks
Re light existing gas hot water unit
Test and commission installation
Reinstate hot water service access panel
Removal of trade waste from site
PLEASE NOTE IF FURTHER WORK REQUIRED OUTSIDE OF QUOTED WORKS ADDITIONAL COSTS WILL APPLY</t>
        </r>
      </text>
    </comment>
    <comment ref="Q114" authorId="0" shapeId="0" xr:uid="{60F65239-A01C-4A4B-BF29-392F65ABCB3D}">
      <text>
        <r>
          <rPr>
            <sz val="11"/>
            <color theme="1"/>
            <rFont val="Aptos Narrow"/>
            <family val="2"/>
            <scheme val="minor"/>
          </rPr>
          <t>Unknown User:
Combined and raised for 2 estimates</t>
        </r>
      </text>
    </comment>
    <comment ref="G115" authorId="0" shapeId="0" xr:uid="{4C7DC4F1-3C95-4BF8-927F-020AA457E82F}">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116" authorId="0" shapeId="0" xr:uid="{6FCDA092-DF94-467C-99DB-798269B6F50B}">
      <text>
        <r>
          <rPr>
            <sz val="11"/>
            <color theme="1"/>
            <rFont val="Aptos Narrow"/>
            <family val="2"/>
            <scheme val="minor"/>
          </rPr>
          <t>Unknown User:
HIGH POWERED SUCTION PUMP
Gain access to sewer service
Gain access to sewer fixture
Set up high powered suction pump
First attempt to clear blocked sewer using high powered suction pump
Attempt to clear sewer service using high powered suction pump
Attempt to clear debris from sewer service
Attempt to flush out sewer service &amp; debris
Test &amp; commission work completed
Removal of trade waste
PLEASE NOTE IF BLOCKAGES DOES NOT CLEAR FURTHER COST WILL APPLY. THIS IS A FIRST ATTEMPT</t>
        </r>
      </text>
    </comment>
    <comment ref="L116" authorId="0" shapeId="0" xr:uid="{0D41BA96-F23E-492A-BDBA-3F755AB2E9E6}">
      <text>
        <r>
          <rPr>
            <sz val="11"/>
            <color theme="1"/>
            <rFont val="Aptos Narrow"/>
            <family val="2"/>
            <scheme val="minor"/>
          </rPr>
          <t>Unknown User:
After Pics not uploaded</t>
        </r>
      </text>
    </comment>
    <comment ref="W116" authorId="0" shapeId="0" xr:uid="{4B89D320-1277-43A2-81CC-29FD8C2F5E15}">
      <text>
        <r>
          <rPr>
            <sz val="11"/>
            <color theme="1"/>
            <rFont val="Aptos Narrow"/>
            <family val="2"/>
            <scheme val="minor"/>
          </rPr>
          <t>Unknown User:
Cash denomination
$100*3=$300</t>
        </r>
      </text>
    </comment>
    <comment ref="G117" authorId="0" shapeId="0" xr:uid="{344B4C31-506F-4635-AF18-FAA8C9838D7A}">
      <text>
        <r>
          <rPr>
            <sz val="11"/>
            <color theme="1"/>
            <rFont val="Aptos Narrow"/>
            <family val="2"/>
            <scheme val="minor"/>
          </rPr>
          <t xml:space="preserve">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t>
        </r>
      </text>
    </comment>
    <comment ref="P117" authorId="0" shapeId="0" xr:uid="{A7D9B3BD-1112-4AEF-B9A1-F295E21DA8CB}">
      <text>
        <r>
          <rPr>
            <sz val="11"/>
            <color theme="1"/>
            <rFont val="Aptos Narrow"/>
            <family val="2"/>
            <scheme val="minor"/>
          </rPr>
          <t>Unknown User:
Quote not emailed</t>
        </r>
      </text>
    </comment>
    <comment ref="Q117" authorId="0" shapeId="0" xr:uid="{25CF3595-B4AE-4700-B369-BE35107819CB}">
      <text>
        <r>
          <rPr>
            <sz val="11"/>
            <color theme="1"/>
            <rFont val="Aptos Narrow"/>
            <family val="2"/>
            <scheme val="minor"/>
          </rPr>
          <t>Unknown User:
Invoice not raised by plumber</t>
        </r>
      </text>
    </comment>
    <comment ref="G118" authorId="0" shapeId="0" xr:uid="{29FCF53A-A49C-42AA-83C2-C63D38FD4108}">
      <text>
        <r>
          <rPr>
            <sz val="11"/>
            <color theme="1"/>
            <rFont val="Aptos Narrow"/>
            <family val="2"/>
            <scheme val="minor"/>
          </rPr>
          <t xml:space="preserve">Unknown User:
COMPLETE SERVICE OF TOILET CISTERN
Isolate main water supply to property
Disconnect cold-water supply to existing toilet cistern
Removal of existing cold-water supply to toilet cistern
Disconnect &amp; removal of existing emergency isolation valve
Gain access to toilet cistern
Disconnect existing toilet cistern inlet valve
Removal of existing toilet cistern inlet valve
Disconnect existing toilet cistern outlet valve
Removal of existing toilet cistern outlet valve
Disconnect &amp; removal of existing toilet cistern outlet valve drop washer
Clean existing toilet cistern outlet valve housing
Flush out toilet cistern free from all debris
Supply &amp; install new outlet valve drop washer
Reinstall existing toilet cistern outlet valve
Supply &amp; install new toilet cistern inlet valve
Secure new inlet valve to existing toilet cistern
Supply &amp; install new emergency isolation valve
Supply &amp; install new cold-water stainless-steel flexi hose
Reinstate main water supply to toilet cistern
Adjust inlet valve &amp; outlet valve to ensure optimal flush
Test &amp; commission installation
Removal of trade waste
PLEASE NOTE IF FURTHER WORK REQUIRED OUTSIDE OF QUOTED WORKS
ADDITIONAL COSTS WILL APPLY
</t>
        </r>
      </text>
    </comment>
    <comment ref="G119" authorId="0" shapeId="0" xr:uid="{A9BA08C7-665A-4943-9012-CF49D0A5C5D9}">
      <text>
        <r>
          <rPr>
            <sz val="11"/>
            <color theme="1"/>
            <rFont val="Aptos Narrow"/>
            <family val="2"/>
            <scheme val="minor"/>
          </rPr>
          <t xml:space="preserve">Unknown User:
SEARCH AND INVESTIGATION OF GAS INSTANTANEOUS HOT WATER
SYSTEM
Gain access to gas instantaneous hot water system
Gain access to main gas isolation valve to property
Removal of main test point at main meter
Test main gas supply with specialist manometer device
Reinstall main test point at main meter
Gain access to instantaneous hot water system test point
Removal of test point on existing instantaneous hot water
system
Conduct gas supply with specialist manometer device at
instantaneous hot water system
Reinstall test point to gas instantaneous hot water system
Visually inspect gas supply and fittings to hot water system
Conduct soapy spray test on fittings and pipework (IF
REQUIRED)
Check gas supply pressure to hot water system and control unit
Check integrity of gas isolation valve at hot water system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t>
        </r>
      </text>
    </comment>
    <comment ref="Q119" authorId="0" shapeId="0" xr:uid="{03D80305-4DAB-416B-9A4A-FA0534CA5A4A}">
      <text>
        <r>
          <rPr>
            <sz val="11"/>
            <color theme="1"/>
            <rFont val="Aptos Narrow"/>
            <family val="2"/>
            <scheme val="minor"/>
          </rPr>
          <t xml:space="preserve">Unknown User:
Final invoice not Raised
</t>
        </r>
      </text>
    </comment>
    <comment ref="G120" authorId="0" shapeId="0" xr:uid="{A74F0795-C302-4256-BBA4-A95D6DC5BA0A}">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L120" authorId="0" shapeId="0" xr:uid="{C53FE557-2A0A-44AE-B229-FB28C4872DC3}">
      <text>
        <r>
          <rPr>
            <sz val="11"/>
            <color theme="1"/>
            <rFont val="Aptos Narrow"/>
            <family val="2"/>
            <scheme val="minor"/>
          </rPr>
          <t>Unknown User:
Acid pics missing</t>
        </r>
      </text>
    </comment>
    <comment ref="V120" authorId="0" shapeId="0" xr:uid="{6387D651-E11A-4EAC-A0CE-08E861DF802D}">
      <text>
        <r>
          <rPr>
            <sz val="11"/>
            <color theme="1"/>
            <rFont val="Aptos Narrow"/>
            <family val="2"/>
            <scheme val="minor"/>
          </rPr>
          <t>Unknown User:
04/07 - EFT Received $1250.40</t>
        </r>
      </text>
    </comment>
    <comment ref="G121" authorId="0" shapeId="0" xr:uid="{C58B4EAE-FBA0-4A4F-9809-DF0CC9D1EBBD}">
      <text>
        <r>
          <rPr>
            <sz val="11"/>
            <color theme="1"/>
            <rFont val="Aptos Narrow"/>
            <family val="2"/>
            <scheme val="minor"/>
          </rPr>
          <t>Unknown User:
SEARCH &amp; INVESTIGATION OF WASHING MACHINE
• Isolate main water supply to washing machine
• Isolate main power supply to washing machine
• Disconnect &amp; remove cold-water inlet hose from tap and appliance
• Disconnect &amp; remove drainage hose from discharge point
• Visually inspect the washing machine, inlet hoses, outlet hoses, and housing for signs of
damage or wear
• Check for any blockages in the drain hose, filter, or pump and clear if accessible
• Inspect appliance and surrounding connections for evidence of water leaks or backflow
• Clean and flush internal filters (if accessible) and inspect for sediment or debris
• Reconnect cold water inlet hose and check fittings for integrity
• Reconnect drainage hose
• Reinstate main water supply &amp; power supply to the appliance
• Perform test cycle to commission installation and monitor for any operational faults
• Identify potential faults
• Provide an additional quote for any further repairs or replacement parts if required
PLEASE NOTE IF FURTHER WORK REQUIRED OTHERTHEN QUOTED WORK
FURTHER COST WILL APPLY</t>
        </r>
      </text>
    </comment>
    <comment ref="G126" authorId="0" shapeId="0" xr:uid="{708E3D0D-77BE-467E-BCB3-17968119A430}">
      <text>
        <r>
          <rPr>
            <sz val="11"/>
            <color theme="1"/>
            <rFont val="Aptos Narrow"/>
            <family val="2"/>
            <scheme val="minor"/>
          </rPr>
          <t xml:space="preserve">Unknown User:
SUPPLY &amp; INSTALLATION OF NEW PLASTIC TOILET CISTERN
Isolate main water supply to property
Disconnect &amp; removal of cold-water supply to existing toilet
cistern
Disconnect &amp; removal of existing emergency isolation valve
Drain water supply from toilet cistern
Disconnect &amp; removal of existing toilet cistern
Disconnect &amp; removal of existing flush cone
Disconnect &amp; removal of existing key seal
Disconnect &amp; removal of existing seat
Clean &amp; prepare worked area
Supply &amp; install new toilet seat
Supply &amp; install new toilet pan key seal
Supply &amp; install new toilet cistern flush pipe
Supply &amp; install new plastic toilet cistern
Secure new toilet cistern to wall
Supply &amp; install new cistern link connector plate
Supply &amp; install new emergency isolation valve
Supply &amp; install new cold-water stainless-steel flexi hose
Connect cold water supply to new toilet cistern
Reinstate water supply
Test &amp; commission installation
Removal of trade waste
PLEASE NOTE IF FURTHER WORK REQUIRED OUTSIDE OF QUOTED
WORKS ADDITIONAL COSTS WILL APPLY
</t>
        </r>
      </text>
    </comment>
    <comment ref="G127" authorId="0" shapeId="0" xr:uid="{04DB3D91-F77D-4C21-904B-88075C8D869B}">
      <text>
        <r>
          <rPr>
            <sz val="11"/>
            <color theme="1"/>
            <rFont val="Aptos Narrow"/>
            <family val="2"/>
            <scheme val="minor"/>
          </rPr>
          <t>Unknown User:
SEARCH AND INVESTIGATION OF ELECTRIC INSTANTANEOUS HOT WATER
SYSTEM
Gain access to hot water unit
Gain access to electrical supply
Check power supply at mains
Disconnect and remove hot water system electrical cover
Check power supply at hot water unit
Check power supply to thermostat
Check power supply to element
Check water supply to isolation valve
Check hot water system for tempering valve
Check water supply pressure to property
Check hot water system flow rate
Check electrical cable connections on hot water unit
Visually inspect electrical cable for ruptures where able
Check relive valve operation and integrity
Check discharge from outlet of hot water system for any signs of rust and corrosion in
hot water supply
Determine cause and include any repair to a loose pipe or loose wire connection
PLEASE NOTE IF FURTHER WORK IS REQUIRED ADDITIONAL COSTS WILL APPLY</t>
        </r>
      </text>
    </comment>
    <comment ref="G128" authorId="0" shapeId="0" xr:uid="{F3101051-4428-4728-8F72-4E696CF5929E}">
      <text>
        <r>
          <rPr>
            <sz val="11"/>
            <color theme="1"/>
            <rFont val="Aptos Narrow"/>
            <family val="2"/>
            <scheme val="minor"/>
          </rPr>
          <t>Unknown User:
SEARCH AND INVESTIGATION OF GAS HYDRONIC HEATING SYSTEM
*Gain access to gas hydronic heating system
*Gain access to main gas isolation valve to property
*Removal of main test point at main meter
*Test main gas supply with specialist manometer device
*Reinstall main test point at main meter
*Conduct gas pressure test with specialist manometer device at hydronic heating system
*Reinstall test point to gas hydronic heating system
*Visually inspect gas supply and fittings to hydronic heating system
*Conduct soapy spray test on fittings and pipework (IF REQUIRED)
*Check gas supply pressure to hot water system and control unit *Check integrity of gas isolation valve at hydronic heating system
*Purge gas supply at hydronic heating
*Check hot water outlet from hydronic heating
*Visually inspect all fittings and services where able
*Attempt to restart hydronic heating
*Determine cause and include any repair to a loose pipe or loose-fitting connection
PLEASE NOTE IF FURTHER WORK IS REQUIRED ADDITIONAL COSTS WILL APP</t>
        </r>
      </text>
    </comment>
    <comment ref="G140" authorId="0" shapeId="0" xr:uid="{86D0BDB2-0D3D-4E65-B2E4-D1B9C455FAD8}">
      <text>
        <r>
          <rPr>
            <sz val="11"/>
            <color theme="1"/>
            <rFont val="Aptos Narrow"/>
            <family val="2"/>
            <scheme val="minor"/>
          </rPr>
          <t>Unknown User:
SEARCH &amp; INVESTIGATION OF POTENTIAL GAS LEAK
Gain access to main gas meter
Isolate the main gas supply to the property
Disconnect the existing main meter test point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t>
        </r>
      </text>
    </comment>
    <comment ref="P140" authorId="0" shapeId="0" xr:uid="{FC47D453-1D5F-40D5-9017-9F257728EA63}">
      <text>
        <r>
          <rPr>
            <sz val="11"/>
            <color theme="1"/>
            <rFont val="Aptos Narrow"/>
            <family val="2"/>
            <scheme val="minor"/>
          </rPr>
          <t>Unknown User:
Quote not Emailed</t>
        </r>
      </text>
    </comment>
    <comment ref="G141" authorId="0" shapeId="0" xr:uid="{832C0F12-F049-4146-82CF-CFFBB2D08E0D}">
      <text>
        <r>
          <rPr>
            <sz val="11"/>
            <color theme="1"/>
            <rFont val="Aptos Narrow"/>
            <family val="2"/>
            <scheme val="minor"/>
          </rPr>
          <t>Unknown User:
SEARCH &amp; INVESTIGATION OF POTENTIAL GAS LEAK
Gain access to main gas meter
Isolate the main gas supply to the property
Disconnect the existing main meter test point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t>
        </r>
      </text>
    </comment>
    <comment ref="L141" authorId="0" shapeId="0" xr:uid="{92A05251-449B-4665-92AA-2811CB87C7EA}">
      <text>
        <r>
          <rPr>
            <sz val="11"/>
            <color theme="1"/>
            <rFont val="Aptos Narrow"/>
            <family val="2"/>
            <scheme val="minor"/>
          </rPr>
          <t>Unknown User:
Need more pics</t>
        </r>
      </text>
    </comment>
    <comment ref="P141" authorId="0" shapeId="0" xr:uid="{9D983D16-B5E4-4ED8-9F0D-A1CE95DB6716}">
      <text>
        <r>
          <rPr>
            <sz val="11"/>
            <color theme="1"/>
            <rFont val="Aptos Narrow"/>
            <family val="2"/>
            <scheme val="minor"/>
          </rPr>
          <t>Unknown User:
Quote not emailed</t>
        </r>
      </text>
    </comment>
    <comment ref="G145" authorId="0" shapeId="0" xr:uid="{47F30ADE-226E-4D1E-BA38-04FB887A4CBA}">
      <text>
        <r>
          <rPr>
            <sz val="11"/>
            <color theme="1"/>
            <rFont val="Aptos Narrow"/>
            <family val="2"/>
            <scheme val="minor"/>
          </rPr>
          <t>Unknown User:
INSTALLATION OF CUSTOMER SUPPLIED FRIDGE WITHIN 2.5M OF COLD WATER SUPPLY
Isolate main water supply to property
Gain access to cold water supply
Expose main cold-water supply within 2.5M of fridge installation
Cut &amp; removal of existing section of cold-water supply
Supply &amp; install new brass fittings
Supply &amp; install new B-press fittings
Supply &amp; install new brass tee
Supply &amp; install new cold-water supply for fridge up to 2.5M to new desired location
Supply &amp; install new No.19
Supply &amp; install new cold water emergency isolation valve
Secure new isolation valve in new desired location
Secure new section of cold-water supply
Prepare new customer supplied fridge for new installation
Install new customer supplied fridge
Connect cold water supply to fridge
Connect power to existing power supply outlet
Test &amp; commission installation
Removal of trade waste – Excludes appliance
PLEASE NOTE IF FURTHER WORK REQUIRED OTHER THEN QUOTED WORK FURTHER COST WILL APPLY</t>
        </r>
      </text>
    </comment>
    <comment ref="P145" authorId="0" shapeId="0" xr:uid="{8823DEBC-C234-439B-83A7-BF34BCDA114B}">
      <text>
        <r>
          <rPr>
            <sz val="11"/>
            <color theme="1"/>
            <rFont val="Aptos Narrow"/>
            <family val="2"/>
            <scheme val="minor"/>
          </rPr>
          <t>Unknown User:
Quote not emailed</t>
        </r>
      </text>
    </comment>
    <comment ref="U145" authorId="0" shapeId="0" xr:uid="{9A86571F-6AB3-40A3-A179-E569E5DB283F}">
      <text>
        <r>
          <rPr>
            <sz val="11"/>
            <color theme="1"/>
            <rFont val="Aptos Narrow"/>
            <family val="2"/>
            <scheme val="minor"/>
          </rPr>
          <t>Unknown User:
1 July-As per Ben Taylor's note "Job is approved. Client has just ordered her fridge. She will give me a call or the office to schedule a date next week when fridge arrives."</t>
        </r>
      </text>
    </comment>
    <comment ref="G146" authorId="0" shapeId="0" xr:uid="{805DFCD0-76D5-4166-816D-04FC8C9303CA}">
      <text>
        <r>
          <rPr>
            <sz val="11"/>
            <color theme="1"/>
            <rFont val="Aptos Narrow"/>
            <family val="2"/>
            <scheme val="minor"/>
          </rPr>
          <t>Unknown User:
SEWER SPOT DIG UP TO 1.5M (UNDER CONCRETE)
Obtain sewer diagram
Obtain dial Before dig
Obtain service location diagram
Set up safe work area
Set up builders plastic
Set up barricades for safety
Concrete cut ground area
Jack hammer ground area
Removal of concrete in required location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t>
        </r>
      </text>
    </comment>
    <comment ref="P146" authorId="0" shapeId="0" xr:uid="{DC256D50-DB82-4160-B4AC-1795535FEFC3}">
      <text>
        <r>
          <rPr>
            <sz val="11"/>
            <color theme="1"/>
            <rFont val="Aptos Narrow"/>
            <family val="2"/>
            <scheme val="minor"/>
          </rPr>
          <t>Unknown User:
Quote not emailed</t>
        </r>
      </text>
    </comment>
    <comment ref="G165" authorId="0" shapeId="0" xr:uid="{301DA43F-FD7A-4028-A609-1C0AA9F6D3C1}">
      <text>
        <r>
          <rPr>
            <sz val="11"/>
            <color theme="1"/>
            <rFont val="Aptos Narrow"/>
            <family val="2"/>
            <scheme val="minor"/>
          </rPr>
          <t>Unknown User:
HIGH POWERED JET BLAST &amp; CCTV DRAIN CAMERA INSPECTION (STORM WATER SERVICE)
Set up high powered Jet blaster
Set up High powered mini-Reel
Set up high powered Turbines
Set up specialist CCTV Camera
Set up Specialist locator
Gain access to storm water service
First attempt to clear blocked storm water service using high powered Jet blaster
Attempt to clear &amp; flush out storm water service using high powered Jet Blaster
Conduct specialist CCTV drain camera to inspect storm water service
Use of CCTV camera on storm water service to identify potential faults &amp; cause of blockage
If faults found use off specialist locator to pinpoint exact location of fault
PLEASE NOTE IF BLOCKAGE DOES NOT CLEAR FURTHER COST WILL APPLY. THIS IS A FIRST ATTEMPT.</t>
        </r>
      </text>
    </comment>
    <comment ref="G167" authorId="0" shapeId="0" xr:uid="{70B921F1-3C41-4FFD-B263-8298B2177DB6}">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G168" authorId="0" shapeId="0" xr:uid="{06FE1D4B-D90B-46CF-99A3-6D3AA2017AFB}">
      <text>
        <r>
          <rPr>
            <sz val="11"/>
            <color theme="1"/>
            <rFont val="Aptos Narrow"/>
            <family val="2"/>
            <scheme val="minor"/>
          </rPr>
          <t>Unknown User:
SEWER SPOT DIG UP TO 1.5M - IN GROUND
Obtain sewer diagram
Obtain dial Before dig
Obtain service location diagram
Set up safe work area
Set up builders plastic
Set up barricades for safety
Jack hammer ground area
Removal of concrete in required location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Wash down worked area
Test &amp; commission installation
Remove trade waste
PLEASE NOTE IF FURTHER WORK REQUIRED OTHER THEN QUOTED WORK FURTHER COST WILL APPLY</t>
        </r>
      </text>
    </comment>
    <comment ref="G170" authorId="0" shapeId="0" xr:uid="{A80E4380-5517-4D9E-8904-C0FAB1C96A2A}">
      <text>
        <r>
          <rPr>
            <sz val="11"/>
            <color theme="1"/>
            <rFont val="Aptos Narrow"/>
            <family val="2"/>
            <scheme val="minor"/>
          </rPr>
          <t>Unknown User:
SEARCH AND INVESTIGATION OF GAS INSTANTANEOUS HOT WATER SYSTEM
Gain access to gas instantaneous hot water system
Gain access to main gas isolation valve to property
Removal of main test point at main meter
Test main gas supply with specialist manometer device
Reinstall main test point at main meter
Gain access to instantaneous hot water system test point
Removal of test point on existing instantaneous hot water system
Conduct gas supply with specialist manometer device at instantaneous hot water system
Reinstall test point to gas instantaneous hot water system
Visually inspect gas supply and fittings to hot water system
Conduct soapy spray test on fittings and pipework (IF REQUIRED)
Check gas supply pressure to hot water system and control unit
Check integrity of gas isolation valve at hot water system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repair.</t>
        </r>
      </text>
    </comment>
    <comment ref="G171" authorId="0" shapeId="0" xr:uid="{DA5F2229-8A7F-4E8C-87FF-AE795F27DB34}">
      <text>
        <r>
          <rPr>
            <sz val="11"/>
            <color theme="1"/>
            <rFont val="Aptos Narrow"/>
            <family val="2"/>
            <scheme val="minor"/>
          </rPr>
          <t>Unknown User:
SEARCH &amp; INVESTIGATION OF DISHWASHER
Isolate the main water supply to the appliance
Disconnect &amp; remove the cold-water supply
Disconnect &amp; remove the drainage line
Disconnect &amp; remove the power supply
Visually inspect the dishwasher and hoses for any breaks or faults
Check for any blockages and clear them if possible
Inspect the dishwasher for leaks
Clean and flush the filters
Reinstate the main water supply
Reconnect the main drainage hose
Perform testing and commission the installation
Identify the cause of the issue
Provide an additional quote for any further repairs (if required)
PLEASE NOTE IF FURTHER WORK REQUIRED OTHER THEN QUOTED WORK FURTHER COST WILL APPLY</t>
        </r>
      </text>
    </comment>
    <comment ref="G172" authorId="0" shapeId="0" xr:uid="{146E4511-0A31-4F37-B760-180BC3E2595C}">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G173" authorId="0" shapeId="0" xr:uid="{D53A3865-F013-47C7-8A63-775EB34CD6C7}">
      <text>
        <r>
          <rPr>
            <sz val="11"/>
            <color theme="1"/>
            <rFont val="Aptos Narrow"/>
            <family val="2"/>
            <scheme val="minor"/>
          </rPr>
          <t>Unknown User:
INSTALLATION OF DISHWASHER [SAME LOCATION] (CUSTOMER SUPPLIED)
Isolate main water supply to existing dishwasher
Isolate main power supply to existing dishwasher
Disconnect existing power supply to dishwasher
Disconnect &amp; remove cold water supply to existing dishwasher
Disconnect existing drainage supply to dishwasher
Disconnect &amp; remove existing dishwasher
Clean &amp; prepare worked area for new installation
Prepare customer supplied dishwasher for new installation
Install new dishwasher to existing location
Connect cold water supply to new dishwasher
Connect drainage supply to new dishwasher
Connect power supply to new dishwasher
Secure new dishwasher
Test &amp; commission installation
Removal of trade waste – Excludes removal and disposal of the old appliance
PLEASE NOTE IF FURTHER WORK REQUIRED OTHER THEN QUOTED WORK FURTHER COST WILL APPLY</t>
        </r>
      </text>
    </comment>
    <comment ref="G180" authorId="0" shapeId="0" xr:uid="{38AB1225-03DE-4D13-B262-555C76D079BB}">
      <text>
        <r>
          <rPr>
            <sz val="11"/>
            <color theme="1"/>
            <rFont val="Aptos Narrow"/>
            <family val="2"/>
            <scheme val="minor"/>
          </rPr>
          <t>Unknown User:
SUPPLY &amp; INSTALLATION OF TEMPERING VALVE
Isolate main cold water supply to property
Isolate main hot water supply to property
Mark out penetrations 
Cut and remove Gyprock
Gain access to existing tempering valve
Drain system
Disconnect &amp; removal of existing outlet service unions
Disconnect &amp; removal of existing hot water service unions
Disconnect &amp; removal of existing cold water service unions
Disconnect &amp; removal of existing tempering valve body
Disconnect &amp; removal of existing cold water non return valve
Disconnect &amp; removal of existing service adapters from hot water service
Disconnect &amp; removal of existing service adapters from cold water service
Clean &amp; prepare existing water services for new connections
Supply &amp; install water service for new location of tempering valve 
Supply &amp; install new service adapters
Supply &amp; install new press fittings
Supply &amp; install new brass fittings supply
Supply &amp; install new hot water non return valve
Supply &amp; install new cold water non return valve
Supply &amp; install new tempering valve body
Supply &amp; install new gaskets
Supply &amp; install new sealants
Reinstate hot water supply to property
Reinstate cold water supply to property
Reinstate power supply to existing hot water system
Bleed hot water service
Bleed cold water service
Commission tempering valve to ensure compliance with AS/3500
Conduct temperature check to ensure compliance with AS/3500
Clean worked area
Removal of trade waste
PLEASE NOTE IF FURTHER WORK REQUIRED OTHER THEN QUOTED WORK FURTHER COST WILL APPLY
NO Restoration of Gyprock</t>
        </r>
      </text>
    </comment>
    <comment ref="E202" authorId="5" shapeId="0" xr:uid="{CBFE5E57-749B-4024-8AE1-65DCC8A28D40}">
      <text>
        <t>[Threaded comment]
Your version of Excel allows you to read this threaded comment; however, any edits to it will get removed if the file is opened in a newer version of Excel. Learn more: https://go.microsoft.com/fwlink/?linkid=870924
Comment:
    Stock</t>
      </text>
    </comment>
    <comment ref="E203" authorId="6" shapeId="0" xr:uid="{DF06B6A1-54AD-46CF-86AF-2C7D6AC08B55}">
      <text>
        <t>[Threaded comment]
Your version of Excel allows you to read this threaded comment; however, any edits to it will get removed if the file is opened in a newer version of Excel. Learn more: https://go.microsoft.com/fwlink/?linkid=870924
Comment:
    Unsuccessful Job</t>
      </text>
    </comment>
    <comment ref="E204" authorId="7" shapeId="0" xr:uid="{46016688-55DE-41BA-868E-B9E54196D780}">
      <text>
        <t>[Threaded comment]
Your version of Excel allows you to read this threaded comment; however, any edits to it will get removed if the file is opened in a newer version of Excel. Learn more: https://go.microsoft.com/fwlink/?linkid=870924
Comment:
    Stock</t>
      </text>
    </comment>
    <comment ref="E205" authorId="8" shapeId="0" xr:uid="{976D6D49-CBFF-4E88-8A80-51554FF7487C}">
      <text>
        <t>[Threaded comment]
Your version of Excel allows you to read this threaded comment; however, any edits to it will get removed if the file is opened in a newer version of Excel. Learn more: https://go.microsoft.com/fwlink/?linkid=870924
Comment:
    Checked</t>
      </text>
    </comment>
    <comment ref="G213" authorId="0" shapeId="0" xr:uid="{DCDE2A94-6282-428D-88E2-356A27144EB8}">
      <text>
        <r>
          <rPr>
            <sz val="11"/>
            <color theme="1"/>
            <rFont val="Aptos Narrow"/>
            <family val="2"/>
            <scheme val="minor"/>
          </rPr>
          <t>Unknown User:
REPLACEMENT OF PLUG &amp; WASTE - 40MM
Gain access to existing plug &amp; waste
Disconnect &amp; removal of existing PVC drainage
Disconnect &amp; removal of existing PVC fittings
Disconnect &amp; removal of existing locking nut for plug &amp; waste
Disconnect &amp; removal of existing plug &amp; waste
Disconnect &amp; removal of existing sealant
Disconnect &amp; removal of existing gaskets
Clean &amp; prepare sink area for new installation
Supply &amp; install new 40mm plug &amp; waste
Supply &amp; install new sealant
Seal new plug &amp; waste to sink
Supply &amp; install new gaskets
Secure new plug &amp; waste
Connect new plug &amp; waste to existing drainage
Test &amp; commission installation to ensure correct operation and no leaks
Removal of trade waste
PLEASE NOTE IF FURTHER WORK REQUIRED OTHER THEN QUOTED WORK FURTHER COST WILL APPLY</t>
        </r>
      </text>
    </comment>
    <comment ref="G214" authorId="0" shapeId="0" xr:uid="{0C25E1AF-7A5D-444F-A122-5D7956FA3A43}">
      <text>
        <r>
          <rPr>
            <sz val="11"/>
            <color theme="1"/>
            <rFont val="Aptos Narrow"/>
            <family val="2"/>
            <scheme val="minor"/>
          </rPr>
          <t xml:space="preserve">Unknown User:
MIXER TAP - STANDARD
Isolate main cold-water supply to property
Isolate main hot water supply to property
Disconnect &amp; removal of cold-water supply to existing mixer
Disconnect &amp; removal of hot water supply to existing mixer
Disconnect &amp; removal of existing locking nut
Disconnect &amp; removal of existing mixer
Clean &amp; prepare worked area
Supply &amp; install new mixer
Supply &amp; install new cold-water stainless-steel flexi hose
Supply &amp; install new hot water stainless steel flexi hose
Supply &amp; install new locking nut
Secure new mixer
Reconnect cold water supply to new mixer
Reconnect hot water supply to new mixer
Reinstate cold water supply to new mixer
Reinstate hot water supply to new mixer
Reinstate cold water supply to property
Reinstate hot water supply to property
Test &amp; commission installation
Removal of trade waste
PLEASE NOTE IF FURTHER WORK REQUIRED OTHER THEN QUOTED WORK
FURTHER COST WILL APPLY
</t>
        </r>
      </text>
    </comment>
    <comment ref="L214" authorId="0" shapeId="0" xr:uid="{104D23AD-E192-4E8D-8088-8CB98923E261}">
      <text>
        <r>
          <rPr>
            <sz val="11"/>
            <color theme="1"/>
            <rFont val="Aptos Narrow"/>
            <family val="2"/>
            <scheme val="minor"/>
          </rPr>
          <t>Unknown User:
After pics not uploaded</t>
        </r>
      </text>
    </comment>
    <comment ref="M214" authorId="0" shapeId="0" xr:uid="{A92D5D49-A353-4FEE-9942-D338F1067DC4}">
      <text>
        <r>
          <rPr>
            <sz val="11"/>
            <color theme="1"/>
            <rFont val="Aptos Narrow"/>
            <family val="2"/>
            <scheme val="minor"/>
          </rPr>
          <t>Unknown User:
Receipt of $141 not uploaded by Plumber now uploaded by Modoras team</t>
        </r>
      </text>
    </comment>
    <comment ref="P214" authorId="0" shapeId="0" xr:uid="{0AEA8D3E-B7DD-4162-B96F-55B2180F7DA9}">
      <text>
        <r>
          <rPr>
            <sz val="11"/>
            <color theme="1"/>
            <rFont val="Aptos Narrow"/>
            <family val="2"/>
            <scheme val="minor"/>
          </rPr>
          <t>Unknown User:
Quote not Emailed</t>
        </r>
      </text>
    </comment>
    <comment ref="G215" authorId="0" shapeId="0" xr:uid="{A9B78C67-DBD5-464F-9C88-23261C9205D2}">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216" authorId="0" shapeId="0" xr:uid="{E82B825C-441D-4267-889B-76ABDF83F65E}">
      <text>
        <r>
          <rPr>
            <sz val="11"/>
            <color theme="1"/>
            <rFont val="Aptos Narrow"/>
            <family val="2"/>
            <scheme val="minor"/>
          </rPr>
          <t>Unknown User:
FLIP MIXER
*Gain access to flip mixer
*isolated cold water service
*isolate hot water service ,
*remove locking nut
*remove socket
*disconnect flip mixer
* install locking nut
* install socket
* reinstate hot &amp; cold water service
*test an commission
Please note - no guarantee on works</t>
        </r>
      </text>
    </comment>
    <comment ref="L216" authorId="0" shapeId="0" xr:uid="{8A5ADFA7-291D-4A1F-B125-484762143DBE}">
      <text>
        <r>
          <rPr>
            <sz val="11"/>
            <color theme="1"/>
            <rFont val="Aptos Narrow"/>
            <family val="2"/>
            <scheme val="minor"/>
          </rPr>
          <t>Unknown User:
After pics not uploaded</t>
        </r>
      </text>
    </comment>
    <comment ref="G217" authorId="0" shapeId="0" xr:uid="{6509154E-A575-4927-95E5-AFB73D4C57DB}">
      <text>
        <r>
          <rPr>
            <sz val="11"/>
            <color theme="1"/>
            <rFont val="Aptos Narrow"/>
            <family val="2"/>
            <scheme val="minor"/>
          </rPr>
          <t xml:space="preserve">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
</t>
        </r>
      </text>
    </comment>
    <comment ref="G218" authorId="0" shapeId="0" xr:uid="{B9E6C205-46C3-4B41-BDB9-C602EF999E1C}">
      <text>
        <r>
          <rPr>
            <sz val="11"/>
            <color theme="1"/>
            <rFont val="Aptos Narrow"/>
            <family val="2"/>
            <scheme val="minor"/>
          </rPr>
          <t>Unknown User:
MIXER TAP - STANDARD
Isolate main cold-water supply to property
Isolate main hot water supply to property
Disconnect &amp; removal of cold-water supply to existing mixer
Disconnect &amp; removal of hot water supply to existing mixer
Disconnect &amp; removal of existing locking nut
Disconnect &amp; removal of existing mixer
Clean &amp; prepare worked area
Supply &amp; install new mixer
Supply &amp; install new cold-water stainless-steel flexi hose
Supply &amp; install new hot water stainless steel flexi hose
Supply &amp; install new locking nut
Secure new mixer
Reconnect cold water supply to new mixer
Reconnect hot water supply to new mixer
Reinstate cold water supply to new mixer
Reinstate hot water supply to new mixer
Reinstate cold water supply to property
Reinstate hot water supply to property
Test &amp; commission installation
Removal of trade waste
PLEASE NOTE IF FURTHER WORK REQUIRED OTHER THEN QUOTED WORK
FURTHER COST WILL APPLY</t>
        </r>
      </text>
    </comment>
    <comment ref="G219" authorId="0" shapeId="0" xr:uid="{495BDB42-A804-4FEC-8DD9-56573D5589C5}">
      <text>
        <r>
          <rPr>
            <sz val="11"/>
            <color theme="1"/>
            <rFont val="Aptos Narrow"/>
            <family val="2"/>
            <scheme val="minor"/>
          </rPr>
          <t>Unknown User:
HIGH POWERED JET BLAST &amp; CCTV CAMERA INSPECTION (GAIN ACCESS WITH
REMOVAL OF TOILET)
Isolate main water supply to toilet cistern
Disconnect &amp; removal of existing water supply to toilet cistern
Disconnect &amp; removal of existing toilet cistern
Disconnect &amp; removal of existing toilet pan
Disconnect &amp; removal of existing toilet pan collar
Gain access to sewer service
Set up high powered Jet blaster
Set up High powered mini-Reel
Set up specialist whip hose
Set up high powered Turbines
Set up specialist CCTV Camera
Set up Specialist locator
Gain access to sewer service
First attempt to clear blocked sewer service using high powered Jet blaster in
conjunction with specialist whip hose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existing toilet pan collar
Reinstate existing toilet pan
Reinstate existing toilet cistern
Reinstate toilet pan to floor
Reinstate water supply to toilet cistern
Reinstate water supply to toilet cistern
Clean worked area
Test &amp; commission installation
PLEASE NOTE IF BLOCKAGE DOES NOT CLEAR FURTHER COST WILL APPLY. THIS
IS A FIRST ATTEMPT.
PLEASE NOTE IF TOILET PAN BREAKS DURING THE REMOVAL OF TOILET SUITE
FURTHER COST WILL APPLY TO REPLACE</t>
        </r>
      </text>
    </comment>
    <comment ref="M219" authorId="0" shapeId="0" xr:uid="{51C8AB64-CA61-46D7-BC4F-C3F781CDE11B}">
      <text>
        <r>
          <rPr>
            <sz val="11"/>
            <color theme="1"/>
            <rFont val="Aptos Narrow"/>
            <family val="2"/>
            <scheme val="minor"/>
          </rPr>
          <t>Unknown User:
Receipt of $315 is not uploaded by plumber now uploaded by Modoras team</t>
        </r>
      </text>
    </comment>
    <comment ref="G220" authorId="0" shapeId="0" xr:uid="{3E521F41-D5F2-44CA-BA32-8050D2D0C03D}">
      <text>
        <r>
          <rPr>
            <sz val="11"/>
            <color theme="1"/>
            <rFont val="Aptos Narrow"/>
            <family val="2"/>
            <scheme val="minor"/>
          </rPr>
          <t>Unknown User:
SEARCH &amp; INVESTIGATION OF POTENTIAL GAS LEAK
Gain access to main cylinder
Isolate the main gas supply
Disconnect the existing main meter test point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
Call out fee applied</t>
        </r>
      </text>
    </comment>
    <comment ref="P220" authorId="0" shapeId="0" xr:uid="{52E37CB5-F58C-470E-898C-E2ABE457AA30}">
      <text>
        <r>
          <rPr>
            <sz val="11"/>
            <color theme="1"/>
            <rFont val="Aptos Narrow"/>
            <family val="2"/>
            <scheme val="minor"/>
          </rPr>
          <t>Unknown User:
Quote not Emailed</t>
        </r>
      </text>
    </comment>
    <comment ref="G221" authorId="0" shapeId="0" xr:uid="{582F757F-CCE8-405B-8E7C-CE12CB4F41CF}">
      <text>
        <r>
          <rPr>
            <sz val="11"/>
            <color theme="1"/>
            <rFont val="Aptos Narrow"/>
            <family val="2"/>
            <scheme val="minor"/>
          </rPr>
          <t xml:space="preserve">Unknown User:
SEARCH &amp; INVESTIGATION (MINOR) - POTENTIAL WATER LEAK FROM UNKOWN
LOCATION
Set up safe worked area
Isolate main water supply to property
Gain access to cold water supply
Gain access to hot water supply
Set up specialist pressure testing equipment
Conduct pressure test on cold water service
Conduct pressure test on hot water service
Conduct search &amp; investigation on property in attempt to locate leak
Cut &amp; removal of gyprock – If required
Provide additional quote for rectification work
Removal of any trade waste
Please note, if unable to find leak additional cost will apply for a specialist leak detection.
PLEASE NOTE IF FURTHER WORK REQUIRED OTHER THAN QUOTED WORK
FURTHER COST WILL APPLY.
</t>
        </r>
      </text>
    </comment>
    <comment ref="U221" authorId="0" shapeId="0" xr:uid="{37561428-D515-4723-8892-9CE4E2AEE3EA}">
      <text>
        <r>
          <rPr>
            <sz val="11"/>
            <color theme="1"/>
            <rFont val="Aptos Narrow"/>
            <family val="2"/>
            <scheme val="minor"/>
          </rPr>
          <t>Unknown User:
11/07 - As per Joshua's Note- ﻿Aftercare call to Greg 3/5 - Greg wasn't too happy by the end of our attendance - just wanted a quick fix for the leak to avoid further property damage. Wasnt interested in signing off on the job being fixed while we were onsite, just wanted to sort it out via insurance. Said he would've given us 4/5 before being sold on the larger job. Also mentioned they left promptly after the quote was declined and didn't clean up</t>
        </r>
      </text>
    </comment>
    <comment ref="G222" authorId="0" shapeId="0" xr:uid="{3C248820-C26B-4BE3-9C8E-3913850C961E}">
      <text>
        <r>
          <rPr>
            <sz val="11"/>
            <color theme="1"/>
            <rFont val="Aptos Narrow"/>
            <family val="2"/>
            <scheme val="minor"/>
          </rPr>
          <t>Unknown User:
SEARCH &amp; INVESTIGATION OF MACERATOR PUMP
Isolate main power supply to existing macerator pump
Isolate main inlet drainage supply to existing macerator pump
Isolate main outlet drainage supply to existing macerator pump
Disconnect existing power supply to macerator pump
Disconnect existing inlet drainage supply to macerator pump
Disconnect existing outlet drainage supply to macerator pump
Disconnect &amp; removal of existing macerator pump
Removal of access panel to existing macerator pump
Gain access to internal macerator pump components
Conduct clean out of existing macerator pump unit
Flush out macerator pump unit free from potential debris
Inspect macerator pump impeller
Inspect macerator pump float switch
Inspect macerator pump outlet for potential blockages
Inspect macerator pump inlet for potential blockage
Inspect macerator pump out unit
Advise of potential faults if found
Reinstall macerator pump access panel
Reinstall existing macerator pump
Reconnect macerator pump inlet service
Reconnect macerator pump outlet service
Reconnect power supply
Reinstate power supply
Test &amp; commission installation
Removal of trade waste
PLEASE NOTE IF FURTHER WORK REQUIRED OTHER THEN QUOTED WORK FURTHER COST WILL APPLY</t>
        </r>
      </text>
    </comment>
    <comment ref="Q222" authorId="0" shapeId="0" xr:uid="{1C301356-CE6D-43D6-8B36-F8B9C913FDE0}">
      <text>
        <r>
          <rPr>
            <sz val="11"/>
            <color theme="1"/>
            <rFont val="Aptos Narrow"/>
            <family val="2"/>
            <scheme val="minor"/>
          </rPr>
          <t>Unknown User:
Invoice combined and raised</t>
        </r>
      </text>
    </comment>
    <comment ref="G223" authorId="0" shapeId="0" xr:uid="{F6A9DCBE-343F-4188-9EBF-1160177A04C4}">
      <text>
        <r>
          <rPr>
            <sz val="11"/>
            <color theme="1"/>
            <rFont val="Aptos Narrow"/>
            <family val="2"/>
            <scheme val="minor"/>
          </rPr>
          <t>Unknown User:
SUPPLY &amp; INSTALLATION OF SQAURE  DOWNPIPE 
* Set up height equipment 
* Disconnect &amp; removal of downpipe wall fixings 
* Disconnect &amp; removal of downpipe drop fixings 
* Disconnect &amp; removal of downpipe from existing service outlet 
* Disconnect &amp; removal of downpipe from existing drop 
* Clean &amp; prepare existing downpipe drop 
* Clean &amp; prepare existing downpipe service outlet 
* Mark out for new wall fixings 
* Supply &amp; install new wall fixings 
* Supply &amp; install new wall brackets 
* Supply &amp; install new colour bond downpipe to existing downpipe dropper 
* Supply &amp; install new colour bond downpipe to existing service outlet  
* Supply &amp; install new sealants 
* Flush new downpipe 
* Test &amp; commission installation 
* Removal of height equipment 
* Removal of trade waste from site 
* PLEASE NOTE IF FURTHER WORK REQUIRED OTHER THEN QUOTED WORK FURTHER COST WILL APPLY
SUPPLY &amp; INSTALLATION OF SQAURE  DOWNPIPE 
* Set up height equipment 
* Disconnect &amp; removal of downpipe wall fixings 
* Disconnect &amp; removal of downpipe drop fixings 
* Disconnect &amp; removal of downpipe from existing service outlet 
* Disconnect &amp; removal of downpipe from existing drop 
* Clean &amp; prepare existing downpipe drop 
* Clean &amp; prepare existing downpipe service outlet 
* Mark out for new wall fixings 
* Supply &amp; install new wall fixings 
* Supply &amp; install new wall brackets 
* Supply &amp; install new colour bond downpipe to existing downpipe dropper 
* Supply &amp; install new colour bond downpipe to existing service outlet  
* Supply &amp; install new sealants 
* Flush new downpipe 
* Test &amp; commission installation 
* Removal of height equipment 
* Removal of trade waste from site 
* PLEASE NOTE IF FURTHER WORK REQUIRED OTHER THEN QUOTED WORK FURTHER COST WILL APPLY</t>
        </r>
      </text>
    </comment>
    <comment ref="M223" authorId="0" shapeId="0" xr:uid="{703602CC-BBC3-4EDC-B040-2B7FBFBEB146}">
      <text>
        <r>
          <rPr>
            <sz val="11"/>
            <color theme="1"/>
            <rFont val="Aptos Narrow"/>
            <family val="2"/>
            <scheme val="minor"/>
          </rPr>
          <t>Unknown User:
Receipt for $558.20 is not uploaded by plumber now uploaded By Modoras team</t>
        </r>
      </text>
    </comment>
    <comment ref="Q223" authorId="0" shapeId="0" xr:uid="{320B0CCD-FD19-4FD8-913A-59E27825D4F1}">
      <text>
        <r>
          <rPr>
            <sz val="11"/>
            <color theme="1"/>
            <rFont val="Aptos Narrow"/>
            <family val="2"/>
            <scheme val="minor"/>
          </rPr>
          <t>Unknown User:
Invoice combined and raised</t>
        </r>
      </text>
    </comment>
    <comment ref="G224" authorId="0" shapeId="0" xr:uid="{6ABA038E-624F-4D07-8DDC-C404301AA33E}">
      <text>
        <r>
          <rPr>
            <sz val="11"/>
            <color theme="1"/>
            <rFont val="Aptos Narrow"/>
            <family val="2"/>
            <scheme val="minor"/>
          </rPr>
          <t>Unknown User:
SUPPLY &amp; INSTALLATION OF NEW HEAT
PUMP DYER MACHINE OUTLET DRAIN HOSE
* Gain access to heat pump dyer
* Disconnect power supply to heat pump dryer
* Remove heat pump to arrange access
* Remove P.V.C trap
* Supply &amp; install drainage hose
* Supply &amp; install PVC fittings
* Supply &amp; install PVC trap
* Supply &amp; install clips
* Connect power supply
* Test &amp; Commission
* Removal of trade waste
PLEASE NOTE IF FURTHER WORK REQUIRED OTHER THEN QUOTED WORK
FURTHER COST WILL APPLY</t>
        </r>
      </text>
    </comment>
    <comment ref="G225" authorId="0" shapeId="0" xr:uid="{8E18272C-715E-4A50-AC9A-F86493D87B30}">
      <text>
        <r>
          <rPr>
            <sz val="11"/>
            <color theme="1"/>
            <rFont val="Aptos Narrow"/>
            <family val="2"/>
            <scheme val="minor"/>
          </rPr>
          <t xml:space="preserve">Unknown User:
DECOMMISSION OF EXISTING FREE STANDING OVEN AND GAS COOKTOP &amp; MAKE
SAFE
Gain access to main gas meter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Gain access to existing gas service connecting to free standing oven and gas cooktop
Disconnect existing gas service connected to free standing oven and gas cooktop
Disconnect existing brass fittings connected free standing oven and gas cooktop
Disconnect existing gas appliance regulator
Disconnect &amp; remove the existing free-standing oven and gas cooktop
Supply &amp; install new brass cap to existing gas connection point to free standing oven
and gas cooktop
Decommission existing gas free standing oven and gas cooktop
Make safe
Reinstate main gas supply to the property
Conduct a manometer test on the main gas service upon completion of the installation
to ensure there are no leaks
Test &amp; commission the installation
Removal of all trade waste
PLEASE NOTE IF FURTHER WORK REQUIRED OTHER THEN QUOTED WORK
FURTHER COST WILL APPLY
</t>
        </r>
      </text>
    </comment>
    <comment ref="G230" authorId="0" shapeId="0" xr:uid="{06A7E520-B969-416C-9597-02BBD6788DB8}">
      <text>
        <r>
          <rPr>
            <sz val="11"/>
            <color theme="1"/>
            <rFont val="Aptos Narrow"/>
            <family val="2"/>
            <scheme val="minor"/>
          </rPr>
          <t>Unknown User:
Isolate main water supply to property
Disconnect existing cold-water supply to basin mixer
Disconnect existing hot-water supply to basin mixer
Disconnect and remove existing locking nut
Disconnect and remove existing basin mixer
Clean and prepare work area for installation
Supply and install new cold-water emergency isolation valve
Supply and install new hot-water emergency isolation valve
Supply and install new basin mixer
Supply and install new cold-water stainless steel flexible hose
Supply and install new hot-water stainless steel flexible hose
Supply and install new locking nut
Secure new basin mixer in position
Connect cold-water supply to new emergency isolation valve
Connect hot-water supply to new emergency isolation valve
Reinstate main water supply to property
Test and commission installation
Removal of trade waste
PLEASE NOTE IF FURTHER WORK REQUIRED OTHER THEN QUOTED WORK
FURTHER COST WILL APPLY</t>
        </r>
      </text>
    </comment>
    <comment ref="P230" authorId="0" shapeId="0" xr:uid="{700F1E52-D563-4105-BD9E-0E8932CC1A06}">
      <text>
        <r>
          <rPr>
            <sz val="11"/>
            <color theme="1"/>
            <rFont val="Aptos Narrow"/>
            <family val="2"/>
            <scheme val="minor"/>
          </rPr>
          <t>Unknown User:
Quote not Emailed</t>
        </r>
      </text>
    </comment>
    <comment ref="G231" authorId="0" shapeId="0" xr:uid="{622F5D6B-F350-4037-985A-4D60C690D520}">
      <text>
        <r>
          <rPr>
            <sz val="11"/>
            <color theme="1"/>
            <rFont val="Aptos Narrow"/>
            <family val="2"/>
            <scheme val="minor"/>
          </rPr>
          <t xml:space="preserve">Unknown User:
INSTALLATION OF NEW WASHING MACHINE (CUSTOMER SUPPLIED) - REPLACE
EXISTING
Isolate main power supply to washing machine
Isolate cold water supply to washing machine
Isolate hot water supply to washing machine
Disconnect &amp; removal of existing power supply
Disconnect &amp; removal of existing cold-water supply to washing machine
Disconnect &amp; removal of existing hot water supply to washing machine
Disconnect &amp; removal of existing drainage supply to washing machine
Disconnect &amp; removal of existing washing machine
Clean &amp; prepare worked area
Prepare customer supplied washing machine for new installation
Install new customer supplied washing machine
Connect cold water inlet supply to washing machine
Connect hot water inlet supply to washing machine
Connect drainage outlet supply to washing machine
Connect drainage outlet supply to existing discharge point
Connect power supply to washing machine
Reinstate cold water supply
Reinstate hot water supply
Test &amp; commission installation
Removal of trade waste – Excludes removal of old appliance
PLEASE NOTE IF FURTHER WORK REQUIRED OTHER THEN QUOTED WORK
FURTHER COST WILL APPLY
</t>
        </r>
      </text>
    </comment>
    <comment ref="M231" authorId="0" shapeId="0" xr:uid="{F5CEECBD-BE4E-44A6-8FA3-721E7321E060}">
      <text>
        <r>
          <rPr>
            <sz val="11"/>
            <color theme="1"/>
            <rFont val="Aptos Narrow"/>
            <family val="2"/>
            <scheme val="minor"/>
          </rPr>
          <t>Unknown User:
Receipt of $90 not uploaded by Plumber now uploaded by Modaras team</t>
        </r>
      </text>
    </comment>
    <comment ref="G232" authorId="0" shapeId="0" xr:uid="{871AB3DF-4574-42B8-88F7-1842CC9095D3}">
      <text>
        <r>
          <rPr>
            <sz val="11"/>
            <color theme="1"/>
            <rFont val="Aptos Narrow"/>
            <family val="2"/>
            <scheme val="minor"/>
          </rPr>
          <t>Unknown User:
WATER SERVICE RECTIFICATION (EXPOSED)
Isolate water supply to property
Gain access to damaged water service
Cut &amp; removal of existing damaged water service
Clean existing water service
Prepare existing water service for new connections
Flush out water service free of potential debris
Supply &amp; install new section of new water service up to __M
Supply &amp; install new Press fittings
Connect new section of water service to existing water service
Use of specialist hydraulic crimping tool
Crimp new section of water service
Reinstate water supply
Conduct pressure test on water service to ensure no further leaks
Removal of trade waste
Test &amp; commission installation
PLEASE NOTE IF FURTHER WORK REQUIRED OTHER THEN QUOTED WORK
FURTHER COST WILL APPLY</t>
        </r>
      </text>
    </comment>
    <comment ref="G242" authorId="0" shapeId="0" xr:uid="{5DDEE79C-6CC7-4FC0-A1F8-D6034605E22F}">
      <text>
        <r>
          <rPr>
            <sz val="11"/>
            <color theme="1"/>
            <rFont val="Aptos Narrow"/>
            <family val="2"/>
            <scheme val="minor"/>
          </rPr>
          <t>Unknown User:
WATER SERVICE RECTIFICATION (IN GROUND)
Obtain service location diagram
Obtain dial before dig
Isolate water supply to property
Set up safe working area
Mark out ground area in required location
Dig &amp; excavate ground area
Expose existing section of water service
Cut &amp; removal of existing water service
Clean existing water service
Prepare existing water service for new connections
Flush out water service free of potential debris
Supply &amp; install new section of new water service up to 
Supply &amp; install isolation valve 
Supply &amp; install new Press fittings
Supply &amp; install valve box 
Connect new section of water service to existing water service
Use of specialist hydraulic crimping tool
Crimp new section of water service
Reinstate water supply
Conduct pressure test on water service to ensure no further leaks
Back fill worked area
Removal of trade waste
Test &amp; commission installation
PLEASE NOTE IF FURTHER WORK REQUIRED OTHER THEN QUOTED WORK FURTHER COST WILL APPLY</t>
        </r>
      </text>
    </comment>
    <comment ref="P242" authorId="0" shapeId="0" xr:uid="{93A24C8E-E631-48CD-A47C-CDA41296E2E5}">
      <text>
        <r>
          <rPr>
            <sz val="11"/>
            <color theme="1"/>
            <rFont val="Aptos Narrow"/>
            <family val="2"/>
            <scheme val="minor"/>
          </rPr>
          <t>Unknown User:
Quote not emailed</t>
        </r>
      </text>
    </comment>
    <comment ref="G246" authorId="0" shapeId="0" xr:uid="{92A90927-F3CD-4A9B-8E7C-9A333064B3E9}">
      <text>
        <r>
          <rPr>
            <sz val="11"/>
            <color theme="1"/>
            <rFont val="Aptos Narrow"/>
            <family val="2"/>
            <scheme val="minor"/>
          </rPr>
          <t xml:space="preserve">Unknown User:
DISCONNECT &amp; RECONNECT ELECTRIC STORAGE HWS
Isolate power supply to electric storage unit
Isolate water supply to property
Disconnect plumbing to existing electric storage unit
Disconnect electrical supply to electric hot water unit
Drain electric storage unit
Removal of existing section of cold-water service connecting to electric storage unit
Removal of existing section of hot water service connecting to electric storage unit
Removal of existing valves
Clean &amp; prepare existing connections
Supply new brass fittings to cold water service
Supply new brass fittings to hot water service
Cap off cold water service connecting to electric storage unit
Cap off hot water service connecting to electric storage unit
Decommission electric storage unit &amp; make safe
Reinstate main water supply to property
Install the customer-supplied hot water system
Supply and install a new duo valve
Supply and install a new pressure limiting valve
Supply and install a new tempering valve
Install a new pressure relief valve
Supply and install a new pressure relief valve drain in copper, ensuring compliance
with AS/3500
Supply and install new brass fittings
Supply and install new B-press fittings
Reconfigure the cold-water service to suit the new electric storage system
Reconfigure the hot water service to suit the new electric storage system
Supply and install a new section of the cold-water copper service
Supply and install a new section of the hot water copper service
Reconnect the cold-water service to the new electric hot water system
Reconnect the hot water service to the new electric hot water system
Reconnect the power supply to the new electric hot water system
Reinstate the main water supply to the property
Test and commission the installation
Remove trade waste
</t>
        </r>
      </text>
    </comment>
    <comment ref="P246" authorId="0" shapeId="0" xr:uid="{48F5EB7A-738D-48F3-B8DD-D8B2D3CAFF0F}">
      <text>
        <r>
          <rPr>
            <sz val="11"/>
            <color theme="1"/>
            <rFont val="Aptos Narrow"/>
            <family val="2"/>
            <scheme val="minor"/>
          </rPr>
          <t>Unknown User:
Quote not Emailed</t>
        </r>
      </text>
    </comment>
    <comment ref="G254" authorId="0" shapeId="0" xr:uid="{4B5E312E-BB36-489A-82B4-F8E4BE239216}">
      <text>
        <r>
          <rPr>
            <sz val="11"/>
            <color theme="1"/>
            <rFont val="Aptos Narrow"/>
            <family val="2"/>
            <scheme val="minor"/>
          </rPr>
          <t>Unknown User:
SEARCH &amp; INVESTIGATION OF POTENTIAL GAS LEAK
Gain access to main gas meter
Isolate the main gas supply to the property
Disconnect the existing main meter test point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t>
        </r>
      </text>
    </comment>
    <comment ref="P254" authorId="0" shapeId="0" xr:uid="{6E331E85-983D-4704-ADCE-A1917AB7CEA7}">
      <text>
        <r>
          <rPr>
            <sz val="11"/>
            <color theme="1"/>
            <rFont val="Aptos Narrow"/>
            <family val="2"/>
            <scheme val="minor"/>
          </rPr>
          <t>Unknown User:
Quote not Emailed</t>
        </r>
      </text>
    </comment>
    <comment ref="G256" authorId="0" shapeId="0" xr:uid="{F2BA235E-987B-49AD-BCA7-F808031CFF07}">
      <text>
        <r>
          <rPr>
            <sz val="11"/>
            <color theme="1"/>
            <rFont val="Aptos Narrow"/>
            <family val="2"/>
            <scheme val="minor"/>
          </rPr>
          <t>Unknown User:
INSTALLATION OF CUSTOMER SUPPLIED FRIDGE WITHIN 2.5M OF COLD WATER SUPPLY
Isolate main water supply to property
Gain access to cold water supply
Expose main cold-water supply within 2.5M of fridge installation
Cut &amp; removal of existing section of cold-water supply
Supply &amp; install new brass fittings
Supply &amp; install new B-press fittings
Supply &amp; install new brass tee
Supply &amp; install new cold-water supply for fridge up to 2.5M to new desired location
Supply &amp; install new No.19
Supply &amp; install new cold water emergency isolation valve
Secure new isolation valve in new desired location
Secure new section of cold-water supply
Prepare new customer supplied fridge for new installation
Install new customer supplied fridge
Connect cold water supply to fridge
Connect power to existing power supply outlet
Test &amp; commission installation
Removal of trade waste – Excludes appliance
PLEASE NOTE IF FURTHER WORK REQUIRED OTHER THEN QUOTED WORK FURTHER COST WILL APPLY</t>
        </r>
      </text>
    </comment>
    <comment ref="P256" authorId="0" shapeId="0" xr:uid="{850F069B-1CE2-4C4C-B7F6-531523EBCE02}">
      <text>
        <r>
          <rPr>
            <sz val="11"/>
            <color theme="1"/>
            <rFont val="Aptos Narrow"/>
            <family val="2"/>
            <scheme val="minor"/>
          </rPr>
          <t>Unknown User:
Quote not emailed</t>
        </r>
      </text>
    </comment>
    <comment ref="U256" authorId="0" shapeId="0" xr:uid="{76A30244-1A29-43DF-8873-5D84C1622E29}">
      <text>
        <r>
          <rPr>
            <sz val="11"/>
            <color theme="1"/>
            <rFont val="Aptos Narrow"/>
            <family val="2"/>
            <scheme val="minor"/>
          </rPr>
          <t>Unknown User:
1 July-As per Ben Taylor's note "Job is approved. Client has just ordered her fridge. She will give me a call or the office to schedule a date next week when fridge arrives."</t>
        </r>
      </text>
    </comment>
    <comment ref="G257" authorId="0" shapeId="0" xr:uid="{D6A30774-8000-4E57-A260-51F699AFD9AC}">
      <text>
        <r>
          <rPr>
            <sz val="11"/>
            <color theme="1"/>
            <rFont val="Aptos Narrow"/>
            <family val="2"/>
            <scheme val="minor"/>
          </rPr>
          <t>Unknown User:
SEWER SPOT DIG UP TO 1.5M (UNDER CONCRETE)
Obtain sewer diagram
Obtain dial Before dig
Obtain service location diagram
Set up safe work area
Set up builders plastic
Set up barricades for safety
Concrete cut ground area
Jack hammer ground area
Removal of concrete in required location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t>
        </r>
      </text>
    </comment>
    <comment ref="P257" authorId="0" shapeId="0" xr:uid="{ACF26F02-FDA6-4D6E-AFDA-F68F14839A67}">
      <text>
        <r>
          <rPr>
            <sz val="11"/>
            <color theme="1"/>
            <rFont val="Aptos Narrow"/>
            <family val="2"/>
            <scheme val="minor"/>
          </rPr>
          <t>Unknown User:
Quote not emailed</t>
        </r>
      </text>
    </comment>
    <comment ref="G265" authorId="0" shapeId="0" xr:uid="{946F2185-7656-4178-BA17-EC9BB69157DF}">
      <text>
        <r>
          <rPr>
            <sz val="11"/>
            <color theme="1"/>
            <rFont val="Aptos Narrow"/>
            <family val="2"/>
            <scheme val="minor"/>
          </rPr>
          <t>Unknown User:
SEWER SPOT DIG UP TO ____M - IN GROUND
Obtain sewer diagram
Obtain dial Before dig
Obtain service location diagram
Set up safe work area
Set up builders plastic
Set up barricades for safety
Jack hammer ground area
Removal of concrete in required location
Dig &amp; Excavate Ground Area Up to ___M
Expose existing section of sewer service up to ___M
Expose existing sewer junctions (If Required)
Cut &amp; remove existing section of sewer service up to ___M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___M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Wash down worked area
Test &amp; commission installation
Remove trade waste
PLEASE NOTE IF FURTHER WORK REQUIRED OTHER THEN QUOTED WORK FURTHER COST WILL APPLY</t>
        </r>
      </text>
    </comment>
    <comment ref="G266" authorId="0" shapeId="0" xr:uid="{69DCAA68-201F-456E-92AE-D7FD45D62592}">
      <text>
        <r>
          <rPr>
            <sz val="11"/>
            <color theme="1"/>
            <rFont val="Aptos Narrow"/>
            <family val="2"/>
            <scheme val="minor"/>
          </rPr>
          <t>Unknown User:
WATER SERVICE RECTIFICATION (IN GROUND)
Obtain service location diagram
Obtain dial before dig
Isolate water supply to property
Set up safe working area
Mark out ground area in required location
Dig &amp; excavate ground area
Expose existing section of damaged fire water service
Cut &amp; removal of existing damaged fire water service
Clean existing fire water service
Prepare existing fire water service for new connections
Flush out water service free of potential debris
Supply &amp; install new section of new water service up to 
Supply &amp; install new Press fittings
Connect new section of water service to existing water service
Use of specialist hydraulic crimping tool
Crimp new section of water service
Reinstate water supply
Conduct pressure test on water service to ensure no further leaks
Back fill worked area
Removal of trade waste
Test &amp; commission installation
PLEASE NOTE IF FURTHER WORK REQUIRED OTHER THEN QUOTED WORK FURTHER COST WILL APPLY</t>
        </r>
      </text>
    </comment>
    <comment ref="G268" authorId="0" shapeId="0" xr:uid="{8461498E-6060-4369-95BA-4AF4702ABBA0}">
      <text>
        <r>
          <rPr>
            <sz val="11"/>
            <color theme="1"/>
            <rFont val="Aptos Narrow"/>
            <family val="2"/>
            <scheme val="minor"/>
          </rPr>
          <t>Unknown User:
SEARCH AND INVESTIGATION OF SOLAR SPLIT HOT WATER SYSTEM
Set up safe worked area
Gain access to solar hot water system
Gain access to solar panels
Gain access to main electrical supply
Check power supply at mains
Disconnect and remove hot water system electrical cover
Check power supply to solar hot water hot water unit
Check power supply to thermostat
Check power supply to element
Check water supply to isolation valve
Check hot water system for tempering valve
Check water supply pressure to property
Check hot water system flow rate
Check electrical cable connections on hot water unit
Visually inspect electrical cable for ruptures where able
Check relief valve operation and integrity
Check discharge from outlet of hot water system for any signs of rust and corrosion in hot water supply
Determine cause and include any repair to a loose pipe or loose wire connection
PLEASE NOTE IF FURTHER WORK IS REQUIRED ADDITIONAL COSTS WILL APPLY
Please note:
- We aim to detect all faults, however due to the differing nature of faults, we may only be able to find the primary fault. Secondary and other faults may only become apparent when the primary fault has been repaired.
- If a fault is found, then other exploratory methods will not be conducted if not required.
- Once fault is found further cost will apply to repair.</t>
        </r>
      </text>
    </comment>
    <comment ref="G269" authorId="0" shapeId="0" xr:uid="{3C2266DF-B914-4BDF-881D-83A58AF360DA}">
      <text>
        <r>
          <rPr>
            <sz val="11"/>
            <color theme="1"/>
            <rFont val="Aptos Narrow"/>
            <family val="2"/>
            <scheme val="minor"/>
          </rPr>
          <t>Unknown User:
SEWER SPOT DIG UP TO 1.5M (UNDER CONCRETE)
Obtain sewer diagram
Obtain dial Before dig
Obtain service location diagram
Set up safe work area
Set up builders plastic
Set up barricades for safety
Concrete cut ground area
Jack hammer ground area
Removal of concrete in required location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t>
        </r>
      </text>
    </comment>
    <comment ref="G270" authorId="0" shapeId="0" xr:uid="{39D52531-6B56-421F-92E7-2AFE7C4EEA06}">
      <text>
        <r>
          <rPr>
            <sz val="11"/>
            <color theme="1"/>
            <rFont val="Aptos Narrow"/>
            <family val="2"/>
            <scheme val="minor"/>
          </rPr>
          <t>Unknown User:
REMOVE AND RELOCATE GAS METER - 20MM PIPE - UP TO 3 METRES
Gain access to main gas meter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Disconnect &amp; remove existing gas meter regulator unions
Disconnect &amp; remove existing gas meter unions
Disconnect &amp; remove existing gaskets
Disconnect &amp; remove existing main gas meter regulator
Disconnect &amp; remove exsitting main gas meter
Disconnect &amp; remove existing bracket anchors
Disconnect &amp; remove existing bracket
Cut &amp; remove existing gas service within property for new installation
Set up new installation in preparation for jemena
Supply &amp; install new gas service adapters
Supply &amp; install new copper gas service (up to 3M)
Supply &amp; install new gas press fittings
Supply &amp; install new brass fittings
Supply &amp; install new bracket anchors in new location
Supply &amp; install new gas meter support bracket
Supply &amp; install new gaskets
Reinstate main gas meter regulator
Reinstate main gas meter
Connect new gas service installation to new meter location
Reinstate gas service provided by jemena
Purge gas service
Conduct a manometer test on the main gas service upon completion of the installation to ensure there are no leaks
Test &amp; commission the installation
Removal of all trade waste
PLEASE NOTE IF FURTHER WORK REQUIRED OTHER THEN QUOTED WORK FURTHER COST WILL APPLY</t>
        </r>
      </text>
    </comment>
    <comment ref="G272" authorId="0" shapeId="0" xr:uid="{64156D0D-DCE6-4EDA-A6FA-D4B665C98543}">
      <text>
        <r>
          <rPr>
            <sz val="11"/>
            <color theme="1"/>
            <rFont val="Aptos Narrow"/>
            <family val="2"/>
            <scheme val="minor"/>
          </rPr>
          <t>Unknown User:
 SECTIONAL SEWER STACK REPLACEMENT 
* Gain access to worked area
Isolate water supply 
* Set up ladders and drop sheets 
* Mark and plan penetrations 
* Cut and remove section of gyprock 
* Cut and remove section acoustic pipe lagging 
* Cut and remove existing fixings 
* Cut and remove existing saddles 
*Cut and remove section of 100mm sewer service 
* Clean and prepare sewer service for new connections 
* Supply and install new section of 100mm sewer service 
* Supply and install new pvc fittings
* Supply and install new inspection openings 
* Supply and install new saddles 
* Supply and install new fixings 
* Supply and install new acoustic pipe lagging 
* Supply and install new pvc pipe sealant 
* Secure pipework 
* Test and com installation 
* Removal of trade waste 
 PLEASE NOTE IF FURTHER WORKS ARE REQUIRED ADDITIONAL COSTS WILL APPLY. 
No restoration of plaster or paint</t>
        </r>
      </text>
    </comment>
    <comment ref="G274" authorId="0" shapeId="0" xr:uid="{A2782EEE-80F9-414F-B564-BC7D9ED91A52}">
      <text>
        <r>
          <rPr>
            <sz val="11"/>
            <color theme="1"/>
            <rFont val="Aptos Narrow"/>
            <family val="2"/>
            <scheme val="minor"/>
          </rPr>
          <t>Unknown User:
CUSTOMER SUPPLY &amp; INSTALLATION OF NEW LPG SERVICE
Obtain service location diagram
Obtain dial before dig
Set up safe work area
Mark out new location for new LPG gas service &amp; Regulator
Supply &amp; install new wall mounted LPG Regulator mounting bracket
 Customer supplied &amp; install new LPG gas regulator in new desired location
Secure new LPG gas regulator to wall in new desired location
Prepare ground area for new prefabricated concrete slab
Supply &amp; install new prefabricated concrete slab in new location for LPG gas bottles
Supply &amp; install new chain in new location for LPG gas bottles
Prepare property for installation of new LPG gas service in copper up to 3M
Supply &amp; install new LPG gas service connecting to gas hot water system - (If Applicable)
Supply &amp; install new brass fittings
Supply &amp; install new B-press fittings
Supply &amp; install new emergency isolation valves (If Applicable)
Supply &amp; install new brackets, clips &amp; supports
Supply &amp; install new flexible copper connections for LPG gas bottles
Connect new LPG gas service to main LPG gas regulator
Connect new LPG copper flexible connections to (customer supplied LPG bottles)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Removal of trade waste
Test &amp; commission installation
Provide new compliance plate
Provide new certificate of compliance
PLEASE NOTE IF FURTHER WORK REQUIRED OTHER THEN QUOTED WORK FURTHER COST WILL APPLY</t>
        </r>
      </text>
    </comment>
    <comment ref="G275" authorId="0" shapeId="0" xr:uid="{7316FF74-CC78-495F-A628-C2FC3B5B324B}">
      <text>
        <r>
          <rPr>
            <sz val="11"/>
            <color theme="1"/>
            <rFont val="Aptos Narrow"/>
            <family val="2"/>
            <scheme val="minor"/>
          </rPr>
          <t>Unknown User:
SUPPLY &amp; INSTALLATION OF ELECTRIC INSTANTANEOUS HOT WATER SYSTEM (SINGLE PHASE)
Isolate main water supply to property
Isolate main electrical supply to property
Disconnect electrical supply instant hot water system
Disconnect existing cold-water supply
Disconnect existing hot-water supply
Disconnect &amp; removal of existing single phase instant hot water system
Disconnect &amp; removal of existing brass fittings
Disconnect &amp; removal of existing valves
Clean &amp; prepare worked area
Supply &amp; install new Single Phase instant hot water system
Supply &amp; install new brass fittings
Supply &amp; install new section of cold-water supply
Supply &amp; install new section of hot water supply
Supply &amp; install new valve kit
Connect cold water supply to new instant hot water system
Connect hot water supply to new instant hot water system
Connect power supply to new instant hot water system
Reinstate main water supply
Reinstate main power supply
Test &amp; commission installation
Removal of trade waste
PLEASE NOTE IF FURTHER WORK REQUIRED OUTSIDE OF QUOTED WORKS ADDITIONAL COSTS WILL APPLY</t>
        </r>
      </text>
    </comment>
    <comment ref="G276" authorId="0" shapeId="0" xr:uid="{4CDC3EED-F5B3-4D75-B131-9F2310FD70B1}">
      <text>
        <r>
          <rPr>
            <sz val="11"/>
            <color theme="1"/>
            <rFont val="Aptos Narrow"/>
            <family val="2"/>
            <scheme val="minor"/>
          </rPr>
          <t>Unknown User:
FLOOD, DYE, PRESSURE TEST 
* Gain access to balcony  
* Set up specialist pressure testing equipment 
*Conduct flood test on floors 
*Conduct specialist dye test 
*Test water proofing integrity  
*Visually inspect drainage for potential faults or defects 
* Conduct dye test on drainage 
* Test drainage for potential faults or leaks
 * Conduct search &amp; investigation on wet area 
* Locate &amp; identify potential faults 
* Provide additional quote for rectification work 
 *Please note if a specialist leak detection is required further cost will apply*
 PLEASE NOTE IF FURTHER WORK REQUIRED OTHER THEN QUOTED WORK FURTHER COST WILL APPLY</t>
        </r>
      </text>
    </comment>
    <comment ref="G277" authorId="0" shapeId="0" xr:uid="{D3923913-1F66-4E65-9DAD-AFC670D0FCB5}">
      <text>
        <r>
          <rPr>
            <sz val="11"/>
            <color theme="1"/>
            <rFont val="Aptos Narrow"/>
            <family val="2"/>
            <scheme val="minor"/>
          </rPr>
          <t>Unknown User:
SUPPLY &amp; INSTALLATION OF DOWNPIPE 
*Set up height equipment 
*Disconnect &amp; removal of downpipe wall fixings 
*Disconnect &amp; removal of downpipe drop fixings 
*Disconnect &amp; removal of downpipe from existing service outlet 
*Disconnect &amp; removal of downpipe from existing drop
Clean &amp; prepare existing downpipe drop 
*Clean &amp; prepare existing downpipe service outlet 
*Mark out for new wall fixings 
*Supply &amp; install new wall fixings 
*Supply &amp; install now downpipe dropper
*Supply &amp; install new wall brackets 
*Supply &amp; install new colourbond offset downpipe to new downpipe dropper
*Supply &amp; install new colourbond offset downpipe to existing service outlet 
*Supply &amp; install new sealants to downpipe
*Cut and remove damaged section of fascia 
*Prepare surface for new section of fascia installation
*Supply and install new section of fascia
*Install new sealants to new section of fascia
*Test &amp; commission installation 
*Removal of height equipment 
*Removal of trade waste from site 
 PLEASE NOTE IF FURTHER WORK REQUIRED OTHER THEN QUOTED WORK FURTHER COST WILL APPLY</t>
        </r>
      </text>
    </comment>
    <comment ref="G278" authorId="0" shapeId="0" xr:uid="{7DB9BF43-BE76-45D0-98AF-A3E39C217D08}">
      <text>
        <r>
          <rPr>
            <sz val="11"/>
            <color theme="1"/>
            <rFont val="Aptos Narrow"/>
            <family val="2"/>
            <scheme val="minor"/>
          </rPr>
          <t>Unknown User:
COMPLETE SERVICE OF TOILET CISTERN
Isolate main water supply to property
Disconnect cold-water supply to existing toilet cistern
Removal of existing cold-water supply to toilet cistern
Disconnect &amp; removal of existing emergency isolation valve
Gain access to toilet cistern
Disconnect existing toilet cistern inlet valve
Removal of existing toilet cistern inlet valve
Disconnect existing toilet cistern outlet valve
Removal of existing toilet cistern outlet valve
Disconnect &amp; removal of existing toilet cistern outlet valve drop washer
Clean existing toilet cistern outlet valve housing
Flush out toilet cistern free from all debris
Supply &amp; install new outlet valve drop washer
Reinstall existing toilet cistern outlet valve
Supply &amp; install new toilet cistern inlet valve
Secure new inlet valve to existing toilet cistern
Supply &amp; install new emergency isolation valve
Supply &amp; install new cold-water stainless-steel flexi hose
Reinstate main water supply to toilet cistern
Adjust inlet valve &amp; outlet valve to ensure optimal flush
Test &amp; commission installation
Removal of trade waste
PLEASE NOTE IF FURTHER WORK REQUIRED OUTSIDE OF QUOTED WORKS ADDITIONAL COSTS WILL APPLY</t>
        </r>
      </text>
    </comment>
    <comment ref="G279" authorId="0" shapeId="0" xr:uid="{F672F42D-8057-4C7C-862F-6473A435EC2A}">
      <text>
        <r>
          <rPr>
            <sz val="11"/>
            <color theme="1"/>
            <rFont val="Aptos Narrow"/>
            <family val="2"/>
            <scheme val="minor"/>
          </rPr>
          <t>Unknown User:
REPLACEMENT OF IN WALL MIXER
Isolate main water supply to property
Set up safe work area
Disconnect and remove existing mixer handle
Disconnect and remove existing mixer cover plate
Diamond cut tiles – In required location
Remove required section of wall tiles
Gain access to wall cavity
Expose existing cold-water service
Expose existing hot-water service
Expose existing mixer outlet
Expose existing in-wall mixer assembly
Cut and remove section of cold-water service
Cut and remove section of hot-water service
Cut and remove section of mixer outlet
Cut and remove existing in-wall mixer
Clean and prepare work area for new installation
Supply and install new in-wall mixer
Supply and install new section of cold-water service
Supply and install new section of hot-water service
Supply and install new section of copper service for mixer outlet
Supply and install new hydraulic press fittings
Supply and install new brass fittings
Secure new in wall mixer assembly
Secure cold-water service connection to new mixer
Secure hot-water service connection to new mixer
Secure mixer outlet connection to new mixer
Crimp new sections of water service using specialist hydraulic crimping tool
Reinstate main water supply to property
Conduct pressure test on all connections to ensure no leaks
Prepare work area for restoration
Re-sheet section of wall
Re-seal section of wall – In worked area
Re-tile section of wall - (please note client to provide tiles 
Re-grout re-tiled section of wall.
Supply and install new mixer cover plate
Supply and install new mixer handle
Test and commission installation to ensure correct operation
Restoration of worked area
Removal of all trade waste from site
PLEASE NOTE IF FURTHER WORK REQUIRED OTHER THEN QUOTED WORK FURTHER COST WILL APPLY</t>
        </r>
      </text>
    </comment>
    <comment ref="G280" authorId="0" shapeId="0" xr:uid="{C11496D4-249C-4169-8953-E16084FDAE75}">
      <text>
        <r>
          <rPr>
            <sz val="11"/>
            <color theme="1"/>
            <rFont val="Aptos Narrow"/>
            <family val="2"/>
            <scheme val="minor"/>
          </rPr>
          <t>Unknown User:
SEARCH &amp; INVESTIGATION OF DOUBLE STOREY ROOF OF POTENTIAL LEAK
Set up ladders
Set up working-at-height equipment
Gain safe access to the roof
Visually inspect the roof above the areas of damage
Check the condition of roof sheets or tiles
Remove roof sheets or tiles in the required location (if required)
Visually inspect underneath roof sheets or tiles for any water damage to timbers or plaster (if required)
Inspect the condition of roof penetration flashings
Inspect the condition of skylight flashing
Inspect the condition and installation of guttering
Inspect the condition of roof flashings
Inspect the condition of box gutter joins
Inspect the condition of box gutter overflows
Inspect the condition of sumps
Inspect for sufficient overflow to the roof guttering
Flood test potential defected areas on the roof
Locate water ingress from below and identify the cause of water ingress
Carry out any minor repairs (e.g., deteriorated sealant or loose roofing screws)
Reinstate roof sheets or tiles in worked area (only)
Test and commission work completed
Remove all trade waste
PLEASE NOTE IF FURTHER WORK REQUIRED OTHER THEN QUOTED WORK FURTHER COST WILL APPLY</t>
        </r>
      </text>
    </comment>
    <comment ref="G281" authorId="0" shapeId="0" xr:uid="{1CF4063B-FB22-4145-92D7-75876C33AAAB}">
      <text>
        <r>
          <rPr>
            <sz val="11"/>
            <color theme="1"/>
            <rFont val="Aptos Narrow"/>
            <family val="2"/>
            <scheme val="minor"/>
          </rPr>
          <t>Unknown User:
RELOCATION OF EXISTING 20MM WATER METER UP TO 1.5M FROM EXISTING LOCATION
Obtain service location diagram
Obtain dial before dig
Set up safe working area
Dig &amp; excavate ground area up to 1.5M
Expose main water service inlet connecting to main water meter
Expose main water service outlet connecting to property up to 1.5M
Disconnect main meter unions
Disconnect &amp; removal of main water meter
Disconnect &amp; removal of existing main water meter unions
Disconnect &amp; removal of existing brass fittings
Disconnect &amp; removal of main water meter isolation valve
Cut &amp; removal of existing section of main water service inlet under live pressure
Cut &amp; removal of existing section of main water service outlet
Clean existing water service live under pressure
Prepare main water service inlet for new live connection
Prepare main water service outlet for new connection
Supply &amp; install new main meter emergency isolation valve
Supply &amp; install section of new copper water service to main water meter inlet UP TO 1.5M - RELOCATION
Supply &amp; install section of new copper water service to main meter outlet
Supply &amp; install new brass fittings
Supply &amp; install new B-press fittings
Supply &amp; install new main meter emergency isolation valve
Supply &amp; install new main meter union kit
Supply &amp; install new main meter gasket kit
Reinstall main water meter in new location
Use of specialist crimping tool
Crimp new water service
Reinstate water supply to property
Conduct pressure test on service to ensure no further leaks
Test &amp; commission installation
Back fill worked area
Removal of trade waste
PLEASE NOTE IF FURTHER WORK REQUIRED OTHER THAN QUOTED WORKS ADDITIONAL COSTS WILL APPLY</t>
        </r>
      </text>
    </comment>
    <comment ref="G282" authorId="0" shapeId="0" xr:uid="{AB6B7955-9593-45A9-8D7F-C5DA7BE63ED6}">
      <text>
        <r>
          <rPr>
            <sz val="11"/>
            <color theme="1"/>
            <rFont val="Aptos Narrow"/>
            <family val="2"/>
            <scheme val="minor"/>
          </rPr>
          <t>Unknown User:
SEARCH AND INVESTIGATION OF GAS INSTANTANEOUS HOT WATER SYSTEM
Gain access to gas instantaneous hot water system
Gain access to main gas isolation valve to property
Removal of main test point at main meter
Test main gas supply with specialist manometer device
Reinstall main test point at main meter
Gain access to instantaneous hot water system test point
Removal of test point on existing instantaneous hot water system
Conduct gas supply with specialist manometer device at instantaneous hot water system
Reinstall test point to gas instantaneous hot water system
Visually inspect gas supply and fittings to hot water system
Conduct soapy spray test on fittings and pipework (IF REQUIRED)
Check gas supply pressure to hot water system and control unit
Check integrity of gas isolation valve at hot water system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repair.</t>
        </r>
      </text>
    </comment>
    <comment ref="G283" authorId="0" shapeId="0" xr:uid="{F11647AE-FA3A-4925-95F1-D9764B8C41C1}">
      <text>
        <r>
          <rPr>
            <sz val="11"/>
            <color theme="1"/>
            <rFont val="Aptos Narrow"/>
            <family val="2"/>
            <scheme val="minor"/>
          </rPr>
          <t xml:space="preserve">Unknown User:
SUPPLY &amp; INSTALLATION OF NEW LPG SERVICE 
</t>
        </r>
      </text>
    </comment>
    <comment ref="G288" authorId="0" shapeId="0" xr:uid="{604AFD3F-92C3-416B-9D50-DC3496A059C8}">
      <text>
        <r>
          <rPr>
            <sz val="11"/>
            <color theme="1"/>
            <rFont val="Aptos Narrow"/>
            <family val="2"/>
            <scheme val="minor"/>
          </rPr>
          <t>Unknown User:
SUPPLY AND INSTALLATION OF TRAP TO VANITY OR PEDESTAL BASIN - WHITE PVC
Gain access to existing basin drainage
Disconnect &amp; removal of existing basin trap locking nuts
Disconnect &amp; removal of existing basin trap outlet fittings
Disconnect &amp; removal of existing basin trap gaskets
Disconnect &amp; removal of existing PVC drainage fittings if required
Clean &amp; prepare drainage outlet and basin waste for new installation
Supply &amp; install new white PVC basin trap
Supply &amp; install new PVC drainage fittings if required
Supply &amp; install new sealing gaskets
Connect new white PVC basin trap to existing basin waste
Connect new white PVC basin trap to existing drainage
Test &amp; commission installation to ensure correct operation and no leaks
Removal of trade waste
PLEASE NOTE IF FURTHER WORK REQUIRED OTHER THEN QUOTED WORK FURTHER COST WILL APPLY</t>
        </r>
      </text>
    </comment>
    <comment ref="G289" authorId="0" shapeId="0" xr:uid="{2FD9EA36-C108-4B8F-9055-6EF73782E4BA}">
      <text>
        <r>
          <rPr>
            <sz val="11"/>
            <color theme="1"/>
            <rFont val="Aptos Narrow"/>
            <family val="2"/>
            <scheme val="minor"/>
          </rPr>
          <t>Unknown User:
SUPPLY &amp; INSTALLATION OF NEW WASHING MACHINE OUTLET DRAIN HOSE
Isolate main cold-water supply to washing machine
Isolate main hot water supply to washing machine
Disconnect &amp; removal of existing cold-water supply to washing machine
Disconnect &amp; removal of existing hot water supply to washing machine
Disconnect &amp; removal of existing washing machine outlet drain hose
Supply &amp; install new washing machine outlet drain hose
Connect new washing machine outlet drain hose to existing discharge point
Reconnect cold water supply to washing machine
Reconnect hot water supply to washing machine
Reinstate cold water supply to washing
Reinstate hot water supply to washing
Test &amp; commission installation
Removal of trade waste
PLEASE NOTE IF FURTHER WORK REQUIRED OTHER THEN QUOTED WORK FURTHER COST WILL APPLY</t>
        </r>
      </text>
    </comment>
    <comment ref="E310" authorId="9" shapeId="0" xr:uid="{9A4FBAF4-EA00-45E1-99A6-9DED79EE2887}">
      <text>
        <t>[Threaded comment]
Your version of Excel allows you to read this threaded comment; however, any edits to it will get removed if the file is opened in a newer version of Excel. Learn more: https://go.microsoft.com/fwlink/?linkid=870924
Comment:
    Stock</t>
      </text>
    </comment>
    <comment ref="E311" authorId="10" shapeId="0" xr:uid="{CE2AA2F6-0D50-43D1-BD4E-F25CB1F3A694}">
      <text>
        <t>[Threaded comment]
Your version of Excel allows you to read this threaded comment; however, any edits to it will get removed if the file is opened in a newer version of Excel. Learn more: https://go.microsoft.com/fwlink/?linkid=870924
Comment:
    Stock</t>
      </text>
    </comment>
    <comment ref="E312" authorId="11" shapeId="0" xr:uid="{2FE613BB-6D85-4155-A4D0-E796B9948C90}">
      <text>
        <t>[Threaded comment]
Your version of Excel allows you to read this threaded comment; however, any edits to it will get removed if the file is opened in a newer version of Excel. Learn more: https://go.microsoft.com/fwlink/?linkid=870924
Comment:
    Checked</t>
      </text>
    </comment>
    <comment ref="G321" authorId="0" shapeId="0" xr:uid="{5CC6DEA0-F31E-478C-A297-210381ECC467}">
      <text>
        <r>
          <rPr>
            <sz val="11"/>
            <color theme="1"/>
            <rFont val="Aptos Narrow"/>
            <family val="2"/>
            <scheme val="minor"/>
          </rPr>
          <t>Unknown User:
SEARCH AND INVESTIGATION OF GAS INSTANTANEOUS HOT WATER SYSTEM
Gain access to gas instantaneous hot water system
Gain access to main gas isolation valve to property
Removal of main test point at main meter
Test main gas supply with specialist manometer device
Reinstall main test point at main meter
Gain access to instantaneous hot water system test point
Removal of test point on existing instantaneous hot water system
Conduct gas supply with specialist manometer device at instantaneous hot water system
Reinstall test point to gas instantaneous hot water system
Visually inspect gas supply and fittings to hot water system
Conduct soapy spray test on fittings and pipework (IF REQUIRED)
Check gas supply pressure to hot water system and control unit
Check integrity of gas isolation valve at hot water system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repair.</t>
        </r>
      </text>
    </comment>
    <comment ref="G322" authorId="0" shapeId="0" xr:uid="{DDDB057E-3536-438B-A40E-2DA31CCB1DB1}">
      <text>
        <r>
          <rPr>
            <sz val="11"/>
            <color theme="1"/>
            <rFont val="Aptos Narrow"/>
            <family val="2"/>
            <scheme val="minor"/>
          </rPr>
          <t>Unknown User:
RECTIFICATION OF WATER METER (IN GROUND)
Obtain service location diagram
Obtain dial before dig
Set up safe working area
Dig &amp; excavate ground area
Expose main water service inlet connecting to main water meter
Expose main water service outlet connecting to property
Disconnect main meter unions
Disconnect &amp; removal of main water meter
Disconnect &amp; removal of existing main water meter unions
Disconnect &amp; removal of existing brass fittings
Disconnect &amp; removal of main water meter isolation valve
Cut &amp; removal of existing section of main water service outlet
Clean existing water service 
Prepare main water service inlet 
Prepare main water service outlet for new connection
Supply &amp; install section of new copper water service to main water meter inlet
Supply &amp; install section of new copper water service to main meter outlet
Supply &amp; install new brass fittings
Supply &amp; install new B-press fittings
Supply &amp; install new main meter union kit
Supply &amp; install new main meter gasket kit
Supply &amp; install PLV 
Reinstall main water meter
Use of specialist crimping tool
Crimp new water service
Reinstate water supply to property
Conduct pressure test on service to ensure no further leaks
Test &amp; commission installation
Back fill worked area
Removal of trade waste
PLEASE NOTE IF FURTHER WORK REQUIRED OTHER THEN QUOTED WORK FURTHER COST WILL APPLY</t>
        </r>
      </text>
    </comment>
    <comment ref="P322" authorId="0" shapeId="0" xr:uid="{748BD638-71B7-433D-B8AD-5B4EB8C1F095}">
      <text>
        <r>
          <rPr>
            <sz val="11"/>
            <color theme="1"/>
            <rFont val="Aptos Narrow"/>
            <family val="2"/>
            <scheme val="minor"/>
          </rPr>
          <t>Unknown User:
Final invoice not emailed</t>
        </r>
      </text>
    </comment>
    <comment ref="U322" authorId="0" shapeId="0" xr:uid="{7BB3B6E2-B0B9-489A-BC79-B9BBA70D7664}">
      <text>
        <r>
          <rPr>
            <sz val="11"/>
            <color theme="1"/>
            <rFont val="Aptos Narrow"/>
            <family val="2"/>
            <scheme val="minor"/>
          </rPr>
          <t>Unknown User:
15/07 - As per Ben's note - " Office is collecting final payment over the phone".</t>
        </r>
      </text>
    </comment>
    <comment ref="G323" authorId="0" shapeId="0" xr:uid="{6E9806A8-1B6F-42D7-9A98-C39EA0F0C003}">
      <text>
        <r>
          <rPr>
            <sz val="11"/>
            <color theme="1"/>
            <rFont val="Aptos Narrow"/>
            <family val="2"/>
            <scheme val="minor"/>
          </rPr>
          <t>Unknown User:
SEARCH &amp; INVESTIGATION OF GAS STORAGE HOT WATER SYSTEM
Gain access to gas hot water system
Gain access to main gas isolation valve to property
Test gas supply with specialist manometer device
Visually inspect gas supply and fittings to hot water system
Use soapy spray on fittings and pipework
Check gas supply pressure to hot water system and control unit
Check integrity of gas isolation valve at hot water system
Check power supply to hot water system using testing pen
Check electrical box (IF REQUIRED)
Check circuit switch (IF REQUIRED)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will apply.</t>
        </r>
      </text>
    </comment>
    <comment ref="G324" authorId="0" shapeId="0" xr:uid="{11715D81-30C3-4F57-B3F8-6491E0EC2826}">
      <text>
        <r>
          <rPr>
            <sz val="11"/>
            <color theme="1"/>
            <rFont val="Aptos Narrow"/>
            <family val="2"/>
            <scheme val="minor"/>
          </rPr>
          <t>Unknown User:
SUPPLY &amp; INSTALLATION OF GAS STORAGE HOT WATER SYSTEM (EXTERNAL)
Isolate main water supply to property
Isolate main gas supply to property
Disconnect main gas supply to existing hot water system
Disconnect main cold-water supply to existing gas hot water system
Disconnect main hot water supply to existing gas hot water system
Disconnect existing plumbing connecting to existing gas hot water system
Drain existing gas hot water system
Removal of existing gas hot water system
Removal of existing brass fittings
Disconnect &amp; removal existing section of gas service connecting to existing internal hot water system
Disconnect &amp; removal of existing section of cold-water supply connecting to existing gas hot water system
Disconnect &amp; removal of existing section of hot supply connecting to existing section of gas hot water system
Clean &amp; prepare worked area
Supply &amp; install new external gas storage hot water system
Supply &amp; install new gas emergency isolation valve
Supply &amp; install new duo valve
Supply &amp; install new pressure limiting valve
Supply &amp; install tempering valve
Supply &amp; install new pressure relief valve
Supply &amp; install new B-press fittings
Supply &amp; install new Brass fittings
Supply &amp; install new section of copper gas service &amp; connect to new gas storage hot water system
Supply &amp; install new section of cold-water service &amp; connect to new gas storage hot water system
Supply &amp; install new section of hot water copper service &amp; connect to new gas storage hot water system
Supply &amp; install new pressure relief valve drain service in copper in accordance with AS3500
Reinstate main water supply to property
Reinstate main gas supply to property
Test &amp; commission installation
Removal of trade waste
PLEASE NOTE IF FURTHER WORK REQUIRED OUTSIDE OF QUOTED WORKS ADDITIONAL COSTS WILL APPLY
SUPPLY AND INSTALLATION OF PRESSURE REGULATING DEVICE FITTED TO 20MM STRAIGHT PIPEWORK
Isolate water service to property
Drain water service
Mark out valve location
Cut &amp; remove copper water service
Clean &amp; prepare existing copper water service
Supply &amp; install new service adapters
Supply &amp; install new press fittings
Supply &amp; install new brass fittings
Supply &amp; install new pressure regulating device
Supply &amp; install new sealant
Supply &amp; install new copper water service to suit new installation
Use of hydraulic press tool
Reinstate water service to property
Flush water system
Test &amp; commission installation
Set pressure of new installation
Removal of trade waste from site
PLEASE NOTE IF FURTHER WORK REQUIRED OTHER THAN QUOTED WORKS ADDITIONAL COSTS WILL APPLY</t>
        </r>
      </text>
    </comment>
    <comment ref="L324" authorId="0" shapeId="0" xr:uid="{CA25888A-E701-40D6-B147-62F385617316}">
      <text>
        <r>
          <rPr>
            <sz val="11"/>
            <color theme="1"/>
            <rFont val="Aptos Narrow"/>
            <family val="2"/>
            <scheme val="minor"/>
          </rPr>
          <t>Unknown User:
Temp check not performed.</t>
        </r>
      </text>
    </comment>
    <comment ref="Q324" authorId="0" shapeId="0" xr:uid="{A069BA4C-7160-48B7-9EEA-6EB85494D398}">
      <text>
        <r>
          <rPr>
            <sz val="11"/>
            <color theme="1"/>
            <rFont val="Aptos Narrow"/>
            <family val="2"/>
            <scheme val="minor"/>
          </rPr>
          <t>Unknown User:
Progress invoice not raised by plumber.</t>
        </r>
      </text>
    </comment>
    <comment ref="G325" authorId="0" shapeId="0" xr:uid="{06DF22FF-7E31-4576-A93D-0F7EF4778BE5}">
      <text>
        <r>
          <rPr>
            <sz val="11"/>
            <color theme="1"/>
            <rFont val="Aptos Narrow"/>
            <family val="2"/>
            <scheme val="minor"/>
          </rPr>
          <t xml:space="preserve">Unknown User:
SEARCH &amp; INVESTIGATION (MINOR) - POTENTIAL WATER LEAK FROM UNKOWN LOCATION
Set up safe worked area
Isolate main water supply to property
Gain access to cold water supply
Gain access to hot water supply
Set up specialist pressure testing equipment
Conduct pressure test on cold water service
Conduct pressure test on hot water service
Conduct search &amp; investigation on property in attempt to locate leak
Cut &amp; removal of gyprock – If required
Provide additional quote for rectification work
Removal of any trade waste
Please note, if unable to find leak additional cost will apply for a specialist leak detection.
PLEASE NOTE IF FURTHER WORK REQUIRED OTHER THAN QUOTED WORK FURTHER COST WILL APPLY.
</t>
        </r>
      </text>
    </comment>
    <comment ref="U325" authorId="0" shapeId="0" xr:uid="{9AEC0932-C2C4-497E-AF7B-AAC2D0A6A465}">
      <text>
        <r>
          <rPr>
            <sz val="11"/>
            <color theme="1"/>
            <rFont val="Aptos Narrow"/>
            <family val="2"/>
            <scheme val="minor"/>
          </rPr>
          <t>Unknown User:
17/07-As per Kylie's note "Spoke to Maria as the Trustpilot review has now appeared. Maria states when she receives the funds she will remove the review. Osko payment completed for the refund sent remittance via email and sent SMS requesting confirmation of funds being received and review removed"
16/07-As per Kylie's note "Called Maria in reply to her 1 star review online which has been updated with name from MD to AMC also deleted but confident she has put it back up. Spoke to Maria she was extremely upset that I had called to obtain the feedback and did not want to tell me what the actual issue was that caused the leak but states she paid half the amount. Strata plumber was used. Agreed she did not call the office she just went online I asked her why she willnot assist me to ensure the plumber learns from this but she said she was not comfortable to do so. I asked a review online is of no use to a company with out providing them with feedback either. I asked what will make her satisfied she said a full refund but doubts we will provide that to her. I said if this is going to make her a 5 star customer I would be willing to assist her with a refund if she is prepared to remove any reviews she has online. Maria agreed to remove any reviews and will reply with her bank details"</t>
        </r>
      </text>
    </comment>
    <comment ref="G326" authorId="0" shapeId="0" xr:uid="{E7C2F097-B66E-4E15-8A28-2E61D171F099}">
      <text>
        <r>
          <rPr>
            <sz val="11"/>
            <color theme="1"/>
            <rFont val="Aptos Narrow"/>
            <family val="2"/>
            <scheme val="minor"/>
          </rPr>
          <t>Unknown User:
MIXER TAP - STANDARD</t>
        </r>
      </text>
    </comment>
    <comment ref="P326" authorId="0" shapeId="0" xr:uid="{7E287C53-7BC4-4513-8DA8-17FB7C11EBEC}">
      <text>
        <r>
          <rPr>
            <sz val="11"/>
            <color theme="1"/>
            <rFont val="Aptos Narrow"/>
            <family val="2"/>
            <scheme val="minor"/>
          </rPr>
          <t>Unknown User:
Quote not emailed</t>
        </r>
      </text>
    </comment>
    <comment ref="Q326" authorId="0" shapeId="0" xr:uid="{14630B4E-F381-45A1-B18F-7B697498F4E4}">
      <text>
        <r>
          <rPr>
            <sz val="11"/>
            <color theme="1"/>
            <rFont val="Aptos Narrow"/>
            <family val="2"/>
            <scheme val="minor"/>
          </rPr>
          <t>Unknown User:
Plumber hasn't raised progress/initial invoice (with balance due).</t>
        </r>
      </text>
    </comment>
    <comment ref="G327" authorId="0" shapeId="0" xr:uid="{C884685A-7B1F-4BEA-A54B-1F1449BCD1A0}">
      <text>
        <r>
          <rPr>
            <sz val="11"/>
            <color theme="1"/>
            <rFont val="Aptos Narrow"/>
            <family val="2"/>
            <scheme val="minor"/>
          </rPr>
          <t>Unknown User:
SEARCH &amp; INVESTIGATION OF GAS STORAGE HOT WATER SYSTEM
Gain access to gas hot water system
Gain access to main gas isolation valve to property
Test gas supply with specialist manometer device
Visually inspect gas supply and fittings to hot water system
Use soapy spray on fittings and pipework
Check gas supply pressure to hot water system and control unit
Check integrity of gas isolation valve at hot water system
Check power supply to hot water system using testing pen
Check electrical box (IF REQUIRED)
Check circuit switch (IF REQUIRED)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will apply.</t>
        </r>
      </text>
    </comment>
    <comment ref="G328" authorId="0" shapeId="0" xr:uid="{2A53DBE9-8792-4756-B5DC-364E8BA0A17A}">
      <text>
        <r>
          <rPr>
            <sz val="11"/>
            <color theme="1"/>
            <rFont val="Aptos Narrow"/>
            <family val="2"/>
            <scheme val="minor"/>
          </rPr>
          <t>Unknown User:
CCTV DRAIN CAMERA INSPECTION OF SEWER SERVICE
Obtain service location diagram
Obtain dial before dig
Obtain sewer diagram
Locate access point to sewer service
Removal of access point to sewer service
Gain access to sewer service
Set up CCTV drain camera
Set up locator
Conduct CCTV camera on sewer service
Use of specialist locator
Locate potential faults in sewer service
Mark out potential faults in sewer service if found
Provide additional quote for rectification work if faults found
Reinstall sewer access point
Test &amp; commission work completed
PLEASE NOTE IF FURTHER WORK REQUIRED OTHER THEN QUOTED WORK FURTHER COST WILL APPLY</t>
        </r>
      </text>
    </comment>
    <comment ref="G329" authorId="0" shapeId="0" xr:uid="{78E7DBD1-5268-4549-B37C-DA688C9746A2}">
      <text>
        <r>
          <rPr>
            <sz val="11"/>
            <color theme="1"/>
            <rFont val="Aptos Narrow"/>
            <family val="2"/>
            <scheme val="minor"/>
          </rPr>
          <t>Unknown User:
SUPPLY &amp; INSTALLATION OF NEW STAINLESS STEEL GAS HOSE
Gain access to main gas service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Access the gas service to appliance
Disconnect the existing gas service to the appliance
Disconnect required brass fittings connected gas appliance
Supply &amp; install new stainless steel gas supply to appliance
Supply &amp; install new brass fittings
Reconnect gas service to appliance
Reinstate main gas supply to the property
Conduct a manometer test on the main gas service upon completion of the installation to ensure there are no leaks
Test &amp; commission the installation
Removal of all trade waste
PLEASE NOTE IF FURTHER WORK REQUIRED OTHER THEN QUOTED WORK FURTHER COST WILL APPLY</t>
        </r>
      </text>
    </comment>
    <comment ref="G330" authorId="0" shapeId="0" xr:uid="{24A174FF-CFC1-4ACF-995F-75FC822DC158}">
      <text>
        <r>
          <rPr>
            <sz val="11"/>
            <color theme="1"/>
            <rFont val="Aptos Narrow"/>
            <family val="2"/>
            <scheme val="minor"/>
          </rPr>
          <t xml:space="preserve">Unknown User:
SUPPLY &amp; INSTALLATION OF TANK OVERFLOW ROUND 
* Set up height equipment 
* Disconnect &amp; removal of wall fixings  
* Disconnect &amp; removal existing service outlet 
* Clean &amp; prepare existing PVC
* Clean &amp; prepare existing PVC service outlet 
* Mark out for new wall fixings  
* Supply &amp; install new wall fixings 
* Supply &amp; install new wall brackets 
* Supply &amp; install new PVC downpipe to existing service outlet 
* Supply &amp; install new PVC fittings 
* Supply &amp; install new solvents 
* Supply &amp; install new sealants 
* Flush new tank over flow 
* Test &amp; commission installation 
* Removal of height equipment  
* Removal of trade waste from site 
 PLEASE NOTE IF FURTHER WORK REQUIRED OTHER THEN QUOTED WORK FURTHER COST WILL APPLY
</t>
        </r>
      </text>
    </comment>
    <comment ref="P330" authorId="0" shapeId="0" xr:uid="{F1393251-7DF6-4604-9B20-C0F8D197D6D3}">
      <text>
        <r>
          <rPr>
            <sz val="11"/>
            <color theme="1"/>
            <rFont val="Aptos Narrow"/>
            <family val="2"/>
            <scheme val="minor"/>
          </rPr>
          <t>Unknown User:
Quote not emailed</t>
        </r>
      </text>
    </comment>
    <comment ref="S330" authorId="0" shapeId="0" xr:uid="{A5391D8C-1162-49C8-AD95-C5880E94D201}">
      <text>
        <r>
          <rPr>
            <sz val="11"/>
            <color theme="1"/>
            <rFont val="Aptos Narrow"/>
            <family val="2"/>
            <scheme val="minor"/>
          </rPr>
          <t>Unknown User:
Final invoice not emailed</t>
        </r>
      </text>
    </comment>
    <comment ref="G331" authorId="0" shapeId="0" xr:uid="{9A592E72-F195-47F6-A6D9-B7AC7A9552A0}">
      <text>
        <r>
          <rPr>
            <sz val="11"/>
            <color theme="1"/>
            <rFont val="Aptos Narrow"/>
            <family val="2"/>
            <scheme val="minor"/>
          </rPr>
          <t>Unknown User:
SEARCH AND INVESTIGATION OF GAS INSTANTANEOUS HOT WATER SYSTEM
Gain access to gas instantaneous hot water system
Gain access to main gas isolation valve to property
Removal of main test point at main meter
Test main gas supply with specialist manometer device
Reinstall main test point at main meter
Gain access to instantaneous hot water system test point
Removal of test point on existing instantaneous hot water system
Conduct gas supply with specialist manometer device at instantaneous hot water system
Reinstall test point to gas instantaneous hot water system
Visually inspect gas supply and fittings to hot water system
Conduct soapy spray test on fittings and pipework (IF REQUIRED)
Check gas supply pressure to hot water system and control unit
Check integrity of gas isolation valve at hot water system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repair.</t>
        </r>
      </text>
    </comment>
    <comment ref="G332" authorId="0" shapeId="0" xr:uid="{AA38B53C-559C-405D-8278-2250BE99EA5A}">
      <text>
        <r>
          <rPr>
            <sz val="11"/>
            <color theme="1"/>
            <rFont val="Aptos Narrow"/>
            <family val="2"/>
            <scheme val="minor"/>
          </rPr>
          <t>Unknown User:
SEARCH &amp; INVESTIGATION OF GAS APPLIANCE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appliance cover plates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t>
        </r>
      </text>
    </comment>
    <comment ref="G333" authorId="0" shapeId="0" xr:uid="{C0DB7B5C-21BE-4A63-918F-83E66606E446}">
      <text>
        <r>
          <rPr>
            <sz val="11"/>
            <color theme="1"/>
            <rFont val="Aptos Narrow"/>
            <family val="2"/>
            <scheme val="minor"/>
          </rPr>
          <t>Unknown User:
SEARCH &amp; INVESTIGATION OF DISHWASHER
Isolate the main water supply to the appliance
Disconnect &amp; remove the cold-water supply
Disconnect &amp; remove the drainage line
Disconnect &amp; remove the power supply
Visually inspect the dishwasher and hoses for any breaks or faults
Check for any blockages and clear them if possible
Inspect the dishwasher for leaks
Clean and flush the filters
Reinstate the main water supply
Reconnect the main drainage hose
Perform testing and commission the installation
Identify the cause of the issue
Provide an additional quote for any further repairs (if required)
PLEASE NOTE IF FURTHER WORK REQUIRED OTHER THEN QUOTED WORK FURTHER COST WILL APPLY</t>
        </r>
      </text>
    </comment>
    <comment ref="G334" authorId="0" shapeId="0" xr:uid="{B623991A-260B-426B-B3E4-05666DA82F0F}">
      <text>
        <r>
          <rPr>
            <sz val="11"/>
            <color theme="1"/>
            <rFont val="Aptos Narrow"/>
            <family val="2"/>
            <scheme val="minor"/>
          </rPr>
          <t>Unknown User:
SEARCH &amp; INVESTIGATION OF RAINWATER PUMP
Isolate main power supply to rainwater pump
Isolate main water supply to rainwater pump
Inspect power supply at main switch board
Test power supply to rainwater pump
Test power supply directly at rainwater pump
Inspect water supply to rainwater pump
Inspect rainwater pump switch
Inspect rainwater pump impeller
Inspect rainwater pump impeller for potential blockages
Inspect rainwater pump for excessive vibration
Inspect rainwater pump motor bearings
Inspect rainwater pump check valves
Inspect rainwater pump outlet
Inspect rainwater pump filters
Disconnect rainwater pump filter
Disconnect rainwater pump stainers
Clean existing rainwater pump filters
Clean existing rainwater pump Stainers
Reinstall existing rainwater pump filters
Reinstall existing rainwater pump stainers
Ensure rainwater pump is primed
Attempt to restart rainwater pump
Conduct search &amp; investigation of rainwater pump
Determine possible faults if found
PLEASE NOTE IF FURTHER WORK REQUIRED OTHER THEN QUOTED WORK FURTHER COST WILL APPLY</t>
        </r>
      </text>
    </comment>
    <comment ref="G339" authorId="0" shapeId="0" xr:uid="{AF24BCDF-DE7B-4247-A19D-39A1EC428E88}">
      <text>
        <r>
          <rPr>
            <sz val="11"/>
            <color theme="1"/>
            <rFont val="Aptos Narrow"/>
            <family val="2"/>
            <scheme val="minor"/>
          </rPr>
          <t>Unknown User:
WATER SERVICE RECTIFICATION (IN GROUND)
Obtain service location diagram
Obtain dial before dig
Isolate water supply to property
Set up safe working area
Mark out ground area in required location
Dig &amp; excavate ground area
Expose existing section of water service
Cut &amp; removal of existing water service
Clean existing water service
Prepare existing water service for new connections
Flush out water service free of potential debris
Supply &amp; install new section of new water service up to 
Supply &amp; install isolation valve 
Supply &amp; install new Press fittings
Supply &amp; install valve box 
Connect new section of water service to existing water service
Use of specialist hydraulic crimping tool
Crimp new section of water service
Reinstate water supply
Conduct pressure test on water service to ensure no further leaks
Back fill worked area
Removal of trade waste
Test &amp; commission installation
PLEASE NOTE IF FURTHER WORK REQUIRED OTHER THEN QUOTED WORK FURTHER COST WILL APPLY</t>
        </r>
      </text>
    </comment>
    <comment ref="P339" authorId="0" shapeId="0" xr:uid="{E217BC3D-39A2-4202-928D-8B879FE03530}">
      <text>
        <r>
          <rPr>
            <sz val="11"/>
            <color theme="1"/>
            <rFont val="Aptos Narrow"/>
            <family val="2"/>
            <scheme val="minor"/>
          </rPr>
          <t>Unknown User:
Quote not emailed</t>
        </r>
      </text>
    </comment>
    <comment ref="G343" authorId="0" shapeId="0" xr:uid="{7E2DBBC8-18EB-45DF-92C1-E071657BD979}">
      <text>
        <r>
          <rPr>
            <sz val="11"/>
            <color theme="1"/>
            <rFont val="Aptos Narrow"/>
            <family val="2"/>
            <scheme val="minor"/>
          </rPr>
          <t>Unknown User:
SUPPLY &amp; INSTALLATION OF NEW COPPER GAS SERVICE UP TO M (REPLACEMENT OF EXISTING GALVANISED GAS SERVICE)
Obtain service location diagram
Obtain dial before dig
Set up safe work area
Isolate main gas supply to property
Disconnect existing main meter unions
Disconnect &amp; remove existing main gas meter regulator
Disconnect &amp; remove existing brass fittings
Disconnect &amp; remove existing section of gas service connecting to main meter
Disconnect &amp; removal of existing gas support brackets &amp; clips
Disconnect &amp; removal of existing gas service  (Exposed)
Disconnect &amp; removal of existing gas service connecting to gas hot water system
Disconnect &amp; removal of existing gas service connecting to gas ducted heater - 
Disconnect &amp; removal of existing gas service connecting to gas cooktop - (If Applicable)
Disconnect &amp; removal of existing gas emergency isolation valve
Disconnect &amp; removal of existing brass fittings
Clean &amp; prepare work area
Prepare property for installation of new gas service in copper up to 20M
Supply &amp; install new gas service connecting to gas hot water system - 
Supply &amp; install new gas service connecting to gas ducted heater
Supply &amp; install new gas service connecting to gas cooktop - 
Supply &amp; install new main gas service in copper up to 20M – Exposed
Supply &amp; install new brass fittings
Supply &amp; install new B-press fittings
Supply &amp; install new emergency isolation valves
Supply &amp; install new brackets, clips &amp; supports
Secure new gas service
Reinstall existing main gas meter
Connect new gas service to main gas meter
Restoration of work area
Removal of trade waste
Test &amp; commission installation
Provide new certificate of compliance
PLEASE NOTE IF FURTHER WORK REQUIRED OTHER THEN QUOTED WORK FURTHER COST WILL APPLY
SUPPLY &amp; INSTALLATION OF NEW INSTANTANEOUS GAS HOT WATER SYSTEM (INTERNAL)
Isolate main water supply to property
Isolate main gas supply to property
Isolate power supply to existing gas instantaneous hot water system
Disconnect power supply to existing gas instantaneous hot water system
Disconnect existing gas flue to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gas flue to new gas instantaneous hot water system
Reconnect power supply to new gas instantaneous hot water system
Test &amp; commission installation
Removal of trade waste
PLEASE NOTE IF FURTHER WORK REQUIRED OUTSIDE OF QUOTED WORKS ADDITIONAL COSTS WILL APPLY</t>
        </r>
      </text>
    </comment>
    <comment ref="S343" authorId="0" shapeId="0" xr:uid="{939860CF-7E51-4354-810F-E791B38B7D19}">
      <text>
        <r>
          <rPr>
            <sz val="11"/>
            <color theme="1"/>
            <rFont val="Aptos Narrow"/>
            <family val="2"/>
            <scheme val="minor"/>
          </rPr>
          <t>Unknown User:
Final invoice not emailed</t>
        </r>
      </text>
    </comment>
    <comment ref="U343" authorId="0" shapeId="0" xr:uid="{2A17DB92-BDDE-421B-BA56-967A591471E5}">
      <text>
        <r>
          <rPr>
            <sz val="11"/>
            <color theme="1"/>
            <rFont val="Aptos Narrow"/>
            <family val="2"/>
            <scheme val="minor"/>
          </rPr>
          <t>Unknown User:
17 July-As per Caitlin's note "Joseph &amp; brother called with concerns regards to the cost of the job. Joesph is in his 80s and suffering with depression and has upset the family by booking the job, wants to cancel any further works as unaffordable. Said I will pass onto the plumber as I cannot cancel a job that's began"</t>
        </r>
      </text>
    </comment>
    <comment ref="G351" authorId="0" shapeId="0" xr:uid="{981DE6E2-2C4F-4CD8-B3FB-1E856AEC4B45}">
      <text>
        <r>
          <rPr>
            <sz val="11"/>
            <color theme="1"/>
            <rFont val="Aptos Narrow"/>
            <family val="2"/>
            <scheme val="minor"/>
          </rPr>
          <t>Unknown User:
SEARCH &amp; INVESTIGATION OF POTENTIAL GAS LEAK
Gain access to main gas meter
Isolate the main gas supply to the property
Disconnect the existing main meter test point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t>
        </r>
      </text>
    </comment>
    <comment ref="P351" authorId="0" shapeId="0" xr:uid="{7E00D19C-E12F-405C-AFDC-B1BEAADD8ABA}">
      <text>
        <r>
          <rPr>
            <sz val="11"/>
            <color theme="1"/>
            <rFont val="Aptos Narrow"/>
            <family val="2"/>
            <scheme val="minor"/>
          </rPr>
          <t>Unknown User:
Quote not Emailed</t>
        </r>
      </text>
    </comment>
    <comment ref="G353" authorId="0" shapeId="0" xr:uid="{428B2E0D-1C55-4D60-A7B5-F698C02CB57C}">
      <text>
        <r>
          <rPr>
            <sz val="11"/>
            <color theme="1"/>
            <rFont val="Aptos Narrow"/>
            <family val="2"/>
            <scheme val="minor"/>
          </rPr>
          <t>Unknown User:
INSTALLATION OF CUSTOMER SUPPLIED FRIDGE WITHIN 2.5M OF COLD WATER SUPPLY
Isolate main water supply to property
Gain access to cold water supply
Expose main cold-water supply within 2.5M of fridge installation
Cut &amp; removal of existing section of cold-water supply
Supply &amp; install new brass fittings
Supply &amp; install new B-press fittings
Supply &amp; install new brass tee
Supply &amp; install new cold-water supply for fridge up to 2.5M to new desired location
Supply &amp; install new No.19
Supply &amp; install new cold water emergency isolation valve
Secure new isolation valve in new desired location
Secure new section of cold-water supply
Prepare new customer supplied fridge for new installation
Install new customer supplied fridge
Connect cold water supply to fridge
Connect power to existing power supply outlet
Test &amp; commission installation
Removal of trade waste – Excludes appliance
PLEASE NOTE IF FURTHER WORK REQUIRED OTHER THEN QUOTED WORK FURTHER COST WILL APPLY</t>
        </r>
      </text>
    </comment>
    <comment ref="P353" authorId="0" shapeId="0" xr:uid="{03DAAA89-54D7-4F52-ADC5-F12C0E08E26E}">
      <text>
        <r>
          <rPr>
            <sz val="11"/>
            <color theme="1"/>
            <rFont val="Aptos Narrow"/>
            <family val="2"/>
            <scheme val="minor"/>
          </rPr>
          <t>Unknown User:
Quote not emailed</t>
        </r>
      </text>
    </comment>
    <comment ref="U353" authorId="0" shapeId="0" xr:uid="{B6ED2923-294A-4FAA-AA04-03FFC62991B1}">
      <text>
        <r>
          <rPr>
            <sz val="11"/>
            <color theme="1"/>
            <rFont val="Aptos Narrow"/>
            <family val="2"/>
            <scheme val="minor"/>
          </rPr>
          <t>Unknown User:
1 July-As per Ben Taylor's note "Job is approved. Client has just ordered her fridge. She will give me a call or the office to schedule a date next week when fridge arrives."</t>
        </r>
      </text>
    </comment>
    <comment ref="G354" authorId="0" shapeId="0" xr:uid="{B85EB1AA-C838-43AE-B8B0-43D1E9454D04}">
      <text>
        <r>
          <rPr>
            <sz val="11"/>
            <color theme="1"/>
            <rFont val="Aptos Narrow"/>
            <family val="2"/>
            <scheme val="minor"/>
          </rPr>
          <t>Unknown User:
SEWER SPOT DIG UP TO 1.5M (UNDER CONCRETE)
Obtain sewer diagram
Obtain dial Before dig
Obtain service location diagram
Set up safe work area
Set up builders plastic
Set up barricades for safety
Concrete cut ground area
Jack hammer ground area
Removal of concrete in required location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t>
        </r>
      </text>
    </comment>
    <comment ref="P354" authorId="0" shapeId="0" xr:uid="{0FDD9822-F625-4FEF-ADCE-0D295330AA41}">
      <text>
        <r>
          <rPr>
            <sz val="11"/>
            <color theme="1"/>
            <rFont val="Aptos Narrow"/>
            <family val="2"/>
            <scheme val="minor"/>
          </rPr>
          <t>Unknown User:
Quote not emailed</t>
        </r>
      </text>
    </comment>
    <comment ref="G359" authorId="0" shapeId="0" xr:uid="{91A22F40-DB84-4970-978C-8103AB1728B2}">
      <text>
        <r>
          <rPr>
            <sz val="11"/>
            <color theme="1"/>
            <rFont val="Aptos Narrow"/>
            <family val="2"/>
            <scheme val="minor"/>
          </rPr>
          <t xml:space="preserve">Unknown User:
DISCONNECT &amp; RECONNECT ELECTRIC STORAGE HWS
Isolate power supply to electric storage unit
Isolate water supply to property
Disconnect plumbing to existing electric storage unit
Disconnect electrical supply to electric hot water unit
Drain electric storage unit
Removal of existing section of cold-water service connecting to electric storage unit
Removal of existing section of hot water service connecting to electric storage unit
Removal of existing valves
Clean &amp; prepare existing connections
Supply new brass fittings to cold water service
Supply new brass fittings to hot water service
Cap off cold water service connecting to electric storage unit
Cap off hot water service connecting to electric storage unit
Decommission electric storage unit &amp; make safe
Reinstate main water supply to property
Install the customer-supplied hot water system
Supply and install a new duo valve
Supply and install a new pressure limiting valve
Supply and install a new tempering valve
Install a new pressure relief valve
Supply and install a new pressure relief valve drain in copper, ensuring compliance
with AS/3500
Supply and install new brass fittings
Supply and install new B-press fittings
Reconfigure the cold-water service to suit the new electric storage system
Reconfigure the hot water service to suit the new electric storage system
Supply and install a new section of the cold-water copper service
Supply and install a new section of the hot water copper service
Reconnect the cold-water service to the new electric hot water system
Reconnect the hot water service to the new electric hot water system
Reconnect the power supply to the new electric hot water system
Reinstate the main water supply to the property
Test and commission the installation
Remove trade waste
</t>
        </r>
      </text>
    </comment>
    <comment ref="P359" authorId="0" shapeId="0" xr:uid="{0CAC5B4F-43EF-4378-9FA8-EA84DC233BD0}">
      <text>
        <r>
          <rPr>
            <sz val="11"/>
            <color theme="1"/>
            <rFont val="Aptos Narrow"/>
            <family val="2"/>
            <scheme val="minor"/>
          </rPr>
          <t>Unknown User:
Quote not Emailed</t>
        </r>
      </text>
    </comment>
    <comment ref="G363" authorId="0" shapeId="0" xr:uid="{615C7A75-F540-49B3-8761-8E06C60E0512}">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G364" authorId="0" shapeId="0" xr:uid="{5014DB42-60B3-457E-BFB1-F82B300702B3}">
      <text>
        <r>
          <rPr>
            <sz val="11"/>
            <color theme="1"/>
            <rFont val="Aptos Narrow"/>
            <family val="2"/>
            <scheme val="minor"/>
          </rPr>
          <t>Unknown User:
UNIT 203 
SPECIALIST LEAK DETECTION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Conduct flood die on shower base 
Identify &amp; locate potential leak
Provide additional quote for rectification work
PLEASE NOTE IF FURTHER WORK REQUIRED OTHER THEN QUOTED WORK FURTHER COST WILL APPLY</t>
        </r>
      </text>
    </comment>
    <comment ref="G365" authorId="0" shapeId="0" xr:uid="{309F1346-8BBD-4EA9-B6E4-873A18384706}">
      <text>
        <r>
          <rPr>
            <sz val="11"/>
            <color theme="1"/>
            <rFont val="Aptos Narrow"/>
            <family val="2"/>
            <scheme val="minor"/>
          </rPr>
          <t>Unknown User:
SUPPLY AND INSTALLATION OF PRESSURE REGULATING DEVICE FITTED TO 20MM STRAIGHT PIPEWORK
Isolate water service to property
Drain water service
Mark out valve location
Cut &amp; remove copper water service
Clean &amp; prepare existing copper water service
Supply &amp; install new service adapters
Supply &amp; install new press fittings
Supply &amp; install new brass fittings
Supply &amp; install new pressure regulating device
Supply &amp; install new sealant
Supply &amp; install new copper water service to suit new installation
Use of hydraulic press tool
Reinstate water service to property
Flush water system
Test &amp; commission installation
Set pressure of new installation
Removal of trade waste from site
PLEASE NOTE IF FURTHER WORK REQUIRED OTHER THAN QUOTED WORKS ADDITIONAL COSTS WILL APPLY
SUPPLY &amp; INSTALLATION OF GAS STORAGE HOT WATER SYSTEM (EXTERNAL)
Isolate main water supply to property
Isolate main gas supply to property
Disconnect main gas supply to existing hot water system
Disconnect main cold-water supply to existing gas hot water system
Disconnect main hot water supply to existing gas hot water system
Disconnect existing plumbing connecting to existing gas hot water system
Drain existing gas hot water system
Removal of existing gas hot water system
Removal of existing brass fittings
Disconnect &amp; removal existing section of gas service connecting to existing internal hot water system
Disconnect &amp; removal of existing section of cold-water supply connecting to existing gas hot water system
Disconnect &amp; removal of existing section of hot supply connecting to existing section of gas hot water system
Clean &amp; prepare worked area
Supply &amp; install new external gas storage hot water system
Supply &amp; install new gas emergency isolation valve
Supply &amp; install new duo valve
Supply &amp; install new pressure limiting valve
Supply &amp; install tempering valve
Supply &amp; install new pressure relief valve
Supply &amp; install new B-press fittings
Supply &amp; install new Brass fittings
Supply &amp; install new section of copper gas service &amp; connect to new gas storage hot water system
Supply &amp; install new section of cold-water service &amp; connect to new gas storage hot water system
Supply &amp; install new section of hot water copper service &amp; connect to new gas storage hot water system
Supply &amp; install new pressure relief valve drain service in copper in accordance with AS3500
Reinstate main water supply to property
Reinstate main gas supply to property
Test &amp; commission installation
Removal of trade waste
PLEASE NOTE IF FURTHER WORK REQUIRED OUTSIDE OF QUOTED WORKS ADDITIONAL COSTS WILL APPLY
CREDIT OF SEARCH &amp; INVESTIGATION</t>
        </r>
      </text>
    </comment>
    <comment ref="G366" authorId="0" shapeId="0" xr:uid="{DF3388E2-38D2-4445-B131-24B8C4EB7298}">
      <text>
        <r>
          <rPr>
            <sz val="11"/>
            <color theme="1"/>
            <rFont val="Aptos Narrow"/>
            <family val="2"/>
            <scheme val="minor"/>
          </rPr>
          <t>Unknown User:
PRE PURCHASE INSPECTION 
- CCTV DRAIN CAMERA INSPECTION OF SEWER &amp; STORMWATER  SERVICE
- Obtain service location diagram 
- Obtain dial before dig 
- Obtain sewer diagram 
- Locate access point to sewer &amp; stormwater service 
- Removal of access point to sewer &amp; stormwater service 
- Gain access to sewer &amp; stormwater service 
- Set up CCTV drain camera 
- Set up locator 
- Conduct CCTV camera on sewer &amp; stormwater service 
- Use of specialist locator  
- Locate potential faults in sewer &amp; stormwater service 
- Mark out potential faults in sewer &amp; service if found 
- Provide additional quote for rectification work if faults found
- Reinstall sewer &amp; stormwater access point  
- Pressure test cold water service 
- Pressure test hot water service 
- Test &amp; commission work completed
 PLEASE NOTE IF FURTHER WORK REQUIRED OTHER THEN QUOTED WORK FURTHER COST WILL APPLY</t>
        </r>
      </text>
    </comment>
    <comment ref="G367" authorId="0" shapeId="0" xr:uid="{00121D1B-A491-4793-A03C-3A08E06F143C}">
      <text>
        <r>
          <rPr>
            <sz val="11"/>
            <color theme="1"/>
            <rFont val="Aptos Narrow"/>
            <family val="2"/>
            <scheme val="minor"/>
          </rPr>
          <t>Unknown User:
REPLACEMENT OF EXISTING OVERFLOW GULLY &amp; UP TO 1M OF MAIN SEWER SERVICE
Obtain Dial Before Dig
Obtain Service Location Diagram
Set Up Safe Work Area
Set Up Builders Plastic
Set Up Barricades for Safety
Dig &amp; Excavate Ground Area Up to 1M
Expose Existing Section of Sewer Service Up to 1M
Expose Existing Sewer Overflow Relief Gully
Expose Existing Sewer Junctions
Cut &amp; Remove Existing Section of Sewer Service Up to 1M
Cut &amp; Remove Existing Sewer Junctions
Gain Access to Sewer Service
Set Up High-Powered Jet Blaster
Set Up High-Powered Mini Reel
Set Up High-Powered Turbines
Re-Jetblast Sewer Service
Re-Camera &amp; Investigate Further
Supply &amp; Install New Section of Sewer Service Up to 1M
Supply &amp; Install New Sewer Overflow Relief Gully
Supply &amp; Install New Sewer Junctions
Supply &amp; Install New I/O Inspection Point
Supply &amp; Install New BTS and Raise to Ground Level
Supply &amp; Install New PVC Fittings
Supply and install new sewer vent in PVC 
Supply and install new sewer vent support clips and brackets 
Connect New Sewer Overflow Relief Gully to Connection point
Connect New Section of Sewer Service to Existing Sewer Service
Concrete Encase New Connections to Existing Sewer Service
Encase New Section of Sewer Service with Blue Metal
Backfill Excavated Area
Test &amp; Commission Installation
Remove Trade Waste
Restore Work Area 
PLEASE NOTE IF FURTHER WORK REQUIRED OTHER THEN QUOTED WORK FURTHER COST WILL APPLY</t>
        </r>
      </text>
    </comment>
    <comment ref="G368" authorId="0" shapeId="0" xr:uid="{24F6D34E-4F33-4FDE-9A8E-DCCB0FB16501}">
      <text>
        <r>
          <rPr>
            <sz val="11"/>
            <color theme="1"/>
            <rFont val="Aptos Narrow"/>
            <family val="2"/>
            <scheme val="minor"/>
          </rPr>
          <t>Unknown User:
SUPPLY &amp; INSTALL FRIDGE 
* Prepare supplied fridge for new installation 
* Gain access to power supply 
* Isolate power supply to fridge 
* Disconnect an remove fridge 
* Supply new fridge 
* Install new fridge in required location 
* Connect power supply to fridge 
* Test &amp; commission installation 
*Removal of trade waste 
 PLEASE NOTE IF FURTHER WORK REQUIRED OTHER THEN QUOTED WORK FURTHER COST WILL APPLY</t>
        </r>
      </text>
    </comment>
    <comment ref="G369" authorId="0" shapeId="0" xr:uid="{C509E268-2C3B-44F9-8406-64202FD8ADA8}">
      <text>
        <r>
          <rPr>
            <sz val="11"/>
            <color theme="1"/>
            <rFont val="Aptos Narrow"/>
            <family val="2"/>
            <scheme val="minor"/>
          </rPr>
          <t>Unknown User:
CONVERT KITCHEN BREACH TO NEW KITCHEN MIXER ROUGH IN 
*  Isolate main cold-water supply to the property 
*  Isolate main hot water supply to property 
* Cut concrete wall in required location 
* Jack hammer concrete wall 
* Expose existing cold water serivce 
* Expose existing hot water serivce 
* Cut out &amp; remove existing breach located inside concrete wall  
* Clean &amp; prepare worked area 
* Mark out &amp; plan penetrations 
* Mark out required location on cold water serivce 
* Mark out required location on hot water serivce 
* Cut existing water serivce to provide a new connection of water serivce 
* Supply &amp; install brass cap on cold water serivce 
* Supply &amp; install brass cap on hot water serivce 
* Supply &amp; install new cold copper water serivce 
* Supply &amp; install new hot copper water serivce 
* Supply &amp; install brass fittings 
* Supply &amp; install bpress fittings 
* Supply &amp; install new cold water emergency isolation valve
* Supply &amp; install new hot water emergency isolation valve
* Reinstate cold water supply 
* Reinstate hot water supply 
* Test &amp; commission installation 
* Removal of trade waste 
* PLEASE NOTE IF FURTHER WORK REQUIRED OUTSIDE OF QUOTED WORKS ADDITIONAL COSTS WILL APPLY</t>
        </r>
      </text>
    </comment>
    <comment ref="G370" authorId="0" shapeId="0" xr:uid="{196AD265-745A-404A-B689-DC958B3CF480}">
      <text>
        <r>
          <rPr>
            <sz val="11"/>
            <color theme="1"/>
            <rFont val="Aptos Narrow"/>
            <family val="2"/>
            <scheme val="minor"/>
          </rPr>
          <t>Unknown User:
SEARCH AND INVESTIGATION OF SOLAR SPLIT HOT WATER SYSTEM
Set up safe worked area
Gain access to solar hot water system
Gain access to solar panels
Gain access to main electrical supply
Check power supply at mains
Disconnect and remove hot water system electrical cover
Check power supply to solar hot water hot water unit
Check power supply to thermostat
Check power supply to element
Check water supply to isolation valve
Check hot water system for tempering valve
Check water supply pressure to property
Check hot water system flow rate
Check electrical cable connections on hot water unit
Visually inspect electrical cable for ruptures where able
Check relief valve operation and integrity
Check discharge from outlet of hot water system for any signs of rust and corrosion in hot water supply
Determine cause and include any repair to a loose pipe or loose wire connection
PLEASE NOTE IF FURTHER WORK IS REQUIRED ADDITIONAL COSTS WILL APPLY
Please note:
- We aim to detect all faults, however due to the differing nature of faults, we may only be able to find the primary fault. Secondary and other faults may only become apparent when the primary fault has been repaired.
- If a fault is found, then other exploratory methods will not be conducted if not required.
- Once fault is found further cost will apply to repair.</t>
        </r>
      </text>
    </comment>
    <comment ref="G371" authorId="0" shapeId="0" xr:uid="{21053628-B0AD-4C76-B20E-2A8D8FD9D307}">
      <text>
        <r>
          <rPr>
            <sz val="11"/>
            <color theme="1"/>
            <rFont val="Aptos Narrow"/>
            <family val="2"/>
            <scheme val="minor"/>
          </rPr>
          <t>Unknown User:
CONVERT SOLAR SPLIT HOT WATER SYSTEM TO EXTERNAL GAS INSTANTANEOUS HOT WATER SYSTEM
Isolate main power supply to property
Isolate main water supply to property
Isolate main gas supply to property
Gain safe access to existing solar hot water system
Disconnect power supply to solar hot water system
Disconnect water supply to solar hot water system
Disconnect plumbing to solar panels
Disconnect &amp; removal of existing valves connecting to solar hot water system
Disconnect &amp; removal of existing brass fittings connecting to solar hot water system
Disconnect &amp; removal of existing cold-water supply connecting to solar hot water system
Disconnect &amp; removal of existing hot water return supply connecting to solar hot water system
Disconnect &amp; removal of existing plumbing connecting to solar panels
Decommission existing roof mounted solar panels
Drain tank
Removal of tank
Mark out new desired location for new gas instantaneous hot water system
Gain access to cold water supply
Gain access to hot water return supply
Gain access to existing gas supply
Redirect cold water supply in copper for new gas instantaneous hot water system
Redirect hot water supply in copper for new gas instantaneous hot water system
Redirect gas supply in copper for new gas instantaneous hot water system
Supply &amp; install new gas instantaneous hot water system in new desired location
Secure new gas instantaneous hot water system in new desired location
Supply &amp; install new gas emergency isolation valve
Supply &amp; install new cold water emergency isolation valve
Supply &amp; install new gas instantaneous hot water system valve kit
Supply &amp; install new brass fittings
Supply &amp; install new B-press fittings
Connect new cold-water service to new gas instantaneous hot water system
Connect new hot water service to new gas instantaneous hot water system
Connect new gas service to new gas instantaneous hot water system
Connect power supply to new gas instantaneous hot water system
Reinstate main water supply to property
Reinstate main power supply to property
Reinstate gas supply to property
Test &amp; commission installation
Removal of trade waste
**Please note solar panels will be left on roof to save cost**
IF FURTHER WORK REQUIRED OUTSIDE OF QUOTED WORKS ADDITIONAL COSTS WILL APPLY</t>
        </r>
      </text>
    </comment>
    <comment ref="G372" authorId="0" shapeId="0" xr:uid="{BE16C1EC-F67F-4FCC-B7EB-A7E7025386C2}">
      <text>
        <r>
          <rPr>
            <sz val="11"/>
            <color theme="1"/>
            <rFont val="Aptos Narrow"/>
            <family val="2"/>
            <scheme val="minor"/>
          </rPr>
          <t>Unknown User:
SUPPLY &amp; INSTALLATION OF SPACE HEATER
Gain access to main gas meter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Gain access to existing gas services connected to gas space heater
Disconnect existing gas service connected to gas space heater
Disconnect existing brass fittings connected to gas space heater
Disconnect existing emergency isolation valve
Disconnect existing gas bayonet connect to gas space heater
Disconnect &amp; remove existing floor fixings
Disconnect &amp; remove the existing gas space heater
Clean &amp; prepare the work area for the installation of the new gas space heater
Supply &amp; install new floor fixings
Supply &amp; install new brass fittings
Supply &amp; install new press fittings
Supply &amp; install new gas bayonet
Prepare new gas spaceheater for installation
Supply &amp; install new gas space heater
Supply &amp; install new gas stainelss steel braided hose to new gas space heater
Reinstate main gas supply to the property
Conduct a manometer test on the main gas service upon completion of the installation to ensure there are no leaks
Test &amp; commission existing appliances
Test &amp; commission installation
Removal of all trade waste
PLEASE NOTE IF FURTHER WORK REQUIRED OTHER THEN QUOTED
CREDIT OF SEARCH &amp; INVESTIGATION</t>
        </r>
      </text>
    </comment>
    <comment ref="G373" authorId="0" shapeId="0" xr:uid="{F1A821EC-585B-444E-A7F8-19AE60D2FF10}">
      <text>
        <r>
          <rPr>
            <sz val="11"/>
            <color theme="1"/>
            <rFont val="Aptos Narrow"/>
            <family val="2"/>
            <scheme val="minor"/>
          </rPr>
          <t>Unknown User:
DIG UP OF STORM WATER SPOT UP TO 1M
Obtain Service Location Diagram
Obtain Dial Before Dig
Obtain Storm Water Diagram – If Available
Set Up Safe Work Area
Set Up Builders Plastic
Set Up Barricades for Safety
Dig &amp; Excavate Ground Area Up to 1M
Expose Existing Section of Storm Water Service Up to 1M
Cut &amp; Remove Existing Section of Storm Water Service Up to 1M
Gain Access to Storm Water Service
Supply &amp; Install New Section of Storm Water Service Up to 1M
Supply &amp; Install New PVC Fittings
Connect New Section of Storm Water Service to Existing Storm Water Service
Concrete Encase New Connections to Existing Storm Water Service
Encase New Section of Storm Water Service with Blue Metal
Backfill Excavated Area
Test &amp; Commission Installation
Remove Trade Waste
PLEASE NOTE IF FURTHER WORK REQUIRED OTHER THEN QUOTED WORK FURTHER COST WILL APPLY</t>
        </r>
      </text>
    </comment>
    <comment ref="G374" authorId="0" shapeId="0" xr:uid="{B5291CDD-B33B-484D-BC3E-6DBD8B7643BE}">
      <text>
        <r>
          <rPr>
            <sz val="11"/>
            <color theme="1"/>
            <rFont val="Aptos Narrow"/>
            <family val="2"/>
            <scheme val="minor"/>
          </rPr>
          <t>Unknown User:
SEARCH &amp; INVESTIGATION OF GAS APPLIANCE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appliance cover plates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
10% Seniors &amp; Pensioners Discount</t>
        </r>
      </text>
    </comment>
    <comment ref="G376" authorId="0" shapeId="0" xr:uid="{A0B2CF36-8231-4B79-AAA9-3BA65A94FEC4}">
      <text>
        <r>
          <rPr>
            <sz val="11"/>
            <color theme="1"/>
            <rFont val="Aptos Narrow"/>
            <family val="2"/>
            <scheme val="minor"/>
          </rPr>
          <t>Unknown User:
SUPPLY &amp; INSTALLATION OF GAS COOKTOP
Gain access to main gas meter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Gain access to existing gas services connected to cooktop
Disconnect existing gas service connected to cooktop
Disconnect existing brass fittings connected to the cooktop
Disconnect existing gas appliance regulator
Disconnect existing emergency isolation valve
Disconnect &amp; remove the existing gas cooktop
Clean &amp; prepare the work area for the installation of the new gas cooktop.
Supply &amp; install new gas emergency isolation valve
Supply &amp; install new brass fittings
Supply &amp; install new appliance regulator
Supply &amp; install new stainless steel gas flexible connection for new cooktop
Prepare new gas cooktop for installation
Supply &amp; Install gas cooktop onto the existing benchtop
Secure new gas cooktop to the bench
Connect new stainless steel gas flexible connection to new cooktop
Reinstate main gas supply to the property
Conduct a manometer test on the main gas service upon completion of the installation to ensure there are no leaks
Test &amp; commission the installation
Removal of all trade waste
PLEASE NOTE IF FURTHER WORK REQUIRED OTHER THEN QUOTED WORK FURTHER COST WILL APPLY</t>
        </r>
      </text>
    </comment>
    <comment ref="E397" authorId="12" shapeId="0" xr:uid="{AC0621FE-EBEB-44E7-9704-58B6AFFFD90D}">
      <text>
        <t>[Threaded comment]
Your version of Excel allows you to read this threaded comment; however, any edits to it will get removed if the file is opened in a newer version of Excel. Learn more: https://go.microsoft.com/fwlink/?linkid=870924
Comment:
    Stock</t>
      </text>
    </comment>
    <comment ref="E398" authorId="13" shapeId="0" xr:uid="{63E1D396-CFFA-4A6E-987A-7BFCC430128A}">
      <text>
        <t>[Threaded comment]
Your version of Excel allows you to read this threaded comment; however, any edits to it will get removed if the file is opened in a newer version of Excel. Learn more: https://go.microsoft.com/fwlink/?linkid=870924
Comment:
    Stock</t>
      </text>
    </comment>
    <comment ref="G408" authorId="0" shapeId="0" xr:uid="{CE6F5465-3F1A-4622-BA46-8F51A367132A}">
      <text>
        <r>
          <rPr>
            <sz val="11"/>
            <color theme="1"/>
            <rFont val="Aptos Narrow"/>
            <family val="2"/>
            <scheme val="minor"/>
          </rPr>
          <t>Unknown User:
CHEMICAL DRAIN CLEANING TREATMENT
$65 First Service Discount</t>
        </r>
      </text>
    </comment>
    <comment ref="G409" authorId="0" shapeId="0" xr:uid="{8A776E58-FD83-4B9E-9413-2781F17FA148}">
      <text>
        <r>
          <rPr>
            <sz val="11"/>
            <color theme="1"/>
            <rFont val="Aptos Narrow"/>
            <family val="2"/>
            <scheme val="minor"/>
          </rPr>
          <t>Unknown User:
REPLACEMENT OF TAP TOPS
Isolate main water supply to property
Disconnect &amp; removal of cold water tapware
Disconnect &amp; removal of hot water tapware
Disconnect &amp; removal of existing jumper valves
Disconnect &amp; removal of existing fibre washers
Machine breech
Flush out breech free from debris
Supply &amp; install new jumper valve
Supply &amp; install new fibre washers
Supply &amp; install new cold water tapware
Supply &amp; install new hot water tapware
Reinstate main water supply to property
Test &amp; commission installation
Removal of trade waste
PLEASE NOTE IF FURTHER WORK REQUIRED OTHER THEN QUOTED WORK FURTHER COST WILL APPLY</t>
        </r>
      </text>
    </comment>
    <comment ref="U409" authorId="0" shapeId="0" xr:uid="{494B9D2B-307D-4CF1-8251-A239EEE0CCB0}">
      <text>
        <r>
          <rPr>
            <sz val="11"/>
            <color theme="1"/>
            <rFont val="Aptos Narrow"/>
            <family val="2"/>
            <scheme val="minor"/>
          </rPr>
          <t>Unknown User:
23/-As per Tyler Potter's note "Aftercare call - spoke with the customer who said that they weren't really happy with the lack of communication as they were expected there between 7am-10am and the customer had to call around 10:30am to find out the plumber was late . Customer was also not happy with the price of the job - happy with the job overall as the bath works - accepted verbally 10% refund $65 and Ts&amp;Cs &amp; Confidentiality"</t>
        </r>
      </text>
    </comment>
    <comment ref="G410" authorId="0" shapeId="0" xr:uid="{9F9DE53D-4E2D-4B27-AB23-F2CDD6763C80}">
      <text>
        <r>
          <rPr>
            <sz val="11"/>
            <color theme="1"/>
            <rFont val="Aptos Narrow"/>
            <family val="2"/>
            <scheme val="minor"/>
          </rPr>
          <t>Unknown User:
INSTALLATION OF GAS COOKTOP [SAME LOCATION] (CUSTOMER SUPPLIED)
$65 First Service Discount</t>
        </r>
      </text>
    </comment>
    <comment ref="P410" authorId="0" shapeId="0" xr:uid="{142D071B-C075-4574-BC29-BC3B58D0FD98}">
      <text>
        <r>
          <rPr>
            <sz val="11"/>
            <color theme="1"/>
            <rFont val="Aptos Narrow"/>
            <family val="2"/>
            <scheme val="minor"/>
          </rPr>
          <t>Unknown User:
Quote not emailed</t>
        </r>
      </text>
    </comment>
    <comment ref="S410" authorId="0" shapeId="0" xr:uid="{7DAD751B-5EB1-4F9D-82CC-22F46722E553}">
      <text>
        <r>
          <rPr>
            <sz val="11"/>
            <color theme="1"/>
            <rFont val="Aptos Narrow"/>
            <family val="2"/>
            <scheme val="minor"/>
          </rPr>
          <t>Unknown User:
Invoice not emailed</t>
        </r>
      </text>
    </comment>
    <comment ref="G411" authorId="0" shapeId="0" xr:uid="{65F3C2A1-66C3-4F23-94F6-C9692D3B4A76}">
      <text>
        <r>
          <rPr>
            <sz val="11"/>
            <color theme="1"/>
            <rFont val="Aptos Narrow"/>
            <family val="2"/>
            <scheme val="minor"/>
          </rPr>
          <t>Unknown User:
SEARCH &amp; INVESTIGATION OF POTENTIAL GAS LEAK</t>
        </r>
      </text>
    </comment>
    <comment ref="G412" authorId="0" shapeId="0" xr:uid="{16EE2BBA-00E1-4EAE-8ABA-DC17E577B36B}">
      <text>
        <r>
          <rPr>
            <sz val="11"/>
            <color theme="1"/>
            <rFont val="Aptos Narrow"/>
            <family val="2"/>
            <scheme val="minor"/>
          </rPr>
          <t xml:space="preserve">Unknown User:
SEARCH &amp; INVESTIGATION OF DISHWASHER
</t>
        </r>
      </text>
    </comment>
    <comment ref="G413" authorId="0" shapeId="0" xr:uid="{5BD3A348-D6C3-448E-8DA5-E66690C27E16}">
      <text>
        <r>
          <rPr>
            <sz val="11"/>
            <color theme="1"/>
            <rFont val="Aptos Narrow"/>
            <family val="2"/>
            <scheme val="minor"/>
          </rPr>
          <t>Unknown User:
SUPPLY AND INSTALLATION OF FLUSH PIPE KIT
Isolate water supply to cistern
Drain cistern
Disconnect &amp; remove flush pipe lock nut from cistern
Disconnect &amp; remove cistern flush pipe
Disconnect &amp; remove cistern flush pipe rubber
Disconnect &amp; remove existing flush cone
Clean &amp; prepare worked area
Supply &amp; install new cistern flush pipe
Supply &amp; install new cistern flush pipe rubber
Supply &amp; install new flush cone to flush pipe
Supply &amp; install new cistern flush pipe lock nut
Install new cistern flush pipe
Reinstate water supply to cistern
Test &amp; commission installation
Removal of trade waste from site
PLEASE NOTE IF FURTHER WORK REQUIRED OUTSIDE OF QUOTED WORKS ADDITIONAL COSTS WILL APPLY</t>
        </r>
      </text>
    </comment>
    <comment ref="G414" authorId="0" shapeId="0" xr:uid="{571E3D1A-6749-4C4F-8F4B-AD37038E7A39}">
      <text>
        <r>
          <rPr>
            <sz val="11"/>
            <color theme="1"/>
            <rFont val="Aptos Narrow"/>
            <family val="2"/>
            <scheme val="minor"/>
          </rPr>
          <t>Unknown User:
BYPASS OF RAINWATER SWITCH
Isolate main power supply to existing rainwater pump
Isolate main water supply to existing rainwater pump
Disconnect existing power supply to rainwater pump
Disconnect existing water service inlet to rainwater switch
Disconnect existing water service outlet to rainwater switch
Disconnect &amp; remove existing brass fittings
Disconnect &amp; remove existing unions
Disconnect &amp; remove existing check valves
Disconnect &amp; remove existing non return valve
Disconnect existing rainwater pump switch from rainwater pump
Clean &amp; prepare work area for By-pass
Supply &amp; install new brass fittings
Supply &amp; install new press fittings
Supply &amp; install new section of copper water service
Connect new section of copper water service to existing rain to main supply
By pass existing rain to main switch
Decommission existing rain to main switch &amp; make safe
Test &amp; commission installation
Removal of trade waste
PLEASE NOTE IF FURTHER WORK REQUIRED OTHER THEN QUOTED WORK FURTHER COST WILL APPLY</t>
        </r>
      </text>
    </comment>
    <comment ref="M414" authorId="0" shapeId="0" xr:uid="{2CC0CD88-80F4-4571-BCEC-0C11BA9C29D7}">
      <text>
        <r>
          <rPr>
            <sz val="11"/>
            <color theme="1"/>
            <rFont val="Aptos Narrow"/>
            <family val="2"/>
            <scheme val="minor"/>
          </rPr>
          <t>Unknown User:
Receipt for $125.60 not uploaded by plumber, now uploaded by Modoras team</t>
        </r>
      </text>
    </comment>
    <comment ref="G415" authorId="0" shapeId="0" xr:uid="{961280B4-D729-4B9E-A9AD-E307243A194B}">
      <text>
        <r>
          <rPr>
            <sz val="11"/>
            <color theme="1"/>
            <rFont val="Aptos Narrow"/>
            <family val="2"/>
            <scheme val="minor"/>
          </rPr>
          <t>Unknown User:
WATER SERVICE RECTIFICATION (EXPOSED)
Isolate water supply to property
Gain access to damaged water service
Cut &amp; removal of existing damaged water service
Clean existing water service
Prepare existing water service for new connections
Flush out water service free of potential debris
Supply &amp; install new section of new water service up to __M
Supply &amp; install new Press fittings
Connect new section of water service to existing water service
Use of specialist hydraulic crimping tool
Crimp new section of water service
Reinstate water supply
Conduct pressure test on water service to ensure no further leaks
Removal of trade waste
Test &amp; commission installation
PLEASE NOTE IF FURTHER WORK REQUIRED OTHER THEN QUOTED WORK FURTHER COST WILL APPLY</t>
        </r>
      </text>
    </comment>
    <comment ref="M415" authorId="0" shapeId="0" xr:uid="{81805FCA-B5E9-4637-ADB7-187909A05969}">
      <text>
        <r>
          <rPr>
            <sz val="11"/>
            <color theme="1"/>
            <rFont val="Aptos Narrow"/>
            <family val="2"/>
            <scheme val="minor"/>
          </rPr>
          <t xml:space="preserve">Unknown User:
Receipt for $166.40 not uploaded by plumber, now uploaded by Modoras team
</t>
        </r>
      </text>
    </comment>
    <comment ref="G420" authorId="0" shapeId="0" xr:uid="{7590EBF1-C989-4FCA-B456-59F96FCA2C51}">
      <text>
        <r>
          <rPr>
            <sz val="11"/>
            <color theme="1"/>
            <rFont val="Aptos Narrow"/>
            <family val="2"/>
            <scheme val="minor"/>
          </rPr>
          <t>Unknown User:
INSTALLATION OF CUSTOMER SUPPLIED FRIDGE WITHIN 2.5M OF COLD WATER SUPPLY
Isolate main water supply to property
Gain access to cold water supply
Expose main cold-water supply within 2.5M of fridge installation
Cut &amp; removal of existing section of cold-water supply
Supply &amp; install new brass fittings
Supply &amp; install new B-press fittings
Supply &amp; install new brass tee
Supply &amp; install new cold-water supply for fridge up to 2.5M to new desired location
Supply &amp; install new No.19
Supply &amp; install new cold water emergency isolation valve
Secure new isolation valve in new desired location
Secure new section of cold-water supply
Prepare new customer supplied fridge for new installation
Install new customer supplied fridge
Connect cold water supply to fridge
Connect power to existing power supply outlet
Test &amp; commission installation
Removal of trade waste – Excludes appliance
PLEASE NOTE IF FURTHER WORK REQUIRED OTHER THEN QUOTED WORK FURTHER COST WILL APPLY</t>
        </r>
      </text>
    </comment>
    <comment ref="P420" authorId="0" shapeId="0" xr:uid="{0B6B6204-AA68-456A-9AF6-16C0310E8775}">
      <text>
        <r>
          <rPr>
            <sz val="11"/>
            <color theme="1"/>
            <rFont val="Aptos Narrow"/>
            <family val="2"/>
            <scheme val="minor"/>
          </rPr>
          <t>Unknown User:
Quote not emailed</t>
        </r>
      </text>
    </comment>
    <comment ref="U420" authorId="0" shapeId="0" xr:uid="{FD40C346-3DFC-4CF0-8F24-4EF9816FE813}">
      <text>
        <r>
          <rPr>
            <sz val="11"/>
            <color theme="1"/>
            <rFont val="Aptos Narrow"/>
            <family val="2"/>
            <scheme val="minor"/>
          </rPr>
          <t>Unknown User:
1 July-As per Ben Taylor's note "Job is approved. Client has just ordered her fridge. She will give me a call or the office to schedule a date next week when fridge arrives."</t>
        </r>
      </text>
    </comment>
    <comment ref="G421" authorId="0" shapeId="0" xr:uid="{91A6B756-22EB-420D-B25B-F39DDCA21348}">
      <text>
        <r>
          <rPr>
            <sz val="11"/>
            <color theme="1"/>
            <rFont val="Aptos Narrow"/>
            <family val="2"/>
            <scheme val="minor"/>
          </rPr>
          <t>Unknown User:
SUPPLY &amp; INSTALLATION OF NEW COPPER GAS SERVICE UP TO M (REPLACEMENT OF EXISTING GALVANISED GAS SERVICE)
Obtain service location diagram
Obtain dial before dig
Set up safe work area
Isolate main gas supply to property
Disconnect existing main meter unions
Disconnect &amp; remove existing main gas meter regulator
Disconnect &amp; remove existing brass fittings
Disconnect &amp; remove existing section of gas service connecting to main meter
Disconnect &amp; removal of existing gas support brackets &amp; clips
Disconnect &amp; removal of existing gas service  (Exposed)
Disconnect &amp; removal of existing gas service connecting to gas hot water system
Disconnect &amp; removal of existing gas service connecting to gas ducted heater - 
Disconnect &amp; removal of existing gas service connecting to gas cooktop - (If Applicable)
Disconnect &amp; removal of existing gas emergency isolation valve
Disconnect &amp; removal of existing brass fittings
Clean &amp; prepare work area
Prepare property for installation of new gas service in copper up to 20M
Supply &amp; install new gas service connecting to gas hot water system - 
Supply &amp; install new gas service connecting to gas ducted heater
Supply &amp; install new gas service connecting to gas cooktop - 
Supply &amp; install new main gas service in copper up to 20M – Exposed
Supply &amp; install new brass fittings
Supply &amp; install new B-press fittings
Supply &amp; install new emergency isolation valves
Supply &amp; install new brackets, clips &amp; supports
Secure new gas service
Reinstall existing main gas meter
Connect new gas service to main gas meter
Restoration of work area
Removal of trade waste
Test &amp; commission installation
Provide new certificate of compliance
PLEASE NOTE IF FURTHER WORK REQUIRED OTHER THEN QUOTED WORK FURTHER COST WILL APPLY
SUPPLY &amp; INSTALLATION OF NEW INSTANTANEOUS GAS HOT WATER SYSTEM (INTERNAL)
Isolate main water supply to property
Isolate main gas supply to property
Isolate power supply to existing gas instantaneous hot water system
Disconnect power supply to existing gas instantaneous hot water system
Disconnect existing gas flue to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gas flue to new gas instantaneous hot water system
Reconnect power supply to new gas instantaneous hot water system
Test &amp; commission installation
Removal of trade waste
PLEASE NOTE IF FURTHER WORK REQUIRED OUTSIDE OF QUOTED WORKS ADDITIONAL COSTS WILL APPLY</t>
        </r>
      </text>
    </comment>
    <comment ref="S421" authorId="0" shapeId="0" xr:uid="{C5814D16-B15B-4D00-8A4D-6C7A7881FB36}">
      <text>
        <r>
          <rPr>
            <sz val="11"/>
            <color theme="1"/>
            <rFont val="Aptos Narrow"/>
            <family val="2"/>
            <scheme val="minor"/>
          </rPr>
          <t>Unknown User:
Final invoice not emailed</t>
        </r>
      </text>
    </comment>
    <comment ref="U421" authorId="0" shapeId="0" xr:uid="{5924ECF2-7500-4435-A691-7C849E731531}">
      <text>
        <r>
          <rPr>
            <sz val="11"/>
            <color theme="1"/>
            <rFont val="Aptos Narrow"/>
            <family val="2"/>
            <scheme val="minor"/>
          </rPr>
          <t>Unknown User:
17 July-As per Caitlin's note "Joseph &amp; brother called with concerns regards to the cost of the job. Joesph is in his 80s and suffering with depression and has upset the family by booking the job, wants to cancel any further works as unaffordable. Said I will pass onto the plumber as I cannot cancel a job that's began"</t>
        </r>
      </text>
    </comment>
    <comment ref="G429" authorId="0" shapeId="0" xr:uid="{CE1A57D6-524D-454B-B325-752EB26C5520}">
      <text>
        <r>
          <rPr>
            <sz val="11"/>
            <color theme="1"/>
            <rFont val="Aptos Narrow"/>
            <family val="2"/>
            <scheme val="minor"/>
          </rPr>
          <t>Unknown User:
SEARCH &amp; INVESTIGATION OF POTENTIAL GAS LEAK
Gain access to main gas meter
Isolate the main gas supply to the property
Disconnect the existing main meter test point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t>
        </r>
      </text>
    </comment>
    <comment ref="P429" authorId="0" shapeId="0" xr:uid="{5118DD3E-6EC1-4E11-AABA-94CD72364159}">
      <text>
        <r>
          <rPr>
            <sz val="11"/>
            <color theme="1"/>
            <rFont val="Aptos Narrow"/>
            <family val="2"/>
            <scheme val="minor"/>
          </rPr>
          <t>Unknown User:
Quote not Emailed</t>
        </r>
      </text>
    </comment>
    <comment ref="G431" authorId="0" shapeId="0" xr:uid="{01BF561A-A270-498E-99AB-4D163AC29077}">
      <text>
        <r>
          <rPr>
            <sz val="11"/>
            <color theme="1"/>
            <rFont val="Aptos Narrow"/>
            <family val="2"/>
            <scheme val="minor"/>
          </rPr>
          <t>Unknown User:
SEWER SPOT DIG UP TO 1.5M (UNDER CONCRETE)
Obtain sewer diagram
Obtain dial Before dig
Obtain service location diagram
Set up safe work area
Set up builders plastic
Set up barricades for safety
Concrete cut ground area
Jack hammer ground area
Removal of concrete in required location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t>
        </r>
      </text>
    </comment>
    <comment ref="P431" authorId="0" shapeId="0" xr:uid="{71AE4003-AB61-4681-A8EB-92EE35CECA7A}">
      <text>
        <r>
          <rPr>
            <sz val="11"/>
            <color theme="1"/>
            <rFont val="Aptos Narrow"/>
            <family val="2"/>
            <scheme val="minor"/>
          </rPr>
          <t>Unknown User:
Quote not emailed</t>
        </r>
      </text>
    </comment>
    <comment ref="G436" authorId="0" shapeId="0" xr:uid="{9E4C60F0-04E0-4A27-959B-DA9EC8A6301E}">
      <text>
        <r>
          <rPr>
            <sz val="11"/>
            <color theme="1"/>
            <rFont val="Aptos Narrow"/>
            <family val="2"/>
            <scheme val="minor"/>
          </rPr>
          <t xml:space="preserve">Unknown User:
DISCONNECT &amp; RECONNECT ELECTRIC STORAGE HWS
Isolate power supply to electric storage unit
Isolate water supply to property
Disconnect plumbing to existing electric storage unit
Disconnect electrical supply to electric hot water unit
Drain electric storage unit
Removal of existing section of cold-water service connecting to electric storage unit
Removal of existing section of hot water service connecting to electric storage unit
Removal of existing valves
Clean &amp; prepare existing connections
Supply new brass fittings to cold water service
Supply new brass fittings to hot water service
Cap off cold water service connecting to electric storage unit
Cap off hot water service connecting to electric storage unit
Decommission electric storage unit &amp; make safe
Reinstate main water supply to property
Install the customer-supplied hot water system
Supply and install a new duo valve
Supply and install a new pressure limiting valve
Supply and install a new tempering valve
Install a new pressure relief valve
Supply and install a new pressure relief valve drain in copper, ensuring compliance
with AS/3500
Supply and install new brass fittings
Supply and install new B-press fittings
Reconfigure the cold-water service to suit the new electric storage system
Reconfigure the hot water service to suit the new electric storage system
Supply and install a new section of the cold-water copper service
Supply and install a new section of the hot water copper service
Reconnect the cold-water service to the new electric hot water system
Reconnect the hot water service to the new electric hot water system
Reconnect the power supply to the new electric hot water system
Reinstate the main water supply to the property
Test and commission the installation
Remove trade waste
</t>
        </r>
      </text>
    </comment>
    <comment ref="P436" authorId="0" shapeId="0" xr:uid="{604F89EB-9EB1-4996-B554-75ED768B7D3A}">
      <text>
        <r>
          <rPr>
            <sz val="11"/>
            <color theme="1"/>
            <rFont val="Aptos Narrow"/>
            <family val="2"/>
            <scheme val="minor"/>
          </rPr>
          <t>Unknown User:
Quote not Emailed</t>
        </r>
      </text>
    </comment>
    <comment ref="G440" authorId="0" shapeId="0" xr:uid="{B9BB84C2-AFB8-4D0D-9CA3-BA7170296D2A}">
      <text>
        <r>
          <rPr>
            <sz val="11"/>
            <color theme="1"/>
            <rFont val="Aptos Narrow"/>
            <family val="2"/>
            <scheme val="minor"/>
          </rPr>
          <t xml:space="preserve">Unknown User:
INSTALLATION OF COMMERCIAL PLATE WASHER TAP WITH TRIGGER SPRAY FUNCTION (CUSTOMER SUPPLIED)
CLAR ARRESTOR INSTALLATION
</t>
        </r>
      </text>
    </comment>
    <comment ref="G441" authorId="0" shapeId="0" xr:uid="{7EFE0A58-9EF2-4351-9086-E532CFFFE77C}">
      <text>
        <r>
          <rPr>
            <sz val="11"/>
            <color theme="1"/>
            <rFont val="Aptos Narrow"/>
            <family val="2"/>
            <scheme val="minor"/>
          </rPr>
          <t>Unknown User:
SUPPLY &amp; INSTALLATION OF NEW EMERGENCY GAS ISOLATION VALVE
$65 First Service Discount</t>
        </r>
      </text>
    </comment>
    <comment ref="G442" authorId="0" shapeId="0" xr:uid="{58899BD9-6030-4179-AC3C-1486877934C1}">
      <text>
        <r>
          <rPr>
            <sz val="11"/>
            <color theme="1"/>
            <rFont val="Aptos Narrow"/>
            <family val="2"/>
            <scheme val="minor"/>
          </rPr>
          <t xml:space="preserve">Unknown User:
SUPPLY &amp; INSTALLATION OF NEW COPPER GAS, HOT &amp; COLD SERVICE UP TO 10M FOR FUTURE BBQ
</t>
        </r>
      </text>
    </comment>
    <comment ref="G443" authorId="0" shapeId="0" xr:uid="{A2C8691E-2AE4-49AC-A971-6B3BC97D936F}">
      <text>
        <r>
          <rPr>
            <sz val="11"/>
            <color theme="1"/>
            <rFont val="Aptos Narrow"/>
            <family val="2"/>
            <scheme val="minor"/>
          </rPr>
          <t>Unknown User:
SEARCH &amp; INVESTIGATION OF DOUBLE STOREY ROOF OF POTENTIAL LEAK
Set up ladders
Set up working-at-height equipment
Gain safe access to the roof
Visually inspect the roof above the areas of damage
Check the condition of roof sheets or tiles
Remove roof sheets or tiles in the required location (if required)
Visually inspect underneath roof sheets or tiles for any water damage to timbers or plaster (if required)
Inspect the condition of roof penetration flashings
Inspect the condition of skylight flashing
Inspect the condition and installation of guttering
Inspect the condition of roof flashings
Inspect the condition of box gutter joins
Inspect the condition of box gutter overflows
Inspect the condition of sumps
Inspect for sufficient overflow to the roof guttering
Flood test potential defected areas on the roof
Locate water ingress from below and identify the cause of water ingress
Carry out any minor repairs (e.g., deteriorated sealant or loose roofing screws)
Reinstate roof sheets or tiles in worked area (only)
Test and commission work completed
Remove all trade waste
PLEASE NOTE IF FURTHER WORK REQUIRED OTHER THEN QUOTED WORK FURTHER COST WILL APPLY</t>
        </r>
      </text>
    </comment>
    <comment ref="G444" authorId="0" shapeId="0" xr:uid="{08390244-171A-459F-8C9F-4FC8395C9B67}">
      <text>
        <r>
          <rPr>
            <sz val="11"/>
            <color theme="1"/>
            <rFont val="Aptos Narrow"/>
            <family val="2"/>
            <scheme val="minor"/>
          </rPr>
          <t>Unknown User:
COMPLETE SERVICE OF TOILET CISTERN
Isolate main water supply to property
Disconnect cold-water supply to existing toilet cistern
Removal of existing cold-water supply to toilet cistern
Disconnect &amp; removal of existing emergency isolation valve
Gain access to toilet cistern
Disconnect existing toilet cistern inlet valve
Removal of existing toilet cistern inlet valve
Disconnect existing toilet cistern outlet valve
Removal of existing toilet cistern outlet valve
Disconnect &amp; removal of existing toilet cistern outlet valve drop washer
Clean existing toilet cistern outlet valve housing
Flush out toilet cistern free from all debris
Supply &amp; install new outlet valve drop washer
Reinstall existing toilet cistern outlet valve
Supply &amp; install new toilet cistern inlet valve
Secure new inlet valve to existing toilet cistern
Supply &amp; install new emergency isolation valve
Supply &amp; install new cold-water stainless-steel flexi hose
Reinstate main water supply to toilet cistern
Adjust inlet valve &amp; outlet valve to ensure optimal flush
Test &amp; commission installation
Removal of trade waste
PLEASE NOTE IF FURTHER WORK REQUIRED OUTSIDE OF QUOTED WORKS ADDITIONAL COSTS WILL APPLY</t>
        </r>
      </text>
    </comment>
    <comment ref="G445" authorId="0" shapeId="0" xr:uid="{544CB3C0-B206-4705-B077-5129705B43D1}">
      <text>
        <r>
          <rPr>
            <sz val="11"/>
            <color theme="1"/>
            <rFont val="Aptos Narrow"/>
            <family val="2"/>
            <scheme val="minor"/>
          </rPr>
          <t>Unknown User:
COMPLETE SERVICE OF TOILET CISTERN
Isolate main water supply to property
Disconnect cold-water supply to existing toilet cistern
Removal of existing cold-water supply to toilet cistern
Disconnect &amp; removal of existing emergency isolation valve
Gain access to toilet cistern
Disconnect existing toilet cistern inlet valve
Removal of existing toilet cistern inlet valve
Disconnect existing toilet cistern outlet valve
Removal of existing toilet cistern outlet valve
Disconnect &amp; removal of existing toilet cistern outlet valve drop washer
Clean existing toilet cistern outlet valve housing
Flush out toilet cistern free from all debris
Supply &amp; install new outlet valve drop washer
Reinstall existing toilet cistern outlet valve
Supply &amp; install new toilet cistern inlet valve
Secure new inlet valve to existing toilet cistern
Supply &amp; install new emergency isolation valve
Supply &amp; install new cold-water stainless-steel flexi hose
Reinstate main water supply to toilet cistern
Adjust inlet valve &amp; outlet valve to ensure optimal flush
Test &amp; commission installation
Removal of trade waste
PLEASE NOTE IF FURTHER WORK REQUIRED OUTSIDE OF QUOTED WORKS ADDITIONAL COSTS WILL APPLY
10% Seniors &amp; Pensioners Discount
Customer satisfaction discount</t>
        </r>
      </text>
    </comment>
    <comment ref="W445" authorId="0" shapeId="0" xr:uid="{6B75C8A2-2301-4D19-9B4D-CC0FFA10D3AE}">
      <text>
        <r>
          <rPr>
            <sz val="11"/>
            <color theme="1"/>
            <rFont val="Aptos Narrow"/>
            <family val="2"/>
            <scheme val="minor"/>
          </rPr>
          <t>Unknown User:
Cash denomination 
$50*22 = $1100
 Total - $1100.22
Short receipt of $0.22 is observed</t>
        </r>
      </text>
    </comment>
    <comment ref="G446" authorId="0" shapeId="0" xr:uid="{E67BE1FE-1BEF-45F2-B8BD-48FD0827A7F1}">
      <text>
        <r>
          <rPr>
            <sz val="11"/>
            <color theme="1"/>
            <rFont val="Aptos Narrow"/>
            <family val="2"/>
            <scheme val="minor"/>
          </rPr>
          <t>Unknown User:
SEARCH AND INVESTIGATION OF SOLAR SPLIT HOT WATER SYSTEM
Set up safe worked area
Gain access to solar hot water system
Gain access to solar panels
Gain access to main electrical supply
Check power supply at mains
Disconnect and remove hot water system electrical cover
Check power supply to solar hot water hot water unit
Check power supply to thermostat
Check power supply to element
Check water supply to isolation valve
Check hot water system for tempering valve
Check water supply pressure to property
Check hot water system flow rate
Check electrical cable connections on hot water unit
Visually inspect electrical cable for ruptures where able
Check relief valve operation and integrity
Check discharge from outlet of hot water system for any signs of rust and corrosion in hot water supply
Determine cause and include any repair to a loose pipe or loose wire connection
PLEASE NOTE IF FURTHER WORK IS REQUIRED ADDITIONAL COSTS WILL APPLY
Please note:
- We aim to detect all faults, however due to the differing nature of faults, we may only be able to find the primary fault. Secondary and other faults may only become apparent when the primary fault has been repaired.
- If a fault is found, then other exploratory methods will not be conducted if not required.
- Once fault is found further cost will apply to repair.</t>
        </r>
      </text>
    </comment>
    <comment ref="G447" authorId="0" shapeId="0" xr:uid="{A15A6822-22D7-4CF0-9FF0-3625544EE1DF}">
      <text>
        <r>
          <rPr>
            <sz val="11"/>
            <color theme="1"/>
            <rFont val="Aptos Narrow"/>
            <family val="2"/>
            <scheme val="minor"/>
          </rPr>
          <t>Unknown User:
REPLACEMENT OF WALL TOP TAPWARE
Isolate main water supply to property
Disconnect &amp; removal of existing cold water wall top tapware
Disconnect &amp; removal of existing hot water wall top tapware
Disconnect &amp; removal of existing jumper valves
Disconnect &amp; removal of existing fiber washers
Machine breech
Flush out breech free from debris
Supply &amp; install new jumper valves
Supply &amp; install new fiber washers
Supply &amp; install new cold water wall top tapware
Supply &amp; install new hot water wall top tapware
Reinstate main water supply to property
Test &amp; commission installation
Removal of trade waste
PLEASE NOTE IF FURTHER WORK REQUIRED OTHER THEN QUOTED WORK FURTHER COST WILL APPLY</t>
        </r>
      </text>
    </comment>
    <comment ref="G448" authorId="0" shapeId="0" xr:uid="{5AC22681-40E5-48B0-BEB4-2E42EFC53517}">
      <text>
        <r>
          <rPr>
            <sz val="11"/>
            <color theme="1"/>
            <rFont val="Aptos Narrow"/>
            <family val="2"/>
            <scheme val="minor"/>
          </rPr>
          <t xml:space="preserve">Unknown User:
SEARCH &amp; INVESTIGATION OF GAS APPLIANCE 
</t>
        </r>
      </text>
    </comment>
    <comment ref="G449" authorId="0" shapeId="0" xr:uid="{562D882F-45AB-4FA3-9AF1-A79AAE460ADA}">
      <text>
        <r>
          <rPr>
            <sz val="11"/>
            <color theme="1"/>
            <rFont val="Aptos Narrow"/>
            <family val="2"/>
            <scheme val="minor"/>
          </rPr>
          <t>Unknown User:
SEARCH &amp; INVESTIGATION OF SINGLE STOREY ROOF OF POTENTIAL LEAK
$65 First Service Discount</t>
        </r>
      </text>
    </comment>
    <comment ref="G450" authorId="0" shapeId="0" xr:uid="{6C0F8E55-B145-4231-9903-7404D6A8ACCA}">
      <text>
        <r>
          <rPr>
            <sz val="11"/>
            <color theme="1"/>
            <rFont val="Aptos Narrow"/>
            <family val="2"/>
            <scheme val="minor"/>
          </rPr>
          <t>Unknown User:
SEARCH &amp; INVESTIGATION OF DISHWASHER
Isolate the main water supply to the appliance
Disconnect &amp; remove the cold-water supply
Disconnect &amp; remove the drainage line
Disconnect &amp; remove the power supply
Visually inspect the dishwasher and hoses for any breaks or faults
Check for any blockages and clear them if possible
Inspect the dishwasher for leaks
Clean and flush the filters
Reinstate the main water supply
Reconnect the main drainage hose
Perform testing and commission the installation
Identify the cause of the issue
Provide an additional quote for any further repairs (if required)
PLEASE NOTE IF FURTHER WORK REQUIRED OTHER THEN QUOTED WORK FURTHER COST WILL APPLY</t>
        </r>
      </text>
    </comment>
    <comment ref="E472" authorId="14" shapeId="0" xr:uid="{5D4E7509-D202-42A5-97CA-9DEA1E961AB9}">
      <text>
        <t>[Threaded comment]
Your version of Excel allows you to read this threaded comment; however, any edits to it will get removed if the file is opened in a newer version of Excel. Learn more: https://go.microsoft.com/fwlink/?linkid=870924
Comment:
    Stock</t>
      </text>
    </comment>
    <comment ref="E473" authorId="15" shapeId="0" xr:uid="{C24CC012-2266-4C36-88E7-798676DDAFB7}">
      <text>
        <t>[Threaded comment]
Your version of Excel allows you to read this threaded comment; however, any edits to it will get removed if the file is opened in a newer version of Excel. Learn more: https://go.microsoft.com/fwlink/?linkid=870924
Comment:
    Stock</t>
      </text>
    </comment>
    <comment ref="E474" authorId="16" shapeId="0" xr:uid="{B447AD5C-095A-4794-BEA2-A63E34F5841B}">
      <text>
        <t>[Threaded comment]
Your version of Excel allows you to read this threaded comment; however, any edits to it will get removed if the file is opened in a newer version of Excel. Learn more: https://go.microsoft.com/fwlink/?linkid=870924
Comment:
    Stock</t>
      </text>
    </comment>
    <comment ref="G483" authorId="0" shapeId="0" xr:uid="{66BB7825-7E64-4ED6-9DBB-7CD2134A1DDF}">
      <text>
        <r>
          <rPr>
            <sz val="11"/>
            <color theme="1"/>
            <rFont val="Aptos Narrow"/>
            <family val="2"/>
            <scheme val="minor"/>
          </rPr>
          <t>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t>
        </r>
      </text>
    </comment>
    <comment ref="M483" authorId="0" shapeId="0" xr:uid="{374C5F75-3767-4242-BB54-911B275ECAC2}">
      <text>
        <r>
          <rPr>
            <sz val="11"/>
            <color theme="1"/>
            <rFont val="Aptos Narrow"/>
            <family val="2"/>
            <scheme val="minor"/>
          </rPr>
          <t>Unknown User:
Receipt for $1842.1 not uploaded by plumber, now uploaded by Modoras Team</t>
        </r>
      </text>
    </comment>
    <comment ref="U483" authorId="0" shapeId="0" xr:uid="{69CAE1BB-83DF-4B7D-8655-AADCB206D81D}">
      <text>
        <r>
          <rPr>
            <sz val="11"/>
            <color theme="1"/>
            <rFont val="Aptos Narrow"/>
            <family val="2"/>
            <scheme val="minor"/>
          </rPr>
          <t>Unknown User:
31/07-As per Lily's note "steven doesnt want 10% refund, also wants to be sent all phone recordings and transcripts, and time stamped with the collegues name"</t>
        </r>
      </text>
    </comment>
    <comment ref="G484" authorId="0" shapeId="0" xr:uid="{45E21DB2-483A-43E5-BFA3-DDEA412B91CF}">
      <text>
        <r>
          <rPr>
            <sz val="11"/>
            <color theme="1"/>
            <rFont val="Aptos Narrow"/>
            <family val="2"/>
            <scheme val="minor"/>
          </rPr>
          <t>Unknown User:
SEARCH AND INVESTIGATION OF ELECTRIC STORAGE HOT WATER SYSTEM</t>
        </r>
      </text>
    </comment>
    <comment ref="M484" authorId="0" shapeId="0" xr:uid="{3ECEB3D8-E14B-459A-8A4D-F628435E0CA7}">
      <text>
        <r>
          <rPr>
            <sz val="11"/>
            <color theme="1"/>
            <rFont val="Aptos Narrow"/>
            <family val="2"/>
            <scheme val="minor"/>
          </rPr>
          <t>Unknown User:
Receipt for $674.10 not uploaded by plumber, now uploaded by Modoras Team</t>
        </r>
      </text>
    </comment>
    <comment ref="U484" authorId="0" shapeId="0" xr:uid="{CB2C76A0-D42D-4C75-8626-969EF7BB81FB}">
      <text>
        <r>
          <rPr>
            <sz val="11"/>
            <color theme="1"/>
            <rFont val="Aptos Narrow"/>
            <family val="2"/>
            <scheme val="minor"/>
          </rPr>
          <t>Unknown User:
30/07-As per Charles Hadfield's note "Customer just called saying that the hot water is still not working. Informed he will we try to get in touch with plumber and call him back with a update."</t>
        </r>
      </text>
    </comment>
    <comment ref="G485" authorId="0" shapeId="0" xr:uid="{8E3F21FC-3529-4582-B29C-55E735452F87}">
      <text>
        <r>
          <rPr>
            <sz val="11"/>
            <color theme="1"/>
            <rFont val="Aptos Narrow"/>
            <family val="2"/>
            <scheme val="minor"/>
          </rPr>
          <t>Unknown User:
SUPPLY &amp; INSTALLATION OF NEW TWIN ELEMENT HOT WATER UNIT (INTERNAL)</t>
        </r>
      </text>
    </comment>
    <comment ref="T485" authorId="0" shapeId="0" xr:uid="{864863B3-E546-40A3-9AF5-C6D461DA09D5}">
      <text>
        <r>
          <rPr>
            <sz val="11"/>
            <color theme="1"/>
            <rFont val="Aptos Narrow"/>
            <family val="2"/>
            <scheme val="minor"/>
          </rPr>
          <t>Unknown User:
0.5x Alex and Riley
0.5x for Ben</t>
        </r>
      </text>
    </comment>
    <comment ref="G486" authorId="0" shapeId="0" xr:uid="{28E2F5C2-FF1C-46D8-879C-C415DE3A526F}">
      <text>
        <r>
          <rPr>
            <sz val="11"/>
            <color theme="1"/>
            <rFont val="Aptos Narrow"/>
            <family val="2"/>
            <scheme val="minor"/>
          </rPr>
          <t>Unknown User:
REPLACEMENT OF WALL TOP TAPWARE
10% Seniors &amp; Pensioners Discount</t>
        </r>
      </text>
    </comment>
    <comment ref="M486" authorId="0" shapeId="0" xr:uid="{CA59343E-7AF2-435C-952B-3F0B10CB6E4F}">
      <text>
        <r>
          <rPr>
            <sz val="11"/>
            <color theme="1"/>
            <rFont val="Aptos Narrow"/>
            <family val="2"/>
            <scheme val="minor"/>
          </rPr>
          <t>Unknown User:
Receipt for $112.60 not uploaded by plumber, now uploaded by Modoras Team</t>
        </r>
      </text>
    </comment>
    <comment ref="G487" authorId="0" shapeId="0" xr:uid="{688459F2-63A3-46FE-A227-EA4B7CEF2715}">
      <text>
        <r>
          <rPr>
            <sz val="11"/>
            <color theme="1"/>
            <rFont val="Aptos Narrow"/>
            <family val="2"/>
            <scheme val="minor"/>
          </rPr>
          <t>Unknown User:
REPLACEMENT OF BASIN MIXER
$65 First Service Discount</t>
        </r>
      </text>
    </comment>
    <comment ref="G488" authorId="0" shapeId="0" xr:uid="{DF100047-D041-4A20-889C-1C6C53F2C041}">
      <text>
        <r>
          <rPr>
            <sz val="11"/>
            <color theme="1"/>
            <rFont val="Aptos Narrow"/>
            <family val="2"/>
            <scheme val="minor"/>
          </rPr>
          <t>Unknown User:
CCTV DRAIN CAMERA INSPECTION OF STORM WATER SERVICE</t>
        </r>
      </text>
    </comment>
    <comment ref="G489" authorId="0" shapeId="0" xr:uid="{BB8248B9-BD91-4EEC-9D86-BF632B40CA43}">
      <text>
        <r>
          <rPr>
            <sz val="11"/>
            <color theme="1"/>
            <rFont val="Aptos Narrow"/>
            <family val="2"/>
            <scheme val="minor"/>
          </rPr>
          <t>Unknown User:
HIGH POWERED SUCTION &amp; ACID TREATMENT</t>
        </r>
      </text>
    </comment>
    <comment ref="G490" authorId="0" shapeId="0" xr:uid="{397DA0D2-2FBF-44DA-9763-A0BDC679AE61}">
      <text>
        <r>
          <rPr>
            <sz val="11"/>
            <color theme="1"/>
            <rFont val="Aptos Narrow"/>
            <family val="2"/>
            <scheme val="minor"/>
          </rPr>
          <t>Unknown User:
REPLACEMENT OF BOTTOM INLET CISTERN FILLING VALVE
Non-refundable call out fee</t>
        </r>
      </text>
    </comment>
    <comment ref="G495" authorId="0" shapeId="0" xr:uid="{448B0739-5797-4F05-B65C-CBC00CFBEFF5}">
      <text>
        <r>
          <rPr>
            <sz val="11"/>
            <color theme="1"/>
            <rFont val="Aptos Narrow"/>
            <family val="2"/>
            <scheme val="minor"/>
          </rPr>
          <t>Unknown User:
SEWER SPOT DIG UP TO 1.5M (UNDER CONCRETE)
Obtain sewer diagram
Obtain dial Before dig
Obtain service location diagram
Set up safe work area
Set up builders plastic
Set up barricades for safety
Concrete cut ground area
Jack hammer ground area
Removal of concrete in required location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t>
        </r>
      </text>
    </comment>
    <comment ref="P495" authorId="0" shapeId="0" xr:uid="{51C09B2E-1A12-4B24-8E67-641C1B16264A}">
      <text>
        <r>
          <rPr>
            <sz val="11"/>
            <color theme="1"/>
            <rFont val="Aptos Narrow"/>
            <family val="2"/>
            <scheme val="minor"/>
          </rPr>
          <t>Unknown User:
Quote not emailed</t>
        </r>
      </text>
    </comment>
    <comment ref="G500" authorId="0" shapeId="0" xr:uid="{B451FBE9-64B3-4DDD-A106-AEA437E7FEA5}">
      <text>
        <r>
          <rPr>
            <sz val="11"/>
            <color theme="1"/>
            <rFont val="Aptos Narrow"/>
            <family val="2"/>
            <scheme val="minor"/>
          </rPr>
          <t>Unknown User:
SUPPLY &amp; INSTALLATION OF NEW TWIN ELEMENT HOT WATER UNIT (INTERNAL)
CREDIT OF SEARCH &amp; INVESTIGATION</t>
        </r>
      </text>
    </comment>
    <comment ref="L500" authorId="0" shapeId="0" xr:uid="{ED1F82E5-4069-4830-A14A-90B44DB6956E}">
      <text>
        <r>
          <rPr>
            <sz val="11"/>
            <color theme="1"/>
            <rFont val="Aptos Narrow"/>
            <family val="2"/>
            <scheme val="minor"/>
          </rPr>
          <t>Unknown User:
Temp check pending</t>
        </r>
      </text>
    </comment>
    <comment ref="N500" authorId="0" shapeId="0" xr:uid="{3F90B6D1-AD65-49DF-8322-314A56DEDFD7}">
      <text>
        <r>
          <rPr>
            <sz val="11"/>
            <color theme="1"/>
            <rFont val="Aptos Narrow"/>
            <family val="2"/>
            <scheme val="minor"/>
          </rPr>
          <t>Unknown User:
Quote raised in job #71831</t>
        </r>
      </text>
    </comment>
    <comment ref="U500" authorId="0" shapeId="0" xr:uid="{C67DCC71-7E27-47C2-89A1-0938B94D8F11}">
      <text>
        <r>
          <rPr>
            <sz val="11"/>
            <color theme="1"/>
            <rFont val="Aptos Narrow"/>
            <family val="2"/>
            <scheme val="minor"/>
          </rPr>
          <t>Unknown User:
29/07-As per Alex's note "Hws leaking from the electrical box possibly cracked. Someone needs to come back and look at it and swap out for a new one. Contact customer 15 mins before hand."</t>
        </r>
      </text>
    </comment>
    <comment ref="G508" authorId="0" shapeId="0" xr:uid="{5D7C30B9-BEEA-46A7-87B5-C00D510E6CED}">
      <text>
        <r>
          <rPr>
            <sz val="11"/>
            <color theme="1"/>
            <rFont val="Aptos Narrow"/>
            <family val="2"/>
            <scheme val="minor"/>
          </rPr>
          <t>Unknown User:
SEARCH &amp; INVESTIGATION OF POTENTIAL GAS LEAK
Gain access to main gas meter
Isolate the main gas supply to the property
Disconnect the existing main meter test point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t>
        </r>
      </text>
    </comment>
    <comment ref="P508" authorId="0" shapeId="0" xr:uid="{8BAA8CD8-6343-4845-BC89-2AA845481120}">
      <text>
        <r>
          <rPr>
            <sz val="11"/>
            <color theme="1"/>
            <rFont val="Aptos Narrow"/>
            <family val="2"/>
            <scheme val="minor"/>
          </rPr>
          <t>Unknown User:
Quote not Emailed</t>
        </r>
      </text>
    </comment>
    <comment ref="G513" authorId="0" shapeId="0" xr:uid="{5A078BDB-28B1-4F57-8214-EBB21B9D11D9}">
      <text>
        <r>
          <rPr>
            <sz val="11"/>
            <color theme="1"/>
            <rFont val="Aptos Narrow"/>
            <family val="2"/>
            <scheme val="minor"/>
          </rPr>
          <t xml:space="preserve">Unknown User:
DISCONNECT &amp; RECONNECT ELECTRIC STORAGE HWS
Isolate power supply to electric storage unit
Isolate water supply to property
Disconnect plumbing to existing electric storage unit
Disconnect electrical supply to electric hot water unit
Drain electric storage unit
Removal of existing section of cold-water service connecting to electric storage unit
Removal of existing section of hot water service connecting to electric storage unit
Removal of existing valves
Clean &amp; prepare existing connections
Supply new brass fittings to cold water service
Supply new brass fittings to hot water service
Cap off cold water service connecting to electric storage unit
Cap off hot water service connecting to electric storage unit
Decommission electric storage unit &amp; make safe
Reinstate main water supply to property
Install the customer-supplied hot water system
Supply and install a new duo valve
Supply and install a new pressure limiting valve
Supply and install a new tempering valve
Install a new pressure relief valve
Supply and install a new pressure relief valve drain in copper, ensuring compliance
with AS/3500
Supply and install new brass fittings
Supply and install new B-press fittings
Reconfigure the cold-water service to suit the new electric storage system
Reconfigure the hot water service to suit the new electric storage system
Supply and install a new section of the cold-water copper service
Supply and install a new section of the hot water copper service
Reconnect the cold-water service to the new electric hot water system
Reconnect the hot water service to the new electric hot water system
Reconnect the power supply to the new electric hot water system
Reinstate the main water supply to the property
Test and commission the installation
Remove trade waste
</t>
        </r>
      </text>
    </comment>
    <comment ref="P513" authorId="0" shapeId="0" xr:uid="{DCFBB6A9-D7B6-4F4D-8ACB-8D1B7AC80F1D}">
      <text>
        <r>
          <rPr>
            <sz val="11"/>
            <color theme="1"/>
            <rFont val="Aptos Narrow"/>
            <family val="2"/>
            <scheme val="minor"/>
          </rPr>
          <t>Unknown User:
Quote not Emailed</t>
        </r>
      </text>
    </comment>
    <comment ref="G517" authorId="0" shapeId="0" xr:uid="{045FC7F0-C8BB-45F2-B1AB-63E7D0029FE7}">
      <text>
        <r>
          <rPr>
            <sz val="11"/>
            <color theme="1"/>
            <rFont val="Aptos Narrow"/>
            <family val="2"/>
            <scheme val="minor"/>
          </rPr>
          <t>Unknown User:
REPLACEMENT OF CISTERN DUAL FLUSH VALVE WITH UNIVERSAL FLUSH VALVE (COMPLETE ASSEMBLY)
Isolate water supply to cistern
Drain cistern
Disconnect &amp; remove water inlet to cistern
Disconnect &amp; remove cistern locking bolts
Disconnect &amp; remove cistern from pan
Disconnect &amp; remove existing dual flush valve lock nuts
Disconnect &amp; remove existing dual flush valve
Disconnect &amp; remove existing concealed gaskets
Clean &amp; prepare worked area
Supply &amp; install new sealants
Supply &amp; install new concealed gaskets
Supply &amp; install new dual flush valve (universal) to cistern
Supply &amp; install new dual flush valve lock nuts
Reinstate cistern to pan
Reinstate cistern locking bolts
Reinstate water inlet to cistern
Reinstate water supply to cistern
Test &amp; commission installation
Set flush levels of new dual flush outlet valve
Removal of trade waste from site
PLEASE NOTE IF FURTHER WORK REQUIRED OUTSIDE OF QUOTED WORKS ADDITIONAL COSTS WILL APPLY</t>
        </r>
      </text>
    </comment>
    <comment ref="G518" authorId="0" shapeId="0" xr:uid="{7CF9A1A2-C0CC-41A6-A8F1-4BDCCA155309}">
      <text>
        <r>
          <rPr>
            <sz val="11"/>
            <color theme="1"/>
            <rFont val="Aptos Narrow"/>
            <family val="2"/>
            <scheme val="minor"/>
          </rPr>
          <t>Unknown User:
SUPPLY AND INSTALLATION OF RIGHT-ANGLED PRESSURE REGULATING DEVICE FITTED TO 20MM STRAIGHT PIPEWORK</t>
        </r>
      </text>
    </comment>
    <comment ref="G519" authorId="0" shapeId="0" xr:uid="{359F8C25-58FC-4D78-8B04-F0E7C1F0CEDB}">
      <text>
        <r>
          <rPr>
            <sz val="11"/>
            <color theme="1"/>
            <rFont val="Aptos Narrow"/>
            <family val="2"/>
            <scheme val="minor"/>
          </rPr>
          <t xml:space="preserve">Unknown User:
INSTALLATION OF NEW BIDET (CUSTOMER SUPPLIED) </t>
        </r>
      </text>
    </comment>
    <comment ref="G520" authorId="0" shapeId="0" xr:uid="{2EB1879E-FFE5-4CA4-980C-C9527B9C1C12}">
      <text>
        <r>
          <rPr>
            <sz val="11"/>
            <color theme="1"/>
            <rFont val="Aptos Narrow"/>
            <family val="2"/>
            <scheme val="minor"/>
          </rPr>
          <t>Unknown User:
DECOMMISSION OF EXISTING FREE STANDING OVEN AND GAS COOKTOP &amp; MAKE SAFE
Gain access to main gas meter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Gain access to existing gas service connecting to free standing oven and gas cooktop
Disconnect existing gas service connected to free standing oven and gas cooktop
Disconnect existing brass fittings connected free standing oven and gas cooktop
Disconnect existing gas appliance regulator
Disconnect &amp; remove the existing free-standing oven and gas cooktop
Supply &amp; install new brass cap to existing gas connection point to free standing oven and gas cooktop
Decommission existing gas free standing oven and gas cooktop
Make safe
Reinstate main gas supply to the property
Conduct a manometer test on the main gas service upon completion of the installation to ensure there are no leaks
Test &amp; commission the installation
Removal of all trade waste
PLEASE NOTE IF FURTHER WORK REQUIRED OTHER THEN QUOTED WORK FURTHER COST WILL APPLY
DECOMMISSION OF EXISTING DOUBLE BOWL KITCHEN SINK 
* Isolate main water supply to kitchen mixer 
* Disconnect cold water supply to kitchen mixer 
* Disconnect hot water supply to kitchen mixer 
* Disconnect &amp; removal of existing kitchen mixer 
* Disconnect existing drainage to kitchen sink 
* Disconnect &amp; removal of existing S&amp;P Trap 
* Disconnect &amp; removal of existing double bowl connector 
* Disconnect &amp; removal of existing kitchen sink 
* Disconnect &amp; removal of old sealant 
* Clean &amp; prepare worked area 
* Supply &amp; install brass fittings 
* Supply &amp; install bpress fittings 
* Suppy &amp; install caps 
* Supply &amp; install P.V.C fittings 
* Use of crimping too 
* Test &amp; commission installation 
* Removal of trade waste 
 PLEASE NOTE IF FURTHER WORK REQUIRED OTHER THEN QUOTED WORK FURTHER COST WILL APPLY</t>
        </r>
      </text>
    </comment>
    <comment ref="G521" authorId="0" shapeId="0" xr:uid="{C19EA2D9-C10E-4C0C-B21B-F603E6983E18}">
      <text>
        <r>
          <rPr>
            <sz val="11"/>
            <color theme="1"/>
            <rFont val="Aptos Narrow"/>
            <family val="2"/>
            <scheme val="minor"/>
          </rPr>
          <t>Unknown User:
INSTALLATION OF FREESTANDING OVEN AND GAS COOKTOP [SAME LOCATION] (CUSTOMER SUPPLIED)
INSTALLATION OF NEW DOUBLE BOWL KITCHEN SINK (CUSTOMER SUPPLIED)</t>
        </r>
      </text>
    </comment>
    <comment ref="G522" authorId="0" shapeId="0" xr:uid="{0149987E-B607-4735-8341-EC920913802B}">
      <text>
        <r>
          <rPr>
            <sz val="11"/>
            <color theme="1"/>
            <rFont val="Aptos Narrow"/>
            <family val="2"/>
            <scheme val="minor"/>
          </rPr>
          <t>Unknown User:
DIG UP OF STORM WATER SPOT UP TO 1.5m   (UNDER CONCRETE)
CREDIT OF SEARCH &amp; INVESTIGATION</t>
        </r>
      </text>
    </comment>
    <comment ref="G523" authorId="0" shapeId="0" xr:uid="{D4D3BB0D-F44F-4712-A50F-96FD330BD46A}">
      <text>
        <r>
          <rPr>
            <sz val="11"/>
            <color theme="1"/>
            <rFont val="Aptos Narrow"/>
            <family val="2"/>
            <scheme val="minor"/>
          </rPr>
          <t xml:space="preserve">Unknown User:
SEARCH AND INVESTIGATION OF SOLAR SPLIT HOT WATER SYSTEM
</t>
        </r>
      </text>
    </comment>
    <comment ref="G524" authorId="0" shapeId="0" xr:uid="{6588E553-50BD-4430-90B4-5D13280FA57D}">
      <text>
        <r>
          <rPr>
            <sz val="11"/>
            <color theme="1"/>
            <rFont val="Aptos Narrow"/>
            <family val="2"/>
            <scheme val="minor"/>
          </rPr>
          <t>Unknown User:
CONVERT SOLAR SPLIT HOT WATER SYSTEM TO EXTERNAL GAS INSTANTANEOUS HOT WATER SYSTEM</t>
        </r>
      </text>
    </comment>
    <comment ref="G525" authorId="0" shapeId="0" xr:uid="{3ABF7545-3DFF-47C2-A2D5-8B22BACC2960}">
      <text>
        <r>
          <rPr>
            <sz val="11"/>
            <color theme="1"/>
            <rFont val="Aptos Narrow"/>
            <family val="2"/>
            <scheme val="minor"/>
          </rPr>
          <t>Unknown User:
INSTALLATION OF NEW WASHING MACHINE (CUSTOMER SUPPLIED)
$65 First Service Discount</t>
        </r>
      </text>
    </comment>
    <comment ref="E547" authorId="17" shapeId="0" xr:uid="{273E820C-40EA-42D2-B37C-D87A52B2B671}">
      <text>
        <t>[Threaded comment]
Your version of Excel allows you to read this threaded comment; however, any edits to it will get removed if the file is opened in a newer version of Excel. Learn more: https://go.microsoft.com/fwlink/?linkid=870924
Comment:
    Checked</t>
      </text>
    </comment>
    <comment ref="E548" authorId="18" shapeId="0" xr:uid="{6CCB0C55-A107-4FE3-A0D8-C961426E7F2D}">
      <text>
        <t>[Threaded comment]
Your version of Excel allows you to read this threaded comment; however, any edits to it will get removed if the file is opened in a newer version of Excel. Learn more: https://go.microsoft.com/fwlink/?linkid=870924
Comment:
    Stock</t>
      </text>
    </comment>
    <comment ref="E549" authorId="19" shapeId="0" xr:uid="{DEA5B9A6-9FB9-49D1-A859-25E89F224721}">
      <text>
        <t>[Threaded comment]
Your version of Excel allows you to read this threaded comment; however, any edits to it will get removed if the file is opened in a newer version of Excel. Learn more: https://go.microsoft.com/fwlink/?linkid=870924
Comment:
    Stock</t>
      </text>
    </comment>
    <comment ref="E550" authorId="20" shapeId="0" xr:uid="{FBEAA3CA-BFE9-4AFB-AB00-9BD4784C906B}">
      <text>
        <t>[Threaded comment]
Your version of Excel allows you to read this threaded comment; however, any edits to it will get removed if the file is opened in a newer version of Excel. Learn more: https://go.microsoft.com/fwlink/?linkid=870924
Comment:
    Checked</t>
      </text>
    </comment>
    <comment ref="G557" authorId="0" shapeId="0" xr:uid="{901D4A32-0C5C-4AA0-AF09-482A7703ABD7}">
      <text>
        <r>
          <rPr>
            <sz val="11"/>
            <color theme="1"/>
            <rFont val="Aptos Narrow"/>
            <family val="2"/>
            <scheme val="minor"/>
          </rPr>
          <t>Unknown User:
FLOOD, DYE, PRESSURE TEST (WET AREA)</t>
        </r>
      </text>
    </comment>
    <comment ref="L557" authorId="0" shapeId="0" xr:uid="{C9D95B92-1F81-46E1-A640-CDBD85BC607D}">
      <text>
        <r>
          <rPr>
            <sz val="11"/>
            <color theme="1"/>
            <rFont val="Aptos Narrow"/>
            <family val="2"/>
            <scheme val="minor"/>
          </rPr>
          <t>Unknown User:
Dye test pics not uploaded.
Flood &amp; pressure test pics are uploaded. No issues.</t>
        </r>
      </text>
    </comment>
    <comment ref="G558" authorId="0" shapeId="0" xr:uid="{A3EFCE1D-9B7C-4438-9973-8DF952BFBF6A}">
      <text>
        <r>
          <rPr>
            <sz val="11"/>
            <color theme="1"/>
            <rFont val="Aptos Narrow"/>
            <family val="2"/>
            <scheme val="minor"/>
          </rPr>
          <t>Unknown User:
HIGH POWERED JET BLAST &amp; CCTV DRAIN CAMERA INSPECTION (SEWER SERVICE)</t>
        </r>
      </text>
    </comment>
    <comment ref="P558" authorId="0" shapeId="0" xr:uid="{7B1D5EBB-87FD-44CB-82F5-EB38ABFDB6A2}">
      <text>
        <r>
          <rPr>
            <sz val="11"/>
            <color theme="1"/>
            <rFont val="Aptos Narrow"/>
            <family val="2"/>
            <scheme val="minor"/>
          </rPr>
          <t>Unknown User:
Quote not emailed</t>
        </r>
      </text>
    </comment>
    <comment ref="S558" authorId="0" shapeId="0" xr:uid="{435063D7-C573-40BB-B366-AB29E28EB216}">
      <text>
        <r>
          <rPr>
            <sz val="11"/>
            <color theme="1"/>
            <rFont val="Aptos Narrow"/>
            <family val="2"/>
            <scheme val="minor"/>
          </rPr>
          <t>Unknown User:
Invoice not emailed</t>
        </r>
      </text>
    </comment>
    <comment ref="G559" authorId="0" shapeId="0" xr:uid="{86738192-9CDA-4E4F-ADB5-13B11C86ACDB}">
      <text>
        <r>
          <rPr>
            <sz val="11"/>
            <color theme="1"/>
            <rFont val="Aptos Narrow"/>
            <family val="2"/>
            <scheme val="minor"/>
          </rPr>
          <t>Unknown User:
MIXER TAP - STANDARD
10% Seniors &amp; Pensioners Discount 
Customer Satisfaction</t>
        </r>
      </text>
    </comment>
    <comment ref="W559" authorId="0" shapeId="0" xr:uid="{7FDD8FB9-872E-4FD1-B000-BF1DAF370005}">
      <text>
        <r>
          <rPr>
            <sz val="11"/>
            <color theme="1"/>
            <rFont val="Aptos Narrow"/>
            <family val="2"/>
            <scheme val="minor"/>
          </rPr>
          <t>Unknown User:
Cash denomination
$100*1=$100
$50*1=$50
$100*11=$1100
Total cash=$1250</t>
        </r>
      </text>
    </comment>
    <comment ref="G560" authorId="0" shapeId="0" xr:uid="{82E0F0CD-B9D4-4303-9AA9-CBC8E53E73C8}">
      <text>
        <r>
          <rPr>
            <sz val="11"/>
            <color theme="1"/>
            <rFont val="Aptos Narrow"/>
            <family val="2"/>
            <scheme val="minor"/>
          </rPr>
          <t xml:space="preserve">Unknown User:
HIGH POWERED SUCTION &amp; ACID TREATMENT
</t>
        </r>
      </text>
    </comment>
    <comment ref="W560" authorId="0" shapeId="0" xr:uid="{B64D6977-4129-47CC-8788-96B4EF64CFCD}">
      <text>
        <r>
          <rPr>
            <sz val="11"/>
            <color theme="1"/>
            <rFont val="Aptos Narrow"/>
            <family val="2"/>
            <scheme val="minor"/>
          </rPr>
          <t>Unknown User:
Cash denomination
$100*6=$600
$50*15=$750
Coin denomination not assessable.</t>
        </r>
      </text>
    </comment>
    <comment ref="G561" authorId="0" shapeId="0" xr:uid="{629F2752-B338-4C42-BE8C-9D58D254736C}">
      <text>
        <r>
          <rPr>
            <sz val="11"/>
            <color theme="1"/>
            <rFont val="Aptos Narrow"/>
            <family val="2"/>
            <scheme val="minor"/>
          </rPr>
          <t>Unknown User:
HIGH POWERED SUCTION &amp; ACID TREATMENT</t>
        </r>
      </text>
    </comment>
    <comment ref="G562" authorId="0" shapeId="0" xr:uid="{13CC7291-715B-4DA9-B22F-1802715732DF}">
      <text>
        <r>
          <rPr>
            <sz val="11"/>
            <color theme="1"/>
            <rFont val="Aptos Narrow"/>
            <family val="2"/>
            <scheme val="minor"/>
          </rPr>
          <t xml:space="preserve">Unknown User:
COMPLETE SERVICE OF TOILET CISTERN
Non-refundable call out fee </t>
        </r>
      </text>
    </comment>
    <comment ref="G563" authorId="0" shapeId="0" xr:uid="{25688D92-ABE4-489B-8F63-F7A3C1B0340B}">
      <text>
        <r>
          <rPr>
            <sz val="11"/>
            <color theme="1"/>
            <rFont val="Aptos Narrow"/>
            <family val="2"/>
            <scheme val="minor"/>
          </rPr>
          <t>Unknown User:
REPLACEMENT OF LAUNDRY TOPS AND ARM
SUPPLY AND INSTALLATION OF TRAP TO VANITY OR PEDESTAL BASIN - WHITE PVC
MIXER TAP - GOOSE NECK</t>
        </r>
      </text>
    </comment>
    <comment ref="M563" authorId="0" shapeId="0" xr:uid="{53E6E6A7-B65B-42EB-AF8E-46C2704F771F}">
      <text>
        <r>
          <rPr>
            <sz val="11"/>
            <color theme="1"/>
            <rFont val="Aptos Narrow"/>
            <family val="2"/>
            <scheme val="minor"/>
          </rPr>
          <t>Unknown User:
Smartpay receipt of $397 not uploaded by plumber.
Uploaded by Modoras team.</t>
        </r>
      </text>
    </comment>
    <comment ref="T563" authorId="0" shapeId="0" xr:uid="{5E35B320-878B-4D91-B940-ECB3987E5F72}">
      <text>
        <r>
          <rPr>
            <sz val="11"/>
            <color theme="1"/>
            <rFont val="Aptos Narrow"/>
            <family val="2"/>
            <scheme val="minor"/>
          </rPr>
          <t>Unknown User:
0.5x for Riley &amp; 0.5x for Ben</t>
        </r>
      </text>
    </comment>
    <comment ref="G564" authorId="0" shapeId="0" xr:uid="{3AFD66F5-83DB-407F-BE70-6D8B9DFF6D15}">
      <text>
        <r>
          <rPr>
            <sz val="11"/>
            <color theme="1"/>
            <rFont val="Aptos Narrow"/>
            <family val="2"/>
            <scheme val="minor"/>
          </rPr>
          <t xml:space="preserve">Unknown User:
REPLACEMENT OF WALL TOP TAPWARE
</t>
        </r>
      </text>
    </comment>
    <comment ref="P564" authorId="0" shapeId="0" xr:uid="{F408C77D-D662-449F-A9D2-35C18F34F92B}">
      <text>
        <r>
          <rPr>
            <sz val="11"/>
            <color theme="1"/>
            <rFont val="Aptos Narrow"/>
            <family val="2"/>
            <scheme val="minor"/>
          </rPr>
          <t>Unknown User:
Quote not emailed</t>
        </r>
      </text>
    </comment>
    <comment ref="S564" authorId="0" shapeId="0" xr:uid="{78121645-9E1B-4C0A-A20D-68141B2C45FA}">
      <text>
        <r>
          <rPr>
            <sz val="11"/>
            <color theme="1"/>
            <rFont val="Aptos Narrow"/>
            <family val="2"/>
            <scheme val="minor"/>
          </rPr>
          <t>Unknown User:
Invoice not emailed</t>
        </r>
      </text>
    </comment>
    <comment ref="W564" authorId="0" shapeId="0" xr:uid="{86235725-252E-43DF-BB83-91AF74F6F68C}">
      <text>
        <r>
          <rPr>
            <sz val="11"/>
            <color theme="1"/>
            <rFont val="Aptos Narrow"/>
            <family val="2"/>
            <scheme val="minor"/>
          </rPr>
          <t>Unknown User:
Cash denomination
$50*2=$100
$5*5=$25
Total Cash=$125</t>
        </r>
      </text>
    </comment>
    <comment ref="G565" authorId="0" shapeId="0" xr:uid="{997E0AE4-3B16-4254-AC66-6F14BB06F9B5}">
      <text>
        <r>
          <rPr>
            <sz val="11"/>
            <color theme="1"/>
            <rFont val="Aptos Narrow"/>
            <family val="2"/>
            <scheme val="minor"/>
          </rPr>
          <t>Unknown User:
FLOOD, DYE, PRESSURE TEST (WET AREA)
15% Loyalty Discount</t>
        </r>
      </text>
    </comment>
    <comment ref="L565" authorId="0" shapeId="0" xr:uid="{AF035A9B-BF22-457E-9739-96020D38BB28}">
      <text>
        <r>
          <rPr>
            <sz val="11"/>
            <color theme="1"/>
            <rFont val="Aptos Narrow"/>
            <family val="2"/>
            <scheme val="minor"/>
          </rPr>
          <t>Unknown User:
Dye test pics not uploaded.
Flood &amp; pressure test pics are uploaded. No issues.</t>
        </r>
      </text>
    </comment>
    <comment ref="G566" authorId="0" shapeId="0" xr:uid="{8985E4FF-219A-4826-B117-B966E92F2D87}">
      <text>
        <r>
          <rPr>
            <sz val="11"/>
            <color theme="1"/>
            <rFont val="Aptos Narrow"/>
            <family val="2"/>
            <scheme val="minor"/>
          </rPr>
          <t xml:space="preserve">Unknown User:
REPLACEMENT OF HOB SINK SET
10% Seniors &amp; Pensioners Discount </t>
        </r>
      </text>
    </comment>
    <comment ref="W566" authorId="0" shapeId="0" xr:uid="{13DFBEFE-DDEE-4606-A47A-02F6D4C2233B}">
      <text>
        <r>
          <rPr>
            <sz val="11"/>
            <color theme="1"/>
            <rFont val="Aptos Narrow"/>
            <family val="2"/>
            <scheme val="minor"/>
          </rPr>
          <t>Unknown User:
Cash denomination
$50*3=$150
$50*25=$1250
$10*1=$10
Total cash=$1410
Short receipt by $3.72
7/8-Ben noted as "Client paid 1410 in cash only"</t>
        </r>
      </text>
    </comment>
    <comment ref="G567" authorId="0" shapeId="0" xr:uid="{E82D9990-AC26-4399-BC96-1344FF49488B}">
      <text>
        <r>
          <rPr>
            <sz val="11"/>
            <color theme="1"/>
            <rFont val="Aptos Narrow"/>
            <family val="2"/>
            <scheme val="minor"/>
          </rPr>
          <t>Unknown User:
REPLACEMENT OF EXISTING GOOSE NECK KITCHEN MIXER (CUSTOMER SUPPLIED)</t>
        </r>
      </text>
    </comment>
    <comment ref="G568" authorId="0" shapeId="0" xr:uid="{036EE607-9F49-4929-9B5C-32849B62A428}">
      <text>
        <r>
          <rPr>
            <sz val="11"/>
            <color theme="1"/>
            <rFont val="Aptos Narrow"/>
            <family val="2"/>
            <scheme val="minor"/>
          </rPr>
          <t>Unknown User:
WATER SERVICE RECTIFICATION (EXPOSED)</t>
        </r>
      </text>
    </comment>
    <comment ref="M568" authorId="0" shapeId="0" xr:uid="{6AC0E316-10E6-42DA-A298-30C161A1ADA9}">
      <text>
        <r>
          <rPr>
            <sz val="11"/>
            <color theme="1"/>
            <rFont val="Aptos Narrow"/>
            <family val="2"/>
            <scheme val="minor"/>
          </rPr>
          <t>Unknown User:
Smartpay receipt of $1664.10 not uploaded by plumber.
Uploaded by Modoras team</t>
        </r>
      </text>
    </comment>
    <comment ref="G569" authorId="0" shapeId="0" xr:uid="{8EF55DEC-6504-4A9B-BAB1-651A103A64C5}">
      <text>
        <r>
          <rPr>
            <sz val="11"/>
            <color theme="1"/>
            <rFont val="Aptos Narrow"/>
            <family val="2"/>
            <scheme val="minor"/>
          </rPr>
          <t>Unknown User:
HIGH POWERED SUCTION PUMP &amp; ACID TREATMENT WITH CCTV DRAIN CAMERA INSPECTION</t>
        </r>
      </text>
    </comment>
    <comment ref="G570" authorId="0" shapeId="0" xr:uid="{930A16FD-71D8-4C56-B819-F84842BC1A48}">
      <text>
        <r>
          <rPr>
            <sz val="11"/>
            <color theme="1"/>
            <rFont val="Aptos Narrow"/>
            <family val="2"/>
            <scheme val="minor"/>
          </rPr>
          <t>Unknown User:
FLOOD, DYE, PRESSURE TEST (WET AREA)</t>
        </r>
      </text>
    </comment>
    <comment ref="P570" authorId="0" shapeId="0" xr:uid="{2DB7A7A0-A1A3-43BC-A5C9-D44BC02521E1}">
      <text>
        <r>
          <rPr>
            <sz val="11"/>
            <color theme="1"/>
            <rFont val="Aptos Narrow"/>
            <family val="2"/>
            <scheme val="minor"/>
          </rPr>
          <t>Unknown User:
Quote not emailed</t>
        </r>
      </text>
    </comment>
    <comment ref="S570" authorId="0" shapeId="0" xr:uid="{8C4F1B87-1827-4737-AA0D-8A3C37DD56DC}">
      <text>
        <r>
          <rPr>
            <sz val="11"/>
            <color theme="1"/>
            <rFont val="Aptos Narrow"/>
            <family val="2"/>
            <scheme val="minor"/>
          </rPr>
          <t>Unknown User:
Invoice not emailed</t>
        </r>
      </text>
    </comment>
    <comment ref="G571" authorId="0" shapeId="0" xr:uid="{534E0EA3-51B6-4339-8D7C-97284A9F019F}">
      <text>
        <r>
          <rPr>
            <sz val="11"/>
            <color theme="1"/>
            <rFont val="Aptos Narrow"/>
            <family val="2"/>
            <scheme val="minor"/>
          </rPr>
          <t>Unknown User:
REPLACEMENT OF HOB SINK SET
SUPPLY &amp; INSTALLATION OF NEW WALL TOP TAP SET
REPLACEMENT OF WALL SINK TAPS AND SPOUT
10% Seniors &amp; Pensioners Discount</t>
        </r>
      </text>
    </comment>
    <comment ref="T571" authorId="0" shapeId="0" xr:uid="{C1E17198-1687-4077-A9CD-8F8872906052}">
      <text>
        <r>
          <rPr>
            <sz val="11"/>
            <color theme="1"/>
            <rFont val="Aptos Narrow"/>
            <family val="2"/>
            <scheme val="minor"/>
          </rPr>
          <t>Unknown User:
0.5x for Riley &amp; 0.5x for Ben</t>
        </r>
      </text>
    </comment>
    <comment ref="G572" authorId="0" shapeId="0" xr:uid="{6E80C38A-8161-4074-8E21-7A57DE38A09A}">
      <text>
        <r>
          <rPr>
            <sz val="11"/>
            <color theme="1"/>
            <rFont val="Aptos Narrow"/>
            <family val="2"/>
            <scheme val="minor"/>
          </rPr>
          <t>Unknown User:
HIGH POWERED SUCTION &amp; ACID TREATMENT
10% Seniors &amp; Pensioners Discount</t>
        </r>
      </text>
    </comment>
    <comment ref="G577" authorId="21" shapeId="0" xr:uid="{68BCF3A7-DF7D-46C7-B0A6-4ECBB1829968}">
      <text>
        <t>[Threaded comment]
Your version of Excel allows you to read this threaded comment; however, any edits to it will get removed if the file is opened in a newer version of Excel. Learn more: https://go.microsoft.com/fwlink/?linkid=870924
Comment:
    SEARCH &amp; INVESTIGATION OF POTENTIAL GAS LEAK </t>
      </text>
    </comment>
    <comment ref="G578" authorId="22" shapeId="0" xr:uid="{F59953B7-AFF7-40E3-8DB2-68A465B296E9}">
      <text>
        <t>[Threaded comment]
Your version of Excel allows you to read this threaded comment; however, any edits to it will get removed if the file is opened in a newer version of Excel. Learn more: https://go.microsoft.com/fwlink/?linkid=870924
Comment:
    HIGH POWERED SUCTION PUMP &amp; ACID TREATMENT WITH CCTV DRAIN CAMERA INSPECTION</t>
      </text>
    </comment>
    <comment ref="M578" authorId="23" shapeId="0" xr:uid="{8D88FAB7-552A-454B-9BE3-AC470655B998}">
      <text>
        <t>[Threaded comment]
Your version of Excel allows you to read this threaded comment; however, any edits to it will get removed if the file is opened in a newer version of Excel. Learn more: https://go.microsoft.com/fwlink/?linkid=870924
Comment:
    Modoras Team to Upload POS Receipt for $205</t>
      </text>
    </comment>
    <comment ref="G579" authorId="24" shapeId="0" xr:uid="{E62E6E9E-93F2-452D-B805-964D22DF0DF9}">
      <text>
        <t>[Threaded comment]
Your version of Excel allows you to read this threaded comment; however, any edits to it will get removed if the file is opened in a newer version of Excel. Learn more: https://go.microsoft.com/fwlink/?linkid=870924
Comment:
    HIGH POWERED SUCTION &amp; ACID TREATMENT</t>
      </text>
    </comment>
    <comment ref="M579" authorId="25" shapeId="0" xr:uid="{53B4FFC5-A97B-4DBF-98D9-0A9BFD3ABB7B}">
      <text>
        <t>[Threaded comment]
Your version of Excel allows you to read this threaded comment; however, any edits to it will get removed if the file is opened in a newer version of Excel. Learn more: https://go.microsoft.com/fwlink/?linkid=870924
Comment:
    Modoras Team to Upload POS Receipt for $139</t>
      </text>
    </comment>
    <comment ref="G583" authorId="0" shapeId="0" xr:uid="{E7B0CE6F-A47B-42B3-94BF-3F3FF325B7CE}">
      <text>
        <r>
          <rPr>
            <sz val="11"/>
            <color theme="1"/>
            <rFont val="Aptos Narrow"/>
            <family val="2"/>
            <scheme val="minor"/>
          </rPr>
          <t>Unknown User:
SUPPLY &amp; INSTALLATION OF NEW TWIN ELEMENT HOT WATER UNIT (INTERNAL)
CREDIT OF SEARCH &amp; INVESTIGATION</t>
        </r>
      </text>
    </comment>
    <comment ref="L583" authorId="0" shapeId="0" xr:uid="{5A6FA766-2B1D-4121-A6B6-AE6F6E0CEC34}">
      <text>
        <r>
          <rPr>
            <sz val="11"/>
            <color theme="1"/>
            <rFont val="Aptos Narrow"/>
            <family val="2"/>
            <scheme val="minor"/>
          </rPr>
          <t>Unknown User:
Temp check pending</t>
        </r>
      </text>
    </comment>
    <comment ref="N583" authorId="0" shapeId="0" xr:uid="{86A2AD93-5C7A-4B82-B8A6-C1C698D9FA01}">
      <text>
        <r>
          <rPr>
            <sz val="11"/>
            <color theme="1"/>
            <rFont val="Aptos Narrow"/>
            <family val="2"/>
            <scheme val="minor"/>
          </rPr>
          <t>Unknown User:
Quote raised in job #71831</t>
        </r>
      </text>
    </comment>
    <comment ref="U583" authorId="0" shapeId="0" xr:uid="{982DAEC9-273F-4B12-B13F-9BBDD34BAD46}">
      <text>
        <r>
          <rPr>
            <sz val="11"/>
            <color theme="1"/>
            <rFont val="Aptos Narrow"/>
            <family val="2"/>
            <scheme val="minor"/>
          </rPr>
          <t>Unknown User:
29/07-As per Alex's note "Hws leaking from the electrical box possibly cracked. Someone needs to come back and look at it and swap out for a new one. Contact customer 15 mins before hand."</t>
        </r>
      </text>
    </comment>
    <comment ref="G587" authorId="0" shapeId="0" xr:uid="{750E1EB1-ECA5-4F31-9F6D-4613D443937E}">
      <text>
        <r>
          <rPr>
            <sz val="11"/>
            <color theme="1"/>
            <rFont val="Aptos Narrow"/>
            <family val="2"/>
            <scheme val="minor"/>
          </rPr>
          <t>Unknown User:
REPLACEMENT OF EXISTING OVERFLOW GULLY &amp; UP TO 1.5M OF MAIN SEWER SERVICE (UNDER CONCRETE)</t>
        </r>
      </text>
    </comment>
    <comment ref="G588" authorId="0" shapeId="0" xr:uid="{EE854D30-5C68-4C0C-8446-14CFCD709A4B}">
      <text>
        <r>
          <rPr>
            <sz val="11"/>
            <color theme="1"/>
            <rFont val="Aptos Narrow"/>
            <family val="2"/>
            <scheme val="minor"/>
          </rPr>
          <t xml:space="preserve">Unknown User:
SEWER SPOT DIG (UNDER CONCRETE)
</t>
        </r>
      </text>
    </comment>
    <comment ref="G596" authorId="0" shapeId="0" xr:uid="{10376BFA-DBB5-45AC-8E09-86E48D2455D8}">
      <text>
        <r>
          <rPr>
            <sz val="11"/>
            <color theme="1"/>
            <rFont val="Aptos Narrow"/>
            <family val="2"/>
            <scheme val="minor"/>
          </rPr>
          <t>Unknown User:
SEARCH &amp; INVESTIGATION OF POTENTIAL GAS LEAK
Gain access to main gas meter
Isolate the main gas supply to the property
Disconnect the existing main meter test point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t>
        </r>
      </text>
    </comment>
    <comment ref="P596" authorId="0" shapeId="0" xr:uid="{7D1945E1-FEA7-413F-99D3-8A5FF4172FAD}">
      <text>
        <r>
          <rPr>
            <sz val="11"/>
            <color theme="1"/>
            <rFont val="Aptos Narrow"/>
            <family val="2"/>
            <scheme val="minor"/>
          </rPr>
          <t>Unknown User:
Quote not Emailed</t>
        </r>
      </text>
    </comment>
    <comment ref="G601" authorId="0" shapeId="0" xr:uid="{5575FE3A-4C3C-4CA5-BDC9-719C030E6D5C}">
      <text>
        <r>
          <rPr>
            <sz val="11"/>
            <color theme="1"/>
            <rFont val="Aptos Narrow"/>
            <family val="2"/>
            <scheme val="minor"/>
          </rPr>
          <t xml:space="preserve">Unknown User:
DISCONNECT &amp; RECONNECT ELECTRIC STORAGE HWS
Isolate power supply to electric storage unit
Isolate water supply to property
Disconnect plumbing to existing electric storage unit
Disconnect electrical supply to electric hot water unit
Drain electric storage unit
Removal of existing section of cold-water service connecting to electric storage unit
Removal of existing section of hot water service connecting to electric storage unit
Removal of existing valves
Clean &amp; prepare existing connections
Supply new brass fittings to cold water service
Supply new brass fittings to hot water service
Cap off cold water service connecting to electric storage unit
Cap off hot water service connecting to electric storage unit
Decommission electric storage unit &amp; make safe
Reinstate main water supply to property
Install the customer-supplied hot water system
Supply and install a new duo valve
Supply and install a new pressure limiting valve
Supply and install a new tempering valve
Install a new pressure relief valve
Supply and install a new pressure relief valve drain in copper, ensuring compliance
with AS/3500
Supply and install new brass fittings
Supply and install new B-press fittings
Reconfigure the cold-water service to suit the new electric storage system
Reconfigure the hot water service to suit the new electric storage system
Supply and install a new section of the cold-water copper service
Supply and install a new section of the hot water copper service
Reconnect the cold-water service to the new electric hot water system
Reconnect the hot water service to the new electric hot water system
Reconnect the power supply to the new electric hot water system
Reinstate the main water supply to the property
Test and commission the installation
Remove trade waste
</t>
        </r>
      </text>
    </comment>
    <comment ref="P601" authorId="0" shapeId="0" xr:uid="{F951A992-820B-4DA5-B897-1BB1229880D8}">
      <text>
        <r>
          <rPr>
            <sz val="11"/>
            <color theme="1"/>
            <rFont val="Aptos Narrow"/>
            <family val="2"/>
            <scheme val="minor"/>
          </rPr>
          <t>Unknown User:
Quote not Emailed</t>
        </r>
      </text>
    </comment>
    <comment ref="G605" authorId="0" shapeId="0" xr:uid="{9858403D-560A-4F04-B8EE-45F2A2B14019}">
      <text>
        <r>
          <rPr>
            <sz val="11"/>
            <color theme="1"/>
            <rFont val="Aptos Narrow"/>
            <family val="2"/>
            <scheme val="minor"/>
          </rPr>
          <t>Unknown User:
SECTIONAL SEWER STACK REPLACEMENT 
CREDIT OF SEARCH &amp; INVESTIGATION</t>
        </r>
      </text>
    </comment>
    <comment ref="G606" authorId="0" shapeId="0" xr:uid="{9197C715-B28F-44A4-8C5D-DFA7434A68C0}">
      <text>
        <r>
          <rPr>
            <sz val="11"/>
            <color theme="1"/>
            <rFont val="Aptos Narrow"/>
            <family val="2"/>
            <scheme val="minor"/>
          </rPr>
          <t>Unknown User:
SEARCH AND INVESTIGATION OF SOLAR SPLIT HOT WATER SYSTEM</t>
        </r>
      </text>
    </comment>
    <comment ref="G607" authorId="0" shapeId="0" xr:uid="{1C034E65-1E8F-41EB-B7B8-9BBD3272C7E1}">
      <text>
        <r>
          <rPr>
            <sz val="11"/>
            <color theme="1"/>
            <rFont val="Aptos Narrow"/>
            <family val="2"/>
            <scheme val="minor"/>
          </rPr>
          <t>Unknown User:
COMPLETE SERVICE OF TAP TOP ASSEMBLY
$65 First Service Discount</t>
        </r>
      </text>
    </comment>
    <comment ref="G608" authorId="0" shapeId="0" xr:uid="{8E1D5611-7AFF-4266-BE75-67B2A9C79070}">
      <text>
        <r>
          <rPr>
            <sz val="11"/>
            <color theme="1"/>
            <rFont val="Aptos Narrow"/>
            <family val="2"/>
            <scheme val="minor"/>
          </rPr>
          <t>Unknown User:
SEWER SPOT DIG UP TO 1.5M - IN GROUND
SUPPLY &amp; INSTALLATION OF NEW LINK SUITE</t>
        </r>
      </text>
    </comment>
    <comment ref="G609" authorId="0" shapeId="0" xr:uid="{10A95DE0-E3B5-4851-B086-02E3765395D3}">
      <text>
        <r>
          <rPr>
            <sz val="11"/>
            <color theme="1"/>
            <rFont val="Aptos Narrow"/>
            <family val="2"/>
            <scheme val="minor"/>
          </rPr>
          <t>Unknown User:
RESEAL OF SHOWER</t>
        </r>
      </text>
    </comment>
    <comment ref="G610" authorId="0" shapeId="0" xr:uid="{D9EC0E97-37B2-4AC8-8A86-B0C62A65013B}">
      <text>
        <r>
          <rPr>
            <sz val="11"/>
            <color theme="1"/>
            <rFont val="Aptos Narrow"/>
            <family val="2"/>
            <scheme val="minor"/>
          </rPr>
          <t>Unknown User:
RESEAL OF SHOWER
CREDIT OF SEARCH &amp; INVESTIGATION</t>
        </r>
      </text>
    </comment>
    <comment ref="G611" authorId="0" shapeId="0" xr:uid="{0B007B3D-3CA6-4C6C-BA3D-950A739F628C}">
      <text>
        <r>
          <rPr>
            <sz val="11"/>
            <color theme="1"/>
            <rFont val="Aptos Narrow"/>
            <family val="2"/>
            <scheme val="minor"/>
          </rPr>
          <t>Unknown User:
SUPPLY &amp; INSTALLATION OF NEW SINGLE ELEMENT HOT WATER UNIT – INTERNAL
5% Good Will Discount</t>
        </r>
      </text>
    </comment>
    <comment ref="G612" authorId="0" shapeId="0" xr:uid="{6E40DFD7-8CEF-45DF-B163-2C86185AAE4B}">
      <text>
        <r>
          <rPr>
            <sz val="11"/>
            <color theme="1"/>
            <rFont val="Aptos Narrow"/>
            <family val="2"/>
            <scheme val="minor"/>
          </rPr>
          <t>Unknown User:
SEWER SPOT DIG  (UNDER CONCRETE)
SUPPLY AND INSTALLATION OF RIGHT-ANGLED PRESSURE REGULATING DEVICE FITTED TO 20MM STRAIGHT PIPEWORK
10% Good Will Discount</t>
        </r>
      </text>
    </comment>
    <comment ref="G613" authorId="0" shapeId="0" xr:uid="{7D68B4BB-681E-459D-8CDF-18D116D722D5}">
      <text>
        <r>
          <rPr>
            <sz val="11"/>
            <color theme="1"/>
            <rFont val="Aptos Narrow"/>
            <family val="2"/>
            <scheme val="minor"/>
          </rPr>
          <t>Unknown User:
SEARCH AND INVESTIGATION OF ELECTRIC STORAGE HOT WATER SYSTEM</t>
        </r>
      </text>
    </comment>
    <comment ref="G614" authorId="0" shapeId="0" xr:uid="{772D93A1-8EAA-4FC2-BD85-30C2779BF9E0}">
      <text>
        <r>
          <rPr>
            <sz val="11"/>
            <color theme="1"/>
            <rFont val="Aptos Narrow"/>
            <family val="2"/>
            <scheme val="minor"/>
          </rPr>
          <t>Unknown User:
SEWER SPOT DIG UP TO 2M (UNDER PAVERS)
CREDIT OF SEARCH &amp; INVESTIGATION</t>
        </r>
      </text>
    </comment>
    <comment ref="G615" authorId="0" shapeId="0" xr:uid="{540CFB41-98E3-4771-BC92-F686BFD8C151}">
      <text>
        <r>
          <rPr>
            <sz val="11"/>
            <color theme="1"/>
            <rFont val="Aptos Narrow"/>
            <family val="2"/>
            <scheme val="minor"/>
          </rPr>
          <t>Unknown User:
HIGH POWERED SUCTION &amp; ACID TREATMENT</t>
        </r>
      </text>
    </comment>
    <comment ref="G616" authorId="0" shapeId="0" xr:uid="{05FC907E-1378-42F8-AA5D-1B0900E65318}">
      <text>
        <r>
          <rPr>
            <sz val="11"/>
            <color theme="1"/>
            <rFont val="Aptos Narrow"/>
            <family val="2"/>
            <scheme val="minor"/>
          </rPr>
          <t>Unknown User:
DIG UP OF STORM WATER SPOT 
10% Good Will Discount</t>
        </r>
      </text>
    </comment>
    <comment ref="G617" authorId="0" shapeId="0" xr:uid="{88719AF6-DBF5-4F8D-ADA2-BCA06894839F}">
      <text>
        <r>
          <rPr>
            <sz val="11"/>
            <color theme="1"/>
            <rFont val="Aptos Narrow"/>
            <family val="2"/>
            <scheme val="minor"/>
          </rPr>
          <t>Unknown User:
HIGH POWERED SUCTION PUMP &amp; ACID TREATMENT WITH CCTV DRAIN CAMERA INSPECTION</t>
        </r>
      </text>
    </comment>
    <comment ref="G618" authorId="0" shapeId="0" xr:uid="{316D6DA5-FDD0-46AA-B465-C46BA4B3F810}">
      <text>
        <r>
          <rPr>
            <sz val="11"/>
            <color theme="1"/>
            <rFont val="Aptos Narrow"/>
            <family val="2"/>
            <scheme val="minor"/>
          </rPr>
          <t>Unknown User:
SUPPLY &amp; INSTALLATION OF NEW WATER HAMMER ARRESTOR (COLD WATER SERVICE)
15% Good Will Discount</t>
        </r>
      </text>
    </comment>
    <comment ref="G619" authorId="0" shapeId="0" xr:uid="{933BDFDA-05EF-4D1F-9086-3109F6E9E1A2}">
      <text>
        <r>
          <rPr>
            <sz val="11"/>
            <color theme="1"/>
            <rFont val="Aptos Narrow"/>
            <family val="2"/>
            <scheme val="minor"/>
          </rPr>
          <t>Unknown User:
SUPPLY &amp; INSTALLATION OF TEMPERING VALVE
$65 First Service Discount
10% Good Will Discount</t>
        </r>
      </text>
    </comment>
    <comment ref="G620" authorId="0" shapeId="0" xr:uid="{BA0DF9B9-9DDC-46C9-BE16-21A44FD5F104}">
      <text>
        <r>
          <rPr>
            <sz val="11"/>
            <color theme="1"/>
            <rFont val="Aptos Narrow"/>
            <family val="2"/>
            <scheme val="minor"/>
          </rPr>
          <t>Unknown User:
REPLACEMENT OF CISTERN DUAL FLUSH VALVE WITH UNIVERSAL FLUSH VALVE (COMPLETE ASSEMBLY)
10% Seniors &amp; Pensioners Discount</t>
        </r>
      </text>
    </comment>
    <comment ref="E645" authorId="26" shapeId="0" xr:uid="{D879292E-38E1-43DC-8904-1DC3B050577D}">
      <text>
        <t>[Threaded comment]
Your version of Excel allows you to read this threaded comment; however, any edits to it will get removed if the file is opened in a newer version of Excel. Learn more: https://go.microsoft.com/fwlink/?linkid=870924
Comment:
    Checked</t>
      </text>
    </comment>
    <comment ref="E646" authorId="27" shapeId="0" xr:uid="{3E7EF3C9-7E93-4B41-BB91-1783ECD96222}">
      <text>
        <t>[Threaded comment]
Your version of Excel allows you to read this threaded comment; however, any edits to it will get removed if the file is opened in a newer version of Excel. Learn more: https://go.microsoft.com/fwlink/?linkid=870924
Comment:
    Stock</t>
      </text>
    </comment>
    <comment ref="G656" authorId="0" shapeId="0" xr:uid="{5E30B4EA-DE3E-46C3-B31F-17AE0A3C8494}">
      <text>
        <r>
          <rPr>
            <sz val="11"/>
            <color theme="1"/>
            <rFont val="Aptos Narrow"/>
            <family val="2"/>
            <scheme val="minor"/>
          </rPr>
          <t>Unknown User:
HIGH POWERED SUCTION PUMP &amp; ACID TREATMENT WITH CCTV DRAIN CAMERA INSPECTION</t>
        </r>
      </text>
    </comment>
    <comment ref="G657" authorId="0" shapeId="0" xr:uid="{588F8D54-8971-4DD1-8835-3D9AA38686D9}">
      <text>
        <r>
          <rPr>
            <sz val="11"/>
            <color theme="1"/>
            <rFont val="Aptos Narrow"/>
            <family val="2"/>
            <scheme val="minor"/>
          </rPr>
          <t>Unknown User:
HIGH POWERED SUCTION &amp; ACID TREATMENT
$65 First Service Discount</t>
        </r>
      </text>
    </comment>
    <comment ref="L657" authorId="0" shapeId="0" xr:uid="{E23BF7D7-5566-478B-9364-27C57F1EB983}">
      <text>
        <r>
          <rPr>
            <sz val="11"/>
            <color theme="1"/>
            <rFont val="Aptos Narrow"/>
            <family val="2"/>
            <scheme val="minor"/>
          </rPr>
          <t>Unknown User:
High powered suction pump &amp; acid treatment pics are not uploaded.</t>
        </r>
      </text>
    </comment>
    <comment ref="T657" authorId="0" shapeId="0" xr:uid="{33CB26CE-690B-4D65-A56A-36CADCF5CD2B}">
      <text>
        <r>
          <rPr>
            <sz val="11"/>
            <color theme="1"/>
            <rFont val="Aptos Narrow"/>
            <family val="2"/>
            <scheme val="minor"/>
          </rPr>
          <t>Unknown User:
0.5x for Riley &amp; 0.5x for Heath</t>
        </r>
      </text>
    </comment>
    <comment ref="W657" authorId="0" shapeId="0" xr:uid="{708959F5-BE73-4A87-8EB1-06A5D716BDC4}">
      <text>
        <r>
          <rPr>
            <sz val="11"/>
            <color theme="1"/>
            <rFont val="Aptos Narrow"/>
            <family val="2"/>
            <scheme val="minor"/>
          </rPr>
          <t xml:space="preserve">Unknown User:
Cash denomination
$100*13=$1300
</t>
        </r>
      </text>
    </comment>
    <comment ref="G658" authorId="0" shapeId="0" xr:uid="{4D050A55-8FAE-43DD-AAF0-B44B5755A4F0}">
      <text>
        <r>
          <rPr>
            <sz val="11"/>
            <color theme="1"/>
            <rFont val="Aptos Narrow"/>
            <family val="2"/>
            <scheme val="minor"/>
          </rPr>
          <t>Unknown User:
SUPPLY AND INSTALLATION OF STANDARD 15MM TEMPERING VALVE</t>
        </r>
      </text>
    </comment>
    <comment ref="V658" authorId="0" shapeId="0" xr:uid="{912172AD-3DB8-4B5C-A934-E48DA9FF08D4}">
      <text>
        <r>
          <rPr>
            <sz val="11"/>
            <color theme="1"/>
            <rFont val="Aptos Narrow"/>
            <family val="2"/>
            <scheme val="minor"/>
          </rPr>
          <t>Unknown User:
Overpayment by $126</t>
        </r>
      </text>
    </comment>
    <comment ref="G659" authorId="0" shapeId="0" xr:uid="{83B60DF6-436C-407B-AF84-F874D6627E81}">
      <text>
        <r>
          <rPr>
            <sz val="11"/>
            <color theme="1"/>
            <rFont val="Aptos Narrow"/>
            <family val="2"/>
            <scheme val="minor"/>
          </rPr>
          <t>Unknown User:
SEARCH &amp; INVESTIGATION OF IN WALL MIXER</t>
        </r>
      </text>
    </comment>
    <comment ref="N659" authorId="0" shapeId="0" xr:uid="{B396BD4B-7822-4F43-89A4-1FB417348DFD}">
      <text>
        <r>
          <rPr>
            <sz val="11"/>
            <color theme="1"/>
            <rFont val="Aptos Narrow"/>
            <family val="2"/>
            <scheme val="minor"/>
          </rPr>
          <t>Unknown User:
Quote not raised due to technical issue in ServiceTitan.</t>
        </r>
      </text>
    </comment>
    <comment ref="Q659" authorId="0" shapeId="0" xr:uid="{B8BF8D6D-4C52-49EF-ABF1-0AD1AD06F43E}">
      <text>
        <r>
          <rPr>
            <sz val="11"/>
            <color theme="1"/>
            <rFont val="Aptos Narrow"/>
            <family val="2"/>
            <scheme val="minor"/>
          </rPr>
          <t>Unknown User:
Invoice  not raiseddue to technical issue in ServiceTitan.</t>
        </r>
      </text>
    </comment>
    <comment ref="G660" authorId="0" shapeId="0" xr:uid="{BEDD13F2-C215-4C4A-A534-3A030EA37FD1}">
      <text>
        <r>
          <rPr>
            <sz val="11"/>
            <color theme="1"/>
            <rFont val="Aptos Narrow"/>
            <family val="2"/>
            <scheme val="minor"/>
          </rPr>
          <t xml:space="preserve">Unknown User:
SEARCH AND INVESTIGATION OF SOLAR SPLIT HOT WATER SYSTEM
</t>
        </r>
      </text>
    </comment>
    <comment ref="G661" authorId="0" shapeId="0" xr:uid="{9A531A4B-6A00-4588-90F3-A7A2D06EE78E}">
      <text>
        <r>
          <rPr>
            <sz val="11"/>
            <color theme="1"/>
            <rFont val="Aptos Narrow"/>
            <family val="2"/>
            <scheme val="minor"/>
          </rPr>
          <t>Unknown User:
SEARCH &amp; INVESTIGATION OF SINGLE STOREY ROOF OF POTENTIAL LEAK
$65 First Service Discount
10% Seniors &amp; Pensioners Discount 
Customer Satisfaction Discount</t>
        </r>
      </text>
    </comment>
    <comment ref="M661" authorId="0" shapeId="0" xr:uid="{D99F5634-9648-4BED-8EED-147C6026E2FB}">
      <text>
        <r>
          <rPr>
            <sz val="11"/>
            <color theme="1"/>
            <rFont val="Aptos Narrow"/>
            <family val="2"/>
            <scheme val="minor"/>
          </rPr>
          <t>Unknown User:
SmartPay receipt of $271.50 not uploaded by plumber.Now uploaded by Modoras team.</t>
        </r>
      </text>
    </comment>
    <comment ref="P661" authorId="0" shapeId="0" xr:uid="{C25F5D30-CE1D-4C75-BC3E-F833332587D7}">
      <text>
        <r>
          <rPr>
            <sz val="11"/>
            <color theme="1"/>
            <rFont val="Aptos Narrow"/>
            <family val="2"/>
            <scheme val="minor"/>
          </rPr>
          <t>Unknown User:
Quote not emailed</t>
        </r>
      </text>
    </comment>
    <comment ref="G662" authorId="0" shapeId="0" xr:uid="{D8360B79-C786-4D3E-AD1E-9DE2724F5547}">
      <text>
        <r>
          <rPr>
            <sz val="11"/>
            <color theme="1"/>
            <rFont val="Aptos Narrow"/>
            <family val="2"/>
            <scheme val="minor"/>
          </rPr>
          <t>Unknown User:
WATER SERVICE RECTIFICATION (IN WALL)</t>
        </r>
      </text>
    </comment>
    <comment ref="V662" authorId="0" shapeId="0" xr:uid="{EFF45281-6864-4DC4-8078-D85BB52BBE5B}">
      <text>
        <r>
          <rPr>
            <sz val="11"/>
            <color theme="1"/>
            <rFont val="Aptos Narrow"/>
            <family val="2"/>
            <scheme val="minor"/>
          </rPr>
          <t>Unknown User:
14/08 Received $7511.10 for 2 estimates
$4416.3 for Job #87142064
$3094.8 for Job #87142486
$0.60 observed as short receipt</t>
        </r>
      </text>
    </comment>
    <comment ref="G663" authorId="0" shapeId="0" xr:uid="{716F0ECE-C17C-4AD4-9BC8-7C139998829A}">
      <text>
        <r>
          <rPr>
            <sz val="11"/>
            <color theme="1"/>
            <rFont val="Aptos Narrow"/>
            <family val="2"/>
            <scheme val="minor"/>
          </rPr>
          <t xml:space="preserve">Unknown User:
WATER SERVICE RECTIFICATION (IN WALL)
</t>
        </r>
      </text>
    </comment>
    <comment ref="V663" authorId="0" shapeId="0" xr:uid="{7B2A2496-BEE9-4D5A-881C-4D8678883B32}">
      <text>
        <r>
          <rPr>
            <sz val="11"/>
            <color theme="1"/>
            <rFont val="Aptos Narrow"/>
            <family val="2"/>
            <scheme val="minor"/>
          </rPr>
          <t>Unknown User:
14/08 Received $7511.10 for 2 estimates
$4416.3 for Job #87142064
$3094.8 for Job #87142486
$0.60 observed as short receipt</t>
        </r>
      </text>
    </comment>
    <comment ref="A668" authorId="28" shapeId="0" xr:uid="{871EE56D-BFB2-482F-95B2-376209F96188}">
      <text>
        <r>
          <rPr>
            <sz val="11"/>
            <color theme="1"/>
            <rFont val="Aptos Narrow"/>
            <family val="2"/>
            <scheme val="minor"/>
          </rPr>
          <t>Accounts | Australia Trades:
Tiling Invoice</t>
        </r>
      </text>
    </comment>
    <comment ref="G668" authorId="0" shapeId="0" xr:uid="{FBA8B83B-17F3-4661-B310-DA7F865FB54E}">
      <text>
        <r>
          <rPr>
            <sz val="11"/>
            <color theme="1"/>
            <rFont val="Aptos Narrow"/>
            <family val="2"/>
            <scheme val="minor"/>
          </rPr>
          <t xml:space="preserve">Unknown User:
REPLACEMENT OF IN WALL MIXER W/DIVERTER
</t>
        </r>
      </text>
    </comment>
    <comment ref="N668" authorId="0" shapeId="0" xr:uid="{9FA7D242-0E0E-48AF-90B0-3F702638B1E5}">
      <text>
        <r>
          <rPr>
            <sz val="11"/>
            <color theme="1"/>
            <rFont val="Aptos Narrow"/>
            <family val="2"/>
            <scheme val="minor"/>
          </rPr>
          <t>Unknown User:
Quote not raised due to technical issue in ServiceTitan.</t>
        </r>
      </text>
    </comment>
    <comment ref="G676" authorId="0" shapeId="0" xr:uid="{D699B2B2-0AF0-49DA-87A4-E2DA8C06CBE0}">
      <text>
        <r>
          <rPr>
            <sz val="11"/>
            <color theme="1"/>
            <rFont val="Aptos Narrow"/>
            <family val="2"/>
            <scheme val="minor"/>
          </rPr>
          <t>Unknown User:
SEARCH &amp; INVESTIGATION OF POTENTIAL GAS LEAK
Gain access to main gas meter
Isolate the main gas supply to the property
Disconnect the existing main meter test point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t>
        </r>
      </text>
    </comment>
    <comment ref="P676" authorId="0" shapeId="0" xr:uid="{C386CDCF-6550-4B13-B880-1D454B94D003}">
      <text>
        <r>
          <rPr>
            <sz val="11"/>
            <color theme="1"/>
            <rFont val="Aptos Narrow"/>
            <family val="2"/>
            <scheme val="minor"/>
          </rPr>
          <t>Unknown User:
Quote not Emailed</t>
        </r>
      </text>
    </comment>
    <comment ref="A677" authorId="29" shapeId="0" xr:uid="{E683C7B9-C72A-4AEA-B2DD-ECEFD78A8919}">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V677" authorId="0" shapeId="0" xr:uid="{2752EC34-EBE4-4058-927F-78BEA129BD07}">
      <text>
        <r>
          <rPr>
            <sz val="11"/>
            <color theme="1"/>
            <rFont val="Aptos Narrow"/>
            <family val="2"/>
            <scheme val="minor"/>
          </rPr>
          <t>Unknown User:
12/08 Received $295.40 SQ</t>
        </r>
      </text>
    </comment>
    <comment ref="G678" authorId="0" shapeId="0" xr:uid="{DFEFEB46-E6BA-41AC-95E6-B827DF9EE5D8}">
      <text>
        <r>
          <rPr>
            <sz val="11"/>
            <color theme="1"/>
            <rFont val="Aptos Narrow"/>
            <family val="2"/>
            <scheme val="minor"/>
          </rPr>
          <t>Unknown User:
REPLACEMENT OF EXISTING OVERFLOW GULLY &amp; UP TO 1.5M OF MAIN SEWER SERVICE (UNDER CONCRETE)</t>
        </r>
      </text>
    </comment>
    <comment ref="V678" authorId="0" shapeId="0" xr:uid="{166B8F92-3036-4CF2-B054-4217A4133631}">
      <text>
        <r>
          <rPr>
            <sz val="11"/>
            <color theme="1"/>
            <rFont val="Aptos Narrow"/>
            <family val="2"/>
            <scheme val="minor"/>
          </rPr>
          <t>Unknown User:
07/08 Received $3500 EFT
05/08 Received $2000 EFT</t>
        </r>
      </text>
    </comment>
    <comment ref="G682" authorId="0" shapeId="0" xr:uid="{4F273FD0-563E-4BD6-B7F6-C9B870344F7F}">
      <text>
        <r>
          <rPr>
            <sz val="11"/>
            <color theme="1"/>
            <rFont val="Aptos Narrow"/>
            <family val="2"/>
            <scheme val="minor"/>
          </rPr>
          <t xml:space="preserve">Unknown User:
DISCONNECT &amp; RECONNECT ELECTRIC STORAGE HWS
Isolate power supply to electric storage unit
Isolate water supply to property
Disconnect plumbing to existing electric storage unit
Disconnect electrical supply to electric hot water unit
Drain electric storage unit
Removal of existing section of cold-water service connecting to electric storage unit
Removal of existing section of hot water service connecting to electric storage unit
Removal of existing valves
Clean &amp; prepare existing connections
Supply new brass fittings to cold water service
Supply new brass fittings to hot water service
Cap off cold water service connecting to electric storage unit
Cap off hot water service connecting to electric storage unit
Decommission electric storage unit &amp; make safe
Reinstate main water supply to property
Install the customer-supplied hot water system
Supply and install a new duo valve
Supply and install a new pressure limiting valve
Supply and install a new tempering valve
Install a new pressure relief valve
Supply and install a new pressure relief valve drain in copper, ensuring compliance
with AS/3500
Supply and install new brass fittings
Supply and install new B-press fittings
Reconfigure the cold-water service to suit the new electric storage system
Reconfigure the hot water service to suit the new electric storage system
Supply and install a new section of the cold-water copper service
Supply and install a new section of the hot water copper service
Reconnect the cold-water service to the new electric hot water system
Reconnect the hot water service to the new electric hot water system
Reconnect the power supply to the new electric hot water system
Reinstate the main water supply to the property
Test and commission the installation
Remove trade waste
</t>
        </r>
      </text>
    </comment>
    <comment ref="P682" authorId="0" shapeId="0" xr:uid="{8EEFC5EA-9591-415C-9391-3E2F873BD7D8}">
      <text>
        <r>
          <rPr>
            <sz val="11"/>
            <color theme="1"/>
            <rFont val="Aptos Narrow"/>
            <family val="2"/>
            <scheme val="minor"/>
          </rPr>
          <t>Unknown User:
Quote not Emailed</t>
        </r>
      </text>
    </comment>
    <comment ref="G683" authorId="0" shapeId="0" xr:uid="{C7FE7620-F45A-40C0-BCE3-C48FAF22DD40}">
      <text>
        <r>
          <rPr>
            <sz val="11"/>
            <color theme="1"/>
            <rFont val="Aptos Narrow"/>
            <family val="2"/>
            <scheme val="minor"/>
          </rPr>
          <t xml:space="preserve">Unknown User:
SEWER SPOT DIG (UNDER CONCRETE)
</t>
        </r>
      </text>
    </comment>
    <comment ref="G687" authorId="0" shapeId="0" xr:uid="{F71519E0-EF26-4BCF-A947-7A0443C65420}">
      <text>
        <r>
          <rPr>
            <sz val="11"/>
            <color theme="1"/>
            <rFont val="Aptos Narrow"/>
            <family val="2"/>
            <scheme val="minor"/>
          </rPr>
          <t xml:space="preserve">Unknown User:
SEWER SPOT DIG - IN GROUND
CREDIT HIGH POWERED SUCTION PUMP &amp; ACID TREATMENT </t>
        </r>
      </text>
    </comment>
    <comment ref="G688" authorId="0" shapeId="0" xr:uid="{0A0AF123-D04D-4E04-87A2-B4DACD6D1952}">
      <text>
        <r>
          <rPr>
            <sz val="11"/>
            <color theme="1"/>
            <rFont val="Aptos Narrow"/>
            <family val="2"/>
            <scheme val="minor"/>
          </rPr>
          <t xml:space="preserve">Unknown User:
HIGH POWERED SUCTION &amp; ACID TREATMENT
</t>
        </r>
      </text>
    </comment>
    <comment ref="G689" authorId="0" shapeId="0" xr:uid="{48373BB8-0951-41C1-99A6-E908557AC86C}">
      <text>
        <r>
          <rPr>
            <sz val="11"/>
            <color theme="1"/>
            <rFont val="Aptos Narrow"/>
            <family val="2"/>
            <scheme val="minor"/>
          </rPr>
          <t>Unknown User:
SEARCH AND INVESTIGATION OF GAS INSTANTANEOUS HOT WATER SYSTEM</t>
        </r>
      </text>
    </comment>
    <comment ref="G690" authorId="0" shapeId="0" xr:uid="{E7ECFCD5-63FE-4F76-A49A-8A937EA3453E}">
      <text>
        <r>
          <rPr>
            <sz val="11"/>
            <color theme="1"/>
            <rFont val="Aptos Narrow"/>
            <family val="2"/>
            <scheme val="minor"/>
          </rPr>
          <t>Unknown User:
SUPPLY &amp; INSTALLATION OF NEW CLOSE COUPLED TOILET SUITE
$65 First Service Discount</t>
        </r>
      </text>
    </comment>
    <comment ref="G691" authorId="0" shapeId="0" xr:uid="{64A04651-9F18-4442-9B89-24C767143505}">
      <text>
        <r>
          <rPr>
            <sz val="11"/>
            <color theme="1"/>
            <rFont val="Aptos Narrow"/>
            <family val="2"/>
            <scheme val="minor"/>
          </rPr>
          <t>Unknown User:
REPLACEMENT OF SHOWER ON RAIL
INSTALLATION OF NEW BIDET FOR TOIELTS (CUSTOMER SUPPLIED) 
$65 First Service Discount</t>
        </r>
      </text>
    </comment>
    <comment ref="G692" authorId="0" shapeId="0" xr:uid="{3BD6C093-8861-4E95-A6EC-9416F562E96D}">
      <text>
        <r>
          <rPr>
            <sz val="11"/>
            <color theme="1"/>
            <rFont val="Aptos Narrow"/>
            <family val="2"/>
            <scheme val="minor"/>
          </rPr>
          <t>Unknown User:
COMPLETE SERVICE OF TOILET CISTERN
10% Seniors &amp; Pensioners Discount</t>
        </r>
      </text>
    </comment>
    <comment ref="G693" authorId="0" shapeId="0" xr:uid="{32A5E3D7-05EE-46E2-ABDB-32536D62227E}">
      <text>
        <r>
          <rPr>
            <sz val="11"/>
            <color theme="1"/>
            <rFont val="Aptos Narrow"/>
            <family val="2"/>
            <scheme val="minor"/>
          </rPr>
          <t xml:space="preserve">Unknown User:
REPLACEMENT OF SOLAR EVACUATED TUBE COLLECTOR (ONLY)
</t>
        </r>
      </text>
    </comment>
    <comment ref="G694" authorId="0" shapeId="0" xr:uid="{DCD28610-4555-4F7D-99BC-44D4E3C09A05}">
      <text>
        <r>
          <rPr>
            <sz val="11"/>
            <color theme="1"/>
            <rFont val="Aptos Narrow"/>
            <family val="2"/>
            <scheme val="minor"/>
          </rPr>
          <t>Unknown User:
INSTALLATION OF NEW WALL FACED TOILET SUITE (CUSTOMER SUPPLIED)
CUSTOMER SUPPLIED BATH TUB INSTALLATION 
$65 First Service Discount</t>
        </r>
      </text>
    </comment>
    <comment ref="G695" authorId="0" shapeId="0" xr:uid="{C50DBE5D-01DA-49BD-A0E0-E587543AE320}">
      <text>
        <r>
          <rPr>
            <sz val="11"/>
            <color theme="1"/>
            <rFont val="Aptos Narrow"/>
            <family val="2"/>
            <scheme val="minor"/>
          </rPr>
          <t>Unknown User:
REPLACEMENT OF BASIN TAPS AND SPOUT (GOLD)</t>
        </r>
      </text>
    </comment>
    <comment ref="G697" authorId="0" shapeId="0" xr:uid="{69DB8DEF-06DC-4524-9AB8-A2CCD09EAE2B}">
      <text>
        <r>
          <rPr>
            <sz val="11"/>
            <color theme="1"/>
            <rFont val="Aptos Narrow"/>
            <family val="2"/>
            <scheme val="minor"/>
          </rPr>
          <t xml:space="preserve">Unknown User:
RECTIFICATION OF BOX GUTTER
</t>
        </r>
      </text>
    </comment>
    <comment ref="G730" authorId="0" shapeId="0" xr:uid="{BAA7EA6D-25EB-42F0-B88F-C6468BDF19E2}">
      <text>
        <r>
          <rPr>
            <sz val="11"/>
            <color theme="1"/>
            <rFont val="Aptos Narrow"/>
            <family val="2"/>
            <scheme val="minor"/>
          </rPr>
          <t>Unknown User:
CCTV DRAIN CAMERA INSPECTION OF SEWER SERVICE
CCTV DRAIN CAMERA INSPECTION OF STORM WATER SERVICE</t>
        </r>
      </text>
    </comment>
    <comment ref="M730" authorId="0" shapeId="0" xr:uid="{BF6BF17A-E28A-4597-B07D-15C038D930A8}">
      <text>
        <r>
          <rPr>
            <sz val="11"/>
            <color theme="1"/>
            <rFont val="Aptos Narrow"/>
            <family val="2"/>
            <scheme val="minor"/>
          </rPr>
          <t>Unknown User:
Smartpay receipt of $139 not uploaded by plumber.
Uploaded by Modoras team.</t>
        </r>
      </text>
    </comment>
    <comment ref="G731" authorId="0" shapeId="0" xr:uid="{517BF881-5D96-476B-8838-F6AB2086306E}">
      <text>
        <r>
          <rPr>
            <sz val="11"/>
            <color theme="1"/>
            <rFont val="Aptos Narrow"/>
            <family val="2"/>
            <scheme val="minor"/>
          </rPr>
          <t>Unknown User:
HIGH POWERED JET BLAST &amp; CCTV DRAIN CAMERA INSPECTION (SEWER SERVICE)</t>
        </r>
      </text>
    </comment>
    <comment ref="M731" authorId="0" shapeId="0" xr:uid="{B10AF47D-BC0A-45A7-9C32-3CB1DD82D0B2}">
      <text>
        <r>
          <rPr>
            <sz val="11"/>
            <color theme="1"/>
            <rFont val="Aptos Narrow"/>
            <family val="2"/>
            <scheme val="minor"/>
          </rPr>
          <t>Unknown User:
Smartpay receipt of $125.10 not uploaded by plumber.
Uploaded by Modoras team.</t>
        </r>
      </text>
    </comment>
    <comment ref="P731" authorId="0" shapeId="0" xr:uid="{047BF644-4B9A-413B-9C87-A7B7C9094F8C}">
      <text>
        <r>
          <rPr>
            <sz val="11"/>
            <color theme="1"/>
            <rFont val="Aptos Narrow"/>
            <family val="2"/>
            <scheme val="minor"/>
          </rPr>
          <t>Unknown User:
Quote not emailed</t>
        </r>
      </text>
    </comment>
    <comment ref="S731" authorId="0" shapeId="0" xr:uid="{AC26B237-17EC-40AA-97EE-23959E5D1880}">
      <text>
        <r>
          <rPr>
            <sz val="11"/>
            <color theme="1"/>
            <rFont val="Aptos Narrow"/>
            <family val="2"/>
            <scheme val="minor"/>
          </rPr>
          <t>Unknown User:
Invoice not emailed</t>
        </r>
      </text>
    </comment>
    <comment ref="G732" authorId="0" shapeId="0" xr:uid="{8AC05C79-1E78-4CCC-94F5-F277FAC89521}">
      <text>
        <r>
          <rPr>
            <sz val="11"/>
            <color theme="1"/>
            <rFont val="Aptos Narrow"/>
            <family val="2"/>
            <scheme val="minor"/>
          </rPr>
          <t>Unknown User:
SEARCH AND INVESTIGATION OF SOLAR SPLIT HOT WATER SYSTEM</t>
        </r>
      </text>
    </comment>
    <comment ref="M732" authorId="0" shapeId="0" xr:uid="{E4892FBD-29E5-4F24-975C-234F7AB70EC2}">
      <text>
        <r>
          <rPr>
            <sz val="11"/>
            <color theme="1"/>
            <rFont val="Aptos Narrow"/>
            <family val="2"/>
            <scheme val="minor"/>
          </rPr>
          <t>Unknown User:
Smartpay receipt of $75 not uploaded by plumber.
Uploaded by Modoras team.</t>
        </r>
      </text>
    </comment>
    <comment ref="G733" authorId="0" shapeId="0" xr:uid="{F30E083A-CCD0-4C2A-AC52-A31A216C3879}">
      <text>
        <r>
          <rPr>
            <sz val="11"/>
            <color theme="1"/>
            <rFont val="Aptos Narrow"/>
            <family val="2"/>
            <scheme val="minor"/>
          </rPr>
          <t>Unknown User:
SUPPLY &amp; INSTALLATION OF PLUG / WASTE</t>
        </r>
      </text>
    </comment>
    <comment ref="V733" authorId="0" shapeId="0" xr:uid="{78F0AD6E-C785-4942-9580-662C60DFBD4E}">
      <text>
        <r>
          <rPr>
            <sz val="11"/>
            <color theme="1"/>
            <rFont val="Aptos Narrow"/>
            <family val="2"/>
            <scheme val="minor"/>
          </rPr>
          <t>Unknown User:
$1875.72 received is split as $1126.62 for initial job #72426/87215983 &amp; as $749.10 for upsell job #72426/87216059</t>
        </r>
      </text>
    </comment>
    <comment ref="G734" authorId="0" shapeId="0" xr:uid="{54DED79F-A380-4172-9887-4C3B3636E0A4}">
      <text>
        <r>
          <rPr>
            <sz val="11"/>
            <color theme="1"/>
            <rFont val="Aptos Narrow"/>
            <family val="2"/>
            <scheme val="minor"/>
          </rPr>
          <t>Unknown User:
SUPPLY AND INSTALLATION OF TRAP TO VANITY OR PEDESTAL BASIN - WHITE PVC</t>
        </r>
      </text>
    </comment>
    <comment ref="V734" authorId="0" shapeId="0" xr:uid="{947311F9-DAB1-45F8-AD33-7B1A9230A1BA}">
      <text>
        <r>
          <rPr>
            <sz val="11"/>
            <color theme="1"/>
            <rFont val="Aptos Narrow"/>
            <family val="2"/>
            <scheme val="minor"/>
          </rPr>
          <t>Unknown User:
$1875.72 received is split as $1126.62 for initial job #72426/87215983 &amp; as $749.10 for upsell job #72426/87216059</t>
        </r>
      </text>
    </comment>
    <comment ref="G735" authorId="0" shapeId="0" xr:uid="{DFB5EF64-5513-41D0-967C-982902C376A1}">
      <text>
        <r>
          <rPr>
            <sz val="11"/>
            <color theme="1"/>
            <rFont val="Aptos Narrow"/>
            <family val="2"/>
            <scheme val="minor"/>
          </rPr>
          <t>Unknown User:
REPLACEMENT OF SHOWER ON RAIL</t>
        </r>
      </text>
    </comment>
    <comment ref="G736" authorId="0" shapeId="0" xr:uid="{14237D41-8E2C-49A4-861F-50707D7B27E7}">
      <text>
        <r>
          <rPr>
            <sz val="11"/>
            <color theme="1"/>
            <rFont val="Aptos Narrow"/>
            <family val="2"/>
            <scheme val="minor"/>
          </rPr>
          <t xml:space="preserve">Unknown User:
SUPPLY AND INSTALLATION OF PRESSURE REGULATING DEVICE FITTED TO 20MM STRAIGHT PIPEWORK
</t>
        </r>
      </text>
    </comment>
    <comment ref="G737" authorId="0" shapeId="0" xr:uid="{13B9371F-0C50-43BC-870C-AAECF0214265}">
      <text>
        <r>
          <rPr>
            <sz val="11"/>
            <color theme="1"/>
            <rFont val="Aptos Narrow"/>
            <family val="2"/>
            <scheme val="minor"/>
          </rPr>
          <t>Unknown User:
HIGH POWERED JET BLAST &amp; CCTV DRAIN CAMERA INSPECTION (SEWER SERVICE)</t>
        </r>
      </text>
    </comment>
    <comment ref="G746" authorId="0" shapeId="0" xr:uid="{1A2F23D0-CECC-458D-882B-128BFC928EC5}">
      <text>
        <r>
          <rPr>
            <sz val="11"/>
            <color theme="1"/>
            <rFont val="Aptos Narrow"/>
            <family val="2"/>
            <scheme val="minor"/>
          </rPr>
          <t>Unknown User:
SEARCH &amp; INVESTIGATION OF POTENTIAL GAS LEAK
Gain access to main gas meter
Isolate the main gas supply to the property
Disconnect the existing main meter test point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t>
        </r>
      </text>
    </comment>
    <comment ref="P746" authorId="0" shapeId="0" xr:uid="{6B94B243-BE0D-42D8-968A-4A8C98FFF8D3}">
      <text>
        <r>
          <rPr>
            <sz val="11"/>
            <color theme="1"/>
            <rFont val="Aptos Narrow"/>
            <family val="2"/>
            <scheme val="minor"/>
          </rPr>
          <t>Unknown User:
Quote not Emailed</t>
        </r>
      </text>
    </comment>
    <comment ref="A747" authorId="30" shapeId="0" xr:uid="{76F2D728-7F82-4800-8C44-3EC51AA056FF}">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V747" authorId="0" shapeId="0" xr:uid="{BEF5AF4A-C6EF-4A31-8490-BB564C8C22B6}">
      <text>
        <r>
          <rPr>
            <sz val="11"/>
            <color theme="1"/>
            <rFont val="Aptos Narrow"/>
            <family val="2"/>
            <scheme val="minor"/>
          </rPr>
          <t>Unknown User:
12/08 Received $295.40 SQ</t>
        </r>
      </text>
    </comment>
    <comment ref="G748" authorId="0" shapeId="0" xr:uid="{A099A37D-68A0-4E95-823E-E46AD9B91033}">
      <text>
        <r>
          <rPr>
            <sz val="11"/>
            <color theme="1"/>
            <rFont val="Aptos Narrow"/>
            <family val="2"/>
            <scheme val="minor"/>
          </rPr>
          <t>Unknown User:
REPLACEMENT OF EXISTING OVERFLOW GULLY &amp; UP TO 1.5M OF MAIN SEWER SERVICE (UNDER CONCRETE)</t>
        </r>
      </text>
    </comment>
    <comment ref="V748" authorId="0" shapeId="0" xr:uid="{0506A420-DA63-4029-AE13-FCA3C07DB4A9}">
      <text>
        <r>
          <rPr>
            <sz val="11"/>
            <color theme="1"/>
            <rFont val="Aptos Narrow"/>
            <family val="2"/>
            <scheme val="minor"/>
          </rPr>
          <t>Unknown User:
07/08 Received $3500 EFT
05/08 Received $2000 EFT</t>
        </r>
      </text>
    </comment>
    <comment ref="G752" authorId="0" shapeId="0" xr:uid="{A180A0E8-E584-4DA2-8530-162C3175A5C3}">
      <text>
        <r>
          <rPr>
            <sz val="11"/>
            <color theme="1"/>
            <rFont val="Aptos Narrow"/>
            <family val="2"/>
            <scheme val="minor"/>
          </rPr>
          <t xml:space="preserve">Unknown User:
DISCONNECT &amp; RECONNECT ELECTRIC STORAGE HWS
Isolate power supply to electric storage unit
Isolate water supply to property
Disconnect plumbing to existing electric storage unit
Disconnect electrical supply to electric hot water unit
Drain electric storage unit
Removal of existing section of cold-water service connecting to electric storage unit
Removal of existing section of hot water service connecting to electric storage unit
Removal of existing valves
Clean &amp; prepare existing connections
Supply new brass fittings to cold water service
Supply new brass fittings to hot water service
Cap off cold water service connecting to electric storage unit
Cap off hot water service connecting to electric storage unit
Decommission electric storage unit &amp; make safe
Reinstate main water supply to property
Install the customer-supplied hot water system
Supply and install a new duo valve
Supply and install a new pressure limiting valve
Supply and install a new tempering valve
Install a new pressure relief valve
Supply and install a new pressure relief valve drain in copper, ensuring compliance
with AS/3500
Supply and install new brass fittings
Supply and install new B-press fittings
Reconfigure the cold-water service to suit the new electric storage system
Reconfigure the hot water service to suit the new electric storage system
Supply and install a new section of the cold-water copper service
Supply and install a new section of the hot water copper service
Reconnect the cold-water service to the new electric hot water system
Reconnect the hot water service to the new electric hot water system
Reconnect the power supply to the new electric hot water system
Reinstate the main water supply to the property
Test and commission the installation
Remove trade waste
</t>
        </r>
      </text>
    </comment>
    <comment ref="P752" authorId="0" shapeId="0" xr:uid="{387F9131-4938-40D5-BC4B-A847D2B9AC21}">
      <text>
        <r>
          <rPr>
            <sz val="11"/>
            <color theme="1"/>
            <rFont val="Aptos Narrow"/>
            <family val="2"/>
            <scheme val="minor"/>
          </rPr>
          <t>Unknown User:
Quote not Emailed</t>
        </r>
      </text>
    </comment>
    <comment ref="G753" authorId="0" shapeId="0" xr:uid="{BC0279E6-FF52-472A-ABD9-5D0FB483EE2D}">
      <text>
        <r>
          <rPr>
            <sz val="11"/>
            <color theme="1"/>
            <rFont val="Aptos Narrow"/>
            <family val="2"/>
            <scheme val="minor"/>
          </rPr>
          <t xml:space="preserve">Unknown User:
SEWER SPOT DIG (UNDER CONCRETE)
</t>
        </r>
      </text>
    </comment>
    <comment ref="A754" authorId="28" shapeId="0" xr:uid="{9DEA99DD-9AEB-44A0-944B-73164E0B6FC1}">
      <text>
        <r>
          <rPr>
            <sz val="11"/>
            <color theme="1"/>
            <rFont val="Aptos Narrow"/>
            <family val="2"/>
            <scheme val="minor"/>
          </rPr>
          <t>Accounts | Australia Trades:
Tiling Invoice</t>
        </r>
      </text>
    </comment>
    <comment ref="G754" authorId="0" shapeId="0" xr:uid="{C31A0813-C36B-4E39-87BC-497AB9FAC894}">
      <text>
        <r>
          <rPr>
            <sz val="11"/>
            <color theme="1"/>
            <rFont val="Aptos Narrow"/>
            <family val="2"/>
            <scheme val="minor"/>
          </rPr>
          <t xml:space="preserve">Unknown User:
REPLACEMENT OF IN WALL MIXER W/DIVERTER
</t>
        </r>
      </text>
    </comment>
    <comment ref="N754" authorId="0" shapeId="0" xr:uid="{2DE8ED02-A23B-483D-892E-C4EA80FA5860}">
      <text>
        <r>
          <rPr>
            <sz val="11"/>
            <color theme="1"/>
            <rFont val="Aptos Narrow"/>
            <family val="2"/>
            <scheme val="minor"/>
          </rPr>
          <t>Unknown User:
Quote not raised due to technical issue in ServiceTitan.</t>
        </r>
      </text>
    </comment>
    <comment ref="G758" authorId="0" shapeId="0" xr:uid="{D988F26B-183D-4BA4-A80E-BE8B1C295A9B}">
      <text>
        <r>
          <rPr>
            <sz val="11"/>
            <color theme="1"/>
            <rFont val="Aptos Narrow"/>
            <family val="2"/>
            <scheme val="minor"/>
          </rPr>
          <t>Unknown User:
DIG UP OF STORM WATER SPOT (UNDER CONCRETE)
10% Good Will Discount</t>
        </r>
      </text>
    </comment>
    <comment ref="G759" authorId="0" shapeId="0" xr:uid="{6F32A09F-AFF5-4257-8211-E1D45C39974C}">
      <text>
        <r>
          <rPr>
            <sz val="11"/>
            <color theme="1"/>
            <rFont val="Aptos Narrow"/>
            <family val="2"/>
            <scheme val="minor"/>
          </rPr>
          <t xml:space="preserve">Unknown User:
COMPLETE SERVICE OF TOILET CISTERN
HIGH POWERED SUCTION &amp; ACID TREATMENT
Customer Satisfaction Discount
COMPLETE SERVICE OF WALL TOP TAPS ASSEMBLY
</t>
        </r>
      </text>
    </comment>
    <comment ref="G760" authorId="0" shapeId="0" xr:uid="{57F13A36-7D02-428F-9C4B-6D81BEC90D7D}">
      <text>
        <r>
          <rPr>
            <sz val="11"/>
            <color theme="1"/>
            <rFont val="Aptos Narrow"/>
            <family val="2"/>
            <scheme val="minor"/>
          </rPr>
          <t xml:space="preserve">Unknown User:
SEARCH &amp; INVESTIGATION (GENERAL)
</t>
        </r>
      </text>
    </comment>
    <comment ref="G761" authorId="0" shapeId="0" xr:uid="{D6B7BA55-EF35-406B-97A2-3666482F312C}">
      <text>
        <r>
          <rPr>
            <sz val="11"/>
            <color theme="1"/>
            <rFont val="Aptos Narrow"/>
            <family val="2"/>
            <scheme val="minor"/>
          </rPr>
          <t>Unknown User:
HIGH POWERED SUCTION PUMP</t>
        </r>
      </text>
    </comment>
    <comment ref="G763" authorId="0" shapeId="0" xr:uid="{442FCB4E-0836-462D-BCB2-3CC52CD08693}">
      <text>
        <r>
          <rPr>
            <sz val="11"/>
            <color theme="1"/>
            <rFont val="Aptos Narrow"/>
            <family val="2"/>
            <scheme val="minor"/>
          </rPr>
          <t xml:space="preserve">Unknown User:
SEARCH AND INVESTIGATION OF GAS INSTANTANEOUS HOT WATER SYSTEM
</t>
        </r>
      </text>
    </comment>
    <comment ref="G764" authorId="0" shapeId="0" xr:uid="{1A4682D0-8978-4DD5-A9EB-8EBFFEC4AD0B}">
      <text>
        <r>
          <rPr>
            <sz val="11"/>
            <color theme="1"/>
            <rFont val="Aptos Narrow"/>
            <family val="2"/>
            <scheme val="minor"/>
          </rPr>
          <t xml:space="preserve">Unknown User:
HIGH POWERED SUCTION &amp; ACID TREATMENT
</t>
        </r>
      </text>
    </comment>
    <comment ref="G765" authorId="0" shapeId="0" xr:uid="{ED4950EE-6174-4705-BAFA-2F6269BF3276}">
      <text>
        <r>
          <rPr>
            <sz val="11"/>
            <color theme="1"/>
            <rFont val="Aptos Narrow"/>
            <family val="2"/>
            <scheme val="minor"/>
          </rPr>
          <t>Unknown User:
SEARCH AND INVESTIGATION OF SOLAR SPLIT HOT WATER SYSTEM
$65 First Service Discount</t>
        </r>
      </text>
    </comment>
    <comment ref="G766" authorId="0" shapeId="0" xr:uid="{8838190A-342A-4E66-8885-BFAB025BBB37}">
      <text>
        <r>
          <rPr>
            <sz val="11"/>
            <color theme="1"/>
            <rFont val="Aptos Narrow"/>
            <family val="2"/>
            <scheme val="minor"/>
          </rPr>
          <t>Unknown User:
CONVERT SOLAR SPLIT HOT WATER SYSTEM TO EXTERNAL GAS INSTANTANEOUS HOT WATER SYSTEM
REPLACEMENT OF WATER HEATER SACRIFICIAL ANODE - SOLAR (ALL TYPES)</t>
        </r>
      </text>
    </comment>
    <comment ref="G767" authorId="0" shapeId="0" xr:uid="{911F569E-33A3-4724-804E-D54747150CB1}">
      <text>
        <r>
          <rPr>
            <sz val="11"/>
            <color theme="1"/>
            <rFont val="Aptos Narrow"/>
            <family val="2"/>
            <scheme val="minor"/>
          </rPr>
          <t xml:space="preserve">Unknown User:
REPLACEMENT OF BASIN MIXER
$65 First Service Discount
</t>
        </r>
      </text>
    </comment>
    <comment ref="G768" authorId="0" shapeId="0" xr:uid="{6D7B88A6-2EA5-4D23-8271-DC9DB25CDF25}">
      <text>
        <r>
          <rPr>
            <sz val="11"/>
            <color theme="1"/>
            <rFont val="Aptos Narrow"/>
            <family val="2"/>
            <scheme val="minor"/>
          </rPr>
          <t>Unknown User:
WATER SERVICE RECTIFICATION (IN GROUND)
$65 First Service Discount</t>
        </r>
      </text>
    </comment>
    <comment ref="G769" authorId="0" shapeId="0" xr:uid="{9F954A74-4C36-42E2-BE72-0B7632002021}">
      <text>
        <r>
          <rPr>
            <sz val="11"/>
            <color theme="1"/>
            <rFont val="Aptos Narrow"/>
            <family val="2"/>
            <scheme val="minor"/>
          </rPr>
          <t>Unknown User:
INSTALLATION OF NATURAL GAS BBQ [SAME LOCATION] (CUSTOMER SUPPLIED)
$65 First Service Discount</t>
        </r>
      </text>
    </comment>
    <comment ref="G771" authorId="0" shapeId="0" xr:uid="{B46112C1-A086-482D-BE8B-5C3C3769D675}">
      <text>
        <r>
          <rPr>
            <sz val="11"/>
            <color theme="1"/>
            <rFont val="Aptos Narrow"/>
            <family val="2"/>
            <scheme val="minor"/>
          </rPr>
          <t xml:space="preserve">Unknown User:
SEARCH AND INVESTIGATION OF SOLAR SPLIT HOT WATER SYSTEM
</t>
        </r>
      </text>
    </comment>
    <comment ref="G772" authorId="0" shapeId="0" xr:uid="{0CE8C79C-5B01-469D-9D8D-73EE01A85147}">
      <text>
        <r>
          <rPr>
            <sz val="11"/>
            <color theme="1"/>
            <rFont val="Aptos Narrow"/>
            <family val="2"/>
            <scheme val="minor"/>
          </rPr>
          <t xml:space="preserve">Unknown User:
WATER SERVICE RECTIFICATION (IN GROUND)
</t>
        </r>
      </text>
    </comment>
    <comment ref="G773" authorId="0" shapeId="0" xr:uid="{4F501491-A206-44F6-B8EA-931B5FB9C97E}">
      <text>
        <r>
          <rPr>
            <sz val="11"/>
            <color theme="1"/>
            <rFont val="Aptos Narrow"/>
            <family val="2"/>
            <scheme val="minor"/>
          </rPr>
          <t xml:space="preserve">Unknown User:
SUPPLY &amp; INSTALLATION OF SEMI-RECESSED BASIN
</t>
        </r>
      </text>
    </comment>
    <comment ref="G774" authorId="0" shapeId="0" xr:uid="{7590FAFB-F9E9-47D0-B76D-5F5C1C23D71F}">
      <text>
        <r>
          <rPr>
            <sz val="11"/>
            <color theme="1"/>
            <rFont val="Aptos Narrow"/>
            <family val="2"/>
            <scheme val="minor"/>
          </rPr>
          <t xml:space="preserve">Unknown User:
HIGH POWERED JET BLAST &amp; CCTV DRAIN CAMERA INSPECTION (SEWER SERVICE)
10% Seniors &amp; Pensioners Discount
</t>
        </r>
      </text>
    </comment>
    <comment ref="G775" authorId="0" shapeId="0" xr:uid="{A3EDF900-E256-49D5-8686-32A42CCD629C}">
      <text>
        <r>
          <rPr>
            <sz val="11"/>
            <color theme="1"/>
            <rFont val="Aptos Narrow"/>
            <family val="2"/>
            <scheme val="minor"/>
          </rPr>
          <t>Unknown User:
SUPPLY AND INSTALLATION OF WHITE PVC P TRAP TO WALL BASIN
$65 First Service Discount</t>
        </r>
      </text>
    </comment>
    <comment ref="G776" authorId="0" shapeId="0" xr:uid="{DC96C6AB-D5F5-42F3-B9B5-6BA2A2314CBD}">
      <text>
        <r>
          <rPr>
            <sz val="11"/>
            <color theme="1"/>
            <rFont val="Aptos Narrow"/>
            <family val="2"/>
            <scheme val="minor"/>
          </rPr>
          <t>Unknown User:
INSTALLATION OF GAS COOKTOP [SAME LOCATION] (CUSTOMER SUPPLIED)
$65 First Service Discount</t>
        </r>
      </text>
    </comment>
    <comment ref="G777" authorId="0" shapeId="0" xr:uid="{EEE6D493-F0E7-436C-B6CC-9FF8A77B60B2}">
      <text>
        <r>
          <rPr>
            <sz val="11"/>
            <color theme="1"/>
            <rFont val="Aptos Narrow"/>
            <family val="2"/>
            <scheme val="minor"/>
          </rPr>
          <t>Unknown User:
COMPLETE SERVICE OF WALL TOP TAPS ASSEMBLY
$65 First Service Discount</t>
        </r>
      </text>
    </comment>
    <comment ref="G778" authorId="0" shapeId="0" xr:uid="{D05817C3-7F92-4FA2-9BED-F9B1649015CA}">
      <text>
        <r>
          <rPr>
            <sz val="11"/>
            <color theme="1"/>
            <rFont val="Aptos Narrow"/>
            <family val="2"/>
            <scheme val="minor"/>
          </rPr>
          <t>Unknown User:
CONVERT SOLAR SPLIT HOT WATER SYSTEM TO EXTERNAL GAS INSTANTANEOUS HOT WATER SYSTEM</t>
        </r>
      </text>
    </comment>
    <comment ref="G779" authorId="0" shapeId="0" xr:uid="{CBA2B974-9319-47B9-9FBC-71E3A79F2A90}">
      <text>
        <r>
          <rPr>
            <sz val="11"/>
            <color theme="1"/>
            <rFont val="Aptos Narrow"/>
            <family val="2"/>
            <scheme val="minor"/>
          </rPr>
          <t>Unknown User:
SEARCH &amp; INVESTIGATION OF GAS STORAGE HOT WATER SYSTEM
$65 First Service Discount</t>
        </r>
      </text>
    </comment>
    <comment ref="G780" authorId="0" shapeId="0" xr:uid="{91D3A319-4D76-4FC0-BA4E-CBB9302B7611}">
      <text>
        <r>
          <rPr>
            <sz val="11"/>
            <color theme="1"/>
            <rFont val="Aptos Narrow"/>
            <family val="2"/>
            <scheme val="minor"/>
          </rPr>
          <t>Unknown User:
INSTALLATION OF DISHWASHER (CUSTOMER SUPPLIED)</t>
        </r>
      </text>
    </comment>
    <comment ref="G781" authorId="0" shapeId="0" xr:uid="{E9CDF8EE-6B71-4236-B5DB-52B7A27E364C}">
      <text>
        <r>
          <rPr>
            <sz val="11"/>
            <color theme="1"/>
            <rFont val="Aptos Narrow"/>
            <family val="2"/>
            <scheme val="minor"/>
          </rPr>
          <t>Unknown User:
SEWER SPOT DIG - IN GROUND</t>
        </r>
      </text>
    </comment>
    <comment ref="G782" authorId="0" shapeId="0" xr:uid="{FA84D4A7-D955-4443-96C6-9F8EAB7CC2CD}">
      <text>
        <r>
          <rPr>
            <sz val="11"/>
            <color theme="1"/>
            <rFont val="Aptos Narrow"/>
            <family val="2"/>
            <scheme val="minor"/>
          </rPr>
          <t>Unknown User:
SUPPLY AND INSTALLATION OF PRESSURE REGULATING DEVICE FITTED TO 20MM STRAIGHT PIPEWORK
$65 First Service Discount</t>
        </r>
      </text>
    </comment>
    <comment ref="G783" authorId="0" shapeId="0" xr:uid="{A54F0263-B02F-493C-ABB6-31CB8F37B094}">
      <text>
        <r>
          <rPr>
            <sz val="11"/>
            <color theme="1"/>
            <rFont val="Aptos Narrow"/>
            <family val="2"/>
            <scheme val="minor"/>
          </rPr>
          <t>Unknown User:
SUPPLY &amp; INSTALLATION OF SQUARE DOWNPIPE 
10% Seniors &amp; Pensioners Discount</t>
        </r>
      </text>
    </comment>
    <comment ref="G784" authorId="0" shapeId="0" xr:uid="{EC8C33C8-0D71-4136-B0DC-7D9BB8D471D1}">
      <text>
        <r>
          <rPr>
            <sz val="11"/>
            <color theme="1"/>
            <rFont val="Aptos Narrow"/>
            <family val="2"/>
            <scheme val="minor"/>
          </rPr>
          <t>Unknown User:
SEARCH &amp; INVESTIGATION OF SINGLE STOREY ROOF OF POTENTIAL LEAK
$65 First Service Discount</t>
        </r>
      </text>
    </comment>
    <comment ref="E805" authorId="31" shapeId="0" xr:uid="{00EE1AB2-D8C3-4D90-AAD9-6B6142E44098}">
      <text>
        <t>[Threaded comment]
Your version of Excel allows you to read this threaded comment; however, any edits to it will get removed if the file is opened in a newer version of Excel. Learn more: https://go.microsoft.com/fwlink/?linkid=870924
Comment:
    Stock</t>
      </text>
    </comment>
    <comment ref="E806" authorId="32" shapeId="0" xr:uid="{6454AB60-2133-4351-82C7-D8412951370D}">
      <text>
        <t>[Threaded comment]
Your version of Excel allows you to read this threaded comment; however, any edits to it will get removed if the file is opened in a newer version of Excel. Learn more: https://go.microsoft.com/fwlink/?linkid=870924
Comment:
    Stock</t>
      </text>
    </comment>
    <comment ref="E807" authorId="33" shapeId="0" xr:uid="{C5A75C61-D5A8-4E79-A612-0F4FBE7FF87A}">
      <text>
        <t>[Threaded comment]
Your version of Excel allows you to read this threaded comment; however, any edits to it will get removed if the file is opened in a newer version of Excel. Learn more: https://go.microsoft.com/fwlink/?linkid=870924
Comment:
    Stock</t>
      </text>
    </comment>
    <comment ref="E808" authorId="34" shapeId="0" xr:uid="{A18F2146-B8CD-47FB-BC65-F13775796A4F}">
      <text>
        <t>[Threaded comment]
Your version of Excel allows you to read this threaded comment; however, any edits to it will get removed if the file is opened in a newer version of Excel. Learn more: https://go.microsoft.com/fwlink/?linkid=870924
Comment:
    Stock</t>
      </text>
    </comment>
    <comment ref="G817" authorId="0" shapeId="0" xr:uid="{ABB4D94B-54CD-4843-A830-056C5B85C3C6}">
      <text>
        <r>
          <rPr>
            <sz val="11"/>
            <color theme="1"/>
            <rFont val="Aptos Narrow"/>
            <family val="2"/>
            <scheme val="minor"/>
          </rPr>
          <t>Unknown User:
HIGH POWERED JET BLAST &amp; CCTV DRAIN CAMERA INSPECTION (SEWER SERVICE)</t>
        </r>
      </text>
    </comment>
    <comment ref="G818" authorId="0" shapeId="0" xr:uid="{951070D9-5A7D-49F8-8DA4-CD233DC7F354}">
      <text>
        <r>
          <rPr>
            <sz val="11"/>
            <color theme="1"/>
            <rFont val="Aptos Narrow"/>
            <family val="2"/>
            <scheme val="minor"/>
          </rPr>
          <t>Unknown User:
HIGH POWERED JET BLAST &amp; CCTV DRAIN CAMERA INSPECTION (SEWER SERVICE)</t>
        </r>
      </text>
    </comment>
    <comment ref="G819" authorId="0" shapeId="0" xr:uid="{90E668A4-A6C1-40A3-9840-4FD8A7FD1E69}">
      <text>
        <r>
          <rPr>
            <sz val="11"/>
            <color theme="1"/>
            <rFont val="Aptos Narrow"/>
            <family val="2"/>
            <scheme val="minor"/>
          </rPr>
          <t>Unknown User:
SEARCH &amp; INVESTIGATION OF GAS STORAGE HOT WATER SYSTEM</t>
        </r>
      </text>
    </comment>
    <comment ref="G820" authorId="0" shapeId="0" xr:uid="{59A157F0-E4A0-476C-A9BF-7FD84F98F689}">
      <text>
        <r>
          <rPr>
            <sz val="11"/>
            <color theme="1"/>
            <rFont val="Aptos Narrow"/>
            <family val="2"/>
            <scheme val="minor"/>
          </rPr>
          <t>Unknown User:
MIXER TAP - GOOSE NECK</t>
        </r>
      </text>
    </comment>
    <comment ref="M820" authorId="0" shapeId="0" xr:uid="{179980AB-55E0-4C70-A493-14205384A51D}">
      <text>
        <r>
          <rPr>
            <sz val="11"/>
            <color theme="1"/>
            <rFont val="Aptos Narrow"/>
            <family val="2"/>
            <scheme val="minor"/>
          </rPr>
          <t>Unknown User:
Smartpay receipt of $1664.10 not uploaded by plumber.
Uploaded by Modoras team</t>
        </r>
      </text>
    </comment>
    <comment ref="G821" authorId="0" shapeId="0" xr:uid="{9EE141A3-63C5-4C6D-B8D7-030CE83CF9B1}">
      <text>
        <r>
          <rPr>
            <sz val="11"/>
            <color theme="1"/>
            <rFont val="Aptos Narrow"/>
            <family val="2"/>
            <scheme val="minor"/>
          </rPr>
          <t xml:space="preserve">Unknown User:
HIGH POWERED SUCTION &amp; ACID TREATMENT
</t>
        </r>
      </text>
    </comment>
    <comment ref="G826" authorId="0" shapeId="0" xr:uid="{62552B99-2D0C-48B6-A4BD-6E36D7819A96}">
      <text>
        <r>
          <rPr>
            <sz val="11"/>
            <color theme="1"/>
            <rFont val="Aptos Narrow"/>
            <family val="2"/>
            <scheme val="minor"/>
          </rPr>
          <t>Unknown User:
SEWER SPOT DIG - IN GROUND
10% Loyalty Discount
$89 Blocked Drains Discount</t>
        </r>
      </text>
    </comment>
    <comment ref="J826" authorId="35" shapeId="0" xr:uid="{31DD1E1B-B2DD-4C60-8772-7E9471294B11}">
      <text>
        <r>
          <rPr>
            <sz val="11"/>
            <color theme="1"/>
            <rFont val="Aptos Narrow"/>
            <family val="2"/>
            <scheme val="minor"/>
          </rPr>
          <t xml:space="preserve">ZIP
</t>
        </r>
      </text>
    </comment>
    <comment ref="U826" authorId="0" shapeId="0" xr:uid="{EDE5C1C0-4D3C-4CAB-A3E0-FAC2AFAF7AF3}">
      <text>
        <r>
          <rPr>
            <sz val="11"/>
            <color theme="1"/>
            <rFont val="Aptos Narrow"/>
            <family val="2"/>
            <scheme val="minor"/>
          </rPr>
          <t>Unknown User:
29/8-As per Vitori's note "called cust left vm to call us back to adv when we can reattend as we cannot go today due to plumber going home ill"
27/8-As per Kris's note "DOING A CCTV TO SHOW THE CUSTOMER AGAIN! QUOTED THIS DIG YESTERDAY AND TOLD THEM ITS OFFLINE AND NOT TO USE IT. MAYBE NOW THEY WILL GET THE PICTURE"</t>
        </r>
      </text>
    </comment>
    <comment ref="G827" authorId="0" shapeId="0" xr:uid="{1F711376-431F-45E3-9309-010D8D2CCFA5}">
      <text>
        <r>
          <rPr>
            <sz val="11"/>
            <color theme="1"/>
            <rFont val="Aptos Narrow"/>
            <family val="2"/>
            <scheme val="minor"/>
          </rPr>
          <t>Unknown User:
REPLACEMENT OF SEWER SHAFT
10% Good Will Discount</t>
        </r>
      </text>
    </comment>
    <comment ref="M827" authorId="0" shapeId="0" xr:uid="{89F13755-6EBD-46BC-89F8-90D02963AE8A}">
      <text>
        <r>
          <rPr>
            <sz val="11"/>
            <color theme="1"/>
            <rFont val="Aptos Narrow"/>
            <family val="2"/>
            <scheme val="minor"/>
          </rPr>
          <t>Unknown User:
Smartpay receipt of $2000 not uploaded by plumber.
Uploaded by Modoras team.</t>
        </r>
      </text>
    </comment>
    <comment ref="G835" authorId="0" shapeId="0" xr:uid="{FF3B6E35-846C-4BC6-B69B-7FC9D1CC7394}">
      <text>
        <r>
          <rPr>
            <sz val="11"/>
            <color theme="1"/>
            <rFont val="Aptos Narrow"/>
            <family val="2"/>
            <scheme val="minor"/>
          </rPr>
          <t>Unknown User:
SEARCH &amp; INVESTIGATION OF POTENTIAL GAS LEAK
Gain access to main gas meter
Isolate the main gas supply to the property
Disconnect the existing main meter test point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t>
        </r>
      </text>
    </comment>
    <comment ref="P835" authorId="0" shapeId="0" xr:uid="{9EDAB5ED-C2CD-4990-8382-8D6C1AA2F36D}">
      <text>
        <r>
          <rPr>
            <sz val="11"/>
            <color theme="1"/>
            <rFont val="Aptos Narrow"/>
            <family val="2"/>
            <scheme val="minor"/>
          </rPr>
          <t>Unknown User:
Quote not Emailed</t>
        </r>
      </text>
    </comment>
    <comment ref="A836" authorId="36" shapeId="0" xr:uid="{CF00CDE1-3789-436D-B406-4945514505C9}">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V836" authorId="0" shapeId="0" xr:uid="{C7CB0C2B-2795-43C0-9296-0CCAD7DDB00B}">
      <text>
        <r>
          <rPr>
            <sz val="11"/>
            <color theme="1"/>
            <rFont val="Aptos Narrow"/>
            <family val="2"/>
            <scheme val="minor"/>
          </rPr>
          <t>Unknown User:
12/08 Received $295.40 SQ</t>
        </r>
      </text>
    </comment>
    <comment ref="G837" authorId="0" shapeId="0" xr:uid="{3D1F6175-4D5D-4738-8343-ACCA2D967453}">
      <text>
        <r>
          <rPr>
            <sz val="11"/>
            <color theme="1"/>
            <rFont val="Aptos Narrow"/>
            <family val="2"/>
            <scheme val="minor"/>
          </rPr>
          <t>Unknown User:
REPLACEMENT OF EXISTING OVERFLOW GULLY &amp; UP TO 1.5M OF MAIN SEWER SERVICE (UNDER CONCRETE)</t>
        </r>
      </text>
    </comment>
    <comment ref="V837" authorId="0" shapeId="0" xr:uid="{40839988-1FD6-4418-808B-F0EFFE30404E}">
      <text>
        <r>
          <rPr>
            <sz val="11"/>
            <color theme="1"/>
            <rFont val="Aptos Narrow"/>
            <family val="2"/>
            <scheme val="minor"/>
          </rPr>
          <t>Unknown User:
07/08 Received $3500 EFT
05/08 Received $2000 EFT</t>
        </r>
      </text>
    </comment>
    <comment ref="G841" authorId="0" shapeId="0" xr:uid="{8818B263-D56F-4151-B9E1-5C28EF1287FF}">
      <text>
        <r>
          <rPr>
            <sz val="11"/>
            <color theme="1"/>
            <rFont val="Aptos Narrow"/>
            <family val="2"/>
            <scheme val="minor"/>
          </rPr>
          <t xml:space="preserve">Unknown User:
DISCONNECT &amp; RECONNECT ELECTRIC STORAGE HWS
Isolate power supply to electric storage unit
Isolate water supply to property
Disconnect plumbing to existing electric storage unit
Disconnect electrical supply to electric hot water unit
Drain electric storage unit
Removal of existing section of cold-water service connecting to electric storage unit
Removal of existing section of hot water service connecting to electric storage unit
Removal of existing valves
Clean &amp; prepare existing connections
Supply new brass fittings to cold water service
Supply new brass fittings to hot water service
Cap off cold water service connecting to electric storage unit
Cap off hot water service connecting to electric storage unit
Decommission electric storage unit &amp; make safe
Reinstate main water supply to property
Install the customer-supplied hot water system
Supply and install a new duo valve
Supply and install a new pressure limiting valve
Supply and install a new tempering valve
Install a new pressure relief valve
Supply and install a new pressure relief valve drain in copper, ensuring compliance
with AS/3500
Supply and install new brass fittings
Supply and install new B-press fittings
Reconfigure the cold-water service to suit the new electric storage system
Reconfigure the hot water service to suit the new electric storage system
Supply and install a new section of the cold-water copper service
Supply and install a new section of the hot water copper service
Reconnect the cold-water service to the new electric hot water system
Reconnect the hot water service to the new electric hot water system
Reconnect the power supply to the new electric hot water system
Reinstate the main water supply to the property
Test and commission the installation
Remove trade waste
</t>
        </r>
      </text>
    </comment>
    <comment ref="P841" authorId="0" shapeId="0" xr:uid="{2AA183AE-E3EC-4084-9D26-ECD27B862A20}">
      <text>
        <r>
          <rPr>
            <sz val="11"/>
            <color theme="1"/>
            <rFont val="Aptos Narrow"/>
            <family val="2"/>
            <scheme val="minor"/>
          </rPr>
          <t>Unknown User:
Quote not Emailed</t>
        </r>
      </text>
    </comment>
    <comment ref="G842" authorId="0" shapeId="0" xr:uid="{3CE41B65-DFF9-44E8-B175-515ADF105B38}">
      <text>
        <r>
          <rPr>
            <sz val="11"/>
            <color theme="1"/>
            <rFont val="Aptos Narrow"/>
            <family val="2"/>
            <scheme val="minor"/>
          </rPr>
          <t xml:space="preserve">Unknown User:
SEWER SPOT DIG (UNDER CONCRETE)
</t>
        </r>
      </text>
    </comment>
    <comment ref="V842" authorId="0" shapeId="0" xr:uid="{4EB826A4-7397-4651-9807-DBEED456CF0B}">
      <text>
        <r>
          <rPr>
            <sz val="11"/>
            <color theme="1"/>
            <rFont val="Aptos Narrow"/>
            <family val="2"/>
            <scheme val="minor"/>
          </rPr>
          <t>Unknown User:
21/8-EFT of $3690.46 collected</t>
        </r>
      </text>
    </comment>
    <comment ref="A843" authorId="28" shapeId="0" xr:uid="{44C6F474-DA89-4724-A8BB-A86F634845C3}">
      <text>
        <r>
          <rPr>
            <sz val="11"/>
            <color theme="1"/>
            <rFont val="Aptos Narrow"/>
            <family val="2"/>
            <scheme val="minor"/>
          </rPr>
          <t>Accounts | Australia Trades:
Tiling Invoice</t>
        </r>
      </text>
    </comment>
    <comment ref="G843" authorId="0" shapeId="0" xr:uid="{988C87B3-37A6-4405-85FF-C2B45F9D72EF}">
      <text>
        <r>
          <rPr>
            <sz val="11"/>
            <color theme="1"/>
            <rFont val="Aptos Narrow"/>
            <family val="2"/>
            <scheme val="minor"/>
          </rPr>
          <t xml:space="preserve">Unknown User:
REPLACEMENT OF IN WALL MIXER W/DIVERTER
</t>
        </r>
      </text>
    </comment>
    <comment ref="N843" authorId="0" shapeId="0" xr:uid="{82B55181-4C25-472C-B925-968D553FF208}">
      <text>
        <r>
          <rPr>
            <sz val="11"/>
            <color theme="1"/>
            <rFont val="Aptos Narrow"/>
            <family val="2"/>
            <scheme val="minor"/>
          </rPr>
          <t>Unknown User:
Quote not raised due to technical issue in ServiceTitan.</t>
        </r>
      </text>
    </comment>
    <comment ref="G847" authorId="0" shapeId="0" xr:uid="{B3B81783-2936-49B7-BD7C-9E526C615032}">
      <text>
        <r>
          <rPr>
            <sz val="11"/>
            <color theme="1"/>
            <rFont val="Aptos Narrow"/>
            <family val="2"/>
            <scheme val="minor"/>
          </rPr>
          <t>Unknown User:
SUPPLY &amp; INSTALLATION OF NEW WALL FACED TOILET SUITE
REPLACEMENT OF WALL BATH SPOUT
10% Good Will Discount</t>
        </r>
      </text>
    </comment>
    <comment ref="G848" authorId="0" shapeId="0" xr:uid="{F61E1AE1-A17A-428E-945D-D1AC9F545363}">
      <text>
        <r>
          <rPr>
            <sz val="11"/>
            <color theme="1"/>
            <rFont val="Aptos Narrow"/>
            <family val="2"/>
            <scheme val="minor"/>
          </rPr>
          <t>Unknown User:
SEARCH &amp; INVESTIGATION OF GAS STORAGE HOT WATER SYSTEM
$65 First Service Discount</t>
        </r>
      </text>
    </comment>
    <comment ref="G849" authorId="0" shapeId="0" xr:uid="{248E3110-6F25-4A68-AC7D-7F28E561BC3B}">
      <text>
        <r>
          <rPr>
            <sz val="11"/>
            <color theme="1"/>
            <rFont val="Aptos Narrow"/>
            <family val="2"/>
            <scheme val="minor"/>
          </rPr>
          <t>Unknown User:
SUPPLY &amp; INSTALLATION OF GAS STORAGE HOT WATER SYSTEM (EXTERNAL)</t>
        </r>
      </text>
    </comment>
    <comment ref="G850" authorId="0" shapeId="0" xr:uid="{BC7CE51B-7B2B-4AAB-A2CA-83A46C46ED8F}">
      <text>
        <r>
          <rPr>
            <sz val="11"/>
            <color theme="1"/>
            <rFont val="Aptos Narrow"/>
            <family val="2"/>
            <scheme val="minor"/>
          </rPr>
          <t>Unknown User:
SUPPLY &amp; INSTALLATION OF GAS STORAGE HOT WATER SYSTEM (EXTERNAL)
$85 Off First Service
5% Good Will Discount</t>
        </r>
      </text>
    </comment>
    <comment ref="G851" authorId="0" shapeId="0" xr:uid="{85B6DB2D-FA45-4C1F-99DC-2D3B2B5E475F}">
      <text>
        <r>
          <rPr>
            <sz val="11"/>
            <color theme="1"/>
            <rFont val="Aptos Narrow"/>
            <family val="2"/>
            <scheme val="minor"/>
          </rPr>
          <t xml:space="preserve">Unknown User:
SUPPLY &amp; INSTALLATION OF NEW SINGLE ELEMENT HOT WATER UNIT – INTERNAL
</t>
        </r>
      </text>
    </comment>
    <comment ref="G852" authorId="0" shapeId="0" xr:uid="{FA158A77-FACA-415B-8120-75FE3DE6CC44}">
      <text>
        <r>
          <rPr>
            <sz val="11"/>
            <color theme="1"/>
            <rFont val="Aptos Narrow"/>
            <family val="2"/>
            <scheme val="minor"/>
          </rPr>
          <t xml:space="preserve">Unknown User:
DECOMMISSION OF EXISTING GAS BBQ AND MAKE SAFE
</t>
        </r>
      </text>
    </comment>
    <comment ref="E873" authorId="37" shapeId="0" xr:uid="{593665AB-4F14-4DE2-8521-13ACB7428C26}">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t>
      </text>
    </comment>
    <comment ref="E874" authorId="38" shapeId="0" xr:uid="{590871B3-E2DE-46BC-BB25-934C503F9806}">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t>
      </text>
    </comment>
    <comment ref="E875" authorId="39" shapeId="0" xr:uid="{838CE3FB-69EF-404F-BEDE-C9DCBB2E07C6}">
      <text>
        <t>[Threaded comment]
Your version of Excel allows you to read this threaded comment; however, any edits to it will get removed if the file is opened in a newer version of Excel. Learn more: https://go.microsoft.com/fwlink/?linkid=870924
Comment:
    Stock</t>
      </text>
    </comment>
    <comment ref="E876" authorId="40" shapeId="0" xr:uid="{1C662504-2101-4E86-8B33-A68412191D98}">
      <text>
        <t>[Threaded comment]
Your version of Excel allows you to read this threaded comment; however, any edits to it will get removed if the file is opened in a newer version of Excel. Learn more: https://go.microsoft.com/fwlink/?linkid=870924
Comment:
    Stock</t>
      </text>
    </comment>
    <comment ref="E877" authorId="41" shapeId="0" xr:uid="{3994CF75-E292-45BE-90F7-B6E4BB9CD1F2}">
      <text>
        <t>[Threaded comment]
Your version of Excel allows you to read this threaded comment; however, any edits to it will get removed if the file is opened in a newer version of Excel. Learn more: https://go.microsoft.com/fwlink/?linkid=870924
Comment:
    Stock</t>
      </text>
    </comment>
    <comment ref="G884" authorId="0" shapeId="0" xr:uid="{B92EA6DE-DA2A-469A-AEA2-A046060E04B1}">
      <text>
        <r>
          <rPr>
            <sz val="11"/>
            <color theme="1"/>
            <rFont val="Aptos Narrow"/>
            <family val="2"/>
            <scheme val="minor"/>
          </rPr>
          <t>Unknown User:
REPLACEMENT OF CISTERN DUAL FLUSHING VALVE (COMPLETE ASSEMBLY)
10% Seniors &amp; Pensioners Discount</t>
        </r>
      </text>
    </comment>
    <comment ref="W884" authorId="0" shapeId="0" xr:uid="{EF398FD4-5A0C-4DC4-8023-BFD979FED708}">
      <text>
        <r>
          <rPr>
            <sz val="11"/>
            <color theme="1"/>
            <rFont val="Aptos Narrow"/>
            <family val="2"/>
            <scheme val="minor"/>
          </rPr>
          <t>Unknown User:
Cash denomination
$50*2=$100
$20*1=$20
$5*1=$5
$50*22=$1100
$10*2=$20
Short receipt by $3.39</t>
        </r>
      </text>
    </comment>
    <comment ref="G885" authorId="0" shapeId="0" xr:uid="{04FF9E57-714F-4750-AE35-E5C1FD778314}">
      <text>
        <r>
          <rPr>
            <sz val="11"/>
            <color theme="1"/>
            <rFont val="Aptos Narrow"/>
            <family val="2"/>
            <scheme val="minor"/>
          </rPr>
          <t>Unknown User:
SUPPLY AND INSTALLATION OF STANDARD 15MM TEMPERING VALVE
$85 Off First Service</t>
        </r>
      </text>
    </comment>
    <comment ref="W885" authorId="0" shapeId="0" xr:uid="{169E8E0D-C767-4E74-BFF7-E1B3B3E736F6}">
      <text>
        <r>
          <rPr>
            <sz val="11"/>
            <color theme="1"/>
            <rFont val="Aptos Narrow"/>
            <family val="2"/>
            <scheme val="minor"/>
          </rPr>
          <t>Unknown User:
Cash denomination
$50*3=$150
$100*1=$100
$50*18=$900
Total cash=$1150
Short receipt by $8.30</t>
        </r>
      </text>
    </comment>
    <comment ref="G886" authorId="0" shapeId="0" xr:uid="{C7B537FB-6367-4AB1-8B7B-4C1725E3F896}">
      <text>
        <r>
          <rPr>
            <sz val="11"/>
            <color theme="1"/>
            <rFont val="Aptos Narrow"/>
            <family val="2"/>
            <scheme val="minor"/>
          </rPr>
          <t xml:space="preserve">Unknown User:
REPLACEMENT OF BOTTOM INLET CISTERN FILLING VALVE
</t>
        </r>
      </text>
    </comment>
    <comment ref="G887" authorId="0" shapeId="0" xr:uid="{BB25B037-DBFC-4881-B815-1D17AE5CAC4A}">
      <text>
        <r>
          <rPr>
            <sz val="11"/>
            <color theme="1"/>
            <rFont val="Aptos Narrow"/>
            <family val="2"/>
            <scheme val="minor"/>
          </rPr>
          <t xml:space="preserve">Unknown User:
Gain access to main gas meter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Gain access to existing gas service connecting to gas cooktop
Disconnect existing gas service connected to gas cooktop
Disconnect existing brass fittings connected gas cooktop
Disconnect existing gas appliance regulator
Disconnect &amp; remove the existing gas cooktop
Supply &amp; install new brass cap to existing gas cooktop connection point
Decommission existing gas cooktop
Make safe
Reinstate main gas supply to the property
Conduct a manometer test on the main gas service upon completion of the installation to ensure there are no leaks
Test &amp; commission the installation
Removal of all trade waste
</t>
        </r>
      </text>
    </comment>
    <comment ref="G888" authorId="0" shapeId="0" xr:uid="{1D131803-D599-422C-92ED-7785288DB89E}">
      <text>
        <r>
          <rPr>
            <sz val="11"/>
            <color theme="1"/>
            <rFont val="Aptos Narrow"/>
            <family val="2"/>
            <scheme val="minor"/>
          </rPr>
          <t>Unknown User:
SEARCH &amp; INVESTIGATION OF MACERATOR PUMP
Non-refundable call out fee</t>
        </r>
      </text>
    </comment>
    <comment ref="G889" authorId="0" shapeId="0" xr:uid="{E11DC3EC-4CE8-4DBC-92E2-81EF82DA690A}">
      <text>
        <r>
          <rPr>
            <sz val="11"/>
            <color theme="1"/>
            <rFont val="Aptos Narrow"/>
            <family val="2"/>
            <scheme val="minor"/>
          </rPr>
          <t>Unknown User:
SUPPLY &amp; INSTALLATION OF MACERATOR PUMP
CREDIT OF SEARCH &amp; INVESTIGATION</t>
        </r>
      </text>
    </comment>
    <comment ref="N889" authorId="0" shapeId="0" xr:uid="{F0F1DD76-CB11-410D-A303-79EE37EB2864}">
      <text>
        <r>
          <rPr>
            <sz val="11"/>
            <color theme="1"/>
            <rFont val="Aptos Narrow"/>
            <family val="2"/>
            <scheme val="minor"/>
          </rPr>
          <t>Unknown User:
Quote raised &amp; uploaded in Job #72890</t>
        </r>
      </text>
    </comment>
    <comment ref="P889" authorId="0" shapeId="0" xr:uid="{408697BA-518A-47D3-B445-71227FA13EFD}">
      <text>
        <r>
          <rPr>
            <sz val="11"/>
            <color theme="1"/>
            <rFont val="Aptos Narrow"/>
            <family val="2"/>
            <scheme val="minor"/>
          </rPr>
          <t>Unknown User:
Quote not emailed</t>
        </r>
      </text>
    </comment>
    <comment ref="U889" authorId="0" shapeId="0" xr:uid="{53CFE5D7-86C4-4CD5-A643-26F153AB568B}">
      <text>
        <r>
          <rPr>
            <sz val="11"/>
            <color theme="1"/>
            <rFont val="Aptos Narrow"/>
            <family val="2"/>
            <scheme val="minor"/>
          </rPr>
          <t>Unknown User:
4/9-As per Lily's note "Called to schedule in a time for Monday for the plumber to attend to completely resolve the issue as the macerator continues to run after flushing. No answer left vm"</t>
        </r>
      </text>
    </comment>
    <comment ref="G890" authorId="0" shapeId="0" xr:uid="{B853E194-1DF8-4137-83CA-69E7F41CDC17}">
      <text>
        <r>
          <rPr>
            <sz val="11"/>
            <color theme="1"/>
            <rFont val="Aptos Narrow"/>
            <family val="2"/>
            <scheme val="minor"/>
          </rPr>
          <t>Unknown User:
REPLACEMENT OF BASIN SET
10% Seniors &amp; Pensioners Discount</t>
        </r>
      </text>
    </comment>
    <comment ref="U890" authorId="0" shapeId="0" xr:uid="{F64BF6FD-7740-4961-A797-ACD3E21500EA}">
      <text>
        <r>
          <rPr>
            <sz val="11"/>
            <color theme="1"/>
            <rFont val="Aptos Narrow"/>
            <family val="2"/>
            <scheme val="minor"/>
          </rPr>
          <t>Unknown User:
Material purchased is wrongly mapped to Job #72954 in Reece website whereas it actually pertains to this job #72945</t>
        </r>
      </text>
    </comment>
    <comment ref="W890" authorId="0" shapeId="0" xr:uid="{86070BC9-F12C-4202-8848-7882DC7E2DDF}">
      <text>
        <r>
          <rPr>
            <sz val="11"/>
            <color theme="1"/>
            <rFont val="Aptos Narrow"/>
            <family val="2"/>
            <scheme val="minor"/>
          </rPr>
          <t>Unknown User:
Cash denominatinon
$100*1=$100
$20*2=$40
$5*1=$5
$100*8=$800
$50*10=$500
Total cash=$1445
Short receipt by $1.39</t>
        </r>
      </text>
    </comment>
    <comment ref="G891" authorId="42" shapeId="0" xr:uid="{F755DE35-3DFA-4EB4-80C2-3DC02140FF89}">
      <text>
        <t>[Threaded comment]
Your version of Excel allows you to read this threaded comment; however, any edits to it will get removed if the file is opened in a newer version of Excel. Learn more: https://go.microsoft.com/fwlink/?linkid=870924
Comment:
    INSTALLATION OF NEW BIDET TOILET SEAT (CUSTOMER SUPPLIED</t>
      </text>
    </comment>
    <comment ref="G892" authorId="0" shapeId="0" xr:uid="{BBE0BAC4-3FF0-4EB6-A1F1-B2F701CDF15A}">
      <text>
        <r>
          <rPr>
            <sz val="11"/>
            <color theme="1"/>
            <rFont val="Aptos Narrow"/>
            <family val="2"/>
            <scheme val="minor"/>
          </rPr>
          <t>Unknown User:
REPLACEMENT OF EMERGENCY STOP VALVE</t>
        </r>
      </text>
    </comment>
    <comment ref="M892" authorId="0" shapeId="0" xr:uid="{721978D4-E2CB-494A-B6E7-0139C40C2E51}">
      <text>
        <r>
          <rPr>
            <sz val="11"/>
            <color theme="1"/>
            <rFont val="Aptos Narrow"/>
            <family val="2"/>
            <scheme val="minor"/>
          </rPr>
          <t>Unknown User:
Smartpay receipt for $64 not uploaded by plumber.
Uploaded by Modoras team.</t>
        </r>
      </text>
    </comment>
    <comment ref="U892" authorId="0" shapeId="0" xr:uid="{CACE2362-7A36-4037-A0BA-3998B4EB99C3}">
      <text>
        <r>
          <rPr>
            <sz val="11"/>
            <color theme="1"/>
            <rFont val="Aptos Narrow"/>
            <family val="2"/>
            <scheme val="minor"/>
          </rPr>
          <t>Unknown User:
Material purchased is wrongly mapped to Job #72999 in Reece website whereas it actually pertains to this job #72998</t>
        </r>
      </text>
    </comment>
    <comment ref="G893" authorId="0" shapeId="0" xr:uid="{1D1F19B1-DD24-48FF-B03D-3FEC1B7776E6}">
      <text>
        <r>
          <rPr>
            <sz val="11"/>
            <color theme="1"/>
            <rFont val="Aptos Narrow"/>
            <family val="2"/>
            <scheme val="minor"/>
          </rPr>
          <t xml:space="preserve">Unknown User:
REPLACEMENT OF BASIN SET (W/CERAMIC DISC)
10% Seniors &amp; Pensioners Discount </t>
        </r>
      </text>
    </comment>
    <comment ref="T893" authorId="0" shapeId="0" xr:uid="{4D08E57D-E94C-4C93-A8D7-D2E5222E3F11}">
      <text>
        <r>
          <rPr>
            <sz val="11"/>
            <color theme="1"/>
            <rFont val="Aptos Narrow"/>
            <family val="2"/>
            <scheme val="minor"/>
          </rPr>
          <t>Unknown User:
0.5x for Riley</t>
        </r>
      </text>
    </comment>
    <comment ref="G894" authorId="0" shapeId="0" xr:uid="{463546DC-2F33-46B1-ACDF-E9E99F8D0EED}">
      <text>
        <r>
          <rPr>
            <sz val="11"/>
            <color theme="1"/>
            <rFont val="Aptos Narrow"/>
            <family val="2"/>
            <scheme val="minor"/>
          </rPr>
          <t>Unknown User:
REPLACEMENT OF PLUG &amp; WASTE - 40MM</t>
        </r>
      </text>
    </comment>
    <comment ref="V894" authorId="0" shapeId="0" xr:uid="{B906D7E1-3EE5-41F9-B06A-47F20331E20D}">
      <text>
        <r>
          <rPr>
            <sz val="11"/>
            <color theme="1"/>
            <rFont val="Aptos Narrow"/>
            <family val="2"/>
            <scheme val="minor"/>
          </rPr>
          <t>Unknown User:
$1799.20 received is split as $852.10 for Job #73013 &amp; as $947.10 for Job #73013</t>
        </r>
      </text>
    </comment>
    <comment ref="G895" authorId="0" shapeId="0" xr:uid="{915AED1C-66A4-4B25-A59F-E176B6EAA9B6}">
      <text>
        <r>
          <rPr>
            <sz val="11"/>
            <color theme="1"/>
            <rFont val="Aptos Narrow"/>
            <family val="2"/>
            <scheme val="minor"/>
          </rPr>
          <t>Unknown User:
REPLACEMENT OF PLUG &amp; WASTE - 40MM</t>
        </r>
      </text>
    </comment>
    <comment ref="T895" authorId="0" shapeId="0" xr:uid="{6DAB1893-BEE7-4781-8B1C-AC4AA8F0A491}">
      <text>
        <r>
          <rPr>
            <sz val="11"/>
            <color theme="1"/>
            <rFont val="Aptos Narrow"/>
            <family val="2"/>
            <scheme val="minor"/>
          </rPr>
          <t>Unknown User:
0.5x for Riley</t>
        </r>
      </text>
    </comment>
    <comment ref="G896" authorId="0" shapeId="0" xr:uid="{86AF615E-5E81-438B-91E6-F79ABA857A9B}">
      <text>
        <r>
          <rPr>
            <sz val="11"/>
            <color theme="1"/>
            <rFont val="Aptos Narrow"/>
            <family val="2"/>
            <scheme val="minor"/>
          </rPr>
          <t>Unknown User:
REPLACEMENT OF CISTERN FILLING &amp; DUAL FLUSH VALVES, FLUSH PIPES &amp; SEALS</t>
        </r>
      </text>
    </comment>
    <comment ref="T896" authorId="0" shapeId="0" xr:uid="{9BA70D2A-39C0-40A2-AD97-0387818A20FA}">
      <text>
        <r>
          <rPr>
            <sz val="11"/>
            <color theme="1"/>
            <rFont val="Aptos Narrow"/>
            <family val="2"/>
            <scheme val="minor"/>
          </rPr>
          <t>Unknown User:
0.5x for Riley</t>
        </r>
      </text>
    </comment>
    <comment ref="G901" authorId="0" shapeId="0" xr:uid="{E3768DEA-3C42-47E3-AB61-F89110D62362}">
      <text>
        <r>
          <rPr>
            <sz val="11"/>
            <color theme="1"/>
            <rFont val="Aptos Narrow"/>
            <family val="2"/>
            <scheme val="minor"/>
          </rPr>
          <t>Unknown User:
SEARCH AND INVESTIGATION OF ELECTRIC STORAGE HOT WATER SYSTEM</t>
        </r>
      </text>
    </comment>
    <comment ref="G905" authorId="0" shapeId="0" xr:uid="{7B00CC8F-E409-4C31-8DD5-D4A7E2418006}">
      <text>
        <r>
          <rPr>
            <sz val="11"/>
            <color theme="1"/>
            <rFont val="Aptos Narrow"/>
            <family val="2"/>
            <scheme val="minor"/>
          </rPr>
          <t xml:space="preserve">Unknown User:
SUPPLY &amp; INSTALLATION OF NEW SINGLE ELEMENT HOT WATER UNIT – INTERNAL
CREDIT OF SEARCH &amp; INVESTIGATION </t>
        </r>
      </text>
    </comment>
    <comment ref="L905" authorId="0" shapeId="0" xr:uid="{837A7D52-E4AB-463A-9B4E-21EA582DB329}">
      <text>
        <r>
          <rPr>
            <sz val="11"/>
            <color theme="1"/>
            <rFont val="Aptos Narrow"/>
            <family val="2"/>
            <scheme val="minor"/>
          </rPr>
          <t>Unknown User:
Temp check pending</t>
        </r>
      </text>
    </comment>
    <comment ref="P905" authorId="0" shapeId="0" xr:uid="{E8E2E633-B58F-4402-9725-D789B6433ED3}">
      <text>
        <r>
          <rPr>
            <sz val="11"/>
            <color theme="1"/>
            <rFont val="Aptos Narrow"/>
            <family val="2"/>
            <scheme val="minor"/>
          </rPr>
          <t>Unknown User:
Quote not emailed</t>
        </r>
      </text>
    </comment>
    <comment ref="U905" authorId="0" shapeId="0" xr:uid="{6EFE639B-74F6-4CF7-8D1E-69E961A1F84D}">
      <text>
        <r>
          <rPr>
            <sz val="11"/>
            <color theme="1"/>
            <rFont val="Aptos Narrow"/>
            <family val="2"/>
            <scheme val="minor"/>
          </rPr>
          <t>Unknown User:
5/9-As per Tolga's note "Ben ordering material moonee ponds reece" 
Material purchased is wrongly mapped to Job #72946 in Reece website whereas it actually pertains to this job #72947</t>
        </r>
      </text>
    </comment>
    <comment ref="A913" authorId="43" shapeId="0" xr:uid="{572E9F36-BE05-47CB-BAD1-BB71D7027823}">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913" authorId="0" shapeId="0" xr:uid="{26D4D677-A49F-4EAD-8644-FCCE9CC4A2E7}">
      <text>
        <r>
          <rPr>
            <sz val="11"/>
            <color theme="1"/>
            <rFont val="Aptos Narrow"/>
            <family val="2"/>
            <scheme val="minor"/>
          </rPr>
          <t>Unknown User:
SEARCH &amp; INVESTIGATION OF POTENTIAL GAS LEAK
Gain access to main gas meter
Isolate the main gas supply to the property
Disconnect the existing main meter test point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t>
        </r>
      </text>
    </comment>
    <comment ref="P913" authorId="0" shapeId="0" xr:uid="{559C62FC-67FB-4D28-BCDB-C70F99657800}">
      <text>
        <r>
          <rPr>
            <sz val="11"/>
            <color theme="1"/>
            <rFont val="Aptos Narrow"/>
            <family val="2"/>
            <scheme val="minor"/>
          </rPr>
          <t>Unknown User:
Quote not Emailed</t>
        </r>
      </text>
    </comment>
    <comment ref="A914" authorId="44" shapeId="0" xr:uid="{BF7BB616-E19F-4491-8061-CDF4D30E4A16}">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V914" authorId="0" shapeId="0" xr:uid="{5A53112B-2C09-4C3C-9127-627144C84F7B}">
      <text>
        <r>
          <rPr>
            <sz val="11"/>
            <color theme="1"/>
            <rFont val="Aptos Narrow"/>
            <family val="2"/>
            <scheme val="minor"/>
          </rPr>
          <t>Unknown User:
12/08 Received $295.40 SQ</t>
        </r>
      </text>
    </comment>
    <comment ref="G915" authorId="0" shapeId="0" xr:uid="{7406582E-1BA1-4DF1-8B01-CBAF455B7B3B}">
      <text>
        <r>
          <rPr>
            <sz val="11"/>
            <color theme="1"/>
            <rFont val="Aptos Narrow"/>
            <family val="2"/>
            <scheme val="minor"/>
          </rPr>
          <t>Unknown User:
REPLACEMENT OF EXISTING OVERFLOW GULLY &amp; UP TO 1.5M OF MAIN SEWER SERVICE (UNDER CONCRETE)</t>
        </r>
      </text>
    </comment>
    <comment ref="V915" authorId="0" shapeId="0" xr:uid="{8EA07E64-E86B-4F42-A8E1-7EF57ACFBB47}">
      <text>
        <r>
          <rPr>
            <sz val="11"/>
            <color theme="1"/>
            <rFont val="Aptos Narrow"/>
            <family val="2"/>
            <scheme val="minor"/>
          </rPr>
          <t>Unknown User:
07/08 Received $3500 EFT
05/08 Received $2000 EFT</t>
        </r>
      </text>
    </comment>
    <comment ref="A916" authorId="45" shapeId="0" xr:uid="{0311537A-9F02-44AD-9CA4-F226606385DD}">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916" authorId="0" shapeId="0" xr:uid="{0C63A417-51B1-47F6-93C0-4FFC6653CDE7}">
      <text>
        <r>
          <rPr>
            <sz val="11"/>
            <color theme="1"/>
            <rFont val="Aptos Narrow"/>
            <family val="2"/>
            <scheme val="minor"/>
          </rPr>
          <t xml:space="preserve">Unknown User:
SEWER SPOT DIG (UNDER CONCRETE)
</t>
        </r>
      </text>
    </comment>
    <comment ref="V916" authorId="0" shapeId="0" xr:uid="{0571943D-C03C-4D5B-990C-D8BFE6EE9CFF}">
      <text>
        <r>
          <rPr>
            <sz val="11"/>
            <color theme="1"/>
            <rFont val="Aptos Narrow"/>
            <family val="2"/>
            <scheme val="minor"/>
          </rPr>
          <t>Unknown User:
21/8-EFT of $3690.46 collected</t>
        </r>
      </text>
    </comment>
    <comment ref="G917" authorId="0" shapeId="0" xr:uid="{02986068-DE17-4763-83A1-4C694E34F130}">
      <text>
        <r>
          <rPr>
            <sz val="11"/>
            <color theme="1"/>
            <rFont val="Aptos Narrow"/>
            <family val="2"/>
            <scheme val="minor"/>
          </rPr>
          <t>Unknown User:
SEWER SPOT DIG - IN GROUND
10% Loyalty Discount
$89 Blocked Drains Discount</t>
        </r>
      </text>
    </comment>
    <comment ref="U917" authorId="0" shapeId="0" xr:uid="{4E249FBE-6CF0-4EF8-BC9C-CF3FD4BC3621}">
      <text>
        <r>
          <rPr>
            <sz val="11"/>
            <color theme="1"/>
            <rFont val="Aptos Narrow"/>
            <family val="2"/>
            <scheme val="minor"/>
          </rPr>
          <t>Unknown User:
29/8-As per Vitori's note "called cust left vm to call us back to adv when we can reattend as we cannot go today due to plumber going home ill"
27/8-As per Kris's note "DOING A CCTV TO SHOW THE CUSTOMER AGAIN! QUOTED THIS DIG YESTERDAY AND TOLD THEM ITS OFFLINE AND NOT TO USE IT. MAYBE NOW THEY WILL GET THE PICTURE"</t>
        </r>
      </text>
    </comment>
    <comment ref="V917" authorId="0" shapeId="0" xr:uid="{951739A3-9EE6-4B34-AA81-57B4FBAA7824}">
      <text>
        <r>
          <rPr>
            <sz val="11"/>
            <color theme="1"/>
            <rFont val="Aptos Narrow"/>
            <family val="2"/>
            <scheme val="minor"/>
          </rPr>
          <t>Unknown User:
8/9-EFT of $9000 &amp; $358.56 initiated</t>
        </r>
      </text>
    </comment>
    <comment ref="A918" authorId="46" shapeId="0" xr:uid="{6072931B-3F68-41F4-95BE-6D5350029D6E}">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918" authorId="0" shapeId="0" xr:uid="{6DD8C663-DA36-4EE5-AD7A-9E1F27132446}">
      <text>
        <r>
          <rPr>
            <sz val="11"/>
            <color theme="1"/>
            <rFont val="Aptos Narrow"/>
            <family val="2"/>
            <scheme val="minor"/>
          </rPr>
          <t>Unknown User:
REPLACEMENT OF SEWER SHAFT
10% Good Will Discount</t>
        </r>
      </text>
    </comment>
    <comment ref="M918" authorId="0" shapeId="0" xr:uid="{7040DE92-C83F-462A-8FD7-CB365849F2C9}">
      <text>
        <r>
          <rPr>
            <sz val="11"/>
            <color theme="1"/>
            <rFont val="Aptos Narrow"/>
            <family val="2"/>
            <scheme val="minor"/>
          </rPr>
          <t>Unknown User:
Smartpay receipt of $2000 not uploaded by plumber.
Uploaded by Modoras team.</t>
        </r>
      </text>
    </comment>
    <comment ref="T918" authorId="0" shapeId="0" xr:uid="{32F5D4E1-68B1-47CB-B7AD-1D150764AF6E}">
      <text>
        <r>
          <rPr>
            <sz val="11"/>
            <color theme="1"/>
            <rFont val="Aptos Narrow"/>
            <family val="2"/>
            <scheme val="minor"/>
          </rPr>
          <t>Unknown User:
2/9-5 Star rating received for Ben,Alex,Tolga &amp; Mathew</t>
        </r>
      </text>
    </comment>
    <comment ref="V918" authorId="0" shapeId="0" xr:uid="{71CD21BA-38F1-4E54-A64B-D105F732A586}">
      <text>
        <r>
          <rPr>
            <sz val="11"/>
            <color theme="1"/>
            <rFont val="Aptos Narrow"/>
            <family val="2"/>
            <scheme val="minor"/>
          </rPr>
          <t>Unknown User:
28/8-Received $1000 by EFT
29/8-Receeived $7000 by EFT
2/9-Received $4446.86 by Smartpay</t>
        </r>
      </text>
    </comment>
    <comment ref="G922" authorId="0" shapeId="0" xr:uid="{876CB21F-464B-4755-8262-1D3174F14D2E}">
      <text>
        <r>
          <rPr>
            <sz val="11"/>
            <color theme="1"/>
            <rFont val="Aptos Narrow"/>
            <family val="2"/>
            <scheme val="minor"/>
          </rPr>
          <t xml:space="preserve">Unknown User:
DISCONNECT &amp; RECONNECT ELECTRIC STORAGE HWS
Isolate power supply to electric storage unit
Isolate water supply to property
Disconnect plumbing to existing electric storage unit
Disconnect electrical supply to electric hot water unit
Drain electric storage unit
Removal of existing section of cold-water service connecting to electric storage unit
Removal of existing section of hot water service connecting to electric storage unit
Removal of existing valves
Clean &amp; prepare existing connections
Supply new brass fittings to cold water service
Supply new brass fittings to hot water service
Cap off cold water service connecting to electric storage unit
Cap off hot water service connecting to electric storage unit
Decommission electric storage unit &amp; make safe
Reinstate main water supply to property
Install the customer-supplied hot water system
Supply and install a new duo valve
Supply and install a new pressure limiting valve
Supply and install a new tempering valve
Install a new pressure relief valve
Supply and install a new pressure relief valve drain in copper, ensuring compliance
with AS/3500
Supply and install new brass fittings
Supply and install new B-press fittings
Reconfigure the cold-water service to suit the new electric storage system
Reconfigure the hot water service to suit the new electric storage system
Supply and install a new section of the cold-water copper service
Supply and install a new section of the hot water copper service
Reconnect the cold-water service to the new electric hot water system
Reconnect the hot water service to the new electric hot water system
Reconnect the power supply to the new electric hot water system
Reinstate the main water supply to the property
Test and commission the installation
Remove trade waste
</t>
        </r>
      </text>
    </comment>
    <comment ref="P922" authorId="0" shapeId="0" xr:uid="{FCC905E6-79B3-485A-B799-5BBFFF5770EA}">
      <text>
        <r>
          <rPr>
            <sz val="11"/>
            <color theme="1"/>
            <rFont val="Aptos Narrow"/>
            <family val="2"/>
            <scheme val="minor"/>
          </rPr>
          <t>Unknown User:
Quote not Emailed</t>
        </r>
      </text>
    </comment>
    <comment ref="A923" authorId="28" shapeId="0" xr:uid="{257D54A8-A29B-4215-B6BD-205744D039E0}">
      <text>
        <r>
          <rPr>
            <sz val="11"/>
            <color theme="1"/>
            <rFont val="Aptos Narrow"/>
            <family val="2"/>
            <scheme val="minor"/>
          </rPr>
          <t>Accounts | Australia Trades:
Tiling Invoice</t>
        </r>
      </text>
    </comment>
    <comment ref="G923" authorId="0" shapeId="0" xr:uid="{2FCEFA5D-CA46-44D6-BBD3-49519713CC53}">
      <text>
        <r>
          <rPr>
            <sz val="11"/>
            <color theme="1"/>
            <rFont val="Aptos Narrow"/>
            <family val="2"/>
            <scheme val="minor"/>
          </rPr>
          <t xml:space="preserve">Unknown User:
REPLACEMENT OF IN WALL MIXER W/DIVERTER
</t>
        </r>
      </text>
    </comment>
    <comment ref="N923" authorId="0" shapeId="0" xr:uid="{0C2162D2-4A84-46A9-A03D-C149F42D72CC}">
      <text>
        <r>
          <rPr>
            <sz val="11"/>
            <color theme="1"/>
            <rFont val="Aptos Narrow"/>
            <family val="2"/>
            <scheme val="minor"/>
          </rPr>
          <t>Unknown User:
Quote not raised due to technical issue in ServiceTitan.</t>
        </r>
      </text>
    </comment>
    <comment ref="G927" authorId="0" shapeId="0" xr:uid="{A18F94D2-3B2B-41EC-A510-66E6BE9620F8}">
      <text>
        <r>
          <rPr>
            <sz val="11"/>
            <color theme="1"/>
            <rFont val="Aptos Narrow"/>
            <family val="2"/>
            <scheme val="minor"/>
          </rPr>
          <t>Unknown User:
WATER SERVICE RECTIFICATION (IN CONCRETE)</t>
        </r>
      </text>
    </comment>
    <comment ref="G928" authorId="0" shapeId="0" xr:uid="{775B0694-7A58-445F-9096-68D166D965CD}">
      <text>
        <r>
          <rPr>
            <sz val="11"/>
            <color theme="1"/>
            <rFont val="Aptos Narrow"/>
            <family val="2"/>
            <scheme val="minor"/>
          </rPr>
          <t xml:space="preserve">Unknown User:
REPLACEMENT OF LOCKABLE METER STOP RIGHT ANGLE BALL VALVE
</t>
        </r>
      </text>
    </comment>
    <comment ref="G929" authorId="0" shapeId="0" xr:uid="{CE55F100-040A-4596-9F4D-69B7C7111CD9}">
      <text>
        <r>
          <rPr>
            <sz val="11"/>
            <color theme="1"/>
            <rFont val="Aptos Narrow"/>
            <family val="2"/>
            <scheme val="minor"/>
          </rPr>
          <t xml:space="preserve">Unknown User:
REMOVE AND RELOCATE GAS METER - 20MM PIPE - UP TO 1.5 METRES </t>
        </r>
      </text>
    </comment>
    <comment ref="G930" authorId="0" shapeId="0" xr:uid="{8AECF3F4-D79B-452F-91C9-A64FCDB1983A}">
      <text>
        <r>
          <rPr>
            <sz val="11"/>
            <color theme="1"/>
            <rFont val="Aptos Narrow"/>
            <family val="2"/>
            <scheme val="minor"/>
          </rPr>
          <t>Unknown User:
REPLACEMENT OF EXISTING GOOSE NECK KITCHEN MIXER (CUSTOMER SUPPLIED)
10% Loyalty Discount</t>
        </r>
      </text>
    </comment>
    <comment ref="G931" authorId="0" shapeId="0" xr:uid="{86FA1439-E2B5-49A9-9F82-013D75486394}">
      <text>
        <r>
          <rPr>
            <sz val="11"/>
            <color theme="1"/>
            <rFont val="Aptos Narrow"/>
            <family val="2"/>
            <scheme val="minor"/>
          </rPr>
          <t>Unknown User:
SEARCH &amp; INVESTIGATE - IN WALL CISTERN</t>
        </r>
      </text>
    </comment>
    <comment ref="G932" authorId="0" shapeId="0" xr:uid="{F2C39195-9FC4-46D9-B667-B5EC25155B0B}">
      <text>
        <r>
          <rPr>
            <sz val="11"/>
            <color theme="1"/>
            <rFont val="Aptos Narrow"/>
            <family val="2"/>
            <scheme val="minor"/>
          </rPr>
          <t>Unknown User:
REPLACEMENT OF 240V SUBMERSIBLE PUMP
CREDIT OF SEARCH &amp; INVESTIGATION</t>
        </r>
      </text>
    </comment>
    <comment ref="G933" authorId="0" shapeId="0" xr:uid="{F8E668EA-517A-4B90-8F40-EE2C7F91029A}">
      <text>
        <r>
          <rPr>
            <sz val="11"/>
            <color theme="1"/>
            <rFont val="Aptos Narrow"/>
            <family val="2"/>
            <scheme val="minor"/>
          </rPr>
          <t>Unknown User:
SEARCH &amp; INVESTIGATION OF SINGLE STOREY ROOF OF POTENTIAL LEAK</t>
        </r>
      </text>
    </comment>
    <comment ref="G934" authorId="0" shapeId="0" xr:uid="{8039576C-5F9E-4EAB-89A2-C3D68BC5099C}">
      <text>
        <r>
          <rPr>
            <sz val="11"/>
            <color theme="1"/>
            <rFont val="Aptos Narrow"/>
            <family val="2"/>
            <scheme val="minor"/>
          </rPr>
          <t>Unknown User:
CONVERT EXTERNAL GAS STORAGE HOT WATER SYSTEM TO EXTERNAL GAS INSTANTANEOUS HOT WATER SYSTEM</t>
        </r>
      </text>
    </comment>
    <comment ref="G935" authorId="0" shapeId="0" xr:uid="{69D56787-426C-48B6-BD0A-927A8AA8FA05}">
      <text>
        <r>
          <rPr>
            <sz val="11"/>
            <color theme="1"/>
            <rFont val="Aptos Narrow"/>
            <family val="2"/>
            <scheme val="minor"/>
          </rPr>
          <t>Unknown User:
HIGH POWERED JET BLAST &amp; CCTV CAMERA INSPECTION (GAIN ACCESS WITH REMOVAL OF TOILET)
$110 Blocked Drains Discount</t>
        </r>
      </text>
    </comment>
    <comment ref="G936" authorId="0" shapeId="0" xr:uid="{1D0C526A-DADE-4C88-8490-0F32F1BABD58}">
      <text>
        <r>
          <rPr>
            <sz val="11"/>
            <color theme="1"/>
            <rFont val="Aptos Narrow"/>
            <family val="2"/>
            <scheme val="minor"/>
          </rPr>
          <t>Unknown User:
REPLACEMENT OF CISTERN FILLING &amp; DUAL FLUSH VALVES, FLUSH PIPES &amp; SEALS
$85 Off First Service</t>
        </r>
      </text>
    </comment>
    <comment ref="G937" authorId="0" shapeId="0" xr:uid="{34ACBC48-2A9B-463B-8ADD-216F53E72834}">
      <text>
        <r>
          <rPr>
            <sz val="11"/>
            <color theme="1"/>
            <rFont val="Aptos Narrow"/>
            <family val="2"/>
            <scheme val="minor"/>
          </rPr>
          <t>Unknown User:
INSTALLATION OF HOT WATER UNIT (CUSTOMER SUPPLIED)</t>
        </r>
      </text>
    </comment>
    <comment ref="G938" authorId="0" shapeId="0" xr:uid="{29F2E360-A82D-4A46-AECB-9DB67DC40498}">
      <text>
        <r>
          <rPr>
            <sz val="11"/>
            <color theme="1"/>
            <rFont val="Aptos Narrow"/>
            <family val="2"/>
            <scheme val="minor"/>
          </rPr>
          <t>Unknown User:
SEARCH &amp; INVESTIGATION – PUMP</t>
        </r>
      </text>
    </comment>
    <comment ref="G939" authorId="0" shapeId="0" xr:uid="{C4C53068-F0C9-4A90-BE37-D150225E4C3E}">
      <text>
        <r>
          <rPr>
            <sz val="11"/>
            <color theme="1"/>
            <rFont val="Aptos Narrow"/>
            <family val="2"/>
            <scheme val="minor"/>
          </rPr>
          <t xml:space="preserve">Unknown User:
CONVERT HEAT PUMP TO ELECTRIC STORAGE TANK
RECTIFICATION OF WATER METER (IN GROUND)
</t>
        </r>
      </text>
    </comment>
    <comment ref="E960" authorId="47" shapeId="0" xr:uid="{8E91C694-A3BA-44B4-86D6-4015AB3F24CB}">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t>
      </text>
    </comment>
    <comment ref="E961" authorId="48" shapeId="0" xr:uid="{3FCE686E-F6BF-40DD-B26D-647194CED1F2}">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t>
      </text>
    </comment>
    <comment ref="G971" authorId="0" shapeId="0" xr:uid="{29E3CD5A-9E3D-4902-9A47-193479C8D0DD}">
      <text>
        <r>
          <rPr>
            <sz val="11"/>
            <color theme="1"/>
            <rFont val="Aptos Narrow"/>
            <family val="2"/>
            <scheme val="minor"/>
          </rPr>
          <t>Unknown User:
SEARCH &amp; INVESTIGATION OF GAS STORAGE HOT WATER SYSTEM</t>
        </r>
      </text>
    </comment>
    <comment ref="M971" authorId="0" shapeId="0" xr:uid="{42EF4B53-C7C8-44F8-8D17-7142AF13D332}">
      <text>
        <r>
          <rPr>
            <sz val="11"/>
            <color theme="1"/>
            <rFont val="Aptos Narrow"/>
            <family val="2"/>
            <scheme val="minor"/>
          </rPr>
          <t>Unknown User:
Smartpay receipt of $75 not uploaded by plumber.
Uploaded by Modoras team.</t>
        </r>
      </text>
    </comment>
    <comment ref="U971" authorId="0" shapeId="0" xr:uid="{AC05FCA0-681B-4014-A602-E856E30105B3}">
      <text>
        <r>
          <rPr>
            <sz val="11"/>
            <color theme="1"/>
            <rFont val="Aptos Narrow"/>
            <family val="2"/>
            <scheme val="minor"/>
          </rPr>
          <t>Unknown User:
8/9-As per Zachias's note "Customer call, is after a refund for the works, he believes he has been ripped off as he was told that the Scope cost would be taken of the Rectification workings, only to find out that the Rectification work quote was way more then he thought it would be and he believes he has been ripped off. Told that our CC team will get back to him within 3-5 business days."</t>
        </r>
      </text>
    </comment>
    <comment ref="G972" authorId="0" shapeId="0" xr:uid="{2D6C0CA6-8B20-4E63-99F6-BED9DF69DEF7}">
      <text>
        <r>
          <rPr>
            <sz val="11"/>
            <color theme="1"/>
            <rFont val="Aptos Narrow"/>
            <family val="2"/>
            <scheme val="minor"/>
          </rPr>
          <t>Unknown User:
SUPPLY &amp; INSTALLATION OF NEW WALL FACED TOILET SUITE
INSTALLATION OF NEW SINK TAP SET (CUSTOMER SUPPLIED)</t>
        </r>
      </text>
    </comment>
    <comment ref="G973" authorId="0" shapeId="0" xr:uid="{538F234E-24AE-4960-9AE0-78EE393B20FC}">
      <text>
        <r>
          <rPr>
            <sz val="11"/>
            <color theme="1"/>
            <rFont val="Aptos Narrow"/>
            <family val="2"/>
            <scheme val="minor"/>
          </rPr>
          <t>Unknown User:
WATER SERVICE RECTIFICATION (EXPOSED)</t>
        </r>
      </text>
    </comment>
    <comment ref="T973" authorId="0" shapeId="0" xr:uid="{AA808B6F-3BBA-4ACB-B733-094F054651DF}">
      <text>
        <r>
          <rPr>
            <sz val="11"/>
            <color theme="1"/>
            <rFont val="Aptos Narrow"/>
            <family val="2"/>
            <scheme val="minor"/>
          </rPr>
          <t>Unknown User:
0.5x Nicholas</t>
        </r>
      </text>
    </comment>
    <comment ref="G974" authorId="0" shapeId="0" xr:uid="{92DA56C5-6DDE-406C-A0DE-6475991C64BD}">
      <text>
        <r>
          <rPr>
            <sz val="11"/>
            <color theme="1"/>
            <rFont val="Aptos Narrow"/>
            <family val="2"/>
            <scheme val="minor"/>
          </rPr>
          <t>Unknown User:
CCTV DRAIN CAMERA INSPECTION OF STORM WATER SERVICE</t>
        </r>
      </text>
    </comment>
    <comment ref="R974" authorId="0" shapeId="0" xr:uid="{9112ED4C-AC97-44C4-AC23-C6095FFEFE5B}">
      <text>
        <r>
          <rPr>
            <sz val="11"/>
            <color theme="1"/>
            <rFont val="Aptos Narrow"/>
            <family val="2"/>
            <scheme val="minor"/>
          </rPr>
          <t>Unknown User:
Invoice not signed</t>
        </r>
      </text>
    </comment>
    <comment ref="S974" authorId="0" shapeId="0" xr:uid="{9084D9B0-1FD1-48DA-AB46-D21CA605F2A2}">
      <text>
        <r>
          <rPr>
            <sz val="11"/>
            <color theme="1"/>
            <rFont val="Aptos Narrow"/>
            <family val="2"/>
            <scheme val="minor"/>
          </rPr>
          <t>Unknown User:
Invoice emailed without sign</t>
        </r>
      </text>
    </comment>
    <comment ref="G975" authorId="0" shapeId="0" xr:uid="{F8B64772-A0F4-4E52-9FE3-649968F8ADE7}">
      <text>
        <r>
          <rPr>
            <sz val="11"/>
            <color theme="1"/>
            <rFont val="Aptos Narrow"/>
            <family val="2"/>
            <scheme val="minor"/>
          </rPr>
          <t>Unknown User:
HIGH POWERED SUCTION PUMP</t>
        </r>
      </text>
    </comment>
    <comment ref="T975" authorId="0" shapeId="0" xr:uid="{73235D2B-08CA-4F5B-A849-622BFBA542CB}">
      <text>
        <r>
          <rPr>
            <sz val="11"/>
            <color theme="1"/>
            <rFont val="Aptos Narrow"/>
            <family val="2"/>
            <scheme val="minor"/>
          </rPr>
          <t>Unknown User:
0.5x Nicholas
0.5x Ben
1x Ben
2 review-Trust pilot
Product review</t>
        </r>
      </text>
    </comment>
    <comment ref="G976" authorId="0" shapeId="0" xr:uid="{B3EF23FB-6B85-4C87-8A06-7A804FCBAB94}">
      <text>
        <r>
          <rPr>
            <sz val="11"/>
            <color theme="1"/>
            <rFont val="Aptos Narrow"/>
            <family val="2"/>
            <scheme val="minor"/>
          </rPr>
          <t>Unknown User:
SUPPLY AND INSTALLATION OF STANDARD 15MM TEMPERING VALVE</t>
        </r>
      </text>
    </comment>
    <comment ref="G977" authorId="0" shapeId="0" xr:uid="{E01FFD0C-345E-4CB0-9591-E236EA19B528}">
      <text>
        <r>
          <rPr>
            <sz val="11"/>
            <color theme="1"/>
            <rFont val="Aptos Narrow"/>
            <family val="2"/>
            <scheme val="minor"/>
          </rPr>
          <t>Unknown User:
MIXER TAP - GOOSE NECK
$85 Off First Service</t>
        </r>
      </text>
    </comment>
    <comment ref="G978" authorId="0" shapeId="0" xr:uid="{4775E9B2-FB3B-433E-B6CE-9AA1B4C736AC}">
      <text>
        <r>
          <rPr>
            <sz val="11"/>
            <color theme="1"/>
            <rFont val="Aptos Narrow"/>
            <family val="2"/>
            <scheme val="minor"/>
          </rPr>
          <t>Unknown User:
INSTALLATION OF DISHWASHER [SAME LOCATION] (CUSTOMER SUPPLIED)</t>
        </r>
      </text>
    </comment>
    <comment ref="G979" authorId="0" shapeId="0" xr:uid="{E68F5E23-48FA-4FBE-B95E-7E1E042085F4}">
      <text>
        <r>
          <rPr>
            <sz val="11"/>
            <color theme="1"/>
            <rFont val="Aptos Narrow"/>
            <family val="2"/>
            <scheme val="minor"/>
          </rPr>
          <t>Unknown User:
SUPPLY &amp; INSTALLATION OF NEW CLOSE COUPLED TOILET SUITE
15% Seniors &amp; Pensioners Discount
$65 First Service Discount</t>
        </r>
      </text>
    </comment>
    <comment ref="T979" authorId="0" shapeId="0" xr:uid="{68544ECC-B18B-446A-BED6-3621114EE3FA}">
      <text>
        <r>
          <rPr>
            <sz val="11"/>
            <color theme="1"/>
            <rFont val="Aptos Narrow"/>
            <family val="2"/>
            <scheme val="minor"/>
          </rPr>
          <t>Unknown User:
0.5x Nicholas</t>
        </r>
      </text>
    </comment>
    <comment ref="W979" authorId="0" shapeId="0" xr:uid="{7FD56178-8EF7-40A4-8604-56AA45FA7596}">
      <text>
        <r>
          <rPr>
            <sz val="11"/>
            <color theme="1"/>
            <rFont val="Aptos Narrow"/>
            <family val="2"/>
            <scheme val="minor"/>
          </rPr>
          <t>Unknown User:
Cash denomination
$50*4=$200
$20*2=$40
$50*43=$2150
Total cash=$2390
Excess receipt by $11.91
As per Ben's note "Client deposit was 240
Final payment was 2150
Given client $20 In return video has been uploaded on completion"</t>
        </r>
      </text>
    </comment>
    <comment ref="G980" authorId="0" shapeId="0" xr:uid="{F783703A-CBF3-42FF-A50B-D90FFC1794B1}">
      <text>
        <r>
          <rPr>
            <sz val="11"/>
            <color theme="1"/>
            <rFont val="Aptos Narrow"/>
            <family val="2"/>
            <scheme val="minor"/>
          </rPr>
          <t>Unknown User:
HIGH POWERED SUCTION &amp; ACID TREATMENT</t>
        </r>
      </text>
    </comment>
    <comment ref="G981" authorId="0" shapeId="0" xr:uid="{B132348F-632C-4C22-B5B7-A00F38009283}">
      <text>
        <r>
          <rPr>
            <sz val="11"/>
            <color theme="1"/>
            <rFont val="Aptos Narrow"/>
            <family val="2"/>
            <scheme val="minor"/>
          </rPr>
          <t>Unknown User:
SEARCH &amp; INVESTIGATION OF RAINWATER PUMP
$65 First Service Discount</t>
        </r>
      </text>
    </comment>
    <comment ref="G982" authorId="0" shapeId="0" xr:uid="{C4E8843E-C68A-49AF-A76C-5DC57CB5F9A7}">
      <text>
        <r>
          <rPr>
            <sz val="11"/>
            <color theme="1"/>
            <rFont val="Aptos Narrow"/>
            <family val="2"/>
            <scheme val="minor"/>
          </rPr>
          <t>Unknown User:
HIGH POWERED JET BLAST &amp; CCTV DRAIN CAMERA INSPECTION (STORM WATER SERVICE)</t>
        </r>
      </text>
    </comment>
    <comment ref="L982" authorId="0" shapeId="0" xr:uid="{467DF7C3-5CDC-407C-85D3-06A9E5A48959}">
      <text>
        <r>
          <rPr>
            <sz val="11"/>
            <color theme="1"/>
            <rFont val="Aptos Narrow"/>
            <family val="2"/>
            <scheme val="minor"/>
          </rPr>
          <t>Unknown User:
After job pics (CCTV camera &amp; jetblast) not uploaded.</t>
        </r>
      </text>
    </comment>
    <comment ref="A987" authorId="49" shapeId="0" xr:uid="{F3F81626-2E9F-4540-AC42-15676B40E369}">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987" authorId="0" shapeId="0" xr:uid="{86639FEE-9F95-448E-BD52-804A0AF2DAE7}">
      <text>
        <r>
          <rPr>
            <sz val="11"/>
            <color theme="1"/>
            <rFont val="Aptos Narrow"/>
            <family val="2"/>
            <scheme val="minor"/>
          </rPr>
          <t>Unknown User:
SEARCH &amp; INVESTIGATION OF POTENTIAL GAS LEAK
Gain access to main gas meter
Isolate the main gas supply to the property
Disconnect the existing main meter test point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t>
        </r>
      </text>
    </comment>
    <comment ref="P987" authorId="0" shapeId="0" xr:uid="{B3FBB602-38A5-47B3-BDD4-6DA4BC3EE219}">
      <text>
        <r>
          <rPr>
            <sz val="11"/>
            <color theme="1"/>
            <rFont val="Aptos Narrow"/>
            <family val="2"/>
            <scheme val="minor"/>
          </rPr>
          <t>Unknown User:
Quote not Emailed</t>
        </r>
      </text>
    </comment>
    <comment ref="A988" authorId="50" shapeId="0" xr:uid="{DBAFC465-572C-4FF1-A4EA-0B99BD9EADDA}">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V988" authorId="0" shapeId="0" xr:uid="{C33BA379-D31F-4A5F-8A56-E9A201339729}">
      <text>
        <r>
          <rPr>
            <sz val="11"/>
            <color theme="1"/>
            <rFont val="Aptos Narrow"/>
            <family val="2"/>
            <scheme val="minor"/>
          </rPr>
          <t>Unknown User:
12/08 Received $295.40 SQ</t>
        </r>
      </text>
    </comment>
    <comment ref="A989" authorId="51" shapeId="0" xr:uid="{6F75A3FE-AFC7-45D7-8680-5975417F93A2}">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989" authorId="0" shapeId="0" xr:uid="{43DD8DAB-71CE-4D4E-962B-92F06A32E216}">
      <text>
        <r>
          <rPr>
            <sz val="11"/>
            <color theme="1"/>
            <rFont val="Aptos Narrow"/>
            <family val="2"/>
            <scheme val="minor"/>
          </rPr>
          <t xml:space="preserve">Unknown User:
SEWER SPOT DIG (UNDER CONCRETE)
</t>
        </r>
      </text>
    </comment>
    <comment ref="V989" authorId="0" shapeId="0" xr:uid="{D056B734-3A0C-4DE4-9490-FE703E3FF0F8}">
      <text>
        <r>
          <rPr>
            <sz val="11"/>
            <color theme="1"/>
            <rFont val="Aptos Narrow"/>
            <family val="2"/>
            <scheme val="minor"/>
          </rPr>
          <t>Unknown User:
21/8-EFT of $3690.46 collected</t>
        </r>
      </text>
    </comment>
    <comment ref="A990" authorId="52" shapeId="0" xr:uid="{26E35355-DA4E-4DC8-AD0D-BCDDB6A87894}">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990" authorId="0" shapeId="0" xr:uid="{5CC365AC-44EE-4D6C-86AB-520B05EE1B07}">
      <text>
        <r>
          <rPr>
            <sz val="11"/>
            <color theme="1"/>
            <rFont val="Aptos Narrow"/>
            <family val="2"/>
            <scheme val="minor"/>
          </rPr>
          <t>Unknown User:
REPLACEMENT OF SEWER SHAFT
10% Good Will Discount</t>
        </r>
      </text>
    </comment>
    <comment ref="M990" authorId="0" shapeId="0" xr:uid="{78A5C545-51A0-491A-91B2-F378ED681512}">
      <text>
        <r>
          <rPr>
            <sz val="11"/>
            <color theme="1"/>
            <rFont val="Aptos Narrow"/>
            <family val="2"/>
            <scheme val="minor"/>
          </rPr>
          <t>Unknown User:
Smartpay receipt of $2000 not uploaded by plumber.
Uploaded by Modoras team.</t>
        </r>
      </text>
    </comment>
    <comment ref="T990" authorId="0" shapeId="0" xr:uid="{7EC51DAD-FE3E-4A74-9D64-C1122EB8C90A}">
      <text>
        <r>
          <rPr>
            <sz val="11"/>
            <color theme="1"/>
            <rFont val="Aptos Narrow"/>
            <family val="2"/>
            <scheme val="minor"/>
          </rPr>
          <t>Unknown User:
2/9-5 Star rating received for Ben,Alex,Tolga &amp; Mathew</t>
        </r>
      </text>
    </comment>
    <comment ref="V990" authorId="0" shapeId="0" xr:uid="{0D479981-B49F-47FF-BED5-89F212251F47}">
      <text>
        <r>
          <rPr>
            <sz val="11"/>
            <color theme="1"/>
            <rFont val="Aptos Narrow"/>
            <family val="2"/>
            <scheme val="minor"/>
          </rPr>
          <t>Unknown User:
28/8-Received $1000 by EFT
29/8-Receeived $7000 by EFT
2/9-Received $4446.86 by Smartpay</t>
        </r>
      </text>
    </comment>
    <comment ref="G991" authorId="0" shapeId="0" xr:uid="{3BB74F00-3B75-4EAE-A877-DB536F177735}">
      <text>
        <r>
          <rPr>
            <sz val="11"/>
            <color theme="1"/>
            <rFont val="Aptos Narrow"/>
            <family val="2"/>
            <scheme val="minor"/>
          </rPr>
          <t xml:space="preserve">Unknown User:
SUPPLY &amp; INSTALLATION OF NEW SINGLE ELEMENT HOT WATER UNIT – INTERNAL
CREDIT OF SEARCH &amp; INVESTIGATION </t>
        </r>
      </text>
    </comment>
    <comment ref="L991" authorId="0" shapeId="0" xr:uid="{5E6CEBB6-A249-4425-B4FE-BC26AC57300E}">
      <text>
        <r>
          <rPr>
            <sz val="11"/>
            <color theme="1"/>
            <rFont val="Aptos Narrow"/>
            <family val="2"/>
            <scheme val="minor"/>
          </rPr>
          <t>Unknown User:
Temp check pending</t>
        </r>
      </text>
    </comment>
    <comment ref="P991" authorId="0" shapeId="0" xr:uid="{27C4AB27-9A8D-45C3-B3AE-6F370D81FD57}">
      <text>
        <r>
          <rPr>
            <sz val="11"/>
            <color theme="1"/>
            <rFont val="Aptos Narrow"/>
            <family val="2"/>
            <scheme val="minor"/>
          </rPr>
          <t>Unknown User:
Quote not emailed</t>
        </r>
      </text>
    </comment>
    <comment ref="U991" authorId="0" shapeId="0" xr:uid="{84A84D79-4817-4140-96EC-D724D21DEE30}">
      <text>
        <r>
          <rPr>
            <sz val="11"/>
            <color theme="1"/>
            <rFont val="Aptos Narrow"/>
            <family val="2"/>
            <scheme val="minor"/>
          </rPr>
          <t>Unknown User:
5/9-As per Tolga's note "Ben ordering material moonee ponds reece" 
Material purchased is wrongly mapped to Job #72946 in Reece website whereas it actually pertains to this job #72947</t>
        </r>
      </text>
    </comment>
    <comment ref="V991" authorId="0" shapeId="0" xr:uid="{3D3F0947-E6DD-41EE-8568-D48D8F116FFA}">
      <text>
        <r>
          <rPr>
            <sz val="11"/>
            <color theme="1"/>
            <rFont val="Aptos Narrow"/>
            <family val="2"/>
            <scheme val="minor"/>
          </rPr>
          <t>Unknown User:
9/9-EFT of $4178.30 received</t>
        </r>
      </text>
    </comment>
    <comment ref="G995" authorId="0" shapeId="0" xr:uid="{1106E6E9-B403-4E97-8B94-65668DD96DDD}">
      <text>
        <r>
          <rPr>
            <sz val="11"/>
            <color theme="1"/>
            <rFont val="Aptos Narrow"/>
            <family val="2"/>
            <scheme val="minor"/>
          </rPr>
          <t>Unknown User:
WATER SERVICE RECTIFICATION (IN WALL)</t>
        </r>
      </text>
    </comment>
    <comment ref="G1003" authorId="0" shapeId="0" xr:uid="{3330F4F4-0719-4E07-B8DB-91E0773AD54D}">
      <text>
        <r>
          <rPr>
            <sz val="11"/>
            <color theme="1"/>
            <rFont val="Aptos Narrow"/>
            <family val="2"/>
            <scheme val="minor"/>
          </rPr>
          <t>Unknown User:
REPLACEMENT OF EXISTING OVERFLOW GULLY &amp; UP TO 1.5M OF MAIN SEWER SERVICE (UNDER CONCRETE)</t>
        </r>
      </text>
    </comment>
    <comment ref="V1003" authorId="0" shapeId="0" xr:uid="{DA1C9D8B-CD67-452C-A86C-41E721C8E176}">
      <text>
        <r>
          <rPr>
            <sz val="11"/>
            <color theme="1"/>
            <rFont val="Aptos Narrow"/>
            <family val="2"/>
            <scheme val="minor"/>
          </rPr>
          <t>Unknown User:
07/08 Received $3500 EFT
05/08 Received $2000 EFT</t>
        </r>
      </text>
    </comment>
    <comment ref="G1004" authorId="0" shapeId="0" xr:uid="{2503929C-9FF2-4096-8BB5-3D4AFF3A9D40}">
      <text>
        <r>
          <rPr>
            <sz val="11"/>
            <color theme="1"/>
            <rFont val="Aptos Narrow"/>
            <family val="2"/>
            <scheme val="minor"/>
          </rPr>
          <t>Unknown User:
SEWER SPOT DIG - IN GROUND
10% Loyalty Discount
$89 Blocked Drains Discount</t>
        </r>
      </text>
    </comment>
    <comment ref="U1004" authorId="0" shapeId="0" xr:uid="{D9F2A2DC-BEF6-4F51-B0FA-2918C53DFA7E}">
      <text>
        <r>
          <rPr>
            <sz val="11"/>
            <color theme="1"/>
            <rFont val="Aptos Narrow"/>
            <family val="2"/>
            <scheme val="minor"/>
          </rPr>
          <t>Unknown User:
29/8-As per Vitori's note "called cust left vm to call us back to adv when we can reattend as we cannot go today due to plumber going home ill"
27/8-As per Kris's note "DOING A CCTV TO SHOW THE CUSTOMER AGAIN! QUOTED THIS DIG YESTERDAY AND TOLD THEM ITS OFFLINE AND NOT TO USE IT. MAYBE NOW THEY WILL GET THE PICTURE"</t>
        </r>
      </text>
    </comment>
    <comment ref="V1004" authorId="0" shapeId="0" xr:uid="{8BBF12D3-3CF0-4183-9C72-3DA4943C91B0}">
      <text>
        <r>
          <rPr>
            <sz val="11"/>
            <color theme="1"/>
            <rFont val="Aptos Narrow"/>
            <family val="2"/>
            <scheme val="minor"/>
          </rPr>
          <t>Unknown User:
8/9-EFT of $9000 &amp; $358.56 initiated</t>
        </r>
      </text>
    </comment>
    <comment ref="G1008" authorId="0" shapeId="0" xr:uid="{76993FDB-4424-496A-95B0-BDC4E0914961}">
      <text>
        <r>
          <rPr>
            <sz val="11"/>
            <color theme="1"/>
            <rFont val="Aptos Narrow"/>
            <family val="2"/>
            <scheme val="minor"/>
          </rPr>
          <t xml:space="preserve">Unknown User:
DISCONNECT &amp; RECONNECT ELECTRIC STORAGE HWS
Isolate power supply to electric storage unit
Isolate water supply to property
Disconnect plumbing to existing electric storage unit
Disconnect electrical supply to electric hot water unit
Drain electric storage unit
Removal of existing section of cold-water service connecting to electric storage unit
Removal of existing section of hot water service connecting to electric storage unit
Removal of existing valves
Clean &amp; prepare existing connections
Supply new brass fittings to cold water service
Supply new brass fittings to hot water service
Cap off cold water service connecting to electric storage unit
Cap off hot water service connecting to electric storage unit
Decommission electric storage unit &amp; make safe
Reinstate main water supply to property
Install the customer-supplied hot water system
Supply and install a new duo valve
Supply and install a new pressure limiting valve
Supply and install a new tempering valve
Install a new pressure relief valve
Supply and install a new pressure relief valve drain in copper, ensuring compliance
with AS/3500
Supply and install new brass fittings
Supply and install new B-press fittings
Reconfigure the cold-water service to suit the new electric storage system
Reconfigure the hot water service to suit the new electric storage system
Supply and install a new section of the cold-water copper service
Supply and install a new section of the hot water copper service
Reconnect the cold-water service to the new electric hot water system
Reconnect the hot water service to the new electric hot water system
Reconnect the power supply to the new electric hot water system
Reinstate the main water supply to the property
Test and commission the installation
Remove trade waste
</t>
        </r>
      </text>
    </comment>
    <comment ref="P1008" authorId="0" shapeId="0" xr:uid="{A2A77535-9FD3-4EF8-87A4-A06C16FF3343}">
      <text>
        <r>
          <rPr>
            <sz val="11"/>
            <color theme="1"/>
            <rFont val="Aptos Narrow"/>
            <family val="2"/>
            <scheme val="minor"/>
          </rPr>
          <t>Unknown User:
Quote not Emailed</t>
        </r>
      </text>
    </comment>
    <comment ref="A1009" authorId="28" shapeId="0" xr:uid="{F73FBA58-F62D-45A1-8D52-5BCFA75CA5D6}">
      <text>
        <r>
          <rPr>
            <sz val="11"/>
            <color theme="1"/>
            <rFont val="Aptos Narrow"/>
            <family val="2"/>
            <scheme val="minor"/>
          </rPr>
          <t>Accounts | Australia Trades:
Tiling Invoice</t>
        </r>
      </text>
    </comment>
    <comment ref="G1009" authorId="0" shapeId="0" xr:uid="{EBF6A556-8134-4B9C-BA29-0B8142DCB892}">
      <text>
        <r>
          <rPr>
            <sz val="11"/>
            <color theme="1"/>
            <rFont val="Aptos Narrow"/>
            <family val="2"/>
            <scheme val="minor"/>
          </rPr>
          <t xml:space="preserve">Unknown User:
REPLACEMENT OF IN WALL MIXER W/DIVERTER
</t>
        </r>
      </text>
    </comment>
    <comment ref="N1009" authorId="0" shapeId="0" xr:uid="{CB0088B2-C752-4F5C-93C9-DD8FEA7623FD}">
      <text>
        <r>
          <rPr>
            <sz val="11"/>
            <color theme="1"/>
            <rFont val="Aptos Narrow"/>
            <family val="2"/>
            <scheme val="minor"/>
          </rPr>
          <t>Unknown User:
Quote not raised due to technical issue in ServiceTitan.</t>
        </r>
      </text>
    </comment>
    <comment ref="G1013" authorId="0" shapeId="0" xr:uid="{58762ABD-D0C3-4716-8B7F-4B2847F5C05B}">
      <text>
        <r>
          <rPr>
            <sz val="11"/>
            <color theme="1"/>
            <rFont val="Aptos Narrow"/>
            <family val="2"/>
            <scheme val="minor"/>
          </rPr>
          <t>Unknown User:
SUPPLY &amp; INSTALLATION OF GAS STORAGE HOT WATER SYSTEM (EXTERNAL)
SUPPLY AND INSTALLATION OF RIGHT-ANGLED PRESSURE REGULATING DEVICE FITTED TO 20MM STRAIGHT PIPEWORK
CREDIT OF SEARCH &amp; INVESTIGATION
10% Good Will Discount</t>
        </r>
      </text>
    </comment>
    <comment ref="G1014" authorId="0" shapeId="0" xr:uid="{EF6906B1-1D69-40FB-AE12-7AD36058605D}">
      <text>
        <r>
          <rPr>
            <sz val="11"/>
            <color theme="1"/>
            <rFont val="Aptos Narrow"/>
            <family val="2"/>
            <scheme val="minor"/>
          </rPr>
          <t>Unknown User:
SEARCH &amp; INVESTIGATION OF POTENTIAL GAS LEAK
$85 Off First Service</t>
        </r>
      </text>
    </comment>
    <comment ref="G1015" authorId="0" shapeId="0" xr:uid="{1AD15964-BA3D-4DEE-8C95-2E7679FCFBC7}">
      <text>
        <r>
          <rPr>
            <sz val="11"/>
            <color theme="1"/>
            <rFont val="Aptos Narrow"/>
            <family val="2"/>
            <scheme val="minor"/>
          </rPr>
          <t>Unknown User:
HIGH POWERED JET BLAST &amp; CCTV DRAIN CAMERA INSPECTION (STORM WATER SERVICE)
SUPPLY &amp; INSTALLATION OF NEW PLASTIC TOILET CISTERN</t>
        </r>
      </text>
    </comment>
    <comment ref="G1016" authorId="0" shapeId="0" xr:uid="{638C1F68-8508-4BAE-920D-FE232E718159}">
      <text>
        <r>
          <rPr>
            <sz val="11"/>
            <color theme="1"/>
            <rFont val="Aptos Narrow"/>
            <family val="2"/>
            <scheme val="minor"/>
          </rPr>
          <t xml:space="preserve">Unknown User:
Sewer spot in ground
RETURN CUSTOMER DISCOUNT </t>
        </r>
      </text>
    </comment>
    <comment ref="G1017" authorId="0" shapeId="0" xr:uid="{56D17F49-8611-44FF-94A3-0859AE618638}">
      <text>
        <r>
          <rPr>
            <sz val="11"/>
            <color theme="1"/>
            <rFont val="Aptos Narrow"/>
            <family val="2"/>
            <scheme val="minor"/>
          </rPr>
          <t>Unknown User:
SUPPLY &amp; INSTALLATION OF GAS STORAGE HOT WATER SYSTEM (EXTERNAL)
$65 First Service Discount</t>
        </r>
      </text>
    </comment>
    <comment ref="G1018" authorId="0" shapeId="0" xr:uid="{A29A2B8E-FCA7-4E3E-955D-94F8337FDAAA}">
      <text>
        <r>
          <rPr>
            <sz val="11"/>
            <color theme="1"/>
            <rFont val="Aptos Narrow"/>
            <family val="2"/>
            <scheme val="minor"/>
          </rPr>
          <t xml:space="preserve">Unknown User:
HIGH POWERED JET BLAST &amp; CCTV DRAIN CAMERA INSPECTION (STORM WATER SERVICE)
</t>
        </r>
      </text>
    </comment>
    <comment ref="G1019" authorId="0" shapeId="0" xr:uid="{6B0133F3-E6EA-4C47-A4CA-A26AFB6A0AB1}">
      <text>
        <r>
          <rPr>
            <sz val="11"/>
            <color theme="1"/>
            <rFont val="Aptos Narrow"/>
            <family val="2"/>
            <scheme val="minor"/>
          </rPr>
          <t>Unknown User:
HIGH POWERED JET BLAST &amp; CCTV DRAIN CAMERA INSPECTION (SEWER SERVICE)</t>
        </r>
      </text>
    </comment>
    <comment ref="G1020" authorId="0" shapeId="0" xr:uid="{8E436874-21E4-4235-83EA-C655940BA502}">
      <text>
        <r>
          <rPr>
            <sz val="11"/>
            <color theme="1"/>
            <rFont val="Aptos Narrow"/>
            <family val="2"/>
            <scheme val="minor"/>
          </rPr>
          <t>Unknown User:
DRINKING WATER FOUNTAIN INSTALLATION  (customer supplied water fountain)  
10% Good Will Discount</t>
        </r>
      </text>
    </comment>
    <comment ref="G1021" authorId="0" shapeId="0" xr:uid="{78F0F578-C811-4112-B034-E7261831C0DE}">
      <text>
        <r>
          <rPr>
            <sz val="11"/>
            <color theme="1"/>
            <rFont val="Aptos Narrow"/>
            <family val="2"/>
            <scheme val="minor"/>
          </rPr>
          <t xml:space="preserve">Unknown User:
SEARCH &amp; INVESTIGATION OF SINGLE STOREY ROOF OF POTENTIAL LEAK
</t>
        </r>
      </text>
    </comment>
    <comment ref="G1022" authorId="0" shapeId="0" xr:uid="{18944CBB-EA65-4AA4-B0A4-F6ECE0D11A7E}">
      <text>
        <r>
          <rPr>
            <sz val="11"/>
            <color theme="1"/>
            <rFont val="Aptos Narrow"/>
            <family val="2"/>
            <scheme val="minor"/>
          </rPr>
          <t xml:space="preserve">Unknown User:
SEARCH AND INVESTIGATION OF ELECTRIC INSTANTANEOUS HOT WATER SYSTEM
</t>
        </r>
      </text>
    </comment>
    <comment ref="E1043" authorId="53" shapeId="0" xr:uid="{B6DAEEC1-0D52-4C34-B433-0E0F06BE4444}">
      <text>
        <t>[Threaded comment]
Your version of Excel allows you to read this threaded comment; however, any edits to it will get removed if the file is opened in a newer version of Excel. Learn more: https://go.microsoft.com/fwlink/?linkid=870924
Comment:
    Checked</t>
      </text>
    </comment>
    <comment ref="E1044" authorId="54" shapeId="0" xr:uid="{D66C4C6B-FD99-442C-AE2E-E7D2F1A976F4}">
      <text>
        <t>[Threaded comment]
Your version of Excel allows you to read this threaded comment; however, any edits to it will get removed if the file is opened in a newer version of Excel. Learn more: https://go.microsoft.com/fwlink/?linkid=870924
Comment:
    Checked</t>
      </text>
    </comment>
    <comment ref="E1045" authorId="55" shapeId="0" xr:uid="{D8A1FDB4-D8C0-4BB8-AC21-4E0AFACCF73E}">
      <text>
        <t>[Threaded comment]
Your version of Excel allows you to read this threaded comment; however, any edits to it will get removed if the file is opened in a newer version of Excel. Learn more: https://go.microsoft.com/fwlink/?linkid=870924
Comment:
    Stock</t>
      </text>
    </comment>
    <comment ref="E1046" authorId="56" shapeId="0" xr:uid="{D1EF8B66-0DB2-426F-B98C-C3ED7ABF27F1}">
      <text>
        <t>[Threaded comment]
Your version of Excel allows you to read this threaded comment; however, any edits to it will get removed if the file is opened in a newer version of Excel. Learn more: https://go.microsoft.com/fwlink/?linkid=870924
Comment:
    Checked</t>
      </text>
    </comment>
    <comment ref="E1047" authorId="57" shapeId="0" xr:uid="{6008B61A-00F7-45F4-8479-E1980A6C45DD}">
      <text>
        <t>[Threaded comment]
Your version of Excel allows you to read this threaded comment; however, any edits to it will get removed if the file is opened in a newer version of Excel. Learn more: https://go.microsoft.com/fwlink/?linkid=870924
Comment:
    Checked</t>
      </text>
    </comment>
    <comment ref="E1048" authorId="58" shapeId="0" xr:uid="{BD3752A7-B9CB-40C9-899E-7F682AF6A5A8}">
      <text>
        <t>[Threaded comment]
Your version of Excel allows you to read this threaded comment; however, any edits to it will get removed if the file is opened in a newer version of Excel. Learn more: https://go.microsoft.com/fwlink/?linkid=870924
Comment:
    Stock</t>
      </text>
    </comment>
    <comment ref="G1054" authorId="0" shapeId="0" xr:uid="{071DA737-3E6C-42EE-9417-0D5F1521A679}">
      <text>
        <r>
          <rPr>
            <sz val="11"/>
            <color theme="1"/>
            <rFont val="Aptos Narrow"/>
            <family val="2"/>
            <scheme val="minor"/>
          </rPr>
          <t>Unknown User:
SPECIALIST LEAK DETECTION (WATER SERVICE)</t>
        </r>
      </text>
    </comment>
    <comment ref="G1055" authorId="0" shapeId="0" xr:uid="{3E70C460-AD01-4625-BE35-AA1E5ECE6F85}">
      <text>
        <r>
          <rPr>
            <sz val="11"/>
            <color theme="1"/>
            <rFont val="Aptos Narrow"/>
            <family val="2"/>
            <scheme val="minor"/>
          </rPr>
          <t xml:space="preserve">Unknown User:
CONVERT KITCHEN TAPWARE TO NEW KITCHEN MIXER
(CUSTOMER SUPPLIED)
REPLACEMENT OF WALL TOP TAPWARE
Complimentary Home Safety Inspection </t>
        </r>
      </text>
    </comment>
    <comment ref="T1055" authorId="0" shapeId="0" xr:uid="{71AB9FEF-2F4D-47B9-8A67-C41886354DD1}">
      <text>
        <r>
          <rPr>
            <sz val="11"/>
            <color theme="1"/>
            <rFont val="Aptos Narrow"/>
            <family val="2"/>
            <scheme val="minor"/>
          </rPr>
          <t>Unknown User:
0.5x Ben &amp; 0.5x Nicholas</t>
        </r>
      </text>
    </comment>
    <comment ref="G1056" authorId="0" shapeId="0" xr:uid="{DE6C953C-D1C4-4CF9-B41E-2E7174316334}">
      <text>
        <r>
          <rPr>
            <sz val="11"/>
            <color theme="1"/>
            <rFont val="Aptos Narrow"/>
            <family val="2"/>
            <scheme val="minor"/>
          </rPr>
          <t>Unknown User:
COMPLETE SERVICE OF TOILET CISTERN</t>
        </r>
      </text>
    </comment>
    <comment ref="W1056" authorId="0" shapeId="0" xr:uid="{30DA15C2-A960-4700-B309-7C77EB5192CD}">
      <text>
        <r>
          <rPr>
            <sz val="11"/>
            <color theme="1"/>
            <rFont val="Aptos Narrow"/>
            <family val="2"/>
            <scheme val="minor"/>
          </rPr>
          <t>Unknown User:
Cash denomination
$100*1=$100</t>
        </r>
      </text>
    </comment>
    <comment ref="G1057" authorId="0" shapeId="0" xr:uid="{D6B1DC54-C119-4227-B973-56CC77AA7BC7}">
      <text>
        <r>
          <rPr>
            <sz val="11"/>
            <color theme="1"/>
            <rFont val="Aptos Narrow"/>
            <family val="2"/>
            <scheme val="minor"/>
          </rPr>
          <t>Unknown User:
MIXER TAP - GOOSE NECK</t>
        </r>
      </text>
    </comment>
    <comment ref="W1057" authorId="0" shapeId="0" xr:uid="{C691ED46-2011-45A4-9873-6BB080BEFAD8}">
      <text>
        <r>
          <rPr>
            <sz val="11"/>
            <color theme="1"/>
            <rFont val="Aptos Narrow"/>
            <family val="2"/>
            <scheme val="minor"/>
          </rPr>
          <t>Unknown User:
Cash denomination
$50*5=$250
$50*34=$1700
$20*3=$60
$10*1=$10
$5*4=$20
Total cash=$2040
Short receipt by $7.10</t>
        </r>
      </text>
    </comment>
    <comment ref="G1058" authorId="0" shapeId="0" xr:uid="{69125928-B45A-4B75-BDDB-2372288D3667}">
      <text>
        <r>
          <rPr>
            <sz val="11"/>
            <color theme="1"/>
            <rFont val="Aptos Narrow"/>
            <family val="2"/>
            <scheme val="minor"/>
          </rPr>
          <t>Unknown User:
SEARCH &amp; INVESTIGATION OF GAS APPLIANCE
$85 Off First Service</t>
        </r>
      </text>
    </comment>
    <comment ref="G1059" authorId="0" shapeId="0" xr:uid="{D45413C7-8A8C-48F1-BD31-5F88151051C6}">
      <text>
        <r>
          <rPr>
            <sz val="11"/>
            <color theme="1"/>
            <rFont val="Aptos Narrow"/>
            <family val="2"/>
            <scheme val="minor"/>
          </rPr>
          <t>Unknown User:
SUPPLY AND INSTALLATION OF STANDARD 15MM TEMPERING VALVE
10% Seniors &amp; Pensioners Discount</t>
        </r>
      </text>
    </comment>
    <comment ref="V1059" authorId="0" shapeId="0" xr:uid="{90B61FBC-5139-4726-AD53-02A74BB4CBB7}">
      <text>
        <r>
          <rPr>
            <sz val="11"/>
            <color theme="1"/>
            <rFont val="Aptos Narrow"/>
            <family val="2"/>
            <scheme val="minor"/>
          </rPr>
          <t>Unknown User:
Excess receipt by $0.05</t>
        </r>
      </text>
    </comment>
    <comment ref="G1060" authorId="0" shapeId="0" xr:uid="{EC051602-599F-46EB-BC4F-CE9331D42F62}">
      <text>
        <r>
          <rPr>
            <sz val="11"/>
            <color theme="1"/>
            <rFont val="Aptos Narrow"/>
            <family val="2"/>
            <scheme val="minor"/>
          </rPr>
          <t>Unknown User:
WATER SERVICE RECTIFICATION (IN WALL)
Non-refundable call out fee</t>
        </r>
      </text>
    </comment>
    <comment ref="G1061" authorId="0" shapeId="0" xr:uid="{9FF378DB-FAB5-4FED-89AF-9E8885DA8064}">
      <text>
        <r>
          <rPr>
            <sz val="11"/>
            <color theme="1"/>
            <rFont val="Aptos Narrow"/>
            <family val="2"/>
            <scheme val="minor"/>
          </rPr>
          <t>Unknown User:
HIGH POWERED JET BLAST &amp; CCTV DRAIN CAMERA INSPECTION (SEWER SERVICE)
10% Good Will Discount</t>
        </r>
      </text>
    </comment>
    <comment ref="L1061" authorId="0" shapeId="0" xr:uid="{3DB4781D-A0E9-495B-841A-2EE77C8FF3B7}">
      <text>
        <r>
          <rPr>
            <sz val="11"/>
            <color theme="1"/>
            <rFont val="Aptos Narrow"/>
            <family val="2"/>
            <scheme val="minor"/>
          </rPr>
          <t>Unknown User:
Jetblast &amp; CCTV pics/videos not uploaded.</t>
        </r>
      </text>
    </comment>
    <comment ref="G1066" authorId="0" shapeId="0" xr:uid="{E5A4901F-8062-414B-8701-D35B02B45214}">
      <text>
        <r>
          <rPr>
            <sz val="11"/>
            <color theme="1"/>
            <rFont val="Aptos Narrow"/>
            <family val="2"/>
            <scheme val="minor"/>
          </rPr>
          <t>Unknown User:
RECTIFICATION OF IN WALL BATH BREACH</t>
        </r>
      </text>
    </comment>
    <comment ref="V1066" authorId="0" shapeId="0" xr:uid="{BCBDFEEF-4CFC-4B46-8E98-A11FDE9F5B8C}">
      <text>
        <r>
          <rPr>
            <sz val="11"/>
            <color theme="1"/>
            <rFont val="Aptos Narrow"/>
            <family val="2"/>
            <scheme val="minor"/>
          </rPr>
          <t>Unknown User:
Smartpay receipt of $5370.80 is split as $3095.4 to initial job #73489/87607045 and as $2275.40 to upsell job #73489/87606710</t>
        </r>
      </text>
    </comment>
    <comment ref="G1067" authorId="0" shapeId="0" xr:uid="{73ADDB82-37CE-4D6D-ABC0-6319651306C0}">
      <text>
        <r>
          <rPr>
            <sz val="11"/>
            <color theme="1"/>
            <rFont val="Aptos Narrow"/>
            <family val="2"/>
            <scheme val="minor"/>
          </rPr>
          <t>Unknown User:
RECTIFICATION OF IN WALL BATH BREACH</t>
        </r>
      </text>
    </comment>
    <comment ref="W1067" authorId="0" shapeId="0" xr:uid="{31EFF535-B6D9-452E-8FCB-1A30865C1A14}">
      <text>
        <r>
          <rPr>
            <sz val="11"/>
            <color theme="1"/>
            <rFont val="Aptos Narrow"/>
            <family val="2"/>
            <scheme val="minor"/>
          </rPr>
          <t>Unknown User:
Cash denomination
$50*7=$350
$50*5=$250
Total cash=$600</t>
        </r>
      </text>
    </comment>
    <comment ref="G1076" authorId="0" shapeId="0" xr:uid="{15876AC8-D0CD-4F73-8173-F34AC4F9BF15}">
      <text>
        <r>
          <rPr>
            <sz val="11"/>
            <color theme="1"/>
            <rFont val="Aptos Narrow"/>
            <family val="2"/>
            <scheme val="minor"/>
          </rPr>
          <t xml:space="preserve">Unknown User:
REPLACEMENT OF BILLI FILTER CARTRIDGE
</t>
        </r>
      </text>
    </comment>
    <comment ref="G1081" authorId="0" shapeId="0" xr:uid="{E3415771-697F-4D92-8714-F5ECB67A0222}">
      <text>
        <r>
          <rPr>
            <sz val="11"/>
            <color theme="1"/>
            <rFont val="Aptos Narrow"/>
            <family val="2"/>
            <scheme val="minor"/>
          </rPr>
          <t>Unknown User:
REPLACEMENT OF EXISTING OVERFLOW GULLY &amp; UP TO 1.5M OF MAIN SEWER SERVICE (UNDER CONCRETE)</t>
        </r>
      </text>
    </comment>
    <comment ref="V1081" authorId="0" shapeId="0" xr:uid="{823D6682-41B5-4026-A921-7E28EC83A6FE}">
      <text>
        <r>
          <rPr>
            <sz val="11"/>
            <color theme="1"/>
            <rFont val="Aptos Narrow"/>
            <family val="2"/>
            <scheme val="minor"/>
          </rPr>
          <t>Unknown User:
07/08 Received $3500 EFT
05/08 Received $2000 EFT</t>
        </r>
      </text>
    </comment>
    <comment ref="G1082" authorId="0" shapeId="0" xr:uid="{93561377-8C41-404E-936B-D7B09044EF7A}">
      <text>
        <r>
          <rPr>
            <sz val="11"/>
            <color theme="1"/>
            <rFont val="Aptos Narrow"/>
            <family val="2"/>
            <scheme val="minor"/>
          </rPr>
          <t>Unknown User:
SEWER SPOT DIG - IN GROUND
10% Loyalty Discount
$89 Blocked Drains Discount</t>
        </r>
      </text>
    </comment>
    <comment ref="U1082" authorId="0" shapeId="0" xr:uid="{8E210A59-4909-47DF-9A79-84C4AF5F5817}">
      <text>
        <r>
          <rPr>
            <sz val="11"/>
            <color theme="1"/>
            <rFont val="Aptos Narrow"/>
            <family val="2"/>
            <scheme val="minor"/>
          </rPr>
          <t>Unknown User:
29/8-As per Vitori's note "called cust left vm to call us back to adv when we can reattend as we cannot go today due to plumber going home ill"
27/8-As per Kris's note "DOING A CCTV TO SHOW THE CUSTOMER AGAIN! QUOTED THIS DIG YESTERDAY AND TOLD THEM ITS OFFLINE AND NOT TO USE IT. MAYBE NOW THEY WILL GET THE PICTURE"</t>
        </r>
      </text>
    </comment>
    <comment ref="V1082" authorId="0" shapeId="0" xr:uid="{7A116D07-B31C-4DDD-8268-9F86B501C2B1}">
      <text>
        <r>
          <rPr>
            <sz val="11"/>
            <color theme="1"/>
            <rFont val="Aptos Narrow"/>
            <family val="2"/>
            <scheme val="minor"/>
          </rPr>
          <t>Unknown User:
8/9-EFT of $9000 &amp; $358.56 initiated</t>
        </r>
      </text>
    </comment>
    <comment ref="G1083" authorId="0" shapeId="0" xr:uid="{CE66A357-F747-4956-BE1E-36EB639F60CB}">
      <text>
        <r>
          <rPr>
            <sz val="11"/>
            <color theme="1"/>
            <rFont val="Aptos Narrow"/>
            <family val="2"/>
            <scheme val="minor"/>
          </rPr>
          <t>Unknown User:
WATER SERVICE RECTIFICATION (IN WALL)</t>
        </r>
      </text>
    </comment>
    <comment ref="G1087" authorId="0" shapeId="0" xr:uid="{57C401EC-BDCC-495E-94FE-83B25A488C8B}">
      <text>
        <r>
          <rPr>
            <sz val="11"/>
            <color theme="1"/>
            <rFont val="Aptos Narrow"/>
            <family val="2"/>
            <scheme val="minor"/>
          </rPr>
          <t xml:space="preserve">Unknown User:
DISCONNECT &amp; RECONNECT ELECTRIC STORAGE HWS
Isolate power supply to electric storage unit
Isolate water supply to property
Disconnect plumbing to existing electric storage unit
Disconnect electrical supply to electric hot water unit
Drain electric storage unit
Removal of existing section of cold-water service connecting to electric storage unit
Removal of existing section of hot water service connecting to electric storage unit
Removal of existing valves
Clean &amp; prepare existing connections
Supply new brass fittings to cold water service
Supply new brass fittings to hot water service
Cap off cold water service connecting to electric storage unit
Cap off hot water service connecting to electric storage unit
Decommission electric storage unit &amp; make safe
Reinstate main water supply to property
Install the customer-supplied hot water system
Supply and install a new duo valve
Supply and install a new pressure limiting valve
Supply and install a new tempering valve
Install a new pressure relief valve
Supply and install a new pressure relief valve drain in copper, ensuring compliance
with AS/3500
Supply and install new brass fittings
Supply and install new B-press fittings
Reconfigure the cold-water service to suit the new electric storage system
Reconfigure the hot water service to suit the new electric storage system
Supply and install a new section of the cold-water copper service
Supply and install a new section of the hot water copper service
Reconnect the cold-water service to the new electric hot water system
Reconnect the hot water service to the new electric hot water system
Reconnect the power supply to the new electric hot water system
Reinstate the main water supply to the property
Test and commission the installation
Remove trade waste
</t>
        </r>
      </text>
    </comment>
    <comment ref="P1087" authorId="0" shapeId="0" xr:uid="{8FB0F540-BB1A-4489-B1C9-16B99E31EBCA}">
      <text>
        <r>
          <rPr>
            <sz val="11"/>
            <color theme="1"/>
            <rFont val="Aptos Narrow"/>
            <family val="2"/>
            <scheme val="minor"/>
          </rPr>
          <t>Unknown User:
Quote not Emailed</t>
        </r>
      </text>
    </comment>
    <comment ref="A1088" authorId="28" shapeId="0" xr:uid="{57796C63-F64B-4F2E-AEA1-9AE893456C66}">
      <text>
        <r>
          <rPr>
            <sz val="11"/>
            <color theme="1"/>
            <rFont val="Aptos Narrow"/>
            <family val="2"/>
            <scheme val="minor"/>
          </rPr>
          <t>Accounts | Australia Trades:
Tiling Invoice</t>
        </r>
      </text>
    </comment>
    <comment ref="G1088" authorId="0" shapeId="0" xr:uid="{57335CE0-8462-4CF2-B460-13C5264BEFE4}">
      <text>
        <r>
          <rPr>
            <sz val="11"/>
            <color theme="1"/>
            <rFont val="Aptos Narrow"/>
            <family val="2"/>
            <scheme val="minor"/>
          </rPr>
          <t xml:space="preserve">Unknown User:
REPLACEMENT OF IN WALL MIXER W/DIVERTER
</t>
        </r>
      </text>
    </comment>
    <comment ref="N1088" authorId="0" shapeId="0" xr:uid="{2EE993B0-0516-4C02-8467-AE2DD472DBD5}">
      <text>
        <r>
          <rPr>
            <sz val="11"/>
            <color theme="1"/>
            <rFont val="Aptos Narrow"/>
            <family val="2"/>
            <scheme val="minor"/>
          </rPr>
          <t>Unknown User:
Quote not raised due to technical issue in ServiceTitan.</t>
        </r>
      </text>
    </comment>
    <comment ref="G1092" authorId="0" shapeId="0" xr:uid="{502DF769-13E8-4912-AD5C-BCAF928CF819}">
      <text>
        <r>
          <rPr>
            <sz val="11"/>
            <color theme="1"/>
            <rFont val="Aptos Narrow"/>
            <family val="2"/>
            <scheme val="minor"/>
          </rPr>
          <t>Unknown User:
SEARCH AND INVESTIGATION OF GAS INSTANTANEOUS HOT WATER SYSTEM
$65 First Service Discount</t>
        </r>
      </text>
    </comment>
    <comment ref="G1093" authorId="0" shapeId="0" xr:uid="{62DFC56B-FA51-46F4-B792-A3E60F9EF2DC}">
      <text>
        <r>
          <rPr>
            <sz val="11"/>
            <color theme="1"/>
            <rFont val="Aptos Narrow"/>
            <family val="2"/>
            <scheme val="minor"/>
          </rPr>
          <t>Unknown User:
SUPPLY &amp; INSTALLATION OF TEMPERING VALVE
SUPPLY &amp; INSTALLATION OF NEW CLOSE COUPLED TOILET SUITE</t>
        </r>
      </text>
    </comment>
    <comment ref="G1094" authorId="0" shapeId="0" xr:uid="{246CA50E-B7D8-4A50-BE7C-29B90472522B}">
      <text>
        <r>
          <rPr>
            <sz val="11"/>
            <color theme="1"/>
            <rFont val="Aptos Narrow"/>
            <family val="2"/>
            <scheme val="minor"/>
          </rPr>
          <t>Unknown User:
SUPPLY &amp; INSTALLATION OF GAS STORAGE HOT WATER SYSTEM (EXTERNAL)
10% Seniors &amp; Pensioners Discount</t>
        </r>
      </text>
    </comment>
    <comment ref="G1096" authorId="0" shapeId="0" xr:uid="{399D9812-2788-437A-9044-A7267C064939}">
      <text>
        <r>
          <rPr>
            <sz val="11"/>
            <color theme="1"/>
            <rFont val="Aptos Narrow"/>
            <family val="2"/>
            <scheme val="minor"/>
          </rPr>
          <t>Unknown User:
WATER SERVICE RECTIFICATION (IN CONCRETE)</t>
        </r>
      </text>
    </comment>
    <comment ref="G1097" authorId="0" shapeId="0" xr:uid="{0F61BDA7-5DC1-4D10-A7EB-13FEA6B29A7F}">
      <text>
        <r>
          <rPr>
            <sz val="11"/>
            <color theme="1"/>
            <rFont val="Aptos Narrow"/>
            <family val="2"/>
            <scheme val="minor"/>
          </rPr>
          <t>Unknown User:
HIGH POWERED JET BLAST &amp; CCTV DRAIN CAMERA INSPECTION (STORM WATER SERVICE)
10% Seniors &amp; Pensioners Discount</t>
        </r>
      </text>
    </comment>
    <comment ref="G1098" authorId="0" shapeId="0" xr:uid="{63CBBD6D-8DBC-42D4-978A-8B4AC6DAB6A0}">
      <text>
        <r>
          <rPr>
            <sz val="11"/>
            <color theme="1"/>
            <rFont val="Aptos Narrow"/>
            <family val="2"/>
            <scheme val="minor"/>
          </rPr>
          <t xml:space="preserve">Unknown User:
SUPPLY &amp; INSTALLATION OF NEW SEWER PUMP DISCHARGE SERVICE </t>
        </r>
      </text>
    </comment>
    <comment ref="G1099" authorId="0" shapeId="0" xr:uid="{1712049B-85FC-4771-BC89-B6CFA9D267BC}">
      <text>
        <r>
          <rPr>
            <sz val="11"/>
            <color theme="1"/>
            <rFont val="Aptos Narrow"/>
            <family val="2"/>
            <scheme val="minor"/>
          </rPr>
          <t>Unknown User:
HIGH POWERED SUCTION &amp; ACID TREATMENT
HIGH POWERED SUCTION &amp; ACID TREATMENT</t>
        </r>
      </text>
    </comment>
    <comment ref="E1125" authorId="59" shapeId="0" xr:uid="{2C681668-D0D9-4F70-9464-52C5601721B0}">
      <text>
        <t>[Threaded comment]
Your version of Excel allows you to read this threaded comment; however, any edits to it will get removed if the file is opened in a newer version of Excel. Learn more: https://go.microsoft.com/fwlink/?linkid=870924
Comment:
    Stock</t>
      </text>
    </comment>
    <comment ref="E1126" authorId="60" shapeId="0" xr:uid="{988869E8-F480-4ED7-B192-321D14DA61D3}">
      <text>
        <t>[Threaded comment]
Your version of Excel allows you to read this threaded comment; however, any edits to it will get removed if the file is opened in a newer version of Excel. Learn more: https://go.microsoft.com/fwlink/?linkid=870924
Comment:
    Stock</t>
      </text>
    </comment>
    <comment ref="E1127" authorId="61" shapeId="0" xr:uid="{E132ED7F-651C-41DF-90E7-350BA50B1B18}">
      <text>
        <t>[Threaded comment]
Your version of Excel allows you to read this threaded comment; however, any edits to it will get removed if the file is opened in a newer version of Excel. Learn more: https://go.microsoft.com/fwlink/?linkid=870924
Comment:
    Stock</t>
      </text>
    </comment>
    <comment ref="G1136" authorId="0" shapeId="0" xr:uid="{333E46FB-59DE-44DB-9D1D-3EB4D2E594B2}">
      <text>
        <r>
          <rPr>
            <sz val="11"/>
            <color theme="1"/>
            <rFont val="Aptos Narrow"/>
            <family val="2"/>
            <scheme val="minor"/>
          </rPr>
          <t xml:space="preserve">Unknown User:
HIGH POWERED JET BLAST &amp; CCTV DRAIN CAMERA INSPECTION (SEWER SERVICE)
</t>
        </r>
      </text>
    </comment>
    <comment ref="G1137" authorId="0" shapeId="0" xr:uid="{A4AB4233-BAC9-4CAC-892D-C24C818D4D6E}">
      <text>
        <r>
          <rPr>
            <sz val="11"/>
            <color theme="1"/>
            <rFont val="Aptos Narrow"/>
            <family val="2"/>
            <scheme val="minor"/>
          </rPr>
          <t>Unknown User:
INSTALLATION OF GAS COOKTOP [SAME LOCATION] (CUSTOMER SUPPLIED)</t>
        </r>
      </text>
    </comment>
    <comment ref="G1138" authorId="0" shapeId="0" xr:uid="{BD3D052E-9202-4013-9E5A-5F9429464746}">
      <text>
        <r>
          <rPr>
            <sz val="11"/>
            <color theme="1"/>
            <rFont val="Aptos Narrow"/>
            <family val="2"/>
            <scheme val="minor"/>
          </rPr>
          <t>Unknown User:
SEARCH &amp; INVESTIGATION OF GAS SERVICE</t>
        </r>
      </text>
    </comment>
    <comment ref="V1138" authorId="0" shapeId="0" xr:uid="{3CFD911C-1483-42AA-9A33-8E2B9889B0AB}">
      <text>
        <r>
          <rPr>
            <sz val="11"/>
            <color theme="1"/>
            <rFont val="Aptos Narrow"/>
            <family val="2"/>
            <scheme val="minor"/>
          </rPr>
          <t>Unknown User:
EFT of $750 received is applied as $6 to Job $73554 &amp; $744 to upsell job $73608</t>
        </r>
      </text>
    </comment>
    <comment ref="G1139" authorId="0" shapeId="0" xr:uid="{52724912-4961-447A-AC4D-8783C13F8828}">
      <text>
        <r>
          <rPr>
            <sz val="11"/>
            <color theme="1"/>
            <rFont val="Aptos Narrow"/>
            <family val="2"/>
            <scheme val="minor"/>
          </rPr>
          <t>Unknown User:
CONVERT EXTERNAL GAS STORAGE HOT WATER SYSTEM TO EXTERNAL GAS INSTANTANEOUS HOT WATER SYSTEM</t>
        </r>
      </text>
    </comment>
    <comment ref="N1139" authorId="0" shapeId="0" xr:uid="{D50F6F61-A4D5-4B5E-AAF9-6D5B5344955B}">
      <text>
        <r>
          <rPr>
            <sz val="11"/>
            <color theme="1"/>
            <rFont val="Aptos Narrow"/>
            <family val="2"/>
            <scheme val="minor"/>
          </rPr>
          <t>Unknown User:
Quote raised in Job #73554</t>
        </r>
      </text>
    </comment>
    <comment ref="V1139" authorId="0" shapeId="0" xr:uid="{9A0E7E19-9C0D-40E1-9E7C-84B733FD195A}">
      <text>
        <r>
          <rPr>
            <sz val="11"/>
            <color theme="1"/>
            <rFont val="Aptos Narrow"/>
            <family val="2"/>
            <scheme val="minor"/>
          </rPr>
          <t>Unknown User:
EFT of $750 received is applied as $6 to Job $73554 &amp; $744 to upsell job $73608
Short receipt by $6</t>
        </r>
      </text>
    </comment>
    <comment ref="G1140" authorId="0" shapeId="0" xr:uid="{8F7CAFAF-65BA-40C6-B88C-AD583E8DB579}">
      <text>
        <r>
          <rPr>
            <sz val="11"/>
            <color theme="1"/>
            <rFont val="Aptos Narrow"/>
            <family val="2"/>
            <scheme val="minor"/>
          </rPr>
          <t>Unknown User:
HIGH POWERED SUCTION &amp; ACID TREATMENT</t>
        </r>
      </text>
    </comment>
    <comment ref="S1140" authorId="0" shapeId="0" xr:uid="{232C9201-0AED-4144-8A7D-1EE732DBE539}">
      <text>
        <r>
          <rPr>
            <sz val="11"/>
            <color theme="1"/>
            <rFont val="Aptos Narrow"/>
            <family val="2"/>
            <scheme val="minor"/>
          </rPr>
          <t>Unknown User:
Final invoice raised but not emailed</t>
        </r>
      </text>
    </comment>
    <comment ref="G1141" authorId="0" shapeId="0" xr:uid="{132CB69B-7D46-4963-BCA9-9C8CD391768C}">
      <text>
        <r>
          <rPr>
            <sz val="11"/>
            <color theme="1"/>
            <rFont val="Aptos Narrow"/>
            <family val="2"/>
            <scheme val="minor"/>
          </rPr>
          <t>Unknown User:
REPLACEMENT OF BASIN SET (W/CERAMIC DISC)
REPLACEMENT OF TAP TOPS – CERAMIC DISKS</t>
        </r>
      </text>
    </comment>
    <comment ref="G1142" authorId="0" shapeId="0" xr:uid="{E6E5D098-14E9-43F4-AD05-3FF19C4D7C7C}">
      <text>
        <r>
          <rPr>
            <sz val="11"/>
            <color theme="1"/>
            <rFont val="Aptos Narrow"/>
            <family val="2"/>
            <scheme val="minor"/>
          </rPr>
          <t xml:space="preserve">Unknown User:
HIGH POWERED SUCTION &amp; ACID TREATMENT
</t>
        </r>
      </text>
    </comment>
    <comment ref="G1143" authorId="0" shapeId="0" xr:uid="{AF5451DB-1EA9-4579-8387-AEE14C18595B}">
      <text>
        <r>
          <rPr>
            <sz val="11"/>
            <color theme="1"/>
            <rFont val="Aptos Narrow"/>
            <family val="2"/>
            <scheme val="minor"/>
          </rPr>
          <t>Unknown User:
SEARCH &amp; INVESTIGATION OF GAS STORAGE HOT WATER SYSTEM</t>
        </r>
      </text>
    </comment>
    <comment ref="G1144" authorId="0" shapeId="0" xr:uid="{90349DB8-B885-4DEB-8EC6-EAE21790644A}">
      <text>
        <r>
          <rPr>
            <sz val="11"/>
            <color theme="1"/>
            <rFont val="Aptos Narrow"/>
            <family val="2"/>
            <scheme val="minor"/>
          </rPr>
          <t>Unknown User:
SUPPLY AND INSTALLATION OF PRESSURE REGULATING DEVICE FITTED TO 20MM STRAIGHT PIPEWORK
SUPPLY &amp; INSTALLATION OF GAS STORAGE HOT WATER SYSTEM (EXTERNAL)</t>
        </r>
      </text>
    </comment>
    <comment ref="N1144" authorId="0" shapeId="0" xr:uid="{D2549E8B-F2CC-4507-91A9-17A11562FB8C}">
      <text>
        <r>
          <rPr>
            <sz val="11"/>
            <color theme="1"/>
            <rFont val="Aptos Narrow"/>
            <family val="2"/>
            <scheme val="minor"/>
          </rPr>
          <t>Unknown User:
Quote raised in Job #73682</t>
        </r>
      </text>
    </comment>
    <comment ref="P1144" authorId="0" shapeId="0" xr:uid="{99DC8204-6D2A-4068-9B90-E4C9ED66F72C}">
      <text>
        <r>
          <rPr>
            <sz val="11"/>
            <color theme="1"/>
            <rFont val="Aptos Narrow"/>
            <family val="2"/>
            <scheme val="minor"/>
          </rPr>
          <t>Unknown User:
Quote not emailed</t>
        </r>
      </text>
    </comment>
    <comment ref="T1144" authorId="0" shapeId="0" xr:uid="{710EFE99-1D0B-4035-A8EE-B69E78CA3CEF}">
      <text>
        <r>
          <rPr>
            <sz val="11"/>
            <color theme="1"/>
            <rFont val="Aptos Narrow"/>
            <family val="2"/>
            <scheme val="minor"/>
          </rPr>
          <t>Unknown User:
0.5x for Nicholas,Alex and Eric
0.5x for Ben (Trust pilot review)
1x for Ben-Product review</t>
        </r>
      </text>
    </comment>
    <comment ref="V1144" authorId="0" shapeId="0" xr:uid="{B1533600-6AC9-4F9B-80CD-EA4504B0B81D}">
      <text>
        <r>
          <rPr>
            <sz val="11"/>
            <color theme="1"/>
            <rFont val="Aptos Narrow"/>
            <family val="2"/>
            <scheme val="minor"/>
          </rPr>
          <t>Unknown User:
Overpayment made by $779 (EFT)</t>
        </r>
      </text>
    </comment>
    <comment ref="G1145" authorId="0" shapeId="0" xr:uid="{19605B19-447A-4B21-B057-5EFD29D270B2}">
      <text>
        <r>
          <rPr>
            <sz val="11"/>
            <color theme="1"/>
            <rFont val="Aptos Narrow"/>
            <family val="2"/>
            <scheme val="minor"/>
          </rPr>
          <t>Unknown User:
SEARCH &amp; INVESTIGATION OF DISHWASHER</t>
        </r>
      </text>
    </comment>
    <comment ref="G1150" authorId="0" shapeId="0" xr:uid="{2F9A7CD8-9DBB-4578-A6DB-D5CB3FB3BC1A}">
      <text>
        <r>
          <rPr>
            <sz val="11"/>
            <color theme="1"/>
            <rFont val="Aptos Narrow"/>
            <family val="2"/>
            <scheme val="minor"/>
          </rPr>
          <t>Unknown User:
SUPPLY &amp; INSTALLATION OF TEMPERING VALVE</t>
        </r>
      </text>
    </comment>
    <comment ref="U1150" authorId="0" shapeId="0" xr:uid="{E054887F-F20A-4C77-9A4A-C64327A6EAB4}">
      <text>
        <r>
          <rPr>
            <sz val="11"/>
            <color theme="1"/>
            <rFont val="Aptos Narrow"/>
            <family val="2"/>
            <scheme val="minor"/>
          </rPr>
          <t>Unknown User:
23/9-As per Ben's note "Harry isn’t on site to collect final payment, office to finalise"</t>
        </r>
      </text>
    </comment>
    <comment ref="G1151" authorId="0" shapeId="0" xr:uid="{1EB57E21-16B9-4CE2-AD0E-FF8361D7800C}">
      <text>
        <r>
          <rPr>
            <sz val="11"/>
            <color theme="1"/>
            <rFont val="Aptos Narrow"/>
            <family val="2"/>
            <scheme val="minor"/>
          </rPr>
          <t>Unknown User:
SUPPLY &amp; INSTALLATION OF NEW COPPER GAS SERVICE UP TO 18M (REPLACEMENT OF EXISTING GALVANISED GAS SERVICE)
CREDIT</t>
        </r>
      </text>
    </comment>
    <comment ref="N1151" authorId="0" shapeId="0" xr:uid="{AD051EC2-92B3-42B0-AF84-33EE76350C39}">
      <text>
        <r>
          <rPr>
            <sz val="11"/>
            <color theme="1"/>
            <rFont val="Aptos Narrow"/>
            <family val="2"/>
            <scheme val="minor"/>
          </rPr>
          <t>Unknown User:
Quote raised in Job #73515</t>
        </r>
      </text>
    </comment>
    <comment ref="T1151" authorId="0" shapeId="0" xr:uid="{6BE7AE26-3B87-46C2-A757-A0E49FB6D31A}">
      <text>
        <r>
          <rPr>
            <sz val="11"/>
            <color theme="1"/>
            <rFont val="Aptos Narrow"/>
            <family val="2"/>
            <scheme val="minor"/>
          </rPr>
          <t>Unknown User:
1x Will Dower</t>
        </r>
      </text>
    </comment>
    <comment ref="G1155" authorId="0" shapeId="0" xr:uid="{D76F7989-445D-43F4-B92E-0321D4436D15}">
      <text>
        <r>
          <rPr>
            <sz val="11"/>
            <color theme="1"/>
            <rFont val="Aptos Narrow"/>
            <family val="2"/>
            <scheme val="minor"/>
          </rPr>
          <t>Unknown User:
SEWER SPOT DIG - (UNDER PAVERS)</t>
        </r>
      </text>
    </comment>
    <comment ref="M1155" authorId="0" shapeId="0" xr:uid="{A4FBDF79-CCFF-424F-AE04-C6418358E869}">
      <text>
        <r>
          <rPr>
            <sz val="11"/>
            <color theme="1"/>
            <rFont val="Aptos Narrow"/>
            <family val="2"/>
            <scheme val="minor"/>
          </rPr>
          <t>Unknown User:
Smartpay receipt of $1409.60 not uploaded by plumber.
Uploaded by Modoras team.</t>
        </r>
      </text>
    </comment>
    <comment ref="G1160" authorId="0" shapeId="0" xr:uid="{341828CC-8438-49C8-A630-8D9EE69C48F7}">
      <text>
        <r>
          <rPr>
            <sz val="11"/>
            <color theme="1"/>
            <rFont val="Aptos Narrow"/>
            <family val="2"/>
            <scheme val="minor"/>
          </rPr>
          <t>Unknown User:
REPLACEMENT OF EXISTING OVERFLOW GULLY &amp; UP TO 1.5M OF MAIN SEWER SERVICE (UNDER CONCRETE)</t>
        </r>
      </text>
    </comment>
    <comment ref="V1160" authorId="0" shapeId="0" xr:uid="{E677F52B-BE00-4692-829D-8292FACEFD65}">
      <text>
        <r>
          <rPr>
            <sz val="11"/>
            <color theme="1"/>
            <rFont val="Aptos Narrow"/>
            <family val="2"/>
            <scheme val="minor"/>
          </rPr>
          <t>Unknown User:
07/08 Received $3500 EFT
05/08 Received $2000 EFT</t>
        </r>
      </text>
    </comment>
    <comment ref="G1161" authorId="0" shapeId="0" xr:uid="{267F0CCA-DCBE-4BB2-96E1-68D0D4054C48}">
      <text>
        <r>
          <rPr>
            <sz val="11"/>
            <color theme="1"/>
            <rFont val="Aptos Narrow"/>
            <family val="2"/>
            <scheme val="minor"/>
          </rPr>
          <t>Unknown User:
SEWER SPOT DIG - IN GROUND
10% Loyalty Discount
$89 Blocked Drains Discount</t>
        </r>
      </text>
    </comment>
    <comment ref="U1161" authorId="0" shapeId="0" xr:uid="{A515B0F6-F9C4-405E-A237-B7FB94F19424}">
      <text>
        <r>
          <rPr>
            <sz val="11"/>
            <color theme="1"/>
            <rFont val="Aptos Narrow"/>
            <family val="2"/>
            <scheme val="minor"/>
          </rPr>
          <t>Unknown User:
29/8-As per Vitori's note "called cust left vm to call us back to adv when we can reattend as we cannot go today due to plumber going home ill"
27/8-As per Kris's note "DOING A CCTV TO SHOW THE CUSTOMER AGAIN! QUOTED THIS DIG YESTERDAY AND TOLD THEM ITS OFFLINE AND NOT TO USE IT. MAYBE NOW THEY WILL GET THE PICTURE"</t>
        </r>
      </text>
    </comment>
    <comment ref="V1161" authorId="0" shapeId="0" xr:uid="{58379DCF-4E86-4B9F-A6F7-A2D168C509B5}">
      <text>
        <r>
          <rPr>
            <sz val="11"/>
            <color theme="1"/>
            <rFont val="Aptos Narrow"/>
            <family val="2"/>
            <scheme val="minor"/>
          </rPr>
          <t>Unknown User:
8/9-EFT of $9000 &amp; $358.56 initiated</t>
        </r>
      </text>
    </comment>
    <comment ref="G1162" authorId="0" shapeId="0" xr:uid="{B6B8B473-10A9-40F9-8D00-FE22DB44BDE8}">
      <text>
        <r>
          <rPr>
            <sz val="11"/>
            <color theme="1"/>
            <rFont val="Aptos Narrow"/>
            <family val="2"/>
            <scheme val="minor"/>
          </rPr>
          <t>Unknown User:
WATER SERVICE RECTIFICATION (IN WALL)</t>
        </r>
      </text>
    </comment>
    <comment ref="G1163" authorId="0" shapeId="0" xr:uid="{37A4CD02-D5C4-462E-BBD7-A6E8EC72D130}">
      <text>
        <r>
          <rPr>
            <sz val="11"/>
            <color theme="1"/>
            <rFont val="Aptos Narrow"/>
            <family val="2"/>
            <scheme val="minor"/>
          </rPr>
          <t xml:space="preserve">Unknown User:
DISCONNECT &amp; RECONNECT ELECTRIC STORAGE HWS
Isolate power supply to electric storage unit
Isolate water supply to property
Disconnect plumbing to existing electric storage unit
Disconnect electrical supply to electric hot water unit
Drain electric storage unit
Removal of existing section of cold-water service connecting to electric storage unit
Removal of existing section of hot water service connecting to electric storage unit
Removal of existing valves
Clean &amp; prepare existing connections
Supply new brass fittings to cold water service
Supply new brass fittings to hot water service
Cap off cold water service connecting to electric storage unit
Cap off hot water service connecting to electric storage unit
Decommission electric storage unit &amp; make safe
Reinstate main water supply to property
Install the customer-supplied hot water system
Supply and install a new duo valve
Supply and install a new pressure limiting valve
Supply and install a new tempering valve
Install a new pressure relief valve
Supply and install a new pressure relief valve drain in copper, ensuring compliance
with AS/3500
Supply and install new brass fittings
Supply and install new B-press fittings
Reconfigure the cold-water service to suit the new electric storage system
Reconfigure the hot water service to suit the new electric storage system
Supply and install a new section of the cold-water copper service
Supply and install a new section of the hot water copper service
Reconnect the cold-water service to the new electric hot water system
Reconnect the hot water service to the new electric hot water system
Reconnect the power supply to the new electric hot water system
Reinstate the main water supply to the property
Test and commission the installation
Remove trade waste
</t>
        </r>
      </text>
    </comment>
    <comment ref="P1163" authorId="0" shapeId="0" xr:uid="{679E028B-7649-4578-B401-83E7C95583C6}">
      <text>
        <r>
          <rPr>
            <sz val="11"/>
            <color theme="1"/>
            <rFont val="Aptos Narrow"/>
            <family val="2"/>
            <scheme val="minor"/>
          </rPr>
          <t>Unknown User:
Quote not Emailed</t>
        </r>
      </text>
    </comment>
    <comment ref="A1164" authorId="28" shapeId="0" xr:uid="{C17E463A-5854-483A-B6F0-137629899CA9}">
      <text>
        <r>
          <rPr>
            <sz val="11"/>
            <color theme="1"/>
            <rFont val="Aptos Narrow"/>
            <family val="2"/>
            <scheme val="minor"/>
          </rPr>
          <t>Accounts | Australia Trades:
Tiling Invoice</t>
        </r>
      </text>
    </comment>
    <comment ref="G1164" authorId="0" shapeId="0" xr:uid="{B2B468D9-5EE4-485F-9EA4-3AC052B8A849}">
      <text>
        <r>
          <rPr>
            <sz val="11"/>
            <color theme="1"/>
            <rFont val="Aptos Narrow"/>
            <family val="2"/>
            <scheme val="minor"/>
          </rPr>
          <t xml:space="preserve">Unknown User:
REPLACEMENT OF IN WALL MIXER W/DIVERTER
</t>
        </r>
      </text>
    </comment>
    <comment ref="N1164" authorId="0" shapeId="0" xr:uid="{2333897D-F494-4659-9FBF-78098B28AAA5}">
      <text>
        <r>
          <rPr>
            <sz val="11"/>
            <color theme="1"/>
            <rFont val="Aptos Narrow"/>
            <family val="2"/>
            <scheme val="minor"/>
          </rPr>
          <t>Unknown User:
Quote not raised due to technical issue in ServiceTitan.</t>
        </r>
      </text>
    </comment>
    <comment ref="G1168" authorId="0" shapeId="0" xr:uid="{C1195DEC-8EF9-472C-9DCE-5C6B77AF6D86}">
      <text>
        <r>
          <rPr>
            <sz val="11"/>
            <color theme="1"/>
            <rFont val="Aptos Narrow"/>
            <family val="2"/>
            <scheme val="minor"/>
          </rPr>
          <t>Unknown User:
SEARCH &amp; INVESTIGATION OF POTENTIAL GAS LEAK</t>
        </r>
      </text>
    </comment>
    <comment ref="G1169" authorId="0" shapeId="0" xr:uid="{140201FD-CEF5-47C0-BF9C-54DE5124766D}">
      <text>
        <r>
          <rPr>
            <sz val="11"/>
            <color theme="1"/>
            <rFont val="Aptos Narrow"/>
            <family val="2"/>
            <scheme val="minor"/>
          </rPr>
          <t xml:space="preserve">Unknown User:
SUPPLY &amp; INSTALLATION OF GAS STORAGE HOT WATER SYSTEM (EXTERNAL)
Hot water service - cash back  </t>
        </r>
      </text>
    </comment>
    <comment ref="G1170" authorId="0" shapeId="0" xr:uid="{22AD23BF-E5BE-482D-9F2D-C0AA4C05E4FE}">
      <text>
        <r>
          <rPr>
            <sz val="11"/>
            <color theme="1"/>
            <rFont val="Aptos Narrow"/>
            <family val="2"/>
            <scheme val="minor"/>
          </rPr>
          <t>Unknown User:
REPLACEMENT OF CISTERN DUAL FLUSH VALVE WITH UNIVERSAL FLUSH VALVE (COMPLETE ASSEMBLY)
10% Seniors &amp; Pensioners Discount</t>
        </r>
      </text>
    </comment>
    <comment ref="G1171" authorId="0" shapeId="0" xr:uid="{7A94EA4F-D1C9-4D4F-8AA0-E5C96CF76B2D}">
      <text>
        <r>
          <rPr>
            <sz val="11"/>
            <color theme="1"/>
            <rFont val="Aptos Narrow"/>
            <family val="2"/>
            <scheme val="minor"/>
          </rPr>
          <t xml:space="preserve">Unknown User:
HIGH POWERED JET BLAST &amp; CCTV DRAIN CAMERA INSPECTION (STORM WATER SERVICE)
</t>
        </r>
      </text>
    </comment>
    <comment ref="G1172" authorId="0" shapeId="0" xr:uid="{B05A9FCE-9FBF-41BE-BBEB-783E4487351D}">
      <text>
        <r>
          <rPr>
            <sz val="11"/>
            <color theme="1"/>
            <rFont val="Aptos Narrow"/>
            <family val="2"/>
            <scheme val="minor"/>
          </rPr>
          <t>Unknown User:
SEARCH &amp; INVESTIGATION OF POTENTIAL GAS LEAK
10% Seniors &amp; Pensioners Discount</t>
        </r>
      </text>
    </comment>
    <comment ref="E1193" authorId="62" shapeId="0" xr:uid="{AC6DF1CE-7898-47A5-BE03-11C8734FFCF1}">
      <text>
        <t>[Threaded comment]
Your version of Excel allows you to read this threaded comment; however, any edits to it will get removed if the file is opened in a newer version of Excel. Learn more: https://go.microsoft.com/fwlink/?linkid=870924
Comment:
    Stock</t>
      </text>
    </comment>
    <comment ref="E1194" authorId="63" shapeId="0" xr:uid="{4698990F-5F54-410A-8BD3-0BCC363EAF97}">
      <text>
        <t>[Threaded comment]
Your version of Excel allows you to read this threaded comment; however, any edits to it will get removed if the file is opened in a newer version of Excel. Learn more: https://go.microsoft.com/fwlink/?linkid=870924
Comment:
    Stock</t>
      </text>
    </comment>
    <comment ref="E1195" authorId="64" shapeId="0" xr:uid="{CFECF196-1155-4F89-BE18-B0EC6B837BBB}">
      <text>
        <t>[Threaded comment]
Your version of Excel allows you to read this threaded comment; however, any edits to it will get removed if the file is opened in a newer version of Excel. Learn more: https://go.microsoft.com/fwlink/?linkid=870924
Comment:
    Stock</t>
      </text>
    </comment>
    <comment ref="G1204" authorId="0" shapeId="0" xr:uid="{80BC33A3-17E2-472E-B9FE-B60290996540}">
      <text>
        <r>
          <rPr>
            <sz val="11"/>
            <color theme="1"/>
            <rFont val="Aptos Narrow"/>
            <family val="2"/>
            <scheme val="minor"/>
          </rPr>
          <t>Unknown User:
HIGH POWERED SUCTION PUMP &amp; ACID TREATMENT WITH CCTV DRAIN CAMERA INSPECTION</t>
        </r>
      </text>
    </comment>
    <comment ref="G1205" authorId="0" shapeId="0" xr:uid="{D3E5DA1D-197C-4B6A-9507-896C2859F028}">
      <text>
        <r>
          <rPr>
            <sz val="11"/>
            <color theme="1"/>
            <rFont val="Aptos Narrow"/>
            <family val="2"/>
            <scheme val="minor"/>
          </rPr>
          <t>Unknown User:
SUPPLY &amp; INSTALLATION OF TEMPERING VALVE
EMERGENCY ISOLATION VALVE - SINGLE</t>
        </r>
      </text>
    </comment>
    <comment ref="G1206" authorId="0" shapeId="0" xr:uid="{4949377D-72D7-427D-908F-BB3EC7ED6285}">
      <text>
        <r>
          <rPr>
            <sz val="11"/>
            <color theme="1"/>
            <rFont val="Aptos Narrow"/>
            <family val="2"/>
            <scheme val="minor"/>
          </rPr>
          <t>Unknown User:
SUPPLY &amp; INSTALLATION OF SINGLE BOWL KITCHEN SINK
SUPPLY &amp; INSTALLATION OF NEW ARCO HOSE TAP – ¼ TURN</t>
        </r>
      </text>
    </comment>
    <comment ref="G1207" authorId="0" shapeId="0" xr:uid="{E420D0F1-BDB3-416B-99FD-4091D6E0EBBC}">
      <text>
        <r>
          <rPr>
            <sz val="11"/>
            <color theme="1"/>
            <rFont val="Aptos Narrow"/>
            <family val="2"/>
            <scheme val="minor"/>
          </rPr>
          <t>Unknown User:
SEWER SERVICE - RELINE</t>
        </r>
      </text>
    </comment>
    <comment ref="N1207" authorId="0" shapeId="0" xr:uid="{602341BD-8AFD-4EE6-ABF6-65DE2E8D856C}">
      <text>
        <r>
          <rPr>
            <sz val="11"/>
            <color theme="1"/>
            <rFont val="Aptos Narrow"/>
            <family val="2"/>
            <scheme val="minor"/>
          </rPr>
          <t>Unknown User:
Quote raised in Job #73601</t>
        </r>
      </text>
    </comment>
    <comment ref="P1207" authorId="0" shapeId="0" xr:uid="{40DE1C8C-7826-4148-BC7C-79FEF75A208C}">
      <text>
        <r>
          <rPr>
            <sz val="11"/>
            <color theme="1"/>
            <rFont val="Aptos Narrow"/>
            <family val="2"/>
            <scheme val="minor"/>
          </rPr>
          <t>Unknown User:
Signed quote emailed by office person (Maddison Thomas)</t>
        </r>
      </text>
    </comment>
    <comment ref="T1207" authorId="0" shapeId="0" xr:uid="{69AC09B9-88CC-4DF8-B96E-F7E9AC23FAE7}">
      <text>
        <r>
          <rPr>
            <sz val="11"/>
            <color theme="1"/>
            <rFont val="Aptos Narrow"/>
            <family val="2"/>
            <scheme val="minor"/>
          </rPr>
          <t>Unknown User:
0.5x Nicholas</t>
        </r>
      </text>
    </comment>
    <comment ref="G1208" authorId="0" shapeId="0" xr:uid="{42FFAE38-5BBD-45D0-8820-465A0C7A6599}">
      <text>
        <r>
          <rPr>
            <sz val="11"/>
            <color theme="1"/>
            <rFont val="Aptos Narrow"/>
            <family val="2"/>
            <scheme val="minor"/>
          </rPr>
          <t>Unknown User:
COMPLETE STORM WATER GUTTER CLEAN - STORM WATER SERVICE DOWN PIPES &amp; MAIN STORM WATER SERVICE
10% Seniors &amp; Pensioners Discount</t>
        </r>
      </text>
    </comment>
    <comment ref="G1209" authorId="0" shapeId="0" xr:uid="{28CD51C3-EAC4-4F75-8F96-9F5FF6EC408B}">
      <text>
        <r>
          <rPr>
            <sz val="11"/>
            <color theme="1"/>
            <rFont val="Aptos Narrow"/>
            <family val="2"/>
            <scheme val="minor"/>
          </rPr>
          <t>Unknown User:
HIGH POWERED JET BLAST &amp; CCTV DRAIN CAMERA INSPECTION (SEWER SERVICE)</t>
        </r>
      </text>
    </comment>
    <comment ref="M1209" authorId="0" shapeId="0" xr:uid="{84F317A5-C4A0-4869-B0EC-FFEA86DC26CD}">
      <text>
        <r>
          <rPr>
            <sz val="11"/>
            <color theme="1"/>
            <rFont val="Aptos Narrow"/>
            <family val="2"/>
            <scheme val="minor"/>
          </rPr>
          <t>Unknown User:
Smartpay receipt of $947.10 not uploaded by plumber.
Uploaded by Modoras team.</t>
        </r>
      </text>
    </comment>
    <comment ref="G1210" authorId="0" shapeId="0" xr:uid="{16D41794-547D-486B-9656-14A7E37B446A}">
      <text>
        <r>
          <rPr>
            <sz val="11"/>
            <color theme="1"/>
            <rFont val="Aptos Narrow"/>
            <family val="2"/>
            <scheme val="minor"/>
          </rPr>
          <t>Unknown User:
SUPPLY AND INSTALLATION OF PRESSURE REGULATING DEVICE FITTED TO 20MM STRAIGHT PIPEWORK</t>
        </r>
      </text>
    </comment>
    <comment ref="G1211" authorId="0" shapeId="0" xr:uid="{5379EAA1-E6B6-46DE-9310-17741856EF0A}">
      <text>
        <r>
          <rPr>
            <sz val="11"/>
            <color theme="1"/>
            <rFont val="Aptos Narrow"/>
            <family val="2"/>
            <scheme val="minor"/>
          </rPr>
          <t>Unknown User:
INSTALLATION OF BASIN MIXER WITH NEW MIXER (CUSTOMER SUPPLIED)</t>
        </r>
      </text>
    </comment>
    <comment ref="K1211" authorId="0" shapeId="0" xr:uid="{53E8E36F-C4F9-4C2F-92E7-1CBA4BB42C4D}">
      <text>
        <r>
          <rPr>
            <sz val="11"/>
            <color theme="1"/>
            <rFont val="Aptos Narrow"/>
            <family val="2"/>
            <scheme val="minor"/>
          </rPr>
          <t>Unknown User:
Before job pics (Old basin mixer/sink) not uploaded</t>
        </r>
      </text>
    </comment>
    <comment ref="G1212" authorId="0" shapeId="0" xr:uid="{4A57575B-23A3-4EE2-97F2-FF919F6E5C1E}">
      <text>
        <r>
          <rPr>
            <sz val="11"/>
            <color theme="1"/>
            <rFont val="Aptos Narrow"/>
            <family val="2"/>
            <scheme val="minor"/>
          </rPr>
          <t>Unknown User:
HIGH POWERED SUCTION &amp; ACID TREATMENT
$65 First Service Discount</t>
        </r>
      </text>
    </comment>
    <comment ref="G1218" authorId="0" shapeId="0" xr:uid="{1F9B2633-C892-4A5B-B941-7957EB463EF4}">
      <text>
        <r>
          <rPr>
            <sz val="11"/>
            <color theme="1"/>
            <rFont val="Aptos Narrow"/>
            <family val="2"/>
            <scheme val="minor"/>
          </rPr>
          <t>Unknown User:
REPLACEMENT OF EXISTING OVERFLOW GULLY &amp; UP TO 1.5M OF MAIN SEWER SERVICE (UNDER CONCRETE)</t>
        </r>
      </text>
    </comment>
    <comment ref="V1218" authorId="0" shapeId="0" xr:uid="{A95D664F-8C37-4E97-8367-7CE94DB11CCA}">
      <text>
        <r>
          <rPr>
            <sz val="11"/>
            <color theme="1"/>
            <rFont val="Aptos Narrow"/>
            <family val="2"/>
            <scheme val="minor"/>
          </rPr>
          <t>Unknown User:
07/08 Received $3500 EFT
05/08 Received $2000 EFT</t>
        </r>
      </text>
    </comment>
    <comment ref="G1219" authorId="0" shapeId="0" xr:uid="{A12A4FFD-5B32-4FDE-9703-13075F829225}">
      <text>
        <r>
          <rPr>
            <sz val="11"/>
            <color theme="1"/>
            <rFont val="Aptos Narrow"/>
            <family val="2"/>
            <scheme val="minor"/>
          </rPr>
          <t>Unknown User:
SEWER SPOT DIG - IN GROUND
10% Loyalty Discount
$89 Blocked Drains Discount</t>
        </r>
      </text>
    </comment>
    <comment ref="U1219" authorId="0" shapeId="0" xr:uid="{354BDC5A-B6F8-4501-859E-4BFD3F034EC8}">
      <text>
        <r>
          <rPr>
            <sz val="11"/>
            <color theme="1"/>
            <rFont val="Aptos Narrow"/>
            <family val="2"/>
            <scheme val="minor"/>
          </rPr>
          <t>Unknown User:
29/8-As per Vitori's note "called cust left vm to call us back to adv when we can reattend as we cannot go today due to plumber going home ill"
27/8-As per Kris's note "DOING A CCTV TO SHOW THE CUSTOMER AGAIN! QUOTED THIS DIG YESTERDAY AND TOLD THEM ITS OFFLINE AND NOT TO USE IT. MAYBE NOW THEY WILL GET THE PICTURE"</t>
        </r>
      </text>
    </comment>
    <comment ref="V1219" authorId="0" shapeId="0" xr:uid="{10D8CA82-9EEF-4514-B094-7FAF3620C449}">
      <text>
        <r>
          <rPr>
            <sz val="11"/>
            <color theme="1"/>
            <rFont val="Aptos Narrow"/>
            <family val="2"/>
            <scheme val="minor"/>
          </rPr>
          <t>Unknown User:
8/9-EFT of $9000 &amp; $358.56 initiated</t>
        </r>
      </text>
    </comment>
    <comment ref="G1220" authorId="0" shapeId="0" xr:uid="{AD706844-DCFC-4E3B-B19C-A9721BDADE4B}">
      <text>
        <r>
          <rPr>
            <sz val="11"/>
            <color theme="1"/>
            <rFont val="Aptos Narrow"/>
            <family val="2"/>
            <scheme val="minor"/>
          </rPr>
          <t>Unknown User:
WATER SERVICE RECTIFICATION (IN WALL)</t>
        </r>
      </text>
    </comment>
    <comment ref="G1221" authorId="0" shapeId="0" xr:uid="{AF8B2419-9ED4-48AD-9BDE-D707AA5B3C70}">
      <text>
        <r>
          <rPr>
            <sz val="11"/>
            <color theme="1"/>
            <rFont val="Aptos Narrow"/>
            <family val="2"/>
            <scheme val="minor"/>
          </rPr>
          <t xml:space="preserve">Unknown User:
DISCONNECT &amp; RECONNECT ELECTRIC STORAGE HWS
Isolate power supply to electric storage unit
Isolate water supply to property
Disconnect plumbing to existing electric storage unit
Disconnect electrical supply to electric hot water unit
Drain electric storage unit
Removal of existing section of cold-water service connecting to electric storage unit
Removal of existing section of hot water service connecting to electric storage unit
Removal of existing valves
Clean &amp; prepare existing connections
Supply new brass fittings to cold water service
Supply new brass fittings to hot water service
Cap off cold water service connecting to electric storage unit
Cap off hot water service connecting to electric storage unit
Decommission electric storage unit &amp; make safe
Reinstate main water supply to property
Install the customer-supplied hot water system
Supply and install a new duo valve
Supply and install a new pressure limiting valve
Supply and install a new tempering valve
Install a new pressure relief valve
Supply and install a new pressure relief valve drain in copper, ensuring compliance
with AS/3500
Supply and install new brass fittings
Supply and install new B-press fittings
Reconfigure the cold-water service to suit the new electric storage system
Reconfigure the hot water service to suit the new electric storage system
Supply and install a new section of the cold-water copper service
Supply and install a new section of the hot water copper service
Reconnect the cold-water service to the new electric hot water system
Reconnect the hot water service to the new electric hot water system
Reconnect the power supply to the new electric hot water system
Reinstate the main water supply to the property
Test and commission the installation
Remove trade waste
</t>
        </r>
      </text>
    </comment>
    <comment ref="P1221" authorId="0" shapeId="0" xr:uid="{983306B4-DE94-4D8A-B2F9-C5A6D4677A12}">
      <text>
        <r>
          <rPr>
            <sz val="11"/>
            <color theme="1"/>
            <rFont val="Aptos Narrow"/>
            <family val="2"/>
            <scheme val="minor"/>
          </rPr>
          <t>Unknown User:
Quote not Emailed</t>
        </r>
      </text>
    </comment>
    <comment ref="A1222" authorId="28" shapeId="0" xr:uid="{E6659DB6-DA5D-4FF7-A7ED-57B58CC90229}">
      <text>
        <r>
          <rPr>
            <sz val="11"/>
            <color theme="1"/>
            <rFont val="Aptos Narrow"/>
            <family val="2"/>
            <scheme val="minor"/>
          </rPr>
          <t>Accounts | Australia Trades:
Tiling Invoice</t>
        </r>
      </text>
    </comment>
    <comment ref="G1222" authorId="0" shapeId="0" xr:uid="{AF26B3FD-1F9E-42AC-80F9-CCA47A06A51B}">
      <text>
        <r>
          <rPr>
            <sz val="11"/>
            <color theme="1"/>
            <rFont val="Aptos Narrow"/>
            <family val="2"/>
            <scheme val="minor"/>
          </rPr>
          <t xml:space="preserve">Unknown User:
REPLACEMENT OF IN WALL MIXER W/DIVERTER
</t>
        </r>
      </text>
    </comment>
    <comment ref="N1222" authorId="0" shapeId="0" xr:uid="{3F8C452E-17DF-47B4-ABD4-0EB9E66B4232}">
      <text>
        <r>
          <rPr>
            <sz val="11"/>
            <color theme="1"/>
            <rFont val="Aptos Narrow"/>
            <family val="2"/>
            <scheme val="minor"/>
          </rPr>
          <t>Unknown User:
Quote not raised due to technical issue in ServiceTitan.</t>
        </r>
      </text>
    </comment>
    <comment ref="A1223" authorId="65" shapeId="0" xr:uid="{0BB7DB69-117D-4354-A906-46AED791C576}">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223" authorId="0" shapeId="0" xr:uid="{E58909C5-3E6C-49FA-AA80-8E1175A105EB}">
      <text>
        <r>
          <rPr>
            <sz val="11"/>
            <color theme="1"/>
            <rFont val="Aptos Narrow"/>
            <family val="2"/>
            <scheme val="minor"/>
          </rPr>
          <t>Unknown User:
SEWER SPOT DIG - (UNDER PAVERS)</t>
        </r>
      </text>
    </comment>
    <comment ref="M1223" authorId="0" shapeId="0" xr:uid="{CC53C3AB-55B6-4AF6-B2EC-C8FF7B925F83}">
      <text>
        <r>
          <rPr>
            <sz val="11"/>
            <color theme="1"/>
            <rFont val="Aptos Narrow"/>
            <family val="2"/>
            <scheme val="minor"/>
          </rPr>
          <t>Unknown User:
Smartpay receipt of $1409.60 not uploaded by plumber.
Uploaded by Modoras team.</t>
        </r>
      </text>
    </comment>
    <comment ref="A1224" authorId="66" shapeId="0" xr:uid="{4C2C03E6-D299-41ED-8650-3B553FE755F4}">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224" authorId="0" shapeId="0" xr:uid="{4D0E0E69-EA84-407C-B2C1-7CFCFBEED515}">
      <text>
        <r>
          <rPr>
            <sz val="11"/>
            <color theme="1"/>
            <rFont val="Aptos Narrow"/>
            <family val="2"/>
            <scheme val="minor"/>
          </rPr>
          <t>Unknown User:
SUPPLY &amp; INSTALLATION OF TEMPERING VALVE</t>
        </r>
      </text>
    </comment>
    <comment ref="U1224" authorId="0" shapeId="0" xr:uid="{5241FF11-49E7-4FBD-B71B-8E24B819364A}">
      <text>
        <r>
          <rPr>
            <sz val="11"/>
            <color theme="1"/>
            <rFont val="Aptos Narrow"/>
            <family val="2"/>
            <scheme val="minor"/>
          </rPr>
          <t>Unknown User:
23/9-As per Ben's note "Harry isn’t on site to collect final payment, office to finalise"</t>
        </r>
      </text>
    </comment>
    <comment ref="G1225" authorId="0" shapeId="0" xr:uid="{9288B484-CAC9-40D0-A7C8-4702407BB601}">
      <text>
        <r>
          <rPr>
            <sz val="11"/>
            <color theme="1"/>
            <rFont val="Aptos Narrow"/>
            <family val="2"/>
            <scheme val="minor"/>
          </rPr>
          <t>Unknown User:
SUPPLY &amp; INSTALLATION OF NEW COPPER GAS SERVICE UP TO 18M (REPLACEMENT OF EXISTING GALVANISED GAS SERVICE)
CREDIT</t>
        </r>
      </text>
    </comment>
    <comment ref="N1225" authorId="0" shapeId="0" xr:uid="{456185E2-DE5C-41F8-8E2C-49F205C194F0}">
      <text>
        <r>
          <rPr>
            <sz val="11"/>
            <color theme="1"/>
            <rFont val="Aptos Narrow"/>
            <family val="2"/>
            <scheme val="minor"/>
          </rPr>
          <t>Unknown User:
Quote raised in Job #73515</t>
        </r>
      </text>
    </comment>
    <comment ref="T1225" authorId="0" shapeId="0" xr:uid="{3ED8C596-A8B4-4991-8F32-21C2ADDBD8B3}">
      <text>
        <r>
          <rPr>
            <sz val="11"/>
            <color theme="1"/>
            <rFont val="Aptos Narrow"/>
            <family val="2"/>
            <scheme val="minor"/>
          </rPr>
          <t>Unknown User:
1x Will Dower</t>
        </r>
      </text>
    </comment>
    <comment ref="G1229" authorId="0" shapeId="0" xr:uid="{88A0A72E-F0A2-43A3-A476-DBDB3E37C449}">
      <text>
        <r>
          <rPr>
            <sz val="11"/>
            <color theme="1"/>
            <rFont val="Aptos Narrow"/>
            <family val="2"/>
            <scheme val="minor"/>
          </rPr>
          <t>Unknown User:
REMOVE AND RELOCATE GAS METER - 20MM PIPE - UP TO 1 METRES
$65 First Service Discount</t>
        </r>
      </text>
    </comment>
    <comment ref="P1229" authorId="0" shapeId="0" xr:uid="{256A79A8-9AF0-405B-9E8D-22AB20D26611}">
      <text>
        <r>
          <rPr>
            <sz val="11"/>
            <color theme="1"/>
            <rFont val="Aptos Narrow"/>
            <family val="2"/>
            <scheme val="minor"/>
          </rPr>
          <t>Unknown User:
Quote not emailed</t>
        </r>
      </text>
    </comment>
    <comment ref="G1230" authorId="0" shapeId="0" xr:uid="{ED0AD3E9-EA7D-4A7C-9D49-B669189B5018}">
      <text>
        <r>
          <rPr>
            <sz val="11"/>
            <color theme="1"/>
            <rFont val="Aptos Narrow"/>
            <family val="2"/>
            <scheme val="minor"/>
          </rPr>
          <t>Unknown User:
SUPPLY &amp; INSTALLATION OF (SOLAR RATED) TEMPERING VALVE</t>
        </r>
      </text>
    </comment>
    <comment ref="G1231" authorId="0" shapeId="0" xr:uid="{D12A62A8-7124-45D3-9CB6-4BD74478D44E}">
      <text>
        <r>
          <rPr>
            <sz val="11"/>
            <color theme="1"/>
            <rFont val="Aptos Narrow"/>
            <family val="2"/>
            <scheme val="minor"/>
          </rPr>
          <t xml:space="preserve">Unknown User:
Box Gutter Replacement
</t>
        </r>
      </text>
    </comment>
    <comment ref="G1232" authorId="0" shapeId="0" xr:uid="{2B69C201-24D8-402A-B3B5-DE91AF12D1CA}">
      <text>
        <r>
          <rPr>
            <sz val="11"/>
            <color theme="1"/>
            <rFont val="Aptos Narrow"/>
            <family val="2"/>
            <scheme val="minor"/>
          </rPr>
          <t>Unknown User:
WATER SERVICE RECTIFICATION (IN GROUND)</t>
        </r>
      </text>
    </comment>
    <comment ref="E1253" authorId="67" shapeId="0" xr:uid="{27BA06EB-43B1-4F7A-8B20-A9D421713E1F}">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E1254" authorId="68" shapeId="0" xr:uid="{A1DD4268-73A2-49E1-B55A-08665301044D}">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E1255" authorId="69" shapeId="0" xr:uid="{72C68B1C-69AC-4B25-B7AD-73A27919CBD3}">
      <text>
        <t>[Threaded comment]
Your version of Excel allows you to read this threaded comment; however, any edits to it will get removed if the file is opened in a newer version of Excel. Learn more: https://go.microsoft.com/fwlink/?linkid=870924
Comment:
    Stock</t>
      </text>
    </comment>
    <comment ref="G1264" authorId="0" shapeId="0" xr:uid="{83BB4939-09E9-4010-949E-458EF83583C6}">
      <text>
        <r>
          <rPr>
            <sz val="11"/>
            <color theme="1"/>
            <rFont val="Aptos Narrow"/>
            <family val="2"/>
            <scheme val="minor"/>
          </rPr>
          <t>Unknown User:
COMPLETE SERVICE OF WALL TOP TAPS ASSEMBLY</t>
        </r>
      </text>
    </comment>
    <comment ref="G1265" authorId="0" shapeId="0" xr:uid="{41AD58C5-0BCB-4A80-A8BE-0ED462150EE9}">
      <text>
        <r>
          <rPr>
            <sz val="11"/>
            <color theme="1"/>
            <rFont val="Aptos Narrow"/>
            <family val="2"/>
            <scheme val="minor"/>
          </rPr>
          <t>Unknown User:
REPLACEMENT OF PLUG &amp; WASTE - 40MM
REPLACEMENT OF BASIN SET
SUPPLY &amp; INSTALLATION OF NEW CLOSE COUPLED TOILET SUITE
HIGH POWERED SUCTION &amp; ACID TREATMENT</t>
        </r>
      </text>
    </comment>
    <comment ref="L1265" authorId="0" shapeId="0" xr:uid="{DDB84B8A-7ECA-4236-A875-637176FFE69E}">
      <text>
        <r>
          <rPr>
            <sz val="11"/>
            <color theme="1"/>
            <rFont val="Aptos Narrow"/>
            <family val="2"/>
            <scheme val="minor"/>
          </rPr>
          <t>Unknown User:
High powered suction &amp; acid treatment pics not uploaded.</t>
        </r>
      </text>
    </comment>
    <comment ref="G1266" authorId="0" shapeId="0" xr:uid="{671D9E51-830B-4619-A034-4ADFBA915964}">
      <text>
        <r>
          <rPr>
            <sz val="11"/>
            <color theme="1"/>
            <rFont val="Aptos Narrow"/>
            <family val="2"/>
            <scheme val="minor"/>
          </rPr>
          <t>Unknown User:
SUPPLY &amp; INSTALLATION OF NEW SINGLE ELEMENT HOT WATER UNIT</t>
        </r>
      </text>
    </comment>
    <comment ref="T1266" authorId="0" shapeId="0" xr:uid="{E75A564E-04C3-4BED-A632-3AE14BF7E1E9}">
      <text>
        <r>
          <rPr>
            <sz val="11"/>
            <color theme="1"/>
            <rFont val="Aptos Narrow"/>
            <family val="2"/>
            <scheme val="minor"/>
          </rPr>
          <t>Unknown User:
1x Trustpilot
1x Product review</t>
        </r>
      </text>
    </comment>
    <comment ref="U1266" authorId="0" shapeId="0" xr:uid="{98428E7C-F5A9-4B4D-80AC-91754FD763F0}">
      <text>
        <r>
          <rPr>
            <sz val="11"/>
            <color theme="1"/>
            <rFont val="Aptos Narrow"/>
            <family val="2"/>
            <scheme val="minor"/>
          </rPr>
          <t>Unknown User:
6/10-As per Ben's note "Job is booked in for tomorrow
5% deposit was taken as requested to book in a job
Linda tried to call her husband for confirmation. We notify Linda. We can collect 5% deposit on the job book the works for first thing tomorrow morning if she would like to cancel overnight more than happy to refund her 100% of her deposit."</t>
        </r>
      </text>
    </comment>
    <comment ref="G1267" authorId="0" shapeId="0" xr:uid="{06C158A1-4673-4029-9FBB-4FB1D5E1E82F}">
      <text>
        <r>
          <rPr>
            <sz val="11"/>
            <color theme="1"/>
            <rFont val="Aptos Narrow"/>
            <family val="2"/>
            <scheme val="minor"/>
          </rPr>
          <t>Unknown User:
HIGH POWERED JET BLAST &amp; CCTV DRAIN CAMERA INSPECTION (SEWER SERVICE)</t>
        </r>
      </text>
    </comment>
    <comment ref="L1267" authorId="0" shapeId="0" xr:uid="{917235BC-A871-439F-89FA-D0BB50870865}">
      <text>
        <r>
          <rPr>
            <sz val="11"/>
            <color theme="1"/>
            <rFont val="Aptos Narrow"/>
            <family val="2"/>
            <scheme val="minor"/>
          </rPr>
          <t>Unknown User:
CCTV pics/videos not uploaded</t>
        </r>
      </text>
    </comment>
    <comment ref="M1267" authorId="0" shapeId="0" xr:uid="{8DCBAAB8-BB05-4FBB-858F-D857360DB0E1}">
      <text>
        <r>
          <rPr>
            <sz val="11"/>
            <color theme="1"/>
            <rFont val="Aptos Narrow"/>
            <family val="2"/>
            <scheme val="minor"/>
          </rPr>
          <t>Unknown User:
Smartpay receipt of $125.20 not uploaded by plumber.
Uploaded by Modoras team.</t>
        </r>
      </text>
    </comment>
    <comment ref="G1268" authorId="0" shapeId="0" xr:uid="{54DEDCD5-6971-4851-B86B-0B779D3E54FE}">
      <text>
        <r>
          <rPr>
            <sz val="11"/>
            <color theme="1"/>
            <rFont val="Aptos Narrow"/>
            <family val="2"/>
            <scheme val="minor"/>
          </rPr>
          <t>Unknown User:
HIGH POWERED JET BLAST &amp; CCTV DRAIN CAMERA INSPECTION (SEWER SERVICE)</t>
        </r>
      </text>
    </comment>
    <comment ref="G1269" authorId="0" shapeId="0" xr:uid="{5F85BDE6-F2A2-45FA-8BA9-510EBBF885D7}">
      <text>
        <r>
          <rPr>
            <sz val="11"/>
            <color theme="1"/>
            <rFont val="Aptos Narrow"/>
            <family val="2"/>
            <scheme val="minor"/>
          </rPr>
          <t>Unknown User:
HIGH POWERED JET BLAST &amp; CCTV DRAIN CAMERA INSPECTION (SEWER SERVICE)
10% Seniors &amp; Pensioners Discount</t>
        </r>
      </text>
    </comment>
    <comment ref="G1270" authorId="0" shapeId="0" xr:uid="{32F4F941-1CC9-4AAD-9D60-8D22536A16E1}">
      <text>
        <r>
          <rPr>
            <sz val="11"/>
            <color theme="1"/>
            <rFont val="Aptos Narrow"/>
            <family val="2"/>
            <scheme val="minor"/>
          </rPr>
          <t>Unknown User:
SEARCH &amp; INVESTIGATION OF DISHWASHER</t>
        </r>
      </text>
    </comment>
    <comment ref="G1271" authorId="0" shapeId="0" xr:uid="{1D279C47-32BB-4C21-BE4F-1D63112C09B9}">
      <text>
        <r>
          <rPr>
            <sz val="11"/>
            <color theme="1"/>
            <rFont val="Aptos Narrow"/>
            <family val="2"/>
            <scheme val="minor"/>
          </rPr>
          <t xml:space="preserve">Unknown User:
SPECIALIST LEAK DETECTION (WATER SERVICE)
10% Seniors &amp; Pensioners Discount </t>
        </r>
      </text>
    </comment>
    <comment ref="P1271" authorId="0" shapeId="0" xr:uid="{64B07691-5798-4992-B8A7-438EC01C645C}">
      <text>
        <r>
          <rPr>
            <sz val="11"/>
            <color theme="1"/>
            <rFont val="Aptos Narrow"/>
            <family val="2"/>
            <scheme val="minor"/>
          </rPr>
          <t>Unknown User:
Quote not emailed</t>
        </r>
      </text>
    </comment>
    <comment ref="G1272" authorId="0" shapeId="0" xr:uid="{C3AAE3E2-F6A2-42C8-AB48-39DD3E5BD553}">
      <text>
        <r>
          <rPr>
            <sz val="11"/>
            <color theme="1"/>
            <rFont val="Aptos Narrow"/>
            <family val="2"/>
            <scheme val="minor"/>
          </rPr>
          <t>Unknown User:
SEARCH &amp; INVESTIGATION OF DISHWASHER</t>
        </r>
      </text>
    </comment>
    <comment ref="G1273" authorId="0" shapeId="0" xr:uid="{5B400405-B95D-440E-A525-E589ADCA5C40}">
      <text>
        <r>
          <rPr>
            <sz val="11"/>
            <color theme="1"/>
            <rFont val="Aptos Narrow"/>
            <family val="2"/>
            <scheme val="minor"/>
          </rPr>
          <t>Unknown User:
REPLACEMENT OF BASIN SET</t>
        </r>
      </text>
    </comment>
    <comment ref="G1274" authorId="0" shapeId="0" xr:uid="{E53218CF-FD1E-4681-AEA9-3C92968FF950}">
      <text>
        <r>
          <rPr>
            <sz val="11"/>
            <color theme="1"/>
            <rFont val="Aptos Narrow"/>
            <family val="2"/>
            <scheme val="minor"/>
          </rPr>
          <t>Unknown User:
SEARCH AND INVESTIGATION OF SOLAR SPLIT HOT WATER SYSTEM</t>
        </r>
      </text>
    </comment>
    <comment ref="G1275" authorId="0" shapeId="0" xr:uid="{2E74B53D-5F60-495C-BE16-E6F0DB0EF44A}">
      <text>
        <r>
          <rPr>
            <sz val="11"/>
            <color theme="1"/>
            <rFont val="Aptos Narrow"/>
            <family val="2"/>
            <scheme val="minor"/>
          </rPr>
          <t>Unknown User:
HIGH POWERED SUCTION &amp; ACID TREATMENT</t>
        </r>
      </text>
    </comment>
    <comment ref="T1275" authorId="0" shapeId="0" xr:uid="{48A85C0A-CACA-4FCC-9201-1B22222E79A4}">
      <text>
        <r>
          <rPr>
            <sz val="11"/>
            <color theme="1"/>
            <rFont val="Aptos Narrow"/>
            <family val="2"/>
            <scheme val="minor"/>
          </rPr>
          <t>Unknown User:
1x Trustpilot
1x Product review</t>
        </r>
      </text>
    </comment>
    <comment ref="G1276" authorId="0" shapeId="0" xr:uid="{6C962C22-7BF4-4167-A2D4-5E3E315A3848}">
      <text>
        <r>
          <rPr>
            <sz val="11"/>
            <color theme="1"/>
            <rFont val="Aptos Narrow"/>
            <family val="2"/>
            <scheme val="minor"/>
          </rPr>
          <t>Unknown User:
HIGH POWERED SUCTION &amp; ACID TREATMENT</t>
        </r>
      </text>
    </comment>
    <comment ref="V1276" authorId="0" shapeId="0" xr:uid="{4326EC68-2A6B-4DAC-BC0C-0F569CB6812A}">
      <text>
        <r>
          <rPr>
            <sz val="11"/>
            <color theme="1"/>
            <rFont val="Aptos Narrow"/>
            <family val="2"/>
            <scheme val="minor"/>
          </rPr>
          <t>Unknown User:
Smartpay receipt of $2512.16 split as $1260.36 to initial job &amp; as $1251.80 for upsell job.</t>
        </r>
      </text>
    </comment>
    <comment ref="G1277" authorId="0" shapeId="0" xr:uid="{E0D8F350-EACE-4AE1-84E7-0D0EEE356443}">
      <text>
        <r>
          <rPr>
            <sz val="11"/>
            <color theme="1"/>
            <rFont val="Aptos Narrow"/>
            <family val="2"/>
            <scheme val="minor"/>
          </rPr>
          <t>Unknown User:
HIGH POWERED JET BLAST &amp; CCTV DRAIN CAMERA INSPECTION (SEWER SERVICE)</t>
        </r>
      </text>
    </comment>
    <comment ref="V1277" authorId="0" shapeId="0" xr:uid="{EDFC8545-293F-4744-A88A-E3B268D91A45}">
      <text>
        <r>
          <rPr>
            <sz val="11"/>
            <color theme="1"/>
            <rFont val="Aptos Narrow"/>
            <family val="2"/>
            <scheme val="minor"/>
          </rPr>
          <t>Unknown User:
Smartpay receipt of $2512.16 split as $1260.36 to initial job &amp; as $1251.80 for upsell job.</t>
        </r>
      </text>
    </comment>
    <comment ref="G1278" authorId="0" shapeId="0" xr:uid="{02027B3D-AECD-4EE1-8001-90CA8A1DBE83}">
      <text>
        <r>
          <rPr>
            <sz val="11"/>
            <color theme="1"/>
            <rFont val="Aptos Narrow"/>
            <family val="2"/>
            <scheme val="minor"/>
          </rPr>
          <t>Unknown User:
HIGH POWERED JET BLAST &amp; CCTV DRAIN CAMERA INSPECTION (SEWER SERVICE)</t>
        </r>
      </text>
    </comment>
    <comment ref="Q1278" authorId="0" shapeId="0" xr:uid="{06365867-DB80-4D89-9BA8-37B352DFCA43}">
      <text>
        <r>
          <rPr>
            <sz val="11"/>
            <color theme="1"/>
            <rFont val="Aptos Narrow"/>
            <family val="2"/>
            <scheme val="minor"/>
          </rPr>
          <t>Unknown User:
Final zero due invoice not raised</t>
        </r>
      </text>
    </comment>
    <comment ref="G1283" authorId="0" shapeId="0" xr:uid="{AA9A51B5-83C2-44A2-ADC6-84C7359403B7}">
      <text>
        <r>
          <rPr>
            <sz val="11"/>
            <color theme="1"/>
            <rFont val="Aptos Narrow"/>
            <family val="2"/>
            <scheme val="minor"/>
          </rPr>
          <t xml:space="preserve">Unknown User:
SEARCH &amp; INVESTIGATION OF MACERATOR PUMP
</t>
        </r>
      </text>
    </comment>
    <comment ref="W1283" authorId="0" shapeId="0" xr:uid="{C2199B38-2D2D-4B7E-BA4F-6B89DF33AAB2}">
      <text>
        <r>
          <rPr>
            <sz val="11"/>
            <color theme="1"/>
            <rFont val="Aptos Narrow"/>
            <family val="2"/>
            <scheme val="minor"/>
          </rPr>
          <t>Unknown User:
Cash denomination
$100*1=$100
$50*1=$50
$10*1=$10
Total cash=$160
Cash details noted in CS by Maddison Thomas</t>
        </r>
      </text>
    </comment>
    <comment ref="G1284" authorId="0" shapeId="0" xr:uid="{50E21B64-DE91-4A8E-AF2D-859E9037CB6D}">
      <text>
        <r>
          <rPr>
            <sz val="11"/>
            <color theme="1"/>
            <rFont val="Aptos Narrow"/>
            <family val="2"/>
            <scheme val="minor"/>
          </rPr>
          <t>Unknown User:
SUPPLY &amp; INSTALLATION OF NEW SINGLE ELEMENT HOT WATER UNIT – INTERNAL
10% Seniors &amp; Pensioners Discount</t>
        </r>
      </text>
    </comment>
    <comment ref="V1284" authorId="0" shapeId="0" xr:uid="{B2A521CD-8A85-4760-A980-23257D3B9E72}">
      <text>
        <r>
          <rPr>
            <sz val="11"/>
            <color theme="1"/>
            <rFont val="Aptos Narrow"/>
            <family val="2"/>
            <scheme val="minor"/>
          </rPr>
          <t>Unknown User:
13/10-Received $6071.16 by EFT</t>
        </r>
      </text>
    </comment>
    <comment ref="A1288" authorId="70" shapeId="0" xr:uid="{8AC4592A-740E-47DF-AC77-6245AFAB75C2}">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288" authorId="0" shapeId="0" xr:uid="{D68148B1-3C2C-480F-9DA8-585C749BB7C0}">
      <text>
        <r>
          <rPr>
            <sz val="11"/>
            <color theme="1"/>
            <rFont val="Aptos Narrow"/>
            <family val="2"/>
            <scheme val="minor"/>
          </rPr>
          <t>Unknown User:
WATER SERVICE RECTIFICATION (IN WALL)</t>
        </r>
      </text>
    </comment>
    <comment ref="A1289" authorId="71" shapeId="0" xr:uid="{E47A60B3-2438-4A3A-8F77-7EBD8EF509DD}">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289" authorId="0" shapeId="0" xr:uid="{4FBAD174-43F7-402B-84F4-84E989B2D229}">
      <text>
        <r>
          <rPr>
            <sz val="11"/>
            <color theme="1"/>
            <rFont val="Aptos Narrow"/>
            <family val="2"/>
            <scheme val="minor"/>
          </rPr>
          <t>Unknown User:
SEWER SPOT DIG - (UNDER PAVERS)</t>
        </r>
      </text>
    </comment>
    <comment ref="M1289" authorId="0" shapeId="0" xr:uid="{0AB2DAAA-5831-4431-B96E-29AD8C592C94}">
      <text>
        <r>
          <rPr>
            <sz val="11"/>
            <color theme="1"/>
            <rFont val="Aptos Narrow"/>
            <family val="2"/>
            <scheme val="minor"/>
          </rPr>
          <t>Unknown User:
Smartpay receipt of $1409.60 not uploaded by plumber.
Uploaded by Modoras team.</t>
        </r>
      </text>
    </comment>
    <comment ref="A1290" authorId="72" shapeId="0" xr:uid="{B2858411-E11D-4034-8868-3880087FE2FE}">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290" authorId="0" shapeId="0" xr:uid="{7302330D-63F0-4425-BC8B-BA018E4696C9}">
      <text>
        <r>
          <rPr>
            <sz val="11"/>
            <color theme="1"/>
            <rFont val="Aptos Narrow"/>
            <family val="2"/>
            <scheme val="minor"/>
          </rPr>
          <t>Unknown User:
SUPPLY &amp; INSTALLATION OF TEMPERING VALVE</t>
        </r>
      </text>
    </comment>
    <comment ref="U1290" authorId="0" shapeId="0" xr:uid="{228685A4-E36B-4D66-B1C6-00CFC77EC482}">
      <text>
        <r>
          <rPr>
            <sz val="11"/>
            <color theme="1"/>
            <rFont val="Aptos Narrow"/>
            <family val="2"/>
            <scheme val="minor"/>
          </rPr>
          <t>Unknown User:
23/9-As per Ben's note "Harry isn’t on site to collect final payment, office to finalise"</t>
        </r>
      </text>
    </comment>
    <comment ref="G1294" authorId="0" shapeId="0" xr:uid="{48D37897-BE4A-44E3-906C-5403B78F8C38}">
      <text>
        <r>
          <rPr>
            <sz val="11"/>
            <color theme="1"/>
            <rFont val="Aptos Narrow"/>
            <family val="2"/>
            <scheme val="minor"/>
          </rPr>
          <t>Unknown User:
SEWER SPOT DIG - IN GROUND</t>
        </r>
      </text>
    </comment>
    <comment ref="G1295" authorId="0" shapeId="0" xr:uid="{EC50E4B1-A81D-40F5-809B-EA267B934847}">
      <text>
        <r>
          <rPr>
            <sz val="11"/>
            <color theme="1"/>
            <rFont val="Aptos Narrow"/>
            <family val="2"/>
            <scheme val="minor"/>
          </rPr>
          <t>Unknown User:
REPLACEMENT OF SEWER SHAFT (UNDER CONCRETE)
CREDIT OF SEARCH &amp; INVESTIGATION</t>
        </r>
      </text>
    </comment>
    <comment ref="K1295" authorId="0" shapeId="0" xr:uid="{8D6F86CC-D91B-4ED6-B264-250777BAF4F1}">
      <text>
        <r>
          <rPr>
            <sz val="11"/>
            <color theme="1"/>
            <rFont val="Aptos Narrow"/>
            <family val="2"/>
            <scheme val="minor"/>
          </rPr>
          <t>Unknown User:
Previous job #74052 pics considered.</t>
        </r>
      </text>
    </comment>
    <comment ref="G1296" authorId="0" shapeId="0" xr:uid="{A9285309-F6CE-41CC-8D0C-E13615979333}">
      <text>
        <r>
          <rPr>
            <sz val="11"/>
            <color theme="1"/>
            <rFont val="Aptos Narrow"/>
            <family val="2"/>
            <scheme val="minor"/>
          </rPr>
          <t>Unknown User:
SEWER SPOT DIG (UNDER CONCRETE)
CREDIT HIGH POWERED JETBLAST &amp; CCTV CAMERA</t>
        </r>
      </text>
    </comment>
    <comment ref="G1297" authorId="0" shapeId="0" xr:uid="{C65C3D0F-C31B-4BDA-8C82-9CF01951D22E}">
      <text>
        <r>
          <rPr>
            <sz val="11"/>
            <color theme="1"/>
            <rFont val="Aptos Narrow"/>
            <family val="2"/>
            <scheme val="minor"/>
          </rPr>
          <t>Unknown User:
WATER SERVICE RECTIFICATION (IN CONCRETE)
10% Seniors &amp; Pensioners Discount</t>
        </r>
      </text>
    </comment>
    <comment ref="M1297" authorId="0" shapeId="0" xr:uid="{11DF4342-B173-4365-86CD-D5D56684F7F8}">
      <text>
        <r>
          <rPr>
            <sz val="11"/>
            <color theme="1"/>
            <rFont val="Aptos Narrow"/>
            <family val="2"/>
            <scheme val="minor"/>
          </rPr>
          <t>Unknown User:
Smartpay receipt of $1409.54 not uploaded by plumber.
Uploaded by Modoras team</t>
        </r>
      </text>
    </comment>
    <comment ref="G1305" authorId="0" shapeId="0" xr:uid="{FB4E1485-60CA-4BF1-BFDE-BF22E690AC8C}">
      <text>
        <r>
          <rPr>
            <sz val="11"/>
            <color theme="1"/>
            <rFont val="Aptos Narrow"/>
            <family val="2"/>
            <scheme val="minor"/>
          </rPr>
          <t>Unknown User:
REPLACEMENT OF EXISTING OVERFLOW GULLY &amp; UP TO 1.5M OF MAIN SEWER SERVICE (UNDER CONCRETE)</t>
        </r>
      </text>
    </comment>
    <comment ref="V1305" authorId="0" shapeId="0" xr:uid="{70613CF9-DE91-4C94-B796-51853E1803D5}">
      <text>
        <r>
          <rPr>
            <sz val="11"/>
            <color theme="1"/>
            <rFont val="Aptos Narrow"/>
            <family val="2"/>
            <scheme val="minor"/>
          </rPr>
          <t>Unknown User:
07/08 Received $3500 EFT
05/08 Received $2000 EFT</t>
        </r>
      </text>
    </comment>
    <comment ref="G1306" authorId="0" shapeId="0" xr:uid="{48E6A81C-447E-46EA-80DA-DBA37B576EF6}">
      <text>
        <r>
          <rPr>
            <sz val="11"/>
            <color theme="1"/>
            <rFont val="Aptos Narrow"/>
            <family val="2"/>
            <scheme val="minor"/>
          </rPr>
          <t>Unknown User:
SEWER SPOT DIG - IN GROUND
10% Loyalty Discount
$89 Blocked Drains Discount</t>
        </r>
      </text>
    </comment>
    <comment ref="U1306" authorId="0" shapeId="0" xr:uid="{510E37CE-544F-4811-8CAC-FB3024FBDC40}">
      <text>
        <r>
          <rPr>
            <sz val="11"/>
            <color theme="1"/>
            <rFont val="Aptos Narrow"/>
            <family val="2"/>
            <scheme val="minor"/>
          </rPr>
          <t>Unknown User:
29/8-As per Vitori's note "called cust left vm to call us back to adv when we can reattend as we cannot go today due to plumber going home ill"
27/8-As per Kris's note "DOING A CCTV TO SHOW THE CUSTOMER AGAIN! QUOTED THIS DIG YESTERDAY AND TOLD THEM ITS OFFLINE AND NOT TO USE IT. MAYBE NOW THEY WILL GET THE PICTURE"</t>
        </r>
      </text>
    </comment>
    <comment ref="V1306" authorId="0" shapeId="0" xr:uid="{C8E5D5B7-7930-4AB0-9BB2-1DE6EF733CDE}">
      <text>
        <r>
          <rPr>
            <sz val="11"/>
            <color theme="1"/>
            <rFont val="Aptos Narrow"/>
            <family val="2"/>
            <scheme val="minor"/>
          </rPr>
          <t>Unknown User:
8/9-EFT of $9000 &amp; $358.56 initiated</t>
        </r>
      </text>
    </comment>
    <comment ref="G1307" authorId="0" shapeId="0" xr:uid="{55E9E9C1-3776-479B-B735-02FA699B937C}">
      <text>
        <r>
          <rPr>
            <sz val="11"/>
            <color theme="1"/>
            <rFont val="Aptos Narrow"/>
            <family val="2"/>
            <scheme val="minor"/>
          </rPr>
          <t xml:space="preserve">Unknown User:
DISCONNECT &amp; RECONNECT ELECTRIC STORAGE HWS
Isolate power supply to electric storage unit
Isolate water supply to property
Disconnect plumbing to existing electric storage unit
Disconnect electrical supply to electric hot water unit
Drain electric storage unit
Removal of existing section of cold-water service connecting to electric storage unit
Removal of existing section of hot water service connecting to electric storage unit
Removal of existing valves
Clean &amp; prepare existing connections
Supply new brass fittings to cold water service
Supply new brass fittings to hot water service
Cap off cold water service connecting to electric storage unit
Cap off hot water service connecting to electric storage unit
Decommission electric storage unit &amp; make safe
Reinstate main water supply to property
Install the customer-supplied hot water system
Supply and install a new duo valve
Supply and install a new pressure limiting valve
Supply and install a new tempering valve
Install a new pressure relief valve
Supply and install a new pressure relief valve drain in copper, ensuring compliance
with AS/3500
Supply and install new brass fittings
Supply and install new B-press fittings
Reconfigure the cold-water service to suit the new electric storage system
Reconfigure the hot water service to suit the new electric storage system
Supply and install a new section of the cold-water copper service
Supply and install a new section of the hot water copper service
Reconnect the cold-water service to the new electric hot water system
Reconnect the hot water service to the new electric hot water system
Reconnect the power supply to the new electric hot water system
Reinstate the main water supply to the property
Test and commission the installation
Remove trade waste
</t>
        </r>
      </text>
    </comment>
    <comment ref="P1307" authorId="0" shapeId="0" xr:uid="{C726FBB9-A9F1-4773-A53B-DA861C4C73FC}">
      <text>
        <r>
          <rPr>
            <sz val="11"/>
            <color theme="1"/>
            <rFont val="Aptos Narrow"/>
            <family val="2"/>
            <scheme val="minor"/>
          </rPr>
          <t>Unknown User:
Quote not Emailed</t>
        </r>
      </text>
    </comment>
    <comment ref="A1308" authorId="28" shapeId="0" xr:uid="{4D026459-0B0B-48B7-AD56-39AA70626FEC}">
      <text>
        <r>
          <rPr>
            <sz val="11"/>
            <color theme="1"/>
            <rFont val="Aptos Narrow"/>
            <family val="2"/>
            <scheme val="minor"/>
          </rPr>
          <t>Accounts | Australia Trades:
Tiling Invoice</t>
        </r>
      </text>
    </comment>
    <comment ref="G1308" authorId="0" shapeId="0" xr:uid="{B7C00F81-DE17-4C13-ACE0-E4C613AF94FC}">
      <text>
        <r>
          <rPr>
            <sz val="11"/>
            <color theme="1"/>
            <rFont val="Aptos Narrow"/>
            <family val="2"/>
            <scheme val="minor"/>
          </rPr>
          <t xml:space="preserve">Unknown User:
REPLACEMENT OF IN WALL MIXER W/DIVERTER
</t>
        </r>
      </text>
    </comment>
    <comment ref="N1308" authorId="0" shapeId="0" xr:uid="{B9FFFBD3-29E1-4A00-9160-96FF0C4DE312}">
      <text>
        <r>
          <rPr>
            <sz val="11"/>
            <color theme="1"/>
            <rFont val="Aptos Narrow"/>
            <family val="2"/>
            <scheme val="minor"/>
          </rPr>
          <t>Unknown User:
Quote not raised due to technical issue in ServiceTitan.</t>
        </r>
      </text>
    </comment>
    <comment ref="G1309" authorId="0" shapeId="0" xr:uid="{82CED8D8-C485-4911-8438-7CAD72DE7593}">
      <text>
        <r>
          <rPr>
            <sz val="11"/>
            <color theme="1"/>
            <rFont val="Aptos Narrow"/>
            <family val="2"/>
            <scheme val="minor"/>
          </rPr>
          <t>Unknown User:
SUPPLY &amp; INSTALLATION OF NEW COPPER GAS SERVICE UP TO 18M (REPLACEMENT OF EXISTING GALVANISED GAS SERVICE)
CREDIT</t>
        </r>
      </text>
    </comment>
    <comment ref="N1309" authorId="0" shapeId="0" xr:uid="{45D122BA-890A-4B3B-AC3E-C2C9EDA015B4}">
      <text>
        <r>
          <rPr>
            <sz val="11"/>
            <color theme="1"/>
            <rFont val="Aptos Narrow"/>
            <family val="2"/>
            <scheme val="minor"/>
          </rPr>
          <t>Unknown User:
Quote raised in Job #73515</t>
        </r>
      </text>
    </comment>
    <comment ref="T1309" authorId="0" shapeId="0" xr:uid="{2A9BEE3D-E369-471C-91D1-CD36A4E6CA8C}">
      <text>
        <r>
          <rPr>
            <sz val="11"/>
            <color theme="1"/>
            <rFont val="Aptos Narrow"/>
            <family val="2"/>
            <scheme val="minor"/>
          </rPr>
          <t>Unknown User:
1x Will Dower</t>
        </r>
      </text>
    </comment>
    <comment ref="G1313" authorId="0" shapeId="0" xr:uid="{0BEDD1A1-6535-4313-ADF4-36F1666D5F91}">
      <text>
        <r>
          <rPr>
            <sz val="11"/>
            <color theme="1"/>
            <rFont val="Aptos Narrow"/>
            <family val="2"/>
            <scheme val="minor"/>
          </rPr>
          <t>Unknown User:
SEARCH &amp; INVESTIGATION OF POTENTIAL GAS LEAK
$65 First Service Discount</t>
        </r>
      </text>
    </comment>
    <comment ref="G1314" authorId="0" shapeId="0" xr:uid="{EC9B5E1B-0E31-453E-BB6E-274677E09237}">
      <text>
        <r>
          <rPr>
            <sz val="11"/>
            <color theme="1"/>
            <rFont val="Aptos Narrow"/>
            <family val="2"/>
            <scheme val="minor"/>
          </rPr>
          <t>Unknown User:
SEWER SPOT DIG (UNDER CONCRETE)</t>
        </r>
      </text>
    </comment>
    <comment ref="G1315" authorId="0" shapeId="0" xr:uid="{F3E7D422-852E-4BC6-8247-AE6940E32407}">
      <text>
        <r>
          <rPr>
            <sz val="11"/>
            <color theme="1"/>
            <rFont val="Aptos Narrow"/>
            <family val="2"/>
            <scheme val="minor"/>
          </rPr>
          <t xml:space="preserve">Unknown User:
REPLACEMENT OF EXISTING PULL-OUT KITCHEN MIXER
SUPPLY &amp; INSTALLATION OF ROUND DOWNPIPE
</t>
        </r>
      </text>
    </comment>
    <comment ref="G1316" authorId="0" shapeId="0" xr:uid="{8E2E0598-3EB0-47C3-8E3B-F4EBE779D2BD}">
      <text>
        <r>
          <rPr>
            <sz val="11"/>
            <color theme="1"/>
            <rFont val="Aptos Narrow"/>
            <family val="2"/>
            <scheme val="minor"/>
          </rPr>
          <t>Unknown User:
WATER SERVICE RECTIFICATION (EXPOSED)
$65 First Service Discount</t>
        </r>
      </text>
    </comment>
    <comment ref="G1317" authorId="0" shapeId="0" xr:uid="{DE422405-6DDA-48C4-88AF-0AA48CE0B507}">
      <text>
        <r>
          <rPr>
            <sz val="11"/>
            <color theme="1"/>
            <rFont val="Aptos Narrow"/>
            <family val="2"/>
            <scheme val="minor"/>
          </rPr>
          <t>Unknown User:
HIGH POWERED SUCTION PUMP
10% Seniors &amp; Pensioners Discount</t>
        </r>
      </text>
    </comment>
    <comment ref="G1318" authorId="0" shapeId="0" xr:uid="{40B63AC3-EA31-4A31-9936-B95DB8BAC9FD}">
      <text>
        <r>
          <rPr>
            <sz val="11"/>
            <color theme="1"/>
            <rFont val="Aptos Narrow"/>
            <family val="2"/>
            <scheme val="minor"/>
          </rPr>
          <t>Unknown User:
REPLACEMENT OF IN WALL MIXER W/DIVERTER 
$85 Off First Service</t>
        </r>
      </text>
    </comment>
    <comment ref="G1319" authorId="0" shapeId="0" xr:uid="{100451E4-2B5F-415F-9F41-DB9486F23154}">
      <text>
        <r>
          <rPr>
            <sz val="11"/>
            <color theme="1"/>
            <rFont val="Aptos Narrow"/>
            <family val="2"/>
            <scheme val="minor"/>
          </rPr>
          <t xml:space="preserve">Unknown User:
STORM WATER SPOT RECTIFICATION IN GROUND
</t>
        </r>
      </text>
    </comment>
    <comment ref="G1320" authorId="0" shapeId="0" xr:uid="{CB79E293-C247-49F1-9560-532FAC0F1DBB}">
      <text>
        <r>
          <rPr>
            <sz val="11"/>
            <color theme="1"/>
            <rFont val="Aptos Narrow"/>
            <family val="2"/>
            <scheme val="minor"/>
          </rPr>
          <t xml:space="preserve">Unknown User:
CUSTOMER SUPPLIED RAIN WATER TANK INSTALL
</t>
        </r>
      </text>
    </comment>
    <comment ref="G1321" authorId="0" shapeId="0" xr:uid="{A5A00C72-D613-4D18-9596-75452D47CF12}">
      <text>
        <r>
          <rPr>
            <sz val="11"/>
            <color theme="1"/>
            <rFont val="Aptos Narrow"/>
            <family val="2"/>
            <scheme val="minor"/>
          </rPr>
          <t>Unknown User:
MIXER TAP - GOOSE NECK
$65 First Service Discount</t>
        </r>
      </text>
    </comment>
    <comment ref="G1322" authorId="0" shapeId="0" xr:uid="{C76B8CE9-3E54-4D95-BEB3-B93EE56CB72C}">
      <text>
        <r>
          <rPr>
            <sz val="11"/>
            <color theme="1"/>
            <rFont val="Aptos Narrow"/>
            <family val="2"/>
            <scheme val="minor"/>
          </rPr>
          <t xml:space="preserve">Unknown User:
SUPPLY &amp; INSTALLATION OF NEW KIDS FLOOR VANITY SINK </t>
        </r>
      </text>
    </comment>
    <comment ref="G1323" authorId="0" shapeId="0" xr:uid="{E91CCE1D-1386-49E3-A47F-8624727D512D}">
      <text>
        <r>
          <rPr>
            <sz val="11"/>
            <color theme="1"/>
            <rFont val="Aptos Narrow"/>
            <family val="2"/>
            <scheme val="minor"/>
          </rPr>
          <t>Unknown User:
SEARCH &amp; INVESTIGATION OF GAS STORAGE HOT WATER SYSTEM
10% Seniors &amp; Pensioners Discount</t>
        </r>
      </text>
    </comment>
    <comment ref="G1324" authorId="0" shapeId="0" xr:uid="{71CA8B2C-B25F-4BFB-9DEF-A412A6EB3797}">
      <text>
        <r>
          <rPr>
            <sz val="11"/>
            <color theme="1"/>
            <rFont val="Aptos Narrow"/>
            <family val="2"/>
            <scheme val="minor"/>
          </rPr>
          <t>Unknown User:
WATER SERVICE RECTIFICATION (IN GROUND)
$65 First Service Discount</t>
        </r>
      </text>
    </comment>
    <comment ref="G1328" authorId="0" shapeId="0" xr:uid="{3F01E6B2-24DD-46BA-A3C3-C4BA9B603076}">
      <text>
        <r>
          <rPr>
            <sz val="11"/>
            <color theme="1"/>
            <rFont val="Aptos Narrow"/>
            <family val="2"/>
            <scheme val="minor"/>
          </rPr>
          <t>Unknown User:
SUPPLY &amp; INSTALLATION OF GAS STORAGE HOT WATER SYSTEM (EXTERNAL)
$220 Cash back hot water service</t>
        </r>
      </text>
    </comment>
    <comment ref="G1329" authorId="0" shapeId="0" xr:uid="{F60663F7-14C1-48BC-ADA2-7857843CA8E5}">
      <text>
        <r>
          <rPr>
            <sz val="11"/>
            <color theme="1"/>
            <rFont val="Aptos Narrow"/>
            <family val="2"/>
            <scheme val="minor"/>
          </rPr>
          <t xml:space="preserve">Unknown User:
REPLACEMENT OF BASIN SET
</t>
        </r>
      </text>
    </comment>
    <comment ref="G1330" authorId="0" shapeId="0" xr:uid="{CF6ABB66-BF40-4520-9A68-B6F1B3E5519A}">
      <text>
        <r>
          <rPr>
            <sz val="11"/>
            <color theme="1"/>
            <rFont val="Aptos Narrow"/>
            <family val="2"/>
            <scheme val="minor"/>
          </rPr>
          <t>Unknown User:
FLOOD, DYE, PRESSURE TEST (WET AREA)</t>
        </r>
      </text>
    </comment>
    <comment ref="G1363" authorId="0" shapeId="0" xr:uid="{224EABF1-E5F9-4143-8C15-ACB215204D75}">
      <text>
        <r>
          <rPr>
            <sz val="11"/>
            <color theme="1"/>
            <rFont val="Aptos Narrow"/>
            <family val="2"/>
            <scheme val="minor"/>
          </rPr>
          <t>Unknown User:
HIGH POWERED SUCTION &amp; ACID TREATMENT</t>
        </r>
      </text>
    </comment>
    <comment ref="G1364" authorId="0" shapeId="0" xr:uid="{92A26C2F-8CAD-4586-807C-DEC296B302ED}">
      <text>
        <r>
          <rPr>
            <sz val="11"/>
            <color theme="1"/>
            <rFont val="Aptos Narrow"/>
            <family val="2"/>
            <scheme val="minor"/>
          </rPr>
          <t>Unknown User:
SUPPLY &amp; INSTALLATION OF COLOUR SQAURE DOWNPIPE</t>
        </r>
      </text>
    </comment>
    <comment ref="G1365" authorId="0" shapeId="0" xr:uid="{B93EA59B-63CE-4107-9491-07B07CB20388}">
      <text>
        <r>
          <rPr>
            <sz val="11"/>
            <color theme="1"/>
            <rFont val="Aptos Narrow"/>
            <family val="2"/>
            <scheme val="minor"/>
          </rPr>
          <t xml:space="preserve">Unknown User:
FLOOD, DYE, PRESSURE TEST (WET AREA)
</t>
        </r>
      </text>
    </comment>
    <comment ref="G1366" authorId="0" shapeId="0" xr:uid="{83885BA5-2B8E-4EBA-AEBD-F2D9EE3AD972}">
      <text>
        <r>
          <rPr>
            <sz val="11"/>
            <color theme="1"/>
            <rFont val="Aptos Narrow"/>
            <family val="2"/>
            <scheme val="minor"/>
          </rPr>
          <t>Unknown User:
SUPPLY &amp; INSTALLATION OF NEW HOT &amp; COLD EMERGENCY ISOLATION VALVE (COMBO)</t>
        </r>
      </text>
    </comment>
    <comment ref="M1366" authorId="0" shapeId="0" xr:uid="{BAE0B249-5C61-4021-A991-858F763028AE}">
      <text>
        <r>
          <rPr>
            <sz val="11"/>
            <color theme="1"/>
            <rFont val="Aptos Narrow"/>
            <family val="2"/>
            <scheme val="minor"/>
          </rPr>
          <t>Unknown User:
Smartpay receipt of $95.04 not uploaded by plumber.
Uploaded by Modoras team.</t>
        </r>
      </text>
    </comment>
    <comment ref="V1366" authorId="0" shapeId="0" xr:uid="{D9CEFF44-6C93-41E1-A29B-CE90BA0BD168}">
      <text>
        <r>
          <rPr>
            <sz val="11"/>
            <color theme="1"/>
            <rFont val="Aptos Narrow"/>
            <family val="2"/>
            <scheme val="minor"/>
          </rPr>
          <t>Unknown User:
Short receipt by $0.36</t>
        </r>
      </text>
    </comment>
    <comment ref="G1367" authorId="0" shapeId="0" xr:uid="{C5F1BDE4-9312-4FCD-B859-33A469E2A721}">
      <text>
        <r>
          <rPr>
            <sz val="11"/>
            <color theme="1"/>
            <rFont val="Aptos Narrow"/>
            <family val="2"/>
            <scheme val="minor"/>
          </rPr>
          <t>Unknown User:
REPLACEMENT OF BASIN SET</t>
        </r>
      </text>
    </comment>
    <comment ref="G1368" authorId="0" shapeId="0" xr:uid="{C74EFCDB-9309-46D3-A121-634D372424D3}">
      <text>
        <r>
          <rPr>
            <sz val="11"/>
            <color theme="1"/>
            <rFont val="Aptos Narrow"/>
            <family val="2"/>
            <scheme val="minor"/>
          </rPr>
          <t>Unknown User:
WATER SERVICE RECTIFICATION (IN GROUND)</t>
        </r>
      </text>
    </comment>
    <comment ref="M1368" authorId="0" shapeId="0" xr:uid="{5210C34F-959C-45F1-9E8F-AB5A5C53FE1C}">
      <text>
        <r>
          <rPr>
            <sz val="11"/>
            <color theme="1"/>
            <rFont val="Aptos Narrow"/>
            <family val="2"/>
            <scheme val="minor"/>
          </rPr>
          <t>Unknown User:
Smartpay receipt of $125.18 not uploaded by plumber.
Uploaded by Modoras team.</t>
        </r>
      </text>
    </comment>
    <comment ref="G1369" authorId="0" shapeId="0" xr:uid="{4220C23F-A9F2-4FAE-93EE-4E2A1C874DE5}">
      <text>
        <r>
          <rPr>
            <sz val="11"/>
            <color theme="1"/>
            <rFont val="Aptos Narrow"/>
            <family val="2"/>
            <scheme val="minor"/>
          </rPr>
          <t>Unknown User:
SUPPLY AND INSTALLATION OF EMERGENCY SHUT-OFF DEVICE
$85+GST Non-refundable call out fee</t>
        </r>
      </text>
    </comment>
    <comment ref="G1370" authorId="0" shapeId="0" xr:uid="{280AD141-E3DC-43A5-8F19-F326E503FF97}">
      <text>
        <r>
          <rPr>
            <sz val="11"/>
            <color theme="1"/>
            <rFont val="Aptos Narrow"/>
            <family val="2"/>
            <scheme val="minor"/>
          </rPr>
          <t>Unknown User:
HIGH POWERED JET BLAST &amp; CCTV DRAIN CAMERA INSPECTION (SEWER SERVICE) 
10% Seniors &amp; Pensioners Discount</t>
        </r>
      </text>
    </comment>
    <comment ref="G1371" authorId="0" shapeId="0" xr:uid="{14C6E8EA-EC2A-419B-8BF9-C9AE13338020}">
      <text>
        <r>
          <rPr>
            <sz val="11"/>
            <color theme="1"/>
            <rFont val="Aptos Narrow"/>
            <family val="2"/>
            <scheme val="minor"/>
          </rPr>
          <t>Unknown User:
SUPPLY &amp; INSTALLATION OF NEW ARCO HOSE TAP – ¼ TURN HOSE TAPS TO REPLACE EXISTING HOSE TAP
$65 First Service Discount</t>
        </r>
      </text>
    </comment>
    <comment ref="M1371" authorId="0" shapeId="0" xr:uid="{04444CC0-3091-417F-81B8-C0567C85035E}">
      <text>
        <r>
          <rPr>
            <sz val="11"/>
            <color theme="1"/>
            <rFont val="Aptos Narrow"/>
            <family val="2"/>
            <scheme val="minor"/>
          </rPr>
          <t>Unknown User:
Smartpay receipt of $68 &amp; $609.60 are not uploaded by plumber.
Uploaded by Modoras team.</t>
        </r>
      </text>
    </comment>
    <comment ref="G1372" authorId="0" shapeId="0" xr:uid="{B4A101DC-E59E-4C5D-AF76-2B823A5E363D}">
      <text>
        <r>
          <rPr>
            <sz val="11"/>
            <color theme="1"/>
            <rFont val="Aptos Narrow"/>
            <family val="2"/>
            <scheme val="minor"/>
          </rPr>
          <t>Unknown User:
DECOMMISSION OF EXISTING DISHWASHER &amp; MAKE SAFE</t>
        </r>
      </text>
    </comment>
    <comment ref="M1372" authorId="0" shapeId="0" xr:uid="{264469DF-7453-4F62-BBE4-BBD79B68DDCE}">
      <text>
        <r>
          <rPr>
            <sz val="11"/>
            <color theme="1"/>
            <rFont val="Aptos Narrow"/>
            <family val="2"/>
            <scheme val="minor"/>
          </rPr>
          <t>Unknown User:
Podium receipt of $93.50 not available in portal. Office person to confirm</t>
        </r>
      </text>
    </comment>
    <comment ref="Q1372" authorId="0" shapeId="0" xr:uid="{0E5FC3B9-2EA8-4265-B25F-99F9330C2AE1}">
      <text>
        <r>
          <rPr>
            <sz val="11"/>
            <color theme="1"/>
            <rFont val="Aptos Narrow"/>
            <family val="2"/>
            <scheme val="minor"/>
          </rPr>
          <t>Unknown User:
Final invoice to be raised by office person</t>
        </r>
      </text>
    </comment>
    <comment ref="G1373" authorId="0" shapeId="0" xr:uid="{00BF1792-985D-4F66-870C-0390B9C30BFD}">
      <text>
        <r>
          <rPr>
            <sz val="11"/>
            <color theme="1"/>
            <rFont val="Aptos Narrow"/>
            <family val="2"/>
            <scheme val="minor"/>
          </rPr>
          <t>Unknown User:
CUSTOMER SUPPLIED AND INSTALLATION OF LTV575 20MM T&amp;PR VALVE</t>
        </r>
      </text>
    </comment>
    <comment ref="S1373" authorId="0" shapeId="0" xr:uid="{AA8A8CC5-E1DE-4D47-8199-BF684B5AFABA}">
      <text>
        <r>
          <rPr>
            <sz val="11"/>
            <color theme="1"/>
            <rFont val="Aptos Narrow"/>
            <family val="2"/>
            <scheme val="minor"/>
          </rPr>
          <t>Unknown User:
Signed invoice not emailed</t>
        </r>
      </text>
    </comment>
    <comment ref="G1374" authorId="0" shapeId="0" xr:uid="{4F26E476-05C4-41FA-B01C-5F403FF69962}">
      <text>
        <r>
          <rPr>
            <sz val="11"/>
            <color theme="1"/>
            <rFont val="Aptos Narrow"/>
            <family val="2"/>
            <scheme val="minor"/>
          </rPr>
          <t>Unknown User:
REPLACEMENT OF BOTTOM INLET CISTERN FILLING VALVE
$65 First Service Discount</t>
        </r>
      </text>
    </comment>
    <comment ref="W1374" authorId="0" shapeId="0" xr:uid="{09704734-E552-403E-87DF-0B516A5E6EEA}">
      <text>
        <r>
          <rPr>
            <sz val="11"/>
            <color theme="1"/>
            <rFont val="Aptos Narrow"/>
            <family val="2"/>
            <scheme val="minor"/>
          </rPr>
          <t>Unknown User:
Cash denomination
$50*16=$800
$10*2=$20
Coins
$2*2=$4
Total cash=$824</t>
        </r>
      </text>
    </comment>
    <comment ref="G1375" authorId="0" shapeId="0" xr:uid="{A23F1035-0372-47A8-A98B-5C5FB89C9233}">
      <text>
        <r>
          <rPr>
            <sz val="11"/>
            <color theme="1"/>
            <rFont val="Aptos Narrow"/>
            <family val="2"/>
            <scheme val="minor"/>
          </rPr>
          <t>Unknown User:
STORM WATER SPOT RECTIFICATION IN GROUND</t>
        </r>
      </text>
    </comment>
    <comment ref="V1375" authorId="0" shapeId="0" xr:uid="{A6D2F449-5C7C-4A7C-A4C0-4DCBA835ADE0}">
      <text>
        <r>
          <rPr>
            <sz val="11"/>
            <color theme="1"/>
            <rFont val="Aptos Narrow"/>
            <family val="2"/>
            <scheme val="minor"/>
          </rPr>
          <t>Unknown User:
Short receipt by $3</t>
        </r>
      </text>
    </comment>
    <comment ref="G1380" authorId="0" shapeId="0" xr:uid="{CCE61EE2-18DA-4A21-BB24-E1F1B1443420}">
      <text>
        <r>
          <rPr>
            <sz val="11"/>
            <color theme="1"/>
            <rFont val="Aptos Narrow"/>
            <family val="2"/>
            <scheme val="minor"/>
          </rPr>
          <t>Unknown User:
SEARCH &amp; INVESTIGATION OF SINGLE STOREY ROOF OF POTENTIAL LEAK 
10% Seniors &amp; Pensioners Discount</t>
        </r>
      </text>
    </comment>
    <comment ref="G1381" authorId="0" shapeId="0" xr:uid="{2BF66E12-3032-434D-BBD9-FE3E3CB34A31}">
      <text>
        <r>
          <rPr>
            <sz val="11"/>
            <color theme="1"/>
            <rFont val="Aptos Narrow"/>
            <family val="2"/>
            <scheme val="minor"/>
          </rPr>
          <t xml:space="preserve">Unknown User:
HIGH POWERED JET BLAST &amp; CCTV DRAIN CAMERA INSPECTION (SEWER SERVICE) </t>
        </r>
      </text>
    </comment>
    <comment ref="W1381" authorId="0" shapeId="0" xr:uid="{FD382999-D9FE-4281-9141-ED7B15E2663B}">
      <text>
        <r>
          <rPr>
            <sz val="11"/>
            <color theme="1"/>
            <rFont val="Aptos Narrow"/>
            <family val="2"/>
            <scheme val="minor"/>
          </rPr>
          <t>Unknown User:
Cash denomination
$100*1=$100
$50*1=$50
$100*11=$1100
Total cash=$1250
Short receipt by $1.80</t>
        </r>
      </text>
    </comment>
    <comment ref="G1382" authorId="0" shapeId="0" xr:uid="{6DDFFE0F-6D54-49A0-A602-63FBD5B809EA}">
      <text>
        <r>
          <rPr>
            <sz val="11"/>
            <color theme="1"/>
            <rFont val="Aptos Narrow"/>
            <family val="2"/>
            <scheme val="minor"/>
          </rPr>
          <t xml:space="preserve">Unknown User:
$85+GST Non-refundable call out fee
SEARCH &amp; INVESTIGATION OF MACERATOR PUMP
</t>
        </r>
      </text>
    </comment>
    <comment ref="G1386" authorId="0" shapeId="0" xr:uid="{A3B0BD23-2858-4CB9-9FE2-E80757FFE112}">
      <text>
        <r>
          <rPr>
            <sz val="11"/>
            <color theme="1"/>
            <rFont val="Aptos Narrow"/>
            <family val="2"/>
            <scheme val="minor"/>
          </rPr>
          <t>Unknown User:
REPLACEMENT OF EXISTING OVERFLOW GULLY &amp; SECTION OF MAIN SEWER SERVICE (UNDER CONCRETE)
10% Good Will Discount
CREDIT HIGH POWERED JETBLAST &amp; CCTV CAMERA</t>
        </r>
      </text>
    </comment>
    <comment ref="W1386" authorId="0" shapeId="0" xr:uid="{583F3770-274E-4862-AE72-6F8F7C730D18}">
      <text>
        <r>
          <rPr>
            <sz val="11"/>
            <color theme="1"/>
            <rFont val="Aptos Narrow"/>
            <family val="2"/>
            <scheme val="minor"/>
          </rPr>
          <t>Unknown User:
Cash denomination
$100*30=$3000
50*20=$1000
Total cash=$4000
20/10-Cash receipt of $3500 observed ($100*35 notes)
23/10-Cash denomination
$100*30=$3000
$50*6=$300
Coin=$2*1=$2
Total cash=$3302-Received by Riley</t>
        </r>
      </text>
    </comment>
    <comment ref="G1391" authorId="0" shapeId="0" xr:uid="{9C694136-64B1-4A90-A110-DFA8104C4FA6}">
      <text>
        <r>
          <rPr>
            <sz val="11"/>
            <color theme="1"/>
            <rFont val="Aptos Narrow"/>
            <family val="2"/>
            <scheme val="minor"/>
          </rPr>
          <t>Unknown User:
REPLACEMENT OF EXISTING OVERFLOW GULLY &amp; UP TO 1.5M OF MAIN SEWER SERVICE (UNDER CONCRETE)</t>
        </r>
      </text>
    </comment>
    <comment ref="V1391" authorId="0" shapeId="0" xr:uid="{80820B92-4FE2-40E3-94E6-59C6BB54CB2D}">
      <text>
        <r>
          <rPr>
            <sz val="11"/>
            <color theme="1"/>
            <rFont val="Aptos Narrow"/>
            <family val="2"/>
            <scheme val="minor"/>
          </rPr>
          <t>Unknown User:
07/08 Received $3500 EFT
05/08 Received $2000 EFT</t>
        </r>
      </text>
    </comment>
    <comment ref="G1392" authorId="0" shapeId="0" xr:uid="{B3C0B3D9-39CD-4D25-B4DB-08270A5D242A}">
      <text>
        <r>
          <rPr>
            <sz val="11"/>
            <color theme="1"/>
            <rFont val="Aptos Narrow"/>
            <family val="2"/>
            <scheme val="minor"/>
          </rPr>
          <t>Unknown User:
SEWER SPOT DIG - IN GROUND
10% Loyalty Discount
$89 Blocked Drains Discount</t>
        </r>
      </text>
    </comment>
    <comment ref="U1392" authorId="0" shapeId="0" xr:uid="{B3E62EB0-5F8E-4B03-9408-BBB7AA3B5074}">
      <text>
        <r>
          <rPr>
            <sz val="11"/>
            <color theme="1"/>
            <rFont val="Aptos Narrow"/>
            <family val="2"/>
            <scheme val="minor"/>
          </rPr>
          <t>Unknown User:
29/8-As per Vitori's note "called cust left vm to call us back to adv when we can reattend as we cannot go today due to plumber going home ill"
27/8-As per Kris's note "DOING A CCTV TO SHOW THE CUSTOMER AGAIN! QUOTED THIS DIG YESTERDAY AND TOLD THEM ITS OFFLINE AND NOT TO USE IT. MAYBE NOW THEY WILL GET THE PICTURE"</t>
        </r>
      </text>
    </comment>
    <comment ref="V1392" authorId="0" shapeId="0" xr:uid="{E110E38E-F660-4006-85DA-44A74E48FF04}">
      <text>
        <r>
          <rPr>
            <sz val="11"/>
            <color theme="1"/>
            <rFont val="Aptos Narrow"/>
            <family val="2"/>
            <scheme val="minor"/>
          </rPr>
          <t>Unknown User:
8/9-EFT of $9000 &amp; $358.56 initiated</t>
        </r>
      </text>
    </comment>
    <comment ref="A1393" authorId="73" shapeId="0" xr:uid="{5876FBD7-3592-4EFD-A3D5-1F6C53520D96}">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393" authorId="0" shapeId="0" xr:uid="{88251301-0BEA-4BDC-A567-B4274691824D}">
      <text>
        <r>
          <rPr>
            <sz val="11"/>
            <color theme="1"/>
            <rFont val="Aptos Narrow"/>
            <family val="2"/>
            <scheme val="minor"/>
          </rPr>
          <t xml:space="preserve">Unknown User:
DISCONNECT &amp; RECONNECT ELECTRIC STORAGE HWS
Isolate power supply to electric storage unit
Isolate water supply to property
Disconnect plumbing to existing electric storage unit
Disconnect electrical supply to electric hot water unit
Drain electric storage unit
Removal of existing section of cold-water service connecting to electric storage unit
Removal of existing section of hot water service connecting to electric storage unit
Removal of existing valves
Clean &amp; prepare existing connections
Supply new brass fittings to cold water service
Supply new brass fittings to hot water service
Cap off cold water service connecting to electric storage unit
Cap off hot water service connecting to electric storage unit
Decommission electric storage unit &amp; make safe
Reinstate main water supply to property
Install the customer-supplied hot water system
Supply and install a new duo valve
Supply and install a new pressure limiting valve
Supply and install a new tempering valve
Install a new pressure relief valve
Supply and install a new pressure relief valve drain in copper, ensuring compliance
with AS/3500
Supply and install new brass fittings
Supply and install new B-press fittings
Reconfigure the cold-water service to suit the new electric storage system
Reconfigure the hot water service to suit the new electric storage system
Supply and install a new section of the cold-water copper service
Supply and install a new section of the hot water copper service
Reconnect the cold-water service to the new electric hot water system
Reconnect the hot water service to the new electric hot water system
Reconnect the power supply to the new electric hot water system
Reinstate the main water supply to the property
Test and commission the installation
Remove trade waste
</t>
        </r>
      </text>
    </comment>
    <comment ref="P1393" authorId="0" shapeId="0" xr:uid="{07BBCB55-3749-4206-B0D5-1D05994D4D74}">
      <text>
        <r>
          <rPr>
            <sz val="11"/>
            <color theme="1"/>
            <rFont val="Aptos Narrow"/>
            <family val="2"/>
            <scheme val="minor"/>
          </rPr>
          <t>Unknown User:
Quote not Emailed</t>
        </r>
      </text>
    </comment>
    <comment ref="A1394" authorId="28" shapeId="0" xr:uid="{017048F9-B27E-410E-9659-EE0E33A9C736}">
      <text>
        <r>
          <rPr>
            <sz val="11"/>
            <color theme="1"/>
            <rFont val="Aptos Narrow"/>
            <family val="2"/>
            <scheme val="minor"/>
          </rPr>
          <t>Accounts | Australia Trades:
Tiling Invoice</t>
        </r>
      </text>
    </comment>
    <comment ref="G1394" authorId="0" shapeId="0" xr:uid="{7CCEB7F8-99EC-4C20-A7C3-9A1C880ECA02}">
      <text>
        <r>
          <rPr>
            <sz val="11"/>
            <color theme="1"/>
            <rFont val="Aptos Narrow"/>
            <family val="2"/>
            <scheme val="minor"/>
          </rPr>
          <t xml:space="preserve">Unknown User:
REPLACEMENT OF IN WALL MIXER W/DIVERTER
</t>
        </r>
      </text>
    </comment>
    <comment ref="N1394" authorId="0" shapeId="0" xr:uid="{F19C8380-C1A3-4234-BAA9-802D808E61C2}">
      <text>
        <r>
          <rPr>
            <sz val="11"/>
            <color theme="1"/>
            <rFont val="Aptos Narrow"/>
            <family val="2"/>
            <scheme val="minor"/>
          </rPr>
          <t>Unknown User:
Quote not raised due to technical issue in ServiceTitan.</t>
        </r>
      </text>
    </comment>
    <comment ref="G1395" authorId="0" shapeId="0" xr:uid="{460A6DAF-76DE-4EE9-9222-249771A8AF92}">
      <text>
        <r>
          <rPr>
            <sz val="11"/>
            <color theme="1"/>
            <rFont val="Aptos Narrow"/>
            <family val="2"/>
            <scheme val="minor"/>
          </rPr>
          <t>Unknown User:
SUPPLY &amp; INSTALLATION OF NEW COPPER GAS SERVICE UP TO 18M (REPLACEMENT OF EXISTING GALVANISED GAS SERVICE)
CREDIT</t>
        </r>
      </text>
    </comment>
    <comment ref="N1395" authorId="0" shapeId="0" xr:uid="{A6CA4B1A-0A77-4836-B91A-BA9D8AC0AB7F}">
      <text>
        <r>
          <rPr>
            <sz val="11"/>
            <color theme="1"/>
            <rFont val="Aptos Narrow"/>
            <family val="2"/>
            <scheme val="minor"/>
          </rPr>
          <t>Unknown User:
Quote raised in Job #73515</t>
        </r>
      </text>
    </comment>
    <comment ref="T1395" authorId="0" shapeId="0" xr:uid="{2BE4E3A3-290E-4AE0-8174-5B5362184614}">
      <text>
        <r>
          <rPr>
            <sz val="11"/>
            <color theme="1"/>
            <rFont val="Aptos Narrow"/>
            <family val="2"/>
            <scheme val="minor"/>
          </rPr>
          <t>Unknown User:
1x Will Dower</t>
        </r>
      </text>
    </comment>
    <comment ref="A1396" authorId="74" shapeId="0" xr:uid="{AD3A20B9-9941-43FD-A472-FAB5A7924297}">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396" authorId="0" shapeId="0" xr:uid="{27893519-B873-471A-A680-EEA8B20788AC}">
      <text>
        <r>
          <rPr>
            <sz val="11"/>
            <color theme="1"/>
            <rFont val="Aptos Narrow"/>
            <family val="2"/>
            <scheme val="minor"/>
          </rPr>
          <t>Unknown User:
REPLACEMENT OF SEWER SHAFT (UNDER CONCRETE)
CREDIT OF SEARCH &amp; INVESTIGATION</t>
        </r>
      </text>
    </comment>
    <comment ref="K1396" authorId="0" shapeId="0" xr:uid="{02DC5E17-22B1-4A39-A863-258DD85FF3C8}">
      <text>
        <r>
          <rPr>
            <sz val="11"/>
            <color theme="1"/>
            <rFont val="Aptos Narrow"/>
            <family val="2"/>
            <scheme val="minor"/>
          </rPr>
          <t>Unknown User:
Previous job #74052 pics considered.</t>
        </r>
      </text>
    </comment>
    <comment ref="V1396" authorId="0" shapeId="0" xr:uid="{53602CB1-816B-4F21-A4A8-9103CDD7AF71}">
      <text>
        <r>
          <rPr>
            <sz val="11"/>
            <color theme="1"/>
            <rFont val="Aptos Narrow"/>
            <family val="2"/>
            <scheme val="minor"/>
          </rPr>
          <t>Unknown User:
15/10-Received $11559.20 by EFT</t>
        </r>
      </text>
    </comment>
    <comment ref="A1397" authorId="75" shapeId="0" xr:uid="{C3130A65-145C-4C4B-B94D-E7A4DCBC351F}">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397" authorId="0" shapeId="0" xr:uid="{0D0625D2-468E-4123-ABE3-B228062D7F6B}">
      <text>
        <r>
          <rPr>
            <sz val="11"/>
            <color theme="1"/>
            <rFont val="Aptos Narrow"/>
            <family val="2"/>
            <scheme val="minor"/>
          </rPr>
          <t>Unknown User:
WATER SERVICE RECTIFICATION (IN CONCRETE)
10% Seniors &amp; Pensioners Discount</t>
        </r>
      </text>
    </comment>
    <comment ref="M1397" authorId="0" shapeId="0" xr:uid="{BEB8C3A5-6402-445B-932E-74C287458AAC}">
      <text>
        <r>
          <rPr>
            <sz val="11"/>
            <color theme="1"/>
            <rFont val="Aptos Narrow"/>
            <family val="2"/>
            <scheme val="minor"/>
          </rPr>
          <t>Unknown User:
Smartpay receipt of $1409.54 not uploaded by plumber.
Uploaded by Modoras team</t>
        </r>
      </text>
    </comment>
    <comment ref="G1401" authorId="0" shapeId="0" xr:uid="{78C38725-48B4-495E-BF6E-5309FDF15E94}">
      <text>
        <r>
          <rPr>
            <sz val="11"/>
            <color theme="1"/>
            <rFont val="Aptos Narrow"/>
            <family val="2"/>
            <scheme val="minor"/>
          </rPr>
          <t>Unknown User:
SEWER SPOT DIG (UNDER CONCRETE)
CREDIT HIGH POWERED JETBLAST &amp; CCTV CAMERA</t>
        </r>
      </text>
    </comment>
    <comment ref="G1405" authorId="0" shapeId="0" xr:uid="{4A9A8BF5-27AE-4C3E-9BAA-4774A48EEB2B}">
      <text>
        <r>
          <rPr>
            <sz val="11"/>
            <color theme="1"/>
            <rFont val="Aptos Narrow"/>
            <family val="2"/>
            <scheme val="minor"/>
          </rPr>
          <t>Unknown User:
RESEAL OF SHOWER</t>
        </r>
      </text>
    </comment>
    <comment ref="G1406" authorId="0" shapeId="0" xr:uid="{4119917A-C45E-4956-85CD-83CDB004B9DA}">
      <text>
        <r>
          <rPr>
            <sz val="11"/>
            <color theme="1"/>
            <rFont val="Aptos Narrow"/>
            <family val="2"/>
            <scheme val="minor"/>
          </rPr>
          <t>Unknown User:
RELOCATION OF EXISTING 20MM WATER METER UP TO 1.5M FROM EXISTING LOCATION</t>
        </r>
      </text>
    </comment>
    <comment ref="G1407" authorId="0" shapeId="0" xr:uid="{190ABBE9-4772-4936-B81D-06F63AB21661}">
      <text>
        <r>
          <rPr>
            <sz val="11"/>
            <color theme="1"/>
            <rFont val="Aptos Narrow"/>
            <family val="2"/>
            <scheme val="minor"/>
          </rPr>
          <t>Unknown User:
SEARCH AND INVESTIGATION OF SOLAR SPLIT HOT WATER SYSTEM
$65 First Service Discount</t>
        </r>
      </text>
    </comment>
    <comment ref="G1408" authorId="0" shapeId="0" xr:uid="{D12B4E06-0761-4B9F-B5EC-C796E86D1D1E}">
      <text>
        <r>
          <rPr>
            <sz val="11"/>
            <color theme="1"/>
            <rFont val="Aptos Narrow"/>
            <family val="2"/>
            <scheme val="minor"/>
          </rPr>
          <t xml:space="preserve">Unknown User:
 VALLEY GUTTER REPLACEMENT UP TO 4M 
</t>
        </r>
      </text>
    </comment>
    <comment ref="K1408" authorId="0" shapeId="0" xr:uid="{2D4936C3-79D9-41AF-8D45-49ED90F65226}">
      <text>
        <r>
          <rPr>
            <sz val="11"/>
            <color theme="1"/>
            <rFont val="Aptos Narrow"/>
            <family val="2"/>
            <scheme val="minor"/>
          </rPr>
          <t>Unknown User:
Previous job pics uploaded</t>
        </r>
      </text>
    </comment>
    <comment ref="G1409" authorId="0" shapeId="0" xr:uid="{E16474B5-E4EF-4CD9-B337-690BE903FD62}">
      <text>
        <r>
          <rPr>
            <sz val="11"/>
            <color theme="1"/>
            <rFont val="Aptos Narrow"/>
            <family val="2"/>
            <scheme val="minor"/>
          </rPr>
          <t>Unknown User:
REPLACEMENT OF SEWER BOUNDARY TRAP
CREDIT HIGH POWERED JETBLAST &amp; CCTV CAMERA</t>
        </r>
      </text>
    </comment>
    <comment ref="K1409" authorId="0" shapeId="0" xr:uid="{4487DD58-D74C-46FC-8768-A502A90B85C4}">
      <text>
        <r>
          <rPr>
            <sz val="11"/>
            <color theme="1"/>
            <rFont val="Aptos Narrow"/>
            <family val="2"/>
            <scheme val="minor"/>
          </rPr>
          <t>Unknown User:
Previous job pics uploaded</t>
        </r>
      </text>
    </comment>
    <comment ref="G1411" authorId="0" shapeId="0" xr:uid="{D08B595D-E58E-479F-8A01-529A36F9ADDC}">
      <text>
        <r>
          <rPr>
            <sz val="11"/>
            <color theme="1"/>
            <rFont val="Aptos Narrow"/>
            <family val="2"/>
            <scheme val="minor"/>
          </rPr>
          <t>Unknown User:
SEARCH AND INVESTIGATION OF SOLAR SPLIT HOT WATER SYSTEM
$65 First Service Discount</t>
        </r>
      </text>
    </comment>
    <comment ref="G1412" authorId="0" shapeId="0" xr:uid="{63630E0F-7402-4B4C-9EBF-629D22E95509}">
      <text>
        <r>
          <rPr>
            <sz val="11"/>
            <color theme="1"/>
            <rFont val="Aptos Narrow"/>
            <family val="2"/>
            <scheme val="minor"/>
          </rPr>
          <t>Unknown User:
HIGH POWERED SUCTION PUMP</t>
        </r>
      </text>
    </comment>
    <comment ref="G1413" authorId="0" shapeId="0" xr:uid="{73317048-046E-4FD0-B326-87C334E642F5}">
      <text>
        <r>
          <rPr>
            <sz val="11"/>
            <color theme="1"/>
            <rFont val="Aptos Narrow"/>
            <family val="2"/>
            <scheme val="minor"/>
          </rPr>
          <t>Unknown User:
COMPLETE SERVICE OF TOILET CISTERN
$65 First Service Discount</t>
        </r>
      </text>
    </comment>
    <comment ref="G1414" authorId="0" shapeId="0" xr:uid="{F9C7D4CC-1B66-46E1-8355-329B41042A68}">
      <text>
        <r>
          <rPr>
            <sz val="11"/>
            <color theme="1"/>
            <rFont val="Aptos Narrow"/>
            <family val="2"/>
            <scheme val="minor"/>
          </rPr>
          <t>Unknown User:
MIXER TAP - GOOSE NECK
$65 First Service Discount</t>
        </r>
      </text>
    </comment>
    <comment ref="G1415" authorId="0" shapeId="0" xr:uid="{5AD6D86B-31DC-408F-800D-4E047E92BF0C}">
      <text>
        <r>
          <rPr>
            <sz val="11"/>
            <color theme="1"/>
            <rFont val="Aptos Narrow"/>
            <family val="2"/>
            <scheme val="minor"/>
          </rPr>
          <t xml:space="preserve">Unknown User:
SEARCH &amp; INVESTIGATION OF IN WALL MIXER
</t>
        </r>
      </text>
    </comment>
    <comment ref="G1416" authorId="0" shapeId="0" xr:uid="{D1846692-E797-40E3-BEA3-2F149104E9B0}">
      <text>
        <r>
          <rPr>
            <sz val="11"/>
            <color theme="1"/>
            <rFont val="Aptos Narrow"/>
            <family val="2"/>
            <scheme val="minor"/>
          </rPr>
          <t>Unknown User:
SUPPLY &amp; INSTALLATION OF COMPLETE VALVE KIT TO GAS STORAGE HOT WATER SYSTEM
$65 First Service Discount
10% Good Will Discount</t>
        </r>
      </text>
    </comment>
    <comment ref="G1417" authorId="0" shapeId="0" xr:uid="{8A2144CC-5B6A-45DB-AB73-ADD042D6C817}">
      <text>
        <r>
          <rPr>
            <sz val="11"/>
            <color theme="1"/>
            <rFont val="Aptos Narrow"/>
            <family val="2"/>
            <scheme val="minor"/>
          </rPr>
          <t xml:space="preserve">Unknown User:
RELOCATION OF EXISTING 2X 20MM WATER METERS UP TO 1.5M FROM EXISTING LOCATIONS </t>
        </r>
      </text>
    </comment>
    <comment ref="D1418" authorId="0" shapeId="0" xr:uid="{8D965D09-16E9-4E65-A999-512FC1F85942}">
      <text>
        <r>
          <rPr>
            <sz val="11"/>
            <color theme="1"/>
            <rFont val="Aptos Narrow"/>
            <family val="2"/>
            <scheme val="minor"/>
          </rPr>
          <t>Unknown User:
Job dismissed on 17/10 &amp; customer accepted the quote for same value on 20/10</t>
        </r>
      </text>
    </comment>
    <comment ref="G1418" authorId="0" shapeId="0" xr:uid="{B4A0B040-1348-4A20-AA15-9A46E8A59C4E}">
      <text>
        <r>
          <rPr>
            <sz val="11"/>
            <color theme="1"/>
            <rFont val="Aptos Narrow"/>
            <family val="2"/>
            <scheme val="minor"/>
          </rPr>
          <t>Unknown User:
SEARCH AND INVESTIGATION OF SOLAR SPLIT HOT WATER SYSTEM</t>
        </r>
      </text>
    </comment>
    <comment ref="E1442" authorId="76" shapeId="0" xr:uid="{3CE42443-DBF3-4A4C-8798-509EDE16D6E1}">
      <text>
        <t>[Threaded comment]
Your version of Excel allows you to read this threaded comment; however, any edits to it will get removed if the file is opened in a newer version of Excel. Learn more: https://go.microsoft.com/fwlink/?linkid=870924
Comment:
    Stock</t>
      </text>
    </comment>
    <comment ref="E1443" authorId="77" shapeId="0" xr:uid="{8D415C25-9392-41EE-8BF6-5014DAC4ADEE}">
      <text>
        <t>[Threaded comment]
Your version of Excel allows you to read this threaded comment; however, any edits to it will get removed if the file is opened in a newer version of Excel. Learn more: https://go.microsoft.com/fwlink/?linkid=870924
Comment:
    Stock</t>
      </text>
    </comment>
    <comment ref="E1444" authorId="78" shapeId="0" xr:uid="{EE1A5374-2F06-402B-8977-176310F52C69}">
      <text>
        <t>[Threaded comment]
Your version of Excel allows you to read this threaded comment; however, any edits to it will get removed if the file is opened in a newer version of Excel. Learn more: https://go.microsoft.com/fwlink/?linkid=870924
Comment:
    Checked</t>
      </text>
    </comment>
    <comment ref="D1453" authorId="0" shapeId="0" xr:uid="{2633E889-AA2D-458A-AB93-3B32BEBC5663}">
      <text>
        <r>
          <rPr>
            <sz val="11"/>
            <color theme="1"/>
            <rFont val="Aptos Narrow"/>
            <family val="2"/>
            <scheme val="minor"/>
          </rPr>
          <t>Unknown User:
Job dismissed on 17/10 &amp; customer accepted the quote for same value on 20/10</t>
        </r>
      </text>
    </comment>
    <comment ref="G1453" authorId="0" shapeId="0" xr:uid="{35A841F0-5EF6-4D1A-8E0D-A1A90B158A99}">
      <text>
        <r>
          <rPr>
            <sz val="11"/>
            <color theme="1"/>
            <rFont val="Aptos Narrow"/>
            <family val="2"/>
            <scheme val="minor"/>
          </rPr>
          <t xml:space="preserve">Unknown User:
SEARCH AND INVESTIGATION OF SOLAR SPLIT HOT WATER SYSTEM
</t>
        </r>
      </text>
    </comment>
    <comment ref="G1454" authorId="0" shapeId="0" xr:uid="{8986C9F0-3936-42FD-BCE4-2B5F7D34CE5D}">
      <text>
        <r>
          <rPr>
            <sz val="11"/>
            <color theme="1"/>
            <rFont val="Aptos Narrow"/>
            <family val="2"/>
            <scheme val="minor"/>
          </rPr>
          <t>Unknown User:
COMPLETE SERVICE OF WALL TOP TAPS ASSEMBLY</t>
        </r>
      </text>
    </comment>
    <comment ref="L1454" authorId="0" shapeId="0" xr:uid="{A2B6DEA9-BD9C-4FA7-BB28-D087002F03C6}">
      <text>
        <r>
          <rPr>
            <sz val="11"/>
            <color theme="1"/>
            <rFont val="Aptos Narrow"/>
            <family val="2"/>
            <scheme val="minor"/>
          </rPr>
          <t>Unknown User:
After pics are not uploaded</t>
        </r>
      </text>
    </comment>
    <comment ref="G1455" authorId="0" shapeId="0" xr:uid="{EBE5AF06-AA95-46ED-A166-90120EC88626}">
      <text>
        <r>
          <rPr>
            <sz val="11"/>
            <color theme="1"/>
            <rFont val="Aptos Narrow"/>
            <family val="2"/>
            <scheme val="minor"/>
          </rPr>
          <t xml:space="preserve">Unknown User:
REPLACEMENT OF WALL SINK TAP TOPS AND SPOUT
</t>
        </r>
      </text>
    </comment>
    <comment ref="G1456" authorId="0" shapeId="0" xr:uid="{25F35879-2F4E-4867-9F18-0F1246FAF7D4}">
      <text>
        <r>
          <rPr>
            <sz val="11"/>
            <color theme="1"/>
            <rFont val="Aptos Narrow"/>
            <family val="2"/>
            <scheme val="minor"/>
          </rPr>
          <t>Unknown User:
RECTIFICATION OF WATER METER (IN GROUND)</t>
        </r>
      </text>
    </comment>
    <comment ref="U1456" authorId="0" shapeId="0" xr:uid="{39D46E84-3876-430C-BC1C-A12DC3560F9F}">
      <text>
        <r>
          <rPr>
            <sz val="11"/>
            <color theme="1"/>
            <rFont val="Aptos Narrow"/>
            <family val="2"/>
            <scheme val="minor"/>
          </rPr>
          <t>Unknown User:
21/10-As per Amalia's note "customer called advising water comes out brown, advised to let water run to see if it clears through. Will call back if problem not solved"</t>
        </r>
      </text>
    </comment>
    <comment ref="G1457" authorId="0" shapeId="0" xr:uid="{613AFCB6-6F52-461F-89FD-FD6E8F2DECF6}">
      <text>
        <r>
          <rPr>
            <sz val="11"/>
            <color theme="1"/>
            <rFont val="Aptos Narrow"/>
            <family val="2"/>
            <scheme val="minor"/>
          </rPr>
          <t>Unknown User:
SEARCH &amp; INVESTIGATION OF POTENTIAL GAS LEAK
10% Seniors &amp; Pensioners Discount</t>
        </r>
      </text>
    </comment>
    <comment ref="S1457" authorId="0" shapeId="0" xr:uid="{4B965D5A-AE4B-43B2-9FAB-83617199C45E}">
      <text>
        <r>
          <rPr>
            <sz val="11"/>
            <color theme="1"/>
            <rFont val="Aptos Narrow"/>
            <family val="2"/>
            <scheme val="minor"/>
          </rPr>
          <t>Unknown User:
Signed zero due invoice not emailed</t>
        </r>
      </text>
    </comment>
    <comment ref="V1457" authorId="0" shapeId="0" xr:uid="{6CFA876F-DECD-4DB8-9DE7-C7F812BC1829}">
      <text>
        <r>
          <rPr>
            <sz val="11"/>
            <color theme="1"/>
            <rFont val="Aptos Narrow"/>
            <family val="2"/>
            <scheme val="minor"/>
          </rPr>
          <t>Unknown User:
Smartpay receipt of $3909.41 is split as $1123.55 for initial job #74653 &amp; as $2785.86 for upsell job #74701.</t>
        </r>
      </text>
    </comment>
    <comment ref="G1458" authorId="0" shapeId="0" xr:uid="{8BB715D5-1360-499B-81DB-2A3DCAF83061}">
      <text>
        <r>
          <rPr>
            <sz val="11"/>
            <color theme="1"/>
            <rFont val="Aptos Narrow"/>
            <family val="2"/>
            <scheme val="minor"/>
          </rPr>
          <t>Unknown User:
SUPPLY &amp; INSTALLATION OF COMPLETE VALVE KIT TO GAS STORAGE HOT WATER SYSTEM
10% Seniors &amp; Pensioners Discount</t>
        </r>
      </text>
    </comment>
    <comment ref="N1458" authorId="0" shapeId="0" xr:uid="{7568F8EE-AC85-441A-89BE-D0E6950B51B0}">
      <text>
        <r>
          <rPr>
            <sz val="11"/>
            <color theme="1"/>
            <rFont val="Aptos Narrow"/>
            <family val="2"/>
            <scheme val="minor"/>
          </rPr>
          <t>Unknown User:
Quote raised in Job #74653</t>
        </r>
      </text>
    </comment>
    <comment ref="V1458" authorId="0" shapeId="0" xr:uid="{B33FAB62-71CA-4059-8660-1B7E7222B783}">
      <text>
        <r>
          <rPr>
            <sz val="11"/>
            <color theme="1"/>
            <rFont val="Aptos Narrow"/>
            <family val="2"/>
            <scheme val="minor"/>
          </rPr>
          <t>Unknown User:
Smartpay receipt of $3909.41 is split as $1123.55 for initial job #74653 &amp; as $2785.86 for upsell job #74701.</t>
        </r>
      </text>
    </comment>
    <comment ref="G1459" authorId="0" shapeId="0" xr:uid="{92464596-492F-4A32-9B5D-DC6043FEDBBE}">
      <text>
        <r>
          <rPr>
            <sz val="11"/>
            <color theme="1"/>
            <rFont val="Aptos Narrow"/>
            <family val="2"/>
            <scheme val="minor"/>
          </rPr>
          <t>Unknown User:
MIXER TAP - GOOSE NECK
SUPPLY AND INSTALLATION OF ISOLATION VALVE ON PUMP LINE
$85+GST Non-refundable call out fee</t>
        </r>
      </text>
    </comment>
    <comment ref="G1460" authorId="0" shapeId="0" xr:uid="{F27B0385-04AB-44E2-A9F0-5E2293149E43}">
      <text>
        <r>
          <rPr>
            <sz val="11"/>
            <color theme="1"/>
            <rFont val="Aptos Narrow"/>
            <family val="2"/>
            <scheme val="minor"/>
          </rPr>
          <t>Unknown User:
SEARCH &amp; INVESTIGATION OF GAS STORAGE HOT WATER SYSTEM</t>
        </r>
      </text>
    </comment>
    <comment ref="W1460" authorId="0" shapeId="0" xr:uid="{A4895533-B557-4A77-B337-8DBA01F40512}">
      <text>
        <r>
          <rPr>
            <sz val="11"/>
            <color theme="1"/>
            <rFont val="Aptos Narrow"/>
            <family val="2"/>
            <scheme val="minor"/>
          </rPr>
          <t>Unknown User:
Cash denomination
$20*4=$80</t>
        </r>
      </text>
    </comment>
    <comment ref="G1461" authorId="0" shapeId="0" xr:uid="{F04E3002-8F87-403B-A331-D0762B37A02E}">
      <text>
        <r>
          <rPr>
            <sz val="11"/>
            <color theme="1"/>
            <rFont val="Aptos Narrow"/>
            <family val="2"/>
            <scheme val="minor"/>
          </rPr>
          <t>Unknown User:
MIXER TAP - GOOSE NECK</t>
        </r>
      </text>
    </comment>
    <comment ref="G1462" authorId="0" shapeId="0" xr:uid="{F5041C66-9302-4F21-A4D4-A4B4F0987311}">
      <text>
        <r>
          <rPr>
            <sz val="11"/>
            <color theme="1"/>
            <rFont val="Aptos Narrow"/>
            <family val="2"/>
            <scheme val="minor"/>
          </rPr>
          <t>Unknown User:
CCTV DRAIN CAMERA INSPECTION OF SEWER SERVICE</t>
        </r>
      </text>
    </comment>
    <comment ref="M1462" authorId="0" shapeId="0" xr:uid="{1646FE6A-F749-41C6-A78B-6B8998521AE2}">
      <text>
        <r>
          <rPr>
            <sz val="11"/>
            <color theme="1"/>
            <rFont val="Aptos Narrow"/>
            <family val="2"/>
            <scheme val="minor"/>
          </rPr>
          <t>Unknown User:
Smartpay receipt of $1621.20 not uploaded by plumber.
Uploaded by Modoras team</t>
        </r>
      </text>
    </comment>
    <comment ref="V1462" authorId="0" shapeId="0" xr:uid="{3C61859A-4B76-4104-9D56-257512D263AC}">
      <text>
        <r>
          <rPr>
            <sz val="11"/>
            <color theme="1"/>
            <rFont val="Aptos Narrow"/>
            <family val="2"/>
            <scheme val="minor"/>
          </rPr>
          <t>Unknown User:
Smartpay receipt of $1621.20 is split as $674.10 for initial job #74708/88958542 &amp; as $947.10 for upsell job #74708/88959285.</t>
        </r>
      </text>
    </comment>
    <comment ref="G1463" authorId="0" shapeId="0" xr:uid="{D3D6226B-47A0-4CD9-BA0F-AF26A4455409}">
      <text>
        <r>
          <rPr>
            <sz val="11"/>
            <color theme="1"/>
            <rFont val="Aptos Narrow"/>
            <family val="2"/>
            <scheme val="minor"/>
          </rPr>
          <t>Unknown User:
HIGH POWERED JET BLAST (SEWER SERVICE)</t>
        </r>
      </text>
    </comment>
    <comment ref="M1463" authorId="0" shapeId="0" xr:uid="{41CC1F5B-5A75-4B55-946F-D85E5A8A56A9}">
      <text>
        <r>
          <rPr>
            <sz val="11"/>
            <color theme="1"/>
            <rFont val="Aptos Narrow"/>
            <family val="2"/>
            <scheme val="minor"/>
          </rPr>
          <t>Unknown User:
Smartpay receipt of $1621.20 not uploaded by plumber.
Uploaded by Modoras team</t>
        </r>
      </text>
    </comment>
    <comment ref="V1463" authorId="0" shapeId="0" xr:uid="{E81ECBE7-3A5D-4CF6-B10A-A6CA731DC72A}">
      <text>
        <r>
          <rPr>
            <sz val="11"/>
            <color theme="1"/>
            <rFont val="Aptos Narrow"/>
            <family val="2"/>
            <scheme val="minor"/>
          </rPr>
          <t>Unknown User:
Smartpay receipt of $1621.20 is split as $674.10 for initial job #74708/88958542 &amp; as $947.10 for upsell job #74708/88959285.
Overpayment by $95</t>
        </r>
      </text>
    </comment>
    <comment ref="G1464" authorId="0" shapeId="0" xr:uid="{115980C3-D924-4000-9681-DBC701CEC1C0}">
      <text>
        <r>
          <rPr>
            <sz val="11"/>
            <color theme="1"/>
            <rFont val="Aptos Narrow"/>
            <family val="2"/>
            <scheme val="minor"/>
          </rPr>
          <t>Unknown User:
REPLACEMENT OF BASIN TAPS AND SPOUT
$65 First Service Discount</t>
        </r>
      </text>
    </comment>
    <comment ref="L1464" authorId="0" shapeId="0" xr:uid="{B35F91E1-C97A-4823-BBE1-CE93F1FF8D6B}">
      <text>
        <r>
          <rPr>
            <sz val="11"/>
            <color theme="1"/>
            <rFont val="Aptos Narrow"/>
            <family val="2"/>
            <scheme val="minor"/>
          </rPr>
          <t>Unknown User:
Pics are in reverse order</t>
        </r>
      </text>
    </comment>
    <comment ref="M1464" authorId="0" shapeId="0" xr:uid="{4F115D9A-D465-4F6A-9B8C-4B3594B461CB}">
      <text>
        <r>
          <rPr>
            <sz val="11"/>
            <color theme="1"/>
            <rFont val="Aptos Narrow"/>
            <family val="2"/>
            <scheme val="minor"/>
          </rPr>
          <t>Unknown User:
Smartpay receipt of $318.67 not uploaded by plumber.
Uploaded by Modoras team</t>
        </r>
      </text>
    </comment>
    <comment ref="G1465" authorId="0" shapeId="0" xr:uid="{C4AA3F0E-A425-41E7-882D-5D2F530DDFA6}">
      <text>
        <r>
          <rPr>
            <sz val="11"/>
            <color theme="1"/>
            <rFont val="Aptos Narrow"/>
            <family val="2"/>
            <scheme val="minor"/>
          </rPr>
          <t>Unknown User:
SPECIALIST LEAK DETECTION (WATER SERVICE)
$65 First Service Discount</t>
        </r>
      </text>
    </comment>
    <comment ref="G1466" authorId="0" shapeId="0" xr:uid="{65CED748-8E36-4781-B80B-94D039B8A3EE}">
      <text>
        <r>
          <rPr>
            <sz val="11"/>
            <color theme="1"/>
            <rFont val="Aptos Narrow"/>
            <family val="2"/>
            <scheme val="minor"/>
          </rPr>
          <t xml:space="preserve">Unknown User:
SEARCH &amp; INVESTIGATION OF GAS STORAGE HOT WATER SYSTEM
</t>
        </r>
      </text>
    </comment>
    <comment ref="G1467" authorId="0" shapeId="0" xr:uid="{D199D1D0-03E1-442E-A5B0-155159968F57}">
      <text>
        <r>
          <rPr>
            <sz val="11"/>
            <color theme="1"/>
            <rFont val="Aptos Narrow"/>
            <family val="2"/>
            <scheme val="minor"/>
          </rPr>
          <t>Unknown User:
SEARCH &amp; INVESTIGATION OF GAS STORAGE HOT WATER SYSTEM
$185+GST Non-refundable call out fee</t>
        </r>
      </text>
    </comment>
    <comment ref="G1468" authorId="0" shapeId="0" xr:uid="{2D2790E2-5832-4B07-A8B8-3D4418A504D5}">
      <text>
        <r>
          <rPr>
            <sz val="11"/>
            <color theme="1"/>
            <rFont val="Aptos Narrow"/>
            <family val="2"/>
            <scheme val="minor"/>
          </rPr>
          <t>Unknown User:
SUPPLY &amp; INSTALLATION OF GAS STORAGE HOT WATER SYSTEM (EXTERNAL)
CREDIT OF SEARCH &amp; INVESTIGATION</t>
        </r>
      </text>
    </comment>
    <comment ref="Q1468" authorId="0" shapeId="0" xr:uid="{0CD3F9A1-A6AA-4D86-AC80-A3ECEBDE7B88}">
      <text>
        <r>
          <rPr>
            <sz val="11"/>
            <color theme="1"/>
            <rFont val="Aptos Narrow"/>
            <family val="2"/>
            <scheme val="minor"/>
          </rPr>
          <t>Unknown User:
Final zero due invoice not raised</t>
        </r>
      </text>
    </comment>
    <comment ref="G1469" authorId="0" shapeId="0" xr:uid="{449C6615-A41B-49A7-9FC3-30FBAFD7153A}">
      <text>
        <r>
          <rPr>
            <sz val="11"/>
            <color theme="1"/>
            <rFont val="Aptos Narrow"/>
            <family val="2"/>
            <scheme val="minor"/>
          </rPr>
          <t>Unknown User:
SUPPLY AND INSTALLATION OF WHITE PVC P TRAP TO KITCHEN SINK</t>
        </r>
      </text>
    </comment>
    <comment ref="V1469" authorId="0" shapeId="0" xr:uid="{0107A00E-8559-44C3-AD94-87D8926E7A8F}">
      <text>
        <r>
          <rPr>
            <sz val="11"/>
            <color theme="1"/>
            <rFont val="Aptos Narrow"/>
            <family val="2"/>
            <scheme val="minor"/>
          </rPr>
          <t>Unknown User:
Smartpay receipt of $1629.10 is split as $1248.28 for initial job &amp; as $1629.10 for upsell job.</t>
        </r>
      </text>
    </comment>
    <comment ref="G1470" authorId="0" shapeId="0" xr:uid="{1A4D287A-4B23-4D82-AFEB-9FECA339EC0E}">
      <text>
        <r>
          <rPr>
            <sz val="11"/>
            <color theme="1"/>
            <rFont val="Aptos Narrow"/>
            <family val="2"/>
            <scheme val="minor"/>
          </rPr>
          <t>Unknown User:
MIXER TAP - STANDARD</t>
        </r>
      </text>
    </comment>
    <comment ref="V1470" authorId="0" shapeId="0" xr:uid="{1B0DFB88-FD6A-440F-8967-32891C6A458B}">
      <text>
        <r>
          <rPr>
            <sz val="11"/>
            <color theme="1"/>
            <rFont val="Aptos Narrow"/>
            <family val="2"/>
            <scheme val="minor"/>
          </rPr>
          <t>Unknown User:
Smartpay receipt of $1629.10 is split as $1248.28 for initial job &amp; as $1629.10 for upsell job.</t>
        </r>
      </text>
    </comment>
    <comment ref="G1471" authorId="0" shapeId="0" xr:uid="{ABCD220E-B379-441F-B10A-480AB5BD9985}">
      <text>
        <r>
          <rPr>
            <sz val="11"/>
            <color theme="1"/>
            <rFont val="Aptos Narrow"/>
            <family val="2"/>
            <scheme val="minor"/>
          </rPr>
          <t>Unknown User:
SEARCH &amp; INVESTIGATION OF IN WALL MIXER
10% Seniors &amp; Pensioners Discount</t>
        </r>
      </text>
    </comment>
    <comment ref="V1471" authorId="0" shapeId="0" xr:uid="{1B8245C5-1CEA-49F0-A0D6-F6D4539983BF}">
      <text>
        <r>
          <rPr>
            <sz val="11"/>
            <color theme="1"/>
            <rFont val="Aptos Narrow"/>
            <family val="2"/>
            <scheme val="minor"/>
          </rPr>
          <t>Unknown User:
Podium receipt of $3315.54 is split as $766.39 for initial job &amp; as $2549.15 for upsell job.</t>
        </r>
      </text>
    </comment>
    <comment ref="G1472" authorId="0" shapeId="0" xr:uid="{606A21D6-021D-4DCD-B0E4-D09F7A81B8CD}">
      <text>
        <r>
          <rPr>
            <sz val="11"/>
            <color theme="1"/>
            <rFont val="Aptos Narrow"/>
            <family val="2"/>
            <scheme val="minor"/>
          </rPr>
          <t>Unknown User:
SUPPLY AND INSTALLATION OF RIGHT-ANGLED PRESSURE REGULATING DEVICE FITTED METER ASSEMBLY
10% Seniors &amp; Pensioners Discount</t>
        </r>
      </text>
    </comment>
    <comment ref="V1472" authorId="0" shapeId="0" xr:uid="{2D741438-AF86-42C9-A1C6-013818D9A939}">
      <text>
        <r>
          <rPr>
            <sz val="11"/>
            <color theme="1"/>
            <rFont val="Aptos Narrow"/>
            <family val="2"/>
            <scheme val="minor"/>
          </rPr>
          <t>Unknown User:
Podium receipt of $3315.54 is split as $766.39 for initial job &amp; as $2549.15 for upsell job.</t>
        </r>
      </text>
    </comment>
    <comment ref="G1477" authorId="0" shapeId="0" xr:uid="{2BC0C9AC-A091-45D7-A590-5E8C4FA35452}">
      <text>
        <r>
          <rPr>
            <sz val="11"/>
            <color theme="1"/>
            <rFont val="Aptos Narrow"/>
            <family val="2"/>
            <scheme val="minor"/>
          </rPr>
          <t xml:space="preserve">Unknown User:
DECOMMISSION OF EXISTING FREE STANDING OVEN AND GAS COOKTOP &amp; MAKE SAFE
$85+GST Non-refundable call out fee </t>
        </r>
      </text>
    </comment>
    <comment ref="G1481" authorId="0" shapeId="0" xr:uid="{BAF9273C-4510-4382-991B-0C7106033418}">
      <text>
        <r>
          <rPr>
            <sz val="11"/>
            <color theme="1"/>
            <rFont val="Aptos Narrow"/>
            <family val="2"/>
            <scheme val="minor"/>
          </rPr>
          <t>Unknown User:
REPLACEMENT OF EXISTING OVERFLOW GULLY &amp; UP TO 1.5M OF MAIN SEWER SERVICE (UNDER CONCRETE)</t>
        </r>
      </text>
    </comment>
    <comment ref="V1481" authorId="0" shapeId="0" xr:uid="{81A6BF67-8913-4387-AC5A-C068D0ECE6EE}">
      <text>
        <r>
          <rPr>
            <sz val="11"/>
            <color theme="1"/>
            <rFont val="Aptos Narrow"/>
            <family val="2"/>
            <scheme val="minor"/>
          </rPr>
          <t>Unknown User:
07/08 Received $3500 EFT
05/08 Received $2000 EFT</t>
        </r>
      </text>
    </comment>
    <comment ref="A1482" authorId="79" shapeId="0" xr:uid="{7F0BF887-79D0-4E73-A125-7DDD3AFEEED3}">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482" authorId="0" shapeId="0" xr:uid="{CC010C8D-0654-40FD-9909-C8AE3DA05F17}">
      <text>
        <r>
          <rPr>
            <sz val="11"/>
            <color theme="1"/>
            <rFont val="Aptos Narrow"/>
            <family val="2"/>
            <scheme val="minor"/>
          </rPr>
          <t xml:space="preserve">Unknown User:
DISCONNECT &amp; RECONNECT ELECTRIC STORAGE HWS
Isolate power supply to electric storage unit
Isolate water supply to property
Disconnect plumbing to existing electric storage unit
Disconnect electrical supply to electric hot water unit
Drain electric storage unit
Removal of existing section of cold-water service connecting to electric storage unit
Removal of existing section of hot water service connecting to electric storage unit
Removal of existing valves
Clean &amp; prepare existing connections
Supply new brass fittings to cold water service
Supply new brass fittings to hot water service
Cap off cold water service connecting to electric storage unit
Cap off hot water service connecting to electric storage unit
Decommission electric storage unit &amp; make safe
Reinstate main water supply to property
Install the customer-supplied hot water system
Supply and install a new duo valve
Supply and install a new pressure limiting valve
Supply and install a new tempering valve
Install a new pressure relief valve
Supply and install a new pressure relief valve drain in copper, ensuring compliance
with AS/3500
Supply and install new brass fittings
Supply and install new B-press fittings
Reconfigure the cold-water service to suit the new electric storage system
Reconfigure the hot water service to suit the new electric storage system
Supply and install a new section of the cold-water copper service
Supply and install a new section of the hot water copper service
Reconnect the cold-water service to the new electric hot water system
Reconnect the hot water service to the new electric hot water system
Reconnect the power supply to the new electric hot water system
Reinstate the main water supply to the property
Test and commission the installation
Remove trade waste
</t>
        </r>
      </text>
    </comment>
    <comment ref="P1482" authorId="0" shapeId="0" xr:uid="{FA3B152C-60FC-405D-BE71-EBE8134B42E9}">
      <text>
        <r>
          <rPr>
            <sz val="11"/>
            <color theme="1"/>
            <rFont val="Aptos Narrow"/>
            <family val="2"/>
            <scheme val="minor"/>
          </rPr>
          <t>Unknown User:
Quote not Emailed</t>
        </r>
      </text>
    </comment>
    <comment ref="A1483" authorId="28" shapeId="0" xr:uid="{6F687310-D904-45E8-A3A0-0E0494E41586}">
      <text>
        <r>
          <rPr>
            <sz val="11"/>
            <color theme="1"/>
            <rFont val="Aptos Narrow"/>
            <family val="2"/>
            <scheme val="minor"/>
          </rPr>
          <t>Accounts | Australia Trades:
Tiling Invoice</t>
        </r>
      </text>
    </comment>
    <comment ref="G1483" authorId="0" shapeId="0" xr:uid="{5296153A-06F6-4AB8-B8F3-4666A6CC0565}">
      <text>
        <r>
          <rPr>
            <sz val="11"/>
            <color theme="1"/>
            <rFont val="Aptos Narrow"/>
            <family val="2"/>
            <scheme val="minor"/>
          </rPr>
          <t xml:space="preserve">Unknown User:
REPLACEMENT OF IN WALL MIXER W/DIVERTER
</t>
        </r>
      </text>
    </comment>
    <comment ref="N1483" authorId="0" shapeId="0" xr:uid="{1DC7D0E3-8272-46ED-ABB7-EAED9D28E290}">
      <text>
        <r>
          <rPr>
            <sz val="11"/>
            <color theme="1"/>
            <rFont val="Aptos Narrow"/>
            <family val="2"/>
            <scheme val="minor"/>
          </rPr>
          <t>Unknown User:
Quote not raised due to technical issue in ServiceTitan.</t>
        </r>
      </text>
    </comment>
    <comment ref="A1487" authorId="80" shapeId="0" xr:uid="{B5DF5AB8-D803-4BD9-87E5-58AE2FACD65B}">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487" authorId="0" shapeId="0" xr:uid="{5F0984C0-500D-48D3-85DB-8F723645FF94}">
      <text>
        <r>
          <rPr>
            <sz val="11"/>
            <color theme="1"/>
            <rFont val="Aptos Narrow"/>
            <family val="2"/>
            <scheme val="minor"/>
          </rPr>
          <t>Unknown User:
REPLACEMENT OF SEWER SHAFT (UNDER CONCRETE)
CREDIT OF SEARCH &amp; INVESTIGATION</t>
        </r>
      </text>
    </comment>
    <comment ref="K1487" authorId="0" shapeId="0" xr:uid="{0BF8D99E-D254-4A72-9C30-BCEF93A52A07}">
      <text>
        <r>
          <rPr>
            <sz val="11"/>
            <color theme="1"/>
            <rFont val="Aptos Narrow"/>
            <family val="2"/>
            <scheme val="minor"/>
          </rPr>
          <t>Unknown User:
Previous job #74052 pics considered.</t>
        </r>
      </text>
    </comment>
    <comment ref="V1487" authorId="0" shapeId="0" xr:uid="{A4494A0F-5BF4-4337-BD7E-394A55AFEE3D}">
      <text>
        <r>
          <rPr>
            <sz val="11"/>
            <color theme="1"/>
            <rFont val="Aptos Narrow"/>
            <family val="2"/>
            <scheme val="minor"/>
          </rPr>
          <t>Unknown User:
15/10-Received $11559.20 by EFT</t>
        </r>
      </text>
    </comment>
    <comment ref="A1488" authorId="81" shapeId="0" xr:uid="{268A8B4D-9A91-420C-B024-AED2622BBDA7}">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488" authorId="0" shapeId="0" xr:uid="{1B395B3C-9332-454C-A988-5770788BB498}">
      <text>
        <r>
          <rPr>
            <sz val="11"/>
            <color theme="1"/>
            <rFont val="Aptos Narrow"/>
            <family val="2"/>
            <scheme val="minor"/>
          </rPr>
          <t>Unknown User:
WATER SERVICE RECTIFICATION (IN CONCRETE)
10% Seniors &amp; Pensioners Discount</t>
        </r>
      </text>
    </comment>
    <comment ref="M1488" authorId="0" shapeId="0" xr:uid="{CE27898D-C393-4821-A3E1-21DB1BCD6D34}">
      <text>
        <r>
          <rPr>
            <sz val="11"/>
            <color theme="1"/>
            <rFont val="Aptos Narrow"/>
            <family val="2"/>
            <scheme val="minor"/>
          </rPr>
          <t>Unknown User:
Smartpay receipt of $1409.54 not uploaded by plumber.
Uploaded by Modoras team</t>
        </r>
      </text>
    </comment>
    <comment ref="G1489" authorId="0" shapeId="0" xr:uid="{948AB1B3-5F14-4AC3-98CC-10C352449655}">
      <text>
        <r>
          <rPr>
            <sz val="11"/>
            <color theme="1"/>
            <rFont val="Aptos Narrow"/>
            <family val="2"/>
            <scheme val="minor"/>
          </rPr>
          <t>Unknown User:
SEWER SPOT DIG (UNDER CONCRETE)
CREDIT HIGH POWERED JETBLAST &amp; CCTV CAMERA</t>
        </r>
      </text>
    </comment>
    <comment ref="G1493" authorId="0" shapeId="0" xr:uid="{E20AAAC3-A9D8-4BEB-AC43-E7420C86D38B}">
      <text>
        <r>
          <rPr>
            <sz val="11"/>
            <color theme="1"/>
            <rFont val="Aptos Narrow"/>
            <family val="2"/>
            <scheme val="minor"/>
          </rPr>
          <t>Unknown User:
SPECIALIST LEAK DETECTION – POOL SERVICE
10% Seniors &amp; Pensioners Discount</t>
        </r>
      </text>
    </comment>
    <comment ref="M1493" authorId="0" shapeId="0" xr:uid="{FE187B6F-CCB2-47BE-BDCC-41C678690CEC}">
      <text>
        <r>
          <rPr>
            <sz val="11"/>
            <color theme="1"/>
            <rFont val="Aptos Narrow"/>
            <family val="2"/>
            <scheme val="minor"/>
          </rPr>
          <t>Unknown User:
Smartpay receipt of $278.59 not uploaded by plumber.
Uploaded by Modoras team</t>
        </r>
      </text>
    </comment>
    <comment ref="G1498" authorId="0" shapeId="0" xr:uid="{2AAC01DD-F3CD-4DE2-B7E0-317DD22CE3C0}">
      <text>
        <r>
          <rPr>
            <sz val="11"/>
            <color theme="1"/>
            <rFont val="Aptos Narrow"/>
            <family val="2"/>
            <scheme val="minor"/>
          </rPr>
          <t>Unknown User:
SEWER SPOT DIG - IN GROUND
10% Loyalty Discount
$89 Blocked Drains Discount</t>
        </r>
      </text>
    </comment>
    <comment ref="U1498" authorId="0" shapeId="0" xr:uid="{E685A2EE-671F-462E-A271-77307C235C42}">
      <text>
        <r>
          <rPr>
            <sz val="11"/>
            <color theme="1"/>
            <rFont val="Aptos Narrow"/>
            <family val="2"/>
            <scheme val="minor"/>
          </rPr>
          <t>Unknown User:
29/8-As per Vitori's note "called cust left vm to call us back to adv when we can reattend as we cannot go today due to plumber going home ill"
27/8-As per Kris's note "DOING A CCTV TO SHOW THE CUSTOMER AGAIN! QUOTED THIS DIG YESTERDAY AND TOLD THEM ITS OFFLINE AND NOT TO USE IT. MAYBE NOW THEY WILL GET THE PICTURE"</t>
        </r>
      </text>
    </comment>
    <comment ref="V1498" authorId="0" shapeId="0" xr:uid="{D3DAA16A-DE17-496C-A559-4AC3BD2E505D}">
      <text>
        <r>
          <rPr>
            <sz val="11"/>
            <color theme="1"/>
            <rFont val="Aptos Narrow"/>
            <family val="2"/>
            <scheme val="minor"/>
          </rPr>
          <t>Unknown User:
8/9-EFT of $9000 &amp; $358.56 initiated</t>
        </r>
      </text>
    </comment>
    <comment ref="G1499" authorId="0" shapeId="0" xr:uid="{7FD6D9F9-C170-4D80-BF6F-3811C01EB093}">
      <text>
        <r>
          <rPr>
            <sz val="11"/>
            <color theme="1"/>
            <rFont val="Aptos Narrow"/>
            <family val="2"/>
            <scheme val="minor"/>
          </rPr>
          <t>Unknown User:
SUPPLY &amp; INSTALLATION OF NEW COPPER GAS SERVICE UP TO 18M (REPLACEMENT OF EXISTING GALVANISED GAS SERVICE)
CREDIT</t>
        </r>
      </text>
    </comment>
    <comment ref="N1499" authorId="0" shapeId="0" xr:uid="{29CABF9F-014A-482C-9FB0-907AE099806A}">
      <text>
        <r>
          <rPr>
            <sz val="11"/>
            <color theme="1"/>
            <rFont val="Aptos Narrow"/>
            <family val="2"/>
            <scheme val="minor"/>
          </rPr>
          <t>Unknown User:
Quote raised in Job #73515</t>
        </r>
      </text>
    </comment>
    <comment ref="T1499" authorId="0" shapeId="0" xr:uid="{69B78BA1-DB71-4FD4-A64F-CAD7C748CF09}">
      <text>
        <r>
          <rPr>
            <sz val="11"/>
            <color theme="1"/>
            <rFont val="Aptos Narrow"/>
            <family val="2"/>
            <scheme val="minor"/>
          </rPr>
          <t>Unknown User:
1x Will Dower</t>
        </r>
      </text>
    </comment>
    <comment ref="G1500" authorId="0" shapeId="0" xr:uid="{9637B0C9-7EEF-4581-A203-C3D5FD40D4F0}">
      <text>
        <r>
          <rPr>
            <sz val="11"/>
            <color theme="1"/>
            <rFont val="Aptos Narrow"/>
            <family val="2"/>
            <scheme val="minor"/>
          </rPr>
          <t>Unknown User:
SEARCH &amp; INVESTIGATION OF SINGLE STOREY ROOF OF POTENTIAL LEAK 
10% Seniors &amp; Pensioners Discount</t>
        </r>
      </text>
    </comment>
    <comment ref="G1501" authorId="0" shapeId="0" xr:uid="{F9BA3EA3-689F-41F7-A2D7-B1EF9DD35CA7}">
      <text>
        <r>
          <rPr>
            <sz val="11"/>
            <color theme="1"/>
            <rFont val="Aptos Narrow"/>
            <family val="2"/>
            <scheme val="minor"/>
          </rPr>
          <t xml:space="preserve">Unknown User:
HIGH POWERED JET BLAST &amp; CCTV DRAIN CAMERA INSPECTION (SEWER SERVICE) </t>
        </r>
      </text>
    </comment>
    <comment ref="W1501" authorId="0" shapeId="0" xr:uid="{64952A81-C7C3-468D-BA29-880A07B326CC}">
      <text>
        <r>
          <rPr>
            <sz val="11"/>
            <color theme="1"/>
            <rFont val="Aptos Narrow"/>
            <family val="2"/>
            <scheme val="minor"/>
          </rPr>
          <t>Unknown User:
Cash denomination
$100*1=$100
$50*1=$50
$100*11=$1100
Total cash=$1250
Short receipt by $1.80</t>
        </r>
      </text>
    </comment>
    <comment ref="G1502" authorId="0" shapeId="0" xr:uid="{A691C893-9ED7-4994-82B5-FE7FE72C34B3}">
      <text>
        <r>
          <rPr>
            <sz val="11"/>
            <color theme="1"/>
            <rFont val="Aptos Narrow"/>
            <family val="2"/>
            <scheme val="minor"/>
          </rPr>
          <t xml:space="preserve">Unknown User:
$85+GST Non-refundable call out fee
SEARCH &amp; INVESTIGATION OF MACERATOR PUMP
</t>
        </r>
      </text>
    </comment>
    <comment ref="G1506" authorId="0" shapeId="0" xr:uid="{E7F90365-13D6-4575-B6B5-6D157F04086E}">
      <text>
        <r>
          <rPr>
            <sz val="11"/>
            <color theme="1"/>
            <rFont val="Aptos Narrow"/>
            <family val="2"/>
            <scheme val="minor"/>
          </rPr>
          <t>Unknown User:
SUPPLY &amp; INSTALLATION OF (SOLAR RATED) TEMPERING VALVE
10% Loyalty Discount</t>
        </r>
      </text>
    </comment>
    <comment ref="G1508" authorId="0" shapeId="0" xr:uid="{683F3AAB-ACA3-4BE2-A52B-4470A9C6A0D5}">
      <text>
        <r>
          <rPr>
            <sz val="11"/>
            <color theme="1"/>
            <rFont val="Aptos Narrow"/>
            <family val="2"/>
            <scheme val="minor"/>
          </rPr>
          <t>Unknown User:
HIGH POWERED JET BLAST &amp; CCTV DRAIN CAMERA INSPECTION (SEWER SERVICE)</t>
        </r>
      </text>
    </comment>
    <comment ref="G1510" authorId="0" shapeId="0" xr:uid="{A95C38B4-6648-4DA3-989A-F5CB9ACE9444}">
      <text>
        <r>
          <rPr>
            <sz val="11"/>
            <color theme="1"/>
            <rFont val="Aptos Narrow"/>
            <family val="2"/>
            <scheme val="minor"/>
          </rPr>
          <t xml:space="preserve">Unknown User:
STORMWATER GUTTER REPLACEMENT UP TO 3M 
</t>
        </r>
      </text>
    </comment>
    <comment ref="G1511" authorId="0" shapeId="0" xr:uid="{D3F81A2F-25D6-4E4A-8314-1107F62A5D7A}">
      <text>
        <r>
          <rPr>
            <sz val="11"/>
            <color theme="1"/>
            <rFont val="Aptos Narrow"/>
            <family val="2"/>
            <scheme val="minor"/>
          </rPr>
          <t>Unknown User:
REPLACEMENT OF PLUG &amp; WASTE - 50MM</t>
        </r>
      </text>
    </comment>
    <comment ref="G1512" authorId="0" shapeId="0" xr:uid="{8C073C51-E097-4812-8359-46523AFDBDCE}">
      <text>
        <r>
          <rPr>
            <sz val="11"/>
            <color theme="1"/>
            <rFont val="Aptos Narrow"/>
            <family val="2"/>
            <scheme val="minor"/>
          </rPr>
          <t xml:space="preserve">Unknown User:
WATER SERVICE RECTIFICATION (IN GROUND)
10% Seniors &amp; Pensioners Discount
</t>
        </r>
      </text>
    </comment>
    <comment ref="G1513" authorId="0" shapeId="0" xr:uid="{5A2A2ABF-4FE9-48DC-A8DF-9A34B30323A0}">
      <text>
        <r>
          <rPr>
            <sz val="11"/>
            <color theme="1"/>
            <rFont val="Aptos Narrow"/>
            <family val="2"/>
            <scheme val="minor"/>
          </rPr>
          <t>Unknown User:
CUSTOMER SUPPLIED &amp; INSTALLATION OF NEW UNDER SINK FILTER SYSTEM WITH MIXER TAP 
$65 First Service Discount</t>
        </r>
      </text>
    </comment>
    <comment ref="G1514" authorId="0" shapeId="0" xr:uid="{DCAE60B9-8167-4B7C-AABC-42569F486FB9}">
      <text>
        <r>
          <rPr>
            <sz val="11"/>
            <color theme="1"/>
            <rFont val="Aptos Narrow"/>
            <family val="2"/>
            <scheme val="minor"/>
          </rPr>
          <t>Unknown User:
SEWER SPOT DIG (UNDER CONCRETE)</t>
        </r>
      </text>
    </comment>
    <comment ref="G1515" authorId="0" shapeId="0" xr:uid="{16AB07D9-34FB-45E6-BC7A-F389A60E03F0}">
      <text>
        <r>
          <rPr>
            <sz val="11"/>
            <color theme="1"/>
            <rFont val="Aptos Narrow"/>
            <family val="2"/>
            <scheme val="minor"/>
          </rPr>
          <t xml:space="preserve">Unknown User:
WATER SERVICE RECTIFICATION (IN CONCRETE)
</t>
        </r>
      </text>
    </comment>
    <comment ref="G1516" authorId="0" shapeId="0" xr:uid="{4CC71949-A13E-40DE-88BF-F0019A81B57C}">
      <text>
        <r>
          <rPr>
            <sz val="11"/>
            <color theme="1"/>
            <rFont val="Aptos Narrow"/>
            <family val="2"/>
            <scheme val="minor"/>
          </rPr>
          <t>Unknown User:
HIGH POWERED JET BLAST &amp; CCTV CAMERA INSPECTION (GAIN ACCESS WITH REMOVAL OF TOILET)</t>
        </r>
      </text>
    </comment>
    <comment ref="G1517" authorId="0" shapeId="0" xr:uid="{804EEDE9-DBB7-4692-BDF1-C546EB3D5A0D}">
      <text>
        <r>
          <rPr>
            <sz val="11"/>
            <color theme="1"/>
            <rFont val="Aptos Narrow"/>
            <family val="2"/>
            <scheme val="minor"/>
          </rPr>
          <t xml:space="preserve">Unknown User:
REPLACEMENT OF BASIN MIXER
REPLACEMENT OF IN WALL MIXER
SENIORS DISCOUNT
</t>
        </r>
      </text>
    </comment>
    <comment ref="G1518" authorId="0" shapeId="0" xr:uid="{5118E6D2-3B21-4D55-94B5-85CEFA33DF07}">
      <text>
        <r>
          <rPr>
            <sz val="11"/>
            <color theme="1"/>
            <rFont val="Aptos Narrow"/>
            <family val="2"/>
            <scheme val="minor"/>
          </rPr>
          <t>Unknown User:
REPLACEMENT OF CISTERN DUAL FLUSHING VALVE (COMPLETE ASSEMBLY)
$65 First Service Discount</t>
        </r>
      </text>
    </comment>
    <comment ref="E1544" authorId="28" shapeId="0" xr:uid="{426F1793-E53F-4793-B9D0-ECD0E3AD2E1A}">
      <text>
        <r>
          <rPr>
            <sz val="11"/>
            <color theme="1"/>
            <rFont val="Aptos Narrow"/>
            <family val="2"/>
            <scheme val="minor"/>
          </rPr>
          <t>Accounts | Australia Trades:
Open Work
Job 74091 @ 28th Oct 2025</t>
        </r>
      </text>
    </comment>
    <comment ref="E1545" authorId="82" shapeId="0" xr:uid="{3D357D5B-0EF8-424E-8868-BEF4A6732E1F}">
      <text>
        <t>[Threaded comment]
Your version of Excel allows you to read this threaded comment; however, any edits to it will get removed if the file is opened in a newer version of Excel. Learn more: https://go.microsoft.com/fwlink/?linkid=870924
Comment:
    Stock</t>
      </text>
    </comment>
    <comment ref="E1546" authorId="83" shapeId="0" xr:uid="{7FA76D87-1AE9-43B8-89FE-68329A83B482}">
      <text>
        <t>[Threaded comment]
Your version of Excel allows you to read this threaded comment; however, any edits to it will get removed if the file is opened in a newer version of Excel. Learn more: https://go.microsoft.com/fwlink/?linkid=870924
Comment:
    Stock</t>
      </text>
    </comment>
    <comment ref="E1547" authorId="84" shapeId="0" xr:uid="{C89B83B1-FF0D-4493-BF9F-B5AEF4A239C3}">
      <text>
        <t>[Threaded comment]
Your version of Excel allows you to read this threaded comment; however, any edits to it will get removed if the file is opened in a newer version of Excel. Learn more: https://go.microsoft.com/fwlink/?linkid=870924
Comment:
    Stock</t>
      </text>
    </comment>
    <comment ref="G1556" authorId="0" shapeId="0" xr:uid="{6172553B-BE15-4286-A570-F25A6E07A143}">
      <text>
        <r>
          <rPr>
            <sz val="11"/>
            <color theme="1"/>
            <rFont val="Aptos Narrow"/>
            <family val="2"/>
            <scheme val="minor"/>
          </rPr>
          <t>Unknown User:
REPLACEMENT OF BASIN TAPS AND SPOUT
INSTALLATION OF NEW WALL FACED TOILET SUITE (CUSTOMER SUPPLIED)
10% Seniors &amp; Pensioners Discount
$65 First Service Discount</t>
        </r>
      </text>
    </comment>
    <comment ref="Q1556" authorId="0" shapeId="0" xr:uid="{F1635F17-6695-40C5-8970-077787EE218E}">
      <text>
        <r>
          <rPr>
            <sz val="11"/>
            <color theme="1"/>
            <rFont val="Aptos Narrow"/>
            <family val="2"/>
            <scheme val="minor"/>
          </rPr>
          <t>Unknown User:
Final zero due invoice not raised</t>
        </r>
      </text>
    </comment>
    <comment ref="W1556" authorId="0" shapeId="0" xr:uid="{824EC1FE-CFB9-437C-8A64-B067107A8FD6}">
      <text>
        <r>
          <rPr>
            <sz val="11"/>
            <color theme="1"/>
            <rFont val="Aptos Narrow"/>
            <family val="2"/>
            <scheme val="minor"/>
          </rPr>
          <t>Unknown User:
Cash denomination
$50*8=$400
$20*1=$20
Coins-$2*1=$2
$1*1=$1
Total cash=$423
$50*76=$3800
$Coin-$1*1=$1
$0.10*1=$0.10
Total cash=$3801.10</t>
        </r>
      </text>
    </comment>
    <comment ref="G1557" authorId="0" shapeId="0" xr:uid="{4B092676-6E3D-44CB-B0FF-70C2CDF974B5}">
      <text>
        <r>
          <rPr>
            <sz val="11"/>
            <color theme="1"/>
            <rFont val="Aptos Narrow"/>
            <family val="2"/>
            <scheme val="minor"/>
          </rPr>
          <t>Unknown User:
SEARCH &amp; INVESTIGATION OF SINGLE STOREY ROOF OF POTENTIAL LEAK</t>
        </r>
      </text>
    </comment>
    <comment ref="V1557" authorId="0" shapeId="0" xr:uid="{A7FE0868-BCBE-4A00-A1BC-E88C386086DD}">
      <text>
        <r>
          <rPr>
            <sz val="11"/>
            <color theme="1"/>
            <rFont val="Aptos Narrow"/>
            <family val="2"/>
            <scheme val="minor"/>
          </rPr>
          <t>Unknown User:
$0.80 excess payment</t>
        </r>
      </text>
    </comment>
    <comment ref="G1558" authorId="0" shapeId="0" xr:uid="{C2FD896B-0995-4590-8B1B-2A7F6A570DCA}">
      <text>
        <r>
          <rPr>
            <sz val="11"/>
            <color theme="1"/>
            <rFont val="Aptos Narrow"/>
            <family val="2"/>
            <scheme val="minor"/>
          </rPr>
          <t>Unknown User:
SEARCH &amp; INVESTIGATION OF GAS STORAGE HOT WATER SYSTEM
10% Seniors &amp; Pensioners Discount</t>
        </r>
      </text>
    </comment>
    <comment ref="W1558" authorId="0" shapeId="0" xr:uid="{DD338F25-9C7C-4402-83E1-650227766368}">
      <text>
        <r>
          <rPr>
            <sz val="11"/>
            <color theme="1"/>
            <rFont val="Aptos Narrow"/>
            <family val="2"/>
            <scheme val="minor"/>
          </rPr>
          <t>Unknown User:
Cash denomination
$100*6=$600
$5*1=$5
Coin $1*1=$1
Total cash=$606
Short receipt by $0.19</t>
        </r>
      </text>
    </comment>
    <comment ref="G1559" authorId="0" shapeId="0" xr:uid="{056F4AAA-981F-401A-9F39-6EF966F3FDAC}">
      <text>
        <r>
          <rPr>
            <sz val="11"/>
            <color theme="1"/>
            <rFont val="Aptos Narrow"/>
            <family val="2"/>
            <scheme val="minor"/>
          </rPr>
          <t xml:space="preserve">Unknown User:
HIGH POWERED JET BLAST &amp; CCTV DRAIN CAMERA INSPECTION (SEWER SERVICE)
</t>
        </r>
      </text>
    </comment>
    <comment ref="M1559" authorId="0" shapeId="0" xr:uid="{FA798470-DC96-4E3F-B697-6BC820F1BB03}">
      <text>
        <r>
          <rPr>
            <sz val="11"/>
            <color theme="1"/>
            <rFont val="Aptos Narrow"/>
            <family val="2"/>
            <scheme val="minor"/>
          </rPr>
          <t>Unknown User:
Smartpay receipt of $125.20 is not uploaded by plumber.
Uploaded by Modoras team.</t>
        </r>
      </text>
    </comment>
    <comment ref="G1560" authorId="0" shapeId="0" xr:uid="{68928259-A174-4074-905D-B50F5272D91A}">
      <text>
        <r>
          <rPr>
            <sz val="11"/>
            <color theme="1"/>
            <rFont val="Aptos Narrow"/>
            <family val="2"/>
            <scheme val="minor"/>
          </rPr>
          <t>Unknown User:
HIGH POWERED JET BLAST &amp; CCTV DRAIN CAMERA INSPECTION (SEWER SERVICE)</t>
        </r>
      </text>
    </comment>
    <comment ref="G1561" authorId="0" shapeId="0" xr:uid="{A854B8A6-5022-4E48-9BAF-1F96EF44FB12}">
      <text>
        <r>
          <rPr>
            <sz val="11"/>
            <color theme="1"/>
            <rFont val="Aptos Narrow"/>
            <family val="2"/>
            <scheme val="minor"/>
          </rPr>
          <t>Unknown User:
SUPPLY AND INSTALLATION OF TRAP TO VANITY OR PEDESTAL BASIN - WHITE PVC
MIXER TAP - STANDARD</t>
        </r>
      </text>
    </comment>
    <comment ref="M1561" authorId="0" shapeId="0" xr:uid="{0F952781-416E-4D34-A5C2-3EAFBF6E3080}">
      <text>
        <r>
          <rPr>
            <sz val="11"/>
            <color theme="1"/>
            <rFont val="Aptos Narrow"/>
            <family val="2"/>
            <scheme val="minor"/>
          </rPr>
          <t>Unknown User:
Smartpay receipt of $1942.38 is not uploaded by plumber.
Uploaded by Modoras team.</t>
        </r>
      </text>
    </comment>
    <comment ref="G1562" authorId="0" shapeId="0" xr:uid="{EE5C101A-DB01-4110-827F-1B004040954B}">
      <text>
        <r>
          <rPr>
            <sz val="11"/>
            <color theme="1"/>
            <rFont val="Aptos Narrow"/>
            <family val="2"/>
            <scheme val="minor"/>
          </rPr>
          <t>Unknown User:
REPLACEMENT OF EXISTING GOOSE NECK KITCHEN MIXER (CUSTOMER SUPPLIED</t>
        </r>
      </text>
    </comment>
    <comment ref="G1563" authorId="0" shapeId="0" xr:uid="{04AB35B0-8EB5-4285-AF7A-D007D9FEA106}">
      <text>
        <r>
          <rPr>
            <sz val="11"/>
            <color theme="1"/>
            <rFont val="Aptos Narrow"/>
            <family val="2"/>
            <scheme val="minor"/>
          </rPr>
          <t xml:space="preserve">Unknown User:
</t>
        </r>
      </text>
    </comment>
    <comment ref="G1564" authorId="0" shapeId="0" xr:uid="{9205C168-0795-4061-9238-917DA52BD84C}">
      <text>
        <r>
          <rPr>
            <sz val="11"/>
            <color theme="1"/>
            <rFont val="Aptos Narrow"/>
            <family val="2"/>
            <scheme val="minor"/>
          </rPr>
          <t>Unknown User:
COMPLETE SERVICE OF IN WALL TOILET CISTERN</t>
        </r>
      </text>
    </comment>
    <comment ref="O1564" authorId="0" shapeId="0" xr:uid="{7399E71E-DE95-4BB5-9842-6539088733FB}">
      <text>
        <r>
          <rPr>
            <sz val="11"/>
            <color theme="1"/>
            <rFont val="Aptos Narrow"/>
            <family val="2"/>
            <scheme val="minor"/>
          </rPr>
          <t>Unknown User:
As per Ben's note "Client has approved quote over the phone, sent quote though email"</t>
        </r>
      </text>
    </comment>
    <comment ref="G1565" authorId="0" shapeId="0" xr:uid="{8A1DB09E-55B9-4045-BB9E-E70FB7E5B844}">
      <text>
        <r>
          <rPr>
            <sz val="11"/>
            <color theme="1"/>
            <rFont val="Aptos Narrow"/>
            <family val="2"/>
            <scheme val="minor"/>
          </rPr>
          <t>Unknown User:
HIGH POWERED SUCTION &amp; ACID TREATMENT
$85+GST Non-refundable call out fee</t>
        </r>
      </text>
    </comment>
    <comment ref="T1565" authorId="0" shapeId="0" xr:uid="{B7DDFF63-4839-448B-B21C-23B019873875}">
      <text>
        <r>
          <rPr>
            <sz val="11"/>
            <color theme="1"/>
            <rFont val="Aptos Narrow"/>
            <family val="2"/>
            <scheme val="minor"/>
          </rPr>
          <t>Unknown User:
1x Trust pilot
1x Product review</t>
        </r>
      </text>
    </comment>
    <comment ref="G1566" authorId="0" shapeId="0" xr:uid="{EC806F5E-97B4-4648-AF07-EEEAACDD560D}">
      <text>
        <r>
          <rPr>
            <sz val="11"/>
            <color theme="1"/>
            <rFont val="Aptos Narrow"/>
            <family val="2"/>
            <scheme val="minor"/>
          </rPr>
          <t xml:space="preserve">Unknown User:
DECOMMISSION OF EXISTING WATER FIXTURES (shower x 2, Vanity x 2)
10% Seniors &amp; Pensioners Discount </t>
        </r>
      </text>
    </comment>
    <comment ref="G1567" authorId="0" shapeId="0" xr:uid="{94D09987-7199-45F0-A2B7-FA151AF1532A}">
      <text>
        <r>
          <rPr>
            <sz val="11"/>
            <color theme="1"/>
            <rFont val="Aptos Narrow"/>
            <family val="2"/>
            <scheme val="minor"/>
          </rPr>
          <t xml:space="preserve">Unknown User:
SEARCH AND INVESTIGATION OF ELECTRIC STORAGE HOT WATER SYSTEM
</t>
        </r>
      </text>
    </comment>
    <comment ref="G1583" authorId="0" shapeId="0" xr:uid="{F723BA64-3250-444B-A3A9-C09468AB1EB3}">
      <text>
        <r>
          <rPr>
            <sz val="11"/>
            <color theme="1"/>
            <rFont val="Aptos Narrow"/>
            <family val="2"/>
            <scheme val="minor"/>
          </rPr>
          <t>Unknown User:
SUPPLY AND INSTALLATION OF PRESSURE REGULATING DEVICE FITTED TO 20MM STRAIGHT PIPEWORK
SUPPLY &amp; INSTALLATION OF NEW SINGLE ELEMENT HOT WATER UNIT – EXTERNAL</t>
        </r>
      </text>
    </comment>
    <comment ref="T1583" authorId="0" shapeId="0" xr:uid="{7F496A77-B339-4087-9F8E-25BC234AD94C}">
      <text>
        <r>
          <rPr>
            <sz val="11"/>
            <color theme="1"/>
            <rFont val="Aptos Narrow"/>
            <family val="2"/>
            <scheme val="minor"/>
          </rPr>
          <t>Unknown User:
0.5x Ben
0.5x Kyle</t>
        </r>
      </text>
    </comment>
    <comment ref="V1583" authorId="0" shapeId="0" xr:uid="{AF915A55-F88D-4D63-BCA4-28E6C9FAC52D}">
      <text>
        <r>
          <rPr>
            <sz val="11"/>
            <color theme="1"/>
            <rFont val="Aptos Narrow"/>
            <family val="2"/>
            <scheme val="minor"/>
          </rPr>
          <t>Unknown User:
3/11-Smarptpay receipt of $1389.50 received
3/11-Podium receipt of $7000 received</t>
        </r>
      </text>
    </comment>
    <comment ref="G1588" authorId="0" shapeId="0" xr:uid="{ECAE519E-53B9-478C-B68C-FDB5A8E4C265}">
      <text>
        <r>
          <rPr>
            <sz val="11"/>
            <color theme="1"/>
            <rFont val="Aptos Narrow"/>
            <family val="2"/>
            <scheme val="minor"/>
          </rPr>
          <t>Unknown User:
SEWER SPOT DIG - IN GROUND
10% Loyalty Discount
$89 Blocked Drains Discount</t>
        </r>
      </text>
    </comment>
    <comment ref="U1588" authorId="0" shapeId="0" xr:uid="{192D3D46-3E4A-4B49-916D-2ADEE36104B2}">
      <text>
        <r>
          <rPr>
            <sz val="11"/>
            <color theme="1"/>
            <rFont val="Aptos Narrow"/>
            <family val="2"/>
            <scheme val="minor"/>
          </rPr>
          <t>Unknown User:
29/8-As per Vitori's note "called cust left vm to call us back to adv when we can reattend as we cannot go today due to plumber going home ill"
27/8-As per Kris's note "DOING A CCTV TO SHOW THE CUSTOMER AGAIN! QUOTED THIS DIG YESTERDAY AND TOLD THEM ITS OFFLINE AND NOT TO USE IT. MAYBE NOW THEY WILL GET THE PICTURE"</t>
        </r>
      </text>
    </comment>
    <comment ref="V1588" authorId="0" shapeId="0" xr:uid="{B7D608A5-6E77-46CE-94D0-FAF9AC2E55E3}">
      <text>
        <r>
          <rPr>
            <sz val="11"/>
            <color theme="1"/>
            <rFont val="Aptos Narrow"/>
            <family val="2"/>
            <scheme val="minor"/>
          </rPr>
          <t>Unknown User:
8/9-EFT of $9000 &amp; $358.56 initiated</t>
        </r>
      </text>
    </comment>
    <comment ref="G1589" authorId="0" shapeId="0" xr:uid="{7688E4C1-5F2F-4DDD-91E2-69531B80D27D}">
      <text>
        <r>
          <rPr>
            <sz val="11"/>
            <color theme="1"/>
            <rFont val="Aptos Narrow"/>
            <family val="2"/>
            <scheme val="minor"/>
          </rPr>
          <t>Unknown User:
SUPPLY &amp; INSTALLATION OF NEW COPPER GAS SERVICE UP TO 18M (REPLACEMENT OF EXISTING GALVANISED GAS SERVICE)
CREDIT</t>
        </r>
      </text>
    </comment>
    <comment ref="N1589" authorId="0" shapeId="0" xr:uid="{326619AF-F27F-4BD7-B6F9-BD70E41669FB}">
      <text>
        <r>
          <rPr>
            <sz val="11"/>
            <color theme="1"/>
            <rFont val="Aptos Narrow"/>
            <family val="2"/>
            <scheme val="minor"/>
          </rPr>
          <t>Unknown User:
Quote raised in Job #73515</t>
        </r>
      </text>
    </comment>
    <comment ref="T1589" authorId="0" shapeId="0" xr:uid="{39972A1D-260C-407F-88A9-6C55BEF68D82}">
      <text>
        <r>
          <rPr>
            <sz val="11"/>
            <color theme="1"/>
            <rFont val="Aptos Narrow"/>
            <family val="2"/>
            <scheme val="minor"/>
          </rPr>
          <t>Unknown User:
1x Will Dower</t>
        </r>
      </text>
    </comment>
    <comment ref="G1590" authorId="0" shapeId="0" xr:uid="{EF9DA706-A609-480C-89CB-4977175B13E4}">
      <text>
        <r>
          <rPr>
            <sz val="11"/>
            <color theme="1"/>
            <rFont val="Aptos Narrow"/>
            <family val="2"/>
            <scheme val="minor"/>
          </rPr>
          <t>Unknown User:
SEARCH &amp; INVESTIGATION OF SINGLE STOREY ROOF OF POTENTIAL LEAK 
10% Seniors &amp; Pensioners Discount</t>
        </r>
      </text>
    </comment>
    <comment ref="G1591" authorId="0" shapeId="0" xr:uid="{0353FB35-8DFF-4F70-9963-DE8D8A4861BA}">
      <text>
        <r>
          <rPr>
            <sz val="11"/>
            <color theme="1"/>
            <rFont val="Aptos Narrow"/>
            <family val="2"/>
            <scheme val="minor"/>
          </rPr>
          <t xml:space="preserve">Unknown User:
HIGH POWERED JET BLAST &amp; CCTV DRAIN CAMERA INSPECTION (SEWER SERVICE) </t>
        </r>
      </text>
    </comment>
    <comment ref="W1591" authorId="0" shapeId="0" xr:uid="{6A37A7B1-28C4-491A-A3A0-92D800A17AF9}">
      <text>
        <r>
          <rPr>
            <sz val="11"/>
            <color theme="1"/>
            <rFont val="Aptos Narrow"/>
            <family val="2"/>
            <scheme val="minor"/>
          </rPr>
          <t>Unknown User:
Cash denomination
$100*1=$100
$50*1=$50
$100*11=$1100
Total cash=$1250
Short receipt by $1.80</t>
        </r>
      </text>
    </comment>
    <comment ref="G1592" authorId="0" shapeId="0" xr:uid="{411AF1FC-E5FF-43BB-A364-3D98D2BE72CC}">
      <text>
        <r>
          <rPr>
            <sz val="11"/>
            <color theme="1"/>
            <rFont val="Aptos Narrow"/>
            <family val="2"/>
            <scheme val="minor"/>
          </rPr>
          <t xml:space="preserve">Unknown User:
$85+GST Non-refundable call out fee
SEARCH &amp; INVESTIGATION OF MACERATOR PUMP
</t>
        </r>
      </text>
    </comment>
    <comment ref="G1596" authorId="0" shapeId="0" xr:uid="{B4160A2F-9132-42FC-96F9-B39B37C22596}">
      <text>
        <r>
          <rPr>
            <sz val="11"/>
            <color theme="1"/>
            <rFont val="Aptos Narrow"/>
            <family val="2"/>
            <scheme val="minor"/>
          </rPr>
          <t>Unknown User:
SPECIALIST LEAK DETECTION – POOL SERVICE
10% Seniors &amp; Pensioners Discount</t>
        </r>
      </text>
    </comment>
    <comment ref="M1596" authorId="0" shapeId="0" xr:uid="{612784D8-0F67-4E70-8FA7-5A7D50FA3A8B}">
      <text>
        <r>
          <rPr>
            <sz val="11"/>
            <color theme="1"/>
            <rFont val="Aptos Narrow"/>
            <family val="2"/>
            <scheme val="minor"/>
          </rPr>
          <t>Unknown User:
Smartpay receipt of $278.59 not uploaded by plumber.
Uploaded by Modoras team</t>
        </r>
      </text>
    </comment>
    <comment ref="V1596" authorId="0" shapeId="0" xr:uid="{D8786719-7E76-4370-AB21-C016A26714B9}">
      <text>
        <r>
          <rPr>
            <sz val="11"/>
            <color theme="1"/>
            <rFont val="Aptos Narrow"/>
            <family val="2"/>
            <scheme val="minor"/>
          </rPr>
          <t>Unknown User:
29/10-Smartpay received for $2507.27</t>
        </r>
      </text>
    </comment>
    <comment ref="G1600" authorId="0" shapeId="0" xr:uid="{DC26AAD8-75F8-4176-8DEF-983503650A33}">
      <text>
        <r>
          <rPr>
            <sz val="11"/>
            <color theme="1"/>
            <rFont val="Aptos Narrow"/>
            <family val="2"/>
            <scheme val="minor"/>
          </rPr>
          <t>Unknown User:
SEARCH &amp; INVESTIGATION OF SINGLE STOREY ROOF OF POTENTIAL LEAK</t>
        </r>
      </text>
    </comment>
    <comment ref="G1601" authorId="0" shapeId="0" xr:uid="{90F9F5EB-E340-4B4F-8C51-3D1A0DB333DA}">
      <text>
        <r>
          <rPr>
            <sz val="11"/>
            <color theme="1"/>
            <rFont val="Aptos Narrow"/>
            <family val="2"/>
            <scheme val="minor"/>
          </rPr>
          <t xml:space="preserve">Unknown User:
SEWER STACK REPAIR </t>
        </r>
      </text>
    </comment>
    <comment ref="G1602" authorId="0" shapeId="0" xr:uid="{A1ED5FAD-FBBB-4AFF-B57D-B6CF105CCC3E}">
      <text>
        <r>
          <rPr>
            <sz val="11"/>
            <color theme="1"/>
            <rFont val="Aptos Narrow"/>
            <family val="2"/>
            <scheme val="minor"/>
          </rPr>
          <t>Unknown User:
SUPPLY &amp; INSTALLATION OF GAS STORAGE HOT WATER SYSTEM (EXTERNAL)
10% Seniors &amp; Pensioners Discount
CREDIT OF SEARCH &amp; INVESTIGATION</t>
        </r>
      </text>
    </comment>
    <comment ref="G1603" authorId="0" shapeId="0" xr:uid="{794DE469-E1E5-46B1-9A1F-0D0A4A76F9BC}">
      <text>
        <r>
          <rPr>
            <sz val="11"/>
            <color theme="1"/>
            <rFont val="Aptos Narrow"/>
            <family val="2"/>
            <scheme val="minor"/>
          </rPr>
          <t>Unknown User:
SUPPLY AND INSTALLATION OF WHITE PVC P TRAP ON SHOWER</t>
        </r>
      </text>
    </comment>
    <comment ref="G1604" authorId="0" shapeId="0" xr:uid="{1EEB250E-ED7D-448F-86E1-7C929DA0EAF5}">
      <text>
        <r>
          <rPr>
            <sz val="11"/>
            <color theme="1"/>
            <rFont val="Aptos Narrow"/>
            <family val="2"/>
            <scheme val="minor"/>
          </rPr>
          <t>Unknown User:
DIG UP OF STORM WATER SPOT (UNDER CONCRETE)
10% Seniors &amp; Pensioners Discount</t>
        </r>
      </text>
    </comment>
    <comment ref="G1605" authorId="0" shapeId="0" xr:uid="{54FE794B-4633-4C5A-AA01-9A0A11984272}">
      <text>
        <r>
          <rPr>
            <sz val="11"/>
            <color theme="1"/>
            <rFont val="Aptos Narrow"/>
            <family val="2"/>
            <scheme val="minor"/>
          </rPr>
          <t>Unknown User:
SEARCH &amp; INVESTIGATION OF GAS APPLIANCE
$65 First Service Discount</t>
        </r>
      </text>
    </comment>
    <comment ref="U1605" authorId="0" shapeId="0" xr:uid="{53DFAEF9-860F-4B8B-9CA5-0705FB2FF1C2}">
      <text>
        <r>
          <rPr>
            <sz val="11"/>
            <color theme="1"/>
            <rFont val="Aptos Narrow"/>
            <family val="2"/>
            <scheme val="minor"/>
          </rPr>
          <t>Unknown User:
29/10-As per Amalia's note "Wanted a refund for the callout, explained the because it's a commercial property the $85 GST is non refundable, debated that he wasn't told this and wasn't happy with the quote which is why he request the refund, he stated he would want to dispute this within court to obtain the refund back. Explained that he was told it was non-refundable he persisted he wasn't until we listened back to the call and I confirmed with he that he was. He then said he wasn't happy with work and ended the phone on me"</t>
        </r>
      </text>
    </comment>
    <comment ref="G1606" authorId="0" shapeId="0" xr:uid="{3042F30D-FD07-4920-B527-B0E08D8AB643}">
      <text>
        <r>
          <rPr>
            <sz val="11"/>
            <color theme="1"/>
            <rFont val="Aptos Narrow"/>
            <family val="2"/>
            <scheme val="minor"/>
          </rPr>
          <t>Unknown User:
SEARCH &amp; INVESTIGATION OF GAS APPLIANCE
$65 First Service Discount</t>
        </r>
      </text>
    </comment>
    <comment ref="G1607" authorId="0" shapeId="0" xr:uid="{4BB71336-0CE9-4F58-B8BB-56181D6E9E59}">
      <text>
        <r>
          <rPr>
            <sz val="11"/>
            <color theme="1"/>
            <rFont val="Aptos Narrow"/>
            <family val="2"/>
            <scheme val="minor"/>
          </rPr>
          <t>Unknown User:
REPLACEMENT OF SEWER SHAFT (UNDER CONCRETE)
CREDIT HIGH POWERED JETBLAST &amp; CCTV CAMERA</t>
        </r>
      </text>
    </comment>
    <comment ref="U1607" authorId="0" shapeId="0" xr:uid="{5BC5CA44-1AE8-4148-802E-DCE5DAA81558}">
      <text>
        <r>
          <rPr>
            <sz val="11"/>
            <color theme="1"/>
            <rFont val="Aptos Narrow"/>
            <family val="2"/>
            <scheme val="minor"/>
          </rPr>
          <t>Unknown User:
29/10-As per Ben's note "Blocked sewer drain from front toilet ground floor. Upon inspection the sewer was blocked downstream, the jetter was used to resolve the issue at hand after the blockage had been cleared we then sent the camera down the sewer and found that the boundary inspection shaft is back-falling and holding water. We provided a quote to fix the issue at hand and the client told us they would touch base with us tomorrow morning the 30/10/2025"</t>
        </r>
      </text>
    </comment>
    <comment ref="G1608" authorId="0" shapeId="0" xr:uid="{95BDC55B-B6C6-4C82-8295-4CFAC62259DC}">
      <text>
        <r>
          <rPr>
            <sz val="11"/>
            <color theme="1"/>
            <rFont val="Aptos Narrow"/>
            <family val="2"/>
            <scheme val="minor"/>
          </rPr>
          <t>Unknown User:
CONVERT SOLAR SPLIT HOT WATER SYSTEM TO EXTERNAL GAS INSTANTANEOUS HOT WATER SYSTEM
SUPPLY AND INSTALLATION OF RIGHT-ANGLED PRESSURE REGULATING DEVICE FITTED TO 20MM STRAIGHT PIPEWORK
10% Good Will Discount</t>
        </r>
      </text>
    </comment>
    <comment ref="G1609" authorId="0" shapeId="0" xr:uid="{406546E5-898D-4508-94C9-D859C445D54E}">
      <text>
        <r>
          <rPr>
            <sz val="11"/>
            <color theme="1"/>
            <rFont val="Aptos Narrow"/>
            <family val="2"/>
            <scheme val="minor"/>
          </rPr>
          <t xml:space="preserve">Unknown User:
CUSTOMER SUPPLIED &amp; INSTALL OF NEW GAS BAYONET 
</t>
        </r>
      </text>
    </comment>
    <comment ref="G1610" authorId="0" shapeId="0" xr:uid="{36EF81A9-5DB9-4027-B38F-0CFD7929A992}">
      <text>
        <r>
          <rPr>
            <sz val="11"/>
            <color theme="1"/>
            <rFont val="Aptos Narrow"/>
            <family val="2"/>
            <scheme val="minor"/>
          </rPr>
          <t>Unknown User:
FLOOD, DYE, PRESSURE TEST (WET AREA)</t>
        </r>
      </text>
    </comment>
    <comment ref="G1611" authorId="0" shapeId="0" xr:uid="{695494BE-5D12-4AC6-A67C-85C010172159}">
      <text>
        <r>
          <rPr>
            <sz val="11"/>
            <color theme="1"/>
            <rFont val="Aptos Narrow"/>
            <family val="2"/>
            <scheme val="minor"/>
          </rPr>
          <t>Unknown User:
SEARCH AND INVESTIGATION OF ELECTRIC STORAGE HOT WATER SYSTEM
$65 First Service Discount</t>
        </r>
      </text>
    </comment>
    <comment ref="G1612" authorId="0" shapeId="0" xr:uid="{4A89BC84-0F18-4F28-8DEF-784E1AB7C31A}">
      <text>
        <r>
          <rPr>
            <sz val="11"/>
            <color theme="1"/>
            <rFont val="Aptos Narrow"/>
            <family val="2"/>
            <scheme val="minor"/>
          </rPr>
          <t>Unknown User:
ROOF LEAK SEARCH &amp; INVESTIGATION
10% Seniors &amp; Pensioners Discount</t>
        </r>
      </text>
    </comment>
    <comment ref="M1612" authorId="0" shapeId="0" xr:uid="{EC15E891-5943-4D13-BF8A-14EBB974ABFB}">
      <text>
        <r>
          <rPr>
            <sz val="11"/>
            <color theme="1"/>
            <rFont val="Aptos Narrow"/>
            <family val="2"/>
            <scheme val="minor"/>
          </rPr>
          <t>Unknown User:
Smartpay receipt of $223.90 not uploaded by plumber.
Uploaded by Modoras team.</t>
        </r>
      </text>
    </comment>
    <comment ref="G1613" authorId="0" shapeId="0" xr:uid="{4AD12BF3-D3AA-4E04-AA8A-94D7779AA069}">
      <text>
        <r>
          <rPr>
            <sz val="11"/>
            <color theme="1"/>
            <rFont val="Aptos Narrow"/>
            <family val="2"/>
            <scheme val="minor"/>
          </rPr>
          <t xml:space="preserve">Unknown User:
HIGH POWERED JET BLAST &amp; CCTV DRAIN CAMERA INSPECTION (SEWER SERVICE)
</t>
        </r>
      </text>
    </comment>
    <comment ref="G1614" authorId="0" shapeId="0" xr:uid="{E4341032-F2BD-404D-AE55-9B7A5F43E928}">
      <text>
        <r>
          <rPr>
            <sz val="11"/>
            <color theme="1"/>
            <rFont val="Aptos Narrow"/>
            <family val="2"/>
            <scheme val="minor"/>
          </rPr>
          <t>Unknown User:
REPLACEMENT OF EXISTING PULL-OUT KITCHEN MIXER (CUSTOMER SUPPLIED)
$65 First Service Discount</t>
        </r>
      </text>
    </comment>
    <comment ref="G1615" authorId="0" shapeId="0" xr:uid="{C653E132-6E91-47E5-89D3-17295760A521}">
      <text>
        <r>
          <rPr>
            <sz val="11"/>
            <color theme="1"/>
            <rFont val="Aptos Narrow"/>
            <family val="2"/>
            <scheme val="minor"/>
          </rPr>
          <t xml:space="preserve">Unknown User:
INSTALLATION WASTE SERVICE 
$65 First Service Discount
</t>
        </r>
      </text>
    </comment>
    <comment ref="G1616" authorId="0" shapeId="0" xr:uid="{CBE9E9CD-8BCB-4B45-A367-C6DF055AAA7A}">
      <text>
        <r>
          <rPr>
            <sz val="11"/>
            <color theme="1"/>
            <rFont val="Aptos Narrow"/>
            <family val="2"/>
            <scheme val="minor"/>
          </rPr>
          <t>Unknown User:
REPLACEMENT OF BOTTOM INLET CISTERN FILLING VALVE
$65 First Service Discount
10% Seniors &amp; Pensioners Discount</t>
        </r>
      </text>
    </comment>
    <comment ref="G1617" authorId="0" shapeId="0" xr:uid="{D30C541B-2916-4AB8-BC14-50049BBFF3EE}">
      <text>
        <r>
          <rPr>
            <sz val="11"/>
            <color theme="1"/>
            <rFont val="Aptos Narrow"/>
            <family val="2"/>
            <scheme val="minor"/>
          </rPr>
          <t>Unknown User:
HIGH POWERED CHEMICAL TREATMENT OF GREASE RELEASE ON SEWER SERVICE
10% Good Will Discount</t>
        </r>
      </text>
    </comment>
    <comment ref="G1650" authorId="0" shapeId="0" xr:uid="{6EE71189-000A-4858-B415-BDF0A11E6D31}">
      <text>
        <r>
          <rPr>
            <sz val="11"/>
            <color theme="1"/>
            <rFont val="Aptos Narrow"/>
            <family val="2"/>
            <scheme val="minor"/>
          </rPr>
          <t>Unknown User:
HIGH POWERED SUCTION PUMP</t>
        </r>
      </text>
    </comment>
    <comment ref="G1651" authorId="0" shapeId="0" xr:uid="{04A58816-6A54-4B78-AA58-01F3F14E42D6}">
      <text>
        <r>
          <rPr>
            <sz val="11"/>
            <color theme="1"/>
            <rFont val="Aptos Narrow"/>
            <family val="2"/>
            <scheme val="minor"/>
          </rPr>
          <t>Unknown User:
HIGH POWERED JET BLAST &amp; CCTV DRAIN CAMERA INSPECTION (STORM WATER SERVICE)</t>
        </r>
      </text>
    </comment>
    <comment ref="L1651" authorId="0" shapeId="0" xr:uid="{6D49701A-911B-48DB-81FD-C211307936A0}">
      <text>
        <r>
          <rPr>
            <sz val="11"/>
            <color theme="1"/>
            <rFont val="Aptos Narrow"/>
            <family val="2"/>
            <scheme val="minor"/>
          </rPr>
          <t>Unknown User:
CCTV pics/videos not uploaded</t>
        </r>
      </text>
    </comment>
    <comment ref="G1714" authorId="0" shapeId="0" xr:uid="{FC81047C-8538-4211-BC24-36146388E6E6}">
      <text>
        <r>
          <rPr>
            <sz val="11"/>
            <color theme="1"/>
            <rFont val="Aptos Narrow"/>
            <family val="2"/>
            <scheme val="minor"/>
          </rPr>
          <t>Unknown User:
REPLACEMENT OF COLOUR-BOND RAINWATER HEAD
$65 First Service Discount</t>
        </r>
      </text>
    </comment>
    <comment ref="G1736" authorId="0" shapeId="0" xr:uid="{BD264950-44DD-4843-8F4A-F49A76355D00}">
      <text>
        <r>
          <rPr>
            <sz val="11"/>
            <color theme="1"/>
            <rFont val="Aptos Narrow"/>
            <family val="2"/>
            <scheme val="minor"/>
          </rPr>
          <t>Unknown User:
INSTALLATION OF NEW BIDET TOILET SEAT 
10% Seniors &amp; Pensioners Discount</t>
        </r>
      </text>
    </comment>
    <comment ref="G1737" authorId="0" shapeId="0" xr:uid="{12947005-CA11-48E9-8CDD-322F7106B700}">
      <text>
        <r>
          <rPr>
            <sz val="11"/>
            <color theme="1"/>
            <rFont val="Aptos Narrow"/>
            <family val="2"/>
            <scheme val="minor"/>
          </rPr>
          <t>Unknown User:
ROOF LEAK SEARCH &amp; INVESTIGATION
$65 First Service Discount</t>
        </r>
      </text>
    </comment>
    <comment ref="G1738" authorId="0" shapeId="0" xr:uid="{3AB6C563-7445-4FD3-8B47-F4D30B1D6057}">
      <text>
        <r>
          <rPr>
            <sz val="11"/>
            <color theme="1"/>
            <rFont val="Aptos Narrow"/>
            <family val="2"/>
            <scheme val="minor"/>
          </rPr>
          <t>Unknown User:
SEARCH &amp; INVESTIGATION OF WATER HAMMER
$65 First Service Discount</t>
        </r>
      </text>
    </comment>
    <comment ref="G1739" authorId="0" shapeId="0" xr:uid="{8776711B-1081-4E96-B0AF-9E723A4FBA15}">
      <text>
        <r>
          <rPr>
            <sz val="11"/>
            <color theme="1"/>
            <rFont val="Aptos Narrow"/>
            <family val="2"/>
            <scheme val="minor"/>
          </rPr>
          <t xml:space="preserve">Unknown User:
STORM WATER SPOT RECTIFICATION IN GROUND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Guest User</author>
    <author>tc={759CE3BE-A0F5-463D-933A-033E69CC4FF9}</author>
    <author>tc={ACF2D24F-71B5-4E06-9847-7F0774A4A321}</author>
    <author>tc={467B0F27-13A6-47D9-B675-7BB983967F65}</author>
    <author>tc={A34B658C-FF04-4815-8D72-8092CF7B3791}</author>
    <author>tc={A2B9BC00-539D-4EB1-9E36-140DCD5099A5}</author>
    <author>tc={4B912284-70FB-4622-AAFB-B6EB96F5F2B2}</author>
    <author>tc={B328BEFD-86EF-4DDC-A98A-456E5BD29CAF}</author>
    <author>tc={CC03C487-4993-4120-90D2-8402807F0067}</author>
    <author>tc={8EA4C64E-860C-4026-A315-32F01F63BF89}</author>
    <author>tc={3DD0B6A0-53B0-43AC-8B88-CAD040719837}</author>
    <author>tc={9B4EFE29-F9C1-4E1B-837C-FDCEC21FFD91}</author>
    <author>tc={B9F5131C-3A90-48CC-B3B3-5625FA0050B3}</author>
    <author>tc={019DC3FB-4EF9-46AD-8AEA-BEE484E6EC59}</author>
    <author>tc={470DCC9E-5D1D-4F4E-A3BC-369C84582FA8}</author>
    <author>tc={AC4C610D-564F-4D0C-A3D5-515027B2C2E4}</author>
    <author>tc={FB67454A-826F-4821-A9CA-289AFEBC7412}</author>
    <author>tc={301411F5-EFD2-464C-9DE8-7B1C68A464E7}</author>
    <author>tc={A73870BF-6C56-4348-905E-294C9E49F85B}</author>
    <author>tc={78A8A8DB-2C2C-4074-B91E-A8568CC06052}</author>
    <author>tc={A63AD134-AE3A-47BD-A231-62CADD5939B1}</author>
    <author>tc={A2FD9001-F45A-4E86-B6E9-D5C1E6032DFC}</author>
    <author>tc={63E5BD48-E915-4680-B6CD-9D7E48C9F1C6}</author>
  </authors>
  <commentList>
    <comment ref="G30" authorId="0" shapeId="0" xr:uid="{046BA0E1-1B30-4A74-9118-598BF1FDB090}">
      <text>
        <r>
          <rPr>
            <sz val="11"/>
            <color theme="1"/>
            <rFont val="Aptos Narrow"/>
            <family val="2"/>
            <scheme val="minor"/>
          </rPr>
          <t>Unknown User:
SEARCH &amp; INVESTIGATION OF RAINWATER PUMP</t>
        </r>
      </text>
    </comment>
    <comment ref="L30" authorId="0" shapeId="0" xr:uid="{67D8CAFA-3E19-4580-960E-542860964890}">
      <text>
        <r>
          <rPr>
            <sz val="11"/>
            <color theme="1"/>
            <rFont val="Aptos Narrow"/>
            <family val="2"/>
            <scheme val="minor"/>
          </rPr>
          <t>Unknown User:
After pics not uploaded</t>
        </r>
      </text>
    </comment>
    <comment ref="S30" authorId="0" shapeId="0" xr:uid="{3024F025-AEA0-4343-91DA-16D98C2D3E17}">
      <text>
        <r>
          <rPr>
            <sz val="11"/>
            <color theme="1"/>
            <rFont val="Aptos Narrow"/>
            <family val="2"/>
            <scheme val="minor"/>
          </rPr>
          <t>Unknown User:
Signed invoice not emailed</t>
        </r>
      </text>
    </comment>
    <comment ref="G35" authorId="0" shapeId="0" xr:uid="{6D103000-903E-4C54-8B2C-2DC4C024E9B2}">
      <text>
        <r>
          <rPr>
            <sz val="11"/>
            <color theme="1"/>
            <rFont val="Aptos Narrow"/>
            <family val="2"/>
            <scheme val="minor"/>
          </rPr>
          <t>Unknown User:
SUPPLY &amp; INSTALLATION OF RAINWATER PUMP WITH RAIN2MAIN WATER SWITCHING UNIT</t>
        </r>
      </text>
    </comment>
    <comment ref="L35" authorId="0" shapeId="0" xr:uid="{D690E890-CAC7-490D-B947-0633B0A509A1}">
      <text>
        <r>
          <rPr>
            <sz val="11"/>
            <color theme="1"/>
            <rFont val="Aptos Narrow"/>
            <family val="2"/>
            <scheme val="minor"/>
          </rPr>
          <t>Unknown User:
After photos not identifiable</t>
        </r>
      </text>
    </comment>
    <comment ref="S35" authorId="0" shapeId="0" xr:uid="{213A35FB-B3E2-42FC-A8C9-2342861B188D}">
      <text>
        <r>
          <rPr>
            <sz val="11"/>
            <color theme="1"/>
            <rFont val="Aptos Narrow"/>
            <family val="2"/>
            <scheme val="minor"/>
          </rPr>
          <t>Unknown User:
Signed invoice not emailed</t>
        </r>
      </text>
    </comment>
    <comment ref="G39" authorId="0" shapeId="0" xr:uid="{26435E59-3471-4590-9F9E-B29ED3349C61}">
      <text>
        <r>
          <rPr>
            <sz val="11"/>
            <color theme="1"/>
            <rFont val="Aptos Narrow"/>
            <family val="2"/>
            <scheme val="minor"/>
          </rPr>
          <t>Unknown User:
SEARCH &amp; INVESTIGATION OF IN WALL MIXER
10% Seniors &amp; Pensioners Discount</t>
        </r>
      </text>
    </comment>
    <comment ref="G40" authorId="0" shapeId="0" xr:uid="{A0339CAA-898D-42D8-A992-6D0EBF7C0DFA}">
      <text>
        <r>
          <rPr>
            <sz val="11"/>
            <color theme="1"/>
            <rFont val="Aptos Narrow"/>
            <family val="2"/>
            <scheme val="minor"/>
          </rPr>
          <t xml:space="preserve">Unknown User:
Bathroom Rough In
*Gain access to work area </t>
        </r>
      </text>
    </comment>
    <comment ref="G41" authorId="0" shapeId="0" xr:uid="{784E201C-70B1-40A9-A8A8-82A5B986ADC4}">
      <text>
        <r>
          <rPr>
            <sz val="11"/>
            <color theme="1"/>
            <rFont val="Aptos Narrow"/>
            <family val="2"/>
            <scheme val="minor"/>
          </rPr>
          <t>Unknown User:
CONVERT SOLAR SPLIT HOT WATER SYSTEM TO EXTERNAL GAS INSTANTANEOUS HOT WATER SYSTEM
10% Seniors &amp; Pensioners Discount</t>
        </r>
      </text>
    </comment>
    <comment ref="G42" authorId="0" shapeId="0" xr:uid="{C1E95B07-D363-4884-B5C0-1D3DE6E0EF11}">
      <text>
        <r>
          <rPr>
            <sz val="11"/>
            <color theme="1"/>
            <rFont val="Aptos Narrow"/>
            <family val="2"/>
            <scheme val="minor"/>
          </rPr>
          <t>Unknown User:
CONVERT SOLAR SPLIT HOT WATER SYSTEM TO EXTERNAL GAS INSTANTANEOUS HOT WATER SYSTEM10% Good Will Discount</t>
        </r>
      </text>
    </comment>
    <comment ref="G43" authorId="0" shapeId="0" xr:uid="{2B045812-8408-46E3-BAAF-D7577FD04A68}">
      <text>
        <r>
          <rPr>
            <sz val="11"/>
            <color theme="1"/>
            <rFont val="Aptos Narrow"/>
            <family val="2"/>
            <scheme val="minor"/>
          </rPr>
          <t>Unknown User:
SUPPLY AND INSTALLATION OF RIGHT-ANGLED PRESSURE REGULATING DEVICE FITTED TO 20MM STRAIGHT PIPEWORK
$85 Off First Service</t>
        </r>
      </text>
    </comment>
    <comment ref="E65" authorId="1" shapeId="0" xr:uid="{759CE3BE-A0F5-463D-933A-033E69CC4FF9}">
      <text>
        <t>[Threaded comment]
Your version of Excel allows you to read this threaded comment; however, any edits to it will get removed if the file is opened in a newer version of Excel. Learn more: https://go.microsoft.com/fwlink/?linkid=870924
Comment:
    Stock</t>
      </text>
    </comment>
    <comment ref="G76" authorId="0" shapeId="0" xr:uid="{DE300601-3BD7-452D-ADC2-C3D4B10B1FFD}">
      <text>
        <r>
          <rPr>
            <sz val="11"/>
            <color theme="1"/>
            <rFont val="Aptos Narrow"/>
            <family val="2"/>
            <scheme val="minor"/>
          </rPr>
          <t>Unknown User:
SEARCH &amp; INVESTIGATION (GENERAL)
10% Seniors &amp; Pensioners Discount</t>
        </r>
      </text>
    </comment>
    <comment ref="G77" authorId="0" shapeId="0" xr:uid="{25316D0B-157D-4208-B154-7B866BF666BF}">
      <text>
        <r>
          <rPr>
            <sz val="11"/>
            <color theme="1"/>
            <rFont val="Aptos Narrow"/>
            <family val="2"/>
            <scheme val="minor"/>
          </rPr>
          <t xml:space="preserve">Unknown User:
HIGH POWERED SUCTION &amp; ACID TREATMENT
10% Seniors &amp; Pensioners Discount </t>
        </r>
      </text>
    </comment>
    <comment ref="S77" authorId="0" shapeId="0" xr:uid="{28705B1E-FDDC-44E4-A5A3-DE5F5AEC5A65}">
      <text>
        <r>
          <rPr>
            <sz val="11"/>
            <color theme="1"/>
            <rFont val="Aptos Narrow"/>
            <family val="2"/>
            <scheme val="minor"/>
          </rPr>
          <t>Unknown User:
Signed invoice not emailed</t>
        </r>
      </text>
    </comment>
    <comment ref="G78" authorId="0" shapeId="0" xr:uid="{D8DCA3D4-506D-447B-9149-43C67ABCD857}">
      <text>
        <r>
          <rPr>
            <sz val="11"/>
            <color theme="1"/>
            <rFont val="Aptos Narrow"/>
            <family val="2"/>
            <scheme val="minor"/>
          </rPr>
          <t>Unknown User:
REPLACEMENT OF EXISTING 20MM WATER CONNECTION WITH BRAIDED FLEXIBLE HOSE</t>
        </r>
      </text>
    </comment>
    <comment ref="G79" authorId="0" shapeId="0" xr:uid="{C8157EA4-9424-43A8-BF35-74A90C4A233F}">
      <text>
        <r>
          <rPr>
            <sz val="11"/>
            <color theme="1"/>
            <rFont val="Aptos Narrow"/>
            <family val="2"/>
            <scheme val="minor"/>
          </rPr>
          <t>Unknown User:
SEARCH AND INVESTIGATION OF SOLAR SPLIT HOT WATER SYSTEM</t>
        </r>
      </text>
    </comment>
    <comment ref="S79" authorId="0" shapeId="0" xr:uid="{74AB4633-36FE-4C50-855F-71AB6319E11B}">
      <text>
        <r>
          <rPr>
            <sz val="11"/>
            <color theme="1"/>
            <rFont val="Aptos Narrow"/>
            <family val="2"/>
            <scheme val="minor"/>
          </rPr>
          <t>Unknown User:
Signed invoice not emailed</t>
        </r>
      </text>
    </comment>
    <comment ref="G80" authorId="0" shapeId="0" xr:uid="{CDE39E5F-0CDF-4E90-BBAB-785C93C63640}">
      <text>
        <r>
          <rPr>
            <sz val="11"/>
            <color theme="1"/>
            <rFont val="Aptos Narrow"/>
            <family val="2"/>
            <scheme val="minor"/>
          </rPr>
          <t>Unknown User:
SEARCH &amp; INVESTIGATION OF GAS STORAGE HOT WATER SYSTEM</t>
        </r>
      </text>
    </comment>
    <comment ref="L80" authorId="0" shapeId="0" xr:uid="{526E0389-522B-48FE-9CB5-38CBC37B9DA8}">
      <text>
        <r>
          <rPr>
            <sz val="11"/>
            <color theme="1"/>
            <rFont val="Aptos Narrow"/>
            <family val="2"/>
            <scheme val="minor"/>
          </rPr>
          <t>Unknown User:
After pics are not satisfactory. More pics to be uploaded.</t>
        </r>
      </text>
    </comment>
    <comment ref="S80" authorId="0" shapeId="0" xr:uid="{0CC3E20F-149E-4FCE-A88F-18A800E6EED2}">
      <text>
        <r>
          <rPr>
            <sz val="11"/>
            <color theme="1"/>
            <rFont val="Aptos Narrow"/>
            <family val="2"/>
            <scheme val="minor"/>
          </rPr>
          <t>Unknown User:
Signed invoice not emailed</t>
        </r>
      </text>
    </comment>
    <comment ref="G81" authorId="0" shapeId="0" xr:uid="{5F550AD6-38DA-422F-A8A4-2FE886ACC2E8}">
      <text>
        <r>
          <rPr>
            <sz val="11"/>
            <color theme="1"/>
            <rFont val="Aptos Narrow"/>
            <family val="2"/>
            <scheme val="minor"/>
          </rPr>
          <t>Unknown User:
SUPPLY &amp; INSTALLATION OF TEMPERING VALVE</t>
        </r>
      </text>
    </comment>
    <comment ref="G82" authorId="0" shapeId="0" xr:uid="{041DCF0E-7F2F-444E-BA28-B6C5B3D81FBD}">
      <text>
        <r>
          <rPr>
            <sz val="11"/>
            <color theme="1"/>
            <rFont val="Aptos Narrow"/>
            <family val="2"/>
            <scheme val="minor"/>
          </rPr>
          <t>Unknown User:
SEARCH AND INVESTIGATION OF SOLAR SPLIT HOT WATER SYSTEM</t>
        </r>
      </text>
    </comment>
    <comment ref="G83" authorId="0" shapeId="0" xr:uid="{A3D159D9-8627-4CE6-A7DA-5CC0F564463D}">
      <text>
        <r>
          <rPr>
            <sz val="11"/>
            <color theme="1"/>
            <rFont val="Aptos Narrow"/>
            <family val="2"/>
            <scheme val="minor"/>
          </rPr>
          <t>Unknown User:
SUPPLY &amp; INSTALLATION OF GAS STORAGE HOT WATER SYSTEM (EXTERNAL)</t>
        </r>
      </text>
    </comment>
    <comment ref="O83" authorId="0" shapeId="0" xr:uid="{3E10C4B2-9059-41BB-B63C-D43E28252AB5}">
      <text>
        <r>
          <rPr>
            <sz val="11"/>
            <color theme="1"/>
            <rFont val="Aptos Narrow"/>
            <family val="2"/>
            <scheme val="minor"/>
          </rPr>
          <t>Unknown User:
SMS approval</t>
        </r>
      </text>
    </comment>
    <comment ref="P83" authorId="0" shapeId="0" xr:uid="{2BFF09FC-037B-4AC4-A124-1E1A4D5BFE4D}">
      <text>
        <r>
          <rPr>
            <sz val="11"/>
            <color theme="1"/>
            <rFont val="Aptos Narrow"/>
            <family val="2"/>
            <scheme val="minor"/>
          </rPr>
          <t>Unknown User:
Quote not emailed</t>
        </r>
      </text>
    </comment>
    <comment ref="S83" authorId="0" shapeId="0" xr:uid="{B2EEDECC-1E4B-4E05-B244-159309017B80}">
      <text>
        <r>
          <rPr>
            <sz val="11"/>
            <color theme="1"/>
            <rFont val="Aptos Narrow"/>
            <family val="2"/>
            <scheme val="minor"/>
          </rPr>
          <t>Unknown User:
Signed invoice not emailed</t>
        </r>
      </text>
    </comment>
    <comment ref="G84" authorId="0" shapeId="0" xr:uid="{BE8A8F9C-936A-4CDF-BE7A-17D67E970DC9}">
      <text>
        <r>
          <rPr>
            <sz val="11"/>
            <color theme="1"/>
            <rFont val="Aptos Narrow"/>
            <family val="2"/>
            <scheme val="minor"/>
          </rPr>
          <t>Unknown User:
SEARCH AND INVESTIGATION OF ELECTRIC STORAGE HOT WATER SYSTEM</t>
        </r>
      </text>
    </comment>
    <comment ref="G85" authorId="0" shapeId="0" xr:uid="{F4A2357F-74AC-4C3D-B2F2-86A9857CA11A}">
      <text>
        <r>
          <rPr>
            <sz val="11"/>
            <color theme="1"/>
            <rFont val="Aptos Narrow"/>
            <family val="2"/>
            <scheme val="minor"/>
          </rPr>
          <t>Unknown User:
REPLACEMENT OF EXISTING GOOSE NECK KITCHEN MIXER</t>
        </r>
      </text>
    </comment>
    <comment ref="S85" authorId="0" shapeId="0" xr:uid="{ED622D42-F926-4E8C-A027-57BFE90181FF}">
      <text>
        <r>
          <rPr>
            <sz val="11"/>
            <color theme="1"/>
            <rFont val="Aptos Narrow"/>
            <family val="2"/>
            <scheme val="minor"/>
          </rPr>
          <t>Unknown User:
Signed invoice not emailed</t>
        </r>
      </text>
    </comment>
    <comment ref="G86" authorId="0" shapeId="0" xr:uid="{0AD41237-7708-456A-97E3-81B097EC8F6F}">
      <text>
        <r>
          <rPr>
            <sz val="11"/>
            <color theme="1"/>
            <rFont val="Aptos Narrow"/>
            <family val="2"/>
            <scheme val="minor"/>
          </rPr>
          <t>Unknown User:
REPLACEMENT OF PAIR EMERGENCY STOP VALVES</t>
        </r>
      </text>
    </comment>
    <comment ref="G87" authorId="0" shapeId="0" xr:uid="{31E6822B-AC21-4DCE-8D30-B647124B76F6}">
      <text>
        <r>
          <rPr>
            <sz val="11"/>
            <color theme="1"/>
            <rFont val="Aptos Narrow"/>
            <family val="2"/>
            <scheme val="minor"/>
          </rPr>
          <t>Unknown User:
SUPPLY &amp; INSTALLATION OF GAS STORAGE HOT WATER SYSTEM (EXTERNAL)
10% Seniors &amp; Pensioners Discount</t>
        </r>
      </text>
    </comment>
    <comment ref="G88" authorId="0" shapeId="0" xr:uid="{71CC16A1-8444-4C52-B2C4-F5C7AD1A4ED3}">
      <text>
        <r>
          <rPr>
            <sz val="11"/>
            <color theme="1"/>
            <rFont val="Aptos Narrow"/>
            <family val="2"/>
            <scheme val="minor"/>
          </rPr>
          <t>Unknown User:
SEARCH &amp; INVESTIGATION (GENERAL)
10% Seniors &amp; Pensioners Discount</t>
        </r>
      </text>
    </comment>
    <comment ref="G89" authorId="0" shapeId="0" xr:uid="{E834B381-161B-4DA4-A3D2-BCD747320601}">
      <text>
        <r>
          <rPr>
            <sz val="11"/>
            <color theme="1"/>
            <rFont val="Aptos Narrow"/>
            <family val="2"/>
            <scheme val="minor"/>
          </rPr>
          <t>Unknown User:
WATER SERVICE RECTIFICATION (EXPOSED)
$85 Off First Service</t>
        </r>
      </text>
    </comment>
    <comment ref="G94" authorId="0" shapeId="0" xr:uid="{C98D5458-81D9-44A9-BCFE-6D8263312FA6}">
      <text>
        <r>
          <rPr>
            <sz val="11"/>
            <color theme="1"/>
            <rFont val="Aptos Narrow"/>
            <family val="2"/>
            <scheme val="minor"/>
          </rPr>
          <t>Unknown User:
SUPPLY &amp; INSTALLATION OF RAINWATER PUMP WITH RAIN2MAIN WATER SWITCHING UNIT</t>
        </r>
      </text>
    </comment>
    <comment ref="L94" authorId="0" shapeId="0" xr:uid="{4B14089D-47F1-44DB-B9A1-0A0507A22E1C}">
      <text>
        <r>
          <rPr>
            <sz val="11"/>
            <color theme="1"/>
            <rFont val="Aptos Narrow"/>
            <family val="2"/>
            <scheme val="minor"/>
          </rPr>
          <t>Unknown User:
After photos not identifiable</t>
        </r>
      </text>
    </comment>
    <comment ref="S94" authorId="0" shapeId="0" xr:uid="{E1166AB7-9E1D-4B08-BAF6-262BFA710191}">
      <text>
        <r>
          <rPr>
            <sz val="11"/>
            <color theme="1"/>
            <rFont val="Aptos Narrow"/>
            <family val="2"/>
            <scheme val="minor"/>
          </rPr>
          <t>Unknown User:
Signed invoice not emailed</t>
        </r>
      </text>
    </comment>
    <comment ref="G98" authorId="0" shapeId="0" xr:uid="{319E0548-AD8B-43E1-B021-1C278E2CC9D5}">
      <text>
        <r>
          <rPr>
            <sz val="11"/>
            <color theme="1"/>
            <rFont val="Aptos Narrow"/>
            <family val="2"/>
            <scheme val="minor"/>
          </rPr>
          <t>Unknown User:
*Isolate water service to property 
*Gain access to plaster walls and ceilings 
*Gain access to kitchen cold water service 
*Cut and remove section of cold water service from kitchen 
*Supply and install new service tee 
*Supply and install new service adapters 
*Supply and install new press fittings 
*Supply and install new emergency isolation valve 
*Supply and install new BP19 
*Supply and install new garden hose tap assembly 
*Supply and install new water service to new location 
*Supply and install new service clips and supports 
*Reinstate water service to property 
*Test and commission installation 
*Removal of trade waste from site 
$85 Off First Service</t>
        </r>
      </text>
    </comment>
    <comment ref="G100" authorId="0" shapeId="0" xr:uid="{C6F579E0-9A53-4E2B-81EC-49E080FC97A3}">
      <text>
        <r>
          <rPr>
            <sz val="11"/>
            <color theme="1"/>
            <rFont val="Aptos Narrow"/>
            <family val="2"/>
            <scheme val="minor"/>
          </rPr>
          <t>Unknown User:
SUPPLY &amp; INSTALLATION OF GAS STORAGE HOT WATER SYSTEM (EXTERNAL)
10% Seniors &amp; Pensioners Discount</t>
        </r>
      </text>
    </comment>
    <comment ref="G101" authorId="0" shapeId="0" xr:uid="{802B2CBE-C58F-4895-9AE2-89DBF15FF137}">
      <text>
        <r>
          <rPr>
            <sz val="11"/>
            <color theme="1"/>
            <rFont val="Aptos Narrow"/>
            <family val="2"/>
            <scheme val="minor"/>
          </rPr>
          <t>Unknown User:
CONVERT EXTERNAL GAS STORAGE HOT WATER SYSTEM TO EXTERNAL GAS INSTANTANEOUS HOT WATER SYSTEM
10% Seniors &amp; Pensioners Discount</t>
        </r>
      </text>
    </comment>
    <comment ref="G102" authorId="0" shapeId="0" xr:uid="{625284E0-B74A-4542-A1E1-D1EC5390C038}">
      <text>
        <r>
          <rPr>
            <sz val="11"/>
            <color theme="1"/>
            <rFont val="Aptos Narrow"/>
            <family val="2"/>
            <scheme val="minor"/>
          </rPr>
          <t xml:space="preserve">Unknown User:
REPLACEMENT OF URINAL CISTERN TO SINGLE WALL HUNG URINAL OR 600MM OF URINAL TROUGH
</t>
        </r>
      </text>
    </comment>
    <comment ref="G103" authorId="0" shapeId="0" xr:uid="{6BBCF53C-45FB-4078-8EB8-95773CD02014}">
      <text>
        <r>
          <rPr>
            <sz val="11"/>
            <color theme="1"/>
            <rFont val="Aptos Narrow"/>
            <family val="2"/>
            <scheme val="minor"/>
          </rPr>
          <t>Unknown User:
CONVERT GAS BOOSTED SOLAR HOT WATER SYSTEM TO EXTERNAL GAS INSTANTANEOUS HOT WATER SYSTEM</t>
        </r>
      </text>
    </comment>
    <comment ref="G104" authorId="0" shapeId="0" xr:uid="{849F07EC-668A-4179-B284-F4FC2AC4E0C5}">
      <text>
        <r>
          <rPr>
            <sz val="11"/>
            <color theme="1"/>
            <rFont val="Aptos Narrow"/>
            <family val="2"/>
            <scheme val="minor"/>
          </rPr>
          <t>Unknown User:
SEARCH &amp; INVESTIGATION OF DISHWASHER
10% Seniors &amp; Pensioners Discount</t>
        </r>
      </text>
    </comment>
    <comment ref="G105" authorId="0" shapeId="0" xr:uid="{DC8531D8-0945-40BB-AC8D-9376851A4E8D}">
      <text>
        <r>
          <rPr>
            <sz val="11"/>
            <color theme="1"/>
            <rFont val="Aptos Narrow"/>
            <family val="2"/>
            <scheme val="minor"/>
          </rPr>
          <t xml:space="preserve">Unknown User:
SEARCH &amp; INVESTIGATION OF GAS STORAGE HOT WATER SYSTEM
</t>
        </r>
      </text>
    </comment>
    <comment ref="O105" authorId="0" shapeId="0" xr:uid="{E9608761-FF14-4507-B3CD-42CA9797F45F}">
      <text>
        <r>
          <rPr>
            <sz val="11"/>
            <color theme="1"/>
            <rFont val="Aptos Narrow"/>
            <family val="2"/>
            <scheme val="minor"/>
          </rPr>
          <t>Unknown User:
SMS approval</t>
        </r>
      </text>
    </comment>
    <comment ref="G106" authorId="0" shapeId="0" xr:uid="{977A40A7-9A49-498E-8EDE-09C9D57DF9A4}">
      <text>
        <r>
          <rPr>
            <sz val="11"/>
            <color theme="1"/>
            <rFont val="Aptos Narrow"/>
            <family val="2"/>
            <scheme val="minor"/>
          </rPr>
          <t>Unknown User:
ROOF LEAK SEARCH &amp; INVESTIGATION
$85 Off First Service</t>
        </r>
      </text>
    </comment>
    <comment ref="G107" authorId="0" shapeId="0" xr:uid="{AA0A69D4-2996-4796-A492-632995954A66}">
      <text>
        <r>
          <rPr>
            <sz val="11"/>
            <color theme="1"/>
            <rFont val="Aptos Narrow"/>
            <family val="2"/>
            <scheme val="minor"/>
          </rPr>
          <t>Unknown User:
CONVERT INTERNAL GAS STORAGE HOT WATER SYSTEM TO EXTERNAL GAS INSTANTANEOUS HOT WATER SYSTEM
10% Seniors &amp; Pensioners Discount</t>
        </r>
      </text>
    </comment>
    <comment ref="G108" authorId="0" shapeId="0" xr:uid="{20242C9F-266F-46BD-B182-2E0AD446E8AB}">
      <text>
        <r>
          <rPr>
            <sz val="11"/>
            <color theme="1"/>
            <rFont val="Aptos Narrow"/>
            <family val="2"/>
            <scheme val="minor"/>
          </rPr>
          <t>Unknown User:
SUPPLY &amp; INSTALLATION OF GAS STORAGE HOT WATER SYSTEM (EXTERNAL)
10% Seniors &amp; Pensioners Discount</t>
        </r>
      </text>
    </comment>
    <comment ref="G109" authorId="0" shapeId="0" xr:uid="{7BCB9AF1-657F-4A66-BF38-C9600009B89F}">
      <text>
        <r>
          <rPr>
            <sz val="11"/>
            <color theme="1"/>
            <rFont val="Aptos Narrow"/>
            <family val="2"/>
            <scheme val="minor"/>
          </rPr>
          <t>Unknown User:
RELOCATING WASHING MACHINE STOPS</t>
        </r>
      </text>
    </comment>
    <comment ref="G110" authorId="0" shapeId="0" xr:uid="{8420C5D0-B31C-40AF-9B29-C1E11B9F7325}">
      <text>
        <r>
          <rPr>
            <sz val="11"/>
            <color theme="1"/>
            <rFont val="Aptos Narrow"/>
            <family val="2"/>
            <scheme val="minor"/>
          </rPr>
          <t>Unknown User:
INSTALLATION OF WALL HUNG BASIN ROUGH IN</t>
        </r>
      </text>
    </comment>
    <comment ref="G111" authorId="0" shapeId="0" xr:uid="{D09EE009-2846-45E4-9086-9DBCD83D2B4C}">
      <text>
        <r>
          <rPr>
            <sz val="11"/>
            <color theme="1"/>
            <rFont val="Aptos Narrow"/>
            <family val="2"/>
            <scheme val="minor"/>
          </rPr>
          <t>Unknown User:
WATER SERVICE RECTIFICATION (EXPOSED)</t>
        </r>
      </text>
    </comment>
    <comment ref="G143" authorId="0" shapeId="0" xr:uid="{1CF52179-A4BC-4EAC-BEF2-514E6F08EFD6}">
      <text>
        <r>
          <rPr>
            <sz val="11"/>
            <color theme="1"/>
            <rFont val="Aptos Narrow"/>
            <family val="2"/>
            <scheme val="minor"/>
          </rPr>
          <t>Unknown User:
SUPPLY &amp; INSTALLATION OF GAS STORAGE HOT WATER SYSTEM (EXTERNAL)
10% Seniors &amp; Pensioners Discount
$220.00 CASH BACK</t>
        </r>
      </text>
    </comment>
    <comment ref="S143" authorId="0" shapeId="0" xr:uid="{F832852C-86DB-4D74-879D-6B0104E4E1FC}">
      <text>
        <r>
          <rPr>
            <sz val="11"/>
            <color theme="1"/>
            <rFont val="Aptos Narrow"/>
            <family val="2"/>
            <scheme val="minor"/>
          </rPr>
          <t>Unknown User:
Signed invoice not emailed</t>
        </r>
      </text>
    </comment>
    <comment ref="G144" authorId="0" shapeId="0" xr:uid="{D6FD7151-FC40-480B-A0CD-9823F74C9D2E}">
      <text>
        <r>
          <rPr>
            <sz val="11"/>
            <color theme="1"/>
            <rFont val="Aptos Narrow"/>
            <family val="2"/>
            <scheme val="minor"/>
          </rPr>
          <t>Unknown User:
COMPLETE SERVICE OF TAP TOP ASSEMBLY</t>
        </r>
      </text>
    </comment>
    <comment ref="S144" authorId="0" shapeId="0" xr:uid="{E9C05FC7-3330-43B1-9D52-A19C1C751885}">
      <text>
        <r>
          <rPr>
            <sz val="11"/>
            <color theme="1"/>
            <rFont val="Aptos Narrow"/>
            <family val="2"/>
            <scheme val="minor"/>
          </rPr>
          <t>Unknown User:
Signed invoice not emailed</t>
        </r>
      </text>
    </comment>
    <comment ref="G145" authorId="0" shapeId="0" xr:uid="{863D36B6-F6B4-4A9C-9DF0-CE3ED2830F70}">
      <text>
        <r>
          <rPr>
            <sz val="11"/>
            <color theme="1"/>
            <rFont val="Aptos Narrow"/>
            <family val="2"/>
            <scheme val="minor"/>
          </rPr>
          <t>Unknown User:
COMPLETE SERVICE OF WALL TOP TAPS ASSEMBLY</t>
        </r>
      </text>
    </comment>
    <comment ref="L145" authorId="0" shapeId="0" xr:uid="{1C415256-4AB6-490D-82E8-77E67B1C445B}">
      <text>
        <r>
          <rPr>
            <sz val="11"/>
            <color theme="1"/>
            <rFont val="Aptos Narrow"/>
            <family val="2"/>
            <scheme val="minor"/>
          </rPr>
          <t>Unknown User:
Wall tap tops serviced but tap fitted pic &amp; testing/commission pic not uploaded.</t>
        </r>
      </text>
    </comment>
    <comment ref="G146" authorId="0" shapeId="0" xr:uid="{4A46BB32-633E-4C01-AA3B-326D55D89875}">
      <text>
        <r>
          <rPr>
            <sz val="11"/>
            <color theme="1"/>
            <rFont val="Aptos Narrow"/>
            <family val="2"/>
            <scheme val="minor"/>
          </rPr>
          <t>Unknown User:
SEARCH &amp; INVESTIGATION OF DISHWASHER</t>
        </r>
      </text>
    </comment>
    <comment ref="L146" authorId="0" shapeId="0" xr:uid="{F8C090A9-9E8E-4799-A03E-92D0B27856FE}">
      <text>
        <r>
          <rPr>
            <sz val="11"/>
            <color theme="1"/>
            <rFont val="Aptos Narrow"/>
            <family val="2"/>
            <scheme val="minor"/>
          </rPr>
          <t>Unknown User:
After pics/investigation pics are not uploaded.</t>
        </r>
      </text>
    </comment>
    <comment ref="P146" authorId="0" shapeId="0" xr:uid="{B432D36D-C0A9-4CE5-B694-6C245E203597}">
      <text>
        <r>
          <rPr>
            <sz val="11"/>
            <color theme="1"/>
            <rFont val="Aptos Narrow"/>
            <family val="2"/>
            <scheme val="minor"/>
          </rPr>
          <t>Unknown User:
Quote not emailed</t>
        </r>
      </text>
    </comment>
    <comment ref="G147" authorId="0" shapeId="0" xr:uid="{6786A313-CCF2-4D91-A273-458574EE24D0}">
      <text>
        <r>
          <rPr>
            <sz val="11"/>
            <color theme="1"/>
            <rFont val="Aptos Narrow"/>
            <family val="2"/>
            <scheme val="minor"/>
          </rPr>
          <t xml:space="preserve">Unknown User:
SUPPLY &amp; INSTALLATION OF GAS STORAGE HOT WATER SYSTEM (EXTERNAL)
</t>
        </r>
      </text>
    </comment>
    <comment ref="S147" authorId="0" shapeId="0" xr:uid="{A5977857-8EC4-47CF-9880-1F3751DC359F}">
      <text>
        <r>
          <rPr>
            <sz val="11"/>
            <color theme="1"/>
            <rFont val="Aptos Narrow"/>
            <family val="2"/>
            <scheme val="minor"/>
          </rPr>
          <t>Unknown User:
Signed invoice not emailed</t>
        </r>
      </text>
    </comment>
    <comment ref="U147" authorId="0" shapeId="0" xr:uid="{7D9276CA-7D47-4B2A-987A-4BE25CFBF39D}">
      <text>
        <r>
          <rPr>
            <sz val="11"/>
            <color theme="1"/>
            <rFont val="Aptos Narrow"/>
            <family val="2"/>
            <scheme val="minor"/>
          </rPr>
          <t>Unknown User:
3/9-As per ALex P's note "Temp check complete
Will need to order flashing for around the hws that's recessed into a wall. Got measurements and a rough photo of what I think was originally there. But hard with no photos.
Renderer is coming Friday to do second coat so will need to return next week sometime to complete the flashing."</t>
        </r>
      </text>
    </comment>
    <comment ref="G148" authorId="0" shapeId="0" xr:uid="{CC1500A3-D16B-4144-B7CC-C391A0E72C51}">
      <text>
        <r>
          <rPr>
            <sz val="11"/>
            <color theme="1"/>
            <rFont val="Aptos Narrow"/>
            <family val="2"/>
            <scheme val="minor"/>
          </rPr>
          <t>Unknown User:
HIGH POWERED SUCTION PUMP</t>
        </r>
      </text>
    </comment>
    <comment ref="S148" authorId="0" shapeId="0" xr:uid="{F74AFA09-3FEE-4C40-BAAC-945510256B6D}">
      <text>
        <r>
          <rPr>
            <sz val="11"/>
            <color theme="1"/>
            <rFont val="Aptos Narrow"/>
            <family val="2"/>
            <scheme val="minor"/>
          </rPr>
          <t>Unknown User:
Signed invoice not emailed</t>
        </r>
      </text>
    </comment>
    <comment ref="G149" authorId="0" shapeId="0" xr:uid="{381AC24B-1EF9-4B33-8BD6-766A6651CCF2}">
      <text>
        <r>
          <rPr>
            <sz val="11"/>
            <color theme="1"/>
            <rFont val="Aptos Narrow"/>
            <family val="2"/>
            <scheme val="minor"/>
          </rPr>
          <t>Unknown User:
MIXER TAP - GOOSE NECK</t>
        </r>
      </text>
    </comment>
    <comment ref="S149" authorId="0" shapeId="0" xr:uid="{6F5BBCE8-E9D4-4589-A0D3-1A6EC02C0615}">
      <text>
        <r>
          <rPr>
            <sz val="11"/>
            <color theme="1"/>
            <rFont val="Aptos Narrow"/>
            <family val="2"/>
            <scheme val="minor"/>
          </rPr>
          <t>Unknown User:
Signed invoice not emailed</t>
        </r>
      </text>
    </comment>
    <comment ref="G150" authorId="0" shapeId="0" xr:uid="{12D613F6-3FEB-4E5B-884B-EFB25B375AA0}">
      <text>
        <r>
          <rPr>
            <sz val="11"/>
            <color theme="1"/>
            <rFont val="Aptos Narrow"/>
            <family val="2"/>
            <scheme val="minor"/>
          </rPr>
          <t xml:space="preserve">Unknown User:
MIXER TAP - GOOSE NECK
</t>
        </r>
      </text>
    </comment>
    <comment ref="G151" authorId="0" shapeId="0" xr:uid="{D1197E5C-DB8D-42A4-936B-CCBEB804080C}">
      <text>
        <r>
          <rPr>
            <sz val="11"/>
            <color theme="1"/>
            <rFont val="Aptos Narrow"/>
            <family val="2"/>
            <scheme val="minor"/>
          </rPr>
          <t>Unknown User:
WATER SERVICE RECTIFICATION (IN WALL)</t>
        </r>
      </text>
    </comment>
    <comment ref="G156" authorId="0" shapeId="0" xr:uid="{16E420A7-51C2-438D-B584-074AD770C619}">
      <text>
        <r>
          <rPr>
            <sz val="11"/>
            <color theme="1"/>
            <rFont val="Aptos Narrow"/>
            <family val="2"/>
            <scheme val="minor"/>
          </rPr>
          <t>Unknown User:
SEARCH &amp; INVESTIGATION OF GAS APPLIANCE</t>
        </r>
      </text>
    </comment>
    <comment ref="O156" authorId="0" shapeId="0" xr:uid="{E5C916A7-7BBB-4B69-8CEC-ACED944AC840}">
      <text>
        <r>
          <rPr>
            <sz val="11"/>
            <color theme="1"/>
            <rFont val="Aptos Narrow"/>
            <family val="2"/>
            <scheme val="minor"/>
          </rPr>
          <t>Unknown User:
SMS approval</t>
        </r>
      </text>
    </comment>
    <comment ref="P156" authorId="0" shapeId="0" xr:uid="{99C78F06-0234-432E-A178-B90E23792580}">
      <text>
        <r>
          <rPr>
            <sz val="11"/>
            <color theme="1"/>
            <rFont val="Aptos Narrow"/>
            <family val="2"/>
            <scheme val="minor"/>
          </rPr>
          <t>Unknown User:
Quote not emailed</t>
        </r>
      </text>
    </comment>
    <comment ref="S156" authorId="0" shapeId="0" xr:uid="{90F5CD91-89F4-426B-9EE8-79FADCE84646}">
      <text>
        <r>
          <rPr>
            <sz val="11"/>
            <color theme="1"/>
            <rFont val="Aptos Narrow"/>
            <family val="2"/>
            <scheme val="minor"/>
          </rPr>
          <t>Unknown User:
Signed invoice not emailed</t>
        </r>
      </text>
    </comment>
    <comment ref="G160" authorId="0" shapeId="0" xr:uid="{E4B89966-57E4-4F28-9BA1-5D63CB1A696B}">
      <text>
        <r>
          <rPr>
            <sz val="11"/>
            <color theme="1"/>
            <rFont val="Aptos Narrow"/>
            <family val="2"/>
            <scheme val="minor"/>
          </rPr>
          <t>Unknown User:
SUPPLY &amp; INSTALLATION OF RAINWATER PUMP WITH RAIN2MAIN WATER SWITCHING UNIT</t>
        </r>
      </text>
    </comment>
    <comment ref="L160" authorId="0" shapeId="0" xr:uid="{E2F4888E-80E4-4BE2-803D-9A66A52BCCC6}">
      <text>
        <r>
          <rPr>
            <sz val="11"/>
            <color theme="1"/>
            <rFont val="Aptos Narrow"/>
            <family val="2"/>
            <scheme val="minor"/>
          </rPr>
          <t>Unknown User:
After photos not identifiable</t>
        </r>
      </text>
    </comment>
    <comment ref="S160" authorId="0" shapeId="0" xr:uid="{50DC5920-F1BF-454D-BA42-CC6C8E101AFC}">
      <text>
        <r>
          <rPr>
            <sz val="11"/>
            <color theme="1"/>
            <rFont val="Aptos Narrow"/>
            <family val="2"/>
            <scheme val="minor"/>
          </rPr>
          <t>Unknown User:
Signed invoice not emailed</t>
        </r>
      </text>
    </comment>
    <comment ref="G164" authorId="0" shapeId="0" xr:uid="{33E616A5-0546-4C96-A4CB-4011BE88BC38}">
      <text>
        <r>
          <rPr>
            <sz val="11"/>
            <color theme="1"/>
            <rFont val="Aptos Narrow"/>
            <family val="2"/>
            <scheme val="minor"/>
          </rPr>
          <t>Unknown User:
REPLACEMENT OF TAP TOPS
$65 First Service Discount</t>
        </r>
      </text>
    </comment>
    <comment ref="G165" authorId="0" shapeId="0" xr:uid="{36A8B5E0-64E0-4277-9DB8-DD3DEE39DA71}">
      <text>
        <r>
          <rPr>
            <sz val="11"/>
            <color theme="1"/>
            <rFont val="Aptos Narrow"/>
            <family val="2"/>
            <scheme val="minor"/>
          </rPr>
          <t>Unknown User:
CONVERT INTERNAL GAS BOSCH TO EXTERNAL GAS STORAGE 
10% Seniors &amp; Pensioners Discount</t>
        </r>
      </text>
    </comment>
    <comment ref="G166" authorId="0" shapeId="0" xr:uid="{B986FD75-06C4-4217-BF29-3CCFC80BAB09}">
      <text>
        <r>
          <rPr>
            <sz val="11"/>
            <color theme="1"/>
            <rFont val="Aptos Narrow"/>
            <family val="2"/>
            <scheme val="minor"/>
          </rPr>
          <t>Unknown User:
HIGH POWERED JET BLAST &amp; CCTV DRAIN CAMERA INSPECTION (SEWER SERVICE)</t>
        </r>
      </text>
    </comment>
    <comment ref="G168" authorId="0" shapeId="0" xr:uid="{15E81D18-AF10-4F1C-9E84-2E8AD66D378C}">
      <text>
        <r>
          <rPr>
            <sz val="11"/>
            <color theme="1"/>
            <rFont val="Aptos Narrow"/>
            <family val="2"/>
            <scheme val="minor"/>
          </rPr>
          <t>Unknown User:
ROOF LEAK SEARCH &amp; INVESTIGATION
10% Good Will Discount</t>
        </r>
      </text>
    </comment>
    <comment ref="G169" authorId="0" shapeId="0" xr:uid="{AC291DD7-1ADE-481D-ABA6-DA7ECD56D506}">
      <text>
        <r>
          <rPr>
            <sz val="11"/>
            <color theme="1"/>
            <rFont val="Aptos Narrow"/>
            <family val="2"/>
            <scheme val="minor"/>
          </rPr>
          <t xml:space="preserve">Unknown User:
FLOOD, DYE, PRESSURE TEST (WET AREA)
</t>
        </r>
      </text>
    </comment>
    <comment ref="G170" authorId="0" shapeId="0" xr:uid="{3EBC381D-3D57-4BBE-8E56-17F1E4031AAD}">
      <text>
        <r>
          <rPr>
            <sz val="11"/>
            <color theme="1"/>
            <rFont val="Aptos Narrow"/>
            <family val="2"/>
            <scheme val="minor"/>
          </rPr>
          <t>Unknown User:
SEARCH &amp; INVESTIGATION OF DOUBLE STOREY ROOF OF POTENTIAL LEAK
10% Good Will Discount</t>
        </r>
      </text>
    </comment>
    <comment ref="G173" authorId="0" shapeId="0" xr:uid="{7207467F-7A3E-4DBA-953E-B946BD9F3E87}">
      <text>
        <r>
          <rPr>
            <sz val="11"/>
            <color theme="1"/>
            <rFont val="Aptos Narrow"/>
            <family val="2"/>
            <scheme val="minor"/>
          </rPr>
          <t xml:space="preserve">Unknown User:
CCTV DRAIN CAMERA INSPECTION OF SEWER SERVICE
</t>
        </r>
      </text>
    </comment>
    <comment ref="G174" authorId="0" shapeId="0" xr:uid="{AE6E0648-442E-4378-A9FD-90CB89CF781B}">
      <text>
        <r>
          <rPr>
            <sz val="11"/>
            <color theme="1"/>
            <rFont val="Aptos Narrow"/>
            <family val="2"/>
            <scheme val="minor"/>
          </rPr>
          <t>Unknown User:
SEARCH &amp; INVESTIGATION OF GAS STORAGE HOT WATER SYSTEM</t>
        </r>
      </text>
    </comment>
    <comment ref="G175" authorId="0" shapeId="0" xr:uid="{22FC4D9E-ABB3-447F-A052-51E596AB0E83}">
      <text>
        <r>
          <rPr>
            <sz val="11"/>
            <color theme="1"/>
            <rFont val="Aptos Narrow"/>
            <family val="2"/>
            <scheme val="minor"/>
          </rPr>
          <t>Unknown User:
SEARCH &amp; INVESTIGATION OF POTENTIAL GAS LEAK
10% Good Will Discount</t>
        </r>
      </text>
    </comment>
    <comment ref="G176" authorId="0" shapeId="0" xr:uid="{FED6FD17-EC95-4690-8FCB-C77883807A40}">
      <text>
        <r>
          <rPr>
            <sz val="11"/>
            <color theme="1"/>
            <rFont val="Aptos Narrow"/>
            <family val="2"/>
            <scheme val="minor"/>
          </rPr>
          <t xml:space="preserve">Unknown User:
WATER SERVICE RECTIFICATION BATHROOM ROUGH IN
</t>
        </r>
      </text>
    </comment>
    <comment ref="G177" authorId="0" shapeId="0" xr:uid="{D9DC1C2A-D802-43D4-B926-5483F1EF7888}">
      <text>
        <r>
          <rPr>
            <sz val="11"/>
            <color theme="1"/>
            <rFont val="Aptos Narrow"/>
            <family val="2"/>
            <scheme val="minor"/>
          </rPr>
          <t xml:space="preserve">Unknown User:
ROUGH IN - SEWER RECTIFICATION </t>
        </r>
      </text>
    </comment>
    <comment ref="E199" authorId="2" shapeId="0" xr:uid="{ACF2D24F-71B5-4E06-9847-7F0774A4A321}">
      <text>
        <t>[Threaded comment]
Your version of Excel allows you to read this threaded comment; however, any edits to it will get removed if the file is opened in a newer version of Excel. Learn more: https://go.microsoft.com/fwlink/?linkid=870924
Comment:
    Checked</t>
      </text>
    </comment>
    <comment ref="E200" authorId="3" shapeId="0" xr:uid="{467B0F27-13A6-47D9-B675-7BB983967F65}">
      <text>
        <t>[Threaded comment]
Your version of Excel allows you to read this threaded comment; however, any edits to it will get removed if the file is opened in a newer version of Excel. Learn more: https://go.microsoft.com/fwlink/?linkid=870924
Comment:
    Checked</t>
      </text>
    </comment>
    <comment ref="E201" authorId="4" shapeId="0" xr:uid="{A34B658C-FF04-4815-8D72-8092CF7B3791}">
      <text>
        <t>[Threaded comment]
Your version of Excel allows you to read this threaded comment; however, any edits to it will get removed if the file is opened in a newer version of Excel. Learn more: https://go.microsoft.com/fwlink/?linkid=870924
Comment:
    Checked</t>
      </text>
    </comment>
    <comment ref="E202" authorId="5" shapeId="0" xr:uid="{A2B9BC00-539D-4EB1-9E36-140DCD5099A5}">
      <text>
        <t xml:space="preserve">[Threaded comment]
Your version of Excel allows you to read this threaded comment; however, any edits to it will get removed if the file is opened in a newer version of Excel. Learn more: https://go.microsoft.com/fwlink/?linkid=870924
Comment:
    Checked
</t>
      </text>
    </comment>
    <comment ref="G210" authorId="0" shapeId="0" xr:uid="{6FFCCAF4-51F6-4917-896C-98B1EC48E16A}">
      <text>
        <r>
          <rPr>
            <sz val="11"/>
            <color theme="1"/>
            <rFont val="Aptos Narrow"/>
            <family val="2"/>
            <scheme val="minor"/>
          </rPr>
          <t>Unknown User:
SEARCH &amp; INVESTIGATION OF DISHWASHER
Non-refundable call out fee</t>
        </r>
      </text>
    </comment>
    <comment ref="G211" authorId="0" shapeId="0" xr:uid="{F510C6F9-5CA4-41FD-BF58-58B1BD6CE261}">
      <text>
        <r>
          <rPr>
            <sz val="11"/>
            <color theme="1"/>
            <rFont val="Aptos Narrow"/>
            <family val="2"/>
            <scheme val="minor"/>
          </rPr>
          <t>Unknown User:
HIGH POWERED SUCTION &amp; ACID TREATMENT
Non-refundable call out fee</t>
        </r>
      </text>
    </comment>
    <comment ref="U211" authorId="0" shapeId="0" xr:uid="{E16513A3-A12D-408B-B262-1EC9B64090A2}">
      <text>
        <r>
          <rPr>
            <sz val="11"/>
            <color theme="1"/>
            <rFont val="Aptos Narrow"/>
            <family val="2"/>
            <scheme val="minor"/>
          </rPr>
          <t>Unknown User:
10/9-As per Vitori's note "called to collect payment, no answer left vm"</t>
        </r>
      </text>
    </comment>
    <comment ref="G212" authorId="0" shapeId="0" xr:uid="{654E6620-AE81-4D8A-A320-1CD2BC4F42FF}">
      <text>
        <r>
          <rPr>
            <sz val="11"/>
            <color theme="1"/>
            <rFont val="Aptos Narrow"/>
            <family val="2"/>
            <scheme val="minor"/>
          </rPr>
          <t>Unknown User:
INSTALLATION OF SHOWER ON RAIL (CUSTOMER SUPPLIED)</t>
        </r>
      </text>
    </comment>
    <comment ref="G213" authorId="0" shapeId="0" xr:uid="{DD057D06-0729-47BF-8AA2-25A1AF2B646C}">
      <text>
        <r>
          <rPr>
            <sz val="11"/>
            <color theme="1"/>
            <rFont val="Aptos Narrow"/>
            <family val="2"/>
            <scheme val="minor"/>
          </rPr>
          <t>Unknown User:
REPLACEMENT OF EXISTING GOOSE NECK KITCHEN MIXER
10% Good Will Discount</t>
        </r>
      </text>
    </comment>
    <comment ref="S213" authorId="0" shapeId="0" xr:uid="{4419D3DC-C9EB-4A3F-ABC1-C9A4E60767DE}">
      <text>
        <r>
          <rPr>
            <sz val="11"/>
            <color theme="1"/>
            <rFont val="Aptos Narrow"/>
            <family val="2"/>
            <scheme val="minor"/>
          </rPr>
          <t>Unknown User:
Signed invoice not emailed</t>
        </r>
      </text>
    </comment>
    <comment ref="G214" authorId="0" shapeId="0" xr:uid="{74DFE29B-6CD8-481C-A73B-A799E9C4CD52}">
      <text>
        <r>
          <rPr>
            <sz val="11"/>
            <color theme="1"/>
            <rFont val="Aptos Narrow"/>
            <family val="2"/>
            <scheme val="minor"/>
          </rPr>
          <t>Unknown User:
SEARCH &amp; INVESTIGATION OF GAS STORAGE HOT WATER SYSTEM</t>
        </r>
      </text>
    </comment>
    <comment ref="S214" authorId="0" shapeId="0" xr:uid="{F9779C14-0BAB-40F5-B5C5-9EB1887F658D}">
      <text>
        <r>
          <rPr>
            <sz val="11"/>
            <color theme="1"/>
            <rFont val="Aptos Narrow"/>
            <family val="2"/>
            <scheme val="minor"/>
          </rPr>
          <t>Unknown User:
Signed invoice not emailed</t>
        </r>
      </text>
    </comment>
    <comment ref="G215" authorId="0" shapeId="0" xr:uid="{AB8D7D25-B154-4B22-B064-898E82A86A07}">
      <text>
        <r>
          <rPr>
            <sz val="11"/>
            <color theme="1"/>
            <rFont val="Aptos Narrow"/>
            <family val="2"/>
            <scheme val="minor"/>
          </rPr>
          <t>Unknown User:
HIGH POWERED JET BLAST &amp; CCTV DRAIN CAMERA INSPECTION (SEWER SERVICE)</t>
        </r>
      </text>
    </comment>
    <comment ref="U215" authorId="0" shapeId="0" xr:uid="{82770EF1-6EC6-4DC9-A3E8-D54F26123B60}">
      <text>
        <r>
          <rPr>
            <sz val="11"/>
            <color theme="1"/>
            <rFont val="Aptos Narrow"/>
            <family val="2"/>
            <scheme val="minor"/>
          </rPr>
          <t>Unknown User:
9/9-As per Bradley's note "Jet completed please send someone tomorrow to camera drain"</t>
        </r>
      </text>
    </comment>
    <comment ref="G216" authorId="0" shapeId="0" xr:uid="{9C6439DB-2D43-4E16-84A5-DC3DAD27C160}">
      <text>
        <r>
          <rPr>
            <sz val="11"/>
            <color theme="1"/>
            <rFont val="Aptos Narrow"/>
            <family val="2"/>
            <scheme val="minor"/>
          </rPr>
          <t>Unknown User:
HIGH POWERED JET BLAST &amp; CCTV DRAIN CAMERA INSPECTION (SEWER SERVICE)</t>
        </r>
      </text>
    </comment>
    <comment ref="S216" authorId="0" shapeId="0" xr:uid="{A9A89212-FA89-44A9-801C-29409C7D882E}">
      <text>
        <r>
          <rPr>
            <sz val="11"/>
            <color theme="1"/>
            <rFont val="Aptos Narrow"/>
            <family val="2"/>
            <scheme val="minor"/>
          </rPr>
          <t>Unknown User:
Signed invoice not emailed</t>
        </r>
      </text>
    </comment>
    <comment ref="G217" authorId="0" shapeId="0" xr:uid="{5CD03E46-BEC3-45DE-9212-4853EE1B0A5E}">
      <text>
        <r>
          <rPr>
            <sz val="11"/>
            <color theme="1"/>
            <rFont val="Aptos Narrow"/>
            <family val="2"/>
            <scheme val="minor"/>
          </rPr>
          <t>Unknown User:
HIGH POWERED JET BLAST &amp; CCTV DRAIN CAMERA INSPECTION (SEWER SERVICE)</t>
        </r>
      </text>
    </comment>
    <comment ref="G218" authorId="0" shapeId="0" xr:uid="{9242F434-3BA1-4024-ABA6-9DA898750500}">
      <text>
        <r>
          <rPr>
            <sz val="11"/>
            <color theme="1"/>
            <rFont val="Aptos Narrow"/>
            <family val="2"/>
            <scheme val="minor"/>
          </rPr>
          <t>Unknown User:
SUPPLY &amp; INSTALLATION OF NEW CLOSE COUPLED TOILET SUITE</t>
        </r>
      </text>
    </comment>
    <comment ref="G219" authorId="0" shapeId="0" xr:uid="{38E4393D-93AC-4CCF-B050-249F20435DDF}">
      <text>
        <r>
          <rPr>
            <sz val="11"/>
            <color theme="1"/>
            <rFont val="Aptos Narrow"/>
            <family val="2"/>
            <scheme val="minor"/>
          </rPr>
          <t>Unknown User:
SEARCH &amp; INVESTIGATE - IN WALL CISTERN</t>
        </r>
      </text>
    </comment>
    <comment ref="G220" authorId="0" shapeId="0" xr:uid="{5227B0BA-476B-4560-850F-DB43F12B400D}">
      <text>
        <r>
          <rPr>
            <sz val="11"/>
            <color theme="1"/>
            <rFont val="Aptos Narrow"/>
            <family val="2"/>
            <scheme val="minor"/>
          </rPr>
          <t>Unknown User:
HIGH POWERED JET BLAST &amp; CCTV DRAIN CAMERA INSPECTION (SEWER SERVICE)</t>
        </r>
      </text>
    </comment>
    <comment ref="S220" authorId="0" shapeId="0" xr:uid="{609D47F6-C272-4B38-A33C-3EFECF7BEAD2}">
      <text>
        <r>
          <rPr>
            <sz val="11"/>
            <color theme="1"/>
            <rFont val="Aptos Narrow"/>
            <family val="2"/>
            <scheme val="minor"/>
          </rPr>
          <t>Unknown User:
Signed invoice not emailed</t>
        </r>
      </text>
    </comment>
    <comment ref="W220" authorId="0" shapeId="0" xr:uid="{75F243E3-27FE-45C1-9ED8-D44B2F383FA7}">
      <text>
        <r>
          <rPr>
            <sz val="11"/>
            <color theme="1"/>
            <rFont val="Aptos Narrow"/>
            <family val="2"/>
            <scheme val="minor"/>
          </rPr>
          <t>Unknown User:
Cash denomination
$14*50=$700
$20*5=$100
Total cash=$800</t>
        </r>
      </text>
    </comment>
    <comment ref="G221" authorId="0" shapeId="0" xr:uid="{271A8D33-18F4-431C-92B9-53660D489EB5}">
      <text>
        <r>
          <rPr>
            <sz val="11"/>
            <color theme="1"/>
            <rFont val="Aptos Narrow"/>
            <family val="2"/>
            <scheme val="minor"/>
          </rPr>
          <t xml:space="preserve">Unknown User:
HIGH POWERED JET BLAST &amp; CCTV DRAIN CAMERA INSPECTION (SEWER SERVICE)
</t>
        </r>
      </text>
    </comment>
    <comment ref="O221" authorId="0" shapeId="0" xr:uid="{F66B80DC-D101-40A3-964D-72B86D91B558}">
      <text>
        <r>
          <rPr>
            <sz val="11"/>
            <color theme="1"/>
            <rFont val="Aptos Narrow"/>
            <family val="2"/>
            <scheme val="minor"/>
          </rPr>
          <t>Unknown User:
SMS approval</t>
        </r>
      </text>
    </comment>
    <comment ref="G222" authorId="0" shapeId="0" xr:uid="{B8870739-18B4-441C-B5D6-5AA375181526}">
      <text>
        <r>
          <rPr>
            <sz val="11"/>
            <color theme="1"/>
            <rFont val="Aptos Narrow"/>
            <family val="2"/>
            <scheme val="minor"/>
          </rPr>
          <t>Unknown User:
STORMWATER INSTALLATION UP TO 9M-Cancelled on 15th
REPLACEMENT OF EXISTING OVERFLOW GULLY &amp; SECTION OF MAIN SEWER SERVICE
Cancellation of Job-$642.72
10% Seniors &amp; Pensioners Discount</t>
        </r>
      </text>
    </comment>
    <comment ref="P222" authorId="0" shapeId="0" xr:uid="{93DA2899-D8AE-480E-B170-92B639C266B3}">
      <text>
        <r>
          <rPr>
            <sz val="11"/>
            <color theme="1"/>
            <rFont val="Aptos Narrow"/>
            <family val="2"/>
            <scheme val="minor"/>
          </rPr>
          <t>Unknown User:
Quote not emailed</t>
        </r>
      </text>
    </comment>
    <comment ref="S222" authorId="0" shapeId="0" xr:uid="{28CCD13F-149F-41C6-BF63-8CBF7F162987}">
      <text>
        <r>
          <rPr>
            <sz val="11"/>
            <color theme="1"/>
            <rFont val="Aptos Narrow"/>
            <family val="2"/>
            <scheme val="minor"/>
          </rPr>
          <t>Unknown User:
Signed invoice not emailed</t>
        </r>
      </text>
    </comment>
    <comment ref="U222" authorId="0" shapeId="0" xr:uid="{FEDC5FE2-7CC8-4AB9-B1E5-F8D6CB7AEC42}">
      <text>
        <r>
          <rPr>
            <sz val="11"/>
            <color theme="1"/>
            <rFont val="Aptos Narrow"/>
            <family val="2"/>
            <scheme val="minor"/>
          </rPr>
          <t>Unknown User:
15/9-Customer emailed that she had cancelled 2nd job due to price concern whereas no 2nd job listed/available in her profile.</t>
        </r>
      </text>
    </comment>
    <comment ref="G223" authorId="0" shapeId="0" xr:uid="{61D9D021-74B2-4197-A523-6612A3504167}">
      <text>
        <r>
          <rPr>
            <sz val="11"/>
            <color theme="1"/>
            <rFont val="Aptos Narrow"/>
            <family val="2"/>
            <scheme val="minor"/>
          </rPr>
          <t xml:space="preserve">Unknown User:
REPLACEMENT OF EXISTING GOOSE NECK KITCHEN MIXER (CUSTOMER SUPPLIED)
$65 First Service Discount </t>
        </r>
      </text>
    </comment>
    <comment ref="M223" authorId="0" shapeId="0" xr:uid="{1C90972B-1287-48DB-B000-2FFA7818D579}">
      <text>
        <r>
          <rPr>
            <sz val="11"/>
            <color theme="1"/>
            <rFont val="Aptos Narrow"/>
            <family val="2"/>
            <scheme val="minor"/>
          </rPr>
          <t>Unknown User:
Smartpay receipt of $27.60 not uploaded by plumber.
Uploaded by Modoras team.</t>
        </r>
      </text>
    </comment>
    <comment ref="S223" authorId="0" shapeId="0" xr:uid="{A00CAAE2-3A7E-411B-A414-C2DBFB9595CA}">
      <text>
        <r>
          <rPr>
            <sz val="11"/>
            <color theme="1"/>
            <rFont val="Aptos Narrow"/>
            <family val="2"/>
            <scheme val="minor"/>
          </rPr>
          <t>Unknown User:
Signed invoice not emailed</t>
        </r>
      </text>
    </comment>
    <comment ref="W223" authorId="0" shapeId="0" xr:uid="{372BCD41-EA80-4FCA-85C4-FB30C1BF12B6}">
      <text>
        <r>
          <rPr>
            <sz val="11"/>
            <color theme="1"/>
            <rFont val="Aptos Narrow"/>
            <family val="2"/>
            <scheme val="minor"/>
          </rPr>
          <t>Unknown User:
Cash denomination
$50*13=$650</t>
        </r>
      </text>
    </comment>
    <comment ref="G224" authorId="0" shapeId="0" xr:uid="{6F2E4F95-FB0A-4F68-B126-FBC79AD7507B}">
      <text>
        <r>
          <rPr>
            <sz val="11"/>
            <color theme="1"/>
            <rFont val="Aptos Narrow"/>
            <family val="2"/>
            <scheme val="minor"/>
          </rPr>
          <t>Unknown User:
HIGH POWERED SUCTION &amp; ACID TREATMENT</t>
        </r>
      </text>
    </comment>
    <comment ref="L224" authorId="0" shapeId="0" xr:uid="{7F6D3A33-E3C3-4890-8C56-596384235FF6}">
      <text>
        <r>
          <rPr>
            <sz val="11"/>
            <color theme="1"/>
            <rFont val="Aptos Narrow"/>
            <family val="2"/>
            <scheme val="minor"/>
          </rPr>
          <t>Unknown User:
Acid treatment pics not uploaded</t>
        </r>
      </text>
    </comment>
    <comment ref="G229" authorId="0" shapeId="0" xr:uid="{7939ACD4-E34B-41CF-AB0A-62AB73BCE2BB}">
      <text>
        <r>
          <rPr>
            <sz val="11"/>
            <color theme="1"/>
            <rFont val="Aptos Narrow"/>
            <family val="2"/>
            <scheme val="minor"/>
          </rPr>
          <t>Unknown User:
CCTV DRAIN CAMERA INSPECTION OF SEWER SERVICE</t>
        </r>
      </text>
    </comment>
    <comment ref="G230" authorId="0" shapeId="0" xr:uid="{0E312C91-9727-48FF-A6D0-B263C0484164}">
      <text>
        <r>
          <rPr>
            <sz val="11"/>
            <color theme="1"/>
            <rFont val="Aptos Narrow"/>
            <family val="2"/>
            <scheme val="minor"/>
          </rPr>
          <t>Unknown User:
REPLACEMENT OF SEWER BOUNDARY TRAP 
CREDIT HIGH POWERED JETBLAST &amp; CCTV CAMERA</t>
        </r>
      </text>
    </comment>
    <comment ref="N230" authorId="0" shapeId="0" xr:uid="{8077D5AC-D9F9-4272-8C6E-BC68B84B3411}">
      <text>
        <r>
          <rPr>
            <sz val="11"/>
            <color theme="1"/>
            <rFont val="Aptos Narrow"/>
            <family val="2"/>
            <scheme val="minor"/>
          </rPr>
          <t>Unknown User:
Quote available in Job #73196</t>
        </r>
      </text>
    </comment>
    <comment ref="P230" authorId="0" shapeId="0" xr:uid="{9E3EFBE5-CD3F-4283-83AA-53CDAE69247E}">
      <text>
        <r>
          <rPr>
            <sz val="11"/>
            <color theme="1"/>
            <rFont val="Aptos Narrow"/>
            <family val="2"/>
            <scheme val="minor"/>
          </rPr>
          <t>Unknown User:
Quote not emailed</t>
        </r>
      </text>
    </comment>
    <comment ref="G234" authorId="0" shapeId="0" xr:uid="{40705CAF-FF1D-49CB-8B1B-63155327E18D}">
      <text>
        <r>
          <rPr>
            <sz val="11"/>
            <color theme="1"/>
            <rFont val="Aptos Narrow"/>
            <family val="2"/>
            <scheme val="minor"/>
          </rPr>
          <t>Unknown User:
SUPPLY &amp; INSTALLATION OF RAINWATER PUMP WITH RAIN2MAIN WATER SWITCHING UNIT</t>
        </r>
      </text>
    </comment>
    <comment ref="L234" authorId="0" shapeId="0" xr:uid="{42945E8D-A839-4FA2-9C3A-361C3F286C96}">
      <text>
        <r>
          <rPr>
            <sz val="11"/>
            <color theme="1"/>
            <rFont val="Aptos Narrow"/>
            <family val="2"/>
            <scheme val="minor"/>
          </rPr>
          <t>Unknown User:
After photos not identifiable</t>
        </r>
      </text>
    </comment>
    <comment ref="S234" authorId="0" shapeId="0" xr:uid="{154A5552-3EF1-4137-B556-8336A418388E}">
      <text>
        <r>
          <rPr>
            <sz val="11"/>
            <color theme="1"/>
            <rFont val="Aptos Narrow"/>
            <family val="2"/>
            <scheme val="minor"/>
          </rPr>
          <t>Unknown User:
Signed invoice not emailed</t>
        </r>
      </text>
    </comment>
    <comment ref="G235" authorId="0" shapeId="0" xr:uid="{2F92A684-1F24-4E27-AC96-2128F59DB356}">
      <text>
        <r>
          <rPr>
            <sz val="11"/>
            <color theme="1"/>
            <rFont val="Aptos Narrow"/>
            <family val="2"/>
            <scheme val="minor"/>
          </rPr>
          <t>Unknown User:
SEARCH &amp; INVESTIGATION OF GAS APPLIANCE</t>
        </r>
      </text>
    </comment>
    <comment ref="O235" authorId="0" shapeId="0" xr:uid="{3F128751-F2E5-405C-8C32-A4A246354E96}">
      <text>
        <r>
          <rPr>
            <sz val="11"/>
            <color theme="1"/>
            <rFont val="Aptos Narrow"/>
            <family val="2"/>
            <scheme val="minor"/>
          </rPr>
          <t>Unknown User:
SMS approval</t>
        </r>
      </text>
    </comment>
    <comment ref="P235" authorId="0" shapeId="0" xr:uid="{45168661-774F-4500-A0AB-0DFA0A544EC4}">
      <text>
        <r>
          <rPr>
            <sz val="11"/>
            <color theme="1"/>
            <rFont val="Aptos Narrow"/>
            <family val="2"/>
            <scheme val="minor"/>
          </rPr>
          <t>Unknown User:
Quote not emailed</t>
        </r>
      </text>
    </comment>
    <comment ref="S235" authorId="0" shapeId="0" xr:uid="{B80FE895-7E99-4AFA-BA81-AAD6ACD86F5F}">
      <text>
        <r>
          <rPr>
            <sz val="11"/>
            <color theme="1"/>
            <rFont val="Aptos Narrow"/>
            <family val="2"/>
            <scheme val="minor"/>
          </rPr>
          <t>Unknown User:
Signed invoice not emailed</t>
        </r>
      </text>
    </comment>
    <comment ref="G239" authorId="0" shapeId="0" xr:uid="{8EF9FE41-8ACF-450B-8262-AEB6AAFC7237}">
      <text>
        <r>
          <rPr>
            <sz val="11"/>
            <color theme="1"/>
            <rFont val="Aptos Narrow"/>
            <family val="2"/>
            <scheme val="minor"/>
          </rPr>
          <t>Unknown User:
SEARCH &amp; INVESTIGATION (GENERAL)</t>
        </r>
      </text>
    </comment>
    <comment ref="G240" authorId="0" shapeId="0" xr:uid="{C201ED09-1836-474A-B542-C66D6D7E939A}">
      <text>
        <r>
          <rPr>
            <sz val="11"/>
            <color theme="1"/>
            <rFont val="Aptos Narrow"/>
            <family val="2"/>
            <scheme val="minor"/>
          </rPr>
          <t xml:space="preserve">Unknown User:
SEARCH AND INVESTIGATION OF ELECTRIC INSTANTANEOUS HOT WATER SYSTEM
</t>
        </r>
      </text>
    </comment>
    <comment ref="G241" authorId="0" shapeId="0" xr:uid="{1D6E6297-4A9D-46A2-9CB5-ED3B5F6594D6}">
      <text>
        <r>
          <rPr>
            <sz val="11"/>
            <color theme="1"/>
            <rFont val="Aptos Narrow"/>
            <family val="2"/>
            <scheme val="minor"/>
          </rPr>
          <t xml:space="preserve">Unknown User:
HIGH POWERED SUCTION PUMP
</t>
        </r>
      </text>
    </comment>
    <comment ref="G242" authorId="0" shapeId="0" xr:uid="{62F928F7-5854-4709-B0F6-E04EC0CD1710}">
      <text>
        <r>
          <rPr>
            <sz val="11"/>
            <color theme="1"/>
            <rFont val="Aptos Narrow"/>
            <family val="2"/>
            <scheme val="minor"/>
          </rPr>
          <t xml:space="preserve">Unknown User:
INSTALLATION OF NEW WALL FACED TOILET SUITE (CUSTOMER SUPPLIED)
</t>
        </r>
      </text>
    </comment>
    <comment ref="G243" authorId="0" shapeId="0" xr:uid="{CC5087D3-9E83-4215-9CEB-ED34E2DF05B1}">
      <text>
        <r>
          <rPr>
            <sz val="11"/>
            <color theme="1"/>
            <rFont val="Aptos Narrow"/>
            <family val="2"/>
            <scheme val="minor"/>
          </rPr>
          <t>Unknown User:
INSTALLATION OF NEW DOUBLE BOWL KITCHEN SINK (CUSTOMER SUPPLIED)
15% Seniors &amp; Pensioners Discount</t>
        </r>
      </text>
    </comment>
    <comment ref="G245" authorId="0" shapeId="0" xr:uid="{865F8D4D-35EE-409B-AF43-33D07B4442D2}">
      <text>
        <r>
          <rPr>
            <sz val="11"/>
            <color theme="1"/>
            <rFont val="Aptos Narrow"/>
            <family val="2"/>
            <scheme val="minor"/>
          </rPr>
          <t xml:space="preserve">Unknown User:
BATHROOM FIT OFF
</t>
        </r>
      </text>
    </comment>
    <comment ref="G246" authorId="0" shapeId="0" xr:uid="{DBB8832B-A04A-4099-B334-A4B18BD19EF8}">
      <text>
        <r>
          <rPr>
            <sz val="11"/>
            <color theme="1"/>
            <rFont val="Aptos Narrow"/>
            <family val="2"/>
            <scheme val="minor"/>
          </rPr>
          <t>Unknown User:
SUPPLY &amp; INSTALLATION OF NEW TWIN ELEMENT HOT WATER UNIT (INTERNAL)</t>
        </r>
      </text>
    </comment>
    <comment ref="G247" authorId="0" shapeId="0" xr:uid="{8C1D748C-008E-403B-A693-E5F8080B3B04}">
      <text>
        <r>
          <rPr>
            <sz val="11"/>
            <color theme="1"/>
            <rFont val="Aptos Narrow"/>
            <family val="2"/>
            <scheme val="minor"/>
          </rPr>
          <t>Unknown User:
SUPPLY &amp; INSTALL NEW GUTTER UP TO 8M</t>
        </r>
      </text>
    </comment>
    <comment ref="G248" authorId="0" shapeId="0" xr:uid="{28652BC4-B132-495C-B060-C0D0E4299507}">
      <text>
        <r>
          <rPr>
            <sz val="11"/>
            <color theme="1"/>
            <rFont val="Aptos Narrow"/>
            <family val="2"/>
            <scheme val="minor"/>
          </rPr>
          <t xml:space="preserve">Unknown User:
UNDER SINK DRAINAGE RECTIFICATION </t>
        </r>
      </text>
    </comment>
    <comment ref="G249" authorId="0" shapeId="0" xr:uid="{C1D93787-9FE1-4656-9018-0312C617E291}">
      <text>
        <r>
          <rPr>
            <sz val="11"/>
            <color theme="1"/>
            <rFont val="Aptos Narrow"/>
            <family val="2"/>
            <scheme val="minor"/>
          </rPr>
          <t xml:space="preserve">Unknown User:
SEWER SPOT DIG (UNDER CONCRETE)
</t>
        </r>
      </text>
    </comment>
    <comment ref="G250" authorId="0" shapeId="0" xr:uid="{430F829A-2837-4E34-A8CA-29CF7CFAC61A}">
      <text>
        <r>
          <rPr>
            <sz val="11"/>
            <color theme="1"/>
            <rFont val="Aptos Narrow"/>
            <family val="2"/>
            <scheme val="minor"/>
          </rPr>
          <t>Unknown User:
RELOCATION OF EXISTING 20MM WATER METER UP TO 1.5M FROM EXISTING LOCATION</t>
        </r>
      </text>
    </comment>
    <comment ref="G251" authorId="0" shapeId="0" xr:uid="{ADF5D9C4-C06A-4B0E-8753-ED9A1F3A821F}">
      <text>
        <r>
          <rPr>
            <sz val="11"/>
            <color theme="1"/>
            <rFont val="Aptos Narrow"/>
            <family val="2"/>
            <scheme val="minor"/>
          </rPr>
          <t xml:space="preserve">Unknown User:
REPLACEMENT OF SIDE INKET VALVE (CUSTOMER SUPPLIED)
</t>
        </r>
      </text>
    </comment>
    <comment ref="G252" authorId="0" shapeId="0" xr:uid="{6950D46C-CF4D-4300-B504-C0F207DB021D}">
      <text>
        <r>
          <rPr>
            <sz val="11"/>
            <color theme="1"/>
            <rFont val="Aptos Narrow"/>
            <family val="2"/>
            <scheme val="minor"/>
          </rPr>
          <t>Unknown User:
INSTALLATION OF NEW BIDET TOILET SUITE (CUSTOMER SUPPLIED)
10% Good Will Discount</t>
        </r>
      </text>
    </comment>
    <comment ref="G284" authorId="0" shapeId="0" xr:uid="{A567DD2E-34F0-4A4F-979E-BFC343D72F09}">
      <text>
        <r>
          <rPr>
            <sz val="11"/>
            <color theme="1"/>
            <rFont val="Aptos Narrow"/>
            <family val="2"/>
            <scheme val="minor"/>
          </rPr>
          <t xml:space="preserve">Unknown User:
WATER SERVICE RECTIFICATION (EXPOSED)
</t>
        </r>
      </text>
    </comment>
    <comment ref="S284" authorId="0" shapeId="0" xr:uid="{B998EF1B-5D16-4EDF-8155-C615C080FD55}">
      <text>
        <r>
          <rPr>
            <sz val="11"/>
            <color theme="1"/>
            <rFont val="Aptos Narrow"/>
            <family val="2"/>
            <scheme val="minor"/>
          </rPr>
          <t>Unknown User:
Signed invoice not emailed.</t>
        </r>
      </text>
    </comment>
    <comment ref="G285" authorId="0" shapeId="0" xr:uid="{D4A1FDE3-9BFC-4DCE-BE8E-A4AC5E4C9B55}">
      <text>
        <r>
          <rPr>
            <sz val="11"/>
            <color theme="1"/>
            <rFont val="Aptos Narrow"/>
            <family val="2"/>
            <scheme val="minor"/>
          </rPr>
          <t>Unknown User:
SUPPLY &amp; INSTALLATION OF NEW CLOSE COUPLED TOILET SUITE</t>
        </r>
      </text>
    </comment>
    <comment ref="P285" authorId="0" shapeId="0" xr:uid="{293A699F-A15A-4140-9CA5-04C669FF4478}">
      <text>
        <r>
          <rPr>
            <sz val="11"/>
            <color theme="1"/>
            <rFont val="Aptos Narrow"/>
            <family val="2"/>
            <scheme val="minor"/>
          </rPr>
          <t>Unknown User:
Quote not emailed</t>
        </r>
      </text>
    </comment>
    <comment ref="G286" authorId="0" shapeId="0" xr:uid="{5EDE2C20-0555-4AC4-A37A-22F4212FBB41}">
      <text>
        <r>
          <rPr>
            <sz val="11"/>
            <color theme="1"/>
            <rFont val="Aptos Narrow"/>
            <family val="2"/>
            <scheme val="minor"/>
          </rPr>
          <t>Unknown User:
HIGH POWERED SUCTION &amp; ACID TREATMENT</t>
        </r>
      </text>
    </comment>
    <comment ref="W286" authorId="0" shapeId="0" xr:uid="{4E6A3AAB-A598-4119-B1CB-4700F8F70556}">
      <text>
        <r>
          <rPr>
            <sz val="11"/>
            <color theme="1"/>
            <rFont val="Aptos Narrow"/>
            <family val="2"/>
            <scheme val="minor"/>
          </rPr>
          <t>Unknown User:
Cash denomination
$50*24=$1200</t>
        </r>
      </text>
    </comment>
    <comment ref="G287" authorId="0" shapeId="0" xr:uid="{AB868885-CE73-4AC4-9B07-0A1F88D39A9D}">
      <text>
        <r>
          <rPr>
            <sz val="11"/>
            <color theme="1"/>
            <rFont val="Aptos Narrow"/>
            <family val="2"/>
            <scheme val="minor"/>
          </rPr>
          <t>Unknown User:
SEWER SERVICE RECTIFICATION</t>
        </r>
      </text>
    </comment>
    <comment ref="P287" authorId="0" shapeId="0" xr:uid="{DE72868B-9197-49A0-8507-709396384789}">
      <text>
        <r>
          <rPr>
            <sz val="11"/>
            <color theme="1"/>
            <rFont val="Aptos Narrow"/>
            <family val="2"/>
            <scheme val="minor"/>
          </rPr>
          <t>Unknown User:
Quote not emailed</t>
        </r>
      </text>
    </comment>
    <comment ref="S287" authorId="0" shapeId="0" xr:uid="{3AA696E5-F1E6-422F-B010-339DAA276312}">
      <text>
        <r>
          <rPr>
            <sz val="11"/>
            <color theme="1"/>
            <rFont val="Aptos Narrow"/>
            <family val="2"/>
            <scheme val="minor"/>
          </rPr>
          <t>Unknown User:
Signed invoice not emailed</t>
        </r>
      </text>
    </comment>
    <comment ref="W287" authorId="0" shapeId="0" xr:uid="{E82F2263-2E58-4D1E-937E-9AF903BDCF0B}">
      <text>
        <r>
          <rPr>
            <sz val="11"/>
            <color theme="1"/>
            <rFont val="Aptos Narrow"/>
            <family val="2"/>
            <scheme val="minor"/>
          </rPr>
          <t>Unknown User:
Cash denomination
$100*1=$100
$50*38=$1900
Total cash=$2000
$50*79=$3950
$20*2=$40
$10*1=$10
Total cash=$4000</t>
        </r>
      </text>
    </comment>
    <comment ref="G288" authorId="0" shapeId="0" xr:uid="{AF33B876-66C9-48DD-B700-E4E0179C666A}">
      <text>
        <r>
          <rPr>
            <sz val="11"/>
            <color theme="1"/>
            <rFont val="Aptos Narrow"/>
            <family val="2"/>
            <scheme val="minor"/>
          </rPr>
          <t>Unknown User:
REPLACEMENT OF KITCHEN MIXER</t>
        </r>
      </text>
    </comment>
    <comment ref="S288" authorId="0" shapeId="0" xr:uid="{7D89D669-2787-4260-8EAF-64E7E9B0BF62}">
      <text>
        <r>
          <rPr>
            <sz val="11"/>
            <color theme="1"/>
            <rFont val="Aptos Narrow"/>
            <family val="2"/>
            <scheme val="minor"/>
          </rPr>
          <t>Unknown User:
Signed invoice not emailed</t>
        </r>
      </text>
    </comment>
    <comment ref="W288" authorId="0" shapeId="0" xr:uid="{CDBC8539-B5A3-4D82-87EA-51D546408253}">
      <text>
        <r>
          <rPr>
            <sz val="11"/>
            <color theme="1"/>
            <rFont val="Aptos Narrow"/>
            <family val="2"/>
            <scheme val="minor"/>
          </rPr>
          <t>Unknown User:
Cash denomination
$50*26=$1300
$20*5=$100
$5*1=$5
Coins
$2*2=$4
$0.10*1=$0.10
Total cash=$1409.10</t>
        </r>
      </text>
    </comment>
    <comment ref="G289" authorId="0" shapeId="0" xr:uid="{96231059-75F7-4274-8A4E-86CB99460BC7}">
      <text>
        <r>
          <rPr>
            <sz val="11"/>
            <color theme="1"/>
            <rFont val="Aptos Narrow"/>
            <family val="2"/>
            <scheme val="minor"/>
          </rPr>
          <t>Unknown User:
SEARCH &amp; INVESTIGATE - IN WALL CISTERN</t>
        </r>
      </text>
    </comment>
    <comment ref="G290" authorId="0" shapeId="0" xr:uid="{4D97C2A6-EED6-4853-B8DC-C7818B203E68}">
      <text>
        <r>
          <rPr>
            <sz val="11"/>
            <color theme="1"/>
            <rFont val="Aptos Narrow"/>
            <family val="2"/>
            <scheme val="minor"/>
          </rPr>
          <t>Unknown User:
COMPLETE SERVICE OF IN WALL TOILET CISTERN</t>
        </r>
      </text>
    </comment>
    <comment ref="N290" authorId="0" shapeId="0" xr:uid="{5923A950-2C74-4B5B-ABCF-C0D08238C3C0}">
      <text>
        <r>
          <rPr>
            <sz val="11"/>
            <color theme="1"/>
            <rFont val="Aptos Narrow"/>
            <family val="2"/>
            <scheme val="minor"/>
          </rPr>
          <t>Unknown User:
Quote raised in Job #73464 (Initial job)</t>
        </r>
      </text>
    </comment>
    <comment ref="G295" authorId="0" shapeId="0" xr:uid="{23F8B88E-FA98-4F4E-9304-869D17392EE0}">
      <text>
        <r>
          <rPr>
            <sz val="11"/>
            <color theme="1"/>
            <rFont val="Aptos Narrow"/>
            <family val="2"/>
            <scheme val="minor"/>
          </rPr>
          <t>Unknown User:
SUPPLY &amp; INSTALLATION OF NEW FREE-STANDING VANITY (750MM)</t>
        </r>
      </text>
    </comment>
    <comment ref="P295" authorId="0" shapeId="0" xr:uid="{E2B377D9-6EEA-48AE-A8F7-673C9503DE6E}">
      <text>
        <r>
          <rPr>
            <sz val="11"/>
            <color theme="1"/>
            <rFont val="Aptos Narrow"/>
            <family val="2"/>
            <scheme val="minor"/>
          </rPr>
          <t>Unknown User:
Quote not emailed</t>
        </r>
      </text>
    </comment>
    <comment ref="G299" authorId="0" shapeId="0" xr:uid="{7766CC4F-10F3-4C88-8292-0DCA2FC4C44C}">
      <text>
        <r>
          <rPr>
            <sz val="11"/>
            <color theme="1"/>
            <rFont val="Aptos Narrow"/>
            <family val="2"/>
            <scheme val="minor"/>
          </rPr>
          <t>Unknown User:
SUPPLY &amp; INSTALLATION OF RAINWATER PUMP WITH RAIN2MAIN WATER SWITCHING UNIT</t>
        </r>
      </text>
    </comment>
    <comment ref="L299" authorId="0" shapeId="0" xr:uid="{DD7335A9-26CE-4CE3-B583-F920478FC842}">
      <text>
        <r>
          <rPr>
            <sz val="11"/>
            <color theme="1"/>
            <rFont val="Aptos Narrow"/>
            <family val="2"/>
            <scheme val="minor"/>
          </rPr>
          <t>Unknown User:
After photos not identifiable</t>
        </r>
      </text>
    </comment>
    <comment ref="S299" authorId="0" shapeId="0" xr:uid="{7099026A-3FA0-451A-85FA-27C97023E7FB}">
      <text>
        <r>
          <rPr>
            <sz val="11"/>
            <color theme="1"/>
            <rFont val="Aptos Narrow"/>
            <family val="2"/>
            <scheme val="minor"/>
          </rPr>
          <t>Unknown User:
Signed invoice not emailed</t>
        </r>
      </text>
    </comment>
    <comment ref="G300" authorId="0" shapeId="0" xr:uid="{A76BB6F7-908F-4727-83F1-D49DA881CC63}">
      <text>
        <r>
          <rPr>
            <sz val="11"/>
            <color theme="1"/>
            <rFont val="Aptos Narrow"/>
            <family val="2"/>
            <scheme val="minor"/>
          </rPr>
          <t>Unknown User:
SEARCH &amp; INVESTIGATION OF GAS APPLIANCE</t>
        </r>
      </text>
    </comment>
    <comment ref="O300" authorId="0" shapeId="0" xr:uid="{ED1BCA2A-FFA0-40D6-A0B0-130E5AD4A0F3}">
      <text>
        <r>
          <rPr>
            <sz val="11"/>
            <color theme="1"/>
            <rFont val="Aptos Narrow"/>
            <family val="2"/>
            <scheme val="minor"/>
          </rPr>
          <t>Unknown User:
SMS approval</t>
        </r>
      </text>
    </comment>
    <comment ref="P300" authorId="0" shapeId="0" xr:uid="{9BFC00B7-410A-4480-B98B-5374C850498F}">
      <text>
        <r>
          <rPr>
            <sz val="11"/>
            <color theme="1"/>
            <rFont val="Aptos Narrow"/>
            <family val="2"/>
            <scheme val="minor"/>
          </rPr>
          <t>Unknown User:
Quote not emailed</t>
        </r>
      </text>
    </comment>
    <comment ref="S300" authorId="0" shapeId="0" xr:uid="{E4FA842C-E1F4-4D8D-BDD6-AE77B8589756}">
      <text>
        <r>
          <rPr>
            <sz val="11"/>
            <color theme="1"/>
            <rFont val="Aptos Narrow"/>
            <family val="2"/>
            <scheme val="minor"/>
          </rPr>
          <t>Unknown User:
Signed invoice not emailed</t>
        </r>
      </text>
    </comment>
    <comment ref="G304" authorId="0" shapeId="0" xr:uid="{E6ACCFC8-734E-45F2-B35B-D60CD54C0198}">
      <text>
        <r>
          <rPr>
            <sz val="11"/>
            <color theme="1"/>
            <rFont val="Aptos Narrow"/>
            <family val="2"/>
            <scheme val="minor"/>
          </rPr>
          <t>Unknown User:
CCTV DRAIN CAMERA INSPECTION OF SEWER SERVICE</t>
        </r>
      </text>
    </comment>
    <comment ref="G305" authorId="0" shapeId="0" xr:uid="{EFFFB01A-9742-476A-9764-0F59F5A85BBE}">
      <text>
        <r>
          <rPr>
            <sz val="11"/>
            <color theme="1"/>
            <rFont val="Aptos Narrow"/>
            <family val="2"/>
            <scheme val="minor"/>
          </rPr>
          <t>Unknown User:
REPLACEMENT OF SEWER BOUNDARY TRAP 
CREDIT HIGH POWERED JETBLAST &amp; CCTV CAMERA</t>
        </r>
      </text>
    </comment>
    <comment ref="N305" authorId="0" shapeId="0" xr:uid="{27DC0228-6192-4D4E-B843-36101B0A3800}">
      <text>
        <r>
          <rPr>
            <sz val="11"/>
            <color theme="1"/>
            <rFont val="Aptos Narrow"/>
            <family val="2"/>
            <scheme val="minor"/>
          </rPr>
          <t>Unknown User:
Quote available in Job #73196</t>
        </r>
      </text>
    </comment>
    <comment ref="P305" authorId="0" shapeId="0" xr:uid="{7E66655E-3829-4A00-A3E9-74D1C9281CD3}">
      <text>
        <r>
          <rPr>
            <sz val="11"/>
            <color theme="1"/>
            <rFont val="Aptos Narrow"/>
            <family val="2"/>
            <scheme val="minor"/>
          </rPr>
          <t>Unknown User:
Quote not emailed</t>
        </r>
      </text>
    </comment>
    <comment ref="V305" authorId="0" shapeId="0" xr:uid="{21D4F9D4-AE62-4E5D-B7BB-529BF1707C1B}">
      <text>
        <r>
          <rPr>
            <sz val="11"/>
            <color theme="1"/>
            <rFont val="Aptos Narrow"/>
            <family val="2"/>
            <scheme val="minor"/>
          </rPr>
          <t>Unknown User:
17/9-EFT of $5000 received</t>
        </r>
      </text>
    </comment>
    <comment ref="G309" authorId="0" shapeId="0" xr:uid="{FF0EF758-CB97-4760-A72E-F379EE8FC05C}">
      <text>
        <r>
          <rPr>
            <sz val="11"/>
            <color theme="1"/>
            <rFont val="Aptos Narrow"/>
            <family val="2"/>
            <scheme val="minor"/>
          </rPr>
          <t>Unknown User:
RESEAL OF SHOWER</t>
        </r>
      </text>
    </comment>
    <comment ref="G310" authorId="0" shapeId="0" xr:uid="{ED16148D-38C0-4E42-833D-EE0510C32725}">
      <text>
        <r>
          <rPr>
            <sz val="11"/>
            <color theme="1"/>
            <rFont val="Aptos Narrow"/>
            <family val="2"/>
            <scheme val="minor"/>
          </rPr>
          <t>Unknown User:
SEARCH AND INVESTIGATION OF ELECTRIC STORAGE HOT WATER SYSTEM</t>
        </r>
      </text>
    </comment>
    <comment ref="G311" authorId="0" shapeId="0" xr:uid="{34F9FF7F-6B75-4A09-85D7-B855F4B8FE31}">
      <text>
        <r>
          <rPr>
            <sz val="11"/>
            <color theme="1"/>
            <rFont val="Aptos Narrow"/>
            <family val="2"/>
            <scheme val="minor"/>
          </rPr>
          <t>Unknown User:
DECOMMISSION OF EXISTING DISHWASHER &amp; MAKE SAFE
HIGH POWERED SUCTION PUMP
10% Seniors &amp; Pensioners Discount</t>
        </r>
      </text>
    </comment>
    <comment ref="G312" authorId="0" shapeId="0" xr:uid="{3605330E-CC63-4CE8-BAD9-FEE1394CF534}">
      <text>
        <r>
          <rPr>
            <sz val="11"/>
            <color theme="1"/>
            <rFont val="Aptos Narrow"/>
            <family val="2"/>
            <scheme val="minor"/>
          </rPr>
          <t>Unknown User:
REPLACEMENT OF EXISTING GOOSE NECK KITCHEN MIXER (CUSTOMER SUPPLIED)</t>
        </r>
      </text>
    </comment>
    <comment ref="G313" authorId="0" shapeId="0" xr:uid="{B7655C9C-03FD-41D3-AD23-3D99D8D37FF3}">
      <text>
        <r>
          <rPr>
            <sz val="11"/>
            <color theme="1"/>
            <rFont val="Aptos Narrow"/>
            <family val="2"/>
            <scheme val="minor"/>
          </rPr>
          <t>Unknown User:
SUPPLY &amp; INSTALL NEW IN-GROUND GREASE TRAP</t>
        </r>
      </text>
    </comment>
    <comment ref="G317" authorId="0" shapeId="0" xr:uid="{A5F7CF27-39FD-48F8-9463-24A9261F29CD}">
      <text>
        <r>
          <rPr>
            <sz val="11"/>
            <color theme="1"/>
            <rFont val="Aptos Narrow"/>
            <family val="2"/>
            <scheme val="minor"/>
          </rPr>
          <t>Unknown User:
SUPPLY &amp; INSTALLATION OF NEW INSTANTANEOUS GAS HOT WATER SYSTEM (INTERNAL)</t>
        </r>
      </text>
    </comment>
    <comment ref="G318" authorId="0" shapeId="0" xr:uid="{E19885D8-A330-4D28-ABE3-3A3337C8E1A0}">
      <text>
        <r>
          <rPr>
            <sz val="11"/>
            <color theme="1"/>
            <rFont val="Aptos Narrow"/>
            <family val="2"/>
            <scheme val="minor"/>
          </rPr>
          <t>Unknown User:
RECTIFICATION OF GAS SERVICE (EXPOSED)</t>
        </r>
      </text>
    </comment>
    <comment ref="V318" authorId="0" shapeId="0" xr:uid="{66E8079A-55FD-4745-AAD4-53B99008223C}">
      <text>
        <r>
          <rPr>
            <sz val="11"/>
            <color theme="1"/>
            <rFont val="Aptos Narrow"/>
            <family val="2"/>
            <scheme val="minor"/>
          </rPr>
          <t>Unknown User:
Payment made in "Australian Trades Pty Ltd"</t>
        </r>
      </text>
    </comment>
    <comment ref="G319" authorId="0" shapeId="0" xr:uid="{4C3CF8E1-FCE2-40EC-B88E-63FE1E77912D}">
      <text>
        <r>
          <rPr>
            <sz val="11"/>
            <color theme="1"/>
            <rFont val="Aptos Narrow"/>
            <family val="2"/>
            <scheme val="minor"/>
          </rPr>
          <t>Unknown User:
HIGH POWERED JET BLAST &amp; CCTV DRAIN CAMERA INSPECTION (STORM WATER SERVICE)</t>
        </r>
      </text>
    </comment>
    <comment ref="G321" authorId="0" shapeId="0" xr:uid="{A9F3AC76-7F3A-46A1-A03B-19FF9ABBA633}">
      <text>
        <r>
          <rPr>
            <sz val="11"/>
            <color theme="1"/>
            <rFont val="Aptos Narrow"/>
            <family val="2"/>
            <scheme val="minor"/>
          </rPr>
          <t>Unknown User:
REPLACEMENT OF EXISTING RETRACTABLE KITCHEN MIXER (CUSTOMER SUPPLIED)</t>
        </r>
      </text>
    </comment>
    <comment ref="E342" authorId="6" shapeId="0" xr:uid="{4B912284-70FB-4622-AAFB-B6EB96F5F2B2}">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353" authorId="0" shapeId="0" xr:uid="{173A09C8-68B3-49DC-BC97-B34E65CD6860}">
      <text>
        <r>
          <rPr>
            <sz val="11"/>
            <color theme="1"/>
            <rFont val="Aptos Narrow"/>
            <family val="2"/>
            <scheme val="minor"/>
          </rPr>
          <t>Unknown User:
COMPLETE SERVICE OF WALL TOP TAPS ASSEMBLY
10% Seniors &amp; Pensioners Discount</t>
        </r>
      </text>
    </comment>
    <comment ref="L353" authorId="0" shapeId="0" xr:uid="{657975C1-4A8C-4CF1-9392-5D41D4124328}">
      <text>
        <r>
          <rPr>
            <sz val="11"/>
            <color theme="1"/>
            <rFont val="Aptos Narrow"/>
            <family val="2"/>
            <scheme val="minor"/>
          </rPr>
          <t>Unknown User:
Serviced wall tap tops are not fixed and tested. Pics not available.</t>
        </r>
      </text>
    </comment>
    <comment ref="G354" authorId="0" shapeId="0" xr:uid="{38338761-93DA-4044-A01B-DCDF112D9227}">
      <text>
        <r>
          <rPr>
            <sz val="11"/>
            <color theme="1"/>
            <rFont val="Aptos Narrow"/>
            <family val="2"/>
            <scheme val="minor"/>
          </rPr>
          <t>Unknown User:
SEARCH &amp; INVESTIGATION (GENERAL)</t>
        </r>
      </text>
    </comment>
    <comment ref="V354" authorId="0" shapeId="0" xr:uid="{F56EAE8B-DCCF-44BC-B248-A31560063A25}">
      <text>
        <r>
          <rPr>
            <sz val="11"/>
            <color theme="1"/>
            <rFont val="Aptos Narrow"/>
            <family val="2"/>
            <scheme val="minor"/>
          </rPr>
          <t>Unknown User:
Smartpay receipt of $3142.70 is split as $1755.70 to original job #73491 &amp; as $1387.10 to upsell job #73557</t>
        </r>
      </text>
    </comment>
    <comment ref="G355" authorId="0" shapeId="0" xr:uid="{C8D5FEFF-52EE-45A5-9742-87733F57CACD}">
      <text>
        <r>
          <rPr>
            <sz val="11"/>
            <color theme="1"/>
            <rFont val="Aptos Narrow"/>
            <family val="2"/>
            <scheme val="minor"/>
          </rPr>
          <t>Unknown User:
SUPPLY AND INSTALLATION OF PRESSURE REGULATING DEVICE FITTED TO 20MM STRAIGHT PIPEWORK</t>
        </r>
      </text>
    </comment>
    <comment ref="N355" authorId="0" shapeId="0" xr:uid="{D4499AC2-771E-4655-BEC6-891942AA8545}">
      <text>
        <r>
          <rPr>
            <sz val="11"/>
            <color theme="1"/>
            <rFont val="Aptos Narrow"/>
            <family val="2"/>
            <scheme val="minor"/>
          </rPr>
          <t>Unknown User:
Quote raised in Job #73491</t>
        </r>
      </text>
    </comment>
    <comment ref="Q355" authorId="0" shapeId="0" xr:uid="{3B6FC232-0780-45A8-BC8A-1AE0448D6DDC}">
      <text>
        <r>
          <rPr>
            <sz val="11"/>
            <color theme="1"/>
            <rFont val="Aptos Narrow"/>
            <family val="2"/>
            <scheme val="minor"/>
          </rPr>
          <t>Unknown User:
Invoice not raised</t>
        </r>
      </text>
    </comment>
    <comment ref="V355" authorId="0" shapeId="0" xr:uid="{016A0F13-4CBE-4885-B65B-A481DEB73C84}">
      <text>
        <r>
          <rPr>
            <sz val="11"/>
            <color theme="1"/>
            <rFont val="Aptos Narrow"/>
            <family val="2"/>
            <scheme val="minor"/>
          </rPr>
          <t>Unknown User:
Smartpay receipt of $3142.70 is split as $1755.70 to original job #73491 &amp; as $1387.10 to upsell job #73557</t>
        </r>
      </text>
    </comment>
    <comment ref="G356" authorId="0" shapeId="0" xr:uid="{22A164DC-E8E0-4597-8C33-69202FEA3FDC}">
      <text>
        <r>
          <rPr>
            <sz val="11"/>
            <color theme="1"/>
            <rFont val="Aptos Narrow"/>
            <family val="2"/>
            <scheme val="minor"/>
          </rPr>
          <t>Unknown User:
ROOF LEAK SEARCH &amp; INVESTIGATION
15% Seniors &amp; Pensioners Discount</t>
        </r>
      </text>
    </comment>
    <comment ref="S356" authorId="0" shapeId="0" xr:uid="{696D3685-4B88-407E-A697-58C8E03899A6}">
      <text>
        <r>
          <rPr>
            <sz val="11"/>
            <color theme="1"/>
            <rFont val="Aptos Narrow"/>
            <family val="2"/>
            <scheme val="minor"/>
          </rPr>
          <t>Unknown User:
Signed invoice not emailed</t>
        </r>
      </text>
    </comment>
    <comment ref="G357" authorId="0" shapeId="0" xr:uid="{2BB2A9A1-E444-4450-A1AA-E780FC3C582C}">
      <text>
        <r>
          <rPr>
            <sz val="11"/>
            <color theme="1"/>
            <rFont val="Aptos Narrow"/>
            <family val="2"/>
            <scheme val="minor"/>
          </rPr>
          <t>Unknown User:
REPLACEMENT OF WALL SINK SPOUT</t>
        </r>
      </text>
    </comment>
    <comment ref="T357" authorId="0" shapeId="0" xr:uid="{BF963B8C-67B2-44C4-AC8D-39D2FECE1BBE}">
      <text>
        <r>
          <rPr>
            <sz val="11"/>
            <color theme="1"/>
            <rFont val="Aptos Narrow"/>
            <family val="2"/>
            <scheme val="minor"/>
          </rPr>
          <t>Unknown User:
5 star reviews x 3</t>
        </r>
      </text>
    </comment>
    <comment ref="G358" authorId="0" shapeId="0" xr:uid="{DC50B7DE-F838-459E-A42F-BE66598D1183}">
      <text>
        <r>
          <rPr>
            <sz val="11"/>
            <color theme="1"/>
            <rFont val="Aptos Narrow"/>
            <family val="2"/>
            <scheme val="minor"/>
          </rPr>
          <t>Unknown User:
HIGH POWERED SUCTION PUMP</t>
        </r>
      </text>
    </comment>
    <comment ref="G359" authorId="0" shapeId="0" xr:uid="{CEE06507-06DE-4F14-9CB1-791507AA5D69}">
      <text>
        <r>
          <rPr>
            <sz val="11"/>
            <color theme="1"/>
            <rFont val="Aptos Narrow"/>
            <family val="2"/>
            <scheme val="minor"/>
          </rPr>
          <t>Unknown User:
SEARCH &amp; INVESTIGATION - LEAKING TOILET SUITE</t>
        </r>
      </text>
    </comment>
    <comment ref="L359" authorId="0" shapeId="0" xr:uid="{79ECB435-9E17-4050-AA31-B0B10D706B2C}">
      <text>
        <r>
          <rPr>
            <sz val="11"/>
            <color theme="1"/>
            <rFont val="Aptos Narrow"/>
            <family val="2"/>
            <scheme val="minor"/>
          </rPr>
          <t>Unknown User:
Search &amp; Investigation pics are not uploaded (after pics)
As per Bradley's note "Completed search on toilet, inlet pipe wasn’t flush with wall, adjusted, tested resiliconed all okay." whereas pics are uploaded for verification.</t>
        </r>
      </text>
    </comment>
    <comment ref="V359" authorId="0" shapeId="0" xr:uid="{03D2C444-A336-4343-897C-E3659ECC25A6}">
      <text>
        <r>
          <rPr>
            <sz val="11"/>
            <color theme="1"/>
            <rFont val="Aptos Narrow"/>
            <family val="2"/>
            <scheme val="minor"/>
          </rPr>
          <t>Unknown User:
Smartpay receipt for $3453.70 is split as $1018.30 for Job #73553 (Initial job) &amp; as $2435.40 for Job #73623 (Upsell)</t>
        </r>
      </text>
    </comment>
    <comment ref="G360" authorId="0" shapeId="0" xr:uid="{0F8829AC-B8A8-455A-81CC-541153A66379}">
      <text>
        <r>
          <rPr>
            <sz val="11"/>
            <color theme="1"/>
            <rFont val="Aptos Narrow"/>
            <family val="2"/>
            <scheme val="minor"/>
          </rPr>
          <t>Unknown User:
REPLACEMENT OF EXISTING PULL-OUT KITCHEN MIXER</t>
        </r>
      </text>
    </comment>
    <comment ref="L360" authorId="0" shapeId="0" xr:uid="{16F297A5-E8DC-4FD9-A3A0-9F8156D31269}">
      <text>
        <r>
          <rPr>
            <sz val="11"/>
            <color theme="1"/>
            <rFont val="Aptos Narrow"/>
            <family val="2"/>
            <scheme val="minor"/>
          </rPr>
          <t>Unknown User:
Replaced pull-out kitchen mixer pics are not uploaded.</t>
        </r>
      </text>
    </comment>
    <comment ref="N360" authorId="0" shapeId="0" xr:uid="{958DB6BF-3DE6-4592-945D-34DE5D8DE285}">
      <text>
        <r>
          <rPr>
            <sz val="11"/>
            <color theme="1"/>
            <rFont val="Aptos Narrow"/>
            <family val="2"/>
            <scheme val="minor"/>
          </rPr>
          <t>Unknown User:
Quote raised in Job #73553</t>
        </r>
      </text>
    </comment>
    <comment ref="V360" authorId="0" shapeId="0" xr:uid="{38518E8A-5476-4CDF-A938-B0131568C3C6}">
      <text>
        <r>
          <rPr>
            <sz val="11"/>
            <color theme="1"/>
            <rFont val="Aptos Narrow"/>
            <family val="2"/>
            <scheme val="minor"/>
          </rPr>
          <t>Unknown User:
Smartpay receipt for $3453.70 is split as $1018.30 for Job #73553 (Initial job) &amp; as $2435.40 for Job #73623 (Upsell)</t>
        </r>
      </text>
    </comment>
    <comment ref="G361" authorId="0" shapeId="0" xr:uid="{2667CB8A-108F-4EBC-A214-9EDF717436AA}">
      <text>
        <r>
          <rPr>
            <sz val="11"/>
            <color theme="1"/>
            <rFont val="Aptos Narrow"/>
            <family val="2"/>
            <scheme val="minor"/>
          </rPr>
          <t xml:space="preserve">Unknown User:
SEARCH AND INVESTIGATION OF ELECTRIC STORAGE HOT WATER SYSTEM
$65 First Service Discount
</t>
        </r>
      </text>
    </comment>
    <comment ref="G362" authorId="0" shapeId="0" xr:uid="{9EDBF835-07F8-41DA-BA69-372F4CBD4D15}">
      <text>
        <r>
          <rPr>
            <sz val="11"/>
            <color theme="1"/>
            <rFont val="Aptos Narrow"/>
            <family val="2"/>
            <scheme val="minor"/>
          </rPr>
          <t>Unknown User:
SEARCH &amp; INVESTIGATION (GENERAL)</t>
        </r>
      </text>
    </comment>
    <comment ref="G363" authorId="0" shapeId="0" xr:uid="{DFA0BF83-D49B-4508-86AA-067A6B9A4B2D}">
      <text>
        <r>
          <rPr>
            <sz val="11"/>
            <color theme="1"/>
            <rFont val="Aptos Narrow"/>
            <family val="2"/>
            <scheme val="minor"/>
          </rPr>
          <t xml:space="preserve">Unknown User:
COMPLETE SERVICE OF WALL TOP TAPS ASSEMBLY
</t>
        </r>
      </text>
    </comment>
    <comment ref="S363" authorId="0" shapeId="0" xr:uid="{67C76187-88E9-44A6-BDC7-5093E2C90CD3}">
      <text>
        <r>
          <rPr>
            <sz val="11"/>
            <color theme="1"/>
            <rFont val="Aptos Narrow"/>
            <family val="2"/>
            <scheme val="minor"/>
          </rPr>
          <t>Unknown User:
Signed invoice not emailed</t>
        </r>
      </text>
    </comment>
    <comment ref="G364" authorId="0" shapeId="0" xr:uid="{49965BCB-6DB7-45B4-B1C6-52291D56EB3E}">
      <text>
        <r>
          <rPr>
            <sz val="11"/>
            <color theme="1"/>
            <rFont val="Aptos Narrow"/>
            <family val="2"/>
            <scheme val="minor"/>
          </rPr>
          <t>Unknown User:
INSTALLATION OF NEW SINK TAP SET (CUSTOMER SUPPLIED)
REPLACEMENT OF EXISTING GOOSE NECK KITCHEN MIXER (CUSTOMER SUPPLIED)
INSTALLATION OF NEW TOILET SEAT (CUSTOMER SUPPLIED)
INSTALLATION OF SHOWER ARM &amp; ROSE (CUSTOMER SUPPLIED)
REPLACEMENT OF TAP TOPS (CUSTOMER SUPPLIED)</t>
        </r>
      </text>
    </comment>
    <comment ref="G365" authorId="0" shapeId="0" xr:uid="{F05D3204-6F4D-46C2-9F1E-E888D21721B7}">
      <text>
        <r>
          <rPr>
            <sz val="11"/>
            <color theme="1"/>
            <rFont val="Aptos Narrow"/>
            <family val="2"/>
            <scheme val="minor"/>
          </rPr>
          <t xml:space="preserve">Unknown User:
REPLACEMENT OF EXISTING 20MM WATER CONNECTION WITH BRAIDED FLEXIBLE HOSE
10% Seniors &amp; Pensioners Discount </t>
        </r>
      </text>
    </comment>
    <comment ref="G370" authorId="0" shapeId="0" xr:uid="{401C0283-470D-49B6-8CD6-A4042C694245}">
      <text>
        <r>
          <rPr>
            <sz val="11"/>
            <color theme="1"/>
            <rFont val="Aptos Narrow"/>
            <family val="2"/>
            <scheme val="minor"/>
          </rPr>
          <t>Unknown User:
REPLACEMENT OF SEWER BOUNDARY TRAP 
CREDIT HIGH POWERED JETBLAST &amp; CCTV CAMERA</t>
        </r>
      </text>
    </comment>
    <comment ref="N370" authorId="0" shapeId="0" xr:uid="{73A44BD0-CB39-4298-8A3D-19771E8BCD76}">
      <text>
        <r>
          <rPr>
            <sz val="11"/>
            <color theme="1"/>
            <rFont val="Aptos Narrow"/>
            <family val="2"/>
            <scheme val="minor"/>
          </rPr>
          <t>Unknown User:
Quote available in Job #73196</t>
        </r>
      </text>
    </comment>
    <comment ref="P370" authorId="0" shapeId="0" xr:uid="{C18B973B-4DBF-4061-ACB8-BAA8BC83BB06}">
      <text>
        <r>
          <rPr>
            <sz val="11"/>
            <color theme="1"/>
            <rFont val="Aptos Narrow"/>
            <family val="2"/>
            <scheme val="minor"/>
          </rPr>
          <t>Unknown User:
Quote not emailed</t>
        </r>
      </text>
    </comment>
    <comment ref="V370" authorId="0" shapeId="0" xr:uid="{452B9F21-263A-458E-94D7-1F0DCB693AA8}">
      <text>
        <r>
          <rPr>
            <sz val="11"/>
            <color theme="1"/>
            <rFont val="Aptos Narrow"/>
            <family val="2"/>
            <scheme val="minor"/>
          </rPr>
          <t>Unknown User:
17/9-EFT of $5000 received</t>
        </r>
      </text>
    </comment>
    <comment ref="G374" authorId="0" shapeId="0" xr:uid="{D3699205-0DC5-4C59-9F37-2B01CC3ECAFA}">
      <text>
        <r>
          <rPr>
            <sz val="11"/>
            <color theme="1"/>
            <rFont val="Aptos Narrow"/>
            <family val="2"/>
            <scheme val="minor"/>
          </rPr>
          <t>Unknown User:
SUPPLY &amp; INSTALLATION OF RAINWATER PUMP WITH RAIN2MAIN WATER SWITCHING UNIT</t>
        </r>
      </text>
    </comment>
    <comment ref="L374" authorId="0" shapeId="0" xr:uid="{C6716F91-C7C2-43E9-9013-C889363588EF}">
      <text>
        <r>
          <rPr>
            <sz val="11"/>
            <color theme="1"/>
            <rFont val="Aptos Narrow"/>
            <family val="2"/>
            <scheme val="minor"/>
          </rPr>
          <t>Unknown User:
After photos not identifiable</t>
        </r>
      </text>
    </comment>
    <comment ref="S374" authorId="0" shapeId="0" xr:uid="{68C24B5A-0C80-4A23-A4A8-8BA99C65EAE7}">
      <text>
        <r>
          <rPr>
            <sz val="11"/>
            <color theme="1"/>
            <rFont val="Aptos Narrow"/>
            <family val="2"/>
            <scheme val="minor"/>
          </rPr>
          <t>Unknown User:
Signed invoice not emailed</t>
        </r>
      </text>
    </comment>
    <comment ref="G375" authorId="0" shapeId="0" xr:uid="{A06CCB26-1CA7-48C2-BDB4-E2A5765BE483}">
      <text>
        <r>
          <rPr>
            <sz val="11"/>
            <color theme="1"/>
            <rFont val="Aptos Narrow"/>
            <family val="2"/>
            <scheme val="minor"/>
          </rPr>
          <t>Unknown User:
SEARCH &amp; INVESTIGATION OF GAS APPLIANCE</t>
        </r>
      </text>
    </comment>
    <comment ref="O375" authorId="0" shapeId="0" xr:uid="{3CAC6AAC-7093-4035-AA29-FC22CD42DD58}">
      <text>
        <r>
          <rPr>
            <sz val="11"/>
            <color theme="1"/>
            <rFont val="Aptos Narrow"/>
            <family val="2"/>
            <scheme val="minor"/>
          </rPr>
          <t>Unknown User:
SMS approval</t>
        </r>
      </text>
    </comment>
    <comment ref="P375" authorId="0" shapeId="0" xr:uid="{496E5001-B4B5-482D-B444-34D634DC47B0}">
      <text>
        <r>
          <rPr>
            <sz val="11"/>
            <color theme="1"/>
            <rFont val="Aptos Narrow"/>
            <family val="2"/>
            <scheme val="minor"/>
          </rPr>
          <t>Unknown User:
Quote not emailed</t>
        </r>
      </text>
    </comment>
    <comment ref="S375" authorId="0" shapeId="0" xr:uid="{3F159BD7-3BC9-4F5B-BEF4-D9C40D6FE59F}">
      <text>
        <r>
          <rPr>
            <sz val="11"/>
            <color theme="1"/>
            <rFont val="Aptos Narrow"/>
            <family val="2"/>
            <scheme val="minor"/>
          </rPr>
          <t>Unknown User:
Signed invoice not emailed</t>
        </r>
      </text>
    </comment>
    <comment ref="G379" authorId="0" shapeId="0" xr:uid="{D52D6472-9FAD-40B2-AE7F-29F7568F9BA0}">
      <text>
        <r>
          <rPr>
            <sz val="11"/>
            <color theme="1"/>
            <rFont val="Aptos Narrow"/>
            <family val="2"/>
            <scheme val="minor"/>
          </rPr>
          <t>Unknown User:
CCTV DRAIN CAMERA INSPECTION OF SEWER SERVICE</t>
        </r>
      </text>
    </comment>
    <comment ref="G380" authorId="0" shapeId="0" xr:uid="{C11C0DDF-A2EB-4AFB-AF73-4E0571D0F100}">
      <text>
        <r>
          <rPr>
            <sz val="11"/>
            <color theme="1"/>
            <rFont val="Aptos Narrow"/>
            <family val="2"/>
            <scheme val="minor"/>
          </rPr>
          <t>Unknown User:
SUPPLY &amp; INSTALLATION OF NEW FREE-STANDING VANITY (750MM)</t>
        </r>
      </text>
    </comment>
    <comment ref="P380" authorId="0" shapeId="0" xr:uid="{0EE9B77C-BB22-420A-9F72-36129EB1BC7E}">
      <text>
        <r>
          <rPr>
            <sz val="11"/>
            <color theme="1"/>
            <rFont val="Aptos Narrow"/>
            <family val="2"/>
            <scheme val="minor"/>
          </rPr>
          <t>Unknown User:
Quote not emailed</t>
        </r>
      </text>
    </comment>
    <comment ref="G384" authorId="0" shapeId="0" xr:uid="{F2D3ABBF-D6E7-48DC-80B6-4C83DA301709}">
      <text>
        <r>
          <rPr>
            <sz val="11"/>
            <color theme="1"/>
            <rFont val="Aptos Narrow"/>
            <family val="2"/>
            <scheme val="minor"/>
          </rPr>
          <t>Unknown User:
SEARCH AND INVESTIGATION OF GAS INSTANTANEOUS HOT WATER SYSTEM</t>
        </r>
      </text>
    </comment>
    <comment ref="G385" authorId="0" shapeId="0" xr:uid="{A22F5C16-239B-434B-BF4F-087728E320C8}">
      <text>
        <r>
          <rPr>
            <sz val="11"/>
            <color theme="1"/>
            <rFont val="Aptos Narrow"/>
            <family val="2"/>
            <scheme val="minor"/>
          </rPr>
          <t xml:space="preserve">Unknown User:
SUPPLY &amp; INSTALLATION OF NEW SINGLE ELEMENT HOT WATER UNIT – INTERNAL
</t>
        </r>
      </text>
    </comment>
    <comment ref="G387" authorId="0" shapeId="0" xr:uid="{1A8636DF-EE8E-4C03-AB9A-63D879F7133C}">
      <text>
        <r>
          <rPr>
            <sz val="11"/>
            <color theme="1"/>
            <rFont val="Aptos Narrow"/>
            <family val="2"/>
            <scheme val="minor"/>
          </rPr>
          <t xml:space="preserve">Unknown User:
INSTALLATION OF HOT WATER UNIT (CUSTOMER SUPPLIED)
</t>
        </r>
      </text>
    </comment>
    <comment ref="G388" authorId="0" shapeId="0" xr:uid="{40E5A210-878D-4128-A299-C9387726EEE0}">
      <text>
        <r>
          <rPr>
            <sz val="11"/>
            <color theme="1"/>
            <rFont val="Aptos Narrow"/>
            <family val="2"/>
            <scheme val="minor"/>
          </rPr>
          <t>Unknown User:
WATER SERVICE RECTIFICATION (IN GROUND)</t>
        </r>
      </text>
    </comment>
    <comment ref="G389" authorId="0" shapeId="0" xr:uid="{84F07085-AEEC-42A5-AEA8-11BE2AE1CA13}">
      <text>
        <r>
          <rPr>
            <sz val="11"/>
            <color theme="1"/>
            <rFont val="Aptos Narrow"/>
            <family val="2"/>
            <scheme val="minor"/>
          </rPr>
          <t>Unknown User:
SUPPLY &amp; INSTALLATION OF NEW INSTANTANEOUS GAS HOT WATER SYSTEM (EXTERNAL)
10% Seniors &amp; Pensioners Discount</t>
        </r>
      </text>
    </comment>
    <comment ref="G390" authorId="0" shapeId="0" xr:uid="{8B1FBD93-68A7-4309-A791-4233B31B9170}">
      <text>
        <r>
          <rPr>
            <sz val="11"/>
            <color theme="1"/>
            <rFont val="Aptos Narrow"/>
            <family val="2"/>
            <scheme val="minor"/>
          </rPr>
          <t>Unknown User:
HIGH POWERED JET BLAST &amp; CCTV DRAIN CAMERA INSPECTION (SEWER SERVICE)</t>
        </r>
      </text>
    </comment>
    <comment ref="G391" authorId="0" shapeId="0" xr:uid="{8EBF7290-2166-4A21-9118-ED8CB2C5548F}">
      <text>
        <r>
          <rPr>
            <sz val="11"/>
            <color theme="1"/>
            <rFont val="Aptos Narrow"/>
            <family val="2"/>
            <scheme val="minor"/>
          </rPr>
          <t xml:space="preserve">Unknown User:
SUPPLY &amp; INSTALLATION OF NEW STAINLESS STEEL TROUGHS
</t>
        </r>
      </text>
    </comment>
    <comment ref="G392" authorId="0" shapeId="0" xr:uid="{0AE12041-8D95-4673-A796-1967AC40E367}">
      <text>
        <r>
          <rPr>
            <sz val="11"/>
            <color theme="1"/>
            <rFont val="Aptos Narrow"/>
            <family val="2"/>
            <scheme val="minor"/>
          </rPr>
          <t xml:space="preserve">Unknown User:
SUPPLY &amp; INSTALLATION OF NEW BRASS HOSE TAP &amp; WATER SERVICE UP TO 100M
</t>
        </r>
      </text>
    </comment>
    <comment ref="G393" authorId="0" shapeId="0" xr:uid="{61A2542A-A35D-4FF6-82B2-CDDE5043AAAB}">
      <text>
        <r>
          <rPr>
            <sz val="11"/>
            <color theme="1"/>
            <rFont val="Aptos Narrow"/>
            <family val="2"/>
            <scheme val="minor"/>
          </rPr>
          <t>Unknown User:
MIXER TAP - GOOSE NECK</t>
        </r>
      </text>
    </comment>
    <comment ref="G395" authorId="0" shapeId="0" xr:uid="{75B3AC35-2BFE-4A73-A130-5F8134003FF4}">
      <text>
        <r>
          <rPr>
            <sz val="11"/>
            <color theme="1"/>
            <rFont val="Aptos Narrow"/>
            <family val="2"/>
            <scheme val="minor"/>
          </rPr>
          <t>Unknown User:
CONVERT EXISTING GAS STORAGE TO NEW HEAT PUMP – MADE BY
RHEEM
10% Good Will Discount</t>
        </r>
      </text>
    </comment>
    <comment ref="G396" authorId="0" shapeId="0" xr:uid="{F8D578D2-7F17-42F3-99C2-0EBD5FFDE5C4}">
      <text>
        <r>
          <rPr>
            <sz val="11"/>
            <color theme="1"/>
            <rFont val="Aptos Narrow"/>
            <family val="2"/>
            <scheme val="minor"/>
          </rPr>
          <t>Unknown User:
INSTALLATION OF CUSTOMER SUPPLIED FRIDGE TO EXISTING WATER SUPPLY</t>
        </r>
      </text>
    </comment>
    <comment ref="E418" authorId="7" shapeId="0" xr:uid="{B328BEFD-86EF-4DDC-A98A-456E5BD29CAF}">
      <text>
        <t>[Threaded comment]
Your version of Excel allows you to read this threaded comment; however, any edits to it will get removed if the file is opened in a newer version of Excel. Learn more: https://go.microsoft.com/fwlink/?linkid=870924
Comment:
    Stock</t>
      </text>
    </comment>
    <comment ref="G429" authorId="0" shapeId="0" xr:uid="{A6F6542C-C0CA-4247-BC3C-51734B9F00B8}">
      <text>
        <r>
          <rPr>
            <sz val="11"/>
            <color theme="1"/>
            <rFont val="Aptos Narrow"/>
            <family val="2"/>
            <scheme val="minor"/>
          </rPr>
          <t>Unknown User:
EMERGENCY ISOLATION VALVE - COMBO</t>
        </r>
      </text>
    </comment>
    <comment ref="G430" authorId="0" shapeId="0" xr:uid="{409F6A28-4D99-4544-BF16-8FB4FE383C87}">
      <text>
        <r>
          <rPr>
            <sz val="11"/>
            <color theme="1"/>
            <rFont val="Aptos Narrow"/>
            <family val="2"/>
            <scheme val="minor"/>
          </rPr>
          <t>Unknown User:
HIGH POWERED JET BLAST &amp; CCTV DRAIN CAMERA INSPECTION (STORM WATER SERVICE)</t>
        </r>
      </text>
    </comment>
    <comment ref="G431" authorId="0" shapeId="0" xr:uid="{1A42FCB0-BB39-47DF-B19A-8D3D35C71ACE}">
      <text>
        <r>
          <rPr>
            <sz val="11"/>
            <color theme="1"/>
            <rFont val="Aptos Narrow"/>
            <family val="2"/>
            <scheme val="minor"/>
          </rPr>
          <t>Unknown User:
HIGH POWERED SUCTION &amp; ACID TREATMENT
10% Seniors &amp; Pensioners Discount</t>
        </r>
      </text>
    </comment>
    <comment ref="G432" authorId="0" shapeId="0" xr:uid="{BAF3269A-50CA-48E4-8594-AAA69C92FD80}">
      <text>
        <r>
          <rPr>
            <sz val="11"/>
            <color theme="1"/>
            <rFont val="Aptos Narrow"/>
            <family val="2"/>
            <scheme val="minor"/>
          </rPr>
          <t>Unknown User:
CCTV DRAIN CAMERA INSPECTION OF STORM WATER SERVICE
$65 First Service Discount</t>
        </r>
      </text>
    </comment>
    <comment ref="S432" authorId="0" shapeId="0" xr:uid="{D4D4A3E9-AEED-49BA-8A53-C7C66CBCB1A5}">
      <text>
        <r>
          <rPr>
            <sz val="11"/>
            <color theme="1"/>
            <rFont val="Aptos Narrow"/>
            <family val="2"/>
            <scheme val="minor"/>
          </rPr>
          <t>Unknown User:
Signed invoice not emailed</t>
        </r>
      </text>
    </comment>
    <comment ref="G433" authorId="0" shapeId="0" xr:uid="{4FFDFA08-5226-4A95-8049-C8FC99A82B23}">
      <text>
        <r>
          <rPr>
            <sz val="11"/>
            <color theme="1"/>
            <rFont val="Aptos Narrow"/>
            <family val="2"/>
            <scheme val="minor"/>
          </rPr>
          <t xml:space="preserve">Unknown User:
HIGH POWERED JET BLAST &amp; CCTV DRAIN CAMERA INSPECTION (SEWER SERVICE)
10% Seniors &amp; Pensioners Discount
$110 Blocked Drains Discount </t>
        </r>
      </text>
    </comment>
    <comment ref="G434" authorId="0" shapeId="0" xr:uid="{93A3703E-DAD1-4926-B476-AB11CA2F8C0C}">
      <text>
        <r>
          <rPr>
            <sz val="11"/>
            <color theme="1"/>
            <rFont val="Aptos Narrow"/>
            <family val="2"/>
            <scheme val="minor"/>
          </rPr>
          <t>Unknown User:
SUPPLY &amp; INSTALLATION OF COLD WATER EXPANSION VALVE</t>
        </r>
      </text>
    </comment>
    <comment ref="G435" authorId="0" shapeId="0" xr:uid="{D0575EEC-EB83-4832-89AC-1C3214A7810C}">
      <text>
        <r>
          <rPr>
            <sz val="11"/>
            <color theme="1"/>
            <rFont val="Aptos Narrow"/>
            <family val="2"/>
            <scheme val="minor"/>
          </rPr>
          <t>Unknown User:
WATER SERVICE RECTIFICATION (EXPOSED)
$85 Off First Service</t>
        </r>
      </text>
    </comment>
    <comment ref="O435" authorId="0" shapeId="0" xr:uid="{648A4EF7-4C6B-4971-8D07-9421A5C2A12C}">
      <text>
        <r>
          <rPr>
            <sz val="11"/>
            <color theme="1"/>
            <rFont val="Aptos Narrow"/>
            <family val="2"/>
            <scheme val="minor"/>
          </rPr>
          <t>Unknown User:
SMS approval</t>
        </r>
      </text>
    </comment>
    <comment ref="Q435" authorId="0" shapeId="0" xr:uid="{7D4A618A-9A4F-425B-9719-B926C2626226}">
      <text>
        <r>
          <rPr>
            <sz val="11"/>
            <color theme="1"/>
            <rFont val="Aptos Narrow"/>
            <family val="2"/>
            <scheme val="minor"/>
          </rPr>
          <t>Unknown User:
Invoice not raised (Raised with zero value &amp; no description available)</t>
        </r>
      </text>
    </comment>
    <comment ref="G436" authorId="0" shapeId="0" xr:uid="{9FA207DC-8086-40E2-833F-42AAC9132E08}">
      <text>
        <r>
          <rPr>
            <sz val="11"/>
            <color theme="1"/>
            <rFont val="Aptos Narrow"/>
            <family val="2"/>
            <scheme val="minor"/>
          </rPr>
          <t>Unknown User:
REPLACE EXISTING 15MM WATER CONNECTION WITH BRAIDED FLEXIBLE HOSE</t>
        </r>
      </text>
    </comment>
    <comment ref="G437" authorId="0" shapeId="0" xr:uid="{6E50CBC4-9525-4375-824E-73AD9DBBD6EF}">
      <text>
        <r>
          <rPr>
            <sz val="11"/>
            <color theme="1"/>
            <rFont val="Aptos Narrow"/>
            <family val="2"/>
            <scheme val="minor"/>
          </rPr>
          <t>Unknown User:
SEARCH &amp; INVESTIGATION OF GAS STORAGE HOT WATER SYSTEM</t>
        </r>
      </text>
    </comment>
    <comment ref="S437" authorId="0" shapeId="0" xr:uid="{898F7B13-0221-4EF5-A197-FFA47C07393E}">
      <text>
        <r>
          <rPr>
            <sz val="11"/>
            <color theme="1"/>
            <rFont val="Aptos Narrow"/>
            <family val="2"/>
            <scheme val="minor"/>
          </rPr>
          <t>Unknown User:
Signed invoice not emailed</t>
        </r>
      </text>
    </comment>
    <comment ref="G438" authorId="0" shapeId="0" xr:uid="{09406F0F-AEC3-4BCF-B616-10CCF388044F}">
      <text>
        <r>
          <rPr>
            <sz val="11"/>
            <color theme="1"/>
            <rFont val="Aptos Narrow"/>
            <family val="2"/>
            <scheme val="minor"/>
          </rPr>
          <t>Unknown User:
SUPPLY AND INSTALLATION OF BRASS HOSE TAPS TO REPLACE EXISTING HOSE TAP</t>
        </r>
      </text>
    </comment>
    <comment ref="G443" authorId="0" shapeId="0" xr:uid="{ADD9E341-8330-4A78-9FB1-4BF35E5BBE45}">
      <text>
        <r>
          <rPr>
            <sz val="11"/>
            <color theme="1"/>
            <rFont val="Aptos Narrow"/>
            <family val="2"/>
            <scheme val="minor"/>
          </rPr>
          <t>Unknown User:
INSTALLATION OF DISHWASHER [SAME LOCATION] (CUSTOMER SUPPLIED)</t>
        </r>
      </text>
    </comment>
    <comment ref="K443" authorId="0" shapeId="0" xr:uid="{41353055-BF0E-4514-BF94-9C1F3C9AFDE7}">
      <text>
        <r>
          <rPr>
            <sz val="11"/>
            <color theme="1"/>
            <rFont val="Aptos Narrow"/>
            <family val="2"/>
            <scheme val="minor"/>
          </rPr>
          <t>Unknown User:
Before job pics (Old unit) not uploaded</t>
        </r>
      </text>
    </comment>
    <comment ref="G447" authorId="0" shapeId="0" xr:uid="{12A56C73-00DA-485F-9310-A8A61B98428D}">
      <text>
        <r>
          <rPr>
            <sz val="11"/>
            <color theme="1"/>
            <rFont val="Aptos Narrow"/>
            <family val="2"/>
            <scheme val="minor"/>
          </rPr>
          <t>Unknown User:
SPECIALIST LEAK DETECTION (WATER SERVICE)</t>
        </r>
      </text>
    </comment>
    <comment ref="O447" authorId="0" shapeId="0" xr:uid="{ADCE5AD2-0C7F-430D-B5FA-E658243B3571}">
      <text>
        <r>
          <rPr>
            <sz val="11"/>
            <color theme="1"/>
            <rFont val="Aptos Narrow"/>
            <family val="2"/>
            <scheme val="minor"/>
          </rPr>
          <t>Unknown User:
SMS approval</t>
        </r>
      </text>
    </comment>
    <comment ref="P447" authorId="0" shapeId="0" xr:uid="{DA80F45D-C342-4E90-B10E-13858152C58B}">
      <text>
        <r>
          <rPr>
            <sz val="11"/>
            <color theme="1"/>
            <rFont val="Aptos Narrow"/>
            <family val="2"/>
            <scheme val="minor"/>
          </rPr>
          <t>Unknown User:
Quote not emailed
Approved by phone</t>
        </r>
      </text>
    </comment>
    <comment ref="G451" authorId="0" shapeId="0" xr:uid="{84BF0993-25F9-4A7C-A9A0-062D3AA0D625}">
      <text>
        <r>
          <rPr>
            <sz val="11"/>
            <color theme="1"/>
            <rFont val="Aptos Narrow"/>
            <family val="2"/>
            <scheme val="minor"/>
          </rPr>
          <t>Unknown User:
SUPPLY &amp; INSTALLATION OF RAINWATER PUMP WITH RAIN2MAIN WATER SWITCHING UNIT</t>
        </r>
      </text>
    </comment>
    <comment ref="L451" authorId="0" shapeId="0" xr:uid="{958F070A-82CD-4381-8A76-F53ECA5EDBE7}">
      <text>
        <r>
          <rPr>
            <sz val="11"/>
            <color theme="1"/>
            <rFont val="Aptos Narrow"/>
            <family val="2"/>
            <scheme val="minor"/>
          </rPr>
          <t>Unknown User:
After photos not identifiable</t>
        </r>
      </text>
    </comment>
    <comment ref="S451" authorId="0" shapeId="0" xr:uid="{5263B351-E6EC-4670-BF0E-C2378B26BA67}">
      <text>
        <r>
          <rPr>
            <sz val="11"/>
            <color theme="1"/>
            <rFont val="Aptos Narrow"/>
            <family val="2"/>
            <scheme val="minor"/>
          </rPr>
          <t>Unknown User:
Signed invoice not emailed</t>
        </r>
      </text>
    </comment>
    <comment ref="G452" authorId="0" shapeId="0" xr:uid="{C4F6287A-505F-4A5B-B138-AF21D26FD8D7}">
      <text>
        <r>
          <rPr>
            <sz val="11"/>
            <color theme="1"/>
            <rFont val="Aptos Narrow"/>
            <family val="2"/>
            <scheme val="minor"/>
          </rPr>
          <t>Unknown User:
SEARCH &amp; INVESTIGATION OF GAS APPLIANCE</t>
        </r>
      </text>
    </comment>
    <comment ref="O452" authorId="0" shapeId="0" xr:uid="{2BEF0B53-8EC7-428F-A871-595874594644}">
      <text>
        <r>
          <rPr>
            <sz val="11"/>
            <color theme="1"/>
            <rFont val="Aptos Narrow"/>
            <family val="2"/>
            <scheme val="minor"/>
          </rPr>
          <t>Unknown User:
SMS approval</t>
        </r>
      </text>
    </comment>
    <comment ref="P452" authorId="0" shapeId="0" xr:uid="{77619356-E17F-4EF6-9FA8-CF4EF886AAE7}">
      <text>
        <r>
          <rPr>
            <sz val="11"/>
            <color theme="1"/>
            <rFont val="Aptos Narrow"/>
            <family val="2"/>
            <scheme val="minor"/>
          </rPr>
          <t>Unknown User:
Quote not emailed</t>
        </r>
      </text>
    </comment>
    <comment ref="S452" authorId="0" shapeId="0" xr:uid="{1ADB908B-7D10-45F3-95E3-05C779F45261}">
      <text>
        <r>
          <rPr>
            <sz val="11"/>
            <color theme="1"/>
            <rFont val="Aptos Narrow"/>
            <family val="2"/>
            <scheme val="minor"/>
          </rPr>
          <t>Unknown User:
Signed invoice not emailed</t>
        </r>
      </text>
    </comment>
    <comment ref="G456" authorId="0" shapeId="0" xr:uid="{252A5E8C-4C01-45F7-A184-1C880F292E9F}">
      <text>
        <r>
          <rPr>
            <sz val="11"/>
            <color theme="1"/>
            <rFont val="Aptos Narrow"/>
            <family val="2"/>
            <scheme val="minor"/>
          </rPr>
          <t>Unknown User:
CCTV DRAIN CAMERA INSPECTION OF SEWER SERVICE</t>
        </r>
      </text>
    </comment>
    <comment ref="G457" authorId="0" shapeId="0" xr:uid="{13E1AE52-9C20-4379-8214-0487EBE7D2CC}">
      <text>
        <r>
          <rPr>
            <sz val="11"/>
            <color theme="1"/>
            <rFont val="Aptos Narrow"/>
            <family val="2"/>
            <scheme val="minor"/>
          </rPr>
          <t>Unknown User:
SUPPLY &amp; INSTALLATION OF NEW FREE-STANDING VANITY (750MM)</t>
        </r>
      </text>
    </comment>
    <comment ref="P457" authorId="0" shapeId="0" xr:uid="{8FE39522-B16D-4F4F-9972-51D6EBD6E34E}">
      <text>
        <r>
          <rPr>
            <sz val="11"/>
            <color theme="1"/>
            <rFont val="Aptos Narrow"/>
            <family val="2"/>
            <scheme val="minor"/>
          </rPr>
          <t>Unknown User:
Quote not emailed</t>
        </r>
      </text>
    </comment>
    <comment ref="G462" authorId="0" shapeId="0" xr:uid="{AA6E3D63-403D-4AA9-981C-2495E00A4AFD}">
      <text>
        <r>
          <rPr>
            <sz val="11"/>
            <color theme="1"/>
            <rFont val="Aptos Narrow"/>
            <family val="2"/>
            <scheme val="minor"/>
          </rPr>
          <t>Unknown User:
FLOOD, DYE, PRESSURE TEST (WET AREA)</t>
        </r>
      </text>
    </comment>
    <comment ref="G463" authorId="0" shapeId="0" xr:uid="{2C196A5E-0F48-42A7-8C81-651CB04A9589}">
      <text>
        <r>
          <rPr>
            <sz val="11"/>
            <color theme="1"/>
            <rFont val="Aptos Narrow"/>
            <family val="2"/>
            <scheme val="minor"/>
          </rPr>
          <t>Unknown User:
SEARCH AND INVESTIGATION OF GAS INSTANTANEOUS HOT WATER SYSTEM
10% Seniors &amp; Pensioners Discount</t>
        </r>
      </text>
    </comment>
    <comment ref="G465" authorId="0" shapeId="0" xr:uid="{4EE58BCC-A7F3-418B-8405-E5BFC10FCB98}">
      <text>
        <r>
          <rPr>
            <sz val="11"/>
            <color theme="1"/>
            <rFont val="Aptos Narrow"/>
            <family val="2"/>
            <scheme val="minor"/>
          </rPr>
          <t>Unknown User:
REPLACEMENT OF LAUNDRY MIXER (CUSTOMER SUPPLIED)
$85 Off First Service</t>
        </r>
      </text>
    </comment>
    <comment ref="G466" authorId="0" shapeId="0" xr:uid="{9890230A-E8C5-4EFF-A974-4D4474631FA5}">
      <text>
        <r>
          <rPr>
            <sz val="11"/>
            <color theme="1"/>
            <rFont val="Aptos Narrow"/>
            <family val="2"/>
            <scheme val="minor"/>
          </rPr>
          <t>Unknown User:
SEARCH &amp; INVESTIGATION OF GAS APPLIANCE</t>
        </r>
      </text>
    </comment>
    <comment ref="G467" authorId="0" shapeId="0" xr:uid="{56C78BBF-76A6-4F1B-A557-323623004464}">
      <text>
        <r>
          <rPr>
            <sz val="11"/>
            <color theme="1"/>
            <rFont val="Aptos Narrow"/>
            <family val="2"/>
            <scheme val="minor"/>
          </rPr>
          <t>Unknown User:
INSTALLATION OF FRIDGE WITHIN 3M OF COLD WATER SUPPLY (CUSTOMER SUPPLIED)
10% Good Will Discount</t>
        </r>
      </text>
    </comment>
    <comment ref="G468" authorId="0" shapeId="0" xr:uid="{B5BA45DC-0BFF-4063-B832-66B2642A3B00}">
      <text>
        <r>
          <rPr>
            <sz val="11"/>
            <color theme="1"/>
            <rFont val="Aptos Narrow"/>
            <family val="2"/>
            <scheme val="minor"/>
          </rPr>
          <t>Unknown User:
INSTALLATION OF CUSTOMER SUPPLIED FRIDGE WITHIN 2.5M OF COLD WATER SUPPLY</t>
        </r>
      </text>
    </comment>
    <comment ref="G469" authorId="0" shapeId="0" xr:uid="{8D419F1B-F8FD-410A-A069-08D73EB902CA}">
      <text>
        <r>
          <rPr>
            <sz val="11"/>
            <color theme="1"/>
            <rFont val="Aptos Narrow"/>
            <family val="2"/>
            <scheme val="minor"/>
          </rPr>
          <t>Unknown User:
REPLACEMENT OF HAND-HELD SHOWER ROSE</t>
        </r>
      </text>
    </comment>
    <comment ref="G470" authorId="0" shapeId="0" xr:uid="{BFA95B45-C733-4424-9741-C59DC10B0647}">
      <text>
        <r>
          <rPr>
            <sz val="11"/>
            <color theme="1"/>
            <rFont val="Aptos Narrow"/>
            <family val="2"/>
            <scheme val="minor"/>
          </rPr>
          <t xml:space="preserve">Unknown User:
SUPPLY AND INSTALLATION OF RIGHT-ANGLED PRESSURE REGULATING DEVICE FITTED TO 20MM STRAIGHT PIPEWORK
</t>
        </r>
      </text>
    </comment>
    <comment ref="G471" authorId="0" shapeId="0" xr:uid="{23C56944-E6C1-430B-AA55-082C0FD97D7E}">
      <text>
        <r>
          <rPr>
            <sz val="11"/>
            <color theme="1"/>
            <rFont val="Aptos Narrow"/>
            <family val="2"/>
            <scheme val="minor"/>
          </rPr>
          <t>Unknown User:
COMPLETE SERVICE OF WALL TOP TAPS ASSEMBLY</t>
        </r>
      </text>
    </comment>
    <comment ref="G472" authorId="0" shapeId="0" xr:uid="{23F883E4-F03C-4C61-987A-CA9F56EB44CC}">
      <text>
        <r>
          <rPr>
            <sz val="11"/>
            <color theme="1"/>
            <rFont val="Aptos Narrow"/>
            <family val="2"/>
            <scheme val="minor"/>
          </rPr>
          <t>Unknown User:
SUPPLY AND INSTALLATION OF BRASS HOSE TAPS TO REPLACE EXISTING HOSE TAP</t>
        </r>
      </text>
    </comment>
    <comment ref="G473" authorId="0" shapeId="0" xr:uid="{D7F18959-4488-445F-836B-7B24FBC61DF6}">
      <text>
        <r>
          <rPr>
            <sz val="11"/>
            <color theme="1"/>
            <rFont val="Aptos Narrow"/>
            <family val="2"/>
            <scheme val="minor"/>
          </rPr>
          <t>Unknown User:
SUPPLY &amp; INSTALLATION OF NEW WALL FACED TOILET SUITE
10% Good Will Discount</t>
        </r>
      </text>
    </comment>
    <comment ref="G474" authorId="0" shapeId="0" xr:uid="{68A510C5-E980-428F-9844-DEC5221A3222}">
      <text>
        <r>
          <rPr>
            <sz val="11"/>
            <color theme="1"/>
            <rFont val="Aptos Narrow"/>
            <family val="2"/>
            <scheme val="minor"/>
          </rPr>
          <t>Unknown User:
RENOVATION OF SHOWER</t>
        </r>
      </text>
    </comment>
    <comment ref="G475" authorId="0" shapeId="0" xr:uid="{22A6DB92-DE4F-4B45-A40E-7A099CA79969}">
      <text>
        <r>
          <rPr>
            <sz val="11"/>
            <color theme="1"/>
            <rFont val="Aptos Narrow"/>
            <family val="2"/>
            <scheme val="minor"/>
          </rPr>
          <t>Unknown User:
HIGH POWERED JET BLAST &amp; CCTV DRAIN CAMERA INSPECTION (SEWER SERVICE)
$110 Blocked Drains Discount</t>
        </r>
      </text>
    </comment>
    <comment ref="G476" authorId="0" shapeId="0" xr:uid="{26998EC4-156D-45FE-BE31-3BB80268BF58}">
      <text>
        <r>
          <rPr>
            <sz val="11"/>
            <color theme="1"/>
            <rFont val="Aptos Narrow"/>
            <family val="2"/>
            <scheme val="minor"/>
          </rPr>
          <t xml:space="preserve">Unknown User:
SEARCH &amp; INVESTIGATION OF GAS APPLIANCE
</t>
        </r>
      </text>
    </comment>
    <comment ref="G478" authorId="0" shapeId="0" xr:uid="{52780450-125E-438C-AFBF-AA7A63C1808F}">
      <text>
        <r>
          <rPr>
            <sz val="11"/>
            <color theme="1"/>
            <rFont val="Aptos Narrow"/>
            <family val="2"/>
            <scheme val="minor"/>
          </rPr>
          <t xml:space="preserve">Unknown User:
SUPPLY &amp; INSTALLATION OF NEW TWIN ELEMENT HOT WATER UNIT (EXTERNAL)
</t>
        </r>
      </text>
    </comment>
    <comment ref="G479" authorId="0" shapeId="0" xr:uid="{755E7857-7B11-4E73-928B-7C97559F1292}">
      <text>
        <r>
          <rPr>
            <sz val="11"/>
            <color theme="1"/>
            <rFont val="Aptos Narrow"/>
            <family val="2"/>
            <scheme val="minor"/>
          </rPr>
          <t>Unknown User:
SEARCH AND INVESTIGATION OF SOLAR SPLIT HOT WATER SYSTEM</t>
        </r>
      </text>
    </comment>
    <comment ref="G480" authorId="0" shapeId="0" xr:uid="{55788ABD-85C3-48D8-8B58-64F789F6A9DE}">
      <text>
        <r>
          <rPr>
            <sz val="11"/>
            <color theme="1"/>
            <rFont val="Aptos Narrow"/>
            <family val="2"/>
            <scheme val="minor"/>
          </rPr>
          <t xml:space="preserve">Unknown User:
REPLACEMENT OF EXISTING GOOSE NECK KITCHEN MIXER (CUSTOMER SUPPLIED)
</t>
        </r>
      </text>
    </comment>
    <comment ref="G483" authorId="0" shapeId="0" xr:uid="{EDFFF9A9-9554-4741-BBCB-77C2625028FF}">
      <text>
        <r>
          <rPr>
            <sz val="11"/>
            <color theme="1"/>
            <rFont val="Aptos Narrow"/>
            <family val="2"/>
            <scheme val="minor"/>
          </rPr>
          <t>Unknown User:
SUPPLY AND INSTALLATION OF BRASS HOSE TAPS TO REPLACE EXISTING HOSE TAP
10% Good Will Discount</t>
        </r>
      </text>
    </comment>
    <comment ref="G485" authorId="0" shapeId="0" xr:uid="{0D1D3B6E-30B2-4C40-A084-0B90CBC25477}">
      <text>
        <r>
          <rPr>
            <sz val="11"/>
            <color theme="1"/>
            <rFont val="Aptos Narrow"/>
            <family val="2"/>
            <scheme val="minor"/>
          </rPr>
          <t>Unknown User:
RECTIFICATION OF WATER METER</t>
        </r>
      </text>
    </comment>
    <comment ref="E506" authorId="8" shapeId="0" xr:uid="{CC03C487-4993-4120-90D2-8402807F0067}">
      <text>
        <t>[Threaded comment]
Your version of Excel allows you to read this threaded comment; however, any edits to it will get removed if the file is opened in a newer version of Excel. Learn more: https://go.microsoft.com/fwlink/?linkid=870924
Comment:
    Stock</t>
      </text>
    </comment>
    <comment ref="G517" authorId="0" shapeId="0" xr:uid="{B1E02B02-44BC-44A3-A057-9CEA988DE4D5}">
      <text>
        <r>
          <rPr>
            <sz val="11"/>
            <color theme="1"/>
            <rFont val="Aptos Narrow"/>
            <family val="2"/>
            <scheme val="minor"/>
          </rPr>
          <t>Unknown User:
COMPLETE SERVICE OF WALL TOP TAPS ASSEMBLY</t>
        </r>
      </text>
    </comment>
    <comment ref="S517" authorId="0" shapeId="0" xr:uid="{987FF45A-A4F3-44A5-9E04-D3260BA913D5}">
      <text>
        <r>
          <rPr>
            <sz val="11"/>
            <color theme="1"/>
            <rFont val="Aptos Narrow"/>
            <family val="2"/>
            <scheme val="minor"/>
          </rPr>
          <t>Unknown User:
Signed invoice not emailed</t>
        </r>
      </text>
    </comment>
    <comment ref="G518" authorId="0" shapeId="0" xr:uid="{5CD3AC25-26E9-4211-A6BF-07F8957B9B81}">
      <text>
        <r>
          <rPr>
            <sz val="11"/>
            <color theme="1"/>
            <rFont val="Aptos Narrow"/>
            <family val="2"/>
            <scheme val="minor"/>
          </rPr>
          <t>Unknown User:
SEARCH AND INVESTIGATION OF ELECTRIC STORAGE HOT WATER SYSTEM</t>
        </r>
      </text>
    </comment>
    <comment ref="G519" authorId="0" shapeId="0" xr:uid="{755F00E1-076F-47E8-B388-E101E13112BD}">
      <text>
        <r>
          <rPr>
            <sz val="11"/>
            <color theme="1"/>
            <rFont val="Aptos Narrow"/>
            <family val="2"/>
            <scheme val="minor"/>
          </rPr>
          <t>Unknown User:
SEARCH AND INVESTIGATION OF GAS INSTANTANEOUS HOT WATER SYSTEM</t>
        </r>
      </text>
    </comment>
    <comment ref="W519" authorId="0" shapeId="0" xr:uid="{556C8155-DB54-428F-88F1-B66BC9030840}">
      <text>
        <r>
          <rPr>
            <sz val="11"/>
            <color theme="1"/>
            <rFont val="Aptos Narrow"/>
            <family val="2"/>
            <scheme val="minor"/>
          </rPr>
          <t>Unknown User:
Cash denomination
$50*15=$750
Excess receipt by $0.90</t>
        </r>
      </text>
    </comment>
    <comment ref="G520" authorId="0" shapeId="0" xr:uid="{1C250BCE-0E76-40CB-8265-F21ACB481C91}">
      <text>
        <r>
          <rPr>
            <sz val="11"/>
            <color theme="1"/>
            <rFont val="Aptos Narrow"/>
            <family val="2"/>
            <scheme val="minor"/>
          </rPr>
          <t>Unknown User:
CONVERT SOLAR SPLIT HOT WATER SYSTEM TO EXTERNAL GAS INSTANTANEOUS HOT WATER SYSTEM
SUPPLY AND INSTALLATION OF RIGHT-ANGLED PRESSURE REGULATING DEVICE FITTED TO 20MM PIPEWORK</t>
        </r>
      </text>
    </comment>
    <comment ref="L520" authorId="0" shapeId="0" xr:uid="{35206797-7D5E-4EE7-918C-63C468D9F957}">
      <text>
        <r>
          <rPr>
            <sz val="11"/>
            <color theme="1"/>
            <rFont val="Aptos Narrow"/>
            <family val="2"/>
            <scheme val="minor"/>
          </rPr>
          <t>Unknown User:
Temp check not performed</t>
        </r>
      </text>
    </comment>
    <comment ref="P520" authorId="0" shapeId="0" xr:uid="{3C46EA0D-5B1E-4F23-8A6A-4C2C4130C2A1}">
      <text>
        <r>
          <rPr>
            <sz val="11"/>
            <color theme="1"/>
            <rFont val="Aptos Narrow"/>
            <family val="2"/>
            <scheme val="minor"/>
          </rPr>
          <t>Unknown User:
Quote not emailed</t>
        </r>
      </text>
    </comment>
    <comment ref="S520" authorId="0" shapeId="0" xr:uid="{80EE0031-AED0-47E9-BB72-27365BB38250}">
      <text>
        <r>
          <rPr>
            <sz val="11"/>
            <color theme="1"/>
            <rFont val="Aptos Narrow"/>
            <family val="2"/>
            <scheme val="minor"/>
          </rPr>
          <t>Unknown User:
Signed invoice not emailed</t>
        </r>
      </text>
    </comment>
    <comment ref="W520" authorId="0" shapeId="0" xr:uid="{24CF7C64-04D8-455A-B10F-13535DF67383}">
      <text>
        <r>
          <rPr>
            <sz val="11"/>
            <color theme="1"/>
            <rFont val="Aptos Narrow"/>
            <family val="2"/>
            <scheme val="minor"/>
          </rPr>
          <t>Unknown User:
Cash denomination
$50*20=$1000
$50*42=$2200
$50*38=$1800
Total cash=$5000 ($1000+$4000)</t>
        </r>
      </text>
    </comment>
    <comment ref="G521" authorId="0" shapeId="0" xr:uid="{D259EF6F-AB8A-4FC5-A6A5-4BB18EF0B83B}">
      <text>
        <r>
          <rPr>
            <sz val="11"/>
            <color theme="1"/>
            <rFont val="Aptos Narrow"/>
            <family val="2"/>
            <scheme val="minor"/>
          </rPr>
          <t>Unknown User:
SEARCH &amp; INVESTIGATION OF POTENTIAL GAS LEAK
$65 First Service Discount</t>
        </r>
      </text>
    </comment>
    <comment ref="G522" authorId="0" shapeId="0" xr:uid="{B9FBE9BA-4F78-48AA-BD31-9AB9D2E2F264}">
      <text>
        <r>
          <rPr>
            <sz val="11"/>
            <color theme="1"/>
            <rFont val="Aptos Narrow"/>
            <family val="2"/>
            <scheme val="minor"/>
          </rPr>
          <t>Unknown User:
HIGH POWERED SUCTION PUMP</t>
        </r>
      </text>
    </comment>
    <comment ref="G523" authorId="0" shapeId="0" xr:uid="{750F3174-702B-4A36-8651-46CD58FC9304}">
      <text>
        <r>
          <rPr>
            <sz val="11"/>
            <color theme="1"/>
            <rFont val="Aptos Narrow"/>
            <family val="2"/>
            <scheme val="minor"/>
          </rPr>
          <t xml:space="preserve">Unknown User:
SUPPLY &amp; INSTALLATION OF NEW BRASS HOSE TAP
</t>
        </r>
      </text>
    </comment>
    <comment ref="O523" authorId="0" shapeId="0" xr:uid="{9B8E6136-A1C8-42F6-BFDF-D6449C70F490}">
      <text>
        <r>
          <rPr>
            <sz val="11"/>
            <color theme="1"/>
            <rFont val="Aptos Narrow"/>
            <family val="2"/>
            <scheme val="minor"/>
          </rPr>
          <t>Unknown User:
SMS approval</t>
        </r>
      </text>
    </comment>
    <comment ref="R523" authorId="0" shapeId="0" xr:uid="{69E3111A-6D65-4B6E-B5A8-AAEE259DCD91}">
      <text>
        <r>
          <rPr>
            <sz val="11"/>
            <color theme="1"/>
            <rFont val="Aptos Narrow"/>
            <family val="2"/>
            <scheme val="minor"/>
          </rPr>
          <t>Unknown User:
Sign not obtained</t>
        </r>
      </text>
    </comment>
    <comment ref="S523" authorId="0" shapeId="0" xr:uid="{65B06B52-25C6-48DC-A235-183D78523211}">
      <text>
        <r>
          <rPr>
            <sz val="11"/>
            <color theme="1"/>
            <rFont val="Aptos Narrow"/>
            <family val="2"/>
            <scheme val="minor"/>
          </rPr>
          <t>Unknown User:
Invoice emailed without sign</t>
        </r>
      </text>
    </comment>
    <comment ref="G524" authorId="0" shapeId="0" xr:uid="{4D9BE87D-62ED-4FF8-B402-875A141CD068}">
      <text>
        <r>
          <rPr>
            <sz val="11"/>
            <color theme="1"/>
            <rFont val="Aptos Narrow"/>
            <family val="2"/>
            <scheme val="minor"/>
          </rPr>
          <t>Unknown User:
SEARCH AND INVESTIGATION OF SOLAR SPLIT HOT WATER SYSTEM</t>
        </r>
      </text>
    </comment>
    <comment ref="S524" authorId="0" shapeId="0" xr:uid="{DB434FD2-0030-4F96-BB11-34CEE2D7E999}">
      <text>
        <r>
          <rPr>
            <sz val="11"/>
            <color theme="1"/>
            <rFont val="Aptos Narrow"/>
            <family val="2"/>
            <scheme val="minor"/>
          </rPr>
          <t>Unknown User:
Signed invoice not emailed</t>
        </r>
      </text>
    </comment>
    <comment ref="G529" authorId="0" shapeId="0" xr:uid="{3AE8BEFA-D09B-437D-954E-721001114B84}">
      <text>
        <r>
          <rPr>
            <sz val="11"/>
            <color theme="1"/>
            <rFont val="Aptos Narrow"/>
            <family val="2"/>
            <scheme val="minor"/>
          </rPr>
          <t>Unknown User:
SUPPLY &amp; INSTALLATION OF NEW SINGLE ELEMENT HOT WATER UNIT (250L &gt; 400L)
CREDIT OF SEARCH &amp; INVESTIGATION</t>
        </r>
      </text>
    </comment>
    <comment ref="L529" authorId="0" shapeId="0" xr:uid="{6A5A0C99-9095-4028-A0A4-A1AE3032C592}">
      <text>
        <r>
          <rPr>
            <sz val="11"/>
            <color theme="1"/>
            <rFont val="Aptos Narrow"/>
            <family val="2"/>
            <scheme val="minor"/>
          </rPr>
          <t>Unknown User:
Temp check not performed</t>
        </r>
      </text>
    </comment>
    <comment ref="N529" authorId="0" shapeId="0" xr:uid="{CF444806-6D0D-40B6-993B-CCFC3152AFAB}">
      <text>
        <r>
          <rPr>
            <sz val="11"/>
            <color theme="1"/>
            <rFont val="Aptos Narrow"/>
            <family val="2"/>
            <scheme val="minor"/>
          </rPr>
          <t>Unknown User:
Quote raised in Job #74057</t>
        </r>
      </text>
    </comment>
    <comment ref="P529" authorId="0" shapeId="0" xr:uid="{80EC003D-35B1-44B6-966D-F6F0FFDFA0EF}">
      <text>
        <r>
          <rPr>
            <sz val="11"/>
            <color theme="1"/>
            <rFont val="Aptos Narrow"/>
            <family val="2"/>
            <scheme val="minor"/>
          </rPr>
          <t>Unknown User:
Quote not emailed by plumber.</t>
        </r>
      </text>
    </comment>
    <comment ref="G530" authorId="0" shapeId="0" xr:uid="{DB606986-06C6-4926-9BB7-62D32D9A8EA3}">
      <text>
        <r>
          <rPr>
            <sz val="11"/>
            <color theme="1"/>
            <rFont val="Aptos Narrow"/>
            <family val="2"/>
            <scheme val="minor"/>
          </rPr>
          <t>Unknown User:
SEARCH &amp; INVESTIGATION OF GAS APPLIANCE</t>
        </r>
      </text>
    </comment>
    <comment ref="P530" authorId="0" shapeId="0" xr:uid="{3A674E10-656B-4ECA-9633-6A2F051F1ED4}">
      <text>
        <r>
          <rPr>
            <sz val="11"/>
            <color theme="1"/>
            <rFont val="Aptos Narrow"/>
            <family val="2"/>
            <scheme val="minor"/>
          </rPr>
          <t>Unknown User:
Hard copy sent to customer. No email ID</t>
        </r>
      </text>
    </comment>
    <comment ref="S530" authorId="0" shapeId="0" xr:uid="{D415871C-B24F-408C-BD82-55758397FFCD}">
      <text>
        <r>
          <rPr>
            <sz val="11"/>
            <color theme="1"/>
            <rFont val="Aptos Narrow"/>
            <family val="2"/>
            <scheme val="minor"/>
          </rPr>
          <t>Unknown User:
Hard copy sent to customer. No email ID</t>
        </r>
      </text>
    </comment>
    <comment ref="G531" authorId="0" shapeId="0" xr:uid="{CBE12659-9C4C-4786-9849-02D0A4BC0CCF}">
      <text>
        <r>
          <rPr>
            <sz val="11"/>
            <color theme="1"/>
            <rFont val="Aptos Narrow"/>
            <family val="2"/>
            <scheme val="minor"/>
          </rPr>
          <t>Unknown User:
HIGH POWERED SUCTION &amp; ACID TREATMENT</t>
        </r>
      </text>
    </comment>
    <comment ref="L531" authorId="0" shapeId="0" xr:uid="{4C4655E4-1A8F-48E8-8E35-0D32CC62FCF2}">
      <text>
        <r>
          <rPr>
            <sz val="11"/>
            <color theme="1"/>
            <rFont val="Aptos Narrow"/>
            <family val="2"/>
            <scheme val="minor"/>
          </rPr>
          <t>Unknown User:
Suction pump pics uploaded whereas Acid treatment pic not uploaded.</t>
        </r>
      </text>
    </comment>
    <comment ref="V531" authorId="0" shapeId="0" xr:uid="{9041064C-11B7-4EA3-A54D-44C8ED09563F}">
      <text>
        <r>
          <rPr>
            <sz val="11"/>
            <color theme="1"/>
            <rFont val="Aptos Narrow"/>
            <family val="2"/>
            <scheme val="minor"/>
          </rPr>
          <t>Unknown User:
13/10-Received $4537.5 by Bradley as cash &amp; split as $1390.40 &amp; as $3147.10 for upsell job.</t>
        </r>
      </text>
    </comment>
    <comment ref="G532" authorId="0" shapeId="0" xr:uid="{3498666E-F141-49B4-A02B-7CA3A41D5558}">
      <text>
        <r>
          <rPr>
            <sz val="11"/>
            <color theme="1"/>
            <rFont val="Aptos Narrow"/>
            <family val="2"/>
            <scheme val="minor"/>
          </rPr>
          <t>Unknown User:
HIGH POWERED JET BLAST &amp; CCTV DRAIN CAMERA INSPECTION IN CONJUNCTION WITH SPECIALIST WHIP HOSE</t>
        </r>
      </text>
    </comment>
    <comment ref="L532" authorId="0" shapeId="0" xr:uid="{C71B6329-B449-4A54-BE54-0B20FA4E5FC4}">
      <text>
        <r>
          <rPr>
            <sz val="11"/>
            <color theme="1"/>
            <rFont val="Aptos Narrow"/>
            <family val="2"/>
            <scheme val="minor"/>
          </rPr>
          <t>Unknown User:
CCTV pics/videos not uploaded</t>
        </r>
      </text>
    </comment>
    <comment ref="V532" authorId="0" shapeId="0" xr:uid="{551EFDB0-59BC-450D-924F-753BFC8D9169}">
      <text>
        <r>
          <rPr>
            <sz val="11"/>
            <color theme="1"/>
            <rFont val="Aptos Narrow"/>
            <family val="2"/>
            <scheme val="minor"/>
          </rPr>
          <t>Unknown User:
13/10-Received $4537.5 by Bradley as cash &amp; split as $1390.40 &amp; as $3147.10 for upsell job.</t>
        </r>
      </text>
    </comment>
    <comment ref="G536" authorId="0" shapeId="0" xr:uid="{EE8DDD57-65A9-4CEA-9DCE-BA1D5BADF507}">
      <text>
        <r>
          <rPr>
            <sz val="11"/>
            <color theme="1"/>
            <rFont val="Aptos Narrow"/>
            <family val="2"/>
            <scheme val="minor"/>
          </rPr>
          <t>Unknown User:
CONVERT EXISTING GAS SOLAR TO NEW HEAT PUMP
CREDIT OF SEARCH &amp; INVESTIGATION</t>
        </r>
      </text>
    </comment>
    <comment ref="G540" authorId="0" shapeId="0" xr:uid="{60404D42-AE9C-44BC-8362-9B42ACB1CCF2}">
      <text>
        <r>
          <rPr>
            <sz val="11"/>
            <color theme="1"/>
            <rFont val="Aptos Narrow"/>
            <family val="2"/>
            <scheme val="minor"/>
          </rPr>
          <t>Unknown User:
SUPPLY &amp; INSTALLATION OF RAINWATER PUMP WITH RAIN2MAIN WATER SWITCHING UNIT</t>
        </r>
      </text>
    </comment>
    <comment ref="L540" authorId="0" shapeId="0" xr:uid="{817F260E-F46E-4BAC-9B5F-4E288BCA648D}">
      <text>
        <r>
          <rPr>
            <sz val="11"/>
            <color theme="1"/>
            <rFont val="Aptos Narrow"/>
            <family val="2"/>
            <scheme val="minor"/>
          </rPr>
          <t>Unknown User:
After photos not identifiable</t>
        </r>
      </text>
    </comment>
    <comment ref="S540" authorId="0" shapeId="0" xr:uid="{3302F079-30F0-4FB5-A3F7-FB6677D2CE12}">
      <text>
        <r>
          <rPr>
            <sz val="11"/>
            <color theme="1"/>
            <rFont val="Aptos Narrow"/>
            <family val="2"/>
            <scheme val="minor"/>
          </rPr>
          <t>Unknown User:
Signed invoice not emailed</t>
        </r>
      </text>
    </comment>
    <comment ref="G541" authorId="0" shapeId="0" xr:uid="{D5477880-C8C3-4851-B9F1-AC4F34A1EE04}">
      <text>
        <r>
          <rPr>
            <sz val="11"/>
            <color theme="1"/>
            <rFont val="Aptos Narrow"/>
            <family val="2"/>
            <scheme val="minor"/>
          </rPr>
          <t>Unknown User:
SEARCH &amp; INVESTIGATION OF GAS APPLIANCE</t>
        </r>
      </text>
    </comment>
    <comment ref="O541" authorId="0" shapeId="0" xr:uid="{9825F5F5-ADD2-4A84-91FB-76DD36B94557}">
      <text>
        <r>
          <rPr>
            <sz val="11"/>
            <color theme="1"/>
            <rFont val="Aptos Narrow"/>
            <family val="2"/>
            <scheme val="minor"/>
          </rPr>
          <t>Unknown User:
SMS approval</t>
        </r>
      </text>
    </comment>
    <comment ref="P541" authorId="0" shapeId="0" xr:uid="{CF808BE5-9DE0-46E7-8C41-945C95E587BE}">
      <text>
        <r>
          <rPr>
            <sz val="11"/>
            <color theme="1"/>
            <rFont val="Aptos Narrow"/>
            <family val="2"/>
            <scheme val="minor"/>
          </rPr>
          <t>Unknown User:
Quote not emailed</t>
        </r>
      </text>
    </comment>
    <comment ref="S541" authorId="0" shapeId="0" xr:uid="{21417713-2C80-47B0-84D3-42B95E8A1FC9}">
      <text>
        <r>
          <rPr>
            <sz val="11"/>
            <color theme="1"/>
            <rFont val="Aptos Narrow"/>
            <family val="2"/>
            <scheme val="minor"/>
          </rPr>
          <t>Unknown User:
Signed invoice not emailed</t>
        </r>
      </text>
    </comment>
    <comment ref="G542" authorId="0" shapeId="0" xr:uid="{DB76959D-D397-4CAA-B18E-63A58E085C1D}">
      <text>
        <r>
          <rPr>
            <sz val="11"/>
            <color theme="1"/>
            <rFont val="Aptos Narrow"/>
            <family val="2"/>
            <scheme val="minor"/>
          </rPr>
          <t>Unknown User:
INSTALLATION OF DISHWASHER [SAME LOCATION] (CUSTOMER SUPPLIED)</t>
        </r>
      </text>
    </comment>
    <comment ref="K542" authorId="0" shapeId="0" xr:uid="{87FB6D3B-7FA0-4A24-A728-857BBD600983}">
      <text>
        <r>
          <rPr>
            <sz val="11"/>
            <color theme="1"/>
            <rFont val="Aptos Narrow"/>
            <family val="2"/>
            <scheme val="minor"/>
          </rPr>
          <t>Unknown User:
Before job pics (Old unit) not uploaded</t>
        </r>
      </text>
    </comment>
    <comment ref="G543" authorId="0" shapeId="0" xr:uid="{B5CB3E56-0C99-4281-9146-FF8792AF1A75}">
      <text>
        <r>
          <rPr>
            <sz val="11"/>
            <color theme="1"/>
            <rFont val="Aptos Narrow"/>
            <family val="2"/>
            <scheme val="minor"/>
          </rPr>
          <t>Unknown User:
SPECIALIST LEAK DETECTION (WATER SERVICE)</t>
        </r>
      </text>
    </comment>
    <comment ref="O543" authorId="0" shapeId="0" xr:uid="{5CCAECD3-D843-4486-8F7A-41C98B6AE268}">
      <text>
        <r>
          <rPr>
            <sz val="11"/>
            <color theme="1"/>
            <rFont val="Aptos Narrow"/>
            <family val="2"/>
            <scheme val="minor"/>
          </rPr>
          <t>Unknown User:
SMS approval</t>
        </r>
      </text>
    </comment>
    <comment ref="P543" authorId="0" shapeId="0" xr:uid="{B106F1CC-8B47-4F0F-9C48-9B4E72EB0883}">
      <text>
        <r>
          <rPr>
            <sz val="11"/>
            <color theme="1"/>
            <rFont val="Aptos Narrow"/>
            <family val="2"/>
            <scheme val="minor"/>
          </rPr>
          <t>Unknown User:
Quote not emailed
Approved by phone</t>
        </r>
      </text>
    </comment>
    <comment ref="G547" authorId="0" shapeId="0" xr:uid="{4D93DF1B-9A65-46E6-AE04-7817851CB31F}">
      <text>
        <r>
          <rPr>
            <sz val="11"/>
            <color theme="1"/>
            <rFont val="Aptos Narrow"/>
            <family val="2"/>
            <scheme val="minor"/>
          </rPr>
          <t>Unknown User:
CCTV DRAIN CAMERA INSPECTION OF SEWER SERVICE</t>
        </r>
      </text>
    </comment>
    <comment ref="G548" authorId="0" shapeId="0" xr:uid="{25F2166E-44EB-449E-BA16-D0139D157A55}">
      <text>
        <r>
          <rPr>
            <sz val="11"/>
            <color theme="1"/>
            <rFont val="Aptos Narrow"/>
            <family val="2"/>
            <scheme val="minor"/>
          </rPr>
          <t>Unknown User:
SUPPLY &amp; INSTALLATION OF NEW FREE-STANDING VANITY (750MM)</t>
        </r>
      </text>
    </comment>
    <comment ref="P548" authorId="0" shapeId="0" xr:uid="{05983979-6FB3-4403-9DC9-E4911DD27DAC}">
      <text>
        <r>
          <rPr>
            <sz val="11"/>
            <color theme="1"/>
            <rFont val="Aptos Narrow"/>
            <family val="2"/>
            <scheme val="minor"/>
          </rPr>
          <t>Unknown User:
Quote not emailed</t>
        </r>
      </text>
    </comment>
    <comment ref="G552" authorId="0" shapeId="0" xr:uid="{838D5EED-8F2B-4AB3-9B3D-7A7D538309B0}">
      <text>
        <r>
          <rPr>
            <sz val="11"/>
            <color theme="1"/>
            <rFont val="Aptos Narrow"/>
            <family val="2"/>
            <scheme val="minor"/>
          </rPr>
          <t>Unknown User:
SEARCH &amp; INVESTIGATION OF GAS APPLIANCE</t>
        </r>
      </text>
    </comment>
    <comment ref="G553" authorId="0" shapeId="0" xr:uid="{91996E3E-BCEE-4C4D-A7B6-E3F64C2E84AE}">
      <text>
        <r>
          <rPr>
            <sz val="11"/>
            <color theme="1"/>
            <rFont val="Aptos Narrow"/>
            <family val="2"/>
            <scheme val="minor"/>
          </rPr>
          <t>Unknown User:
ROOF LEAK SEARCH &amp; INVESTIGATION</t>
        </r>
      </text>
    </comment>
    <comment ref="G554" authorId="0" shapeId="0" xr:uid="{AA23F7B2-4FCD-4BFD-9BB4-697404C46461}">
      <text>
        <r>
          <rPr>
            <sz val="11"/>
            <color theme="1"/>
            <rFont val="Aptos Narrow"/>
            <family val="2"/>
            <scheme val="minor"/>
          </rPr>
          <t>Unknown User:
CONVERT EXTERNAL GAS STORAGE HOT WATER SYSTEM TO EXTERNAL GAS INSTANTANEOUS HOT WATER SYSTEM
RECTIFICATION OF GAS SERVICE (EXPOSED)
10% Seniors &amp; Pensioners Discount</t>
        </r>
      </text>
    </comment>
    <comment ref="G555" authorId="0" shapeId="0" xr:uid="{5CF46B2E-A40C-4C66-A79B-1E152C247C95}">
      <text>
        <r>
          <rPr>
            <sz val="11"/>
            <color theme="1"/>
            <rFont val="Aptos Narrow"/>
            <family val="2"/>
            <scheme val="minor"/>
          </rPr>
          <t>Unknown User:
WATER SERVICE RECTIFICATION (IN CONCRETE)</t>
        </r>
      </text>
    </comment>
    <comment ref="G556" authorId="0" shapeId="0" xr:uid="{D7E13F75-12A2-4EF5-82CF-CB4B5900DB75}">
      <text>
        <r>
          <rPr>
            <sz val="11"/>
            <color theme="1"/>
            <rFont val="Aptos Narrow"/>
            <family val="2"/>
            <scheme val="minor"/>
          </rPr>
          <t>Unknown User:
SUPPLY &amp; INSTALLATION OF GAS STORAGE HOT WATER SYSTEM (EXTERNAL)
10% Good Will Discount</t>
        </r>
      </text>
    </comment>
    <comment ref="G557" authorId="0" shapeId="0" xr:uid="{201AD626-5A8A-47A3-85E5-035442F673BA}">
      <text>
        <r>
          <rPr>
            <sz val="11"/>
            <color theme="1"/>
            <rFont val="Aptos Narrow"/>
            <family val="2"/>
            <scheme val="minor"/>
          </rPr>
          <t>Unknown User:
REPLACEMENT OF PLUG &amp; WASTE - 50MM
$65 First Service Discount</t>
        </r>
      </text>
    </comment>
    <comment ref="G560" authorId="0" shapeId="0" xr:uid="{D02C82CA-B973-4751-A70B-7D36FFA9603A}">
      <text>
        <r>
          <rPr>
            <sz val="11"/>
            <color theme="1"/>
            <rFont val="Aptos Narrow"/>
            <family val="2"/>
            <scheme val="minor"/>
          </rPr>
          <t>Unknown User:
CONVERT SOLAR SPLIT HOT WATER SYSTEM TO EXTERNAL GAS INSTANTANEOUS HOT WATER
SYSTEM</t>
        </r>
      </text>
    </comment>
    <comment ref="G561" authorId="0" shapeId="0" xr:uid="{9768BC49-313F-434B-918B-711012064A95}">
      <text>
        <r>
          <rPr>
            <sz val="11"/>
            <color theme="1"/>
            <rFont val="Aptos Narrow"/>
            <family val="2"/>
            <scheme val="minor"/>
          </rPr>
          <t>Unknown User:
REPLACEMENT OF SPLIT SYSTEM SOLAR TANK (ONLY)</t>
        </r>
      </text>
    </comment>
    <comment ref="G562" authorId="0" shapeId="0" xr:uid="{030E6329-7ACD-4AFE-B574-710580FCCAC4}">
      <text>
        <r>
          <rPr>
            <sz val="11"/>
            <color theme="1"/>
            <rFont val="Aptos Narrow"/>
            <family val="2"/>
            <scheme val="minor"/>
          </rPr>
          <t xml:space="preserve">Unknown User:
REPLACEMENT OF INWALL TOILET CISTERN IN ACCESSIBLE LOCATION
$85+GST Non-refundable call out fee applied to dispatch a technician during standard
business hours
</t>
        </r>
      </text>
    </comment>
    <comment ref="G564" authorId="0" shapeId="0" xr:uid="{0743A837-B0B6-4562-8CFB-DEAAB602533A}">
      <text>
        <r>
          <rPr>
            <sz val="11"/>
            <color theme="1"/>
            <rFont val="Aptos Narrow"/>
            <family val="2"/>
            <scheme val="minor"/>
          </rPr>
          <t>Unknown User:
SUPPLY &amp; INSTALLATION OF SPACE HEATER</t>
        </r>
      </text>
    </comment>
    <comment ref="G565" authorId="0" shapeId="0" xr:uid="{F0B9D594-F655-4268-AED0-BFECDF182DFC}">
      <text>
        <r>
          <rPr>
            <sz val="11"/>
            <color theme="1"/>
            <rFont val="Aptos Narrow"/>
            <family val="2"/>
            <scheme val="minor"/>
          </rPr>
          <t>Unknown User:
SEARCH AND INVESTIGATION OF GAS INSTANTANEOUS HOT WATER SYSTEM</t>
        </r>
      </text>
    </comment>
    <comment ref="G566" authorId="0" shapeId="0" xr:uid="{18B23F29-926E-4726-918D-51D98D13E322}">
      <text>
        <r>
          <rPr>
            <sz val="11"/>
            <color theme="1"/>
            <rFont val="Aptos Narrow"/>
            <family val="2"/>
            <scheme val="minor"/>
          </rPr>
          <t>Unknown User:
HIGH POWERED SUCTION &amp; ACID TREATMENT</t>
        </r>
      </text>
    </comment>
    <comment ref="G567" authorId="0" shapeId="0" xr:uid="{7F55D040-B89A-44C3-8C4B-04033318E1CF}">
      <text>
        <r>
          <rPr>
            <sz val="11"/>
            <color theme="1"/>
            <rFont val="Aptos Narrow"/>
            <family val="2"/>
            <scheme val="minor"/>
          </rPr>
          <t>Unknown User:
RESEAL OF SHOWER
10% Loyalty Discount</t>
        </r>
      </text>
    </comment>
    <comment ref="G568" authorId="0" shapeId="0" xr:uid="{4DCCD5E6-5833-41E1-B1FC-498E2E0E26AD}">
      <text>
        <r>
          <rPr>
            <sz val="11"/>
            <color theme="1"/>
            <rFont val="Aptos Narrow"/>
            <family val="2"/>
            <scheme val="minor"/>
          </rPr>
          <t>Unknown User:
SUPPLY &amp; INSTALLATION OF GAS STORAGE HOT WATER SYSTEM (EXTERNAL)</t>
        </r>
      </text>
    </comment>
    <comment ref="G569" authorId="0" shapeId="0" xr:uid="{18309DBC-CB29-43F8-AF7A-AA47FFC98273}">
      <text>
        <r>
          <rPr>
            <sz val="11"/>
            <color theme="1"/>
            <rFont val="Aptos Narrow"/>
            <family val="2"/>
            <scheme val="minor"/>
          </rPr>
          <t xml:space="preserve">Unknown User:
ENSUITE BATHROOM RENOVATION
</t>
        </r>
      </text>
    </comment>
    <comment ref="G602" authorId="0" shapeId="0" xr:uid="{98C5F899-643B-41D8-B465-9FBB3AC507DA}">
      <text>
        <r>
          <rPr>
            <sz val="11"/>
            <color theme="1"/>
            <rFont val="Aptos Narrow"/>
            <family val="2"/>
            <scheme val="minor"/>
          </rPr>
          <t>Unknown User:
SEARCH &amp; INVESTIGATION OF GAS STORAGE HOT WATER SYSTEM</t>
        </r>
      </text>
    </comment>
    <comment ref="P602" authorId="0" shapeId="0" xr:uid="{38A36F39-9C3B-4E84-AE58-98CAA3F4E44D}">
      <text>
        <r>
          <rPr>
            <sz val="11"/>
            <color theme="1"/>
            <rFont val="Aptos Narrow"/>
            <family val="2"/>
            <scheme val="minor"/>
          </rPr>
          <t>Unknown User:
Quote not emailed</t>
        </r>
      </text>
    </comment>
    <comment ref="S602" authorId="0" shapeId="0" xr:uid="{7506B973-B34C-4428-A270-FEA36E681A1E}">
      <text>
        <r>
          <rPr>
            <sz val="11"/>
            <color theme="1"/>
            <rFont val="Aptos Narrow"/>
            <family val="2"/>
            <scheme val="minor"/>
          </rPr>
          <t>Unknown User:
Invoice not emailed</t>
        </r>
      </text>
    </comment>
    <comment ref="G603" authorId="0" shapeId="0" xr:uid="{ADCFF0A0-4503-485A-9F48-78388FCC1438}">
      <text>
        <r>
          <rPr>
            <sz val="11"/>
            <color theme="1"/>
            <rFont val="Aptos Narrow"/>
            <family val="2"/>
            <scheme val="minor"/>
          </rPr>
          <t>Unknown User:
HIGH POWERED JET BLAST &amp; CCTV DRAIN CAMERA INSPECTION (SEWER SERVICE)
10% Seniors &amp; Pensioners Discount</t>
        </r>
      </text>
    </comment>
    <comment ref="L603" authorId="0" shapeId="0" xr:uid="{B195A57D-11C6-415F-A589-9885E97E280F}">
      <text>
        <r>
          <rPr>
            <sz val="11"/>
            <color theme="1"/>
            <rFont val="Aptos Narrow"/>
            <family val="2"/>
            <scheme val="minor"/>
          </rPr>
          <t>Unknown User:
CCTV pics/videos uploaded in Job #74459 (Upsell job)</t>
        </r>
      </text>
    </comment>
    <comment ref="G604" authorId="0" shapeId="0" xr:uid="{8E5B0C55-C6DA-46F5-ACAD-8986DD1AF02E}">
      <text>
        <r>
          <rPr>
            <sz val="11"/>
            <color theme="1"/>
            <rFont val="Aptos Narrow"/>
            <family val="2"/>
            <scheme val="minor"/>
          </rPr>
          <t>Unknown User:
HIGH POWERED SUCTION &amp; ACID TREATMENT
10% Seniors &amp; Pensioners Discount</t>
        </r>
      </text>
    </comment>
    <comment ref="S604" authorId="0" shapeId="0" xr:uid="{EB6C9C81-0FC5-4CE2-901F-02B4591C58B6}">
      <text>
        <r>
          <rPr>
            <sz val="11"/>
            <color theme="1"/>
            <rFont val="Aptos Narrow"/>
            <family val="2"/>
            <scheme val="minor"/>
          </rPr>
          <t>Unknown User:
Signed invoice not emailed</t>
        </r>
      </text>
    </comment>
    <comment ref="G605" authorId="0" shapeId="0" xr:uid="{9B73C022-3C68-4204-AA9D-6F62B6C8C898}">
      <text>
        <r>
          <rPr>
            <sz val="11"/>
            <color theme="1"/>
            <rFont val="Aptos Narrow"/>
            <family val="2"/>
            <scheme val="minor"/>
          </rPr>
          <t>Unknown User:
SUPPLY &amp; INSTALLATION OF NEW CLOSE COUPLED TOILET SUITE 
10% Seniors &amp; Pensioners Discount</t>
        </r>
      </text>
    </comment>
    <comment ref="S605" authorId="0" shapeId="0" xr:uid="{7A0269BA-5140-43BE-94F3-EE3B08D53F08}">
      <text>
        <r>
          <rPr>
            <sz val="11"/>
            <color theme="1"/>
            <rFont val="Aptos Narrow"/>
            <family val="2"/>
            <scheme val="minor"/>
          </rPr>
          <t>Unknown User:
Signed invoice not emailed</t>
        </r>
      </text>
    </comment>
    <comment ref="G606" authorId="0" shapeId="0" xr:uid="{9936215D-898F-4466-B07E-A16C32F706AA}">
      <text>
        <r>
          <rPr>
            <sz val="11"/>
            <color theme="1"/>
            <rFont val="Aptos Narrow"/>
            <family val="2"/>
            <scheme val="minor"/>
          </rPr>
          <t>Unknown User:
HIGH POWERED JET BLAST &amp; CCTV DRAIN CAMERA INSPECTION (SEWER SERVICE)</t>
        </r>
      </text>
    </comment>
    <comment ref="L606" authorId="0" shapeId="0" xr:uid="{ACC9DAD1-7378-46A7-BB7F-E38FFC942B1B}">
      <text>
        <r>
          <rPr>
            <sz val="11"/>
            <color theme="1"/>
            <rFont val="Aptos Narrow"/>
            <family val="2"/>
            <scheme val="minor"/>
          </rPr>
          <t>Unknown User:
CCTV pics/videos not uploaded</t>
        </r>
      </text>
    </comment>
    <comment ref="G607" authorId="0" shapeId="0" xr:uid="{D7550F60-E4E2-4C1A-A228-AD9CC41BCA0A}">
      <text>
        <r>
          <rPr>
            <sz val="11"/>
            <color theme="1"/>
            <rFont val="Aptos Narrow"/>
            <family val="2"/>
            <scheme val="minor"/>
          </rPr>
          <t>Unknown User:
SUPPLY &amp; INSTALLATION OF NEW BRASS HOSE TAP</t>
        </r>
      </text>
    </comment>
    <comment ref="G608" authorId="0" shapeId="0" xr:uid="{8CADF111-B056-4EC6-9A58-BAEE89963A66}">
      <text>
        <r>
          <rPr>
            <sz val="11"/>
            <color theme="1"/>
            <rFont val="Aptos Narrow"/>
            <family val="2"/>
            <scheme val="minor"/>
          </rPr>
          <t>Unknown User:
HIGH POWERED SUCTION PUMP</t>
        </r>
      </text>
    </comment>
    <comment ref="Q608" authorId="0" shapeId="0" xr:uid="{4CBAA054-AD1A-424B-A7F7-2CBE1F1C592A}">
      <text>
        <r>
          <rPr>
            <sz val="11"/>
            <color theme="1"/>
            <rFont val="Aptos Narrow"/>
            <family val="2"/>
            <scheme val="minor"/>
          </rPr>
          <t>Unknown User:
Final zero due invoice not raised</t>
        </r>
      </text>
    </comment>
    <comment ref="G609" authorId="0" shapeId="0" xr:uid="{B8FB579F-CFC5-4CF7-B5E1-B54C745E0EDC}">
      <text>
        <r>
          <rPr>
            <sz val="11"/>
            <color theme="1"/>
            <rFont val="Aptos Narrow"/>
            <family val="2"/>
            <scheme val="minor"/>
          </rPr>
          <t>Unknown User:
HIGH POWERED SUCTION PUMP</t>
        </r>
      </text>
    </comment>
    <comment ref="S609" authorId="0" shapeId="0" xr:uid="{BAD4C676-7429-4729-9534-8E1BEDD52CBD}">
      <text>
        <r>
          <rPr>
            <sz val="11"/>
            <color theme="1"/>
            <rFont val="Aptos Narrow"/>
            <family val="2"/>
            <scheme val="minor"/>
          </rPr>
          <t>Unknown User:
Signed invoice not emailed</t>
        </r>
      </text>
    </comment>
    <comment ref="G614" authorId="0" shapeId="0" xr:uid="{1AD7AE81-E1B5-429B-8CCD-EE39C62E0120}">
      <text>
        <r>
          <rPr>
            <sz val="11"/>
            <color theme="1"/>
            <rFont val="Aptos Narrow"/>
            <family val="2"/>
            <scheme val="minor"/>
          </rPr>
          <t>Unknown User:
SUPPLY &amp; INSTALLATION OF NEW COPPER GAS SERVICE UP TO 15M (REPLACEMENT OF EXISTING GALVANISED GAS SERVICE)</t>
        </r>
      </text>
    </comment>
    <comment ref="P614" authorId="0" shapeId="0" xr:uid="{9A9062FC-2371-4AAD-9810-9E81B48CFA4A}">
      <text>
        <r>
          <rPr>
            <sz val="11"/>
            <color theme="1"/>
            <rFont val="Aptos Narrow"/>
            <family val="2"/>
            <scheme val="minor"/>
          </rPr>
          <t>Unknown User:
Quote not emailed</t>
        </r>
      </text>
    </comment>
    <comment ref="D615" authorId="0" shapeId="0" xr:uid="{8ABEFBC9-19E4-40C7-888B-64842F7A4562}">
      <text>
        <r>
          <rPr>
            <sz val="11"/>
            <color theme="1"/>
            <rFont val="Aptos Narrow"/>
            <family val="2"/>
            <scheme val="minor"/>
          </rPr>
          <t>Unknown User:
Estimate created by Bradley on 6/10 but deleted &amp; COF form created.
Estimate was created on 10/10 &amp; 13/10. Now quote is signed &amp; emailed on 13/10</t>
        </r>
      </text>
    </comment>
    <comment ref="G615" authorId="0" shapeId="0" xr:uid="{864E123F-1FB0-45BA-9EB2-16F4574AE79C}">
      <text>
        <r>
          <rPr>
            <sz val="11"/>
            <color theme="1"/>
            <rFont val="Aptos Narrow"/>
            <family val="2"/>
            <scheme val="minor"/>
          </rPr>
          <t>Unknown User:
ROOF LEAK SEARCH &amp; INVESTIGATION</t>
        </r>
      </text>
    </comment>
    <comment ref="O615" authorId="0" shapeId="0" xr:uid="{D0294C42-46EB-40AE-8FBC-FEF1F587A06D}">
      <text>
        <r>
          <rPr>
            <sz val="11"/>
            <color theme="1"/>
            <rFont val="Aptos Narrow"/>
            <family val="2"/>
            <scheme val="minor"/>
          </rPr>
          <t xml:space="preserve">Unknown User:
Quote not signed.
</t>
        </r>
      </text>
    </comment>
    <comment ref="G616" authorId="0" shapeId="0" xr:uid="{EC96F73F-A0FD-4841-B503-4A051219C689}">
      <text>
        <r>
          <rPr>
            <sz val="11"/>
            <color theme="1"/>
            <rFont val="Aptos Narrow"/>
            <family val="2"/>
            <scheme val="minor"/>
          </rPr>
          <t xml:space="preserve">Unknown User:
HIGH POWERED JET BLAST &amp; CCTV DRAIN CAMERA INSPECTION (STORM WATER SERVICE)
</t>
        </r>
      </text>
    </comment>
    <comment ref="O616" authorId="0" shapeId="0" xr:uid="{7CAA7ED8-E792-48F9-8EB9-79F28E93365A}">
      <text>
        <r>
          <rPr>
            <sz val="11"/>
            <color theme="1"/>
            <rFont val="Aptos Narrow"/>
            <family val="2"/>
            <scheme val="minor"/>
          </rPr>
          <t>Unknown User:
SMS approval</t>
        </r>
      </text>
    </comment>
    <comment ref="G620" authorId="0" shapeId="0" xr:uid="{CB19585E-0B88-47F4-A37D-5A0CA621B0EF}">
      <text>
        <r>
          <rPr>
            <sz val="11"/>
            <color theme="1"/>
            <rFont val="Aptos Narrow"/>
            <family val="2"/>
            <scheme val="minor"/>
          </rPr>
          <t>Unknown User:
SUPPLY &amp; INSTALLATION OF RAINWATER PUMP WITH RAIN2MAIN WATER SWITCHING UNIT</t>
        </r>
      </text>
    </comment>
    <comment ref="L620" authorId="0" shapeId="0" xr:uid="{69EF1672-FBCF-4B54-8B4C-4A9C6C147A97}">
      <text>
        <r>
          <rPr>
            <sz val="11"/>
            <color theme="1"/>
            <rFont val="Aptos Narrow"/>
            <family val="2"/>
            <scheme val="minor"/>
          </rPr>
          <t>Unknown User:
After photos not identifiable</t>
        </r>
      </text>
    </comment>
    <comment ref="S620" authorId="0" shapeId="0" xr:uid="{D7E6C09D-0490-49AF-851F-7231EAA94D21}">
      <text>
        <r>
          <rPr>
            <sz val="11"/>
            <color theme="1"/>
            <rFont val="Aptos Narrow"/>
            <family val="2"/>
            <scheme val="minor"/>
          </rPr>
          <t>Unknown User:
Signed invoice not emailed</t>
        </r>
      </text>
    </comment>
    <comment ref="G621" authorId="0" shapeId="0" xr:uid="{19CBD61A-3617-403C-B457-46596023500A}">
      <text>
        <r>
          <rPr>
            <sz val="11"/>
            <color theme="1"/>
            <rFont val="Aptos Narrow"/>
            <family val="2"/>
            <scheme val="minor"/>
          </rPr>
          <t>Unknown User:
SEARCH &amp; INVESTIGATION OF GAS APPLIANCE</t>
        </r>
      </text>
    </comment>
    <comment ref="O621" authorId="0" shapeId="0" xr:uid="{B50CAB1C-FD27-4C34-A3DB-FC51E64B09F6}">
      <text>
        <r>
          <rPr>
            <sz val="11"/>
            <color theme="1"/>
            <rFont val="Aptos Narrow"/>
            <family val="2"/>
            <scheme val="minor"/>
          </rPr>
          <t>Unknown User:
SMS approval</t>
        </r>
      </text>
    </comment>
    <comment ref="P621" authorId="0" shapeId="0" xr:uid="{59D1ED45-9793-41B2-900F-9D7CBDE6C4E7}">
      <text>
        <r>
          <rPr>
            <sz val="11"/>
            <color theme="1"/>
            <rFont val="Aptos Narrow"/>
            <family val="2"/>
            <scheme val="minor"/>
          </rPr>
          <t>Unknown User:
Quote not emailed</t>
        </r>
      </text>
    </comment>
    <comment ref="S621" authorId="0" shapeId="0" xr:uid="{52122606-58B7-4A1A-9328-E08A4C6D99CE}">
      <text>
        <r>
          <rPr>
            <sz val="11"/>
            <color theme="1"/>
            <rFont val="Aptos Narrow"/>
            <family val="2"/>
            <scheme val="minor"/>
          </rPr>
          <t>Unknown User:
Signed invoice not emailed</t>
        </r>
      </text>
    </comment>
    <comment ref="G622" authorId="0" shapeId="0" xr:uid="{BA83E04B-A4AA-4BAB-AA8A-58B02A58557A}">
      <text>
        <r>
          <rPr>
            <sz val="11"/>
            <color theme="1"/>
            <rFont val="Aptos Narrow"/>
            <family val="2"/>
            <scheme val="minor"/>
          </rPr>
          <t>Unknown User:
INSTALLATION OF DISHWASHER [SAME LOCATION] (CUSTOMER SUPPLIED)</t>
        </r>
      </text>
    </comment>
    <comment ref="K622" authorId="0" shapeId="0" xr:uid="{0BCDF3C4-2F2D-4C82-A572-D180FDD5823A}">
      <text>
        <r>
          <rPr>
            <sz val="11"/>
            <color theme="1"/>
            <rFont val="Aptos Narrow"/>
            <family val="2"/>
            <scheme val="minor"/>
          </rPr>
          <t>Unknown User:
Before job pics (Old unit) not uploaded</t>
        </r>
      </text>
    </comment>
    <comment ref="G623" authorId="0" shapeId="0" xr:uid="{4EA83DC2-D78F-4AEB-AE86-3054CF93AAE7}">
      <text>
        <r>
          <rPr>
            <sz val="11"/>
            <color theme="1"/>
            <rFont val="Aptos Narrow"/>
            <family val="2"/>
            <scheme val="minor"/>
          </rPr>
          <t>Unknown User:
SPECIALIST LEAK DETECTION (WATER SERVICE)</t>
        </r>
      </text>
    </comment>
    <comment ref="O623" authorId="0" shapeId="0" xr:uid="{16C7B22E-3ACD-43FF-8AA7-E3E290BA34C2}">
      <text>
        <r>
          <rPr>
            <sz val="11"/>
            <color theme="1"/>
            <rFont val="Aptos Narrow"/>
            <family val="2"/>
            <scheme val="minor"/>
          </rPr>
          <t>Unknown User:
SMS approval</t>
        </r>
      </text>
    </comment>
    <comment ref="P623" authorId="0" shapeId="0" xr:uid="{695DFA81-8DA0-4CFE-A7E5-4DC5B65709B6}">
      <text>
        <r>
          <rPr>
            <sz val="11"/>
            <color theme="1"/>
            <rFont val="Aptos Narrow"/>
            <family val="2"/>
            <scheme val="minor"/>
          </rPr>
          <t>Unknown User:
Quote not emailed
Approved by phone</t>
        </r>
      </text>
    </comment>
    <comment ref="G624" authorId="0" shapeId="0" xr:uid="{E8054EBA-C57F-4803-A9A3-420E99F47FAE}">
      <text>
        <r>
          <rPr>
            <sz val="11"/>
            <color theme="1"/>
            <rFont val="Aptos Narrow"/>
            <family val="2"/>
            <scheme val="minor"/>
          </rPr>
          <t>Unknown User:
SUPPLY &amp; INSTALLATION OF NEW SINGLE ELEMENT HOT WATER UNIT (250L &gt; 400L)
CREDIT OF SEARCH &amp; INVESTIGATION</t>
        </r>
      </text>
    </comment>
    <comment ref="L624" authorId="0" shapeId="0" xr:uid="{262108CA-9282-4F15-BD65-A0C80229132C}">
      <text>
        <r>
          <rPr>
            <sz val="11"/>
            <color theme="1"/>
            <rFont val="Aptos Narrow"/>
            <family val="2"/>
            <scheme val="minor"/>
          </rPr>
          <t>Unknown User:
Temp check not performed</t>
        </r>
      </text>
    </comment>
    <comment ref="N624" authorId="0" shapeId="0" xr:uid="{8BC1CB5E-89F8-4E57-BAA2-0150214C2830}">
      <text>
        <r>
          <rPr>
            <sz val="11"/>
            <color theme="1"/>
            <rFont val="Aptos Narrow"/>
            <family val="2"/>
            <scheme val="minor"/>
          </rPr>
          <t>Unknown User:
Quote raised in Job #74057</t>
        </r>
      </text>
    </comment>
    <comment ref="P624" authorId="0" shapeId="0" xr:uid="{91466B34-7AAC-4B4F-A802-7F4B872BCB46}">
      <text>
        <r>
          <rPr>
            <sz val="11"/>
            <color theme="1"/>
            <rFont val="Aptos Narrow"/>
            <family val="2"/>
            <scheme val="minor"/>
          </rPr>
          <t>Unknown User:
Quote not emailed by plumber.</t>
        </r>
      </text>
    </comment>
    <comment ref="G625" authorId="0" shapeId="0" xr:uid="{0999B165-E373-4281-852E-1EC5F608FB31}">
      <text>
        <r>
          <rPr>
            <sz val="11"/>
            <color theme="1"/>
            <rFont val="Aptos Narrow"/>
            <family val="2"/>
            <scheme val="minor"/>
          </rPr>
          <t>Unknown User:
SEARCH &amp; INVESTIGATION OF GAS APPLIANCE</t>
        </r>
      </text>
    </comment>
    <comment ref="P625" authorId="0" shapeId="0" xr:uid="{82642B5B-F1F1-431F-AD51-EF15BF237996}">
      <text>
        <r>
          <rPr>
            <sz val="11"/>
            <color theme="1"/>
            <rFont val="Aptos Narrow"/>
            <family val="2"/>
            <scheme val="minor"/>
          </rPr>
          <t>Unknown User:
Hard copy sent to customer. No email ID</t>
        </r>
      </text>
    </comment>
    <comment ref="S625" authorId="0" shapeId="0" xr:uid="{9D6C9C22-D40C-4758-BD54-24259A129392}">
      <text>
        <r>
          <rPr>
            <sz val="11"/>
            <color theme="1"/>
            <rFont val="Aptos Narrow"/>
            <family val="2"/>
            <scheme val="minor"/>
          </rPr>
          <t>Unknown User:
Hard copy sent to customer. No email ID</t>
        </r>
      </text>
    </comment>
    <comment ref="A626" authorId="9" shapeId="0" xr:uid="{8EA4C64E-860C-4026-A315-32F01F63BF89}">
      <text>
        <t>[Threaded comment]
Your version of Excel allows you to read this threaded comment; however, any edits to it will get removed if the file is opened in a newer version of Excel. Learn more: https://go.microsoft.com/fwlink/?linkid=870924
Comment:
    5% Deposit to be paid upon achieving 5 x 5 Star Reviews</t>
      </text>
    </comment>
    <comment ref="G626" authorId="0" shapeId="0" xr:uid="{4611C6F2-2771-4908-9DDE-67220334483D}">
      <text>
        <r>
          <rPr>
            <sz val="11"/>
            <color theme="1"/>
            <rFont val="Aptos Narrow"/>
            <family val="2"/>
            <scheme val="minor"/>
          </rPr>
          <t>Unknown User:
HIGH POWERED SUCTION &amp; ACID TREATMENT</t>
        </r>
      </text>
    </comment>
    <comment ref="L626" authorId="0" shapeId="0" xr:uid="{7229E731-A9C1-4438-BBA4-EDC177AD8505}">
      <text>
        <r>
          <rPr>
            <sz val="11"/>
            <color theme="1"/>
            <rFont val="Aptos Narrow"/>
            <family val="2"/>
            <scheme val="minor"/>
          </rPr>
          <t>Unknown User:
Suction pump pics uploaded whereas Acid treatment pic not uploaded.</t>
        </r>
      </text>
    </comment>
    <comment ref="V626" authorId="0" shapeId="0" xr:uid="{2BDC78E3-6199-4287-BA9A-CCF187EC30F8}">
      <text>
        <r>
          <rPr>
            <sz val="11"/>
            <color theme="1"/>
            <rFont val="Aptos Narrow"/>
            <family val="2"/>
            <scheme val="minor"/>
          </rPr>
          <t>Unknown User:
13/10-Received $4537.5 by Bradley as cash &amp; split as $1390.40 &amp; as $3147.10 for upsell job.</t>
        </r>
      </text>
    </comment>
    <comment ref="A627" authorId="10" shapeId="0" xr:uid="{3DD0B6A0-53B0-43AC-8B88-CAD040719837}">
      <text>
        <t>[Threaded comment]
Your version of Excel allows you to read this threaded comment; however, any edits to it will get removed if the file is opened in a newer version of Excel. Learn more: https://go.microsoft.com/fwlink/?linkid=870924
Comment:
    5% Deposit to be paid upon achieving 5 x 5 Star Reviews</t>
      </text>
    </comment>
    <comment ref="G627" authorId="0" shapeId="0" xr:uid="{2E5D4F71-4A22-479A-947E-5702B0FCBBA5}">
      <text>
        <r>
          <rPr>
            <sz val="11"/>
            <color theme="1"/>
            <rFont val="Aptos Narrow"/>
            <family val="2"/>
            <scheme val="minor"/>
          </rPr>
          <t>Unknown User:
HIGH POWERED JET BLAST &amp; CCTV DRAIN CAMERA INSPECTION IN CONJUNCTION WITH SPECIALIST WHIP HOSE</t>
        </r>
      </text>
    </comment>
    <comment ref="L627" authorId="0" shapeId="0" xr:uid="{7D0D8F4D-806E-415D-941C-919A98F3BF3D}">
      <text>
        <r>
          <rPr>
            <sz val="11"/>
            <color theme="1"/>
            <rFont val="Aptos Narrow"/>
            <family val="2"/>
            <scheme val="minor"/>
          </rPr>
          <t>Unknown User:
CCTV pics/videos not uploaded</t>
        </r>
      </text>
    </comment>
    <comment ref="V627" authorId="0" shapeId="0" xr:uid="{11E57B72-2BE7-45E1-9943-F727938A98D9}">
      <text>
        <r>
          <rPr>
            <sz val="11"/>
            <color theme="1"/>
            <rFont val="Aptos Narrow"/>
            <family val="2"/>
            <scheme val="minor"/>
          </rPr>
          <t>Unknown User:
13/10-Received $4537.5 by Bradley as cash &amp; split as $1390.40 &amp; as $3147.10 for upsell job.</t>
        </r>
      </text>
    </comment>
    <comment ref="A628" authorId="11" shapeId="0" xr:uid="{9B4EFE29-F9C1-4E1B-837C-FDCEC21FFD91}">
      <text>
        <t>[Threaded comment]
Your version of Excel allows you to read this threaded comment; however, any edits to it will get removed if the file is opened in a newer version of Excel. Learn more: https://go.microsoft.com/fwlink/?linkid=870924
Comment:
    5% Deposit to be paid upon achieving 5 x 5 Star Reviews</t>
      </text>
    </comment>
    <comment ref="G628" authorId="0" shapeId="0" xr:uid="{07E105AB-C89D-497E-A775-51AB6F94BB3C}">
      <text>
        <r>
          <rPr>
            <sz val="11"/>
            <color theme="1"/>
            <rFont val="Aptos Narrow"/>
            <family val="2"/>
            <scheme val="minor"/>
          </rPr>
          <t>Unknown User:
CONVERT EXISTING GAS SOLAR TO NEW HEAT PUMP
CREDIT OF SEARCH &amp; INVESTIGATION</t>
        </r>
      </text>
    </comment>
    <comment ref="V628" authorId="0" shapeId="0" xr:uid="{0AA1F362-9E3B-475B-A02C-2EA480E91953}">
      <text>
        <r>
          <rPr>
            <sz val="11"/>
            <color theme="1"/>
            <rFont val="Aptos Narrow"/>
            <family val="2"/>
            <scheme val="minor"/>
          </rPr>
          <t>Unknown User:
11/10-Received $11846.30 by EFT</t>
        </r>
      </text>
    </comment>
    <comment ref="G632" authorId="0" shapeId="0" xr:uid="{E61FEB52-5A34-4111-B294-21C457399DE6}">
      <text>
        <r>
          <rPr>
            <sz val="11"/>
            <color theme="1"/>
            <rFont val="Aptos Narrow"/>
            <family val="2"/>
            <scheme val="minor"/>
          </rPr>
          <t>Unknown User:
CCTV DRAIN CAMERA INSPECTION OF SEWER SERVICE</t>
        </r>
      </text>
    </comment>
    <comment ref="G633" authorId="0" shapeId="0" xr:uid="{E1B007A4-156F-41F7-9626-740DE4936E6D}">
      <text>
        <r>
          <rPr>
            <sz val="11"/>
            <color theme="1"/>
            <rFont val="Aptos Narrow"/>
            <family val="2"/>
            <scheme val="minor"/>
          </rPr>
          <t>Unknown User:
SUPPLY &amp; INSTALLATION OF NEW FREE-STANDING VANITY (750MM)</t>
        </r>
      </text>
    </comment>
    <comment ref="P633" authorId="0" shapeId="0" xr:uid="{EC43A109-8B2E-4507-99E4-F17404AD757D}">
      <text>
        <r>
          <rPr>
            <sz val="11"/>
            <color theme="1"/>
            <rFont val="Aptos Narrow"/>
            <family val="2"/>
            <scheme val="minor"/>
          </rPr>
          <t>Unknown User:
Quote not emailed</t>
        </r>
      </text>
    </comment>
    <comment ref="G637" authorId="0" shapeId="0" xr:uid="{56A90395-7E3F-40B2-8296-0E5FE0FC425E}">
      <text>
        <r>
          <rPr>
            <sz val="11"/>
            <color theme="1"/>
            <rFont val="Aptos Narrow"/>
            <family val="2"/>
            <scheme val="minor"/>
          </rPr>
          <t xml:space="preserve">Unknown User:
INSTALLATION OF VENT FLUES </t>
        </r>
      </text>
    </comment>
    <comment ref="G638" authorId="0" shapeId="0" xr:uid="{D86DDCFF-B429-42BF-ACA1-7FB3D79F1AAE}">
      <text>
        <r>
          <rPr>
            <sz val="11"/>
            <color theme="1"/>
            <rFont val="Aptos Narrow"/>
            <family val="2"/>
            <scheme val="minor"/>
          </rPr>
          <t xml:space="preserve">Unknown User:
HIGH POWERED JET BLAST &amp; CCTV DRAIN CAMERA INSPECTION (SEWER SERVICE)
</t>
        </r>
      </text>
    </comment>
    <comment ref="G639" authorId="0" shapeId="0" xr:uid="{9FB69DE0-CBD0-4BE0-8A2A-CB7AAEBE468A}">
      <text>
        <r>
          <rPr>
            <sz val="11"/>
            <color theme="1"/>
            <rFont val="Aptos Narrow"/>
            <family val="2"/>
            <scheme val="minor"/>
          </rPr>
          <t xml:space="preserve">Unknown User:
REPLACEMENT OF SHOWER SCREEN
</t>
        </r>
      </text>
    </comment>
    <comment ref="G641" authorId="0" shapeId="0" xr:uid="{CA3BC745-49C2-4891-9A05-8DAAB6DA1657}">
      <text>
        <r>
          <rPr>
            <sz val="11"/>
            <color theme="1"/>
            <rFont val="Aptos Narrow"/>
            <family val="2"/>
            <scheme val="minor"/>
          </rPr>
          <t>Unknown User:
SEWER SPOT DIG - IN GROUND
10% Seniors &amp; Pensioners Discount</t>
        </r>
      </text>
    </comment>
    <comment ref="P641" authorId="0" shapeId="0" xr:uid="{45F6232C-7583-431A-89A3-D74284DBD35A}">
      <text>
        <r>
          <rPr>
            <sz val="11"/>
            <color theme="1"/>
            <rFont val="Aptos Narrow"/>
            <family val="2"/>
            <scheme val="minor"/>
          </rPr>
          <t>Unknown User:
Quote not emailed</t>
        </r>
      </text>
    </comment>
    <comment ref="G643" authorId="0" shapeId="0" xr:uid="{AF112E6B-C848-4CCC-88EB-B7E6BECC8E31}">
      <text>
        <r>
          <rPr>
            <sz val="11"/>
            <color theme="1"/>
            <rFont val="Aptos Narrow"/>
            <family val="2"/>
            <scheme val="minor"/>
          </rPr>
          <t xml:space="preserve">Unknown User:
ROOF GUTTER SEARCH &amp; INVESTIGATION
</t>
        </r>
      </text>
    </comment>
    <comment ref="G645" authorId="0" shapeId="0" xr:uid="{F348FDE8-AAAC-47B7-85C1-AA81E23BD104}">
      <text>
        <r>
          <rPr>
            <sz val="11"/>
            <color theme="1"/>
            <rFont val="Aptos Narrow"/>
            <family val="2"/>
            <scheme val="minor"/>
          </rPr>
          <t>Unknown User:
ROOF LEAK SEARCH &amp; INVESTIGATION</t>
        </r>
      </text>
    </comment>
    <comment ref="G646" authorId="0" shapeId="0" xr:uid="{8D4F5D9F-7C36-4F06-AC85-A08CF95B56E1}">
      <text>
        <r>
          <rPr>
            <sz val="11"/>
            <color theme="1"/>
            <rFont val="Aptos Narrow"/>
            <family val="2"/>
            <scheme val="minor"/>
          </rPr>
          <t xml:space="preserve">Unknown User:
SEARCH &amp; INVESTIGATION OF GAS STORAGE HOT WATER SYSTEM
</t>
        </r>
      </text>
    </comment>
    <comment ref="G647" authorId="0" shapeId="0" xr:uid="{C40B77E2-DBF1-484E-B7FE-F4276EA80547}">
      <text>
        <r>
          <rPr>
            <sz val="11"/>
            <color theme="1"/>
            <rFont val="Aptos Narrow"/>
            <family val="2"/>
            <scheme val="minor"/>
          </rPr>
          <t>Unknown User:
SUPPLY &amp; INSTALLATION OF GAS STORAGE HOT WATER SYSTEM (EXTERNAL)</t>
        </r>
      </text>
    </comment>
    <comment ref="G650" authorId="0" shapeId="0" xr:uid="{0248F15E-1A4B-4406-A873-A6EC63BA956E}">
      <text>
        <r>
          <rPr>
            <sz val="11"/>
            <color theme="1"/>
            <rFont val="Aptos Narrow"/>
            <family val="2"/>
            <scheme val="minor"/>
          </rPr>
          <t xml:space="preserve">Unknown User:
SUPPLY &amp; INSTALLATION OF NEW BRASS HOSE TAP
</t>
        </r>
      </text>
    </comment>
    <comment ref="G651" authorId="0" shapeId="0" xr:uid="{2BE8189F-4B0C-4F69-9896-DA70CBB746E5}">
      <text>
        <r>
          <rPr>
            <sz val="11"/>
            <color theme="1"/>
            <rFont val="Aptos Narrow"/>
            <family val="2"/>
            <scheme val="minor"/>
          </rPr>
          <t>Unknown User:
SEARCH &amp; INVESTIGATION OF DOUBLE STOREY ROOF OF POTENTIAL LEAK</t>
        </r>
      </text>
    </comment>
    <comment ref="G652" authorId="0" shapeId="0" xr:uid="{17E8942C-981F-40F1-AA13-3EFDC8CD3DF4}">
      <text>
        <r>
          <rPr>
            <sz val="11"/>
            <color theme="1"/>
            <rFont val="Aptos Narrow"/>
            <family val="2"/>
            <scheme val="minor"/>
          </rPr>
          <t>Unknown User:
COMPLETE SERVICE OF WALL TOP TAPS ASSEMBLY</t>
        </r>
      </text>
    </comment>
    <comment ref="G653" authorId="0" shapeId="0" xr:uid="{DB207E01-75B7-478D-B7A3-293DD8799974}">
      <text>
        <r>
          <rPr>
            <sz val="11"/>
            <color theme="1"/>
            <rFont val="Aptos Narrow"/>
            <family val="2"/>
            <scheme val="minor"/>
          </rPr>
          <t>Unknown User:
SPECIALIST LEAK DETECTION (WATER SERVICE)</t>
        </r>
      </text>
    </comment>
    <comment ref="G655" authorId="0" shapeId="0" xr:uid="{9EF33D18-CEFC-4B9C-8A27-956208B3360C}">
      <text>
        <r>
          <rPr>
            <sz val="11"/>
            <color theme="1"/>
            <rFont val="Aptos Narrow"/>
            <family val="2"/>
            <scheme val="minor"/>
          </rPr>
          <t xml:space="preserve">Unknown User:
SUPPLY &amp; INSTALLATION OF NEW SINGLE ELEMENT HOT WATER UNIT (250L &gt; 400L)
</t>
        </r>
      </text>
    </comment>
    <comment ref="G656" authorId="0" shapeId="0" xr:uid="{8C06D4FA-E266-42A4-8A4B-34A4E4A95D82}">
      <text>
        <r>
          <rPr>
            <sz val="11"/>
            <color theme="1"/>
            <rFont val="Aptos Narrow"/>
            <family val="2"/>
            <scheme val="minor"/>
          </rPr>
          <t>Unknown User:
HIGH POWERED JET BLAST &amp; CCTV DRAIN CAMERA INSPECTION IN CONJUNCTION WITH SPECIALIST WHIP HOSE</t>
        </r>
      </text>
    </comment>
    <comment ref="E677" authorId="12" shapeId="0" xr:uid="{B9F5131C-3A90-48CC-B3B3-5625FA0050B3}">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E678" authorId="13" shapeId="0" xr:uid="{019DC3FB-4EF9-46AD-8AEA-BEE484E6EC59}">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E679" authorId="14" shapeId="0" xr:uid="{470DCC9E-5D1D-4F4E-A3BC-369C84582FA8}">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E680" authorId="15" shapeId="0" xr:uid="{AC4C610D-564F-4D0C-A3D5-515027B2C2E4}">
      <text>
        <t>[Threaded comment]
Your version of Excel allows you to read this threaded comment; however, any edits to it will get removed if the file is opened in a newer version of Excel. Learn more: https://go.microsoft.com/fwlink/?linkid=870924
Comment:
    Checked</t>
      </text>
    </comment>
    <comment ref="G688" authorId="0" shapeId="0" xr:uid="{49A043EC-6964-4385-B156-17B9C3F0A2C5}">
      <text>
        <r>
          <rPr>
            <sz val="11"/>
            <color theme="1"/>
            <rFont val="Aptos Narrow"/>
            <family val="2"/>
            <scheme val="minor"/>
          </rPr>
          <t xml:space="preserve">Unknown User:
HIGH POWERED JET BLAST &amp; CCTV DRAIN CAMERA INSPECTION (SEWER SERVICE)
</t>
        </r>
      </text>
    </comment>
    <comment ref="U688" authorId="0" shapeId="0" xr:uid="{26DD6A29-680B-410A-87EC-6E4D10E7D033}">
      <text>
        <r>
          <rPr>
            <sz val="11"/>
            <color theme="1"/>
            <rFont val="Aptos Narrow"/>
            <family val="2"/>
            <scheme val="minor"/>
          </rPr>
          <t>Unknown User:
20/10-As per Bradley's note "got camera in the drain but need to go fix camera due to existing kink in the hose"</t>
        </r>
      </text>
    </comment>
    <comment ref="G689" authorId="0" shapeId="0" xr:uid="{53A3BDF8-071D-45FA-B5C6-1F10A67D3C20}">
      <text>
        <r>
          <rPr>
            <sz val="11"/>
            <color theme="1"/>
            <rFont val="Aptos Narrow"/>
            <family val="2"/>
            <scheme val="minor"/>
          </rPr>
          <t>Unknown User:
FLOOD, DYE, PRESSURE TEST (WET AREA)</t>
        </r>
      </text>
    </comment>
    <comment ref="V689" authorId="0" shapeId="0" xr:uid="{5FA94C1B-0FEF-403F-B5CD-9E02E53640FA}">
      <text>
        <r>
          <rPr>
            <sz val="11"/>
            <color theme="1"/>
            <rFont val="Aptos Narrow"/>
            <family val="2"/>
            <scheme val="minor"/>
          </rPr>
          <t>Unknown User:
Smartpay receipt of $2026.20 is split as $1387.10 for initial job &amp; as $639.10 for upsell job</t>
        </r>
      </text>
    </comment>
    <comment ref="G690" authorId="0" shapeId="0" xr:uid="{4EB0F7CF-C75E-4C6A-96EA-9700EBFD8839}">
      <text>
        <r>
          <rPr>
            <sz val="11"/>
            <color theme="1"/>
            <rFont val="Aptos Narrow"/>
            <family val="2"/>
            <scheme val="minor"/>
          </rPr>
          <t>Unknown User:
COMPLETE SERVICE OF WALL TOP TAPS ASSEMBLY</t>
        </r>
      </text>
    </comment>
    <comment ref="V690" authorId="0" shapeId="0" xr:uid="{D51E958B-4F2A-435F-B4C1-A537022DD23C}">
      <text>
        <r>
          <rPr>
            <sz val="11"/>
            <color theme="1"/>
            <rFont val="Aptos Narrow"/>
            <family val="2"/>
            <scheme val="minor"/>
          </rPr>
          <t>Unknown User:
Smartpay receipt of $2026.20 is split as $1387.10 for initial job &amp; as $639.10 for upsell job</t>
        </r>
      </text>
    </comment>
    <comment ref="G691" authorId="0" shapeId="0" xr:uid="{A9CC77B2-AD91-4C22-9799-FA62680BF2BD}">
      <text>
        <r>
          <rPr>
            <sz val="11"/>
            <color theme="1"/>
            <rFont val="Aptos Narrow"/>
            <family val="2"/>
            <scheme val="minor"/>
          </rPr>
          <t>Unknown User:
SUPPLY &amp; INSTALLATION OF ROUND DOWNPIPE
10% Seniors &amp; Pensioners Discount</t>
        </r>
      </text>
    </comment>
    <comment ref="S691" authorId="0" shapeId="0" xr:uid="{9490B8E5-545B-4CE5-96E0-BEC5DC3E4440}">
      <text>
        <r>
          <rPr>
            <sz val="11"/>
            <color theme="1"/>
            <rFont val="Aptos Narrow"/>
            <family val="2"/>
            <scheme val="minor"/>
          </rPr>
          <t>Unknown User:
Signed invoice not emailed</t>
        </r>
      </text>
    </comment>
    <comment ref="G692" authorId="0" shapeId="0" xr:uid="{575B9FD4-1EEF-4D8C-A332-4415AC18C52F}">
      <text>
        <r>
          <rPr>
            <sz val="11"/>
            <color theme="1"/>
            <rFont val="Aptos Narrow"/>
            <family val="2"/>
            <scheme val="minor"/>
          </rPr>
          <t>Unknown User:
HIGH POWERED SUCTION &amp; ACID TREATMENT
$110 Blocked Drains Discount</t>
        </r>
      </text>
    </comment>
    <comment ref="G693" authorId="0" shapeId="0" xr:uid="{01CC9A61-823A-47CD-88F4-076F7A956AFB}">
      <text>
        <r>
          <rPr>
            <sz val="11"/>
            <color theme="1"/>
            <rFont val="Aptos Narrow"/>
            <family val="2"/>
            <scheme val="minor"/>
          </rPr>
          <t>Unknown User:
SEARCH &amp; INVESTIGATION OF GAS STORAGE HOT WATER SYSTEM</t>
        </r>
      </text>
    </comment>
    <comment ref="G694" authorId="0" shapeId="0" xr:uid="{FDFAE042-BBFC-4ACC-9AC5-FD52632AE51B}">
      <text>
        <r>
          <rPr>
            <sz val="11"/>
            <color theme="1"/>
            <rFont val="Aptos Narrow"/>
            <family val="2"/>
            <scheme val="minor"/>
          </rPr>
          <t>Unknown User:
SUPPLY &amp; INSTALLATION OF GAS STORAGE HOT WATER SYSTEM (EXTERNAL)
CREDIT OF SEARCH &amp; INVESTIGATION</t>
        </r>
      </text>
    </comment>
    <comment ref="L694" authorId="0" shapeId="0" xr:uid="{9E4FB52E-F132-41C1-9F90-91C6786293BC}">
      <text>
        <r>
          <rPr>
            <sz val="11"/>
            <color theme="1"/>
            <rFont val="Aptos Narrow"/>
            <family val="2"/>
            <scheme val="minor"/>
          </rPr>
          <t>Unknown User:
Temp check pics not uploaded</t>
        </r>
      </text>
    </comment>
    <comment ref="G695" authorId="0" shapeId="0" xr:uid="{81611CE0-3C7A-44C9-9FE8-B002C45565C4}">
      <text>
        <r>
          <rPr>
            <sz val="11"/>
            <color theme="1"/>
            <rFont val="Aptos Narrow"/>
            <family val="2"/>
            <scheme val="minor"/>
          </rPr>
          <t>Unknown User:
HIGH POWERED JET BLAST &amp; CCTV DRAIN CAMERA INSPECTION (SEWER SERVICE)</t>
        </r>
      </text>
    </comment>
    <comment ref="G696" authorId="0" shapeId="0" xr:uid="{669FADB8-C530-4D84-9827-B43C190E782D}">
      <text>
        <r>
          <rPr>
            <sz val="11"/>
            <color theme="1"/>
            <rFont val="Aptos Narrow"/>
            <family val="2"/>
            <scheme val="minor"/>
          </rPr>
          <t xml:space="preserve">Unknown User:
COMPLETE SERVICE OF WALL TOP TAPS ASSEMBLY
</t>
        </r>
      </text>
    </comment>
    <comment ref="O696" authorId="0" shapeId="0" xr:uid="{DE56F421-FDB8-48AD-9965-8CAF51F8760A}">
      <text>
        <r>
          <rPr>
            <sz val="11"/>
            <color theme="1"/>
            <rFont val="Aptos Narrow"/>
            <family val="2"/>
            <scheme val="minor"/>
          </rPr>
          <t>Unknown User:
SMS approval.
Customer not onsite</t>
        </r>
      </text>
    </comment>
    <comment ref="R696" authorId="0" shapeId="0" xr:uid="{63E674E2-4462-437B-8303-AF60A406A6A1}">
      <text>
        <r>
          <rPr>
            <sz val="11"/>
            <color theme="1"/>
            <rFont val="Aptos Narrow"/>
            <family val="2"/>
            <scheme val="minor"/>
          </rPr>
          <t>Unknown User:
SMS approval.
Customer not onsite</t>
        </r>
      </text>
    </comment>
    <comment ref="G697" authorId="0" shapeId="0" xr:uid="{31D69E6F-480F-4D41-942B-DA655DCAAA4E}">
      <text>
        <r>
          <rPr>
            <sz val="11"/>
            <color theme="1"/>
            <rFont val="Aptos Narrow"/>
            <family val="2"/>
            <scheme val="minor"/>
          </rPr>
          <t>Unknown User:
HIGH POWERED JET BLAST &amp; CCTV DRAIN CAMERA INSPECTION (SEWER SERVICE)</t>
        </r>
      </text>
    </comment>
    <comment ref="G698" authorId="0" shapeId="0" xr:uid="{32E7523C-92B1-4DC5-81AC-E59801BBE176}">
      <text>
        <r>
          <rPr>
            <sz val="11"/>
            <color theme="1"/>
            <rFont val="Aptos Narrow"/>
            <family val="2"/>
            <scheme val="minor"/>
          </rPr>
          <t>Unknown User:
INSTALLATION OF NEW TOILET SEAT (CUSTOMER SUPPLIED)</t>
        </r>
      </text>
    </comment>
    <comment ref="S698" authorId="0" shapeId="0" xr:uid="{1A6F338B-3665-4D9F-8E88-3DF97A78F071}">
      <text>
        <r>
          <rPr>
            <sz val="11"/>
            <color theme="1"/>
            <rFont val="Aptos Narrow"/>
            <family val="2"/>
            <scheme val="minor"/>
          </rPr>
          <t>Unknown User:
Signed invoice not emailed</t>
        </r>
      </text>
    </comment>
    <comment ref="W698" authorId="0" shapeId="0" xr:uid="{9560AF30-062C-470D-A41C-2BCE666E46B2}">
      <text>
        <r>
          <rPr>
            <sz val="11"/>
            <color theme="1"/>
            <rFont val="Aptos Narrow"/>
            <family val="2"/>
            <scheme val="minor"/>
          </rPr>
          <t>Unknown User:
Cash denomination
$100*5=$500
$5*1=$5
Coin $2*1=$2
$0.10*1=$0.1
Total cash=$507.10</t>
        </r>
      </text>
    </comment>
    <comment ref="G699" authorId="0" shapeId="0" xr:uid="{7F130B75-BEDB-4503-82AD-39FCEEAA0F08}">
      <text>
        <r>
          <rPr>
            <sz val="11"/>
            <color theme="1"/>
            <rFont val="Aptos Narrow"/>
            <family val="2"/>
            <scheme val="minor"/>
          </rPr>
          <t>Unknown User:
HIGH POWERED SUCTION PUMP</t>
        </r>
      </text>
    </comment>
    <comment ref="G704" authorId="0" shapeId="0" xr:uid="{2FE1A7CF-8717-4270-8752-5C9069558EDD}">
      <text>
        <r>
          <rPr>
            <sz val="11"/>
            <color theme="1"/>
            <rFont val="Aptos Narrow"/>
            <family val="2"/>
            <scheme val="minor"/>
          </rPr>
          <t>Unknown User:
COMPLETE SERVICE OF WALL TOP TAPS ASSEMBLY</t>
        </r>
      </text>
    </comment>
    <comment ref="O704" authorId="0" shapeId="0" xr:uid="{D963596B-0CD5-4CE0-8F35-E2E28FA92344}">
      <text>
        <r>
          <rPr>
            <sz val="11"/>
            <color theme="1"/>
            <rFont val="Aptos Narrow"/>
            <family val="2"/>
            <scheme val="minor"/>
          </rPr>
          <t>Unknown User:
SMS approval</t>
        </r>
      </text>
    </comment>
    <comment ref="R704" authorId="0" shapeId="0" xr:uid="{F5C53162-7FA4-4BD7-8520-874A575EEC94}">
      <text>
        <r>
          <rPr>
            <sz val="11"/>
            <color theme="1"/>
            <rFont val="Aptos Narrow"/>
            <family val="2"/>
            <scheme val="minor"/>
          </rPr>
          <t>Unknown User:
Customer not onsite</t>
        </r>
      </text>
    </comment>
    <comment ref="S704" authorId="0" shapeId="0" xr:uid="{5DB79424-7D3A-406A-8897-9FA99270A915}">
      <text>
        <r>
          <rPr>
            <sz val="11"/>
            <color theme="1"/>
            <rFont val="Aptos Narrow"/>
            <family val="2"/>
            <scheme val="minor"/>
          </rPr>
          <t>Unknown User:
Signed invoice not emailed</t>
        </r>
      </text>
    </comment>
    <comment ref="G708" authorId="0" shapeId="0" xr:uid="{4797075D-42B4-417F-AB17-00835241AA47}">
      <text>
        <r>
          <rPr>
            <sz val="11"/>
            <color theme="1"/>
            <rFont val="Aptos Narrow"/>
            <family val="2"/>
            <scheme val="minor"/>
          </rPr>
          <t>Unknown User:
SEARCH AND INVESTIGATION OF GAS INSTANTANEOUS HOT WATER SYSTEM</t>
        </r>
      </text>
    </comment>
    <comment ref="O708" authorId="0" shapeId="0" xr:uid="{721BFFC1-3003-4920-B2EA-898C21FF10C6}">
      <text>
        <r>
          <rPr>
            <sz val="11"/>
            <color theme="1"/>
            <rFont val="Aptos Narrow"/>
            <family val="2"/>
            <scheme val="minor"/>
          </rPr>
          <t>Unknown User:
SMS approval</t>
        </r>
      </text>
    </comment>
    <comment ref="V708" authorId="0" shapeId="0" xr:uid="{00152AC2-010E-4ABA-BB12-641C0C52E361}">
      <text>
        <r>
          <rPr>
            <sz val="11"/>
            <color theme="1"/>
            <rFont val="Aptos Narrow"/>
            <family val="2"/>
            <scheme val="minor"/>
          </rPr>
          <t>Unknown User:
27/10-Smartpay receipt of $400+$274.19 received</t>
        </r>
      </text>
    </comment>
    <comment ref="G712" authorId="0" shapeId="0" xr:uid="{D64D1123-7C3C-4B1D-BEAB-D5E75E10A059}">
      <text>
        <r>
          <rPr>
            <sz val="11"/>
            <color theme="1"/>
            <rFont val="Aptos Narrow"/>
            <family val="2"/>
            <scheme val="minor"/>
          </rPr>
          <t>Unknown User:
SUPPLY &amp; INSTALLATION OF RAINWATER PUMP WITH RAIN2MAIN WATER SWITCHING UNIT</t>
        </r>
      </text>
    </comment>
    <comment ref="L712" authorId="0" shapeId="0" xr:uid="{34D91CA9-768F-407C-8527-1A7DE7DDE65E}">
      <text>
        <r>
          <rPr>
            <sz val="11"/>
            <color theme="1"/>
            <rFont val="Aptos Narrow"/>
            <family val="2"/>
            <scheme val="minor"/>
          </rPr>
          <t>Unknown User:
After photos not identifiable</t>
        </r>
      </text>
    </comment>
    <comment ref="S712" authorId="0" shapeId="0" xr:uid="{F11359EE-038E-40CE-818D-3E372B5D31A2}">
      <text>
        <r>
          <rPr>
            <sz val="11"/>
            <color theme="1"/>
            <rFont val="Aptos Narrow"/>
            <family val="2"/>
            <scheme val="minor"/>
          </rPr>
          <t>Unknown User:
Signed invoice not emailed</t>
        </r>
      </text>
    </comment>
    <comment ref="G713" authorId="0" shapeId="0" xr:uid="{117A482A-5305-4D95-BE24-BEBB8EBA67BC}">
      <text>
        <r>
          <rPr>
            <sz val="11"/>
            <color theme="1"/>
            <rFont val="Aptos Narrow"/>
            <family val="2"/>
            <scheme val="minor"/>
          </rPr>
          <t>Unknown User:
SEARCH &amp; INVESTIGATION OF GAS APPLIANCE</t>
        </r>
      </text>
    </comment>
    <comment ref="O713" authorId="0" shapeId="0" xr:uid="{8EB6B954-48DE-4C14-B282-D0397F346D09}">
      <text>
        <r>
          <rPr>
            <sz val="11"/>
            <color theme="1"/>
            <rFont val="Aptos Narrow"/>
            <family val="2"/>
            <scheme val="minor"/>
          </rPr>
          <t>Unknown User:
SMS approval</t>
        </r>
      </text>
    </comment>
    <comment ref="P713" authorId="0" shapeId="0" xr:uid="{F59BF180-1C17-4189-AB34-4BA6524FE3A8}">
      <text>
        <r>
          <rPr>
            <sz val="11"/>
            <color theme="1"/>
            <rFont val="Aptos Narrow"/>
            <family val="2"/>
            <scheme val="minor"/>
          </rPr>
          <t>Unknown User:
Quote not emailed</t>
        </r>
      </text>
    </comment>
    <comment ref="S713" authorId="0" shapeId="0" xr:uid="{58F31F60-FC4E-4195-9AEB-A078B579C62B}">
      <text>
        <r>
          <rPr>
            <sz val="11"/>
            <color theme="1"/>
            <rFont val="Aptos Narrow"/>
            <family val="2"/>
            <scheme val="minor"/>
          </rPr>
          <t>Unknown User:
Signed invoice not emailed</t>
        </r>
      </text>
    </comment>
    <comment ref="G714" authorId="0" shapeId="0" xr:uid="{A979F864-E928-43B7-9679-8EB01E9B3389}">
      <text>
        <r>
          <rPr>
            <sz val="11"/>
            <color theme="1"/>
            <rFont val="Aptos Narrow"/>
            <family val="2"/>
            <scheme val="minor"/>
          </rPr>
          <t>Unknown User:
INSTALLATION OF DISHWASHER [SAME LOCATION] (CUSTOMER SUPPLIED)</t>
        </r>
      </text>
    </comment>
    <comment ref="K714" authorId="0" shapeId="0" xr:uid="{E4140FD4-404D-47C4-95A9-2E645ABF31DA}">
      <text>
        <r>
          <rPr>
            <sz val="11"/>
            <color theme="1"/>
            <rFont val="Aptos Narrow"/>
            <family val="2"/>
            <scheme val="minor"/>
          </rPr>
          <t>Unknown User:
Before job pics (Old unit) not uploaded</t>
        </r>
      </text>
    </comment>
    <comment ref="G715" authorId="0" shapeId="0" xr:uid="{C0C842E3-9808-43CE-AE56-CB64263FAC54}">
      <text>
        <r>
          <rPr>
            <sz val="11"/>
            <color theme="1"/>
            <rFont val="Aptos Narrow"/>
            <family val="2"/>
            <scheme val="minor"/>
          </rPr>
          <t>Unknown User:
SPECIALIST LEAK DETECTION (WATER SERVICE)</t>
        </r>
      </text>
    </comment>
    <comment ref="O715" authorId="0" shapeId="0" xr:uid="{2DC8707C-E62E-4AE8-A8CE-94ACB6B15137}">
      <text>
        <r>
          <rPr>
            <sz val="11"/>
            <color theme="1"/>
            <rFont val="Aptos Narrow"/>
            <family val="2"/>
            <scheme val="minor"/>
          </rPr>
          <t>Unknown User:
SMS approval</t>
        </r>
      </text>
    </comment>
    <comment ref="P715" authorId="0" shapeId="0" xr:uid="{07D7A1C6-283E-43A0-839C-12B9E860CF66}">
      <text>
        <r>
          <rPr>
            <sz val="11"/>
            <color theme="1"/>
            <rFont val="Aptos Narrow"/>
            <family val="2"/>
            <scheme val="minor"/>
          </rPr>
          <t>Unknown User:
Quote not emailed
Approved by phone</t>
        </r>
      </text>
    </comment>
    <comment ref="G716" authorId="0" shapeId="0" xr:uid="{64164342-C44A-4B7C-87C5-0CFA9FE7DD77}">
      <text>
        <r>
          <rPr>
            <sz val="11"/>
            <color theme="1"/>
            <rFont val="Aptos Narrow"/>
            <family val="2"/>
            <scheme val="minor"/>
          </rPr>
          <t>Unknown User:
SUPPLY &amp; INSTALLATION OF NEW SINGLE ELEMENT HOT WATER UNIT (250L &gt; 400L)
CREDIT OF SEARCH &amp; INVESTIGATION</t>
        </r>
      </text>
    </comment>
    <comment ref="L716" authorId="0" shapeId="0" xr:uid="{C586D854-8DF2-4CAD-BA8B-6D06EF33274B}">
      <text>
        <r>
          <rPr>
            <sz val="11"/>
            <color theme="1"/>
            <rFont val="Aptos Narrow"/>
            <family val="2"/>
            <scheme val="minor"/>
          </rPr>
          <t>Unknown User:
Temp check not performed</t>
        </r>
      </text>
    </comment>
    <comment ref="N716" authorId="0" shapeId="0" xr:uid="{A9FA7021-469E-4D70-9558-A77294CA3D79}">
      <text>
        <r>
          <rPr>
            <sz val="11"/>
            <color theme="1"/>
            <rFont val="Aptos Narrow"/>
            <family val="2"/>
            <scheme val="minor"/>
          </rPr>
          <t>Unknown User:
Quote raised in Job #74057</t>
        </r>
      </text>
    </comment>
    <comment ref="P716" authorId="0" shapeId="0" xr:uid="{93D3CE98-57D2-4E44-8C9D-61A7C55D48A9}">
      <text>
        <r>
          <rPr>
            <sz val="11"/>
            <color theme="1"/>
            <rFont val="Aptos Narrow"/>
            <family val="2"/>
            <scheme val="minor"/>
          </rPr>
          <t>Unknown User:
Quote not emailed by plumber.</t>
        </r>
      </text>
    </comment>
    <comment ref="G717" authorId="0" shapeId="0" xr:uid="{2ADA0E07-C9D6-4F69-84CA-1C173C6BD011}">
      <text>
        <r>
          <rPr>
            <sz val="11"/>
            <color theme="1"/>
            <rFont val="Aptos Narrow"/>
            <family val="2"/>
            <scheme val="minor"/>
          </rPr>
          <t>Unknown User:
SEARCH &amp; INVESTIGATION OF GAS APPLIANCE</t>
        </r>
      </text>
    </comment>
    <comment ref="P717" authorId="0" shapeId="0" xr:uid="{DD5AD7CE-B53E-444F-B7E1-42C3E8AE7E55}">
      <text>
        <r>
          <rPr>
            <sz val="11"/>
            <color theme="1"/>
            <rFont val="Aptos Narrow"/>
            <family val="2"/>
            <scheme val="minor"/>
          </rPr>
          <t>Unknown User:
Hard copy sent to customer. No email ID</t>
        </r>
      </text>
    </comment>
    <comment ref="S717" authorId="0" shapeId="0" xr:uid="{0EFD70E1-59AA-45D9-B79F-6B86D5BF7A88}">
      <text>
        <r>
          <rPr>
            <sz val="11"/>
            <color theme="1"/>
            <rFont val="Aptos Narrow"/>
            <family val="2"/>
            <scheme val="minor"/>
          </rPr>
          <t>Unknown User:
Hard copy sent to customer. No email ID</t>
        </r>
      </text>
    </comment>
    <comment ref="A718" authorId="16" shapeId="0" xr:uid="{FB67454A-826F-4821-A9CA-289AFEBC7412}">
      <text>
        <t>[Threaded comment]
Your version of Excel allows you to read this threaded comment; however, any edits to it will get removed if the file is opened in a newer version of Excel. Learn more: https://go.microsoft.com/fwlink/?linkid=870924
Comment:
    5% Deposit to be paid upon achieving 5 x 5 Star Reviews</t>
      </text>
    </comment>
    <comment ref="G718" authorId="0" shapeId="0" xr:uid="{2AFF7D2E-E5D4-4363-A4A3-2605F5C9A905}">
      <text>
        <r>
          <rPr>
            <sz val="11"/>
            <color theme="1"/>
            <rFont val="Aptos Narrow"/>
            <family val="2"/>
            <scheme val="minor"/>
          </rPr>
          <t>Unknown User:
HIGH POWERED SUCTION &amp; ACID TREATMENT</t>
        </r>
      </text>
    </comment>
    <comment ref="L718" authorId="0" shapeId="0" xr:uid="{6709801B-3638-4989-98AB-3E033BBCC050}">
      <text>
        <r>
          <rPr>
            <sz val="11"/>
            <color theme="1"/>
            <rFont val="Aptos Narrow"/>
            <family val="2"/>
            <scheme val="minor"/>
          </rPr>
          <t>Unknown User:
Suction pump pics uploaded whereas Acid treatment pic not uploaded.</t>
        </r>
      </text>
    </comment>
    <comment ref="V718" authorId="0" shapeId="0" xr:uid="{DAC9EE09-FEC4-494D-AE9A-94D7C02FCEFE}">
      <text>
        <r>
          <rPr>
            <sz val="11"/>
            <color theme="1"/>
            <rFont val="Aptos Narrow"/>
            <family val="2"/>
            <scheme val="minor"/>
          </rPr>
          <t>Unknown User:
13/10-Received $4537.5 by Bradley as cash &amp; split as $1390.40 &amp; as $3147.10 for upsell job.</t>
        </r>
      </text>
    </comment>
    <comment ref="A719" authorId="17" shapeId="0" xr:uid="{301411F5-EFD2-464C-9DE8-7B1C68A464E7}">
      <text>
        <t>[Threaded comment]
Your version of Excel allows you to read this threaded comment; however, any edits to it will get removed if the file is opened in a newer version of Excel. Learn more: https://go.microsoft.com/fwlink/?linkid=870924
Comment:
    5% Deposit to be paid upon achieving 5 x 5 Star Reviews</t>
      </text>
    </comment>
    <comment ref="G719" authorId="0" shapeId="0" xr:uid="{618030A0-D3BD-44EC-B18A-21326F3CAB2B}">
      <text>
        <r>
          <rPr>
            <sz val="11"/>
            <color theme="1"/>
            <rFont val="Aptos Narrow"/>
            <family val="2"/>
            <scheme val="minor"/>
          </rPr>
          <t>Unknown User:
HIGH POWERED JET BLAST &amp; CCTV DRAIN CAMERA INSPECTION IN CONJUNCTION WITH SPECIALIST WHIP HOSE</t>
        </r>
      </text>
    </comment>
    <comment ref="L719" authorId="0" shapeId="0" xr:uid="{0CBFCE46-DC56-4143-AE2F-C43677CF990F}">
      <text>
        <r>
          <rPr>
            <sz val="11"/>
            <color theme="1"/>
            <rFont val="Aptos Narrow"/>
            <family val="2"/>
            <scheme val="minor"/>
          </rPr>
          <t>Unknown User:
CCTV pics/videos not uploaded</t>
        </r>
      </text>
    </comment>
    <comment ref="V719" authorId="0" shapeId="0" xr:uid="{BD06639B-C3CC-4D1F-A4BD-257C49D29A03}">
      <text>
        <r>
          <rPr>
            <sz val="11"/>
            <color theme="1"/>
            <rFont val="Aptos Narrow"/>
            <family val="2"/>
            <scheme val="minor"/>
          </rPr>
          <t>Unknown User:
13/10-Received $4537.5 by Bradley as cash &amp; split as $1390.40 &amp; as $3147.10 for upsell job.</t>
        </r>
      </text>
    </comment>
    <comment ref="A720" authorId="18" shapeId="0" xr:uid="{A73870BF-6C56-4348-905E-294C9E49F85B}">
      <text>
        <t>[Threaded comment]
Your version of Excel allows you to read this threaded comment; however, any edits to it will get removed if the file is opened in a newer version of Excel. Learn more: https://go.microsoft.com/fwlink/?linkid=870924
Comment:
    5% Deposit to be paid upon achieving 5 x 5 Star Reviews</t>
      </text>
    </comment>
    <comment ref="G720" authorId="0" shapeId="0" xr:uid="{B9FECBE4-D19A-4D6D-897A-F2A0AE8116E7}">
      <text>
        <r>
          <rPr>
            <sz val="11"/>
            <color theme="1"/>
            <rFont val="Aptos Narrow"/>
            <family val="2"/>
            <scheme val="minor"/>
          </rPr>
          <t>Unknown User:
CONVERT EXISTING GAS SOLAR TO NEW HEAT PUMP
CREDIT OF SEARCH &amp; INVESTIGATION</t>
        </r>
      </text>
    </comment>
    <comment ref="V720" authorId="0" shapeId="0" xr:uid="{DB0CDD6C-5004-4853-8611-78A9A73DFB3B}">
      <text>
        <r>
          <rPr>
            <sz val="11"/>
            <color theme="1"/>
            <rFont val="Aptos Narrow"/>
            <family val="2"/>
            <scheme val="minor"/>
          </rPr>
          <t>Unknown User:
11/10-Received $11846.30 by EFT</t>
        </r>
      </text>
    </comment>
    <comment ref="G721" authorId="0" shapeId="0" xr:uid="{CFFC4060-F987-431A-8520-163B9EE3C3F4}">
      <text>
        <r>
          <rPr>
            <sz val="11"/>
            <color theme="1"/>
            <rFont val="Aptos Narrow"/>
            <family val="2"/>
            <scheme val="minor"/>
          </rPr>
          <t>Unknown User:
SUPPLY &amp; INSTALLATION OF NEW COPPER GAS SERVICE UP TO 15M (REPLACEMENT OF EXISTING GALVANISED GAS SERVICE)</t>
        </r>
      </text>
    </comment>
    <comment ref="P721" authorId="0" shapeId="0" xr:uid="{362B36B9-1CA5-4F37-8FFF-66872AE184CF}">
      <text>
        <r>
          <rPr>
            <sz val="11"/>
            <color theme="1"/>
            <rFont val="Aptos Narrow"/>
            <family val="2"/>
            <scheme val="minor"/>
          </rPr>
          <t>Unknown User:
Quote not emailed</t>
        </r>
      </text>
    </comment>
    <comment ref="D722" authorId="0" shapeId="0" xr:uid="{5CA88A99-43DB-4295-94C0-50F0E06BCDED}">
      <text>
        <r>
          <rPr>
            <sz val="11"/>
            <color theme="1"/>
            <rFont val="Aptos Narrow"/>
            <family val="2"/>
            <scheme val="minor"/>
          </rPr>
          <t>Unknown User:
Estimate created by Bradley on 6/10 but deleted &amp; COF form created.
Estimate was created on 10/10 &amp; 13/10. Now quote is signed &amp; emailed on 13/10</t>
        </r>
      </text>
    </comment>
    <comment ref="G722" authorId="0" shapeId="0" xr:uid="{F8A9C0E0-125C-4B9B-95A0-7673365DF228}">
      <text>
        <r>
          <rPr>
            <sz val="11"/>
            <color theme="1"/>
            <rFont val="Aptos Narrow"/>
            <family val="2"/>
            <scheme val="minor"/>
          </rPr>
          <t>Unknown User:
ROOF LEAK SEARCH &amp; INVESTIGATION</t>
        </r>
      </text>
    </comment>
    <comment ref="O722" authorId="0" shapeId="0" xr:uid="{AFD60CF0-81CB-4EF8-A9DE-71284B782B64}">
      <text>
        <r>
          <rPr>
            <sz val="11"/>
            <color theme="1"/>
            <rFont val="Aptos Narrow"/>
            <family val="2"/>
            <scheme val="minor"/>
          </rPr>
          <t xml:space="preserve">Unknown User:
Quote not signed.
</t>
        </r>
      </text>
    </comment>
    <comment ref="G723" authorId="0" shapeId="0" xr:uid="{73D7CC5F-401D-4948-8B1E-631470F0F8A6}">
      <text>
        <r>
          <rPr>
            <sz val="11"/>
            <color theme="1"/>
            <rFont val="Aptos Narrow"/>
            <family val="2"/>
            <scheme val="minor"/>
          </rPr>
          <t xml:space="preserve">Unknown User:
HIGH POWERED JET BLAST &amp; CCTV DRAIN CAMERA INSPECTION (STORM WATER SERVICE)
</t>
        </r>
      </text>
    </comment>
    <comment ref="O723" authorId="0" shapeId="0" xr:uid="{29C2E6E2-0BF1-4B58-A9A0-AD264EE89D4B}">
      <text>
        <r>
          <rPr>
            <sz val="11"/>
            <color theme="1"/>
            <rFont val="Aptos Narrow"/>
            <family val="2"/>
            <scheme val="minor"/>
          </rPr>
          <t>Unknown User:
SMS approval</t>
        </r>
      </text>
    </comment>
    <comment ref="G727" authorId="0" shapeId="0" xr:uid="{4358C32A-BADC-422B-AE8F-86EC38DFFFE4}">
      <text>
        <r>
          <rPr>
            <sz val="11"/>
            <color theme="1"/>
            <rFont val="Aptos Narrow"/>
            <family val="2"/>
            <scheme val="minor"/>
          </rPr>
          <t>Unknown User:
CCTV DRAIN CAMERA INSPECTION OF SEWER SERVICE</t>
        </r>
      </text>
    </comment>
    <comment ref="G728" authorId="0" shapeId="0" xr:uid="{E4155AD3-AD73-43FC-A9D0-5AA69F353B29}">
      <text>
        <r>
          <rPr>
            <sz val="11"/>
            <color theme="1"/>
            <rFont val="Aptos Narrow"/>
            <family val="2"/>
            <scheme val="minor"/>
          </rPr>
          <t>Unknown User:
SUPPLY &amp; INSTALLATION OF NEW FREE-STANDING VANITY (750MM)</t>
        </r>
      </text>
    </comment>
    <comment ref="P728" authorId="0" shapeId="0" xr:uid="{F90D52DF-19F0-48B0-A774-F032BAFA41A7}">
      <text>
        <r>
          <rPr>
            <sz val="11"/>
            <color theme="1"/>
            <rFont val="Aptos Narrow"/>
            <family val="2"/>
            <scheme val="minor"/>
          </rPr>
          <t>Unknown User:
Quote not emailed</t>
        </r>
      </text>
    </comment>
    <comment ref="G732" authorId="0" shapeId="0" xr:uid="{24C57511-333A-432A-AA61-ACD05FAE16A7}">
      <text>
        <r>
          <rPr>
            <sz val="11"/>
            <color theme="1"/>
            <rFont val="Aptos Narrow"/>
            <family val="2"/>
            <scheme val="minor"/>
          </rPr>
          <t>Unknown User:
HIGH POWERED JET BLAST &amp; CCTV DRAIN CAMERA INSPECTION (STORM WATER SERVICE)</t>
        </r>
      </text>
    </comment>
    <comment ref="G733" authorId="0" shapeId="0" xr:uid="{CA567F72-D009-4DA9-989E-82CA7899086D}">
      <text>
        <r>
          <rPr>
            <sz val="11"/>
            <color theme="1"/>
            <rFont val="Aptos Narrow"/>
            <family val="2"/>
            <scheme val="minor"/>
          </rPr>
          <t>Unknown User:
SEARCH &amp; INVESTIGATE - IN WALL CISTERN</t>
        </r>
      </text>
    </comment>
    <comment ref="G734" authorId="0" shapeId="0" xr:uid="{601CBEFE-207A-447D-B6F2-8660F0167ABF}">
      <text>
        <r>
          <rPr>
            <sz val="11"/>
            <color theme="1"/>
            <rFont val="Aptos Narrow"/>
            <family val="2"/>
            <scheme val="minor"/>
          </rPr>
          <t>Unknown User:
INSTALLATION OF NEW GARDEN TAP UP TO 12M</t>
        </r>
      </text>
    </comment>
    <comment ref="G735" authorId="0" shapeId="0" xr:uid="{E1847F31-6100-4A73-B49D-1477A0F95DA1}">
      <text>
        <r>
          <rPr>
            <sz val="11"/>
            <color theme="1"/>
            <rFont val="Aptos Narrow"/>
            <family val="2"/>
            <scheme val="minor"/>
          </rPr>
          <t xml:space="preserve">Unknown User:
HIGH POWERED JET BLAST &amp; CCTV DRAIN CAMERA INSPECTION (SEWER SERVICE)
</t>
        </r>
      </text>
    </comment>
    <comment ref="G736" authorId="0" shapeId="0" xr:uid="{C43258CB-E399-4883-ADB9-285DD20FB573}">
      <text>
        <r>
          <rPr>
            <sz val="11"/>
            <color theme="1"/>
            <rFont val="Aptos Narrow"/>
            <family val="2"/>
            <scheme val="minor"/>
          </rPr>
          <t xml:space="preserve">Unknown User:
SEWER SPOT DIG - IN GROUND
PENSION DISCOUNT </t>
        </r>
      </text>
    </comment>
    <comment ref="G737" authorId="0" shapeId="0" xr:uid="{D2DD19C9-7788-4DE5-8256-C01D1A263DF3}">
      <text>
        <r>
          <rPr>
            <sz val="11"/>
            <color theme="1"/>
            <rFont val="Aptos Narrow"/>
            <family val="2"/>
            <scheme val="minor"/>
          </rPr>
          <t xml:space="preserve">Unknown User:
INSTALLATION OF NEW TOILET AND HAND BASIN 
</t>
        </r>
      </text>
    </comment>
    <comment ref="G738" authorId="0" shapeId="0" xr:uid="{C911F558-8E27-4742-9F10-D40698298BC0}">
      <text>
        <r>
          <rPr>
            <sz val="11"/>
            <color theme="1"/>
            <rFont val="Aptos Narrow"/>
            <family val="2"/>
            <scheme val="minor"/>
          </rPr>
          <t>Unknown User:
SUPPLY &amp; INSTALLATION OF NEW BRASS HOSE TAP</t>
        </r>
      </text>
    </comment>
    <comment ref="G739" authorId="0" shapeId="0" xr:uid="{CC3A6E33-B6C4-4951-B320-B3BD4247840A}">
      <text>
        <r>
          <rPr>
            <sz val="11"/>
            <color theme="1"/>
            <rFont val="Aptos Narrow"/>
            <family val="2"/>
            <scheme val="minor"/>
          </rPr>
          <t>Unknown User:
SUPPLY AND INSTALLATION OF GUTTERING UP TO 15M
10% Seniors &amp; Pensioners Discount</t>
        </r>
      </text>
    </comment>
    <comment ref="U739" authorId="0" shapeId="0" xr:uid="{136B8929-F7F9-4974-9E27-13C4BCCB90F2}">
      <text>
        <r>
          <rPr>
            <sz val="11"/>
            <color theme="1"/>
            <rFont val="Aptos Narrow"/>
            <family val="2"/>
            <scheme val="minor"/>
          </rPr>
          <t>Unknown User:
23/10-As per Peter White's note "Cust be in touch with insurance company and she is going to see if she can get it covered by her them before she pays deposit with us. Messaged DSR."</t>
        </r>
      </text>
    </comment>
    <comment ref="G740" authorId="0" shapeId="0" xr:uid="{EE3072F1-46D0-4E39-BC46-9DF0FC6228E7}">
      <text>
        <r>
          <rPr>
            <sz val="11"/>
            <color theme="1"/>
            <rFont val="Aptos Narrow"/>
            <family val="2"/>
            <scheme val="minor"/>
          </rPr>
          <t xml:space="preserve">Unknown User:
ROOF LEAK SEARCH &amp; INVESTIGATION
</t>
        </r>
      </text>
    </comment>
    <comment ref="G741" authorId="0" shapeId="0" xr:uid="{DBDABEBD-438F-4571-9F7C-F45DCD5CC60B}">
      <text>
        <r>
          <rPr>
            <sz val="11"/>
            <color theme="1"/>
            <rFont val="Aptos Narrow"/>
            <family val="2"/>
            <scheme val="minor"/>
          </rPr>
          <t xml:space="preserve">Unknown User:
DECOMMISSION OF RAIN WATER TANK
</t>
        </r>
      </text>
    </comment>
    <comment ref="G742" authorId="0" shapeId="0" xr:uid="{296CE7F0-1B5E-4581-A73C-4F29E5288211}">
      <text>
        <r>
          <rPr>
            <sz val="11"/>
            <color theme="1"/>
            <rFont val="Aptos Narrow"/>
            <family val="2"/>
            <scheme val="minor"/>
          </rPr>
          <t>Unknown User:
SERVICE &amp; PUMP OUT OF SEPTIC TANK
10% Seniors &amp; Pensioners Discount</t>
        </r>
      </text>
    </comment>
    <comment ref="G743" authorId="0" shapeId="0" xr:uid="{68DB64F6-5A72-4F2D-A15B-A4629433C45F}">
      <text>
        <r>
          <rPr>
            <sz val="11"/>
            <color theme="1"/>
            <rFont val="Aptos Narrow"/>
            <family val="2"/>
            <scheme val="minor"/>
          </rPr>
          <t>Unknown User:
SEWER SPOT DIG (UNDER CONCRETE)
CREDIT HIGH POWERED JETBLAST &amp; CCTV CAMERA</t>
        </r>
      </text>
    </comment>
    <comment ref="G744" authorId="0" shapeId="0" xr:uid="{1EBD056E-9AAF-4D4D-8AD9-CD6A52E3EFCB}">
      <text>
        <r>
          <rPr>
            <sz val="11"/>
            <color theme="1"/>
            <rFont val="Aptos Narrow"/>
            <family val="2"/>
            <scheme val="minor"/>
          </rPr>
          <t xml:space="preserve">Unknown User:
DECOMMISSION SPA PUMP 
MIXER TAP - GOOSE NECK
SEARCH &amp; INVESTIGATION OF WATER HAMMER
COMPLETE SERVICE OF WALL TOP TAPS ASSEMBLY
</t>
        </r>
      </text>
    </comment>
    <comment ref="E765" authorId="19" shapeId="0" xr:uid="{78A8A8DB-2C2C-4074-B91E-A8568CC06052}">
      <text>
        <t>[Threaded comment]
Your version of Excel allows you to read this threaded comment; however, any edits to it will get removed if the file is opened in a newer version of Excel. Learn more: https://go.microsoft.com/fwlink/?linkid=870924
Comment:
    Stock</t>
      </text>
    </comment>
    <comment ref="G776" authorId="0" shapeId="0" xr:uid="{5BD3C610-1BC6-4346-BDED-E539C1A09188}">
      <text>
        <r>
          <rPr>
            <sz val="11"/>
            <color theme="1"/>
            <rFont val="Aptos Narrow"/>
            <family val="2"/>
            <scheme val="minor"/>
          </rPr>
          <t>Unknown User:
SPECIALIST LEAK DETECTION (WATER SERVICE)
15% Good Will Discount</t>
        </r>
      </text>
    </comment>
    <comment ref="L776" authorId="0" shapeId="0" xr:uid="{9DB93BE6-9C76-47E4-9B3A-833375F4DEA5}">
      <text>
        <r>
          <rPr>
            <sz val="11"/>
            <color theme="1"/>
            <rFont val="Aptos Narrow"/>
            <family val="2"/>
            <scheme val="minor"/>
          </rPr>
          <t>Unknown User:
Leak detection pics are not uploaded.</t>
        </r>
      </text>
    </comment>
    <comment ref="S776" authorId="0" shapeId="0" xr:uid="{82547BC7-65DF-45A6-BACA-976555B807B6}">
      <text>
        <r>
          <rPr>
            <sz val="11"/>
            <color theme="1"/>
            <rFont val="Aptos Narrow"/>
            <family val="2"/>
            <scheme val="minor"/>
          </rPr>
          <t>Unknown User:
Signed invoice not emailed</t>
        </r>
      </text>
    </comment>
    <comment ref="U776" authorId="0" shapeId="0" xr:uid="{12EDBFDB-B46F-4AF7-86B0-DF62C60FCD17}">
      <text>
        <r>
          <rPr>
            <sz val="11"/>
            <color theme="1"/>
            <rFont val="Aptos Narrow"/>
            <family val="2"/>
            <scheme val="minor"/>
          </rPr>
          <t>Unknown User:
28/10-As per Bradley's note "Once report for leak detection comes in please allow me to do plumbers findings for Snez"</t>
        </r>
      </text>
    </comment>
    <comment ref="G777" authorId="0" shapeId="0" xr:uid="{4D4EDD17-F578-424D-BD33-15A9A5D50E15}">
      <text>
        <r>
          <rPr>
            <sz val="11"/>
            <color theme="1"/>
            <rFont val="Aptos Narrow"/>
            <family val="2"/>
            <scheme val="minor"/>
          </rPr>
          <t>Unknown User:
ROOF LEAK SEARCH &amp; INVESTIGATION
$85 Off First Service</t>
        </r>
      </text>
    </comment>
    <comment ref="S777" authorId="0" shapeId="0" xr:uid="{ED842DC2-9EB8-4740-962F-77582F9C5C9C}">
      <text>
        <r>
          <rPr>
            <sz val="11"/>
            <color theme="1"/>
            <rFont val="Aptos Narrow"/>
            <family val="2"/>
            <scheme val="minor"/>
          </rPr>
          <t>Unknown User:
Signed final zero due invoice not emailed</t>
        </r>
      </text>
    </comment>
    <comment ref="G778" authorId="0" shapeId="0" xr:uid="{94F3325C-05E6-4220-A991-16B887C19DA7}">
      <text>
        <r>
          <rPr>
            <sz val="11"/>
            <color theme="1"/>
            <rFont val="Aptos Narrow"/>
            <family val="2"/>
            <scheme val="minor"/>
          </rPr>
          <t>Unknown User:
HIGH POWERED JET BLAST &amp; CCTV DRAIN CAMERA INSPECTION (SEWER SERVICE)</t>
        </r>
      </text>
    </comment>
    <comment ref="G779" authorId="0" shapeId="0" xr:uid="{452B8CDC-50E1-4553-8D5A-B3EB78B24C4E}">
      <text>
        <r>
          <rPr>
            <sz val="11"/>
            <color theme="1"/>
            <rFont val="Aptos Narrow"/>
            <family val="2"/>
            <scheme val="minor"/>
          </rPr>
          <t>Unknown User:
SEARCH &amp; INVESTIGATION (MINOR) - POTENTIAL WATER LEAK FROM UNKOWN LOCATION</t>
        </r>
      </text>
    </comment>
    <comment ref="S779" authorId="0" shapeId="0" xr:uid="{06DBC17D-E050-40EB-A26B-C61C0798C177}">
      <text>
        <r>
          <rPr>
            <sz val="11"/>
            <color theme="1"/>
            <rFont val="Aptos Narrow"/>
            <family val="2"/>
            <scheme val="minor"/>
          </rPr>
          <t>Unknown User:
Signed final zero due invoice not emailed</t>
        </r>
      </text>
    </comment>
    <comment ref="G780" authorId="0" shapeId="0" xr:uid="{481E5E6F-F4FC-45F8-A07B-117587A60B83}">
      <text>
        <r>
          <rPr>
            <sz val="11"/>
            <color theme="1"/>
            <rFont val="Aptos Narrow"/>
            <family val="2"/>
            <scheme val="minor"/>
          </rPr>
          <t>Unknown User:
INSTALLION OF ROOF FLASHING</t>
        </r>
      </text>
    </comment>
    <comment ref="P780" authorId="0" shapeId="0" xr:uid="{DD259B4E-D517-4606-92B2-347BC6BF47F1}">
      <text>
        <r>
          <rPr>
            <sz val="11"/>
            <color theme="1"/>
            <rFont val="Aptos Narrow"/>
            <family val="2"/>
            <scheme val="minor"/>
          </rPr>
          <t>Unknown User:
Quote not emailed</t>
        </r>
      </text>
    </comment>
    <comment ref="R780" authorId="0" shapeId="0" xr:uid="{0E9ADAE6-EE9C-45A1-BAD5-F2BAE160CADA}">
      <text>
        <r>
          <rPr>
            <sz val="11"/>
            <color theme="1"/>
            <rFont val="Aptos Narrow"/>
            <family val="2"/>
            <scheme val="minor"/>
          </rPr>
          <t>Unknown User:
Sign not obtained for progress invoice</t>
        </r>
      </text>
    </comment>
    <comment ref="S780" authorId="0" shapeId="0" xr:uid="{DD7B3ED7-48D7-46D4-BDE3-9FE8A5EF9E09}">
      <text>
        <r>
          <rPr>
            <sz val="11"/>
            <color theme="1"/>
            <rFont val="Aptos Narrow"/>
            <family val="2"/>
            <scheme val="minor"/>
          </rPr>
          <t>Unknown User:
Invoice emailed without sign</t>
        </r>
      </text>
    </comment>
    <comment ref="G781" authorId="0" shapeId="0" xr:uid="{A610D302-888C-4C45-80A3-988E2CD3CC1B}">
      <text>
        <r>
          <rPr>
            <sz val="11"/>
            <color theme="1"/>
            <rFont val="Aptos Narrow"/>
            <family val="2"/>
            <scheme val="minor"/>
          </rPr>
          <t>Unknown User:
Gain access to main gas meter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Gain access to existing gas service connecting to gas space heater
Disconnect existing gas service connected to gas space heater
Disconnect existing brass fittings connected gas space heater
Disconnect existing gas appliance regulator
Disconnect &amp; remove existing gas bayonet
Disconnect &amp; remove the existing gas space heater
Supply &amp; install new brass cap to existing gas connection
Decommission existing gas space heater
Make safe
Reinstate main gas supply to the property
Conduct a manometer test on the main gas service upon completion of the installation to ensure there are no leaks
Test &amp; commission the installation
Removal of all trade waste
PLEASE NOTE IF FURTHER WORK REQUIRED OTHER THEN QUOTED WORK FURTHER COST WILL APPLY
$85 Off First Service</t>
        </r>
      </text>
    </comment>
    <comment ref="S781" authorId="0" shapeId="0" xr:uid="{A7AFDB02-D2E3-440D-A0A8-3A11F38EFB5E}">
      <text>
        <r>
          <rPr>
            <sz val="11"/>
            <color theme="1"/>
            <rFont val="Aptos Narrow"/>
            <family val="2"/>
            <scheme val="minor"/>
          </rPr>
          <t>Unknown User:
Signed invoice not emailed</t>
        </r>
      </text>
    </comment>
    <comment ref="G782" authorId="0" shapeId="0" xr:uid="{47D0F91E-ECFD-497A-AC88-1E7879686593}">
      <text>
        <r>
          <rPr>
            <sz val="11"/>
            <color theme="1"/>
            <rFont val="Aptos Narrow"/>
            <family val="2"/>
            <scheme val="minor"/>
          </rPr>
          <t>Unknown User:
SEARCH AND INVESTIGATION OF SOLAR SPLIT HOT WATER SYSTEM</t>
        </r>
      </text>
    </comment>
    <comment ref="G783" authorId="0" shapeId="0" xr:uid="{CA4BDE4B-D2B4-4C0A-B331-0868D95B87DD}">
      <text>
        <r>
          <rPr>
            <sz val="11"/>
            <color theme="1"/>
            <rFont val="Aptos Narrow"/>
            <family val="2"/>
            <scheme val="minor"/>
          </rPr>
          <t>Unknown User:
COMPLETE SERVICE OF TAP TOP ASSEMBLY</t>
        </r>
      </text>
    </comment>
    <comment ref="L783" authorId="0" shapeId="0" xr:uid="{745ED51A-637A-4549-A3BC-8EBCFAED9A57}">
      <text>
        <r>
          <rPr>
            <sz val="11"/>
            <color theme="1"/>
            <rFont val="Aptos Narrow"/>
            <family val="2"/>
            <scheme val="minor"/>
          </rPr>
          <t>Unknown User:
After service pics of wall tap top are not uploaded</t>
        </r>
      </text>
    </comment>
    <comment ref="S783" authorId="0" shapeId="0" xr:uid="{15AB01B3-1C8A-432C-BA39-1567A567CEFC}">
      <text>
        <r>
          <rPr>
            <sz val="11"/>
            <color theme="1"/>
            <rFont val="Aptos Narrow"/>
            <family val="2"/>
            <scheme val="minor"/>
          </rPr>
          <t>Unknown User:
Signed invoice not emailed</t>
        </r>
      </text>
    </comment>
    <comment ref="G784" authorId="0" shapeId="0" xr:uid="{4885D2CF-27C5-4BFF-BAF1-F98D1190B185}">
      <text>
        <r>
          <rPr>
            <sz val="11"/>
            <color theme="1"/>
            <rFont val="Aptos Narrow"/>
            <family val="2"/>
            <scheme val="minor"/>
          </rPr>
          <t>Unknown User:
HIGH POWERED SUCTION PUMP</t>
        </r>
      </text>
    </comment>
    <comment ref="S784" authorId="0" shapeId="0" xr:uid="{629D3626-B4B9-47AD-A0B5-5CD294636FD4}">
      <text>
        <r>
          <rPr>
            <sz val="11"/>
            <color theme="1"/>
            <rFont val="Aptos Narrow"/>
            <family val="2"/>
            <scheme val="minor"/>
          </rPr>
          <t>Unknown User:
Signed invoice not emailed</t>
        </r>
      </text>
    </comment>
    <comment ref="G785" authorId="0" shapeId="0" xr:uid="{A24DCB31-9F00-4649-A9B6-0B5C3B11B949}">
      <text>
        <r>
          <rPr>
            <sz val="11"/>
            <color theme="1"/>
            <rFont val="Aptos Narrow"/>
            <family val="2"/>
            <scheme val="minor"/>
          </rPr>
          <t>Unknown User:
INSTALLATION OF FREESTANDING OVEN AND GAS COOKTOP [SAME LOCATION] (CUSTOMER SUPPLIED)</t>
        </r>
      </text>
    </comment>
    <comment ref="G786" authorId="0" shapeId="0" xr:uid="{F9E6108D-B7D2-471C-96A1-11FBC02FDCC2}">
      <text>
        <r>
          <rPr>
            <sz val="11"/>
            <color theme="1"/>
            <rFont val="Aptos Narrow"/>
            <family val="2"/>
            <scheme val="minor"/>
          </rPr>
          <t>Unknown User:
SEARCH &amp; INVESTIGATION (MINOR) - POTENTIAL WATER LEAK FROM UNKOWN LOCATION</t>
        </r>
      </text>
    </comment>
    <comment ref="S786" authorId="0" shapeId="0" xr:uid="{4430B65F-7132-436F-BC5B-8EFC63738C16}">
      <text>
        <r>
          <rPr>
            <sz val="11"/>
            <color theme="1"/>
            <rFont val="Aptos Narrow"/>
            <family val="2"/>
            <scheme val="minor"/>
          </rPr>
          <t>Unknown User:
Signed invoice not emailed</t>
        </r>
      </text>
    </comment>
    <comment ref="G787" authorId="0" shapeId="0" xr:uid="{323903A4-5E25-42C6-BC3E-5C89335FB081}">
      <text>
        <r>
          <rPr>
            <sz val="11"/>
            <color theme="1"/>
            <rFont val="Aptos Narrow"/>
            <family val="2"/>
            <scheme val="minor"/>
          </rPr>
          <t xml:space="preserve">Unknown User:
WATER SERVICE RECTIFICATION (EXPOSED)
</t>
        </r>
      </text>
    </comment>
    <comment ref="L787" authorId="0" shapeId="0" xr:uid="{E7101F77-27DE-457F-A14D-F76A0AB7EF17}">
      <text>
        <r>
          <rPr>
            <sz val="11"/>
            <color theme="1"/>
            <rFont val="Aptos Narrow"/>
            <family val="2"/>
            <scheme val="minor"/>
          </rPr>
          <t>Unknown User:
After pics uploaded in Job #74916 (Initial job)</t>
        </r>
      </text>
    </comment>
    <comment ref="G788" authorId="0" shapeId="0" xr:uid="{5BDCFEDF-4BEA-48FA-9E70-D5914DE24C37}">
      <text>
        <r>
          <rPr>
            <sz val="11"/>
            <color theme="1"/>
            <rFont val="Aptos Narrow"/>
            <family val="2"/>
            <scheme val="minor"/>
          </rPr>
          <t>Unknown User:
SUPPLY &amp; INSTALLATION OF NEW CLOSE COUPLED TOILET SUITE</t>
        </r>
      </text>
    </comment>
    <comment ref="W788" authorId="0" shapeId="0" xr:uid="{F468F5F2-6DBB-410B-BA76-968D7F6B9E49}">
      <text>
        <r>
          <rPr>
            <sz val="11"/>
            <color theme="1"/>
            <rFont val="Aptos Narrow"/>
            <family val="2"/>
            <scheme val="minor"/>
          </rPr>
          <t>Unknown User:
Cash denomination
$50*6=$300</t>
        </r>
      </text>
    </comment>
    <comment ref="G789" authorId="0" shapeId="0" xr:uid="{05F63A57-D8F5-4D92-B6BB-4D0F7ED92C29}">
      <text>
        <r>
          <rPr>
            <sz val="11"/>
            <color theme="1"/>
            <rFont val="Aptos Narrow"/>
            <family val="2"/>
            <scheme val="minor"/>
          </rPr>
          <t xml:space="preserve">Unknown User:
HIGH POWERED SUCTION PUMP
</t>
        </r>
      </text>
    </comment>
    <comment ref="G790" authorId="0" shapeId="0" xr:uid="{449619B5-9F66-46F9-AD94-B97AF5B61326}">
      <text>
        <r>
          <rPr>
            <sz val="11"/>
            <color theme="1"/>
            <rFont val="Aptos Narrow"/>
            <family val="2"/>
            <scheme val="minor"/>
          </rPr>
          <t>Unknown User:
HIGH POWERED JET BLAST &amp; CCTV DRAIN CAMERA INSPECTION (STORM WATER SERVICE</t>
        </r>
      </text>
    </comment>
    <comment ref="L790" authorId="0" shapeId="0" xr:uid="{C07F2E53-BD21-40E2-893A-7F9ED676A97D}">
      <text>
        <r>
          <rPr>
            <sz val="11"/>
            <color theme="1"/>
            <rFont val="Aptos Narrow"/>
            <family val="2"/>
            <scheme val="minor"/>
          </rPr>
          <t>Unknown User:
CCTV pics/videos not uploaded</t>
        </r>
      </text>
    </comment>
    <comment ref="S790" authorId="0" shapeId="0" xr:uid="{269790C0-2808-433F-894C-9793A5056097}">
      <text>
        <r>
          <rPr>
            <sz val="11"/>
            <color theme="1"/>
            <rFont val="Aptos Narrow"/>
            <family val="2"/>
            <scheme val="minor"/>
          </rPr>
          <t>Unknown User:
Signed invoice not emailed.</t>
        </r>
      </text>
    </comment>
    <comment ref="G791" authorId="0" shapeId="0" xr:uid="{6131D4EB-6F3F-43ED-881B-03E016F01324}">
      <text>
        <r>
          <rPr>
            <sz val="11"/>
            <color theme="1"/>
            <rFont val="Aptos Narrow"/>
            <family val="2"/>
            <scheme val="minor"/>
          </rPr>
          <t>Unknown User:
HIGH POWERED SUCTION PUMP</t>
        </r>
      </text>
    </comment>
    <comment ref="S791" authorId="0" shapeId="0" xr:uid="{13FF13D0-AF62-4509-BA17-C1BBF7542C7F}">
      <text>
        <r>
          <rPr>
            <sz val="11"/>
            <color theme="1"/>
            <rFont val="Aptos Narrow"/>
            <family val="2"/>
            <scheme val="minor"/>
          </rPr>
          <t>Unknown User:
Signed invoice not emailed.</t>
        </r>
      </text>
    </comment>
    <comment ref="G792" authorId="0" shapeId="0" xr:uid="{B4579E90-A36E-409D-B2CE-5A4976346F59}">
      <text>
        <r>
          <rPr>
            <sz val="11"/>
            <color theme="1"/>
            <rFont val="Aptos Narrow"/>
            <family val="2"/>
            <scheme val="minor"/>
          </rPr>
          <t>Unknown User:
REPLACEMENT OF EXISTING 20MM WATER CONNECTION WITH BRAIDED FLEXIBLE HOSE
10% Seniors &amp; Pensioners Discount</t>
        </r>
      </text>
    </comment>
    <comment ref="G793" authorId="0" shapeId="0" xr:uid="{B8BE7A97-92BD-4C04-BAFE-B140EF2C68DF}">
      <text>
        <r>
          <rPr>
            <sz val="11"/>
            <color theme="1"/>
            <rFont val="Aptos Narrow"/>
            <family val="2"/>
            <scheme val="minor"/>
          </rPr>
          <t>Unknown User:
FLOOD, DYE, PRESSURE TEST (WET AREA)</t>
        </r>
      </text>
    </comment>
    <comment ref="S793" authorId="0" shapeId="0" xr:uid="{8067DDCB-8161-43A5-99FE-CE1BBA47249A}">
      <text>
        <r>
          <rPr>
            <sz val="11"/>
            <color theme="1"/>
            <rFont val="Aptos Narrow"/>
            <family val="2"/>
            <scheme val="minor"/>
          </rPr>
          <t>Unknown User:
Signed invoice not emailed</t>
        </r>
      </text>
    </comment>
    <comment ref="G809" authorId="0" shapeId="0" xr:uid="{85224FD0-196A-4F9A-9F1F-0C6DFE3E80F0}">
      <text>
        <r>
          <rPr>
            <sz val="11"/>
            <color theme="1"/>
            <rFont val="Aptos Narrow"/>
            <family val="2"/>
            <scheme val="minor"/>
          </rPr>
          <t>Unknown User:
WATER SERVICE RECTIFICATION (EXPOSED)
10% Seniors &amp; Pensioners Discount</t>
        </r>
      </text>
    </comment>
    <comment ref="G810" authorId="0" shapeId="0" xr:uid="{6F2DB32C-2148-4703-81E0-A37A5B31B6DC}">
      <text>
        <r>
          <rPr>
            <sz val="11"/>
            <color theme="1"/>
            <rFont val="Aptos Narrow"/>
            <family val="2"/>
            <scheme val="minor"/>
          </rPr>
          <t xml:space="preserve">Unknown User:
HIGH POWERED JET BLAST &amp; CCTV DRAIN CAMERA INSPECTION IN CONJUNCTION WITH SPECIALIST WHIP HOSE
10% Loyalty Discount </t>
        </r>
      </text>
    </comment>
    <comment ref="L810" authorId="0" shapeId="0" xr:uid="{3A29E8A5-A29C-43ED-8171-262A1FD22EB4}">
      <text>
        <r>
          <rPr>
            <sz val="11"/>
            <color theme="1"/>
            <rFont val="Aptos Narrow"/>
            <family val="2"/>
            <scheme val="minor"/>
          </rPr>
          <t>Unknown User:
CCTV pics/videos not uploaded</t>
        </r>
      </text>
    </comment>
    <comment ref="S810" authorId="0" shapeId="0" xr:uid="{1C590F2B-0FE4-42A1-99AB-36DB3E1AA37D}">
      <text>
        <r>
          <rPr>
            <sz val="11"/>
            <color theme="1"/>
            <rFont val="Aptos Narrow"/>
            <family val="2"/>
            <scheme val="minor"/>
          </rPr>
          <t>Unknown User:
Signed invoice not emailed</t>
        </r>
      </text>
    </comment>
    <comment ref="U810" authorId="0" shapeId="0" xr:uid="{13B02105-7EB8-4B71-AB20-C085B7AECFA8}">
      <text>
        <r>
          <rPr>
            <sz val="11"/>
            <color theme="1"/>
            <rFont val="Aptos Narrow"/>
            <family val="2"/>
            <scheme val="minor"/>
          </rPr>
          <t>Unknown User:
3/11-As per Kathy Gray's note "/11 - Cust rang back - said she is on a PP and had gone onto an app to do it - Klarma - then said she is not in a position to apply for credit - said Brad told her it was going to be about $1500 - KG
3/11 - s/t Chad about Klarna - rang Kerry back - left VM - KG"</t>
        </r>
      </text>
    </comment>
    <comment ref="G814" authorId="0" shapeId="0" xr:uid="{B93F4B9E-7920-4CC6-8ECE-D224CB73CFC7}">
      <text>
        <r>
          <rPr>
            <sz val="11"/>
            <color theme="1"/>
            <rFont val="Aptos Narrow"/>
            <family val="2"/>
            <scheme val="minor"/>
          </rPr>
          <t>Unknown User:
SEARCH &amp; INVESTIGATION (GENERAL)</t>
        </r>
      </text>
    </comment>
    <comment ref="G818" authorId="0" shapeId="0" xr:uid="{4C8C3B87-2AAC-40EC-BC7E-9496C68D063E}">
      <text>
        <r>
          <rPr>
            <sz val="11"/>
            <color theme="1"/>
            <rFont val="Aptos Narrow"/>
            <family val="2"/>
            <scheme val="minor"/>
          </rPr>
          <t>Unknown User:
SUPPLY &amp; INSTALLATION OF RAINWATER PUMP WITH RAIN2MAIN WATER SWITCHING UNIT</t>
        </r>
      </text>
    </comment>
    <comment ref="L818" authorId="0" shapeId="0" xr:uid="{D7D2A6E3-DAD8-448F-B89F-5359A9C334D6}">
      <text>
        <r>
          <rPr>
            <sz val="11"/>
            <color theme="1"/>
            <rFont val="Aptos Narrow"/>
            <family val="2"/>
            <scheme val="minor"/>
          </rPr>
          <t>Unknown User:
After photos not identifiable</t>
        </r>
      </text>
    </comment>
    <comment ref="S818" authorId="0" shapeId="0" xr:uid="{5DE5101E-B84E-47B3-BEFA-D586A9FB9ABC}">
      <text>
        <r>
          <rPr>
            <sz val="11"/>
            <color theme="1"/>
            <rFont val="Aptos Narrow"/>
            <family val="2"/>
            <scheme val="minor"/>
          </rPr>
          <t>Unknown User:
Signed invoice not emailed</t>
        </r>
      </text>
    </comment>
    <comment ref="G819" authorId="0" shapeId="0" xr:uid="{DDB4CA66-826B-4F7C-AD30-1D5C4F5F738C}">
      <text>
        <r>
          <rPr>
            <sz val="11"/>
            <color theme="1"/>
            <rFont val="Aptos Narrow"/>
            <family val="2"/>
            <scheme val="minor"/>
          </rPr>
          <t>Unknown User:
SEARCH &amp; INVESTIGATION OF GAS APPLIANCE</t>
        </r>
      </text>
    </comment>
    <comment ref="O819" authorId="0" shapeId="0" xr:uid="{E06FE3BB-80C0-4D90-851E-5CB7151143DD}">
      <text>
        <r>
          <rPr>
            <sz val="11"/>
            <color theme="1"/>
            <rFont val="Aptos Narrow"/>
            <family val="2"/>
            <scheme val="minor"/>
          </rPr>
          <t>Unknown User:
SMS approval</t>
        </r>
      </text>
    </comment>
    <comment ref="P819" authorId="0" shapeId="0" xr:uid="{C19226D3-A02B-4BCB-AF37-231C00727859}">
      <text>
        <r>
          <rPr>
            <sz val="11"/>
            <color theme="1"/>
            <rFont val="Aptos Narrow"/>
            <family val="2"/>
            <scheme val="minor"/>
          </rPr>
          <t>Unknown User:
Quote not emailed</t>
        </r>
      </text>
    </comment>
    <comment ref="S819" authorId="0" shapeId="0" xr:uid="{29FF3D36-0879-4C43-9E06-DBF0CF523046}">
      <text>
        <r>
          <rPr>
            <sz val="11"/>
            <color theme="1"/>
            <rFont val="Aptos Narrow"/>
            <family val="2"/>
            <scheme val="minor"/>
          </rPr>
          <t>Unknown User:
Signed invoice not emailed</t>
        </r>
      </text>
    </comment>
    <comment ref="G820" authorId="0" shapeId="0" xr:uid="{1BFCAF93-430F-42F3-97BF-EFBAD336734D}">
      <text>
        <r>
          <rPr>
            <sz val="11"/>
            <color theme="1"/>
            <rFont val="Aptos Narrow"/>
            <family val="2"/>
            <scheme val="minor"/>
          </rPr>
          <t>Unknown User:
INSTALLATION OF DISHWASHER [SAME LOCATION] (CUSTOMER SUPPLIED)</t>
        </r>
      </text>
    </comment>
    <comment ref="K820" authorId="0" shapeId="0" xr:uid="{09205DBC-FE8D-4382-BB10-5FA1E1B719B0}">
      <text>
        <r>
          <rPr>
            <sz val="11"/>
            <color theme="1"/>
            <rFont val="Aptos Narrow"/>
            <family val="2"/>
            <scheme val="minor"/>
          </rPr>
          <t>Unknown User:
Before job pics (Old unit) not uploaded</t>
        </r>
      </text>
    </comment>
    <comment ref="G821" authorId="0" shapeId="0" xr:uid="{AE3A4088-EC8C-413E-8BF3-035325A87310}">
      <text>
        <r>
          <rPr>
            <sz val="11"/>
            <color theme="1"/>
            <rFont val="Aptos Narrow"/>
            <family val="2"/>
            <scheme val="minor"/>
          </rPr>
          <t>Unknown User:
SPECIALIST LEAK DETECTION (WATER SERVICE)</t>
        </r>
      </text>
    </comment>
    <comment ref="O821" authorId="0" shapeId="0" xr:uid="{430B6A14-C304-4883-BA77-F136BAE502BD}">
      <text>
        <r>
          <rPr>
            <sz val="11"/>
            <color theme="1"/>
            <rFont val="Aptos Narrow"/>
            <family val="2"/>
            <scheme val="minor"/>
          </rPr>
          <t>Unknown User:
SMS approval</t>
        </r>
      </text>
    </comment>
    <comment ref="P821" authorId="0" shapeId="0" xr:uid="{BE48268A-9E43-4F5C-A06A-2F9985CB732C}">
      <text>
        <r>
          <rPr>
            <sz val="11"/>
            <color theme="1"/>
            <rFont val="Aptos Narrow"/>
            <family val="2"/>
            <scheme val="minor"/>
          </rPr>
          <t>Unknown User:
Quote not emailed
Approved by phone</t>
        </r>
      </text>
    </comment>
    <comment ref="G822" authorId="0" shapeId="0" xr:uid="{19A532E4-6312-4C75-8B32-9B2EC49E8FEA}">
      <text>
        <r>
          <rPr>
            <sz val="11"/>
            <color theme="1"/>
            <rFont val="Aptos Narrow"/>
            <family val="2"/>
            <scheme val="minor"/>
          </rPr>
          <t>Unknown User:
SUPPLY &amp; INSTALLATION OF NEW SINGLE ELEMENT HOT WATER UNIT (250L &gt; 400L)
CREDIT OF SEARCH &amp; INVESTIGATION</t>
        </r>
      </text>
    </comment>
    <comment ref="L822" authorId="0" shapeId="0" xr:uid="{99DF74BC-0BB1-491B-A184-DB8600060132}">
      <text>
        <r>
          <rPr>
            <sz val="11"/>
            <color theme="1"/>
            <rFont val="Aptos Narrow"/>
            <family val="2"/>
            <scheme val="minor"/>
          </rPr>
          <t>Unknown User:
Temp check not performed</t>
        </r>
      </text>
    </comment>
    <comment ref="N822" authorId="0" shapeId="0" xr:uid="{F219D1AB-6AD1-4B36-A33D-F1DF3E75E3A9}">
      <text>
        <r>
          <rPr>
            <sz val="11"/>
            <color theme="1"/>
            <rFont val="Aptos Narrow"/>
            <family val="2"/>
            <scheme val="minor"/>
          </rPr>
          <t>Unknown User:
Quote raised in Job #74057</t>
        </r>
      </text>
    </comment>
    <comment ref="P822" authorId="0" shapeId="0" xr:uid="{D928CD88-9DE1-4CFB-8797-F6DF2DC5734F}">
      <text>
        <r>
          <rPr>
            <sz val="11"/>
            <color theme="1"/>
            <rFont val="Aptos Narrow"/>
            <family val="2"/>
            <scheme val="minor"/>
          </rPr>
          <t>Unknown User:
Quote not emailed by plumber.</t>
        </r>
      </text>
    </comment>
    <comment ref="G823" authorId="0" shapeId="0" xr:uid="{C51E5E15-10D9-4968-AA3F-AEB0F6A4C0CD}">
      <text>
        <r>
          <rPr>
            <sz val="11"/>
            <color theme="1"/>
            <rFont val="Aptos Narrow"/>
            <family val="2"/>
            <scheme val="minor"/>
          </rPr>
          <t>Unknown User:
SEARCH &amp; INVESTIGATION OF GAS APPLIANCE</t>
        </r>
      </text>
    </comment>
    <comment ref="P823" authorId="0" shapeId="0" xr:uid="{B30E2F91-98F8-4CCC-A207-FEE557898CF7}">
      <text>
        <r>
          <rPr>
            <sz val="11"/>
            <color theme="1"/>
            <rFont val="Aptos Narrow"/>
            <family val="2"/>
            <scheme val="minor"/>
          </rPr>
          <t>Unknown User:
Hard copy sent to customer. No email ID</t>
        </r>
      </text>
    </comment>
    <comment ref="S823" authorId="0" shapeId="0" xr:uid="{266BE6DD-D8AF-4415-819F-C514EC8A0F57}">
      <text>
        <r>
          <rPr>
            <sz val="11"/>
            <color theme="1"/>
            <rFont val="Aptos Narrow"/>
            <family val="2"/>
            <scheme val="minor"/>
          </rPr>
          <t>Unknown User:
Hard copy sent to customer. No email ID</t>
        </r>
      </text>
    </comment>
    <comment ref="A824" authorId="20" shapeId="0" xr:uid="{A63AD134-AE3A-47BD-A231-62CADD5939B1}">
      <text>
        <t>[Threaded comment]
Your version of Excel allows you to read this threaded comment; however, any edits to it will get removed if the file is opened in a newer version of Excel. Learn more: https://go.microsoft.com/fwlink/?linkid=870924
Comment:
    5% Deposit to be paid upon achieving 5 x 5 Star Reviews</t>
      </text>
    </comment>
    <comment ref="G824" authorId="0" shapeId="0" xr:uid="{94E52DA3-576E-4E61-AF18-8CE46C086451}">
      <text>
        <r>
          <rPr>
            <sz val="11"/>
            <color theme="1"/>
            <rFont val="Aptos Narrow"/>
            <family val="2"/>
            <scheme val="minor"/>
          </rPr>
          <t>Unknown User:
HIGH POWERED SUCTION &amp; ACID TREATMENT</t>
        </r>
      </text>
    </comment>
    <comment ref="L824" authorId="0" shapeId="0" xr:uid="{620158A5-522D-453F-AB23-EA09705194C0}">
      <text>
        <r>
          <rPr>
            <sz val="11"/>
            <color theme="1"/>
            <rFont val="Aptos Narrow"/>
            <family val="2"/>
            <scheme val="minor"/>
          </rPr>
          <t>Unknown User:
Suction pump pics uploaded whereas Acid treatment pic not uploaded.</t>
        </r>
      </text>
    </comment>
    <comment ref="V824" authorId="0" shapeId="0" xr:uid="{331BB45E-C4AA-4CEF-A577-974E331272AF}">
      <text>
        <r>
          <rPr>
            <sz val="11"/>
            <color theme="1"/>
            <rFont val="Aptos Narrow"/>
            <family val="2"/>
            <scheme val="minor"/>
          </rPr>
          <t>Unknown User:
13/10-Received $4537.5 by Bradley as cash &amp; split as $1390.40 &amp; as $3147.10 for upsell job.</t>
        </r>
      </text>
    </comment>
    <comment ref="A825" authorId="21" shapeId="0" xr:uid="{A2FD9001-F45A-4E86-B6E9-D5C1E6032DFC}">
      <text>
        <t>[Threaded comment]
Your version of Excel allows you to read this threaded comment; however, any edits to it will get removed if the file is opened in a newer version of Excel. Learn more: https://go.microsoft.com/fwlink/?linkid=870924
Comment:
    5% Deposit to be paid upon achieving 5 x 5 Star Reviews</t>
      </text>
    </comment>
    <comment ref="G825" authorId="0" shapeId="0" xr:uid="{76465E08-392E-4892-8313-D14E6D8FFC7F}">
      <text>
        <r>
          <rPr>
            <sz val="11"/>
            <color theme="1"/>
            <rFont val="Aptos Narrow"/>
            <family val="2"/>
            <scheme val="minor"/>
          </rPr>
          <t>Unknown User:
HIGH POWERED JET BLAST &amp; CCTV DRAIN CAMERA INSPECTION IN CONJUNCTION WITH SPECIALIST WHIP HOSE</t>
        </r>
      </text>
    </comment>
    <comment ref="L825" authorId="0" shapeId="0" xr:uid="{E685C2CE-C21F-4535-BF3D-08BAE4181B25}">
      <text>
        <r>
          <rPr>
            <sz val="11"/>
            <color theme="1"/>
            <rFont val="Aptos Narrow"/>
            <family val="2"/>
            <scheme val="minor"/>
          </rPr>
          <t>Unknown User:
CCTV pics/videos not uploaded</t>
        </r>
      </text>
    </comment>
    <comment ref="V825" authorId="0" shapeId="0" xr:uid="{A4085BB5-01BA-4E04-BF5C-CA31AF1BD88D}">
      <text>
        <r>
          <rPr>
            <sz val="11"/>
            <color theme="1"/>
            <rFont val="Aptos Narrow"/>
            <family val="2"/>
            <scheme val="minor"/>
          </rPr>
          <t>Unknown User:
13/10-Received $4537.5 by Bradley as cash &amp; split as $1390.40 &amp; as $3147.10 for upsell job.</t>
        </r>
      </text>
    </comment>
    <comment ref="A826" authorId="22" shapeId="0" xr:uid="{63E5BD48-E915-4680-B6CD-9D7E48C9F1C6}">
      <text>
        <t>[Threaded comment]
Your version of Excel allows you to read this threaded comment; however, any edits to it will get removed if the file is opened in a newer version of Excel. Learn more: https://go.microsoft.com/fwlink/?linkid=870924
Comment:
    5% Deposit to be paid upon achieving 5 x 5 Star Reviews</t>
      </text>
    </comment>
    <comment ref="G826" authorId="0" shapeId="0" xr:uid="{5645FF90-95BB-4514-AD16-57C6CB2D30DE}">
      <text>
        <r>
          <rPr>
            <sz val="11"/>
            <color theme="1"/>
            <rFont val="Aptos Narrow"/>
            <family val="2"/>
            <scheme val="minor"/>
          </rPr>
          <t>Unknown User:
CONVERT EXISTING GAS SOLAR TO NEW HEAT PUMP
CREDIT OF SEARCH &amp; INVESTIGATION</t>
        </r>
      </text>
    </comment>
    <comment ref="V826" authorId="0" shapeId="0" xr:uid="{AA2A06C4-5449-4190-9D78-80146FE2E94F}">
      <text>
        <r>
          <rPr>
            <sz val="11"/>
            <color theme="1"/>
            <rFont val="Aptos Narrow"/>
            <family val="2"/>
            <scheme val="minor"/>
          </rPr>
          <t>Unknown User:
11/10-Received $11846.30 by EFT</t>
        </r>
      </text>
    </comment>
    <comment ref="G827" authorId="0" shapeId="0" xr:uid="{4F286ABD-25D0-4CEC-93BE-0E4A50FC6671}">
      <text>
        <r>
          <rPr>
            <sz val="11"/>
            <color theme="1"/>
            <rFont val="Aptos Narrow"/>
            <family val="2"/>
            <scheme val="minor"/>
          </rPr>
          <t>Unknown User:
SUPPLY &amp; INSTALLATION OF NEW COPPER GAS SERVICE UP TO 15M (REPLACEMENT OF EXISTING GALVANISED GAS SERVICE)</t>
        </r>
      </text>
    </comment>
    <comment ref="P827" authorId="0" shapeId="0" xr:uid="{CE8A3E09-4C08-46C9-A58E-FA484D6B72B7}">
      <text>
        <r>
          <rPr>
            <sz val="11"/>
            <color theme="1"/>
            <rFont val="Aptos Narrow"/>
            <family val="2"/>
            <scheme val="minor"/>
          </rPr>
          <t>Unknown User:
Quote not emailed</t>
        </r>
      </text>
    </comment>
    <comment ref="D828" authorId="0" shapeId="0" xr:uid="{18B4A521-DFB3-498A-B2D6-327F1782C748}">
      <text>
        <r>
          <rPr>
            <sz val="11"/>
            <color theme="1"/>
            <rFont val="Aptos Narrow"/>
            <family val="2"/>
            <scheme val="minor"/>
          </rPr>
          <t>Unknown User:
Estimate created by Bradley on 6/10 but deleted &amp; COF form created.
Estimate was created on 10/10 &amp; 13/10. Now quote is signed &amp; emailed on 13/10</t>
        </r>
      </text>
    </comment>
    <comment ref="G828" authorId="0" shapeId="0" xr:uid="{3947E5C8-7FCF-43C6-8E2E-0D71E9AB9F5B}">
      <text>
        <r>
          <rPr>
            <sz val="11"/>
            <color theme="1"/>
            <rFont val="Aptos Narrow"/>
            <family val="2"/>
            <scheme val="minor"/>
          </rPr>
          <t>Unknown User:
ROOF LEAK SEARCH &amp; INVESTIGATION</t>
        </r>
      </text>
    </comment>
    <comment ref="O828" authorId="0" shapeId="0" xr:uid="{56BA4D3A-026E-477C-B253-E42901B2233F}">
      <text>
        <r>
          <rPr>
            <sz val="11"/>
            <color theme="1"/>
            <rFont val="Aptos Narrow"/>
            <family val="2"/>
            <scheme val="minor"/>
          </rPr>
          <t xml:space="preserve">Unknown User:
Quote not signed.
</t>
        </r>
      </text>
    </comment>
    <comment ref="G829" authorId="0" shapeId="0" xr:uid="{4FBDA8A3-AAB5-4931-BAF6-851C30A26C40}">
      <text>
        <r>
          <rPr>
            <sz val="11"/>
            <color theme="1"/>
            <rFont val="Aptos Narrow"/>
            <family val="2"/>
            <scheme val="minor"/>
          </rPr>
          <t xml:space="preserve">Unknown User:
HIGH POWERED JET BLAST &amp; CCTV DRAIN CAMERA INSPECTION (STORM WATER SERVICE)
</t>
        </r>
      </text>
    </comment>
    <comment ref="O829" authorId="0" shapeId="0" xr:uid="{D2A161FB-D411-473B-83FC-5FCA39E5E2C4}">
      <text>
        <r>
          <rPr>
            <sz val="11"/>
            <color theme="1"/>
            <rFont val="Aptos Narrow"/>
            <family val="2"/>
            <scheme val="minor"/>
          </rPr>
          <t>Unknown User:
SMS approval</t>
        </r>
      </text>
    </comment>
    <comment ref="G830" authorId="0" shapeId="0" xr:uid="{0CF2BE15-1629-4BC5-90EA-28434FD81490}">
      <text>
        <r>
          <rPr>
            <sz val="11"/>
            <color theme="1"/>
            <rFont val="Aptos Narrow"/>
            <family val="2"/>
            <scheme val="minor"/>
          </rPr>
          <t>Unknown User:
SEARCH AND INVESTIGATION OF GAS INSTANTANEOUS HOT WATER SYSTEM</t>
        </r>
      </text>
    </comment>
    <comment ref="O830" authorId="0" shapeId="0" xr:uid="{864F6815-C212-4C24-9F14-6ACA39AD7E72}">
      <text>
        <r>
          <rPr>
            <sz val="11"/>
            <color theme="1"/>
            <rFont val="Aptos Narrow"/>
            <family val="2"/>
            <scheme val="minor"/>
          </rPr>
          <t>Unknown User:
SMS approval</t>
        </r>
      </text>
    </comment>
    <comment ref="V830" authorId="0" shapeId="0" xr:uid="{93E4760D-FA31-4599-9C1E-6D2F8D3B4E95}">
      <text>
        <r>
          <rPr>
            <sz val="11"/>
            <color theme="1"/>
            <rFont val="Aptos Narrow"/>
            <family val="2"/>
            <scheme val="minor"/>
          </rPr>
          <t>Unknown User:
27/10-Smartpay receipt of $400+$274.19 received</t>
        </r>
      </text>
    </comment>
    <comment ref="G834" authorId="0" shapeId="0" xr:uid="{EC9FBFB9-9B6D-4807-837F-4222070B51A9}">
      <text>
        <r>
          <rPr>
            <sz val="11"/>
            <color theme="1"/>
            <rFont val="Aptos Narrow"/>
            <family val="2"/>
            <scheme val="minor"/>
          </rPr>
          <t>Unknown User:
CCTV DRAIN CAMERA INSPECTION OF SEWER SERVICE</t>
        </r>
      </text>
    </comment>
    <comment ref="G835" authorId="0" shapeId="0" xr:uid="{6E90CF87-65AA-4402-9CA6-F5212059E321}">
      <text>
        <r>
          <rPr>
            <sz val="11"/>
            <color theme="1"/>
            <rFont val="Aptos Narrow"/>
            <family val="2"/>
            <scheme val="minor"/>
          </rPr>
          <t>Unknown User:
SUPPLY &amp; INSTALLATION OF NEW FREE-STANDING VANITY (750MM)</t>
        </r>
      </text>
    </comment>
    <comment ref="P835" authorId="0" shapeId="0" xr:uid="{654FA908-5EE5-42D7-8B07-87F2EB64A065}">
      <text>
        <r>
          <rPr>
            <sz val="11"/>
            <color theme="1"/>
            <rFont val="Aptos Narrow"/>
            <family val="2"/>
            <scheme val="minor"/>
          </rPr>
          <t>Unknown User:
Quote not emailed</t>
        </r>
      </text>
    </comment>
    <comment ref="G840" authorId="0" shapeId="0" xr:uid="{749822D4-0116-4D4E-B072-F9EFA484E270}">
      <text>
        <r>
          <rPr>
            <sz val="11"/>
            <color theme="1"/>
            <rFont val="Aptos Narrow"/>
            <family val="2"/>
            <scheme val="minor"/>
          </rPr>
          <t>Unknown User:
REPLACEMENT OF EXISTING OVERFLOW GULLY &amp; SECTION OF MAIN SEWER SERVICE (UNDER CONCRETE)
10% Good Will Discount</t>
        </r>
      </text>
    </comment>
    <comment ref="G841" authorId="0" shapeId="0" xr:uid="{B906AA4B-55BB-4F45-AC92-646E4E9B27FA}">
      <text>
        <r>
          <rPr>
            <sz val="11"/>
            <color theme="1"/>
            <rFont val="Aptos Narrow"/>
            <family val="2"/>
            <scheme val="minor"/>
          </rPr>
          <t xml:space="preserve">Unknown User:
FLOOD, DYE, PRESSURE TEST (WET AREA)
COMPLETE SERVICE OF TAP TOP ASSEMBLY
</t>
        </r>
      </text>
    </comment>
    <comment ref="G842" authorId="0" shapeId="0" xr:uid="{0D087E4F-19D1-4835-9B0D-6874C7363850}">
      <text>
        <r>
          <rPr>
            <sz val="11"/>
            <color theme="1"/>
            <rFont val="Aptos Narrow"/>
            <family val="2"/>
            <scheme val="minor"/>
          </rPr>
          <t>Unknown User:
SUPPLY &amp; INSTALLATION OF NEW THERMOSTAT &amp; ELEMENT</t>
        </r>
      </text>
    </comment>
    <comment ref="G843" authorId="0" shapeId="0" xr:uid="{EC5B27C4-9D2B-4D62-8D44-992D68D8C137}">
      <text>
        <r>
          <rPr>
            <sz val="11"/>
            <color theme="1"/>
            <rFont val="Aptos Narrow"/>
            <family val="2"/>
            <scheme val="minor"/>
          </rPr>
          <t>Unknown User:
SEARCH AND INVESTIGATION OF ELECTRIC STORAGE HOT WATER SYSTEM</t>
        </r>
      </text>
    </comment>
    <comment ref="G844" authorId="0" shapeId="0" xr:uid="{6E8F0D48-DC8F-4C84-A982-6CE9B8502E59}">
      <text>
        <r>
          <rPr>
            <sz val="11"/>
            <color theme="1"/>
            <rFont val="Aptos Narrow"/>
            <family val="2"/>
            <scheme val="minor"/>
          </rPr>
          <t xml:space="preserve">Unknown User:
SUPPLY &amp; INSTALLATION OF NEW SINGLE ELEMENT HOT WATER UNIT (250L &gt; 400L)
SUPPLY &amp; INSTALLATION OF NEW SINGLE ELEMENT HOT WATER UNIT (250L &gt; 400L)
</t>
        </r>
      </text>
    </comment>
    <comment ref="G845" authorId="0" shapeId="0" xr:uid="{BEEC38BB-7925-411A-82C1-E70A6E014BEE}">
      <text>
        <r>
          <rPr>
            <sz val="11"/>
            <color theme="1"/>
            <rFont val="Aptos Narrow"/>
            <family val="2"/>
            <scheme val="minor"/>
          </rPr>
          <t>Unknown User:
HIGH POWERED JET BLAST &amp; CCTV DRAIN CAMERA INSPECTION (SEWER SERVICE)
10% Loyalty Discount</t>
        </r>
      </text>
    </comment>
    <comment ref="G846" authorId="0" shapeId="0" xr:uid="{4ABFD1A0-E625-4BA2-AE8C-4FDE0D9DE866}">
      <text>
        <r>
          <rPr>
            <sz val="11"/>
            <color theme="1"/>
            <rFont val="Aptos Narrow"/>
            <family val="2"/>
            <scheme val="minor"/>
          </rPr>
          <t>Unknown User:
HIGH POWERED JET BLAST &amp; CCTV DRAIN CAMERA INSPECTION IN CONJUNCTION WITH SPECIALIST WHIP HOSE
10% Loyalty Discount</t>
        </r>
      </text>
    </comment>
    <comment ref="G847" authorId="0" shapeId="0" xr:uid="{DD19F3CE-1979-478C-AB0B-127C908E1FF7}">
      <text>
        <r>
          <rPr>
            <sz val="11"/>
            <color theme="1"/>
            <rFont val="Aptos Narrow"/>
            <family val="2"/>
            <scheme val="minor"/>
          </rPr>
          <t>Unknown User:
SEARCH AND INVESTIGATION OF ELECTRIC STORAGE HOT WATER SYSTEM
10% Seniors &amp; Pensioners Discount</t>
        </r>
      </text>
    </comment>
    <comment ref="G848" authorId="0" shapeId="0" xr:uid="{33F97740-A166-4BF5-997F-994C7D5B70EB}">
      <text>
        <r>
          <rPr>
            <sz val="11"/>
            <color theme="1"/>
            <rFont val="Aptos Narrow"/>
            <family val="2"/>
            <scheme val="minor"/>
          </rPr>
          <t>Unknown User:
SUPPLY &amp; INSTALLATION OF NEW SINGLE ELEMENT HOT WATER UNIT – INTERNAL
10% Seniors &amp; Pensioners Discount</t>
        </r>
      </text>
    </comment>
    <comment ref="G849" authorId="0" shapeId="0" xr:uid="{03461133-963D-4DB1-AA31-7F75F43F2259}">
      <text>
        <r>
          <rPr>
            <sz val="11"/>
            <color theme="1"/>
            <rFont val="Aptos Narrow"/>
            <family val="2"/>
            <scheme val="minor"/>
          </rPr>
          <t>Unknown User:
REMOVAL OF TOILET PAN AND RESEAL WITH NEW PAN COLLAR</t>
        </r>
      </text>
    </comment>
    <comment ref="G850" authorId="0" shapeId="0" xr:uid="{F856DBDF-CA0A-4FEA-8900-CF4E63C6F5E1}">
      <text>
        <r>
          <rPr>
            <sz val="11"/>
            <color theme="1"/>
            <rFont val="Aptos Narrow"/>
            <family val="2"/>
            <scheme val="minor"/>
          </rPr>
          <t xml:space="preserve">Unknown User:
SUPPLY AND INSTALLATION OF RIGHT-ANGLED PRESSURE REGULATING DEVICE FITTED TO 20MM STRAIGHT PIPEWORK
SENIORS DISCOUNT </t>
        </r>
      </text>
    </comment>
    <comment ref="G851" authorId="0" shapeId="0" xr:uid="{711A1546-5310-4DA1-9033-EB6BE285702E}">
      <text>
        <r>
          <rPr>
            <sz val="11"/>
            <color theme="1"/>
            <rFont val="Aptos Narrow"/>
            <family val="2"/>
            <scheme val="minor"/>
          </rPr>
          <t xml:space="preserve">Unknown User:
INSTALLATION OF GAS COOKTOP [SAME LOCATION] (CUSTOMER SUPPLIED)
</t>
        </r>
      </text>
    </comment>
    <comment ref="G883" authorId="0" shapeId="0" xr:uid="{5824AEF8-5231-4FCD-B17E-E147F1BA14B5}">
      <text>
        <r>
          <rPr>
            <sz val="11"/>
            <color theme="1"/>
            <rFont val="Aptos Narrow"/>
            <family val="2"/>
            <scheme val="minor"/>
          </rPr>
          <t>Unknown User:
SEARCH AND INVESTIGATION OF GAS INSTANTANEOUS HOT WATER SYSTEM</t>
        </r>
      </text>
    </comment>
    <comment ref="S883" authorId="0" shapeId="0" xr:uid="{54BC73B6-9774-4369-A0F0-21747F24C90B}">
      <text>
        <r>
          <rPr>
            <sz val="11"/>
            <color theme="1"/>
            <rFont val="Aptos Narrow"/>
            <family val="2"/>
            <scheme val="minor"/>
          </rPr>
          <t>Unknown User:
Signed invoice not emailed</t>
        </r>
      </text>
    </comment>
    <comment ref="G884" authorId="0" shapeId="0" xr:uid="{E5C5E3E5-4BD5-4FDA-A7BD-A758BF0D7C5B}">
      <text>
        <r>
          <rPr>
            <sz val="11"/>
            <color theme="1"/>
            <rFont val="Aptos Narrow"/>
            <family val="2"/>
            <scheme val="minor"/>
          </rPr>
          <t>Unknown User:
ROOF LEAK SEARCH &amp; INVESTIGATION</t>
        </r>
      </text>
    </comment>
    <comment ref="S884" authorId="0" shapeId="0" xr:uid="{6E80C964-60E4-4982-BC61-38CDAEF7B6CB}">
      <text>
        <r>
          <rPr>
            <sz val="11"/>
            <color theme="1"/>
            <rFont val="Aptos Narrow"/>
            <family val="2"/>
            <scheme val="minor"/>
          </rPr>
          <t>Unknown User:
Signed invoice not emailed</t>
        </r>
      </text>
    </comment>
    <comment ref="U884" authorId="0" shapeId="0" xr:uid="{FBD857EA-5AAA-45C3-8D01-23E174C7A989}">
      <text>
        <r>
          <rPr>
            <sz val="11"/>
            <color theme="1"/>
            <rFont val="Aptos Narrow"/>
            <family val="2"/>
            <scheme val="minor"/>
          </rPr>
          <t>Unknown User:
3/11-As per Bradley's note "Conducted roof search, tile under the ridge was sitting up 10mm. Sealed the tile. Inspected rest of the roof, checked all tiles and flashing while I was on the roof, were tight asses and complained about the price. Told the, it’s an upfront fixed price quote and you pay for knowledge and experience. They were okay after that."</t>
        </r>
      </text>
    </comment>
    <comment ref="G885" authorId="0" shapeId="0" xr:uid="{6A2C9F07-4679-4263-9652-7B06275AE2F1}">
      <text>
        <r>
          <rPr>
            <sz val="11"/>
            <color theme="1"/>
            <rFont val="Aptos Narrow"/>
            <family val="2"/>
            <scheme val="minor"/>
          </rPr>
          <t>Unknown User:
HIGH POWERED JET BLAST &amp; CCTV DRAIN CAMERA INSPECTION (SEWER SERVICE)</t>
        </r>
      </text>
    </comment>
    <comment ref="S885" authorId="0" shapeId="0" xr:uid="{FFF16902-280D-4801-A40A-5A59B7A16FFB}">
      <text>
        <r>
          <rPr>
            <sz val="11"/>
            <color theme="1"/>
            <rFont val="Aptos Narrow"/>
            <family val="2"/>
            <scheme val="minor"/>
          </rPr>
          <t>Unknown User:
Signed invoice not emailed</t>
        </r>
      </text>
    </comment>
    <comment ref="G925" authorId="0" shapeId="0" xr:uid="{08026278-CE22-4500-9567-A2D35088D791}">
      <text>
        <r>
          <rPr>
            <sz val="11"/>
            <color theme="1"/>
            <rFont val="Aptos Narrow"/>
            <family val="2"/>
            <scheme val="minor"/>
          </rPr>
          <t>Unknown User:
SUPPLY &amp; INSTALLATION OF NEW INSTANTANEOUS GAS HOT WATER SYSTEM (EXTERNAL)
CREDIT OF SEARCH &amp; INVESTIGATION</t>
        </r>
      </text>
    </comment>
    <comment ref="S925" authorId="0" shapeId="0" xr:uid="{434A15B9-F3B6-420B-9DE9-D063B4C8CB51}">
      <text>
        <r>
          <rPr>
            <sz val="11"/>
            <color theme="1"/>
            <rFont val="Aptos Narrow"/>
            <family val="2"/>
            <scheme val="minor"/>
          </rPr>
          <t>Unknown User:
Signed invoice not emailed</t>
        </r>
      </text>
    </comment>
    <comment ref="G926" authorId="0" shapeId="0" xr:uid="{ECE7B00C-3B73-4C55-B341-03FE277ECDFC}">
      <text>
        <r>
          <rPr>
            <sz val="11"/>
            <color theme="1"/>
            <rFont val="Aptos Narrow"/>
            <family val="2"/>
            <scheme val="minor"/>
          </rPr>
          <t>Unknown User:
HIGH POWERED JET BLAST &amp; CCTV DRAIN CAMERA INSPECTION (STORM WATER SERVICE)</t>
        </r>
      </text>
    </comment>
    <comment ref="S926" authorId="0" shapeId="0" xr:uid="{39240A94-CEE1-468B-85F3-B7D112815EB7}">
      <text>
        <r>
          <rPr>
            <sz val="11"/>
            <color theme="1"/>
            <rFont val="Aptos Narrow"/>
            <family val="2"/>
            <scheme val="minor"/>
          </rPr>
          <t>Unknown User:
Signed invoice not emailed</t>
        </r>
      </text>
    </comment>
    <comment ref="G947" authorId="0" shapeId="0" xr:uid="{7D68C1EA-795F-4466-8027-FFEF60183031}">
      <text>
        <r>
          <rPr>
            <sz val="11"/>
            <color theme="1"/>
            <rFont val="Aptos Narrow"/>
            <family val="2"/>
            <scheme val="minor"/>
          </rPr>
          <t>Unknown User:
ROOF LEAK SEARCH &amp; INVESTIGATION</t>
        </r>
      </text>
    </comment>
    <comment ref="P947" authorId="0" shapeId="0" xr:uid="{1224A462-8AB1-4079-8913-3CD04417A99B}">
      <text>
        <r>
          <rPr>
            <sz val="11"/>
            <color theme="1"/>
            <rFont val="Aptos Narrow"/>
            <family val="2"/>
            <scheme val="minor"/>
          </rPr>
          <t>Unknown User:
Quote not emailed</t>
        </r>
      </text>
    </comment>
    <comment ref="G948" authorId="0" shapeId="0" xr:uid="{C14C616D-301D-4125-BAC7-4FC4C6F9A95C}">
      <text>
        <r>
          <rPr>
            <sz val="11"/>
            <color theme="1"/>
            <rFont val="Aptos Narrow"/>
            <family val="2"/>
            <scheme val="minor"/>
          </rPr>
          <t>Unknown User:
STORM WATER SPOT RECTIFICATION IN GROUND</t>
        </r>
      </text>
    </comment>
    <comment ref="P948" authorId="0" shapeId="0" xr:uid="{0B4C5CC7-D354-4C8A-B33F-C1BAF54AF12A}">
      <text>
        <r>
          <rPr>
            <sz val="11"/>
            <color theme="1"/>
            <rFont val="Aptos Narrow"/>
            <family val="2"/>
            <scheme val="minor"/>
          </rPr>
          <t>Unknown User:
Quote not emailed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Guest User</author>
    <author>Finance - Pointplumbing</author>
    <author>tc={D6AB7C2D-7554-4DDA-803A-7D82FB1B1582}</author>
    <author>tc={1F4CED11-15C5-4588-BC52-F49701E335E3}</author>
    <author>tc={E157193A-50CD-4EDA-AD51-762C66EBD133}</author>
    <author>tc={E977AAC3-CB40-4EA6-953F-CE299362DB30}</author>
    <author>tc={541C069B-60E2-4D3A-8F0E-470A3A4BEA42}</author>
    <author>tc={2F8F827B-E2F9-4ED3-AC14-291D931D4908}</author>
    <author>tc={767D73B7-A38C-4B05-86A6-9BBF3B637D67}</author>
    <author>tc={BD073164-E4B8-4C25-85EA-01FB02763C40}</author>
    <author>tc={1F6E26F1-4290-4E9D-9891-EDDA444EEF74}</author>
    <author>tc={42A12AB7-51CD-43CA-AB97-D67E9F1CD040}</author>
    <author>tc={7D162E78-CDC5-4B1D-A064-F3B1CB41CADF}</author>
  </authors>
  <commentList>
    <comment ref="G29" authorId="0" shapeId="0" xr:uid="{02672051-52FD-43B1-B3CA-E2B37101E332}">
      <text>
        <r>
          <rPr>
            <sz val="11"/>
            <color theme="1"/>
            <rFont val="Aptos Narrow"/>
            <family val="2"/>
            <scheme val="minor"/>
          </rPr>
          <t>Unknown User:
WASHING MACHINE TAPS - COMBO
Isolate main cold-water supply to property
Isolate main hot water supply to property
Disconnect cold water supply to washing machine tapware
Disconnect hot water supply to washing machine tapware
Disconnect &amp; removal of cold-water washing machine tapware
Disconnect &amp; removal of hot water washing machine tapware
Disconnect &amp; removal of existing sealant
Clean No.19 thread
Supply &amp; install the hot and cold caps 
Disconnect cold water supply to laundry mixer
Disconnect hot water supply to laundry mixer
Disconnect &amp; removal of cold-water isolation valve
Disconnect &amp; removal of hot water isolation valve
Disconnect &amp; removal of existing sealant
Clean No.19 thread 
Supply &amp; install new sealant
Supply &amp; install new cold water combination valve
Supply &amp; install new hot water combination valve
Reconnect cold water supply to cold water tapware
Reconnect hot water supply to hot water tapware
Reinstate cold water supply to property
Reinstate hot water supply to property
Test &amp; commission installation
Removal of trade waste
PLEASE NOTE IF FURTHER WORK REQUIRED OTHER THEN QUOTED WORK FURTHER COST WILL APPLY</t>
        </r>
      </text>
    </comment>
    <comment ref="T29" authorId="0" shapeId="0" xr:uid="{87ACA631-B4F0-44C9-BBF3-9C7DF0929C1C}">
      <text>
        <r>
          <rPr>
            <sz val="11"/>
            <color theme="1"/>
            <rFont val="Aptos Narrow"/>
            <family val="2"/>
            <scheme val="minor"/>
          </rPr>
          <t>Unknown User:
1X Heath</t>
        </r>
      </text>
    </comment>
    <comment ref="G62" authorId="0" shapeId="0" xr:uid="{B6D30DE9-3D58-4A1C-9AB8-55B8AB06BDEE}">
      <text>
        <r>
          <rPr>
            <sz val="11"/>
            <color theme="1"/>
            <rFont val="Aptos Narrow"/>
            <family val="2"/>
            <scheme val="minor"/>
          </rPr>
          <t>Unknown User:
REPLACEMENT OF BOTTOM INLET CISTERN FILLING VALVE
Isolate water supply to cistern
Drain cistern
Disconnect &amp; remove braided connection from emergency isolation valve
Disconnect &amp; remove braided connection from existing bottom inlet valve
Disconnect &amp; remove bottom inlet valve locking nut
Disconnect &amp; remove bottom inlet valve from cistern
Disconnect &amp; remove bottom inlet valve gaskets from cistern
Clean &amp; prepare worked area
Supply &amp; install new bottom inlet valve gaskets to cistern
Supply &amp; install new bottom inlet valve
Supply &amp; install new bottom inlet valve locking nut
Supply and install new braided water connection
Install new braided water connection to new inlet valve
Install new braided water connection to emergency isolation valve
Reinstate water supply to cistern
Test &amp; commission installation
Set fill levels
Removal of trade waste from site
PLEASE NOTE IF FURTHER WORK REQUIRED OUTSIDE OF QUOTED WORKS ADDITIONAL COSTS WILL APPLY</t>
        </r>
      </text>
    </comment>
    <comment ref="G67" authorId="0" shapeId="0" xr:uid="{E3CACE16-FC09-4815-A4E3-BF7C5BF43255}">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L67" authorId="0" shapeId="0" xr:uid="{D5ECA313-57D4-43C0-9970-B436170BB0D0}">
      <text>
        <r>
          <rPr>
            <sz val="11"/>
            <color theme="1"/>
            <rFont val="Aptos Narrow"/>
            <family val="2"/>
            <scheme val="minor"/>
          </rPr>
          <t>Unknown User:
No photos for acid treatment</t>
        </r>
      </text>
    </comment>
    <comment ref="V67" authorId="0" shapeId="0" xr:uid="{10C56A68-1F36-4271-B3AC-D5A6E462BE35}">
      <text>
        <r>
          <rPr>
            <sz val="11"/>
            <color theme="1"/>
            <rFont val="Aptos Narrow"/>
            <family val="2"/>
            <scheme val="minor"/>
          </rPr>
          <t xml:space="preserve">Unknown User:
26/07 - $1916.40 Received totally for 2 estimates.
$1167.30 for #86302386
$749.10 for #86305033
</t>
        </r>
      </text>
    </comment>
    <comment ref="G68" authorId="0" shapeId="0" xr:uid="{AD2A70ED-80CD-4459-9BAC-94032E72D634}">
      <text>
        <r>
          <rPr>
            <sz val="11"/>
            <color theme="1"/>
            <rFont val="Aptos Narrow"/>
            <family val="2"/>
            <scheme val="minor"/>
          </rPr>
          <t>Unknown User:
CCTV DRAIN CAMERA INSPECTION OF SEWER SERVICE
Obtain service location diagram
Obtain dial before dig
Obtain sewer diagram
Locate access point to sewer service
Removal of access point to sewer service
Gain access to sewer service
Set up CCTV drain camera
Set up locator
Conduct CCTV camera on sewer service
Use of specialist locator
Locate potential faults in sewer service
Mark out potential faults in sewer service if found
Provide additional quote for rectification work if faults found
Reinstall sewer access point
Test &amp; commission work completed
PLEASE NOTE IF FURTHER WORK REQUIRED OTHER THEN QUOTED WORK FURTHER COST WILL APPLY</t>
        </r>
      </text>
    </comment>
    <comment ref="V68" authorId="0" shapeId="0" xr:uid="{53E5D4DC-B4A0-487B-9274-D76D2D85982F}">
      <text>
        <r>
          <rPr>
            <sz val="11"/>
            <color theme="1"/>
            <rFont val="Aptos Narrow"/>
            <family val="2"/>
            <scheme val="minor"/>
          </rPr>
          <t xml:space="preserve">Unknown User:
26/07 - $1916.40 Received totally for 2 estimates.
$1167.30 for #86302386
$749.10 for #86305033
</t>
        </r>
      </text>
    </comment>
    <comment ref="G69" authorId="0" shapeId="0" xr:uid="{CE4DA235-4007-4015-ABE9-024B13D14C84}">
      <text>
        <r>
          <rPr>
            <sz val="11"/>
            <color theme="1"/>
            <rFont val="Aptos Narrow"/>
            <family val="2"/>
            <scheme val="minor"/>
          </rPr>
          <t>Unknown User:
SEARCH &amp; INVESTIGATION OF GAS STORAGE HOT WATER SYSTEM
Gain access to gas hot water system
Gain access to main gas isolation valve to property
Test gas supply with specialist manometer device
Visually inspect gas supply and fittings to hot water system
Use soapy spray on fittings and pipework
Check gas supply pressure to hot water system and control unit
Check integrity of gas isolation valve at hot water system
Check power supply to hot water system using testing pen
Check electrical box (IF REQUIRED)
Check circuit switch (IF REQUIRED)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will apply.</t>
        </r>
      </text>
    </comment>
    <comment ref="V69" authorId="0" shapeId="0" xr:uid="{5553A786-BFFD-452C-B23D-B2516CA08658}">
      <text>
        <r>
          <rPr>
            <sz val="11"/>
            <color theme="1"/>
            <rFont val="Aptos Narrow"/>
            <family val="2"/>
            <scheme val="minor"/>
          </rPr>
          <t xml:space="preserve">Unknown User:
$74.91 received in SmartPay. Excess receipt of $0.01 is observed </t>
        </r>
      </text>
    </comment>
    <comment ref="G70" authorId="0" shapeId="0" xr:uid="{F75CB2FC-9AA4-4AA8-9F80-2C1C3FCB27C1}">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74" authorId="0" shapeId="0" xr:uid="{42CFF742-BFC9-4FD2-BA62-DEC265A3DBE9}">
      <text>
        <r>
          <rPr>
            <sz val="11"/>
            <color theme="1"/>
            <rFont val="Aptos Narrow"/>
            <family val="2"/>
            <scheme val="minor"/>
          </rPr>
          <t>Unknown User:
INSTALLATION OF NEW WASHING MACHINE (CUSTOMER SUPPLIED)
Isolate main power supply to washing machine
Isolate cold water supply to washing machine
Isolate hot water supply to washing machine
Disconnect &amp; removal of existing power supply
Disconnect &amp; removal of existing cold-water supply to washing machine
Disconnect &amp; removal of existing hot water supply to washing machine
Disconnect &amp; removal of existing drainage supply to washing machine
Disconnect &amp; removal of existing washing machine
Clean &amp; prepare worked area
Prepare customer supplied washing machine for new installation
Install new customer supplied washing machine
Connect cold water inlet supply to washing machine
Connect hot water inlet supply to washing machine
Connect drainage outlet supply to washing machine
Connect drainage outlet supply to existing discharge point
Connect power supply to washing machine
Reinstate cold water supply
Reinstate hot water supply
Test &amp; commission installation
Removal of trade waste (Excludes removal of old appliance)
PLEASE NOTE IF FURTHER WORK REQUIRED OTHER THEN QUOTED WORK FURTHER COST WILL APPLY</t>
        </r>
      </text>
    </comment>
    <comment ref="G75" authorId="0" shapeId="0" xr:uid="{0D6531CF-40CC-4FED-884B-D7E06AE7FEB1}">
      <text>
        <r>
          <rPr>
            <sz val="11"/>
            <color theme="1"/>
            <rFont val="Aptos Narrow"/>
            <family val="2"/>
            <scheme val="minor"/>
          </rPr>
          <t>Unknown User:
EMERGENCY ISOLATION VALVE - COMBO
Isolate main cold-water supply to property
Isolate main hot water supply to property
Disconnect cold water supply to existing cold water emergency isolation valve
Disconnect hot water supply to existing hot water emergency isolation valve
Disconnect &amp; removal of existing cold water emergency isolation valve
Disconnect &amp; removal of existing hot water emergency isolation valve
Removal of existing sealant
Clean No.19 threads
Supply &amp; install new sealant
Supply &amp; install new cold water emergency isolation valve
Supply &amp; install new hot water emergency isolation valve
Reconnect cold water supply to new emergency isolation valve
Reconnect hot water supply to new emergency isolation valve
Reinstate cold water supply to property
Reinstate hot water supply to property
Test &amp; commission installation
Removal of trade waste
PLEASE NOTE IF FURTHER WORK REQUIRED OTHER THEN QUOTED WORK FURTHER COST WILL APPLY</t>
        </r>
      </text>
    </comment>
    <comment ref="G76" authorId="0" shapeId="0" xr:uid="{4BDC5BC7-72EF-40E3-B673-E8E24464C36E}">
      <text>
        <r>
          <rPr>
            <sz val="11"/>
            <color theme="1"/>
            <rFont val="Aptos Narrow"/>
            <family val="2"/>
            <scheme val="minor"/>
          </rPr>
          <t>Unknown User:
SUPPLY &amp; INSTALLATION OF NEW WASHING MACHINE OUTLET DRAIN HOSE
Isolate main cold-water supply to washing machine
Isolate main hot water supply to washing machine
Disconnect &amp; removal of existing cold-water supply to washing machine
Disconnect &amp; removal of existing hot water supply to washing machine
Disconnect &amp; removal of existing washing machine outlet drain hose
Supply &amp; install new washing machine outlet drain hose
Connect new washing machine outlet drain hose to existing discharge point
Reconnect cold water supply to washing machine
Reconnect hot water supply to washing machine
Reinstate cold water supply to washing
Reinstate hot water supply to washing
Test &amp; commission installation
Removal of trade waste
PLEASE NOTE IF FURTHER WORK REQUIRED OTHER THEN QUOTED WORK FURTHER COST WILL APPLY</t>
        </r>
      </text>
    </comment>
    <comment ref="D77" authorId="0" shapeId="0" xr:uid="{1C975E93-A857-49EA-9835-52343311B3CF}">
      <text>
        <r>
          <rPr>
            <sz val="11"/>
            <color theme="1"/>
            <rFont val="Aptos Narrow"/>
            <family val="2"/>
            <scheme val="minor"/>
          </rPr>
          <t>Unknown User:
Job confirmed on 1/8</t>
        </r>
      </text>
    </comment>
    <comment ref="G77" authorId="0" shapeId="0" xr:uid="{B19E94AA-93BA-4A97-8DF8-22159BE0EE80}">
      <text>
        <r>
          <rPr>
            <sz val="11"/>
            <color theme="1"/>
            <rFont val="Aptos Narrow"/>
            <family val="2"/>
            <scheme val="minor"/>
          </rPr>
          <t xml:space="preserve">Unknown User:
SEWER STACK REPAIR - IN CEILING 
Obtain sewer diagram
Set up safe work area
Set up builders plastic
Mark out plaster ceiling 
Cut &amp; removal of plaster ceiling 
Expose existing section of sewer service up to 1.5M
Expose existing sewer junctions
Cut &amp; remove existing section of sewer service up to 1.5M
Cut &amp; remove existing sewer junctions
Gain access to sewer service
Set up high-powered Jet Blaster
Set up high-powered mini reel
Set up high-powered Turbines
Jet Blast sewer service
Re-camera and investigate further
Supply &amp; install new section of sewer service up to 1.5M
Supply &amp; installation of new sewer junctions
Supply &amp; installation of new I/O inspection point
Supply &amp; install new PVC fittings
Connect new section of sewer service to existing sewer service
Test &amp; commission installation
Removal of trade waste
PLEASE NOTE IF FURTHER WORK REQUIRED OTHER THEN QUOTED WORK FURTHER COST WILL APPLY. QUOTE DOES NOT INCLUDE PLASTER REINSTATEMENT </t>
        </r>
      </text>
    </comment>
    <comment ref="V77" authorId="0" shapeId="0" xr:uid="{24AD4A28-2C17-499E-9067-71E8C00C0B8F}">
      <text>
        <r>
          <rPr>
            <sz val="11"/>
            <color theme="1"/>
            <rFont val="Aptos Narrow"/>
            <family val="2"/>
            <scheme val="minor"/>
          </rPr>
          <t>Unknown User:
1/08 Received $950.51 Card
1/08 Received $7800 Card</t>
        </r>
      </text>
    </comment>
    <comment ref="G78" authorId="0" shapeId="0" xr:uid="{22737C4D-7630-4431-A649-CC74E58026DB}">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79" authorId="0" shapeId="0" xr:uid="{3C1ED6DB-863B-4D26-9259-5EF57281A618}">
      <text>
        <r>
          <rPr>
            <sz val="11"/>
            <color theme="1"/>
            <rFont val="Aptos Narrow"/>
            <family val="2"/>
            <scheme val="minor"/>
          </rPr>
          <t>Unknown User:
SUPPLY &amp; INSTALLATION OF GAS STORAGE HOT WATER SYSTEM (EXTERNAL)
Isolate main water supply to property
Isolate main gas supply to property
Disconnect main gas supply to existing hot water system
Disconnect main cold-water supply to existing gas hot water system
Disconnect main hot water supply to existing gas hot water system
Disconnect existing plumbing connecting to existing gas hot water system
Drain existing gas hot water system
Removal of existing gas hot water system
Removal of existing brass fittings
Disconnect &amp; removal existing section of gas service connecting to existing internal hot water system
Disconnect &amp; removal of existing section of cold-water supply connecting to existing gas hot water system
Disconnect &amp; removal of existing section of hot supply connecting to existing section of gas hot water system
Clean &amp; prepare worked area
Supply &amp; install new external gas storage hot water system
Supply &amp; install new gas emergency isolation valve
Supply &amp; install new duo valve
Supply &amp; install new pressure limiting valve
Supply &amp; install tempering valve
Supply &amp; install new pressure relief valve
Supply &amp; install new B-press fittings
Supply &amp; install new Brass fittings
Supply &amp; install new section of copper gas service &amp; connect to new gas storage hot water system
Supply &amp; install new section of cold-water service &amp; connect to new gas storage hot water system
Supply &amp; install new section of hot water copper service &amp; connect to new gas storage hot water system
Supply &amp; install new pressure relief valve drain service in copper in accordance with AS3500
Reinstate main water supply to property
Reinstate main gas supply to property
Test &amp; commission installation
Removal of trade waste
PLEASE NOTE IF FURTHER WORK REQUIRED OUTSIDE OF QUOTED WORKS ADDITIONAL COSTS WILL APPLY</t>
        </r>
      </text>
    </comment>
    <comment ref="G80" authorId="0" shapeId="0" xr:uid="{C00F0450-3602-462D-8243-64A9DA6BD77A}">
      <text>
        <r>
          <rPr>
            <sz val="11"/>
            <color theme="1"/>
            <rFont val="Aptos Narrow"/>
            <family val="2"/>
            <scheme val="minor"/>
          </rPr>
          <t>Unknown User:
SEWER SPOT DIG UP TO ____M - IN GROUND
Obtain sewer diagram
Obtain dial Before dig
Obtain service location diagram
Set up safe work area
Set up builders plastic
Set up barricades for support
Jack hammer ground area
Removal of concrete in required location
Dig &amp; Excavate Ground Area Up to ___M
Expose existing section of sewer service up to ___M
Expose existing sewer junctions (If Required)
Cut &amp; remove existing section of sewer service up to ___M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___M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t>
        </r>
      </text>
    </comment>
    <comment ref="D117" authorId="0" shapeId="0" xr:uid="{1A71A1DA-1B21-4A70-853D-EC072A1BF676}">
      <text>
        <r>
          <rPr>
            <sz val="11"/>
            <color theme="1"/>
            <rFont val="Aptos Narrow"/>
            <family val="2"/>
            <scheme val="minor"/>
          </rPr>
          <t>Unknown User:
Job #71781 wasn't confirmed until 31/7. On 1/8, Job #71949 was confirmed.</t>
        </r>
      </text>
    </comment>
    <comment ref="G117" authorId="0" shapeId="0" xr:uid="{EFE7BCC1-412C-4A32-A77A-BE65171F3051}">
      <text>
        <r>
          <rPr>
            <sz val="11"/>
            <color theme="1"/>
            <rFont val="Aptos Narrow"/>
            <family val="2"/>
            <scheme val="minor"/>
          </rPr>
          <t xml:space="preserve">Unknown User:
SEWER STACK REPAIR - IN CEILING 
Obtain sewer diagram
Set up safe work area
Set up builders plastic
Mark out plaster ceiling 
Cut &amp; removal of plaster ceiling 
Expose existing section of sewer service up to 1.5M
Expose existing sewer junctions
Cut &amp; remove existing section of sewer service up to 1.5M
Cut &amp; remove existing sewer junctions
Gain access to sewer service
Set up high-powered Jet Blaster
Set up high-powered mini reel
Set up high-powered Turbines
Jet Blast sewer service
Re-camera and investigate further
Supply &amp; install new section of sewer service up to 1.5M
Supply &amp; installation of new sewer junctions
Supply &amp; installation of new I/O inspection point
Supply &amp; install new PVC fittings
Connect new section of sewer service to existing sewer service
Test &amp; commission installation
Removal of trade waste
PLEASE NOTE IF FURTHER WORK REQUIRED OTHER THEN QUOTED WORK FURTHER COST WILL APPLY. QUOTE DOES NOT INCLUDE PLASTER REINSTATEMENT </t>
        </r>
      </text>
    </comment>
    <comment ref="N117" authorId="0" shapeId="0" xr:uid="{BBF3DB6C-07CC-4D85-BE1E-0685FB4AAA6F}">
      <text>
        <r>
          <rPr>
            <sz val="11"/>
            <color theme="1"/>
            <rFont val="Aptos Narrow"/>
            <family val="2"/>
            <scheme val="minor"/>
          </rPr>
          <t>Unknown User:
Quote raised in Job #71781</t>
        </r>
      </text>
    </comment>
    <comment ref="P117" authorId="0" shapeId="0" xr:uid="{71F758EF-5DE6-45C7-BCC3-D9ECC3C24F78}">
      <text>
        <r>
          <rPr>
            <sz val="11"/>
            <color theme="1"/>
            <rFont val="Aptos Narrow"/>
            <family val="2"/>
            <scheme val="minor"/>
          </rPr>
          <t>Unknown User:
Quote not emailed</t>
        </r>
      </text>
    </comment>
    <comment ref="G118" authorId="0" shapeId="0" xr:uid="{33A49AD1-5153-4B4C-B801-453A6A0013DF}">
      <text>
        <r>
          <rPr>
            <sz val="11"/>
            <color theme="1"/>
            <rFont val="Aptos Narrow"/>
            <family val="2"/>
            <scheme val="minor"/>
          </rPr>
          <t>Unknown User:
SUPPLY &amp; INSTALLATION OF NEW PLASTIC TOILET CISTERN</t>
        </r>
      </text>
    </comment>
    <comment ref="G119" authorId="0" shapeId="0" xr:uid="{B29DD46C-AEA5-4EEB-A972-B1E632F5484F}">
      <text>
        <r>
          <rPr>
            <sz val="11"/>
            <color theme="1"/>
            <rFont val="Aptos Narrow"/>
            <family val="2"/>
            <scheme val="minor"/>
          </rPr>
          <t>Unknown User:
SUPPLY &amp; INSTALLATION OF (SOLAR RATED) TEMPERING VALVE</t>
        </r>
      </text>
    </comment>
    <comment ref="W119" authorId="0" shapeId="0" xr:uid="{FBC4F294-05C8-4BFB-AD7E-1F01436CDDD7}">
      <text>
        <r>
          <rPr>
            <sz val="11"/>
            <color theme="1"/>
            <rFont val="Aptos Narrow"/>
            <family val="2"/>
            <scheme val="minor"/>
          </rPr>
          <t>Unknown User:
4/8-Cash receipt of $1446.39 noted in CS.Unable to assess cash denomination.</t>
        </r>
      </text>
    </comment>
    <comment ref="G151" authorId="0" shapeId="0" xr:uid="{43DAE35A-BA22-4BF8-A75E-FE28E7924CCF}">
      <text>
        <r>
          <rPr>
            <sz val="11"/>
            <color theme="1"/>
            <rFont val="Aptos Narrow"/>
            <family val="2"/>
            <scheme val="minor"/>
          </rPr>
          <t>Unknown User:
SEARCH &amp; INVESTIGATION OF GAS STORAGE HOT WATER SYSTEM</t>
        </r>
      </text>
    </comment>
    <comment ref="G152" authorId="0" shapeId="0" xr:uid="{BF90E173-2259-49B8-B568-5E02DDABBD28}">
      <text>
        <r>
          <rPr>
            <sz val="11"/>
            <color theme="1"/>
            <rFont val="Aptos Narrow"/>
            <family val="2"/>
            <scheme val="minor"/>
          </rPr>
          <t xml:space="preserve">Unknown User:
HIGH POWERED SUCTION &amp; ACID TREATMENT
</t>
        </r>
      </text>
    </comment>
    <comment ref="G157" authorId="0" shapeId="0" xr:uid="{E995F42A-D5C6-4E69-BD8F-F4C5C833DFA1}">
      <text>
        <r>
          <rPr>
            <sz val="11"/>
            <color theme="1"/>
            <rFont val="Aptos Narrow"/>
            <family val="2"/>
            <scheme val="minor"/>
          </rPr>
          <t>Unknown User:
SUPPLY &amp; INSTALLATION OF NEW PLASTIC TOILET CISTERN</t>
        </r>
      </text>
    </comment>
    <comment ref="G158" authorId="0" shapeId="0" xr:uid="{C835BC83-653D-4E21-AAB1-8758F2FF8B5A}">
      <text>
        <r>
          <rPr>
            <sz val="11"/>
            <color theme="1"/>
            <rFont val="Aptos Narrow"/>
            <family val="2"/>
            <scheme val="minor"/>
          </rPr>
          <t>Unknown User:
SUPPLY &amp; INSTALLATION OF (SOLAR RATED) TEMPERING VALVE</t>
        </r>
      </text>
    </comment>
    <comment ref="W158" authorId="0" shapeId="0" xr:uid="{5CDD251B-3F47-4D5E-B355-AD4DF658BF7B}">
      <text>
        <r>
          <rPr>
            <sz val="11"/>
            <color theme="1"/>
            <rFont val="Aptos Narrow"/>
            <family val="2"/>
            <scheme val="minor"/>
          </rPr>
          <t>Unknown User:
4/8-Cash receipt of $1446.39 noted in CS.Unable to assess cash denomination.</t>
        </r>
      </text>
    </comment>
    <comment ref="D162" authorId="0" shapeId="0" xr:uid="{8D5CA975-1579-4F21-9DA6-C73327E8C039}">
      <text>
        <r>
          <rPr>
            <sz val="11"/>
            <color theme="1"/>
            <rFont val="Aptos Narrow"/>
            <family val="2"/>
            <scheme val="minor"/>
          </rPr>
          <t>Unknown User:
Job #71781 wasn't confirmed until 31/7. On 1/8, Job #71949 was confirmed.</t>
        </r>
      </text>
    </comment>
    <comment ref="G162" authorId="0" shapeId="0" xr:uid="{049CB2B9-BB75-4177-AE4D-79B70AC46E6B}">
      <text>
        <r>
          <rPr>
            <sz val="11"/>
            <color theme="1"/>
            <rFont val="Aptos Narrow"/>
            <family val="2"/>
            <scheme val="minor"/>
          </rPr>
          <t xml:space="preserve">Unknown User:
SEWER STACK REPAIR - IN CEILING 
Obtain sewer diagram
Set up safe work area
Set up builders plastic
Mark out plaster ceiling 
Cut &amp; removal of plaster ceiling 
Expose existing section of sewer service up to 1.5M
Expose existing sewer junctions
Cut &amp; remove existing section of sewer service up to 1.5M
Cut &amp; remove existing sewer junctions
Gain access to sewer service
Set up high-powered Jet Blaster
Set up high-powered mini reel
Set up high-powered Turbines
Jet Blast sewer service
Re-camera and investigate further
Supply &amp; install new section of sewer service up to 1.5M
Supply &amp; installation of new sewer junctions
Supply &amp; installation of new I/O inspection point
Supply &amp; install new PVC fittings
Connect new section of sewer service to existing sewer service
Test &amp; commission installation
Removal of trade waste
PLEASE NOTE IF FURTHER WORK REQUIRED OTHER THEN QUOTED WORK FURTHER COST WILL APPLY. QUOTE DOES NOT INCLUDE PLASTER REINSTATEMENT </t>
        </r>
      </text>
    </comment>
    <comment ref="N162" authorId="0" shapeId="0" xr:uid="{23607934-9FA9-4361-BB08-8BBC76CF8720}">
      <text>
        <r>
          <rPr>
            <sz val="11"/>
            <color theme="1"/>
            <rFont val="Aptos Narrow"/>
            <family val="2"/>
            <scheme val="minor"/>
          </rPr>
          <t>Unknown User:
Quote raised in Job #71781</t>
        </r>
      </text>
    </comment>
    <comment ref="P162" authorId="0" shapeId="0" xr:uid="{F8378E5F-BD2E-4F43-B420-4D3B42E9AE31}">
      <text>
        <r>
          <rPr>
            <sz val="11"/>
            <color theme="1"/>
            <rFont val="Aptos Narrow"/>
            <family val="2"/>
            <scheme val="minor"/>
          </rPr>
          <t>Unknown User:
Quote not emailed</t>
        </r>
      </text>
    </comment>
    <comment ref="U162" authorId="0" shapeId="0" xr:uid="{BFEA9BB1-DB62-404A-9EEC-7DE8BD1E5581}">
      <text>
        <r>
          <rPr>
            <sz val="11"/>
            <color theme="1"/>
            <rFont val="Aptos Narrow"/>
            <family val="2"/>
            <scheme val="minor"/>
          </rPr>
          <t>Unknown User:
4/8-As per Elliot's note "Called ed on the way and no answer, have text to say we are here. Waiting 10 more minutes and then moving on, all is needed is a camera and to collect final payment for job"</t>
        </r>
      </text>
    </comment>
    <comment ref="V162" authorId="0" shapeId="0" xr:uid="{DCE7833D-C59D-45E3-84C3-B6110A0CFF76}">
      <text>
        <r>
          <rPr>
            <sz val="11"/>
            <color theme="1"/>
            <rFont val="Aptos Narrow"/>
            <family val="2"/>
            <scheme val="minor"/>
          </rPr>
          <t>Unknown User:
05/08 Received $754.59 Card</t>
        </r>
      </text>
    </comment>
    <comment ref="G166" authorId="0" shapeId="0" xr:uid="{87FE3B19-480B-4C62-9890-4ABA926D2022}">
      <text>
        <r>
          <rPr>
            <sz val="11"/>
            <color theme="1"/>
            <rFont val="Aptos Narrow"/>
            <family val="2"/>
            <scheme val="minor"/>
          </rPr>
          <t xml:space="preserve">Unknown User:
SUPPLY &amp; INSTALLATION OF GAS STORAGE HOT WATER SYSTEM (EXTERNAL)
</t>
        </r>
      </text>
    </comment>
    <comment ref="G198" authorId="0" shapeId="0" xr:uid="{B1575A47-109A-4551-82E4-6BFFB6629458}">
      <text>
        <r>
          <rPr>
            <sz val="11"/>
            <color theme="1"/>
            <rFont val="Aptos Narrow"/>
            <family val="2"/>
            <scheme val="minor"/>
          </rPr>
          <t>Unknown User:
SEARCH &amp; INVESTIGATION OF WASHING MACHINE</t>
        </r>
      </text>
    </comment>
    <comment ref="T198" authorId="0" shapeId="0" xr:uid="{5E5ACC1B-F7A4-41A7-8F31-0B5296B55AC2}">
      <text>
        <r>
          <rPr>
            <sz val="11"/>
            <color theme="1"/>
            <rFont val="Aptos Narrow"/>
            <family val="2"/>
            <scheme val="minor"/>
          </rPr>
          <t>Unknown User:
0.5x for Heath &amp; 0.5x for Elliot</t>
        </r>
      </text>
    </comment>
    <comment ref="G199" authorId="0" shapeId="0" xr:uid="{B08068E0-9245-490A-9EE0-B319C5288AB3}">
      <text>
        <r>
          <rPr>
            <sz val="11"/>
            <color theme="1"/>
            <rFont val="Aptos Narrow"/>
            <family val="2"/>
            <scheme val="minor"/>
          </rPr>
          <t>Unknown User:
SUPPLY &amp; INSTALLATION OF NEW WALL TOP TAP SET
$65 First Service Discount</t>
        </r>
      </text>
    </comment>
    <comment ref="T199" authorId="0" shapeId="0" xr:uid="{2CA18965-6DC3-4E2D-BF58-CC881B065EA5}">
      <text>
        <r>
          <rPr>
            <sz val="11"/>
            <color theme="1"/>
            <rFont val="Aptos Narrow"/>
            <family val="2"/>
            <scheme val="minor"/>
          </rPr>
          <t>Unknown User:
0.5x for Heath &amp; 0.5x for Elliot</t>
        </r>
      </text>
    </comment>
    <comment ref="W199" authorId="0" shapeId="0" xr:uid="{FF26A105-BB70-42D5-A7E2-CA5A4304321F}">
      <text>
        <r>
          <rPr>
            <sz val="11"/>
            <color theme="1"/>
            <rFont val="Aptos Narrow"/>
            <family val="2"/>
            <scheme val="minor"/>
          </rPr>
          <t>Unknown User:
Cash denomination
$50*22=$1100</t>
        </r>
      </text>
    </comment>
    <comment ref="G200" authorId="0" shapeId="0" xr:uid="{AA457155-1919-42E5-83D2-EF84626148FC}">
      <text>
        <r>
          <rPr>
            <sz val="11"/>
            <color theme="1"/>
            <rFont val="Aptos Narrow"/>
            <family val="2"/>
            <scheme val="minor"/>
          </rPr>
          <t xml:space="preserve">Unknown User:
HIGH POWERED JET BLAST &amp; CCTV DRAIN CAMERA INSPECTION (SEWER SERVICE)
</t>
        </r>
      </text>
    </comment>
    <comment ref="L200" authorId="0" shapeId="0" xr:uid="{B08DBC55-C0A2-4CB1-8243-594043EB5B45}">
      <text>
        <r>
          <rPr>
            <sz val="11"/>
            <color theme="1"/>
            <rFont val="Aptos Narrow"/>
            <family val="2"/>
            <scheme val="minor"/>
          </rPr>
          <t>Unknown User:
After photos not uploaded</t>
        </r>
      </text>
    </comment>
    <comment ref="S200" authorId="0" shapeId="0" xr:uid="{17A3290C-62A8-4143-BC7D-4894585DAE5B}">
      <text>
        <r>
          <rPr>
            <sz val="11"/>
            <color theme="1"/>
            <rFont val="Aptos Narrow"/>
            <family val="2"/>
            <scheme val="minor"/>
          </rPr>
          <t>Unknown User:
Invoice with sign not uploaded</t>
        </r>
      </text>
    </comment>
    <comment ref="G205" authorId="0" shapeId="0" xr:uid="{28CAC9B0-609C-41BA-8D82-5DAC949EAE8F}">
      <text>
        <r>
          <rPr>
            <sz val="11"/>
            <color theme="1"/>
            <rFont val="Aptos Narrow"/>
            <family val="2"/>
            <scheme val="minor"/>
          </rPr>
          <t xml:space="preserve">Unknown User:
INSTALLATION OF NEW INSET BASIN (CUSTOMER SUPPLIED)
</t>
        </r>
      </text>
    </comment>
    <comment ref="D209" authorId="0" shapeId="0" xr:uid="{5E7F5A3C-56A0-4607-9641-B11F83313422}">
      <text>
        <r>
          <rPr>
            <sz val="11"/>
            <color theme="1"/>
            <rFont val="Aptos Narrow"/>
            <family val="2"/>
            <scheme val="minor"/>
          </rPr>
          <t>Unknown User:
Job #71781 wasn't confirmed until 31/7. On 1/8, Job #71949 was confirmed.</t>
        </r>
      </text>
    </comment>
    <comment ref="G209" authorId="0" shapeId="0" xr:uid="{8998FB72-8E48-4068-A810-C53CA08E35BC}">
      <text>
        <r>
          <rPr>
            <sz val="11"/>
            <color theme="1"/>
            <rFont val="Aptos Narrow"/>
            <family val="2"/>
            <scheme val="minor"/>
          </rPr>
          <t xml:space="preserve">Unknown User:
SEWER STACK REPAIR - IN CEILING 
Obtain sewer diagram
Set up safe work area
Set up builders plastic
Mark out plaster ceiling 
Cut &amp; removal of plaster ceiling 
Expose existing section of sewer service up to 1.5M
Expose existing sewer junctions
Cut &amp; remove existing section of sewer service up to 1.5M
Cut &amp; remove existing sewer junctions
Gain access to sewer service
Set up high-powered Jet Blaster
Set up high-powered mini reel
Set up high-powered Turbines
Jet Blast sewer service
Re-camera and investigate further
Supply &amp; install new section of sewer service up to 1.5M
Supply &amp; installation of new sewer junctions
Supply &amp; installation of new I/O inspection point
Supply &amp; install new PVC fittings
Connect new section of sewer service to existing sewer service
Test &amp; commission installation
Removal of trade waste
PLEASE NOTE IF FURTHER WORK REQUIRED OTHER THEN QUOTED WORK FURTHER COST WILL APPLY. QUOTE DOES NOT INCLUDE PLASTER REINSTATEMENT </t>
        </r>
      </text>
    </comment>
    <comment ref="N209" authorId="0" shapeId="0" xr:uid="{21FF0A14-6D68-4C24-964D-BAF429B01178}">
      <text>
        <r>
          <rPr>
            <sz val="11"/>
            <color theme="1"/>
            <rFont val="Aptos Narrow"/>
            <family val="2"/>
            <scheme val="minor"/>
          </rPr>
          <t>Unknown User:
Quote raised in Job #71781</t>
        </r>
      </text>
    </comment>
    <comment ref="P209" authorId="0" shapeId="0" xr:uid="{7F6D686D-8F3A-4FB5-B381-8F7F2434879D}">
      <text>
        <r>
          <rPr>
            <sz val="11"/>
            <color theme="1"/>
            <rFont val="Aptos Narrow"/>
            <family val="2"/>
            <scheme val="minor"/>
          </rPr>
          <t>Unknown User:
Quote not emailed</t>
        </r>
      </text>
    </comment>
    <comment ref="U209" authorId="0" shapeId="0" xr:uid="{B6F75385-2582-4A25-844F-942983C3A280}">
      <text>
        <r>
          <rPr>
            <sz val="11"/>
            <color theme="1"/>
            <rFont val="Aptos Narrow"/>
            <family val="2"/>
            <scheme val="minor"/>
          </rPr>
          <t>Unknown User:
4/8-As per Elliot's note "Called ed on the way and no answer, have text to say we are here. Waiting 10 more minutes and then moving on, all is needed is a camera and to collect final payment for job"</t>
        </r>
      </text>
    </comment>
    <comment ref="V209" authorId="0" shapeId="0" xr:uid="{C507557F-8F53-4DB2-8DBD-4ABC1C0E0525}">
      <text>
        <r>
          <rPr>
            <sz val="11"/>
            <color theme="1"/>
            <rFont val="Aptos Narrow"/>
            <family val="2"/>
            <scheme val="minor"/>
          </rPr>
          <t>Unknown User:
05/08 Received $754.59 Card</t>
        </r>
      </text>
    </comment>
    <comment ref="G213" authorId="0" shapeId="0" xr:uid="{5A5FAB75-083B-49EE-9AFA-8B51184A9668}">
      <text>
        <r>
          <rPr>
            <sz val="11"/>
            <color theme="1"/>
            <rFont val="Aptos Narrow"/>
            <family val="2"/>
            <scheme val="minor"/>
          </rPr>
          <t xml:space="preserve">Unknown User:
MIXER TAP - GOOSE NECK
</t>
        </r>
      </text>
    </comment>
    <comment ref="G214" authorId="0" shapeId="0" xr:uid="{D3E19980-A29B-45AA-A8E9-F1810CC264CB}">
      <text>
        <r>
          <rPr>
            <sz val="11"/>
            <color theme="1"/>
            <rFont val="Aptos Narrow"/>
            <family val="2"/>
            <scheme val="minor"/>
          </rPr>
          <t xml:space="preserve">Unknown User:
HIGH POWERED JET BLAST &amp; CCTV CAMERA INSPECTION (GAIN ACCESS WITH REMOVAL OF TOILET)
</t>
        </r>
      </text>
    </comment>
    <comment ref="G215" authorId="0" shapeId="0" xr:uid="{ED5120F2-AB8A-484C-967F-3DC215E37846}">
      <text>
        <r>
          <rPr>
            <sz val="11"/>
            <color theme="1"/>
            <rFont val="Aptos Narrow"/>
            <family val="2"/>
            <scheme val="minor"/>
          </rPr>
          <t xml:space="preserve">Unknown User:
SEWER SPOT DIG - IN GROUND
</t>
        </r>
      </text>
    </comment>
    <comment ref="G248" authorId="0" shapeId="0" xr:uid="{14879CDA-61E5-41E4-BF74-57281B8CCDCC}">
      <text>
        <r>
          <rPr>
            <sz val="11"/>
            <color theme="1"/>
            <rFont val="Aptos Narrow"/>
            <family val="2"/>
            <scheme val="minor"/>
          </rPr>
          <t>Unknown User:
SUPPLY &amp; INSTALLATION OF GAS STORAGE HOT WATER SYSTEM (EXTERNAL)</t>
        </r>
      </text>
    </comment>
    <comment ref="S248" authorId="0" shapeId="0" xr:uid="{9538F664-BE66-4A4C-9850-F21CEAB98BD5}">
      <text>
        <r>
          <rPr>
            <sz val="11"/>
            <color theme="1"/>
            <rFont val="Aptos Narrow"/>
            <family val="2"/>
            <scheme val="minor"/>
          </rPr>
          <t>Unknown User:
Signed invoice not emailed</t>
        </r>
      </text>
    </comment>
    <comment ref="G249" authorId="0" shapeId="0" xr:uid="{60641802-0162-4B93-B1E3-849BB265D253}">
      <text>
        <r>
          <rPr>
            <sz val="11"/>
            <color theme="1"/>
            <rFont val="Aptos Narrow"/>
            <family val="2"/>
            <scheme val="minor"/>
          </rPr>
          <t>Unknown User:
REPLACEMENT OF EXISTING PULL-OUT KITCHEN MIXER
$65 First Service Discount</t>
        </r>
      </text>
    </comment>
    <comment ref="T249" authorId="0" shapeId="0" xr:uid="{5E0C5DD8-6552-41F6-98D9-516D808F14CC}">
      <text>
        <r>
          <rPr>
            <sz val="11"/>
            <color theme="1"/>
            <rFont val="Aptos Narrow"/>
            <family val="2"/>
            <scheme val="minor"/>
          </rPr>
          <t>Unknown User:
1X Heath</t>
        </r>
      </text>
    </comment>
    <comment ref="G250" authorId="0" shapeId="0" xr:uid="{F23D1E3D-9330-43A6-B8C8-FB4378A2EC01}">
      <text>
        <r>
          <rPr>
            <sz val="11"/>
            <color theme="1"/>
            <rFont val="Aptos Narrow"/>
            <family val="2"/>
            <scheme val="minor"/>
          </rPr>
          <t>Unknown User:
SEARCH &amp; INVESTIGATION OF GAS STORAGE HOT WATER SYSTEM</t>
        </r>
      </text>
    </comment>
    <comment ref="G251" authorId="0" shapeId="0" xr:uid="{4B69871D-1565-4E82-BA16-E890FEE94D41}">
      <text>
        <r>
          <rPr>
            <sz val="11"/>
            <color theme="1"/>
            <rFont val="Aptos Narrow"/>
            <family val="2"/>
            <scheme val="minor"/>
          </rPr>
          <t xml:space="preserve">Unknown User:
REPLACEMENT OF BOTTOM INLET CISTERN FILLING VALVE
</t>
        </r>
      </text>
    </comment>
    <comment ref="G252" authorId="0" shapeId="0" xr:uid="{4F62097E-2D4B-43D0-9F8A-EA32E6BC1843}">
      <text>
        <r>
          <rPr>
            <sz val="11"/>
            <color theme="1"/>
            <rFont val="Aptos Narrow"/>
            <family val="2"/>
            <scheme val="minor"/>
          </rPr>
          <t>Unknown User:
HIGH POWERED JET BLAST &amp; CCTV DRAIN CAMERA INSPECTION (SEWER SERVICE)
10% Seniors &amp; Pensioners Discount</t>
        </r>
      </text>
    </comment>
    <comment ref="W252" authorId="0" shapeId="0" xr:uid="{152F641C-CC3E-4E5C-979F-8187F51E7600}">
      <text>
        <r>
          <rPr>
            <sz val="11"/>
            <color theme="1"/>
            <rFont val="Aptos Narrow"/>
            <family val="2"/>
            <scheme val="minor"/>
          </rPr>
          <t>Unknown User:
Cash denomination 
$100*1 = $100
  Total - $100
$100*10 = $1000
$20*1 = $20
$5*1 = $5
  Total - $1025
Short receipt of $1.62 is observed
Coins were not found in the cash pic uploaded by the plumber</t>
        </r>
      </text>
    </comment>
    <comment ref="G256" authorId="0" shapeId="0" xr:uid="{EEE95966-FA95-4A59-824C-9D1697A28E8E}">
      <text>
        <r>
          <rPr>
            <sz val="11"/>
            <color theme="1"/>
            <rFont val="Aptos Narrow"/>
            <family val="2"/>
            <scheme val="minor"/>
          </rPr>
          <t xml:space="preserve">Unknown User:
SUPPLY &amp; INSTALLATION OF GAS STORAGE HOT WATER SYSTEM (EXTERNAL)
10% Seniors &amp; Pensioners Discount </t>
        </r>
      </text>
    </comment>
    <comment ref="D260" authorId="0" shapeId="0" xr:uid="{E74C7D06-87B2-4967-A705-09EABCB60CC5}">
      <text>
        <r>
          <rPr>
            <sz val="11"/>
            <color theme="1"/>
            <rFont val="Aptos Narrow"/>
            <family val="2"/>
            <scheme val="minor"/>
          </rPr>
          <t>Unknown User:
Job #71781 wasn't confirmed until 31/7. On 1/8, Job #71949 was confirmed.</t>
        </r>
      </text>
    </comment>
    <comment ref="G260" authorId="0" shapeId="0" xr:uid="{F36E238C-766B-4FAF-9071-3FF298886FC3}">
      <text>
        <r>
          <rPr>
            <sz val="11"/>
            <color theme="1"/>
            <rFont val="Aptos Narrow"/>
            <family val="2"/>
            <scheme val="minor"/>
          </rPr>
          <t xml:space="preserve">Unknown User:
SEWER STACK REPAIR - IN CEILING 
Obtain sewer diagram
Set up safe work area
Set up builders plastic
Mark out plaster ceiling 
Cut &amp; removal of plaster ceiling 
Expose existing section of sewer service up to 1.5M
Expose existing sewer junctions
Cut &amp; remove existing section of sewer service up to 1.5M
Cut &amp; remove existing sewer junctions
Gain access to sewer service
Set up high-powered Jet Blaster
Set up high-powered mini reel
Set up high-powered Turbines
Jet Blast sewer service
Re-camera and investigate further
Supply &amp; install new section of sewer service up to 1.5M
Supply &amp; installation of new sewer junctions
Supply &amp; installation of new I/O inspection point
Supply &amp; install new PVC fittings
Connect new section of sewer service to existing sewer service
Test &amp; commission installation
Removal of trade waste
PLEASE NOTE IF FURTHER WORK REQUIRED OTHER THEN QUOTED WORK FURTHER COST WILL APPLY. QUOTE DOES NOT INCLUDE PLASTER REINSTATEMENT </t>
        </r>
      </text>
    </comment>
    <comment ref="N260" authorId="0" shapeId="0" xr:uid="{C34704EB-5967-4B46-9EBF-DEFE7C7B54CA}">
      <text>
        <r>
          <rPr>
            <sz val="11"/>
            <color theme="1"/>
            <rFont val="Aptos Narrow"/>
            <family val="2"/>
            <scheme val="minor"/>
          </rPr>
          <t>Unknown User:
Quote raised in Job #71781</t>
        </r>
      </text>
    </comment>
    <comment ref="P260" authorId="0" shapeId="0" xr:uid="{F5A4D449-6C30-47C3-B2E1-823B269E5AD9}">
      <text>
        <r>
          <rPr>
            <sz val="11"/>
            <color theme="1"/>
            <rFont val="Aptos Narrow"/>
            <family val="2"/>
            <scheme val="minor"/>
          </rPr>
          <t>Unknown User:
Quote not emailed</t>
        </r>
      </text>
    </comment>
    <comment ref="U260" authorId="0" shapeId="0" xr:uid="{E90BC5CE-72E5-470D-9796-9C11D2FB6A0C}">
      <text>
        <r>
          <rPr>
            <sz val="11"/>
            <color theme="1"/>
            <rFont val="Aptos Narrow"/>
            <family val="2"/>
            <scheme val="minor"/>
          </rPr>
          <t>Unknown User:
4/8-As per Elliot's note "Called ed on the way and no answer, have text to say we are here. Waiting 10 more minutes and then moving on, all is needed is a camera and to collect final payment for job"</t>
        </r>
      </text>
    </comment>
    <comment ref="V260" authorId="0" shapeId="0" xr:uid="{1365C106-497C-4647-85DE-2ABAD514EECA}">
      <text>
        <r>
          <rPr>
            <sz val="11"/>
            <color theme="1"/>
            <rFont val="Aptos Narrow"/>
            <family val="2"/>
            <scheme val="minor"/>
          </rPr>
          <t>Unknown User:
05/08 Received $754.59 Card</t>
        </r>
      </text>
    </comment>
    <comment ref="G261" authorId="0" shapeId="0" xr:uid="{E9D21BC2-C4D3-47DC-A956-FD9B4F51C73F}">
      <text>
        <r>
          <rPr>
            <sz val="11"/>
            <color theme="1"/>
            <rFont val="Aptos Narrow"/>
            <family val="2"/>
            <scheme val="minor"/>
          </rPr>
          <t xml:space="preserve">Unknown User:
INSTALLATION OF NEW INSET BASIN (CUSTOMER SUPPLIED)
</t>
        </r>
      </text>
    </comment>
    <comment ref="G266" authorId="0" shapeId="0" xr:uid="{6F0E0DB5-67B2-4FAF-BB4D-5C459359A00B}">
      <text>
        <r>
          <rPr>
            <sz val="11"/>
            <color theme="1"/>
            <rFont val="Aptos Narrow"/>
            <family val="2"/>
            <scheme val="minor"/>
          </rPr>
          <t xml:space="preserve">Unknown User:
COMPLETE SERVICE OF TOILET CISTERN
</t>
        </r>
      </text>
    </comment>
    <comment ref="G267" authorId="0" shapeId="0" xr:uid="{9AB72AB4-2146-42E1-A655-927111D38F9D}">
      <text>
        <r>
          <rPr>
            <sz val="11"/>
            <color theme="1"/>
            <rFont val="Aptos Narrow"/>
            <family val="2"/>
            <scheme val="minor"/>
          </rPr>
          <t>Unknown User:
SPECIALIST LEAK DETECTION (WATER SERVICE)</t>
        </r>
      </text>
    </comment>
    <comment ref="G268" authorId="0" shapeId="0" xr:uid="{38F9F829-F2C6-4BB2-88C7-3A395C9AEBB5}">
      <text>
        <r>
          <rPr>
            <sz val="11"/>
            <color theme="1"/>
            <rFont val="Aptos Narrow"/>
            <family val="2"/>
            <scheme val="minor"/>
          </rPr>
          <t>Unknown User:
SUPPLY &amp; INSTALLATION OF GAS STORAGE HOT WATER SYSTEM (EXTERNAL)</t>
        </r>
      </text>
    </comment>
    <comment ref="K268" authorId="0" shapeId="0" xr:uid="{68C69E1A-46BF-43D2-AD63-A14E1B4B9478}">
      <text>
        <r>
          <rPr>
            <sz val="11"/>
            <color theme="1"/>
            <rFont val="Aptos Narrow"/>
            <family val="2"/>
            <scheme val="minor"/>
          </rPr>
          <t>Unknown User:
Previous job #72412 pics considered</t>
        </r>
      </text>
    </comment>
    <comment ref="G269" authorId="0" shapeId="0" xr:uid="{BD4D31DC-488D-4E01-AF3C-BA1652EC122F}">
      <text>
        <r>
          <rPr>
            <sz val="11"/>
            <color theme="1"/>
            <rFont val="Aptos Narrow"/>
            <family val="2"/>
            <scheme val="minor"/>
          </rPr>
          <t>Unknown User:
CONVERT EXISTING GAS STORAGE TO NEW HEAT PUMP – MADE BY
RHEEM</t>
        </r>
      </text>
    </comment>
    <comment ref="K269" authorId="0" shapeId="0" xr:uid="{4C8B3C8C-4C94-428B-88E1-76D8FE4C4B6B}">
      <text>
        <r>
          <rPr>
            <sz val="11"/>
            <color theme="1"/>
            <rFont val="Aptos Narrow"/>
            <family val="2"/>
            <scheme val="minor"/>
          </rPr>
          <t>Unknown User:
Previous job #72412 pics considered</t>
        </r>
      </text>
    </comment>
    <comment ref="G270" authorId="0" shapeId="0" xr:uid="{01F22BEF-5C3E-4526-9CB3-E47162D83D08}">
      <text>
        <r>
          <rPr>
            <sz val="11"/>
            <color theme="1"/>
            <rFont val="Aptos Narrow"/>
            <family val="2"/>
            <scheme val="minor"/>
          </rPr>
          <t>Unknown User:
SEWER SPOT DIG (UNDER CONCRETE)
10% Seniors &amp; Pensioners Discount</t>
        </r>
      </text>
    </comment>
    <comment ref="G271" authorId="0" shapeId="0" xr:uid="{2BD0FFC3-2920-4854-BDA6-FC089DF03162}">
      <text>
        <r>
          <rPr>
            <sz val="11"/>
            <color theme="1"/>
            <rFont val="Aptos Narrow"/>
            <family val="2"/>
            <scheme val="minor"/>
          </rPr>
          <t>Unknown User:
HIGH POWERED JET BLAST &amp; CCTV DRAIN CAMERA INSPECTION (SEWER SERVICE)</t>
        </r>
      </text>
    </comment>
    <comment ref="G272" authorId="0" shapeId="0" xr:uid="{5C3DE474-1E81-4520-B8A3-9CA81061361F}">
      <text>
        <r>
          <rPr>
            <sz val="11"/>
            <color theme="1"/>
            <rFont val="Aptos Narrow"/>
            <family val="2"/>
            <scheme val="minor"/>
          </rPr>
          <t>Unknown User:
SEARCH &amp; INVESTIGATION OF DISHWASHER</t>
        </r>
      </text>
    </comment>
    <comment ref="G273" authorId="0" shapeId="0" xr:uid="{DFD5AD49-C162-4825-9CD3-E2CA5FF70E2D}">
      <text>
        <r>
          <rPr>
            <sz val="11"/>
            <color theme="1"/>
            <rFont val="Aptos Narrow"/>
            <family val="2"/>
            <scheme val="minor"/>
          </rPr>
          <t xml:space="preserve">Unknown User:
INSTALLATION OF CUSTOMER SUPPLIED  GAS STORAGE HOT WATER SYSTEM (EXTERNAL) </t>
        </r>
      </text>
    </comment>
    <comment ref="G305" authorId="0" shapeId="0" xr:uid="{633814E6-697C-49B0-8AA1-4226A38C2044}">
      <text>
        <r>
          <rPr>
            <sz val="11"/>
            <color theme="1"/>
            <rFont val="Aptos Narrow"/>
            <family val="2"/>
            <scheme val="minor"/>
          </rPr>
          <t>Unknown User:
WATER SERVICE RECTIFICATION (EXPOSED)</t>
        </r>
      </text>
    </comment>
    <comment ref="G306" authorId="0" shapeId="0" xr:uid="{6AD8854A-7C79-4CA1-9EC2-8A6BFFF3DD8C}">
      <text>
        <r>
          <rPr>
            <sz val="11"/>
            <color theme="1"/>
            <rFont val="Aptos Narrow"/>
            <family val="2"/>
            <scheme val="minor"/>
          </rPr>
          <t>Unknown User:
HIGH POWERED SUCTION &amp; ACID TREATMENT</t>
        </r>
      </text>
    </comment>
    <comment ref="G307" authorId="0" shapeId="0" xr:uid="{75632112-3987-4B10-B7BC-77CDA522278B}">
      <text>
        <r>
          <rPr>
            <sz val="11"/>
            <color theme="1"/>
            <rFont val="Aptos Narrow"/>
            <family val="2"/>
            <scheme val="minor"/>
          </rPr>
          <t xml:space="preserve">Unknown User:
HIGH POWERED JET BLAST &amp; CCTV DRAIN CAMERA INSPECTION (SEWER SERVICE)
Non-refundable call out fee </t>
        </r>
      </text>
    </comment>
    <comment ref="U307" authorId="0" shapeId="0" xr:uid="{AA653A05-4CD3-4E62-9960-51649BEDB7F1}">
      <text>
        <r>
          <rPr>
            <sz val="11"/>
            <color theme="1"/>
            <rFont val="Aptos Narrow"/>
            <family val="2"/>
            <scheme val="minor"/>
          </rPr>
          <t>Unknown User:
25/8-As per Ayesha's note "Allister renee husband is very upset, the plumbers came on site asking for extra money left right and center,, his wife was on site he was at work they were being very pushy towards Renee and making her feel very unconfutable and intimidated, the plumbers kept tryna get him on the phone to approve more work, his is very frustrated and wants to go to ACCC, he mentioned his partner is in tears and that no one should be treated that way"</t>
        </r>
      </text>
    </comment>
    <comment ref="G308" authorId="0" shapeId="0" xr:uid="{7C4E942F-198A-49D3-B32C-9819A71C5893}">
      <text>
        <r>
          <rPr>
            <sz val="11"/>
            <color theme="1"/>
            <rFont val="Aptos Narrow"/>
            <family val="2"/>
            <scheme val="minor"/>
          </rPr>
          <t>Unknown User:
SUPPLY AND INSTALLATION OF T&amp;PR VALVE (15MM)</t>
        </r>
      </text>
    </comment>
    <comment ref="G309" authorId="0" shapeId="0" xr:uid="{D32004E7-7C1E-40DB-86D4-820F248AD4AF}">
      <text>
        <r>
          <rPr>
            <sz val="11"/>
            <color theme="1"/>
            <rFont val="Aptos Narrow"/>
            <family val="2"/>
            <scheme val="minor"/>
          </rPr>
          <t>Unknown User:
COMPLETE SERVICE OF TAP TOP ASSEMBLY</t>
        </r>
      </text>
    </comment>
    <comment ref="G310" authorId="0" shapeId="0" xr:uid="{D14B2671-1E35-4CFF-A3CB-310F422D8F60}">
      <text>
        <r>
          <rPr>
            <sz val="11"/>
            <color theme="1"/>
            <rFont val="Aptos Narrow"/>
            <family val="2"/>
            <scheme val="minor"/>
          </rPr>
          <t>Unknown User:
CUSTOMER SUPPLIED PLUG &amp; WASTE - 40MM
10% Seniors &amp; Pensioners Discount</t>
        </r>
      </text>
    </comment>
    <comment ref="G311" authorId="0" shapeId="0" xr:uid="{66566FD8-7FA4-4C99-99E3-B0AFF9463D75}">
      <text>
        <r>
          <rPr>
            <sz val="11"/>
            <color theme="1"/>
            <rFont val="Aptos Narrow"/>
            <family val="2"/>
            <scheme val="minor"/>
          </rPr>
          <t>Unknown User:
SUPPLY &amp; INSTALLATION OF NEW INSTANTANEOUS GAS HOT WATER SYSTEM (EXTERNAL)</t>
        </r>
      </text>
    </comment>
    <comment ref="U311" authorId="0" shapeId="0" xr:uid="{64B8CC54-9D50-4A26-B79C-2EEC0BB542D7}">
      <text>
        <r>
          <rPr>
            <sz val="11"/>
            <color theme="1"/>
            <rFont val="Aptos Narrow"/>
            <family val="2"/>
            <scheme val="minor"/>
          </rPr>
          <t>Unknown User:
26/8-As per Kris's note "BILLING CONTACT DID NOT APPROVE OR PROVIDE WRITTEN CONFIRMATION FOR SOMEONE ELSE TO SIGN!!! I CANT DO ANYTHING WITH THIS."</t>
        </r>
      </text>
    </comment>
    <comment ref="G312" authorId="0" shapeId="0" xr:uid="{3CEDEB20-FB03-45DA-B2A2-8334B2043118}">
      <text>
        <r>
          <rPr>
            <sz val="11"/>
            <color theme="1"/>
            <rFont val="Aptos Narrow"/>
            <family val="2"/>
            <scheme val="minor"/>
          </rPr>
          <t>Unknown User:
HIGH POWERED SUCTION PUMP</t>
        </r>
      </text>
    </comment>
    <comment ref="G313" authorId="0" shapeId="0" xr:uid="{6EC91EE6-E5FE-41DE-96CB-266886E86E23}">
      <text>
        <r>
          <rPr>
            <sz val="11"/>
            <color theme="1"/>
            <rFont val="Aptos Narrow"/>
            <family val="2"/>
            <scheme val="minor"/>
          </rPr>
          <t>Unknown User:
COMMERCIAL HIGH POWERED JETBLAST &amp; CCTV DRAIN CAMERA INSPECTION</t>
        </r>
      </text>
    </comment>
    <comment ref="G314" authorId="0" shapeId="0" xr:uid="{87C7959F-FDDA-47A1-A0FC-8D1654BFEF01}">
      <text>
        <r>
          <rPr>
            <sz val="11"/>
            <color theme="1"/>
            <rFont val="Aptos Narrow"/>
            <family val="2"/>
            <scheme val="minor"/>
          </rPr>
          <t>Unknown User:
SPECIALIST LEAK DETECTION (WATER SERVICE)</t>
        </r>
      </text>
    </comment>
    <comment ref="G315" authorId="0" shapeId="0" xr:uid="{5B5F3383-491A-4FA3-BBB8-F802E1A8DE1C}">
      <text>
        <r>
          <rPr>
            <sz val="11"/>
            <color theme="1"/>
            <rFont val="Aptos Narrow"/>
            <family val="2"/>
            <scheme val="minor"/>
          </rPr>
          <t>Unknown User:
DISCONNECT &amp; DRAIN ELECTRIC STORAGE HWS</t>
        </r>
      </text>
    </comment>
    <comment ref="O315" authorId="0" shapeId="0" xr:uid="{B54A80DF-A195-42BD-B27D-D9CB3F8285DB}">
      <text>
        <r>
          <rPr>
            <sz val="11"/>
            <color theme="1"/>
            <rFont val="Aptos Narrow"/>
            <family val="2"/>
            <scheme val="minor"/>
          </rPr>
          <t>Unknown User:
SMS approval</t>
        </r>
      </text>
    </comment>
    <comment ref="G316" authorId="0" shapeId="0" xr:uid="{91E0388E-AE61-4123-8C1D-09CB1EEEE57C}">
      <text>
        <r>
          <rPr>
            <sz val="11"/>
            <color theme="1"/>
            <rFont val="Aptos Narrow"/>
            <family val="2"/>
            <scheme val="minor"/>
          </rPr>
          <t>Unknown User:
SEARCH AND INVESTIGATION OF GAS INSTANTANEOUS HOT WATER SYSTEM</t>
        </r>
      </text>
    </comment>
    <comment ref="P316" authorId="0" shapeId="0" xr:uid="{17DEEC12-5366-4936-AB65-A6CA78C862B5}">
      <text>
        <r>
          <rPr>
            <sz val="11"/>
            <color theme="1"/>
            <rFont val="Aptos Narrow"/>
            <family val="2"/>
            <scheme val="minor"/>
          </rPr>
          <t>Unknown User:
Quote not emailed</t>
        </r>
      </text>
    </comment>
    <comment ref="S316" authorId="0" shapeId="0" xr:uid="{EF39EA15-13B9-441F-B888-12AB4EC3215E}">
      <text>
        <r>
          <rPr>
            <sz val="11"/>
            <color theme="1"/>
            <rFont val="Aptos Narrow"/>
            <family val="2"/>
            <scheme val="minor"/>
          </rPr>
          <t>Unknown User:
Signed invoice not emailed</t>
        </r>
      </text>
    </comment>
    <comment ref="G317" authorId="0" shapeId="0" xr:uid="{52AB3D84-65D1-4E5A-83ED-7E1139A3CD2B}">
      <text>
        <r>
          <rPr>
            <sz val="11"/>
            <color theme="1"/>
            <rFont val="Aptos Narrow"/>
            <family val="2"/>
            <scheme val="minor"/>
          </rPr>
          <t>Unknown User:
SEARCH &amp; INVESTIGATION OF GAS STORAGE HOT WATER SYSTEM</t>
        </r>
      </text>
    </comment>
    <comment ref="G318" authorId="0" shapeId="0" xr:uid="{2746AACA-4A19-4C84-BC48-085719E1F1C3}">
      <text>
        <r>
          <rPr>
            <sz val="11"/>
            <color theme="1"/>
            <rFont val="Aptos Narrow"/>
            <family val="2"/>
            <scheme val="minor"/>
          </rPr>
          <t>Unknown User:
REPLACEMENT OF BOTTOM INLET CISTERN FILLING VALVE</t>
        </r>
      </text>
    </comment>
    <comment ref="G319" authorId="0" shapeId="0" xr:uid="{A7001BC9-DABC-49E6-8804-E38716A9F022}">
      <text>
        <r>
          <rPr>
            <sz val="11"/>
            <color theme="1"/>
            <rFont val="Aptos Narrow"/>
            <family val="2"/>
            <scheme val="minor"/>
          </rPr>
          <t xml:space="preserve">Unknown User:
HIGH POWERED JET BLAST &amp; CCTV CAMERA INSPECTION (GAIN ACCESS WITH REMOVAL OF TOILET)
</t>
        </r>
      </text>
    </comment>
    <comment ref="G320" authorId="0" shapeId="0" xr:uid="{ED352884-93E8-4958-8138-366C2DF89E44}">
      <text>
        <r>
          <rPr>
            <sz val="11"/>
            <color theme="1"/>
            <rFont val="Aptos Narrow"/>
            <family val="2"/>
            <scheme val="minor"/>
          </rPr>
          <t>Unknown User:
REPLACEMENT OF CISTERN FILLING &amp; DUAL FLUSH VALVES AND SEAL BETWEEN CLOSE COUPLED CISTERN &amp; PAN</t>
        </r>
      </text>
    </comment>
    <comment ref="G325" authorId="0" shapeId="0" xr:uid="{830CE164-3221-4672-9B33-6FC22E2A7968}">
      <text>
        <r>
          <rPr>
            <sz val="11"/>
            <color theme="1"/>
            <rFont val="Aptos Narrow"/>
            <family val="2"/>
            <scheme val="minor"/>
          </rPr>
          <t>Unknown User:
MIXER TAP - GOOSE NECK</t>
        </r>
      </text>
    </comment>
    <comment ref="O325" authorId="0" shapeId="0" xr:uid="{2B7FA4B3-E75B-4917-BF2F-12D17ED75793}">
      <text>
        <r>
          <rPr>
            <sz val="11"/>
            <color theme="1"/>
            <rFont val="Aptos Narrow"/>
            <family val="2"/>
            <scheme val="minor"/>
          </rPr>
          <t>Unknown User:
SMS approval</t>
        </r>
      </text>
    </comment>
    <comment ref="S325" authorId="0" shapeId="0" xr:uid="{7954A0C7-45BE-42DB-A686-927A102A6B89}">
      <text>
        <r>
          <rPr>
            <sz val="11"/>
            <color theme="1"/>
            <rFont val="Aptos Narrow"/>
            <family val="2"/>
            <scheme val="minor"/>
          </rPr>
          <t>Unknown User:
Signed invoice not emailed</t>
        </r>
      </text>
    </comment>
    <comment ref="G330" authorId="0" shapeId="0" xr:uid="{73CC7C05-44F6-4523-B1AA-1DA2D58B09DD}">
      <text>
        <r>
          <rPr>
            <sz val="11"/>
            <color theme="1"/>
            <rFont val="Aptos Narrow"/>
            <family val="2"/>
            <scheme val="minor"/>
          </rPr>
          <t xml:space="preserve">Unknown User:
WATER SERVICE RECTIFICATION (IN CONCRETE)
</t>
        </r>
      </text>
    </comment>
    <comment ref="P330" authorId="0" shapeId="0" xr:uid="{7B773CC2-F362-4091-AFBA-C76A512B3E13}">
      <text>
        <r>
          <rPr>
            <sz val="11"/>
            <color theme="1"/>
            <rFont val="Aptos Narrow"/>
            <family val="2"/>
            <scheme val="minor"/>
          </rPr>
          <t>Unknown User:
Quote not emailed</t>
        </r>
      </text>
    </comment>
    <comment ref="G334" authorId="0" shapeId="0" xr:uid="{9A5AFBA6-56A6-4505-A869-EAFCC93A1712}">
      <text>
        <r>
          <rPr>
            <sz val="11"/>
            <color theme="1"/>
            <rFont val="Aptos Narrow"/>
            <family val="2"/>
            <scheme val="minor"/>
          </rPr>
          <t xml:space="preserve">Unknown User:
SUPPLY &amp; INSTALLATION OF GAS STORAGE HOT WATER SYSTEM (EXTERNAL)
10% Seniors &amp; Pensioners Discount </t>
        </r>
      </text>
    </comment>
    <comment ref="D339" authorId="0" shapeId="0" xr:uid="{2E78DA1A-0C5E-4754-87BC-369D48F6D922}">
      <text>
        <r>
          <rPr>
            <sz val="11"/>
            <color theme="1"/>
            <rFont val="Aptos Narrow"/>
            <family val="2"/>
            <scheme val="minor"/>
          </rPr>
          <t>Unknown User:
Job #71781 wasn't confirmed until 31/7. On 1/8, Job #71949 was confirmed.</t>
        </r>
      </text>
    </comment>
    <comment ref="G339" authorId="0" shapeId="0" xr:uid="{984B7EEA-A9D4-4508-9D5F-08528AD7F167}">
      <text>
        <r>
          <rPr>
            <sz val="11"/>
            <color theme="1"/>
            <rFont val="Aptos Narrow"/>
            <family val="2"/>
            <scheme val="minor"/>
          </rPr>
          <t xml:space="preserve">Unknown User:
SEWER STACK REPAIR - IN CEILING 
Obtain sewer diagram
Set up safe work area
Set up builders plastic
Mark out plaster ceiling 
Cut &amp; removal of plaster ceiling 
Expose existing section of sewer service up to 1.5M
Expose existing sewer junctions
Cut &amp; remove existing section of sewer service up to 1.5M
Cut &amp; remove existing sewer junctions
Gain access to sewer service
Set up high-powered Jet Blaster
Set up high-powered mini reel
Set up high-powered Turbines
Jet Blast sewer service
Re-camera and investigate further
Supply &amp; install new section of sewer service up to 1.5M
Supply &amp; installation of new sewer junctions
Supply &amp; installation of new I/O inspection point
Supply &amp; install new PVC fittings
Connect new section of sewer service to existing sewer service
Test &amp; commission installation
Removal of trade waste
PLEASE NOTE IF FURTHER WORK REQUIRED OTHER THEN QUOTED WORK FURTHER COST WILL APPLY. QUOTE DOES NOT INCLUDE PLASTER REINSTATEMENT </t>
        </r>
      </text>
    </comment>
    <comment ref="N339" authorId="0" shapeId="0" xr:uid="{17B3F986-E8C4-4E68-8270-CE711E97D200}">
      <text>
        <r>
          <rPr>
            <sz val="11"/>
            <color theme="1"/>
            <rFont val="Aptos Narrow"/>
            <family val="2"/>
            <scheme val="minor"/>
          </rPr>
          <t>Unknown User:
Quote raised in Job #71781</t>
        </r>
      </text>
    </comment>
    <comment ref="P339" authorId="0" shapeId="0" xr:uid="{A4D322AF-2492-48F9-9CCD-94C28F831866}">
      <text>
        <r>
          <rPr>
            <sz val="11"/>
            <color theme="1"/>
            <rFont val="Aptos Narrow"/>
            <family val="2"/>
            <scheme val="minor"/>
          </rPr>
          <t>Unknown User:
Quote not emailed</t>
        </r>
      </text>
    </comment>
    <comment ref="U339" authorId="0" shapeId="0" xr:uid="{19248C65-A146-420D-8A3D-376CBC2D19BC}">
      <text>
        <r>
          <rPr>
            <sz val="11"/>
            <color theme="1"/>
            <rFont val="Aptos Narrow"/>
            <family val="2"/>
            <scheme val="minor"/>
          </rPr>
          <t>Unknown User:
4/8-As per Elliot's note "Called ed on the way and no answer, have text to say we are here. Waiting 10 more minutes and then moving on, all is needed is a camera and to collect final payment for job"</t>
        </r>
      </text>
    </comment>
    <comment ref="V339" authorId="0" shapeId="0" xr:uid="{90DDAF99-D977-4703-A01A-CEF3C21C694F}">
      <text>
        <r>
          <rPr>
            <sz val="11"/>
            <color theme="1"/>
            <rFont val="Aptos Narrow"/>
            <family val="2"/>
            <scheme val="minor"/>
          </rPr>
          <t>Unknown User:
05/08 Received $754.59 Card</t>
        </r>
      </text>
    </comment>
    <comment ref="G340" authorId="0" shapeId="0" xr:uid="{E91595A9-58B5-4D48-9D9F-423CD944EDBF}">
      <text>
        <r>
          <rPr>
            <sz val="11"/>
            <color theme="1"/>
            <rFont val="Aptos Narrow"/>
            <family val="2"/>
            <scheme val="minor"/>
          </rPr>
          <t xml:space="preserve">Unknown User:
INSTALLATION OF NEW INSET BASIN (CUSTOMER SUPPLIED)
</t>
        </r>
      </text>
    </comment>
    <comment ref="G344" authorId="0" shapeId="0" xr:uid="{E3FE3A9D-7AC2-444D-B519-E4C2112FB968}">
      <text>
        <r>
          <rPr>
            <sz val="11"/>
            <color theme="1"/>
            <rFont val="Aptos Narrow"/>
            <family val="2"/>
            <scheme val="minor"/>
          </rPr>
          <t xml:space="preserve">Unknown User:
HIGH POWERED SUCTION &amp; ACID TREATMENT
SEARCH &amp; INVESTIGATION - LEAKING TOILET SUITE
</t>
        </r>
      </text>
    </comment>
    <comment ref="G345" authorId="0" shapeId="0" xr:uid="{478AC66D-AFD8-463A-A5EF-D0B5B0EE67D1}">
      <text>
        <r>
          <rPr>
            <sz val="11"/>
            <color theme="1"/>
            <rFont val="Aptos Narrow"/>
            <family val="2"/>
            <scheme val="minor"/>
          </rPr>
          <t>Unknown User:
COMPLETE SERVICE OF TAP TOP ASSEMBLY</t>
        </r>
      </text>
    </comment>
    <comment ref="G346" authorId="0" shapeId="0" xr:uid="{A3AB129A-81D4-4DDF-8EC0-E46C8C425D6A}">
      <text>
        <r>
          <rPr>
            <sz val="11"/>
            <color theme="1"/>
            <rFont val="Aptos Narrow"/>
            <family val="2"/>
            <scheme val="minor"/>
          </rPr>
          <t xml:space="preserve">Unknown User:
REPLACEMENT OF BASIN SET
</t>
        </r>
      </text>
    </comment>
    <comment ref="K347" authorId="0" shapeId="0" xr:uid="{08A77F9C-501C-441B-8729-B05D611C52A2}">
      <text>
        <r>
          <rPr>
            <sz val="11"/>
            <color theme="1"/>
            <rFont val="Aptos Narrow"/>
            <family val="2"/>
            <scheme val="minor"/>
          </rPr>
          <t>Unknown User:
Previous job #72624</t>
        </r>
      </text>
    </comment>
    <comment ref="G349" authorId="0" shapeId="0" xr:uid="{7141138B-8773-450C-8304-186B576DD3DA}">
      <text>
        <r>
          <rPr>
            <sz val="11"/>
            <color theme="1"/>
            <rFont val="Aptos Narrow"/>
            <family val="2"/>
            <scheme val="minor"/>
          </rPr>
          <t>Unknown User:
REPLACEMENT OF PAIR HOT AND COLD MIXER TAILS
REPLACEMENT OF EXISTING PULL-OUT KITCHEN MIXER (CUSTOMER Supplied)
REPLACEMENT OF HAND-HELD SHOWER ROSE (CUSTOMER SUPPLIED)</t>
        </r>
      </text>
    </comment>
    <comment ref="G351" authorId="0" shapeId="0" xr:uid="{43CACEE8-10C9-4855-87CD-0F0C680C84DB}">
      <text>
        <r>
          <rPr>
            <sz val="11"/>
            <color theme="1"/>
            <rFont val="Aptos Narrow"/>
            <family val="2"/>
            <scheme val="minor"/>
          </rPr>
          <t xml:space="preserve">Unknown User:
HIGH POWERED SUCTION &amp; ACID TREATMENT
</t>
        </r>
      </text>
    </comment>
    <comment ref="G352" authorId="0" shapeId="0" xr:uid="{EDF34A96-ADF4-4587-9178-72BC9A4AFCCB}">
      <text>
        <r>
          <rPr>
            <sz val="11"/>
            <color theme="1"/>
            <rFont val="Aptos Narrow"/>
            <family val="2"/>
            <scheme val="minor"/>
          </rPr>
          <t>Unknown User:
HIGH POWERED JET BLAST &amp; CCTV CAMERA INSPECTION (GAIN ACCESS WITH REMOVAL OF TOILET)</t>
        </r>
      </text>
    </comment>
    <comment ref="G353" authorId="0" shapeId="0" xr:uid="{0826A423-D380-41B1-BD3C-CA821CC571DA}">
      <text>
        <r>
          <rPr>
            <sz val="11"/>
            <color theme="1"/>
            <rFont val="Aptos Narrow"/>
            <family val="2"/>
            <scheme val="minor"/>
          </rPr>
          <t>Unknown User:
SPECIALIST LEAK DETECTION (WATER SERVICE)</t>
        </r>
      </text>
    </comment>
    <comment ref="U353" authorId="0" shapeId="0" xr:uid="{6E357175-6C6B-4C01-B63B-E7296EC2EED7}">
      <text>
        <r>
          <rPr>
            <sz val="11"/>
            <color theme="1"/>
            <rFont val="Aptos Narrow"/>
            <family val="2"/>
            <scheme val="minor"/>
          </rPr>
          <t>Unknown User:
27/8-As per Elliot's note "Customer called to cancel, said she had got other quotes for 400/500. Refund to be returned to customer"</t>
        </r>
      </text>
    </comment>
    <comment ref="G354" authorId="0" shapeId="0" xr:uid="{56A53860-68AE-426A-A867-68F3BFBC0D18}">
      <text>
        <r>
          <rPr>
            <sz val="11"/>
            <color theme="1"/>
            <rFont val="Aptos Narrow"/>
            <family val="2"/>
            <scheme val="minor"/>
          </rPr>
          <t>Unknown User:
SEARCH &amp; INVESTIGATION OF GAS APPLIANCE</t>
        </r>
      </text>
    </comment>
    <comment ref="G355" authorId="0" shapeId="0" xr:uid="{C078C4E0-C2F8-40C8-A009-FD106D79681A}">
      <text>
        <r>
          <rPr>
            <sz val="11"/>
            <color theme="1"/>
            <rFont val="Aptos Narrow"/>
            <family val="2"/>
            <scheme val="minor"/>
          </rPr>
          <t>Unknown User:
SUPPLY &amp; INSTALLATION OF NEW LINK SUITE
HIGH POWERED SUCTION &amp; ACID TREATMENT</t>
        </r>
      </text>
    </comment>
    <comment ref="G356" authorId="0" shapeId="0" xr:uid="{CF041068-8EE8-4BE9-8457-191329DDE8B4}">
      <text>
        <r>
          <rPr>
            <sz val="11"/>
            <color theme="1"/>
            <rFont val="Aptos Narrow"/>
            <family val="2"/>
            <scheme val="minor"/>
          </rPr>
          <t>Unknown User:
HIGH POWERED SUCTION &amp; ACID TREATMENT</t>
        </r>
      </text>
    </comment>
    <comment ref="G357" authorId="0" shapeId="0" xr:uid="{D79946DB-68FA-4125-A7D7-17F00C8B2539}">
      <text>
        <r>
          <rPr>
            <sz val="11"/>
            <color theme="1"/>
            <rFont val="Aptos Narrow"/>
            <family val="2"/>
            <scheme val="minor"/>
          </rPr>
          <t xml:space="preserve">Unknown User:
HIGH POWERED SUCTION PUMP
</t>
        </r>
      </text>
    </comment>
    <comment ref="G359" authorId="0" shapeId="0" xr:uid="{029340CC-A3C0-4455-A0DA-656B2B09A279}">
      <text>
        <r>
          <rPr>
            <sz val="11"/>
            <color theme="1"/>
            <rFont val="Aptos Narrow"/>
            <family val="2"/>
            <scheme val="minor"/>
          </rPr>
          <t>Unknown User:
SUPPLY AND INSTALLATION OF REPLACEMENT VERTICAL MULTISTAGE PUMP 
SUPPLY &amp; INSTALLATION OF NEW INDUSTRIAL INSTANTANEOUS GAS HOT WATER SYSTEM (EXTERNAL)</t>
        </r>
      </text>
    </comment>
    <comment ref="G360" authorId="0" shapeId="0" xr:uid="{45AF8DEA-92FD-49A9-BBF7-8E077FDF70B6}">
      <text>
        <r>
          <rPr>
            <sz val="11"/>
            <color theme="1"/>
            <rFont val="Aptos Narrow"/>
            <family val="2"/>
            <scheme val="minor"/>
          </rPr>
          <t>Unknown User:
SUPPLY &amp; INSTALLATION OF GAS STORAGE HOT WATER SYSTEM (EXTERNAL)
10% Pension Discount 
220 cashback on hot water units</t>
        </r>
      </text>
    </comment>
    <comment ref="K360" authorId="0" shapeId="0" xr:uid="{F247C006-51C8-478D-AEAD-7B864FBD8504}">
      <text>
        <r>
          <rPr>
            <sz val="11"/>
            <color theme="1"/>
            <rFont val="Aptos Narrow"/>
            <family val="2"/>
            <scheme val="minor"/>
          </rPr>
          <t>Unknown User:
Before job pics considered</t>
        </r>
      </text>
    </comment>
    <comment ref="G361" authorId="0" shapeId="0" xr:uid="{1B4510A6-6E9D-439F-8A4E-07BB8E4E7377}">
      <text>
        <r>
          <rPr>
            <sz val="11"/>
            <color theme="1"/>
            <rFont val="Aptos Narrow"/>
            <family val="2"/>
            <scheme val="minor"/>
          </rPr>
          <t>Unknown User:
SEWER SPOT DIG - IN GROUND</t>
        </r>
      </text>
    </comment>
    <comment ref="G362" authorId="0" shapeId="0" xr:uid="{23097024-C901-4D60-8893-BF8FE6B5C161}">
      <text>
        <r>
          <rPr>
            <sz val="11"/>
            <color theme="1"/>
            <rFont val="Aptos Narrow"/>
            <family val="2"/>
            <scheme val="minor"/>
          </rPr>
          <t>Unknown User:
SUPPLY &amp; INSTALLATION OF GAS STORAGE HOT WATER SYSTEM (EXTERNAL)</t>
        </r>
      </text>
    </comment>
    <comment ref="G363" authorId="0" shapeId="0" xr:uid="{BF42411A-FB49-4238-B055-7F7E5E8B71A4}">
      <text>
        <r>
          <rPr>
            <sz val="11"/>
            <color theme="1"/>
            <rFont val="Aptos Narrow"/>
            <family val="2"/>
            <scheme val="minor"/>
          </rPr>
          <t xml:space="preserve">Unknown User:
COMPLETE SERVICE OF WALL TOP TAPS ASSEMBLY
</t>
        </r>
      </text>
    </comment>
    <comment ref="G364" authorId="0" shapeId="0" xr:uid="{B4C2EF7A-97F3-4611-BD09-6FFAEA9B0CDB}">
      <text>
        <r>
          <rPr>
            <sz val="11"/>
            <color theme="1"/>
            <rFont val="Aptos Narrow"/>
            <family val="2"/>
            <scheme val="minor"/>
          </rPr>
          <t>Unknown User:
SUPPLY &amp; INSTALLATION OF NEW FREE-STANDING VANITY (600MM) AND INSTALLATION OF HANDS FREE BASIN MIXER</t>
        </r>
      </text>
    </comment>
    <comment ref="G365" authorId="0" shapeId="0" xr:uid="{A7D880C5-2F38-4E8C-90BC-435D6794F795}">
      <text>
        <r>
          <rPr>
            <sz val="11"/>
            <color theme="1"/>
            <rFont val="Aptos Narrow"/>
            <family val="2"/>
            <scheme val="minor"/>
          </rPr>
          <t xml:space="preserve">Unknown User:
CAP OFF ALL BATHROOM FIXTURES
</t>
        </r>
      </text>
    </comment>
    <comment ref="G398" authorId="0" shapeId="0" xr:uid="{50704363-2569-4543-A714-87A97E5C24E3}">
      <text>
        <r>
          <rPr>
            <sz val="11"/>
            <color theme="1"/>
            <rFont val="Aptos Narrow"/>
            <family val="2"/>
            <scheme val="minor"/>
          </rPr>
          <t xml:space="preserve">Unknown User:
ROOF LEAK SEARCH &amp; INVESTIGATION
15% Seniors &amp; Pensioners Discount </t>
        </r>
      </text>
    </comment>
    <comment ref="G399" authorId="0" shapeId="0" xr:uid="{98CE986F-D151-4B35-85DC-782C973BBFA2}">
      <text>
        <r>
          <rPr>
            <sz val="11"/>
            <color theme="1"/>
            <rFont val="Aptos Narrow"/>
            <family val="2"/>
            <scheme val="minor"/>
          </rPr>
          <t xml:space="preserve">Unknown User:
SEARCH &amp; INVESTIGATION (GENERAL)
</t>
        </r>
      </text>
    </comment>
    <comment ref="G400" authorId="0" shapeId="0" xr:uid="{FF92414B-C17E-45AA-A626-CF25A9268B45}">
      <text>
        <r>
          <rPr>
            <sz val="11"/>
            <color theme="1"/>
            <rFont val="Aptos Narrow"/>
            <family val="2"/>
            <scheme val="minor"/>
          </rPr>
          <t>Unknown User:
WATER SERVICE RECTIFICATION (IN GROUND)</t>
        </r>
      </text>
    </comment>
    <comment ref="G401" authorId="0" shapeId="0" xr:uid="{BB109668-3593-486D-97D4-25F5B904E740}">
      <text>
        <r>
          <rPr>
            <sz val="11"/>
            <color theme="1"/>
            <rFont val="Aptos Narrow"/>
            <family val="2"/>
            <scheme val="minor"/>
          </rPr>
          <t>Unknown User:
SUPPLY &amp; INSTALLATION OF NEW ARCO HOSE TAP – ¼ TURN HOSE TAPS TO REPLACE EXISTING HOSE TAP</t>
        </r>
      </text>
    </comment>
    <comment ref="W401" authorId="0" shapeId="0" xr:uid="{B7862FAC-6439-4CE1-A310-21B6A20A2733}">
      <text>
        <r>
          <rPr>
            <sz val="11"/>
            <color theme="1"/>
            <rFont val="Aptos Narrow"/>
            <family val="2"/>
            <scheme val="minor"/>
          </rPr>
          <t>Unknown User:
Cash denomination
$50*2=$100</t>
        </r>
      </text>
    </comment>
    <comment ref="G402" authorId="0" shapeId="0" xr:uid="{DA11A1BE-1351-410A-B07B-2EEAF2631E2A}">
      <text>
        <r>
          <rPr>
            <sz val="11"/>
            <color theme="1"/>
            <rFont val="Aptos Narrow"/>
            <family val="2"/>
            <scheme val="minor"/>
          </rPr>
          <t>Unknown User:
HIGH POWERED SUCTION &amp; ACID TREATMENT
10% Seniors &amp; Pensioners Discount</t>
        </r>
      </text>
    </comment>
    <comment ref="G403" authorId="0" shapeId="0" xr:uid="{8C991436-7694-4FDC-82B2-2862A7BEBEF3}">
      <text>
        <r>
          <rPr>
            <sz val="11"/>
            <color theme="1"/>
            <rFont val="Aptos Narrow"/>
            <family val="2"/>
            <scheme val="minor"/>
          </rPr>
          <t xml:space="preserve">Unknown User:
HIGH POWERED JET BLAST &amp; CCTV CAMERA INSPECTION (GAIN ACCESS WITH REMOVAL OF TOILET)
10% Seniors &amp; Pensioners Discount </t>
        </r>
      </text>
    </comment>
    <comment ref="G404" authorId="0" shapeId="0" xr:uid="{AD9E654A-10C4-4516-8C64-75580DAE6337}">
      <text>
        <r>
          <rPr>
            <sz val="11"/>
            <color theme="1"/>
            <rFont val="Aptos Narrow"/>
            <family val="2"/>
            <scheme val="minor"/>
          </rPr>
          <t xml:space="preserve">Unknown User:
SEARCH &amp; INVESTIGATION OF GAS APPLIANCE
</t>
        </r>
      </text>
    </comment>
    <comment ref="G405" authorId="0" shapeId="0" xr:uid="{34BCA0E7-17C0-4165-88E7-05F432BA8394}">
      <text>
        <r>
          <rPr>
            <sz val="11"/>
            <color theme="1"/>
            <rFont val="Aptos Narrow"/>
            <family val="2"/>
            <scheme val="minor"/>
          </rPr>
          <t>Unknown User:
WATER SERVICE RECTIFICATION (EXPOSED)</t>
        </r>
      </text>
    </comment>
    <comment ref="W405" authorId="0" shapeId="0" xr:uid="{2C7E4C3C-2352-4E9D-ABA4-8F2EBB900794}">
      <text>
        <r>
          <rPr>
            <sz val="11"/>
            <color theme="1"/>
            <rFont val="Aptos Narrow"/>
            <family val="2"/>
            <scheme val="minor"/>
          </rPr>
          <t>Unknown User:
Cash denomination
$50*3=$150
$20*1=$20
$10*1=$10
$100*3=$300
$50*27=$1350
$20*1=$20
Total cash=$1850
Excess receipt by $0.90</t>
        </r>
      </text>
    </comment>
    <comment ref="G406" authorId="0" shapeId="0" xr:uid="{F10CE1FC-5451-41F1-8E90-0205FF013614}">
      <text>
        <r>
          <rPr>
            <sz val="11"/>
            <color theme="1"/>
            <rFont val="Aptos Narrow"/>
            <family val="2"/>
            <scheme val="minor"/>
          </rPr>
          <t>Unknown User:
REPLACEMENT OF KITCHEN MIXER (CUSTOMER SUPPLIED)
REPLACEMENT OF BOTTOM INLET CISTERN FILLING VALVE
$85 Off First Service</t>
        </r>
      </text>
    </comment>
    <comment ref="G407" authorId="0" shapeId="0" xr:uid="{DF9814DB-1F8F-4C2D-9C03-B3C915E0030E}">
      <text>
        <r>
          <rPr>
            <sz val="11"/>
            <color theme="1"/>
            <rFont val="Aptos Narrow"/>
            <family val="2"/>
            <scheme val="minor"/>
          </rPr>
          <t xml:space="preserve">Unknown User:
SUPPLY &amp; INSTALLATION OF NEW DISHWASHER COLD WATER INLET SUPPLY
Non-refundable call out fee </t>
        </r>
      </text>
    </comment>
    <comment ref="G408" authorId="0" shapeId="0" xr:uid="{2B13EE24-4251-4214-B180-6C50E71BA384}">
      <text>
        <r>
          <rPr>
            <sz val="11"/>
            <color theme="1"/>
            <rFont val="Aptos Narrow"/>
            <family val="2"/>
            <scheme val="minor"/>
          </rPr>
          <t>Unknown User:
SEARCH &amp; INVESTIGATION OF GAS STORAGE HOT WATER SYSTEM</t>
        </r>
      </text>
    </comment>
    <comment ref="O408" authorId="0" shapeId="0" xr:uid="{26F6B7AF-775E-4F3C-BEB8-78F050E7A03F}">
      <text>
        <r>
          <rPr>
            <sz val="11"/>
            <color theme="1"/>
            <rFont val="Aptos Narrow"/>
            <family val="2"/>
            <scheme val="minor"/>
          </rPr>
          <t>Unknown User:
SMS approval</t>
        </r>
      </text>
    </comment>
    <comment ref="G413" authorId="0" shapeId="0" xr:uid="{3794C085-9174-436C-A27B-41550EEF327D}">
      <text>
        <r>
          <rPr>
            <sz val="11"/>
            <color theme="1"/>
            <rFont val="Aptos Narrow"/>
            <family val="2"/>
            <scheme val="minor"/>
          </rPr>
          <t>Unknown User:
SEARCH AND INVESTIGATION OF SOLAR SPLIT HOT WATER SYSTEM</t>
        </r>
      </text>
    </comment>
    <comment ref="G417" authorId="0" shapeId="0" xr:uid="{EE387B47-26BA-470D-B3D3-67AB854B0DFA}">
      <text>
        <r>
          <rPr>
            <sz val="11"/>
            <color theme="1"/>
            <rFont val="Aptos Narrow"/>
            <family val="2"/>
            <scheme val="minor"/>
          </rPr>
          <t xml:space="preserve">Unknown User:
WATER SERVICE RECTIFICATION (IN CONCRETE)
</t>
        </r>
      </text>
    </comment>
    <comment ref="P417" authorId="0" shapeId="0" xr:uid="{87C014B3-4FB1-496C-82C3-76CE45E048E9}">
      <text>
        <r>
          <rPr>
            <sz val="11"/>
            <color theme="1"/>
            <rFont val="Aptos Narrow"/>
            <family val="2"/>
            <scheme val="minor"/>
          </rPr>
          <t>Unknown User:
Quote not emailed</t>
        </r>
      </text>
    </comment>
    <comment ref="G421" authorId="0" shapeId="0" xr:uid="{CEFB7A99-94F9-4531-ACF0-27A1E605A216}">
      <text>
        <r>
          <rPr>
            <sz val="11"/>
            <color theme="1"/>
            <rFont val="Aptos Narrow"/>
            <family val="2"/>
            <scheme val="minor"/>
          </rPr>
          <t>Unknown User:
COMPLETE SERVICE OF WALL TOP TAPS ASSEMBLY
$39 Tap Services Discount</t>
        </r>
      </text>
    </comment>
    <comment ref="J421" authorId="1" shapeId="0" xr:uid="{E20AA779-4065-47EF-900B-AC4D3E786E38}">
      <text>
        <r>
          <rPr>
            <sz val="11"/>
            <color theme="1"/>
            <rFont val="Aptos Narrow"/>
            <family val="2"/>
            <scheme val="minor"/>
          </rPr>
          <t>ZIP</t>
        </r>
      </text>
    </comment>
    <comment ref="G422" authorId="0" shapeId="0" xr:uid="{FFEC9E47-C21E-4BA6-AE0B-06B3667665E5}">
      <text>
        <r>
          <rPr>
            <sz val="11"/>
            <color theme="1"/>
            <rFont val="Aptos Narrow"/>
            <family val="2"/>
            <scheme val="minor"/>
          </rPr>
          <t xml:space="preserve">Unknown User:
REPLACEMENT OF CISTERN FILLING &amp; DUAL FLUSH VALVES AND SEAL BETWEEN CLOSE COUPLED CISTERN &amp; PAN
</t>
        </r>
      </text>
    </comment>
    <comment ref="G426" authorId="0" shapeId="0" xr:uid="{2D139B62-9C60-4C0A-B482-79700D87DFDC}">
      <text>
        <r>
          <rPr>
            <sz val="11"/>
            <color theme="1"/>
            <rFont val="Aptos Narrow"/>
            <family val="2"/>
            <scheme val="minor"/>
          </rPr>
          <t>Unknown User:
SEWER SPOT DIG - IN GROUND
10% Loyalty Discount</t>
        </r>
      </text>
    </comment>
    <comment ref="V426" authorId="0" shapeId="0" xr:uid="{3AE4DB20-EF0B-4338-A07B-F0477E772C5C}">
      <text>
        <r>
          <rPr>
            <sz val="11"/>
            <color theme="1"/>
            <rFont val="Aptos Narrow"/>
            <family val="2"/>
            <scheme val="minor"/>
          </rPr>
          <t>Unknown User:
8/9-EFT of $7663.86 initiated</t>
        </r>
      </text>
    </comment>
    <comment ref="G427" authorId="0" shapeId="0" xr:uid="{A5F1B2BF-1D3F-4546-95F8-5610BC99468A}">
      <text>
        <r>
          <rPr>
            <sz val="11"/>
            <color theme="1"/>
            <rFont val="Aptos Narrow"/>
            <family val="2"/>
            <scheme val="minor"/>
          </rPr>
          <t xml:space="preserve">Unknown User:
SPECIALIST GAS LEAK DETECTION
</t>
        </r>
      </text>
    </comment>
    <comment ref="G431" authorId="0" shapeId="0" xr:uid="{DBB3A151-14AA-41B0-B469-6B462137D7F1}">
      <text>
        <r>
          <rPr>
            <sz val="11"/>
            <color theme="1"/>
            <rFont val="Aptos Narrow"/>
            <family val="2"/>
            <scheme val="minor"/>
          </rPr>
          <t>Unknown User:
CONVERT SOLAR SPLIT HOT WATER SYSTEM TO EXTERNAL GAS INSTANTANEOUS HOT WATER SYSTEM
CREDIT OF SEARCH &amp; INVESTIGATION</t>
        </r>
      </text>
    </comment>
    <comment ref="G435" authorId="0" shapeId="0" xr:uid="{0B3C6F02-BBB5-4A10-90D6-471805E26F0C}">
      <text>
        <r>
          <rPr>
            <sz val="11"/>
            <color theme="1"/>
            <rFont val="Aptos Narrow"/>
            <family val="2"/>
            <scheme val="minor"/>
          </rPr>
          <t xml:space="preserve">Unknown User:
SUPPLY &amp; INSTALLATION OF GAS STORAGE HOT WATER SYSTEM (EXTERNAL)
10% Seniors &amp; Pensioners Discount </t>
        </r>
      </text>
    </comment>
    <comment ref="D440" authorId="0" shapeId="0" xr:uid="{B8603F18-3607-403F-8248-86A82E6DCCE4}">
      <text>
        <r>
          <rPr>
            <sz val="11"/>
            <color theme="1"/>
            <rFont val="Aptos Narrow"/>
            <family val="2"/>
            <scheme val="minor"/>
          </rPr>
          <t>Unknown User:
Job #71781 wasn't confirmed until 31/7. On 1/8, Job #71949 was confirmed.</t>
        </r>
      </text>
    </comment>
    <comment ref="G440" authorId="0" shapeId="0" xr:uid="{376A7A20-208E-4ECA-9D06-F8508F688AA1}">
      <text>
        <r>
          <rPr>
            <sz val="11"/>
            <color theme="1"/>
            <rFont val="Aptos Narrow"/>
            <family val="2"/>
            <scheme val="minor"/>
          </rPr>
          <t xml:space="preserve">Unknown User:
SEWER STACK REPAIR - IN CEILING 
Obtain sewer diagram
Set up safe work area
Set up builders plastic
Mark out plaster ceiling 
Cut &amp; removal of plaster ceiling 
Expose existing section of sewer service up to 1.5M
Expose existing sewer junctions
Cut &amp; remove existing section of sewer service up to 1.5M
Cut &amp; remove existing sewer junctions
Gain access to sewer service
Set up high-powered Jet Blaster
Set up high-powered mini reel
Set up high-powered Turbines
Jet Blast sewer service
Re-camera and investigate further
Supply &amp; install new section of sewer service up to 1.5M
Supply &amp; installation of new sewer junctions
Supply &amp; installation of new I/O inspection point
Supply &amp; install new PVC fittings
Connect new section of sewer service to existing sewer service
Test &amp; commission installation
Removal of trade waste
PLEASE NOTE IF FURTHER WORK REQUIRED OTHER THEN QUOTED WORK FURTHER COST WILL APPLY. QUOTE DOES NOT INCLUDE PLASTER REINSTATEMENT </t>
        </r>
      </text>
    </comment>
    <comment ref="N440" authorId="0" shapeId="0" xr:uid="{9F502BE2-8139-4ECA-B92C-8E612EAA726C}">
      <text>
        <r>
          <rPr>
            <sz val="11"/>
            <color theme="1"/>
            <rFont val="Aptos Narrow"/>
            <family val="2"/>
            <scheme val="minor"/>
          </rPr>
          <t>Unknown User:
Quote raised in Job #71781</t>
        </r>
      </text>
    </comment>
    <comment ref="P440" authorId="0" shapeId="0" xr:uid="{6D655040-8AC7-41F6-ADA5-B71997197027}">
      <text>
        <r>
          <rPr>
            <sz val="11"/>
            <color theme="1"/>
            <rFont val="Aptos Narrow"/>
            <family val="2"/>
            <scheme val="minor"/>
          </rPr>
          <t>Unknown User:
Quote not emailed</t>
        </r>
      </text>
    </comment>
    <comment ref="U440" authorId="0" shapeId="0" xr:uid="{3740DD63-CB9B-465E-881C-E79A7A9D2BBA}">
      <text>
        <r>
          <rPr>
            <sz val="11"/>
            <color theme="1"/>
            <rFont val="Aptos Narrow"/>
            <family val="2"/>
            <scheme val="minor"/>
          </rPr>
          <t>Unknown User:
4/8-As per Elliot's note "Called ed on the way and no answer, have text to say we are here. Waiting 10 more minutes and then moving on, all is needed is a camera and to collect final payment for job"</t>
        </r>
      </text>
    </comment>
    <comment ref="V440" authorId="0" shapeId="0" xr:uid="{CEBAFCC0-5E21-468F-8295-D10B57FAAB26}">
      <text>
        <r>
          <rPr>
            <sz val="11"/>
            <color theme="1"/>
            <rFont val="Aptos Narrow"/>
            <family val="2"/>
            <scheme val="minor"/>
          </rPr>
          <t>Unknown User:
05/08 Received $754.59 Card</t>
        </r>
      </text>
    </comment>
    <comment ref="G441" authorId="0" shapeId="0" xr:uid="{870A335B-819E-4953-BED5-2EDDCFC62A83}">
      <text>
        <r>
          <rPr>
            <sz val="11"/>
            <color theme="1"/>
            <rFont val="Aptos Narrow"/>
            <family val="2"/>
            <scheme val="minor"/>
          </rPr>
          <t xml:space="preserve">Unknown User:
INSTALLATION OF NEW INSET BASIN (CUSTOMER SUPPLIED)
</t>
        </r>
      </text>
    </comment>
    <comment ref="G445" authorId="0" shapeId="0" xr:uid="{A5535FDD-35F3-4347-B8D7-6E34109BEBC1}">
      <text>
        <r>
          <rPr>
            <sz val="11"/>
            <color theme="1"/>
            <rFont val="Aptos Narrow"/>
            <family val="2"/>
            <scheme val="minor"/>
          </rPr>
          <t>Unknown User:
SUPPLY &amp; INSTALLATION OF ROOF FLASHING
15% Seniors &amp; Pensioners Discount</t>
        </r>
      </text>
    </comment>
    <comment ref="K445" authorId="0" shapeId="0" xr:uid="{BD6A0A18-1231-4C56-BB73-AD53BBC2FC1E}">
      <text>
        <r>
          <rPr>
            <sz val="11"/>
            <color theme="1"/>
            <rFont val="Aptos Narrow"/>
            <family val="2"/>
            <scheme val="minor"/>
          </rPr>
          <t>Unknown User:
Previous job images considered.</t>
        </r>
      </text>
    </comment>
    <comment ref="G446" authorId="0" shapeId="0" xr:uid="{BF756CF1-2FFD-452E-A233-1FF45D64EB24}">
      <text>
        <r>
          <rPr>
            <sz val="11"/>
            <color theme="1"/>
            <rFont val="Aptos Narrow"/>
            <family val="2"/>
            <scheme val="minor"/>
          </rPr>
          <t xml:space="preserve">Unknown User:
SEARCH &amp; INVESTIGATION OF DOUBLE STOREY ROOF OF POTENTIAL LEAK
</t>
        </r>
      </text>
    </comment>
    <comment ref="G447" authorId="0" shapeId="0" xr:uid="{0DECD025-7591-48FD-9C96-1041D600167B}">
      <text>
        <r>
          <rPr>
            <sz val="11"/>
            <color theme="1"/>
            <rFont val="Aptos Narrow"/>
            <family val="2"/>
            <scheme val="minor"/>
          </rPr>
          <t>Unknown User:
WATER SERVICE RECTIFICATION (IN WALL)
10% Loyalty Discount</t>
        </r>
      </text>
    </comment>
    <comment ref="K447" authorId="0" shapeId="0" xr:uid="{20B63AE3-93C5-4A0B-BAEF-32C476509612}">
      <text>
        <r>
          <rPr>
            <sz val="11"/>
            <color theme="1"/>
            <rFont val="Aptos Narrow"/>
            <family val="2"/>
            <scheme val="minor"/>
          </rPr>
          <t>Unknown User:
Previous job images considered.</t>
        </r>
      </text>
    </comment>
    <comment ref="G448" authorId="0" shapeId="0" xr:uid="{784788CD-24FA-4F44-9F88-162CDE1928B1}">
      <text>
        <r>
          <rPr>
            <sz val="11"/>
            <color theme="1"/>
            <rFont val="Aptos Narrow"/>
            <family val="2"/>
            <scheme val="minor"/>
          </rPr>
          <t>Unknown User:
SPECIALIST LEAK DETECTION (WATER SERVICE)</t>
        </r>
      </text>
    </comment>
    <comment ref="O448" authorId="0" shapeId="0" xr:uid="{5661C255-3F74-45C7-9DE9-A347AA4F3A6A}">
      <text>
        <r>
          <rPr>
            <sz val="11"/>
            <color theme="1"/>
            <rFont val="Aptos Narrow"/>
            <family val="2"/>
            <scheme val="minor"/>
          </rPr>
          <t>Unknown User:
SMS approval</t>
        </r>
      </text>
    </comment>
    <comment ref="P448" authorId="0" shapeId="0" xr:uid="{B2533BDC-7411-4DBE-9E01-7F157FAD78EC}">
      <text>
        <r>
          <rPr>
            <sz val="11"/>
            <color theme="1"/>
            <rFont val="Aptos Narrow"/>
            <family val="2"/>
            <scheme val="minor"/>
          </rPr>
          <t>Unknown User:
Quote not emailed</t>
        </r>
      </text>
    </comment>
    <comment ref="G449" authorId="0" shapeId="0" xr:uid="{9923E590-B22C-4B6C-92EA-C5A74E099C0A}">
      <text>
        <r>
          <rPr>
            <sz val="11"/>
            <color theme="1"/>
            <rFont val="Aptos Narrow"/>
            <family val="2"/>
            <scheme val="minor"/>
          </rPr>
          <t>Unknown User:
HIGH POWERED JET BLAST &amp; CCTV DRAIN CAMERA INSPECTION (SEWER SERVICE)</t>
        </r>
      </text>
    </comment>
    <comment ref="G450" authorId="0" shapeId="0" xr:uid="{D2AEA693-25B0-48A8-A362-1E5609E7E6CA}">
      <text>
        <r>
          <rPr>
            <sz val="11"/>
            <color theme="1"/>
            <rFont val="Aptos Narrow"/>
            <family val="2"/>
            <scheme val="minor"/>
          </rPr>
          <t>Unknown User:
SUPPLY AND INSTALLATION OF PRESSURE REGULATING DEVICE FITTED TO 20MM STRAIGHT PIPEWORK</t>
        </r>
      </text>
    </comment>
    <comment ref="G451" authorId="0" shapeId="0" xr:uid="{55F54261-327F-4D15-8118-21440551B7CC}">
      <text>
        <r>
          <rPr>
            <sz val="11"/>
            <color theme="1"/>
            <rFont val="Aptos Narrow"/>
            <family val="2"/>
            <scheme val="minor"/>
          </rPr>
          <t>Unknown User:
SEARCH &amp; INVESTIGATION OF WATER HAMMER</t>
        </r>
      </text>
    </comment>
    <comment ref="G452" authorId="0" shapeId="0" xr:uid="{2AB49BA5-00A4-4C59-9413-76C138D71507}">
      <text>
        <r>
          <rPr>
            <sz val="11"/>
            <color theme="1"/>
            <rFont val="Aptos Narrow"/>
            <family val="2"/>
            <scheme val="minor"/>
          </rPr>
          <t>Unknown User:
REPLACEMENT OF BASIN MIXER</t>
        </r>
      </text>
    </comment>
    <comment ref="G453" authorId="0" shapeId="0" xr:uid="{4CEE7109-B0A6-4B17-802A-ECA1C82C4841}">
      <text>
        <r>
          <rPr>
            <sz val="11"/>
            <color theme="1"/>
            <rFont val="Aptos Narrow"/>
            <family val="2"/>
            <scheme val="minor"/>
          </rPr>
          <t xml:space="preserve">Unknown User:
STRIP DRAIN INSTALLATION FOR STORMWATER </t>
        </r>
      </text>
    </comment>
    <comment ref="G454" authorId="0" shapeId="0" xr:uid="{125837DD-8674-4DEE-B361-6432A8E74EA0}">
      <text>
        <r>
          <rPr>
            <sz val="11"/>
            <color theme="1"/>
            <rFont val="Aptos Narrow"/>
            <family val="2"/>
            <scheme val="minor"/>
          </rPr>
          <t xml:space="preserve">Unknown User:
HIGH POWERED SUCTION &amp; ACID TREATMENT
</t>
        </r>
      </text>
    </comment>
    <comment ref="G455" authorId="0" shapeId="0" xr:uid="{9846BD62-6142-4787-B999-B9704E6DC8CE}">
      <text>
        <r>
          <rPr>
            <sz val="11"/>
            <color theme="1"/>
            <rFont val="Aptos Narrow"/>
            <family val="2"/>
            <scheme val="minor"/>
          </rPr>
          <t>Unknown User:
SUPPLY &amp; INSTALLATION OF NEW EMERGENCY ISOLATION VALVES &amp; STAINLESS STEEL FLEXIBLE CONNECTION KIT ON BASIN OR SINK</t>
        </r>
      </text>
    </comment>
    <comment ref="G456" authorId="0" shapeId="0" xr:uid="{F4B65906-6AAA-4746-9949-0FFF57B75255}">
      <text>
        <r>
          <rPr>
            <sz val="11"/>
            <color theme="1"/>
            <rFont val="Aptos Narrow"/>
            <family val="2"/>
            <scheme val="minor"/>
          </rPr>
          <t>Unknown User:
HIGH POWERED SUCTION &amp; ACID TREATMENT</t>
        </r>
      </text>
    </comment>
    <comment ref="G457" authorId="0" shapeId="0" xr:uid="{4BD0877F-0DD1-46A2-977D-0C758DDEF1C6}">
      <text>
        <r>
          <rPr>
            <sz val="11"/>
            <color theme="1"/>
            <rFont val="Aptos Narrow"/>
            <family val="2"/>
            <scheme val="minor"/>
          </rPr>
          <t>Unknown User:
SEARCH &amp; INVESTIGATE - IN WALL CISTERN</t>
        </r>
      </text>
    </comment>
    <comment ref="G458" authorId="0" shapeId="0" xr:uid="{1F8A7669-E2CA-4271-B1FD-A006F47E106D}">
      <text>
        <r>
          <rPr>
            <sz val="11"/>
            <color theme="1"/>
            <rFont val="Aptos Narrow"/>
            <family val="2"/>
            <scheme val="minor"/>
          </rPr>
          <t>Unknown User:
SUPPLY &amp; INSTALLATION OF SEMI-RECESSED BASIN</t>
        </r>
      </text>
    </comment>
    <comment ref="G459" authorId="0" shapeId="0" xr:uid="{E8F7D6C8-CC40-40C3-8AD9-D490D9F6E6F7}">
      <text>
        <r>
          <rPr>
            <sz val="11"/>
            <color theme="1"/>
            <rFont val="Aptos Narrow"/>
            <family val="2"/>
            <scheme val="minor"/>
          </rPr>
          <t>Unknown User:
REPLACEMENT OF BASIN MIXER</t>
        </r>
      </text>
    </comment>
    <comment ref="G460" authorId="0" shapeId="0" xr:uid="{8C0CB347-18B0-400C-B087-993F6C16E485}">
      <text>
        <r>
          <rPr>
            <sz val="11"/>
            <color theme="1"/>
            <rFont val="Aptos Narrow"/>
            <family val="2"/>
            <scheme val="minor"/>
          </rPr>
          <t xml:space="preserve">Unknown User:
COMPLETE SERVICE OF TAP TOP ASSEMBLY
</t>
        </r>
      </text>
    </comment>
    <comment ref="G461" authorId="0" shapeId="0" xr:uid="{01292708-D276-4511-8928-98D137560BE3}">
      <text>
        <r>
          <rPr>
            <sz val="11"/>
            <color theme="1"/>
            <rFont val="Aptos Narrow"/>
            <family val="2"/>
            <scheme val="minor"/>
          </rPr>
          <t>Unknown User:
ROOF LEAK SEARCH &amp; INVESTIGATION</t>
        </r>
      </text>
    </comment>
    <comment ref="G462" authorId="0" shapeId="0" xr:uid="{B8AF2ED9-BD11-4938-8EC8-6EDF815152BC}">
      <text>
        <r>
          <rPr>
            <sz val="11"/>
            <color theme="1"/>
            <rFont val="Aptos Narrow"/>
            <family val="2"/>
            <scheme val="minor"/>
          </rPr>
          <t>Unknown User:
SUPPLY &amp; INSTALLATION OF NEW SHOWER WALL TOP TAPS
REPLACEMENT OF BOTTOM INLET CISTERN FILLING VALVE</t>
        </r>
      </text>
    </comment>
    <comment ref="G463" authorId="0" shapeId="0" xr:uid="{56540CC5-9174-4910-A634-7D276CF7AE91}">
      <text>
        <r>
          <rPr>
            <sz val="11"/>
            <color theme="1"/>
            <rFont val="Aptos Narrow"/>
            <family val="2"/>
            <scheme val="minor"/>
          </rPr>
          <t xml:space="preserve">Unknown User:
COMPLETE SERVICE OF WALL TOP TAPS ASSEMBLY
REPLACEMENT OF BOTTOM INLET CISTERN FILLING VALVE
</t>
        </r>
      </text>
    </comment>
    <comment ref="G467" authorId="0" shapeId="0" xr:uid="{1A4836EF-4C57-4950-8DE2-93216AEB6525}">
      <text>
        <r>
          <rPr>
            <sz val="11"/>
            <color theme="1"/>
            <rFont val="Aptos Narrow"/>
            <family val="2"/>
            <scheme val="minor"/>
          </rPr>
          <t>Unknown User:
HIGH POWERED JET BLAST &amp; CCTV DRAIN CAMERA INSPECTION (SEWER SERVICE)</t>
        </r>
      </text>
    </comment>
    <comment ref="G468" authorId="0" shapeId="0" xr:uid="{0FA13EDD-1BCA-4408-B08C-EBF64194580A}">
      <text>
        <r>
          <rPr>
            <sz val="11"/>
            <color theme="1"/>
            <rFont val="Aptos Narrow"/>
            <family val="2"/>
            <scheme val="minor"/>
          </rPr>
          <t>Unknown User:
SEARCH &amp; INVESTIGATION OF GAS STORAGE HOT WATER SYSTEM</t>
        </r>
      </text>
    </comment>
    <comment ref="G469" authorId="0" shapeId="0" xr:uid="{27A4C69F-B2CA-4D98-B6F2-262B0625D504}">
      <text>
        <r>
          <rPr>
            <sz val="11"/>
            <color theme="1"/>
            <rFont val="Aptos Narrow"/>
            <family val="2"/>
            <scheme val="minor"/>
          </rPr>
          <t>Unknown User:
SUPPLY &amp; INSTALLATION OF GAS STORAGE HOT WATER SYSTEM (EXTERNAL)</t>
        </r>
      </text>
    </comment>
    <comment ref="G501" authorId="0" shapeId="0" xr:uid="{E86A60C0-F31B-4AF5-9134-1C7F9A1F16A9}">
      <text>
        <r>
          <rPr>
            <sz val="11"/>
            <color theme="1"/>
            <rFont val="Aptos Narrow"/>
            <family val="2"/>
            <scheme val="minor"/>
          </rPr>
          <t>Unknown User:
SEARCH &amp; INVESTIGATION OF GAS STORAGE HOT WATER SYSTEM</t>
        </r>
      </text>
    </comment>
    <comment ref="G502" authorId="0" shapeId="0" xr:uid="{11322673-A78C-47B8-93AA-AB912916D196}">
      <text>
        <r>
          <rPr>
            <sz val="11"/>
            <color theme="1"/>
            <rFont val="Aptos Narrow"/>
            <family val="2"/>
            <scheme val="minor"/>
          </rPr>
          <t>Unknown User:
SUPPLY &amp; INSTALLATION OF GAS STORAGE HOT WATER SYSTEM (INTERNAL)
CREDIT OF SEARCH &amp; INVESTIGATION
$220 CASHBACK - SEPTEMBER</t>
        </r>
      </text>
    </comment>
    <comment ref="M502" authorId="0" shapeId="0" xr:uid="{67A16B29-AE2B-4632-A044-51B0F5BB54D6}">
      <text>
        <r>
          <rPr>
            <sz val="11"/>
            <color theme="1"/>
            <rFont val="Aptos Narrow"/>
            <family val="2"/>
            <scheme val="minor"/>
          </rPr>
          <t>Unknown User:
Smartpay receipt of $655.60 not uploaded by plumber.
Uploaded by Modoras team.</t>
        </r>
      </text>
    </comment>
    <comment ref="P502" authorId="0" shapeId="0" xr:uid="{6ACC19D2-B4EB-4FAB-8BBB-1537B43E9E20}">
      <text>
        <r>
          <rPr>
            <sz val="11"/>
            <color theme="1"/>
            <rFont val="Aptos Narrow"/>
            <family val="2"/>
            <scheme val="minor"/>
          </rPr>
          <t>Unknown User:
Quote not emailed</t>
        </r>
      </text>
    </comment>
    <comment ref="G503" authorId="0" shapeId="0" xr:uid="{24C02942-47D3-45A3-81EC-A4D9FF5E100C}">
      <text>
        <r>
          <rPr>
            <sz val="11"/>
            <color theme="1"/>
            <rFont val="Aptos Narrow"/>
            <family val="2"/>
            <scheme val="minor"/>
          </rPr>
          <t>Unknown User:
SEARCH &amp; INVESTIGATION OF GAS STORAGE HOT WATER SYSTEM</t>
        </r>
      </text>
    </comment>
    <comment ref="W503" authorId="0" shapeId="0" xr:uid="{5EA96D42-3DC1-4340-AA75-975C4F9BD1E2}">
      <text>
        <r>
          <rPr>
            <sz val="11"/>
            <color theme="1"/>
            <rFont val="Aptos Narrow"/>
            <family val="2"/>
            <scheme val="minor"/>
          </rPr>
          <t>Unknown User:
Cash denomination
$50*1=$50
$20*1=$20
$5*1=$5
50*14=$700
Total cash=$775
Overpayment by $25.90
No notes provided by plumber regarding overpayment or return of balance to customer.</t>
        </r>
      </text>
    </comment>
    <comment ref="G504" authorId="0" shapeId="0" xr:uid="{306EAC1E-5DF6-440D-8CB8-2B0D2B197323}">
      <text>
        <r>
          <rPr>
            <sz val="11"/>
            <color theme="1"/>
            <rFont val="Aptos Narrow"/>
            <family val="2"/>
            <scheme val="minor"/>
          </rPr>
          <t>Unknown User:
SUPPLY &amp; INSTALLATION OF NEW SHOWER WALL TOP TAPS</t>
        </r>
      </text>
    </comment>
    <comment ref="G505" authorId="0" shapeId="0" xr:uid="{02FE3514-4DE6-4256-908A-BE6924B8FEEB}">
      <text>
        <r>
          <rPr>
            <sz val="11"/>
            <color theme="1"/>
            <rFont val="Aptos Narrow"/>
            <family val="2"/>
            <scheme val="minor"/>
          </rPr>
          <t xml:space="preserve">Unknown User:
SEARCH &amp; INVESTIGATION (GENERAL)
</t>
        </r>
      </text>
    </comment>
    <comment ref="G506" authorId="0" shapeId="0" xr:uid="{C3720A82-EA3F-430C-8FFB-3EDB290B080E}">
      <text>
        <r>
          <rPr>
            <sz val="11"/>
            <color theme="1"/>
            <rFont val="Aptos Narrow"/>
            <family val="2"/>
            <scheme val="minor"/>
          </rPr>
          <t>Unknown User:
WATER SERVICE RECTIFICATION (Under Roof tiles)</t>
        </r>
      </text>
    </comment>
    <comment ref="U506" authorId="0" shapeId="0" xr:uid="{0E78CDE9-2295-4002-B8C3-FA436296CB6D}">
      <text>
        <r>
          <rPr>
            <sz val="11"/>
            <color theme="1"/>
            <rFont val="Aptos Narrow"/>
            <family val="2"/>
            <scheme val="minor"/>
          </rPr>
          <t>Unknown User:
11/9-As per Kylie's note "Spoke to Victoria's lawyer Darren Olney 0438092054. Darren was extremely aggressive UM took over the call and advised he send an email to info. Darren was demanding the details of the company solicitor"</t>
        </r>
      </text>
    </comment>
    <comment ref="G507" authorId="0" shapeId="0" xr:uid="{E60ABD68-5968-4BCC-A058-D91BCC6802A9}">
      <text>
        <r>
          <rPr>
            <sz val="11"/>
            <color theme="1"/>
            <rFont val="Aptos Narrow"/>
            <family val="2"/>
            <scheme val="minor"/>
          </rPr>
          <t>Unknown User:
DISCONNECT WASHING MACHINE &amp; MAKE SAFE</t>
        </r>
      </text>
    </comment>
    <comment ref="G508" authorId="0" shapeId="0" xr:uid="{FF872586-49E1-4563-B1BA-198203AB5560}">
      <text>
        <r>
          <rPr>
            <sz val="11"/>
            <color theme="1"/>
            <rFont val="Aptos Narrow"/>
            <family val="2"/>
            <scheme val="minor"/>
          </rPr>
          <t>Unknown User:
SEARCH &amp; INVESTIGATION OF GAS STORAGE HOT WATER SYSTEM</t>
        </r>
      </text>
    </comment>
    <comment ref="W508" authorId="0" shapeId="0" xr:uid="{A142D32E-1361-4AA5-8D65-4ED6D10D0584}">
      <text>
        <r>
          <rPr>
            <sz val="11"/>
            <color theme="1"/>
            <rFont val="Aptos Narrow"/>
            <family val="2"/>
            <scheme val="minor"/>
          </rPr>
          <t>Unknown User:
Cash denomination
$50*1=$50</t>
        </r>
      </text>
    </comment>
    <comment ref="G509" authorId="0" shapeId="0" xr:uid="{45100608-42EC-42FC-9541-CE2ED29BA038}">
      <text>
        <r>
          <rPr>
            <sz val="11"/>
            <color theme="1"/>
            <rFont val="Aptos Narrow"/>
            <family val="2"/>
            <scheme val="minor"/>
          </rPr>
          <t xml:space="preserve">Unknown User:
HIGH POWERED JET BLAST &amp; CCTV DRAIN CAMERA INSPECTION (SEWER SERVICE)
</t>
        </r>
      </text>
    </comment>
    <comment ref="G510" authorId="0" shapeId="0" xr:uid="{4F5C4B82-8128-4980-BD12-F587211F3A57}">
      <text>
        <r>
          <rPr>
            <sz val="11"/>
            <color theme="1"/>
            <rFont val="Aptos Narrow"/>
            <family val="2"/>
            <scheme val="minor"/>
          </rPr>
          <t>Unknown User:
SEARCH &amp; INVESTIGATION OF GAS STORAGE HOT WATER SYSTEM
$65 First Service Discount</t>
        </r>
      </text>
    </comment>
    <comment ref="W510" authorId="0" shapeId="0" xr:uid="{62F4B2AD-E7BB-4E1A-B9F2-D27E531031FA}">
      <text>
        <r>
          <rPr>
            <sz val="11"/>
            <color theme="1"/>
            <rFont val="Aptos Narrow"/>
            <family val="2"/>
            <scheme val="minor"/>
          </rPr>
          <t>Unknown User:
Cash denomination
$100*1=$100</t>
        </r>
      </text>
    </comment>
    <comment ref="G511" authorId="0" shapeId="0" xr:uid="{93EB8000-4526-4BE2-9483-DF20C18D0DED}">
      <text>
        <r>
          <rPr>
            <sz val="11"/>
            <color theme="1"/>
            <rFont val="Aptos Narrow"/>
            <family val="2"/>
            <scheme val="minor"/>
          </rPr>
          <t>Unknown User:
SEARCH &amp; INVESTIGATION OF GAS STORAGE HOT WATER SYSTEM</t>
        </r>
      </text>
    </comment>
    <comment ref="G516" authorId="0" shapeId="0" xr:uid="{F41F9A03-4622-4EFF-BEF4-08D1DF428647}">
      <text>
        <r>
          <rPr>
            <sz val="11"/>
            <color theme="1"/>
            <rFont val="Aptos Narrow"/>
            <family val="2"/>
            <scheme val="minor"/>
          </rPr>
          <t xml:space="preserve">Unknown User:
SUPPLY &amp; INSTALLATION OF GAS STORAGE HOT WATER SYSTEM (EXTERNAL)
10% Seniors &amp; Pensioners Discount </t>
        </r>
      </text>
    </comment>
    <comment ref="G517" authorId="0" shapeId="0" xr:uid="{2D4BDB75-1FC4-46F7-BEFA-B49BCDB37075}">
      <text>
        <r>
          <rPr>
            <sz val="11"/>
            <color theme="1"/>
            <rFont val="Aptos Narrow"/>
            <family val="2"/>
            <scheme val="minor"/>
          </rPr>
          <t xml:space="preserve">Unknown User:
REPLACEMENT OF CISTERN FILLING &amp; DUAL FLUSH VALVES AND SEAL BETWEEN CLOSE COUPLED CISTERN &amp; PAN
</t>
        </r>
      </text>
    </comment>
    <comment ref="V517" authorId="0" shapeId="0" xr:uid="{717DEE5F-BAFB-434F-95FB-35E1DE5B75E7}">
      <text>
        <r>
          <rPr>
            <sz val="11"/>
            <color theme="1"/>
            <rFont val="Aptos Narrow"/>
            <family val="2"/>
            <scheme val="minor"/>
          </rPr>
          <t>Unknown User:
9/9-PP of $1446.39 settled (ZIP)- $71.93 fee</t>
        </r>
      </text>
    </comment>
    <comment ref="A518" authorId="2" shapeId="0" xr:uid="{D6AB7C2D-7554-4DDA-803A-7D82FB1B1582}">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518" authorId="0" shapeId="0" xr:uid="{373D7CCC-3898-451B-987B-301E645E0F8A}">
      <text>
        <r>
          <rPr>
            <sz val="11"/>
            <color theme="1"/>
            <rFont val="Aptos Narrow"/>
            <family val="2"/>
            <scheme val="minor"/>
          </rPr>
          <t>Unknown User:
SEWER SPOT DIG - IN GROUND
10% Loyalty Discount</t>
        </r>
      </text>
    </comment>
    <comment ref="V518" authorId="0" shapeId="0" xr:uid="{C67FEB97-CB5C-42AD-B673-1CFB27A28CB1}">
      <text>
        <r>
          <rPr>
            <sz val="11"/>
            <color theme="1"/>
            <rFont val="Aptos Narrow"/>
            <family val="2"/>
            <scheme val="minor"/>
          </rPr>
          <t>Unknown User:
8/9-EFT of $7663.86 initiated</t>
        </r>
      </text>
    </comment>
    <comment ref="A519" authorId="3" shapeId="0" xr:uid="{1F4CED11-15C5-4588-BC52-F49701E335E3}">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519" authorId="0" shapeId="0" xr:uid="{1011F997-0B15-42A1-B3F3-01E494199BCD}">
      <text>
        <r>
          <rPr>
            <sz val="11"/>
            <color theme="1"/>
            <rFont val="Aptos Narrow"/>
            <family val="2"/>
            <scheme val="minor"/>
          </rPr>
          <t>Unknown User:
CONVERT SOLAR SPLIT HOT WATER SYSTEM TO EXTERNAL GAS INSTANTANEOUS HOT WATER SYSTEM
CREDIT OF SEARCH &amp; INVESTIGATION</t>
        </r>
      </text>
    </comment>
    <comment ref="G520" authorId="0" shapeId="0" xr:uid="{130C45AF-391B-47C4-91A5-4EC8CE8135FB}">
      <text>
        <r>
          <rPr>
            <sz val="11"/>
            <color theme="1"/>
            <rFont val="Aptos Narrow"/>
            <family val="2"/>
            <scheme val="minor"/>
          </rPr>
          <t xml:space="preserve">Unknown User:
INSTALLATION OF NEW INSET BASIN (CUSTOMER SUPPLIED)
</t>
        </r>
      </text>
    </comment>
    <comment ref="G524" authorId="0" shapeId="0" xr:uid="{6A233491-46D9-42B1-8409-6C06CABE184F}">
      <text>
        <r>
          <rPr>
            <sz val="11"/>
            <color theme="1"/>
            <rFont val="Aptos Narrow"/>
            <family val="2"/>
            <scheme val="minor"/>
          </rPr>
          <t>Unknown User:
HIGH POWERED JET BLAST &amp; CCTV DRAIN CAMERA INSPECTION (SEWER SERVICE)</t>
        </r>
      </text>
    </comment>
    <comment ref="G528" authorId="0" shapeId="0" xr:uid="{465813D6-E518-40B2-A745-1DB233C18735}">
      <text>
        <r>
          <rPr>
            <sz val="11"/>
            <color theme="1"/>
            <rFont val="Aptos Narrow"/>
            <family val="2"/>
            <scheme val="minor"/>
          </rPr>
          <t xml:space="preserve">Unknown User:
REPLACEMENT OF SEWER SHAFT
10% Seniors &amp; Pensioners Discount </t>
        </r>
      </text>
    </comment>
    <comment ref="M528" authorId="0" shapeId="0" xr:uid="{4121AE08-7700-4753-B976-D6359ADB2382}">
      <text>
        <r>
          <rPr>
            <sz val="11"/>
            <color theme="1"/>
            <rFont val="Aptos Narrow"/>
            <family val="2"/>
            <scheme val="minor"/>
          </rPr>
          <t>Unknown User:
Smartpay receipt of $2000 dt.11/9 not uploaded by plumber.
Uploaded by Modoras team.</t>
        </r>
      </text>
    </comment>
    <comment ref="G532" authorId="0" shapeId="0" xr:uid="{343ED036-B339-47F0-975E-1C8FFFC78E17}">
      <text>
        <r>
          <rPr>
            <sz val="11"/>
            <color theme="1"/>
            <rFont val="Aptos Narrow"/>
            <family val="2"/>
            <scheme val="minor"/>
          </rPr>
          <t>Unknown User:
COMPLETE SERVICE OF WALL TOP TAPS ASSEMBLY
$39 Tap Services Discount</t>
        </r>
      </text>
    </comment>
    <comment ref="D537" authorId="0" shapeId="0" xr:uid="{A481560B-359B-44A5-89E9-E800CB2C66EF}">
      <text>
        <r>
          <rPr>
            <sz val="11"/>
            <color theme="1"/>
            <rFont val="Aptos Narrow"/>
            <family val="2"/>
            <scheme val="minor"/>
          </rPr>
          <t>Unknown User:
Job #71781 wasn't confirmed until 31/7. On 1/8, Job #71949 was confirmed.</t>
        </r>
      </text>
    </comment>
    <comment ref="G537" authorId="0" shapeId="0" xr:uid="{9C4BDCA4-0F2C-4B54-8B58-7D743EEF954C}">
      <text>
        <r>
          <rPr>
            <sz val="11"/>
            <color theme="1"/>
            <rFont val="Aptos Narrow"/>
            <family val="2"/>
            <scheme val="minor"/>
          </rPr>
          <t xml:space="preserve">Unknown User:
SEWER STACK REPAIR - IN CEILING 
Obtain sewer diagram
Set up safe work area
Set up builders plastic
Mark out plaster ceiling 
Cut &amp; removal of plaster ceiling 
Expose existing section of sewer service up to 1.5M
Expose existing sewer junctions
Cut &amp; remove existing section of sewer service up to 1.5M
Cut &amp; remove existing sewer junctions
Gain access to sewer service
Set up high-powered Jet Blaster
Set up high-powered mini reel
Set up high-powered Turbines
Jet Blast sewer service
Re-camera and investigate further
Supply &amp; install new section of sewer service up to 1.5M
Supply &amp; installation of new sewer junctions
Supply &amp; installation of new I/O inspection point
Supply &amp; install new PVC fittings
Connect new section of sewer service to existing sewer service
Test &amp; commission installation
Removal of trade waste
PLEASE NOTE IF FURTHER WORK REQUIRED OTHER THEN QUOTED WORK FURTHER COST WILL APPLY. QUOTE DOES NOT INCLUDE PLASTER REINSTATEMENT </t>
        </r>
      </text>
    </comment>
    <comment ref="N537" authorId="0" shapeId="0" xr:uid="{5A2CF053-1D6E-4746-B6EB-EF714DCB5E53}">
      <text>
        <r>
          <rPr>
            <sz val="11"/>
            <color theme="1"/>
            <rFont val="Aptos Narrow"/>
            <family val="2"/>
            <scheme val="minor"/>
          </rPr>
          <t>Unknown User:
Quote raised in Job #71781</t>
        </r>
      </text>
    </comment>
    <comment ref="P537" authorId="0" shapeId="0" xr:uid="{C5540F63-C450-4E89-8C8A-5C62A2736814}">
      <text>
        <r>
          <rPr>
            <sz val="11"/>
            <color theme="1"/>
            <rFont val="Aptos Narrow"/>
            <family val="2"/>
            <scheme val="minor"/>
          </rPr>
          <t>Unknown User:
Quote not emailed</t>
        </r>
      </text>
    </comment>
    <comment ref="U537" authorId="0" shapeId="0" xr:uid="{C626E3EC-9ECD-4B66-A0DD-7E70D62F5C92}">
      <text>
        <r>
          <rPr>
            <sz val="11"/>
            <color theme="1"/>
            <rFont val="Aptos Narrow"/>
            <family val="2"/>
            <scheme val="minor"/>
          </rPr>
          <t>Unknown User:
4/8-As per Elliot's note "Called ed on the way and no answer, have text to say we are here. Waiting 10 more minutes and then moving on, all is needed is a camera and to collect final payment for job"</t>
        </r>
      </text>
    </comment>
    <comment ref="V537" authorId="0" shapeId="0" xr:uid="{04E70E4D-8313-4E3D-9819-E9A143FE260E}">
      <text>
        <r>
          <rPr>
            <sz val="11"/>
            <color theme="1"/>
            <rFont val="Aptos Narrow"/>
            <family val="2"/>
            <scheme val="minor"/>
          </rPr>
          <t>Unknown User:
05/08 Received $754.59 Card</t>
        </r>
      </text>
    </comment>
    <comment ref="G538" authorId="0" shapeId="0" xr:uid="{8BE94E1C-C035-415B-A219-9AC5E492AED6}">
      <text>
        <r>
          <rPr>
            <sz val="11"/>
            <color theme="1"/>
            <rFont val="Aptos Narrow"/>
            <family val="2"/>
            <scheme val="minor"/>
          </rPr>
          <t xml:space="preserve">Unknown User:
SPECIALIST GAS LEAK DETECTION
</t>
        </r>
      </text>
    </comment>
    <comment ref="G543" authorId="0" shapeId="0" xr:uid="{0F432BA8-C2FE-4B21-9102-7423F6DDDDEA}">
      <text>
        <r>
          <rPr>
            <sz val="11"/>
            <color theme="1"/>
            <rFont val="Aptos Narrow"/>
            <family val="2"/>
            <scheme val="minor"/>
          </rPr>
          <t>Unknown User:
CONVERSION OF GRAVITY HOT WATER UNIT TO EXTERNAL GAS INSTANTANEOUS HOT WATER UNIT</t>
        </r>
      </text>
    </comment>
    <comment ref="G544" authorId="0" shapeId="0" xr:uid="{4361776B-95BA-4AD4-98A5-513E6DA378EF}">
      <text>
        <r>
          <rPr>
            <sz val="11"/>
            <color theme="1"/>
            <rFont val="Aptos Narrow"/>
            <family val="2"/>
            <scheme val="minor"/>
          </rPr>
          <t>Unknown User:
SUPPLY &amp; INSTALLATION OF GAS STORAGE HOT WATER SYSTEM (EXTERNAL)</t>
        </r>
      </text>
    </comment>
    <comment ref="W544" authorId="0" shapeId="0" xr:uid="{0F757816-38E9-4D3B-9CBA-2FCFF66F70A5}">
      <text>
        <r>
          <rPr>
            <sz val="11"/>
            <color theme="1"/>
            <rFont val="Aptos Narrow"/>
            <family val="2"/>
            <scheme val="minor"/>
          </rPr>
          <t>Unknown User:
Cash denomination
$20*1=$20
$5*1=$5
$50*15=$750
$10*1=$10
Total cash=$785</t>
        </r>
      </text>
    </comment>
    <comment ref="G545" authorId="0" shapeId="0" xr:uid="{C55A4B73-7700-4B99-B3E2-A939763285B2}">
      <text>
        <r>
          <rPr>
            <sz val="11"/>
            <color theme="1"/>
            <rFont val="Aptos Narrow"/>
            <family val="2"/>
            <scheme val="minor"/>
          </rPr>
          <t>Unknown User:
SUPPLY &amp; INSTALLATION OF NEW INSTANTANEOUS GAS HOT WATER SYSTEM (EXTERNAL)</t>
        </r>
      </text>
    </comment>
    <comment ref="G548" authorId="0" shapeId="0" xr:uid="{4ABABDE4-94C5-418B-8A60-3F45D2F58431}">
      <text>
        <r>
          <rPr>
            <sz val="11"/>
            <color theme="1"/>
            <rFont val="Aptos Narrow"/>
            <family val="2"/>
            <scheme val="minor"/>
          </rPr>
          <t>Unknown User:
INSTALLATION OF SHOWER ON RAIL (CUSTOMER SUPPLIED)</t>
        </r>
      </text>
    </comment>
    <comment ref="G549" authorId="0" shapeId="0" xr:uid="{A09BAD1C-F139-4F00-95E0-7537F7102D4F}">
      <text>
        <r>
          <rPr>
            <sz val="11"/>
            <color theme="1"/>
            <rFont val="Aptos Narrow"/>
            <family val="2"/>
            <scheme val="minor"/>
          </rPr>
          <t xml:space="preserve">Unknown User:
SUPPLY &amp; INSTALLATION OF GAS STORAGE HOT WATER SYSTEM (EXTERNAL)
</t>
        </r>
      </text>
    </comment>
    <comment ref="G550" authorId="0" shapeId="0" xr:uid="{C68772EC-3A2C-46E7-B49C-718B9552B58A}">
      <text>
        <r>
          <rPr>
            <sz val="11"/>
            <color theme="1"/>
            <rFont val="Aptos Narrow"/>
            <family val="2"/>
            <scheme val="minor"/>
          </rPr>
          <t>Unknown User:
SUPPLY &amp; INSTALLATION OF NEW COPPER GAS SERVICE UP TO 30M ()
10% Seniors &amp; Pensioners Discount</t>
        </r>
      </text>
    </comment>
    <comment ref="G551" authorId="0" shapeId="0" xr:uid="{24010D65-DB0A-41CC-BB48-4744FEA5B424}">
      <text>
        <r>
          <rPr>
            <sz val="11"/>
            <color theme="1"/>
            <rFont val="Aptos Narrow"/>
            <family val="2"/>
            <scheme val="minor"/>
          </rPr>
          <t xml:space="preserve">Unknown User:
SUPPLY &amp; INSTALLATION OF NEW ARCO HOSE TAP
</t>
        </r>
      </text>
    </comment>
    <comment ref="G552" authorId="0" shapeId="0" xr:uid="{E69E8EA4-0BF4-4388-9C37-858C33B4594E}">
      <text>
        <r>
          <rPr>
            <sz val="11"/>
            <color theme="1"/>
            <rFont val="Aptos Narrow"/>
            <family val="2"/>
            <scheme val="minor"/>
          </rPr>
          <t xml:space="preserve">Unknown User:
INSTALLATION OF SEMI-RECESSED BASIN (CUSTOMER SUPPLIED)
</t>
        </r>
      </text>
    </comment>
    <comment ref="G553" authorId="0" shapeId="0" xr:uid="{FFE03115-877A-475A-BDE0-7C24DB3B98A2}">
      <text>
        <r>
          <rPr>
            <sz val="11"/>
            <color theme="1"/>
            <rFont val="Aptos Narrow"/>
            <family val="2"/>
            <scheme val="minor"/>
          </rPr>
          <t>Unknown User:
SUPPLY &amp; INSTALLATION OF GAS STORAGE HOT WATER SYSTEM (EXTERNAL)</t>
        </r>
      </text>
    </comment>
    <comment ref="G554" authorId="0" shapeId="0" xr:uid="{7BCB3A6C-B0C6-4A2C-979A-F43C5B808360}">
      <text>
        <r>
          <rPr>
            <sz val="11"/>
            <color theme="1"/>
            <rFont val="Aptos Narrow"/>
            <family val="2"/>
            <scheme val="minor"/>
          </rPr>
          <t>Unknown User:
SUPPLY &amp; INSTALLATION OF NEW INSTANTANEOUS GAS HOT WATER SYSTEM (EXTERNAL)</t>
        </r>
      </text>
    </comment>
    <comment ref="G555" authorId="0" shapeId="0" xr:uid="{1462D714-ACEC-4B5C-BF84-34C0F247DB58}">
      <text>
        <r>
          <rPr>
            <sz val="11"/>
            <color theme="1"/>
            <rFont val="Aptos Narrow"/>
            <family val="2"/>
            <scheme val="minor"/>
          </rPr>
          <t xml:space="preserve">Unknown User:
SUPPLY &amp; INSTALLATION OF NEW COPPER GAS SERVICE UP TO 40M (REPLACEMENT OF EXISTING GALVANISED GAS SERVICE)
</t>
        </r>
      </text>
    </comment>
    <comment ref="G556" authorId="0" shapeId="0" xr:uid="{8EC99D55-4F7E-4052-B22C-FB37FA791C7C}">
      <text>
        <r>
          <rPr>
            <sz val="11"/>
            <color theme="1"/>
            <rFont val="Aptos Narrow"/>
            <family val="2"/>
            <scheme val="minor"/>
          </rPr>
          <t>Unknown User:
SEWER SPOT DIG - IN GROUND
CREDIT HIGH POWERED JETBLAST &amp; CCTV CAMERA</t>
        </r>
      </text>
    </comment>
    <comment ref="K556" authorId="0" shapeId="0" xr:uid="{38DF9A85-E8AF-4C4C-B9AB-3AF7E29BBCF4}">
      <text>
        <r>
          <rPr>
            <sz val="11"/>
            <color theme="1"/>
            <rFont val="Aptos Narrow"/>
            <family val="2"/>
            <scheme val="minor"/>
          </rPr>
          <t>Unknown User:
Previous job #73246 pics considered</t>
        </r>
      </text>
    </comment>
    <comment ref="G557" authorId="0" shapeId="0" xr:uid="{E2D1AA42-AADC-490A-B25A-DC01497F86ED}">
      <text>
        <r>
          <rPr>
            <sz val="11"/>
            <color theme="1"/>
            <rFont val="Aptos Narrow"/>
            <family val="2"/>
            <scheme val="minor"/>
          </rPr>
          <t xml:space="preserve">Unknown User:
REPLACEMENT OF BASIN SET
</t>
        </r>
      </text>
    </comment>
    <comment ref="G558" authorId="0" shapeId="0" xr:uid="{AD659FC4-CE4A-48CE-AC78-327976CD6764}">
      <text>
        <r>
          <rPr>
            <sz val="11"/>
            <color theme="1"/>
            <rFont val="Aptos Narrow"/>
            <family val="2"/>
            <scheme val="minor"/>
          </rPr>
          <t xml:space="preserve">Unknown User:
Vent pipe installation </t>
        </r>
      </text>
    </comment>
    <comment ref="G559" authorId="0" shapeId="0" xr:uid="{2BA28C12-094E-4F03-9953-28E542913117}">
      <text>
        <r>
          <rPr>
            <sz val="11"/>
            <color theme="1"/>
            <rFont val="Aptos Narrow"/>
            <family val="2"/>
            <scheme val="minor"/>
          </rPr>
          <t xml:space="preserve">Unknown User:
HIGH POWERED SUCTION &amp; ACID TREATMENT
</t>
        </r>
      </text>
    </comment>
    <comment ref="G560" authorId="0" shapeId="0" xr:uid="{3825C4A0-A441-4A83-92DF-AECE07DEDABE}">
      <text>
        <r>
          <rPr>
            <sz val="11"/>
            <color theme="1"/>
            <rFont val="Aptos Narrow"/>
            <family val="2"/>
            <scheme val="minor"/>
          </rPr>
          <t xml:space="preserve">Unknown User:
INSTALLATION OF NEW INSTANTANEOUS GAS HOT WATER SYSTEM (EXTERNAL - CUSTOMER SUPPLIED)
SUPPLY &amp; INSTALLATION OF DUEL STAGE LPG REGULATOR
</t>
        </r>
      </text>
    </comment>
    <comment ref="G561" authorId="0" shapeId="0" xr:uid="{F63758D8-9FDA-4E24-B3F2-4CA50EA32560}">
      <text>
        <r>
          <rPr>
            <sz val="11"/>
            <color theme="1"/>
            <rFont val="Aptos Narrow"/>
            <family val="2"/>
            <scheme val="minor"/>
          </rPr>
          <t>Unknown User:
SUPPLY &amp; INSTALLATION OF GAS STORAGE HOT WATER SYSTEM (EXTERNAL)
CREDIT OF SEARCH &amp; INVESTIGATION</t>
        </r>
      </text>
    </comment>
    <comment ref="G562" authorId="0" shapeId="0" xr:uid="{27532033-A92E-4825-9D93-1A0379FFAF57}">
      <text>
        <r>
          <rPr>
            <sz val="11"/>
            <color theme="1"/>
            <rFont val="Aptos Narrow"/>
            <family val="2"/>
            <scheme val="minor"/>
          </rPr>
          <t>Unknown User:
CCTV DRAIN CAMERA INSPECTION OF SEWER SERVICE</t>
        </r>
      </text>
    </comment>
    <comment ref="G563" authorId="0" shapeId="0" xr:uid="{6F9CA02A-6E2C-4409-B67C-778BE46C0307}">
      <text>
        <r>
          <rPr>
            <sz val="11"/>
            <color theme="1"/>
            <rFont val="Aptos Narrow"/>
            <family val="2"/>
            <scheme val="minor"/>
          </rPr>
          <t>Unknown User:
WATER SERVICE RECTIFICATION (IN CONCRETE)</t>
        </r>
      </text>
    </comment>
    <comment ref="G564" authorId="0" shapeId="0" xr:uid="{F3CC9FFB-1257-4EC5-9C72-96B779B35A31}">
      <text>
        <r>
          <rPr>
            <sz val="11"/>
            <color theme="1"/>
            <rFont val="Aptos Narrow"/>
            <family val="2"/>
            <scheme val="minor"/>
          </rPr>
          <t>Unknown User:
CONVERT SOLAR SPLIT HOT WATER SYSTEM TO EXTERNAL GAS INSTANTANEOUS HOT WATER SYSTEM
5% Good Will Discount</t>
        </r>
      </text>
    </comment>
    <comment ref="G565" authorId="0" shapeId="0" xr:uid="{2CDA24FD-2610-4BD5-9409-C58CD6D2A200}">
      <text>
        <r>
          <rPr>
            <sz val="11"/>
            <color theme="1"/>
            <rFont val="Aptos Narrow"/>
            <family val="2"/>
            <scheme val="minor"/>
          </rPr>
          <t>Unknown User:
DECOMMISSION OF EXISTING FREE STANDING OVEN AND GAS COOKTOP &amp; MAKE SAFE
$65 First Service Discount</t>
        </r>
      </text>
    </comment>
    <comment ref="E586" authorId="4" shapeId="0" xr:uid="{E157193A-50CD-4EDA-AD51-762C66EBD133}">
      <text>
        <t>[Threaded comment]
Your version of Excel allows you to read this threaded comment; however, any edits to it will get removed if the file is opened in a newer version of Excel. Learn more: https://go.microsoft.com/fwlink/?linkid=870924
Comment:
    Stock</t>
      </text>
    </comment>
    <comment ref="E587" authorId="5" shapeId="0" xr:uid="{E977AAC3-CB40-4EA6-953F-CE299362DB30}">
      <text>
        <t>[Threaded comment]
Your version of Excel allows you to read this threaded comment; however, any edits to it will get removed if the file is opened in a newer version of Excel. Learn more: https://go.microsoft.com/fwlink/?linkid=870924
Comment:
    Stock</t>
      </text>
    </comment>
    <comment ref="G597" authorId="0" shapeId="0" xr:uid="{D03F0C69-F7E8-4298-B5F3-66CF7BA6DF3A}">
      <text>
        <r>
          <rPr>
            <sz val="11"/>
            <color theme="1"/>
            <rFont val="Aptos Narrow"/>
            <family val="2"/>
            <scheme val="minor"/>
          </rPr>
          <t xml:space="preserve">Unknown User:
SEARCH AND INVESTIGATION OF HEAT PUMP
</t>
        </r>
      </text>
    </comment>
    <comment ref="G598" authorId="0" shapeId="0" xr:uid="{827A59E5-14C2-49CA-A739-C7582B70D296}">
      <text>
        <r>
          <rPr>
            <sz val="11"/>
            <color theme="1"/>
            <rFont val="Aptos Narrow"/>
            <family val="2"/>
            <scheme val="minor"/>
          </rPr>
          <t xml:space="preserve">Unknown User:
HIGH POWERED JET BLAST &amp; CCTV DRAIN CAMERA INSPECTION (SEWER SERVICE)
</t>
        </r>
      </text>
    </comment>
    <comment ref="M598" authorId="0" shapeId="0" xr:uid="{8798E162-CC5E-422E-9FC9-25CD1BB21A10}">
      <text>
        <r>
          <rPr>
            <sz val="11"/>
            <color theme="1"/>
            <rFont val="Aptos Narrow"/>
            <family val="2"/>
            <scheme val="minor"/>
          </rPr>
          <t>Unknown User:
Smartpay receipt of $126 not uploaded by plumber.
Uploaded by Modoras team.</t>
        </r>
      </text>
    </comment>
    <comment ref="Q598" authorId="0" shapeId="0" xr:uid="{FF406107-BE81-4F7C-9D3A-F52257D9AED4}">
      <text>
        <r>
          <rPr>
            <sz val="11"/>
            <color theme="1"/>
            <rFont val="Aptos Narrow"/>
            <family val="2"/>
            <scheme val="minor"/>
          </rPr>
          <t>Unknown User:
Progress &amp; Final invoice not raised</t>
        </r>
      </text>
    </comment>
    <comment ref="G599" authorId="0" shapeId="0" xr:uid="{C38413A4-F5F0-4EA8-9213-DF9906D02CC5}">
      <text>
        <r>
          <rPr>
            <sz val="11"/>
            <color theme="1"/>
            <rFont val="Aptos Narrow"/>
            <family val="2"/>
            <scheme val="minor"/>
          </rPr>
          <t>Unknown User:
MIXER TAP - STANDARD
$85 Off First Service</t>
        </r>
      </text>
    </comment>
    <comment ref="G600" authorId="0" shapeId="0" xr:uid="{7437D09F-1455-4291-A0E9-1249DD30B2FA}">
      <text>
        <r>
          <rPr>
            <sz val="11"/>
            <color theme="1"/>
            <rFont val="Aptos Narrow"/>
            <family val="2"/>
            <scheme val="minor"/>
          </rPr>
          <t>Unknown User:
SEARCH &amp; INVESTIGATION OF GAS STORAGE HOT WATER SYSTEM</t>
        </r>
      </text>
    </comment>
    <comment ref="U600" authorId="0" shapeId="0" xr:uid="{55366020-C8CB-4804-80DD-3F6EAD30F902}">
      <text>
        <r>
          <rPr>
            <sz val="11"/>
            <color theme="1"/>
            <rFont val="Aptos Narrow"/>
            <family val="2"/>
            <scheme val="minor"/>
          </rPr>
          <t>Unknown User:
16/9-Joshua G "Ayesha: Not happy said its revolting in terms of HWS much money he was charged he paid $700 for a compliance check 'where the plumbers to "have a look "then they quoted him $7000 to actually fix the HWS and it didn't have a breakdown and everything has remained the same, he wants at least half refunded or he will go consumer affairs,"</t>
        </r>
      </text>
    </comment>
    <comment ref="G601" authorId="0" shapeId="0" xr:uid="{F8D93569-5D36-4987-8CB7-479EFEE4BF98}">
      <text>
        <r>
          <rPr>
            <sz val="11"/>
            <color theme="1"/>
            <rFont val="Aptos Narrow"/>
            <family val="2"/>
            <scheme val="minor"/>
          </rPr>
          <t>Unknown User:
SEARCH &amp; INVESTIGATION OF GAS STORAGE HOT WATER SYSTEM</t>
        </r>
      </text>
    </comment>
    <comment ref="G602" authorId="0" shapeId="0" xr:uid="{43367B34-BC2B-4BD5-A6D5-3F52613E5CF5}">
      <text>
        <r>
          <rPr>
            <sz val="11"/>
            <color theme="1"/>
            <rFont val="Aptos Narrow"/>
            <family val="2"/>
            <scheme val="minor"/>
          </rPr>
          <t>Unknown User:
SEARCH &amp; INVESTIGATION - LEAKING TOILET SUITE</t>
        </r>
      </text>
    </comment>
    <comment ref="G603" authorId="0" shapeId="0" xr:uid="{05444B2E-1227-4B33-9DAE-B338F6A2A52C}">
      <text>
        <r>
          <rPr>
            <sz val="11"/>
            <color theme="1"/>
            <rFont val="Aptos Narrow"/>
            <family val="2"/>
            <scheme val="minor"/>
          </rPr>
          <t>Unknown User:
REPLACEMENT OF CONCEALED PAN CONNECTOR</t>
        </r>
      </text>
    </comment>
    <comment ref="L603" authorId="0" shapeId="0" xr:uid="{70C5EB4E-8C19-470E-90BB-E63E73C5A052}">
      <text>
        <r>
          <rPr>
            <sz val="11"/>
            <color theme="1"/>
            <rFont val="Aptos Narrow"/>
            <family val="2"/>
            <scheme val="minor"/>
          </rPr>
          <t xml:space="preserve">Unknown User:
Replaced Pan collar pic not uploaded. </t>
        </r>
      </text>
    </comment>
    <comment ref="G604" authorId="0" shapeId="0" xr:uid="{86288148-458A-4AA7-94C9-BAF54DDF07F0}">
      <text>
        <r>
          <rPr>
            <sz val="11"/>
            <color theme="1"/>
            <rFont val="Aptos Narrow"/>
            <family val="2"/>
            <scheme val="minor"/>
          </rPr>
          <t>Unknown User:
COMPLETE SERVICE OF TAP TOP ASSEMBLY</t>
        </r>
      </text>
    </comment>
    <comment ref="G605" authorId="0" shapeId="0" xr:uid="{06E69429-202F-4CBE-9306-8CEE510F3CE9}">
      <text>
        <r>
          <rPr>
            <sz val="11"/>
            <color theme="1"/>
            <rFont val="Aptos Narrow"/>
            <family val="2"/>
            <scheme val="minor"/>
          </rPr>
          <t xml:space="preserve">Unknown User:
HIGH POWERED JET BLAST &amp; CCTV DRAIN CAMERA INSPECTION (SEWER SERVICE)
</t>
        </r>
      </text>
    </comment>
    <comment ref="G606" authorId="0" shapeId="0" xr:uid="{0561330C-E93A-4323-B14A-F10AD3D82918}">
      <text>
        <r>
          <rPr>
            <sz val="11"/>
            <color theme="1"/>
            <rFont val="Aptos Narrow"/>
            <family val="2"/>
            <scheme val="minor"/>
          </rPr>
          <t xml:space="preserve">Unknown User:
SEARCH &amp; INVESTIGATION OF GAS STORAGE HOT WATER SYSTEM
$65 First Service Discount </t>
        </r>
      </text>
    </comment>
    <comment ref="W606" authorId="0" shapeId="0" xr:uid="{1A6EA891-029F-4183-9E21-30ACC3391E6A}">
      <text>
        <r>
          <rPr>
            <sz val="11"/>
            <color theme="1"/>
            <rFont val="Aptos Narrow"/>
            <family val="2"/>
            <scheme val="minor"/>
          </rPr>
          <t>Unknown User:
Cash denomination
$50*1=$50
$20*1=$20
Total cash=$70</t>
        </r>
      </text>
    </comment>
    <comment ref="G611" authorId="0" shapeId="0" xr:uid="{670D99BD-3044-4E29-88B6-DE60CB38BD67}">
      <text>
        <r>
          <rPr>
            <sz val="11"/>
            <color theme="1"/>
            <rFont val="Aptos Narrow"/>
            <family val="2"/>
            <scheme val="minor"/>
          </rPr>
          <t xml:space="preserve">Unknown User:
REPLACEMENT OF SEWER SHAFT
10% Seniors &amp; Pensioners Discount </t>
        </r>
      </text>
    </comment>
    <comment ref="M611" authorId="0" shapeId="0" xr:uid="{E1BA0F0B-C3CA-4297-AAE8-2EC25AACC069}">
      <text>
        <r>
          <rPr>
            <sz val="11"/>
            <color theme="1"/>
            <rFont val="Aptos Narrow"/>
            <family val="2"/>
            <scheme val="minor"/>
          </rPr>
          <t>Unknown User:
Smartpay receipt of $2000 dt.11/9 not uploaded by plumber.
Uploaded by Modoras team.</t>
        </r>
      </text>
    </comment>
    <comment ref="V611" authorId="0" shapeId="0" xr:uid="{EACDDDFF-3EBC-4C8B-97D5-43B357251FF8}">
      <text>
        <r>
          <rPr>
            <sz val="11"/>
            <color theme="1"/>
            <rFont val="Aptos Narrow"/>
            <family val="2"/>
            <scheme val="minor"/>
          </rPr>
          <t>Unknown User:
19/9-Received $646.66 by Smartpay</t>
        </r>
      </text>
    </comment>
    <comment ref="G615" authorId="0" shapeId="0" xr:uid="{F5B25239-FCBF-438E-9050-D14B14B484A8}">
      <text>
        <r>
          <rPr>
            <sz val="11"/>
            <color theme="1"/>
            <rFont val="Aptos Narrow"/>
            <family val="2"/>
            <scheme val="minor"/>
          </rPr>
          <t>Unknown User:
SUPPLY &amp; INSTALLATION OF GAS STORAGE HOT WATER SYSTEM (EXTERNAL)
CREDIT OF SEARCH &amp; INVESTIGATION</t>
        </r>
      </text>
    </comment>
    <comment ref="G619" authorId="0" shapeId="0" xr:uid="{F1A8C4D2-EDDE-451B-B4B0-8C94333D2428}">
      <text>
        <r>
          <rPr>
            <sz val="11"/>
            <color theme="1"/>
            <rFont val="Aptos Narrow"/>
            <family val="2"/>
            <scheme val="minor"/>
          </rPr>
          <t>Unknown User:
COMPLETE SERVICE OF WALL TOP TAPS ASSEMBLY
$39 Tap Services Discount</t>
        </r>
      </text>
    </comment>
    <comment ref="G620" authorId="0" shapeId="0" xr:uid="{B1925E56-30F3-4B96-BB02-40B92D537BBA}">
      <text>
        <r>
          <rPr>
            <sz val="11"/>
            <color theme="1"/>
            <rFont val="Aptos Narrow"/>
            <family val="2"/>
            <scheme val="minor"/>
          </rPr>
          <t>Unknown User:
HIGH POWERED JET BLAST &amp; CCTV DRAIN CAMERA INSPECTION (SEWER SERVICE)</t>
        </r>
      </text>
    </comment>
    <comment ref="D625" authorId="0" shapeId="0" xr:uid="{FC3DA480-C452-4E68-80E3-C39EE844E67B}">
      <text>
        <r>
          <rPr>
            <sz val="11"/>
            <color theme="1"/>
            <rFont val="Aptos Narrow"/>
            <family val="2"/>
            <scheme val="minor"/>
          </rPr>
          <t>Unknown User:
Job #71781 wasn't confirmed until 31/7. On 1/8, Job #71949 was confirmed.</t>
        </r>
      </text>
    </comment>
    <comment ref="G625" authorId="0" shapeId="0" xr:uid="{2DC17EA2-3F65-4AFD-9776-97BD598BEE09}">
      <text>
        <r>
          <rPr>
            <sz val="11"/>
            <color theme="1"/>
            <rFont val="Aptos Narrow"/>
            <family val="2"/>
            <scheme val="minor"/>
          </rPr>
          <t xml:space="preserve">Unknown User:
SEWER STACK REPAIR - IN CEILING 
Obtain sewer diagram
Set up safe work area
Set up builders plastic
Mark out plaster ceiling 
Cut &amp; removal of plaster ceiling 
Expose existing section of sewer service up to 1.5M
Expose existing sewer junctions
Cut &amp; remove existing section of sewer service up to 1.5M
Cut &amp; remove existing sewer junctions
Gain access to sewer service
Set up high-powered Jet Blaster
Set up high-powered mini reel
Set up high-powered Turbines
Jet Blast sewer service
Re-camera and investigate further
Supply &amp; install new section of sewer service up to 1.5M
Supply &amp; installation of new sewer junctions
Supply &amp; installation of new I/O inspection point
Supply &amp; install new PVC fittings
Connect new section of sewer service to existing sewer service
Test &amp; commission installation
Removal of trade waste
PLEASE NOTE IF FURTHER WORK REQUIRED OTHER THEN QUOTED WORK FURTHER COST WILL APPLY. QUOTE DOES NOT INCLUDE PLASTER REINSTATEMENT </t>
        </r>
      </text>
    </comment>
    <comment ref="N625" authorId="0" shapeId="0" xr:uid="{7056378A-5728-4653-95C5-0971C985BAEF}">
      <text>
        <r>
          <rPr>
            <sz val="11"/>
            <color theme="1"/>
            <rFont val="Aptos Narrow"/>
            <family val="2"/>
            <scheme val="minor"/>
          </rPr>
          <t>Unknown User:
Quote raised in Job #71781</t>
        </r>
      </text>
    </comment>
    <comment ref="P625" authorId="0" shapeId="0" xr:uid="{2938903A-FDF3-4CBB-94B3-E4141B6C3FF8}">
      <text>
        <r>
          <rPr>
            <sz val="11"/>
            <color theme="1"/>
            <rFont val="Aptos Narrow"/>
            <family val="2"/>
            <scheme val="minor"/>
          </rPr>
          <t>Unknown User:
Quote not emailed</t>
        </r>
      </text>
    </comment>
    <comment ref="U625" authorId="0" shapeId="0" xr:uid="{2B917163-574D-446D-9319-0DB11BAC510A}">
      <text>
        <r>
          <rPr>
            <sz val="11"/>
            <color theme="1"/>
            <rFont val="Aptos Narrow"/>
            <family val="2"/>
            <scheme val="minor"/>
          </rPr>
          <t>Unknown User:
4/8-As per Elliot's note "Called ed on the way and no answer, have text to say we are here. Waiting 10 more minutes and then moving on, all is needed is a camera and to collect final payment for job"</t>
        </r>
      </text>
    </comment>
    <comment ref="V625" authorId="0" shapeId="0" xr:uid="{5C06E6F5-AB4E-4580-B06D-56C949CD66EE}">
      <text>
        <r>
          <rPr>
            <sz val="11"/>
            <color theme="1"/>
            <rFont val="Aptos Narrow"/>
            <family val="2"/>
            <scheme val="minor"/>
          </rPr>
          <t>Unknown User:
05/08 Received $754.59 Card</t>
        </r>
      </text>
    </comment>
    <comment ref="G626" authorId="0" shapeId="0" xr:uid="{DF933C10-3580-45FB-9322-07337E869DD7}">
      <text>
        <r>
          <rPr>
            <sz val="11"/>
            <color theme="1"/>
            <rFont val="Aptos Narrow"/>
            <family val="2"/>
            <scheme val="minor"/>
          </rPr>
          <t xml:space="preserve">Unknown User:
SPECIALIST GAS LEAK DETECTION
</t>
        </r>
      </text>
    </comment>
    <comment ref="G630" authorId="0" shapeId="0" xr:uid="{9F8A3EFB-E9A8-4CC1-9372-F1360D4DA87D}">
      <text>
        <r>
          <rPr>
            <sz val="11"/>
            <color theme="1"/>
            <rFont val="Aptos Narrow"/>
            <family val="2"/>
            <scheme val="minor"/>
          </rPr>
          <t>Unknown User:
REPLACEMENT OF 240V SUBMERSIBLE PUMP</t>
        </r>
      </text>
    </comment>
    <comment ref="G631" authorId="0" shapeId="0" xr:uid="{186E1916-85BC-435C-914A-2652A9093082}">
      <text>
        <r>
          <rPr>
            <sz val="11"/>
            <color theme="1"/>
            <rFont val="Aptos Narrow"/>
            <family val="2"/>
            <scheme val="minor"/>
          </rPr>
          <t>Unknown User:
INSTALLATION OF GAS COOKTOP [SAME LOCATION] (CUSTOMER SUPPLIED)
INSTALLATION OF NEW DOUBLE BOWL KITCHEN SINK (CUSTOMER SUPPLIED)
SUPPLY &amp; INSTALL NEW UNDER SINK SINGLE FILTER UNIT WITH NEW CHROME TAP
10% Good Will Discount</t>
        </r>
      </text>
    </comment>
    <comment ref="G632" authorId="0" shapeId="0" xr:uid="{F0B7FA20-193B-4DE3-BCA0-32F557B0503C}">
      <text>
        <r>
          <rPr>
            <sz val="11"/>
            <color theme="1"/>
            <rFont val="Aptos Narrow"/>
            <family val="2"/>
            <scheme val="minor"/>
          </rPr>
          <t>Unknown User:
SUPPLY AND INSTALL NEW GUTTER AND FLASHING 
COMPLETE STORM WATER GUTTER CLEAN - STORM WATER SERVICE DOWN PIPES &amp; MAIN STORM WATER SERVICE</t>
        </r>
      </text>
    </comment>
    <comment ref="G633" authorId="0" shapeId="0" xr:uid="{29869D29-D3B0-4383-A136-508EB74D37D7}">
      <text>
        <r>
          <rPr>
            <sz val="11"/>
            <color theme="1"/>
            <rFont val="Aptos Narrow"/>
            <family val="2"/>
            <scheme val="minor"/>
          </rPr>
          <t>Unknown User:
SUPPLY &amp; INSTALLATION OF NEW HEAT PUMP (REPLACEMENT OF EXISTING)
10% Seniors &amp; Pensioners Discount</t>
        </r>
      </text>
    </comment>
    <comment ref="K633" authorId="0" shapeId="0" xr:uid="{05222A06-75F2-4606-8C55-0B391A883930}">
      <text>
        <r>
          <rPr>
            <sz val="11"/>
            <color theme="1"/>
            <rFont val="Aptos Narrow"/>
            <family val="2"/>
            <scheme val="minor"/>
          </rPr>
          <t>Unknown User:
Previous job #73296 images considered</t>
        </r>
      </text>
    </comment>
    <comment ref="G635" authorId="0" shapeId="0" xr:uid="{363CAEBB-CC56-411C-B19F-29EFBBF3DDBA}">
      <text>
        <r>
          <rPr>
            <sz val="11"/>
            <color theme="1"/>
            <rFont val="Aptos Narrow"/>
            <family val="2"/>
            <scheme val="minor"/>
          </rPr>
          <t xml:space="preserve">Unknown User:
WATER SERVICE RECTIFICATION (IN CONCRETE)
</t>
        </r>
      </text>
    </comment>
    <comment ref="K635" authorId="0" shapeId="0" xr:uid="{94386639-981D-4590-B004-9E0A436069A7}">
      <text>
        <r>
          <rPr>
            <sz val="11"/>
            <color theme="1"/>
            <rFont val="Aptos Narrow"/>
            <family val="2"/>
            <scheme val="minor"/>
          </rPr>
          <t>Unknown User:
Previous job #73232 (Initial job) images considered</t>
        </r>
      </text>
    </comment>
    <comment ref="G636" authorId="0" shapeId="0" xr:uid="{F34FA408-2A0B-4F86-91D4-DC5A6F161FD6}">
      <text>
        <r>
          <rPr>
            <sz val="11"/>
            <color theme="1"/>
            <rFont val="Aptos Narrow"/>
            <family val="2"/>
            <scheme val="minor"/>
          </rPr>
          <t>Unknown User:
WATER SERVICE RECTIFICATION (IN CONCRETE)
CREDIT OF SEARCH &amp; INVESTIGATION</t>
        </r>
      </text>
    </comment>
    <comment ref="K636" authorId="0" shapeId="0" xr:uid="{F656D6A7-EEA0-4672-B27A-1A7CCEC1C389}">
      <text>
        <r>
          <rPr>
            <sz val="11"/>
            <color theme="1"/>
            <rFont val="Aptos Narrow"/>
            <family val="2"/>
            <scheme val="minor"/>
          </rPr>
          <t>Unknown User:
Previous job #73232 (Initial job) images considered</t>
        </r>
      </text>
    </comment>
    <comment ref="G637" authorId="0" shapeId="0" xr:uid="{E2E8B34A-4BB4-4D7A-970E-DF7E9AB04B27}">
      <text>
        <r>
          <rPr>
            <sz val="11"/>
            <color theme="1"/>
            <rFont val="Aptos Narrow"/>
            <family val="2"/>
            <scheme val="minor"/>
          </rPr>
          <t>Unknown User:
REPLACEMENT OF SEWER SHAFT
CREDIT HIGH POWERED JETBLAST &amp; CCTV CAMERA
15% Good Will Discount</t>
        </r>
      </text>
    </comment>
    <comment ref="P637" authorId="0" shapeId="0" xr:uid="{505CC7B3-03E8-41E4-B68C-7AC53FE994CF}">
      <text>
        <r>
          <rPr>
            <sz val="11"/>
            <color theme="1"/>
            <rFont val="Aptos Narrow"/>
            <family val="2"/>
            <scheme val="minor"/>
          </rPr>
          <t>Unknown User:
Quote not emailed</t>
        </r>
      </text>
    </comment>
    <comment ref="G638" authorId="0" shapeId="0" xr:uid="{163A5CF6-E031-4C97-AFBE-39DC1979D15B}">
      <text>
        <r>
          <rPr>
            <sz val="11"/>
            <color theme="1"/>
            <rFont val="Aptos Narrow"/>
            <family val="2"/>
            <scheme val="minor"/>
          </rPr>
          <t>Unknown User:
HIGH POWERED JET BLAST &amp; CCTV CAMERA INSPECTION (GAIN ACCESS WITH REMOVAL OF TOILET)</t>
        </r>
      </text>
    </comment>
    <comment ref="G639" authorId="0" shapeId="0" xr:uid="{4EFCF3B4-57C5-4802-AF5C-B59737345AF0}">
      <text>
        <r>
          <rPr>
            <sz val="11"/>
            <color theme="1"/>
            <rFont val="Aptos Narrow"/>
            <family val="2"/>
            <scheme val="minor"/>
          </rPr>
          <t>Unknown User:
COMPLETE SERVICE OF TOILET CISTERN</t>
        </r>
      </text>
    </comment>
    <comment ref="G640" authorId="0" shapeId="0" xr:uid="{B2C27582-30AB-4142-9573-0BAE03A96312}">
      <text>
        <r>
          <rPr>
            <sz val="11"/>
            <color theme="1"/>
            <rFont val="Aptos Narrow"/>
            <family val="2"/>
            <scheme val="minor"/>
          </rPr>
          <t>Unknown User:
SUPPLY &amp; INSTALLATION OF GAS STORAGE HOT WATER SYSTEM (EXTERNAL)</t>
        </r>
      </text>
    </comment>
    <comment ref="K640" authorId="0" shapeId="0" xr:uid="{D25DDE18-5612-4C73-9E92-A8717320BF9C}">
      <text>
        <r>
          <rPr>
            <sz val="11"/>
            <color theme="1"/>
            <rFont val="Aptos Narrow"/>
            <family val="2"/>
            <scheme val="minor"/>
          </rPr>
          <t>Unknown User:
Previous job #73344 images considered</t>
        </r>
      </text>
    </comment>
    <comment ref="G641" authorId="0" shapeId="0" xr:uid="{90CB7F15-EC40-4436-8C7C-2CC38F9C3B26}">
      <text>
        <r>
          <rPr>
            <sz val="11"/>
            <color theme="1"/>
            <rFont val="Aptos Narrow"/>
            <family val="2"/>
            <scheme val="minor"/>
          </rPr>
          <t xml:space="preserve">Unknown User:
SUPPLY &amp; INSTALLATION OF GAS STORAGE HOT WATER SYSTEM (EXTERNAL)
</t>
        </r>
      </text>
    </comment>
    <comment ref="G642" authorId="0" shapeId="0" xr:uid="{175EFCDD-CDC2-4760-958A-D039B846693A}">
      <text>
        <r>
          <rPr>
            <sz val="11"/>
            <color theme="1"/>
            <rFont val="Aptos Narrow"/>
            <family val="2"/>
            <scheme val="minor"/>
          </rPr>
          <t>Unknown User:
COMPLETE SERVICE OF TAP TOP ASSEMBLY
SUPPLY &amp; INSTALLATION OF EMERGENCY ISOLATION VALVE &amp; STAINLESS STEEL CONNECTION KIT ON BASIN OR SINK</t>
        </r>
      </text>
    </comment>
    <comment ref="O642" authorId="0" shapeId="0" xr:uid="{FDD187DE-A1B3-46EE-B330-9C05BA5EE47C}">
      <text>
        <r>
          <rPr>
            <sz val="11"/>
            <color theme="1"/>
            <rFont val="Aptos Narrow"/>
            <family val="2"/>
            <scheme val="minor"/>
          </rPr>
          <t>Unknown User:
SMS approval</t>
        </r>
      </text>
    </comment>
    <comment ref="G643" authorId="0" shapeId="0" xr:uid="{5A342C87-A593-4391-9B66-A390CE417325}">
      <text>
        <r>
          <rPr>
            <sz val="11"/>
            <color theme="1"/>
            <rFont val="Aptos Narrow"/>
            <family val="2"/>
            <scheme val="minor"/>
          </rPr>
          <t>Unknown User:
REPLACEMENT OF BOTTOM INLET CISTERN FILLING VALVE
$85 Off First Service</t>
        </r>
      </text>
    </comment>
    <comment ref="G644" authorId="0" shapeId="0" xr:uid="{AF85D7DE-77C3-4145-B25A-1832F36A590E}">
      <text>
        <r>
          <rPr>
            <sz val="11"/>
            <color theme="1"/>
            <rFont val="Aptos Narrow"/>
            <family val="2"/>
            <scheme val="minor"/>
          </rPr>
          <t>Unknown User:
SUPPLY &amp; INSTALLATION OF NEW WALL BASIN WITH SHROUD</t>
        </r>
      </text>
    </comment>
    <comment ref="G646" authorId="0" shapeId="0" xr:uid="{B75526DF-F2DE-4AAB-8B31-8F335623213F}">
      <text>
        <r>
          <rPr>
            <sz val="11"/>
            <color theme="1"/>
            <rFont val="Aptos Narrow"/>
            <family val="2"/>
            <scheme val="minor"/>
          </rPr>
          <t>Unknown User:
HIGH POWERED JET BLAST &amp; CCTV DRAIN CAMERA INSPECTION (SEWER SERVICE)
$89 Blocked Drains Discount</t>
        </r>
      </text>
    </comment>
    <comment ref="G648" authorId="0" shapeId="0" xr:uid="{361D027E-C260-4930-86FC-1CF508FD407E}">
      <text>
        <r>
          <rPr>
            <sz val="11"/>
            <color theme="1"/>
            <rFont val="Aptos Narrow"/>
            <family val="2"/>
            <scheme val="minor"/>
          </rPr>
          <t>Unknown User:
REPLACEMENT OF SEWER SHAFT</t>
        </r>
      </text>
    </comment>
    <comment ref="K648" authorId="0" shapeId="0" xr:uid="{525ACC01-01A7-49B4-9092-D2D0C04EBD6C}">
      <text>
        <r>
          <rPr>
            <sz val="11"/>
            <color theme="1"/>
            <rFont val="Aptos Narrow"/>
            <family val="2"/>
            <scheme val="minor"/>
          </rPr>
          <t>Unknown User:
Previous job #73453 images considered</t>
        </r>
      </text>
    </comment>
    <comment ref="G681" authorId="0" shapeId="0" xr:uid="{4E4F3D0A-CD64-420C-9C63-09C8B6E5FEDE}">
      <text>
        <r>
          <rPr>
            <sz val="11"/>
            <color theme="1"/>
            <rFont val="Aptos Narrow"/>
            <family val="2"/>
            <scheme val="minor"/>
          </rPr>
          <t>Unknown User:
SUPPLY &amp; INSTALLATION OF GAS STORAGE HOT WATER SYSTEM (EXTERNAL)</t>
        </r>
      </text>
    </comment>
    <comment ref="L681" authorId="0" shapeId="0" xr:uid="{DDEDBF72-4AAC-47B5-AA7B-112A816333AF}">
      <text>
        <r>
          <rPr>
            <sz val="11"/>
            <color theme="1"/>
            <rFont val="Aptos Narrow"/>
            <family val="2"/>
            <scheme val="minor"/>
          </rPr>
          <t>Unknown User:
Gas HWS installed pics are not uploaded.</t>
        </r>
      </text>
    </comment>
    <comment ref="G682" authorId="0" shapeId="0" xr:uid="{D11A17BD-9E46-4ACA-B500-A0C64964A27F}">
      <text>
        <r>
          <rPr>
            <sz val="11"/>
            <color theme="1"/>
            <rFont val="Aptos Narrow"/>
            <family val="2"/>
            <scheme val="minor"/>
          </rPr>
          <t>Unknown User:
REPLACEMENT OF BOTTOM INLET CISTERN FILLING VALVE</t>
        </r>
      </text>
    </comment>
    <comment ref="G683" authorId="0" shapeId="0" xr:uid="{5D590FED-F4D3-4B6F-A6C9-D0575B535233}">
      <text>
        <r>
          <rPr>
            <sz val="11"/>
            <color theme="1"/>
            <rFont val="Aptos Narrow"/>
            <family val="2"/>
            <scheme val="minor"/>
          </rPr>
          <t xml:space="preserve">Unknown User:
SEARCH AND INVESTIGATION OF ELECTRIC STORAGE HOT WATER SYSTEM
</t>
        </r>
      </text>
    </comment>
    <comment ref="G684" authorId="0" shapeId="0" xr:uid="{8D3E3EDB-DA18-41B3-8E46-88A3DF4F6BC1}">
      <text>
        <r>
          <rPr>
            <sz val="11"/>
            <color theme="1"/>
            <rFont val="Aptos Narrow"/>
            <family val="2"/>
            <scheme val="minor"/>
          </rPr>
          <t>Unknown User:
SUPPLY &amp; INSTALLATION OF NEW ARCO HOSE TAP – ¼ TURN HOSE TAPS TO REPLACE EXISTING HOSE TAP</t>
        </r>
      </text>
    </comment>
    <comment ref="G685" authorId="0" shapeId="0" xr:uid="{7AC1B824-8E01-4FCF-8CC3-0ACFD9D8F5E4}">
      <text>
        <r>
          <rPr>
            <sz val="11"/>
            <color theme="1"/>
            <rFont val="Aptos Narrow"/>
            <family val="2"/>
            <scheme val="minor"/>
          </rPr>
          <t>Unknown User:
SEARCH &amp; INVESTIGATION OF GAS STORAGE HOT WATER SYSTEM</t>
        </r>
      </text>
    </comment>
    <comment ref="G686" authorId="0" shapeId="0" xr:uid="{6F5BA1E4-927E-4877-B265-87F539F83392}">
      <text>
        <r>
          <rPr>
            <sz val="11"/>
            <color theme="1"/>
            <rFont val="Aptos Narrow"/>
            <family val="2"/>
            <scheme val="minor"/>
          </rPr>
          <t>Unknown User:
MIXER TAP - STANDARD</t>
        </r>
      </text>
    </comment>
    <comment ref="G687" authorId="0" shapeId="0" xr:uid="{6957562E-EAD4-43F8-AA68-1BBB4FF9EF7B}">
      <text>
        <r>
          <rPr>
            <sz val="11"/>
            <color theme="1"/>
            <rFont val="Aptos Narrow"/>
            <family val="2"/>
            <scheme val="minor"/>
          </rPr>
          <t>Unknown User:
INSTALLATION OF NATURAL GAS BBQ [SAME LOCATION] (CUSTOMER SUPPLIED)</t>
        </r>
      </text>
    </comment>
    <comment ref="G688" authorId="0" shapeId="0" xr:uid="{707F4FB5-2433-49D8-B9D8-A57E77B60B4D}">
      <text>
        <r>
          <rPr>
            <sz val="11"/>
            <color theme="1"/>
            <rFont val="Aptos Narrow"/>
            <family val="2"/>
            <scheme val="minor"/>
          </rPr>
          <t>Unknown User:
HIGH POWERED JET BLAST &amp; CCTV DRAIN CAMERA INSPECTION (STORM WATER SERVICE)</t>
        </r>
      </text>
    </comment>
    <comment ref="L688" authorId="0" shapeId="0" xr:uid="{DA8AFEC6-F461-458E-8489-AA95C543AADA}">
      <text>
        <r>
          <rPr>
            <sz val="11"/>
            <color theme="1"/>
            <rFont val="Aptos Narrow"/>
            <family val="2"/>
            <scheme val="minor"/>
          </rPr>
          <t>Unknown User:
CCTV drain camera inspection pics/videos not uploaded</t>
        </r>
      </text>
    </comment>
    <comment ref="S688" authorId="0" shapeId="0" xr:uid="{F8590AEA-0A3D-41C8-8CF3-1FB24EEA0F5C}">
      <text>
        <r>
          <rPr>
            <sz val="11"/>
            <color theme="1"/>
            <rFont val="Aptos Narrow"/>
            <family val="2"/>
            <scheme val="minor"/>
          </rPr>
          <t>Unknown User:
Signed invoice not emailed</t>
        </r>
      </text>
    </comment>
    <comment ref="G689" authorId="0" shapeId="0" xr:uid="{644B5D25-FBFE-4445-AF96-F211C28A793C}">
      <text>
        <r>
          <rPr>
            <sz val="11"/>
            <color theme="1"/>
            <rFont val="Aptos Narrow"/>
            <family val="2"/>
            <scheme val="minor"/>
          </rPr>
          <t>Unknown User:
HIGH POWERED SUCTION &amp; ACID TREATMENT
15% Good Will Discount</t>
        </r>
      </text>
    </comment>
    <comment ref="G690" authorId="0" shapeId="0" xr:uid="{DE01E369-BA9D-446F-8909-E582AF97E6A2}">
      <text>
        <r>
          <rPr>
            <sz val="11"/>
            <color theme="1"/>
            <rFont val="Aptos Narrow"/>
            <family val="2"/>
            <scheme val="minor"/>
          </rPr>
          <t>Unknown User:
DECOMMISSION BATHROOM
10% Good Will Discount</t>
        </r>
      </text>
    </comment>
    <comment ref="Q690" authorId="0" shapeId="0" xr:uid="{8356731F-5FDD-44ED-85C8-0F07FBC083ED}">
      <text>
        <r>
          <rPr>
            <sz val="11"/>
            <color theme="1"/>
            <rFont val="Aptos Narrow"/>
            <family val="2"/>
            <scheme val="minor"/>
          </rPr>
          <t>Unknown User:
Final zero due invoice not raised</t>
        </r>
      </text>
    </comment>
    <comment ref="G691" authorId="0" shapeId="0" xr:uid="{9A0BA2FF-295D-4ADA-A446-5BEBBAE1A920}">
      <text>
        <r>
          <rPr>
            <sz val="11"/>
            <color theme="1"/>
            <rFont val="Aptos Narrow"/>
            <family val="2"/>
            <scheme val="minor"/>
          </rPr>
          <t>Unknown User:
HIGH POWERED JET BLAST &amp; CCTV CAMERA INSPECTION (GAIN ACCESS WITH REMOVAL OF TOILET)</t>
        </r>
      </text>
    </comment>
    <comment ref="M691" authorId="0" shapeId="0" xr:uid="{C455D147-B2DE-442C-B83F-5CD3766E5E1A}">
      <text>
        <r>
          <rPr>
            <sz val="11"/>
            <color theme="1"/>
            <rFont val="Aptos Narrow"/>
            <family val="2"/>
            <scheme val="minor"/>
          </rPr>
          <t>Unknown User:
Smartpay receipt of $2827.10 not uploaded by plumber.
Uploaded by Modoras team</t>
        </r>
      </text>
    </comment>
    <comment ref="G696" authorId="0" shapeId="0" xr:uid="{AF8FB70C-278A-4706-A90E-607B8FD903E4}">
      <text>
        <r>
          <rPr>
            <sz val="11"/>
            <color theme="1"/>
            <rFont val="Aptos Narrow"/>
            <family val="2"/>
            <scheme val="minor"/>
          </rPr>
          <t>Unknown User:
SUPPLY &amp; INSTALLATION OF GAS STORAGE HOT WATER SYSTEM (EXTERNAL)
CREDIT OF SEARCH &amp; INVESTIGATION</t>
        </r>
      </text>
    </comment>
    <comment ref="D697" authorId="0" shapeId="0" xr:uid="{C3297E3A-56EC-4077-A337-6CD3F09D8A41}">
      <text>
        <r>
          <rPr>
            <sz val="11"/>
            <color theme="1"/>
            <rFont val="Aptos Narrow"/>
            <family val="2"/>
            <scheme val="minor"/>
          </rPr>
          <t>Unknown User:
Job #71781 wasn't confirmed until 31/7. On 1/8, Job #71949 was confirmed.</t>
        </r>
      </text>
    </comment>
    <comment ref="G697" authorId="0" shapeId="0" xr:uid="{1AE31B52-0A26-44EC-97B2-2A5BC2E1D9A6}">
      <text>
        <r>
          <rPr>
            <sz val="11"/>
            <color theme="1"/>
            <rFont val="Aptos Narrow"/>
            <family val="2"/>
            <scheme val="minor"/>
          </rPr>
          <t xml:space="preserve">Unknown User:
SEWER STACK REPAIR - IN CEILING 
Obtain sewer diagram
Set up safe work area
Set up builders plastic
Mark out plaster ceiling 
Cut &amp; removal of plaster ceiling 
Expose existing section of sewer service up to 1.5M
Expose existing sewer junctions
Cut &amp; remove existing section of sewer service up to 1.5M
Cut &amp; remove existing sewer junctions
Gain access to sewer service
Set up high-powered Jet Blaster
Set up high-powered mini reel
Set up high-powered Turbines
Jet Blast sewer service
Re-camera and investigate further
Supply &amp; install new section of sewer service up to 1.5M
Supply &amp; installation of new sewer junctions
Supply &amp; installation of new I/O inspection point
Supply &amp; install new PVC fittings
Connect new section of sewer service to existing sewer service
Test &amp; commission installation
Removal of trade waste
PLEASE NOTE IF FURTHER WORK REQUIRED OTHER THEN QUOTED WORK FURTHER COST WILL APPLY. QUOTE DOES NOT INCLUDE PLASTER REINSTATEMENT </t>
        </r>
      </text>
    </comment>
    <comment ref="N697" authorId="0" shapeId="0" xr:uid="{8454E878-F1BE-4634-B346-D31ED8801E98}">
      <text>
        <r>
          <rPr>
            <sz val="11"/>
            <color theme="1"/>
            <rFont val="Aptos Narrow"/>
            <family val="2"/>
            <scheme val="minor"/>
          </rPr>
          <t>Unknown User:
Quote raised in Job #71781</t>
        </r>
      </text>
    </comment>
    <comment ref="P697" authorId="0" shapeId="0" xr:uid="{7438502E-A423-484F-BC8E-B671D89449A8}">
      <text>
        <r>
          <rPr>
            <sz val="11"/>
            <color theme="1"/>
            <rFont val="Aptos Narrow"/>
            <family val="2"/>
            <scheme val="minor"/>
          </rPr>
          <t>Unknown User:
Quote not emailed</t>
        </r>
      </text>
    </comment>
    <comment ref="U697" authorId="0" shapeId="0" xr:uid="{B0642D51-E146-4B6A-BCD0-493B7BC9DF7D}">
      <text>
        <r>
          <rPr>
            <sz val="11"/>
            <color theme="1"/>
            <rFont val="Aptos Narrow"/>
            <family val="2"/>
            <scheme val="minor"/>
          </rPr>
          <t>Unknown User:
4/8-As per Elliot's note "Called ed on the way and no answer, have text to say we are here. Waiting 10 more minutes and then moving on, all is needed is a camera and to collect final payment for job"</t>
        </r>
      </text>
    </comment>
    <comment ref="V697" authorId="0" shapeId="0" xr:uid="{88A96248-A6F8-4032-A18B-DA82E9591A1E}">
      <text>
        <r>
          <rPr>
            <sz val="11"/>
            <color theme="1"/>
            <rFont val="Aptos Narrow"/>
            <family val="2"/>
            <scheme val="minor"/>
          </rPr>
          <t>Unknown User:
05/08 Received $754.59 Card</t>
        </r>
      </text>
    </comment>
    <comment ref="G701" authorId="0" shapeId="0" xr:uid="{C8E4085B-D2F2-45C4-B9AE-2D984E159545}">
      <text>
        <r>
          <rPr>
            <sz val="11"/>
            <color theme="1"/>
            <rFont val="Aptos Narrow"/>
            <family val="2"/>
            <scheme val="minor"/>
          </rPr>
          <t>Unknown User:
WATER SERVICE RECTIFICATION (EXPOSED)</t>
        </r>
      </text>
    </comment>
    <comment ref="G702" authorId="0" shapeId="0" xr:uid="{632C737C-7229-4F34-A707-4B4F6C4EED62}">
      <text>
        <r>
          <rPr>
            <sz val="11"/>
            <color theme="1"/>
            <rFont val="Aptos Narrow"/>
            <family val="2"/>
            <scheme val="minor"/>
          </rPr>
          <t xml:space="preserve">Unknown User:
SUPPLY &amp; INSTALLATION OF GAS STORAGE HOT WATER SYSTEM (EXTERNAL)
10% Good Will Discount </t>
        </r>
      </text>
    </comment>
    <comment ref="P702" authorId="0" shapeId="0" xr:uid="{EFF29281-20EB-4FE9-9C9F-EB3A48C13483}">
      <text>
        <r>
          <rPr>
            <sz val="11"/>
            <color theme="1"/>
            <rFont val="Aptos Narrow"/>
            <family val="2"/>
            <scheme val="minor"/>
          </rPr>
          <t>Unknown User:
Quote not emailed</t>
        </r>
      </text>
    </comment>
    <comment ref="U702" authorId="0" shapeId="0" xr:uid="{D4BE3EE5-F5B7-4656-A930-5F1B842AB579}">
      <text>
        <r>
          <rPr>
            <sz val="11"/>
            <color theme="1"/>
            <rFont val="Aptos Narrow"/>
            <family val="2"/>
            <scheme val="minor"/>
          </rPr>
          <t>Unknown User:
24/9-As per Kylie's note "Spoke to Elliot customer has requested to enter into a PP advised Elliot we can do 4 fortnightly or weekly installments and to discuss this with the customer and come back to me."</t>
        </r>
      </text>
    </comment>
    <comment ref="G706" authorId="0" shapeId="0" xr:uid="{857C566B-DC4B-4B0A-9265-C987987BB93A}">
      <text>
        <r>
          <rPr>
            <sz val="11"/>
            <color theme="1"/>
            <rFont val="Aptos Narrow"/>
            <family val="2"/>
            <scheme val="minor"/>
          </rPr>
          <t>Unknown User:
SUPPLY &amp; INSTALLATION OF NEW INSET BASIN</t>
        </r>
      </text>
    </comment>
    <comment ref="G707" authorId="0" shapeId="0" xr:uid="{662F9809-2DC3-4B30-B44F-E1C5D8210A01}">
      <text>
        <r>
          <rPr>
            <sz val="11"/>
            <color theme="1"/>
            <rFont val="Aptos Narrow"/>
            <family val="2"/>
            <scheme val="minor"/>
          </rPr>
          <t>Unknown User:
REPLACEMENT OF SEWER SHAFT (UNDER CONCRETE)</t>
        </r>
      </text>
    </comment>
    <comment ref="M707" authorId="0" shapeId="0" xr:uid="{53D7E99E-8B06-4C61-9825-A96326BF3679}">
      <text>
        <r>
          <rPr>
            <sz val="11"/>
            <color theme="1"/>
            <rFont val="Aptos Narrow"/>
            <family val="2"/>
            <scheme val="minor"/>
          </rPr>
          <t>Unknown User:
Smartpay receipt of $2000 not uploaded by plumber.
Uploaded by Modoras team</t>
        </r>
      </text>
    </comment>
    <comment ref="V707" authorId="0" shapeId="0" xr:uid="{D0997526-D637-4504-8CBC-37559475EA86}">
      <text>
        <r>
          <rPr>
            <sz val="11"/>
            <color theme="1"/>
            <rFont val="Aptos Narrow"/>
            <family val="2"/>
            <scheme val="minor"/>
          </rPr>
          <t>Unknown User:
29/9--Received $7000 by Smartpay</t>
        </r>
      </text>
    </comment>
    <comment ref="G711" authorId="0" shapeId="0" xr:uid="{2A67EC5D-869A-4D7D-8511-17743F4198F9}">
      <text>
        <r>
          <rPr>
            <sz val="11"/>
            <color theme="1"/>
            <rFont val="Aptos Narrow"/>
            <family val="2"/>
            <scheme val="minor"/>
          </rPr>
          <t>Unknown User:
COMPLETE SERVICE OF WALL TOP TAPS ASSEMBLY
$39 Tap Services Discount</t>
        </r>
      </text>
    </comment>
    <comment ref="G712" authorId="0" shapeId="0" xr:uid="{2252690C-D54F-43B5-A638-CCE9F0BAFB58}">
      <text>
        <r>
          <rPr>
            <sz val="11"/>
            <color theme="1"/>
            <rFont val="Aptos Narrow"/>
            <family val="2"/>
            <scheme val="minor"/>
          </rPr>
          <t>Unknown User:
HIGH POWERED JET BLAST &amp; CCTV DRAIN CAMERA INSPECTION (SEWER SERVICE)</t>
        </r>
      </text>
    </comment>
    <comment ref="G717" authorId="0" shapeId="0" xr:uid="{2BECCBEC-56A7-4F33-B1DA-2048F00B7840}">
      <text>
        <r>
          <rPr>
            <sz val="11"/>
            <color theme="1"/>
            <rFont val="Aptos Narrow"/>
            <family val="2"/>
            <scheme val="minor"/>
          </rPr>
          <t xml:space="preserve">Unknown User:
SPECIALIST GAS LEAK DETECTION
</t>
        </r>
      </text>
    </comment>
    <comment ref="G721" authorId="0" shapeId="0" xr:uid="{B0BE6CAB-D0BC-41FC-AE2E-E36AF8FFECD3}">
      <text>
        <r>
          <rPr>
            <sz val="11"/>
            <color theme="1"/>
            <rFont val="Aptos Narrow"/>
            <family val="2"/>
            <scheme val="minor"/>
          </rPr>
          <t>Unknown User:
SUPPLY &amp; INSTALLATION OF NEW TWIN ELEMENT HOT WATER UNIT (INTERNAL)</t>
        </r>
      </text>
    </comment>
    <comment ref="G722" authorId="0" shapeId="0" xr:uid="{2F8EBEED-1567-41CA-B121-0629A1F3F3AC}">
      <text>
        <r>
          <rPr>
            <sz val="11"/>
            <color theme="1"/>
            <rFont val="Aptos Narrow"/>
            <family val="2"/>
            <scheme val="minor"/>
          </rPr>
          <t xml:space="preserve">Unknown User:
SEARCH AND INVESTIGATION OF SOLAR SPLIT HOT WATER SYSTEM
</t>
        </r>
      </text>
    </comment>
    <comment ref="G723" authorId="0" shapeId="0" xr:uid="{B0FFDACD-B8C8-4546-BD8F-4C0941E74997}">
      <text>
        <r>
          <rPr>
            <sz val="11"/>
            <color theme="1"/>
            <rFont val="Aptos Narrow"/>
            <family val="2"/>
            <scheme val="minor"/>
          </rPr>
          <t xml:space="preserve">Unknown User:
CONVERT SOLAR SPLIT HOT WATER SYSTEM TO EXTERNAL GAS INSTANTANEOUS HOT WATER SYSTEM
</t>
        </r>
      </text>
    </comment>
    <comment ref="G725" authorId="0" shapeId="0" xr:uid="{5EDCD497-E8D8-47F1-9C02-5AA051E8B06F}">
      <text>
        <r>
          <rPr>
            <sz val="11"/>
            <color theme="1"/>
            <rFont val="Aptos Narrow"/>
            <family val="2"/>
            <scheme val="minor"/>
          </rPr>
          <t xml:space="preserve">Unknown User:
HIGH POWERED CHEMICAL TREATMENT OF GREASE RELEASE ON SEWER SERVICE
</t>
        </r>
      </text>
    </comment>
    <comment ref="K725" authorId="0" shapeId="0" xr:uid="{E6C1035E-D495-4021-9C1B-4A6959377B1B}">
      <text>
        <r>
          <rPr>
            <sz val="11"/>
            <color theme="1"/>
            <rFont val="Aptos Narrow"/>
            <family val="2"/>
            <scheme val="minor"/>
          </rPr>
          <t>Unknown User:
Previous job #73507 images considered</t>
        </r>
      </text>
    </comment>
    <comment ref="G727" authorId="0" shapeId="0" xr:uid="{BD0E7FCC-A4BA-4E00-A9B6-729B3CB78CC6}">
      <text>
        <r>
          <rPr>
            <sz val="11"/>
            <color theme="1"/>
            <rFont val="Aptos Narrow"/>
            <family val="2"/>
            <scheme val="minor"/>
          </rPr>
          <t>Unknown User:
SUPPLY &amp; INSTALLATION OF GAS STORAGE HOT WATER SYSTEM (EXTERNAL)
CREDIT OF SEARCH &amp; INVESTIGATION</t>
        </r>
      </text>
    </comment>
    <comment ref="K727" authorId="0" shapeId="0" xr:uid="{B33E94F1-7368-4EFF-8EA7-4F7834AF4EA6}">
      <text>
        <r>
          <rPr>
            <sz val="11"/>
            <color theme="1"/>
            <rFont val="Aptos Narrow"/>
            <family val="2"/>
            <scheme val="minor"/>
          </rPr>
          <t>Unknown User:
Previous job #73600 images considered</t>
        </r>
      </text>
    </comment>
    <comment ref="G728" authorId="0" shapeId="0" xr:uid="{4EAE1747-6910-4E94-A22F-990D660A1EA3}">
      <text>
        <r>
          <rPr>
            <sz val="11"/>
            <color theme="1"/>
            <rFont val="Aptos Narrow"/>
            <family val="2"/>
            <scheme val="minor"/>
          </rPr>
          <t>Unknown User:
SEARCH &amp; INVESTIGATION OF DISHWASHER</t>
        </r>
      </text>
    </comment>
    <comment ref="G729" authorId="0" shapeId="0" xr:uid="{12BF3CEC-B8F0-4AFC-9E98-AB1131E49DEF}">
      <text>
        <r>
          <rPr>
            <sz val="11"/>
            <color theme="1"/>
            <rFont val="Aptos Narrow"/>
            <family val="2"/>
            <scheme val="minor"/>
          </rPr>
          <t>Unknown User:
STORM WATER SPOT RECTIFICATION IN GROUND</t>
        </r>
      </text>
    </comment>
    <comment ref="K729" authorId="0" shapeId="0" xr:uid="{59428D3A-CE63-4519-9A97-DF7512AFED13}">
      <text>
        <r>
          <rPr>
            <sz val="11"/>
            <color theme="1"/>
            <rFont val="Aptos Narrow"/>
            <family val="2"/>
            <scheme val="minor"/>
          </rPr>
          <t>Unknown User:
Previous job #73612 images considered</t>
        </r>
      </text>
    </comment>
    <comment ref="G731" authorId="0" shapeId="0" xr:uid="{B4ED50CE-D293-4F72-AE6C-73C5BE19ED80}">
      <text>
        <r>
          <rPr>
            <sz val="11"/>
            <color theme="1"/>
            <rFont val="Aptos Narrow"/>
            <family val="2"/>
            <scheme val="minor"/>
          </rPr>
          <t>Unknown User:
SEARCH AND INVESTIGATION OF HEAT PUMP</t>
        </r>
      </text>
    </comment>
    <comment ref="G732" authorId="0" shapeId="0" xr:uid="{F2A5DA9D-D542-4FF4-A10D-939CDA6068B1}">
      <text>
        <r>
          <rPr>
            <sz val="11"/>
            <color theme="1"/>
            <rFont val="Aptos Narrow"/>
            <family val="2"/>
            <scheme val="minor"/>
          </rPr>
          <t xml:space="preserve">Unknown User:
REPLACEMENT OF BASIN MIXER
</t>
        </r>
      </text>
    </comment>
    <comment ref="G733" authorId="0" shapeId="0" xr:uid="{ABA614A5-8FD2-4507-A79A-250BDD5E7D1D}">
      <text>
        <r>
          <rPr>
            <sz val="11"/>
            <color theme="1"/>
            <rFont val="Aptos Narrow"/>
            <family val="2"/>
            <scheme val="minor"/>
          </rPr>
          <t xml:space="preserve">Unknown User:
CAP OFF FRIDGE LINE </t>
        </r>
      </text>
    </comment>
    <comment ref="G734" authorId="0" shapeId="0" xr:uid="{2C1DC8F4-8219-46FD-A096-A0B32E89A82A}">
      <text>
        <r>
          <rPr>
            <sz val="11"/>
            <color theme="1"/>
            <rFont val="Aptos Narrow"/>
            <family val="2"/>
            <scheme val="minor"/>
          </rPr>
          <t>Unknown User:
SEARCH AND INVESTIGATION OF HEAT PUMP
$65 First Service Discount</t>
        </r>
      </text>
    </comment>
    <comment ref="G735" authorId="0" shapeId="0" xr:uid="{BC03EB7B-A01B-4742-90C3-947757423BFE}">
      <text>
        <r>
          <rPr>
            <sz val="11"/>
            <color theme="1"/>
            <rFont val="Aptos Narrow"/>
            <family val="2"/>
            <scheme val="minor"/>
          </rPr>
          <t>Unknown User:
SEWER SPOT DIG - IN GROUND
10% Loyalty Discount
CREDIT HIGH POWERED JETBLAST &amp; CCTV CAMERA</t>
        </r>
      </text>
    </comment>
    <comment ref="G767" authorId="0" shapeId="0" xr:uid="{01928A6D-F917-4572-8946-CA0648F325C3}">
      <text>
        <r>
          <rPr>
            <sz val="11"/>
            <color theme="1"/>
            <rFont val="Aptos Narrow"/>
            <family val="2"/>
            <scheme val="minor"/>
          </rPr>
          <t>Unknown User:
SPECIALIST GAS LEAK DETECTION</t>
        </r>
      </text>
    </comment>
    <comment ref="G768" authorId="0" shapeId="0" xr:uid="{6F5F2664-F929-4C86-BBDC-2830469D0642}">
      <text>
        <r>
          <rPr>
            <sz val="11"/>
            <color theme="1"/>
            <rFont val="Aptos Narrow"/>
            <family val="2"/>
            <scheme val="minor"/>
          </rPr>
          <t>Unknown User:
CCTV DRAIN CAMERA INSPECTION OF STORM WATER SERVICE</t>
        </r>
      </text>
    </comment>
    <comment ref="R768" authorId="0" shapeId="0" xr:uid="{AEDD74D2-4E07-4C0E-9711-A294835AA74E}">
      <text>
        <r>
          <rPr>
            <sz val="11"/>
            <color theme="1"/>
            <rFont val="Aptos Narrow"/>
            <family val="2"/>
            <scheme val="minor"/>
          </rPr>
          <t>Unknown User:
Sign not obtained</t>
        </r>
      </text>
    </comment>
    <comment ref="S768" authorId="0" shapeId="0" xr:uid="{46377166-B90F-4F06-AA92-A7FBF0786320}">
      <text>
        <r>
          <rPr>
            <sz val="11"/>
            <color theme="1"/>
            <rFont val="Aptos Narrow"/>
            <family val="2"/>
            <scheme val="minor"/>
          </rPr>
          <t>Unknown User:
Invoice emailed without sign</t>
        </r>
      </text>
    </comment>
    <comment ref="G769" authorId="0" shapeId="0" xr:uid="{7B1C7E28-E1DD-42A9-AD7D-DDF8997E0541}">
      <text>
        <r>
          <rPr>
            <sz val="11"/>
            <color theme="1"/>
            <rFont val="Aptos Narrow"/>
            <family val="2"/>
            <scheme val="minor"/>
          </rPr>
          <t xml:space="preserve">Unknown User:
WATER SERVICE RECTIFICATION (EXPOSED)
$85 Off First Service </t>
        </r>
      </text>
    </comment>
    <comment ref="G770" authorId="0" shapeId="0" xr:uid="{3E30488B-1E8A-46A9-A67F-56BEA8B0BFC4}">
      <text>
        <r>
          <rPr>
            <sz val="11"/>
            <color theme="1"/>
            <rFont val="Aptos Narrow"/>
            <family val="2"/>
            <scheme val="minor"/>
          </rPr>
          <t>Unknown User:
COMMERCIAL HIGH POWERED JETBLAST &amp; CCTV DRAIN CAMERA INSPECTION
$110 Blocked Drains Discount</t>
        </r>
      </text>
    </comment>
    <comment ref="G771" authorId="0" shapeId="0" xr:uid="{A2AC67A2-1821-4E61-98E3-3CAEA73E2F21}">
      <text>
        <r>
          <rPr>
            <sz val="11"/>
            <color theme="1"/>
            <rFont val="Aptos Narrow"/>
            <family val="2"/>
            <scheme val="minor"/>
          </rPr>
          <t xml:space="preserve">Unknown User:
INSTALLATION OF NEW TOILET SEAT (CUSTOMER SUPPLIED)
</t>
        </r>
      </text>
    </comment>
    <comment ref="G772" authorId="0" shapeId="0" xr:uid="{48857173-5E4B-49C5-9563-492C3C832DFD}">
      <text>
        <r>
          <rPr>
            <sz val="11"/>
            <color theme="1"/>
            <rFont val="Aptos Narrow"/>
            <family val="2"/>
            <scheme val="minor"/>
          </rPr>
          <t>Unknown User:
REPLACEMENT OF EXISTING 20MM WATER CONNECTION WITH BRAIDED FLEXIBLE HOSE
$85 Off First Service</t>
        </r>
      </text>
    </comment>
    <comment ref="W772" authorId="0" shapeId="0" xr:uid="{070E8FCB-DA78-4EFB-92C2-AB4E6CD3344B}">
      <text>
        <r>
          <rPr>
            <sz val="11"/>
            <color theme="1"/>
            <rFont val="Aptos Narrow"/>
            <family val="2"/>
            <scheme val="minor"/>
          </rPr>
          <t>Unknown User:
Cash denomination
$50*2=$100
$50*14=$700
$5*1=$5
Total cash=$805
Excess receipt by $3.10</t>
        </r>
      </text>
    </comment>
    <comment ref="G773" authorId="0" shapeId="0" xr:uid="{24476FB5-0CE9-483A-95A0-3D99228491F5}">
      <text>
        <r>
          <rPr>
            <sz val="11"/>
            <color theme="1"/>
            <rFont val="Aptos Narrow"/>
            <family val="2"/>
            <scheme val="minor"/>
          </rPr>
          <t>Unknown User:
Gain access to main gas meter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Gain access to existing gas service connecting to gas space heater
Disconnect existing gas service connected to gas space heater
Disconnect existing brass fittings connected gas space heater
Disconnect existing gas appliance regulator
Disconnect &amp; remove existing gas bayonet
Disconnect &amp; remove the existing gas space heater
Supply &amp; install new brass cap to existing gas connection
Decommission existing gas space heater
Make safe
Reinstate main gas supply to the property
Conduct a manometer test on the main gas service upon completion of the installation to ensure there are no leaks
Test &amp; commission the installation
Removal of all trade waste</t>
        </r>
      </text>
    </comment>
    <comment ref="G774" authorId="0" shapeId="0" xr:uid="{893D0DD8-3137-49A9-86F6-AD765387D7E5}">
      <text>
        <r>
          <rPr>
            <sz val="11"/>
            <color theme="1"/>
            <rFont val="Aptos Narrow"/>
            <family val="2"/>
            <scheme val="minor"/>
          </rPr>
          <t xml:space="preserve">Unknown User:
REPLACEMENT OF KITCHEN MIXER (CUSTOMER SUPPLIED)
</t>
        </r>
      </text>
    </comment>
    <comment ref="G775" authorId="0" shapeId="0" xr:uid="{98155E2B-8FA3-4127-8435-FF20108BEF5A}">
      <text>
        <r>
          <rPr>
            <sz val="11"/>
            <color theme="1"/>
            <rFont val="Aptos Narrow"/>
            <family val="2"/>
            <scheme val="minor"/>
          </rPr>
          <t>Unknown User:
PVC DRAINAGE RECTIFICATION EXPOSED</t>
        </r>
      </text>
    </comment>
    <comment ref="G776" authorId="0" shapeId="0" xr:uid="{E48F46AC-32EA-4F5F-BD7A-D847325D1B1A}">
      <text>
        <r>
          <rPr>
            <sz val="11"/>
            <color theme="1"/>
            <rFont val="Aptos Narrow"/>
            <family val="2"/>
            <scheme val="minor"/>
          </rPr>
          <t>Unknown User:
COMPLETE SERVICE OF TAP TOP ASSEMBLY
COMPLETE SERVICE OF TAP TOP ASSEMBLY
REPLACEMENT OF PAIR EMERGENCY STOP VALVES</t>
        </r>
      </text>
    </comment>
    <comment ref="G777" authorId="0" shapeId="0" xr:uid="{7F99C8AC-D13C-466E-9792-876EADE1CC71}">
      <text>
        <r>
          <rPr>
            <sz val="11"/>
            <color theme="1"/>
            <rFont val="Aptos Narrow"/>
            <family val="2"/>
            <scheme val="minor"/>
          </rPr>
          <t>Unknown User:
SUPPLY &amp; INSTALLATION OF NEW WALL FACED TOILET SUITE</t>
        </r>
      </text>
    </comment>
    <comment ref="O777" authorId="0" shapeId="0" xr:uid="{64C8E4CF-8F7C-4683-AC69-AFC3CDF7A27F}">
      <text>
        <r>
          <rPr>
            <sz val="11"/>
            <color theme="1"/>
            <rFont val="Aptos Narrow"/>
            <family val="2"/>
            <scheme val="minor"/>
          </rPr>
          <t>Unknown User:
SMS approval</t>
        </r>
      </text>
    </comment>
    <comment ref="U777" authorId="0" shapeId="0" xr:uid="{AF32D80F-31BB-4E4C-ABDB-C6178B75E61A}">
      <text>
        <r>
          <rPr>
            <sz val="11"/>
            <color theme="1"/>
            <rFont val="Aptos Narrow"/>
            <family val="2"/>
            <scheme val="minor"/>
          </rPr>
          <t>Unknown User:
3/11-As per Will Dower's note "Toilet was leaking from pan collar/buckle bend.
Client has seen missing bracket and is aware of what was supposed to be there. Reece is currently closed.
Left the toilet out and decommissioned. Tapes of waste and made not for toilet not to be used.
Customer will be available between 3pm-6pm on Wednesday afternoon.
Need to install bracket to support buckle bend and re install and seal toilet suite.
"</t>
        </r>
      </text>
    </comment>
    <comment ref="G778" authorId="0" shapeId="0" xr:uid="{CE415264-37C0-4048-B305-428B5FED7804}">
      <text>
        <r>
          <rPr>
            <sz val="11"/>
            <color theme="1"/>
            <rFont val="Aptos Narrow"/>
            <family val="2"/>
            <scheme val="minor"/>
          </rPr>
          <t>Unknown User:
REPLACEMENT OF PLUG &amp; WASTE - 40MM</t>
        </r>
      </text>
    </comment>
    <comment ref="G779" authorId="0" shapeId="0" xr:uid="{13E8E456-CC31-4766-A0D9-5B3AE7773807}">
      <text>
        <r>
          <rPr>
            <sz val="11"/>
            <color theme="1"/>
            <rFont val="Aptos Narrow"/>
            <family val="2"/>
            <scheme val="minor"/>
          </rPr>
          <t xml:space="preserve">Unknown User:
FLOOD, DYE, PRESSURE TEST (WET AREA)
</t>
        </r>
      </text>
    </comment>
    <comment ref="O779" authorId="0" shapeId="0" xr:uid="{42DD3D3C-4005-4FEC-91C0-949A25B99C74}">
      <text>
        <r>
          <rPr>
            <sz val="11"/>
            <color theme="1"/>
            <rFont val="Aptos Narrow"/>
            <family val="2"/>
            <scheme val="minor"/>
          </rPr>
          <t>Unknown User:
SMS approval</t>
        </r>
      </text>
    </comment>
    <comment ref="G780" authorId="0" shapeId="0" xr:uid="{104762E9-0C46-4BC9-95CC-B30DE3378EB4}">
      <text>
        <r>
          <rPr>
            <sz val="11"/>
            <color theme="1"/>
            <rFont val="Aptos Narrow"/>
            <family val="2"/>
            <scheme val="minor"/>
          </rPr>
          <t>Unknown User:
HIGH POWERED SUCTION &amp; ACID TREATMENT</t>
        </r>
      </text>
    </comment>
    <comment ref="G785" authorId="0" shapeId="0" xr:uid="{9AE4FF8A-7E33-4EE0-8681-ABDCDBE05220}">
      <text>
        <r>
          <rPr>
            <sz val="11"/>
            <color theme="1"/>
            <rFont val="Aptos Narrow"/>
            <family val="2"/>
            <scheme val="minor"/>
          </rPr>
          <t>Unknown User:
SUPPLY &amp; INSTALLATION OF GAS STORAGE HOT WATER SYSTEM (HEAVY DUTY)</t>
        </r>
      </text>
    </comment>
    <comment ref="M785" authorId="0" shapeId="0" xr:uid="{5B7F3C13-8C01-4654-9304-D9045989CA21}">
      <text>
        <r>
          <rPr>
            <sz val="11"/>
            <color theme="1"/>
            <rFont val="Aptos Narrow"/>
            <family val="2"/>
            <scheme val="minor"/>
          </rPr>
          <t>Unknown User:
Smartpay receipt of $1608 not uploaded by plumber.
Uploaded by Modoras team.</t>
        </r>
      </text>
    </comment>
    <comment ref="P785" authorId="0" shapeId="0" xr:uid="{72945215-D028-4A40-AAC3-B6449C17FF0F}">
      <text>
        <r>
          <rPr>
            <sz val="11"/>
            <color theme="1"/>
            <rFont val="Aptos Narrow"/>
            <family val="2"/>
            <scheme val="minor"/>
          </rPr>
          <t>Unknown User:
Quote not emailed</t>
        </r>
      </text>
    </comment>
    <comment ref="Q785" authorId="0" shapeId="0" xr:uid="{EB5C4C61-29EC-40D3-AB97-1095AE41BFA1}">
      <text>
        <r>
          <rPr>
            <sz val="11"/>
            <color theme="1"/>
            <rFont val="Aptos Narrow"/>
            <family val="2"/>
            <scheme val="minor"/>
          </rPr>
          <t>Unknown User:
Invoice not raised for progress payment of $14000</t>
        </r>
      </text>
    </comment>
    <comment ref="V785" authorId="0" shapeId="0" xr:uid="{8DE0D1B1-9033-4BB2-B94D-08D3D283E7B6}">
      <text>
        <r>
          <rPr>
            <sz val="11"/>
            <color theme="1"/>
            <rFont val="Aptos Narrow"/>
            <family val="2"/>
            <scheme val="minor"/>
          </rPr>
          <t>Unknown User:
6/10-Received $471.80 by Podium.</t>
        </r>
      </text>
    </comment>
    <comment ref="G789" authorId="0" shapeId="0" xr:uid="{BC929379-95CC-489F-B74A-05B98E8EBD3F}">
      <text>
        <r>
          <rPr>
            <sz val="11"/>
            <color theme="1"/>
            <rFont val="Aptos Narrow"/>
            <family val="2"/>
            <scheme val="minor"/>
          </rPr>
          <t>Unknown User:
COMPLETE SERVICE OF WALL TOP TAPS ASSEMBLY
$39 Tap Services Discount</t>
        </r>
      </text>
    </comment>
    <comment ref="G790" authorId="0" shapeId="0" xr:uid="{7CF46A70-0603-49D0-A2C2-D5D3E6405BCA}">
      <text>
        <r>
          <rPr>
            <sz val="11"/>
            <color theme="1"/>
            <rFont val="Aptos Narrow"/>
            <family val="2"/>
            <scheme val="minor"/>
          </rPr>
          <t>Unknown User:
HIGH POWERED JET BLAST &amp; CCTV DRAIN CAMERA INSPECTION (SEWER SERVICE)</t>
        </r>
      </text>
    </comment>
    <comment ref="G791" authorId="0" shapeId="0" xr:uid="{5A52618B-D776-47AD-ABF6-0888898233FA}">
      <text>
        <r>
          <rPr>
            <sz val="11"/>
            <color theme="1"/>
            <rFont val="Aptos Narrow"/>
            <family val="2"/>
            <scheme val="minor"/>
          </rPr>
          <t>Unknown User:
WATER SERVICE RECTIFICATION (EXPOSED)</t>
        </r>
      </text>
    </comment>
    <comment ref="G792" authorId="0" shapeId="0" xr:uid="{F01E9454-B605-4412-8229-8BD624F41450}">
      <text>
        <r>
          <rPr>
            <sz val="11"/>
            <color theme="1"/>
            <rFont val="Aptos Narrow"/>
            <family val="2"/>
            <scheme val="minor"/>
          </rPr>
          <t>Unknown User:
SUPPLY &amp; INSTALLATION OF NEW INSET BASIN</t>
        </r>
      </text>
    </comment>
    <comment ref="G797" authorId="0" shapeId="0" xr:uid="{871881BF-1557-46C4-B81E-866F700ABEFE}">
      <text>
        <r>
          <rPr>
            <sz val="11"/>
            <color theme="1"/>
            <rFont val="Aptos Narrow"/>
            <family val="2"/>
            <scheme val="minor"/>
          </rPr>
          <t xml:space="preserve">Unknown User:
SPECIALIST GAS LEAK DETECTION
</t>
        </r>
      </text>
    </comment>
    <comment ref="G798" authorId="0" shapeId="0" xr:uid="{3E04ECEA-C48A-4D4E-B571-B03EF1BA487E}">
      <text>
        <r>
          <rPr>
            <sz val="11"/>
            <color theme="1"/>
            <rFont val="Aptos Narrow"/>
            <family val="2"/>
            <scheme val="minor"/>
          </rPr>
          <t>Unknown User:
REPLACEMENT OF SEWER SHAFT (UNDER CONCRETE)</t>
        </r>
      </text>
    </comment>
    <comment ref="M798" authorId="0" shapeId="0" xr:uid="{4216B7FD-7FA5-4E81-8ECB-8392A17DCA28}">
      <text>
        <r>
          <rPr>
            <sz val="11"/>
            <color theme="1"/>
            <rFont val="Aptos Narrow"/>
            <family val="2"/>
            <scheme val="minor"/>
          </rPr>
          <t>Unknown User:
Smartpay receipt of $2000 not uploaded by plumber.
Uploaded by Modoras team</t>
        </r>
      </text>
    </comment>
    <comment ref="V798" authorId="0" shapeId="0" xr:uid="{E16E535A-80A2-410C-A076-312BEE70ACE9}">
      <text>
        <r>
          <rPr>
            <sz val="11"/>
            <color theme="1"/>
            <rFont val="Aptos Narrow"/>
            <family val="2"/>
            <scheme val="minor"/>
          </rPr>
          <t>Unknown User:
29/9--Received $7000 by Smartpay</t>
        </r>
      </text>
    </comment>
    <comment ref="G802" authorId="0" shapeId="0" xr:uid="{0CAB748B-A2EB-481C-AE1C-00AC0C97CB3E}">
      <text>
        <r>
          <rPr>
            <sz val="11"/>
            <color theme="1"/>
            <rFont val="Aptos Narrow"/>
            <family val="2"/>
            <scheme val="minor"/>
          </rPr>
          <t xml:space="preserve">Unknown User:
DIG UP OF STORM WATER SPOT (UNDER CONCRETE)
</t>
        </r>
      </text>
    </comment>
    <comment ref="G803" authorId="0" shapeId="0" xr:uid="{9C9454CE-AB39-4989-8094-6DD78DCC9654}">
      <text>
        <r>
          <rPr>
            <sz val="11"/>
            <color theme="1"/>
            <rFont val="Aptos Narrow"/>
            <family val="2"/>
            <scheme val="minor"/>
          </rPr>
          <t>Unknown User:
REPLACEMENT OF EMERGENCY STOP VALVE
10% Seniors &amp; Pensioners Discount</t>
        </r>
      </text>
    </comment>
    <comment ref="G804" authorId="0" shapeId="0" xr:uid="{6C0B95EB-AB3F-493A-AAAC-2E93ADB1E08A}">
      <text>
        <r>
          <rPr>
            <sz val="11"/>
            <color theme="1"/>
            <rFont val="Aptos Narrow"/>
            <family val="2"/>
            <scheme val="minor"/>
          </rPr>
          <t>Unknown User:
WATER SERVICE RECTIFICATION (IN WALL)
CREDIT OF MINI STOP INSTALLATION</t>
        </r>
      </text>
    </comment>
    <comment ref="K804" authorId="0" shapeId="0" xr:uid="{E1DFBC89-464C-403E-A22B-032D98DBE73A}">
      <text>
        <r>
          <rPr>
            <sz val="11"/>
            <color theme="1"/>
            <rFont val="Aptos Narrow"/>
            <family val="2"/>
            <scheme val="minor"/>
          </rPr>
          <t>Unknown User:
Previous job #73785 pics considered</t>
        </r>
      </text>
    </comment>
    <comment ref="G805" authorId="0" shapeId="0" xr:uid="{1DBA90B9-B978-40F4-BBF6-6113EA1D42C1}">
      <text>
        <r>
          <rPr>
            <sz val="11"/>
            <color theme="1"/>
            <rFont val="Aptos Narrow"/>
            <family val="2"/>
            <scheme val="minor"/>
          </rPr>
          <t>Unknown User:
SUPPLY &amp; INSTALLATION OF GAS STORAGE HOT WATER SYSTEM (EXTERNAL)</t>
        </r>
      </text>
    </comment>
    <comment ref="G806" authorId="0" shapeId="0" xr:uid="{B74D4150-0596-4118-8196-00740E3026D4}">
      <text>
        <r>
          <rPr>
            <sz val="11"/>
            <color theme="1"/>
            <rFont val="Aptos Narrow"/>
            <family val="2"/>
            <scheme val="minor"/>
          </rPr>
          <t>Unknown User:
SEARCH &amp; INVESTIGATE - IN WALL CISTERN</t>
        </r>
      </text>
    </comment>
    <comment ref="G807" authorId="0" shapeId="0" xr:uid="{7416B8DA-8491-4EBE-94B9-EB0F5D5235FD}">
      <text>
        <r>
          <rPr>
            <sz val="11"/>
            <color theme="1"/>
            <rFont val="Aptos Narrow"/>
            <family val="2"/>
            <scheme val="minor"/>
          </rPr>
          <t xml:space="preserve">Unknown User:
HIGH POWERED SUCTION &amp; ACID TREATMENT
</t>
        </r>
      </text>
    </comment>
    <comment ref="G808" authorId="0" shapeId="0" xr:uid="{A5CE0643-B227-4FA7-8D9F-79EF46203BF8}">
      <text>
        <r>
          <rPr>
            <sz val="11"/>
            <color theme="1"/>
            <rFont val="Aptos Narrow"/>
            <family val="2"/>
            <scheme val="minor"/>
          </rPr>
          <t xml:space="preserve">Unknown User:
Convert Existing Gas Storage to New Electric Storage Tank – Rheem 315L
10% Good Will Discount
</t>
        </r>
      </text>
    </comment>
    <comment ref="G809" authorId="0" shapeId="0" xr:uid="{4DF90AB2-138B-4AC5-85DE-730B1F763B16}">
      <text>
        <r>
          <rPr>
            <sz val="11"/>
            <color theme="1"/>
            <rFont val="Aptos Narrow"/>
            <family val="2"/>
            <scheme val="minor"/>
          </rPr>
          <t>Unknown User:
SEARCH &amp; INVESTIGATE - IN WALL CISTERN</t>
        </r>
      </text>
    </comment>
    <comment ref="G811" authorId="0" shapeId="0" xr:uid="{70B16E75-49CC-4D2D-A08B-62FDE1EFB28B}">
      <text>
        <r>
          <rPr>
            <sz val="11"/>
            <color theme="1"/>
            <rFont val="Aptos Narrow"/>
            <family val="2"/>
            <scheme val="minor"/>
          </rPr>
          <t>Unknown User:
INSTALLATION OF NEW DOUBLE BOWL KITCHEN SINK (CUSTOMER SUPPLIED)
SUPPLY AND INSTALLATION OF EMERGENCY STOP VALVE CONNECTION FOR DISHWASHER TO EXISTING WATER POINT</t>
        </r>
      </text>
    </comment>
    <comment ref="G812" authorId="0" shapeId="0" xr:uid="{10919E93-B894-4DB1-BF42-A7C99B472260}">
      <text>
        <r>
          <rPr>
            <sz val="11"/>
            <color theme="1"/>
            <rFont val="Aptos Narrow"/>
            <family val="2"/>
            <scheme val="minor"/>
          </rPr>
          <t>Unknown User:
RESEAL OF SHOWER
10% Loyalty Discount</t>
        </r>
      </text>
    </comment>
    <comment ref="K812" authorId="0" shapeId="0" xr:uid="{5C9A779B-3C16-4BE1-889E-8FED12AD77F5}">
      <text>
        <r>
          <rPr>
            <sz val="11"/>
            <color theme="1"/>
            <rFont val="Aptos Narrow"/>
            <family val="2"/>
            <scheme val="minor"/>
          </rPr>
          <t>Unknown User:
Previous job #73939 images considered</t>
        </r>
      </text>
    </comment>
    <comment ref="G813" authorId="0" shapeId="0" xr:uid="{0D66B047-A882-4F41-8937-A6F2F645EADE}">
      <text>
        <r>
          <rPr>
            <sz val="11"/>
            <color theme="1"/>
            <rFont val="Aptos Narrow"/>
            <family val="2"/>
            <scheme val="minor"/>
          </rPr>
          <t xml:space="preserve">Unknown User:
SEWER SERVICE - RELINE
</t>
        </r>
      </text>
    </comment>
    <comment ref="G814" authorId="0" shapeId="0" xr:uid="{209847B4-5D7F-4C5C-BA62-D84719407ACF}">
      <text>
        <r>
          <rPr>
            <sz val="11"/>
            <color theme="1"/>
            <rFont val="Aptos Narrow"/>
            <family val="2"/>
            <scheme val="minor"/>
          </rPr>
          <t xml:space="preserve">Unknown User:
SEARCH &amp; INVESTIGATION OF GAS APPLIANCE
</t>
        </r>
      </text>
    </comment>
    <comment ref="G815" authorId="0" shapeId="0" xr:uid="{D677008A-F43B-4EB9-9D18-EED5478933FD}">
      <text>
        <r>
          <rPr>
            <sz val="11"/>
            <color theme="1"/>
            <rFont val="Aptos Narrow"/>
            <family val="2"/>
            <scheme val="minor"/>
          </rPr>
          <t>Unknown User:
SUPPLY &amp; INSTALLATION OF NEW PLASTIC TOILET CISTERN</t>
        </r>
      </text>
    </comment>
    <comment ref="G816" authorId="0" shapeId="0" xr:uid="{B24D8A45-1EC5-4A50-80B5-0C45A865F6B5}">
      <text>
        <r>
          <rPr>
            <sz val="11"/>
            <color theme="1"/>
            <rFont val="Aptos Narrow"/>
            <family val="2"/>
            <scheme val="minor"/>
          </rPr>
          <t>Unknown User:
REPLACEMENT OF CISTERN FILLING &amp; DUAL FLUSH VALVES AND SEAL BETWEEN CLOSE COUPLED CISTERN &amp; PAN</t>
        </r>
      </text>
    </comment>
    <comment ref="G817" authorId="0" shapeId="0" xr:uid="{CD91E170-7C21-4969-9CDC-E3FD2AF911A4}">
      <text>
        <r>
          <rPr>
            <sz val="11"/>
            <color theme="1"/>
            <rFont val="Aptos Narrow"/>
            <family val="2"/>
            <scheme val="minor"/>
          </rPr>
          <t>Unknown User:
CONVERT SOLAR SPLIT HOT WATER SYSTEM TO EXTERNAL GAS INSTANTANEOUS HOT WATER SYSTEM
10% Good Will Discount</t>
        </r>
      </text>
    </comment>
    <comment ref="G818" authorId="0" shapeId="0" xr:uid="{253BAEE3-1BC9-41C2-ADFB-8F8283A52D95}">
      <text>
        <r>
          <rPr>
            <sz val="11"/>
            <color theme="1"/>
            <rFont val="Aptos Narrow"/>
            <family val="2"/>
            <scheme val="minor"/>
          </rPr>
          <t>Unknown User:
SUPPLY &amp; INSTALLATION OF COMPLETE VALVE KIT TO GAS STORAGE HOT WATER SYSTEM</t>
        </r>
      </text>
    </comment>
    <comment ref="G819" authorId="0" shapeId="0" xr:uid="{2292672A-EBFD-4BA0-AE56-2603E66A3EFD}">
      <text>
        <r>
          <rPr>
            <sz val="11"/>
            <color theme="1"/>
            <rFont val="Aptos Narrow"/>
            <family val="2"/>
            <scheme val="minor"/>
          </rPr>
          <t>Unknown User:
SEAL EXISTING SHOWER BASE</t>
        </r>
      </text>
    </comment>
    <comment ref="E841" authorId="6" shapeId="0" xr:uid="{541C069B-60E2-4D3A-8F0E-470A3A4BEA42}">
      <text>
        <t>[Threaded comment]
Your version of Excel allows you to read this threaded comment; however, any edits to it will get removed if the file is opened in a newer version of Excel. Learn more: https://go.microsoft.com/fwlink/?linkid=870924
Comment:
    Checked</t>
      </text>
    </comment>
    <comment ref="G852" authorId="0" shapeId="0" xr:uid="{B26F13E2-C0ED-4D9F-80DF-8C074F8E7088}">
      <text>
        <r>
          <rPr>
            <sz val="11"/>
            <color theme="1"/>
            <rFont val="Aptos Narrow"/>
            <family val="2"/>
            <scheme val="minor"/>
          </rPr>
          <t xml:space="preserve">Unknown User:
SEARCH &amp; INVESTIGATION OF GAS STORAGE HOT WATER SYSTEM
$65 First Service Discount </t>
        </r>
      </text>
    </comment>
    <comment ref="G853" authorId="0" shapeId="0" xr:uid="{6C6E160F-FE4B-4CA9-B8D1-AA5340BFDEF9}">
      <text>
        <r>
          <rPr>
            <sz val="11"/>
            <color theme="1"/>
            <rFont val="Aptos Narrow"/>
            <family val="2"/>
            <scheme val="minor"/>
          </rPr>
          <t>Unknown User:
SUPPLY AND INSTALLATION OF T&amp;PR VALVE (15MM)</t>
        </r>
      </text>
    </comment>
    <comment ref="G854" authorId="0" shapeId="0" xr:uid="{B5CFD2DE-A453-435A-AA3A-8030FE6A1577}">
      <text>
        <r>
          <rPr>
            <sz val="11"/>
            <color theme="1"/>
            <rFont val="Aptos Narrow"/>
            <family val="2"/>
            <scheme val="minor"/>
          </rPr>
          <t>Unknown User:
SUPPLY &amp; INSTALLATION OF GAS STORAGE HOT WATER SYSTEM (EXTERNAL)</t>
        </r>
      </text>
    </comment>
    <comment ref="Q854" authorId="0" shapeId="0" xr:uid="{0C5B3E8F-E1FB-4172-B0E9-592C8C7D962F}">
      <text>
        <r>
          <rPr>
            <sz val="11"/>
            <color theme="1"/>
            <rFont val="Aptos Narrow"/>
            <family val="2"/>
            <scheme val="minor"/>
          </rPr>
          <t>Unknown User:
Final zero due invoice not raised</t>
        </r>
      </text>
    </comment>
    <comment ref="V854" authorId="0" shapeId="0" xr:uid="{F95E3A03-CCF9-458C-BDF9-F375BB89FA9A}">
      <text>
        <r>
          <rPr>
            <sz val="11"/>
            <color theme="1"/>
            <rFont val="Aptos Narrow"/>
            <family val="2"/>
            <scheme val="minor"/>
          </rPr>
          <t>Unknown User:
Excess receipt by $0.46</t>
        </r>
      </text>
    </comment>
    <comment ref="G855" authorId="0" shapeId="0" xr:uid="{E1A574BA-D97E-4B32-B78C-EECBE7F6463C}">
      <text>
        <r>
          <rPr>
            <sz val="11"/>
            <color theme="1"/>
            <rFont val="Aptos Narrow"/>
            <family val="2"/>
            <scheme val="minor"/>
          </rPr>
          <t xml:space="preserve">Unknown User:
COMPLETE SERVICE OF TOILET CISTERN
COMPLETE SERVICE OF TAP TOP ASSEMBLY
</t>
        </r>
      </text>
    </comment>
    <comment ref="R855" authorId="0" shapeId="0" xr:uid="{9E9D1F69-5AB8-4610-99EB-8389823D372D}">
      <text>
        <r>
          <rPr>
            <sz val="11"/>
            <color theme="1"/>
            <rFont val="Aptos Narrow"/>
            <family val="2"/>
            <scheme val="minor"/>
          </rPr>
          <t>Unknown User:
Invoice not signed</t>
        </r>
      </text>
    </comment>
    <comment ref="G856" authorId="0" shapeId="0" xr:uid="{303A9915-DF6B-4D18-B5AC-5F10A02AD19B}">
      <text>
        <r>
          <rPr>
            <sz val="11"/>
            <color theme="1"/>
            <rFont val="Aptos Narrow"/>
            <family val="2"/>
            <scheme val="minor"/>
          </rPr>
          <t xml:space="preserve">Unknown User:
SUPPLY AND INSTALLATION OF TAP TO REPLACE WASHING MACHINE TAP
</t>
        </r>
      </text>
    </comment>
    <comment ref="M856" authorId="0" shapeId="0" xr:uid="{8DABAFDD-EC6D-43A4-8397-231AE620B3DB}">
      <text>
        <r>
          <rPr>
            <sz val="11"/>
            <color theme="1"/>
            <rFont val="Aptos Narrow"/>
            <family val="2"/>
            <scheme val="minor"/>
          </rPr>
          <t>Unknown User:
Smartpay receipt of $... not uploaded by plumber.
Uploaded by Modoras team.</t>
        </r>
      </text>
    </comment>
    <comment ref="G857" authorId="0" shapeId="0" xr:uid="{22E9D64C-3775-4822-A1FA-D0FAA80FF0FD}">
      <text>
        <r>
          <rPr>
            <sz val="11"/>
            <color theme="1"/>
            <rFont val="Aptos Narrow"/>
            <family val="2"/>
            <scheme val="minor"/>
          </rPr>
          <t>Unknown User:
SUPPLY &amp; INSTALLATION OF GAS STORAGE HOT WATER SYSTEM (EXTERNAL)</t>
        </r>
      </text>
    </comment>
    <comment ref="Q857" authorId="0" shapeId="0" xr:uid="{577B99FF-8152-43B7-A989-F38634081B84}">
      <text>
        <r>
          <rPr>
            <sz val="11"/>
            <color theme="1"/>
            <rFont val="Aptos Narrow"/>
            <family val="2"/>
            <scheme val="minor"/>
          </rPr>
          <t>Unknown User:
Final zero due invoice not raised</t>
        </r>
      </text>
    </comment>
    <comment ref="G858" authorId="0" shapeId="0" xr:uid="{482BB00D-0DF3-4AB6-B5C8-1F595CE0C946}">
      <text>
        <r>
          <rPr>
            <sz val="11"/>
            <color theme="1"/>
            <rFont val="Aptos Narrow"/>
            <family val="2"/>
            <scheme val="minor"/>
          </rPr>
          <t>Unknown User:
SUPPLY &amp; INSTALLATION OF GAS STORAGE HOT WATER SYSTEM (EXTERNAL)
10% Good Will Discount</t>
        </r>
      </text>
    </comment>
    <comment ref="T858" authorId="0" shapeId="0" xr:uid="{EBFD65D6-A731-4FF4-8A69-042C5E83948B}">
      <text>
        <r>
          <rPr>
            <sz val="11"/>
            <color theme="1"/>
            <rFont val="Aptos Narrow"/>
            <family val="2"/>
            <scheme val="minor"/>
          </rPr>
          <t>Unknown User:
1x Matthew H</t>
        </r>
      </text>
    </comment>
    <comment ref="G859" authorId="0" shapeId="0" xr:uid="{BB121F42-49B7-4397-9DB2-DDE82CB2D29E}">
      <text>
        <r>
          <rPr>
            <sz val="11"/>
            <color theme="1"/>
            <rFont val="Aptos Narrow"/>
            <family val="2"/>
            <scheme val="minor"/>
          </rPr>
          <t xml:space="preserve">Unknown User:
SEARCH &amp; INVESTIGATION OF GAS STORAGE HOT WATER SYSTEM
</t>
        </r>
      </text>
    </comment>
    <comment ref="G860" authorId="0" shapeId="0" xr:uid="{45919887-9380-4093-98C8-BC38F3CE8277}">
      <text>
        <r>
          <rPr>
            <sz val="11"/>
            <color theme="1"/>
            <rFont val="Aptos Narrow"/>
            <family val="2"/>
            <scheme val="minor"/>
          </rPr>
          <t xml:space="preserve">Unknown User:
COMPLETE SERVICE OF WALL TOP TAPS ASSEMBLY
</t>
        </r>
      </text>
    </comment>
    <comment ref="G861" authorId="0" shapeId="0" xr:uid="{A03131D8-BD24-4BA7-9815-91C5FD7DFD90}">
      <text>
        <r>
          <rPr>
            <sz val="11"/>
            <color theme="1"/>
            <rFont val="Aptos Narrow"/>
            <family val="2"/>
            <scheme val="minor"/>
          </rPr>
          <t>Unknown User:
REPLACEMENT OF EMERGENCY STOP VALVE</t>
        </r>
      </text>
    </comment>
    <comment ref="G862" authorId="0" shapeId="0" xr:uid="{FA7633B7-0D73-45B0-88DC-22647BE68019}">
      <text>
        <r>
          <rPr>
            <sz val="11"/>
            <color theme="1"/>
            <rFont val="Aptos Narrow"/>
            <family val="2"/>
            <scheme val="minor"/>
          </rPr>
          <t>Unknown User:
WATER SERVICE RECTIFICATION (EXPOSED)
SUPPLY AND INSTALLATION OF T&amp;PR VALVE (15MM)</t>
        </r>
      </text>
    </comment>
    <comment ref="S862" authorId="0" shapeId="0" xr:uid="{9CC1F93B-497F-4EBF-8FCB-E2BAD39C327E}">
      <text>
        <r>
          <rPr>
            <sz val="11"/>
            <color theme="1"/>
            <rFont val="Aptos Narrow"/>
            <family val="2"/>
            <scheme val="minor"/>
          </rPr>
          <t>Unknown User:
Signed invoice not emailed</t>
        </r>
      </text>
    </comment>
    <comment ref="G863" authorId="0" shapeId="0" xr:uid="{B666B379-28AD-4DF2-A1F4-33849D15EE1B}">
      <text>
        <r>
          <rPr>
            <sz val="11"/>
            <color theme="1"/>
            <rFont val="Aptos Narrow"/>
            <family val="2"/>
            <scheme val="minor"/>
          </rPr>
          <t>Unknown User:
SUPPLY AND INSTALLATION OF TAP TO REPLACE WASHING MACHINE TAP
10% Seniors &amp; Pensioners Discount</t>
        </r>
      </text>
    </comment>
    <comment ref="P863" authorId="0" shapeId="0" xr:uid="{438AFF92-1529-4A04-BF25-3FF9CA6B858B}">
      <text>
        <r>
          <rPr>
            <sz val="11"/>
            <color theme="1"/>
            <rFont val="Aptos Narrow"/>
            <family val="2"/>
            <scheme val="minor"/>
          </rPr>
          <t>Unknown User:
Quote not emailed</t>
        </r>
      </text>
    </comment>
    <comment ref="S863" authorId="0" shapeId="0" xr:uid="{D23C5019-7D68-4D6A-89F5-F4A172CC05AC}">
      <text>
        <r>
          <rPr>
            <sz val="11"/>
            <color theme="1"/>
            <rFont val="Aptos Narrow"/>
            <family val="2"/>
            <scheme val="minor"/>
          </rPr>
          <t>Unknown User:
Signed invoice not emailed</t>
        </r>
      </text>
    </comment>
    <comment ref="G864" authorId="0" shapeId="0" xr:uid="{097BAB4B-B665-4B07-A315-F88D7BAE9B64}">
      <text>
        <r>
          <rPr>
            <sz val="11"/>
            <color theme="1"/>
            <rFont val="Aptos Narrow"/>
            <family val="2"/>
            <scheme val="minor"/>
          </rPr>
          <t>Unknown User:
SEARCH AND INVESTIGATION OF ELECTRIC STORAGE HOT WATER SYSTEM</t>
        </r>
      </text>
    </comment>
    <comment ref="G865" authorId="0" shapeId="0" xr:uid="{7FD9043F-A6A5-4388-BB4E-9B7167ED6140}">
      <text>
        <r>
          <rPr>
            <sz val="11"/>
            <color theme="1"/>
            <rFont val="Aptos Narrow"/>
            <family val="2"/>
            <scheme val="minor"/>
          </rPr>
          <t>Unknown User:
SEARCH &amp; INVESTIGATION (GENERAL)</t>
        </r>
      </text>
    </comment>
    <comment ref="G866" authorId="0" shapeId="0" xr:uid="{7681B575-E87A-432C-9928-63F1DA5A5D7C}">
      <text>
        <r>
          <rPr>
            <sz val="11"/>
            <color theme="1"/>
            <rFont val="Aptos Narrow"/>
            <family val="2"/>
            <scheme val="minor"/>
          </rPr>
          <t>Unknown User:
HIGH POWERED JET BLAST &amp; CCTV DRAIN CAMERA INSPECTION (SEWER SERVICE)</t>
        </r>
      </text>
    </comment>
    <comment ref="N866" authorId="0" shapeId="0" xr:uid="{A6DA9119-9CB4-4616-9F3E-2758A254AB12}">
      <text>
        <r>
          <rPr>
            <sz val="11"/>
            <color theme="1"/>
            <rFont val="Aptos Narrow"/>
            <family val="2"/>
            <scheme val="minor"/>
          </rPr>
          <t>Unknown User:
SMS approval to go ahead  with work (customer's mother.)</t>
        </r>
      </text>
    </comment>
    <comment ref="G871" authorId="0" shapeId="0" xr:uid="{925BBCCB-88D3-4462-A5DC-84D0ADCC7D09}">
      <text>
        <r>
          <rPr>
            <sz val="11"/>
            <color theme="1"/>
            <rFont val="Aptos Narrow"/>
            <family val="2"/>
            <scheme val="minor"/>
          </rPr>
          <t>Unknown User:
COMPLETE SERVICE OF WALL TOP TAPS ASSEMBLY
$39 Tap Services Discount</t>
        </r>
      </text>
    </comment>
    <comment ref="G872" authorId="0" shapeId="0" xr:uid="{CD281138-AF44-466F-9452-E7A4397B82D2}">
      <text>
        <r>
          <rPr>
            <sz val="11"/>
            <color theme="1"/>
            <rFont val="Aptos Narrow"/>
            <family val="2"/>
            <scheme val="minor"/>
          </rPr>
          <t>Unknown User:
WATER SERVICE RECTIFICATION (EXPOSED)</t>
        </r>
      </text>
    </comment>
    <comment ref="G873" authorId="0" shapeId="0" xr:uid="{924CC2E2-8852-47D2-8744-EDE762560CFF}">
      <text>
        <r>
          <rPr>
            <sz val="11"/>
            <color theme="1"/>
            <rFont val="Aptos Narrow"/>
            <family val="2"/>
            <scheme val="minor"/>
          </rPr>
          <t>Unknown User:
SUPPLY &amp; INSTALLATION OF GAS STORAGE HOT WATER SYSTEM (HEAVY DUTY)</t>
        </r>
      </text>
    </comment>
    <comment ref="M873" authorId="0" shapeId="0" xr:uid="{B2F8257E-B44B-427B-8547-7791D345514D}">
      <text>
        <r>
          <rPr>
            <sz val="11"/>
            <color theme="1"/>
            <rFont val="Aptos Narrow"/>
            <family val="2"/>
            <scheme val="minor"/>
          </rPr>
          <t>Unknown User:
Smartpay receipt of $1608 not uploaded by plumber.
Uploaded by Modoras team.</t>
        </r>
      </text>
    </comment>
    <comment ref="P873" authorId="0" shapeId="0" xr:uid="{EBF25714-0147-4CBB-A7C9-39BF17479CFC}">
      <text>
        <r>
          <rPr>
            <sz val="11"/>
            <color theme="1"/>
            <rFont val="Aptos Narrow"/>
            <family val="2"/>
            <scheme val="minor"/>
          </rPr>
          <t>Unknown User:
Quote not emailed</t>
        </r>
      </text>
    </comment>
    <comment ref="Q873" authorId="0" shapeId="0" xr:uid="{38C27A9E-9EC8-4429-B309-1DF653C5E5E4}">
      <text>
        <r>
          <rPr>
            <sz val="11"/>
            <color theme="1"/>
            <rFont val="Aptos Narrow"/>
            <family val="2"/>
            <scheme val="minor"/>
          </rPr>
          <t>Unknown User:
Invoice not raised for progress payment of $14000</t>
        </r>
      </text>
    </comment>
    <comment ref="V873" authorId="0" shapeId="0" xr:uid="{9C6A2E9D-DF18-4240-A5AB-2F781F6886DE}">
      <text>
        <r>
          <rPr>
            <sz val="11"/>
            <color theme="1"/>
            <rFont val="Aptos Narrow"/>
            <family val="2"/>
            <scheme val="minor"/>
          </rPr>
          <t>Unknown User:
6/10-Received $471.80 by Podium.</t>
        </r>
      </text>
    </comment>
    <comment ref="G877" authorId="0" shapeId="0" xr:uid="{79948D1A-BA73-4DD3-B17C-7B0FB02FC975}">
      <text>
        <r>
          <rPr>
            <sz val="11"/>
            <color theme="1"/>
            <rFont val="Aptos Narrow"/>
            <family val="2"/>
            <scheme val="minor"/>
          </rPr>
          <t>Unknown User:
SUPPLY AND INSTALLATION OF PRESSURE REGULATING DEVICE FITTED TO 25MM STRAIGHT PIPEWORK
SUPPLY &amp; INSTALLATION OF COMPLETE VALVE KIT TO GAS STORAGE HOT WATER SYSTEM</t>
        </r>
      </text>
    </comment>
    <comment ref="G878" authorId="0" shapeId="0" xr:uid="{AD0AC2C5-30FD-4396-84C8-A321F60D321E}">
      <text>
        <r>
          <rPr>
            <sz val="11"/>
            <color theme="1"/>
            <rFont val="Aptos Narrow"/>
            <family val="2"/>
            <scheme val="minor"/>
          </rPr>
          <t xml:space="preserve">Unknown User:
SUPPLY &amp; INSTALLATION OF NEW THERMOSTAT &amp; ELEMENT
CREDIT OF SEARCH &amp; INVESTIGATION </t>
        </r>
      </text>
    </comment>
    <comment ref="G882" authorId="0" shapeId="0" xr:uid="{D5EF8AB1-2345-41DC-B1E0-ABB511430DA0}">
      <text>
        <r>
          <rPr>
            <sz val="11"/>
            <color theme="1"/>
            <rFont val="Aptos Narrow"/>
            <family val="2"/>
            <scheme val="minor"/>
          </rPr>
          <t>Unknown User:
HIGH POWERED JET BLAST &amp; CCTV DRAIN CAMERA INSPECTION (SEWER SERVICE)</t>
        </r>
      </text>
    </comment>
    <comment ref="G883" authorId="0" shapeId="0" xr:uid="{B926C025-54FA-472E-BFEF-E640AB2364DC}">
      <text>
        <r>
          <rPr>
            <sz val="11"/>
            <color theme="1"/>
            <rFont val="Aptos Narrow"/>
            <family val="2"/>
            <scheme val="minor"/>
          </rPr>
          <t>Unknown User:
SUPPLY &amp; INSTALLATION OF NEW INSET BASIN</t>
        </r>
      </text>
    </comment>
    <comment ref="G888" authorId="0" shapeId="0" xr:uid="{793C1635-90A5-42B6-99AA-3EA7C356311F}">
      <text>
        <r>
          <rPr>
            <sz val="11"/>
            <color theme="1"/>
            <rFont val="Aptos Narrow"/>
            <family val="2"/>
            <scheme val="minor"/>
          </rPr>
          <t xml:space="preserve">Unknown User:
SPECIALIST GAS LEAK DETECTION
</t>
        </r>
      </text>
    </comment>
    <comment ref="G889" authorId="0" shapeId="0" xr:uid="{70F20E32-DAA9-4918-8B5E-1E93982C80C3}">
      <text>
        <r>
          <rPr>
            <sz val="11"/>
            <color theme="1"/>
            <rFont val="Aptos Narrow"/>
            <family val="2"/>
            <scheme val="minor"/>
          </rPr>
          <t>Unknown User:
REPLACEMENT OF SEWER SHAFT (UNDER CONCRETE)</t>
        </r>
      </text>
    </comment>
    <comment ref="M889" authorId="0" shapeId="0" xr:uid="{1E1EEC10-6CD8-4E86-B760-FF926B89416A}">
      <text>
        <r>
          <rPr>
            <sz val="11"/>
            <color theme="1"/>
            <rFont val="Aptos Narrow"/>
            <family val="2"/>
            <scheme val="minor"/>
          </rPr>
          <t>Unknown User:
Smartpay receipt of $2000 not uploaded by plumber.
Uploaded by Modoras team</t>
        </r>
      </text>
    </comment>
    <comment ref="V889" authorId="0" shapeId="0" xr:uid="{52A52CB4-EA29-468B-8F43-8FC432865F59}">
      <text>
        <r>
          <rPr>
            <sz val="11"/>
            <color theme="1"/>
            <rFont val="Aptos Narrow"/>
            <family val="2"/>
            <scheme val="minor"/>
          </rPr>
          <t>Unknown User:
29/9--Received $7000 by Smartpay
8/10-Received $7000 by Cash.
9/10-Received $477.10 by Podium</t>
        </r>
      </text>
    </comment>
    <comment ref="G893" authorId="0" shapeId="0" xr:uid="{6FB6C478-C605-4298-B782-6964CB12C237}">
      <text>
        <r>
          <rPr>
            <sz val="11"/>
            <color theme="1"/>
            <rFont val="Aptos Narrow"/>
            <family val="2"/>
            <scheme val="minor"/>
          </rPr>
          <t xml:space="preserve">Unknown User:
SEARCH &amp; INVESTIGATION OF SINGLE STOREY ROOF OF POTENTIAL LEAK
</t>
        </r>
      </text>
    </comment>
    <comment ref="G894" authorId="0" shapeId="0" xr:uid="{E1E9A494-DD14-458A-A4B9-03E49870E96F}">
      <text>
        <r>
          <rPr>
            <sz val="11"/>
            <color theme="1"/>
            <rFont val="Aptos Narrow"/>
            <family val="2"/>
            <scheme val="minor"/>
          </rPr>
          <t xml:space="preserve">Unknown User:
SUPPLY &amp; INSTALLATION OF NEW PLASTIC TOILET CISTERN
</t>
        </r>
      </text>
    </comment>
    <comment ref="G895" authorId="0" shapeId="0" xr:uid="{237D0F5A-6780-412B-A877-B5662642BD91}">
      <text>
        <r>
          <rPr>
            <sz val="11"/>
            <color theme="1"/>
            <rFont val="Aptos Narrow"/>
            <family val="2"/>
            <scheme val="minor"/>
          </rPr>
          <t xml:space="preserve">Unknown User:
INSTALLATION OF MIXER CARTRIDGE (CUSTOMER SUPPLIED)
</t>
        </r>
      </text>
    </comment>
    <comment ref="G898" authorId="0" shapeId="0" xr:uid="{F1A5D3A3-F342-40B7-BF52-0061E04CE96E}">
      <text>
        <r>
          <rPr>
            <sz val="11"/>
            <color theme="1"/>
            <rFont val="Aptos Narrow"/>
            <family val="2"/>
            <scheme val="minor"/>
          </rPr>
          <t>Unknown User:
INSTALLATION OF MIXER CARTRIDGE (CUSTOMER SUPPLIED)
$65 First Service Discount</t>
        </r>
      </text>
    </comment>
    <comment ref="G899" authorId="0" shapeId="0" xr:uid="{854FD542-F69F-4079-8E3D-A16FC43CCDED}">
      <text>
        <r>
          <rPr>
            <sz val="11"/>
            <color theme="1"/>
            <rFont val="Aptos Narrow"/>
            <family val="2"/>
            <scheme val="minor"/>
          </rPr>
          <t>Unknown User:
SUPPLY &amp; INSTALLATION OF NEW WALL FACED TOILET SUITE
10% Good Will Discount</t>
        </r>
      </text>
    </comment>
    <comment ref="G900" authorId="0" shapeId="0" xr:uid="{1AD4097C-8386-42CE-BBDE-47F562BF9F8D}">
      <text>
        <r>
          <rPr>
            <sz val="11"/>
            <color theme="1"/>
            <rFont val="Aptos Narrow"/>
            <family val="2"/>
            <scheme val="minor"/>
          </rPr>
          <t xml:space="preserve">Unknown User:
INSTALLATION OF BASIN MIXER WITH NEW MIXER (CUSTOMER SUPPLIED)
</t>
        </r>
      </text>
    </comment>
    <comment ref="G901" authorId="0" shapeId="0" xr:uid="{55C9024B-E3A4-41D5-95D5-CC4DBF96D433}">
      <text>
        <r>
          <rPr>
            <sz val="11"/>
            <color theme="1"/>
            <rFont val="Aptos Narrow"/>
            <family val="2"/>
            <scheme val="minor"/>
          </rPr>
          <t>Unknown User:
CHEMICAL DRAIN CLEANING TREATMENT</t>
        </r>
      </text>
    </comment>
    <comment ref="G902" authorId="0" shapeId="0" xr:uid="{3BE75790-2BE5-4B4B-8F60-E75DE6675610}">
      <text>
        <r>
          <rPr>
            <sz val="11"/>
            <color theme="1"/>
            <rFont val="Aptos Narrow"/>
            <family val="2"/>
            <scheme val="minor"/>
          </rPr>
          <t>Unknown User:
HIGH POWERED JET BLAST &amp; CCTV DRAIN CAMERA INSPECTION (SEWER SERVICE)</t>
        </r>
      </text>
    </comment>
    <comment ref="G903" authorId="0" shapeId="0" xr:uid="{3199EBDA-4131-45E9-9FF1-6BC911BC2B1A}">
      <text>
        <r>
          <rPr>
            <sz val="11"/>
            <color theme="1"/>
            <rFont val="Aptos Narrow"/>
            <family val="2"/>
            <scheme val="minor"/>
          </rPr>
          <t xml:space="preserve">Unknown User:
FULL SERVICE OF COMMERCIAL HEAT PUMP WATER HEATER 
</t>
        </r>
      </text>
    </comment>
    <comment ref="G904" authorId="0" shapeId="0" xr:uid="{BBE2B97E-4485-4984-9BB4-78B81B363AAC}">
      <text>
        <r>
          <rPr>
            <sz val="11"/>
            <color theme="1"/>
            <rFont val="Aptos Narrow"/>
            <family val="2"/>
            <scheme val="minor"/>
          </rPr>
          <t xml:space="preserve">Unknown User:
Supply and Installation of 18 Metres of Gutter and Fascia Board </t>
        </r>
      </text>
    </comment>
    <comment ref="G905" authorId="0" shapeId="0" xr:uid="{19D6D7D1-BF5C-4775-A1BD-AC9648EA14B2}">
      <text>
        <r>
          <rPr>
            <sz val="11"/>
            <color theme="1"/>
            <rFont val="Aptos Narrow"/>
            <family val="2"/>
            <scheme val="minor"/>
          </rPr>
          <t>Unknown User:
SEARCH &amp; INVESTIGATION OF WASHING MACHINE</t>
        </r>
      </text>
    </comment>
    <comment ref="G906" authorId="0" shapeId="0" xr:uid="{7EE6AAE6-C5E0-450B-917D-418558B55F59}">
      <text>
        <r>
          <rPr>
            <sz val="11"/>
            <color theme="1"/>
            <rFont val="Aptos Narrow"/>
            <family val="2"/>
            <scheme val="minor"/>
          </rPr>
          <t xml:space="preserve">Unknown User:
SEARCH &amp; INVESTIGATION (GENERAL)
</t>
        </r>
      </text>
    </comment>
    <comment ref="G908" authorId="0" shapeId="0" xr:uid="{39D381A9-914F-4F02-B97D-7B7840218812}">
      <text>
        <r>
          <rPr>
            <sz val="11"/>
            <color theme="1"/>
            <rFont val="Aptos Narrow"/>
            <family val="2"/>
            <scheme val="minor"/>
          </rPr>
          <t xml:space="preserve">Unknown User:
SEARCH &amp; INVESTIGATION OF SINGLE STOREY ROOF OF POTENTIAL LEAK
</t>
        </r>
      </text>
    </comment>
    <comment ref="G909" authorId="0" shapeId="0" xr:uid="{09673195-9801-4EE9-BF29-FFDBB1FA1070}">
      <text>
        <r>
          <rPr>
            <sz val="11"/>
            <color theme="1"/>
            <rFont val="Aptos Narrow"/>
            <family val="2"/>
            <scheme val="minor"/>
          </rPr>
          <t>Unknown User:
SEARCH AND INVESTIGATION OF GAS INSTANTANEOUS HOT WATER SYSTEM
$65 First Service Discount</t>
        </r>
      </text>
    </comment>
    <comment ref="G910" authorId="0" shapeId="0" xr:uid="{BA4A12E6-69F7-4916-B580-DE47F005EB32}">
      <text>
        <r>
          <rPr>
            <sz val="11"/>
            <color theme="1"/>
            <rFont val="Aptos Narrow"/>
            <family val="2"/>
            <scheme val="minor"/>
          </rPr>
          <t xml:space="preserve">Unknown User:
HIGH POWERED JET BLAST &amp; CCTV CAMERA INSPECTION (GAIN ACCESS WITH REMOVAL OF TOILET)
</t>
        </r>
      </text>
    </comment>
    <comment ref="G911" authorId="0" shapeId="0" xr:uid="{79F2DE75-FDD9-4975-9BD6-3D967A16209D}">
      <text>
        <r>
          <rPr>
            <sz val="11"/>
            <color theme="1"/>
            <rFont val="Aptos Narrow"/>
            <family val="2"/>
            <scheme val="minor"/>
          </rPr>
          <t xml:space="preserve">Unknown User:
SEARCH AND INVESTIGATION OF GAS INSTANTANEOUS HOT WATER SYSTEM
</t>
        </r>
      </text>
    </comment>
    <comment ref="G912" authorId="0" shapeId="0" xr:uid="{89863D13-7C71-463C-8AF8-1BAA8864BEF9}">
      <text>
        <r>
          <rPr>
            <sz val="11"/>
            <color theme="1"/>
            <rFont val="Aptos Narrow"/>
            <family val="2"/>
            <scheme val="minor"/>
          </rPr>
          <t xml:space="preserve">Unknown User:
ROOF REINSTATEMENT </t>
        </r>
      </text>
    </comment>
    <comment ref="G913" authorId="0" shapeId="0" xr:uid="{34EDF8A8-F7AD-4C1F-8A32-9449FDBECCB9}">
      <text>
        <r>
          <rPr>
            <sz val="11"/>
            <color theme="1"/>
            <rFont val="Aptos Narrow"/>
            <family val="2"/>
            <scheme val="minor"/>
          </rPr>
          <t>Unknown User:
SPECIALIST LEAK DETECTION (WATER SERVICE)</t>
        </r>
      </text>
    </comment>
    <comment ref="U913" authorId="0" shapeId="0" xr:uid="{3A907A50-A77B-42E4-B39D-AE65D14D9F98}">
      <text>
        <r>
          <rPr>
            <sz val="11"/>
            <color theme="1"/>
            <rFont val="Aptos Narrow"/>
            <family val="2"/>
            <scheme val="minor"/>
          </rPr>
          <t>Unknown User:
Signed the quote whereas not going ahead.</t>
        </r>
      </text>
    </comment>
    <comment ref="G914" authorId="0" shapeId="0" xr:uid="{2796A4C8-6243-4EFA-BD50-9DAFB5CF594D}">
      <text>
        <r>
          <rPr>
            <sz val="11"/>
            <color theme="1"/>
            <rFont val="Aptos Narrow"/>
            <family val="2"/>
            <scheme val="minor"/>
          </rPr>
          <t xml:space="preserve">Unknown User:
REMOVAL OF TOILET PAN AND RESEAL WITH NEW PAN COLLAR
MIXER TAP - STANDARD
SEARCH &amp; INVESTIGATION OF POTENTIAL GAS LEAK
</t>
        </r>
      </text>
    </comment>
    <comment ref="G915" authorId="0" shapeId="0" xr:uid="{2F785613-0C88-4E2C-BAD6-F717B456E86A}">
      <text>
        <r>
          <rPr>
            <sz val="11"/>
            <color theme="1"/>
            <rFont val="Aptos Narrow"/>
            <family val="2"/>
            <scheme val="minor"/>
          </rPr>
          <t xml:space="preserve">Unknown User:
WATER LINE RENEWAL UNDER HOUSE
</t>
        </r>
      </text>
    </comment>
    <comment ref="G916" authorId="0" shapeId="0" xr:uid="{645E7A32-F796-4E74-9697-87AD38906532}">
      <text>
        <r>
          <rPr>
            <sz val="11"/>
            <color theme="1"/>
            <rFont val="Aptos Narrow"/>
            <family val="2"/>
            <scheme val="minor"/>
          </rPr>
          <t>Unknown User:
WATER SERVICE RECTIFICATION (EXPOSED)
CREDIT OF SEARCH &amp; INVESTIGATION</t>
        </r>
      </text>
    </comment>
    <comment ref="G917" authorId="0" shapeId="0" xr:uid="{2382C791-1011-45CB-8F04-24419F125921}">
      <text>
        <r>
          <rPr>
            <sz val="11"/>
            <color theme="1"/>
            <rFont val="Aptos Narrow"/>
            <family val="2"/>
            <scheme val="minor"/>
          </rPr>
          <t xml:space="preserve">Unknown User:
SEWER SPOT DIG - IN GROUND
</t>
        </r>
      </text>
    </comment>
    <comment ref="G918" authorId="0" shapeId="0" xr:uid="{00FF9EDA-CFEB-46B0-B642-B3ED34EC922E}">
      <text>
        <r>
          <rPr>
            <sz val="11"/>
            <color theme="1"/>
            <rFont val="Aptos Narrow"/>
            <family val="2"/>
            <scheme val="minor"/>
          </rPr>
          <t xml:space="preserve">Unknown User:
HIGH POWERED JET BLAST &amp; CCTV CAMERA INSPECTION (GAIN ACCESS WITH REMOVAL OF TOILET)
</t>
        </r>
      </text>
    </comment>
    <comment ref="U918" authorId="0" shapeId="0" xr:uid="{026C0FC9-80AA-4348-AB19-F57CFD183238}">
      <text>
        <r>
          <rPr>
            <sz val="11"/>
            <color theme="1"/>
            <rFont val="Aptos Narrow"/>
            <family val="2"/>
            <scheme val="minor"/>
          </rPr>
          <t>Unknown User:
10/10-As per Charlotte's note "Customer called looking to cancel said that plumber said she can get her deposit back if cancelled."</t>
        </r>
      </text>
    </comment>
    <comment ref="G919" authorId="0" shapeId="0" xr:uid="{2E47A5A2-C14B-4166-8CDA-05F58C533B91}">
      <text>
        <r>
          <rPr>
            <sz val="11"/>
            <color theme="1"/>
            <rFont val="Aptos Narrow"/>
            <family val="2"/>
            <scheme val="minor"/>
          </rPr>
          <t>Unknown User:
SUPPLY &amp; INSTALLATION OF GAS STORAGE HOT WATER SYSTEM (EXTERNAL)
10% Seniors &amp; Pensioners Discount</t>
        </r>
      </text>
    </comment>
    <comment ref="E940" authorId="7" shapeId="0" xr:uid="{2F8F827B-E2F9-4ED3-AC14-291D931D4908}">
      <text>
        <t>[Threaded comment]
Your version of Excel allows you to read this threaded comment; however, any edits to it will get removed if the file is opened in a newer version of Excel. Learn more: https://go.microsoft.com/fwlink/?linkid=870924
Comment:
    Stock</t>
      </text>
    </comment>
    <comment ref="G951" authorId="0" shapeId="0" xr:uid="{D5949E7D-F5FA-4CD2-9CC8-38DADC1F66B6}">
      <text>
        <r>
          <rPr>
            <sz val="11"/>
            <color theme="1"/>
            <rFont val="Aptos Narrow"/>
            <family val="2"/>
            <scheme val="minor"/>
          </rPr>
          <t>Unknown User:
SEARCH &amp; INVESTIGATION – PUMP
$65 First Service Discount</t>
        </r>
      </text>
    </comment>
    <comment ref="G952" authorId="0" shapeId="0" xr:uid="{C8E6BE02-1FDE-4F15-BD40-FF16B1F3E300}">
      <text>
        <r>
          <rPr>
            <sz val="11"/>
            <color theme="1"/>
            <rFont val="Aptos Narrow"/>
            <family val="2"/>
            <scheme val="minor"/>
          </rPr>
          <t>Unknown User:
CONVERT EXTERNAL GAS STORAGE HOT WATER SYSTEM TO EXTERNAL GAS INSTANTANEOUS HOT WATER SYSTEM
5% Good Will Discount
SUPPLY &amp; INSTALLATION OF NEW WALL FACED TOILET SUITE</t>
        </r>
      </text>
    </comment>
    <comment ref="P952" authorId="0" shapeId="0" xr:uid="{EFD04781-C29B-4DB4-9D6D-3ECF1ECB5A3B}">
      <text>
        <r>
          <rPr>
            <sz val="11"/>
            <color theme="1"/>
            <rFont val="Aptos Narrow"/>
            <family val="2"/>
            <scheme val="minor"/>
          </rPr>
          <t>Unknown User:
Emailed to d.caracella. 
Plumber mentioned a note that the customer doesn't have email. Send as hardcopy.</t>
        </r>
      </text>
    </comment>
    <comment ref="S952" authorId="0" shapeId="0" xr:uid="{02FCBCBB-7167-42BF-BBC1-1A365783FC74}">
      <text>
        <r>
          <rPr>
            <sz val="11"/>
            <color theme="1"/>
            <rFont val="Aptos Narrow"/>
            <family val="2"/>
            <scheme val="minor"/>
          </rPr>
          <t>Unknown User:
Owner doesn't have email. Sent as hardcopy</t>
        </r>
      </text>
    </comment>
    <comment ref="T952" authorId="0" shapeId="0" xr:uid="{498496E6-0B45-4014-8122-72D6A90B43F7}">
      <text>
        <r>
          <rPr>
            <sz val="11"/>
            <color theme="1"/>
            <rFont val="Aptos Narrow"/>
            <family val="2"/>
            <scheme val="minor"/>
          </rPr>
          <t>Unknown User:
1x Nicholas</t>
        </r>
      </text>
    </comment>
    <comment ref="W952" authorId="0" shapeId="0" xr:uid="{8E09197C-E2BC-46AE-9211-3C823D733149}">
      <text>
        <r>
          <rPr>
            <sz val="11"/>
            <color theme="1"/>
            <rFont val="Aptos Narrow"/>
            <family val="2"/>
            <scheme val="minor"/>
          </rPr>
          <t>Unknown User:
Cash denomination
$100*6=$600
$50*1=$50
Total cash=$650
$100*50=$5000
$50*16=$800
$20*1=$20
$10*1=$10
$5*1=$5
Total cash=$5835</t>
        </r>
      </text>
    </comment>
    <comment ref="G953" authorId="0" shapeId="0" xr:uid="{6CB1B0CF-CFA5-40B3-B716-0F215EE18B45}">
      <text>
        <r>
          <rPr>
            <sz val="11"/>
            <color theme="1"/>
            <rFont val="Aptos Narrow"/>
            <family val="2"/>
            <scheme val="minor"/>
          </rPr>
          <t>Unknown User:
SUPPLY &amp; INSTALLATION OF NEW DISHWASHER COLD WATER INLET SUPPLY
10% Seniors &amp; Pensioners Discount</t>
        </r>
      </text>
    </comment>
    <comment ref="W953" authorId="0" shapeId="0" xr:uid="{F4BA1AA2-D234-4C3F-8C52-C0C9CEF9BCFE}">
      <text>
        <r>
          <rPr>
            <sz val="11"/>
            <color theme="1"/>
            <rFont val="Aptos Narrow"/>
            <family val="2"/>
            <scheme val="minor"/>
          </rPr>
          <t>Unknown User:
Cash denomination
$50*6=$300</t>
        </r>
      </text>
    </comment>
    <comment ref="G954" authorId="0" shapeId="0" xr:uid="{000C67F5-4AFE-4D22-8A27-8FF5DCE9C258}">
      <text>
        <r>
          <rPr>
            <sz val="11"/>
            <color theme="1"/>
            <rFont val="Aptos Narrow"/>
            <family val="2"/>
            <scheme val="minor"/>
          </rPr>
          <t>Unknown User:
REPLACEMENT OF KITCHEN MIXER (CUSTOMER SUPPLIED)</t>
        </r>
      </text>
    </comment>
    <comment ref="G955" authorId="0" shapeId="0" xr:uid="{25294928-1529-4C7F-836A-EF7BC63B7BB4}">
      <text>
        <r>
          <rPr>
            <sz val="11"/>
            <color theme="1"/>
            <rFont val="Aptos Narrow"/>
            <family val="2"/>
            <scheme val="minor"/>
          </rPr>
          <t>Unknown User:
SUPPLY AND INSTALLATION OF TAP TO REPLACE WASHING MACHINE TAP</t>
        </r>
      </text>
    </comment>
    <comment ref="Q955" authorId="0" shapeId="0" xr:uid="{27126D5D-7C0C-4770-836C-CABB6879AB27}">
      <text>
        <r>
          <rPr>
            <sz val="11"/>
            <color theme="1"/>
            <rFont val="Aptos Narrow"/>
            <family val="2"/>
            <scheme val="minor"/>
          </rPr>
          <t>Unknown User:
Office to raise final zero due invoice</t>
        </r>
      </text>
    </comment>
    <comment ref="S955" authorId="0" shapeId="0" xr:uid="{6AEB6009-E26A-4106-AAF8-EDC78919FF90}">
      <text>
        <r>
          <rPr>
            <sz val="11"/>
            <color theme="1"/>
            <rFont val="Aptos Narrow"/>
            <family val="2"/>
            <scheme val="minor"/>
          </rPr>
          <t>Unknown User:
Invoice not emailed</t>
        </r>
      </text>
    </comment>
    <comment ref="G956" authorId="0" shapeId="0" xr:uid="{0CCB56D7-5D10-47BD-998D-A2FDF24787CC}">
      <text>
        <r>
          <rPr>
            <sz val="11"/>
            <color theme="1"/>
            <rFont val="Aptos Narrow"/>
            <family val="2"/>
            <scheme val="minor"/>
          </rPr>
          <t xml:space="preserve">Unknown User:
REPLACEMENT OF EMERGENCY STOP VALVE
</t>
        </r>
      </text>
    </comment>
    <comment ref="O956" authorId="0" shapeId="0" xr:uid="{4244F41C-3AFB-4A98-98EB-411A1C63AF53}">
      <text>
        <r>
          <rPr>
            <sz val="11"/>
            <color theme="1"/>
            <rFont val="Aptos Narrow"/>
            <family val="2"/>
            <scheme val="minor"/>
          </rPr>
          <t>Unknown User:
SMS approval</t>
        </r>
      </text>
    </comment>
    <comment ref="G957" authorId="0" shapeId="0" xr:uid="{1202B065-962B-4849-AAD6-8A07952D69D7}">
      <text>
        <r>
          <rPr>
            <sz val="11"/>
            <color theme="1"/>
            <rFont val="Aptos Narrow"/>
            <family val="2"/>
            <scheme val="minor"/>
          </rPr>
          <t xml:space="preserve">Unknown User:
HIGH POWERED JET BLAST &amp; CCTV DRAIN CAMERA INSPECTION (SEWER SERVICE)
</t>
        </r>
      </text>
    </comment>
    <comment ref="G958" authorId="0" shapeId="0" xr:uid="{0BFEDC62-603A-4B09-9E9B-510860F9A104}">
      <text>
        <r>
          <rPr>
            <sz val="11"/>
            <color theme="1"/>
            <rFont val="Aptos Narrow"/>
            <family val="2"/>
            <scheme val="minor"/>
          </rPr>
          <t>Unknown User:
SUPPLY &amp; INSTALLATION OF NEW PLASTIC TOILET CISTERN 
10% Good Will Discount</t>
        </r>
      </text>
    </comment>
    <comment ref="G959" authorId="0" shapeId="0" xr:uid="{55867D8F-7976-4BDA-A6A9-BD6727BA39DC}">
      <text>
        <r>
          <rPr>
            <sz val="11"/>
            <color theme="1"/>
            <rFont val="Aptos Narrow"/>
            <family val="2"/>
            <scheme val="minor"/>
          </rPr>
          <t>Unknown User:
HIGH POWERED SUCTION &amp; ACID TREATMENT
$85 Off First Service</t>
        </r>
      </text>
    </comment>
    <comment ref="G960" authorId="0" shapeId="0" xr:uid="{695DD620-8B44-43B0-9506-FF935B16BF53}">
      <text>
        <r>
          <rPr>
            <sz val="11"/>
            <color theme="1"/>
            <rFont val="Aptos Narrow"/>
            <family val="2"/>
            <scheme val="minor"/>
          </rPr>
          <t>Unknown User:
SUPPLY &amp; INSTALLATION OF NEW MIXER CARTRIDGE AND O-RINGS FOR SPOUT OUTLET</t>
        </r>
      </text>
    </comment>
    <comment ref="G961" authorId="0" shapeId="0" xr:uid="{37998D80-CA61-415E-BC68-C3B6D3E5DA25}">
      <text>
        <r>
          <rPr>
            <sz val="11"/>
            <color theme="1"/>
            <rFont val="Aptos Narrow"/>
            <family val="2"/>
            <scheme val="minor"/>
          </rPr>
          <t>Unknown User:
HIGH POWERED JET BLAST &amp; CCTV DRAIN CAMERA INSPECTION IN CONJUNCTION WITH SPECIALIST WHIP HOSE</t>
        </r>
      </text>
    </comment>
    <comment ref="G962" authorId="0" shapeId="0" xr:uid="{EDD6BCAB-96CD-43DD-A145-7C813327AFE6}">
      <text>
        <r>
          <rPr>
            <sz val="11"/>
            <color theme="1"/>
            <rFont val="Aptos Narrow"/>
            <family val="2"/>
            <scheme val="minor"/>
          </rPr>
          <t>Unknown User:
REPLACEMENT OF BOTTOM INLET CISTERN FILLING VALVE</t>
        </r>
      </text>
    </comment>
    <comment ref="G963" authorId="0" shapeId="0" xr:uid="{CD720BCA-9C74-4681-AB21-69F8DFFC5841}">
      <text>
        <r>
          <rPr>
            <sz val="11"/>
            <color theme="1"/>
            <rFont val="Aptos Narrow"/>
            <family val="2"/>
            <scheme val="minor"/>
          </rPr>
          <t>Unknown User:
SEARCH &amp; INVESTIGATION OF WASHING MACHINE</t>
        </r>
      </text>
    </comment>
    <comment ref="G964" authorId="0" shapeId="0" xr:uid="{136D7395-45F0-4848-BFE8-89A920A02F33}">
      <text>
        <r>
          <rPr>
            <sz val="11"/>
            <color theme="1"/>
            <rFont val="Aptos Narrow"/>
            <family val="2"/>
            <scheme val="minor"/>
          </rPr>
          <t>Unknown User:
SEARCH &amp; INVESTIGATION OF POTENTIAL GAS LEAK</t>
        </r>
      </text>
    </comment>
    <comment ref="G965" authorId="0" shapeId="0" xr:uid="{BE7823F8-06E5-4A01-A7CA-EC85A83964D4}">
      <text>
        <r>
          <rPr>
            <sz val="11"/>
            <color theme="1"/>
            <rFont val="Aptos Narrow"/>
            <family val="2"/>
            <scheme val="minor"/>
          </rPr>
          <t>Unknown User:
HIGH POWERED JET BLAST &amp; CCTV DRAIN CAMERA INSPECTION (SEWER SERVICE)
$65 First Service Discount</t>
        </r>
      </text>
    </comment>
    <comment ref="G966" authorId="0" shapeId="0" xr:uid="{4D9E6EF2-3901-4C04-B512-F1247DBB8B65}">
      <text>
        <r>
          <rPr>
            <sz val="11"/>
            <color theme="1"/>
            <rFont val="Aptos Narrow"/>
            <family val="2"/>
            <scheme val="minor"/>
          </rPr>
          <t>Unknown User:
COMPLETE SERVICE OF WALL TOP TAPS ASSEMBLY</t>
        </r>
      </text>
    </comment>
    <comment ref="G971" authorId="0" shapeId="0" xr:uid="{030F7CEC-04CE-4E5E-B169-DCD5D8376BC2}">
      <text>
        <r>
          <rPr>
            <sz val="11"/>
            <color theme="1"/>
            <rFont val="Aptos Narrow"/>
            <family val="2"/>
            <scheme val="minor"/>
          </rPr>
          <t>Unknown User:
MIXER TAP - STANDARD</t>
        </r>
      </text>
    </comment>
    <comment ref="G972" authorId="0" shapeId="0" xr:uid="{10FEBC76-B6D6-450C-9927-E7D4B0209D8F}">
      <text>
        <r>
          <rPr>
            <sz val="11"/>
            <color theme="1"/>
            <rFont val="Aptos Narrow"/>
            <family val="2"/>
            <scheme val="minor"/>
          </rPr>
          <t>Unknown User:
SUPPLY &amp; INSTALLATION OF NEW MIXER CARTRIDGE
$65 First Service Discount</t>
        </r>
      </text>
    </comment>
    <comment ref="G973" authorId="0" shapeId="0" xr:uid="{6D543587-36EC-4F03-B900-DCDFF75E3752}">
      <text>
        <r>
          <rPr>
            <sz val="11"/>
            <color theme="1"/>
            <rFont val="Aptos Narrow"/>
            <family val="2"/>
            <scheme val="minor"/>
          </rPr>
          <t xml:space="preserve">Unknown User:
CONVERT SOLAR SPLIT HOT WATER SYSTEM TO EXTERNAL GAS INSTANTANEOUS HOT WATER SYSTEM
10% Loyalty Discount </t>
        </r>
      </text>
    </comment>
    <comment ref="W973" authorId="0" shapeId="0" xr:uid="{D0F85C18-C955-4316-BD0D-29BA66297C87}">
      <text>
        <r>
          <rPr>
            <sz val="11"/>
            <color theme="1"/>
            <rFont val="Aptos Narrow"/>
            <family val="2"/>
            <scheme val="minor"/>
          </rPr>
          <t>Unknown User:
Cash denomination
$50*17=$850</t>
        </r>
      </text>
    </comment>
    <comment ref="G977" authorId="0" shapeId="0" xr:uid="{CA69940A-F422-4A8A-A26C-270D3EC7AF87}">
      <text>
        <r>
          <rPr>
            <sz val="11"/>
            <color theme="1"/>
            <rFont val="Aptos Narrow"/>
            <family val="2"/>
            <scheme val="minor"/>
          </rPr>
          <t>Unknown User:
SUPPLY &amp; INSTALLATION OF NEW INSET BASIN</t>
        </r>
      </text>
    </comment>
    <comment ref="G978" authorId="0" shapeId="0" xr:uid="{0718BE34-AF76-4066-B71E-A6F6C118BCCF}">
      <text>
        <r>
          <rPr>
            <sz val="11"/>
            <color theme="1"/>
            <rFont val="Aptos Narrow"/>
            <family val="2"/>
            <scheme val="minor"/>
          </rPr>
          <t xml:space="preserve">Unknown User:
SUPPLY &amp; INSTALLATION OF NEW THERMOSTAT &amp; ELEMENT
CREDIT OF SEARCH &amp; INVESTIGATION </t>
        </r>
      </text>
    </comment>
    <comment ref="G982" authorId="0" shapeId="0" xr:uid="{AD1E5FD8-8F77-4495-95C0-3A8121632065}">
      <text>
        <r>
          <rPr>
            <sz val="11"/>
            <color theme="1"/>
            <rFont val="Aptos Narrow"/>
            <family val="2"/>
            <scheme val="minor"/>
          </rPr>
          <t>Unknown User:
HIGH POWERED SUCTION &amp; ACID TREATMENT
EXTRACTOR FAN SEARCH AND INVESTIGATION</t>
        </r>
      </text>
    </comment>
    <comment ref="O982" authorId="0" shapeId="0" xr:uid="{8BF8C9C2-CC7F-430C-A520-55B0A53823E1}">
      <text>
        <r>
          <rPr>
            <sz val="11"/>
            <color theme="1"/>
            <rFont val="Aptos Narrow"/>
            <family val="2"/>
            <scheme val="minor"/>
          </rPr>
          <t>Unknown User:
Customer not onsite</t>
        </r>
      </text>
    </comment>
    <comment ref="R982" authorId="0" shapeId="0" xr:uid="{F1F2E604-7D0F-44C5-9740-5A87580D0B2E}">
      <text>
        <r>
          <rPr>
            <sz val="11"/>
            <color theme="1"/>
            <rFont val="Aptos Narrow"/>
            <family val="2"/>
            <scheme val="minor"/>
          </rPr>
          <t>Unknown User:
Customer not onsite</t>
        </r>
      </text>
    </comment>
    <comment ref="S982" authorId="0" shapeId="0" xr:uid="{DD63CCB1-9B00-4698-B3DF-5F2D3B6F88F1}">
      <text>
        <r>
          <rPr>
            <sz val="11"/>
            <color theme="1"/>
            <rFont val="Aptos Narrow"/>
            <family val="2"/>
            <scheme val="minor"/>
          </rPr>
          <t>Unknown User:
Invoice not emailed without sign as customer was not onsite</t>
        </r>
      </text>
    </comment>
    <comment ref="G983" authorId="0" shapeId="0" xr:uid="{7794169E-D103-493F-B912-F5C90B133A18}">
      <text>
        <r>
          <rPr>
            <sz val="11"/>
            <color theme="1"/>
            <rFont val="Aptos Narrow"/>
            <family val="2"/>
            <scheme val="minor"/>
          </rPr>
          <t>Unknown User:
REPLACEMENT OF EXISTING PULL-OUT KITCHEN MIXER (CUSTOMER SUPPLIED)</t>
        </r>
      </text>
    </comment>
    <comment ref="G987" authorId="0" shapeId="0" xr:uid="{39997AA6-31AD-4003-B45B-CE66B60E2FB5}">
      <text>
        <r>
          <rPr>
            <sz val="11"/>
            <color theme="1"/>
            <rFont val="Aptos Narrow"/>
            <family val="2"/>
            <scheme val="minor"/>
          </rPr>
          <t>Unknown User:
SUPPLY &amp; INSTALLATION OF NEW SEWER SERVICE / VENT &amp; REPLACEMENT OF EXISTING OVERFLOW GULLY
5% Good Will Discount</t>
        </r>
      </text>
    </comment>
    <comment ref="U987" authorId="0" shapeId="0" xr:uid="{040FB906-D36F-4269-A836-8D5406EDE31C}">
      <text>
        <r>
          <rPr>
            <sz val="11"/>
            <color theme="1"/>
            <rFont val="Aptos Narrow"/>
            <family val="2"/>
            <scheme val="minor"/>
          </rPr>
          <t>Unknown User:
17/10-As per Joshua G's note "Callback from Suzie re scratch on side of house
explained discount on her job was unrelated
said rendering was at least 10 years old
agreed to get other quotes and advised wed speak to plumber and director for a review."</t>
        </r>
      </text>
    </comment>
    <comment ref="G988" authorId="0" shapeId="0" xr:uid="{E5BD44AD-B758-43E4-9E48-BAA3E4C1073F}">
      <text>
        <r>
          <rPr>
            <sz val="11"/>
            <color theme="1"/>
            <rFont val="Aptos Narrow"/>
            <family val="2"/>
            <scheme val="minor"/>
          </rPr>
          <t>Unknown User:
SUPPLY &amp; INSTALLATION OF NEW COPPER GAS SERVICE UP TO 30M (REPLACEMENT OF EXISTING GALVANISED GAS SERVICE)
CREDIT OF SEARCH &amp; INVESTIGATION</t>
        </r>
      </text>
    </comment>
    <comment ref="V988" authorId="0" shapeId="0" xr:uid="{459F0355-0E9B-42AF-B77C-1D8F518D4566}">
      <text>
        <r>
          <rPr>
            <sz val="11"/>
            <color theme="1"/>
            <rFont val="Aptos Narrow"/>
            <family val="2"/>
            <scheme val="minor"/>
          </rPr>
          <t>Unknown User:
20/10-Received $14000</t>
        </r>
      </text>
    </comment>
    <comment ref="G989" authorId="0" shapeId="0" xr:uid="{DFDD3AE2-62D3-4452-9BD0-FB3E7C2C949B}">
      <text>
        <r>
          <rPr>
            <sz val="11"/>
            <color theme="1"/>
            <rFont val="Aptos Narrow"/>
            <family val="2"/>
            <scheme val="minor"/>
          </rPr>
          <t>Unknown User:
SEWER SPOT DIG (UNDER CONCRETE)</t>
        </r>
      </text>
    </comment>
    <comment ref="G994" authorId="0" shapeId="0" xr:uid="{CA0B49CD-B06A-4720-9C72-E51F78C314E8}">
      <text>
        <r>
          <rPr>
            <sz val="11"/>
            <color theme="1"/>
            <rFont val="Aptos Narrow"/>
            <family val="2"/>
            <scheme val="minor"/>
          </rPr>
          <t>Unknown User:
INSTALLATION OF NEW FREE-STANDING VANITY 900MM (CUSTOMER SUPPLIED)
10% Loyalty Discount</t>
        </r>
      </text>
    </comment>
    <comment ref="G998" authorId="0" shapeId="0" xr:uid="{041B7E0D-9BBE-4EBF-AD4C-F94DAA2912BC}">
      <text>
        <r>
          <rPr>
            <sz val="11"/>
            <color theme="1"/>
            <rFont val="Aptos Narrow"/>
            <family val="2"/>
            <scheme val="minor"/>
          </rPr>
          <t>Unknown User:
HIGH POWERED JET BLAST &amp; CCTV DRAIN CAMERA INSPECTION (SEWER SERVICE)</t>
        </r>
      </text>
    </comment>
    <comment ref="G1003" authorId="0" shapeId="0" xr:uid="{089BAB31-0524-41B4-B4FF-034D802DC394}">
      <text>
        <r>
          <rPr>
            <sz val="11"/>
            <color theme="1"/>
            <rFont val="Aptos Narrow"/>
            <family val="2"/>
            <scheme val="minor"/>
          </rPr>
          <t xml:space="preserve">Unknown User:
SPECIALIST GAS LEAK DETECTION
</t>
        </r>
      </text>
    </comment>
    <comment ref="G1004" authorId="0" shapeId="0" xr:uid="{8E85A5A7-DBDE-4F29-A747-D0FE1193B27C}">
      <text>
        <r>
          <rPr>
            <sz val="11"/>
            <color theme="1"/>
            <rFont val="Aptos Narrow"/>
            <family val="2"/>
            <scheme val="minor"/>
          </rPr>
          <t>Unknown User:
REPLACEMENT OF SEWER SHAFT (UNDER CONCRETE)</t>
        </r>
      </text>
    </comment>
    <comment ref="M1004" authorId="0" shapeId="0" xr:uid="{EA5C445C-64D9-4B49-B72F-6612222BEB03}">
      <text>
        <r>
          <rPr>
            <sz val="11"/>
            <color theme="1"/>
            <rFont val="Aptos Narrow"/>
            <family val="2"/>
            <scheme val="minor"/>
          </rPr>
          <t>Unknown User:
Smartpay receipt of $2000 not uploaded by plumber.
Uploaded by Modoras team</t>
        </r>
      </text>
    </comment>
    <comment ref="V1004" authorId="0" shapeId="0" xr:uid="{E77F9AD3-9A19-45A3-8FD7-E2D75A66E210}">
      <text>
        <r>
          <rPr>
            <sz val="11"/>
            <color theme="1"/>
            <rFont val="Aptos Narrow"/>
            <family val="2"/>
            <scheme val="minor"/>
          </rPr>
          <t>Unknown User:
29/9--Received $7000 by Smartpay
8/10-Received $7000 by Cash.
9/10-Received $477.10 by Podium</t>
        </r>
      </text>
    </comment>
    <comment ref="G1005" authorId="0" shapeId="0" xr:uid="{7C9A1C73-C9FF-4F17-A01F-5C1A05CA0A9A}">
      <text>
        <r>
          <rPr>
            <sz val="11"/>
            <color theme="1"/>
            <rFont val="Aptos Narrow"/>
            <family val="2"/>
            <scheme val="minor"/>
          </rPr>
          <t>Unknown User:
SUPPLY AND INSTALLATION OF PRESSURE REGULATING DEVICE FITTED TO 25MM STRAIGHT PIPEWORK
SUPPLY &amp; INSTALLATION OF COMPLETE VALVE KIT TO GAS STORAGE HOT WATER SYSTEM</t>
        </r>
      </text>
    </comment>
    <comment ref="G1010" authorId="0" shapeId="0" xr:uid="{4200C8C6-FE0D-421A-A6F7-6A458E884655}">
      <text>
        <r>
          <rPr>
            <sz val="11"/>
            <color theme="1"/>
            <rFont val="Aptos Narrow"/>
            <family val="2"/>
            <scheme val="minor"/>
          </rPr>
          <t>Unknown User:
SUPPLY &amp; INSTALLATION OF NEW RAINWATER PUMP
CREDIT OF SEARCH &amp; INVESTIGATION</t>
        </r>
      </text>
    </comment>
    <comment ref="G1011" authorId="0" shapeId="0" xr:uid="{B5F0352C-F223-4F36-B931-CA31D90F8195}">
      <text>
        <r>
          <rPr>
            <sz val="11"/>
            <color theme="1"/>
            <rFont val="Aptos Narrow"/>
            <family val="2"/>
            <scheme val="minor"/>
          </rPr>
          <t xml:space="preserve">Unknown User:
Copper pipework Rectification
</t>
        </r>
      </text>
    </comment>
    <comment ref="K1011" authorId="0" shapeId="0" xr:uid="{B73D8FF5-33F7-4491-BC2E-7F62543A2325}">
      <text>
        <r>
          <rPr>
            <sz val="11"/>
            <color theme="1"/>
            <rFont val="Aptos Narrow"/>
            <family val="2"/>
            <scheme val="minor"/>
          </rPr>
          <t>Unknown User:
Previous job pics considered</t>
        </r>
      </text>
    </comment>
    <comment ref="G1012" authorId="0" shapeId="0" xr:uid="{AA229647-6FBD-42E7-A24C-5475B09BB2BD}">
      <text>
        <r>
          <rPr>
            <sz val="11"/>
            <color theme="1"/>
            <rFont val="Aptos Narrow"/>
            <family val="2"/>
            <scheme val="minor"/>
          </rPr>
          <t xml:space="preserve">Unknown User:
REPLACEMENT OF BASIN SET
</t>
        </r>
      </text>
    </comment>
    <comment ref="G1013" authorId="0" shapeId="0" xr:uid="{85A3EC89-4C72-48CC-AC3C-2522C74E4E32}">
      <text>
        <r>
          <rPr>
            <sz val="11"/>
            <color theme="1"/>
            <rFont val="Aptos Narrow"/>
            <family val="2"/>
            <scheme val="minor"/>
          </rPr>
          <t>Unknown User:
CCTV DRAIN CAMERA INSPECTION OF SEWER SERVICE</t>
        </r>
      </text>
    </comment>
    <comment ref="G1014" authorId="0" shapeId="0" xr:uid="{0FCA2B84-BD28-4560-9C0E-591CC57BEA38}">
      <text>
        <r>
          <rPr>
            <sz val="11"/>
            <color theme="1"/>
            <rFont val="Aptos Narrow"/>
            <family val="2"/>
            <scheme val="minor"/>
          </rPr>
          <t xml:space="preserve">Unknown User:
SEARCH &amp; INVESTIGATION OF GAS STORAGE HOT WATER SYSTEM
</t>
        </r>
      </text>
    </comment>
    <comment ref="G1015" authorId="0" shapeId="0" xr:uid="{400D75DA-399F-4A09-8A76-2EBC8E38D305}">
      <text>
        <r>
          <rPr>
            <sz val="11"/>
            <color theme="1"/>
            <rFont val="Aptos Narrow"/>
            <family val="2"/>
            <scheme val="minor"/>
          </rPr>
          <t>Unknown User:
SUPPLY &amp; INSTALLATION OF GAS STORAGE HOT WATER SYSTEM (EXTERNAL)</t>
        </r>
      </text>
    </comment>
    <comment ref="G1016" authorId="0" shapeId="0" xr:uid="{B3262A11-2945-4C33-B05E-839031F0A8E7}">
      <text>
        <r>
          <rPr>
            <sz val="11"/>
            <color theme="1"/>
            <rFont val="Aptos Narrow"/>
            <family val="2"/>
            <scheme val="minor"/>
          </rPr>
          <t>Unknown User:
SEARCH &amp; INVESTIGATION – PUMP</t>
        </r>
      </text>
    </comment>
    <comment ref="G1017" authorId="0" shapeId="0" xr:uid="{CA60F350-7F76-4C66-81AF-C36791702273}">
      <text>
        <r>
          <rPr>
            <sz val="11"/>
            <color theme="1"/>
            <rFont val="Aptos Narrow"/>
            <family val="2"/>
            <scheme val="minor"/>
          </rPr>
          <t xml:space="preserve">Unknown User:
REPLACEMENT OF EMERGENCY STOP VALVE
</t>
        </r>
      </text>
    </comment>
    <comment ref="G1018" authorId="0" shapeId="0" xr:uid="{BEB9345E-ACFB-4278-9AC2-6C9708C20869}">
      <text>
        <r>
          <rPr>
            <sz val="11"/>
            <color theme="1"/>
            <rFont val="Aptos Narrow"/>
            <family val="2"/>
            <scheme val="minor"/>
          </rPr>
          <t>Unknown User:
RECTIFICATION OF WATER METER (IN GROUND)</t>
        </r>
      </text>
    </comment>
    <comment ref="G1019" authorId="0" shapeId="0" xr:uid="{CB2BEA32-12A3-4253-95FE-0EFB4865F9BE}">
      <text>
        <r>
          <rPr>
            <sz val="11"/>
            <color theme="1"/>
            <rFont val="Aptos Narrow"/>
            <family val="2"/>
            <scheme val="minor"/>
          </rPr>
          <t xml:space="preserve">Unknown User:
HIGH POWERED CHEMICAL TREATMENT OF GREASE RELEASE ON SEWER SERVICE
10% Good Will Discount
</t>
        </r>
      </text>
    </comment>
    <comment ref="G1020" authorId="0" shapeId="0" xr:uid="{86ED5EA9-727F-48C7-867A-67E3B34AFBBC}">
      <text>
        <r>
          <rPr>
            <sz val="11"/>
            <color theme="1"/>
            <rFont val="Aptos Narrow"/>
            <family val="2"/>
            <scheme val="minor"/>
          </rPr>
          <t xml:space="preserve">Unknown User:
SUPPLY &amp; INSTALLATION OF NEW INSTANTANEOUS GAS HOT WATER SYSTEM (EXTERNAL)
</t>
        </r>
      </text>
    </comment>
    <comment ref="G1021" authorId="0" shapeId="0" xr:uid="{5919BD06-61D1-4D23-B9A4-053422777992}">
      <text>
        <r>
          <rPr>
            <sz val="11"/>
            <color theme="1"/>
            <rFont val="Aptos Narrow"/>
            <family val="2"/>
            <scheme val="minor"/>
          </rPr>
          <t>Unknown User:
SEARCH &amp; INVESTIGATION OF DISHWASHER
$65 First Service Discount</t>
        </r>
      </text>
    </comment>
    <comment ref="G1022" authorId="0" shapeId="0" xr:uid="{7DF42197-0DA1-4639-B940-3770967E8906}">
      <text>
        <r>
          <rPr>
            <sz val="11"/>
            <color theme="1"/>
            <rFont val="Aptos Narrow"/>
            <family val="2"/>
            <scheme val="minor"/>
          </rPr>
          <t xml:space="preserve">Unknown User:
SPECIALIST LEAK DETECTION (WATER SERVICE)
</t>
        </r>
      </text>
    </comment>
    <comment ref="G1023" authorId="0" shapeId="0" xr:uid="{9BEF52E7-F652-42D6-953E-667B6869D462}">
      <text>
        <r>
          <rPr>
            <sz val="11"/>
            <color theme="1"/>
            <rFont val="Aptos Narrow"/>
            <family val="2"/>
            <scheme val="minor"/>
          </rPr>
          <t>Unknown User:
SUPPLY AND INSTALLATION OF T&amp;PR VALVE (15MM)</t>
        </r>
      </text>
    </comment>
    <comment ref="G1027" authorId="0" shapeId="0" xr:uid="{1AA4AB22-B68C-42FA-A387-FAE2D4BB041D}">
      <text>
        <r>
          <rPr>
            <sz val="11"/>
            <color theme="1"/>
            <rFont val="Aptos Narrow"/>
            <family val="2"/>
            <scheme val="minor"/>
          </rPr>
          <t>Unknown User:
SUPPLY &amp; INSTALLATION OF GAS STORAGE HOT WATER SYSTEM (EXTERNAL)</t>
        </r>
      </text>
    </comment>
    <comment ref="E1050" authorId="8" shapeId="0" xr:uid="{767D73B7-A38C-4B05-86A6-9BBF3B637D67}">
      <text>
        <t>[Threaded comment]
Your version of Excel allows you to read this threaded comment; however, any edits to it will get removed if the file is opened in a newer version of Excel. Learn more: https://go.microsoft.com/fwlink/?linkid=870924
Comment:
    Checked</t>
      </text>
    </comment>
    <comment ref="E1051" authorId="9" shapeId="0" xr:uid="{BD073164-E4B8-4C25-85EA-01FB02763C40}">
      <text>
        <t>[Threaded comment]
Your version of Excel allows you to read this threaded comment; however, any edits to it will get removed if the file is opened in a newer version of Excel. Learn more: https://go.microsoft.com/fwlink/?linkid=870924
Comment:
    Checked</t>
      </text>
    </comment>
    <comment ref="G1060" authorId="0" shapeId="0" xr:uid="{249D8620-E436-44FE-8707-3AB8C5A74100}">
      <text>
        <r>
          <rPr>
            <sz val="11"/>
            <color theme="1"/>
            <rFont val="Aptos Narrow"/>
            <family val="2"/>
            <scheme val="minor"/>
          </rPr>
          <t>Unknown User:
INSTALLATION OF SHOWER HEAD (CUSTOMER SUPPLIED)
$65 First Service Discount</t>
        </r>
      </text>
    </comment>
    <comment ref="M1060" authorId="0" shapeId="0" xr:uid="{AF9F0D12-DC14-4C37-AD4B-3B22C0C899C4}">
      <text>
        <r>
          <rPr>
            <sz val="11"/>
            <color theme="1"/>
            <rFont val="Aptos Narrow"/>
            <family val="2"/>
            <scheme val="minor"/>
          </rPr>
          <t>Unknown User:
Smartpay receipt of $788.04 is not uploaded by plumber.
Uploaded by Modoras team</t>
        </r>
      </text>
    </comment>
    <comment ref="G1061" authorId="0" shapeId="0" xr:uid="{1CBCF4CF-128D-4B7A-B19F-B4F953FB3964}">
      <text>
        <r>
          <rPr>
            <sz val="11"/>
            <color theme="1"/>
            <rFont val="Aptos Narrow"/>
            <family val="2"/>
            <scheme val="minor"/>
          </rPr>
          <t>Unknown User:
SEARCH &amp; INVESTIGATION OF WATER HAMMER</t>
        </r>
      </text>
    </comment>
    <comment ref="O1061" authorId="0" shapeId="0" xr:uid="{1C0E51EE-CC78-48E2-A20C-A53C9F11E302}">
      <text>
        <r>
          <rPr>
            <sz val="11"/>
            <color theme="1"/>
            <rFont val="Aptos Narrow"/>
            <family val="2"/>
            <scheme val="minor"/>
          </rPr>
          <t>Unknown User:
SMS approval</t>
        </r>
      </text>
    </comment>
    <comment ref="G1062" authorId="0" shapeId="0" xr:uid="{8CB313F7-0629-4192-B28A-4DD51EDDB899}">
      <text>
        <r>
          <rPr>
            <sz val="11"/>
            <color theme="1"/>
            <rFont val="Aptos Narrow"/>
            <family val="2"/>
            <scheme val="minor"/>
          </rPr>
          <t>Unknown User:
SEARCH &amp; INVESTIGATION OF GAS STORAGE HOT WATER SYSTEM</t>
        </r>
      </text>
    </comment>
    <comment ref="G1063" authorId="0" shapeId="0" xr:uid="{D9F2394D-3E9E-4F0A-96ED-662138BE94A8}">
      <text>
        <r>
          <rPr>
            <sz val="11"/>
            <color theme="1"/>
            <rFont val="Aptos Narrow"/>
            <family val="2"/>
            <scheme val="minor"/>
          </rPr>
          <t>Unknown User:
WATER SERVICE RECTIFICATION (EXPOSED)</t>
        </r>
      </text>
    </comment>
    <comment ref="G1064" authorId="0" shapeId="0" xr:uid="{4953F8D4-1AAD-4B92-B545-5BB35A69F746}">
      <text>
        <r>
          <rPr>
            <sz val="11"/>
            <color theme="1"/>
            <rFont val="Aptos Narrow"/>
            <family val="2"/>
            <scheme val="minor"/>
          </rPr>
          <t>Unknown User:
HIGH POWERED JET BLAST &amp; CCTV DRAIN CAMERA INSPECTION (SEWER SERVICE)</t>
        </r>
      </text>
    </comment>
    <comment ref="G1065" authorId="0" shapeId="0" xr:uid="{F1AFD88C-B3F1-428B-ACC1-B1F632446E3C}">
      <text>
        <r>
          <rPr>
            <sz val="11"/>
            <color theme="1"/>
            <rFont val="Aptos Narrow"/>
            <family val="2"/>
            <scheme val="minor"/>
          </rPr>
          <t>Unknown User:
HIGH POWERED SUCTION &amp; ACID TREATMENT
$85 Off First Service</t>
        </r>
      </text>
    </comment>
    <comment ref="M1065" authorId="0" shapeId="0" xr:uid="{2F8F5EFF-CBF0-4FCA-AE65-AEEEC8D5C0EF}">
      <text>
        <r>
          <rPr>
            <sz val="11"/>
            <color theme="1"/>
            <rFont val="Aptos Narrow"/>
            <family val="2"/>
            <scheme val="minor"/>
          </rPr>
          <t>Unknown User:
Smartpay receipt of $129.69 not uploaded by plumber.
Uploaded by Modoras team</t>
        </r>
      </text>
    </comment>
    <comment ref="G1066" authorId="0" shapeId="0" xr:uid="{863991C1-F9E2-44CF-8DED-6485B2F1B0D6}">
      <text>
        <r>
          <rPr>
            <sz val="11"/>
            <color theme="1"/>
            <rFont val="Aptos Narrow"/>
            <family val="2"/>
            <scheme val="minor"/>
          </rPr>
          <t xml:space="preserve">Unknown User:
REPLACEMENT OF EXISTING PULL-OUT KITCHEN MIXER (CUSTOMER SUPPLIED)
</t>
        </r>
      </text>
    </comment>
    <comment ref="G1067" authorId="0" shapeId="0" xr:uid="{E2FA02C7-9950-4A91-BF29-708DDAAE9437}">
      <text>
        <r>
          <rPr>
            <sz val="11"/>
            <color theme="1"/>
            <rFont val="Aptos Narrow"/>
            <family val="2"/>
            <scheme val="minor"/>
          </rPr>
          <t>Unknown User:
SEARCH AND INVESTIGATION OF GAS INSTANTANEOUS HOT WATER SYSTEM</t>
        </r>
      </text>
    </comment>
    <comment ref="G1068" authorId="0" shapeId="0" xr:uid="{B5A09CBD-2641-43B6-8C65-DDBB95ED4388}">
      <text>
        <r>
          <rPr>
            <sz val="11"/>
            <color theme="1"/>
            <rFont val="Aptos Narrow"/>
            <family val="2"/>
            <scheme val="minor"/>
          </rPr>
          <t>Unknown User:
SUPPLY AND INSTALLATION OF STANDARD 15MM TEMPERING VALVE</t>
        </r>
      </text>
    </comment>
    <comment ref="P1068" authorId="0" shapeId="0" xr:uid="{06473569-D43E-497D-98CA-224CD0790298}">
      <text>
        <r>
          <rPr>
            <sz val="11"/>
            <color theme="1"/>
            <rFont val="Aptos Narrow"/>
            <family val="2"/>
            <scheme val="minor"/>
          </rPr>
          <t>Unknown User:
Quote not emailed</t>
        </r>
      </text>
    </comment>
    <comment ref="G1069" authorId="0" shapeId="0" xr:uid="{5FECAA07-C8CB-41E1-8CBB-BA80CE5C68C9}">
      <text>
        <r>
          <rPr>
            <sz val="11"/>
            <color theme="1"/>
            <rFont val="Aptos Narrow"/>
            <family val="2"/>
            <scheme val="minor"/>
          </rPr>
          <t>Unknown User:
MIXER TAP - GOOSE NECK</t>
        </r>
      </text>
    </comment>
    <comment ref="M1069" authorId="0" shapeId="0" xr:uid="{A9B3CA5C-D156-4214-A20B-8DE314A2051A}">
      <text>
        <r>
          <rPr>
            <sz val="11"/>
            <color theme="1"/>
            <rFont val="Aptos Narrow"/>
            <family val="2"/>
            <scheme val="minor"/>
          </rPr>
          <t>Unknown User:
Smartpay receipt of $184.91 is not uploaded by plumber.
Uploaded by Modoras team</t>
        </r>
      </text>
    </comment>
    <comment ref="G1070" authorId="0" shapeId="0" xr:uid="{54B20EE5-1CDA-4202-AD2E-2FCAD8D31F3A}">
      <text>
        <r>
          <rPr>
            <sz val="11"/>
            <color theme="1"/>
            <rFont val="Aptos Narrow"/>
            <family val="2"/>
            <scheme val="minor"/>
          </rPr>
          <t>Unknown User:
SEARCH &amp; INVESTIGATION OF SINGLE STOREY ROOF OF POTENTIAL LEAK</t>
        </r>
      </text>
    </comment>
    <comment ref="M1070" authorId="0" shapeId="0" xr:uid="{298F6204-38C4-4305-8400-9FEB76DB5734}">
      <text>
        <r>
          <rPr>
            <sz val="11"/>
            <color theme="1"/>
            <rFont val="Aptos Narrow"/>
            <family val="2"/>
            <scheme val="minor"/>
          </rPr>
          <t>Unknown User:
Smartpay receipt of $2238.39 not uploaded by plumber.
Uploaded by Modoras team</t>
        </r>
      </text>
    </comment>
    <comment ref="G1071" authorId="0" shapeId="0" xr:uid="{354A956D-1B13-4846-B736-F1E32D663C94}">
      <text>
        <r>
          <rPr>
            <sz val="11"/>
            <color theme="1"/>
            <rFont val="Aptos Narrow"/>
            <family val="2"/>
            <scheme val="minor"/>
          </rPr>
          <t>Unknown User:
SEARCH &amp; INVESTIGATION OF SINGLE STOREY ROOF OF POTENTIAL LEAK</t>
        </r>
      </text>
    </comment>
    <comment ref="O1071" authorId="0" shapeId="0" xr:uid="{24DCA646-07DC-444F-83FB-953F4273F677}">
      <text>
        <r>
          <rPr>
            <sz val="11"/>
            <color theme="1"/>
            <rFont val="Aptos Narrow"/>
            <family val="2"/>
            <scheme val="minor"/>
          </rPr>
          <t>Unknown User:
SMS approval</t>
        </r>
      </text>
    </comment>
    <comment ref="G1072" authorId="0" shapeId="0" xr:uid="{3ECF0574-7CFC-4E84-89F6-81413F95823F}">
      <text>
        <r>
          <rPr>
            <sz val="11"/>
            <color theme="1"/>
            <rFont val="Aptos Narrow"/>
            <family val="2"/>
            <scheme val="minor"/>
          </rPr>
          <t>Unknown User:
SEARCH &amp; INVESTIGATION OF SINGLE STOREY ROOF OF POTENTIAL LEAK</t>
        </r>
      </text>
    </comment>
    <comment ref="M1072" authorId="0" shapeId="0" xr:uid="{6FF493A4-CB4A-4F50-8F1E-492E65AE4C45}">
      <text>
        <r>
          <rPr>
            <sz val="11"/>
            <color theme="1"/>
            <rFont val="Aptos Narrow"/>
            <family val="2"/>
            <scheme val="minor"/>
          </rPr>
          <t>Unknown User:
Smartpay receipt of $248.71 not uploaded by plumber.
Uploaded by Modoras team</t>
        </r>
      </text>
    </comment>
    <comment ref="G1073" authorId="0" shapeId="0" xr:uid="{BD0171C1-E518-47CD-B73C-503ECC6E9F46}">
      <text>
        <r>
          <rPr>
            <sz val="11"/>
            <color theme="1"/>
            <rFont val="Aptos Narrow"/>
            <family val="2"/>
            <scheme val="minor"/>
          </rPr>
          <t>Unknown User:
REPLACEMENT OF BASIN MIXER
SUPPLY &amp; INSTALLATION OF NEW ARCO HOSE TAP – ¼ TURN HOSE TAPS TO REPLACE EXISTING HOSE TAP
REPLACEMENT OF HAND-HELD SHOWER ROSE</t>
        </r>
      </text>
    </comment>
    <comment ref="G1074" authorId="0" shapeId="0" xr:uid="{D19720BF-AC16-4C40-8D4E-7D27568CF5FB}">
      <text>
        <r>
          <rPr>
            <sz val="11"/>
            <color theme="1"/>
            <rFont val="Aptos Narrow"/>
            <family val="2"/>
            <scheme val="minor"/>
          </rPr>
          <t>Unknown User:
HIGH POWERED SUCTION &amp; ACID TREATMENT</t>
        </r>
      </text>
    </comment>
    <comment ref="G1075" authorId="0" shapeId="0" xr:uid="{4745C6A8-E48C-4AB6-8CA5-FE4778033F75}">
      <text>
        <r>
          <rPr>
            <sz val="11"/>
            <color theme="1"/>
            <rFont val="Aptos Narrow"/>
            <family val="2"/>
            <scheme val="minor"/>
          </rPr>
          <t>Unknown User:
COMPLETE SERVICE OF WALL TOP TAPS ASSEMBLY
MIXER TAP - GOOSE NECK</t>
        </r>
      </text>
    </comment>
    <comment ref="G1080" authorId="0" shapeId="0" xr:uid="{9F0D5F62-B3BC-4B27-A3DE-31FD2DB67BD3}">
      <text>
        <r>
          <rPr>
            <sz val="11"/>
            <color theme="1"/>
            <rFont val="Aptos Narrow"/>
            <family val="2"/>
            <scheme val="minor"/>
          </rPr>
          <t>Unknown User:
EMERGENCY ISOLATION VALVE - COMBO</t>
        </r>
      </text>
    </comment>
    <comment ref="G1084" authorId="0" shapeId="0" xr:uid="{5C5D8335-BF12-4C3B-9EC6-1E38937BDF96}">
      <text>
        <r>
          <rPr>
            <sz val="11"/>
            <color theme="1"/>
            <rFont val="Aptos Narrow"/>
            <family val="2"/>
            <scheme val="minor"/>
          </rPr>
          <t>Unknown User:
SUPPLY AND INSTALLATION OF PRESSURE REGULATING DEVICE FITTED TO 25MM STRAIGHT PIPEWORK
SUPPLY &amp; INSTALLATION OF COMPLETE VALVE KIT TO GAS STORAGE HOT WATER SYSTEM</t>
        </r>
      </text>
    </comment>
    <comment ref="G1085" authorId="0" shapeId="0" xr:uid="{41D5CAAD-3FDC-4ACF-B6A8-4D85AE12AF22}">
      <text>
        <r>
          <rPr>
            <sz val="11"/>
            <color theme="1"/>
            <rFont val="Aptos Narrow"/>
            <family val="2"/>
            <scheme val="minor"/>
          </rPr>
          <t>Unknown User:
SUPPLY &amp; INSTALLATION OF NEW COPPER GAS SERVICE UP TO 30M (REPLACEMENT OF EXISTING GALVANISED GAS SERVICE)
CREDIT OF SEARCH &amp; INVESTIGATION</t>
        </r>
      </text>
    </comment>
    <comment ref="V1085" authorId="0" shapeId="0" xr:uid="{68FFED0E-B6F1-4916-8D82-9FCF8DDAFE4C}">
      <text>
        <r>
          <rPr>
            <sz val="11"/>
            <color theme="1"/>
            <rFont val="Aptos Narrow"/>
            <family val="2"/>
            <scheme val="minor"/>
          </rPr>
          <t>Unknown User:
20/10-Received $14000</t>
        </r>
      </text>
    </comment>
    <comment ref="G1086" authorId="0" shapeId="0" xr:uid="{9F4112BA-44AD-40EE-9EF7-5EE79143625A}">
      <text>
        <r>
          <rPr>
            <sz val="11"/>
            <color theme="1"/>
            <rFont val="Aptos Narrow"/>
            <family val="2"/>
            <scheme val="minor"/>
          </rPr>
          <t>Unknown User:
INSTALLATION OF NEW FREE-STANDING VANITY 900MM (CUSTOMER SUPPLIED)
10% Loyalty Discount</t>
        </r>
      </text>
    </comment>
    <comment ref="D1090" authorId="0" shapeId="0" xr:uid="{5C2F1E49-A714-4F80-9588-6A9E6B7AA62A}">
      <text>
        <r>
          <rPr>
            <sz val="11"/>
            <color theme="1"/>
            <rFont val="Aptos Narrow"/>
            <family val="2"/>
            <scheme val="minor"/>
          </rPr>
          <t>Unknown User:
Previously under weekend unsuccessful jobs (Quote) on 18/10 &amp; is now rescheduled &amp; accepted by customer on 21/10.</t>
        </r>
      </text>
    </comment>
    <comment ref="G1090" authorId="0" shapeId="0" xr:uid="{10DF6B6E-C3D0-4F03-BE77-946B080C1003}">
      <text>
        <r>
          <rPr>
            <sz val="11"/>
            <color theme="1"/>
            <rFont val="Aptos Narrow"/>
            <family val="2"/>
            <scheme val="minor"/>
          </rPr>
          <t>Unknown User:
SPECIALIST LEAK DETECTION (WATER SERVICE)
10% Good Will Discoun</t>
        </r>
      </text>
    </comment>
    <comment ref="W1090" authorId="0" shapeId="0" xr:uid="{AD11D36D-4790-4BE0-AC20-155D7F85E531}">
      <text>
        <r>
          <rPr>
            <sz val="11"/>
            <color theme="1"/>
            <rFont val="Aptos Narrow"/>
            <family val="2"/>
            <scheme val="minor"/>
          </rPr>
          <t>Unknown User:
Cash denomination
$100*1=$100
$50*1=$50
$20*1=$20
Total cash=$120</t>
        </r>
      </text>
    </comment>
    <comment ref="G1091" authorId="0" shapeId="0" xr:uid="{4DEA9218-3524-41C9-A122-6B11CCD85EDE}">
      <text>
        <r>
          <rPr>
            <sz val="11"/>
            <color theme="1"/>
            <rFont val="Aptos Narrow"/>
            <family val="2"/>
            <scheme val="minor"/>
          </rPr>
          <t>Unknown User:
REMOVAL OF TOILET PAN AND RESEAL WITH NEW PAN COLLAR
10% Good Will Discount</t>
        </r>
      </text>
    </comment>
    <comment ref="G1092" authorId="0" shapeId="0" xr:uid="{65F2E2D3-0936-4647-B83D-25C6000E0434}">
      <text>
        <r>
          <rPr>
            <sz val="11"/>
            <color theme="1"/>
            <rFont val="Aptos Narrow"/>
            <family val="2"/>
            <scheme val="minor"/>
          </rPr>
          <t>Unknown User:
VALLEY GUTTER REPLACEMENT UP TO 15M</t>
        </r>
      </text>
    </comment>
    <comment ref="G1093" authorId="0" shapeId="0" xr:uid="{FCC572CA-619A-4193-AF7D-7FC0676812A0}">
      <text>
        <r>
          <rPr>
            <sz val="11"/>
            <color theme="1"/>
            <rFont val="Aptos Narrow"/>
            <family val="2"/>
            <scheme val="minor"/>
          </rPr>
          <t>Unknown User:
SUPPLY &amp; INSTALLATION OF NEW FREE-STANDING VANITY (600MM)
SUPPLY &amp; INSTALLATION OF NEW WALL FACED TOILET SUITE</t>
        </r>
      </text>
    </comment>
    <comment ref="G1097" authorId="0" shapeId="0" xr:uid="{3692FA18-0A21-4539-9E36-EF3B8CDD3016}">
      <text>
        <r>
          <rPr>
            <sz val="11"/>
            <color theme="1"/>
            <rFont val="Aptos Narrow"/>
            <family val="2"/>
            <scheme val="minor"/>
          </rPr>
          <t>Unknown User:
HIGH POWERED JET BLAST &amp; CCTV DRAIN CAMERA INSPECTION (SEWER SERVICE)</t>
        </r>
      </text>
    </comment>
    <comment ref="G1098" authorId="0" shapeId="0" xr:uid="{B4A37550-CC7C-46D6-BDEA-02E65005A891}">
      <text>
        <r>
          <rPr>
            <sz val="11"/>
            <color theme="1"/>
            <rFont val="Aptos Narrow"/>
            <family val="2"/>
            <scheme val="minor"/>
          </rPr>
          <t>Unknown User:
HIGH POWERED SUCTION &amp; ACID TREATMENT
EXTRACTOR FAN SEARCH AND INVESTIGATION</t>
        </r>
      </text>
    </comment>
    <comment ref="O1098" authorId="0" shapeId="0" xr:uid="{CC11F7A4-0A01-4CB6-AF27-60C775360476}">
      <text>
        <r>
          <rPr>
            <sz val="11"/>
            <color theme="1"/>
            <rFont val="Aptos Narrow"/>
            <family val="2"/>
            <scheme val="minor"/>
          </rPr>
          <t>Unknown User:
Customer not onsite</t>
        </r>
      </text>
    </comment>
    <comment ref="R1098" authorId="0" shapeId="0" xr:uid="{E522B719-45C0-4518-B3B5-F082535D7626}">
      <text>
        <r>
          <rPr>
            <sz val="11"/>
            <color theme="1"/>
            <rFont val="Aptos Narrow"/>
            <family val="2"/>
            <scheme val="minor"/>
          </rPr>
          <t>Unknown User:
Customer not onsite</t>
        </r>
      </text>
    </comment>
    <comment ref="S1098" authorId="0" shapeId="0" xr:uid="{85111A65-92DA-4E86-AD5C-BE6C0BFEE0D4}">
      <text>
        <r>
          <rPr>
            <sz val="11"/>
            <color theme="1"/>
            <rFont val="Aptos Narrow"/>
            <family val="2"/>
            <scheme val="minor"/>
          </rPr>
          <t>Unknown User:
Invoice not emailed without sign as customer was not onsite</t>
        </r>
      </text>
    </comment>
    <comment ref="G1099" authorId="0" shapeId="0" xr:uid="{B92A95D2-14FA-4DF1-9AE0-5D6399488B60}">
      <text>
        <r>
          <rPr>
            <sz val="11"/>
            <color theme="1"/>
            <rFont val="Aptos Narrow"/>
            <family val="2"/>
            <scheme val="minor"/>
          </rPr>
          <t>Unknown User:
REPLACEMENT OF EXISTING PULL-OUT KITCHEN MIXER (CUSTOMER SUPPLIED)</t>
        </r>
      </text>
    </comment>
    <comment ref="G1100" authorId="0" shapeId="0" xr:uid="{C834D747-BBA4-42DA-9247-8FA60DA1294C}">
      <text>
        <r>
          <rPr>
            <sz val="11"/>
            <color theme="1"/>
            <rFont val="Aptos Narrow"/>
            <family val="2"/>
            <scheme val="minor"/>
          </rPr>
          <t>Unknown User:
SUPPLY &amp; INSTALLATION OF NEW SEWER SERVICE / VENT &amp; REPLACEMENT OF EXISTING OVERFLOW GULLY
5% Good Will Discount</t>
        </r>
      </text>
    </comment>
    <comment ref="U1100" authorId="0" shapeId="0" xr:uid="{74B96205-5B61-43E0-AF91-1AE5B5B8C067}">
      <text>
        <r>
          <rPr>
            <sz val="11"/>
            <color theme="1"/>
            <rFont val="Aptos Narrow"/>
            <family val="2"/>
            <scheme val="minor"/>
          </rPr>
          <t>Unknown User:
17/10-As per Joshua G's note "Callback from Suzie re scratch on side of house
explained discount on her job was unrelated
said rendering was at least 10 years old
agreed to get other quotes and advised wed speak to plumber and director for a review."</t>
        </r>
      </text>
    </comment>
    <comment ref="V1100" authorId="0" shapeId="0" xr:uid="{5C8363A4-4970-4BF7-B4D2-6F81C255BD9B}">
      <text>
        <r>
          <rPr>
            <sz val="11"/>
            <color theme="1"/>
            <rFont val="Aptos Narrow"/>
            <family val="2"/>
            <scheme val="minor"/>
          </rPr>
          <t>Unknown User:
24/10-EFT of $7000 initiated</t>
        </r>
      </text>
    </comment>
    <comment ref="G1105" authorId="0" shapeId="0" xr:uid="{C1C3B066-1FC4-4E20-992F-C8A7203CB3A5}">
      <text>
        <r>
          <rPr>
            <sz val="11"/>
            <color theme="1"/>
            <rFont val="Aptos Narrow"/>
            <family val="2"/>
            <scheme val="minor"/>
          </rPr>
          <t xml:space="preserve">Unknown User:
SPECIALIST GAS LEAK DETECTION
</t>
        </r>
      </text>
    </comment>
    <comment ref="G1106" authorId="0" shapeId="0" xr:uid="{D2F8B76A-73A0-4E8F-9843-407C20C3809F}">
      <text>
        <r>
          <rPr>
            <sz val="11"/>
            <color theme="1"/>
            <rFont val="Aptos Narrow"/>
            <family val="2"/>
            <scheme val="minor"/>
          </rPr>
          <t>Unknown User:
REPLACEMENT OF SEWER SHAFT (UNDER CONCRETE)</t>
        </r>
      </text>
    </comment>
    <comment ref="M1106" authorId="0" shapeId="0" xr:uid="{3B56AC83-884D-475B-9D10-1D6A9FC32CCD}">
      <text>
        <r>
          <rPr>
            <sz val="11"/>
            <color theme="1"/>
            <rFont val="Aptos Narrow"/>
            <family val="2"/>
            <scheme val="minor"/>
          </rPr>
          <t>Unknown User:
Smartpay receipt of $2000 not uploaded by plumber.
Uploaded by Modoras team</t>
        </r>
      </text>
    </comment>
    <comment ref="V1106" authorId="0" shapeId="0" xr:uid="{677AA61A-4459-4469-A74F-F73A417A4DFC}">
      <text>
        <r>
          <rPr>
            <sz val="11"/>
            <color theme="1"/>
            <rFont val="Aptos Narrow"/>
            <family val="2"/>
            <scheme val="minor"/>
          </rPr>
          <t>Unknown User:
29/9--Received $7000 by Smartpay
8/10-Received $7000 by Cash.
9/10-Received $477.10 by Podium</t>
        </r>
      </text>
    </comment>
    <comment ref="G1107" authorId="0" shapeId="0" xr:uid="{77ED9091-FC8E-490C-9A83-6DDA7AAAFDB5}">
      <text>
        <r>
          <rPr>
            <sz val="11"/>
            <color theme="1"/>
            <rFont val="Aptos Narrow"/>
            <family val="2"/>
            <scheme val="minor"/>
          </rPr>
          <t>Unknown User:
SEWER SPOT DIG (UNDER CONCRETE)</t>
        </r>
      </text>
    </comment>
    <comment ref="V1107" authorId="0" shapeId="0" xr:uid="{0A1D1BBA-517B-4F3E-A45B-16A5A260E130}">
      <text>
        <r>
          <rPr>
            <sz val="11"/>
            <color theme="1"/>
            <rFont val="Aptos Narrow"/>
            <family val="2"/>
            <scheme val="minor"/>
          </rPr>
          <t>Unknown User:
23/10-Received $10000 by EFT</t>
        </r>
      </text>
    </comment>
    <comment ref="G1111" authorId="0" shapeId="0" xr:uid="{9B8F8871-6435-451B-BBB8-75662D926F63}">
      <text>
        <r>
          <rPr>
            <sz val="11"/>
            <color theme="1"/>
            <rFont val="Aptos Narrow"/>
            <family val="2"/>
            <scheme val="minor"/>
          </rPr>
          <t xml:space="preserve">Unknown User:
HIGH POWERED SUCTION &amp; ACID TREATMENT
</t>
        </r>
      </text>
    </comment>
    <comment ref="G1112" authorId="0" shapeId="0" xr:uid="{15C6DA75-5372-438E-9EBA-7C0D654B7F3E}">
      <text>
        <r>
          <rPr>
            <sz val="11"/>
            <color theme="1"/>
            <rFont val="Aptos Narrow"/>
            <family val="2"/>
            <scheme val="minor"/>
          </rPr>
          <t xml:space="preserve">Unknown User:
SUPPLY &amp; INSTALLATION OF GAS STORAGE HOT WATER SYSTEM (EXTERNAL)
</t>
        </r>
      </text>
    </comment>
    <comment ref="G1114" authorId="0" shapeId="0" xr:uid="{1AF52A16-FC58-4FE1-B708-96FF5B24A8C3}">
      <text>
        <r>
          <rPr>
            <sz val="11"/>
            <color theme="1"/>
            <rFont val="Aptos Narrow"/>
            <family val="2"/>
            <scheme val="minor"/>
          </rPr>
          <t>Unknown User:
SEARCH &amp; INVESTIGATION OF SINGLE STOREY ROOF OF POTENTIAL LEAK</t>
        </r>
      </text>
    </comment>
    <comment ref="G1115" authorId="0" shapeId="0" xr:uid="{38FFDD29-23C4-4865-B17C-1712E222ABF2}">
      <text>
        <r>
          <rPr>
            <sz val="11"/>
            <color theme="1"/>
            <rFont val="Aptos Narrow"/>
            <family val="2"/>
            <scheme val="minor"/>
          </rPr>
          <t xml:space="preserve">Unknown User:
WATER SERVICE RECTIFICATION (EXPOSED)
</t>
        </r>
      </text>
    </comment>
    <comment ref="G1116" authorId="0" shapeId="0" xr:uid="{D03FABA6-9CCC-474C-88DC-B614340DD82F}">
      <text>
        <r>
          <rPr>
            <sz val="11"/>
            <color theme="1"/>
            <rFont val="Aptos Narrow"/>
            <family val="2"/>
            <scheme val="minor"/>
          </rPr>
          <t>Unknown User:
SEARCH &amp; INVESTIGATION OF SINGLE STOREY ROOF OF POTENTIAL LEAK
10% Seniors &amp; Pensioners Discount</t>
        </r>
      </text>
    </comment>
    <comment ref="G1117" authorId="0" shapeId="0" xr:uid="{4D3D2C78-287A-4834-9510-138768C9E834}">
      <text>
        <r>
          <rPr>
            <sz val="11"/>
            <color theme="1"/>
            <rFont val="Aptos Narrow"/>
            <family val="2"/>
            <scheme val="minor"/>
          </rPr>
          <t xml:space="preserve">Unknown User:
SEWER SERVICE - RELINE
</t>
        </r>
      </text>
    </comment>
    <comment ref="G1119" authorId="0" shapeId="0" xr:uid="{33D74048-EAF2-4B8B-8B38-FF5E6CC87C77}">
      <text>
        <r>
          <rPr>
            <sz val="11"/>
            <color theme="1"/>
            <rFont val="Aptos Narrow"/>
            <family val="2"/>
            <scheme val="minor"/>
          </rPr>
          <t xml:space="preserve">Unknown User:
WATER SERVICE RECTIFICATION (IN CONCRETE)
</t>
        </r>
      </text>
    </comment>
    <comment ref="G1120" authorId="0" shapeId="0" xr:uid="{81EE2F70-57A9-4BAF-AF9F-38BD7E1229E7}">
      <text>
        <r>
          <rPr>
            <sz val="11"/>
            <color theme="1"/>
            <rFont val="Aptos Narrow"/>
            <family val="2"/>
            <scheme val="minor"/>
          </rPr>
          <t>Unknown User:
HIGH POWERED JET BLAST &amp; CCTV CAMERA INSPECTION (GAIN ACCESS WITH REMOVAL OF TOILET)
10% Good Will Discount</t>
        </r>
      </text>
    </comment>
    <comment ref="G1121" authorId="0" shapeId="0" xr:uid="{AE1AEF4F-4F34-4285-A3BE-1707C17F1163}">
      <text>
        <r>
          <rPr>
            <sz val="11"/>
            <color theme="1"/>
            <rFont val="Aptos Narrow"/>
            <family val="2"/>
            <scheme val="minor"/>
          </rPr>
          <t xml:space="preserve">Unknown User:
HIGH POWERED SUCTION PUMP
</t>
        </r>
      </text>
    </comment>
    <comment ref="G1122" authorId="0" shapeId="0" xr:uid="{289B1F1E-1BEF-4447-AF66-02EA75A8E697}">
      <text>
        <r>
          <rPr>
            <sz val="11"/>
            <color theme="1"/>
            <rFont val="Aptos Narrow"/>
            <family val="2"/>
            <scheme val="minor"/>
          </rPr>
          <t>Unknown User:
WATER SERVICE RECTIFICATION (EXPOSED)
15% Seniors &amp; Pensioners Discount</t>
        </r>
      </text>
    </comment>
    <comment ref="G1123" authorId="0" shapeId="0" xr:uid="{3BCAD20B-D672-43CF-9A66-E55B1D5AB794}">
      <text>
        <r>
          <rPr>
            <sz val="11"/>
            <color theme="1"/>
            <rFont val="Aptos Narrow"/>
            <family val="2"/>
            <scheme val="minor"/>
          </rPr>
          <t xml:space="preserve">Unknown User:
BOX GUTTER, CAPPING AND FLASHING REPLACEMENT 
5% Good Will Discount
CREDIT OF SEARCH WORKS </t>
        </r>
      </text>
    </comment>
    <comment ref="G1124" authorId="0" shapeId="0" xr:uid="{A0518D9F-C3F7-4212-B68F-1C8610EF2313}">
      <text>
        <r>
          <rPr>
            <sz val="11"/>
            <color theme="1"/>
            <rFont val="Aptos Narrow"/>
            <family val="2"/>
            <scheme val="minor"/>
          </rPr>
          <t xml:space="preserve">Unknown User:
ROOF SHEETING REPLACEMENT 
RETURN CUSTOMER DISCOUNT </t>
        </r>
      </text>
    </comment>
    <comment ref="G1125" authorId="0" shapeId="0" xr:uid="{8E32FEFE-E317-402E-9373-566467B4F73E}">
      <text>
        <r>
          <rPr>
            <sz val="11"/>
            <color theme="1"/>
            <rFont val="Aptos Narrow"/>
            <family val="2"/>
            <scheme val="minor"/>
          </rPr>
          <t>Unknown User:
PVC RECTIFICATION</t>
        </r>
      </text>
    </comment>
    <comment ref="G1126" authorId="0" shapeId="0" xr:uid="{FE8DE02D-7094-4966-B790-72437A0B1DEB}">
      <text>
        <r>
          <rPr>
            <sz val="11"/>
            <color theme="1"/>
            <rFont val="Aptos Narrow"/>
            <family val="2"/>
            <scheme val="minor"/>
          </rPr>
          <t xml:space="preserve">Unknown User:
CCTV DRAIN CAMERA INSPECTION OF SEWER SERVICE
</t>
        </r>
      </text>
    </comment>
    <comment ref="G1127" authorId="0" shapeId="0" xr:uid="{D2E12F42-12F0-4573-9A85-9A25DC24C566}">
      <text>
        <r>
          <rPr>
            <sz val="11"/>
            <color theme="1"/>
            <rFont val="Aptos Narrow"/>
            <family val="2"/>
            <scheme val="minor"/>
          </rPr>
          <t>Unknown User:
SPECIALIST LEAK DETECTION (WATER SERVICE)
SUPPLY &amp; INSTALLATION OF NEW HOT &amp; COLD STAINLESS STEEL FLEXI HOSE (COMBO)
WATER SERVICE RECTIFICATION (EXPOSED)</t>
        </r>
      </text>
    </comment>
    <comment ref="G1128" authorId="0" shapeId="0" xr:uid="{1C191F40-F980-40F3-9E73-D178FC521E82}">
      <text>
        <r>
          <rPr>
            <sz val="11"/>
            <color theme="1"/>
            <rFont val="Aptos Narrow"/>
            <family val="2"/>
            <scheme val="minor"/>
          </rPr>
          <t>Unknown User:
SUPPLY &amp; INSTALLATION OF NEW HOT &amp; COLD STAINLESS STEEL FLEXI HOSE (COMBO)
WATER SERVICE RECTIFICATION (EXPOSED)
$85 Off First Service</t>
        </r>
      </text>
    </comment>
    <comment ref="G1129" authorId="0" shapeId="0" xr:uid="{B2F6A0A4-FAE7-4105-8472-E4DA5C20BD32}">
      <text>
        <r>
          <rPr>
            <sz val="11"/>
            <color theme="1"/>
            <rFont val="Aptos Narrow"/>
            <family val="2"/>
            <scheme val="minor"/>
          </rPr>
          <t>Unknown User:
COMPLETE SERVICE OF WALL TOP TAPS ASSEMBLY</t>
        </r>
      </text>
    </comment>
    <comment ref="E1150" authorId="10" shapeId="0" xr:uid="{1F6E26F1-4290-4E9D-9891-EDDA444EEF74}">
      <text>
        <t>[Threaded comment]
Your version of Excel allows you to read this threaded comment; however, any edits to it will get removed if the file is opened in a newer version of Excel. Learn more: https://go.microsoft.com/fwlink/?linkid=870924
Comment:
    Checked</t>
      </text>
    </comment>
    <comment ref="E1151" authorId="11" shapeId="0" xr:uid="{42A12AB7-51CD-43CA-AB97-D67E9F1CD040}">
      <text>
        <t>[Threaded comment]
Your version of Excel allows you to read this threaded comment; however, any edits to it will get removed if the file is opened in a newer version of Excel. Learn more: https://go.microsoft.com/fwlink/?linkid=870924
Comment:
    Checked</t>
      </text>
    </comment>
    <comment ref="E1152" authorId="12" shapeId="0" xr:uid="{7D162E78-CDC5-4B1D-A064-F3B1CB41CADF}">
      <text>
        <t>[Threaded comment]
Your version of Excel allows you to read this threaded comment; however, any edits to it will get removed if the file is opened in a newer version of Excel. Learn more: https://go.microsoft.com/fwlink/?linkid=870924
Comment:
    Checked</t>
      </text>
    </comment>
    <comment ref="G1162" authorId="0" shapeId="0" xr:uid="{9CB1118D-C970-46EB-9081-58A158ED3772}">
      <text>
        <r>
          <rPr>
            <sz val="11"/>
            <color theme="1"/>
            <rFont val="Aptos Narrow"/>
            <family val="2"/>
            <scheme val="minor"/>
          </rPr>
          <t>Unknown User:
SEARCH &amp; INVESTIGATION OF GAS STORAGE HOT WATER SYSTEM</t>
        </r>
      </text>
    </comment>
    <comment ref="G1163" authorId="0" shapeId="0" xr:uid="{C4549606-1054-4E90-8D08-B09BDEDBB2FC}">
      <text>
        <r>
          <rPr>
            <sz val="11"/>
            <color theme="1"/>
            <rFont val="Aptos Narrow"/>
            <family val="2"/>
            <scheme val="minor"/>
          </rPr>
          <t>Unknown User:
SEARCH &amp; INVESTIGATION OF GAS STORAGE HOT WATER SYSTEM</t>
        </r>
      </text>
    </comment>
    <comment ref="G1164" authorId="0" shapeId="0" xr:uid="{980985EF-A216-4A78-A71E-9FF8D6C2C111}">
      <text>
        <r>
          <rPr>
            <sz val="11"/>
            <color theme="1"/>
            <rFont val="Aptos Narrow"/>
            <family val="2"/>
            <scheme val="minor"/>
          </rPr>
          <t xml:space="preserve">Unknown User:
SUPPLY &amp; INSTALLATION OF NEW WATER SUPPLY TO WASHING MACHINE
$65 First Service Discount </t>
        </r>
      </text>
    </comment>
    <comment ref="G1165" authorId="0" shapeId="0" xr:uid="{786EE95F-FF1C-4E81-B5C2-457BBF52AD6D}">
      <text>
        <r>
          <rPr>
            <sz val="11"/>
            <color theme="1"/>
            <rFont val="Aptos Narrow"/>
            <family val="2"/>
            <scheme val="minor"/>
          </rPr>
          <t>Unknown User:
SUPPLY &amp; INSTALLATION OF NEW PLASTIC TOILET CISTERN</t>
        </r>
      </text>
    </comment>
    <comment ref="W1165" authorId="0" shapeId="0" xr:uid="{EC898449-641F-469A-B7CB-2B1C05D764A6}">
      <text>
        <r>
          <rPr>
            <sz val="11"/>
            <color theme="1"/>
            <rFont val="Aptos Narrow"/>
            <family val="2"/>
            <scheme val="minor"/>
          </rPr>
          <t>Unknown User:
Cash denomination
$50*5=$250
$20*1=$20
$10*1=$10
Total cash=$280</t>
        </r>
      </text>
    </comment>
    <comment ref="G1166" authorId="0" shapeId="0" xr:uid="{96381501-9C4C-4D9E-BD6D-A166B23CC244}">
      <text>
        <r>
          <rPr>
            <sz val="11"/>
            <color theme="1"/>
            <rFont val="Aptos Narrow"/>
            <family val="2"/>
            <scheme val="minor"/>
          </rPr>
          <t xml:space="preserve">Unknown User:
HIGH POWERED SUCTION &amp; ACID TREATMENT
</t>
        </r>
      </text>
    </comment>
    <comment ref="G1167" authorId="0" shapeId="0" xr:uid="{2F7510AE-8312-4C35-A497-98813549C169}">
      <text>
        <r>
          <rPr>
            <sz val="11"/>
            <color theme="1"/>
            <rFont val="Aptos Narrow"/>
            <family val="2"/>
            <scheme val="minor"/>
          </rPr>
          <t>Unknown User:
HIGH POWERED SUCTION &amp; ACID TREATMENT
REPLACEMENT OF PLUG &amp; WASTE - 40MM</t>
        </r>
      </text>
    </comment>
    <comment ref="G1168" authorId="0" shapeId="0" xr:uid="{5F604924-8BFC-488A-B79D-EBE66720A72F}">
      <text>
        <r>
          <rPr>
            <sz val="11"/>
            <color theme="1"/>
            <rFont val="Aptos Narrow"/>
            <family val="2"/>
            <scheme val="minor"/>
          </rPr>
          <t>Unknown User:
REPLACEMENT OF PLUG &amp; WASTE - 50MM</t>
        </r>
      </text>
    </comment>
    <comment ref="G1169" authorId="0" shapeId="0" xr:uid="{0D8FD4B6-3B42-4F86-9AF2-2F89957FC2C5}">
      <text>
        <r>
          <rPr>
            <sz val="11"/>
            <color theme="1"/>
            <rFont val="Aptos Narrow"/>
            <family val="2"/>
            <scheme val="minor"/>
          </rPr>
          <t xml:space="preserve">Unknown User:
HIGH POWERED JET BLAST &amp; CCTV DRAIN CAMERA INSPECTION (SEWER SERVICE)
10% Good Will Discount </t>
        </r>
      </text>
    </comment>
    <comment ref="G1185" authorId="0" shapeId="0" xr:uid="{E185AF5A-2E2C-4363-A97E-CCF865D180A1}">
      <text>
        <r>
          <rPr>
            <sz val="11"/>
            <color theme="1"/>
            <rFont val="Aptos Narrow"/>
            <family val="2"/>
            <scheme val="minor"/>
          </rPr>
          <t>Unknown User:
HIGH POWERED JET BLAST &amp; CCTV DRAIN CAMERA INSPECTION (SEWER SERVICE)</t>
        </r>
      </text>
    </comment>
    <comment ref="G1186" authorId="0" shapeId="0" xr:uid="{DA7600E4-8002-469D-843F-F0E5EB3EA5C3}">
      <text>
        <r>
          <rPr>
            <sz val="11"/>
            <color theme="1"/>
            <rFont val="Aptos Narrow"/>
            <family val="2"/>
            <scheme val="minor"/>
          </rPr>
          <t>Unknown User:
HIGH POWERED SUCTION &amp; ACID TREATMENT
EXTRACTOR FAN SEARCH AND INVESTIGATION</t>
        </r>
      </text>
    </comment>
    <comment ref="O1186" authorId="0" shapeId="0" xr:uid="{35097E44-E2A5-4296-A96C-F358433324A1}">
      <text>
        <r>
          <rPr>
            <sz val="11"/>
            <color theme="1"/>
            <rFont val="Aptos Narrow"/>
            <family val="2"/>
            <scheme val="minor"/>
          </rPr>
          <t>Unknown User:
Customer not onsite</t>
        </r>
      </text>
    </comment>
    <comment ref="R1186" authorId="0" shapeId="0" xr:uid="{7BC945E3-581D-4B07-9D3C-A9AC001735C9}">
      <text>
        <r>
          <rPr>
            <sz val="11"/>
            <color theme="1"/>
            <rFont val="Aptos Narrow"/>
            <family val="2"/>
            <scheme val="minor"/>
          </rPr>
          <t>Unknown User:
Customer not onsite</t>
        </r>
      </text>
    </comment>
    <comment ref="S1186" authorId="0" shapeId="0" xr:uid="{6B05DE22-622C-4AF4-8CA4-294DF8E41784}">
      <text>
        <r>
          <rPr>
            <sz val="11"/>
            <color theme="1"/>
            <rFont val="Aptos Narrow"/>
            <family val="2"/>
            <scheme val="minor"/>
          </rPr>
          <t>Unknown User:
Invoice not emailed without sign as customer was not onsite</t>
        </r>
      </text>
    </comment>
    <comment ref="G1187" authorId="0" shapeId="0" xr:uid="{E23C40F2-E824-4B1F-9517-DF773700EC6C}">
      <text>
        <r>
          <rPr>
            <sz val="11"/>
            <color theme="1"/>
            <rFont val="Aptos Narrow"/>
            <family val="2"/>
            <scheme val="minor"/>
          </rPr>
          <t>Unknown User:
REPLACEMENT OF EXISTING PULL-OUT KITCHEN MIXER (CUSTOMER SUPPLIED)</t>
        </r>
      </text>
    </comment>
    <comment ref="G1188" authorId="0" shapeId="0" xr:uid="{D6001431-6504-49CA-BA74-7BF07BC7A1F1}">
      <text>
        <r>
          <rPr>
            <sz val="11"/>
            <color theme="1"/>
            <rFont val="Aptos Narrow"/>
            <family val="2"/>
            <scheme val="minor"/>
          </rPr>
          <t>Unknown User:
SUPPLY &amp; INSTALLATION OF NEW SEWER SERVICE / VENT &amp; REPLACEMENT OF EXISTING OVERFLOW GULLY
5% Good Will Discount</t>
        </r>
      </text>
    </comment>
    <comment ref="U1188" authorId="0" shapeId="0" xr:uid="{8A26CFAE-4D2F-4133-BF8B-CF93BF890ADF}">
      <text>
        <r>
          <rPr>
            <sz val="11"/>
            <color theme="1"/>
            <rFont val="Aptos Narrow"/>
            <family val="2"/>
            <scheme val="minor"/>
          </rPr>
          <t>Unknown User:
17/10-As per Joshua G's note "Callback from Suzie re scratch on side of house
explained discount on her job was unrelated
said rendering was at least 10 years old
agreed to get other quotes and advised wed speak to plumber and director for a review."</t>
        </r>
      </text>
    </comment>
    <comment ref="V1188" authorId="0" shapeId="0" xr:uid="{EB1972FD-FCC6-4E41-AD55-F69B24E94085}">
      <text>
        <r>
          <rPr>
            <sz val="11"/>
            <color theme="1"/>
            <rFont val="Aptos Narrow"/>
            <family val="2"/>
            <scheme val="minor"/>
          </rPr>
          <t>Unknown User:
24/10-EFT of $7000 initiated</t>
        </r>
      </text>
    </comment>
    <comment ref="G1193" authorId="0" shapeId="0" xr:uid="{24113857-0415-4CF8-AD55-A6B12890B9FB}">
      <text>
        <r>
          <rPr>
            <sz val="11"/>
            <color theme="1"/>
            <rFont val="Aptos Narrow"/>
            <family val="2"/>
            <scheme val="minor"/>
          </rPr>
          <t xml:space="preserve">Unknown User:
SPECIALIST GAS LEAK DETECTION
</t>
        </r>
      </text>
    </comment>
    <comment ref="G1194" authorId="0" shapeId="0" xr:uid="{7FC09E94-78ED-46A5-A8CC-B9C12853A44E}">
      <text>
        <r>
          <rPr>
            <sz val="11"/>
            <color theme="1"/>
            <rFont val="Aptos Narrow"/>
            <family val="2"/>
            <scheme val="minor"/>
          </rPr>
          <t>Unknown User:
REPLACEMENT OF SEWER SHAFT (UNDER CONCRETE)</t>
        </r>
      </text>
    </comment>
    <comment ref="M1194" authorId="0" shapeId="0" xr:uid="{B6F14ADD-AAD6-4858-8528-58828D94ECC0}">
      <text>
        <r>
          <rPr>
            <sz val="11"/>
            <color theme="1"/>
            <rFont val="Aptos Narrow"/>
            <family val="2"/>
            <scheme val="minor"/>
          </rPr>
          <t>Unknown User:
Smartpay receipt of $2000 not uploaded by plumber.
Uploaded by Modoras team</t>
        </r>
      </text>
    </comment>
    <comment ref="V1194" authorId="0" shapeId="0" xr:uid="{2B74AD48-2338-4414-B867-387968CA8815}">
      <text>
        <r>
          <rPr>
            <sz val="11"/>
            <color theme="1"/>
            <rFont val="Aptos Narrow"/>
            <family val="2"/>
            <scheme val="minor"/>
          </rPr>
          <t>Unknown User:
29/9--Received $7000 by Smartpay
8/10-Received $7000 by Cash.
9/10-Received $477.10 by Podium</t>
        </r>
      </text>
    </comment>
    <comment ref="G1195" authorId="0" shapeId="0" xr:uid="{E95C6E99-67E1-4833-B2D3-E76992BE3A84}">
      <text>
        <r>
          <rPr>
            <sz val="11"/>
            <color theme="1"/>
            <rFont val="Aptos Narrow"/>
            <family val="2"/>
            <scheme val="minor"/>
          </rPr>
          <t>Unknown User:
SEWER SPOT DIG (UNDER CONCRETE)</t>
        </r>
      </text>
    </comment>
    <comment ref="V1195" authorId="0" shapeId="0" xr:uid="{29162956-2FD8-4629-B7E1-7015CED5C027}">
      <text>
        <r>
          <rPr>
            <sz val="11"/>
            <color theme="1"/>
            <rFont val="Aptos Narrow"/>
            <family val="2"/>
            <scheme val="minor"/>
          </rPr>
          <t>Unknown User:
23/10-Received $10000 by EFT</t>
        </r>
      </text>
    </comment>
    <comment ref="D1196" authorId="0" shapeId="0" xr:uid="{19AD4979-CF44-4CC9-B869-11D8D5FDBB05}">
      <text>
        <r>
          <rPr>
            <sz val="11"/>
            <color theme="1"/>
            <rFont val="Aptos Narrow"/>
            <family val="2"/>
            <scheme val="minor"/>
          </rPr>
          <t>Unknown User:
Previously under weekend unsuccessful jobs (Quote) on 18/10 &amp; is now rescheduled &amp; accepted by customer on 21/10.</t>
        </r>
      </text>
    </comment>
    <comment ref="G1196" authorId="0" shapeId="0" xr:uid="{FCDD2899-C00E-4AC2-B73D-103E205EFD9C}">
      <text>
        <r>
          <rPr>
            <sz val="11"/>
            <color theme="1"/>
            <rFont val="Aptos Narrow"/>
            <family val="2"/>
            <scheme val="minor"/>
          </rPr>
          <t>Unknown User:
SPECIALIST LEAK DETECTION (WATER SERVICE)
10% Good Will Discoun</t>
        </r>
      </text>
    </comment>
    <comment ref="W1196" authorId="0" shapeId="0" xr:uid="{1F6F107E-84A5-46D6-A9BC-C06695D9C9A6}">
      <text>
        <r>
          <rPr>
            <sz val="11"/>
            <color theme="1"/>
            <rFont val="Aptos Narrow"/>
            <family val="2"/>
            <scheme val="minor"/>
          </rPr>
          <t>Unknown User:
Cash denomination
$100*1=$100
$50*1=$50
$20*1=$20
Total cash=$120</t>
        </r>
      </text>
    </comment>
    <comment ref="G1197" authorId="0" shapeId="0" xr:uid="{D159EC33-D4E0-4F12-AF4B-72E54BD3E225}">
      <text>
        <r>
          <rPr>
            <sz val="11"/>
            <color theme="1"/>
            <rFont val="Aptos Narrow"/>
            <family val="2"/>
            <scheme val="minor"/>
          </rPr>
          <t>Unknown User:
REMOVAL OF TOILET PAN AND RESEAL WITH NEW PAN COLLAR
10% Good Will Discount</t>
        </r>
      </text>
    </comment>
    <comment ref="G1198" authorId="0" shapeId="0" xr:uid="{E6325E7A-D78A-46CA-B1DA-16F66734E93A}">
      <text>
        <r>
          <rPr>
            <sz val="11"/>
            <color theme="1"/>
            <rFont val="Aptos Narrow"/>
            <family val="2"/>
            <scheme val="minor"/>
          </rPr>
          <t>Unknown User:
VALLEY GUTTER REPLACEMENT UP TO 15M</t>
        </r>
      </text>
    </comment>
    <comment ref="V1198" authorId="0" shapeId="0" xr:uid="{9EE31DB8-5898-4CCC-A17B-2EE8F3614D2E}">
      <text>
        <r>
          <rPr>
            <sz val="11"/>
            <color theme="1"/>
            <rFont val="Aptos Narrow"/>
            <family val="2"/>
            <scheme val="minor"/>
          </rPr>
          <t>Unknown User:
29/10-Received $7000 by Podium
30/10-Received $7652.59 by Podium</t>
        </r>
      </text>
    </comment>
    <comment ref="G1199" authorId="0" shapeId="0" xr:uid="{1C2DB566-5EB8-4679-B012-5413B2EE4D6F}">
      <text>
        <r>
          <rPr>
            <sz val="11"/>
            <color theme="1"/>
            <rFont val="Aptos Narrow"/>
            <family val="2"/>
            <scheme val="minor"/>
          </rPr>
          <t>Unknown User:
SUPPLY &amp; INSTALLATION OF NEW FREE-STANDING VANITY (600MM)
SUPPLY &amp; INSTALLATION OF NEW WALL FACED TOILET SUITE</t>
        </r>
      </text>
    </comment>
    <comment ref="G1203" authorId="0" shapeId="0" xr:uid="{5DDACC58-6CA4-40D6-97DE-60015CB014E9}">
      <text>
        <r>
          <rPr>
            <sz val="11"/>
            <color theme="1"/>
            <rFont val="Aptos Narrow"/>
            <family val="2"/>
            <scheme val="minor"/>
          </rPr>
          <t xml:space="preserve">Unknown User:
SUPPLY AND INSTALLATION OF GAS WATER HEATER UNITROL
SPECIALIST GAS LEAK DETECTION
</t>
        </r>
      </text>
    </comment>
    <comment ref="G1204" authorId="0" shapeId="0" xr:uid="{94CF5521-D885-475A-A37D-F9A043D21C87}">
      <text>
        <r>
          <rPr>
            <sz val="11"/>
            <color theme="1"/>
            <rFont val="Aptos Narrow"/>
            <family val="2"/>
            <scheme val="minor"/>
          </rPr>
          <t>Unknown User:
COMPLETE SERVICE OF WALL TOP TAPS ASSEMBLY
$49 Off Tap Services</t>
        </r>
      </text>
    </comment>
    <comment ref="G1205" authorId="0" shapeId="0" xr:uid="{367C53FD-AF13-4EB1-80D0-C7441F688A77}">
      <text>
        <r>
          <rPr>
            <sz val="11"/>
            <color theme="1"/>
            <rFont val="Aptos Narrow"/>
            <family val="2"/>
            <scheme val="minor"/>
          </rPr>
          <t xml:space="preserve">Unknown User:
HIGH POWERED JET BLAST &amp; CCTV DRAIN CAMERA INSPECTION (STORM WATER SERVICE)
</t>
        </r>
      </text>
    </comment>
    <comment ref="G1206" authorId="0" shapeId="0" xr:uid="{589C4844-ED01-4B34-9CB5-4BF1C929D3D7}">
      <text>
        <r>
          <rPr>
            <sz val="11"/>
            <color theme="1"/>
            <rFont val="Aptos Narrow"/>
            <family val="2"/>
            <scheme val="minor"/>
          </rPr>
          <t>Unknown User:
SUPPLY &amp; INSTALLATION OF GAS STORAGE HOT WATER SYSTEM (EXTERNAL)
10% Good Will Discount</t>
        </r>
      </text>
    </comment>
    <comment ref="G1207" authorId="0" shapeId="0" xr:uid="{07E37239-96CA-4B88-A94B-CA7994A5E122}">
      <text>
        <r>
          <rPr>
            <sz val="11"/>
            <color theme="1"/>
            <rFont val="Aptos Narrow"/>
            <family val="2"/>
            <scheme val="minor"/>
          </rPr>
          <t>Unknown User:
SUPPLY &amp; INSTALLATION OF TEMPERING VALVE
SUPPLY AND INSTALLATION OF T&amp;PR VALVE (15MM)
10% Good Will Discount</t>
        </r>
      </text>
    </comment>
    <comment ref="G1208" authorId="0" shapeId="0" xr:uid="{BDFAD88C-54FF-44F7-9D6E-F66B710BD8EC}">
      <text>
        <r>
          <rPr>
            <sz val="11"/>
            <color theme="1"/>
            <rFont val="Aptos Narrow"/>
            <family val="2"/>
            <scheme val="minor"/>
          </rPr>
          <t>Unknown User:
SUPPLY &amp; INSTALLATION OF TEMPERING VALVE</t>
        </r>
      </text>
    </comment>
    <comment ref="G1209" authorId="0" shapeId="0" xr:uid="{5AD9B491-9A06-4916-A0C7-6239AE32BBFE}">
      <text>
        <r>
          <rPr>
            <sz val="11"/>
            <color theme="1"/>
            <rFont val="Aptos Narrow"/>
            <family val="2"/>
            <scheme val="minor"/>
          </rPr>
          <t>Unknown User:
SEARCH &amp; INVESTIGATION OF DOUBLE STOREY ROOF OF POTENTIAL LEAK</t>
        </r>
      </text>
    </comment>
    <comment ref="G1210" authorId="0" shapeId="0" xr:uid="{93A5AD10-DB4D-4CB3-BE57-80D8629A0ACF}">
      <text>
        <r>
          <rPr>
            <sz val="11"/>
            <color theme="1"/>
            <rFont val="Aptos Narrow"/>
            <family val="2"/>
            <scheme val="minor"/>
          </rPr>
          <t>Unknown User:
SUPPLY &amp; INSTALLATION OF NEW PLASTIC TOILET CISTERN
$85 Off First Service</t>
        </r>
      </text>
    </comment>
    <comment ref="G1211" authorId="0" shapeId="0" xr:uid="{0969F20A-E329-4584-8B4E-D1C3C056085D}">
      <text>
        <r>
          <rPr>
            <sz val="11"/>
            <color theme="1"/>
            <rFont val="Aptos Narrow"/>
            <family val="2"/>
            <scheme val="minor"/>
          </rPr>
          <t>Unknown User:
SUPPLY &amp; INSTALLATION OF NEW LINK SUITE
REPLACEMENT OF SEWER VENT PIPE WITH PVC
10% Good Will Discount</t>
        </r>
      </text>
    </comment>
    <comment ref="G1212" authorId="0" shapeId="0" xr:uid="{72709862-F1F6-42BF-A34C-0D8B41C8C37D}">
      <text>
        <r>
          <rPr>
            <sz val="11"/>
            <color theme="1"/>
            <rFont val="Aptos Narrow"/>
            <family val="2"/>
            <scheme val="minor"/>
          </rPr>
          <t>Unknown User:
SUPPLY AND INSTALLATION OF TRAP TO SINK OR LAUNDRY TUB - WHITE PVC
REPLACEMENT OF PLUG &amp; WASTE - 50MM
10% Good Will Discount</t>
        </r>
      </text>
    </comment>
    <comment ref="G1213" authorId="0" shapeId="0" xr:uid="{FAE9337E-F605-4D02-8DC2-C654089E9AC1}">
      <text>
        <r>
          <rPr>
            <sz val="11"/>
            <color theme="1"/>
            <rFont val="Aptos Narrow"/>
            <family val="2"/>
            <scheme val="minor"/>
          </rPr>
          <t>Unknown User:
SUPPLY &amp; INSTALLATION OF NEW WATER SUPPLY TO WASHING MACHINE
$65 First Service Discount</t>
        </r>
      </text>
    </comment>
    <comment ref="G1214" authorId="0" shapeId="0" xr:uid="{2C37E0C9-16BB-421E-AB81-1C9441FB6E61}">
      <text>
        <r>
          <rPr>
            <sz val="11"/>
            <color theme="1"/>
            <rFont val="Aptos Narrow"/>
            <family val="2"/>
            <scheme val="minor"/>
          </rPr>
          <t xml:space="preserve">Unknown User:
REPLACEMENT OF PLUG &amp; WASTE - 40MM
</t>
        </r>
      </text>
    </comment>
    <comment ref="G1215" authorId="0" shapeId="0" xr:uid="{FABA53B5-C474-43C0-9373-686003F2BA5C}">
      <text>
        <r>
          <rPr>
            <sz val="11"/>
            <color theme="1"/>
            <rFont val="Aptos Narrow"/>
            <family val="2"/>
            <scheme val="minor"/>
          </rPr>
          <t xml:space="preserve">Unknown User:
SEARCH &amp; INVESTIGATION OF WATER HAMMER
</t>
        </r>
      </text>
    </comment>
    <comment ref="G1216" authorId="0" shapeId="0" xr:uid="{D2148F8A-27EC-4457-BCF9-235C0483F078}">
      <text>
        <r>
          <rPr>
            <sz val="11"/>
            <color theme="1"/>
            <rFont val="Aptos Narrow"/>
            <family val="2"/>
            <scheme val="minor"/>
          </rPr>
          <t>Unknown User:
REPLACEMENT OF EXISTING OVERFLOW GULLY &amp; SECTION OF MAIN SEWER SERVICE (UNDER CONCRETE)
CREDIT HIGH POWERED JETBLAST &amp; CCTV CAMERA</t>
        </r>
      </text>
    </comment>
    <comment ref="G1217" authorId="0" shapeId="0" xr:uid="{A3F1C376-CA02-48C2-866E-42B73AB28F53}">
      <text>
        <r>
          <rPr>
            <sz val="11"/>
            <color theme="1"/>
            <rFont val="Aptos Narrow"/>
            <family val="2"/>
            <scheme val="minor"/>
          </rPr>
          <t>Unknown User:
WATER SERVICE RECTIFICATION (EXPOSED)</t>
        </r>
      </text>
    </comment>
    <comment ref="G1218" authorId="0" shapeId="0" xr:uid="{58506560-EA3D-4ADD-854C-B13B5A4EF9F5}">
      <text>
        <r>
          <rPr>
            <sz val="11"/>
            <color theme="1"/>
            <rFont val="Aptos Narrow"/>
            <family val="2"/>
            <scheme val="minor"/>
          </rPr>
          <t>Unknown User:
WATER SERVICE RECTIFICATION (IN GROUND)
10% Good Will Discount</t>
        </r>
      </text>
    </comment>
    <comment ref="G1219" authorId="0" shapeId="0" xr:uid="{8DEE863B-207A-4DC0-B707-F9D4900AD6F1}">
      <text>
        <r>
          <rPr>
            <sz val="11"/>
            <color theme="1"/>
            <rFont val="Aptos Narrow"/>
            <family val="2"/>
            <scheme val="minor"/>
          </rPr>
          <t>Unknown User:
SEARCH &amp; INVESTIGATION OF POTENTIAL GAS LEAK
10% Seniors &amp; Pensioners Discount</t>
        </r>
      </text>
    </comment>
    <comment ref="G1220" authorId="0" shapeId="0" xr:uid="{DF437089-59AD-4047-ABED-ECD636C4DB23}">
      <text>
        <r>
          <rPr>
            <sz val="11"/>
            <color theme="1"/>
            <rFont val="Aptos Narrow"/>
            <family val="2"/>
            <scheme val="minor"/>
          </rPr>
          <t>Unknown User:
SEARCH &amp; INVESTIGATION OF DOUBLE STOREY ROOF OF POTENTIAL LEAK
5% Good Will Discount</t>
        </r>
      </text>
    </comment>
    <comment ref="G1252" authorId="0" shapeId="0" xr:uid="{B874D41C-CF50-44FB-83E8-16EF6A393609}">
      <text>
        <r>
          <rPr>
            <sz val="11"/>
            <color theme="1"/>
            <rFont val="Aptos Narrow"/>
            <family val="2"/>
            <scheme val="minor"/>
          </rPr>
          <t xml:space="preserve">Unknown User:
PRESSURE TEST (WET AREA)
</t>
        </r>
      </text>
    </comment>
    <comment ref="G1316" authorId="0" shapeId="0" xr:uid="{172EFF83-43CE-4A2D-B0D1-DC387C33FF32}">
      <text>
        <r>
          <rPr>
            <sz val="11"/>
            <color theme="1"/>
            <rFont val="Aptos Narrow"/>
            <family val="2"/>
            <scheme val="minor"/>
          </rPr>
          <t xml:space="preserve">Unknown User:
SPECIALIST LEAK DETECTION (WATER SERVICE)
</t>
        </r>
      </text>
    </comment>
    <comment ref="G1317" authorId="0" shapeId="0" xr:uid="{C91A6DC2-FCA6-43BF-9CF1-14A86BFE6D88}">
      <text>
        <r>
          <rPr>
            <sz val="11"/>
            <color theme="1"/>
            <rFont val="Aptos Narrow"/>
            <family val="2"/>
            <scheme val="minor"/>
          </rPr>
          <t xml:space="preserve">Unknown User:
SPECIALIST LEAK DETECTION (WATER SERVICE)
</t>
        </r>
      </text>
    </comment>
    <comment ref="G1338" authorId="0" shapeId="0" xr:uid="{ECEBE303-1EC3-4CD5-8600-A1675F26CF12}">
      <text>
        <r>
          <rPr>
            <sz val="11"/>
            <color theme="1"/>
            <rFont val="Aptos Narrow"/>
            <family val="2"/>
            <scheme val="minor"/>
          </rPr>
          <t>Unknown User:
SEARCH &amp; INVESTIGATION OF WASHING MACHINE
HIGH POWERED SUCTION &amp; ACID TREATMENT
10% Good Will Discount</t>
        </r>
      </text>
    </comment>
    <comment ref="G1339" authorId="0" shapeId="0" xr:uid="{29B9746D-8152-409B-AFAB-2C4FFD493DBA}">
      <text>
        <r>
          <rPr>
            <sz val="11"/>
            <color theme="1"/>
            <rFont val="Aptos Narrow"/>
            <family val="2"/>
            <scheme val="minor"/>
          </rPr>
          <t>Unknown User:
SEARCH &amp; INVESTIGATION OF WASHING MACHINE</t>
        </r>
      </text>
    </comment>
    <comment ref="G1340" authorId="0" shapeId="0" xr:uid="{A5B131DA-556B-4384-95AD-2A598BFD5334}">
      <text>
        <r>
          <rPr>
            <sz val="11"/>
            <color theme="1"/>
            <rFont val="Aptos Narrow"/>
            <family val="2"/>
            <scheme val="minor"/>
          </rPr>
          <t>Unknown User:
SUPPLY AND INSTALLATION OF VENTED DUAL CHECK VALVE FITTED TO A 20MM WATER METER SET
10% Good Will Discount</t>
        </r>
      </text>
    </comment>
    <comment ref="G1341" authorId="0" shapeId="0" xr:uid="{28192B47-C879-40CA-92A5-EB87F1D0440A}">
      <text>
        <r>
          <rPr>
            <sz val="11"/>
            <color theme="1"/>
            <rFont val="Aptos Narrow"/>
            <family val="2"/>
            <scheme val="minor"/>
          </rPr>
          <t>Unknown User:
RECTIFICATION OF IN WALL BATH BREACH
CREDIT OF SEARCH &amp; INVESTIGATION</t>
        </r>
      </text>
    </comment>
    <comment ref="G1342" authorId="0" shapeId="0" xr:uid="{1785F6BA-C898-4EA6-8C0D-687A3BAB4A13}">
      <text>
        <r>
          <rPr>
            <sz val="11"/>
            <color theme="1"/>
            <rFont val="Aptos Narrow"/>
            <family val="2"/>
            <scheme val="minor"/>
          </rPr>
          <t xml:space="preserve">Unknown User:
RECTIFICATION OF IN WALL BATH BREACH
</t>
        </r>
      </text>
    </comment>
    <comment ref="G1343" authorId="0" shapeId="0" xr:uid="{D8619FBD-539D-47F6-A9E7-18D10768A44F}">
      <text>
        <r>
          <rPr>
            <sz val="11"/>
            <color theme="1"/>
            <rFont val="Aptos Narrow"/>
            <family val="2"/>
            <scheme val="minor"/>
          </rPr>
          <t>Unknown User:
HIGH POWERED JET BLAST &amp; CCTV DRAIN CAMERA INSPECTION (STORM WATER SERVICE)
15% Good Will Discount</t>
        </r>
      </text>
    </comment>
    <comment ref="G1344" authorId="0" shapeId="0" xr:uid="{84FC2E04-9F58-4A80-97A8-2B3B8EA6ECEE}">
      <text>
        <r>
          <rPr>
            <sz val="11"/>
            <color theme="1"/>
            <rFont val="Aptos Narrow"/>
            <family val="2"/>
            <scheme val="minor"/>
          </rPr>
          <t>Unknown User:
ROOF LEAK SEARCH &amp; INVESTIGATION
10% Good Will Discount</t>
        </r>
      </text>
    </comment>
    <comment ref="G1345" authorId="0" shapeId="0" xr:uid="{2CFEB7DC-A555-4C8D-BEB4-37FAC192557A}">
      <text>
        <r>
          <rPr>
            <sz val="11"/>
            <color theme="1"/>
            <rFont val="Aptos Narrow"/>
            <family val="2"/>
            <scheme val="minor"/>
          </rPr>
          <t xml:space="preserve">Unknown User:
HIGH POWERED JET BLAST &amp; CCTV DRAIN CAMERA INSPECTION (STORM WATER SERVICE)
</t>
        </r>
      </text>
    </comment>
    <comment ref="G1346" authorId="0" shapeId="0" xr:uid="{75880F5D-634F-4600-9629-A934B97409FE}">
      <text>
        <r>
          <rPr>
            <sz val="11"/>
            <color theme="1"/>
            <rFont val="Aptos Narrow"/>
            <family val="2"/>
            <scheme val="minor"/>
          </rPr>
          <t>Unknown User:
SEARCH &amp; INVESTIGATION OF RAINWATER PUMP
$65 First Service Discount</t>
        </r>
      </text>
    </comment>
    <comment ref="G1347" authorId="0" shapeId="0" xr:uid="{3A0EA956-D1CC-4573-B90A-0951AD1E1559}">
      <text>
        <r>
          <rPr>
            <sz val="11"/>
            <color theme="1"/>
            <rFont val="Aptos Narrow"/>
            <family val="2"/>
            <scheme val="minor"/>
          </rPr>
          <t>Unknown User:
SUPPLY &amp; INSTALLATION OF NEW RAINWATER PUMP</t>
        </r>
      </text>
    </comment>
    <comment ref="G1348" authorId="0" shapeId="0" xr:uid="{CAB24178-CCD3-4148-8A3B-E77F8B0B55DA}">
      <text>
        <r>
          <rPr>
            <sz val="11"/>
            <color theme="1"/>
            <rFont val="Aptos Narrow"/>
            <family val="2"/>
            <scheme val="minor"/>
          </rPr>
          <t>Unknown User:
HIGH POWERED JET BLAST &amp; CCTV CAMERA INSPECTION (GAIN ACCESS WITH REMOVAL OF TOILET)
10% Good Will Discount</t>
        </r>
      </text>
    </comment>
    <comment ref="G1349" authorId="0" shapeId="0" xr:uid="{7EA836D8-A412-4281-AF30-7E9670316410}">
      <text>
        <r>
          <rPr>
            <sz val="11"/>
            <color theme="1"/>
            <rFont val="Aptos Narrow"/>
            <family val="2"/>
            <scheme val="minor"/>
          </rPr>
          <t>Unknown User:
HIGH POWERED SUCTION &amp; ACID TREATMENT
$89 Blocked Drains Discount</t>
        </r>
      </text>
    </comment>
    <comment ref="G1350" authorId="0" shapeId="0" xr:uid="{29AC9D41-F1E9-4D4E-A74C-39D427B7E167}">
      <text>
        <r>
          <rPr>
            <sz val="11"/>
            <color theme="1"/>
            <rFont val="Aptos Narrow"/>
            <family val="2"/>
            <scheme val="minor"/>
          </rPr>
          <t>Unknown User:
ROOF LEAK SEARCH &amp; INVESTIGATION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tc={02AA0FA5-9CE9-4777-B94B-E4EDD5BDAE32}</author>
    <author>Guest User</author>
    <author>tc={9C0239E6-641D-4827-A2FE-B2EB3E8C522C}</author>
  </authors>
  <commentList>
    <comment ref="E112" authorId="0" shapeId="0" xr:uid="{02AA0FA5-9CE9-4777-B94B-E4EDD5BDAE32}">
      <text>
        <t>[Threaded comment]
Your version of Excel allows you to read this threaded comment; however, any edits to it will get removed if the file is opened in a newer version of Excel. Learn more: https://go.microsoft.com/fwlink/?linkid=870924
Comment:
    Checked</t>
      </text>
    </comment>
    <comment ref="G123" authorId="1" shapeId="0" xr:uid="{F6D2C2A6-9008-4C5F-B659-3112699CF69B}">
      <text>
        <r>
          <rPr>
            <sz val="11"/>
            <color theme="1"/>
            <rFont val="Aptos Narrow"/>
            <family val="2"/>
            <scheme val="minor"/>
          </rPr>
          <t xml:space="preserve">Unknown User:
COMPLETE SERVICE OF TOILET CISTERN
Isolate main water supply to property
Disconnect cold-water supply to existing toilet cistern
Removal of existing cold-water supply to toilet cistern
Disconnect &amp; removal of existing emergency isolation valve
Gain access to toilet cistern
Disconnect existing toilet cistern inlet valve
Removal of existing toilet cistern inlet valve
Disconnect existing toilet cistern outlet valve
Removal of existing toilet cistern outlet valve
Disconnect &amp; removal of existing toilet cistern outlet valve drop
washer
Clean existing toilet cistern outlet valve housing
Flush out toilet cistern free from all debris
Supply &amp; install new outlet valve drop washer
Reinstall existing toilet cistern outlet valve
Supply &amp; install new toilet cistern inlet valve
Secure new inlet valve to existing toilet cistern
Supply &amp; install new emergency isolation valve
Supply &amp; install new cold-water stainless-steel flexi hose
Reinstate main water supply to toilet cistern
Adjust inlet valve &amp; outlet valve to ensure optimal flush
Test &amp; commission installation
Removal of trade waste
PLEASE NOTE IF FURTHER WORK REQUIRED OUTSIDE OF QUOTED
WORKS ADDITIONAL COSTS WILL APPLY
REMOVAL OF TOILET PAN AND RESEAL WITH NEW PAN COLLAR
Isolate main water supply to property
Removal of existing cold-water supply to toilet cistern
Disconnect &amp; removal of existing toilet cistern
Disconnect &amp; removal of existing toilet pan
Disconnect &amp; removal of existing toilet pan collar
Disconnect &amp; removal of existing bedding / sealant
Clean &amp; prepare worked area
Supply &amp; install new toilet pan collar
Reinstate existing toilet pan
Reinstate existing toilet cistern
Supply &amp; install new cold-water stainless-steel flexi hose
Connect new cold-water stainless-steel flexi hose to existing
cistern Seal &amp; secure toilet suite pan to floor
Reinstate water supply to property
Test &amp; commission installation
Removal of trade waste
PLEASE NOTE IF FURTHER WORK REQUIRED OUTSIDE OF QUOTED
WORKS ADDITIONAL COSTS WILL APPLY
</t>
        </r>
      </text>
    </comment>
    <comment ref="Q123" authorId="1" shapeId="0" xr:uid="{75DD77FF-8661-486B-9F01-629634384D68}">
      <text>
        <r>
          <rPr>
            <sz val="11"/>
            <color theme="1"/>
            <rFont val="Aptos Narrow"/>
            <family val="2"/>
            <scheme val="minor"/>
          </rPr>
          <t>Unknown User:
Final invoice combined and Raised</t>
        </r>
      </text>
    </comment>
    <comment ref="V123" authorId="1" shapeId="0" xr:uid="{D2140464-BE3F-4664-A57C-C33D205EA152}">
      <text>
        <r>
          <rPr>
            <sz val="11"/>
            <color theme="1"/>
            <rFont val="Aptos Narrow"/>
            <family val="2"/>
            <scheme val="minor"/>
          </rPr>
          <t xml:space="preserve">Unknown User:
Received $4060.10
85964535 - $1251.80
85965329 - $2808.30
</t>
        </r>
      </text>
    </comment>
    <comment ref="G124" authorId="1" shapeId="0" xr:uid="{2994FBD1-35F9-4EA4-BF53-823D4C9D620C}">
      <text>
        <r>
          <rPr>
            <sz val="11"/>
            <color theme="1"/>
            <rFont val="Aptos Narrow"/>
            <family val="2"/>
            <scheme val="minor"/>
          </rPr>
          <t xml:space="preserve">Unknown User:
SUPPLY &amp; INSTALLATION OF NEW SKEW TOILET SUITE
Isolate main water supply to property
Disconnect cold water supply to existing toilet cistern
Removal of existing cold-water supply to toilet cistern
Disconnect &amp; removal of existing emergency isolation valve
Disconnect &amp; removal of existing toilet cistern
Disconnect &amp; removal of existing toilet seat
Disconnect &amp; removal of existing toilet skew pan
Disconnect &amp; removal of existing toilet pan collar
Disconnect &amp; removal of existing bedding / sealant
Clean &amp; prepare worked area
Supply &amp; install new toilet pan collar
Supply &amp; install new skew toilet pan
Supply &amp; install new toilet cistern
Supply &amp; install new toilet seat
Secure new toilet seat to new toilet pan
Supply &amp; install new cold-water stainless-steel flexi hose
Connect new cold-water stainless-steel flexi hose to new toilet
cistern
Seal &amp; secure new toilet suite pan to floor
Reinstate water supply to property
Test &amp; commission installation
Removal of trade waste
PLEASE NOTE IF FURTHER WORK REQUIRED OUTSIDE OF QUOTED
WORKS ADDITIONAL COSTS WILL APPLY
</t>
        </r>
      </text>
    </comment>
    <comment ref="Q124" authorId="1" shapeId="0" xr:uid="{C183866A-F669-410B-BB25-7D0A2553E129}">
      <text>
        <r>
          <rPr>
            <sz val="11"/>
            <color theme="1"/>
            <rFont val="Aptos Narrow"/>
            <family val="2"/>
            <scheme val="minor"/>
          </rPr>
          <t>Unknown User:
Final invoice combined and Raised</t>
        </r>
      </text>
    </comment>
    <comment ref="V124" authorId="1" shapeId="0" xr:uid="{6FF2D11B-4C8B-4823-97F1-8524E29AF6BF}">
      <text>
        <r>
          <rPr>
            <sz val="11"/>
            <color theme="1"/>
            <rFont val="Aptos Narrow"/>
            <family val="2"/>
            <scheme val="minor"/>
          </rPr>
          <t xml:space="preserve">Unknown User:
Received $4060.10
85964535 - $1251.80
85965329 - $2808.30
</t>
        </r>
      </text>
    </comment>
    <comment ref="G125" authorId="1" shapeId="0" xr:uid="{A0D23FC4-F414-4AFD-B2D0-0DB79BB146AD}">
      <text>
        <r>
          <rPr>
            <sz val="11"/>
            <color theme="1"/>
            <rFont val="Aptos Narrow"/>
            <family val="2"/>
            <scheme val="minor"/>
          </rPr>
          <t>Unknown User:
SEARCH &amp; INVESTIGATION OF POTENTIAL GAS LEAK
Gain access to main gas meter
Isolate the main gas supply to the property
Disconnect the existing main meter test point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t>
        </r>
      </text>
    </comment>
    <comment ref="P125" authorId="1" shapeId="0" xr:uid="{D9CFB0AE-DD87-451F-96B2-046DD3A17225}">
      <text>
        <r>
          <rPr>
            <sz val="11"/>
            <color theme="1"/>
            <rFont val="Aptos Narrow"/>
            <family val="2"/>
            <scheme val="minor"/>
          </rPr>
          <t>Unknown User:
Quote not Emailed</t>
        </r>
      </text>
    </comment>
    <comment ref="S125" authorId="1" shapeId="0" xr:uid="{54AC6529-814B-400D-8A50-5F3BEEDCAB54}">
      <text>
        <r>
          <rPr>
            <sz val="11"/>
            <color theme="1"/>
            <rFont val="Aptos Narrow"/>
            <family val="2"/>
            <scheme val="minor"/>
          </rPr>
          <t xml:space="preserve">Unknown User:
Invoice not Emailed
</t>
        </r>
      </text>
    </comment>
    <comment ref="G126" authorId="1" shapeId="0" xr:uid="{7D60A54A-67A8-433E-9B15-1FD9D2CFA605}">
      <text>
        <r>
          <rPr>
            <sz val="11"/>
            <color theme="1"/>
            <rFont val="Aptos Narrow"/>
            <family val="2"/>
            <scheme val="minor"/>
          </rPr>
          <t>Unknown User:
HIGH POWERED JET BLAST &amp; CCTV DRAIN CAMERA INSPECTION (STORM WATER SERVICE)
Set up high powered Jet blaster
Set up High powered mini-Reel
Set up high powered Turbines
Set up specialist CCTV Camera
Set up Specialist locator
Gain access to storm water service
First attempt to clear blocked storm water service using high powered Jet blaster
Attempt to clear &amp; flush out storm water service using high powered Jet Blaster
Conduct specialist CCTV drain camera to inspect storm water service
Use of CCTV camera on storm water service to identify potential faults &amp; cause of blockage
If faults found use off specialist locator to pinpoint exact location of fault
PLEASE NOTE IF BLOCKAGE DOES NOT CLEAR FURTHER COST WILL APPLY. THIS IS A FIRST ATTEMPT.</t>
        </r>
      </text>
    </comment>
    <comment ref="L126" authorId="1" shapeId="0" xr:uid="{357361F1-84B1-4B1D-94B1-13B7210DF4D5}">
      <text>
        <r>
          <rPr>
            <sz val="11"/>
            <color theme="1"/>
            <rFont val="Aptos Narrow"/>
            <family val="2"/>
            <scheme val="minor"/>
          </rPr>
          <t>Unknown User:
After pics not uploaded</t>
        </r>
      </text>
    </comment>
    <comment ref="V126" authorId="1" shapeId="0" xr:uid="{69130922-3368-45A0-AEF4-14495714770C}">
      <text>
        <r>
          <rPr>
            <sz val="11"/>
            <color theme="1"/>
            <rFont val="Aptos Narrow"/>
            <family val="2"/>
            <scheme val="minor"/>
          </rPr>
          <t>Unknown User:
02/07 - $1607.10 EFT Received</t>
        </r>
      </text>
    </comment>
    <comment ref="G127" authorId="1" shapeId="0" xr:uid="{DD0252AB-8C15-4520-B0CE-D9134F4B76E9}">
      <text>
        <r>
          <rPr>
            <sz val="11"/>
            <color theme="1"/>
            <rFont val="Aptos Narrow"/>
            <family val="2"/>
            <scheme val="minor"/>
          </rPr>
          <t xml:space="preserve">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
</t>
        </r>
      </text>
    </comment>
    <comment ref="M127" authorId="1" shapeId="0" xr:uid="{0EC33620-3116-48DE-B397-18F6132EEF41}">
      <text>
        <r>
          <rPr>
            <sz val="11"/>
            <color theme="1"/>
            <rFont val="Aptos Narrow"/>
            <family val="2"/>
            <scheme val="minor"/>
          </rPr>
          <t>Unknown User:
Receipt of $1251.80 is not uploaded by plumber now uploaded by Modoras team</t>
        </r>
      </text>
    </comment>
    <comment ref="G128" authorId="1" shapeId="0" xr:uid="{2BAEA7C1-6182-4EFB-9BE1-530994D546E7}">
      <text>
        <r>
          <rPr>
            <sz val="11"/>
            <color theme="1"/>
            <rFont val="Aptos Narrow"/>
            <family val="2"/>
            <scheme val="minor"/>
          </rPr>
          <t>Unknown User:
WATER SERVICE RECTIFICATION (IN ROOF)
Isolate water supply to property
Set up safe working area
Mark out required location
Cut out section of ceiling in required location
Gain access to damaged water service in ceiling
Expose existing section of damaged water service in ceiling
Cut &amp; removal of existing damaged water service
Clean existing water service
Prepare existing water service for new connections
Flush out water service free of potential debris
Supply &amp; install new section of new water service up to 1M
Supply &amp; install new Press fittings
Connect new section of water service to existing water service
Use of specialist hydraulic crimping tool
Crimp new section of water service
Reinstate water supply
Conduct pressure test on water service to ensure no further
leaks
Removal of trade waste
Test &amp; commission installation
*Please note – No restoration of worked area included in
quote*</t>
        </r>
      </text>
    </comment>
    <comment ref="G129" authorId="1" shapeId="0" xr:uid="{9291AFF5-3E80-42BE-A03A-F2F32E826E9A}">
      <text>
        <r>
          <rPr>
            <sz val="11"/>
            <color theme="1"/>
            <rFont val="Aptos Narrow"/>
            <family val="2"/>
            <scheme val="minor"/>
          </rPr>
          <t xml:space="preserve">Unknown User:
REMOVAL OF TOILET PAN AND REMOVE FOREIGN
Isolate main water supply to property
Removal of existing cold-water supply to toilet cistern
Disconnect &amp; removal of existing toilet cistern
Disconnect &amp; removal of existing toilet pan
Disconnect &amp; removal of existing toilet pan collar
Disconnect &amp; removal of existing bedding / sealant
Clean &amp; prepare worked area
Removed foreign objects from s-bend
Reinstate existing toilet pan
Reinstate existing toilet cistern
Reinstate cold-water supply
Seal &amp; secure toilet suite pan to floor
Reinstate water supply to property
Test &amp; commission installation
Removal of trade waste
PLEASE NOTE IF FURTHER WORK REQUIRED OUTSIDE OF QUOTED
WORKS ADDITIONAL COSTS WILL APPLY
</t>
        </r>
      </text>
    </comment>
    <comment ref="V135" authorId="1" shapeId="0" xr:uid="{6A9462BF-64FC-4A21-9D40-D93999D07A87}">
      <text>
        <r>
          <rPr>
            <sz val="11"/>
            <color theme="1"/>
            <rFont val="Aptos Narrow"/>
            <family val="2"/>
            <scheme val="minor"/>
          </rPr>
          <t>Unknown User:
03/07 - Card payment collected $560.90</t>
        </r>
      </text>
    </comment>
    <comment ref="G139" authorId="1" shapeId="0" xr:uid="{8ACCFB4F-9613-4001-85A2-957B1C2BFC2E}">
      <text>
        <r>
          <rPr>
            <sz val="11"/>
            <color theme="1"/>
            <rFont val="Aptos Narrow"/>
            <family val="2"/>
            <scheme val="minor"/>
          </rPr>
          <t>Unknown User:
CCTV DRAIN CAMERA INSPECTION OF STORM WATER SERVICE
 Obtain service location diagram
 Obtain dial before dig
 Obtain storm water service diagram – If available
 Locate storm water service access points
 Removal of storm water access point
 Gain access to storm water service
 Set up CCTV drain camera
 Set up locator
 Conduct CCTV camera on storm water service
 Use of specialist locator
 Locate potential faults in storm water service
 Mark out potential faults in storm water service if found
 Provide additional quote for rectification work if faults found
 Reinstall storm water access points
 Test &amp; commission work completed
 PLEASE NOTE IF FURTHER WORK REQUIRED OTHER THEN QUOTED
 WORK FURTHER COST WILL APPLY</t>
        </r>
      </text>
    </comment>
    <comment ref="P139" authorId="1" shapeId="0" xr:uid="{9F9345C3-DA8D-42E1-A8AF-66AA2910DB75}">
      <text>
        <r>
          <rPr>
            <sz val="11"/>
            <color theme="1"/>
            <rFont val="Aptos Narrow"/>
            <family val="2"/>
            <scheme val="minor"/>
          </rPr>
          <t xml:space="preserve">Unknown User:
Quote not emailed
</t>
        </r>
      </text>
    </comment>
    <comment ref="S139" authorId="1" shapeId="0" xr:uid="{5F6C4F0B-C7B0-4E85-993F-64C6AB130FBA}">
      <text>
        <r>
          <rPr>
            <sz val="11"/>
            <color theme="1"/>
            <rFont val="Aptos Narrow"/>
            <family val="2"/>
            <scheme val="minor"/>
          </rPr>
          <t>Unknown User:
Invoice not emailed</t>
        </r>
      </text>
    </comment>
    <comment ref="G140" authorId="1" shapeId="0" xr:uid="{C053FFD0-BC04-415A-AF9D-98E683A9FD51}">
      <text>
        <r>
          <rPr>
            <sz val="11"/>
            <color theme="1"/>
            <rFont val="Aptos Narrow"/>
            <family val="2"/>
            <scheme val="minor"/>
          </rPr>
          <t xml:space="preserve">Unknown User:
SEARCH &amp; INVESTIGATION (GENERAL)
Set up safe worked area
Cut &amp; removal of gyprock
Gain access to cold water supply
Gain access to hot water supply
Conduct pressure test on cold water service
Conduct pressure test on hot water service
No rectification
No repairs
Provide additional quote for rectification work
Removal of any trade waste
Please note, if unable to find leak additional cost will apply for a
specialist leak detection
PLEASE NOTE IF FURTHER WORK REQUIRED OTHER THEN QUOTED
WORK FURTHER COST WILL APPLY
</t>
        </r>
      </text>
    </comment>
    <comment ref="P140" authorId="1" shapeId="0" xr:uid="{8E3B0E2C-083A-4871-9A48-C413A7E1A8D9}">
      <text>
        <r>
          <rPr>
            <sz val="11"/>
            <color theme="1"/>
            <rFont val="Aptos Narrow"/>
            <family val="2"/>
            <scheme val="minor"/>
          </rPr>
          <t>Unknown User:
Quote not Emailed</t>
        </r>
      </text>
    </comment>
    <comment ref="Q140" authorId="1" shapeId="0" xr:uid="{77244459-2BB5-4398-9A52-087BFA2C62C8}">
      <text>
        <r>
          <rPr>
            <sz val="11"/>
            <color theme="1"/>
            <rFont val="Aptos Narrow"/>
            <family val="2"/>
            <scheme val="minor"/>
          </rPr>
          <t>Unknown User:
Invoice not Raised</t>
        </r>
      </text>
    </comment>
    <comment ref="G141" authorId="1" shapeId="0" xr:uid="{EFC3CF21-0338-4CC4-97E3-60CE0B613A36}">
      <text>
        <r>
          <rPr>
            <sz val="11"/>
            <color theme="1"/>
            <rFont val="Aptos Narrow"/>
            <family val="2"/>
            <scheme val="minor"/>
          </rPr>
          <t xml:space="preserve">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
</t>
        </r>
      </text>
    </comment>
    <comment ref="L141" authorId="1" shapeId="0" xr:uid="{9B5AABFB-08DD-4A63-A00D-63992548BB4B}">
      <text>
        <r>
          <rPr>
            <sz val="11"/>
            <color theme="1"/>
            <rFont val="Aptos Narrow"/>
            <family val="2"/>
            <scheme val="minor"/>
          </rPr>
          <t>Unknown User:
CCTV pics not uploaded</t>
        </r>
      </text>
    </comment>
    <comment ref="P141" authorId="1" shapeId="0" xr:uid="{BD2A7512-891D-4B37-A1DD-2ACEF9BCE5D4}">
      <text>
        <r>
          <rPr>
            <sz val="11"/>
            <color theme="1"/>
            <rFont val="Aptos Narrow"/>
            <family val="2"/>
            <scheme val="minor"/>
          </rPr>
          <t>Unknown User:
Quote not Emailed</t>
        </r>
      </text>
    </comment>
    <comment ref="Q141" authorId="1" shapeId="0" xr:uid="{D3F68F8E-2AFE-4413-8142-9E2E15C6862D}">
      <text>
        <r>
          <rPr>
            <sz val="11"/>
            <color theme="1"/>
            <rFont val="Aptos Narrow"/>
            <family val="2"/>
            <scheme val="minor"/>
          </rPr>
          <t xml:space="preserve">Unknown User:
Invoice not Raised
</t>
        </r>
      </text>
    </comment>
    <comment ref="G145" authorId="1" shapeId="0" xr:uid="{8EBF5E9B-92AE-4FB0-8EA7-442F48EE2385}">
      <text>
        <r>
          <rPr>
            <sz val="11"/>
            <color theme="1"/>
            <rFont val="Aptos Narrow"/>
            <family val="2"/>
            <scheme val="minor"/>
          </rPr>
          <t>Unknown User:
DIG UP OF STORM WATER SPOT UP TO 3M (UNDER CONCRETE)
Obtain Service Location Diagram
Obtain Dial Before Dig
Obtain Storm Water Diagram – If Available
Set Up Safe Work Area
Set Up Builders Plastic
Set Up Barricades for Safety
Concrete Cut Ground Area – In Required Location
Jack Hammer Ground Area – In Required Location
Removal of Concrete – In Required Location
Dig &amp; Excavate Ground Area Up to 3M
Expose Existing Section of Storm Water Service Up to 3M
Expose Existing Storm Water Junctions (If Required)
Cut &amp; Remove Existing Section of Storm Water Service Up to 3M
Cut &amp; Remove Existing Storm Water Junctions (If Required)
Gain Access to Storm Water Service
Set Up High-Powered Jet Blaster
Set Up High-Powered Mini Reel
Set Up High-Powered Turbines
Re-Jetblast Storm Water Service
Re-Camera and Investigate Further
Supply &amp; Install New Section of Storm Water Service Up to 3M
Supply &amp; Install New Storm Water Junctions (If Required)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Backfill Excavated Area
Prepare Worked Area for Re-Concrete
Re-Concrete Worked Area – Standard Concrete Finish
Restoration of Work Area
Test &amp; Commission Installation
Remove Trade Waste
PLEASE NOTE IF FURTHER WORK REQUIRED OTHER THEN QUOTED WORK FURTHER COST WILL APPLY</t>
        </r>
      </text>
    </comment>
    <comment ref="P145" authorId="1" shapeId="0" xr:uid="{3E55FAC7-CDCE-48AD-91E7-A2ADC3FF6071}">
      <text>
        <r>
          <rPr>
            <sz val="11"/>
            <color theme="1"/>
            <rFont val="Aptos Narrow"/>
            <family val="2"/>
            <scheme val="minor"/>
          </rPr>
          <t xml:space="preserve">Unknown User:
Quote not emailed
</t>
        </r>
      </text>
    </comment>
    <comment ref="V145" authorId="1" shapeId="0" xr:uid="{CE396265-D8E8-4F9B-B34F-9F29C5C77EAA}">
      <text>
        <r>
          <rPr>
            <sz val="11"/>
            <color theme="1"/>
            <rFont val="Aptos Narrow"/>
            <family val="2"/>
            <scheme val="minor"/>
          </rPr>
          <t>Unknown User:
02/07 - $2000 EFT Received</t>
        </r>
      </text>
    </comment>
    <comment ref="G146" authorId="1" shapeId="0" xr:uid="{5C3F393F-F3CC-4B4C-8066-C3F09E8C5739}">
      <text>
        <r>
          <rPr>
            <sz val="11"/>
            <color theme="1"/>
            <rFont val="Aptos Narrow"/>
            <family val="2"/>
            <scheme val="minor"/>
          </rPr>
          <t xml:space="preserve">Unknown User:
REPLACEMENT OF SEWER BOUNDARY TRAP UP TO 2.5M
Obtain Dial Before Dig
Obtain Service Location Diagram
Set Up Safe Work Area
Set Up Builders Plastic
Set Up Barricades for Safety
Dig &amp; Excavate Ground Area Up to 2.5M
Expose Existing Section of Sewer Service Up to 2.5M
Expose Existing Sewer Shaft
Expose Existing Boundary Trap
Expose Existing 88 Square Junction
Expose Existing Sewer Junctions
Cut &amp; Remove Existing Section of Sewer Service Up to 2.5M
Cut &amp; Remove Existing Section of Sewer Shaft
Cut &amp; Remove Existing Sewer Boundary Trap
Cut &amp; Remove Existing 88 Square Junction
Cut &amp; Remove Existing Sewer Junctions
Gain Access to Sewer Service
Set Up High-Powered Jet Blaster
Set Up High-Powered Mini Reel
Set Up High-Powered Turbines
Re-Jetblast Sewer Service
Re-Camera &amp; Investigate Further
Supply &amp; Install New Section of Sewer Service Up to 2.5M
Supply &amp; Install New Sewer Shaft
Supply &amp; Install New Sewer Boundary Trap
Supply &amp; install New 88 Square Junction
Supply &amp; Install New Sewer Junctions
Supply &amp; Install New I/O Inspection Point
Supply &amp; Install New BTS and Raise to Ground Level
Supply &amp; Install New PVC Fittings
Connect New Sewer Boundary Shaft to Main Sewer Discharge Point
Connect New Section of main Sewer Service to Existing Sewer Service
Concrete Encase New Connections to Existing Sewer Service
Encase New Section of Sewer Service with Blue Metal
Backfill Excavated Area
Restoration of Work Area - (Excluded Re-Turfing)
Test and Commission Installation
Remove Trade Waste
PLEASE NOTE IF FURTHER WORK REQUIRED OTHER THEN QUOTED WORK FURTHER COST WILL APPLY
</t>
        </r>
      </text>
    </comment>
    <comment ref="N146" authorId="1" shapeId="0" xr:uid="{2BCDAFAB-BD27-4134-8F4B-0BDC2313AECA}">
      <text>
        <r>
          <rPr>
            <sz val="11"/>
            <color theme="1"/>
            <rFont val="Aptos Narrow"/>
            <family val="2"/>
            <scheme val="minor"/>
          </rPr>
          <t>Unknown User:
Quote raised in #71226</t>
        </r>
      </text>
    </comment>
    <comment ref="G156" authorId="1" shapeId="0" xr:uid="{CAAB2035-4886-4BE4-817B-81E971E9BA4E}">
      <text>
        <r>
          <rPr>
            <sz val="11"/>
            <color theme="1"/>
            <rFont val="Aptos Narrow"/>
            <family val="2"/>
            <scheme val="minor"/>
          </rPr>
          <t xml:space="preserve">Unknown User:
WATER SERVICE RECTIFICATION (IN CONCRETE)
Obtain service location diagram
Obtain dial before dig
Isolate water supply to property
Set up safe working area
Mark out ground area - In required location
Concrete cut ground area
Jack hammer ground area
Removal of concrete - In required location
Dig &amp; excavate ground area
Expose existing section of damaged water service
Cut &amp; removal of existing damaged water service
Clean existing water service
Prepare existing water service for new connections
Flush out water service free of potential debris
Supply &amp; install new section of new water service up to 1M
Supply &amp; install new Press fittings
Connect new section of water service to existing water service
Use of specialist hydraulic crimping tool
Crimp new section of water service
Reinstate water supply
Conduct pressure test on water service to ensure no further leaks
Back fill worked area
Re-concrete worked area – Standard concrete only
Removal of trade waste
Test &amp; commission installation
</t>
        </r>
      </text>
    </comment>
    <comment ref="G158" authorId="1" shapeId="0" xr:uid="{EEA74549-15FF-4911-AF13-B43683CF7E90}">
      <text>
        <r>
          <rPr>
            <sz val="11"/>
            <color theme="1"/>
            <rFont val="Aptos Narrow"/>
            <family val="2"/>
            <scheme val="minor"/>
          </rPr>
          <t>Unknown User:
COMPLETE SERVICE OF WALL TOP TAPS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in wall using specialist tungsten re-seating tool
Flush out breach in wall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in wall
Reinstall hot &amp; cold-water tapware
Reinstall hot &amp; cold-water locking nuts
Reinstate cold water supply to property
Reinstate hot water supply to property
Test &amp; commission installation
Removal of trade waste
PLEASE NOTE IF FURTHER WORK REQUIRED OUTSIDE OF QUOTED WORKS ADDITIONAL COSTS WILL APPLY. IF BREECH IS FOUND TO BE DAMAGED FUTHER COSTS WILL APPLY.</t>
        </r>
      </text>
    </comment>
    <comment ref="G159" authorId="1" shapeId="0" xr:uid="{FDBEFF6D-0C2F-4DC6-BC0B-91A5E47B3B53}">
      <text>
        <r>
          <rPr>
            <sz val="11"/>
            <color theme="1"/>
            <rFont val="Aptos Narrow"/>
            <family val="2"/>
            <scheme val="minor"/>
          </rPr>
          <t>Unknown User:
SUPPLY &amp; INSTALLATION OF GAS STORAGE HOT WATER SYSTEM (EXTERNAL)
Isolate main water supply to property
Isolate main gas supply to property
Disconnect main gas supply to existing hot water system
Disconnect main cold-water supply to existing gas hot water system
Disconnect main hot water supply to existing gas hot water system
Disconnect existing plumbing connecting to existing gas hot water system
Drain existing gas hot water system
Removal of existing gas hot water system
Removal of existing brass fittings
Disconnect &amp; removal existing section of gas service connecting to existing internal hot water system
Disconnect &amp; removal of existing section of cold-water supply connecting to existing gas hot water system
Disconnect &amp; removal of existing section of hot supply connecting to existing section of gas hot water system
Clean &amp; prepare worked area
Supply &amp; install new external gas storage hot water system
Supply &amp; install new gas emergency isolation valve
Supply &amp; install new duo valve
Supply &amp; install new pressure limiting valve
Supply &amp; install tempering valve
Supply &amp; install new pressure relief valve
Supply &amp; install new B-press fittings
Supply &amp; install new Brass fittings
Supply &amp; install new section of copper gas service &amp; connect to new gas storage hot water system
Supply &amp; install new section of cold-water service &amp; connect to new gas storage hot water system
Supply &amp; install new section of hot water copper service &amp; connect to new gas storage hot water system
Supply &amp; install new pressure relief valve drain service in copper in accordance with AS3500
Reinstate main water supply to property
Reinstate main gas supply to property
Test &amp; commission installation
Removal of trade waste
PLEASE NOTE IF FURTHER WORK REQUIRED OUTSIDE OF QUOTED WORKS ADDITIONAL COSTS WILL APPLY</t>
        </r>
      </text>
    </comment>
    <comment ref="G160" authorId="1" shapeId="0" xr:uid="{2CEAACEC-F256-4CAB-B37A-3083F8208FB6}">
      <text>
        <r>
          <rPr>
            <sz val="11"/>
            <color theme="1"/>
            <rFont val="Aptos Narrow"/>
            <family val="2"/>
            <scheme val="minor"/>
          </rPr>
          <t>Unknown User:
SUPPLY &amp; INSTALLATION OF NEW TWIN ELEMENT HOT WATER UNIT (EXTERNAL)
Isolate main water supply to property
Isolate main electrical supply to property
Disconnect cold water supply to existing hot water unit
Disconnect power supply to existing hot water unit
Drain existing hot water unit
Disconnect &amp; removal of existing valves
Disconnect &amp; removal of existing brass fittings
Disconnect &amp; removal of existing section of cold-water service connecting to hot water unit
Disconnect &amp; removal of existing section of hot water service connecting to hot water unit
Clean &amp; prepare worked area
Supply &amp; install new duo valve
Supply &amp; install new pressure limiting valve
Supply &amp; install new tempering valve
Supply &amp; install new pressure relief valve
Supply &amp; install new twin element hot water
Supply &amp; install new section of copper cold water service connecting to new hot water unit
Supply &amp; install new section of copper hot water service connecting to new hot water unit
Supply &amp; install new pressure relief drain service in copper &amp; ensure compliance with AS3500
Supply &amp; install new B-press fittings
Supply &amp; install new brass fittings
Reconnect cold water service to new hot water unit
Reconnect hot water service to new hot water unit
Reconnect electrical supply to new hot water unit
Reinstate water supply to new hot water unit
Test &amp; commission installation
Removal of trade waste
PLEASE NOTE IF FURTHER WORK REQUIRED OTHER THEN QUOTED WORK FURTHER COST WILL APPLY</t>
        </r>
      </text>
    </comment>
    <comment ref="G161" authorId="1" shapeId="0" xr:uid="{8668EA25-08B2-40B6-B777-F5093C72F30A}">
      <text>
        <r>
          <rPr>
            <sz val="11"/>
            <color theme="1"/>
            <rFont val="Aptos Narrow"/>
            <family val="2"/>
            <scheme val="minor"/>
          </rPr>
          <t>Unknown User:
INSTALLATION OF CUSTOMER SUPPLIED FRIDGE TO EXISTING WATER SUPPLY
Prepare customer supplied fridge for new installation
Gain access to cold water isolation valve
Connect water supply to fridge
Connect power supply to fridge
Install new customer supplied fridge
Test &amp; commission installation
Removal of trade waste
PLEASE NOTE IF FURTHER WORK REQUIRED OTHER THEN QUOTED WORK FURTHER COST WILL APPLY</t>
        </r>
      </text>
    </comment>
    <comment ref="G162" authorId="1" shapeId="0" xr:uid="{08E8FF91-F230-4990-BD93-37669FCB2FB4}">
      <text>
        <r>
          <rPr>
            <sz val="11"/>
            <color theme="1"/>
            <rFont val="Aptos Narrow"/>
            <family val="2"/>
            <scheme val="minor"/>
          </rPr>
          <t>Unknown User:
DIG UP OF STORM WATER SPOT UP TO 5M
Obtain Service Location Diagram
Obtain Dial Before Dig
Obtain Storm Water Diagram – If Available
Set Up Safe Work Area
Set Up Builders Plastic
Set Up Barricades for Safety
Dig &amp; Excavate Ground Area Up to 5M
Expose Existing Section of Storm Water Service Up to 5M
Expose Existing Storm Water Junctions (If Required)
Cut &amp; Remove Existing Section of Storm Water Service Up to 5M
Cut &amp; Remove Existing Storm Water Junctions (If Required)
Gain Access to Storm Water Service
Set Up High-Powered Jet Blaster
Set Up High-Powered Mini Reel
Set Up High-Powered Turbines
Re-Jetblast Storm Water Service
Re-Camera and Investigate Further
Supply &amp; Install New Section of Storm Water Service Up to 5M
Supply &amp; Install New Storm Water Junctions (If Required)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Backfill Excavated Area
Test &amp; Commission Installation
Remove Trade Waste
Restore Work Area (Excludes Returfing)
PLEASE NOTE IF FURTHER WORK REQUIRED OTHER THEN QUOTED WORK FURTHER COST WILL APPLY</t>
        </r>
      </text>
    </comment>
    <comment ref="G163" authorId="1" shapeId="0" xr:uid="{E5D75949-BDCE-4467-A8E0-8017D11F99C6}">
      <text>
        <r>
          <rPr>
            <sz val="11"/>
            <color theme="1"/>
            <rFont val="Aptos Narrow"/>
            <family val="2"/>
            <scheme val="minor"/>
          </rPr>
          <t xml:space="preserve">Unknown User:
COMPLETE SERVICE OF WALL TOP TAPS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in wall using specialist tungsten re-seating tool
Flush out breach in wall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in wall
Reinstall hot &amp; cold-water tapware
Reinstall hot &amp; cold-water locking nuts
Reinstate cold water supply to property
Reinstate hot water supply to property
Test &amp; commission installation
Removal of trade waste
PLEASE NOTE IF FURTHER WORK REQUIRED OUTSIDE OF QUOTED WORKS ADDITIONAL COSTS WILL APPLY. IF BREECH IS FOUND TO BE DAMAGED FUTHER COSTS WILL APPLY.
COMPLETE SERVICE OF WALL TOP TAPS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in wall using specialist tungsten re-seating tool
Flush out breach in wall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in wall
Reinstall hot &amp; cold-water tapware
Reinstall hot &amp; cold-water locking nuts
Reinstate cold water supply to property
Reinstate hot water supply to property
Test &amp; commission installation
Removal of trade waste
PLEASE NOTE IF FURTHER WORK REQUIRED OUTSIDE OF QUOTED WORKS ADDITIONAL COSTS WILL APPLY. IF BREECH IS FOUND TO BE DAMAGED FUTHER COSTS WILL APPLY.
REPLACEMENT OF WALL TOP TAPWARE
Isolate main water supply to property
Disconnect &amp; removal of existing cold water wall top tapware
Disconnect &amp; removal of existing hot water wall top tapware
Disconnect &amp; removal of existing jumper valves
Disconnect &amp; removal of existing fiber washers
Machine breech
Flush out breech free from debris
Supply &amp; install new jumper valves
Supply &amp; install new fiber washers
Supply &amp; install new cold water wall top tapware
Supply &amp; install new hot water wall top tapware
Reinstate main water supply to property
Test &amp; commission installation
Removal of trade waste
PLEASE NOTE IF FURTHER WORK REQUIRED OTHER THEN QUOTED WORK FURTHER COST WILL APPLY
</t>
        </r>
      </text>
    </comment>
    <comment ref="G164" authorId="1" shapeId="0" xr:uid="{0E92CD1B-8005-40CF-BC38-1772E47D842C}">
      <text>
        <r>
          <rPr>
            <sz val="11"/>
            <color theme="1"/>
            <rFont val="Aptos Narrow"/>
            <family val="2"/>
            <scheme val="minor"/>
          </rPr>
          <t>Unknown User:
COMPLETE SERVICE OF WALL TOP TAPS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in wall using specialist tungsten re-seating tool
Flush out breach in wall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in wall
Reinstall hot &amp; cold-water tapware
Reinstall hot &amp; cold-water locking nuts
Reinstate cold water supply to property
Reinstate hot water supply to property
Test &amp; commission installation
Removal of trade waste
PLEASE NOTE IF FURTHER WORK REQUIRED OUTSIDE OF QUOTED WORKS ADDITIONAL COSTS WILL APPLY. IF BREECH IS FOUND TO BE DAMAGED FUTHER COSTS WILL APPLY.</t>
        </r>
      </text>
    </comment>
    <comment ref="G165" authorId="1" shapeId="0" xr:uid="{2E07B9F4-529B-4D69-9F4E-327839E42617}">
      <text>
        <r>
          <rPr>
            <sz val="11"/>
            <color theme="1"/>
            <rFont val="Aptos Narrow"/>
            <family val="2"/>
            <scheme val="minor"/>
          </rPr>
          <t>Unknown User:
COMPLETE SERVICE OF TOILET CISTERN
Isolate main water supply to property
Disconnect cold-water supply to existing toilet cistern
Removal of existing cold-water supply to toilet cistern
Disconnect &amp; removal of existing emergency isolation valve
Gain access to toilet cistern
Disconnect existing toilet cistern inlet valve
Removal of existing toilet cistern inlet valve
Disconnect existing toilet cistern outlet valve
Removal of existing toilet cistern outlet valve
Disconnect &amp; removal of existing toilet cistern outlet valve drop washer
Clean existing toilet cistern outlet valve housing
Flush out toilet cistern free from all debris
Supply &amp; install new outlet valve drop washer
Reinstall existing toilet cistern outlet valve
Supply &amp; install new toilet cistern inlet valve
Secure new inlet valve to existing toilet cistern
Supply &amp; install new emergency isolation valve
Supply &amp; install new cold-water stainless-steel flexi hose
Reinstate main water supply to toilet cistern
Adjust inlet valve &amp; outlet valve to ensure optimal flush
Test &amp; commission installation
Removal of trade waste
PLEASE NOTE IF FURTHER WORK REQUIRED OUTSIDE OF QUOTED WORKS ADDITIONAL COSTS WILL APPLY</t>
        </r>
      </text>
    </comment>
    <comment ref="G166" authorId="1" shapeId="0" xr:uid="{5BDF8CCC-5D32-4AAD-86C6-1DE1AF242B8B}">
      <text>
        <r>
          <rPr>
            <sz val="11"/>
            <color theme="1"/>
            <rFont val="Aptos Narrow"/>
            <family val="2"/>
            <scheme val="minor"/>
          </rPr>
          <t>Unknown User:
CONVERT SOLAR SPLIT HOT WATER SYSTEM TO EXTERNAL GAS INSTANTANEOUS HOT WATER SYSTEM
Isolate main power supply to property
Isolate main water supply to property
Isolate main gas supply to property
Gain safe access to existing solar hot water system
Disconnect power supply to solar hot water system
Disconnect water supply to solar hot water system
Disconnect plumbing to solar panels
Disconnect &amp; removal of existing valves connecting to solar hot water system
Disconnect &amp; removal of existing brass fittings connecting to solar hot water system
Disconnect &amp; removal of existing cold-water supply connecting to solar hot water system
Disconnect &amp; removal of existing hot water return supply connecting to solar hot water system
Disconnect &amp; removal of existing plumbing connecting to solar panels
Decommission existing roof mounted solar panels
Drain tank
Removal of tank
Mark out new desired location for new gas instantaneous hot water system
Gain access to cold water supply
Gain access to hot water return supply
Gain access to existing gas supply
Redirect cold water supply in copper for new gas instantaneous hot water system
Redirect hot water supply in copper for new gas instantaneous hot water system
Redirect gas supply in copper for new gas instantaneous hot water system
Supply &amp; install new gas instantaneous hot water system in new desired location
Secure new gas instantaneous hot water system in new desired location
Supply &amp; install new gas emergency isolation valve
Supply &amp; install new cold water emergency isolation valve
Supply &amp; install new gas instantaneous hot water system valve kit
Supply &amp; install new brass fittings
Supply &amp; install new B-press fittings
Connect new cold-water service to new gas instantaneous hot water system
Connect new hot water service to new gas instantaneous hot water system
Connect new gas service to new gas instantaneous hot water system
Connect power supply to new gas instantaneous hot water system
Reinstate main water supply to property
Reinstate main power supply to property
Reinstate gas supply to property
Test &amp; commission installation
Removal of trade waste
**Please note solar panels will be left on roof to save cost**
IF FURTHER WORK REQUIRED OUTSIDE OF QUOTED WORKS ADDITIONAL COSTS WILL APPLY</t>
        </r>
      </text>
    </comment>
    <comment ref="G167" authorId="1" shapeId="0" xr:uid="{D3E39CF3-8DA5-40F8-8B6A-67B19CA71DEC}">
      <text>
        <r>
          <rPr>
            <sz val="11"/>
            <color theme="1"/>
            <rFont val="Aptos Narrow"/>
            <family val="2"/>
            <scheme val="minor"/>
          </rPr>
          <t>Unknown User:
COMPLETE SERVICE OF WALL TOP TAPS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in wall using specialist tungsten re-seating tool
Flush out breach in wall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in wall
Reinstall hot &amp; cold-water tapware
Reinstall hot &amp; cold-water locking nuts
Reinstate cold water supply to property
Reinstate hot water supply to property
Test &amp; commission installation
Removal of trade waste
PLEASE NOTE IF FURTHER WORK REQUIRED OUTSIDE OF QUOTED WORKS ADDITIONAL COSTS WILL APPLY. IF BREECH IS FOUND TO BE DAMAGED FUTHER COSTS WILL APPLY.</t>
        </r>
      </text>
    </comment>
    <comment ref="G168" authorId="1" shapeId="0" xr:uid="{DEBA6BBF-1A94-483C-B671-3B8B7EEA309F}">
      <text>
        <r>
          <rPr>
            <sz val="11"/>
            <color theme="1"/>
            <rFont val="Aptos Narrow"/>
            <family val="2"/>
            <scheme val="minor"/>
          </rPr>
          <t>Unknown User:
SUPPLY &amp; INSTALLATION OF FLUSH PIPE CONE OR 50MM KEESEAL
Isolate water supply to cistern
Drain cistern
Disconnect &amp; remove flush pipe lock nut from cistern
Disconnect &amp; remove cistern flush pipe
Disconnect &amp; remove existing flush cone
Clean &amp; prepare worked area
Supply &amp; install new flush cone to flush pipe
Reinstate existing flush pipe
Reinstate existing flush pipe lock nut to cistern
Reinstate water supply to cistern
Test &amp; commission installation
Removal of trade waste from site
PLEASE NOTE IF FURTHER WORK REQUIRED OUTSIDE OF QUOTED WORKS ADDITIONAL COSTS WILL APPLY</t>
        </r>
      </text>
    </comment>
    <comment ref="G169" authorId="1" shapeId="0" xr:uid="{34B2B404-1A24-42AD-B4E6-E822E7D86239}">
      <text>
        <r>
          <rPr>
            <sz val="11"/>
            <color theme="1"/>
            <rFont val="Aptos Narrow"/>
            <family val="2"/>
            <scheme val="minor"/>
          </rPr>
          <t>Unknown User:
SEWER SPOT DIG UP TO 1.5M (UNDER CONCRETE)
Obtain sewer diagram
Obtain dial Before dig
Obtain service location diagram
Set up safe work area
Set up builders plastic
Set up barricades for safety
Concrete cut ground area
Jack hammer ground area
Removal of concrete in required location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t>
        </r>
      </text>
    </comment>
    <comment ref="G202" authorId="1" shapeId="0" xr:uid="{588461CA-A7EB-4CA3-A6BB-FD131FCA3DE6}">
      <text>
        <r>
          <rPr>
            <sz val="11"/>
            <color theme="1"/>
            <rFont val="Aptos Narrow"/>
            <family val="2"/>
            <scheme val="minor"/>
          </rPr>
          <t>Unknown User:
COMPLETE SERVICE OF WALL TOP TAPS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in wall using specialist tungsten re-seating tool
Flush out breach in wall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in wall
Reinstall hot &amp; cold-water tapware
Reinstall hot &amp; cold-water locking nuts
Reinstate cold water supply to property
Reinstate hot water supply to property
Test &amp; commission installation
Removal of trade waste
PLEASE NOTE IF FURTHER WORK REQUIRED OUTSIDE OF QUOTED WORKS
ADDITIONAL COSTS WILL APPLY. IF BREECH IS FOUND TO BE DAMAGED FUTHER
COSTS WILL APPLY</t>
        </r>
      </text>
    </comment>
    <comment ref="G203" authorId="1" shapeId="0" xr:uid="{ACD2B9F7-AA3D-47B0-83C1-18E1DEE83B4D}">
      <text>
        <r>
          <rPr>
            <sz val="11"/>
            <color theme="1"/>
            <rFont val="Aptos Narrow"/>
            <family val="2"/>
            <scheme val="minor"/>
          </rPr>
          <t>Unknown User:
WATER SERVICE RECTIFICATION (IN GROUND)
Obtain service location diagram
Obtain dial before dig
Isolate water supply to property
Set up safe working area
Mark out ground area in required location
Dig &amp; excavate ground area
Expose existing section of damaged water service
Cut &amp; removal of existing damaged water service
Clean existing water service
Prepare existing water service for new connections
Flush out water service free of potential debris
Supply &amp; install new section of new water service up to 1M
Supply &amp; install new Press fittings
Connect new section of water service to existing water service
Use of specialist hydraulic crimping tool
Crimp new section of water service
Reinstate water supply
Conduct pressure test on water service to ensure no further leaks
Back fill worked area
Removal of trade waste
Test &amp; commission installation
PLEASE NOTE IF FURTHER WORK REQUIRED OTHER THEN QUOTED WORK
FURTHER COST WILL APPLY</t>
        </r>
      </text>
    </comment>
    <comment ref="G204" authorId="1" shapeId="0" xr:uid="{19E5A99A-B397-4571-850E-19AAA1E545DC}">
      <text>
        <r>
          <rPr>
            <sz val="11"/>
            <color theme="1"/>
            <rFont val="Aptos Narrow"/>
            <family val="2"/>
            <scheme val="minor"/>
          </rPr>
          <t xml:space="preserve">Unknown User:
COMPLETE SERVICE OF WALL TOP TAPS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in wall using specialist tungsten re-seating tool
Flush out breach in wall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in wall
Reinstall hot &amp; cold-water tapware
Reinstall hot &amp; cold-water locking nuts
Reinstate cold water supply to property
Reinstate hot water supply to property
Test &amp; commission installation
Removal of trade waste
PLEASE NOTE IF FURTHER WORK REQUIRED OUTSIDE OF QUOTED WORKS
ADDITIONAL COSTS WILL APPLY. IF BREECH IS FOUND TO BE DAMAGED FUTHER
COSTS WILL APPLY.
</t>
        </r>
      </text>
    </comment>
    <comment ref="G205" authorId="1" shapeId="0" xr:uid="{AEDB34E6-FA8D-41D1-BE9B-717722ED127B}">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212" authorId="1" shapeId="0" xr:uid="{A2AE42A7-E3F2-4BA9-9CAD-4D7916591B95}">
      <text>
        <r>
          <rPr>
            <sz val="11"/>
            <color theme="1"/>
            <rFont val="Aptos Narrow"/>
            <family val="2"/>
            <scheme val="minor"/>
          </rPr>
          <t>Unknown User:
CCTV DRAIN CAMERA INSPECTION OF STORM WATER SERVICE
 Obtain service location diagram
 Obtain dial before dig
 Obtain storm water service diagram – If available
 Locate storm water service access points
 Removal of storm water access point
 Gain access to storm water service
 Set up CCTV drain camera
 Set up locator
 Conduct CCTV camera on storm water service
 Use of specialist locator
 Locate potential faults in storm water service
 Mark out potential faults in storm water service if found
 Provide additional quote for rectification work if faults found
 Reinstall storm water access points
 Test &amp; commission work completed
 PLEASE NOTE IF FURTHER WORK REQUIRED OTHER THEN QUOTED
 WORK FURTHER COST WILL APPLY</t>
        </r>
      </text>
    </comment>
    <comment ref="P212" authorId="1" shapeId="0" xr:uid="{C3365BF2-7BF8-4394-879B-CD9AB42684C2}">
      <text>
        <r>
          <rPr>
            <sz val="11"/>
            <color theme="1"/>
            <rFont val="Aptos Narrow"/>
            <family val="2"/>
            <scheme val="minor"/>
          </rPr>
          <t xml:space="preserve">Unknown User:
Quote not emailed
</t>
        </r>
      </text>
    </comment>
    <comment ref="G213" authorId="1" shapeId="0" xr:uid="{EA06E09B-AFA6-400A-9A46-70D0DB0AA1A2}">
      <text>
        <r>
          <rPr>
            <sz val="11"/>
            <color theme="1"/>
            <rFont val="Aptos Narrow"/>
            <family val="2"/>
            <scheme val="minor"/>
          </rPr>
          <t>Unknown User:
DIG UP OF STORM WATER SPOT UP TO 3M (UNDER CONCRETE)
Obtain Service Location Diagram
Obtain Dial Before Dig
Obtain Storm Water Diagram – If Available
Set Up Safe Work Area
Set Up Builders Plastic
Set Up Barricades for Safety
Concrete Cut Ground Area – In Required Location
Jack Hammer Ground Area – In Required Location
Removal of Concrete – In Required Location
Dig &amp; Excavate Ground Area Up to 3M
Expose Existing Section of Storm Water Service Up to 3M
Expose Existing Storm Water Junctions (If Required)
Cut &amp; Remove Existing Section of Storm Water Service Up to 3M
Cut &amp; Remove Existing Storm Water Junctions (If Required)
Gain Access to Storm Water Service
Set Up High-Powered Jet Blaster
Set Up High-Powered Mini Reel
Set Up High-Powered Turbines
Re-Jetblast Storm Water Service
Re-Camera and Investigate Further
Supply &amp; Install New Section of Storm Water Service Up to 3M
Supply &amp; Install New Storm Water Junctions (If Required)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Backfill Excavated Area
Prepare Worked Area for Re-Concrete
Re-Concrete Worked Area – Standard Concrete Finish
Restoration of Work Area
Test &amp; Commission Installation
Remove Trade Waste
PLEASE NOTE IF FURTHER WORK REQUIRED OTHER THEN QUOTED WORK FURTHER COST WILL APPLY</t>
        </r>
      </text>
    </comment>
    <comment ref="P213" authorId="1" shapeId="0" xr:uid="{31403161-69CA-415C-8940-ABA71F3BF797}">
      <text>
        <r>
          <rPr>
            <sz val="11"/>
            <color theme="1"/>
            <rFont val="Aptos Narrow"/>
            <family val="2"/>
            <scheme val="minor"/>
          </rPr>
          <t xml:space="preserve">Unknown User:
Quote not emailed
</t>
        </r>
      </text>
    </comment>
    <comment ref="V213" authorId="1" shapeId="0" xr:uid="{3880826A-B34C-4B84-9803-8F6FF3AD101C}">
      <text>
        <r>
          <rPr>
            <sz val="11"/>
            <color theme="1"/>
            <rFont val="Aptos Narrow"/>
            <family val="2"/>
            <scheme val="minor"/>
          </rPr>
          <t>Unknown User:
02/07 - $2000 EFT Received
08/07 - Received EFT $8000</t>
        </r>
      </text>
    </comment>
    <comment ref="G214" authorId="1" shapeId="0" xr:uid="{B8525A6D-1D89-41DF-8D41-F8358EC983CD}">
      <text>
        <r>
          <rPr>
            <sz val="11"/>
            <color theme="1"/>
            <rFont val="Aptos Narrow"/>
            <family val="2"/>
            <scheme val="minor"/>
          </rPr>
          <t xml:space="preserve">Unknown User:
REPLACEMENT OF SEWER BOUNDARY TRAP UP TO 2.5M
Obtain Dial Before Dig
Obtain Service Location Diagram
Set Up Safe Work Area
Set Up Builders Plastic
Set Up Barricades for Safety
Dig &amp; Excavate Ground Area Up to 2.5M
Expose Existing Section of Sewer Service Up to 2.5M
Expose Existing Sewer Shaft
Expose Existing Boundary Trap
Expose Existing 88 Square Junction
Expose Existing Sewer Junctions
Cut &amp; Remove Existing Section of Sewer Service Up to 2.5M
Cut &amp; Remove Existing Section of Sewer Shaft
Cut &amp; Remove Existing Sewer Boundary Trap
Cut &amp; Remove Existing 88 Square Junction
Cut &amp; Remove Existing Sewer Junctions
Gain Access to Sewer Service
Set Up High-Powered Jet Blaster
Set Up High-Powered Mini Reel
Set Up High-Powered Turbines
Re-Jetblast Sewer Service
Re-Camera &amp; Investigate Further
Supply &amp; Install New Section of Sewer Service Up to 2.5M
Supply &amp; Install New Sewer Shaft
Supply &amp; Install New Sewer Boundary Trap
Supply &amp; install New 88 Square Junction
Supply &amp; Install New Sewer Junctions
Supply &amp; Install New I/O Inspection Point
Supply &amp; Install New BTS and Raise to Ground Level
Supply &amp; Install New PVC Fittings
Connect New Sewer Boundary Shaft to Main Sewer Discharge Point
Connect New Section of main Sewer Service to Existing Sewer Service
Concrete Encase New Connections to Existing Sewer Service
Encase New Section of Sewer Service with Blue Metal
Backfill Excavated Area
Restoration of Work Area - (Excluded Re-Turfing)
Test and Commission Installation
Remove Trade Waste
PLEASE NOTE IF FURTHER WORK REQUIRED OTHER THEN QUOTED WORK FURTHER COST WILL APPLY
</t>
        </r>
      </text>
    </comment>
    <comment ref="N214" authorId="1" shapeId="0" xr:uid="{A39D8DF0-879D-41A0-8D55-E8714CBFBD8C}">
      <text>
        <r>
          <rPr>
            <sz val="11"/>
            <color theme="1"/>
            <rFont val="Aptos Narrow"/>
            <family val="2"/>
            <scheme val="minor"/>
          </rPr>
          <t>Unknown User:
Quote raised in #71226</t>
        </r>
      </text>
    </comment>
    <comment ref="G224" authorId="1" shapeId="0" xr:uid="{C4C94A90-49B8-44C2-907D-B3F00AA6CEA4}">
      <text>
        <r>
          <rPr>
            <sz val="11"/>
            <color theme="1"/>
            <rFont val="Aptos Narrow"/>
            <family val="2"/>
            <scheme val="minor"/>
          </rPr>
          <t>Unknown User:
SEARCH &amp; INVESTIGATION OF GAS STORAGE HOT WATER SYSTEM
Gain access to gas hot water system
Gain access to main gas isolation valve to property
Test gas supply with specialist manometer device
Visually inspect gas supply and fittings to hot water system
Use soapy spray on fittings and pipework
Check gas supply pressure to hot water system and control unit
Check integrity of gas isolation valve at hot water system
Check power supply to hot water system using testing pen
Check electrical box (IF REQUIRED)
Check circuit switch (IF REQUIRED)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will apply.</t>
        </r>
      </text>
    </comment>
    <comment ref="G225" authorId="1" shapeId="0" xr:uid="{97A59292-C378-4AC0-8731-9E7104C2EFA8}">
      <text>
        <r>
          <rPr>
            <sz val="11"/>
            <color theme="1"/>
            <rFont val="Aptos Narrow"/>
            <family val="2"/>
            <scheme val="minor"/>
          </rPr>
          <t>Unknown User:
FLOOD, DYE, PRESSURE TEST (WET AREA)
Isolate main water supply to property
Removal of existing wall mounted spout
Gain access to cold water supply
Gain access to hot water supply
Set up specialist pressure testing equipment
Conduct pressure test on cold water service
Conduct pressure test on hot water service
Connect specialist pressure gauge to wet area outlet
Conduct pressure test on internal breach / body
Conduct flood test on walls
Conduct flood test on floors
Conduct specialist dye test on wet area
Test water proofing integrity
Removal of floor grate
Visually inspect drainage for potential faults or defects
Conduct dye test on drainage
Test drainage for potential faults or leaks
Conduct search &amp; investigation on wet area
Locate &amp; identify potential faults
Provide additional quote for rectification work
*Please note if a specialist leak detection is required further cost will apply*
PLEASE NOTE IF FURTHER WORK REQUIRED OTHER THEN QUOTED WORK FURTHER COST WILL APPLY</t>
        </r>
      </text>
    </comment>
    <comment ref="G226" authorId="1" shapeId="0" xr:uid="{E6E5EACF-63F5-4C0E-928C-E92D5DDBB0A5}">
      <text>
        <r>
          <rPr>
            <sz val="11"/>
            <color theme="1"/>
            <rFont val="Aptos Narrow"/>
            <family val="2"/>
            <scheme val="minor"/>
          </rPr>
          <t>Unknown User:
REPLACEMENT OF TAP TOPS – CERAMIC DISC
Isolate main water supply to property
Disconnect &amp; removal of cold-water tapware
Disconnect &amp; removal of hot water tapware
Disconnect &amp; removal of existing jumper valves
Disconnect &amp; removal of existing fibre washers
Machine breech
Flush out breech free from debris
Supply &amp; install new fibre washers
Supply &amp; install new cold water ceramic disc
Supply &amp; install new hot water ceramic disk
Supply &amp; install new cold-water tapware
Supply &amp; install new hot water tapware
Reinstate main water supply to property
Test &amp; commission installation
Removal of trade waste
PLEASE NOTE IF FURTHER WORK REQUIRED OTHER THEN QUOTED WORK FURTHER COST WILL APPLY</t>
        </r>
      </text>
    </comment>
    <comment ref="G227" authorId="1" shapeId="0" xr:uid="{D21C4169-6184-410E-95A4-27F048DC6083}">
      <text>
        <r>
          <rPr>
            <sz val="11"/>
            <color theme="1"/>
            <rFont val="Aptos Narrow"/>
            <family val="2"/>
            <scheme val="minor"/>
          </rPr>
          <t xml:space="preserve">Unknown User:
REPLACEMENT OF HOB SINK TAPS AND SPOUT WITH CERAMIC DISC TAP SET
Isolate main water supply to property
Disconnect cold water supply
Disconnect hot water supply
Disconnect &amp; removal of existing cold-water tapware
Disconnect &amp; removal of existing hot water tapware
Disconnect &amp; removal of existing sink spout
Disconnect &amp; removal of existing breech
Clean &amp; prepare worked area
Supply &amp; install new cold water emergency isolation valve
Supply &amp; install new hot water emergency isolation valve
Supply &amp; install new sink breech
Supply &amp; install new cold water ceramic disk tapware
Supply &amp; install new hot water ceramic disk tapware
Supply &amp; install new sink spout
Secure new sink breech
Supply &amp; install new cold-water stainless-steel flexi hose
Supply &amp; install new hot water stainless steel flexi hose
Connect cold water supply
Connect hot water supply
Test &amp; commission installation
Removal of trade waste
PLEASE NOTE IF FURTHER WORK REQUIRED OTHER THAN QUOTED WORK FURTHER COST WILL APPLY.
REPLACEMENT OF HOB SINK TAPS AND SPOUT WITH CERAMIC DISC TAP SET
Isolate main water supply to property
Disconnect cold water supply
Disconnect hot water supply
Disconnect &amp; removal of existing cold-water tapware
Disconnect &amp; removal of existing hot water tapware
Disconnect &amp; removal of existing sink spout
Disconnect &amp; removal of existing breech
Clean &amp; prepare worked area
Supply &amp; install new cold water emergency isolation valve
Supply &amp; install new hot water emergency isolation valve
Supply &amp; install new sink breech
Supply &amp; install new cold water ceramic disk tapware
Supply &amp; install new hot water ceramic disk tapware
Supply &amp; install new sink spout
Secure new sink breech
Supply &amp; install new cold-water stainless-steel flexi hose
Supply &amp; install new hot water stainless steel flexi hose
Connect cold water supply
Connect hot water supply
Test &amp; commission installation
Removal of trade waste
PLEASE NOTE IF FURTHER WORK REQUIRED OTHER THAN QUOTED WORK FURTHER COST WILL APPLY.
</t>
        </r>
      </text>
    </comment>
    <comment ref="G228" authorId="1" shapeId="0" xr:uid="{F34B5C9E-E7C8-4886-BE01-9C77622797FE}">
      <text>
        <r>
          <rPr>
            <sz val="11"/>
            <color theme="1"/>
            <rFont val="Aptos Narrow"/>
            <family val="2"/>
            <scheme val="minor"/>
          </rPr>
          <t>Unknown User:
SEARCH AND INVESTIGATION OF ELECTRIC STORAGE HOT WATER SYSTEM
Gain access to hot water unit
Gain access to electrical supply
Check power supply at mains
Disconnect and remove hot water system electrical cover
Check power supply at hot water unit
Check power supply to thermostat
Check power supply to element
Check water supply to isolation valve
Check hot water system for tempering valve
Check water supply pressure to property
Check hot water system flow rate
Check electrical cable connections on hot water unit
Visually inspect electrical cable for ruptures where able
Check relive valve operation and integrity
Check discharge from outlet of hot water system for any signs of rust and corrosion in hot water supply
Determine cause and include any repair to a loose pipe or loose wire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repair.</t>
        </r>
      </text>
    </comment>
    <comment ref="G229" authorId="1" shapeId="0" xr:uid="{8E80D30B-7226-4368-A0E2-6502895D191D}">
      <text>
        <r>
          <rPr>
            <sz val="11"/>
            <color theme="1"/>
            <rFont val="Aptos Narrow"/>
            <family val="2"/>
            <scheme val="minor"/>
          </rPr>
          <t>Unknown User:
SUPPLY &amp; INSTALLATION OF NEW SINGLE ELEMENT HOT WATER UNIT – INTERNAL
Isolate main water supply to property
Isolate main electrical supply to property
Disconnect cold water supply to existing hot water unit
Disconnect power supply to existing hot water unit
Drain existing hot water unit
Disconnect &amp; removal of existing valves
Disconnect &amp; removal of existing brass fittings
Disconnect &amp; removal of existing section of cold-water service connecting to hot water unit
Disconnect &amp; removal of existing section of hot water service connecting to hot water unit
Clean &amp; prepare worked area
Supply &amp; install new internal safe waste tray
Supply &amp; install new Duo valve
Supply &amp; install new Pressure limiting valve
Supply &amp; install new Mildred emergency shut off valve
Supply &amp; install new tempering valve
Supply &amp; install new pressure relief valve
Supply &amp; install new single element hot water
Supply &amp; install new section of copper cold water service connecting to new hot water unit
Supply &amp; install new section of copper hot water service connecting to new hot water unit
Supply &amp; install new pressure relief drain service in copper &amp; ensure compliance with AS3500
Supply &amp; install new B-press fittings
Supply &amp; install new Brass fittings
Reconnect cold water service to new hot water unit
Reconnect hot water service to new hot water unit
Reconnect electrical supply to new hot water unit
Reinstate water supply to new hot water unit
Test &amp; commission installation
Removal of trade waste
PLEASE NOTE IF FURTHER WORK REQUIRED OUTSIDE OF QUOTED WORKS ADDITIONAL COSTS WILL APPLY</t>
        </r>
      </text>
    </comment>
    <comment ref="G231" authorId="1" shapeId="0" xr:uid="{749D4DDA-C525-4937-AA4B-F46C02103D85}">
      <text>
        <r>
          <rPr>
            <sz val="11"/>
            <color theme="1"/>
            <rFont val="Aptos Narrow"/>
            <family val="2"/>
            <scheme val="minor"/>
          </rPr>
          <t>Unknown User:
COMPLETE SERVICE OF TOILET CISTERN
Isolate main water supply to property
Disconnect cold-water supply to existing toilet cistern
Removal of existing cold-water supply to toilet cistern
Disconnect &amp; removal of existing emergency isolation valve
Gain access to toilet cistern
Disconnect existing toilet cistern inlet valve
Removal of existing toilet cistern inlet valve
Disconnect existing toilet cistern outlet valve
Removal of existing toilet cistern outlet valve
Disconnect &amp; removal of existing toilet cistern outlet valve drop washer
Clean existing toilet cistern outlet valve housing
Flush out toilet cistern free from all debris
Supply &amp; install new outlet valve drop washer
Reinstall existing toilet cistern outlet valve
Supply &amp; install new toilet cistern inlet valve
Secure new inlet valve to existing toilet cistern
Supply &amp; install new emergency isolation valve
Supply &amp; install new cold-water stainless-steel flexi hose
Reinstate main water supply to toilet cistern
Adjust inlet valve &amp; outlet valve to ensure optimal flush
Test &amp; commission installation
Removal of trade waste
PLEASE NOTE IF FURTHER WORK REQUIRED OUTSIDE OF QUOTED WORKS ADDITIONAL COSTS WILL APPLY</t>
        </r>
      </text>
    </comment>
    <comment ref="G232" authorId="1" shapeId="0" xr:uid="{E6C4BD94-1425-4354-AB71-F5FA5BFA0DFA}">
      <text>
        <r>
          <rPr>
            <sz val="11"/>
            <color theme="1"/>
            <rFont val="Aptos Narrow"/>
            <family val="2"/>
            <scheme val="minor"/>
          </rPr>
          <t>Unknown User:
SEWER SPOT DIG UP TO 2.5M (UNDER PAVERS)
Obtain Sewer Diagram
Obtain Dial Before Dig
Obtain Service Location Diagram
Set Up Safe Work Area
Set Up Builders Plastic
Set Up Barricades for Safety
Removal of pavers – In Required location
Dig &amp; Excavate Ground Area Up to 2.5M
Expose Existing Section of Sewer Service Up to 2.5M
Expose Existing Sewer Junction
Cut &amp; Remove Existing Section of Sewer Service Up to 2.5M
Cut &amp; Remove Existing Sewer Junction
Gain Access to Sewer Service
Set Up High-Powered Jet Blaster
Set Up High-Powered Mini Reel
Set Up High-Powered Turbines
Re-Jetblast Sewer Service
Re-Camera and Investigate Further
Supply &amp; Install New Section of Sewer Service Up to 2.5M
Supply &amp; Install New Sewer Junctions 
Supply &amp; Install New I/O Inspection Point
Supply &amp; Install New BTS and Raise to Ground Level
Supply &amp; Install New PVC Fittings
Connect New Section of Sewer Service to Existing Sewer Service
Concrete Encase New Connections to Existing Sewer Service
Encase New Section of Sewer Service with Blue Metal
Backfill Excavated Area
Compact ground area for Reinstallation of pavers
Prepare worked area for Re-Installation of pavers
Prepare Worked Area for Re-Paving
Re-Install pavers in worked area
Restoration of worked area
Test &amp; Commission Installation
Remove Trade Waste
PLEASE NOTE IF FURTHER WORK REQUIRED OTHER THEN QUOTED WORK FURTHER COST WILL APPLY
PLEASE NOTE: The customer has advised that they will dismantle and reinstall the shed. Service Vic accepts no responsibility for the removal, reinstallation, or reinstatement of the shed</t>
        </r>
      </text>
    </comment>
    <comment ref="G233" authorId="1" shapeId="0" xr:uid="{922F056D-9CEE-4E0E-A2F8-F97100D40F25}">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E292" authorId="2" shapeId="0" xr:uid="{9C0239E6-641D-4827-A2FE-B2EB3E8C522C}">
      <text>
        <t>[Threaded comment]
Your version of Excel allows you to read this threaded comment; however, any edits to it will get removed if the file is opened in a newer version of Excel. Learn more: https://go.microsoft.com/fwlink/?linkid=870924
Comment:
    Checked</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tc={5BC19DA8-A6C4-43AB-B31B-742A438AF566}</author>
    <author>Guest User</author>
    <author>tc={7491292F-FBF5-462C-8FE4-DE96A7661582}</author>
    <author>tc={8CF88051-7FB0-4BE6-8124-385521006B97}</author>
    <author>tc={EEBB0B9E-08B1-4A4B-BC48-3246BE49A3C7}</author>
    <author>tc={80DA764F-1C30-486C-BC92-72D021416F09}</author>
    <author>tc={5AD9EEF0-DE63-4930-858A-A267D206B4FC}</author>
    <author>tc={EB33A5AB-5142-4F01-BBCC-A84F776A7AB5}</author>
    <author>tc={551A29D9-09CC-4C0F-8DE0-C5B23C442228}</author>
    <author>tc={8F003FA2-7C3D-4490-BBA5-B455C4A64AFF}</author>
    <author>tc={472623D5-B745-4F72-A5A2-74FE0E12762B}</author>
    <author>tc={D523FCF2-ED9B-4C3F-9EC8-ED04067C49FA}</author>
    <author>tc={EA63E0D5-F071-4217-9C28-337FF213A433}</author>
    <author>tc={BC21F751-4A95-4C8A-B611-0096F53948BD}</author>
    <author>tc={EF7107B1-D9E2-4B89-8680-131854717085}</author>
    <author>tc={8390F1B5-16A1-4D59-AB6C-D80B3BEE851A}</author>
    <author>tc={942C55B1-F670-48E8-A3ED-512F5FDDAA03}</author>
    <author>tc={267D911A-BD3F-4C80-9EBA-3B02E7D3EF70}</author>
    <author>tc={7104424C-950A-48DE-9571-0A2E3A275457}</author>
    <author>tc={7A6AF6C8-8B9D-4776-A52A-7FCB486FD484}</author>
    <author>tc={D621AC86-5409-49FB-8B1A-5E775A88182C}</author>
    <author>Finance - Pointplumbing</author>
    <author>tc={9B1A3113-1DA6-46AA-AFAA-D6F5BC369D0A}</author>
    <author>tc={50C04530-4FD9-406A-A0A5-2E3AF3F991D6}</author>
    <author>tc={74EDE568-E489-4A95-A1A1-C67F77C181F4}</author>
    <author>tc={9F015041-C276-4781-91F3-ACC2B84555A9}</author>
    <author>tc={87514D06-0F30-4F89-99C5-304C81123EEB}</author>
    <author>tc={D3E72D0A-6144-4A63-8D11-6DB71C36716F}</author>
    <author>tc={C04FC87C-CD11-4FFA-A711-81E4BF6E06C4}</author>
    <author>tc={B761AA10-3870-4CF4-94D8-59F3C76321FB}</author>
    <author>tc={D43AF4FE-7543-42A8-A5F3-9E591A9562A3}</author>
    <author>tc={C167E409-548C-415F-9280-BED3D7D6EC47}</author>
    <author>tc={EB54CCA6-E4E9-4B8B-9956-F7535289DBD6}</author>
    <author>tc={9E1B1DEA-D477-41F7-9D18-2B1F473D6383}</author>
    <author>tc={BD5BE7C7-A6A5-41DD-A18D-DF7DDF3F5AB9}</author>
    <author>tc={0F397FB4-4614-499E-AA86-1EB8C882F268}</author>
    <author>tc={5248493A-8D0A-4793-9C2E-6E2B30455E2B}</author>
    <author>tc={6F64A9B8-8621-4B7A-9DCB-FBA657299045}</author>
    <author>tc={6527F29D-1900-4F4E-B8A8-F34CF2AAB3F4}</author>
    <author>tc={D2C44EDA-55F0-48BB-B208-34C91ADD80DD}</author>
    <author>tc={F713523B-BAAA-4BFB-8768-E20653A30F28}</author>
    <author>tc={C9E88143-9168-40EF-A3AB-567544C04A7A}</author>
    <author>tc={9C8F40BF-00EA-40BB-BDCE-AC99C07CF1CC}</author>
    <author>tc={14CE200B-22E8-47F2-9965-E65346572785}</author>
    <author>tc={A6FE2D61-B9DD-4078-BB03-6FBC3C13A718}</author>
    <author>tc={B1E685BE-5706-42DD-9243-B9ED73CEC403}</author>
    <author>tc={3453507A-8910-423C-9048-C628B92DC9D7}</author>
    <author>tc={33CBA187-2A16-4FC2-A750-86BE7C5CC434}</author>
    <author>tc={709BC07A-0DA0-472E-ACDD-8136E256ADA4}</author>
    <author>tc={A595264D-3B81-4851-9AAD-015F499F27D3}</author>
    <author>tc={9E21E38E-5F7A-46CB-9F50-6F98EAEEC285}</author>
    <author>Accounts | Australia Trades</author>
    <author>tc={55A20AD6-E0FB-4B27-A992-765E0F04AF7C}</author>
    <author>tc={B36F79AF-34CD-472F-B693-D40F4A764914}</author>
    <author>tc={DDAE96AB-0FB5-4E68-98B0-4D51DA5E887A}</author>
    <author>tc={A8D4FFFD-6060-4859-B069-F5489698AB7B}</author>
    <author>tc={491C659F-85D0-4B77-8DA9-F31E8740E2C1}</author>
    <author>tc={CE4B0944-10C1-4713-976F-F5ED5DF3C7F2}</author>
    <author>tc={DC730CA9-F500-4D37-A5C2-5FCBBE1B17FF}</author>
    <author>tc={B9832915-1006-4A12-B694-B92B66F3CD75}</author>
  </authors>
  <commentList>
    <comment ref="E57" authorId="0" shapeId="0" xr:uid="{5BC19DA8-A6C4-43AB-B31B-742A438AF566}">
      <text>
        <t>[Threaded comment]
Your version of Excel allows you to read this threaded comment; however, any edits to it will get removed if the file is opened in a newer version of Excel. Learn more: https://go.microsoft.com/fwlink/?linkid=870924
Comment:
    Checked</t>
      </text>
    </comment>
    <comment ref="G68" authorId="1" shapeId="0" xr:uid="{499C0947-619A-48AB-8627-A0252B8315B2}">
      <text>
        <r>
          <rPr>
            <sz val="11"/>
            <color theme="1"/>
            <rFont val="Aptos Narrow"/>
            <family val="2"/>
            <scheme val="minor"/>
          </rPr>
          <t xml:space="preserve">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
</t>
        </r>
      </text>
    </comment>
    <comment ref="M68" authorId="1" shapeId="0" xr:uid="{0CEEB26D-E64A-4C21-8A48-AD8EB8DE936F}">
      <text>
        <r>
          <rPr>
            <sz val="11"/>
            <color theme="1"/>
            <rFont val="Aptos Narrow"/>
            <family val="2"/>
            <scheme val="minor"/>
          </rPr>
          <t>Unknown User:
Payment waived</t>
        </r>
      </text>
    </comment>
    <comment ref="P68" authorId="1" shapeId="0" xr:uid="{968B8EAD-2386-4367-9B73-52D8FBEB14CE}">
      <text>
        <r>
          <rPr>
            <sz val="11"/>
            <color theme="1"/>
            <rFont val="Aptos Narrow"/>
            <family val="2"/>
            <scheme val="minor"/>
          </rPr>
          <t>Unknown User:
Quote not Emailed</t>
        </r>
      </text>
    </comment>
    <comment ref="Q68" authorId="1" shapeId="0" xr:uid="{96DE461E-6783-4E60-A9BF-62B9C1447CAD}">
      <text>
        <r>
          <rPr>
            <sz val="11"/>
            <color theme="1"/>
            <rFont val="Aptos Narrow"/>
            <family val="2"/>
            <scheme val="minor"/>
          </rPr>
          <t>Unknown User:
Waived invoice not Raised</t>
        </r>
      </text>
    </comment>
    <comment ref="G69" authorId="1" shapeId="0" xr:uid="{3704D08B-E8A3-48CA-9130-1B4E75F3160D}">
      <text>
        <r>
          <rPr>
            <sz val="11"/>
            <color theme="1"/>
            <rFont val="Aptos Narrow"/>
            <family val="2"/>
            <scheme val="minor"/>
          </rPr>
          <t>Unknown User:
HIGH POWERED JET BLAST &amp; CCTV DRAIN CAMERA INSPECTION (SEWER SERVICE)</t>
        </r>
      </text>
    </comment>
    <comment ref="Q69" authorId="1" shapeId="0" xr:uid="{1739DF87-08D5-4C4F-AE49-63DC8A99A848}">
      <text>
        <r>
          <rPr>
            <sz val="11"/>
            <color theme="1"/>
            <rFont val="Aptos Narrow"/>
            <family val="2"/>
            <scheme val="minor"/>
          </rPr>
          <t>Unknown User:
Progress invoice not updated.</t>
        </r>
      </text>
    </comment>
    <comment ref="G78" authorId="1" shapeId="0" xr:uid="{149C9ACD-4D9C-4776-AD5B-6B1031D317FB}">
      <text>
        <r>
          <rPr>
            <sz val="11"/>
            <color theme="1"/>
            <rFont val="Aptos Narrow"/>
            <family val="2"/>
            <scheme val="minor"/>
          </rPr>
          <t>Unknown User:
REPLACEMENT OF EXISTING OVERFLOW GULLY &amp; UP TO 1.5M OF MAIN SEWER SERVICE (UNDER CONCRETE)
Obtain Dial Before you Dig
Obtain Service Location Diagram
Set Up Safe Work Area
Set Up Builders Plastic
Set Up Barricades for Safety
Concrete Cut Ground Area – In Required Location
Jack Hammer Ground Area – In Required Location
Removal of Concrete – In Required Location
Dig &amp; Excavate Ground Area Up to 1.5M
Expose Existing Section of Sewer Service Up to 1.5M
Expose Existing Sewer Overflow Relief Gully
Expose Existing Sewer Junctions
Cut &amp; Remove Existing Section of Sewer Service Up to 1.5M
Cut &amp; Remove Existing Overflow Relief Gully
Cut &amp; Remove Existing Sewer Junctions
Gain Access to Sewer Service
Set Up High-Powered Jet Blaster
Set Up High-Powered Mini Reel
Set Up High-Powered Turbines
Re-Jetblast Sewer Service
Re-Camera &amp; Investigate Further
Supply &amp; Install New Section of Sewer Service Up to 1.5M
Supply &amp; Install New Sewer Overflow Relief Gully
Supply &amp; Install New Sewer Junctions
Supply &amp; Install New I/O Inspection Point
Supply &amp; Install New BTS and Raise to Ground Level
Supply &amp; Install New PVC Fittings
Connect New Sewer Overflow Relief Gully to Connection point
Connect New Section of Sewer Service to Existing Sewer Service
Concrete Encase New Connections to Existing Sewer Service
Encase New Section of Sewer Service with Blue Metal
Backfill Excavated Area
Prepare Worked Area for Re-Concrete
Re-Concrete Worked Area – Standard Concrete Finish
Restoration of Work Area
Test &amp; Commission Installation
Remove Trade Waste
PLEASE NOTE IF FURTHER WORK REQUIRED OTHER THEN QUOTED WORK FURTHER COST WILL APPLY</t>
        </r>
      </text>
    </comment>
    <comment ref="N78" authorId="1" shapeId="0" xr:uid="{563F5734-B491-4A5D-A8AC-B19F54DBE159}">
      <text>
        <r>
          <rPr>
            <sz val="11"/>
            <color theme="1"/>
            <rFont val="Aptos Narrow"/>
            <family val="2"/>
            <scheme val="minor"/>
          </rPr>
          <t xml:space="preserve">Unknown User:
Quote raised in #71308
</t>
        </r>
      </text>
    </comment>
    <comment ref="P78" authorId="1" shapeId="0" xr:uid="{9F2E9D3C-5FB5-4C00-AF21-F02FB2B3633B}">
      <text>
        <r>
          <rPr>
            <sz val="11"/>
            <color theme="1"/>
            <rFont val="Aptos Narrow"/>
            <family val="2"/>
            <scheme val="minor"/>
          </rPr>
          <t>Unknown User:
Quote not Emailed</t>
        </r>
      </text>
    </comment>
    <comment ref="G79" authorId="1" shapeId="0" xr:uid="{E82C60B1-D3F9-497C-ADB7-EC484DDD9F9A}">
      <text>
        <r>
          <rPr>
            <sz val="11"/>
            <color theme="1"/>
            <rFont val="Aptos Narrow"/>
            <family val="2"/>
            <scheme val="minor"/>
          </rPr>
          <t>Unknown User:
SEARCH &amp; INVESTIGATION OF DOUBLE STOREY ROOF OF POTENTIAL LEAK</t>
        </r>
      </text>
    </comment>
    <comment ref="P79" authorId="1" shapeId="0" xr:uid="{600844D1-BA8E-4545-8AC9-751B1D88A688}">
      <text>
        <r>
          <rPr>
            <sz val="11"/>
            <color theme="1"/>
            <rFont val="Aptos Narrow"/>
            <family val="2"/>
            <scheme val="minor"/>
          </rPr>
          <t>Unknown User:
Quote not emailed</t>
        </r>
      </text>
    </comment>
    <comment ref="Q79" authorId="1" shapeId="0" xr:uid="{87C9DFF2-C333-42C8-A238-BE3C0BD5255F}">
      <text>
        <r>
          <rPr>
            <sz val="11"/>
            <color theme="1"/>
            <rFont val="Aptos Narrow"/>
            <family val="2"/>
            <scheme val="minor"/>
          </rPr>
          <t>Unknown User:
Progress payment not updated in invoice.</t>
        </r>
      </text>
    </comment>
    <comment ref="R79" authorId="1" shapeId="0" xr:uid="{F56EBA30-DBE1-4432-807C-E21887C711AF}">
      <text>
        <r>
          <rPr>
            <sz val="11"/>
            <color theme="1"/>
            <rFont val="Aptos Narrow"/>
            <family val="2"/>
            <scheme val="minor"/>
          </rPr>
          <t>Unknown User:
Invoice not Signed</t>
        </r>
      </text>
    </comment>
    <comment ref="G80" authorId="1" shapeId="0" xr:uid="{95E03DC5-A138-4E36-BA96-4056A0D599BF}">
      <text>
        <r>
          <rPr>
            <sz val="11"/>
            <color theme="1"/>
            <rFont val="Aptos Narrow"/>
            <family val="2"/>
            <scheme val="minor"/>
          </rPr>
          <t>Unknown User:
HIGH POWERED SUCTION PUMP
Gain access to sewer service
Gain access to sewer fixture
Set up high powered suction pump
First attempt to clear blocked sewer using high powered suction pump
Attempt to clear sewer service using high powered suction pump
Attempt to clear debris from sewer service
Attempt to flush out sewer service &amp; debris
Test &amp; commission work completed
Removal of trade waste
PLEASE NOTE IF BLOCKAGES DOES NOT CLEAR FURTHER COST WILL APPLY. THIS IS A FIRST ATTEMPT</t>
        </r>
      </text>
    </comment>
    <comment ref="P80" authorId="1" shapeId="0" xr:uid="{F7B01BF0-B4BD-419A-93FF-1C0C17203DBD}">
      <text>
        <r>
          <rPr>
            <sz val="11"/>
            <color theme="1"/>
            <rFont val="Aptos Narrow"/>
            <family val="2"/>
            <scheme val="minor"/>
          </rPr>
          <t>Unknown User:
Quote not Emailed</t>
        </r>
      </text>
    </comment>
    <comment ref="G81" authorId="1" shapeId="0" xr:uid="{69AB7F51-B42A-4D9F-BC34-BBD8DFF4110A}">
      <text>
        <r>
          <rPr>
            <sz val="11"/>
            <color theme="1"/>
            <rFont val="Aptos Narrow"/>
            <family val="2"/>
            <scheme val="minor"/>
          </rPr>
          <t>Unknown User:
HIGH POWERED JET BLAST &amp; CCTV CAMERA INSPECTION (GAIN ACCESS WITH REMOVAL OF TOILET)
Isolate main water supply to toilet cistern
Disconnect &amp; removal of existing water supply to toilet cistern
Disconnect &amp; removal of existing toilet cistern
Disconnect &amp; removal of existing toilet pan
Disconnect &amp; removal of existing toilet pan collar
Gain access to sewer service
Set up high powered Jet blaster
Set up High powered mini-Reel
Set up specialist whip hose
Set up high powered Turbines
Set up specialist CCTV Camera
Set up Specialist locator
Gain access to sewer service
First attempt to clear blocked sewer service using high powered Jet blaster in conjunction with specialist whip hose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existing toilet pan collar
Reinstate existing toilet pan
Reinstate existing toilet cistern
Reinstate toilet pan to floor
Reinstate water supply to toilet cistern
Reinstate water supply to toilet cistern
Clean worked area
Test &amp; commission installation
PLEASE NOTE IF BLOCKAGE DOES NOT CLEAR FURTHER COST WILL APPLY. THIS IS A FIRST ATTEMPT.
PLEASE NOTE IF TOILET PAN BREAKS DURING THE REMOVAL OF TOILET SUITE FURTHER COST WILL APPLY TO REPLACE
Call out fee applied</t>
        </r>
      </text>
    </comment>
    <comment ref="P81" authorId="1" shapeId="0" xr:uid="{0D9A8281-1743-4DDB-94CC-1FE42C626EDB}">
      <text>
        <r>
          <rPr>
            <sz val="11"/>
            <color theme="1"/>
            <rFont val="Aptos Narrow"/>
            <family val="2"/>
            <scheme val="minor"/>
          </rPr>
          <t>Unknown User:
Quote not Emailed</t>
        </r>
      </text>
    </comment>
    <comment ref="G85" authorId="1" shapeId="0" xr:uid="{86AC6A78-E0F4-4D1F-8275-A3C8C77F5C6B}">
      <text>
        <r>
          <rPr>
            <sz val="11"/>
            <color theme="1"/>
            <rFont val="Aptos Narrow"/>
            <family val="2"/>
            <scheme val="minor"/>
          </rPr>
          <t>Unknown User:
SEWER SPOT DIG UP TO 1.5M (UNDER CONCRETE)
10% Seniors &amp; Pensioners Discount</t>
        </r>
      </text>
    </comment>
    <comment ref="N85" authorId="1" shapeId="0" xr:uid="{48DDB393-8F5C-4A44-B7F3-97D6FDBC84F7}">
      <text>
        <r>
          <rPr>
            <sz val="11"/>
            <color theme="1"/>
            <rFont val="Aptos Narrow"/>
            <family val="2"/>
            <scheme val="minor"/>
          </rPr>
          <t>Unknown User:
Quote Raised in #71383</t>
        </r>
      </text>
    </comment>
    <comment ref="P85" authorId="1" shapeId="0" xr:uid="{24FB3C29-1C85-4BA2-9DCA-DD56EEA2A02E}">
      <text>
        <r>
          <rPr>
            <sz val="11"/>
            <color theme="1"/>
            <rFont val="Aptos Narrow"/>
            <family val="2"/>
            <scheme val="minor"/>
          </rPr>
          <t>Unknown User:
Quote not emailed</t>
        </r>
      </text>
    </comment>
    <comment ref="G86" authorId="1" shapeId="0" xr:uid="{F953704D-A5A0-4461-A734-3B147435FF1B}">
      <text>
        <r>
          <rPr>
            <sz val="11"/>
            <color theme="1"/>
            <rFont val="Aptos Narrow"/>
            <family val="2"/>
            <scheme val="minor"/>
          </rPr>
          <t xml:space="preserve">Unknown User:
SEWER SPOT DIG UP TO 2.5M - IN GROUND
Obtain sewer diagram
Obtain dial Before dig
Obtain service location diagram
Set up safe work area
Set up builders plastic
Set up barricades for safety
Dig &amp; Excavate Ground Area Up to 2.5M
Expose existing section of sewer service up to 2.5M
Expose existing sewer junctions (If Required)
Cut &amp; remove existing section of sewer service up to 2.5M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2.5M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Wash down worked area
Test &amp; commission installation
Remove trade waste
PLEASE NOTE IF FURTHER WORK REQUIRED OTHER THEN QUOTED WORK FURTHER COST WILL APPLY
</t>
        </r>
      </text>
    </comment>
    <comment ref="N86" authorId="1" shapeId="0" xr:uid="{60429E51-035E-428D-8DC7-959032C12B75}">
      <text>
        <r>
          <rPr>
            <sz val="11"/>
            <color theme="1"/>
            <rFont val="Aptos Narrow"/>
            <family val="2"/>
            <scheme val="minor"/>
          </rPr>
          <t>Unknown User:
Quote Raised in #71370</t>
        </r>
      </text>
    </comment>
    <comment ref="G87" authorId="1" shapeId="0" xr:uid="{DAE97F69-5A80-49CA-96FE-90630380D277}">
      <text>
        <r>
          <rPr>
            <sz val="11"/>
            <color theme="1"/>
            <rFont val="Aptos Narrow"/>
            <family val="2"/>
            <scheme val="minor"/>
          </rPr>
          <t xml:space="preserve">Unknown User:
SEARCH &amp; INVESTIGATION OF DOUBLE STOREY ROOF OF POTENTIAL LEAK
Set up ladders
Set up working-at-height equipment
Gain safe access to the roof
Visually inspect the roof above the areas of damage
Check the condition of roof sheets or tiles
Remove roof sheets or tiles in the required location (if required)
Visually inspect underneath roof sheets or tiles for any water damage to timbers or plaster (if required)
Inspect the condition of roof penetration flashings
Inspect the condition of skylight flashing
Inspect the condition and installation of guttering
Inspect the condition of roof flashings
Inspect the condition of box gutter joins
Inspect the condition of box gutter overflows
Inspect the condition of sumps
Inspect for sufficient overflow to the roof guttering
Flood test potential defected areas on the roof
Locate water ingress from below and identify the cause of water ingress
Carry out any minor repairs (e.g., deteriorated sealant or loose roofing screws)
Reinstate roof sheets or tiles in worked area (only)
Test and commission work completed
Remove all trade waste
PLEASE NOTE IF FURTHER WORK REQUIRED OTHER THEN QUOTED WORK FURTHER COST WILL APPLY
</t>
        </r>
      </text>
    </comment>
    <comment ref="G91" authorId="1" shapeId="0" xr:uid="{BD65B65A-A0F2-4E0D-8591-C15EEBF53765}">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92" authorId="1" shapeId="0" xr:uid="{C57AFEFD-C5E2-4728-A18F-2B024CF355B5}">
      <text>
        <r>
          <rPr>
            <sz val="11"/>
            <color theme="1"/>
            <rFont val="Aptos Narrow"/>
            <family val="2"/>
            <scheme val="minor"/>
          </rPr>
          <t>Unknown User:
MIXER TAP - STANDARD
Isolate main cold-water supply to property
Isolate main hot water supply to property
Disconnect &amp; removal of cold-water supply to existing mixer
Disconnect &amp; removal of hot water supply to existing mixer
Disconnect &amp; removal of existing locking nut
Disconnect &amp; removal of existing mixer
Clean &amp; prepare worked area
Supply &amp; install new mixer
Supply &amp; install new cold-water stainless-steel flexi hose
Supply &amp; install new hot water stainless steel flexi hose
Supply &amp; install new locking nut
Secure new mixer
Reconnect cold water supply to new mixer
Reconnect hot water supply to new mixer
Reinstate cold water supply to new mixer
Reinstate hot water supply to new mixer
Reinstate cold water supply to property
Reinstate hot water supply to property
Test &amp; commission installation
Removal of trade waste
PLEASE NOTE IF FURTHER WORK REQUIRED OTHER THEN QUOTED WORK FURTHER COST WILL APPLY</t>
        </r>
      </text>
    </comment>
    <comment ref="G93" authorId="1" shapeId="0" xr:uid="{DCE7D59D-DD29-4B3D-836D-5B763FC1C498}">
      <text>
        <r>
          <rPr>
            <sz val="11"/>
            <color theme="1"/>
            <rFont val="Aptos Narrow"/>
            <family val="2"/>
            <scheme val="minor"/>
          </rPr>
          <t>Unknown User:
SUPPLY AND INSTALLATION OF TRAP TO VANITY OR PEDESTAL BASIN - WHITE PVC
Gain access to existing basin drainage
Disconnect &amp; removal of existing basin trap locking nuts
Disconnect &amp; removal of existing basin trap outlet fittings
Disconnect &amp; removal of existing basin trap gaskets
Disconnect &amp; removal of existing PVC drainage fittings if required
Clean &amp; prepare drainage outlet and basin waste for new installation
Supply &amp; install new white PVC basin trap
Supply &amp; install new PVC drainage fittings if required
Supply &amp; install new sealing gaskets
Connect new white PVC basin trap to existing basin waste
Connect new white PVC basin trap to existing drainage
Test &amp; commission installation to ensure correct operation and no leaks
Removal of trade waste
PLEASE NOTE IF FURTHER WORK REQUIRED OTHER THEN QUOTED WORK FURTHER COST WILL APPLY</t>
        </r>
      </text>
    </comment>
    <comment ref="G94" authorId="1" shapeId="0" xr:uid="{772FE3D0-FF65-4FEF-A763-E868F54AAD4C}">
      <text>
        <r>
          <rPr>
            <sz val="11"/>
            <color theme="1"/>
            <rFont val="Aptos Narrow"/>
            <family val="2"/>
            <scheme val="minor"/>
          </rPr>
          <t>Unknown User:
SUPPLY AND INSTALLATION OF BRASS HOSE TAPS TO REPLACE EXISTING HOSE TAP
Isolate main water supply to property
Disconnect &amp; removal of existing garden hose tap
Clean existing brass thread
Supply &amp; install new thread sealant
Supply &amp; install new brass garden hose tap
Reinstate main water supply
Test &amp; commission installation
Removal of trade waste
PLEASE NOTE IF FURTHER WORK REQUIRED OTHER THEN QUOTED WORK FURTHER COST WILL APPLY</t>
        </r>
      </text>
    </comment>
    <comment ref="G95" authorId="1" shapeId="0" xr:uid="{3555EA08-1835-47DE-8F09-CDB460E5810F}">
      <text>
        <r>
          <rPr>
            <sz val="11"/>
            <color theme="1"/>
            <rFont val="Aptos Narrow"/>
            <family val="2"/>
            <scheme val="minor"/>
          </rPr>
          <t>Unknown User:
SUPPLY &amp; INSTALLATION OF NEW INSTANTANEOUS GAS HOT WATER SYSTEM (INTERNAL)
Isolate main water supply to property
Isolate main gas supply to property
Isolate power supply to existing gas instantaneous hot water system
Disconnect power supply to existing gas instantaneous hot water system
Disconnect existing gas flue to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gas flue to new gas instantaneous hot water system
Reconnect power supply to new gas instantaneous hot water system
Test &amp; commission installation
Removal of trade waste
PLEASE NOTE IF FURTHER WORK REQUIRED OUTSIDE OF QUOTED WORKS ADDITIONAL COSTS WILL APPLY</t>
        </r>
      </text>
    </comment>
    <comment ref="G96" authorId="1" shapeId="0" xr:uid="{7D80CD8C-0A8F-476E-A1B9-7BBDF7712C6F}">
      <text>
        <r>
          <rPr>
            <sz val="11"/>
            <color theme="1"/>
            <rFont val="Aptos Narrow"/>
            <family val="2"/>
            <scheme val="minor"/>
          </rPr>
          <t>Unknown User:
INSTALLATION OF CUSTOMER SUPPLIED FRIDGE WITHIN 2.5M OF COLD WATER SUPPLY</t>
        </r>
      </text>
    </comment>
    <comment ref="G97" authorId="1" shapeId="0" xr:uid="{05333344-153F-4C3D-9A34-D8693C247B62}">
      <text>
        <r>
          <rPr>
            <sz val="11"/>
            <color theme="1"/>
            <rFont val="Aptos Narrow"/>
            <family val="2"/>
            <scheme val="minor"/>
          </rPr>
          <t xml:space="preserve">Unknown User:
BATHROOM ROUGH IN 
</t>
        </r>
      </text>
    </comment>
    <comment ref="G98" authorId="1" shapeId="0" xr:uid="{A4726384-4098-4FAC-AADC-B35AE3FF6903}">
      <text>
        <r>
          <rPr>
            <sz val="11"/>
            <color theme="1"/>
            <rFont val="Aptos Narrow"/>
            <family val="2"/>
            <scheme val="minor"/>
          </rPr>
          <t xml:space="preserve">Unknown User:
SEARCH &amp; INVESTIGATION OF DOUBLE STOREY ROOF OF POTENTIAL LEAK
</t>
        </r>
      </text>
    </comment>
    <comment ref="G99" authorId="1" shapeId="0" xr:uid="{8372D180-70B8-484E-924E-ABD6C86FEBC2}">
      <text>
        <r>
          <rPr>
            <sz val="11"/>
            <color theme="1"/>
            <rFont val="Aptos Narrow"/>
            <family val="2"/>
            <scheme val="minor"/>
          </rPr>
          <t xml:space="preserve">Unknown User:
SEARCH &amp; INVESTIGATION OF GAS STORAGE HOT WATER SYSTEM
</t>
        </r>
      </text>
    </comment>
    <comment ref="G100" authorId="1" shapeId="0" xr:uid="{EFAA5A35-458F-4574-8693-76239214FD49}">
      <text>
        <r>
          <rPr>
            <sz val="11"/>
            <color theme="1"/>
            <rFont val="Aptos Narrow"/>
            <family val="2"/>
            <scheme val="minor"/>
          </rPr>
          <t>Unknown User:
SHOWER RECTIFICATION</t>
        </r>
      </text>
    </comment>
    <comment ref="G101" authorId="1" shapeId="0" xr:uid="{F652522D-4711-40B8-BB46-ABF1363F650F}">
      <text>
        <r>
          <rPr>
            <sz val="11"/>
            <color theme="1"/>
            <rFont val="Aptos Narrow"/>
            <family val="2"/>
            <scheme val="minor"/>
          </rPr>
          <t>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t>
        </r>
      </text>
    </comment>
    <comment ref="G103" authorId="1" shapeId="0" xr:uid="{FD2A56BB-24FA-441A-8C1D-D5E624159642}">
      <text>
        <r>
          <rPr>
            <sz val="11"/>
            <color theme="1"/>
            <rFont val="Aptos Narrow"/>
            <family val="2"/>
            <scheme val="minor"/>
          </rPr>
          <t xml:space="preserve">Unknown User:
BATHTUB INSTALLATION 
*Gain access to working area *Disconnect and remove sealant *Disconnect and remove glass screen *disconnect and remove bath spout *disconnect and remove bath mixer *remove section of plaster to access bath trap *disconnect and remove bathtub Alter existing floor joist to suit for new drainage service
*Clean and remove water proofing from existing sewer service
*Clean and prepare working area
*Supply and install new DWV service adapters
*Supply and install new 40mm DWV sewer trap
*Supply and install new 40mm DWV pops down waste assembly
*Supply and install new sealants
*Supply and install new gaskets
*Install customer supplied bath tub into location
*Install new pop down assembly into new sewer service
*Test and commission new drainage
*Removal of any trade waste from site
Please note. If further works are required, additional costs will apply. </t>
        </r>
      </text>
    </comment>
    <comment ref="G136" authorId="1" shapeId="0" xr:uid="{F2861BAF-D25C-43E7-AD9A-11DC371FC6BA}">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Q136" authorId="1" shapeId="0" xr:uid="{65DE05A9-8CF2-4FBD-AE5D-1078EED5FFDA}">
      <text>
        <r>
          <rPr>
            <sz val="11"/>
            <color theme="1"/>
            <rFont val="Aptos Narrow"/>
            <family val="2"/>
            <scheme val="minor"/>
          </rPr>
          <t xml:space="preserve">Unknown User:
Final invoice combined &amp; raised for 2 estimates
</t>
        </r>
      </text>
    </comment>
    <comment ref="V136" authorId="1" shapeId="0" xr:uid="{0C83711C-87F4-4B1C-95DB-8B6C40BFB801}">
      <text>
        <r>
          <rPr>
            <sz val="11"/>
            <color theme="1"/>
            <rFont val="Aptos Narrow"/>
            <family val="2"/>
            <scheme val="minor"/>
          </rPr>
          <t>Unknown User:
14/07 - Received $4398.90 totally for 2 estimates
$1251.80 for Estimate #86146574
3147.10 for Estimate #86146689</t>
        </r>
      </text>
    </comment>
    <comment ref="G137" authorId="1" shapeId="0" xr:uid="{70D54165-01B5-47B0-9880-5D0177829FA8}">
      <text>
        <r>
          <rPr>
            <sz val="11"/>
            <color theme="1"/>
            <rFont val="Aptos Narrow"/>
            <family val="2"/>
            <scheme val="minor"/>
          </rPr>
          <t>Unknown User:
HIGH POWERED JET BLAST &amp; CCTV CAMERA INSPECTION (GAIN ACCESS WITH REMOVAL OF TOILET)
Isolate main water supply to toilet cistern
Disconnect &amp; removal of existing water supply to toilet cistern
Disconnect &amp; removal of existing toilet cistern
Disconnect &amp; removal of existing toilet pan
Disconnect &amp; removal of existing toilet pan collar
Gain access to sewer service
Set up high powered Jet blaster
Set up High powered mini-Reel
Set up specialist whip hose
Set up high powered Turbines
Set up specialist CCTV Camera
Set up Specialist locator
Gain access to sewer service
First attempt to clear blocked sewer service using high powered Jet blaster in conjunction with specialist whip hose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existing toilet pan collar
Reinstate existing toilet pan
Reinstate existing toilet cistern
Reinstate toilet pan to floor
Reinstate water supply to toilet cistern
Reinstate water supply to toilet cistern
Clean worked area
Test &amp; commission installation
PLEASE NOTE IF BLOCKAGE DOES NOT CLEAR FURTHER COST WILL APPLY. THIS IS A FIRST ATTEMPT.
PLEASE NOTE IF TOILET PAN BREAKS DURING THE REMOVAL OF TOILET SUITE FURTHER COST WILL APPLY TO REPLACE</t>
        </r>
      </text>
    </comment>
    <comment ref="Q137" authorId="1" shapeId="0" xr:uid="{0A1E9B6F-86D8-4143-BCB5-383DB10D36DA}">
      <text>
        <r>
          <rPr>
            <sz val="11"/>
            <color theme="1"/>
            <rFont val="Aptos Narrow"/>
            <family val="2"/>
            <scheme val="minor"/>
          </rPr>
          <t>Unknown User:
Final invoice combined &amp; raised for 2 estimates</t>
        </r>
      </text>
    </comment>
    <comment ref="V137" authorId="1" shapeId="0" xr:uid="{4B59A2FE-D871-4276-930D-0011BA1C2D0B}">
      <text>
        <r>
          <rPr>
            <sz val="11"/>
            <color theme="1"/>
            <rFont val="Aptos Narrow"/>
            <family val="2"/>
            <scheme val="minor"/>
          </rPr>
          <t>Unknown User:
14/07 - Received $4398.90 totally for 2 estimates
$1251.80 for Estimate #86146574
3147.10 for Estimate #86146689</t>
        </r>
      </text>
    </comment>
    <comment ref="G138" authorId="1" shapeId="0" xr:uid="{BF16001D-08CC-4302-9776-A83D9454AD82}">
      <text>
        <r>
          <rPr>
            <sz val="11"/>
            <color theme="1"/>
            <rFont val="Aptos Narrow"/>
            <family val="2"/>
            <scheme val="minor"/>
          </rPr>
          <t xml:space="preserve">Unknown User:
SUPPLY &amp; INSTALLATION OF GAS STORAGE HOT WATER SYSTEM (EXTERNAL)
Isolate main water supply to property
Isolate main gas supply to property
Disconnect main gas supply to existing hot water system
Disconnect main cold-water supply to existing gas hot water system
Disconnect main hot water supply to existing gas hot water system
Disconnect existing plumbing connecting to existing gas hot water system
Drain existing gas hot water system
Removal of existing gas hot water system
Removal of existing brass fittings
Disconnect &amp; removal existing section of gas service connecting to existing internal hot
water system
Disconnect &amp; removal of existing section of cold-water supply connecting to existing
gas hot water system
Disconnect &amp; removal of existing section of hot supply connecting to existing section of
gas hot water system
Clean &amp; prepare worked area
Supply &amp; install new external gas storage hot water system
Supply &amp; install new gas emergency isolation valve
Supply &amp; install new duo valve
Supply &amp; install new pressure limiting valve
Supply &amp; install tempering valve
Supply &amp; install new pressure relief valve
Supply &amp; install new B-press fittings
Supply &amp; install new Brass fittings
Supply &amp; install new section of copper gas service &amp; connect to new gas storage hot
water system
Supply &amp; install new section of cold-water service &amp; connect to new gas storage hot
water system
Supply &amp; install new section of hot water copper service &amp; connect to new gas storage
hot water system
Supply &amp; install new pressure relief valve drain service in copper in accordance with
AS3500
Reinstate main water supply to property
Reinstate main gas supply to property
Test &amp; commission installation
</t>
        </r>
      </text>
    </comment>
    <comment ref="G139" authorId="1" shapeId="0" xr:uid="{AF296AC2-2692-473A-B40A-0E0D8E7D0E51}">
      <text>
        <r>
          <rPr>
            <sz val="11"/>
            <color theme="1"/>
            <rFont val="Aptos Narrow"/>
            <family val="2"/>
            <scheme val="minor"/>
          </rPr>
          <t>Unknown User:
HIGH POWERED SUCTION PUMP
Gain access to sewer service
Gain access to sewer fixture
Set up high powered suction pump
First attempt to clear blocked sewer using high powered suction pump
Attempt to clear sewer service using high powered suction pump
Attempt to clear debris from sewer service
Attempt to flush out sewer service &amp; debris
Test &amp; commission work completed
Removal of trade waste
PLEASE NOTE IF BLOCKAGES DOES NOT CLEAR FURTHER COST WILL APPLY. THIS
IS A FIRST ATTEMPT</t>
        </r>
      </text>
    </comment>
    <comment ref="G140" authorId="1" shapeId="0" xr:uid="{A3543301-E881-41E8-AF1A-39EB291125BD}">
      <text>
        <r>
          <rPr>
            <sz val="11"/>
            <color theme="1"/>
            <rFont val="Aptos Narrow"/>
            <family val="2"/>
            <scheme val="minor"/>
          </rPr>
          <t xml:space="preserve">Unknown User:
SUPPLY &amp; INSTALLATION OF GAS STORAGE HOT WATER SYSTEM (EXTERNAL)
Isolate main water supply to property
Isolate main gas supply to property
Disconnect main gas supply to existing hot water system
Disconnect main cold-water supply to existing gas hot water system
Disconnect main hot water supply to existing gas hot water system
Disconnect existing plumbing connecting to existing gas hot water system
Drain existing gas hot water system
Removal of existing gas hot water system
Removal of existing brass fittings
Disconnect &amp; removal existing section of gas service connecting to existing internal hot
water system
Disconnect &amp; removal of existing section of cold-water supply connecting to existing
gas hot water system
Disconnect &amp; removal of existing section of hot supply connecting to existing section of
gas hot water system
Clean &amp; prepare worked area
Supply &amp; install new external gas storage hot water system
Supply &amp; install new gas emergency isolation valve
Supply &amp; install new duo valve
Supply &amp; install new pressure limiting valve
Supply &amp; install tempering valve
Supply &amp; install new pressure relief valve
Supply &amp; install new B-press fittings
Supply &amp; install new Brass fittings
Supply &amp; install new section of copper gas service &amp; connect to new gas storage hot
water system
Supply &amp; install new section of cold-water service &amp; connect to new gas storage hot
water system
Supply &amp; install new section of hot water copper service &amp; connect to new gas storage
hot water system
Supply &amp; install new pressure relief valve drain service in copper in accordance with
AS3500
Reinstate main water supply to property
Reinstate main gas supply to property
Test &amp; commission installation
</t>
        </r>
      </text>
    </comment>
    <comment ref="S140" authorId="1" shapeId="0" xr:uid="{97B129B7-05B0-4DB1-8EED-AA7818DFF09C}">
      <text>
        <r>
          <rPr>
            <sz val="11"/>
            <color theme="1"/>
            <rFont val="Aptos Narrow"/>
            <family val="2"/>
            <scheme val="minor"/>
          </rPr>
          <t>Unknown User:
Signed invoice copy not emailed.</t>
        </r>
      </text>
    </comment>
    <comment ref="U140" authorId="1" shapeId="0" xr:uid="{ABAD32E5-3309-4164-BE2C-DB0C33BDDE44}">
      <text>
        <r>
          <rPr>
            <sz val="11"/>
            <color theme="1"/>
            <rFont val="Aptos Narrow"/>
            <family val="2"/>
            <scheme val="minor"/>
          </rPr>
          <t>Unknown User:
16 July-As per Kylie's note "Spoke to Xanthe after sending the below email to discuss payment. States she has a camera and can see we have a plumber outside her property to retrieve the HWS. Xanthe states she is willing to pay 2.5K but no more as she has now done her investigations on pricing. I asked why she accepted the quote and I can see she was well aware of the price due to her paying a 10% deposit. Xanthe states we can remove the heater and keep her deposit I explained that will not be possible due to being unable to resell this as it is now second hand and the fittings can not be used again therefore the company will be at a loss so I am unwilling to do that as well. Xanthe is at the hair dresser and had me on loud speaker her hairdresser interjected as well stating her friend had a HWS supplied and installed for 2.5K. I explained the industry is unregulated because Xanthe claims it is regulated. I asked her to send me the link because we can purchase a product for a price then sell it to her for what ever price is required"</t>
        </r>
      </text>
    </comment>
    <comment ref="G141" authorId="1" shapeId="0" xr:uid="{10BB06EC-01BE-47F7-B80E-791D81701494}">
      <text>
        <r>
          <rPr>
            <sz val="11"/>
            <color theme="1"/>
            <rFont val="Aptos Narrow"/>
            <family val="2"/>
            <scheme val="minor"/>
          </rPr>
          <t>Unknown User:
SEWER SPOT DIG UP TO 1.5M - IN GROUND
Obtain sewer diagram
Obtain dial Before dig
Obtain service location diagram
Set up safe work area
Set up builders plastic
Set up barricades for safety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Wash down worked area
Test &amp; commission installation
Remove trade waste
PLEASE NOTE IF FURTHER WORK REQUIRED OTHER THEN QUOTED WORK FURTHER COST WILL APPLY</t>
        </r>
      </text>
    </comment>
    <comment ref="N141" authorId="1" shapeId="0" xr:uid="{8F392EA7-A225-4AE7-A5DE-C87C08FE8C50}">
      <text>
        <r>
          <rPr>
            <sz val="11"/>
            <color theme="1"/>
            <rFont val="Aptos Narrow"/>
            <family val="2"/>
            <scheme val="minor"/>
          </rPr>
          <t xml:space="preserve">Unknown User:
Quote raised in Job #71401
</t>
        </r>
      </text>
    </comment>
    <comment ref="U141" authorId="1" shapeId="0" xr:uid="{1356ACE5-C6F9-4AB9-B512-1DDA5B8DFB0D}">
      <text>
        <r>
          <rPr>
            <sz val="11"/>
            <color theme="1"/>
            <rFont val="Aptos Narrow"/>
            <family val="2"/>
            <scheme val="minor"/>
          </rPr>
          <t>Unknown User:
14/7-$4398.90 entered in Job #71401 (Invoice tab)
and $1850 entered in Job #71435</t>
        </r>
      </text>
    </comment>
    <comment ref="G142" authorId="1" shapeId="0" xr:uid="{80FD1453-9168-4172-ABAB-2ED29D7B5E38}">
      <text>
        <r>
          <rPr>
            <sz val="11"/>
            <color theme="1"/>
            <rFont val="Aptos Narrow"/>
            <family val="2"/>
            <scheme val="minor"/>
          </rPr>
          <t>Unknown User:
SUPPLY &amp; INSTALLATION OF (SOLAR RATED) TEMPERING VALVE</t>
        </r>
      </text>
    </comment>
    <comment ref="L142" authorId="1" shapeId="0" xr:uid="{A613D42D-13C7-4A4B-B463-37A5EF81285F}">
      <text>
        <r>
          <rPr>
            <sz val="11"/>
            <color theme="1"/>
            <rFont val="Aptos Narrow"/>
            <family val="2"/>
            <scheme val="minor"/>
          </rPr>
          <t>Unknown User:
After pics uploaded in Job #71464</t>
        </r>
      </text>
    </comment>
    <comment ref="P142" authorId="1" shapeId="0" xr:uid="{3226B668-D76E-439A-92D4-ACB42AFCBF5E}">
      <text>
        <r>
          <rPr>
            <sz val="11"/>
            <color theme="1"/>
            <rFont val="Aptos Narrow"/>
            <family val="2"/>
            <scheme val="minor"/>
          </rPr>
          <t>Unknown User:
Quote not emailed</t>
        </r>
      </text>
    </comment>
    <comment ref="G143" authorId="1" shapeId="0" xr:uid="{12BABF76-79CC-423D-A0F9-9ABF12FEEC43}">
      <text>
        <r>
          <rPr>
            <sz val="11"/>
            <color theme="1"/>
            <rFont val="Aptos Narrow"/>
            <family val="2"/>
            <scheme val="minor"/>
          </rPr>
          <t>Unknown User:
SEARCH AND INVESTIGATION OF ELECTRIC STORAGE HOT WATER SYSTEM</t>
        </r>
      </text>
    </comment>
    <comment ref="P143" authorId="1" shapeId="0" xr:uid="{4F412740-EA53-4465-A4E2-BE5936276FE5}">
      <text>
        <r>
          <rPr>
            <sz val="11"/>
            <color theme="1"/>
            <rFont val="Aptos Narrow"/>
            <family val="2"/>
            <scheme val="minor"/>
          </rPr>
          <t>Unknown User:
Quote not emailed</t>
        </r>
      </text>
    </comment>
    <comment ref="G144" authorId="1" shapeId="0" xr:uid="{6D9931AD-688A-4A09-A727-944822220F36}">
      <text>
        <r>
          <rPr>
            <sz val="11"/>
            <color theme="1"/>
            <rFont val="Aptos Narrow"/>
            <family val="2"/>
            <scheme val="minor"/>
          </rPr>
          <t>Unknown User:
HIGH POWERED SUCTION &amp; ACID TREATMENT
$65 First Service Discount</t>
        </r>
      </text>
    </comment>
    <comment ref="P144" authorId="1" shapeId="0" xr:uid="{99E3E916-04B4-48CE-A9AA-43FA87BA8E2F}">
      <text>
        <r>
          <rPr>
            <sz val="11"/>
            <color theme="1"/>
            <rFont val="Aptos Narrow"/>
            <family val="2"/>
            <scheme val="minor"/>
          </rPr>
          <t>Unknown User:
Quote not emailed</t>
        </r>
      </text>
    </comment>
    <comment ref="G145" authorId="1" shapeId="0" xr:uid="{55E05787-A69C-4AA5-B14F-88444985F648}">
      <text>
        <r>
          <rPr>
            <sz val="11"/>
            <color theme="1"/>
            <rFont val="Aptos Narrow"/>
            <family val="2"/>
            <scheme val="minor"/>
          </rPr>
          <t>Unknown User:
SEARCH &amp; INVESTIGATION OF GAS STORAGE HOT WATER SYSTEM</t>
        </r>
      </text>
    </comment>
    <comment ref="P145" authorId="1" shapeId="0" xr:uid="{AD94FD79-C713-468D-8691-3BE6FEE823DC}">
      <text>
        <r>
          <rPr>
            <sz val="11"/>
            <color theme="1"/>
            <rFont val="Aptos Narrow"/>
            <family val="2"/>
            <scheme val="minor"/>
          </rPr>
          <t>Unknown User:
Quote not emailed</t>
        </r>
      </text>
    </comment>
    <comment ref="G146" authorId="1" shapeId="0" xr:uid="{24E2ADCC-7BD1-4505-BDED-ACB727413E66}">
      <text>
        <r>
          <rPr>
            <sz val="11"/>
            <color theme="1"/>
            <rFont val="Aptos Narrow"/>
            <family val="2"/>
            <scheme val="minor"/>
          </rPr>
          <t>Unknown User:
ROOF LEAK SEARCH &amp; INVESTIGATION</t>
        </r>
      </text>
    </comment>
    <comment ref="G147" authorId="1" shapeId="0" xr:uid="{C2BBC3C2-8925-41DA-B928-E64BFA20FC93}">
      <text>
        <r>
          <rPr>
            <sz val="11"/>
            <color theme="1"/>
            <rFont val="Aptos Narrow"/>
            <family val="2"/>
            <scheme val="minor"/>
          </rPr>
          <t>Unknown User:
SEARCH &amp; INVESTIGATION OF POTENTIAL GAS LEAK</t>
        </r>
      </text>
    </comment>
    <comment ref="P147" authorId="1" shapeId="0" xr:uid="{17FCA81B-A20D-458C-BF72-DCD733C69286}">
      <text>
        <r>
          <rPr>
            <sz val="11"/>
            <color theme="1"/>
            <rFont val="Aptos Narrow"/>
            <family val="2"/>
            <scheme val="minor"/>
          </rPr>
          <t>Unknown User:
Quote not emailed</t>
        </r>
      </text>
    </comment>
    <comment ref="R147" authorId="1" shapeId="0" xr:uid="{F96F928F-2DF9-4317-B2A4-6C50D439A54C}">
      <text>
        <r>
          <rPr>
            <sz val="11"/>
            <color theme="1"/>
            <rFont val="Aptos Narrow"/>
            <family val="2"/>
            <scheme val="minor"/>
          </rPr>
          <t>Unknown User:
Sign not obtained until 16/7-5:10pm (AEST)</t>
        </r>
      </text>
    </comment>
    <comment ref="G148" authorId="1" shapeId="0" xr:uid="{3B6F0A2D-BBAF-4B43-9D57-2D674A9A5EBD}">
      <text>
        <r>
          <rPr>
            <sz val="11"/>
            <color theme="1"/>
            <rFont val="Aptos Narrow"/>
            <family val="2"/>
            <scheme val="minor"/>
          </rPr>
          <t>Unknown User:
SUPPLY &amp; INSTALLATION OF NEW INSTANTANEOUS GAS HOT WATER SYSTEM (EXTERNAL)
CREDIT OF SEARCH &amp; INVESTIGATION
10% Good Will Discount</t>
        </r>
      </text>
    </comment>
    <comment ref="P148" authorId="1" shapeId="0" xr:uid="{F72232E8-7E44-4393-AB31-AB551A9176C9}">
      <text>
        <r>
          <rPr>
            <sz val="11"/>
            <color theme="1"/>
            <rFont val="Aptos Narrow"/>
            <family val="2"/>
            <scheme val="minor"/>
          </rPr>
          <t>Unknown User:
Quote not emailed</t>
        </r>
      </text>
    </comment>
    <comment ref="U148" authorId="1" shapeId="0" xr:uid="{E6CA32CB-883D-4A4E-956F-B36D95DBCAE2}">
      <text>
        <r>
          <rPr>
            <sz val="11"/>
            <color theme="1"/>
            <rFont val="Aptos Narrow"/>
            <family val="2"/>
            <scheme val="minor"/>
          </rPr>
          <t>Unknown User:
4/8-As per Oscar's note "called carol back - honestly didnt really say much in 40mins - just kept repeating herself - tried to explain to her the iso valves but just refused to learn and understand what im saying - we are sending rnys out there to explain to her"
16 July-As per Caitlyn's note "called freaking out about price, plumber is there now so said go speak to him he can discuss price, she said she googled and seen it was x amount online i said why did you sign the quote and then agree for works then call back again today for the plumber to come back if she wasnt happy? away to the garden to find plumber but gave jaz a heads up to tell plumber"</t>
        </r>
      </text>
    </comment>
    <comment ref="G149" authorId="1" shapeId="0" xr:uid="{B1F971D4-C98F-4349-AF26-1A9ABD8BDB1A}">
      <text>
        <r>
          <rPr>
            <sz val="11"/>
            <color theme="1"/>
            <rFont val="Aptos Narrow"/>
            <family val="2"/>
            <scheme val="minor"/>
          </rPr>
          <t>Unknown User:
HIGH POWERED JET BLAST &amp; CCTV DRAIN CAMERA INSPECTION (SEWER SERVICE)
Non-refundable call out fee</t>
        </r>
      </text>
    </comment>
    <comment ref="L149" authorId="1" shapeId="0" xr:uid="{6F1CD6CF-16AD-483E-B09C-AF5129090A1A}">
      <text>
        <r>
          <rPr>
            <sz val="11"/>
            <color theme="1"/>
            <rFont val="Aptos Narrow"/>
            <family val="2"/>
            <scheme val="minor"/>
          </rPr>
          <t>Unknown User:
CCTV drain camera inspection pics/videos not uploaded.</t>
        </r>
      </text>
    </comment>
    <comment ref="P149" authorId="1" shapeId="0" xr:uid="{71A6FF0A-7C16-4184-AC3C-EC6A53EB72E0}">
      <text>
        <r>
          <rPr>
            <sz val="11"/>
            <color theme="1"/>
            <rFont val="Aptos Narrow"/>
            <family val="2"/>
            <scheme val="minor"/>
          </rPr>
          <t>Unknown User:
Quote not emailed</t>
        </r>
      </text>
    </comment>
    <comment ref="G150" authorId="1" shapeId="0" xr:uid="{1B820286-F657-4096-BC2B-71FADAEBEB9E}">
      <text>
        <r>
          <rPr>
            <sz val="11"/>
            <color theme="1"/>
            <rFont val="Aptos Narrow"/>
            <family val="2"/>
            <scheme val="minor"/>
          </rPr>
          <t>Unknown User:
REPLACEMENT OF EXISTING GOOSE NECK KITCHEN MIXER</t>
        </r>
      </text>
    </comment>
    <comment ref="N150" authorId="1" shapeId="0" xr:uid="{6216BD64-A6F0-4EDB-A2E2-7773AC7AFE69}">
      <text>
        <r>
          <rPr>
            <sz val="11"/>
            <color theme="1"/>
            <rFont val="Aptos Narrow"/>
            <family val="2"/>
            <scheme val="minor"/>
          </rPr>
          <t>Unknown User:
Quote not raised by plumber.</t>
        </r>
      </text>
    </comment>
    <comment ref="Q150" authorId="1" shapeId="0" xr:uid="{81829621-4C22-4EE9-A7DE-541C5DE05B44}">
      <text>
        <r>
          <rPr>
            <sz val="11"/>
            <color theme="1"/>
            <rFont val="Aptos Narrow"/>
            <family val="2"/>
            <scheme val="minor"/>
          </rPr>
          <t>Unknown User:
Invoice not raised.</t>
        </r>
      </text>
    </comment>
    <comment ref="G151" authorId="1" shapeId="0" xr:uid="{F1005A73-708B-48A2-9E5D-7853B5F082A5}">
      <text>
        <r>
          <rPr>
            <sz val="11"/>
            <color theme="1"/>
            <rFont val="Aptos Narrow"/>
            <family val="2"/>
            <scheme val="minor"/>
          </rPr>
          <t>Unknown User:
HIGH POWERED SUCTION PUMP</t>
        </r>
      </text>
    </comment>
    <comment ref="P151" authorId="1" shapeId="0" xr:uid="{7EC53867-8B09-422E-B120-6669270EA867}">
      <text>
        <r>
          <rPr>
            <sz val="11"/>
            <color theme="1"/>
            <rFont val="Aptos Narrow"/>
            <family val="2"/>
            <scheme val="minor"/>
          </rPr>
          <t>Unknown User:
Quote not emailed</t>
        </r>
      </text>
    </comment>
    <comment ref="V151" authorId="1" shapeId="0" xr:uid="{F207AE32-2DA3-4928-84EB-DA9B1DDC1C33}">
      <text>
        <r>
          <rPr>
            <sz val="11"/>
            <color theme="1"/>
            <rFont val="Aptos Narrow"/>
            <family val="2"/>
            <scheme val="minor"/>
          </rPr>
          <t>Unknown User:
Smartpay receipt of $1608.20 is split as $749.10 for initial job #71541 and as $859.10 for upsell job #71541/86208953.</t>
        </r>
      </text>
    </comment>
    <comment ref="G152" authorId="1" shapeId="0" xr:uid="{52E181EA-5915-4A00-A328-5BAB8D9FE0A2}">
      <text>
        <r>
          <rPr>
            <sz val="11"/>
            <color theme="1"/>
            <rFont val="Aptos Narrow"/>
            <family val="2"/>
            <scheme val="minor"/>
          </rPr>
          <t xml:space="preserve">Unknown User:
REPLACEMENT OF EXISTING GOOSE NECK KITCHEN MIXER (CUSTOMER SUPPLIED)
</t>
        </r>
      </text>
    </comment>
    <comment ref="P152" authorId="1" shapeId="0" xr:uid="{D0C76FB8-382A-4E5F-9220-1C64308B9F6B}">
      <text>
        <r>
          <rPr>
            <sz val="11"/>
            <color theme="1"/>
            <rFont val="Aptos Narrow"/>
            <family val="2"/>
            <scheme val="minor"/>
          </rPr>
          <t>Unknown User:
Quote not emailed</t>
        </r>
      </text>
    </comment>
    <comment ref="V152" authorId="1" shapeId="0" xr:uid="{FE72F6C5-AD32-48E1-A395-F4C02F635E47}">
      <text>
        <r>
          <rPr>
            <sz val="11"/>
            <color theme="1"/>
            <rFont val="Aptos Narrow"/>
            <family val="2"/>
            <scheme val="minor"/>
          </rPr>
          <t>Unknown User:
Smartpay receipt of $1608.20 is split as $749.10 for initial job #71541 and as $859.10 for upsell job #71541/86208953.</t>
        </r>
      </text>
    </comment>
    <comment ref="G157" authorId="1" shapeId="0" xr:uid="{463D48E3-0FCF-4AD9-987E-077B35F120CE}">
      <text>
        <r>
          <rPr>
            <sz val="11"/>
            <color theme="1"/>
            <rFont val="Aptos Narrow"/>
            <family val="2"/>
            <scheme val="minor"/>
          </rPr>
          <t>Unknown User:
HIGH POWERED JET BLAST &amp; CCTV CAMERA INSPECTION (GAIN ACCESS WITH REMOVAL OF TOILET)
Isolate main water supply to toilet cistern
Disconnect &amp; removal of existing water supply to toilet cistern
Disconnect &amp; removal of existing toilet cistern
Disconnect &amp; removal of existing toilet pan
Disconnect &amp; removal of existing toilet pan collar
Gain access to sewer service
Set up high powered Jet blaster
Set up High powered mini-Reel
Set up specialist whip hose
Set up high powered Turbines
Set up specialist CCTV Camera
Set up Specialist locator
Gain access to sewer service
First attempt to clear blocked sewer service using high powered Jet blaster in conjunction with specialist whip hose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existing toilet pan collar
Reinstate existing toilet pan
Reinstate existing toilet cistern
Reinstate toilet pan to floor
Reinstate water supply to toilet cistern
Reinstate water supply to toilet cistern
Clean worked area
Test &amp; commission installation
PLEASE NOTE IF BLOCKAGE DOES NOT CLEAR FURTHER COST WILL APPLY. THIS IS A FIRST ATTEMPT.
PLEASE NOTE IF TOILET PAN BREAKS DURING THE REMOVAL OF TOILET SUITE FURTHER COST WILL APPLY TO REPLACE
Call out fee applied</t>
        </r>
      </text>
    </comment>
    <comment ref="P157" authorId="1" shapeId="0" xr:uid="{8C142E3A-1E04-4F1C-84FD-B7478A812798}">
      <text>
        <r>
          <rPr>
            <sz val="11"/>
            <color theme="1"/>
            <rFont val="Aptos Narrow"/>
            <family val="2"/>
            <scheme val="minor"/>
          </rPr>
          <t>Unknown User:
Quote not Emailed</t>
        </r>
      </text>
    </comment>
    <comment ref="G158" authorId="1" shapeId="0" xr:uid="{F03EF651-18E6-47EB-A636-560AC0ADE3C3}">
      <text>
        <r>
          <rPr>
            <sz val="11"/>
            <color theme="1"/>
            <rFont val="Aptos Narrow"/>
            <family val="2"/>
            <scheme val="minor"/>
          </rPr>
          <t>Unknown User:
SEWER SPOT DIG UP TO 1.5M (UNDER CONCRETE)
10% Seniors &amp; Pensioners Discount</t>
        </r>
      </text>
    </comment>
    <comment ref="N158" authorId="1" shapeId="0" xr:uid="{8DBBB102-AFF3-49EA-91CF-12E97A91E868}">
      <text>
        <r>
          <rPr>
            <sz val="11"/>
            <color theme="1"/>
            <rFont val="Aptos Narrow"/>
            <family val="2"/>
            <scheme val="minor"/>
          </rPr>
          <t>Unknown User:
Quote Raised in #71383</t>
        </r>
      </text>
    </comment>
    <comment ref="P158" authorId="1" shapeId="0" xr:uid="{D463E369-12E0-4974-AB97-82BAFE25A6C2}">
      <text>
        <r>
          <rPr>
            <sz val="11"/>
            <color theme="1"/>
            <rFont val="Aptos Narrow"/>
            <family val="2"/>
            <scheme val="minor"/>
          </rPr>
          <t>Unknown User:
Quote not emailed</t>
        </r>
      </text>
    </comment>
    <comment ref="G159" authorId="1" shapeId="0" xr:uid="{946CD1A0-260D-4DD7-A69A-3E58B11B13F0}">
      <text>
        <r>
          <rPr>
            <sz val="11"/>
            <color theme="1"/>
            <rFont val="Aptos Narrow"/>
            <family val="2"/>
            <scheme val="minor"/>
          </rPr>
          <t xml:space="preserve">Unknown User:
SEWER SPOT DIG UP TO 2.5M - IN GROUND
Obtain sewer diagram
Obtain dial Before dig
Obtain service location diagram
Set up safe work area
Set up builders plastic
Set up barricades for safety
Dig &amp; Excavate Ground Area Up to 2.5M
Expose existing section of sewer service up to 2.5M
Expose existing sewer junctions (If Required)
Cut &amp; remove existing section of sewer service up to 2.5M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2.5M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Wash down worked area
Test &amp; commission installation
Remove trade waste
PLEASE NOTE IF FURTHER WORK REQUIRED OTHER THEN QUOTED WORK FURTHER COST WILL APPLY
</t>
        </r>
      </text>
    </comment>
    <comment ref="N159" authorId="1" shapeId="0" xr:uid="{5B347B51-D05A-4545-99B1-71E9ED5BDA9A}">
      <text>
        <r>
          <rPr>
            <sz val="11"/>
            <color theme="1"/>
            <rFont val="Aptos Narrow"/>
            <family val="2"/>
            <scheme val="minor"/>
          </rPr>
          <t>Unknown User:
Quote Raised in #71370</t>
        </r>
      </text>
    </comment>
    <comment ref="G160" authorId="1" shapeId="0" xr:uid="{1466DDA9-DDD8-4D34-8BFF-51018D0E4CC4}">
      <text>
        <r>
          <rPr>
            <sz val="11"/>
            <color theme="1"/>
            <rFont val="Aptos Narrow"/>
            <family val="2"/>
            <scheme val="minor"/>
          </rPr>
          <t xml:space="preserve">Unknown User:
SEARCH &amp; INVESTIGATION OF DOUBLE STOREY ROOF OF POTENTIAL LEAK
Set up ladders
Set up working-at-height equipment
Gain safe access to the roof
Visually inspect the roof above the areas of damage
Check the condition of roof sheets or tiles
Remove roof sheets or tiles in the required location (if required)
Visually inspect underneath roof sheets or tiles for any water damage to timbers or plaster (if required)
Inspect the condition of roof penetration flashings
Inspect the condition of skylight flashing
Inspect the condition and installation of guttering
Inspect the condition of roof flashings
Inspect the condition of box gutter joins
Inspect the condition of box gutter overflows
Inspect the condition of sumps
Inspect for sufficient overflow to the roof guttering
Flood test potential defected areas on the roof
Locate water ingress from below and identify the cause of water ingress
Carry out any minor repairs (e.g., deteriorated sealant or loose roofing screws)
Reinstate roof sheets or tiles in worked area (only)
Test and commission work completed
Remove all trade waste
PLEASE NOTE IF FURTHER WORK REQUIRED OTHER THEN QUOTED WORK FURTHER COST WILL APPLY
</t>
        </r>
      </text>
    </comment>
    <comment ref="G164" authorId="1" shapeId="0" xr:uid="{EEBCC949-6698-46B0-A926-D6E281760A93}">
      <text>
        <r>
          <rPr>
            <sz val="11"/>
            <color theme="1"/>
            <rFont val="Aptos Narrow"/>
            <family val="2"/>
            <scheme val="minor"/>
          </rPr>
          <t xml:space="preserve">Unknown User:
SEARCH &amp; INVESTIGATION OF SINGLE STOREY ROOF OF POTENTIAL LEAK
10% Good Will Discount </t>
        </r>
      </text>
    </comment>
    <comment ref="N164" authorId="1" shapeId="0" xr:uid="{BF4D171D-8211-40E7-8D7B-0996C5942D28}">
      <text>
        <r>
          <rPr>
            <sz val="11"/>
            <color theme="1"/>
            <rFont val="Aptos Narrow"/>
            <family val="2"/>
            <scheme val="minor"/>
          </rPr>
          <t>Unknown User:
Quote not raised by plumber.</t>
        </r>
      </text>
    </comment>
    <comment ref="U164" authorId="1" shapeId="0" xr:uid="{0D84FDAF-CD3B-41BE-865F-EC290865C659}">
      <text>
        <r>
          <rPr>
            <sz val="11"/>
            <color theme="1"/>
            <rFont val="Aptos Narrow"/>
            <family val="2"/>
            <scheme val="minor"/>
          </rPr>
          <t>Unknown User:
17/07-As per Francesco's note "Client not on site on completion, have sent through for signatures electronically. He said he will pay remaining balance once he returns home"</t>
        </r>
      </text>
    </comment>
    <comment ref="V164" authorId="1" shapeId="0" xr:uid="{1004DB28-B034-4909-8484-E1A7D82C381C}">
      <text>
        <r>
          <rPr>
            <sz val="11"/>
            <color theme="1"/>
            <rFont val="Aptos Narrow"/>
            <family val="2"/>
            <scheme val="minor"/>
          </rPr>
          <t>Unknown User:
12/9-Received $1926.47 by Smartpay</t>
        </r>
      </text>
    </comment>
    <comment ref="G169" authorId="1" shapeId="0" xr:uid="{2C87ED07-1346-42A7-9B38-14F0568AC147}">
      <text>
        <r>
          <rPr>
            <sz val="11"/>
            <color theme="1"/>
            <rFont val="Aptos Narrow"/>
            <family val="2"/>
            <scheme val="minor"/>
          </rPr>
          <t>Unknown User:
REPLACEMENT OF EXISTING OVERFLOW GULLY &amp; UP TO 1.5M OF MAIN SEWER SERVICE (UNDER CONCRETE)
Obtain Dial Before you Dig
Obtain Service Location Diagram
Set Up Safe Work Area
Set Up Builders Plastic
Set Up Barricades for Safety
Concrete Cut Ground Area – In Required Location
Jack Hammer Ground Area – In Required Location
Removal of Concrete – In Required Location
Dig &amp; Excavate Ground Area Up to 1.5M
Expose Existing Section of Sewer Service Up to 1.5M
Expose Existing Sewer Overflow Relief Gully
Expose Existing Sewer Junctions
Cut &amp; Remove Existing Section of Sewer Service Up to 1.5M
Cut &amp; Remove Existing Overflow Relief Gully
Cut &amp; Remove Existing Sewer Junctions
Gain Access to Sewer Service
Set Up High-Powered Jet Blaster
Set Up High-Powered Mini Reel
Set Up High-Powered Turbines
Re-Jetblast Sewer Service
Re-Camera &amp; Investigate Further
Supply &amp; Install New Section of Sewer Service Up to 1.5M
Supply &amp; Install New Sewer Overflow Relief Gully
Supply &amp; Install New Sewer Junctions
Supply &amp; Install New I/O Inspection Point
Supply &amp; Install New BTS and Raise to Ground Level
Supply &amp; Install New PVC Fittings
Connect New Sewer Overflow Relief Gully to Connection point
Connect New Section of Sewer Service to Existing Sewer Service
Concrete Encase New Connections to Existing Sewer Service
Encase New Section of Sewer Service with Blue Metal
Backfill Excavated Area
Prepare Worked Area for Re-Concrete
Re-Concrete Worked Area – Standard Concrete Finish
Restoration of Work Area
Test &amp; Commission Installation
Remove Trade Waste
PLEASE NOTE IF FURTHER WORK REQUIRED OTHER THEN QUOTED WORK FURTHER COST WILL APPLY</t>
        </r>
      </text>
    </comment>
    <comment ref="N169" authorId="1" shapeId="0" xr:uid="{EDF6F270-558F-45FA-979D-B33827663E71}">
      <text>
        <r>
          <rPr>
            <sz val="11"/>
            <color theme="1"/>
            <rFont val="Aptos Narrow"/>
            <family val="2"/>
            <scheme val="minor"/>
          </rPr>
          <t xml:space="preserve">Unknown User:
Quote raised in #71308
</t>
        </r>
      </text>
    </comment>
    <comment ref="P169" authorId="1" shapeId="0" xr:uid="{84E25063-4A8B-4119-BFC0-3C226B43516A}">
      <text>
        <r>
          <rPr>
            <sz val="11"/>
            <color theme="1"/>
            <rFont val="Aptos Narrow"/>
            <family val="2"/>
            <scheme val="minor"/>
          </rPr>
          <t>Unknown User:
Quote not Emailed</t>
        </r>
      </text>
    </comment>
    <comment ref="G170" authorId="1" shapeId="0" xr:uid="{1F5D2018-9E00-4740-9874-782AAD7A0978}">
      <text>
        <r>
          <rPr>
            <sz val="11"/>
            <color theme="1"/>
            <rFont val="Aptos Narrow"/>
            <family val="2"/>
            <scheme val="minor"/>
          </rPr>
          <t>Unknown User:
SEARCH &amp; INVESTIGATION OF DOUBLE STOREY ROOF OF POTENTIAL LEAK</t>
        </r>
      </text>
    </comment>
    <comment ref="P170" authorId="1" shapeId="0" xr:uid="{DC46B04C-4936-405F-AD2C-53DC307FA23D}">
      <text>
        <r>
          <rPr>
            <sz val="11"/>
            <color theme="1"/>
            <rFont val="Aptos Narrow"/>
            <family val="2"/>
            <scheme val="minor"/>
          </rPr>
          <t>Unknown User:
Quote not emailed</t>
        </r>
      </text>
    </comment>
    <comment ref="Q170" authorId="1" shapeId="0" xr:uid="{BA0F4BBE-6DBB-4770-AD8E-CCD8B32311E3}">
      <text>
        <r>
          <rPr>
            <sz val="11"/>
            <color theme="1"/>
            <rFont val="Aptos Narrow"/>
            <family val="2"/>
            <scheme val="minor"/>
          </rPr>
          <t>Unknown User:
Progress payment not updated in invoice.</t>
        </r>
      </text>
    </comment>
    <comment ref="R170" authorId="1" shapeId="0" xr:uid="{24FCDE66-EC76-410F-A1C7-4E56494B2276}">
      <text>
        <r>
          <rPr>
            <sz val="11"/>
            <color theme="1"/>
            <rFont val="Aptos Narrow"/>
            <family val="2"/>
            <scheme val="minor"/>
          </rPr>
          <t>Unknown User:
Invoice not Signed</t>
        </r>
      </text>
    </comment>
    <comment ref="G174" authorId="1" shapeId="0" xr:uid="{72926C44-16FA-406A-B724-89595ED5ED28}">
      <text>
        <r>
          <rPr>
            <sz val="11"/>
            <color theme="1"/>
            <rFont val="Aptos Narrow"/>
            <family val="2"/>
            <scheme val="minor"/>
          </rPr>
          <t>Unknown User:
HIGH POWERED SUCTION PUMP
Gain access to sewer service
Gain access to sewer fixture
Set up high powered suction pump
First attempt to clear blocked sewer using high powered suction pump
Attempt to clear sewer service using high powered suction pump
Attempt to clear debris from sewer service
Attempt to flush out sewer service &amp; debris
Test &amp; commission work completed
Removal of trade waste
PLEASE NOTE IF BLOCKAGES DOES NOT CLEAR FURTHER COST WILL APPLY. THIS IS A FIRST ATTEMPT</t>
        </r>
      </text>
    </comment>
    <comment ref="G175" authorId="1" shapeId="0" xr:uid="{139B5640-32E6-453F-9198-5157540DBBD8}">
      <text>
        <r>
          <rPr>
            <sz val="11"/>
            <color theme="1"/>
            <rFont val="Aptos Narrow"/>
            <family val="2"/>
            <scheme val="minor"/>
          </rPr>
          <t>Unknown User:
REPLACEMENT OF KITCHEN MIXER
Isolate main water supply to property
Disconnect existing cold-water supply to mixer tap
Disconnect existing hot-water supply to mixer tap
Disconnect and remove existing locking nut
Disconnect &amp; remove existing kitchen mixer tap
Clean and prepare work area for new installation
Supply and install new cold water emergency isolation valve
Supply and install new hot water emergency isolation valve
Supply &amp; install new kitchen mixer tap
Supply &amp; install new cold-water stainless steel flexi hose
Supply &amp; install new hot-water stainless steel flexi hose
Supply &amp; install new locking nut
Secure new kitchen mixer
Connect cold-water flexible hose to new emergency isolation valve
Connect hot-water flexible hose to new emergency isolation valve
Reinstate main water supply to property.
Test and commission installation
Removal of trade waste</t>
        </r>
      </text>
    </comment>
    <comment ref="G176" authorId="1" shapeId="0" xr:uid="{1D7F3B25-006E-47AA-B488-6CCFD0F890D9}">
      <text>
        <r>
          <rPr>
            <sz val="11"/>
            <color theme="1"/>
            <rFont val="Aptos Narrow"/>
            <family val="2"/>
            <scheme val="minor"/>
          </rPr>
          <t xml:space="preserve">Unknown User:
SEWER SPOT DIG UP TO ____M (UNDER PAVERS)
</t>
        </r>
      </text>
    </comment>
    <comment ref="G177" authorId="1" shapeId="0" xr:uid="{18558820-1F09-4BDA-8D69-C535C87A6265}">
      <text>
        <r>
          <rPr>
            <sz val="11"/>
            <color theme="1"/>
            <rFont val="Aptos Narrow"/>
            <family val="2"/>
            <scheme val="minor"/>
          </rPr>
          <t>Unknown User:
SUPPLY &amp; INSTALLATION OF SQUARE DOWNPIPE</t>
        </r>
      </text>
    </comment>
    <comment ref="G178" authorId="1" shapeId="0" xr:uid="{7EF8EADC-0E84-4713-B734-CB9EC3D2B754}">
      <text>
        <r>
          <rPr>
            <sz val="11"/>
            <color theme="1"/>
            <rFont val="Aptos Narrow"/>
            <family val="2"/>
            <scheme val="minor"/>
          </rPr>
          <t>Unknown User:
INSTALLATION OF DISHWASHER [SAME LOCATION] (CUSTOMER SUPPLIED) Isolate main water supply to existing dishwasher
15% Good Will Discount
$65 First Service Discount</t>
        </r>
      </text>
    </comment>
    <comment ref="G179" authorId="1" shapeId="0" xr:uid="{E6F54AE0-4FF5-48CC-B5CD-CD7074901F47}">
      <text>
        <r>
          <rPr>
            <sz val="11"/>
            <color theme="1"/>
            <rFont val="Aptos Narrow"/>
            <family val="2"/>
            <scheme val="minor"/>
          </rPr>
          <t>Unknown User:
CONVERT SOLAR SPLIT HOT WATER SYSTEM TO EXTERNAL GAS INSTANTANEOUS HOT
WATER SYSTEM
10% Good Will Discount</t>
        </r>
      </text>
    </comment>
    <comment ref="G180" authorId="1" shapeId="0" xr:uid="{3B8941F0-9DED-42FB-9D7B-FF247BE0C196}">
      <text>
        <r>
          <rPr>
            <sz val="11"/>
            <color theme="1"/>
            <rFont val="Aptos Narrow"/>
            <family val="2"/>
            <scheme val="minor"/>
          </rPr>
          <t>Unknown User:
MIXER TAP - STANDARD
$65 First Service Discount</t>
        </r>
      </text>
    </comment>
    <comment ref="G181" authorId="1" shapeId="0" xr:uid="{16FA882C-5BF2-429E-B960-B698E66D27EB}">
      <text>
        <r>
          <rPr>
            <sz val="11"/>
            <color theme="1"/>
            <rFont val="Aptos Narrow"/>
            <family val="2"/>
            <scheme val="minor"/>
          </rPr>
          <t xml:space="preserve">Unknown User:
COMPLETE WATER SERVICE INSPECTION 
</t>
        </r>
      </text>
    </comment>
    <comment ref="U181" authorId="1" shapeId="0" xr:uid="{E1C2A4C9-E57B-445B-AC10-E312A18CC845}">
      <text>
        <r>
          <rPr>
            <sz val="11"/>
            <color theme="1"/>
            <rFont val="Aptos Narrow"/>
            <family val="2"/>
            <scheme val="minor"/>
          </rPr>
          <t>Unknown User:
25/7-As per Zachias's note "Customer called, wasn't happy about quote not been able to be sent through again, I told him it wasn't in the system anymore. Customer asked to speak with the plumber, I called Jarrod and then I spoke with Kris. Kris approved for customer to be sent quote again, I texted Jarrod explaining I had told customer that the quote wasn't is the system anymore, asked Jarrod if he could call customer and say he remembered the quote and then email it through as customers' needs parents to see quote so he can approve it.'</t>
        </r>
      </text>
    </comment>
    <comment ref="G182" authorId="1" shapeId="0" xr:uid="{69BA9BA0-CC54-47F2-AD42-57C99C0DEE9A}">
      <text>
        <r>
          <rPr>
            <sz val="11"/>
            <color theme="1"/>
            <rFont val="Aptos Narrow"/>
            <family val="2"/>
            <scheme val="minor"/>
          </rPr>
          <t xml:space="preserve">Unknown User:
SEARCH AND INVESTIGATION OF GAS INSTANTANEOUS HOT WATER SYSTEM
</t>
        </r>
      </text>
    </comment>
    <comment ref="G183" authorId="1" shapeId="0" xr:uid="{596BC7AB-2DCA-4CAC-AF16-3C25FB5EB4E3}">
      <text>
        <r>
          <rPr>
            <sz val="11"/>
            <color theme="1"/>
            <rFont val="Aptos Narrow"/>
            <family val="2"/>
            <scheme val="minor"/>
          </rPr>
          <t>Unknown User:
SUPPLY &amp; INSTALLATION OF NEW LINK SUITE</t>
        </r>
      </text>
    </comment>
    <comment ref="G184" authorId="1" shapeId="0" xr:uid="{3752308B-DB9A-47EA-83A0-00DA3F5EA898}">
      <text>
        <r>
          <rPr>
            <sz val="11"/>
            <color theme="1"/>
            <rFont val="Aptos Narrow"/>
            <family val="2"/>
            <scheme val="minor"/>
          </rPr>
          <t>Unknown User:
SEARCH &amp; INVESTIGATION OF GAS STORAGE HOT WATER SYSTEM
$65 First Service Discount</t>
        </r>
      </text>
    </comment>
    <comment ref="G185" authorId="1" shapeId="0" xr:uid="{9D9B5A4C-0986-44C8-96D7-1E875726EDC4}">
      <text>
        <r>
          <rPr>
            <sz val="11"/>
            <color theme="1"/>
            <rFont val="Aptos Narrow"/>
            <family val="2"/>
            <scheme val="minor"/>
          </rPr>
          <t xml:space="preserve">Unknown User:
COMPLETE SERVICE OF TAP TOP ASSEMBLY
</t>
        </r>
      </text>
    </comment>
    <comment ref="G186" authorId="1" shapeId="0" xr:uid="{F2BEB071-7A9D-4D69-90D0-048EBAE0DBAD}">
      <text>
        <r>
          <rPr>
            <sz val="11"/>
            <color theme="1"/>
            <rFont val="Aptos Narrow"/>
            <family val="2"/>
            <scheme val="minor"/>
          </rPr>
          <t xml:space="preserve">Unknown User:
HIGH POWERED SUCTION &amp; ACID TREATMENT
</t>
        </r>
      </text>
    </comment>
    <comment ref="G187" authorId="1" shapeId="0" xr:uid="{5DD8DECB-2B0F-4BDF-8C9B-63C6937795CF}">
      <text>
        <r>
          <rPr>
            <sz val="11"/>
            <color theme="1"/>
            <rFont val="Aptos Narrow"/>
            <family val="2"/>
            <scheme val="minor"/>
          </rPr>
          <t>Unknown User:
REPLACEMENT OF KITCHEN MIXER</t>
        </r>
      </text>
    </comment>
    <comment ref="G188" authorId="1" shapeId="0" xr:uid="{2C76C7CF-890F-4353-8DF7-AD7B1C81A5AC}">
      <text>
        <r>
          <rPr>
            <sz val="11"/>
            <color theme="1"/>
            <rFont val="Aptos Narrow"/>
            <family val="2"/>
            <scheme val="minor"/>
          </rPr>
          <t>Unknown User:
SUPPLY AND INSTALLATION OF WHITE PVC P TRAP TO WALL BASIN
$85 Off First Service</t>
        </r>
      </text>
    </comment>
    <comment ref="G190" authorId="1" shapeId="0" xr:uid="{8224C3AD-C60D-4BCF-9A45-7F66FE578B28}">
      <text>
        <r>
          <rPr>
            <sz val="11"/>
            <color theme="1"/>
            <rFont val="Aptos Narrow"/>
            <family val="2"/>
            <scheme val="minor"/>
          </rPr>
          <t xml:space="preserve">Unknown User:
INSTALLATION OF NEW FREE-STANDING VANITY 750MM (CUSTOMER SUPPLIED)
</t>
        </r>
      </text>
    </comment>
    <comment ref="G191" authorId="1" shapeId="0" xr:uid="{DA5B01B0-41D8-4413-B625-8AFC165BE470}">
      <text>
        <r>
          <rPr>
            <sz val="11"/>
            <color theme="1"/>
            <rFont val="Aptos Narrow"/>
            <family val="2"/>
            <scheme val="minor"/>
          </rPr>
          <t>Unknown User:
CONVERT INTERNAL GAS STORAGE HOT WATER SYSTEM TO EXTERNAL GAS INSTANTANEOUS HOT WATER SYSTEM</t>
        </r>
      </text>
    </comment>
    <comment ref="G195" authorId="1" shapeId="0" xr:uid="{912B974F-7B34-4C48-BB2C-D3D48C91C68C}">
      <text>
        <r>
          <rPr>
            <sz val="11"/>
            <color theme="1"/>
            <rFont val="Aptos Narrow"/>
            <family val="2"/>
            <scheme val="minor"/>
          </rPr>
          <t>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t>
        </r>
      </text>
    </comment>
    <comment ref="G196" authorId="1" shapeId="0" xr:uid="{B6A6D4CD-AE82-404E-8F9F-76F839AED58D}">
      <text>
        <r>
          <rPr>
            <sz val="11"/>
            <color theme="1"/>
            <rFont val="Aptos Narrow"/>
            <family val="2"/>
            <scheme val="minor"/>
          </rPr>
          <t>Unknown User:
SEARCH &amp; INVESTIGATION OF SINGLE STOREY ROOF OF POTENTIAL LEAK
Set up ladders
Set up working-at-height equipment
Gain safe access to the roof
Visually inspect the roof above the areas of damage
Check the condition of roof sheets or tiles
Remove roof sheets or tiles in the required location (if required)
Visually inspect underneath roof sheets or tiles for any water damage to timbers or plaster (if required)
Inspect the condition of roof penetration flashings
Inspect the condition of skylight flashing
Inspect the condition and installation of guttering
Inspect the condition of roof flashings
Inspect the condition of box gutter joins
Inspect the condition of box gutter overflows
Inspect the condition of sumps
Inspect for sufficient overflow to the roof guttering
Flood test potential defected areas on the roof
Locate water ingress from below and identify the cause of water ingress
Carry out any minor repairs (e.g., deteriorated sealant or loose roofing screws)
Reinstate roof sheets or tiles in worked area (only)
Test and commission work completed
Remove all trade waste
PLEASE NOTE IF FURTHER WORK REQUIRED OTHER THEN QUOTED WORK FURTHER COST WILL APPLY</t>
        </r>
      </text>
    </comment>
    <comment ref="D197" authorId="1" shapeId="0" xr:uid="{3CB7D69F-22BA-4884-9EBF-B7C15784EEC9}">
      <text>
        <r>
          <rPr>
            <sz val="11"/>
            <color theme="1"/>
            <rFont val="Aptos Narrow"/>
            <family val="2"/>
            <scheme val="minor"/>
          </rPr>
          <t>Unknown User:
18/07 - Job created as quote
19/07 - Jarrod created an estimate</t>
        </r>
      </text>
    </comment>
    <comment ref="G197" authorId="1" shapeId="0" xr:uid="{B7489A34-0C18-4B08-89CF-F7B682053BF8}">
      <text>
        <r>
          <rPr>
            <sz val="11"/>
            <color theme="1"/>
            <rFont val="Aptos Narrow"/>
            <family val="2"/>
            <scheme val="minor"/>
          </rPr>
          <t>Unknown User:
SUPPLY &amp; INSTALLATION OF GAS STORAGE HOT WATER SYSTEM (EXTERNAL)
Isolate main water supply to property
Isolate main gas supply to property
Disconnect main gas supply to existing hot water system
Disconnect main cold-water supply to existing gas hot water system
Disconnect main hot water supply to existing gas hot water system
Disconnect existing plumbing connecting to existing gas hot water system
Drain existing gas hot water system
Removal of existing gas hot water system
Removal of existing brass fittings
Disconnect &amp; removal existing section of gas service connecting to existing internal hot water system
Disconnect &amp; removal of existing section of cold-water supply connecting to existing gas hot water system
Disconnect &amp; removal of existing section of hot supply connecting to existing section of gas hot water system
Clean &amp; prepare worked area
Supply &amp; install new external gas storage hot water system
Supply &amp; install new gas emergency isolation valve
Supply &amp; install new duo valve
Supply &amp; install new pressure limiting valve
Supply &amp; install tempering valve
Supply &amp; install new pressure relief valve
Supply &amp; install new B-press fittings
Supply &amp; install new Brass fittings
Supply &amp; install new section of copper gas service &amp; connect to new gas storage hot water system
Supply &amp; install new section of cold-water service &amp; connect to new gas storage hot water system
Supply &amp; install new section of hot water copper service &amp; connect to new gas storage hot water system
Supply &amp; install new pressure relief valve drain service in copper in accordance with AS3500
Reinstate main water supply to property
Reinstate main gas supply to property
Test &amp; commission installation
Removal of trade waste
PLEASE NOTE IF FURTHER WORK REQUIRED OUTSIDE OF QUOTED WORKS ADDITIONAL COSTS WILL APPLY</t>
        </r>
      </text>
    </comment>
    <comment ref="E218" authorId="2" shapeId="0" xr:uid="{7491292F-FBF5-462C-8FE4-DE96A7661582}">
      <text>
        <t>[Threaded comment]
Your version of Excel allows you to read this threaded comment; however, any edits to it will get removed if the file is opened in a newer version of Excel. Learn more: https://go.microsoft.com/fwlink/?linkid=870924
Comment:
    Stock</t>
      </text>
    </comment>
    <comment ref="E219" authorId="3" shapeId="0" xr:uid="{8CF88051-7FB0-4BE6-8124-385521006B97}">
      <text>
        <t>[Threaded comment]
Your version of Excel allows you to read this threaded comment; however, any edits to it will get removed if the file is opened in a newer version of Excel. Learn more: https://go.microsoft.com/fwlink/?linkid=870924
Comment:
    Stock</t>
      </text>
    </comment>
    <comment ref="E220" authorId="4" shapeId="0" xr:uid="{EEBB0B9E-08B1-4A4B-BC48-3246BE49A3C7}">
      <text>
        <t>[Threaded comment]
Your version of Excel allows you to read this threaded comment; however, any edits to it will get removed if the file is opened in a newer version of Excel. Learn more: https://go.microsoft.com/fwlink/?linkid=870924
Comment:
    Stock</t>
      </text>
    </comment>
    <comment ref="E221" authorId="5" shapeId="0" xr:uid="{80DA764F-1C30-486C-BC92-72D021416F09}">
      <text>
        <t>[Threaded comment]
Your version of Excel allows you to read this threaded comment; however, any edits to it will get removed if the file is opened in a newer version of Excel. Learn more: https://go.microsoft.com/fwlink/?linkid=870924
Comment:
    Stock</t>
      </text>
    </comment>
    <comment ref="E222" authorId="6" shapeId="0" xr:uid="{5AD9EEF0-DE63-4930-858A-A267D206B4FC}">
      <text>
        <t>[Threaded comment]
Your version of Excel allows you to read this threaded comment; however, any edits to it will get removed if the file is opened in a newer version of Excel. Learn more: https://go.microsoft.com/fwlink/?linkid=870924
Comment:
    Checked</t>
      </text>
    </comment>
    <comment ref="E223" authorId="7" shapeId="0" xr:uid="{EB33A5AB-5142-4F01-BBCC-A84F776A7AB5}">
      <text>
        <t>[Threaded comment]
Your version of Excel allows you to read this threaded comment; however, any edits to it will get removed if the file is opened in a newer version of Excel. Learn more: https://go.microsoft.com/fwlink/?linkid=870924
Comment:
    Checked</t>
      </text>
    </comment>
    <comment ref="E224" authorId="8" shapeId="0" xr:uid="{551A29D9-09CC-4C0F-8DE0-C5B23C442228}">
      <text>
        <t>[Threaded comment]
Your version of Excel allows you to read this threaded comment; however, any edits to it will get removed if the file is opened in a newer version of Excel. Learn more: https://go.microsoft.com/fwlink/?linkid=870924
Comment:
    Stock</t>
      </text>
    </comment>
    <comment ref="G230" authorId="1" shapeId="0" xr:uid="{C3F6B88D-429C-4677-90A5-B8B4BF92CBE9}">
      <text>
        <r>
          <rPr>
            <sz val="11"/>
            <color theme="1"/>
            <rFont val="Aptos Narrow"/>
            <family val="2"/>
            <scheme val="minor"/>
          </rPr>
          <t>Unknown User:
CCTV DRAIN CAMERA INSPECTION OF SEWER SERVICE</t>
        </r>
      </text>
    </comment>
    <comment ref="M230" authorId="1" shapeId="0" xr:uid="{BAB3BA35-FEE4-4B2C-9E52-DEB2FDCD14C1}">
      <text>
        <r>
          <rPr>
            <sz val="11"/>
            <color theme="1"/>
            <rFont val="Aptos Narrow"/>
            <family val="2"/>
            <scheme val="minor"/>
          </rPr>
          <t>Unknown User:
Smartpay receipt of $749.10 not uploaded by plumber.
Uploaded by Modoras team.</t>
        </r>
      </text>
    </comment>
    <comment ref="P230" authorId="1" shapeId="0" xr:uid="{242C13FE-6AD8-48F2-BDAE-D8DC35453C00}">
      <text>
        <r>
          <rPr>
            <sz val="11"/>
            <color theme="1"/>
            <rFont val="Aptos Narrow"/>
            <family val="2"/>
            <scheme val="minor"/>
          </rPr>
          <t>Unknown User:
Quote not emailed</t>
        </r>
      </text>
    </comment>
    <comment ref="Q230" authorId="1" shapeId="0" xr:uid="{FE05EE57-DA52-4EBD-A7D4-2B8DC9C3210D}">
      <text>
        <r>
          <rPr>
            <sz val="11"/>
            <color theme="1"/>
            <rFont val="Aptos Narrow"/>
            <family val="2"/>
            <scheme val="minor"/>
          </rPr>
          <t>Unknown User:
Final zero due invoice not raised by plumber.</t>
        </r>
      </text>
    </comment>
    <comment ref="G231" authorId="1" shapeId="0" xr:uid="{D933F803-2068-4BF2-9779-B6E1E7281242}">
      <text>
        <r>
          <rPr>
            <sz val="11"/>
            <color theme="1"/>
            <rFont val="Aptos Narrow"/>
            <family val="2"/>
            <scheme val="minor"/>
          </rPr>
          <t>Unknown User:
HIGH POWERED SUCTION &amp; ACID TREATMENT</t>
        </r>
      </text>
    </comment>
    <comment ref="P231" authorId="1" shapeId="0" xr:uid="{813401C9-0C44-4745-8AF7-7A5803EF05B1}">
      <text>
        <r>
          <rPr>
            <sz val="11"/>
            <color theme="1"/>
            <rFont val="Aptos Narrow"/>
            <family val="2"/>
            <scheme val="minor"/>
          </rPr>
          <t>Unknown User:
Quote not emailed</t>
        </r>
      </text>
    </comment>
    <comment ref="G232" authorId="1" shapeId="0" xr:uid="{0C52CAA5-F3F6-477A-8B47-FE8D73581921}">
      <text>
        <r>
          <rPr>
            <sz val="11"/>
            <color theme="1"/>
            <rFont val="Aptos Narrow"/>
            <family val="2"/>
            <scheme val="minor"/>
          </rPr>
          <t>Unknown User:
HIGH POWERED JET BLAST &amp; CCTV DRAIN CAMERA INSPECTION (SEWER SERVICE)</t>
        </r>
      </text>
    </comment>
    <comment ref="L232" authorId="1" shapeId="0" xr:uid="{21CA5AC7-3A5B-4EF8-8B33-35709CC7B4B8}">
      <text>
        <r>
          <rPr>
            <sz val="11"/>
            <color theme="1"/>
            <rFont val="Aptos Narrow"/>
            <family val="2"/>
            <scheme val="minor"/>
          </rPr>
          <t>Unknown User:
CCTV drain camera inspection pics are not uploaded.</t>
        </r>
      </text>
    </comment>
    <comment ref="P232" authorId="1" shapeId="0" xr:uid="{43A461E9-F72F-4338-A8D2-F5F01C14EBD2}">
      <text>
        <r>
          <rPr>
            <sz val="11"/>
            <color theme="1"/>
            <rFont val="Aptos Narrow"/>
            <family val="2"/>
            <scheme val="minor"/>
          </rPr>
          <t>Unknown User:
Quote not emailed</t>
        </r>
      </text>
    </comment>
    <comment ref="Q232" authorId="1" shapeId="0" xr:uid="{C51FDB55-D20C-461E-A823-2A8B97EBEC8C}">
      <text>
        <r>
          <rPr>
            <sz val="11"/>
            <color theme="1"/>
            <rFont val="Aptos Narrow"/>
            <family val="2"/>
            <scheme val="minor"/>
          </rPr>
          <t>Unknown User:
Final zero due invoice not raised by plumber.</t>
        </r>
      </text>
    </comment>
    <comment ref="G233" authorId="1" shapeId="0" xr:uid="{C5B3BACB-4EFD-4A1A-89CC-F36920467840}">
      <text>
        <r>
          <rPr>
            <sz val="11"/>
            <color theme="1"/>
            <rFont val="Aptos Narrow"/>
            <family val="2"/>
            <scheme val="minor"/>
          </rPr>
          <t>Unknown User:
SUPPLY &amp; INSTALLATION OF NEW LINK SUITE</t>
        </r>
      </text>
    </comment>
    <comment ref="P233" authorId="1" shapeId="0" xr:uid="{1D8D813D-55BF-417F-9A4E-5C8A62971CFD}">
      <text>
        <r>
          <rPr>
            <sz val="11"/>
            <color theme="1"/>
            <rFont val="Aptos Narrow"/>
            <family val="2"/>
            <scheme val="minor"/>
          </rPr>
          <t>Unknown User:
Quote not emailed</t>
        </r>
      </text>
    </comment>
    <comment ref="Q233" authorId="1" shapeId="0" xr:uid="{45B2BA61-6AA9-4C18-84BA-4C1B98F8B896}">
      <text>
        <r>
          <rPr>
            <sz val="11"/>
            <color theme="1"/>
            <rFont val="Aptos Narrow"/>
            <family val="2"/>
            <scheme val="minor"/>
          </rPr>
          <t>Unknown User:
Invoice not raised.</t>
        </r>
      </text>
    </comment>
    <comment ref="G234" authorId="1" shapeId="0" xr:uid="{88A12E7D-C904-4B0E-9E0C-0447E96BCCBC}">
      <text>
        <r>
          <rPr>
            <sz val="11"/>
            <color theme="1"/>
            <rFont val="Aptos Narrow"/>
            <family val="2"/>
            <scheme val="minor"/>
          </rPr>
          <t>Unknown User:
HIGH POWERED JET BLAST &amp; CCTV DRAIN CAMERA INSPECTION IN CONJUNCTION WITH SPECIALIST WHIP HOSE</t>
        </r>
      </text>
    </comment>
    <comment ref="P234" authorId="1" shapeId="0" xr:uid="{28527C86-4AAE-4AB0-9C17-8063DADBCE59}">
      <text>
        <r>
          <rPr>
            <sz val="11"/>
            <color theme="1"/>
            <rFont val="Aptos Narrow"/>
            <family val="2"/>
            <scheme val="minor"/>
          </rPr>
          <t xml:space="preserve">Unknown User:
Quote not emailed
</t>
        </r>
      </text>
    </comment>
    <comment ref="Q234" authorId="1" shapeId="0" xr:uid="{058B6255-1F0A-46E0-B789-804BED32B8EF}">
      <text>
        <r>
          <rPr>
            <sz val="11"/>
            <color theme="1"/>
            <rFont val="Aptos Narrow"/>
            <family val="2"/>
            <scheme val="minor"/>
          </rPr>
          <t>Unknown User:
Invoice not raised until 22/7-8:17pm (AEST)</t>
        </r>
      </text>
    </comment>
    <comment ref="G235" authorId="1" shapeId="0" xr:uid="{4F2C1759-17D7-47A0-91AA-6BBC781F85CB}">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236" authorId="1" shapeId="0" xr:uid="{DA56CA9A-F85C-4A9C-B80B-031174B05395}">
      <text>
        <r>
          <rPr>
            <sz val="11"/>
            <color theme="1"/>
            <rFont val="Aptos Narrow"/>
            <family val="2"/>
            <scheme val="minor"/>
          </rPr>
          <t>Unknown User:
REPLACEMENT OF BASIN MIXER</t>
        </r>
      </text>
    </comment>
    <comment ref="G237" authorId="1" shapeId="0" xr:uid="{27E902DB-F938-4384-B6FC-EA1B7EBF4C0E}">
      <text>
        <r>
          <rPr>
            <sz val="11"/>
            <color theme="1"/>
            <rFont val="Aptos Narrow"/>
            <family val="2"/>
            <scheme val="minor"/>
          </rPr>
          <t>Unknown User:
ROOF LEAK SEARCH &amp; INVESTIGATION</t>
        </r>
      </text>
    </comment>
    <comment ref="P237" authorId="1" shapeId="0" xr:uid="{0C7CE772-5D28-4CD7-92D8-4F0AC335D277}">
      <text>
        <r>
          <rPr>
            <sz val="11"/>
            <color theme="1"/>
            <rFont val="Aptos Narrow"/>
            <family val="2"/>
            <scheme val="minor"/>
          </rPr>
          <t xml:space="preserve">Unknown User:
Quote not emailed. Customer has no email.
As per Jarrod's note "Quote and invoice needs to be sent via mail as clients request - no email provided"
</t>
        </r>
      </text>
    </comment>
    <comment ref="S237" authorId="1" shapeId="0" xr:uid="{62CBDD26-35A6-4248-8A6E-D4944AC4C1C6}">
      <text>
        <r>
          <rPr>
            <sz val="11"/>
            <color theme="1"/>
            <rFont val="Aptos Narrow"/>
            <family val="2"/>
            <scheme val="minor"/>
          </rPr>
          <t>Unknown User:
Invoice not emailed.Customer has no email.
As per Jarrod's note "Quote and invoice needs to be sent via mail as clients request - no email provided"</t>
        </r>
      </text>
    </comment>
    <comment ref="G238" authorId="1" shapeId="0" xr:uid="{1066EAC0-3E22-443E-AD96-4D9338C1BB6A}">
      <text>
        <r>
          <rPr>
            <sz val="11"/>
            <color theme="1"/>
            <rFont val="Aptos Narrow"/>
            <family val="2"/>
            <scheme val="minor"/>
          </rPr>
          <t>Unknown User:
SEARCH &amp; INVESTIGATION (GENERAL)</t>
        </r>
      </text>
    </comment>
    <comment ref="G243" authorId="1" shapeId="0" xr:uid="{EF167456-B677-4D64-B72B-938DB1133158}">
      <text>
        <r>
          <rPr>
            <sz val="11"/>
            <color theme="1"/>
            <rFont val="Aptos Narrow"/>
            <family val="2"/>
            <scheme val="minor"/>
          </rPr>
          <t xml:space="preserve">Unknown User:
HIGH POWERED JET BLAST &amp; CCTV DRAIN CAMERA INSPECTION (SEWER SERVICE)
</t>
        </r>
      </text>
    </comment>
    <comment ref="R243" authorId="1" shapeId="0" xr:uid="{A70E7ADF-968A-44EE-A744-B4B7170F7B4C}">
      <text>
        <r>
          <rPr>
            <sz val="11"/>
            <color theme="1"/>
            <rFont val="Aptos Narrow"/>
            <family val="2"/>
            <scheme val="minor"/>
          </rPr>
          <t>Unknown User:
Sign not obtained</t>
        </r>
      </text>
    </comment>
    <comment ref="G247" authorId="1" shapeId="0" xr:uid="{184D75E9-EAF8-4E75-BA77-E97A53228106}">
      <text>
        <r>
          <rPr>
            <sz val="11"/>
            <color theme="1"/>
            <rFont val="Aptos Narrow"/>
            <family val="2"/>
            <scheme val="minor"/>
          </rPr>
          <t>Unknown User:
SEWER SPOT DIG UP TO 1.5M - IN GROUND
CREDIT HIGH POWERED JETBLAST &amp; CCTV CAMERA
Good Will Discount</t>
        </r>
      </text>
    </comment>
    <comment ref="O247" authorId="1" shapeId="0" xr:uid="{9D936245-0ACB-468F-842A-4CA1EAAC8A02}">
      <text>
        <r>
          <rPr>
            <sz val="11"/>
            <color theme="1"/>
            <rFont val="Aptos Narrow"/>
            <family val="2"/>
            <scheme val="minor"/>
          </rPr>
          <t>Unknown User:
Quote not signed</t>
        </r>
      </text>
    </comment>
    <comment ref="G248" authorId="1" shapeId="0" xr:uid="{5485B8C4-29CE-4E65-9B6A-8994B9E0ABD9}">
      <text>
        <r>
          <rPr>
            <sz val="11"/>
            <color theme="1"/>
            <rFont val="Aptos Narrow"/>
            <family val="2"/>
            <scheme val="minor"/>
          </rPr>
          <t>Unknown User:
SECTION OF RE ROOF UP TO 9 METERS
10% Seniors &amp; Pensioners Discount</t>
        </r>
      </text>
    </comment>
    <comment ref="P248" authorId="1" shapeId="0" xr:uid="{A657BF50-0FFB-4BEA-917A-45E42EBD9C6F}">
      <text>
        <r>
          <rPr>
            <sz val="11"/>
            <color theme="1"/>
            <rFont val="Aptos Narrow"/>
            <family val="2"/>
            <scheme val="minor"/>
          </rPr>
          <t>Unknown User:
Quote not emailed</t>
        </r>
      </text>
    </comment>
    <comment ref="U248" authorId="1" shapeId="0" xr:uid="{98780B69-E755-4D31-B6EA-9F7FB17ADBC9}">
      <text>
        <r>
          <rPr>
            <sz val="11"/>
            <color theme="1"/>
            <rFont val="Aptos Narrow"/>
            <family val="2"/>
            <scheme val="minor"/>
          </rPr>
          <t>Unknown User:
28/07-As per Luke's note "Received a call from Wayne - he was quite unhappy regarding the works that are currently in progress at his property. He said that the plumber told him that he would be doing other works outside of the quote. Wayne also said that he would refuse paying unless the quoted works were abided by. I spoke with Charbel to sort this out - went back and forth - I told Wayne that we would get the original plumber (Jarrod) to give him a call soon to discuss the next step."
25/7-As per Jarrod's note "Material is on site on the roof already
Installer to set up humm payment plan ( client wants to pay $5000 in cash/credit card) and the rest on humm"</t>
        </r>
      </text>
    </comment>
    <comment ref="G252" authorId="1" shapeId="0" xr:uid="{D3BF2F89-B69E-4300-BD0B-57A5CFAF3A03}">
      <text>
        <r>
          <rPr>
            <sz val="11"/>
            <color theme="1"/>
            <rFont val="Aptos Narrow"/>
            <family val="2"/>
            <scheme val="minor"/>
          </rPr>
          <t>Unknown User:
REPLACEMENT OF EXISTING OVERFLOW GULLY &amp; UP TO 1.5M OF MAIN SEWER SERVICE (UNDER CONCRETE)
Obtain Dial Before you Dig
Obtain Service Location Diagram
Set Up Safe Work Area
Set Up Builders Plastic
Set Up Barricades for Safety
Concrete Cut Ground Area – In Required Location
Jack Hammer Ground Area – In Required Location
Removal of Concrete – In Required Location
Dig &amp; Excavate Ground Area Up to 1.5M
Expose Existing Section of Sewer Service Up to 1.5M
Expose Existing Sewer Overflow Relief Gully
Expose Existing Sewer Junctions
Cut &amp; Remove Existing Section of Sewer Service Up to 1.5M
Cut &amp; Remove Existing Overflow Relief Gully
Cut &amp; Remove Existing Sewer Junctions
Gain Access to Sewer Service
Set Up High-Powered Jet Blaster
Set Up High-Powered Mini Reel
Set Up High-Powered Turbines
Re-Jetblast Sewer Service
Re-Camera &amp; Investigate Further
Supply &amp; Install New Section of Sewer Service Up to 1.5M
Supply &amp; Install New Sewer Overflow Relief Gully
Supply &amp; Install New Sewer Junctions
Supply &amp; Install New I/O Inspection Point
Supply &amp; Install New BTS and Raise to Ground Level
Supply &amp; Install New PVC Fittings
Connect New Sewer Overflow Relief Gully to Connection point
Connect New Section of Sewer Service to Existing Sewer Service
Concrete Encase New Connections to Existing Sewer Service
Encase New Section of Sewer Service with Blue Metal
Backfill Excavated Area
Prepare Worked Area for Re-Concrete
Re-Concrete Worked Area – Standard Concrete Finish
Restoration of Work Area
Test &amp; Commission Installation
Remove Trade Waste
PLEASE NOTE IF FURTHER WORK REQUIRED OTHER THEN QUOTED WORK FURTHER COST WILL APPLY</t>
        </r>
      </text>
    </comment>
    <comment ref="N252" authorId="1" shapeId="0" xr:uid="{A98AE2C1-2A4D-4D66-B199-A2EF99ACDE68}">
      <text>
        <r>
          <rPr>
            <sz val="11"/>
            <color theme="1"/>
            <rFont val="Aptos Narrow"/>
            <family val="2"/>
            <scheme val="minor"/>
          </rPr>
          <t xml:space="preserve">Unknown User:
Quote raised in #71308
</t>
        </r>
      </text>
    </comment>
    <comment ref="P252" authorId="1" shapeId="0" xr:uid="{4602B4DD-1313-4799-AF4C-9F7ACEB53C49}">
      <text>
        <r>
          <rPr>
            <sz val="11"/>
            <color theme="1"/>
            <rFont val="Aptos Narrow"/>
            <family val="2"/>
            <scheme val="minor"/>
          </rPr>
          <t>Unknown User:
Quote not Emailed</t>
        </r>
      </text>
    </comment>
    <comment ref="G253" authorId="1" shapeId="0" xr:uid="{1AD188EC-BD23-47F3-BBA3-60D486275147}">
      <text>
        <r>
          <rPr>
            <sz val="11"/>
            <color theme="1"/>
            <rFont val="Aptos Narrow"/>
            <family val="2"/>
            <scheme val="minor"/>
          </rPr>
          <t>Unknown User:
SEARCH &amp; INVESTIGATION OF DOUBLE STOREY ROOF OF POTENTIAL LEAK</t>
        </r>
      </text>
    </comment>
    <comment ref="P253" authorId="1" shapeId="0" xr:uid="{2A0C6170-77BE-414A-A764-C30B1397BA81}">
      <text>
        <r>
          <rPr>
            <sz val="11"/>
            <color theme="1"/>
            <rFont val="Aptos Narrow"/>
            <family val="2"/>
            <scheme val="minor"/>
          </rPr>
          <t>Unknown User:
Quote not emailed</t>
        </r>
      </text>
    </comment>
    <comment ref="Q253" authorId="1" shapeId="0" xr:uid="{F85C5B44-B678-4950-89CE-36D00E3D50E8}">
      <text>
        <r>
          <rPr>
            <sz val="11"/>
            <color theme="1"/>
            <rFont val="Aptos Narrow"/>
            <family val="2"/>
            <scheme val="minor"/>
          </rPr>
          <t>Unknown User:
Progress payment not updated in invoice.</t>
        </r>
      </text>
    </comment>
    <comment ref="R253" authorId="1" shapeId="0" xr:uid="{D3393CB2-F299-4C1C-A3E1-91FE853A4CEB}">
      <text>
        <r>
          <rPr>
            <sz val="11"/>
            <color theme="1"/>
            <rFont val="Aptos Narrow"/>
            <family val="2"/>
            <scheme val="minor"/>
          </rPr>
          <t>Unknown User:
Invoice not Signed</t>
        </r>
      </text>
    </comment>
    <comment ref="G254" authorId="1" shapeId="0" xr:uid="{58A60408-A679-4712-A32D-EF6AAA39A935}">
      <text>
        <r>
          <rPr>
            <sz val="11"/>
            <color theme="1"/>
            <rFont val="Aptos Narrow"/>
            <family val="2"/>
            <scheme val="minor"/>
          </rPr>
          <t xml:space="preserve">Unknown User:
SEARCH &amp; INVESTIGATION OF SINGLE STOREY ROOF OF POTENTIAL LEAK
10% Good Will Discount </t>
        </r>
      </text>
    </comment>
    <comment ref="N254" authorId="1" shapeId="0" xr:uid="{FA718640-1272-4469-975F-68107D8F787F}">
      <text>
        <r>
          <rPr>
            <sz val="11"/>
            <color theme="1"/>
            <rFont val="Aptos Narrow"/>
            <family val="2"/>
            <scheme val="minor"/>
          </rPr>
          <t>Unknown User:
Quote not raised by plumber.</t>
        </r>
      </text>
    </comment>
    <comment ref="U254" authorId="1" shapeId="0" xr:uid="{17D3BAE1-C666-4DC8-A2AB-C3C5796B830F}">
      <text>
        <r>
          <rPr>
            <sz val="11"/>
            <color theme="1"/>
            <rFont val="Aptos Narrow"/>
            <family val="2"/>
            <scheme val="minor"/>
          </rPr>
          <t>Unknown User:
17/07-As per Francesco's note "Client not on site on completion, have sent through for signatures electronically. He said he will pay remaining balance once he returns home"</t>
        </r>
      </text>
    </comment>
    <comment ref="G258" authorId="1" shapeId="0" xr:uid="{E0F52523-EF85-452B-B8B7-72A9C7A4F4E0}">
      <text>
        <r>
          <rPr>
            <sz val="11"/>
            <color theme="1"/>
            <rFont val="Aptos Narrow"/>
            <family val="2"/>
            <scheme val="minor"/>
          </rPr>
          <t>Unknown User:
SUPPLY &amp; INSTALLATION OF NEW WALL FACED TOILET SUITE
$65 First Service Discount</t>
        </r>
      </text>
    </comment>
    <comment ref="G261" authorId="1" shapeId="0" xr:uid="{801B021F-3DB8-4396-99E6-C742B9BDF24D}">
      <text>
        <r>
          <rPr>
            <sz val="11"/>
            <color theme="1"/>
            <rFont val="Aptos Narrow"/>
            <family val="2"/>
            <scheme val="minor"/>
          </rPr>
          <t xml:space="preserve">Unknown User:
REPLACEMENT OF KITCHEN MIXER-2 nos 
</t>
        </r>
      </text>
    </comment>
    <comment ref="G263" authorId="1" shapeId="0" xr:uid="{6C0516F1-0FAA-4056-845B-733FE2962BD6}">
      <text>
        <r>
          <rPr>
            <sz val="11"/>
            <color theme="1"/>
            <rFont val="Aptos Narrow"/>
            <family val="2"/>
            <scheme val="minor"/>
          </rPr>
          <t>Unknown User:
SPECIALIST LEAK DETECTION (WATER SERVICE)</t>
        </r>
      </text>
    </comment>
    <comment ref="G264" authorId="1" shapeId="0" xr:uid="{EC69A627-4B64-4C10-8E3E-630B698C6F6D}">
      <text>
        <r>
          <rPr>
            <sz val="11"/>
            <color theme="1"/>
            <rFont val="Aptos Narrow"/>
            <family val="2"/>
            <scheme val="minor"/>
          </rPr>
          <t>Unknown User:
SPECIALIST LEAK DETECTION (WATER SERVICE)</t>
        </r>
      </text>
    </comment>
    <comment ref="G265" authorId="1" shapeId="0" xr:uid="{799357E0-A2BA-44B2-BCD0-FFA26D411931}">
      <text>
        <r>
          <rPr>
            <sz val="11"/>
            <color theme="1"/>
            <rFont val="Aptos Narrow"/>
            <family val="2"/>
            <scheme val="minor"/>
          </rPr>
          <t>Unknown User:
INSTALLATION OF CUSTOMER SUPPLIED FRIDGE WITHIN 2.5M OF COLD WATER SUPPLY
$65 First Service Discount</t>
        </r>
      </text>
    </comment>
    <comment ref="G267" authorId="1" shapeId="0" xr:uid="{76958679-26E9-4DCA-BFD7-4A8B93CCBAD1}">
      <text>
        <r>
          <rPr>
            <sz val="11"/>
            <color theme="1"/>
            <rFont val="Aptos Narrow"/>
            <family val="2"/>
            <scheme val="minor"/>
          </rPr>
          <t>Unknown User:
REPLACEMENT OF CUSTOMER SUPPLIED CISTERN DUAL FLUSHING VALVE (COMPLETE ASSEMBLY)
Isolate water supply to cistern
Drain cistern
Disconnect &amp; remove water inlet to cistern
Disconnect &amp; remove cistern locking bolts
Disconnect &amp; remove cistern from pan
Disconnect &amp; remove existing dual flush valve lock nuts
Disconnect &amp; remove existing dual flush valve
Disconnect &amp; remove existing concealed gaskets
Clean &amp; prepare worked area
Supply &amp; install new sealants
Supply &amp; install new concealed gaskets
Supply &amp; install new dual flush valve to cistern
Supply &amp; install new dual flush valve lock nuts
Reinstate cistern to pan
Reinstate cistern locking bolts
Reinstate water inlet to cistern
Reinstate water supply to cistern
Test &amp; commission installation
Set flush levels of new dual flush outlet valve
Removal of trade waste from site
PLEASE NOTE IF FURTHER WORK REQUIRED OUTSIDE OF QUOTED WORKS ADDITIONAL COSTS WILL APPLY</t>
        </r>
      </text>
    </comment>
    <comment ref="G268" authorId="1" shapeId="0" xr:uid="{7EDC9B5B-A497-4B96-A443-29495D2A444C}">
      <text>
        <r>
          <rPr>
            <sz val="11"/>
            <color theme="1"/>
            <rFont val="Aptos Narrow"/>
            <family val="2"/>
            <scheme val="minor"/>
          </rPr>
          <t>Unknown User:
SUPPLY &amp; INSTALLATION OF NEW CLOSE COUPLED TOILET SUITE
Isolate main water supply to property
Disconnect cold water supply to existing toilet cistern
Removal of existing cold-water supply to toilet cistern
Disconnect &amp; removal of existing emergency isolation valve
Disconnect &amp; removal of existing toilet cistern
Disconnect &amp; removal of existing toilet seat
Disconnect &amp; removal of existing toilet pan
Disconnect &amp; removal of existing toilet pan collar
Disconnect &amp; removal of existing bedding / sealant
Clean &amp; prepare worked area
Supply &amp; install new toilet pan collar
Supply &amp; install new toilet pan
Supply &amp; install new toilet cistern
Supply &amp; install new toilet seat
Secure new toilet seat to new toilet pan
Supply &amp; install new cold-water stainless-steel flexi hose
Connect new cold-water stainless-steel flexi hose to new toilet cistern
Seal &amp; secure new toilet suite pan to floor
Reinstate water supply to property
Test &amp; commission installation
Removal of trade waste
PLEASE NOTE IF FURTHER WORK REQUIRED OUTSIDE OF QUOTED WORKS ADDITIONAL COSTS WILL APPLY</t>
        </r>
      </text>
    </comment>
    <comment ref="G269" authorId="1" shapeId="0" xr:uid="{B6AF5B4E-63D4-4B53-9A2D-ED5BF44D082E}">
      <text>
        <r>
          <rPr>
            <sz val="11"/>
            <color theme="1"/>
            <rFont val="Aptos Narrow"/>
            <family val="2"/>
            <scheme val="minor"/>
          </rPr>
          <t>Unknown User:
SEARCH AND INVESTIGATION OF GAS INSTANTANEOUS HOT WATER SYSTEM
Gain access to gas instantaneous hot water system
Gain access to main gas isolation valve to property
Removal of main test point at main meter
Test main gas supply with specialist manometer device
Reinstall main test point at main meter
Gain access to instantaneous hot water system test point
Removal of test point on existing instantaneous hot water system
Conduct gas supply with specialist manometer device at instantaneous hot water
system
Reinstall test point to gas instantaneous hot water system
Visually inspect gas supply and fittings to hot water system
Conduct soapy spray test on fittings and pipework (IF REQUIRED)
Check gas supply pressure to hot water system and control unit
Check integrity of gas isolation valve at hot water system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Waive Job</t>
        </r>
      </text>
    </comment>
    <comment ref="G271" authorId="1" shapeId="0" xr:uid="{FD1CE61C-FD72-401C-98AA-A5B9380CC997}">
      <text>
        <r>
          <rPr>
            <sz val="11"/>
            <color theme="1"/>
            <rFont val="Aptos Narrow"/>
            <family val="2"/>
            <scheme val="minor"/>
          </rPr>
          <t>Unknown User:
SEWER SPOT DIG UP TO 6M (UNDER CONCRETE)
Obtain sewer diagram
Obtain dial Before dig
Obtain service location diagram
Set up safe work area
Set up builders plastic
Set up barricades for safety
Concrete cut ground area
Jack hammer ground area
Removal of concrete in required location
Dig &amp; Excavate Ground Area Up to 6M
Expose existing section of sewer service up to 6M
Expose existing sewer junctions (If Required)
Cut &amp; remove existing section of sewer service up to 6M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6M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
10% Good Will Discount</t>
        </r>
      </text>
    </comment>
    <comment ref="G272" authorId="1" shapeId="0" xr:uid="{0041DD2C-3328-46FC-A1A0-20A03B4EE8F3}">
      <text>
        <r>
          <rPr>
            <sz val="11"/>
            <color theme="1"/>
            <rFont val="Aptos Narrow"/>
            <family val="2"/>
            <scheme val="minor"/>
          </rPr>
          <t>Unknown User:
SEARCH AND INVESTIGATION OF SOLAR SPLIT HOT WATER SYSTEM
Set up safe worked area
Gain access to solar hot water system
Gain access to solar panels
Gain access to main electrical supply
Check power supply at mains
Disconnect and remove hot water system electrical cover
Check power supply to solar hot water hot water unit
Check power supply to thermostat
Check power supply to element
Check water supply to isolation valve
Check hot water system for tempering valve
Check water supply pressure to property
Check hot water system flow rate
Check electrical cable connections on hot water unit
Visually inspect electrical cable for ruptures where able
Check relief valve operation and integrity
Check discharge from outlet of hot water system for any signs of rust and corrosion in hot water supply
Determine cause and include any repair to a loose pipe or loose wire connection
PLEASE NOTE IF FURTHER WORK IS REQUIRED ADDITIONAL COSTS WILL APPLY
Please note:
- We aim to detect all faults, however due to the differing nature of faults, we may only be able to find the primary fault. Secondary and other faults may only become apparent when the primary fault has been repaired.
- If a fault is found, then other exploratory methods will not be conducted if not required.
- Once fault is found further cost will apply to repair.</t>
        </r>
      </text>
    </comment>
    <comment ref="G273" authorId="1" shapeId="0" xr:uid="{8F392448-91E2-4217-A3B7-AD33BF334902}">
      <text>
        <r>
          <rPr>
            <sz val="11"/>
            <color theme="1"/>
            <rFont val="Aptos Narrow"/>
            <family val="2"/>
            <scheme val="minor"/>
          </rPr>
          <t>Unknown User:
CONVERT SOLAR SPLIT HOT WATER SYSTEM TO EXTERNAL GAS INSTANTANEOUS HOT WATER SYSTEM
Isolate main power supply to property
Isolate main water supply to property
Isolate main gas supply to property
Gain safe access to existing solar hot water system
Disconnect power supply to solar hot water system
Disconnect water supply to solar hot water system
Disconnect plumbing to solar panels
Disconnect &amp; removal of existing valves connecting to solar hot water system
Disconnect &amp; removal of existing brass fittings connecting to solar hot water system
Disconnect &amp; removal of existing cold-water supply connecting to solar hot water system
Disconnect &amp; removal of existing hot water return supply connecting to solar hot water system
Disconnect &amp; removal of existing plumbing connecting to solar panels
Decommission existing roof mounted solar panels
Drain tank
Removal of tank
Mark out new desired location for new gas instantaneous hot water system
Gain access to cold water supply
Gain access to hot water return supply
Gain access to existing gas supply
Redirect cold water supply in copper for new gas instantaneous hot water system
Redirect hot water supply in copper for new gas instantaneous hot water system
Redirect gas supply in copper for new gas instantaneous hot water system
Supply &amp; install new gas instantaneous hot water system in new desired location
Secure new gas instantaneous hot water system in new desired location
Supply &amp; install new gas emergency isolation valve
Supply &amp; install new cold water emergency isolation valve
Supply &amp; install new gas instantaneous hot water system valve kit
Supply &amp; install new brass fittings
Supply &amp; install new B-press fittings
Connect new cold-water service to new gas instantaneous hot water system
Connect new hot water service to new gas instantaneous hot water system
Connect new gas service to new gas instantaneous hot water system
Connect power supply to new gas instantaneous hot water system
Reinstate main water supply to property
Reinstate main power supply to property
Reinstate gas supply to property
Test &amp; commission installation
Removal of trade waste
**Please note solar panels will be left on roof to save cost**
IF FURTHER WORK REQUIRED OUTSIDE OF QUOTED WORKS ADDITIONAL COSTS WILL APPLY</t>
        </r>
      </text>
    </comment>
    <comment ref="G274" authorId="1" shapeId="0" xr:uid="{6E768686-14D7-4C01-8886-D33A71EFF05F}">
      <text>
        <r>
          <rPr>
            <sz val="11"/>
            <color theme="1"/>
            <rFont val="Aptos Narrow"/>
            <family val="2"/>
            <scheme val="minor"/>
          </rPr>
          <t xml:space="preserve">Unknown User:
SUPPLY &amp; INSTALLATION OF NEW INSTANTANEOUS GAS HOT WATER SYSTEM (EXTERNAL)
</t>
        </r>
      </text>
    </comment>
    <comment ref="G275" authorId="1" shapeId="0" xr:uid="{17A93080-0B41-457B-A743-FC6FD4C21A3C}">
      <text>
        <r>
          <rPr>
            <sz val="11"/>
            <color theme="1"/>
            <rFont val="Aptos Narrow"/>
            <family val="2"/>
            <scheme val="minor"/>
          </rPr>
          <t xml:space="preserve">Unknown User:
HIGH POWERED JET BLAST &amp; CCTV DRAIN CAMERA INSPECTION (SEWER SERVICE)
</t>
        </r>
      </text>
    </comment>
    <comment ref="G276" authorId="1" shapeId="0" xr:uid="{40A8AD4F-BD3D-4455-B3DE-B15705F1A2E2}">
      <text>
        <r>
          <rPr>
            <sz val="11"/>
            <color theme="1"/>
            <rFont val="Aptos Narrow"/>
            <family val="2"/>
            <scheme val="minor"/>
          </rPr>
          <t xml:space="preserve">Unknown User:
SPECIALIST LEAK DETECTION (WATER SERVICE)
</t>
        </r>
      </text>
    </comment>
    <comment ref="G278" authorId="1" shapeId="0" xr:uid="{175446F3-2596-4E28-ABC9-4D41FB7AC4CA}">
      <text>
        <r>
          <rPr>
            <sz val="11"/>
            <color theme="1"/>
            <rFont val="Aptos Narrow"/>
            <family val="2"/>
            <scheme val="minor"/>
          </rPr>
          <t xml:space="preserve">Unknown User:
SUPPLY &amp; INSTALLATION OF TEMPERING VALVE
</t>
        </r>
      </text>
    </comment>
    <comment ref="G279" authorId="1" shapeId="0" xr:uid="{AC3192B3-7793-4FF7-92CF-A83A02AC3925}">
      <text>
        <r>
          <rPr>
            <sz val="11"/>
            <color theme="1"/>
            <rFont val="Aptos Narrow"/>
            <family val="2"/>
            <scheme val="minor"/>
          </rPr>
          <t xml:space="preserve">Unknown User:
REPLACEMENT OF IN WALL MIXER
</t>
        </r>
      </text>
    </comment>
    <comment ref="G280" authorId="1" shapeId="0" xr:uid="{69F378D1-3330-47A8-A556-A3CFADF54A97}">
      <text>
        <r>
          <rPr>
            <sz val="11"/>
            <color theme="1"/>
            <rFont val="Aptos Narrow"/>
            <family val="2"/>
            <scheme val="minor"/>
          </rPr>
          <t xml:space="preserve">Unknown User:
SEARCH &amp; INVESTIGATION (GENERAL)
</t>
        </r>
      </text>
    </comment>
    <comment ref="G281" authorId="1" shapeId="0" xr:uid="{D10F683C-F9F6-4174-8A13-134EC00FD033}">
      <text>
        <r>
          <rPr>
            <sz val="11"/>
            <color theme="1"/>
            <rFont val="Aptos Narrow"/>
            <family val="2"/>
            <scheme val="minor"/>
          </rPr>
          <t xml:space="preserve">Unknown User:
REPLACEMENT OF SEWER SHAFT UP TO 1.5 M (UNDER CONCRETE)
</t>
        </r>
      </text>
    </comment>
    <comment ref="G282" authorId="1" shapeId="0" xr:uid="{23A17A13-F152-40ED-B689-2E8BB25DE331}">
      <text>
        <r>
          <rPr>
            <sz val="11"/>
            <color theme="1"/>
            <rFont val="Aptos Narrow"/>
            <family val="2"/>
            <scheme val="minor"/>
          </rPr>
          <t>Unknown User:
SUPPLY &amp; INSTALLATION OF NEW INSTANTANEOUS GAS HOT WATER SYSTEM (EXTERNAL)</t>
        </r>
      </text>
    </comment>
    <comment ref="E303" authorId="9" shapeId="0" xr:uid="{8F003FA2-7C3D-4490-BBA5-B455C4A64AFF}">
      <text>
        <t>[Threaded comment]
Your version of Excel allows you to read this threaded comment; however, any edits to it will get removed if the file is opened in a newer version of Excel. Learn more: https://go.microsoft.com/fwlink/?linkid=870924
Comment:
    Stock</t>
      </text>
    </comment>
    <comment ref="G314" authorId="1" shapeId="0" xr:uid="{3552396E-C423-44E3-9AD9-15235A1EB606}">
      <text>
        <r>
          <rPr>
            <sz val="11"/>
            <color theme="1"/>
            <rFont val="Aptos Narrow"/>
            <family val="2"/>
            <scheme val="minor"/>
          </rPr>
          <t xml:space="preserve">Unknown User:
HIGH POWERED JET BLAST &amp; CCTV DRAIN CAMERA INSPECTION (SEWER SERVICE)
</t>
        </r>
      </text>
    </comment>
    <comment ref="U314" authorId="1" shapeId="0" xr:uid="{97E61B93-19E4-49E7-9602-1036C9293F94}">
      <text>
        <r>
          <rPr>
            <sz val="11"/>
            <color theme="1"/>
            <rFont val="Aptos Narrow"/>
            <family val="2"/>
            <scheme val="minor"/>
          </rPr>
          <t>Unknown User:
30/07-As per Joshua G's note "callback from DOUG - had a sewer blockage. Wanted a local plumber, found us to be a huge organisation instead. Negotiated price for upsell, offered seniors discount.
had another local plumber attend, managed to get cctv camera into sewer main. Cleared tree roots and ascertained it was Greater Western Water problem. Asked for full refund"</t>
        </r>
      </text>
    </comment>
    <comment ref="G315" authorId="1" shapeId="0" xr:uid="{79918D68-5547-4EC5-8CC9-12D41C60347C}">
      <text>
        <r>
          <rPr>
            <sz val="11"/>
            <color theme="1"/>
            <rFont val="Aptos Narrow"/>
            <family val="2"/>
            <scheme val="minor"/>
          </rPr>
          <t>Unknown User:
HIGH POWERED SUCTION &amp; ACID TREATMENT</t>
        </r>
      </text>
    </comment>
    <comment ref="G316" authorId="1" shapeId="0" xr:uid="{9E48B9D0-4679-4C25-B7DA-5911925914E5}">
      <text>
        <r>
          <rPr>
            <sz val="11"/>
            <color theme="1"/>
            <rFont val="Aptos Narrow"/>
            <family val="2"/>
            <scheme val="minor"/>
          </rPr>
          <t>Unknown User:
SUPPLY &amp; INSTALLATION OF NEW CLOSE COUPLED TOILET SUITE</t>
        </r>
      </text>
    </comment>
    <comment ref="G317" authorId="1" shapeId="0" xr:uid="{0AE2BCAC-A274-4BA6-BF0D-E0AB87B9A589}">
      <text>
        <r>
          <rPr>
            <sz val="11"/>
            <color theme="1"/>
            <rFont val="Aptos Narrow"/>
            <family val="2"/>
            <scheme val="minor"/>
          </rPr>
          <t>Unknown User:
SEARCH &amp; INVESTIGATION (GENERAL</t>
        </r>
      </text>
    </comment>
    <comment ref="G318" authorId="1" shapeId="0" xr:uid="{E97548FB-34D9-4A6C-ACC5-DAF47A35D3C9}">
      <text>
        <r>
          <rPr>
            <sz val="11"/>
            <color theme="1"/>
            <rFont val="Aptos Narrow"/>
            <family val="2"/>
            <scheme val="minor"/>
          </rPr>
          <t>Unknown User:
WATER SERVICE RECTIFICATION UP TO 1.5M (IN WALL)
10% Seniors &amp; Pensioners Discount
Customer Satisfaction Discount</t>
        </r>
      </text>
    </comment>
    <comment ref="Q318" authorId="1" shapeId="0" xr:uid="{D477022F-FD7B-4EE7-BD6F-3ACA8DEEAB0E}">
      <text>
        <r>
          <rPr>
            <sz val="11"/>
            <color theme="1"/>
            <rFont val="Aptos Narrow"/>
            <family val="2"/>
            <scheme val="minor"/>
          </rPr>
          <t xml:space="preserve">Unknown User:
Final invoice not raised until 30/7-9:30PM (AEST)
</t>
        </r>
      </text>
    </comment>
    <comment ref="G319" authorId="1" shapeId="0" xr:uid="{886A0049-4A4E-4D76-BDBD-B672D3CD9E69}">
      <text>
        <r>
          <rPr>
            <sz val="11"/>
            <color theme="1"/>
            <rFont val="Aptos Narrow"/>
            <family val="2"/>
            <scheme val="minor"/>
          </rPr>
          <t xml:space="preserve">Unknown User:
HIGH POWERED SUCTION &amp; ACID TREATMENT
</t>
        </r>
      </text>
    </comment>
    <comment ref="G320" authorId="1" shapeId="0" xr:uid="{CFCDD37D-FB37-49B7-9743-D8F78E24E517}">
      <text>
        <r>
          <rPr>
            <sz val="11"/>
            <color theme="1"/>
            <rFont val="Aptos Narrow"/>
            <family val="2"/>
            <scheme val="minor"/>
          </rPr>
          <t>Unknown User:
HIGH POWERED SUCTION &amp; ACID TREATMENT
Non-refundable call out fee</t>
        </r>
      </text>
    </comment>
    <comment ref="G321" authorId="1" shapeId="0" xr:uid="{6568F8A0-FEE8-4E88-A33C-6C39EF27FC22}">
      <text>
        <r>
          <rPr>
            <sz val="11"/>
            <color theme="1"/>
            <rFont val="Aptos Narrow"/>
            <family val="2"/>
            <scheme val="minor"/>
          </rPr>
          <t>Unknown User:
REPLACEMENT OF SHOWER ON RAIL
10% Seniors &amp; Pensioners Discount</t>
        </r>
      </text>
    </comment>
    <comment ref="G322" authorId="1" shapeId="0" xr:uid="{ECA4E5DA-1CA5-4AD3-8110-53A2B259AEDC}">
      <text>
        <r>
          <rPr>
            <sz val="11"/>
            <color theme="1"/>
            <rFont val="Aptos Narrow"/>
            <family val="2"/>
            <scheme val="minor"/>
          </rPr>
          <t xml:space="preserve">Unknown User:
SUPPLY &amp; INSTALLATION OF NEW INSTANTANEOUS GAS HOT WATER SYSTEM (EXTERNAL)
</t>
        </r>
      </text>
    </comment>
    <comment ref="G323" authorId="1" shapeId="0" xr:uid="{40F3DAF9-97CF-49EC-AD1B-A3E274649EC9}">
      <text>
        <r>
          <rPr>
            <sz val="11"/>
            <color theme="1"/>
            <rFont val="Aptos Narrow"/>
            <family val="2"/>
            <scheme val="minor"/>
          </rPr>
          <t>Unknown User:
SEARCH &amp; INVESTIGATION (GENERAL)</t>
        </r>
      </text>
    </comment>
    <comment ref="G324" authorId="1" shapeId="0" xr:uid="{3A2DDCF1-91C3-4AC3-91E6-BFDBF0DFC497}">
      <text>
        <r>
          <rPr>
            <sz val="11"/>
            <color theme="1"/>
            <rFont val="Aptos Narrow"/>
            <family val="2"/>
            <scheme val="minor"/>
          </rPr>
          <t>Unknown User:
SECTIONAL SEWER STACK REPLACEMENT UP TO 2M</t>
        </r>
      </text>
    </comment>
    <comment ref="G325" authorId="1" shapeId="0" xr:uid="{57ADCCE6-563D-4A01-B743-5D5B2B390C5D}">
      <text>
        <r>
          <rPr>
            <sz val="11"/>
            <color theme="1"/>
            <rFont val="Aptos Narrow"/>
            <family val="2"/>
            <scheme val="minor"/>
          </rPr>
          <t xml:space="preserve">Unknown User:
WATER SERVICE RECTIFICATION UP TO 1.5M (EXPOSED)
</t>
        </r>
      </text>
    </comment>
    <comment ref="L325" authorId="1" shapeId="0" xr:uid="{E0C71399-C6B8-4383-8E0C-249AC7A958B3}">
      <text>
        <r>
          <rPr>
            <sz val="11"/>
            <color theme="1"/>
            <rFont val="Aptos Narrow"/>
            <family val="2"/>
            <scheme val="minor"/>
          </rPr>
          <t>Unknown User:
After photos uploaded in job #71974</t>
        </r>
      </text>
    </comment>
    <comment ref="G330" authorId="1" shapeId="0" xr:uid="{23DBEA23-CF65-4C7F-B5AD-5054056133A0}">
      <text>
        <r>
          <rPr>
            <sz val="11"/>
            <color theme="1"/>
            <rFont val="Aptos Narrow"/>
            <family val="2"/>
            <scheme val="minor"/>
          </rPr>
          <t>Unknown User:
SECTION OF RE ROOF UP TO 9 METERS
10% Seniors &amp; Pensioners Discount</t>
        </r>
      </text>
    </comment>
    <comment ref="P330" authorId="1" shapeId="0" xr:uid="{251D484F-A311-4429-804E-D2C56273ED71}">
      <text>
        <r>
          <rPr>
            <sz val="11"/>
            <color theme="1"/>
            <rFont val="Aptos Narrow"/>
            <family val="2"/>
            <scheme val="minor"/>
          </rPr>
          <t>Unknown User:
Quote not emailed</t>
        </r>
      </text>
    </comment>
    <comment ref="U330" authorId="1" shapeId="0" xr:uid="{83BECA56-97EA-46C7-BE10-21116A161F34}">
      <text>
        <r>
          <rPr>
            <sz val="11"/>
            <color theme="1"/>
            <rFont val="Aptos Narrow"/>
            <family val="2"/>
            <scheme val="minor"/>
          </rPr>
          <t>Unknown User:
28/07-As per Luke's note "Received a call from Wayne - he was quite unhappy regarding the works that are currently in progress at his property. He said that the plumber told him that he would be doing other works outside of the quote. Wayne also said that he would refuse paying unless the quoted works were abided by. I spoke with Charbel to sort this out - went back and forth - I told Wayne that we would get the original plumber (Jarrod) to give him a call soon to discuss the next step."
25/7-As per Jarrod's note "Material is on site on the roof already
Installer to set up humm payment plan ( client wants to pay $5000 in cash/credit card) and the rest on humm"</t>
        </r>
      </text>
    </comment>
    <comment ref="V330" authorId="1" shapeId="0" xr:uid="{580FC4A3-8F9F-43ED-82BF-E7D45FCF64FD}">
      <text>
        <r>
          <rPr>
            <sz val="11"/>
            <color theme="1"/>
            <rFont val="Aptos Narrow"/>
            <family val="2"/>
            <scheme val="minor"/>
          </rPr>
          <t xml:space="preserve">Unknown User:
31/07 Received $7941.56 Card </t>
        </r>
      </text>
    </comment>
    <comment ref="G331" authorId="1" shapeId="0" xr:uid="{78C5EBBB-AC5C-4EB6-B666-C59A0F11BACF}">
      <text>
        <r>
          <rPr>
            <sz val="11"/>
            <color theme="1"/>
            <rFont val="Aptos Narrow"/>
            <family val="2"/>
            <scheme val="minor"/>
          </rPr>
          <t>Unknown User:
REPLACEMENT OF EXISTING OVERFLOW GULLY &amp; UP TO 1.5M OF MAIN SEWER SERVICE (UNDER CONCRETE)
Obtain Dial Before you Dig
Obtain Service Location Diagram
Set Up Safe Work Area
Set Up Builders Plastic
Set Up Barricades for Safety
Concrete Cut Ground Area – In Required Location
Jack Hammer Ground Area – In Required Location
Removal of Concrete – In Required Location
Dig &amp; Excavate Ground Area Up to 1.5M
Expose Existing Section of Sewer Service Up to 1.5M
Expose Existing Sewer Overflow Relief Gully
Expose Existing Sewer Junctions
Cut &amp; Remove Existing Section of Sewer Service Up to 1.5M
Cut &amp; Remove Existing Overflow Relief Gully
Cut &amp; Remove Existing Sewer Junctions
Gain Access to Sewer Service
Set Up High-Powered Jet Blaster
Set Up High-Powered Mini Reel
Set Up High-Powered Turbines
Re-Jetblast Sewer Service
Re-Camera &amp; Investigate Further
Supply &amp; Install New Section of Sewer Service Up to 1.5M
Supply &amp; Install New Sewer Overflow Relief Gully
Supply &amp; Install New Sewer Junctions
Supply &amp; Install New I/O Inspection Point
Supply &amp; Install New BTS and Raise to Ground Level
Supply &amp; Install New PVC Fittings
Connect New Sewer Overflow Relief Gully to Connection point
Connect New Section of Sewer Service to Existing Sewer Service
Concrete Encase New Connections to Existing Sewer Service
Encase New Section of Sewer Service with Blue Metal
Backfill Excavated Area
Prepare Worked Area for Re-Concrete
Re-Concrete Worked Area – Standard Concrete Finish
Restoration of Work Area
Test &amp; Commission Installation
Remove Trade Waste
PLEASE NOTE IF FURTHER WORK REQUIRED OTHER THEN QUOTED WORK FURTHER COST WILL APPLY</t>
        </r>
      </text>
    </comment>
    <comment ref="N331" authorId="1" shapeId="0" xr:uid="{4517BB2B-54D4-439C-B5D7-19BDBB598125}">
      <text>
        <r>
          <rPr>
            <sz val="11"/>
            <color theme="1"/>
            <rFont val="Aptos Narrow"/>
            <family val="2"/>
            <scheme val="minor"/>
          </rPr>
          <t xml:space="preserve">Unknown User:
Quote raised in #71308
</t>
        </r>
      </text>
    </comment>
    <comment ref="P331" authorId="1" shapeId="0" xr:uid="{20E6DE90-D228-4FBB-9650-ACE19B79786A}">
      <text>
        <r>
          <rPr>
            <sz val="11"/>
            <color theme="1"/>
            <rFont val="Aptos Narrow"/>
            <family val="2"/>
            <scheme val="minor"/>
          </rPr>
          <t>Unknown User:
Quote not Emailed</t>
        </r>
      </text>
    </comment>
    <comment ref="G335" authorId="1" shapeId="0" xr:uid="{B38D6248-34E2-48D0-B000-1C744A8E0AA5}">
      <text>
        <r>
          <rPr>
            <sz val="11"/>
            <color theme="1"/>
            <rFont val="Aptos Narrow"/>
            <family val="2"/>
            <scheme val="minor"/>
          </rPr>
          <t>Unknown User:
SEARCH &amp; INVESTIGATION OF DOUBLE STOREY ROOF OF POTENTIAL LEAK</t>
        </r>
      </text>
    </comment>
    <comment ref="P335" authorId="1" shapeId="0" xr:uid="{6FD4F022-BC3F-4C3F-89AD-5E959A34CA27}">
      <text>
        <r>
          <rPr>
            <sz val="11"/>
            <color theme="1"/>
            <rFont val="Aptos Narrow"/>
            <family val="2"/>
            <scheme val="minor"/>
          </rPr>
          <t>Unknown User:
Quote not emailed</t>
        </r>
      </text>
    </comment>
    <comment ref="Q335" authorId="1" shapeId="0" xr:uid="{18F0C00B-5469-42F1-93D6-DA6D99FD33FD}">
      <text>
        <r>
          <rPr>
            <sz val="11"/>
            <color theme="1"/>
            <rFont val="Aptos Narrow"/>
            <family val="2"/>
            <scheme val="minor"/>
          </rPr>
          <t>Unknown User:
Progress payment not updated in invoice.</t>
        </r>
      </text>
    </comment>
    <comment ref="R335" authorId="1" shapeId="0" xr:uid="{C96D444E-737F-40B2-912B-02A2E83E6CD2}">
      <text>
        <r>
          <rPr>
            <sz val="11"/>
            <color theme="1"/>
            <rFont val="Aptos Narrow"/>
            <family val="2"/>
            <scheme val="minor"/>
          </rPr>
          <t>Unknown User:
Invoice not Signed</t>
        </r>
      </text>
    </comment>
    <comment ref="G336" authorId="1" shapeId="0" xr:uid="{09C423A1-6E22-4D16-B029-F51E365B44FA}">
      <text>
        <r>
          <rPr>
            <sz val="11"/>
            <color theme="1"/>
            <rFont val="Aptos Narrow"/>
            <family val="2"/>
            <scheme val="minor"/>
          </rPr>
          <t xml:space="preserve">Unknown User:
SEARCH &amp; INVESTIGATION OF SINGLE STOREY ROOF OF POTENTIAL LEAK
10% Good Will Discount </t>
        </r>
      </text>
    </comment>
    <comment ref="N336" authorId="1" shapeId="0" xr:uid="{92C1C9C3-825F-4357-8873-58C6677A5A7C}">
      <text>
        <r>
          <rPr>
            <sz val="11"/>
            <color theme="1"/>
            <rFont val="Aptos Narrow"/>
            <family val="2"/>
            <scheme val="minor"/>
          </rPr>
          <t>Unknown User:
Quote not raised by plumber.</t>
        </r>
      </text>
    </comment>
    <comment ref="U336" authorId="1" shapeId="0" xr:uid="{E7BECF93-98CC-4F57-B8B4-8D5F558C6767}">
      <text>
        <r>
          <rPr>
            <sz val="11"/>
            <color theme="1"/>
            <rFont val="Aptos Narrow"/>
            <family val="2"/>
            <scheme val="minor"/>
          </rPr>
          <t>Unknown User:
17/07-As per Francesco's note "Client not on site on completion, have sent through for signatures electronically. He said he will pay remaining balance once he returns home"</t>
        </r>
      </text>
    </comment>
    <comment ref="G337" authorId="1" shapeId="0" xr:uid="{5A8459C5-F328-409B-8265-83207AB1FC6D}">
      <text>
        <r>
          <rPr>
            <sz val="11"/>
            <color theme="1"/>
            <rFont val="Aptos Narrow"/>
            <family val="2"/>
            <scheme val="minor"/>
          </rPr>
          <t xml:space="preserve">Unknown User:
HIGH POWERED JET BLAST &amp; CCTV DRAIN CAMERA INSPECTION (SEWER SERVICE)
</t>
        </r>
      </text>
    </comment>
    <comment ref="R337" authorId="1" shapeId="0" xr:uid="{B9E24B11-D681-4F47-924B-84DAF3B84A3E}">
      <text>
        <r>
          <rPr>
            <sz val="11"/>
            <color theme="1"/>
            <rFont val="Aptos Narrow"/>
            <family val="2"/>
            <scheme val="minor"/>
          </rPr>
          <t>Unknown User:
Sign not obtained</t>
        </r>
      </text>
    </comment>
    <comment ref="G341" authorId="1" shapeId="0" xr:uid="{10F5E9F1-2F98-4683-AEB6-04AF0F2E5EFF}">
      <text>
        <r>
          <rPr>
            <sz val="11"/>
            <color theme="1"/>
            <rFont val="Aptos Narrow"/>
            <family val="2"/>
            <scheme val="minor"/>
          </rPr>
          <t>Unknown User:
SEWER SPOT DIG UP TO 1.5M - IN GROUND
CREDIT HIGH POWERED JETBLAST &amp; CCTV CAMERA
Good Will Discount</t>
        </r>
      </text>
    </comment>
    <comment ref="O341" authorId="1" shapeId="0" xr:uid="{F2591864-FED3-49A3-862F-C3B054D2C018}">
      <text>
        <r>
          <rPr>
            <sz val="11"/>
            <color theme="1"/>
            <rFont val="Aptos Narrow"/>
            <family val="2"/>
            <scheme val="minor"/>
          </rPr>
          <t>Unknown User:
Quote not signed</t>
        </r>
      </text>
    </comment>
    <comment ref="G345" authorId="1" shapeId="0" xr:uid="{BDFA8BE1-C8A8-4D8F-BC15-6A64529F8328}">
      <text>
        <r>
          <rPr>
            <sz val="11"/>
            <color theme="1"/>
            <rFont val="Aptos Narrow"/>
            <family val="2"/>
            <scheme val="minor"/>
          </rPr>
          <t>Unknown User:
REPLACEMENT OF SEWER BOUNDARY TRAP UP TO 2.5 - UNDER PAVERS
Seniors &amp; Pensioners Discount</t>
        </r>
      </text>
    </comment>
    <comment ref="G346" authorId="1" shapeId="0" xr:uid="{471F5CD4-2875-4138-9A18-925508E0E5DA}">
      <text>
        <r>
          <rPr>
            <sz val="11"/>
            <color theme="1"/>
            <rFont val="Aptos Narrow"/>
            <family val="2"/>
            <scheme val="minor"/>
          </rPr>
          <t>Unknown User:
FLOOD, DYE, PRESSURE TEST (WET AREA)</t>
        </r>
      </text>
    </comment>
    <comment ref="G347" authorId="1" shapeId="0" xr:uid="{44A0C94C-585B-4404-9F7A-6A4A42C6323A}">
      <text>
        <r>
          <rPr>
            <sz val="11"/>
            <color theme="1"/>
            <rFont val="Aptos Narrow"/>
            <family val="2"/>
            <scheme val="minor"/>
          </rPr>
          <t>Unknown User:
HIGH POWERED JET BLAST &amp; CCTV DRAIN CAMERA INSPECTION (SEWER SERVICE)</t>
        </r>
      </text>
    </comment>
    <comment ref="G348" authorId="1" shapeId="0" xr:uid="{0A5385CC-29F8-4DF3-A36C-464BBA0C9DED}">
      <text>
        <r>
          <rPr>
            <sz val="11"/>
            <color theme="1"/>
            <rFont val="Aptos Narrow"/>
            <family val="2"/>
            <scheme val="minor"/>
          </rPr>
          <t xml:space="preserve">Unknown User:
SUPPLY &amp; INSTALLATION OF NEW INSTANTANEOUS GAS HOT WATER SYSTEM (EXTERNAL)
10% Seniors &amp; Pensioners Discount
</t>
        </r>
      </text>
    </comment>
    <comment ref="G349" authorId="1" shapeId="0" xr:uid="{3158F264-3A1D-4B73-BFF2-C55005BE7CC3}">
      <text>
        <r>
          <rPr>
            <sz val="11"/>
            <color theme="1"/>
            <rFont val="Aptos Narrow"/>
            <family val="2"/>
            <scheme val="minor"/>
          </rPr>
          <t>Unknown User:
HIGH POWERED JET BLAST &amp; CCTV CAMERA INSPECTION (GAIN ACCESS WITH REMOVAL OF TOILET)</t>
        </r>
      </text>
    </comment>
    <comment ref="G351" authorId="1" shapeId="0" xr:uid="{6FF9B861-5FCB-456C-A42C-A6200395916E}">
      <text>
        <r>
          <rPr>
            <sz val="11"/>
            <color theme="1"/>
            <rFont val="Aptos Narrow"/>
            <family val="2"/>
            <scheme val="minor"/>
          </rPr>
          <t>Unknown User:
HIGH POWERED SUCTION PUMP
Gain access to sewer service
Gain access to sewer fixture
Set up high powered suction pump
First attempt to clear blocked sewer using high powered suction pump
Attempt to clear sewer service using high powered suction pump
Attempt to clear debris from sewer service
Attempt to flush out sewer service &amp; debris
Test &amp; commission work completed
Removal of trade waste
PLEASE NOTE IF BLOCKAGES DOES NOT CLEAR FURTHER COST WILL APPLY. THIS IS A FIRST ATTEMPT</t>
        </r>
      </text>
    </comment>
    <comment ref="G352" authorId="1" shapeId="0" xr:uid="{0F4A7C07-1CB5-4C9B-BB81-88F7D4799598}">
      <text>
        <r>
          <rPr>
            <sz val="11"/>
            <color theme="1"/>
            <rFont val="Aptos Narrow"/>
            <family val="2"/>
            <scheme val="minor"/>
          </rPr>
          <t>Unknown User:
REPLACEMENT OF EXISTING GOOSE NECK KITCHEN MIXER
Isolate main water supply to property
Disconnect existing cold-water supply to mixer tap
Disconnect existing hot-water supply to mixer tap
Disconnect and remove existing locking nut
Disconnect &amp; remove existing mixer tap
Clean and prepare work area for new installation
Supply and install new cold water emergency isolation valve
Supply and install new hot water emergency isolation valve
Supply &amp; install new goose neck mixer tap
Supply &amp; install new cold-water stainless steel flexi hose
Supply &amp; install new hot-water stainless steel flexi hose
Supply &amp; install new locking nut
Secure new mixer tap
Connect cold-water flexible hose to new emergency isolation valve
Connect hot-water flexible hose to new emergency isolation valve
Reinstate main water supply to property.
Test and commission installation
Removal of trade waste
PLEASE NOTE IF FURTHER WORK REQUIRED OTHER THEN QUOTED WORK FURTHER COST WILL APPLY</t>
        </r>
      </text>
    </comment>
    <comment ref="G353" authorId="1" shapeId="0" xr:uid="{0F466735-52E1-4BED-8A14-52E8B36CC92E}">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G354" authorId="1" shapeId="0" xr:uid="{CA72F087-5B2B-4761-9F94-BDAA7353CEFA}">
      <text>
        <r>
          <rPr>
            <sz val="11"/>
            <color theme="1"/>
            <rFont val="Aptos Narrow"/>
            <family val="2"/>
            <scheme val="minor"/>
          </rPr>
          <t>Unknown User:
SUPPLY &amp; INSTALLATION OF NEW TOILET SEAT</t>
        </r>
      </text>
    </comment>
    <comment ref="G356" authorId="1" shapeId="0" xr:uid="{7AA42136-2369-476C-BCB2-0E206749580C}">
      <text>
        <r>
          <rPr>
            <sz val="11"/>
            <color theme="1"/>
            <rFont val="Aptos Narrow"/>
            <family val="2"/>
            <scheme val="minor"/>
          </rPr>
          <t>Unknown User:
SEARCH AND INVESTIGATION OF ELECTRIC STORAGE HOT WATER SYSTEM</t>
        </r>
      </text>
    </comment>
    <comment ref="G357" authorId="1" shapeId="0" xr:uid="{8A3AB210-EDF9-4696-A55A-4FD13172CE92}">
      <text>
        <r>
          <rPr>
            <sz val="11"/>
            <color theme="1"/>
            <rFont val="Aptos Narrow"/>
            <family val="2"/>
            <scheme val="minor"/>
          </rPr>
          <t>Unknown User:
CONVERT SOLAR SPLIT HOT WATER SYSTEM TO EXTERNAL GAS INSTANTANEOUS HOT WATER SYSTEM</t>
        </r>
      </text>
    </comment>
    <comment ref="G358" authorId="1" shapeId="0" xr:uid="{10C3BEC1-9B00-4C52-A844-0D414631DA4E}">
      <text>
        <r>
          <rPr>
            <sz val="11"/>
            <color theme="1"/>
            <rFont val="Aptos Narrow"/>
            <family val="2"/>
            <scheme val="minor"/>
          </rPr>
          <t>Unknown User:
SUPPLY &amp; INSTALLATION OF TEMPERING VALVE</t>
        </r>
      </text>
    </comment>
    <comment ref="G359" authorId="1" shapeId="0" xr:uid="{3D43F10E-45E3-483E-B1C7-FD5E79109791}">
      <text>
        <r>
          <rPr>
            <sz val="11"/>
            <color theme="1"/>
            <rFont val="Aptos Narrow"/>
            <family val="2"/>
            <scheme val="minor"/>
          </rPr>
          <t>Unknown User:
SUPPLY &amp; INSTALLATION OF NEW BRASS HOSE TAP</t>
        </r>
      </text>
    </comment>
    <comment ref="G391" authorId="1" shapeId="0" xr:uid="{523B93D5-3C5C-493D-9180-204258AC3600}">
      <text>
        <r>
          <rPr>
            <sz val="11"/>
            <color theme="1"/>
            <rFont val="Aptos Narrow"/>
            <family val="2"/>
            <scheme val="minor"/>
          </rPr>
          <t>Unknown User:
SEARCH AND INVESTIGATION OF ELECTRIC STORAGE HOT WATER SYSTEM</t>
        </r>
      </text>
    </comment>
    <comment ref="G392" authorId="1" shapeId="0" xr:uid="{DEE32F1E-E018-4A6A-9C8C-3A03E66CD147}">
      <text>
        <r>
          <rPr>
            <sz val="11"/>
            <color theme="1"/>
            <rFont val="Aptos Narrow"/>
            <family val="2"/>
            <scheme val="minor"/>
          </rPr>
          <t>Unknown User:
CONVERSION OF GRAVITY HOT WATER UNIT TO EXTERNAL ELECTRIC STORAGE TANK
10% Seniors &amp; Pensioners Discount
CREDIT OF SEARCH &amp; INVESTIGATION</t>
        </r>
      </text>
    </comment>
    <comment ref="S392" authorId="1" shapeId="0" xr:uid="{3B1C0F60-8912-4277-8BAD-7D860AF97D16}">
      <text>
        <r>
          <rPr>
            <sz val="11"/>
            <color theme="1"/>
            <rFont val="Aptos Narrow"/>
            <family val="2"/>
            <scheme val="minor"/>
          </rPr>
          <t>Unknown User:
Signed invoice copy not emailed</t>
        </r>
      </text>
    </comment>
    <comment ref="G393" authorId="1" shapeId="0" xr:uid="{7C935F32-A0E7-4FA4-809C-8F9FAF7B813B}">
      <text>
        <r>
          <rPr>
            <sz val="11"/>
            <color theme="1"/>
            <rFont val="Aptos Narrow"/>
            <family val="2"/>
            <scheme val="minor"/>
          </rPr>
          <t>Unknown User:
FLOOD, DYE, PRESSURE TEST (WET AREA)</t>
        </r>
      </text>
    </comment>
    <comment ref="G394" authorId="1" shapeId="0" xr:uid="{7F4367B9-AF79-4BB5-9157-7670615ACC8E}">
      <text>
        <r>
          <rPr>
            <sz val="11"/>
            <color theme="1"/>
            <rFont val="Aptos Narrow"/>
            <family val="2"/>
            <scheme val="minor"/>
          </rPr>
          <t>Unknown User:
HIGH POWERED JET BLAST &amp; CCTV DRAIN CAMERA INSPECTION (SEWER SERVICE)</t>
        </r>
      </text>
    </comment>
    <comment ref="S394" authorId="1" shapeId="0" xr:uid="{EA377AA5-46D6-4CCE-AD5D-E68E1BB3E7B3}">
      <text>
        <r>
          <rPr>
            <sz val="11"/>
            <color theme="1"/>
            <rFont val="Aptos Narrow"/>
            <family val="2"/>
            <scheme val="minor"/>
          </rPr>
          <t>Unknown User:
Final invoice not emailed</t>
        </r>
      </text>
    </comment>
    <comment ref="U394" authorId="1" shapeId="0" xr:uid="{056443F7-680F-4988-B967-EBBC412472A5}">
      <text>
        <r>
          <rPr>
            <sz val="11"/>
            <color theme="1"/>
            <rFont val="Aptos Narrow"/>
            <family val="2"/>
            <scheme val="minor"/>
          </rPr>
          <t>Unknown User:
29/8-CB pics not uploaded</t>
        </r>
      </text>
    </comment>
    <comment ref="G395" authorId="1" shapeId="0" xr:uid="{A1B0240F-EE3E-4AAF-AAC7-7CF51B624698}">
      <text>
        <r>
          <rPr>
            <sz val="11"/>
            <color theme="1"/>
            <rFont val="Aptos Narrow"/>
            <family val="2"/>
            <scheme val="minor"/>
          </rPr>
          <t>Unknown User:
HIGH POWERED JET BLAST &amp; CCTV DRAIN CAMERA INSPECTION (SEWER SERVICE)</t>
        </r>
      </text>
    </comment>
    <comment ref="G396" authorId="1" shapeId="0" xr:uid="{2E17711B-682A-4A69-870A-B1B3122B8E7E}">
      <text>
        <r>
          <rPr>
            <sz val="11"/>
            <color theme="1"/>
            <rFont val="Aptos Narrow"/>
            <family val="2"/>
            <scheme val="minor"/>
          </rPr>
          <t>Unknown User:
SUPPLY AND INSTALLATION OF BRAIDED FLEXIBLE CONNECTION TO REPLACE EXISTING CISTERN CONNECTION</t>
        </r>
      </text>
    </comment>
    <comment ref="G397" authorId="1" shapeId="0" xr:uid="{4FD0305F-441B-45FA-814C-709DD67803D3}">
      <text>
        <r>
          <rPr>
            <sz val="11"/>
            <color theme="1"/>
            <rFont val="Aptos Narrow"/>
            <family val="2"/>
            <scheme val="minor"/>
          </rPr>
          <t>Unknown User:
WATER SERVICE RECTIFICATION (IN GROUND)</t>
        </r>
      </text>
    </comment>
    <comment ref="L397" authorId="1" shapeId="0" xr:uid="{15764021-D737-4CF5-8DF3-731D3170DF72}">
      <text>
        <r>
          <rPr>
            <sz val="11"/>
            <color theme="1"/>
            <rFont val="Aptos Narrow"/>
            <family val="2"/>
            <scheme val="minor"/>
          </rPr>
          <t>Unknown User:
After pics (Water rectification) not uploaded.</t>
        </r>
      </text>
    </comment>
    <comment ref="Q397" authorId="1" shapeId="0" xr:uid="{44FDC83B-E2C3-493D-AC4D-9FB3FE936BE1}">
      <text>
        <r>
          <rPr>
            <sz val="11"/>
            <color theme="1"/>
            <rFont val="Aptos Narrow"/>
            <family val="2"/>
            <scheme val="minor"/>
          </rPr>
          <t>Unknown User:
Progress invoice for $500 receipt not raised by plumber.</t>
        </r>
      </text>
    </comment>
    <comment ref="G398" authorId="1" shapeId="0" xr:uid="{F05FDBE6-83D7-46B6-B7EE-2AB3AC75BA36}">
      <text>
        <r>
          <rPr>
            <sz val="11"/>
            <color theme="1"/>
            <rFont val="Aptos Narrow"/>
            <family val="2"/>
            <scheme val="minor"/>
          </rPr>
          <t xml:space="preserve">Unknown User:
SUPPLY AND INSTALLATION OF RIGHT-ANGLED PRESSURE REGULATING DEVICE FITTED TO 20MM STRAIGHT PIPEWORK
</t>
        </r>
      </text>
    </comment>
    <comment ref="G399" authorId="1" shapeId="0" xr:uid="{044BC245-1693-4FE4-A911-C56C6AFE3228}">
      <text>
        <r>
          <rPr>
            <sz val="11"/>
            <color theme="1"/>
            <rFont val="Aptos Narrow"/>
            <family val="2"/>
            <scheme val="minor"/>
          </rPr>
          <t>Unknown User:
HIGH POWERED JET BLAST &amp; CCTV DRAIN CAMERA INSPECTION (SEWER SERVICE)</t>
        </r>
      </text>
    </comment>
    <comment ref="L399" authorId="1" shapeId="0" xr:uid="{491D395A-8C10-4A69-B858-072C3B2E4A23}">
      <text>
        <r>
          <rPr>
            <sz val="11"/>
            <color theme="1"/>
            <rFont val="Aptos Narrow"/>
            <family val="2"/>
            <scheme val="minor"/>
          </rPr>
          <t>Unknown User:
CCTV pics/videos not uploaded.
CCTV cam is turned on the other side.</t>
        </r>
      </text>
    </comment>
    <comment ref="G404" authorId="1" shapeId="0" xr:uid="{AFC15EC9-43D7-48DC-A122-48F03A295433}">
      <text>
        <r>
          <rPr>
            <sz val="11"/>
            <color theme="1"/>
            <rFont val="Aptos Narrow"/>
            <family val="2"/>
            <scheme val="minor"/>
          </rPr>
          <t>Unknown User:
HIGH POWERED JET BLAST &amp; CCTV DRAIN CAMERA INSPECTION (SEWER SERVICE)</t>
        </r>
      </text>
    </comment>
    <comment ref="Q404" authorId="1" shapeId="0" xr:uid="{F16E5DED-BB73-4246-A626-B40A201F5247}">
      <text>
        <r>
          <rPr>
            <sz val="11"/>
            <color theme="1"/>
            <rFont val="Aptos Narrow"/>
            <family val="2"/>
            <scheme val="minor"/>
          </rPr>
          <t>Unknown User:
Invoice not raised</t>
        </r>
      </text>
    </comment>
    <comment ref="G405" authorId="1" shapeId="0" xr:uid="{58B482E7-BA47-4D26-8804-1B83ACC3EB8C}">
      <text>
        <r>
          <rPr>
            <sz val="11"/>
            <color theme="1"/>
            <rFont val="Aptos Narrow"/>
            <family val="2"/>
            <scheme val="minor"/>
          </rPr>
          <t>Unknown User:
SUPPLY &amp; INSTALLATION OF NEW WASHING MACHINE OUTLET DRAIN HOSE
10% Seniors &amp; Pensioners Discount</t>
        </r>
      </text>
    </comment>
    <comment ref="G406" authorId="1" shapeId="0" xr:uid="{88D6ACA4-C181-4077-B8D8-CBE0ECCB30FA}">
      <text>
        <r>
          <rPr>
            <sz val="11"/>
            <color theme="1"/>
            <rFont val="Aptos Narrow"/>
            <family val="2"/>
            <scheme val="minor"/>
          </rPr>
          <t>Unknown User:
SUPPLY &amp; INSTALLATION OF NEW BRASS HOSE TAP</t>
        </r>
      </text>
    </comment>
    <comment ref="W406" authorId="1" shapeId="0" xr:uid="{289FFFE4-5983-4214-A3A3-81DA5D254DFC}">
      <text>
        <r>
          <rPr>
            <sz val="11"/>
            <color theme="1"/>
            <rFont val="Aptos Narrow"/>
            <family val="2"/>
            <scheme val="minor"/>
          </rPr>
          <t>Unknown User:
Cash Denomination 
$100*1 = $100
$50*1 = $50
  Total - $150</t>
        </r>
      </text>
    </comment>
    <comment ref="G410" authorId="1" shapeId="0" xr:uid="{72E548F6-8361-4B61-8215-F3241A054C8B}">
      <text>
        <r>
          <rPr>
            <sz val="11"/>
            <color theme="1"/>
            <rFont val="Aptos Narrow"/>
            <family val="2"/>
            <scheme val="minor"/>
          </rPr>
          <t xml:space="preserve">Unknown User:
SUPPLY &amp; INSTALLATION OF NEW CLOSE COUPLED TOILET SUITE
</t>
        </r>
      </text>
    </comment>
    <comment ref="U410" authorId="1" shapeId="0" xr:uid="{BE68AC29-DBEF-4587-8AB3-180DE5CCB8D4}">
      <text>
        <r>
          <rPr>
            <sz val="11"/>
            <color theme="1"/>
            <rFont val="Aptos Narrow"/>
            <family val="2"/>
            <scheme val="minor"/>
          </rPr>
          <t>Unknown User:
5/8-AAs per Christone's note "nternal payment plan approved by Chad Crawford as they were not accepted for HUMM and they did not have cash - the toilet was already removed and the new one half installed"</t>
        </r>
      </text>
    </comment>
    <comment ref="G411" authorId="1" shapeId="0" xr:uid="{DDA4ACB8-D274-42CD-8AA8-A7001817F9EC}">
      <text>
        <r>
          <rPr>
            <sz val="11"/>
            <color theme="1"/>
            <rFont val="Aptos Narrow"/>
            <family val="2"/>
            <scheme val="minor"/>
          </rPr>
          <t>Unknown User:
SEWER SPOT DIG UP TO 3M (UNDER CONCRETE)</t>
        </r>
      </text>
    </comment>
    <comment ref="G412" authorId="1" shapeId="0" xr:uid="{AF30E15A-B66D-46F5-8773-12AB96E4BA20}">
      <text>
        <r>
          <rPr>
            <sz val="11"/>
            <color theme="1"/>
            <rFont val="Aptos Narrow"/>
            <family val="2"/>
            <scheme val="minor"/>
          </rPr>
          <t>Unknown User:
REPLACEMENT OF SEWER SHAFT UP TO 2M (UNDER PAVERS)</t>
        </r>
      </text>
    </comment>
    <comment ref="K412" authorId="1" shapeId="0" xr:uid="{EBE34165-5091-4B59-9341-2AE12FFBA871}">
      <text>
        <r>
          <rPr>
            <sz val="11"/>
            <color theme="1"/>
            <rFont val="Aptos Narrow"/>
            <family val="2"/>
            <scheme val="minor"/>
          </rPr>
          <t>Unknown User:
Before pic uploaded in job #72068</t>
        </r>
      </text>
    </comment>
    <comment ref="G413" authorId="1" shapeId="0" xr:uid="{46D8414D-BD14-46E5-986E-CCCB1D7C2289}">
      <text>
        <r>
          <rPr>
            <sz val="11"/>
            <color theme="1"/>
            <rFont val="Aptos Narrow"/>
            <family val="2"/>
            <scheme val="minor"/>
          </rPr>
          <t>Unknown User:
REPLACEMENT OF EXISTING OVERFLOW GULLY &amp; UP TO 1.5M OF MAIN SEWER SERVICE (UNDER PAVERS)</t>
        </r>
      </text>
    </comment>
    <comment ref="D414" authorId="1" shapeId="0" xr:uid="{72832B9F-E945-4173-8BB7-73C59A58DD1B}">
      <text>
        <r>
          <rPr>
            <sz val="11"/>
            <color theme="1"/>
            <rFont val="Aptos Narrow"/>
            <family val="2"/>
            <scheme val="minor"/>
          </rPr>
          <t>Unknown User:
Quote duplicated</t>
        </r>
      </text>
    </comment>
    <comment ref="G414" authorId="1" shapeId="0" xr:uid="{1D597D30-F046-4918-BCC7-384C03A149C4}">
      <text>
        <r>
          <rPr>
            <sz val="11"/>
            <color theme="1"/>
            <rFont val="Aptos Narrow"/>
            <family val="2"/>
            <scheme val="minor"/>
          </rPr>
          <t>Unknown User:
RELINE OF SEWER SERVICE UP TO 4M</t>
        </r>
      </text>
    </comment>
    <comment ref="G418" authorId="1" shapeId="0" xr:uid="{C150E616-0BD4-4EAA-BE68-6F79A574F9C4}">
      <text>
        <r>
          <rPr>
            <sz val="11"/>
            <color theme="1"/>
            <rFont val="Aptos Narrow"/>
            <family val="2"/>
            <scheme val="minor"/>
          </rPr>
          <t>Unknown User:
SEARCH &amp; INVESTIGATION OF DOUBLE STOREY ROOF OF POTENTIAL LEAK</t>
        </r>
      </text>
    </comment>
    <comment ref="P418" authorId="1" shapeId="0" xr:uid="{42A8F12C-85EE-4554-872B-8652563BF0D8}">
      <text>
        <r>
          <rPr>
            <sz val="11"/>
            <color theme="1"/>
            <rFont val="Aptos Narrow"/>
            <family val="2"/>
            <scheme val="minor"/>
          </rPr>
          <t>Unknown User:
Quote not emailed</t>
        </r>
      </text>
    </comment>
    <comment ref="Q418" authorId="1" shapeId="0" xr:uid="{CE8E24CA-7366-4FDC-B0A5-8D7BAD363D12}">
      <text>
        <r>
          <rPr>
            <sz val="11"/>
            <color theme="1"/>
            <rFont val="Aptos Narrow"/>
            <family val="2"/>
            <scheme val="minor"/>
          </rPr>
          <t>Unknown User:
Progress payment not updated in invoice.</t>
        </r>
      </text>
    </comment>
    <comment ref="R418" authorId="1" shapeId="0" xr:uid="{1EAAE136-0157-47E4-B420-10AD26FEE0F3}">
      <text>
        <r>
          <rPr>
            <sz val="11"/>
            <color theme="1"/>
            <rFont val="Aptos Narrow"/>
            <family val="2"/>
            <scheme val="minor"/>
          </rPr>
          <t>Unknown User:
Invoice not Signed</t>
        </r>
      </text>
    </comment>
    <comment ref="G419" authorId="1" shapeId="0" xr:uid="{0D032811-C368-44F5-91A4-5725983A43F3}">
      <text>
        <r>
          <rPr>
            <sz val="11"/>
            <color theme="1"/>
            <rFont val="Aptos Narrow"/>
            <family val="2"/>
            <scheme val="minor"/>
          </rPr>
          <t xml:space="preserve">Unknown User:
SEARCH &amp; INVESTIGATION OF SINGLE STOREY ROOF OF POTENTIAL LEAK
10% Good Will Discount </t>
        </r>
      </text>
    </comment>
    <comment ref="N419" authorId="1" shapeId="0" xr:uid="{AE679D67-5B10-43BC-86B8-7422ADB61940}">
      <text>
        <r>
          <rPr>
            <sz val="11"/>
            <color theme="1"/>
            <rFont val="Aptos Narrow"/>
            <family val="2"/>
            <scheme val="minor"/>
          </rPr>
          <t>Unknown User:
Quote not raised by plumber.</t>
        </r>
      </text>
    </comment>
    <comment ref="U419" authorId="1" shapeId="0" xr:uid="{D23D4FDC-CB6B-4BD2-8E50-C6E9DACC68F3}">
      <text>
        <r>
          <rPr>
            <sz val="11"/>
            <color theme="1"/>
            <rFont val="Aptos Narrow"/>
            <family val="2"/>
            <scheme val="minor"/>
          </rPr>
          <t>Unknown User:
17/07-As per Francesco's note "Client not on site on completion, have sent through for signatures electronically. He said he will pay remaining balance once he returns home"</t>
        </r>
      </text>
    </comment>
    <comment ref="G420" authorId="1" shapeId="0" xr:uid="{D3AEEC48-CBB8-4209-A6A5-7EF56BBF495C}">
      <text>
        <r>
          <rPr>
            <sz val="11"/>
            <color theme="1"/>
            <rFont val="Aptos Narrow"/>
            <family val="2"/>
            <scheme val="minor"/>
          </rPr>
          <t xml:space="preserve">Unknown User:
HIGH POWERED JET BLAST &amp; CCTV DRAIN CAMERA INSPECTION (SEWER SERVICE)
</t>
        </r>
      </text>
    </comment>
    <comment ref="R420" authorId="1" shapeId="0" xr:uid="{C0594D7F-1B26-4430-ACF3-D3D612A0C0FF}">
      <text>
        <r>
          <rPr>
            <sz val="11"/>
            <color theme="1"/>
            <rFont val="Aptos Narrow"/>
            <family val="2"/>
            <scheme val="minor"/>
          </rPr>
          <t>Unknown User:
Sign not obtained</t>
        </r>
      </text>
    </comment>
    <comment ref="G424" authorId="1" shapeId="0" xr:uid="{DF5C2AEC-6BFE-4223-AD76-A3316BCA0D0C}">
      <text>
        <r>
          <rPr>
            <sz val="11"/>
            <color theme="1"/>
            <rFont val="Aptos Narrow"/>
            <family val="2"/>
            <scheme val="minor"/>
          </rPr>
          <t>Unknown User:
SEWER SPOT DIG UP TO 1.5M - IN GROUND
CREDIT HIGH POWERED JETBLAST &amp; CCTV CAMERA
Good Will Discount</t>
        </r>
      </text>
    </comment>
    <comment ref="O424" authorId="1" shapeId="0" xr:uid="{5FDC1AC6-98D2-4689-A074-94AD188AAAB5}">
      <text>
        <r>
          <rPr>
            <sz val="11"/>
            <color theme="1"/>
            <rFont val="Aptos Narrow"/>
            <family val="2"/>
            <scheme val="minor"/>
          </rPr>
          <t>Unknown User:
Quote not signed</t>
        </r>
      </text>
    </comment>
    <comment ref="G428" authorId="1" shapeId="0" xr:uid="{4CB1754E-466B-40F3-8C5C-FF5D9AC75A5E}">
      <text>
        <r>
          <rPr>
            <sz val="11"/>
            <color theme="1"/>
            <rFont val="Aptos Narrow"/>
            <family val="2"/>
            <scheme val="minor"/>
          </rPr>
          <t>Unknown User:
SEARCH AND INVESTIGATION OF GAS INSTANTANEOUS HOT WATER SYSTEM</t>
        </r>
      </text>
    </comment>
    <comment ref="G429" authorId="1" shapeId="0" xr:uid="{A67674F8-B044-4AB0-8044-B84C07BA1A9E}">
      <text>
        <r>
          <rPr>
            <sz val="11"/>
            <color theme="1"/>
            <rFont val="Aptos Narrow"/>
            <family val="2"/>
            <scheme val="minor"/>
          </rPr>
          <t>Unknown User:
SUPPLY &amp; INSTALLATION OF NEW MIXER CARTRIDGE</t>
        </r>
      </text>
    </comment>
    <comment ref="G430" authorId="1" shapeId="0" xr:uid="{21562907-84D2-4DD7-A18B-D4802A4B207D}">
      <text>
        <r>
          <rPr>
            <sz val="11"/>
            <color theme="1"/>
            <rFont val="Aptos Narrow"/>
            <family val="2"/>
            <scheme val="minor"/>
          </rPr>
          <t>Unknown User:
SUPPLY &amp; INSTALLATION OF NEW CLOSE COUPLED TOILET SUITE</t>
        </r>
      </text>
    </comment>
    <comment ref="G431" authorId="1" shapeId="0" xr:uid="{E7BC5316-4FEE-419F-A5E0-906861144CAB}">
      <text>
        <r>
          <rPr>
            <sz val="11"/>
            <color theme="1"/>
            <rFont val="Aptos Narrow"/>
            <family val="2"/>
            <scheme val="minor"/>
          </rPr>
          <t>Unknown User:
RESEAL OF SHOWER</t>
        </r>
      </text>
    </comment>
    <comment ref="G432" authorId="1" shapeId="0" xr:uid="{2945F1A2-DE05-480A-8298-253768E87BBD}">
      <text>
        <r>
          <rPr>
            <sz val="11"/>
            <color theme="1"/>
            <rFont val="Aptos Narrow"/>
            <family val="2"/>
            <scheme val="minor"/>
          </rPr>
          <t>Unknown User:
REPLACEMENT OF SEWER SHAFT UP TO 1.5M</t>
        </r>
      </text>
    </comment>
    <comment ref="G433" authorId="1" shapeId="0" xr:uid="{DB81C0D1-7C51-481A-9AED-E6490B724E8D}">
      <text>
        <r>
          <rPr>
            <sz val="11"/>
            <color theme="1"/>
            <rFont val="Aptos Narrow"/>
            <family val="2"/>
            <scheme val="minor"/>
          </rPr>
          <t>Unknown User:
KITCHEN SINK INSTALLATION (Customer supplied)</t>
        </r>
      </text>
    </comment>
    <comment ref="G435" authorId="1" shapeId="0" xr:uid="{21C03212-98D4-4BAE-A872-FD08BE8BC674}">
      <text>
        <r>
          <rPr>
            <sz val="11"/>
            <color theme="1"/>
            <rFont val="Aptos Narrow"/>
            <family val="2"/>
            <scheme val="minor"/>
          </rPr>
          <t>Unknown User:
REPLACEMENT OF WALL TOP TAPWARE</t>
        </r>
      </text>
    </comment>
    <comment ref="E456" authorId="10" shapeId="0" xr:uid="{472623D5-B745-4F72-A5A2-74FE0E12762B}">
      <text>
        <t>[Threaded comment]
Your version of Excel allows you to read this threaded comment; however, any edits to it will get removed if the file is opened in a newer version of Excel. Learn more: https://go.microsoft.com/fwlink/?linkid=870924
Comment:
    Stock</t>
      </text>
    </comment>
    <comment ref="G467" authorId="1" shapeId="0" xr:uid="{12A8DD06-6211-4067-B355-DC40CDB2C5C7}">
      <text>
        <r>
          <rPr>
            <sz val="11"/>
            <color theme="1"/>
            <rFont val="Aptos Narrow"/>
            <family val="2"/>
            <scheme val="minor"/>
          </rPr>
          <t>Unknown User:
SPECIALIST LEAK DETECTION (WATER SERVICE)</t>
        </r>
      </text>
    </comment>
    <comment ref="L467" authorId="1" shapeId="0" xr:uid="{3FF2F1E7-4B8E-4936-BD3B-41329ACA239E}">
      <text>
        <r>
          <rPr>
            <sz val="11"/>
            <color theme="1"/>
            <rFont val="Aptos Narrow"/>
            <family val="2"/>
            <scheme val="minor"/>
          </rPr>
          <t>Unknown User:
After pics not uploaded</t>
        </r>
      </text>
    </comment>
    <comment ref="G468" authorId="1" shapeId="0" xr:uid="{E33F0661-260C-441C-A6F7-8F5FA01BE729}">
      <text>
        <r>
          <rPr>
            <sz val="11"/>
            <color theme="1"/>
            <rFont val="Aptos Narrow"/>
            <family val="2"/>
            <scheme val="minor"/>
          </rPr>
          <t xml:space="preserve">Unknown User:
HIGH POWERED JET BLAST &amp; CCTV DRAIN CAMERA INSPECTION (SEWER SERVICE)
</t>
        </r>
      </text>
    </comment>
    <comment ref="Q468" authorId="1" shapeId="0" xr:uid="{7A0BD724-0FFB-410F-8B62-D945E3B6C6FC}">
      <text>
        <r>
          <rPr>
            <sz val="11"/>
            <color theme="1"/>
            <rFont val="Aptos Narrow"/>
            <family val="2"/>
            <scheme val="minor"/>
          </rPr>
          <t>Unknown User:
Invoice not raised</t>
        </r>
      </text>
    </comment>
    <comment ref="G469" authorId="1" shapeId="0" xr:uid="{2763CCE0-2B78-4160-A7C7-F86797076B17}">
      <text>
        <r>
          <rPr>
            <sz val="11"/>
            <color theme="1"/>
            <rFont val="Aptos Narrow"/>
            <family val="2"/>
            <scheme val="minor"/>
          </rPr>
          <t>Unknown User:
HIGH POWERED SUCTION &amp; ACID TREATMENT</t>
        </r>
      </text>
    </comment>
    <comment ref="N469" authorId="1" shapeId="0" xr:uid="{4AA0E62D-683E-4EC4-B911-1C43AD57AAFC}">
      <text>
        <r>
          <rPr>
            <sz val="11"/>
            <color theme="1"/>
            <rFont val="Aptos Narrow"/>
            <family val="2"/>
            <scheme val="minor"/>
          </rPr>
          <t>Unknown User:
Quote not raised due to technical issue in ServiceTitan.</t>
        </r>
      </text>
    </comment>
    <comment ref="Q469" authorId="1" shapeId="0" xr:uid="{FC4B46AE-62D5-4885-B06A-D49991ED8C01}">
      <text>
        <r>
          <rPr>
            <sz val="11"/>
            <color theme="1"/>
            <rFont val="Aptos Narrow"/>
            <family val="2"/>
            <scheme val="minor"/>
          </rPr>
          <t>Unknown User:
Invoice not raised due to technical issue in ServiceTitan</t>
        </r>
      </text>
    </comment>
    <comment ref="G470" authorId="1" shapeId="0" xr:uid="{DB738D54-63B8-47CC-9145-773223D080A2}">
      <text>
        <r>
          <rPr>
            <sz val="11"/>
            <color theme="1"/>
            <rFont val="Aptos Narrow"/>
            <family val="2"/>
            <scheme val="minor"/>
          </rPr>
          <t xml:space="preserve">Unknown User:
HIGH POWERED JET BLAST &amp; CCTV DRAIN CAMERA INSPECTION (SEWER SERVICE)
</t>
        </r>
      </text>
    </comment>
    <comment ref="N470" authorId="1" shapeId="0" xr:uid="{8EDC22EE-4766-4B81-960A-7A29A46D35A0}">
      <text>
        <r>
          <rPr>
            <sz val="11"/>
            <color theme="1"/>
            <rFont val="Aptos Narrow"/>
            <family val="2"/>
            <scheme val="minor"/>
          </rPr>
          <t>Unknown User:
Quote not raised due to technical issue in ServiceTitan.</t>
        </r>
      </text>
    </comment>
    <comment ref="Q470" authorId="1" shapeId="0" xr:uid="{A46849AD-812D-4F68-ADC3-D41DA0D8A2CF}">
      <text>
        <r>
          <rPr>
            <sz val="11"/>
            <color theme="1"/>
            <rFont val="Aptos Narrow"/>
            <family val="2"/>
            <scheme val="minor"/>
          </rPr>
          <t>Unknown User:
Invoice not raised due to technical issue in ServiceTitan.</t>
        </r>
      </text>
    </comment>
    <comment ref="G471" authorId="1" shapeId="0" xr:uid="{CACCC18E-339C-411E-971D-AC77F1C2C517}">
      <text>
        <r>
          <rPr>
            <sz val="11"/>
            <color theme="1"/>
            <rFont val="Aptos Narrow"/>
            <family val="2"/>
            <scheme val="minor"/>
          </rPr>
          <t>Unknown User:
SEARCH &amp; INVESTIGATION OF GAS APPLIANCE
$65 First Service Discount</t>
        </r>
      </text>
    </comment>
    <comment ref="S471" authorId="1" shapeId="0" xr:uid="{15CC827B-48DC-4D67-AAC0-D52385E95084}">
      <text>
        <r>
          <rPr>
            <sz val="11"/>
            <color theme="1"/>
            <rFont val="Aptos Narrow"/>
            <family val="2"/>
            <scheme val="minor"/>
          </rPr>
          <t>Unknown User:
Signed invoice not emailed</t>
        </r>
      </text>
    </comment>
    <comment ref="G472" authorId="1" shapeId="0" xr:uid="{FF46FB04-73A9-403F-867B-36F9A7A45981}">
      <text>
        <r>
          <rPr>
            <sz val="11"/>
            <color theme="1"/>
            <rFont val="Aptos Narrow"/>
            <family val="2"/>
            <scheme val="minor"/>
          </rPr>
          <t>Unknown User:
SUPPLY &amp; INSTALLATION OF NEW SHOWER WALL TOP TAPS
SUPPLY &amp; INSTALLATION OF NEW SHOWER WALL TOP TAPS</t>
        </r>
      </text>
    </comment>
    <comment ref="G473" authorId="1" shapeId="0" xr:uid="{C38AC803-72B4-4DBE-A7E5-0FF583841EEB}">
      <text>
        <r>
          <rPr>
            <sz val="11"/>
            <color theme="1"/>
            <rFont val="Aptos Narrow"/>
            <family val="2"/>
            <scheme val="minor"/>
          </rPr>
          <t>Unknown User:
WATER SERVICE RECTIFICATION (EXPOSED)</t>
        </r>
      </text>
    </comment>
    <comment ref="T473" authorId="1" shapeId="0" xr:uid="{5B66BBE8-4418-4048-B5A0-AD81F75903F9}">
      <text>
        <r>
          <rPr>
            <sz val="11"/>
            <color theme="1"/>
            <rFont val="Aptos Narrow"/>
            <family val="2"/>
            <scheme val="minor"/>
          </rPr>
          <t>Unknown User:
0.5 x Bradley</t>
        </r>
      </text>
    </comment>
    <comment ref="U473" authorId="1" shapeId="0" xr:uid="{557BDA47-E3F7-4C32-80B9-975801AAC851}">
      <text>
        <r>
          <rPr>
            <sz val="11"/>
            <color theme="1"/>
            <rFont val="Aptos Narrow"/>
            <family val="2"/>
            <scheme val="minor"/>
          </rPr>
          <t>Unknown User:
16/8-As per Zachias's note "Customer called, not happy about work that was done last Wednesday as he was charged $1800 and it wasn't fixed. Plumber on Saturday said that work done on Wednesday shouldn't have been done and he quoted only $1400.00 to get problem resolved. Customer wants full refund of $1800.00, but still wants to pay the $1400.00 quote to fix issue, but only if plumber Rhys C comes out to do the work. Customer said he wanted to resolve this matter, before he goes to consumer affairs. Will let CC know and speak with Ghadeer regarding getting plumber back out there. Ghadeer will speak with plumbers and get back to me. I'll wait to hear back from him before I go to CC"</t>
        </r>
      </text>
    </comment>
    <comment ref="L474" authorId="1" shapeId="0" xr:uid="{7E4AC85B-E923-4FDF-AF84-D6DABA765CA5}">
      <text>
        <r>
          <rPr>
            <sz val="11"/>
            <color theme="1"/>
            <rFont val="Aptos Narrow"/>
            <family val="2"/>
            <scheme val="minor"/>
          </rPr>
          <t>Unknown User:
After pics not uploaded</t>
        </r>
      </text>
    </comment>
    <comment ref="G479" authorId="1" shapeId="0" xr:uid="{47A39D7A-1808-4278-99EB-34BA5407BBDE}">
      <text>
        <r>
          <rPr>
            <sz val="11"/>
            <color theme="1"/>
            <rFont val="Aptos Narrow"/>
            <family val="2"/>
            <scheme val="minor"/>
          </rPr>
          <t>Unknown User:
REPLACEMENT OF SEWER SHAFT UP TO 2M (UNDER PAVERS)</t>
        </r>
      </text>
    </comment>
    <comment ref="K479" authorId="1" shapeId="0" xr:uid="{815FC632-4578-46B8-B360-2A1F2F7B3DFB}">
      <text>
        <r>
          <rPr>
            <sz val="11"/>
            <color theme="1"/>
            <rFont val="Aptos Narrow"/>
            <family val="2"/>
            <scheme val="minor"/>
          </rPr>
          <t>Unknown User:
Before pic uploaded in job #72068</t>
        </r>
      </text>
    </comment>
    <comment ref="G483" authorId="1" shapeId="0" xr:uid="{1E166233-36F0-4206-860B-8BEFCE8FF04B}">
      <text>
        <r>
          <rPr>
            <sz val="11"/>
            <color theme="1"/>
            <rFont val="Aptos Narrow"/>
            <family val="2"/>
            <scheme val="minor"/>
          </rPr>
          <t>Unknown User:
REPLACEMENT OF SEWER SHAFT UP TO 2.5M (UNDER PAVERS)</t>
        </r>
      </text>
    </comment>
    <comment ref="N483" authorId="1" shapeId="0" xr:uid="{68CD8651-4CF9-44BE-980F-612B526B756E}">
      <text>
        <r>
          <rPr>
            <sz val="11"/>
            <color theme="1"/>
            <rFont val="Aptos Narrow"/>
            <family val="2"/>
            <scheme val="minor"/>
          </rPr>
          <t>Unknown User:
Quote not raised</t>
        </r>
      </text>
    </comment>
    <comment ref="G484" authorId="1" shapeId="0" xr:uid="{554D6566-CAE8-4C42-84D8-1EC2716AB004}">
      <text>
        <r>
          <rPr>
            <sz val="11"/>
            <color theme="1"/>
            <rFont val="Aptos Narrow"/>
            <family val="2"/>
            <scheme val="minor"/>
          </rPr>
          <t>Unknown User:
GUTTER REPLACEMENT (UP TO 6M)</t>
        </r>
      </text>
    </comment>
    <comment ref="G488" authorId="1" shapeId="0" xr:uid="{B0C83633-167D-48F1-A883-CDD7D7D32FD4}">
      <text>
        <r>
          <rPr>
            <sz val="11"/>
            <color theme="1"/>
            <rFont val="Aptos Narrow"/>
            <family val="2"/>
            <scheme val="minor"/>
          </rPr>
          <t>Unknown User:
SEARCH &amp; INVESTIGATION OF DOUBLE STOREY ROOF OF POTENTIAL LEAK</t>
        </r>
      </text>
    </comment>
    <comment ref="P488" authorId="1" shapeId="0" xr:uid="{12782B99-65AA-4243-AC14-17113F8F6ABB}">
      <text>
        <r>
          <rPr>
            <sz val="11"/>
            <color theme="1"/>
            <rFont val="Aptos Narrow"/>
            <family val="2"/>
            <scheme val="minor"/>
          </rPr>
          <t>Unknown User:
Quote not emailed</t>
        </r>
      </text>
    </comment>
    <comment ref="Q488" authorId="1" shapeId="0" xr:uid="{8ABF2BBE-A8E8-4997-8C0F-BD22AC06E9CB}">
      <text>
        <r>
          <rPr>
            <sz val="11"/>
            <color theme="1"/>
            <rFont val="Aptos Narrow"/>
            <family val="2"/>
            <scheme val="minor"/>
          </rPr>
          <t>Unknown User:
Progress payment not updated in invoice.</t>
        </r>
      </text>
    </comment>
    <comment ref="R488" authorId="1" shapeId="0" xr:uid="{16B5745E-C2CE-4CCE-B5B7-7EF519B7B5D5}">
      <text>
        <r>
          <rPr>
            <sz val="11"/>
            <color theme="1"/>
            <rFont val="Aptos Narrow"/>
            <family val="2"/>
            <scheme val="minor"/>
          </rPr>
          <t>Unknown User:
Invoice not Signed</t>
        </r>
      </text>
    </comment>
    <comment ref="G489" authorId="1" shapeId="0" xr:uid="{B1F82207-0FB9-400C-88B9-57CC4F84285E}">
      <text>
        <r>
          <rPr>
            <sz val="11"/>
            <color theme="1"/>
            <rFont val="Aptos Narrow"/>
            <family val="2"/>
            <scheme val="minor"/>
          </rPr>
          <t xml:space="preserve">Unknown User:
SEARCH &amp; INVESTIGATION OF SINGLE STOREY ROOF OF POTENTIAL LEAK
10% Good Will Discount </t>
        </r>
      </text>
    </comment>
    <comment ref="N489" authorId="1" shapeId="0" xr:uid="{54F17D1D-5FCB-4C47-BEFF-9EA553D75E5F}">
      <text>
        <r>
          <rPr>
            <sz val="11"/>
            <color theme="1"/>
            <rFont val="Aptos Narrow"/>
            <family val="2"/>
            <scheme val="minor"/>
          </rPr>
          <t>Unknown User:
Quote not raised by plumber.</t>
        </r>
      </text>
    </comment>
    <comment ref="U489" authorId="1" shapeId="0" xr:uid="{A6079373-28B3-4513-A626-0B14BFFFCEB1}">
      <text>
        <r>
          <rPr>
            <sz val="11"/>
            <color theme="1"/>
            <rFont val="Aptos Narrow"/>
            <family val="2"/>
            <scheme val="minor"/>
          </rPr>
          <t>Unknown User:
17/07-As per Francesco's note "Client not on site on completion, have sent through for signatures electronically. He said he will pay remaining balance once he returns home"</t>
        </r>
      </text>
    </comment>
    <comment ref="G490" authorId="1" shapeId="0" xr:uid="{67230D61-3D4D-46A2-9ED9-3B910072370E}">
      <text>
        <r>
          <rPr>
            <sz val="11"/>
            <color theme="1"/>
            <rFont val="Aptos Narrow"/>
            <family val="2"/>
            <scheme val="minor"/>
          </rPr>
          <t xml:space="preserve">Unknown User:
HIGH POWERED JET BLAST &amp; CCTV DRAIN CAMERA INSPECTION (SEWER SERVICE)
</t>
        </r>
      </text>
    </comment>
    <comment ref="R490" authorId="1" shapeId="0" xr:uid="{57C8F973-9DE5-494E-A1E7-B281AAB668CC}">
      <text>
        <r>
          <rPr>
            <sz val="11"/>
            <color theme="1"/>
            <rFont val="Aptos Narrow"/>
            <family val="2"/>
            <scheme val="minor"/>
          </rPr>
          <t>Unknown User:
Sign not obtained</t>
        </r>
      </text>
    </comment>
    <comment ref="G491" authorId="1" shapeId="0" xr:uid="{9D53B5D1-6FE0-4CAB-97B4-23D9FAE75314}">
      <text>
        <r>
          <rPr>
            <sz val="11"/>
            <color theme="1"/>
            <rFont val="Aptos Narrow"/>
            <family val="2"/>
            <scheme val="minor"/>
          </rPr>
          <t>Unknown User:
HIGH POWERED JET BLAST &amp; CCTV DRAIN CAMERA INSPECTION (SEWER SERVICE)</t>
        </r>
      </text>
    </comment>
    <comment ref="Q491" authorId="1" shapeId="0" xr:uid="{70C309D0-13E7-4247-AB3C-0FCF5E0C1EB5}">
      <text>
        <r>
          <rPr>
            <sz val="11"/>
            <color theme="1"/>
            <rFont val="Aptos Narrow"/>
            <family val="2"/>
            <scheme val="minor"/>
          </rPr>
          <t>Unknown User:
Invoice not raised</t>
        </r>
      </text>
    </comment>
    <comment ref="G492" authorId="1" shapeId="0" xr:uid="{1333D869-5230-4E3F-BD59-48AF7D705EB7}">
      <text>
        <r>
          <rPr>
            <sz val="11"/>
            <color theme="1"/>
            <rFont val="Aptos Narrow"/>
            <family val="2"/>
            <scheme val="minor"/>
          </rPr>
          <t>Unknown User:
SUPPLY &amp; INSTALLATION OF NEW WASHING MACHINE OUTLET DRAIN HOSE
10% Seniors &amp; Pensioners Discount</t>
        </r>
      </text>
    </comment>
    <comment ref="G493" authorId="1" shapeId="0" xr:uid="{A464EB2F-D4A3-49C5-8D59-CF510E56F81D}">
      <text>
        <r>
          <rPr>
            <sz val="11"/>
            <color theme="1"/>
            <rFont val="Aptos Narrow"/>
            <family val="2"/>
            <scheme val="minor"/>
          </rPr>
          <t>Unknown User:
SUPPLY &amp; INSTALLATION OF NEW BRASS HOSE TAP</t>
        </r>
      </text>
    </comment>
    <comment ref="W493" authorId="1" shapeId="0" xr:uid="{A22F3AD1-9563-487C-976B-3D1AB4432DBD}">
      <text>
        <r>
          <rPr>
            <sz val="11"/>
            <color theme="1"/>
            <rFont val="Aptos Narrow"/>
            <family val="2"/>
            <scheme val="minor"/>
          </rPr>
          <t>Unknown User:
Cash Denomination 
$100*1 = $100
$50*1 = $50
  Total - $150</t>
        </r>
      </text>
    </comment>
    <comment ref="G494" authorId="1" shapeId="0" xr:uid="{B3DEA63C-1823-4885-BDC5-68A3E1E2E1C8}">
      <text>
        <r>
          <rPr>
            <sz val="11"/>
            <color theme="1"/>
            <rFont val="Aptos Narrow"/>
            <family val="2"/>
            <scheme val="minor"/>
          </rPr>
          <t>Unknown User:
SEWER SPOT DIG UP TO 1.5M - IN GROUND
CREDIT HIGH POWERED JETBLAST &amp; CCTV CAMERA
Good Will Discount</t>
        </r>
      </text>
    </comment>
    <comment ref="O494" authorId="1" shapeId="0" xr:uid="{9527410D-E073-46D1-A50E-35EA51A60F6D}">
      <text>
        <r>
          <rPr>
            <sz val="11"/>
            <color theme="1"/>
            <rFont val="Aptos Narrow"/>
            <family val="2"/>
            <scheme val="minor"/>
          </rPr>
          <t>Unknown User:
Quote not signed</t>
        </r>
      </text>
    </comment>
    <comment ref="D495" authorId="1" shapeId="0" xr:uid="{40119C32-D543-4B25-9123-D338256048DB}">
      <text>
        <r>
          <rPr>
            <sz val="11"/>
            <color theme="1"/>
            <rFont val="Aptos Narrow"/>
            <family val="2"/>
            <scheme val="minor"/>
          </rPr>
          <t>Unknown User:
Quote duplicated</t>
        </r>
      </text>
    </comment>
    <comment ref="G495" authorId="1" shapeId="0" xr:uid="{142A0295-6939-47D4-A224-7E0FD9EF47C3}">
      <text>
        <r>
          <rPr>
            <sz val="11"/>
            <color theme="1"/>
            <rFont val="Aptos Narrow"/>
            <family val="2"/>
            <scheme val="minor"/>
          </rPr>
          <t>Unknown User:
RELINE OF SEWER SERVICE UP TO 4M</t>
        </r>
      </text>
    </comment>
    <comment ref="G499" authorId="1" shapeId="0" xr:uid="{815630E3-4C0A-40EC-B828-614CF4B1A7AA}">
      <text>
        <r>
          <rPr>
            <sz val="11"/>
            <color theme="1"/>
            <rFont val="Aptos Narrow"/>
            <family val="2"/>
            <scheme val="minor"/>
          </rPr>
          <t>Unknown User:
SEWER SPOT DIG UP TO 3M (UNDER CONCRETE)</t>
        </r>
      </text>
    </comment>
    <comment ref="G500" authorId="1" shapeId="0" xr:uid="{766BCDC6-9B56-4DA2-AD82-987002ED42C2}">
      <text>
        <r>
          <rPr>
            <sz val="11"/>
            <color theme="1"/>
            <rFont val="Aptos Narrow"/>
            <family val="2"/>
            <scheme val="minor"/>
          </rPr>
          <t>Unknown User:
REPLACEMENT OF EXISTING OVERFLOW GULLY &amp; UP TO 1.5M OF MAIN SEWER SERVICE (UNDER PAVERS)</t>
        </r>
      </text>
    </comment>
    <comment ref="V500" authorId="1" shapeId="0" xr:uid="{63E5862D-6CAD-4D71-AF7A-B75F26CF5D53}">
      <text>
        <r>
          <rPr>
            <sz val="11"/>
            <color theme="1"/>
            <rFont val="Aptos Narrow"/>
            <family val="2"/>
            <scheme val="minor"/>
          </rPr>
          <t>Unknown User:
11/08 Received $6695.40 EFT</t>
        </r>
      </text>
    </comment>
    <comment ref="G504" authorId="1" shapeId="0" xr:uid="{1FE6BE31-4F60-4F6A-BFA9-4F715A24FB91}">
      <text>
        <r>
          <rPr>
            <sz val="11"/>
            <color theme="1"/>
            <rFont val="Aptos Narrow"/>
            <family val="2"/>
            <scheme val="minor"/>
          </rPr>
          <t>Unknown User:
HIGH POWERED JET BLAST &amp; CCTV DRAIN CAMERA INSPECTION (SEWER SERVICE)</t>
        </r>
      </text>
    </comment>
    <comment ref="G505" authorId="1" shapeId="0" xr:uid="{B60F0067-ACD5-41CD-AF55-D1BD02A934D0}">
      <text>
        <r>
          <rPr>
            <sz val="11"/>
            <color theme="1"/>
            <rFont val="Aptos Narrow"/>
            <family val="2"/>
            <scheme val="minor"/>
          </rPr>
          <t>Unknown User:
HIGH POWERED SUCTION PUMP</t>
        </r>
      </text>
    </comment>
    <comment ref="G507" authorId="1" shapeId="0" xr:uid="{FA2B93BF-4392-467C-A12F-0B0110A2FBEC}">
      <text>
        <r>
          <rPr>
            <sz val="11"/>
            <color theme="1"/>
            <rFont val="Aptos Narrow"/>
            <family val="2"/>
            <scheme val="minor"/>
          </rPr>
          <t>Unknown User:
SEARCH AND INVESTIGATION OF GAS INSTANTANEOUS HOT WATER SYSTEM</t>
        </r>
      </text>
    </comment>
    <comment ref="G508" authorId="1" shapeId="0" xr:uid="{A65C1902-EB14-4FF6-9AFB-9CCE300C20F8}">
      <text>
        <r>
          <rPr>
            <sz val="11"/>
            <color theme="1"/>
            <rFont val="Aptos Narrow"/>
            <family val="2"/>
            <scheme val="minor"/>
          </rPr>
          <t xml:space="preserve">Unknown User:
SEWER SPOT DIG / RELINE
CONTINUATION OF SERVICE </t>
        </r>
      </text>
    </comment>
    <comment ref="G509" authorId="1" shapeId="0" xr:uid="{819DCCC5-DABC-416C-9F71-6E884F16681A}">
      <text>
        <r>
          <rPr>
            <sz val="11"/>
            <color theme="1"/>
            <rFont val="Aptos Narrow"/>
            <family val="2"/>
            <scheme val="minor"/>
          </rPr>
          <t xml:space="preserve">Unknown User:
COMMERCIAL HIGH POWERED JETBLAST &amp; CCTV DRAIN CAMERA INSPECTION
</t>
        </r>
      </text>
    </comment>
    <comment ref="G510" authorId="1" shapeId="0" xr:uid="{79CB8658-7779-4E03-92FB-F49A0B1BBC73}">
      <text>
        <r>
          <rPr>
            <sz val="11"/>
            <color theme="1"/>
            <rFont val="Aptos Narrow"/>
            <family val="2"/>
            <scheme val="minor"/>
          </rPr>
          <t xml:space="preserve">Unknown User:
REPLACEMENT OF EXISTING GOOSE NECK KITCHEN MIXER (CUSTOMER SUPPLIED)
</t>
        </r>
      </text>
    </comment>
    <comment ref="G511" authorId="1" shapeId="0" xr:uid="{1B0365F8-1639-49AF-8E17-61D95B136523}">
      <text>
        <r>
          <rPr>
            <sz val="11"/>
            <color theme="1"/>
            <rFont val="Aptos Narrow"/>
            <family val="2"/>
            <scheme val="minor"/>
          </rPr>
          <t xml:space="preserve">Unknown User:
SUPPLY &amp; INSTALLATION OF GAS STORAGE HOT WATER SYSTEM (INTERNAL)
$85 Off First Service
</t>
        </r>
      </text>
    </comment>
    <comment ref="G512" authorId="1" shapeId="0" xr:uid="{30B75C7F-76CC-4F56-B062-5A37A6866180}">
      <text>
        <r>
          <rPr>
            <sz val="11"/>
            <color theme="1"/>
            <rFont val="Aptos Narrow"/>
            <family val="2"/>
            <scheme val="minor"/>
          </rPr>
          <t xml:space="preserve">Unknown User:
REPLACEMENT OF EXISTING GOOSE NECK KITCHEN MIXER
10% Seniors &amp; Pensioners Discount
</t>
        </r>
      </text>
    </comment>
    <comment ref="G513" authorId="1" shapeId="0" xr:uid="{F6FD7E36-B243-448C-8AEE-A6056D043429}">
      <text>
        <r>
          <rPr>
            <sz val="11"/>
            <color theme="1"/>
            <rFont val="Aptos Narrow"/>
            <family val="2"/>
            <scheme val="minor"/>
          </rPr>
          <t xml:space="preserve">Unknown User:
SUPPLY &amp; INSTALLATION OF NEW TOILET SEAT
</t>
        </r>
      </text>
    </comment>
    <comment ref="G514" authorId="1" shapeId="0" xr:uid="{DA66E1B3-1E9E-4185-9475-F66272800F48}">
      <text>
        <r>
          <rPr>
            <sz val="11"/>
            <color theme="1"/>
            <rFont val="Aptos Narrow"/>
            <family val="2"/>
            <scheme val="minor"/>
          </rPr>
          <t>Unknown User:
INSTALLATION OF NEW LINK SUITE (CUSTOMER SUPPLIED)
$85 Off First Service</t>
        </r>
      </text>
    </comment>
    <comment ref="G516" authorId="1" shapeId="0" xr:uid="{BF85DE5D-263C-42DE-B76A-FDB226E3BC85}">
      <text>
        <r>
          <rPr>
            <sz val="11"/>
            <color theme="1"/>
            <rFont val="Aptos Narrow"/>
            <family val="2"/>
            <scheme val="minor"/>
          </rPr>
          <t>Unknown User:
SEARCH &amp; INVESTIGATION OF GAS APPLIANCE
10% Seniors &amp; Pensioners Discount</t>
        </r>
      </text>
    </comment>
    <comment ref="G517" authorId="1" shapeId="0" xr:uid="{C01A25DF-BC8E-47B7-91AF-2460480845CF}">
      <text>
        <r>
          <rPr>
            <sz val="11"/>
            <color theme="1"/>
            <rFont val="Aptos Narrow"/>
            <family val="2"/>
            <scheme val="minor"/>
          </rPr>
          <t>Unknown User:
SEARCH &amp; INVESTIGATE - IN WALL CISTERN</t>
        </r>
      </text>
    </comment>
    <comment ref="G518" authorId="1" shapeId="0" xr:uid="{DCDE00CD-0B1B-4F94-A20C-9AD9AB363C63}">
      <text>
        <r>
          <rPr>
            <sz val="11"/>
            <color theme="1"/>
            <rFont val="Aptos Narrow"/>
            <family val="2"/>
            <scheme val="minor"/>
          </rPr>
          <t xml:space="preserve">Unknown User:
HIGH POWERED JET BLAST &amp; CCTV DRAIN CAMERA INSPECTION (SEWER SERVICE)
$85 Off First Service
</t>
        </r>
      </text>
    </comment>
    <comment ref="T519" authorId="1" shapeId="0" xr:uid="{026C6FBE-756B-4CC8-AA69-79B5D3D46F42}">
      <text>
        <r>
          <rPr>
            <sz val="11"/>
            <color theme="1"/>
            <rFont val="Aptos Narrow"/>
            <family val="2"/>
            <scheme val="minor"/>
          </rPr>
          <t>Unknown User:
0.5 x Bradley</t>
        </r>
      </text>
    </comment>
    <comment ref="G520" authorId="1" shapeId="0" xr:uid="{6B6C0007-5923-48B7-8E81-8B3453BEA1C9}">
      <text>
        <r>
          <rPr>
            <sz val="11"/>
            <color theme="1"/>
            <rFont val="Aptos Narrow"/>
            <family val="2"/>
            <scheme val="minor"/>
          </rPr>
          <t>Unknown User:
SUPPLY &amp; INSTALLATION OF NEW CLOSE COUPLED TOILET SUITE</t>
        </r>
      </text>
    </comment>
    <comment ref="G521" authorId="1" shapeId="0" xr:uid="{16DB7499-5D1B-41D0-A922-028DA2486861}">
      <text>
        <r>
          <rPr>
            <sz val="11"/>
            <color theme="1"/>
            <rFont val="Aptos Narrow"/>
            <family val="2"/>
            <scheme val="minor"/>
          </rPr>
          <t>Unknown User:
CCTV DRAIN CAMERA INSPECTION OF SEWER SERVICE</t>
        </r>
      </text>
    </comment>
    <comment ref="G522" authorId="1" shapeId="0" xr:uid="{7624190D-3511-4561-A2F4-76A65062704F}">
      <text>
        <r>
          <rPr>
            <sz val="11"/>
            <color theme="1"/>
            <rFont val="Aptos Narrow"/>
            <family val="2"/>
            <scheme val="minor"/>
          </rPr>
          <t>Unknown User:
REPLACEMENT OF SHOWER ON RAIL
$85 Off First Service</t>
        </r>
      </text>
    </comment>
    <comment ref="G554" authorId="1" shapeId="0" xr:uid="{321E6E1C-CA56-4DD6-A698-CBF1581A2724}">
      <text>
        <r>
          <rPr>
            <sz val="11"/>
            <color theme="1"/>
            <rFont val="Aptos Narrow"/>
            <family val="2"/>
            <scheme val="minor"/>
          </rPr>
          <t>Unknown User:
MIXER TAP - GOOSE NECK</t>
        </r>
      </text>
    </comment>
    <comment ref="K554" authorId="1" shapeId="0" xr:uid="{1B1BA1C7-6A57-4336-87B6-9EB25189AD8C}">
      <text>
        <r>
          <rPr>
            <sz val="11"/>
            <color theme="1"/>
            <rFont val="Aptos Narrow"/>
            <family val="2"/>
            <scheme val="minor"/>
          </rPr>
          <t>Unknown User:
Before pics are not satisfactory.</t>
        </r>
      </text>
    </comment>
    <comment ref="S554" authorId="1" shapeId="0" xr:uid="{262661F6-E773-4F68-96B4-28815B290597}">
      <text>
        <r>
          <rPr>
            <sz val="11"/>
            <color theme="1"/>
            <rFont val="Aptos Narrow"/>
            <family val="2"/>
            <scheme val="minor"/>
          </rPr>
          <t>Unknown User:
Signed invoice not emailed</t>
        </r>
      </text>
    </comment>
    <comment ref="G555" authorId="1" shapeId="0" xr:uid="{936659FB-6658-4AB7-9801-82A85FFE3240}">
      <text>
        <r>
          <rPr>
            <sz val="11"/>
            <color theme="1"/>
            <rFont val="Aptos Narrow"/>
            <family val="2"/>
            <scheme val="minor"/>
          </rPr>
          <t>Unknown User:
HIGH POWERED JET BLAST &amp; CCTV DRAIN CAMERA INSPECTION (SEWER SERVICE)</t>
        </r>
      </text>
    </comment>
    <comment ref="S555" authorId="1" shapeId="0" xr:uid="{9BBD0F09-13C5-4971-AAC3-BA8AD1853B98}">
      <text>
        <r>
          <rPr>
            <sz val="11"/>
            <color theme="1"/>
            <rFont val="Aptos Narrow"/>
            <family val="2"/>
            <scheme val="minor"/>
          </rPr>
          <t>Unknown User:
Signed invoice not emailed</t>
        </r>
      </text>
    </comment>
    <comment ref="U555" authorId="1" shapeId="0" xr:uid="{5FBD35A4-69F7-492B-9E4D-1CA7E0AD9169}">
      <text>
        <r>
          <rPr>
            <sz val="11"/>
            <color theme="1"/>
            <rFont val="Aptos Narrow"/>
            <family val="2"/>
            <scheme val="minor"/>
          </rPr>
          <t>Unknown User:
20/8-As per Zachias's note "Customer called, not happy with a sub-below par service. Told me that he wants the CCTV footage from the job and he wants the quote to fix it. Told customer that I will get in contact with plumber and call him back either today or by end of tomorrow. Will Teams DSR to ask for report/quote"</t>
        </r>
      </text>
    </comment>
    <comment ref="G556" authorId="1" shapeId="0" xr:uid="{186AB06E-91D2-4FB9-A52C-22E1960CFFD9}">
      <text>
        <r>
          <rPr>
            <sz val="11"/>
            <color theme="1"/>
            <rFont val="Aptos Narrow"/>
            <family val="2"/>
            <scheme val="minor"/>
          </rPr>
          <t>Unknown User:
HIGH POWERED SUCTION &amp; ACID TREATMENT</t>
        </r>
      </text>
    </comment>
    <comment ref="G557" authorId="1" shapeId="0" xr:uid="{DC6208E8-78BF-4114-919E-42D9F139DDD9}">
      <text>
        <r>
          <rPr>
            <sz val="11"/>
            <color theme="1"/>
            <rFont val="Aptos Narrow"/>
            <family val="2"/>
            <scheme val="minor"/>
          </rPr>
          <t>Unknown User:
HIGH POWERED JET BLAST &amp; CCTV DRAIN CAMERA INSPECTION (SEWER SERVICE)</t>
        </r>
      </text>
    </comment>
    <comment ref="M557" authorId="1" shapeId="0" xr:uid="{B0B58323-EBED-4905-A829-F6D95DB1304C}">
      <text>
        <r>
          <rPr>
            <sz val="11"/>
            <color theme="1"/>
            <rFont val="Aptos Narrow"/>
            <family val="2"/>
            <scheme val="minor"/>
          </rPr>
          <t>Unknown User:
Smartpay receipt of $1251.80 not uploaded by plumber.
Uploaded by Modoras team.</t>
        </r>
      </text>
    </comment>
    <comment ref="G558" authorId="1" shapeId="0" xr:uid="{54BFFF3B-B1E7-42B1-BBB4-ECD54CE3577C}">
      <text>
        <r>
          <rPr>
            <sz val="11"/>
            <color theme="1"/>
            <rFont val="Aptos Narrow"/>
            <family val="2"/>
            <scheme val="minor"/>
          </rPr>
          <t xml:space="preserve">Unknown User:
REPLACEMENT OF PLUG &amp; WASTE - 50MM
$85 Off First Service
</t>
        </r>
      </text>
    </comment>
    <comment ref="G559" authorId="1" shapeId="0" xr:uid="{769F6BF9-9F38-41A1-81CD-670D2A0F54FA}">
      <text>
        <r>
          <rPr>
            <sz val="11"/>
            <color theme="1"/>
            <rFont val="Aptos Narrow"/>
            <family val="2"/>
            <scheme val="minor"/>
          </rPr>
          <t xml:space="preserve">Unknown User:
MIXER TAP - GOOSE NECK
</t>
        </r>
      </text>
    </comment>
    <comment ref="L559" authorId="1" shapeId="0" xr:uid="{42B2DC3B-A0C9-4C36-90BB-49800FB337E1}">
      <text>
        <r>
          <rPr>
            <sz val="11"/>
            <color theme="1"/>
            <rFont val="Aptos Narrow"/>
            <family val="2"/>
            <scheme val="minor"/>
          </rPr>
          <t xml:space="preserve">Unknown User:
After pics not uploaded </t>
        </r>
      </text>
    </comment>
    <comment ref="G560" authorId="1" shapeId="0" xr:uid="{4A2323C6-0D93-4013-ABB1-8D72D9B43570}">
      <text>
        <r>
          <rPr>
            <sz val="11"/>
            <color theme="1"/>
            <rFont val="Aptos Narrow"/>
            <family val="2"/>
            <scheme val="minor"/>
          </rPr>
          <t>Unknown User:
REPLACEMENT OF SHOWER ON RAIL</t>
        </r>
      </text>
    </comment>
    <comment ref="G561" authorId="1" shapeId="0" xr:uid="{033D2022-5786-45CB-8CFA-694B2FECC306}">
      <text>
        <r>
          <rPr>
            <sz val="11"/>
            <color theme="1"/>
            <rFont val="Aptos Narrow"/>
            <family val="2"/>
            <scheme val="minor"/>
          </rPr>
          <t>Unknown User:
INSTALLATION OF DISHWASHER [SAME LOCATION] (CUSTOMER SUPPLIED)</t>
        </r>
      </text>
    </comment>
    <comment ref="S561" authorId="1" shapeId="0" xr:uid="{7E503984-59EA-48B3-93FB-088228B7B816}">
      <text>
        <r>
          <rPr>
            <sz val="11"/>
            <color theme="1"/>
            <rFont val="Aptos Narrow"/>
            <family val="2"/>
            <scheme val="minor"/>
          </rPr>
          <t>Unknown User:
Signed invoice not emailed</t>
        </r>
      </text>
    </comment>
    <comment ref="G566" authorId="1" shapeId="0" xr:uid="{936E0DF9-A5A1-4236-9FB7-79739F1EEBDC}">
      <text>
        <r>
          <rPr>
            <sz val="11"/>
            <color theme="1"/>
            <rFont val="Aptos Narrow"/>
            <family val="2"/>
            <scheme val="minor"/>
          </rPr>
          <t>Unknown User:
SUPPLY &amp; INSTALLATION OF NEW WASHING MACHINE OUTLET DRAIN HOSE
10% Seniors &amp; Pensioners Discount</t>
        </r>
      </text>
    </comment>
    <comment ref="G567" authorId="1" shapeId="0" xr:uid="{91F8B093-0AD6-4268-89B9-63C1891EC703}">
      <text>
        <r>
          <rPr>
            <sz val="11"/>
            <color theme="1"/>
            <rFont val="Aptos Narrow"/>
            <family val="2"/>
            <scheme val="minor"/>
          </rPr>
          <t>Unknown User:
SUPPLY &amp; INSTALLATION OF NEW BRASS HOSE TAP</t>
        </r>
      </text>
    </comment>
    <comment ref="W567" authorId="1" shapeId="0" xr:uid="{29B0A9D4-5956-4A25-AD24-4A7B18CF09C3}">
      <text>
        <r>
          <rPr>
            <sz val="11"/>
            <color theme="1"/>
            <rFont val="Aptos Narrow"/>
            <family val="2"/>
            <scheme val="minor"/>
          </rPr>
          <t>Unknown User:
Cash Denomination 
$100*1 = $100
$50*1 = $50
  Total - $150</t>
        </r>
      </text>
    </comment>
    <comment ref="G571" authorId="1" shapeId="0" xr:uid="{46D847B5-63E8-4DE2-BA98-E473FB9E2C16}">
      <text>
        <r>
          <rPr>
            <sz val="11"/>
            <color theme="1"/>
            <rFont val="Aptos Narrow"/>
            <family val="2"/>
            <scheme val="minor"/>
          </rPr>
          <t>Unknown User:
BATH SPOUT RECTIFICATION</t>
        </r>
      </text>
    </comment>
    <comment ref="R571" authorId="1" shapeId="0" xr:uid="{A4663397-890B-4B76-949B-C1272ACF8197}">
      <text>
        <r>
          <rPr>
            <sz val="11"/>
            <color theme="1"/>
            <rFont val="Aptos Narrow"/>
            <family val="2"/>
            <scheme val="minor"/>
          </rPr>
          <t>Unknown User:
Invoice not signed</t>
        </r>
      </text>
    </comment>
    <comment ref="S571" authorId="1" shapeId="0" xr:uid="{1FEF20CB-B887-49E8-9B9B-4FC2109603E3}">
      <text>
        <r>
          <rPr>
            <sz val="11"/>
            <color theme="1"/>
            <rFont val="Aptos Narrow"/>
            <family val="2"/>
            <scheme val="minor"/>
          </rPr>
          <t>Unknown User:
Signed invoice not emailed</t>
        </r>
      </text>
    </comment>
    <comment ref="G575" authorId="1" shapeId="0" xr:uid="{234DE844-C50C-4B0A-ACEA-BBD7719128F3}">
      <text>
        <r>
          <rPr>
            <sz val="11"/>
            <color theme="1"/>
            <rFont val="Aptos Narrow"/>
            <family val="2"/>
            <scheme val="minor"/>
          </rPr>
          <t>Unknown User:
SPECIALIST LEAK DETECTION (WATER SERVICE)</t>
        </r>
      </text>
    </comment>
    <comment ref="G576" authorId="1" shapeId="0" xr:uid="{48F365B0-C1DE-43E8-B04A-0E46A4B8AC42}">
      <text>
        <r>
          <rPr>
            <sz val="11"/>
            <color theme="1"/>
            <rFont val="Aptos Narrow"/>
            <family val="2"/>
            <scheme val="minor"/>
          </rPr>
          <t>Unknown User:
STORM WATER SERVICE INSTALLATION UP TO 12M
10% Seniors &amp; Pensioners Discount</t>
        </r>
      </text>
    </comment>
    <comment ref="G577" authorId="1" shapeId="0" xr:uid="{985C4F7B-CA68-46D4-A390-241F2E895C36}">
      <text>
        <r>
          <rPr>
            <sz val="11"/>
            <color theme="1"/>
            <rFont val="Aptos Narrow"/>
            <family val="2"/>
            <scheme val="minor"/>
          </rPr>
          <t>Unknown User:
REPLACEMENT OF SEWER BOUNDARY TRAP</t>
        </r>
      </text>
    </comment>
    <comment ref="G581" authorId="1" shapeId="0" xr:uid="{C6388473-9514-4818-B70E-73F28788F7F1}">
      <text>
        <r>
          <rPr>
            <sz val="11"/>
            <color theme="1"/>
            <rFont val="Aptos Narrow"/>
            <family val="2"/>
            <scheme val="minor"/>
          </rPr>
          <t>Unknown User:
SEARCH &amp; INVESTIGATION OF DOUBLE STOREY ROOF OF POTENTIAL LEAK</t>
        </r>
      </text>
    </comment>
    <comment ref="P581" authorId="1" shapeId="0" xr:uid="{F3FFF2C1-ACD4-490D-9622-E257BF772FFD}">
      <text>
        <r>
          <rPr>
            <sz val="11"/>
            <color theme="1"/>
            <rFont val="Aptos Narrow"/>
            <family val="2"/>
            <scheme val="minor"/>
          </rPr>
          <t>Unknown User:
Quote not emailed</t>
        </r>
      </text>
    </comment>
    <comment ref="Q581" authorId="1" shapeId="0" xr:uid="{EEB80622-6426-4713-8BDD-019818036F8C}">
      <text>
        <r>
          <rPr>
            <sz val="11"/>
            <color theme="1"/>
            <rFont val="Aptos Narrow"/>
            <family val="2"/>
            <scheme val="minor"/>
          </rPr>
          <t>Unknown User:
Progress payment not updated in invoice.</t>
        </r>
      </text>
    </comment>
    <comment ref="R581" authorId="1" shapeId="0" xr:uid="{D0F4EC6C-BBDA-4AEF-9334-EA541B642025}">
      <text>
        <r>
          <rPr>
            <sz val="11"/>
            <color theme="1"/>
            <rFont val="Aptos Narrow"/>
            <family val="2"/>
            <scheme val="minor"/>
          </rPr>
          <t>Unknown User:
Invoice not Signed</t>
        </r>
      </text>
    </comment>
    <comment ref="G582" authorId="1" shapeId="0" xr:uid="{1F3F7A56-4C59-4781-9BA1-1B4A41348C6D}">
      <text>
        <r>
          <rPr>
            <sz val="11"/>
            <color theme="1"/>
            <rFont val="Aptos Narrow"/>
            <family val="2"/>
            <scheme val="minor"/>
          </rPr>
          <t xml:space="preserve">Unknown User:
SEARCH &amp; INVESTIGATION OF SINGLE STOREY ROOF OF POTENTIAL LEAK
10% Good Will Discount </t>
        </r>
      </text>
    </comment>
    <comment ref="N582" authorId="1" shapeId="0" xr:uid="{5907C963-4E8A-4474-8C37-A44ADEA7E63A}">
      <text>
        <r>
          <rPr>
            <sz val="11"/>
            <color theme="1"/>
            <rFont val="Aptos Narrow"/>
            <family val="2"/>
            <scheme val="minor"/>
          </rPr>
          <t>Unknown User:
Quote not raised by plumber.</t>
        </r>
      </text>
    </comment>
    <comment ref="U582" authorId="1" shapeId="0" xr:uid="{2922AAF7-A960-4A27-9A1F-A556B9E85013}">
      <text>
        <r>
          <rPr>
            <sz val="11"/>
            <color theme="1"/>
            <rFont val="Aptos Narrow"/>
            <family val="2"/>
            <scheme val="minor"/>
          </rPr>
          <t>Unknown User:
17/07-As per Francesco's note "Client not on site on completion, have sent through for signatures electronically. He said he will pay remaining balance once he returns home"</t>
        </r>
      </text>
    </comment>
    <comment ref="G583" authorId="1" shapeId="0" xr:uid="{87234ED5-D8D9-429A-9BAE-431DA1FCED52}">
      <text>
        <r>
          <rPr>
            <sz val="11"/>
            <color theme="1"/>
            <rFont val="Aptos Narrow"/>
            <family val="2"/>
            <scheme val="minor"/>
          </rPr>
          <t xml:space="preserve">Unknown User:
HIGH POWERED JET BLAST &amp; CCTV DRAIN CAMERA INSPECTION (SEWER SERVICE)
</t>
        </r>
      </text>
    </comment>
    <comment ref="R583" authorId="1" shapeId="0" xr:uid="{3F85CF8B-26E5-47BD-BF72-93644FD0C052}">
      <text>
        <r>
          <rPr>
            <sz val="11"/>
            <color theme="1"/>
            <rFont val="Aptos Narrow"/>
            <family val="2"/>
            <scheme val="minor"/>
          </rPr>
          <t>Unknown User:
Sign not obtained</t>
        </r>
      </text>
    </comment>
    <comment ref="G584" authorId="1" shapeId="0" xr:uid="{6E6B54BA-EB51-4A3F-A11F-C97001635F8D}">
      <text>
        <r>
          <rPr>
            <sz val="11"/>
            <color theme="1"/>
            <rFont val="Aptos Narrow"/>
            <family val="2"/>
            <scheme val="minor"/>
          </rPr>
          <t>Unknown User:
HIGH POWERED JET BLAST &amp; CCTV DRAIN CAMERA INSPECTION (SEWER SERVICE)</t>
        </r>
      </text>
    </comment>
    <comment ref="Q584" authorId="1" shapeId="0" xr:uid="{717259B3-A4CC-4706-A76F-CD291ED5835E}">
      <text>
        <r>
          <rPr>
            <sz val="11"/>
            <color theme="1"/>
            <rFont val="Aptos Narrow"/>
            <family val="2"/>
            <scheme val="minor"/>
          </rPr>
          <t>Unknown User:
Invoice not raised</t>
        </r>
      </text>
    </comment>
    <comment ref="G585" authorId="1" shapeId="0" xr:uid="{97E05C18-4107-44F5-AA35-AB993ACD0E3C}">
      <text>
        <r>
          <rPr>
            <sz val="11"/>
            <color theme="1"/>
            <rFont val="Aptos Narrow"/>
            <family val="2"/>
            <scheme val="minor"/>
          </rPr>
          <t>Unknown User:
SEWER SPOT DIG UP TO 1.5M - IN GROUND
CREDIT HIGH POWERED JETBLAST &amp; CCTV CAMERA
Good Will Discount</t>
        </r>
      </text>
    </comment>
    <comment ref="O585" authorId="1" shapeId="0" xr:uid="{42F19346-F11B-4799-A6E1-8284D70DF110}">
      <text>
        <r>
          <rPr>
            <sz val="11"/>
            <color theme="1"/>
            <rFont val="Aptos Narrow"/>
            <family val="2"/>
            <scheme val="minor"/>
          </rPr>
          <t>Unknown User:
Quote not signed</t>
        </r>
      </text>
    </comment>
    <comment ref="D586" authorId="1" shapeId="0" xr:uid="{B3F88C32-D330-48C9-86BC-BB6BDB36C04D}">
      <text>
        <r>
          <rPr>
            <sz val="11"/>
            <color theme="1"/>
            <rFont val="Aptos Narrow"/>
            <family val="2"/>
            <scheme val="minor"/>
          </rPr>
          <t>Unknown User:
Quote duplicated</t>
        </r>
      </text>
    </comment>
    <comment ref="G586" authorId="1" shapeId="0" xr:uid="{2175B3D9-7CA1-4DC5-BA0B-F7889FE0F645}">
      <text>
        <r>
          <rPr>
            <sz val="11"/>
            <color theme="1"/>
            <rFont val="Aptos Narrow"/>
            <family val="2"/>
            <scheme val="minor"/>
          </rPr>
          <t>Unknown User:
RELINE OF SEWER SERVICE UP TO 4M</t>
        </r>
      </text>
    </comment>
    <comment ref="G587" authorId="1" shapeId="0" xr:uid="{2687ECED-B644-4384-BD35-7EAC2C2E9A06}">
      <text>
        <r>
          <rPr>
            <sz val="11"/>
            <color theme="1"/>
            <rFont val="Aptos Narrow"/>
            <family val="2"/>
            <scheme val="minor"/>
          </rPr>
          <t>Unknown User:
GUTTER REPLACEMENT (UP TO 6M)</t>
        </r>
      </text>
    </comment>
    <comment ref="G588" authorId="1" shapeId="0" xr:uid="{F2EBD98F-35DB-4C1C-9712-50A3C3A9BA6E}">
      <text>
        <r>
          <rPr>
            <sz val="11"/>
            <color theme="1"/>
            <rFont val="Aptos Narrow"/>
            <family val="2"/>
            <scheme val="minor"/>
          </rPr>
          <t>Unknown User:
REPLACEMENT OF EXISTING OVERFLOW GULLY &amp; UP TO 1.5M OF MAIN SEWER SERVICE (UNDER PAVERS)</t>
        </r>
      </text>
    </comment>
    <comment ref="V588" authorId="1" shapeId="0" xr:uid="{2DEE33AB-45ED-441D-AB88-71C4258B40BE}">
      <text>
        <r>
          <rPr>
            <sz val="11"/>
            <color theme="1"/>
            <rFont val="Aptos Narrow"/>
            <family val="2"/>
            <scheme val="minor"/>
          </rPr>
          <t>Unknown User:
11/08 Received $6695.40 EFT</t>
        </r>
      </text>
    </comment>
    <comment ref="G589" authorId="1" shapeId="0" xr:uid="{C08D603B-B0FE-42DE-A01C-BE065CFF89E6}">
      <text>
        <r>
          <rPr>
            <sz val="11"/>
            <color theme="1"/>
            <rFont val="Aptos Narrow"/>
            <family val="2"/>
            <scheme val="minor"/>
          </rPr>
          <t>Unknown User:
REPLACEMENT OF SEWER SHAFT UP TO 2.5M (UNDER PAVERS)</t>
        </r>
      </text>
    </comment>
    <comment ref="N589" authorId="1" shapeId="0" xr:uid="{C41FEE1F-6F72-4A0A-B05A-84A446C913C5}">
      <text>
        <r>
          <rPr>
            <sz val="11"/>
            <color theme="1"/>
            <rFont val="Aptos Narrow"/>
            <family val="2"/>
            <scheme val="minor"/>
          </rPr>
          <t>Unknown User:
Quote not raised</t>
        </r>
      </text>
    </comment>
    <comment ref="V589" authorId="1" shapeId="0" xr:uid="{02796B2B-2DA7-4F78-BB70-F31683CB7F74}">
      <text>
        <r>
          <rPr>
            <sz val="11"/>
            <color theme="1"/>
            <rFont val="Aptos Narrow"/>
            <family val="2"/>
            <scheme val="minor"/>
          </rPr>
          <t>Unknown User:
22/8 Received $17575.40 EFT</t>
        </r>
      </text>
    </comment>
    <comment ref="G593" authorId="1" shapeId="0" xr:uid="{2F12A900-B315-4140-8C51-CEFFD755E690}">
      <text>
        <r>
          <rPr>
            <sz val="11"/>
            <color theme="1"/>
            <rFont val="Aptos Narrow"/>
            <family val="2"/>
            <scheme val="minor"/>
          </rPr>
          <t>Unknown User:
SEWER SPOT DIG UP TO 3M (UNDER CONCRETE)</t>
        </r>
      </text>
    </comment>
    <comment ref="G597" authorId="1" shapeId="0" xr:uid="{251DB657-E2E3-4619-BFCD-055D3C8B825D}">
      <text>
        <r>
          <rPr>
            <sz val="11"/>
            <color theme="1"/>
            <rFont val="Aptos Narrow"/>
            <family val="2"/>
            <scheme val="minor"/>
          </rPr>
          <t>Unknown User:
REPLACEMENT OF KITCHEN MIXER (CUSTOMER SUPPLIED)</t>
        </r>
      </text>
    </comment>
    <comment ref="G598" authorId="1" shapeId="0" xr:uid="{A745EE7B-AC83-4803-BA1E-742A96A75E7C}">
      <text>
        <r>
          <rPr>
            <sz val="11"/>
            <color theme="1"/>
            <rFont val="Aptos Narrow"/>
            <family val="2"/>
            <scheme val="minor"/>
          </rPr>
          <t>Unknown User:
REPLACEMENT OF HOB SINK SET
$85 Off First Service</t>
        </r>
      </text>
    </comment>
    <comment ref="G599" authorId="1" shapeId="0" xr:uid="{75AAC6CB-FC09-4787-ADB3-0C63648E8325}">
      <text>
        <r>
          <rPr>
            <sz val="11"/>
            <color theme="1"/>
            <rFont val="Aptos Narrow"/>
            <family val="2"/>
            <scheme val="minor"/>
          </rPr>
          <t>Unknown User:
SEWER SPOT DIG / RELINE</t>
        </r>
      </text>
    </comment>
    <comment ref="G600" authorId="1" shapeId="0" xr:uid="{595CF8E5-79E9-4E17-96AD-A534425B484F}">
      <text>
        <r>
          <rPr>
            <sz val="11"/>
            <color theme="1"/>
            <rFont val="Aptos Narrow"/>
            <family val="2"/>
            <scheme val="minor"/>
          </rPr>
          <t>Unknown User:
HIGH POWERED JET BLAST &amp; CCTV DRAIN CAMERA INSPECTION (SEWER SERVICE)</t>
        </r>
      </text>
    </comment>
    <comment ref="G601" authorId="1" shapeId="0" xr:uid="{1C488C1A-E397-48A5-9FF7-ECE049DB37EE}">
      <text>
        <r>
          <rPr>
            <sz val="11"/>
            <color theme="1"/>
            <rFont val="Aptos Narrow"/>
            <family val="2"/>
            <scheme val="minor"/>
          </rPr>
          <t>Unknown User:
HIGH POWERED JET BLAST &amp; CCTV DRAIN CAMERA INSPECTION (SEWER SERVICE)</t>
        </r>
      </text>
    </comment>
    <comment ref="G602" authorId="1" shapeId="0" xr:uid="{5D58DDF0-B02A-4409-9C49-430C28581120}">
      <text>
        <r>
          <rPr>
            <sz val="11"/>
            <color theme="1"/>
            <rFont val="Aptos Narrow"/>
            <family val="2"/>
            <scheme val="minor"/>
          </rPr>
          <t>Unknown User:
SEARCH &amp; INVESTIGATION OF IN WALL MIXER
$85 Off First Service</t>
        </r>
      </text>
    </comment>
    <comment ref="G603" authorId="1" shapeId="0" xr:uid="{FACA85E6-5EE4-42C2-893A-5EB1F0CCCB1E}">
      <text>
        <r>
          <rPr>
            <sz val="11"/>
            <color theme="1"/>
            <rFont val="Aptos Narrow"/>
            <family val="2"/>
            <scheme val="minor"/>
          </rPr>
          <t>Unknown User:
EMERGENCY ISOLATION VALVE - SINGLE</t>
        </r>
      </text>
    </comment>
    <comment ref="G604" authorId="1" shapeId="0" xr:uid="{85AC9C42-211E-420A-B292-33AF48D8DC43}">
      <text>
        <r>
          <rPr>
            <sz val="11"/>
            <color theme="1"/>
            <rFont val="Aptos Narrow"/>
            <family val="2"/>
            <scheme val="minor"/>
          </rPr>
          <t>Unknown User:
REPLACEMENT OF HAND-HELD SHOWER ROSE
10% Seniors &amp; Pensioners Discount</t>
        </r>
      </text>
    </comment>
    <comment ref="G605" authorId="1" shapeId="0" xr:uid="{85FED723-6BC8-4B1C-926D-31146036946B}">
      <text>
        <r>
          <rPr>
            <sz val="11"/>
            <color theme="1"/>
            <rFont val="Aptos Narrow"/>
            <family val="2"/>
            <scheme val="minor"/>
          </rPr>
          <t xml:space="preserve">Unknown User:
FLOOD, DYE, PRESSURE TEST &amp; ACCESS PANEL INSTALLATION  (WET AREA) 
</t>
        </r>
      </text>
    </comment>
    <comment ref="G606" authorId="1" shapeId="0" xr:uid="{647D9EB7-BCDF-4C3D-BF3A-19B8876B1659}">
      <text>
        <r>
          <rPr>
            <sz val="11"/>
            <color theme="1"/>
            <rFont val="Aptos Narrow"/>
            <family val="2"/>
            <scheme val="minor"/>
          </rPr>
          <t xml:space="preserve">Unknown User:
SUPPLY &amp; INSTALLATION OF NEW LINK SUITE
</t>
        </r>
      </text>
    </comment>
    <comment ref="G607" authorId="1" shapeId="0" xr:uid="{60C8DDFA-D9E9-4A1B-9B92-C57E66D157E3}">
      <text>
        <r>
          <rPr>
            <sz val="11"/>
            <color theme="1"/>
            <rFont val="Aptos Narrow"/>
            <family val="2"/>
            <scheme val="minor"/>
          </rPr>
          <t>Unknown User:
WATER SERVICE RECTIFICATION (EXPOSED)
10% Seniors &amp; Pensioners Discount</t>
        </r>
      </text>
    </comment>
    <comment ref="G608" authorId="1" shapeId="0" xr:uid="{4E80D024-77F7-4025-BBBA-7DB6811F5D84}">
      <text>
        <r>
          <rPr>
            <sz val="11"/>
            <color theme="1"/>
            <rFont val="Aptos Narrow"/>
            <family val="2"/>
            <scheme val="minor"/>
          </rPr>
          <t xml:space="preserve">Unknown User:
SEARCH AND INVESTIGATION OF GAS INSTANTANEOUS HOT WATER SYSTEM
</t>
        </r>
      </text>
    </comment>
    <comment ref="G609" authorId="1" shapeId="0" xr:uid="{B32F4472-320B-422B-B565-84694FE2632B}">
      <text>
        <r>
          <rPr>
            <sz val="11"/>
            <color theme="1"/>
            <rFont val="Aptos Narrow"/>
            <family val="2"/>
            <scheme val="minor"/>
          </rPr>
          <t xml:space="preserve">Unknown User:
SUPPLY &amp; INSTALLATION OF NEW INSTANTANEOUS GAS HOT WATER SYSTEM (EXTERNAL)
</t>
        </r>
      </text>
    </comment>
    <comment ref="G610" authorId="1" shapeId="0" xr:uid="{4426E576-1ACA-49C7-BD78-9C194AF0D19F}">
      <text>
        <r>
          <rPr>
            <sz val="11"/>
            <color theme="1"/>
            <rFont val="Aptos Narrow"/>
            <family val="2"/>
            <scheme val="minor"/>
          </rPr>
          <t xml:space="preserve">Unknown User:
SPECIALIST LEAK DETECTION (WATER SERVICE)
</t>
        </r>
      </text>
    </comment>
    <comment ref="G611" authorId="1" shapeId="0" xr:uid="{85E8AE0B-1862-45A3-AF7B-DC563B56F5E4}">
      <text>
        <r>
          <rPr>
            <sz val="11"/>
            <color theme="1"/>
            <rFont val="Aptos Narrow"/>
            <family val="2"/>
            <scheme val="minor"/>
          </rPr>
          <t>Unknown User:
WATER SERVICE RECTIFICATION (IN GROUND)
10% Seniors &amp; Pensioners Discount</t>
        </r>
      </text>
    </comment>
    <comment ref="E632" authorId="11" shapeId="0" xr:uid="{D523FCF2-ED9B-4C3F-9EC8-ED04067C49FA}">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t>
      </text>
    </comment>
    <comment ref="G646" authorId="1" shapeId="0" xr:uid="{DA886630-D6A4-4143-A0BD-A483CB8F1324}">
      <text>
        <r>
          <rPr>
            <sz val="11"/>
            <color theme="1"/>
            <rFont val="Aptos Narrow"/>
            <family val="2"/>
            <scheme val="minor"/>
          </rPr>
          <t>Unknown User:
HIGH POWERED SUCTION PUMP</t>
        </r>
      </text>
    </comment>
    <comment ref="R646" authorId="1" shapeId="0" xr:uid="{2BD3F617-D804-4BC7-B96A-3F19EBC3480C}">
      <text>
        <r>
          <rPr>
            <sz val="11"/>
            <color theme="1"/>
            <rFont val="Aptos Narrow"/>
            <family val="2"/>
            <scheme val="minor"/>
          </rPr>
          <t>Unknown User:
Invoice not signed</t>
        </r>
      </text>
    </comment>
    <comment ref="S646" authorId="1" shapeId="0" xr:uid="{1A153967-61A0-45C5-B463-7CC226CD29D5}">
      <text>
        <r>
          <rPr>
            <sz val="11"/>
            <color theme="1"/>
            <rFont val="Aptos Narrow"/>
            <family val="2"/>
            <scheme val="minor"/>
          </rPr>
          <t>Unknown User:
Invoice emailed without sign</t>
        </r>
      </text>
    </comment>
    <comment ref="G647" authorId="1" shapeId="0" xr:uid="{F9257756-751F-4AEC-A8C6-585937091FC3}">
      <text>
        <r>
          <rPr>
            <sz val="11"/>
            <color theme="1"/>
            <rFont val="Aptos Narrow"/>
            <family val="2"/>
            <scheme val="minor"/>
          </rPr>
          <t>Unknown User:
HIGH POWERED SUCTION &amp; ACID TREATMENT
$85 Off First Service</t>
        </r>
      </text>
    </comment>
    <comment ref="G648" authorId="1" shapeId="0" xr:uid="{E3FCF7C8-223B-4CEA-B8C1-57BDCEA856E4}">
      <text>
        <r>
          <rPr>
            <sz val="11"/>
            <color theme="1"/>
            <rFont val="Aptos Narrow"/>
            <family val="2"/>
            <scheme val="minor"/>
          </rPr>
          <t>Unknown User:
SUPPLY &amp; INSTALLATION OF NEW TWIN ELEMENT HOT WATER UNIT (INTERNAL)</t>
        </r>
      </text>
    </comment>
    <comment ref="L648" authorId="1" shapeId="0" xr:uid="{88AE26D8-D849-453E-9CDC-1FF03D118E4D}">
      <text>
        <r>
          <rPr>
            <sz val="11"/>
            <color theme="1"/>
            <rFont val="Aptos Narrow"/>
            <family val="2"/>
            <scheme val="minor"/>
          </rPr>
          <t>Unknown User:
Mentioned in note that Temp check is done whereas pic not uploaded.</t>
        </r>
      </text>
    </comment>
    <comment ref="Q648" authorId="1" shapeId="0" xr:uid="{1E3FF745-63F6-4116-9F12-F5C0D5F0A694}">
      <text>
        <r>
          <rPr>
            <sz val="11"/>
            <color theme="1"/>
            <rFont val="Aptos Narrow"/>
            <family val="2"/>
            <scheme val="minor"/>
          </rPr>
          <t>Unknown User:
Final invoice not raised</t>
        </r>
      </text>
    </comment>
    <comment ref="G649" authorId="1" shapeId="0" xr:uid="{26807140-3A10-46EA-B26D-FFB280DF6D7B}">
      <text>
        <r>
          <rPr>
            <sz val="11"/>
            <color theme="1"/>
            <rFont val="Aptos Narrow"/>
            <family val="2"/>
            <scheme val="minor"/>
          </rPr>
          <t>Unknown User:
REPLACEMENT OF KITCHEN MIXER
$85 Off First Service</t>
        </r>
      </text>
    </comment>
    <comment ref="G650" authorId="1" shapeId="0" xr:uid="{73BC52F2-5DFF-481E-8DBA-04CB2E6ADAC1}">
      <text>
        <r>
          <rPr>
            <sz val="11"/>
            <color theme="1"/>
            <rFont val="Aptos Narrow"/>
            <family val="2"/>
            <scheme val="minor"/>
          </rPr>
          <t>Unknown User:
SEARCH AND INVESTIGATION OF ELECTRIC STORAGE HOT WATER SYSTEM</t>
        </r>
      </text>
    </comment>
    <comment ref="S650" authorId="1" shapeId="0" xr:uid="{2351A315-F5A2-4B77-B5A0-E5618EFE0D34}">
      <text>
        <r>
          <rPr>
            <sz val="11"/>
            <color theme="1"/>
            <rFont val="Aptos Narrow"/>
            <family val="2"/>
            <scheme val="minor"/>
          </rPr>
          <t>Unknown User:
Signed invoice not emailed</t>
        </r>
      </text>
    </comment>
    <comment ref="G651" authorId="1" shapeId="0" xr:uid="{664C2ADE-2D86-4F8C-93E8-04DE222EBEE2}">
      <text>
        <r>
          <rPr>
            <sz val="11"/>
            <color theme="1"/>
            <rFont val="Aptos Narrow"/>
            <family val="2"/>
            <scheme val="minor"/>
          </rPr>
          <t>Unknown User:
SUPPLY &amp; INSTALLATION OF NEW LINK SUITE</t>
        </r>
      </text>
    </comment>
    <comment ref="M651" authorId="1" shapeId="0" xr:uid="{5A521B08-1B33-4C48-A89C-D8EAE3AF5D10}">
      <text>
        <r>
          <rPr>
            <sz val="11"/>
            <color theme="1"/>
            <rFont val="Aptos Narrow"/>
            <family val="2"/>
            <scheme val="minor"/>
          </rPr>
          <t>Unknown User:
Smartpay receipt of $290 not uploaded by plumber.
Uploaded by Modoras team.</t>
        </r>
      </text>
    </comment>
    <comment ref="G652" authorId="1" shapeId="0" xr:uid="{67107BEF-B81C-4B1D-8716-CE5CEBBAE1B7}">
      <text>
        <r>
          <rPr>
            <sz val="11"/>
            <color theme="1"/>
            <rFont val="Aptos Narrow"/>
            <family val="2"/>
            <scheme val="minor"/>
          </rPr>
          <t>Unknown User:
SEARCH &amp; INVESTIGATION OF GAS STORAGE HOT WATER SYSTEM</t>
        </r>
      </text>
    </comment>
    <comment ref="M652" authorId="1" shapeId="0" xr:uid="{0FF1F407-863B-477C-83C4-7CD80DF3AA9B}">
      <text>
        <r>
          <rPr>
            <sz val="11"/>
            <color theme="1"/>
            <rFont val="Aptos Narrow"/>
            <family val="2"/>
            <scheme val="minor"/>
          </rPr>
          <t>Unknown User:
Smartpay receipt of $749.10 not uploaded by plumber.
Uploaded by Modoras team.</t>
        </r>
      </text>
    </comment>
    <comment ref="G653" authorId="1" shapeId="0" xr:uid="{DE281BE7-5FED-42B5-B293-D4A610022E97}">
      <text>
        <r>
          <rPr>
            <sz val="11"/>
            <color theme="1"/>
            <rFont val="Aptos Narrow"/>
            <family val="2"/>
            <scheme val="minor"/>
          </rPr>
          <t>Unknown User:
SUPPLY &amp; INSTALL NEW KITCHEN SINK DRAINAGE
$65 First Service Discount</t>
        </r>
      </text>
    </comment>
    <comment ref="M653" authorId="1" shapeId="0" xr:uid="{FAF1AB57-F86A-44AA-A73E-FE0438F1F3C9}">
      <text>
        <r>
          <rPr>
            <sz val="11"/>
            <color theme="1"/>
            <rFont val="Aptos Narrow"/>
            <family val="2"/>
            <scheme val="minor"/>
          </rPr>
          <t>Unknown User:
Smartpay receipt of $1775.60 not uploaded by plumber.
Uploaded by Modoras team.</t>
        </r>
      </text>
    </comment>
    <comment ref="G654" authorId="1" shapeId="0" xr:uid="{9DA10FE5-F704-4521-84EF-D5A2A13B16A4}">
      <text>
        <r>
          <rPr>
            <sz val="11"/>
            <color theme="1"/>
            <rFont val="Aptos Narrow"/>
            <family val="2"/>
            <scheme val="minor"/>
          </rPr>
          <t xml:space="preserve">Unknown User:
HIGH POWERED SUCTION &amp; ACID TREATMENT
</t>
        </r>
      </text>
    </comment>
    <comment ref="S654" authorId="1" shapeId="0" xr:uid="{5DD3B2AE-FC82-4842-A084-E45BE5B6BFB1}">
      <text>
        <r>
          <rPr>
            <sz val="11"/>
            <color theme="1"/>
            <rFont val="Aptos Narrow"/>
            <family val="2"/>
            <scheme val="minor"/>
          </rPr>
          <t>Unknown User:
Signed invoice not emailed</t>
        </r>
      </text>
    </comment>
    <comment ref="G655" authorId="1" shapeId="0" xr:uid="{23283CDF-6CFF-4EB9-9C5D-ADAE4D14E53B}">
      <text>
        <r>
          <rPr>
            <sz val="11"/>
            <color theme="1"/>
            <rFont val="Aptos Narrow"/>
            <family val="2"/>
            <scheme val="minor"/>
          </rPr>
          <t xml:space="preserve">Unknown User:
REPLACEMENT OF KITCHEN MIXER
$65 First Service Discount </t>
        </r>
      </text>
    </comment>
    <comment ref="S655" authorId="1" shapeId="0" xr:uid="{579BEEF5-1AD9-4B16-9338-E25B67B436C8}">
      <text>
        <r>
          <rPr>
            <sz val="11"/>
            <color theme="1"/>
            <rFont val="Aptos Narrow"/>
            <family val="2"/>
            <scheme val="minor"/>
          </rPr>
          <t>Unknown User:
Signed invoice not emailed</t>
        </r>
      </text>
    </comment>
    <comment ref="G656" authorId="1" shapeId="0" xr:uid="{6CCCDA03-1334-4F6F-8496-36DF927BB214}">
      <text>
        <r>
          <rPr>
            <sz val="11"/>
            <color theme="1"/>
            <rFont val="Aptos Narrow"/>
            <family val="2"/>
            <scheme val="minor"/>
          </rPr>
          <t>Unknown User:
SEARCH &amp; INVESTIGATION OF GAS STORAGE HOT WATER SYSTEM</t>
        </r>
      </text>
    </comment>
    <comment ref="G661" authorId="1" shapeId="0" xr:uid="{DABE24D8-5C27-4E4C-8CE9-03A649B467B1}">
      <text>
        <r>
          <rPr>
            <sz val="11"/>
            <color theme="1"/>
            <rFont val="Aptos Narrow"/>
            <family val="2"/>
            <scheme val="minor"/>
          </rPr>
          <t xml:space="preserve">Unknown User:
SUPPLY &amp; INSTALLATION OF NEW SINGLE ELEMENT HOT WATER UNIT – INTERNAL
</t>
        </r>
      </text>
    </comment>
    <comment ref="G665" authorId="1" shapeId="0" xr:uid="{9E4889A2-223C-490B-AB90-05E5EE05EAC1}">
      <text>
        <r>
          <rPr>
            <sz val="11"/>
            <color theme="1"/>
            <rFont val="Aptos Narrow"/>
            <family val="2"/>
            <scheme val="minor"/>
          </rPr>
          <t>Unknown User:
SPECIALIST LEAK DETECTION (WATER SERVICE)</t>
        </r>
      </text>
    </comment>
    <comment ref="G666" authorId="1" shapeId="0" xr:uid="{9598DAD0-2C24-4C95-BFB7-DF71B16F8D8F}">
      <text>
        <r>
          <rPr>
            <sz val="11"/>
            <color theme="1"/>
            <rFont val="Aptos Narrow"/>
            <family val="2"/>
            <scheme val="minor"/>
          </rPr>
          <t>Unknown User:
SUPPLY &amp; INSTALLATION OF NEW TWIN ELEMENT HOT WATER UNIT (INTERNAL)</t>
        </r>
      </text>
    </comment>
    <comment ref="K666" authorId="1" shapeId="0" xr:uid="{DA09C54A-303F-4CDD-ABA7-86EE3068499E}">
      <text>
        <r>
          <rPr>
            <sz val="11"/>
            <color theme="1"/>
            <rFont val="Aptos Narrow"/>
            <family val="2"/>
            <scheme val="minor"/>
          </rPr>
          <t>Unknown User:
Previous job #72392</t>
        </r>
      </text>
    </comment>
    <comment ref="G670" authorId="1" shapeId="0" xr:uid="{AB211986-2087-4D12-9EC9-8011237301E0}">
      <text>
        <r>
          <rPr>
            <sz val="11"/>
            <color theme="1"/>
            <rFont val="Aptos Narrow"/>
            <family val="2"/>
            <scheme val="minor"/>
          </rPr>
          <t>Unknown User:
SEARCH &amp; INVESTIGATION OF DOUBLE STOREY ROOF OF POTENTIAL LEAK</t>
        </r>
      </text>
    </comment>
    <comment ref="P670" authorId="1" shapeId="0" xr:uid="{DB1B63BB-E357-498E-84E4-9E38EA1C274E}">
      <text>
        <r>
          <rPr>
            <sz val="11"/>
            <color theme="1"/>
            <rFont val="Aptos Narrow"/>
            <family val="2"/>
            <scheme val="minor"/>
          </rPr>
          <t>Unknown User:
Quote not emailed</t>
        </r>
      </text>
    </comment>
    <comment ref="Q670" authorId="1" shapeId="0" xr:uid="{16775984-93BC-4266-8F87-9FD26730976B}">
      <text>
        <r>
          <rPr>
            <sz val="11"/>
            <color theme="1"/>
            <rFont val="Aptos Narrow"/>
            <family val="2"/>
            <scheme val="minor"/>
          </rPr>
          <t>Unknown User:
Progress payment not updated in invoice.</t>
        </r>
      </text>
    </comment>
    <comment ref="R670" authorId="1" shapeId="0" xr:uid="{060A2BE4-7C71-4543-83A7-41697199C45B}">
      <text>
        <r>
          <rPr>
            <sz val="11"/>
            <color theme="1"/>
            <rFont val="Aptos Narrow"/>
            <family val="2"/>
            <scheme val="minor"/>
          </rPr>
          <t>Unknown User:
Invoice not Signed</t>
        </r>
      </text>
    </comment>
    <comment ref="G671" authorId="1" shapeId="0" xr:uid="{A542B70E-A5E5-4D7B-BC88-D5417EEDBACD}">
      <text>
        <r>
          <rPr>
            <sz val="11"/>
            <color theme="1"/>
            <rFont val="Aptos Narrow"/>
            <family val="2"/>
            <scheme val="minor"/>
          </rPr>
          <t xml:space="preserve">Unknown User:
SEARCH &amp; INVESTIGATION OF SINGLE STOREY ROOF OF POTENTIAL LEAK
10% Good Will Discount </t>
        </r>
      </text>
    </comment>
    <comment ref="N671" authorId="1" shapeId="0" xr:uid="{8DB6CEDC-778F-491F-BADC-141EB0559BB7}">
      <text>
        <r>
          <rPr>
            <sz val="11"/>
            <color theme="1"/>
            <rFont val="Aptos Narrow"/>
            <family val="2"/>
            <scheme val="minor"/>
          </rPr>
          <t>Unknown User:
Quote not raised by plumber.</t>
        </r>
      </text>
    </comment>
    <comment ref="U671" authorId="1" shapeId="0" xr:uid="{3F99A589-662E-4C95-9FE8-515EADF3C15D}">
      <text>
        <r>
          <rPr>
            <sz val="11"/>
            <color theme="1"/>
            <rFont val="Aptos Narrow"/>
            <family val="2"/>
            <scheme val="minor"/>
          </rPr>
          <t>Unknown User:
17/07-As per Francesco's note "Client not on site on completion, have sent through for signatures electronically. He said he will pay remaining balance once he returns home"</t>
        </r>
      </text>
    </comment>
    <comment ref="G672" authorId="1" shapeId="0" xr:uid="{A1CCB0FD-AF2B-4A6C-A04D-AA5BBDBB7516}">
      <text>
        <r>
          <rPr>
            <sz val="11"/>
            <color theme="1"/>
            <rFont val="Aptos Narrow"/>
            <family val="2"/>
            <scheme val="minor"/>
          </rPr>
          <t xml:space="preserve">Unknown User:
HIGH POWERED JET BLAST &amp; CCTV DRAIN CAMERA INSPECTION (SEWER SERVICE)
</t>
        </r>
      </text>
    </comment>
    <comment ref="R672" authorId="1" shapeId="0" xr:uid="{0D935D82-1A63-4C4A-B0CA-5BF409A43899}">
      <text>
        <r>
          <rPr>
            <sz val="11"/>
            <color theme="1"/>
            <rFont val="Aptos Narrow"/>
            <family val="2"/>
            <scheme val="minor"/>
          </rPr>
          <t>Unknown User:
Sign not obtained</t>
        </r>
      </text>
    </comment>
    <comment ref="G673" authorId="1" shapeId="0" xr:uid="{9EA148C7-034E-47AC-93A7-F116606D99B1}">
      <text>
        <r>
          <rPr>
            <sz val="11"/>
            <color theme="1"/>
            <rFont val="Aptos Narrow"/>
            <family val="2"/>
            <scheme val="minor"/>
          </rPr>
          <t>Unknown User:
HIGH POWERED JET BLAST &amp; CCTV DRAIN CAMERA INSPECTION (SEWER SERVICE)</t>
        </r>
      </text>
    </comment>
    <comment ref="Q673" authorId="1" shapeId="0" xr:uid="{69D6CB82-E44E-4A3A-B31D-988558185E80}">
      <text>
        <r>
          <rPr>
            <sz val="11"/>
            <color theme="1"/>
            <rFont val="Aptos Narrow"/>
            <family val="2"/>
            <scheme val="minor"/>
          </rPr>
          <t>Unknown User:
Invoice not raised</t>
        </r>
      </text>
    </comment>
    <comment ref="G674" authorId="1" shapeId="0" xr:uid="{4C214165-28A6-4F5B-AEC5-8B0717864161}">
      <text>
        <r>
          <rPr>
            <sz val="11"/>
            <color theme="1"/>
            <rFont val="Aptos Narrow"/>
            <family val="2"/>
            <scheme val="minor"/>
          </rPr>
          <t>Unknown User:
SEWER SPOT DIG UP TO 1.5M - IN GROUND
CREDIT HIGH POWERED JETBLAST &amp; CCTV CAMERA
Good Will Discount</t>
        </r>
      </text>
    </comment>
    <comment ref="O674" authorId="1" shapeId="0" xr:uid="{20EC5275-3CA0-442D-9790-C49682F012BF}">
      <text>
        <r>
          <rPr>
            <sz val="11"/>
            <color theme="1"/>
            <rFont val="Aptos Narrow"/>
            <family val="2"/>
            <scheme val="minor"/>
          </rPr>
          <t>Unknown User:
Quote not signed</t>
        </r>
      </text>
    </comment>
    <comment ref="D675" authorId="1" shapeId="0" xr:uid="{066DECFD-E7F0-4A70-9822-330F664E542E}">
      <text>
        <r>
          <rPr>
            <sz val="11"/>
            <color theme="1"/>
            <rFont val="Aptos Narrow"/>
            <family val="2"/>
            <scheme val="minor"/>
          </rPr>
          <t>Unknown User:
Quote duplicated</t>
        </r>
      </text>
    </comment>
    <comment ref="G675" authorId="1" shapeId="0" xr:uid="{C60012F9-2A95-44B2-8A5B-662EEE97A313}">
      <text>
        <r>
          <rPr>
            <sz val="11"/>
            <color theme="1"/>
            <rFont val="Aptos Narrow"/>
            <family val="2"/>
            <scheme val="minor"/>
          </rPr>
          <t>Unknown User:
RELINE OF SEWER SERVICE UP TO 4M</t>
        </r>
      </text>
    </comment>
    <comment ref="G676" authorId="1" shapeId="0" xr:uid="{0B6F6CF5-9FCE-44C2-A9E2-CAD836B53352}">
      <text>
        <r>
          <rPr>
            <sz val="11"/>
            <color theme="1"/>
            <rFont val="Aptos Narrow"/>
            <family val="2"/>
            <scheme val="minor"/>
          </rPr>
          <t>Unknown User:
GUTTER REPLACEMENT (UP TO 6M)</t>
        </r>
      </text>
    </comment>
    <comment ref="A677" authorId="12" shapeId="0" xr:uid="{EA63E0D5-F071-4217-9C28-337FF213A433}">
      <text>
        <t>[Threaded comment]
Your version of Excel allows you to read this threaded comment; however, any edits to it will get removed if the file is opened in a newer version of Excel. Learn more: https://go.microsoft.com/fwlink/?linkid=870924
Comment:
    5% Comm'n to be paid Upon Achieving 5 x 5 Star Reviews</t>
      </text>
    </comment>
    <comment ref="G677" authorId="1" shapeId="0" xr:uid="{7BA7172F-F415-4F38-A5C2-4D976294022A}">
      <text>
        <r>
          <rPr>
            <sz val="11"/>
            <color theme="1"/>
            <rFont val="Aptos Narrow"/>
            <family val="2"/>
            <scheme val="minor"/>
          </rPr>
          <t>Unknown User:
REPLACEMENT OF EXISTING OVERFLOW GULLY &amp; UP TO 1.5M OF MAIN SEWER SERVICE (UNDER PAVERS)</t>
        </r>
      </text>
    </comment>
    <comment ref="V677" authorId="1" shapeId="0" xr:uid="{A2D0DBAA-9AB9-433D-B71B-B6407DC97598}">
      <text>
        <r>
          <rPr>
            <sz val="11"/>
            <color theme="1"/>
            <rFont val="Aptos Narrow"/>
            <family val="2"/>
            <scheme val="minor"/>
          </rPr>
          <t>Unknown User:
11/08 Received $6695.40 EFT
25/8-EFT initiated for $1500</t>
        </r>
      </text>
    </comment>
    <comment ref="G678" authorId="1" shapeId="0" xr:uid="{E1618DB2-A403-4FCD-AAD0-E7729B86DD98}">
      <text>
        <r>
          <rPr>
            <sz val="11"/>
            <color theme="1"/>
            <rFont val="Aptos Narrow"/>
            <family val="2"/>
            <scheme val="minor"/>
          </rPr>
          <t>Unknown User:
REPLACEMENT OF SEWER SHAFT UP TO 2.5M (UNDER PAVERS)</t>
        </r>
      </text>
    </comment>
    <comment ref="N678" authorId="1" shapeId="0" xr:uid="{E3E04051-3417-4E75-B7A8-39B13271B987}">
      <text>
        <r>
          <rPr>
            <sz val="11"/>
            <color theme="1"/>
            <rFont val="Aptos Narrow"/>
            <family val="2"/>
            <scheme val="minor"/>
          </rPr>
          <t>Unknown User:
Quote not raised</t>
        </r>
      </text>
    </comment>
    <comment ref="V678" authorId="1" shapeId="0" xr:uid="{98C43B81-9DDB-4320-A156-271882506405}">
      <text>
        <r>
          <rPr>
            <sz val="11"/>
            <color theme="1"/>
            <rFont val="Aptos Narrow"/>
            <family val="2"/>
            <scheme val="minor"/>
          </rPr>
          <t>Unknown User:
22/8 Received $17575.40 EFT</t>
        </r>
      </text>
    </comment>
    <comment ref="A679" authorId="13" shapeId="0" xr:uid="{BC21F751-4A95-4C8A-B611-0096F53948BD}">
      <text>
        <t>[Threaded comment]
Your version of Excel allows you to read this threaded comment; however, any edits to it will get removed if the file is opened in a newer version of Excel. Learn more: https://go.microsoft.com/fwlink/?linkid=870924
Comment:
    5% Comm'n to be paid Upon Achieving 5 x 5 Star Reviews</t>
      </text>
    </comment>
    <comment ref="G679" authorId="1" shapeId="0" xr:uid="{2EE5760A-602B-49BD-9E9D-E1E52A5F5BBA}">
      <text>
        <r>
          <rPr>
            <sz val="11"/>
            <color theme="1"/>
            <rFont val="Aptos Narrow"/>
            <family val="2"/>
            <scheme val="minor"/>
          </rPr>
          <t>Unknown User:
BATH SPOUT RECTIFICATION</t>
        </r>
      </text>
    </comment>
    <comment ref="R679" authorId="1" shapeId="0" xr:uid="{DE664CBC-160E-4E8D-A805-66F3EB3090CA}">
      <text>
        <r>
          <rPr>
            <sz val="11"/>
            <color theme="1"/>
            <rFont val="Aptos Narrow"/>
            <family val="2"/>
            <scheme val="minor"/>
          </rPr>
          <t>Unknown User:
Invoice not signed</t>
        </r>
      </text>
    </comment>
    <comment ref="S679" authorId="1" shapeId="0" xr:uid="{60282D12-A6DD-487A-8B3B-A37D44A91358}">
      <text>
        <r>
          <rPr>
            <sz val="11"/>
            <color theme="1"/>
            <rFont val="Aptos Narrow"/>
            <family val="2"/>
            <scheme val="minor"/>
          </rPr>
          <t>Unknown User:
Signed invoice not emailed</t>
        </r>
      </text>
    </comment>
    <comment ref="A680" authorId="14" shapeId="0" xr:uid="{EF7107B1-D9E2-4B89-8680-131854717085}">
      <text>
        <t>[Threaded comment]
Your version of Excel allows you to read this threaded comment; however, any edits to it will get removed if the file is opened in a newer version of Excel. Learn more: https://go.microsoft.com/fwlink/?linkid=870924
Comment:
    5% Comm'n to be paid Upon Achieving 5 x 5 Star Review</t>
      </text>
    </comment>
    <comment ref="G680" authorId="1" shapeId="0" xr:uid="{B19379FD-F5EB-4CD7-A36B-7034B8BC58A0}">
      <text>
        <r>
          <rPr>
            <sz val="11"/>
            <color theme="1"/>
            <rFont val="Aptos Narrow"/>
            <family val="2"/>
            <scheme val="minor"/>
          </rPr>
          <t>Unknown User:
SEWER SPOT DIG UP TO 3M (UNDER CONCRETE)</t>
        </r>
      </text>
    </comment>
    <comment ref="A681" authorId="15" shapeId="0" xr:uid="{8390F1B5-16A1-4D59-AB6C-D80B3BEE851A}">
      <text>
        <t>[Threaded comment]
Your version of Excel allows you to read this threaded comment; however, any edits to it will get removed if the file is opened in a newer version of Excel. Learn more: https://go.microsoft.com/fwlink/?linkid=870924
Comment:
    5% Comm'n to be paid Upon Achieving 5 x 5 Star Review</t>
      </text>
    </comment>
    <comment ref="G681" authorId="1" shapeId="0" xr:uid="{FBA5E2EE-34D3-4173-B2D0-A5691E3267DB}">
      <text>
        <r>
          <rPr>
            <sz val="11"/>
            <color theme="1"/>
            <rFont val="Aptos Narrow"/>
            <family val="2"/>
            <scheme val="minor"/>
          </rPr>
          <t>Unknown User:
SPECIALIST LEAK DETECTION (WATER SERVICE)</t>
        </r>
      </text>
    </comment>
    <comment ref="V681" authorId="1" shapeId="0" xr:uid="{ED76834E-EA0A-471F-AB57-081476FD56C6}">
      <text>
        <r>
          <rPr>
            <sz val="11"/>
            <color theme="1"/>
            <rFont val="Aptos Narrow"/>
            <family val="2"/>
            <scheme val="minor"/>
          </rPr>
          <t>Unknown User:
29/8-Received $1747.10 by Smartpay</t>
        </r>
      </text>
    </comment>
    <comment ref="G682" authorId="1" shapeId="0" xr:uid="{EFFAECA8-1245-4B54-91EC-0D04E9B0BAF3}">
      <text>
        <r>
          <rPr>
            <sz val="11"/>
            <color theme="1"/>
            <rFont val="Aptos Narrow"/>
            <family val="2"/>
            <scheme val="minor"/>
          </rPr>
          <t>Unknown User:
REPLACEMENT OF SEWER BOUNDARY TRAP</t>
        </r>
      </text>
    </comment>
    <comment ref="G686" authorId="1" shapeId="0" xr:uid="{E3246F6F-CE00-4F6D-9F53-BAB274BACA65}">
      <text>
        <r>
          <rPr>
            <sz val="11"/>
            <color theme="1"/>
            <rFont val="Aptos Narrow"/>
            <family val="2"/>
            <scheme val="minor"/>
          </rPr>
          <t>Unknown User:
STORM WATER SERVICE INSTALLATION UP TO 12M
10% Seniors &amp; Pensioners Discount</t>
        </r>
      </text>
    </comment>
    <comment ref="V686" authorId="1" shapeId="0" xr:uid="{7F7B982A-BFE3-4EE8-9E9F-ECEA98AFDA8A}">
      <text>
        <r>
          <rPr>
            <sz val="11"/>
            <color theme="1"/>
            <rFont val="Aptos Narrow"/>
            <family val="2"/>
            <scheme val="minor"/>
          </rPr>
          <t>Unknown User:
26/8-Received $5000 by Smartpay</t>
        </r>
      </text>
    </comment>
    <comment ref="G690" authorId="1" shapeId="0" xr:uid="{B2B41D51-1D5E-4CCC-9572-259837597658}">
      <text>
        <r>
          <rPr>
            <sz val="11"/>
            <color theme="1"/>
            <rFont val="Aptos Narrow"/>
            <family val="2"/>
            <scheme val="minor"/>
          </rPr>
          <t>Unknown User:
HIGH POWERED SUCTION &amp; ACID TREATMENT
$85 Off First Service</t>
        </r>
      </text>
    </comment>
    <comment ref="G691" authorId="1" shapeId="0" xr:uid="{589AE40A-DA0E-4C71-88E6-B6C828E96D3D}">
      <text>
        <r>
          <rPr>
            <sz val="11"/>
            <color theme="1"/>
            <rFont val="Aptos Narrow"/>
            <family val="2"/>
            <scheme val="minor"/>
          </rPr>
          <t>Unknown User:
HIGH POWERED JET BLAST &amp; CCTV DRAIN CAMERA INSPECTION (SEWER SERVICE)</t>
        </r>
      </text>
    </comment>
    <comment ref="G692" authorId="1" shapeId="0" xr:uid="{7FA7491B-A28D-4569-B8A4-3BC7122817BA}">
      <text>
        <r>
          <rPr>
            <sz val="11"/>
            <color theme="1"/>
            <rFont val="Aptos Narrow"/>
            <family val="2"/>
            <scheme val="minor"/>
          </rPr>
          <t>Unknown User:
SUPPLY &amp; INSTALLATION OF NEW SINGLE ELEMENT HOT WATER UNIT</t>
        </r>
      </text>
    </comment>
    <comment ref="U692" authorId="1" shapeId="0" xr:uid="{E708B528-75B1-4D8E-8BE7-BF4239FBD3CA}">
      <text>
        <r>
          <rPr>
            <sz val="11"/>
            <color theme="1"/>
            <rFont val="Aptos Narrow"/>
            <family val="2"/>
            <scheme val="minor"/>
          </rPr>
          <t>Unknown User:
26/8-As per Jack's note "Arrived on site. Knocked on the door when she answered she was on the phone with Jarrod. She then came back to the door and said she canceled and closed the door on me."</t>
        </r>
      </text>
    </comment>
    <comment ref="G693" authorId="1" shapeId="0" xr:uid="{6186C30C-26A6-4B03-923C-341379B7E77E}">
      <text>
        <r>
          <rPr>
            <sz val="11"/>
            <color theme="1"/>
            <rFont val="Aptos Narrow"/>
            <family val="2"/>
            <scheme val="minor"/>
          </rPr>
          <t xml:space="preserve">Unknown User:
REPLACEMENT OF EMERGENCY STOP VALVE
</t>
        </r>
      </text>
    </comment>
    <comment ref="G694" authorId="1" shapeId="0" xr:uid="{5A00F38D-DDDF-4571-A952-A73827B66B3C}">
      <text>
        <r>
          <rPr>
            <sz val="11"/>
            <color theme="1"/>
            <rFont val="Aptos Narrow"/>
            <family val="2"/>
            <scheme val="minor"/>
          </rPr>
          <t>Unknown User:
SEARCH &amp; INVESTIGATION OF GAS STORAGE HOT WATER SYSTEM</t>
        </r>
      </text>
    </comment>
    <comment ref="G696" authorId="1" shapeId="0" xr:uid="{F46C1EE8-B5E7-4783-AFC7-5457515B2EB7}">
      <text>
        <r>
          <rPr>
            <sz val="11"/>
            <color theme="1"/>
            <rFont val="Aptos Narrow"/>
            <family val="2"/>
            <scheme val="minor"/>
          </rPr>
          <t xml:space="preserve">Unknown User:
REPLACEMENT OF KITCHEN MIXER
</t>
        </r>
      </text>
    </comment>
    <comment ref="G697" authorId="1" shapeId="0" xr:uid="{1F17652A-2DFE-409E-8C50-D31DCB41E9C0}">
      <text>
        <r>
          <rPr>
            <sz val="11"/>
            <color theme="1"/>
            <rFont val="Aptos Narrow"/>
            <family val="2"/>
            <scheme val="minor"/>
          </rPr>
          <t xml:space="preserve">Unknown User:
COMPLETE SERVICE OF TAP TOP ASSEMBLY
</t>
        </r>
      </text>
    </comment>
    <comment ref="G698" authorId="1" shapeId="0" xr:uid="{C1ABEB63-6157-48C8-8DB1-8F04E25C219F}">
      <text>
        <r>
          <rPr>
            <sz val="11"/>
            <color theme="1"/>
            <rFont val="Aptos Narrow"/>
            <family val="2"/>
            <scheme val="minor"/>
          </rPr>
          <t>Unknown User:
SEARCH AND INVESTIGATION OF ELECTRIC STORAGE HOT WATER SYSTEM</t>
        </r>
      </text>
    </comment>
    <comment ref="G699" authorId="1" shapeId="0" xr:uid="{871E57CC-287F-462B-9329-4CD84ACF6B6F}">
      <text>
        <r>
          <rPr>
            <sz val="11"/>
            <color theme="1"/>
            <rFont val="Aptos Narrow"/>
            <family val="2"/>
            <scheme val="minor"/>
          </rPr>
          <t>Unknown User:
SUPPLY &amp; INSTALLATION OF NEW SINGLE ELEMENT HOT WATER UNIT</t>
        </r>
      </text>
    </comment>
    <comment ref="G700" authorId="1" shapeId="0" xr:uid="{C01EE6C6-80D6-4F03-B86F-DF56E704C7A3}">
      <text>
        <r>
          <rPr>
            <sz val="11"/>
            <color theme="1"/>
            <rFont val="Aptos Narrow"/>
            <family val="2"/>
            <scheme val="minor"/>
          </rPr>
          <t>Unknown User:
SUPPLY AND INSTALLATION OF 15MM THERMOSTATIC VALVE
$65 First Service Discount
10% Good Will Discount</t>
        </r>
      </text>
    </comment>
    <comment ref="G701" authorId="1" shapeId="0" xr:uid="{C7333DFC-E89C-446D-A778-E0F2EC588C15}">
      <text>
        <r>
          <rPr>
            <sz val="11"/>
            <color theme="1"/>
            <rFont val="Aptos Narrow"/>
            <family val="2"/>
            <scheme val="minor"/>
          </rPr>
          <t xml:space="preserve">Unknown User:
REPLACEMENT OF PLUG &amp; WASTE - 40MM
</t>
        </r>
      </text>
    </comment>
    <comment ref="G702" authorId="1" shapeId="0" xr:uid="{9E14F8BE-C40A-42D0-B924-400157844CA8}">
      <text>
        <r>
          <rPr>
            <sz val="11"/>
            <color theme="1"/>
            <rFont val="Aptos Narrow"/>
            <family val="2"/>
            <scheme val="minor"/>
          </rPr>
          <t xml:space="preserve">Unknown User:
REPLACEMENT OF KITCHEN MIXER
</t>
        </r>
      </text>
    </comment>
    <comment ref="G703" authorId="1" shapeId="0" xr:uid="{A594A8F9-AE33-4C38-A4C4-73511DBC5F2D}">
      <text>
        <r>
          <rPr>
            <sz val="11"/>
            <color theme="1"/>
            <rFont val="Aptos Narrow"/>
            <family val="2"/>
            <scheme val="minor"/>
          </rPr>
          <t>Unknown User:
REPLACEMENT OF EXISTING GOOSE NECK KITCHEN MIXER (CUSTOMER SUPPLIED)
$65 First Service Discount</t>
        </r>
      </text>
    </comment>
    <comment ref="G706" authorId="1" shapeId="0" xr:uid="{F5C28330-71AD-4E04-9681-F93833BB1BD0}">
      <text>
        <r>
          <rPr>
            <sz val="11"/>
            <color theme="1"/>
            <rFont val="Aptos Narrow"/>
            <family val="2"/>
            <scheme val="minor"/>
          </rPr>
          <t>Unknown User:
SUPPLY &amp; INSTALLATION OF GAS STORAGE HOT WATER SYSTEM (EXTERNAL)
$85 Off First Service</t>
        </r>
      </text>
    </comment>
    <comment ref="G708" authorId="1" shapeId="0" xr:uid="{7262947D-CB2B-40F7-8AF6-A7FF621CCA95}">
      <text>
        <r>
          <rPr>
            <sz val="11"/>
            <color theme="1"/>
            <rFont val="Aptos Narrow"/>
            <family val="2"/>
            <scheme val="minor"/>
          </rPr>
          <t xml:space="preserve">Unknown User:
REPLACEMENT OF WALL TOP TAPWARE
$85 Off First Service
</t>
        </r>
      </text>
    </comment>
    <comment ref="E729" authorId="16" shapeId="0" xr:uid="{942C55B1-F670-48E8-A3ED-512F5FDDAA03}">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t>
      </text>
    </comment>
    <comment ref="E730" authorId="17" shapeId="0" xr:uid="{267D911A-BD3F-4C80-9EBA-3B02E7D3EF70}">
      <text>
        <t>[Threaded comment]
Your version of Excel allows you to read this threaded comment; however, any edits to it will get removed if the file is opened in a newer version of Excel. Learn more: https://go.microsoft.com/fwlink/?linkid=870924
Comment:
    Stock</t>
      </text>
    </comment>
    <comment ref="G740" authorId="1" shapeId="0" xr:uid="{001C7C0C-52FB-4BEF-A9ED-05B752667FD6}">
      <text>
        <r>
          <rPr>
            <sz val="11"/>
            <color theme="1"/>
            <rFont val="Aptos Narrow"/>
            <family val="2"/>
            <scheme val="minor"/>
          </rPr>
          <t>Unknown User:
REPLACEMENT OF EXISTING PULL-OUT KITCHEN MIXER (CUSTOMER SUPPLIED)</t>
        </r>
      </text>
    </comment>
    <comment ref="S740" authorId="1" shapeId="0" xr:uid="{C4CB790D-DD31-4432-BAC7-26DB54FF1D84}">
      <text>
        <r>
          <rPr>
            <sz val="11"/>
            <color theme="1"/>
            <rFont val="Aptos Narrow"/>
            <family val="2"/>
            <scheme val="minor"/>
          </rPr>
          <t>Unknown User:
Signed invoice not emailed</t>
        </r>
      </text>
    </comment>
    <comment ref="G741" authorId="1" shapeId="0" xr:uid="{340053B7-B822-4A76-901C-EEAFED1F610B}">
      <text>
        <r>
          <rPr>
            <sz val="11"/>
            <color theme="1"/>
            <rFont val="Aptos Narrow"/>
            <family val="2"/>
            <scheme val="minor"/>
          </rPr>
          <t xml:space="preserve">Unknown User:
SEARCH AND INVESTIGATION OF ELECTRIC STORAGE HOT WATER SYSTEM
</t>
        </r>
      </text>
    </comment>
    <comment ref="N741" authorId="1" shapeId="0" xr:uid="{FE78BDB5-15DF-4FD8-838D-222963D5407A}">
      <text>
        <r>
          <rPr>
            <sz val="11"/>
            <color theme="1"/>
            <rFont val="Aptos Narrow"/>
            <family val="2"/>
            <scheme val="minor"/>
          </rPr>
          <t>Unknown User:
Quote not raised</t>
        </r>
      </text>
    </comment>
    <comment ref="Q741" authorId="1" shapeId="0" xr:uid="{445DA957-E652-4DA7-9A16-1B02F244314E}">
      <text>
        <r>
          <rPr>
            <sz val="11"/>
            <color theme="1"/>
            <rFont val="Aptos Narrow"/>
            <family val="2"/>
            <scheme val="minor"/>
          </rPr>
          <t>Unknown User:
Invoice not raised</t>
        </r>
      </text>
    </comment>
    <comment ref="G742" authorId="1" shapeId="0" xr:uid="{1E93EC36-EE1F-4DF0-A24C-F18A633B650F}">
      <text>
        <r>
          <rPr>
            <sz val="11"/>
            <color theme="1"/>
            <rFont val="Aptos Narrow"/>
            <family val="2"/>
            <scheme val="minor"/>
          </rPr>
          <t>Unknown User:
CONVERT SOLAR SPLIT HOT WATER SYSTEM TO EXTERNAL GAS INSTANTANEOUS HOT WATER SYSTEM
CREDIT OF SEARCH &amp; INVESTIGATION</t>
        </r>
      </text>
    </comment>
    <comment ref="U742" authorId="1" shapeId="0" xr:uid="{3E8CA807-6F3E-4AA9-8439-66765886E316}">
      <text>
        <r>
          <rPr>
            <sz val="11"/>
            <color theme="1"/>
            <rFont val="Aptos Narrow"/>
            <family val="2"/>
            <scheme val="minor"/>
          </rPr>
          <t>Unknown User:
1/9-No notes regarding waive-off or deletion of job mentioned for "Search &amp; Investgation" job</t>
        </r>
      </text>
    </comment>
    <comment ref="G743" authorId="1" shapeId="0" xr:uid="{75950EB4-1769-4EAB-974D-3B2B09580CDA}">
      <text>
        <r>
          <rPr>
            <sz val="11"/>
            <color theme="1"/>
            <rFont val="Aptos Narrow"/>
            <family val="2"/>
            <scheme val="minor"/>
          </rPr>
          <t>Unknown User:
SEARCH &amp; INVESTIGATION OF DISHWASHER</t>
        </r>
      </text>
    </comment>
    <comment ref="P743" authorId="1" shapeId="0" xr:uid="{65838E95-EB50-4E71-8C4C-E2C919DD0017}">
      <text>
        <r>
          <rPr>
            <sz val="11"/>
            <color theme="1"/>
            <rFont val="Aptos Narrow"/>
            <family val="2"/>
            <scheme val="minor"/>
          </rPr>
          <t>Unknown User:
Quote not emailed</t>
        </r>
      </text>
    </comment>
    <comment ref="S743" authorId="1" shapeId="0" xr:uid="{8DEDBF52-AC47-42A8-99A7-0B9BB8ACB524}">
      <text>
        <r>
          <rPr>
            <sz val="11"/>
            <color theme="1"/>
            <rFont val="Aptos Narrow"/>
            <family val="2"/>
            <scheme val="minor"/>
          </rPr>
          <t>Unknown User:
Signed invoice not emailed</t>
        </r>
      </text>
    </comment>
    <comment ref="G744" authorId="1" shapeId="0" xr:uid="{4A55466D-FA50-4CA0-8572-069388EFCD0D}">
      <text>
        <r>
          <rPr>
            <sz val="11"/>
            <color theme="1"/>
            <rFont val="Aptos Narrow"/>
            <family val="2"/>
            <scheme val="minor"/>
          </rPr>
          <t xml:space="preserve">Unknown User:
REPLACEMENT OF BASIN MIXER
</t>
        </r>
      </text>
    </comment>
    <comment ref="P744" authorId="1" shapeId="0" xr:uid="{126C0387-3AF8-4AC0-A428-0C9203F731BF}">
      <text>
        <r>
          <rPr>
            <sz val="11"/>
            <color theme="1"/>
            <rFont val="Aptos Narrow"/>
            <family val="2"/>
            <scheme val="minor"/>
          </rPr>
          <t>Unknown User:
Quote not emailed</t>
        </r>
      </text>
    </comment>
    <comment ref="S744" authorId="1" shapeId="0" xr:uid="{79FB9A7F-E96B-4CA3-872F-14EDFF09257E}">
      <text>
        <r>
          <rPr>
            <sz val="11"/>
            <color theme="1"/>
            <rFont val="Aptos Narrow"/>
            <family val="2"/>
            <scheme val="minor"/>
          </rPr>
          <t>Unknown User:
Invoice not emailed</t>
        </r>
      </text>
    </comment>
    <comment ref="V744" authorId="1" shapeId="0" xr:uid="{357006AB-8D19-4B4E-83B3-7FDE67ED9013}">
      <text>
        <r>
          <rPr>
            <sz val="11"/>
            <color theme="1"/>
            <rFont val="Aptos Narrow"/>
            <family val="2"/>
            <scheme val="minor"/>
          </rPr>
          <t>Unknown User:
EFT of $3214.20 received is split as $1607.10 &amp; $1607.10 between Job #72886/87391776 (Initial job) and Job #72886/87392395 (Upsell job)</t>
        </r>
      </text>
    </comment>
    <comment ref="G745" authorId="1" shapeId="0" xr:uid="{08A7B900-E088-4E58-8290-E1243A69B313}">
      <text>
        <r>
          <rPr>
            <sz val="11"/>
            <color theme="1"/>
            <rFont val="Aptos Narrow"/>
            <family val="2"/>
            <scheme val="minor"/>
          </rPr>
          <t>Unknown User:
SUPPLY &amp; INSTALLATION OF CHROME BOTTLE TRAP</t>
        </r>
      </text>
    </comment>
    <comment ref="P745" authorId="1" shapeId="0" xr:uid="{E866072C-F69F-4651-A4B1-6B475CCCDE04}">
      <text>
        <r>
          <rPr>
            <sz val="11"/>
            <color theme="1"/>
            <rFont val="Aptos Narrow"/>
            <family val="2"/>
            <scheme val="minor"/>
          </rPr>
          <t>Unknown User:
Quote not emailed</t>
        </r>
      </text>
    </comment>
    <comment ref="S745" authorId="1" shapeId="0" xr:uid="{93C41ED6-6C48-4182-A05E-A4B51A33DCCA}">
      <text>
        <r>
          <rPr>
            <sz val="11"/>
            <color theme="1"/>
            <rFont val="Aptos Narrow"/>
            <family val="2"/>
            <scheme val="minor"/>
          </rPr>
          <t>Unknown User:
Invoice not emailed</t>
        </r>
      </text>
    </comment>
    <comment ref="G746" authorId="1" shapeId="0" xr:uid="{E8C43DD2-3965-44A9-A729-0CA559008F51}">
      <text>
        <r>
          <rPr>
            <sz val="11"/>
            <color theme="1"/>
            <rFont val="Aptos Narrow"/>
            <family val="2"/>
            <scheme val="minor"/>
          </rPr>
          <t xml:space="preserve">Unknown User:
SEARCH &amp; INVESTIGATION (GENERAL)
</t>
        </r>
      </text>
    </comment>
    <comment ref="P746" authorId="1" shapeId="0" xr:uid="{1D37D49B-290C-4817-94C8-93D2CC0AEA6D}">
      <text>
        <r>
          <rPr>
            <sz val="11"/>
            <color theme="1"/>
            <rFont val="Aptos Narrow"/>
            <family val="2"/>
            <scheme val="minor"/>
          </rPr>
          <t>Unknown User:
Quote not emailed</t>
        </r>
      </text>
    </comment>
    <comment ref="S746" authorId="1" shapeId="0" xr:uid="{2781A88F-AF77-4766-949F-81CB3F3CA415}">
      <text>
        <r>
          <rPr>
            <sz val="11"/>
            <color theme="1"/>
            <rFont val="Aptos Narrow"/>
            <family val="2"/>
            <scheme val="minor"/>
          </rPr>
          <t>Unknown User:
Signed invoice not emailed</t>
        </r>
      </text>
    </comment>
    <comment ref="G747" authorId="1" shapeId="0" xr:uid="{0A6BED44-5D18-4E30-B4B3-D2AD99416CDE}">
      <text>
        <r>
          <rPr>
            <sz val="11"/>
            <color theme="1"/>
            <rFont val="Aptos Narrow"/>
            <family val="2"/>
            <scheme val="minor"/>
          </rPr>
          <t>Unknown User:
DECOMMISSION OF GAS INSTANTANEOUS HOT WATER SYSTEM &amp; MAKE SAFE</t>
        </r>
      </text>
    </comment>
    <comment ref="P747" authorId="1" shapeId="0" xr:uid="{E8E2E9C1-A385-4D50-8BC3-6D0CBF7CC204}">
      <text>
        <r>
          <rPr>
            <sz val="11"/>
            <color theme="1"/>
            <rFont val="Aptos Narrow"/>
            <family val="2"/>
            <scheme val="minor"/>
          </rPr>
          <t>Unknown User:
Quote not emailed</t>
        </r>
      </text>
    </comment>
    <comment ref="S747" authorId="1" shapeId="0" xr:uid="{C4369C0A-C93F-4FDD-879E-15185352D55A}">
      <text>
        <r>
          <rPr>
            <sz val="11"/>
            <color theme="1"/>
            <rFont val="Aptos Narrow"/>
            <family val="2"/>
            <scheme val="minor"/>
          </rPr>
          <t>Unknown User:
Signed invoice not emailed</t>
        </r>
      </text>
    </comment>
    <comment ref="G748" authorId="1" shapeId="0" xr:uid="{3E914534-AE46-47A0-8DB6-F1ED07F14FAC}">
      <text>
        <r>
          <rPr>
            <sz val="11"/>
            <color theme="1"/>
            <rFont val="Aptos Narrow"/>
            <family val="2"/>
            <scheme val="minor"/>
          </rPr>
          <t>Unknown User:
SEARCH &amp; INVESTIGATION OF WATER HAMMER</t>
        </r>
      </text>
    </comment>
    <comment ref="V748" authorId="1" shapeId="0" xr:uid="{53AD90E9-A715-48BC-982C-FEC6C6DB46B8}">
      <text>
        <r>
          <rPr>
            <sz val="11"/>
            <color theme="1"/>
            <rFont val="Aptos Narrow"/>
            <family val="2"/>
            <scheme val="minor"/>
          </rPr>
          <t>Unknown User:
GST @10% on sub-total value is not considered by plumber. Retained under "Awaiting payment".
Short receipt by $168.10 ($1849.10-$1681)</t>
        </r>
      </text>
    </comment>
    <comment ref="G749" authorId="1" shapeId="0" xr:uid="{0B51687C-437F-4970-B405-E0E03A819A2A}">
      <text>
        <r>
          <rPr>
            <sz val="11"/>
            <color theme="1"/>
            <rFont val="Aptos Narrow"/>
            <family val="2"/>
            <scheme val="minor"/>
          </rPr>
          <t>Unknown User:
SUPPLY &amp; INSTALLATION OF NEW SINGLE ELEMENT HOT WATER UNIT – INTERNAL
$85 Off First Service</t>
        </r>
      </text>
    </comment>
    <comment ref="T749" authorId="1" shapeId="0" xr:uid="{DD7940FC-55D3-40F3-BDA8-294C00C8B958}">
      <text>
        <r>
          <rPr>
            <sz val="11"/>
            <color theme="1"/>
            <rFont val="Aptos Narrow"/>
            <family val="2"/>
            <scheme val="minor"/>
          </rPr>
          <t>Unknown User:
1x Jayden</t>
        </r>
      </text>
    </comment>
    <comment ref="G750" authorId="1" shapeId="0" xr:uid="{48082EB1-D1CC-4DE9-985F-596122C119AE}">
      <text>
        <r>
          <rPr>
            <sz val="11"/>
            <color theme="1"/>
            <rFont val="Aptos Narrow"/>
            <family val="2"/>
            <scheme val="minor"/>
          </rPr>
          <t>Unknown User:
SUPPLY AND INSTALLATION OF TRAP TO VANITY OR PEDESTAL BASIN - WHITE PVC</t>
        </r>
      </text>
    </comment>
    <comment ref="G751" authorId="1" shapeId="0" xr:uid="{0780FB66-EB39-4B9D-92FF-F5E37009D2F3}">
      <text>
        <r>
          <rPr>
            <sz val="11"/>
            <color theme="1"/>
            <rFont val="Aptos Narrow"/>
            <family val="2"/>
            <scheme val="minor"/>
          </rPr>
          <t>Unknown User:
HIGH POWERED JET BLAST &amp; CCTV DRAIN CAMERA INSPECTION (SEWER SERVICE)</t>
        </r>
      </text>
    </comment>
    <comment ref="A756" authorId="18" shapeId="0" xr:uid="{7104424C-950A-48DE-9571-0A2E3A275457}">
      <text>
        <t>[Threaded comment]
Your version of Excel allows you to read this threaded comment; however, any edits to it will get removed if the file is opened in a newer version of Excel. Learn more: https://go.microsoft.com/fwlink/?linkid=870924
Comment:
    5% Comm'n to be paid Upon Achieving 5 x 5 Star Reviews</t>
      </text>
    </comment>
    <comment ref="G756" authorId="1" shapeId="0" xr:uid="{61825768-F43D-489F-A367-CA44DC57811F}">
      <text>
        <r>
          <rPr>
            <sz val="11"/>
            <color theme="1"/>
            <rFont val="Aptos Narrow"/>
            <family val="2"/>
            <scheme val="minor"/>
          </rPr>
          <t>Unknown User:
REPLACEMENT OF EXISTING OVERFLOW GULLY &amp; UP TO 1.5M OF MAIN SEWER SERVICE (UNDER PAVERS)</t>
        </r>
      </text>
    </comment>
    <comment ref="V756" authorId="1" shapeId="0" xr:uid="{A3CCA1B1-C4A8-4FE1-826E-BE43EDBDBD96}">
      <text>
        <r>
          <rPr>
            <sz val="11"/>
            <color theme="1"/>
            <rFont val="Aptos Narrow"/>
            <family val="2"/>
            <scheme val="minor"/>
          </rPr>
          <t>Unknown User:
11/08 Received $6695.40 EFT
25/8-EFT initiated for $1500</t>
        </r>
      </text>
    </comment>
    <comment ref="A757" authorId="19" shapeId="0" xr:uid="{7A6AF6C8-8B9D-4776-A52A-7FCB486FD484}">
      <text>
        <t>[Threaded comment]
Your version of Excel allows you to read this threaded comment; however, any edits to it will get removed if the file is opened in a newer version of Excel. Learn more: https://go.microsoft.com/fwlink/?linkid=870924
Comment:
    5% Comm'n to be paid Upon Achieving 5 x 5 Star Reviews</t>
      </text>
    </comment>
    <comment ref="G757" authorId="1" shapeId="0" xr:uid="{1077C870-8C4F-45F8-9748-29FA67A3E386}">
      <text>
        <r>
          <rPr>
            <sz val="11"/>
            <color theme="1"/>
            <rFont val="Aptos Narrow"/>
            <family val="2"/>
            <scheme val="minor"/>
          </rPr>
          <t>Unknown User:
BATH SPOUT RECTIFICATION</t>
        </r>
      </text>
    </comment>
    <comment ref="R757" authorId="1" shapeId="0" xr:uid="{6CD525CD-216D-457D-8FB4-AB6B065EF370}">
      <text>
        <r>
          <rPr>
            <sz val="11"/>
            <color theme="1"/>
            <rFont val="Aptos Narrow"/>
            <family val="2"/>
            <scheme val="minor"/>
          </rPr>
          <t>Unknown User:
Invoice not signed</t>
        </r>
      </text>
    </comment>
    <comment ref="S757" authorId="1" shapeId="0" xr:uid="{0BA40FD5-9594-436A-9A73-B8AE91921794}">
      <text>
        <r>
          <rPr>
            <sz val="11"/>
            <color theme="1"/>
            <rFont val="Aptos Narrow"/>
            <family val="2"/>
            <scheme val="minor"/>
          </rPr>
          <t>Unknown User:
Signed invoice not emailed</t>
        </r>
      </text>
    </comment>
    <comment ref="A758" authorId="20" shapeId="0" xr:uid="{D621AC86-5409-49FB-8B1A-5E775A88182C}">
      <text>
        <t>[Threaded comment]
Your version of Excel allows you to read this threaded comment; however, any edits to it will get removed if the file is opened in a newer version of Excel. Learn more: https://go.microsoft.com/fwlink/?linkid=870924
Comment:
    5% Comm'n to be paid Upon Achieving 5 x 5 Star Review</t>
      </text>
    </comment>
    <comment ref="G758" authorId="1" shapeId="0" xr:uid="{C7483D9D-2CCD-4322-A78E-A538C0DB9AE4}">
      <text>
        <r>
          <rPr>
            <sz val="11"/>
            <color theme="1"/>
            <rFont val="Aptos Narrow"/>
            <family val="2"/>
            <scheme val="minor"/>
          </rPr>
          <t>Unknown User:
SEWER SPOT DIG UP TO 3M (UNDER CONCRETE)</t>
        </r>
      </text>
    </comment>
    <comment ref="G762" authorId="1" shapeId="0" xr:uid="{A6A4F623-903B-4727-938F-357FB844253A}">
      <text>
        <r>
          <rPr>
            <sz val="11"/>
            <color theme="1"/>
            <rFont val="Aptos Narrow"/>
            <family val="2"/>
            <scheme val="minor"/>
          </rPr>
          <t>Unknown User:
SEARCH AND INVESTIGATION OF ELECTRIC STORAGE HOT WATER SYSTEM</t>
        </r>
      </text>
    </comment>
    <comment ref="J762" authorId="21" shapeId="0" xr:uid="{9EBF4D99-8104-4833-9BEB-CFD1B57D6B36}">
      <text>
        <r>
          <rPr>
            <sz val="11"/>
            <color theme="1"/>
            <rFont val="Aptos Narrow"/>
            <family val="2"/>
            <scheme val="minor"/>
          </rPr>
          <t xml:space="preserve">ZIP
</t>
        </r>
      </text>
    </comment>
    <comment ref="Q762" authorId="1" shapeId="0" xr:uid="{362FABA1-4198-4C99-B52E-1C77E1546CA4}">
      <text>
        <r>
          <rPr>
            <sz val="11"/>
            <color theme="1"/>
            <rFont val="Aptos Narrow"/>
            <family val="2"/>
            <scheme val="minor"/>
          </rPr>
          <t>Unknown User:
Invoice not raised</t>
        </r>
      </text>
    </comment>
    <comment ref="G766" authorId="1" shapeId="0" xr:uid="{3C772AAD-4C16-48AC-8D39-A09B3AF39758}">
      <text>
        <r>
          <rPr>
            <sz val="11"/>
            <color theme="1"/>
            <rFont val="Aptos Narrow"/>
            <family val="2"/>
            <scheme val="minor"/>
          </rPr>
          <t>Unknown User:
SPECIALIST LEAK DETECTION (WATER SERVICE)</t>
        </r>
      </text>
    </comment>
    <comment ref="V766" authorId="1" shapeId="0" xr:uid="{A612F731-AEF1-4522-8C60-DB4842C41F3F}">
      <text>
        <r>
          <rPr>
            <sz val="11"/>
            <color theme="1"/>
            <rFont val="Aptos Narrow"/>
            <family val="2"/>
            <scheme val="minor"/>
          </rPr>
          <t>Unknown User:
8/9-Received $1797.10 by Podium</t>
        </r>
      </text>
    </comment>
    <comment ref="G767" authorId="1" shapeId="0" xr:uid="{A32E0F41-9743-4783-AEC7-97ADC9C323BD}">
      <text>
        <r>
          <rPr>
            <sz val="11"/>
            <color theme="1"/>
            <rFont val="Aptos Narrow"/>
            <family val="2"/>
            <scheme val="minor"/>
          </rPr>
          <t>Unknown User:
SPECIALIST LEAK DETECTION (WATER SERVICE)</t>
        </r>
      </text>
    </comment>
    <comment ref="G768" authorId="1" shapeId="0" xr:uid="{7A7DF1DE-5188-477B-B3B3-52BB39922291}">
      <text>
        <r>
          <rPr>
            <sz val="11"/>
            <color theme="1"/>
            <rFont val="Aptos Narrow"/>
            <family val="2"/>
            <scheme val="minor"/>
          </rPr>
          <t>Unknown User:
SEARCH &amp; INVESTIGATION OF POTENTIAL GAS LEAK</t>
        </r>
      </text>
    </comment>
    <comment ref="G769" authorId="1" shapeId="0" xr:uid="{9646237D-F1AB-4543-997C-8E846A484836}">
      <text>
        <r>
          <rPr>
            <sz val="11"/>
            <color theme="1"/>
            <rFont val="Aptos Narrow"/>
            <family val="2"/>
            <scheme val="minor"/>
          </rPr>
          <t xml:space="preserve">Unknown User:
CONVERT SOLAR SPLIT HOT WATER SYSTEM TO EXTERNAL GAS INSTANTANEOUS HOT WATER SYSTEM
</t>
        </r>
      </text>
    </comment>
    <comment ref="G773" authorId="1" shapeId="0" xr:uid="{CE6F4184-1CB4-4612-99D7-2826C13D26D2}">
      <text>
        <r>
          <rPr>
            <sz val="11"/>
            <color theme="1"/>
            <rFont val="Aptos Narrow"/>
            <family val="2"/>
            <scheme val="minor"/>
          </rPr>
          <t>Unknown User:
SEARCH &amp; INVESTIGATION OF DOUBLE STOREY ROOF OF POTENTIAL LEAK</t>
        </r>
      </text>
    </comment>
    <comment ref="P773" authorId="1" shapeId="0" xr:uid="{F784382A-88F9-4366-A52E-091065228268}">
      <text>
        <r>
          <rPr>
            <sz val="11"/>
            <color theme="1"/>
            <rFont val="Aptos Narrow"/>
            <family val="2"/>
            <scheme val="minor"/>
          </rPr>
          <t>Unknown User:
Quote not emailed</t>
        </r>
      </text>
    </comment>
    <comment ref="Q773" authorId="1" shapeId="0" xr:uid="{79FB1E3D-3CFC-4B11-B819-E060F51FB476}">
      <text>
        <r>
          <rPr>
            <sz val="11"/>
            <color theme="1"/>
            <rFont val="Aptos Narrow"/>
            <family val="2"/>
            <scheme val="minor"/>
          </rPr>
          <t>Unknown User:
Progress payment not updated in invoice.</t>
        </r>
      </text>
    </comment>
    <comment ref="R773" authorId="1" shapeId="0" xr:uid="{F002193C-31FF-4EAC-BCC4-AC316CE11D51}">
      <text>
        <r>
          <rPr>
            <sz val="11"/>
            <color theme="1"/>
            <rFont val="Aptos Narrow"/>
            <family val="2"/>
            <scheme val="minor"/>
          </rPr>
          <t>Unknown User:
Invoice not Signed</t>
        </r>
      </text>
    </comment>
    <comment ref="G774" authorId="1" shapeId="0" xr:uid="{543A83C5-3379-436C-B540-4424963B556B}">
      <text>
        <r>
          <rPr>
            <sz val="11"/>
            <color theme="1"/>
            <rFont val="Aptos Narrow"/>
            <family val="2"/>
            <scheme val="minor"/>
          </rPr>
          <t xml:space="preserve">Unknown User:
SEARCH &amp; INVESTIGATION OF SINGLE STOREY ROOF OF POTENTIAL LEAK
10% Good Will Discount </t>
        </r>
      </text>
    </comment>
    <comment ref="N774" authorId="1" shapeId="0" xr:uid="{4ABE3F4C-70D1-47E4-BAD3-37E5C17C04FA}">
      <text>
        <r>
          <rPr>
            <sz val="11"/>
            <color theme="1"/>
            <rFont val="Aptos Narrow"/>
            <family val="2"/>
            <scheme val="minor"/>
          </rPr>
          <t>Unknown User:
Quote not raised by plumber.</t>
        </r>
      </text>
    </comment>
    <comment ref="U774" authorId="1" shapeId="0" xr:uid="{26A6049F-D630-41B8-ABBA-DE9EB958A103}">
      <text>
        <r>
          <rPr>
            <sz val="11"/>
            <color theme="1"/>
            <rFont val="Aptos Narrow"/>
            <family val="2"/>
            <scheme val="minor"/>
          </rPr>
          <t>Unknown User:
17/07-As per Francesco's note "Client not on site on completion, have sent through for signatures electronically. He said he will pay remaining balance once he returns home"</t>
        </r>
      </text>
    </comment>
    <comment ref="G775" authorId="1" shapeId="0" xr:uid="{10B3E76F-5BC2-4213-82B3-D330C74548DD}">
      <text>
        <r>
          <rPr>
            <sz val="11"/>
            <color theme="1"/>
            <rFont val="Aptos Narrow"/>
            <family val="2"/>
            <scheme val="minor"/>
          </rPr>
          <t xml:space="preserve">Unknown User:
HIGH POWERED JET BLAST &amp; CCTV DRAIN CAMERA INSPECTION (SEWER SERVICE)
</t>
        </r>
      </text>
    </comment>
    <comment ref="R775" authorId="1" shapeId="0" xr:uid="{9084BFBC-8247-4A5F-A45D-05231B142395}">
      <text>
        <r>
          <rPr>
            <sz val="11"/>
            <color theme="1"/>
            <rFont val="Aptos Narrow"/>
            <family val="2"/>
            <scheme val="minor"/>
          </rPr>
          <t>Unknown User:
Sign not obtained</t>
        </r>
      </text>
    </comment>
    <comment ref="G776" authorId="1" shapeId="0" xr:uid="{C15901D5-BD58-4CF8-956E-38E9B57EA2E9}">
      <text>
        <r>
          <rPr>
            <sz val="11"/>
            <color theme="1"/>
            <rFont val="Aptos Narrow"/>
            <family val="2"/>
            <scheme val="minor"/>
          </rPr>
          <t>Unknown User:
HIGH POWERED JET BLAST &amp; CCTV DRAIN CAMERA INSPECTION (SEWER SERVICE)</t>
        </r>
      </text>
    </comment>
    <comment ref="Q776" authorId="1" shapeId="0" xr:uid="{861D8EA9-1B1C-4703-AA0C-E203712CE809}">
      <text>
        <r>
          <rPr>
            <sz val="11"/>
            <color theme="1"/>
            <rFont val="Aptos Narrow"/>
            <family val="2"/>
            <scheme val="minor"/>
          </rPr>
          <t>Unknown User:
Invoice not raised</t>
        </r>
      </text>
    </comment>
    <comment ref="G777" authorId="1" shapeId="0" xr:uid="{247CFD56-FA8F-4719-8540-963B9123454E}">
      <text>
        <r>
          <rPr>
            <sz val="11"/>
            <color theme="1"/>
            <rFont val="Aptos Narrow"/>
            <family val="2"/>
            <scheme val="minor"/>
          </rPr>
          <t>Unknown User:
SEWER SPOT DIG UP TO 1.5M - IN GROUND
CREDIT HIGH POWERED JETBLAST &amp; CCTV CAMERA
Good Will Discount</t>
        </r>
      </text>
    </comment>
    <comment ref="O777" authorId="1" shapeId="0" xr:uid="{1CDA66B0-8985-4C4A-9363-C4CB31758F31}">
      <text>
        <r>
          <rPr>
            <sz val="11"/>
            <color theme="1"/>
            <rFont val="Aptos Narrow"/>
            <family val="2"/>
            <scheme val="minor"/>
          </rPr>
          <t>Unknown User:
Quote not signed</t>
        </r>
      </text>
    </comment>
    <comment ref="D778" authorId="1" shapeId="0" xr:uid="{32644AC1-0A41-4439-A71E-F017489FB3BE}">
      <text>
        <r>
          <rPr>
            <sz val="11"/>
            <color theme="1"/>
            <rFont val="Aptos Narrow"/>
            <family val="2"/>
            <scheme val="minor"/>
          </rPr>
          <t>Unknown User:
Quote duplicated</t>
        </r>
      </text>
    </comment>
    <comment ref="G778" authorId="1" shapeId="0" xr:uid="{49BF18C3-6883-4809-80E0-B5B459ECF79E}">
      <text>
        <r>
          <rPr>
            <sz val="11"/>
            <color theme="1"/>
            <rFont val="Aptos Narrow"/>
            <family val="2"/>
            <scheme val="minor"/>
          </rPr>
          <t>Unknown User:
RELINE OF SEWER SERVICE UP TO 4M</t>
        </r>
      </text>
    </comment>
    <comment ref="G779" authorId="1" shapeId="0" xr:uid="{445AFB6F-9456-4EE4-91ED-98DF8FDBC7FD}">
      <text>
        <r>
          <rPr>
            <sz val="11"/>
            <color theme="1"/>
            <rFont val="Aptos Narrow"/>
            <family val="2"/>
            <scheme val="minor"/>
          </rPr>
          <t>Unknown User:
GUTTER REPLACEMENT (UP TO 6M)</t>
        </r>
      </text>
    </comment>
    <comment ref="G780" authorId="1" shapeId="0" xr:uid="{89F9714F-9707-451C-BAFA-8170D8AFA60F}">
      <text>
        <r>
          <rPr>
            <sz val="11"/>
            <color theme="1"/>
            <rFont val="Aptos Narrow"/>
            <family val="2"/>
            <scheme val="minor"/>
          </rPr>
          <t>Unknown User:
REPLACEMENT OF SEWER SHAFT UP TO 2.5M (UNDER PAVERS)</t>
        </r>
      </text>
    </comment>
    <comment ref="N780" authorId="1" shapeId="0" xr:uid="{97DA7CAE-A827-4D7E-8DC8-5BFE7E34504A}">
      <text>
        <r>
          <rPr>
            <sz val="11"/>
            <color theme="1"/>
            <rFont val="Aptos Narrow"/>
            <family val="2"/>
            <scheme val="minor"/>
          </rPr>
          <t>Unknown User:
Quote not raised</t>
        </r>
      </text>
    </comment>
    <comment ref="V780" authorId="1" shapeId="0" xr:uid="{9E78BC63-D2F1-405E-8F9A-C35ABAC08ABD}">
      <text>
        <r>
          <rPr>
            <sz val="11"/>
            <color theme="1"/>
            <rFont val="Aptos Narrow"/>
            <family val="2"/>
            <scheme val="minor"/>
          </rPr>
          <t>Unknown User:
22/8 Received $17575.40 EFT</t>
        </r>
      </text>
    </comment>
    <comment ref="A781" authorId="22" shapeId="0" xr:uid="{9B1A3113-1DA6-46AA-AFAA-D6F5BC369D0A}">
      <text>
        <t>[Threaded comment]
Your version of Excel allows you to read this threaded comment; however, any edits to it will get removed if the file is opened in a newer version of Excel. Learn more: https://go.microsoft.com/fwlink/?linkid=870924
Comment:
    5% Comm'n to be paid Upon Achieving 5 x 5 Star Review</t>
      </text>
    </comment>
    <comment ref="G781" authorId="1" shapeId="0" xr:uid="{5DF327D5-B33E-4F40-8E55-22131CADFE7A}">
      <text>
        <r>
          <rPr>
            <sz val="11"/>
            <color theme="1"/>
            <rFont val="Aptos Narrow"/>
            <family val="2"/>
            <scheme val="minor"/>
          </rPr>
          <t>Unknown User:
SPECIALIST LEAK DETECTION (WATER SERVICE)</t>
        </r>
      </text>
    </comment>
    <comment ref="V781" authorId="1" shapeId="0" xr:uid="{172123BB-727A-4994-8A16-A62FDF4DD744}">
      <text>
        <r>
          <rPr>
            <sz val="11"/>
            <color theme="1"/>
            <rFont val="Aptos Narrow"/>
            <family val="2"/>
            <scheme val="minor"/>
          </rPr>
          <t>Unknown User:
29/8-Received $1747.10 by Smartpay</t>
        </r>
      </text>
    </comment>
    <comment ref="G782" authorId="1" shapeId="0" xr:uid="{18059A67-BC24-4F52-B1AF-E85D2FC187B8}">
      <text>
        <r>
          <rPr>
            <sz val="11"/>
            <color theme="1"/>
            <rFont val="Aptos Narrow"/>
            <family val="2"/>
            <scheme val="minor"/>
          </rPr>
          <t>Unknown User:
REPLACEMENT OF SEWER BOUNDARY TRAP</t>
        </r>
      </text>
    </comment>
    <comment ref="G783" authorId="1" shapeId="0" xr:uid="{112D9689-F64A-478A-8030-AE95460854D8}">
      <text>
        <r>
          <rPr>
            <sz val="11"/>
            <color theme="1"/>
            <rFont val="Aptos Narrow"/>
            <family val="2"/>
            <scheme val="minor"/>
          </rPr>
          <t xml:space="preserve">Unknown User:
SUPPLY &amp; INSTALLATION OF NEW SINGLE ELEMENT HOT WATER UNIT – INTERNAL
</t>
        </r>
      </text>
    </comment>
    <comment ref="A784" authorId="23" shapeId="0" xr:uid="{50C04530-4FD9-406A-A0A5-2E3AF3F991D6}">
      <text>
        <t>[Threaded comment]
Your version of Excel allows you to read this threaded comment; however, any edits to it will get removed if the file is opened in a newer version of Excel. Learn more: https://go.microsoft.com/fwlink/?linkid=870924
Comment:
    5% Comm'n to be paid Upon Achieving 5 x 5 Star Review</t>
      </text>
    </comment>
    <comment ref="G784" authorId="1" shapeId="0" xr:uid="{C27AD856-C7A7-4F62-B184-CC5983C5BF99}">
      <text>
        <r>
          <rPr>
            <sz val="11"/>
            <color theme="1"/>
            <rFont val="Aptos Narrow"/>
            <family val="2"/>
            <scheme val="minor"/>
          </rPr>
          <t>Unknown User:
SUPPLY &amp; INSTALLATION OF NEW TWIN ELEMENT HOT WATER UNIT (INTERNAL)</t>
        </r>
      </text>
    </comment>
    <comment ref="K784" authorId="1" shapeId="0" xr:uid="{59E18C8F-30CD-4B3A-B6F3-A12B8453EFC1}">
      <text>
        <r>
          <rPr>
            <sz val="11"/>
            <color theme="1"/>
            <rFont val="Aptos Narrow"/>
            <family val="2"/>
            <scheme val="minor"/>
          </rPr>
          <t>Unknown User:
Previous job #72392</t>
        </r>
      </text>
    </comment>
    <comment ref="V784" authorId="1" shapeId="0" xr:uid="{9CD68026-39A0-423C-A245-AC7F34566B74}">
      <text>
        <r>
          <rPr>
            <sz val="11"/>
            <color theme="1"/>
            <rFont val="Aptos Narrow"/>
            <family val="2"/>
            <scheme val="minor"/>
          </rPr>
          <t>Unknown User:
2/9-Received $6645.40 by EFT.
3/9-Received $200 by Smartpay</t>
        </r>
      </text>
    </comment>
    <comment ref="G788" authorId="1" shapeId="0" xr:uid="{ED2DE432-E6CE-4E44-A9FD-8B33FA832DBB}">
      <text>
        <r>
          <rPr>
            <sz val="11"/>
            <color theme="1"/>
            <rFont val="Aptos Narrow"/>
            <family val="2"/>
            <scheme val="minor"/>
          </rPr>
          <t>Unknown User:
STORM WATER SERVICE INSTALLATION UP TO 12M
10% Seniors &amp; Pensioners Discount</t>
        </r>
      </text>
    </comment>
    <comment ref="V788" authorId="1" shapeId="0" xr:uid="{61DE5DA8-9700-46D8-9CFC-41C138AFC012}">
      <text>
        <r>
          <rPr>
            <sz val="11"/>
            <color theme="1"/>
            <rFont val="Aptos Narrow"/>
            <family val="2"/>
            <scheme val="minor"/>
          </rPr>
          <t>Unknown User:
26/8-Received $5000 by Smartpay</t>
        </r>
      </text>
    </comment>
    <comment ref="G789" authorId="1" shapeId="0" xr:uid="{CE909A36-E291-4B33-87F0-4985494334BC}">
      <text>
        <r>
          <rPr>
            <sz val="11"/>
            <color theme="1"/>
            <rFont val="Aptos Narrow"/>
            <family val="2"/>
            <scheme val="minor"/>
          </rPr>
          <t>Unknown User:
SPECIALIST LEAK DETECTION (WATER SERVICE)</t>
        </r>
      </text>
    </comment>
    <comment ref="G794" authorId="1" shapeId="0" xr:uid="{C6FBF8DE-451D-4939-A01D-1AD6C74B3283}">
      <text>
        <r>
          <rPr>
            <sz val="11"/>
            <color theme="1"/>
            <rFont val="Aptos Narrow"/>
            <family val="2"/>
            <scheme val="minor"/>
          </rPr>
          <t>Unknown User:
WATER SERVICE RECTIFICATION (IN WALL)</t>
        </r>
      </text>
    </comment>
    <comment ref="G795" authorId="1" shapeId="0" xr:uid="{990F5289-11D2-498B-ABFF-278CC744F0D5}">
      <text>
        <r>
          <rPr>
            <sz val="11"/>
            <color theme="1"/>
            <rFont val="Aptos Narrow"/>
            <family val="2"/>
            <scheme val="minor"/>
          </rPr>
          <t>Unknown User:
SUPPLY &amp; INSTALLATION OF NEW DISHWASHER IN REPLACEMENT OF EXISTING
10% Good Will Discount</t>
        </r>
      </text>
    </comment>
    <comment ref="K795" authorId="1" shapeId="0" xr:uid="{D5713339-178C-49C0-8D6A-08D82B11007C}">
      <text>
        <r>
          <rPr>
            <sz val="11"/>
            <color theme="1"/>
            <rFont val="Aptos Narrow"/>
            <family val="2"/>
            <scheme val="minor"/>
          </rPr>
          <t>Unknown User:
Previous job pics considered</t>
        </r>
      </text>
    </comment>
    <comment ref="G796" authorId="1" shapeId="0" xr:uid="{32C70EF9-CDC3-45EE-9E82-AAB9C46485B5}">
      <text>
        <r>
          <rPr>
            <sz val="11"/>
            <color theme="1"/>
            <rFont val="Aptos Narrow"/>
            <family val="2"/>
            <scheme val="minor"/>
          </rPr>
          <t xml:space="preserve">Unknown User:
COMPLETE SERVICE OF TOILET CISTERN
</t>
        </r>
      </text>
    </comment>
    <comment ref="G797" authorId="1" shapeId="0" xr:uid="{66827CE9-D871-4B5D-A74B-3DDC3776FF0D}">
      <text>
        <r>
          <rPr>
            <sz val="11"/>
            <color theme="1"/>
            <rFont val="Aptos Narrow"/>
            <family val="2"/>
            <scheme val="minor"/>
          </rPr>
          <t>Unknown User:
SUPPLY &amp; INSTALLATION OF NEW WALL FACED TOILET SUITE
$85 Off First Service</t>
        </r>
      </text>
    </comment>
    <comment ref="G798" authorId="1" shapeId="0" xr:uid="{E1C28B96-0312-44C5-A8BD-EEA6743EDAB1}">
      <text>
        <r>
          <rPr>
            <sz val="11"/>
            <color theme="1"/>
            <rFont val="Aptos Narrow"/>
            <family val="2"/>
            <scheme val="minor"/>
          </rPr>
          <t>Unknown User:
REPLACEMENT OF BASIN MIXER
$85 Off First Service</t>
        </r>
      </text>
    </comment>
    <comment ref="G799" authorId="1" shapeId="0" xr:uid="{A564486F-9699-4904-8873-538C50B3F276}">
      <text>
        <r>
          <rPr>
            <sz val="11"/>
            <color theme="1"/>
            <rFont val="Aptos Narrow"/>
            <family val="2"/>
            <scheme val="minor"/>
          </rPr>
          <t xml:space="preserve">Unknown User:
REPLACEMENT OF EXISTING PULL-OUT KITCHEN MIXER
</t>
        </r>
      </text>
    </comment>
    <comment ref="G800" authorId="1" shapeId="0" xr:uid="{67BFA896-8ED0-420D-B5EC-F39E93A1E1DF}">
      <text>
        <r>
          <rPr>
            <sz val="11"/>
            <color theme="1"/>
            <rFont val="Aptos Narrow"/>
            <family val="2"/>
            <scheme val="minor"/>
          </rPr>
          <t>Unknown User:
REPLACEMENT OF SHOWER HOSE</t>
        </r>
      </text>
    </comment>
    <comment ref="G802" authorId="1" shapeId="0" xr:uid="{63FEE4B6-03BB-45B2-8E62-828EBBE7E710}">
      <text>
        <r>
          <rPr>
            <sz val="11"/>
            <color theme="1"/>
            <rFont val="Aptos Narrow"/>
            <family val="2"/>
            <scheme val="minor"/>
          </rPr>
          <t>Unknown User:
SEWER SPOT DIG - IN GROUND</t>
        </r>
      </text>
    </comment>
    <comment ref="U802" authorId="1" shapeId="0" xr:uid="{3108B244-D4D8-4F32-B769-208C11AC308E}">
      <text>
        <r>
          <rPr>
            <sz val="11"/>
            <color theme="1"/>
            <rFont val="Aptos Narrow"/>
            <family val="2"/>
            <scheme val="minor"/>
          </rPr>
          <t>Unknown User:
Credits available-$5350.40-EFT</t>
        </r>
      </text>
    </comment>
    <comment ref="G803" authorId="1" shapeId="0" xr:uid="{A1D7F44D-0AD9-4A5E-B667-732F455B118D}">
      <text>
        <r>
          <rPr>
            <sz val="11"/>
            <color theme="1"/>
            <rFont val="Aptos Narrow"/>
            <family val="2"/>
            <scheme val="minor"/>
          </rPr>
          <t>Unknown User:
SUPPLY &amp; INSTALLATION OF GAS STORAGE HOT WATER SYSTEM (EXTERNAL)
10% Seniors &amp; Pensioners Discount</t>
        </r>
      </text>
    </comment>
    <comment ref="E825" authorId="24" shapeId="0" xr:uid="{74EDE568-E489-4A95-A1A1-C67F77C181F4}">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t>
      </text>
    </comment>
    <comment ref="E826" authorId="25" shapeId="0" xr:uid="{9F015041-C276-4781-91F3-ACC2B84555A9}">
      <text>
        <t>[Threaded comment]
Your version of Excel allows you to read this threaded comment; however, any edits to it will get removed if the file is opened in a newer version of Excel. Learn more: https://go.microsoft.com/fwlink/?linkid=870924
Comment:
    Stock</t>
      </text>
    </comment>
    <comment ref="E827" authorId="26" shapeId="0" xr:uid="{87514D06-0F30-4F89-99C5-304C81123EEB}">
      <text>
        <t>[Threaded comment]
Your version of Excel allows you to read this threaded comment; however, any edits to it will get removed if the file is opened in a newer version of Excel. Learn more: https://go.microsoft.com/fwlink/?linkid=870924
Comment:
    Stock</t>
      </text>
    </comment>
    <comment ref="E828" authorId="27" shapeId="0" xr:uid="{D3E72D0A-6144-4A63-8D11-6DB71C36716F}">
      <text>
        <t>[Threaded comment]
Your version of Excel allows you to read this threaded comment; however, any edits to it will get removed if the file is opened in a newer version of Excel. Learn more: https://go.microsoft.com/fwlink/?linkid=870924
Comment:
    Checked</t>
      </text>
    </comment>
    <comment ref="G836" authorId="1" shapeId="0" xr:uid="{86828E2D-2B49-469C-A027-3E0984FD2CA7}">
      <text>
        <r>
          <rPr>
            <sz val="11"/>
            <color theme="1"/>
            <rFont val="Aptos Narrow"/>
            <family val="2"/>
            <scheme val="minor"/>
          </rPr>
          <t>Unknown User:
SEARCH AND INVESTIGATION OF SOLAR SPLIT HOT WATER SYSTEM</t>
        </r>
      </text>
    </comment>
    <comment ref="G837" authorId="1" shapeId="0" xr:uid="{CF9AEE20-60AB-41E8-93A3-F7D06287F8C0}">
      <text>
        <r>
          <rPr>
            <sz val="11"/>
            <color theme="1"/>
            <rFont val="Aptos Narrow"/>
            <family val="2"/>
            <scheme val="minor"/>
          </rPr>
          <t>Unknown User:
RECTIFICATION OF GAS SERVICE (EXPOSED)
CREDIT OF SEARCH &amp; INVESTIGATION
5% Good Will Discount</t>
        </r>
      </text>
    </comment>
    <comment ref="K837" authorId="1" shapeId="0" xr:uid="{811B6111-D619-4313-BE06-10B33E064F44}">
      <text>
        <r>
          <rPr>
            <sz val="11"/>
            <color theme="1"/>
            <rFont val="Aptos Narrow"/>
            <family val="2"/>
            <scheme val="minor"/>
          </rPr>
          <t>Unknown User:
Previous job #73119 pics considered</t>
        </r>
      </text>
    </comment>
    <comment ref="L837" authorId="1" shapeId="0" xr:uid="{EEC8AB05-C301-4FAB-A9B3-7A42374E2127}">
      <text>
        <r>
          <rPr>
            <sz val="11"/>
            <color theme="1"/>
            <rFont val="Aptos Narrow"/>
            <family val="2"/>
            <scheme val="minor"/>
          </rPr>
          <t>Unknown User:
Temp check pics not uploaded</t>
        </r>
      </text>
    </comment>
    <comment ref="Q837" authorId="1" shapeId="0" xr:uid="{C3C44DFD-86EE-4CDB-8EF3-1D928F340591}">
      <text>
        <r>
          <rPr>
            <sz val="11"/>
            <color theme="1"/>
            <rFont val="Aptos Narrow"/>
            <family val="2"/>
            <scheme val="minor"/>
          </rPr>
          <t>Unknown User:
Progress invoice ($1600) not raised</t>
        </r>
      </text>
    </comment>
    <comment ref="G838" authorId="1" shapeId="0" xr:uid="{BE1309F8-6B66-4778-B9F1-E8297E1F3567}">
      <text>
        <r>
          <rPr>
            <sz val="11"/>
            <color theme="1"/>
            <rFont val="Aptos Narrow"/>
            <family val="2"/>
            <scheme val="minor"/>
          </rPr>
          <t>Unknown User:
REPLACEMENT OF EXISTING GOOSE NECK KITCHEN MIXER (CUSTOMER
SUPPLIED)</t>
        </r>
      </text>
    </comment>
    <comment ref="G839" authorId="1" shapeId="0" xr:uid="{D9BC0C39-3679-490B-B60B-C63785AED202}">
      <text>
        <r>
          <rPr>
            <sz val="11"/>
            <color theme="1"/>
            <rFont val="Aptos Narrow"/>
            <family val="2"/>
            <scheme val="minor"/>
          </rPr>
          <t>Unknown User:
WATER SERVICE RECTIFICATION (IN GROUND)</t>
        </r>
      </text>
    </comment>
    <comment ref="Q839" authorId="1" shapeId="0" xr:uid="{F4EE572D-96BD-4AC6-98C4-A515CE2409B9}">
      <text>
        <r>
          <rPr>
            <sz val="11"/>
            <color theme="1"/>
            <rFont val="Aptos Narrow"/>
            <family val="2"/>
            <scheme val="minor"/>
          </rPr>
          <t>Unknown User:
Office to raise final zero due invoice for Podium payment.</t>
        </r>
      </text>
    </comment>
    <comment ref="G840" authorId="1" shapeId="0" xr:uid="{3C7F9455-0A74-4C4F-986D-626ADB334E05}">
      <text>
        <r>
          <rPr>
            <sz val="11"/>
            <color theme="1"/>
            <rFont val="Aptos Narrow"/>
            <family val="2"/>
            <scheme val="minor"/>
          </rPr>
          <t>Unknown User:
SUPPLY &amp; INSTALLATION OF GAS STORAGE HOT WATER SYSTEM (EXTERNAL)
10% Seniors &amp; Pensioners Discount</t>
        </r>
      </text>
    </comment>
    <comment ref="T840" authorId="1" shapeId="0" xr:uid="{22AE44D7-2FB7-4D39-8B09-03A226853989}">
      <text>
        <r>
          <rPr>
            <sz val="11"/>
            <color theme="1"/>
            <rFont val="Aptos Narrow"/>
            <family val="2"/>
            <scheme val="minor"/>
          </rPr>
          <t>Unknown User:
1x Elliot</t>
        </r>
      </text>
    </comment>
    <comment ref="G841" authorId="1" shapeId="0" xr:uid="{70123BB4-BFEB-4CED-B1B8-8251AF2BD40F}">
      <text>
        <r>
          <rPr>
            <sz val="11"/>
            <color theme="1"/>
            <rFont val="Aptos Narrow"/>
            <family val="2"/>
            <scheme val="minor"/>
          </rPr>
          <t xml:space="preserve">Unknown User:
REPLACEMENT OF PLUG &amp; WASTE - 50MM
Non-refundable call out fee </t>
        </r>
      </text>
    </comment>
    <comment ref="T841" authorId="1" shapeId="0" xr:uid="{AD0CEF48-116C-4E8E-BB30-B22054405C3D}">
      <text>
        <r>
          <rPr>
            <sz val="11"/>
            <color theme="1"/>
            <rFont val="Aptos Narrow"/>
            <family val="2"/>
            <scheme val="minor"/>
          </rPr>
          <t>Unknown User:
1 review-Trustpilot
1 review-Product review</t>
        </r>
      </text>
    </comment>
    <comment ref="G842" authorId="1" shapeId="0" xr:uid="{D321A97F-9AD4-450A-B558-7D630BFD7B85}">
      <text>
        <r>
          <rPr>
            <sz val="11"/>
            <color theme="1"/>
            <rFont val="Aptos Narrow"/>
            <family val="2"/>
            <scheme val="minor"/>
          </rPr>
          <t xml:space="preserve">Unknown User:
HIGH POWERED SUCTION &amp; ACID TREATMENT
10% Seniors &amp; Pensioners Discount </t>
        </r>
      </text>
    </comment>
    <comment ref="M842" authorId="1" shapeId="0" xr:uid="{CF359197-9DAB-47FB-8D55-8879F17BDF72}">
      <text>
        <r>
          <rPr>
            <sz val="11"/>
            <color theme="1"/>
            <rFont val="Aptos Narrow"/>
            <family val="2"/>
            <scheme val="minor"/>
          </rPr>
          <t>Unknown User:
Smartpay receipt of $1350.36 not uploaded by plumber.
Uploaded by Modoras team.</t>
        </r>
      </text>
    </comment>
    <comment ref="G843" authorId="1" shapeId="0" xr:uid="{5DA0BC08-9DF0-4ED2-AA36-6AF82F39E313}">
      <text>
        <r>
          <rPr>
            <sz val="11"/>
            <color theme="1"/>
            <rFont val="Aptos Narrow"/>
            <family val="2"/>
            <scheme val="minor"/>
          </rPr>
          <t>Unknown User:
SEARCH &amp; INVESTIGATION OF GAS STORAGE HOT WATER SYSTEM</t>
        </r>
      </text>
    </comment>
    <comment ref="G844" authorId="1" shapeId="0" xr:uid="{F0F321AF-8A16-4C82-9AF4-B5622E8C6E26}">
      <text>
        <r>
          <rPr>
            <sz val="11"/>
            <color theme="1"/>
            <rFont val="Aptos Narrow"/>
            <family val="2"/>
            <scheme val="minor"/>
          </rPr>
          <t>Unknown User:
SUPPLY &amp; INSTALLATION OF GAS STORAGE HOT WATER SYSTEM (EXTERNAL)</t>
        </r>
      </text>
    </comment>
    <comment ref="S844" authorId="1" shapeId="0" xr:uid="{2CD40166-3F85-42FD-A375-8159579BDEAA}">
      <text>
        <r>
          <rPr>
            <sz val="11"/>
            <color theme="1"/>
            <rFont val="Aptos Narrow"/>
            <family val="2"/>
            <scheme val="minor"/>
          </rPr>
          <t>Unknown User:
Progress invoice not emailed</t>
        </r>
      </text>
    </comment>
    <comment ref="G845" authorId="1" shapeId="0" xr:uid="{4907FE69-8403-4A30-B299-29FF2C83F7E1}">
      <text>
        <r>
          <rPr>
            <sz val="11"/>
            <color theme="1"/>
            <rFont val="Aptos Narrow"/>
            <family val="2"/>
            <scheme val="minor"/>
          </rPr>
          <t xml:space="preserve">Unknown User:
DECOMMISSION OF EXISTING DISHWASHER &amp; MAKE SAFE
$85 Off First Service </t>
        </r>
      </text>
    </comment>
    <comment ref="G846" authorId="1" shapeId="0" xr:uid="{66226614-CC42-4D9B-80A9-8E35354C77ED}">
      <text>
        <r>
          <rPr>
            <sz val="11"/>
            <color theme="1"/>
            <rFont val="Aptos Narrow"/>
            <family val="2"/>
            <scheme val="minor"/>
          </rPr>
          <t>Unknown User:
REPLACEMENT OF EXISTING GOOSE NECK KITCHEN MIXER</t>
        </r>
      </text>
    </comment>
    <comment ref="G851" authorId="1" shapeId="0" xr:uid="{26188FE9-D04A-474F-95D0-E36D8B6B9659}">
      <text>
        <r>
          <rPr>
            <sz val="11"/>
            <color theme="1"/>
            <rFont val="Aptos Narrow"/>
            <family val="2"/>
            <scheme val="minor"/>
          </rPr>
          <t xml:space="preserve">Unknown User:
SEARCH &amp; INVESTIGATION OF SINGLE STOREY ROOF OF POTENTIAL LEAK
10% Good Will Discount </t>
        </r>
      </text>
    </comment>
    <comment ref="N851" authorId="1" shapeId="0" xr:uid="{8396B015-25B9-4C14-B003-3113D75F6FD3}">
      <text>
        <r>
          <rPr>
            <sz val="11"/>
            <color theme="1"/>
            <rFont val="Aptos Narrow"/>
            <family val="2"/>
            <scheme val="minor"/>
          </rPr>
          <t>Unknown User:
Quote not raised by plumber.</t>
        </r>
      </text>
    </comment>
    <comment ref="U851" authorId="1" shapeId="0" xr:uid="{9A82FB11-771E-48C7-8A6F-6F12678F7E7F}">
      <text>
        <r>
          <rPr>
            <sz val="11"/>
            <color theme="1"/>
            <rFont val="Aptos Narrow"/>
            <family val="2"/>
            <scheme val="minor"/>
          </rPr>
          <t>Unknown User:
17/07-As per Francesco's note "Client not on site on completion, have sent through for signatures electronically. He said he will pay remaining balance once he returns home"</t>
        </r>
      </text>
    </comment>
    <comment ref="V851" authorId="1" shapeId="0" xr:uid="{A6EFA92F-BA53-412E-92E0-7C42E28AAE00}">
      <text>
        <r>
          <rPr>
            <sz val="11"/>
            <color theme="1"/>
            <rFont val="Aptos Narrow"/>
            <family val="2"/>
            <scheme val="minor"/>
          </rPr>
          <t>Unknown User:
12/9-Received $1926.47 by Smartpay</t>
        </r>
      </text>
    </comment>
    <comment ref="A852" authorId="28" shapeId="0" xr:uid="{C04FC87C-CD11-4FFA-A711-81E4BF6E06C4}">
      <text>
        <t>[Threaded comment]
Your version of Excel allows you to read this threaded comment; however, any edits to it will get removed if the file is opened in a newer version of Excel. Learn more: https://go.microsoft.com/fwlink/?linkid=870924
Comment:
    5% Comm'n to be paid Upon Achieving 5 x 5 Star Review</t>
      </text>
    </comment>
    <comment ref="G852" authorId="1" shapeId="0" xr:uid="{E0F70A33-461F-446D-8ED8-D8C71C3B6CB9}">
      <text>
        <r>
          <rPr>
            <sz val="11"/>
            <color theme="1"/>
            <rFont val="Aptos Narrow"/>
            <family val="2"/>
            <scheme val="minor"/>
          </rPr>
          <t>Unknown User:
SPECIALIST LEAK DETECTION (WATER SERVICE)</t>
        </r>
      </text>
    </comment>
    <comment ref="V852" authorId="1" shapeId="0" xr:uid="{60EEB2C8-F21F-4CD1-8CE4-1075E7B6144A}">
      <text>
        <r>
          <rPr>
            <sz val="11"/>
            <color theme="1"/>
            <rFont val="Aptos Narrow"/>
            <family val="2"/>
            <scheme val="minor"/>
          </rPr>
          <t>Unknown User:
29/8-Received $1747.10 by Smartpay</t>
        </r>
      </text>
    </comment>
    <comment ref="A853" authorId="29" shapeId="0" xr:uid="{B761AA10-3870-4CF4-94D8-59F3C76321FB}">
      <text>
        <t>[Threaded comment]
Your version of Excel allows you to read this threaded comment; however, any edits to it will get removed if the file is opened in a newer version of Excel. Learn more: https://go.microsoft.com/fwlink/?linkid=870924
Comment:
    5% Comm'n to be paid Upon Achieving 5 x 5 Star Review</t>
      </text>
    </comment>
    <comment ref="G853" authorId="1" shapeId="0" xr:uid="{830FA3C1-0208-45DF-8391-B7897444CF85}">
      <text>
        <r>
          <rPr>
            <sz val="11"/>
            <color theme="1"/>
            <rFont val="Aptos Narrow"/>
            <family val="2"/>
            <scheme val="minor"/>
          </rPr>
          <t>Unknown User:
SUPPLY &amp; INSTALLATION OF NEW TWIN ELEMENT HOT WATER UNIT (INTERNAL)</t>
        </r>
      </text>
    </comment>
    <comment ref="K853" authorId="1" shapeId="0" xr:uid="{24C57F34-CAA0-49EE-B5E6-C26806FB6B8F}">
      <text>
        <r>
          <rPr>
            <sz val="11"/>
            <color theme="1"/>
            <rFont val="Aptos Narrow"/>
            <family val="2"/>
            <scheme val="minor"/>
          </rPr>
          <t>Unknown User:
Previous job #72392</t>
        </r>
      </text>
    </comment>
    <comment ref="V853" authorId="1" shapeId="0" xr:uid="{0808769F-8843-469B-AFC1-0C083CD1C311}">
      <text>
        <r>
          <rPr>
            <sz val="11"/>
            <color theme="1"/>
            <rFont val="Aptos Narrow"/>
            <family val="2"/>
            <scheme val="minor"/>
          </rPr>
          <t>Unknown User:
2/9-Received $6645.40 by EFT.
3/9-Received $200 by Smartpay</t>
        </r>
      </text>
    </comment>
    <comment ref="G854" authorId="1" shapeId="0" xr:uid="{243A71A6-9521-4F88-83BA-7DB0C245BC47}">
      <text>
        <r>
          <rPr>
            <sz val="11"/>
            <color theme="1"/>
            <rFont val="Aptos Narrow"/>
            <family val="2"/>
            <scheme val="minor"/>
          </rPr>
          <t xml:space="preserve">Unknown User:
CONVERT SOLAR SPLIT HOT WATER SYSTEM TO EXTERNAL GAS INSTANTANEOUS HOT WATER SYSTEM
</t>
        </r>
      </text>
    </comment>
    <comment ref="V854" authorId="1" shapeId="0" xr:uid="{9CBBF657-A161-4D73-9838-BDEA255263A7}">
      <text>
        <r>
          <rPr>
            <sz val="11"/>
            <color theme="1"/>
            <rFont val="Aptos Narrow"/>
            <family val="2"/>
            <scheme val="minor"/>
          </rPr>
          <t>Unknown User:
8/9-PP of $6920.58 settled ($855.72 fee)</t>
        </r>
      </text>
    </comment>
    <comment ref="G855" authorId="1" shapeId="0" xr:uid="{FF950469-B503-4BC2-88CC-BCB70A590F22}">
      <text>
        <r>
          <rPr>
            <sz val="11"/>
            <color theme="1"/>
            <rFont val="Aptos Narrow"/>
            <family val="2"/>
            <scheme val="minor"/>
          </rPr>
          <t>Unknown User:
SPECIALIST LEAK DETECTION (WATER SERVICE)</t>
        </r>
      </text>
    </comment>
    <comment ref="V855" authorId="1" shapeId="0" xr:uid="{CC7CA1DB-FF48-47CF-BC86-A6A42D2505E8}">
      <text>
        <r>
          <rPr>
            <sz val="11"/>
            <color theme="1"/>
            <rFont val="Aptos Narrow"/>
            <family val="2"/>
            <scheme val="minor"/>
          </rPr>
          <t>Unknown User:
8/9-Received $1797.10 by Podium</t>
        </r>
      </text>
    </comment>
    <comment ref="G856" authorId="1" shapeId="0" xr:uid="{B249C199-D1E5-422B-9299-6FF7AC12140B}">
      <text>
        <r>
          <rPr>
            <sz val="11"/>
            <color theme="1"/>
            <rFont val="Aptos Narrow"/>
            <family val="2"/>
            <scheme val="minor"/>
          </rPr>
          <t>Unknown User:
SPECIALIST LEAK DETECTION (WATER SERVICE)</t>
        </r>
      </text>
    </comment>
    <comment ref="V856" authorId="1" shapeId="0" xr:uid="{56632354-50B6-4AF6-B8B6-3A00CF37EEA7}">
      <text>
        <r>
          <rPr>
            <sz val="11"/>
            <color theme="1"/>
            <rFont val="Aptos Narrow"/>
            <family val="2"/>
            <scheme val="minor"/>
          </rPr>
          <t>Unknown User:
9/9-Received $1797.10 by 
Smartpay</t>
        </r>
      </text>
    </comment>
    <comment ref="G857" authorId="1" shapeId="0" xr:uid="{16A05F8B-35B7-45C2-AC1C-2BB45DAD6BAF}">
      <text>
        <r>
          <rPr>
            <sz val="11"/>
            <color theme="1"/>
            <rFont val="Aptos Narrow"/>
            <family val="2"/>
            <scheme val="minor"/>
          </rPr>
          <t>Unknown User:
SEARCH &amp; INVESTIGATION OF POTENTIAL GAS LEAK</t>
        </r>
      </text>
    </comment>
    <comment ref="V857" authorId="1" shapeId="0" xr:uid="{9753F621-12EA-40FA-A655-8944A8430B04}">
      <text>
        <r>
          <rPr>
            <sz val="11"/>
            <color theme="1"/>
            <rFont val="Aptos Narrow"/>
            <family val="2"/>
            <scheme val="minor"/>
          </rPr>
          <t>Unknown User:
9/9-Received $1337.10 by Smartpay</t>
        </r>
      </text>
    </comment>
    <comment ref="G861" authorId="1" shapeId="0" xr:uid="{943990D2-58F9-4AF4-8DA7-83C611C2B638}">
      <text>
        <r>
          <rPr>
            <sz val="11"/>
            <color theme="1"/>
            <rFont val="Aptos Narrow"/>
            <family val="2"/>
            <scheme val="minor"/>
          </rPr>
          <t>Unknown User:
SUPPLY &amp; INSTALLATION OF NEW SKEW TOILET SUITE</t>
        </r>
      </text>
    </comment>
    <comment ref="S861" authorId="1" shapeId="0" xr:uid="{E99C8A57-2774-4D12-8EA1-CC496D6BB880}">
      <text>
        <r>
          <rPr>
            <sz val="11"/>
            <color theme="1"/>
            <rFont val="Aptos Narrow"/>
            <family val="2"/>
            <scheme val="minor"/>
          </rPr>
          <t>Unknown User:
Signed invoice not emailed</t>
        </r>
      </text>
    </comment>
    <comment ref="T861" authorId="1" shapeId="0" xr:uid="{DEA222F1-0F7B-4EC9-A79A-86A7D71FB99E}">
      <text>
        <r>
          <rPr>
            <sz val="11"/>
            <color theme="1"/>
            <rFont val="Aptos Narrow"/>
            <family val="2"/>
            <scheme val="minor"/>
          </rPr>
          <t>Unknown User:
0.5x Harrison</t>
        </r>
      </text>
    </comment>
    <comment ref="U861" authorId="1" shapeId="0" xr:uid="{791A3AFE-5B76-4989-9D66-738732AE5FA4}">
      <text>
        <r>
          <rPr>
            <sz val="11"/>
            <color theme="1"/>
            <rFont val="Aptos Narrow"/>
            <family val="2"/>
            <scheme val="minor"/>
          </rPr>
          <t>Unknown User:
8/9-As per Jack's note "Cistern and seat installed and tested for leaks. No leaks present. Attempted to collect a progress payment from client however she is unwilling to pay until the new parts are installed. Have advised her that the office will be in contact to re book once the new parts are in."
8/9-As per Tolga's note "Ordered new skew toilet from St kikda reece they will notify me when its ready
Client not happy with the one that was purchased
Jack to install flush pipe amd cistern for current one amd then we will come back to install new one"</t>
        </r>
      </text>
    </comment>
    <comment ref="G865" authorId="1" shapeId="0" xr:uid="{FC77C6F8-3539-429B-A125-91E480B4B940}">
      <text>
        <r>
          <rPr>
            <sz val="11"/>
            <color theme="1"/>
            <rFont val="Aptos Narrow"/>
            <family val="2"/>
            <scheme val="minor"/>
          </rPr>
          <t xml:space="preserve">Unknown User:
SUPPLY &amp; INSTALLATION OF GAS STORAGE HOT WATER SYSTEM (EXTERNAL)
</t>
        </r>
      </text>
    </comment>
    <comment ref="J865" authorId="21" shapeId="0" xr:uid="{68CB3B02-D42C-46E8-B63A-020FFB113098}">
      <text>
        <r>
          <rPr>
            <sz val="11"/>
            <color theme="1"/>
            <rFont val="Aptos Narrow"/>
            <family val="2"/>
            <scheme val="minor"/>
          </rPr>
          <t xml:space="preserve">ZIP
</t>
        </r>
      </text>
    </comment>
    <comment ref="L865" authorId="1" shapeId="0" xr:uid="{E4CC8856-094F-4F4C-88F8-B9FCF55D8F3F}">
      <text>
        <r>
          <rPr>
            <sz val="11"/>
            <color theme="1"/>
            <rFont val="Aptos Narrow"/>
            <family val="2"/>
            <scheme val="minor"/>
          </rPr>
          <t>Unknown User:
Pipes are to be connected to Gas HWS.Pic not uploaded.
Temp check pending</t>
        </r>
      </text>
    </comment>
    <comment ref="G869" authorId="1" shapeId="0" xr:uid="{428896A1-944C-498E-B0C2-1A118AC10DD2}">
      <text>
        <r>
          <rPr>
            <sz val="11"/>
            <color theme="1"/>
            <rFont val="Aptos Narrow"/>
            <family val="2"/>
            <scheme val="minor"/>
          </rPr>
          <t>Unknown User:
SEARCH &amp; INVESTIGATION OF DOUBLE STOREY ROOF OF POTENTIAL LEAK</t>
        </r>
      </text>
    </comment>
    <comment ref="P869" authorId="1" shapeId="0" xr:uid="{B047A6C4-B776-4683-A206-3D13D6D218E2}">
      <text>
        <r>
          <rPr>
            <sz val="11"/>
            <color theme="1"/>
            <rFont val="Aptos Narrow"/>
            <family val="2"/>
            <scheme val="minor"/>
          </rPr>
          <t>Unknown User:
Quote not emailed</t>
        </r>
      </text>
    </comment>
    <comment ref="Q869" authorId="1" shapeId="0" xr:uid="{1C9A1B37-E474-4572-B82C-3E6B95DC1A7E}">
      <text>
        <r>
          <rPr>
            <sz val="11"/>
            <color theme="1"/>
            <rFont val="Aptos Narrow"/>
            <family val="2"/>
            <scheme val="minor"/>
          </rPr>
          <t>Unknown User:
Progress payment not updated in invoice.</t>
        </r>
      </text>
    </comment>
    <comment ref="R869" authorId="1" shapeId="0" xr:uid="{0F3AB8D6-D5FA-47CE-BA10-3FB3001EF8B4}">
      <text>
        <r>
          <rPr>
            <sz val="11"/>
            <color theme="1"/>
            <rFont val="Aptos Narrow"/>
            <family val="2"/>
            <scheme val="minor"/>
          </rPr>
          <t>Unknown User:
Invoice not Signed</t>
        </r>
      </text>
    </comment>
    <comment ref="G870" authorId="1" shapeId="0" xr:uid="{B0D01D33-8011-488C-B1DC-1A843B081897}">
      <text>
        <r>
          <rPr>
            <sz val="11"/>
            <color theme="1"/>
            <rFont val="Aptos Narrow"/>
            <family val="2"/>
            <scheme val="minor"/>
          </rPr>
          <t xml:space="preserve">Unknown User:
HIGH POWERED JET BLAST &amp; CCTV DRAIN CAMERA INSPECTION (SEWER SERVICE)
</t>
        </r>
      </text>
    </comment>
    <comment ref="R870" authorId="1" shapeId="0" xr:uid="{5FDAFB3B-DCCF-40B8-882E-7521E8F8FCE7}">
      <text>
        <r>
          <rPr>
            <sz val="11"/>
            <color theme="1"/>
            <rFont val="Aptos Narrow"/>
            <family val="2"/>
            <scheme val="minor"/>
          </rPr>
          <t>Unknown User:
Sign not obtained</t>
        </r>
      </text>
    </comment>
    <comment ref="G871" authorId="1" shapeId="0" xr:uid="{1AD7BB40-7C23-416B-95EC-7AEDB0E8790D}">
      <text>
        <r>
          <rPr>
            <sz val="11"/>
            <color theme="1"/>
            <rFont val="Aptos Narrow"/>
            <family val="2"/>
            <scheme val="minor"/>
          </rPr>
          <t>Unknown User:
HIGH POWERED JET BLAST &amp; CCTV DRAIN CAMERA INSPECTION (SEWER SERVICE)</t>
        </r>
      </text>
    </comment>
    <comment ref="Q871" authorId="1" shapeId="0" xr:uid="{12FF8246-8D3C-4280-8B1A-03F3D9E4215A}">
      <text>
        <r>
          <rPr>
            <sz val="11"/>
            <color theme="1"/>
            <rFont val="Aptos Narrow"/>
            <family val="2"/>
            <scheme val="minor"/>
          </rPr>
          <t>Unknown User:
Invoice not raised</t>
        </r>
      </text>
    </comment>
    <comment ref="G872" authorId="1" shapeId="0" xr:uid="{DAB28971-2925-45FA-A4C2-F269C51A7DFA}">
      <text>
        <r>
          <rPr>
            <sz val="11"/>
            <color theme="1"/>
            <rFont val="Aptos Narrow"/>
            <family val="2"/>
            <scheme val="minor"/>
          </rPr>
          <t>Unknown User:
SEWER SPOT DIG UP TO 1.5M - IN GROUND
CREDIT HIGH POWERED JETBLAST &amp; CCTV CAMERA
Good Will Discount</t>
        </r>
      </text>
    </comment>
    <comment ref="O872" authorId="1" shapeId="0" xr:uid="{B19249D6-4660-40E7-9904-58261FA1B7C0}">
      <text>
        <r>
          <rPr>
            <sz val="11"/>
            <color theme="1"/>
            <rFont val="Aptos Narrow"/>
            <family val="2"/>
            <scheme val="minor"/>
          </rPr>
          <t>Unknown User:
Quote not signed</t>
        </r>
      </text>
    </comment>
    <comment ref="D873" authorId="1" shapeId="0" xr:uid="{1503FB15-D7E4-43C7-A0B9-3658FA0BA265}">
      <text>
        <r>
          <rPr>
            <sz val="11"/>
            <color theme="1"/>
            <rFont val="Aptos Narrow"/>
            <family val="2"/>
            <scheme val="minor"/>
          </rPr>
          <t>Unknown User:
Quote duplicated</t>
        </r>
      </text>
    </comment>
    <comment ref="G873" authorId="1" shapeId="0" xr:uid="{9617B280-DEA3-4979-A8D9-28B62B24A567}">
      <text>
        <r>
          <rPr>
            <sz val="11"/>
            <color theme="1"/>
            <rFont val="Aptos Narrow"/>
            <family val="2"/>
            <scheme val="minor"/>
          </rPr>
          <t>Unknown User:
RELINE OF SEWER SERVICE UP TO 4M</t>
        </r>
      </text>
    </comment>
    <comment ref="G874" authorId="1" shapeId="0" xr:uid="{A853A3D1-E126-4BD6-AACD-3E29D3BFFA69}">
      <text>
        <r>
          <rPr>
            <sz val="11"/>
            <color theme="1"/>
            <rFont val="Aptos Narrow"/>
            <family val="2"/>
            <scheme val="minor"/>
          </rPr>
          <t>Unknown User:
GUTTER REPLACEMENT (UP TO 6M)</t>
        </r>
      </text>
    </comment>
    <comment ref="G875" authorId="1" shapeId="0" xr:uid="{FBB4E077-28E8-4A47-9B04-9C10724AE788}">
      <text>
        <r>
          <rPr>
            <sz val="11"/>
            <color theme="1"/>
            <rFont val="Aptos Narrow"/>
            <family val="2"/>
            <scheme val="minor"/>
          </rPr>
          <t>Unknown User:
REPLACEMENT OF SEWER SHAFT UP TO 2.5M (UNDER PAVERS)</t>
        </r>
      </text>
    </comment>
    <comment ref="N875" authorId="1" shapeId="0" xr:uid="{5B6CFFCA-464A-4E4C-BD5E-313575E8CCDE}">
      <text>
        <r>
          <rPr>
            <sz val="11"/>
            <color theme="1"/>
            <rFont val="Aptos Narrow"/>
            <family val="2"/>
            <scheme val="minor"/>
          </rPr>
          <t>Unknown User:
Quote not raised</t>
        </r>
      </text>
    </comment>
    <comment ref="V875" authorId="1" shapeId="0" xr:uid="{80E0C6E8-869E-4C06-8822-3A0F5E7EFE4E}">
      <text>
        <r>
          <rPr>
            <sz val="11"/>
            <color theme="1"/>
            <rFont val="Aptos Narrow"/>
            <family val="2"/>
            <scheme val="minor"/>
          </rPr>
          <t>Unknown User:
22/8 Received $17575.40 EFT</t>
        </r>
      </text>
    </comment>
    <comment ref="G876" authorId="1" shapeId="0" xr:uid="{66305EA3-BBC8-4F88-9848-226077CE0A93}">
      <text>
        <r>
          <rPr>
            <sz val="11"/>
            <color theme="1"/>
            <rFont val="Aptos Narrow"/>
            <family val="2"/>
            <scheme val="minor"/>
          </rPr>
          <t>Unknown User:
REPLACEMENT OF SEWER BOUNDARY TRAP</t>
        </r>
      </text>
    </comment>
    <comment ref="G877" authorId="1" shapeId="0" xr:uid="{4AB6FA8B-6F0D-46AA-BA12-0FBAE29082BA}">
      <text>
        <r>
          <rPr>
            <sz val="11"/>
            <color theme="1"/>
            <rFont val="Aptos Narrow"/>
            <family val="2"/>
            <scheme val="minor"/>
          </rPr>
          <t xml:space="preserve">Unknown User:
SUPPLY &amp; INSTALLATION OF NEW SINGLE ELEMENT HOT WATER UNIT – INTERNAL
</t>
        </r>
      </text>
    </comment>
    <comment ref="G881" authorId="1" shapeId="0" xr:uid="{CCC51523-472F-4941-ABF5-FCC8D7046E69}">
      <text>
        <r>
          <rPr>
            <sz val="11"/>
            <color theme="1"/>
            <rFont val="Aptos Narrow"/>
            <family val="2"/>
            <scheme val="minor"/>
          </rPr>
          <t>Unknown User:
STORM WATER SERVICE INSTALLATION UP TO 12M
10% Seniors &amp; Pensioners Discount</t>
        </r>
      </text>
    </comment>
    <comment ref="V881" authorId="1" shapeId="0" xr:uid="{67BD938D-73A1-4136-A882-E947B8DFEE34}">
      <text>
        <r>
          <rPr>
            <sz val="11"/>
            <color theme="1"/>
            <rFont val="Aptos Narrow"/>
            <family val="2"/>
            <scheme val="minor"/>
          </rPr>
          <t>Unknown User:
26/8-Received $5000 by Smartpay
10/9-Received $14187.86 by EFT</t>
        </r>
      </text>
    </comment>
    <comment ref="G882" authorId="1" shapeId="0" xr:uid="{9ED5F4E7-4556-4FDB-BD2B-6D729595EE90}">
      <text>
        <r>
          <rPr>
            <sz val="11"/>
            <color theme="1"/>
            <rFont val="Aptos Narrow"/>
            <family val="2"/>
            <scheme val="minor"/>
          </rPr>
          <t>Unknown User:
SPECIALIST LEAK DETECTION (WATER SERVICE)</t>
        </r>
      </text>
    </comment>
    <comment ref="G887" authorId="1" shapeId="0" xr:uid="{90B4AFB4-E190-4E98-B526-090CA7BE5AE2}">
      <text>
        <r>
          <rPr>
            <sz val="11"/>
            <color theme="1"/>
            <rFont val="Aptos Narrow"/>
            <family val="2"/>
            <scheme val="minor"/>
          </rPr>
          <t>Unknown User:
REPLACEMENT OF EXISTING OVERFLOW GULLY &amp; SECTION OF MAIN SEWER SERVICE (UNDER CONCRETE)</t>
        </r>
      </text>
    </comment>
    <comment ref="U887" authorId="1" shapeId="0" xr:uid="{7477CB06-B4D5-45EF-8B48-97B2CD520A23}">
      <text>
        <r>
          <rPr>
            <sz val="11"/>
            <color theme="1"/>
            <rFont val="Aptos Narrow"/>
            <family val="2"/>
            <scheme val="minor"/>
          </rPr>
          <t>Unknown User:
8/9-As per Wil's note "Called to cancel as the price is too high. He said he will pay for what is done but won't pay the rest. I will let DSR know"</t>
        </r>
      </text>
    </comment>
    <comment ref="G888" authorId="1" shapeId="0" xr:uid="{09948CC5-DB3E-4833-B0FF-0FC3F547ED05}">
      <text>
        <r>
          <rPr>
            <sz val="11"/>
            <color theme="1"/>
            <rFont val="Aptos Narrow"/>
            <family val="2"/>
            <scheme val="minor"/>
          </rPr>
          <t>Unknown User:
SPECIALIST GAS LEAK DETECTION</t>
        </r>
      </text>
    </comment>
    <comment ref="K888" authorId="1" shapeId="0" xr:uid="{2F5A14B0-642B-47E7-B489-85DB883C6C18}">
      <text>
        <r>
          <rPr>
            <sz val="11"/>
            <color theme="1"/>
            <rFont val="Aptos Narrow"/>
            <family val="2"/>
            <scheme val="minor"/>
          </rPr>
          <t xml:space="preserve">Unknown User:
Previous job images considered
</t>
        </r>
      </text>
    </comment>
    <comment ref="G889" authorId="1" shapeId="0" xr:uid="{2E24C8DB-0ED3-4360-ADA7-5B1F1E94C5C2}">
      <text>
        <r>
          <rPr>
            <sz val="11"/>
            <color theme="1"/>
            <rFont val="Aptos Narrow"/>
            <family val="2"/>
            <scheme val="minor"/>
          </rPr>
          <t>Unknown User:
WATER SERVICE RECTIFICATION (EXPOSED)</t>
        </r>
      </text>
    </comment>
    <comment ref="G890" authorId="1" shapeId="0" xr:uid="{BFC6840A-2A20-4B27-B751-098EF7E90899}">
      <text>
        <r>
          <rPr>
            <sz val="11"/>
            <color theme="1"/>
            <rFont val="Aptos Narrow"/>
            <family val="2"/>
            <scheme val="minor"/>
          </rPr>
          <t xml:space="preserve">Unknown User:
SEARCH AND INVESTIGATION OF GAS INSTANTANEOUS HOT WATER SYSTEM
</t>
        </r>
      </text>
    </comment>
    <comment ref="G891" authorId="1" shapeId="0" xr:uid="{CCF70A06-3777-46A4-8274-E029DF8CA4EC}">
      <text>
        <r>
          <rPr>
            <sz val="11"/>
            <color theme="1"/>
            <rFont val="Aptos Narrow"/>
            <family val="2"/>
            <scheme val="minor"/>
          </rPr>
          <t>Unknown User:
SEARCH &amp; INVESTIGATION OF POTENTIAL GAS LEAK</t>
        </r>
      </text>
    </comment>
    <comment ref="G893" authorId="1" shapeId="0" xr:uid="{4A592F44-DEC4-4964-80E6-436A6BD8C81C}">
      <text>
        <r>
          <rPr>
            <sz val="11"/>
            <color theme="1"/>
            <rFont val="Aptos Narrow"/>
            <family val="2"/>
            <scheme val="minor"/>
          </rPr>
          <t>Unknown User:
WATER SERVICE RECTIFICATION (EXPOSED)
10% Good Will Discount</t>
        </r>
      </text>
    </comment>
    <comment ref="G894" authorId="1" shapeId="0" xr:uid="{7C4887E6-95AE-46DC-BA0E-A8649700B38B}">
      <text>
        <r>
          <rPr>
            <sz val="11"/>
            <color theme="1"/>
            <rFont val="Aptos Narrow"/>
            <family val="2"/>
            <scheme val="minor"/>
          </rPr>
          <t>Unknown User:
SUPPLY &amp; INSTALLATION OF NEW INSTANTANEOUS GAS HOT WATER SYSTEM (EXTERNAL)
10% Good Will Discount</t>
        </r>
      </text>
    </comment>
    <comment ref="E915" authorId="30" shapeId="0" xr:uid="{D43AF4FE-7543-42A8-A5F3-9E591A9562A3}">
      <text>
        <t>[Threaded comment]
Your version of Excel allows you to read this threaded comment; however, any edits to it will get removed if the file is opened in a newer version of Excel. Learn more: https://go.microsoft.com/fwlink/?linkid=870924
Comment:
    Stock</t>
      </text>
    </comment>
    <comment ref="D927" authorId="1" shapeId="0" xr:uid="{73FF60B1-5387-4958-B862-D9719F3E4B73}">
      <text>
        <r>
          <rPr>
            <sz val="11"/>
            <color theme="1"/>
            <rFont val="Aptos Narrow"/>
            <family val="2"/>
            <scheme val="minor"/>
          </rPr>
          <t>Unknown User:
Previously under quote (Unsuccessful) on 12/9. Now quote accepted by customer on 15/9</t>
        </r>
      </text>
    </comment>
    <comment ref="G927" authorId="1" shapeId="0" xr:uid="{51803B58-1B04-4781-965A-E74BF22CAEEF}">
      <text>
        <r>
          <rPr>
            <sz val="11"/>
            <color theme="1"/>
            <rFont val="Aptos Narrow"/>
            <family val="2"/>
            <scheme val="minor"/>
          </rPr>
          <t>Unknown User:
SEARCH AND INVESTIGATION OF SOLAR SPLIT HOT WATER SYSTEM</t>
        </r>
      </text>
    </comment>
    <comment ref="S927" authorId="1" shapeId="0" xr:uid="{8D45EFE4-ADB3-4FC7-A106-5E5677E07C10}">
      <text>
        <r>
          <rPr>
            <sz val="11"/>
            <color theme="1"/>
            <rFont val="Aptos Narrow"/>
            <family val="2"/>
            <scheme val="minor"/>
          </rPr>
          <t>Unknown User:
Signed invoice not emailed</t>
        </r>
      </text>
    </comment>
    <comment ref="G928" authorId="1" shapeId="0" xr:uid="{1853B93F-6D35-40A6-BF33-5240BFE8DDD7}">
      <text>
        <r>
          <rPr>
            <sz val="11"/>
            <color theme="1"/>
            <rFont val="Aptos Narrow"/>
            <family val="2"/>
            <scheme val="minor"/>
          </rPr>
          <t xml:space="preserve">Unknown User:
REPLACEMENT OF SOLAR FROST VALVE
</t>
        </r>
      </text>
    </comment>
    <comment ref="G929" authorId="1" shapeId="0" xr:uid="{5DCB869F-E147-4847-984C-7E77667C34DD}">
      <text>
        <r>
          <rPr>
            <sz val="11"/>
            <color theme="1"/>
            <rFont val="Aptos Narrow"/>
            <family val="2"/>
            <scheme val="minor"/>
          </rPr>
          <t>Unknown User:
SUPPLY &amp; INSTALLATION OF GAS STORAGE HOT WATER SYSTEM (EXTERNAL)</t>
        </r>
      </text>
    </comment>
    <comment ref="Q929" authorId="1" shapeId="0" xr:uid="{46CC74C7-D29D-48FD-84E7-E60D77CB45F9}">
      <text>
        <r>
          <rPr>
            <sz val="11"/>
            <color theme="1"/>
            <rFont val="Aptos Narrow"/>
            <family val="2"/>
            <scheme val="minor"/>
          </rPr>
          <t>Unknown User:
Final zero due invoice not raised by the plumber</t>
        </r>
      </text>
    </comment>
    <comment ref="G930" authorId="1" shapeId="0" xr:uid="{EE21B58D-D6C2-49E5-B30C-9D61CAD73807}">
      <text>
        <r>
          <rPr>
            <sz val="11"/>
            <color theme="1"/>
            <rFont val="Aptos Narrow"/>
            <family val="2"/>
            <scheme val="minor"/>
          </rPr>
          <t>Unknown User:
REPLACEMENT OF TOILET PAN
$85 Off First Service</t>
        </r>
      </text>
    </comment>
    <comment ref="L930" authorId="1" shapeId="0" xr:uid="{7D4FD36B-6370-4592-B899-4CA715BA85AE}">
      <text>
        <r>
          <rPr>
            <sz val="11"/>
            <color theme="1"/>
            <rFont val="Aptos Narrow"/>
            <family val="2"/>
            <scheme val="minor"/>
          </rPr>
          <t>Unknown User:
Replaced pan pic not uploaded</t>
        </r>
      </text>
    </comment>
    <comment ref="G931" authorId="1" shapeId="0" xr:uid="{8B3F87DC-1E2C-47F5-A52D-5B986DE48BAD}">
      <text>
        <r>
          <rPr>
            <sz val="11"/>
            <color theme="1"/>
            <rFont val="Aptos Narrow"/>
            <family val="2"/>
            <scheme val="minor"/>
          </rPr>
          <t>Unknown User:
SEARCH &amp; INVESTIGATION OF GAS APPLIANCE</t>
        </r>
      </text>
    </comment>
    <comment ref="P931" authorId="1" shapeId="0" xr:uid="{815D5D3B-1243-41B4-98EC-5527B418E568}">
      <text>
        <r>
          <rPr>
            <sz val="11"/>
            <color theme="1"/>
            <rFont val="Aptos Narrow"/>
            <family val="2"/>
            <scheme val="minor"/>
          </rPr>
          <t>Unknown User:
Quote not emailed</t>
        </r>
      </text>
    </comment>
    <comment ref="S931" authorId="1" shapeId="0" xr:uid="{52D3EFD4-645D-44C2-A31B-6EE8B7393383}">
      <text>
        <r>
          <rPr>
            <sz val="11"/>
            <color theme="1"/>
            <rFont val="Aptos Narrow"/>
            <family val="2"/>
            <scheme val="minor"/>
          </rPr>
          <t>Unknown User:
Signed invoice not emailed</t>
        </r>
      </text>
    </comment>
    <comment ref="W931" authorId="1" shapeId="0" xr:uid="{EBE901ED-F3B7-418C-958E-E213CF8EAC9D}">
      <text>
        <r>
          <rPr>
            <sz val="11"/>
            <color theme="1"/>
            <rFont val="Aptos Narrow"/>
            <family val="2"/>
            <scheme val="minor"/>
          </rPr>
          <t>Unknown User:
Cash denomination
$100*12=$1200
$50*1=$50
Total cash=$1250
Excess receipt by $2.90</t>
        </r>
      </text>
    </comment>
    <comment ref="G932" authorId="1" shapeId="0" xr:uid="{5DB71A3A-B478-4190-BD6A-C9729A1DA7F7}">
      <text>
        <r>
          <rPr>
            <sz val="11"/>
            <color theme="1"/>
            <rFont val="Aptos Narrow"/>
            <family val="2"/>
            <scheme val="minor"/>
          </rPr>
          <t>Unknown User:
INSTALLATION OF NEW TOILET SEAT (CUSTOMER SUPPLIED)
$65 First Service Discount</t>
        </r>
      </text>
    </comment>
    <comment ref="G933" authorId="1" shapeId="0" xr:uid="{126CF41B-4ACE-4FAA-957C-B6CD9A81AD9E}">
      <text>
        <r>
          <rPr>
            <sz val="11"/>
            <color theme="1"/>
            <rFont val="Aptos Narrow"/>
            <family val="2"/>
            <scheme val="minor"/>
          </rPr>
          <t>Unknown User:
SEARCH &amp; INVESTIGATION OF GAS STORAGE HOT WATER SYSTEM
15% Seniors &amp; Pensioners Discount 
$65 First Service Discount</t>
        </r>
      </text>
    </comment>
    <comment ref="G934" authorId="1" shapeId="0" xr:uid="{C17FEA83-BE33-496F-BA80-2DC59E1CC5D2}">
      <text>
        <r>
          <rPr>
            <sz val="11"/>
            <color theme="1"/>
            <rFont val="Aptos Narrow"/>
            <family val="2"/>
            <scheme val="minor"/>
          </rPr>
          <t>Unknown User:
REPLACEMENT OF PLUG &amp; WASTE - 40MM</t>
        </r>
      </text>
    </comment>
    <comment ref="W934" authorId="1" shapeId="0" xr:uid="{59C5AFA8-EE95-4414-907E-8C8FD56E0E6E}">
      <text>
        <r>
          <rPr>
            <sz val="11"/>
            <color theme="1"/>
            <rFont val="Aptos Narrow"/>
            <family val="2"/>
            <scheme val="minor"/>
          </rPr>
          <t>Unknown User:
Cash denomination
$50*18=$900
$20*2=$40
$5*2=$10
Total cash=$950
Excess receipt by $2.90</t>
        </r>
      </text>
    </comment>
    <comment ref="G935" authorId="1" shapeId="0" xr:uid="{0FCDEA57-81D6-4979-B012-F18B97EE5295}">
      <text>
        <r>
          <rPr>
            <sz val="11"/>
            <color theme="1"/>
            <rFont val="Aptos Narrow"/>
            <family val="2"/>
            <scheme val="minor"/>
          </rPr>
          <t>Unknown User:
SEARCH &amp; INVESTIGATION (MINOR) - POTENTIAL WATER LEAK FROM UNKOWN LOCATION</t>
        </r>
      </text>
    </comment>
    <comment ref="M935" authorId="1" shapeId="0" xr:uid="{C1FA3FB4-75FB-45A7-A0D0-197B7D5785CB}">
      <text>
        <r>
          <rPr>
            <sz val="11"/>
            <color theme="1"/>
            <rFont val="Aptos Narrow"/>
            <family val="2"/>
            <scheme val="minor"/>
          </rPr>
          <t>Unknown User:
Smartpay receipt of $749.10 not uploaded by plumber.
Uploaded by Modoras team.</t>
        </r>
      </text>
    </comment>
    <comment ref="G936" authorId="1" shapeId="0" xr:uid="{C629098C-E49D-49F2-B91C-4B6348FCF5C1}">
      <text>
        <r>
          <rPr>
            <sz val="11"/>
            <color theme="1"/>
            <rFont val="Aptos Narrow"/>
            <family val="2"/>
            <scheme val="minor"/>
          </rPr>
          <t xml:space="preserve">Unknown User:
SEARCH &amp; INVESTIGATION OF GAS APPLIANCE
$85 Off First Service </t>
        </r>
      </text>
    </comment>
    <comment ref="G937" authorId="1" shapeId="0" xr:uid="{7416DD00-6F36-4B0F-BF99-0746AA8AA44A}">
      <text>
        <r>
          <rPr>
            <sz val="11"/>
            <color theme="1"/>
            <rFont val="Aptos Narrow"/>
            <family val="2"/>
            <scheme val="minor"/>
          </rPr>
          <t>Unknown User:
WATER SERVICE RECTIFICATION (EXPOSED)
10% Seniors &amp; Pensioners Discount
$65 First Service Discount</t>
        </r>
      </text>
    </comment>
    <comment ref="S937" authorId="1" shapeId="0" xr:uid="{067B763C-822C-4E2D-83B0-04DEE2B7EEF5}">
      <text>
        <r>
          <rPr>
            <sz val="11"/>
            <color theme="1"/>
            <rFont val="Aptos Narrow"/>
            <family val="2"/>
            <scheme val="minor"/>
          </rPr>
          <t>Unknown User:
Signed invoice not emailed</t>
        </r>
      </text>
    </comment>
    <comment ref="G942" authorId="1" shapeId="0" xr:uid="{7B9F858E-8D06-4ADB-A21A-E70C9092C8DC}">
      <text>
        <r>
          <rPr>
            <sz val="11"/>
            <color theme="1"/>
            <rFont val="Aptos Narrow"/>
            <family val="2"/>
            <scheme val="minor"/>
          </rPr>
          <t>Unknown User:
SUPPLY &amp; INSTALLATION OF GAS COOKTOP
10% Seniors &amp; Pensioners Discount</t>
        </r>
      </text>
    </comment>
    <comment ref="W942" authorId="1" shapeId="0" xr:uid="{D5CCAC1B-FC06-489A-B112-3487CB1FE8EA}">
      <text>
        <r>
          <rPr>
            <sz val="11"/>
            <color theme="1"/>
            <rFont val="Aptos Narrow"/>
            <family val="2"/>
            <scheme val="minor"/>
          </rPr>
          <t xml:space="preserve">Unknown User:
Cash denomination
$100*4=$400
$50*9=$450
Cash is updated as split payment in invoice tab. Unable to edit.
</t>
        </r>
      </text>
    </comment>
    <comment ref="G943" authorId="1" shapeId="0" xr:uid="{CBB3ECC5-EF9B-493C-8005-869699627054}">
      <text>
        <r>
          <rPr>
            <sz val="11"/>
            <color theme="1"/>
            <rFont val="Aptos Narrow"/>
            <family val="2"/>
            <scheme val="minor"/>
          </rPr>
          <t>Unknown User:
HIGH POWERED JET BLAST &amp; CCTV DRAIN CAMERA INSPECTION (SEWER SERVICE)</t>
        </r>
      </text>
    </comment>
    <comment ref="S943" authorId="1" shapeId="0" xr:uid="{BDDE093A-44E3-470F-A112-CCBC6D9805BB}">
      <text>
        <r>
          <rPr>
            <sz val="11"/>
            <color theme="1"/>
            <rFont val="Aptos Narrow"/>
            <family val="2"/>
            <scheme val="minor"/>
          </rPr>
          <t>Unknown User:
Signed invoice not emailed</t>
        </r>
      </text>
    </comment>
    <comment ref="G947" authorId="1" shapeId="0" xr:uid="{C2627E66-ECE0-4A3F-A138-60CF5B3315A6}">
      <text>
        <r>
          <rPr>
            <sz val="11"/>
            <color theme="1"/>
            <rFont val="Aptos Narrow"/>
            <family val="2"/>
            <scheme val="minor"/>
          </rPr>
          <t>Unknown User:
SUPPLY &amp; INSTALLATION OF GAS STORAGE HOT WATER SYSTEM (EXTERNAL)</t>
        </r>
      </text>
    </comment>
    <comment ref="V947" authorId="1" shapeId="0" xr:uid="{88B1A3CA-0F4F-4F61-B806-371003D75E91}">
      <text>
        <r>
          <rPr>
            <sz val="11"/>
            <color theme="1"/>
            <rFont val="Aptos Narrow"/>
            <family val="2"/>
            <scheme val="minor"/>
          </rPr>
          <t>Unknown User:
22/9-Received $200 by Smartpay</t>
        </r>
      </text>
    </comment>
    <comment ref="G951" authorId="1" shapeId="0" xr:uid="{14C64ABE-4F52-4E35-B881-258FF9B68071}">
      <text>
        <r>
          <rPr>
            <sz val="11"/>
            <color theme="1"/>
            <rFont val="Aptos Narrow"/>
            <family val="2"/>
            <scheme val="minor"/>
          </rPr>
          <t>Unknown User:
SEARCH &amp; INVESTIGATION OF DOUBLE STOREY ROOF OF POTENTIAL LEAK</t>
        </r>
      </text>
    </comment>
    <comment ref="P951" authorId="1" shapeId="0" xr:uid="{9D19B90E-3EAE-4084-9EFB-3EC8E6869885}">
      <text>
        <r>
          <rPr>
            <sz val="11"/>
            <color theme="1"/>
            <rFont val="Aptos Narrow"/>
            <family val="2"/>
            <scheme val="minor"/>
          </rPr>
          <t>Unknown User:
Quote not emailed</t>
        </r>
      </text>
    </comment>
    <comment ref="Q951" authorId="1" shapeId="0" xr:uid="{400D7785-9573-4D8A-9DEB-CD259BBDB965}">
      <text>
        <r>
          <rPr>
            <sz val="11"/>
            <color theme="1"/>
            <rFont val="Aptos Narrow"/>
            <family val="2"/>
            <scheme val="minor"/>
          </rPr>
          <t>Unknown User:
Progress payment not updated in invoice.</t>
        </r>
      </text>
    </comment>
    <comment ref="R951" authorId="1" shapeId="0" xr:uid="{9E400E89-391C-423B-B19A-56E2957655C5}">
      <text>
        <r>
          <rPr>
            <sz val="11"/>
            <color theme="1"/>
            <rFont val="Aptos Narrow"/>
            <family val="2"/>
            <scheme val="minor"/>
          </rPr>
          <t>Unknown User:
Invoice not Signed</t>
        </r>
      </text>
    </comment>
    <comment ref="G952" authorId="1" shapeId="0" xr:uid="{3241530A-0C73-4794-9251-757429E67170}">
      <text>
        <r>
          <rPr>
            <sz val="11"/>
            <color theme="1"/>
            <rFont val="Aptos Narrow"/>
            <family val="2"/>
            <scheme val="minor"/>
          </rPr>
          <t xml:space="preserve">Unknown User:
HIGH POWERED JET BLAST &amp; CCTV DRAIN CAMERA INSPECTION (SEWER SERVICE)
</t>
        </r>
      </text>
    </comment>
    <comment ref="R952" authorId="1" shapeId="0" xr:uid="{2C65D73C-C105-4C1B-860E-E92E84BB0AA5}">
      <text>
        <r>
          <rPr>
            <sz val="11"/>
            <color theme="1"/>
            <rFont val="Aptos Narrow"/>
            <family val="2"/>
            <scheme val="minor"/>
          </rPr>
          <t>Unknown User:
Sign not obtained</t>
        </r>
      </text>
    </comment>
    <comment ref="G953" authorId="1" shapeId="0" xr:uid="{52F70D4D-4E7B-4D41-9412-4696C41F9292}">
      <text>
        <r>
          <rPr>
            <sz val="11"/>
            <color theme="1"/>
            <rFont val="Aptos Narrow"/>
            <family val="2"/>
            <scheme val="minor"/>
          </rPr>
          <t>Unknown User:
HIGH POWERED JET BLAST &amp; CCTV DRAIN CAMERA INSPECTION (SEWER SERVICE)</t>
        </r>
      </text>
    </comment>
    <comment ref="Q953" authorId="1" shapeId="0" xr:uid="{3FF50F78-E6D5-4FD5-910B-F002EC146953}">
      <text>
        <r>
          <rPr>
            <sz val="11"/>
            <color theme="1"/>
            <rFont val="Aptos Narrow"/>
            <family val="2"/>
            <scheme val="minor"/>
          </rPr>
          <t>Unknown User:
Invoice not raised</t>
        </r>
      </text>
    </comment>
    <comment ref="G954" authorId="1" shapeId="0" xr:uid="{E1A9D18C-1AFA-4A91-B938-514724ECA7B2}">
      <text>
        <r>
          <rPr>
            <sz val="11"/>
            <color theme="1"/>
            <rFont val="Aptos Narrow"/>
            <family val="2"/>
            <scheme val="minor"/>
          </rPr>
          <t>Unknown User:
SEWER SPOT DIG UP TO 1.5M - IN GROUND
CREDIT HIGH POWERED JETBLAST &amp; CCTV CAMERA
Good Will Discount</t>
        </r>
      </text>
    </comment>
    <comment ref="O954" authorId="1" shapeId="0" xr:uid="{22CDC38F-0B94-4BAF-AD64-BD645B8FADF7}">
      <text>
        <r>
          <rPr>
            <sz val="11"/>
            <color theme="1"/>
            <rFont val="Aptos Narrow"/>
            <family val="2"/>
            <scheme val="minor"/>
          </rPr>
          <t>Unknown User:
Quote not signed</t>
        </r>
      </text>
    </comment>
    <comment ref="D955" authorId="1" shapeId="0" xr:uid="{2770DA7C-6C76-4C43-A35D-3EB7D8C1F37A}">
      <text>
        <r>
          <rPr>
            <sz val="11"/>
            <color theme="1"/>
            <rFont val="Aptos Narrow"/>
            <family val="2"/>
            <scheme val="minor"/>
          </rPr>
          <t>Unknown User:
Quote duplicated</t>
        </r>
      </text>
    </comment>
    <comment ref="G955" authorId="1" shapeId="0" xr:uid="{CF96CCC2-1DEF-4440-A65E-69850C06B3A6}">
      <text>
        <r>
          <rPr>
            <sz val="11"/>
            <color theme="1"/>
            <rFont val="Aptos Narrow"/>
            <family val="2"/>
            <scheme val="minor"/>
          </rPr>
          <t>Unknown User:
RELINE OF SEWER SERVICE UP TO 4M</t>
        </r>
      </text>
    </comment>
    <comment ref="G956" authorId="1" shapeId="0" xr:uid="{10288EF4-4FEA-4761-B0FF-CEADA89139A1}">
      <text>
        <r>
          <rPr>
            <sz val="11"/>
            <color theme="1"/>
            <rFont val="Aptos Narrow"/>
            <family val="2"/>
            <scheme val="minor"/>
          </rPr>
          <t>Unknown User:
GUTTER REPLACEMENT (UP TO 6M)</t>
        </r>
      </text>
    </comment>
    <comment ref="G957" authorId="1" shapeId="0" xr:uid="{8F1A6F16-5379-43EF-95CB-B2278F02D324}">
      <text>
        <r>
          <rPr>
            <sz val="11"/>
            <color theme="1"/>
            <rFont val="Aptos Narrow"/>
            <family val="2"/>
            <scheme val="minor"/>
          </rPr>
          <t>Unknown User:
REPLACEMENT OF SEWER SHAFT UP TO 2.5M (UNDER PAVERS)</t>
        </r>
      </text>
    </comment>
    <comment ref="N957" authorId="1" shapeId="0" xr:uid="{A661D453-C0F1-4EF8-87D9-ACE307E4F2CE}">
      <text>
        <r>
          <rPr>
            <sz val="11"/>
            <color theme="1"/>
            <rFont val="Aptos Narrow"/>
            <family val="2"/>
            <scheme val="minor"/>
          </rPr>
          <t>Unknown User:
Quote not raised</t>
        </r>
      </text>
    </comment>
    <comment ref="V957" authorId="1" shapeId="0" xr:uid="{3D0F2009-7A15-4112-8EBD-114D1E2B193E}">
      <text>
        <r>
          <rPr>
            <sz val="11"/>
            <color theme="1"/>
            <rFont val="Aptos Narrow"/>
            <family val="2"/>
            <scheme val="minor"/>
          </rPr>
          <t>Unknown User:
22/8 Received $17575.40 EFT</t>
        </r>
      </text>
    </comment>
    <comment ref="G958" authorId="1" shapeId="0" xr:uid="{59BFAB37-381D-4DA1-B404-F214A430C3F2}">
      <text>
        <r>
          <rPr>
            <sz val="11"/>
            <color theme="1"/>
            <rFont val="Aptos Narrow"/>
            <family val="2"/>
            <scheme val="minor"/>
          </rPr>
          <t>Unknown User:
REPLACEMENT OF SEWER BOUNDARY TRAP</t>
        </r>
      </text>
    </comment>
    <comment ref="G959" authorId="1" shapeId="0" xr:uid="{80FEE871-7932-4957-A8E0-E4FFCB9D2912}">
      <text>
        <r>
          <rPr>
            <sz val="11"/>
            <color theme="1"/>
            <rFont val="Aptos Narrow"/>
            <family val="2"/>
            <scheme val="minor"/>
          </rPr>
          <t xml:space="preserve">Unknown User:
SUPPLY &amp; INSTALLATION OF NEW SINGLE ELEMENT HOT WATER UNIT – INTERNAL
</t>
        </r>
      </text>
    </comment>
    <comment ref="G960" authorId="1" shapeId="0" xr:uid="{ACEB0B9B-8965-4E97-9315-684057F0921B}">
      <text>
        <r>
          <rPr>
            <sz val="11"/>
            <color theme="1"/>
            <rFont val="Aptos Narrow"/>
            <family val="2"/>
            <scheme val="minor"/>
          </rPr>
          <t>Unknown User:
SUPPLY &amp; INSTALLATION OF NEW SKEW TOILET SUITE</t>
        </r>
      </text>
    </comment>
    <comment ref="S960" authorId="1" shapeId="0" xr:uid="{20E56B6F-5199-4F67-B692-EFF189CB8CD4}">
      <text>
        <r>
          <rPr>
            <sz val="11"/>
            <color theme="1"/>
            <rFont val="Aptos Narrow"/>
            <family val="2"/>
            <scheme val="minor"/>
          </rPr>
          <t>Unknown User:
Signed invoice not emailed</t>
        </r>
      </text>
    </comment>
    <comment ref="T960" authorId="1" shapeId="0" xr:uid="{5FC068A9-D0B7-429F-B5DB-BF364285CCF1}">
      <text>
        <r>
          <rPr>
            <sz val="11"/>
            <color theme="1"/>
            <rFont val="Aptos Narrow"/>
            <family val="2"/>
            <scheme val="minor"/>
          </rPr>
          <t>Unknown User:
0.5x Harrison</t>
        </r>
      </text>
    </comment>
    <comment ref="U960" authorId="1" shapeId="0" xr:uid="{AF9322EB-5859-45BB-8029-1AAABDDBE3EF}">
      <text>
        <r>
          <rPr>
            <sz val="11"/>
            <color theme="1"/>
            <rFont val="Aptos Narrow"/>
            <family val="2"/>
            <scheme val="minor"/>
          </rPr>
          <t>Unknown User:
8/9-As per Jack's note "Cistern and seat installed and tested for leaks. No leaks present. Attempted to collect a progress payment from client however she is unwilling to pay until the new parts are installed. Have advised her that the office will be in contact to re book once the new parts are in."
8/9-As per Tolga's note "Ordered new skew toilet from St kikda reece they will notify me when its ready
Client not happy with the one that was purchased
Jack to install flush pipe amd cistern for current one amd then we will come back to install new one"</t>
        </r>
      </text>
    </comment>
    <comment ref="G964" authorId="1" shapeId="0" xr:uid="{53E98881-2D08-4ED4-A6F3-36C0D58C19AA}">
      <text>
        <r>
          <rPr>
            <sz val="11"/>
            <color theme="1"/>
            <rFont val="Aptos Narrow"/>
            <family val="2"/>
            <scheme val="minor"/>
          </rPr>
          <t>Unknown User:
STORM WATER SERVICE INSTALLATION UP TO 12M
10% Seniors &amp; Pensioners Discount</t>
        </r>
      </text>
    </comment>
    <comment ref="V964" authorId="1" shapeId="0" xr:uid="{DC96D154-5672-4385-BC89-AF4DE6A4635F}">
      <text>
        <r>
          <rPr>
            <sz val="11"/>
            <color theme="1"/>
            <rFont val="Aptos Narrow"/>
            <family val="2"/>
            <scheme val="minor"/>
          </rPr>
          <t>Unknown User:
26/8-Received $5000 by Smartpay
10/9-Received $14187.86 by EFT</t>
        </r>
      </text>
    </comment>
    <comment ref="G965" authorId="1" shapeId="0" xr:uid="{957797F6-72EE-48A4-9859-AC2CAF88CB09}">
      <text>
        <r>
          <rPr>
            <sz val="11"/>
            <color theme="1"/>
            <rFont val="Aptos Narrow"/>
            <family val="2"/>
            <scheme val="minor"/>
          </rPr>
          <t>Unknown User:
SPECIALIST LEAK DETECTION (WATER SERVICE)</t>
        </r>
      </text>
    </comment>
    <comment ref="G966" authorId="1" shapeId="0" xr:uid="{23E9EDDF-91FA-44DE-B354-3CADF5A88A7D}">
      <text>
        <r>
          <rPr>
            <sz val="11"/>
            <color theme="1"/>
            <rFont val="Aptos Narrow"/>
            <family val="2"/>
            <scheme val="minor"/>
          </rPr>
          <t xml:space="preserve">Unknown User:
SUPPLY &amp; INSTALLATION OF GAS STORAGE HOT WATER SYSTEM (EXTERNAL)
</t>
        </r>
      </text>
    </comment>
    <comment ref="J966" authorId="21" shapeId="0" xr:uid="{250ABD7E-B4C2-4B5F-879C-E2FFF80A9044}">
      <text>
        <r>
          <rPr>
            <sz val="11"/>
            <color theme="1"/>
            <rFont val="Aptos Narrow"/>
            <family val="2"/>
            <scheme val="minor"/>
          </rPr>
          <t xml:space="preserve">ZIP
</t>
        </r>
      </text>
    </comment>
    <comment ref="L966" authorId="1" shapeId="0" xr:uid="{CB4BB0CA-957E-4E48-A11C-62DA0665D73D}">
      <text>
        <r>
          <rPr>
            <sz val="11"/>
            <color theme="1"/>
            <rFont val="Aptos Narrow"/>
            <family val="2"/>
            <scheme val="minor"/>
          </rPr>
          <t>Unknown User:
Pipes are to be connected to Gas HWS.Pic not uploaded.
Temp check pending</t>
        </r>
      </text>
    </comment>
    <comment ref="G970" authorId="1" shapeId="0" xr:uid="{607994D1-C3B8-4D72-AC10-9EB8165C4E86}">
      <text>
        <r>
          <rPr>
            <sz val="11"/>
            <color theme="1"/>
            <rFont val="Aptos Narrow"/>
            <family val="2"/>
            <scheme val="minor"/>
          </rPr>
          <t xml:space="preserve">Unknown User:
SUPPLY &amp; INSTALLATION OF GAS STORAGE HOT WATER SYSTEM (INTERNAL)
</t>
        </r>
      </text>
    </comment>
    <comment ref="G971" authorId="1" shapeId="0" xr:uid="{77F44C1A-520A-4E24-8AB9-37D3B162BA5D}">
      <text>
        <r>
          <rPr>
            <sz val="11"/>
            <color theme="1"/>
            <rFont val="Aptos Narrow"/>
            <family val="2"/>
            <scheme val="minor"/>
          </rPr>
          <t xml:space="preserve">Unknown User:
INSTALLATION OF NEW OUTDOOR BBQ SINK (CUSTOMER SUPPLIED)
</t>
        </r>
      </text>
    </comment>
    <comment ref="G972" authorId="1" shapeId="0" xr:uid="{124A43B1-D21C-4D5F-8515-3549F439A279}">
      <text>
        <r>
          <rPr>
            <sz val="11"/>
            <color theme="1"/>
            <rFont val="Aptos Narrow"/>
            <family val="2"/>
            <scheme val="minor"/>
          </rPr>
          <t>Unknown User:
SUPPLY &amp; INSTALLATION OF NEW CLOSE COUPLED TOILET SUITE
10% Good Will Discount</t>
        </r>
      </text>
    </comment>
    <comment ref="G973" authorId="1" shapeId="0" xr:uid="{D48F98C5-14E6-4D07-91A6-B92555B311F3}">
      <text>
        <r>
          <rPr>
            <sz val="11"/>
            <color theme="1"/>
            <rFont val="Aptos Narrow"/>
            <family val="2"/>
            <scheme val="minor"/>
          </rPr>
          <t>Unknown User:
REPLACEMENT OF WALL TOP TAPWARE
10% Good Will Discount</t>
        </r>
      </text>
    </comment>
    <comment ref="G974" authorId="1" shapeId="0" xr:uid="{47C42E26-3A80-48B5-BB6B-C647CE0A28C7}">
      <text>
        <r>
          <rPr>
            <sz val="11"/>
            <color theme="1"/>
            <rFont val="Aptos Narrow"/>
            <family val="2"/>
            <scheme val="minor"/>
          </rPr>
          <t xml:space="preserve">Unknown User:
SUPPLY &amp; INSTALLATION OF NEW LINK SUITE
10% Seniors &amp; Pensioners Discount
</t>
        </r>
      </text>
    </comment>
    <comment ref="G975" authorId="1" shapeId="0" xr:uid="{9CC3E800-8F2E-45AB-8A0C-ADFC2982C82E}">
      <text>
        <r>
          <rPr>
            <sz val="11"/>
            <color theme="1"/>
            <rFont val="Aptos Narrow"/>
            <family val="2"/>
            <scheme val="minor"/>
          </rPr>
          <t>Unknown User:
SUPPLY &amp; INSTALLATION OF NEW WALL FACED TOILET SUITE
10% Good Will Discount</t>
        </r>
      </text>
    </comment>
    <comment ref="G978" authorId="1" shapeId="0" xr:uid="{498E62BA-998C-4A9F-90F5-AEEE6E67FB65}">
      <text>
        <r>
          <rPr>
            <sz val="11"/>
            <color theme="1"/>
            <rFont val="Aptos Narrow"/>
            <family val="2"/>
            <scheme val="minor"/>
          </rPr>
          <t xml:space="preserve">Unknown User:
CONVERT GAS INSTANTANEOUS HOT WATER UNIT TO ELECTRIC STORAGE TANK MADE BY RHEEM
</t>
        </r>
      </text>
    </comment>
    <comment ref="D979" authorId="1" shapeId="0" xr:uid="{E586A5BB-2996-498F-9AA9-6CC04E8FF2CD}">
      <text>
        <r>
          <rPr>
            <sz val="11"/>
            <color theme="1"/>
            <rFont val="Aptos Narrow"/>
            <family val="2"/>
            <scheme val="minor"/>
          </rPr>
          <t>Unknown User:
Previously under "Quote" (Unsuccessful) under Liam's sheet.
Tenant approved booking on Wednesday (17/9) by phone call.</t>
        </r>
      </text>
    </comment>
    <comment ref="G979" authorId="1" shapeId="0" xr:uid="{9111E9CF-18C8-40B4-AB93-D872ADBB4BC8}">
      <text>
        <r>
          <rPr>
            <sz val="11"/>
            <color theme="1"/>
            <rFont val="Aptos Narrow"/>
            <family val="2"/>
            <scheme val="minor"/>
          </rPr>
          <t>Unknown User:
SUPPLY &amp; INSTALLATION OF NEW WALL FACED TOILET SUITE</t>
        </r>
      </text>
    </comment>
    <comment ref="G980" authorId="1" shapeId="0" xr:uid="{A56CC9F5-1FBD-4FA6-87C4-C1155DD6C7B2}">
      <text>
        <r>
          <rPr>
            <sz val="11"/>
            <color theme="1"/>
            <rFont val="Aptos Narrow"/>
            <family val="2"/>
            <scheme val="minor"/>
          </rPr>
          <t>Unknown User:
BATHROOM ROUGH IN</t>
        </r>
      </text>
    </comment>
    <comment ref="G981" authorId="1" shapeId="0" xr:uid="{E2C8C37E-B3E4-4049-8F3B-14CDFB288A1C}">
      <text>
        <r>
          <rPr>
            <sz val="11"/>
            <color theme="1"/>
            <rFont val="Aptos Narrow"/>
            <family val="2"/>
            <scheme val="minor"/>
          </rPr>
          <t>Unknown User:
HIGH POWERED JET BLAST &amp; CCTV DRAIN CAMERA INSPECTION (SEWER SERVICE)</t>
        </r>
      </text>
    </comment>
    <comment ref="G982" authorId="1" shapeId="0" xr:uid="{5873A3A8-DC05-4C24-A79E-1A4D7290DD0B}">
      <text>
        <r>
          <rPr>
            <sz val="11"/>
            <color theme="1"/>
            <rFont val="Aptos Narrow"/>
            <family val="2"/>
            <scheme val="minor"/>
          </rPr>
          <t>Unknown User:
SEWER SPOT DIG (UNDER CONCRETE)</t>
        </r>
      </text>
    </comment>
    <comment ref="G983" authorId="1" shapeId="0" xr:uid="{D3D18E99-76B7-4A95-AF2C-0BB6AEA596AC}">
      <text>
        <r>
          <rPr>
            <sz val="11"/>
            <color theme="1"/>
            <rFont val="Aptos Narrow"/>
            <family val="2"/>
            <scheme val="minor"/>
          </rPr>
          <t>Unknown User:
SEARCH &amp; INVESTIGATION OF SOLAR CLOSE COUPLED HOT WATER SYSTEM
$85 Off First Service</t>
        </r>
      </text>
    </comment>
    <comment ref="G984" authorId="1" shapeId="0" xr:uid="{082C2F41-0B5D-4E26-93D9-41A583777793}">
      <text>
        <r>
          <rPr>
            <sz val="11"/>
            <color theme="1"/>
            <rFont val="Aptos Narrow"/>
            <family val="2"/>
            <scheme val="minor"/>
          </rPr>
          <t xml:space="preserve">Unknown User:
INSTALLATION OF LPG GAS FIRE PLACEMENT OF [SAME LOCATION] (CUSTOMER SUPPLIED)
</t>
        </r>
      </text>
    </comment>
    <comment ref="K984" authorId="1" shapeId="0" xr:uid="{BCD1627C-973A-40FF-8BC6-DBD05670B34A}">
      <text>
        <r>
          <rPr>
            <sz val="11"/>
            <color theme="1"/>
            <rFont val="Aptos Narrow"/>
            <family val="2"/>
            <scheme val="minor"/>
          </rPr>
          <t>Unknown User:
Previous Job #73457 images considered.</t>
        </r>
      </text>
    </comment>
    <comment ref="G985" authorId="1" shapeId="0" xr:uid="{EE2CAFE1-7402-4DA7-8857-105CD17E5821}">
      <text>
        <r>
          <rPr>
            <sz val="11"/>
            <color theme="1"/>
            <rFont val="Aptos Narrow"/>
            <family val="2"/>
            <scheme val="minor"/>
          </rPr>
          <t>Unknown User:
WATER SERVICE RECTIFICATION (EXPOSED)
10% Good Will Discount</t>
        </r>
      </text>
    </comment>
    <comment ref="E1006" authorId="31" shapeId="0" xr:uid="{C167E409-548C-415F-9280-BED3D7D6EC47}">
      <text>
        <t>[Threaded comment]
Your version of Excel allows you to read this threaded comment; however, any edits to it will get removed if the file is opened in a newer version of Excel. Learn more: https://go.microsoft.com/fwlink/?linkid=870924
Comment:
    Checked</t>
      </text>
    </comment>
    <comment ref="G1018" authorId="1" shapeId="0" xr:uid="{B1001688-82A2-4DB3-81E3-7BE877979A32}">
      <text>
        <r>
          <rPr>
            <sz val="11"/>
            <color theme="1"/>
            <rFont val="Aptos Narrow"/>
            <family val="2"/>
            <scheme val="minor"/>
          </rPr>
          <t>Unknown User:
HIGH POWERED JET BLAST &amp; CCTV DRAIN CAMERA INSPECTION (SEWER SERVICE)</t>
        </r>
      </text>
    </comment>
    <comment ref="G1019" authorId="1" shapeId="0" xr:uid="{86E77BC8-FFAE-4B24-8679-6C64D7E88DA9}">
      <text>
        <r>
          <rPr>
            <sz val="11"/>
            <color theme="1"/>
            <rFont val="Aptos Narrow"/>
            <family val="2"/>
            <scheme val="minor"/>
          </rPr>
          <t>Unknown User:
SUPPLY &amp; INSTALLATION OF NEW WALL FACED TOILET SUITE
10% Seniors &amp; Pensioners Discount</t>
        </r>
      </text>
    </comment>
    <comment ref="U1019" authorId="1" shapeId="0" xr:uid="{79B56A93-E37F-4055-906A-462666C9F6C7}">
      <text>
        <r>
          <rPr>
            <sz val="11"/>
            <color theme="1"/>
            <rFont val="Aptos Narrow"/>
            <family val="2"/>
            <scheme val="minor"/>
          </rPr>
          <t>Unknown User:
22/9-As per Riley's note "Packet on front can not be moved to blind side as the lip and level of tiles is slightly different and causes toilet to wabble"</t>
        </r>
      </text>
    </comment>
    <comment ref="G1020" authorId="1" shapeId="0" xr:uid="{4CF3E472-C5BB-4768-A5A0-33ABD2273963}">
      <text>
        <r>
          <rPr>
            <sz val="11"/>
            <color theme="1"/>
            <rFont val="Aptos Narrow"/>
            <family val="2"/>
            <scheme val="minor"/>
          </rPr>
          <t>Unknown User:
REPLACEMENT OF WALL TOP TAPWARE
$85 Off First Service</t>
        </r>
      </text>
    </comment>
    <comment ref="G1021" authorId="1" shapeId="0" xr:uid="{0C188DA0-BE1E-40CB-8E93-176C53AF642E}">
      <text>
        <r>
          <rPr>
            <sz val="11"/>
            <color theme="1"/>
            <rFont val="Aptos Narrow"/>
            <family val="2"/>
            <scheme val="minor"/>
          </rPr>
          <t>Unknown User:
INSTALLATION OF NEW LINK SUITE
10% Seniors &amp; Pensioners Discount</t>
        </r>
      </text>
    </comment>
    <comment ref="Q1021" authorId="1" shapeId="0" xr:uid="{D73F9ECA-3E9A-49A6-8DFC-B60DC0A7B2D0}">
      <text>
        <r>
          <rPr>
            <sz val="11"/>
            <color theme="1"/>
            <rFont val="Aptos Narrow"/>
            <family val="2"/>
            <scheme val="minor"/>
          </rPr>
          <t>Unknown User:
Final invoice not raised, signed &amp; emailed</t>
        </r>
      </text>
    </comment>
    <comment ref="G1022" authorId="1" shapeId="0" xr:uid="{6AC83478-749E-463A-8A7C-4F6200DE7462}">
      <text>
        <r>
          <rPr>
            <sz val="11"/>
            <color theme="1"/>
            <rFont val="Aptos Narrow"/>
            <family val="2"/>
            <scheme val="minor"/>
          </rPr>
          <t>Unknown User:
Gain access to main gas meter
Isolate main gas supply to property
10% Good Will Discount</t>
        </r>
      </text>
    </comment>
    <comment ref="G1023" authorId="1" shapeId="0" xr:uid="{3E5322F2-B5A0-41D5-A28F-0606CD1071A6}">
      <text>
        <r>
          <rPr>
            <sz val="11"/>
            <color theme="1"/>
            <rFont val="Aptos Narrow"/>
            <family val="2"/>
            <scheme val="minor"/>
          </rPr>
          <t>Unknown User:
HIGH POWERED JET BLAST &amp; CCTV DRAIN CAMERA INSPECTION (SEWER SERVICE)</t>
        </r>
      </text>
    </comment>
    <comment ref="L1023" authorId="1" shapeId="0" xr:uid="{A7C94B96-9CA5-4173-A17D-ED5A86A5EC65}">
      <text>
        <r>
          <rPr>
            <sz val="11"/>
            <color theme="1"/>
            <rFont val="Aptos Narrow"/>
            <family val="2"/>
            <scheme val="minor"/>
          </rPr>
          <t>Unknown User:
Jetblast &amp; CCTV pics not uploaded.</t>
        </r>
      </text>
    </comment>
    <comment ref="M1023" authorId="1" shapeId="0" xr:uid="{8F741DE2-6135-4F4C-986A-72F9281EE4DA}">
      <text>
        <r>
          <rPr>
            <sz val="11"/>
            <color theme="1"/>
            <rFont val="Aptos Narrow"/>
            <family val="2"/>
            <scheme val="minor"/>
          </rPr>
          <t>Unknown User:
Smartpay receipt of $150 not uploaded by plumber.
Uploaded by Modoras team.</t>
        </r>
      </text>
    </comment>
    <comment ref="S1023" authorId="1" shapeId="0" xr:uid="{EF33F5F3-AA54-4907-82DB-A33B7EC741C6}">
      <text>
        <r>
          <rPr>
            <sz val="11"/>
            <color theme="1"/>
            <rFont val="Aptos Narrow"/>
            <family val="2"/>
            <scheme val="minor"/>
          </rPr>
          <t>Unknown User:
Signed invoice not emailed.</t>
        </r>
      </text>
    </comment>
    <comment ref="G1024" authorId="1" shapeId="0" xr:uid="{927A3760-E523-4EF0-87CB-F9C533A876A9}">
      <text>
        <r>
          <rPr>
            <sz val="11"/>
            <color theme="1"/>
            <rFont val="Aptos Narrow"/>
            <family val="2"/>
            <scheme val="minor"/>
          </rPr>
          <t>Unknown User:
SEARCH AND INVESTIGATION OF ELECTRIC STORAGE HOT WATER SYSTEM</t>
        </r>
      </text>
    </comment>
    <comment ref="G1025" authorId="1" shapeId="0" xr:uid="{ADAD4EF8-7EE7-449B-B5FB-A4AF5B938688}">
      <text>
        <r>
          <rPr>
            <sz val="11"/>
            <color theme="1"/>
            <rFont val="Aptos Narrow"/>
            <family val="2"/>
            <scheme val="minor"/>
          </rPr>
          <t>Unknown User:
SUPPLY &amp; INSTALLATION OF NEW LINK SUITE
10% Good Will Discount</t>
        </r>
      </text>
    </comment>
    <comment ref="P1025" authorId="1" shapeId="0" xr:uid="{474B2C28-67F0-47AF-B45A-3031FCA98997}">
      <text>
        <r>
          <rPr>
            <sz val="11"/>
            <color theme="1"/>
            <rFont val="Aptos Narrow"/>
            <family val="2"/>
            <scheme val="minor"/>
          </rPr>
          <t>Unknown User:
Quote not emailed</t>
        </r>
      </text>
    </comment>
    <comment ref="S1025" authorId="1" shapeId="0" xr:uid="{9EFD550D-559B-4486-BB87-F4C1D012F20D}">
      <text>
        <r>
          <rPr>
            <sz val="11"/>
            <color theme="1"/>
            <rFont val="Aptos Narrow"/>
            <family val="2"/>
            <scheme val="minor"/>
          </rPr>
          <t>Unknown User:
Invoice not emailed</t>
        </r>
      </text>
    </comment>
    <comment ref="T1025" authorId="1" shapeId="0" xr:uid="{3B894F86-7B7B-49CA-929A-363DDE65FCFA}">
      <text>
        <r>
          <rPr>
            <sz val="11"/>
            <color theme="1"/>
            <rFont val="Aptos Narrow"/>
            <family val="2"/>
            <scheme val="minor"/>
          </rPr>
          <t>Unknown User:
1x Product review
1x Trust pilot review</t>
        </r>
      </text>
    </comment>
    <comment ref="G1030" authorId="1" shapeId="0" xr:uid="{0F247FDA-6591-4B03-8F1B-666035649FD5}">
      <text>
        <r>
          <rPr>
            <sz val="11"/>
            <color theme="1"/>
            <rFont val="Aptos Narrow"/>
            <family val="2"/>
            <scheme val="minor"/>
          </rPr>
          <t>Unknown User:
REPLACEMENT OF EXISTING OVERFLOW GULLY &amp; SECTION OF MAIN SEWER SERVICE (UNDER CONCRETE)</t>
        </r>
      </text>
    </comment>
    <comment ref="Q1030" authorId="1" shapeId="0" xr:uid="{53BECF0A-D0A8-4B34-94AF-0E5B32B29B58}">
      <text>
        <r>
          <rPr>
            <sz val="11"/>
            <color theme="1"/>
            <rFont val="Aptos Narrow"/>
            <family val="2"/>
            <scheme val="minor"/>
          </rPr>
          <t xml:space="preserve">Unknown User:
Progress invoice for $10000 is not raised </t>
        </r>
      </text>
    </comment>
    <comment ref="V1030" authorId="1" shapeId="0" xr:uid="{C92E79A2-98DB-460F-9A42-088DC0EE8FF9}">
      <text>
        <r>
          <rPr>
            <sz val="11"/>
            <color theme="1"/>
            <rFont val="Aptos Narrow"/>
            <family val="2"/>
            <scheme val="minor"/>
          </rPr>
          <t>Unknown User:
1/10-Received $3017.70 by Podium.</t>
        </r>
      </text>
    </comment>
    <comment ref="A1034" authorId="32" shapeId="0" xr:uid="{EB54CCA6-E4E9-4B8B-9956-F7535289DBD6}">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034" authorId="1" shapeId="0" xr:uid="{E27C07F8-EC9A-409F-BFC6-66D6833017E2}">
      <text>
        <r>
          <rPr>
            <sz val="11"/>
            <color theme="1"/>
            <rFont val="Aptos Narrow"/>
            <family val="2"/>
            <scheme val="minor"/>
          </rPr>
          <t>Unknown User:
SEARCH &amp; INVESTIGATION OF DOUBLE STOREY ROOF OF POTENTIAL LEAK</t>
        </r>
      </text>
    </comment>
    <comment ref="P1034" authorId="1" shapeId="0" xr:uid="{05C1AB64-DCE5-4528-B520-E26B4508EA51}">
      <text>
        <r>
          <rPr>
            <sz val="11"/>
            <color theme="1"/>
            <rFont val="Aptos Narrow"/>
            <family val="2"/>
            <scheme val="minor"/>
          </rPr>
          <t>Unknown User:
Quote not emailed</t>
        </r>
      </text>
    </comment>
    <comment ref="Q1034" authorId="1" shapeId="0" xr:uid="{E49E51EE-01DA-48C9-879E-35ACDF8B9801}">
      <text>
        <r>
          <rPr>
            <sz val="11"/>
            <color theme="1"/>
            <rFont val="Aptos Narrow"/>
            <family val="2"/>
            <scheme val="minor"/>
          </rPr>
          <t>Unknown User:
Progress payment not updated in invoice.</t>
        </r>
      </text>
    </comment>
    <comment ref="R1034" authorId="1" shapeId="0" xr:uid="{C7CC24D2-51CE-4961-B099-8FF3097610F8}">
      <text>
        <r>
          <rPr>
            <sz val="11"/>
            <color theme="1"/>
            <rFont val="Aptos Narrow"/>
            <family val="2"/>
            <scheme val="minor"/>
          </rPr>
          <t>Unknown User:
Invoice not Signed</t>
        </r>
      </text>
    </comment>
    <comment ref="G1035" authorId="1" shapeId="0" xr:uid="{2D625DFF-1140-48C7-8FCC-4E96BAFF09A9}">
      <text>
        <r>
          <rPr>
            <sz val="11"/>
            <color theme="1"/>
            <rFont val="Aptos Narrow"/>
            <family val="2"/>
            <scheme val="minor"/>
          </rPr>
          <t xml:space="preserve">Unknown User:
HIGH POWERED JET BLAST &amp; CCTV DRAIN CAMERA INSPECTION (SEWER SERVICE)
</t>
        </r>
      </text>
    </comment>
    <comment ref="R1035" authorId="1" shapeId="0" xr:uid="{0F5ADE28-4455-4A54-BE52-8CA479750093}">
      <text>
        <r>
          <rPr>
            <sz val="11"/>
            <color theme="1"/>
            <rFont val="Aptos Narrow"/>
            <family val="2"/>
            <scheme val="minor"/>
          </rPr>
          <t>Unknown User:
Sign not obtained</t>
        </r>
      </text>
    </comment>
    <comment ref="G1036" authorId="1" shapeId="0" xr:uid="{0C484673-EA12-45DF-939F-03F9BB4955DA}">
      <text>
        <r>
          <rPr>
            <sz val="11"/>
            <color theme="1"/>
            <rFont val="Aptos Narrow"/>
            <family val="2"/>
            <scheme val="minor"/>
          </rPr>
          <t>Unknown User:
HIGH POWERED JET BLAST &amp; CCTV DRAIN CAMERA INSPECTION (SEWER SERVICE)</t>
        </r>
      </text>
    </comment>
    <comment ref="Q1036" authorId="1" shapeId="0" xr:uid="{0953A4FD-EFA6-432A-8ECE-90201D880F01}">
      <text>
        <r>
          <rPr>
            <sz val="11"/>
            <color theme="1"/>
            <rFont val="Aptos Narrow"/>
            <family val="2"/>
            <scheme val="minor"/>
          </rPr>
          <t>Unknown User:
Invoice not raised</t>
        </r>
      </text>
    </comment>
    <comment ref="G1037" authorId="1" shapeId="0" xr:uid="{5529E1D9-BCA9-4291-96AB-9633C20C184C}">
      <text>
        <r>
          <rPr>
            <sz val="11"/>
            <color theme="1"/>
            <rFont val="Aptos Narrow"/>
            <family val="2"/>
            <scheme val="minor"/>
          </rPr>
          <t>Unknown User:
SEWER SPOT DIG UP TO 1.5M - IN GROUND
CREDIT HIGH POWERED JETBLAST &amp; CCTV CAMERA
Good Will Discount</t>
        </r>
      </text>
    </comment>
    <comment ref="O1037" authorId="1" shapeId="0" xr:uid="{3A6D8D49-7E1A-42E1-9349-A35415916C7A}">
      <text>
        <r>
          <rPr>
            <sz val="11"/>
            <color theme="1"/>
            <rFont val="Aptos Narrow"/>
            <family val="2"/>
            <scheme val="minor"/>
          </rPr>
          <t>Unknown User:
Quote not signed</t>
        </r>
      </text>
    </comment>
    <comment ref="D1038" authorId="1" shapeId="0" xr:uid="{10510469-CFBD-4B94-9071-EB0E1898B67A}">
      <text>
        <r>
          <rPr>
            <sz val="11"/>
            <color theme="1"/>
            <rFont val="Aptos Narrow"/>
            <family val="2"/>
            <scheme val="minor"/>
          </rPr>
          <t>Unknown User:
Quote duplicated</t>
        </r>
      </text>
    </comment>
    <comment ref="G1038" authorId="1" shapeId="0" xr:uid="{18358270-1D3A-48E4-8280-9A641261B4A8}">
      <text>
        <r>
          <rPr>
            <sz val="11"/>
            <color theme="1"/>
            <rFont val="Aptos Narrow"/>
            <family val="2"/>
            <scheme val="minor"/>
          </rPr>
          <t>Unknown User:
RELINE OF SEWER SERVICE UP TO 4M</t>
        </r>
      </text>
    </comment>
    <comment ref="G1039" authorId="1" shapeId="0" xr:uid="{E756E0D8-C76A-4A20-BF5C-404FCE1DA159}">
      <text>
        <r>
          <rPr>
            <sz val="11"/>
            <color theme="1"/>
            <rFont val="Aptos Narrow"/>
            <family val="2"/>
            <scheme val="minor"/>
          </rPr>
          <t>Unknown User:
GUTTER REPLACEMENT (UP TO 6M)</t>
        </r>
      </text>
    </comment>
    <comment ref="G1040" authorId="1" shapeId="0" xr:uid="{BCAEEF7A-5AEC-4152-9F04-FD165E556418}">
      <text>
        <r>
          <rPr>
            <sz val="11"/>
            <color theme="1"/>
            <rFont val="Aptos Narrow"/>
            <family val="2"/>
            <scheme val="minor"/>
          </rPr>
          <t>Unknown User:
REPLACEMENT OF SEWER SHAFT UP TO 2.5M (UNDER PAVERS)</t>
        </r>
      </text>
    </comment>
    <comment ref="N1040" authorId="1" shapeId="0" xr:uid="{59097F88-7435-46B1-81AC-661409B4CCD0}">
      <text>
        <r>
          <rPr>
            <sz val="11"/>
            <color theme="1"/>
            <rFont val="Aptos Narrow"/>
            <family val="2"/>
            <scheme val="minor"/>
          </rPr>
          <t>Unknown User:
Quote not raised</t>
        </r>
      </text>
    </comment>
    <comment ref="V1040" authorId="1" shapeId="0" xr:uid="{3321568F-C705-455E-B83B-BB66CA99C857}">
      <text>
        <r>
          <rPr>
            <sz val="11"/>
            <color theme="1"/>
            <rFont val="Aptos Narrow"/>
            <family val="2"/>
            <scheme val="minor"/>
          </rPr>
          <t>Unknown User:
22/8 Received $17575.40 EFT</t>
        </r>
      </text>
    </comment>
    <comment ref="G1041" authorId="1" shapeId="0" xr:uid="{7DA0CE46-4AFC-45B9-9D9E-16F463DA17C0}">
      <text>
        <r>
          <rPr>
            <sz val="11"/>
            <color theme="1"/>
            <rFont val="Aptos Narrow"/>
            <family val="2"/>
            <scheme val="minor"/>
          </rPr>
          <t>Unknown User:
STORM WATER SERVICE INSTALLATION UP TO 12M
10% Seniors &amp; Pensioners Discount</t>
        </r>
      </text>
    </comment>
    <comment ref="V1041" authorId="1" shapeId="0" xr:uid="{E11C294C-4AE3-4E37-8277-9E94565E1A1B}">
      <text>
        <r>
          <rPr>
            <sz val="11"/>
            <color theme="1"/>
            <rFont val="Aptos Narrow"/>
            <family val="2"/>
            <scheme val="minor"/>
          </rPr>
          <t>Unknown User:
26/8-Received $5000 by Smartpay
10/9-Received $14187.86 by EFT</t>
        </r>
      </text>
    </comment>
    <comment ref="G1042" authorId="1" shapeId="0" xr:uid="{E067FA4E-3790-4062-94B5-CBAF073D8321}">
      <text>
        <r>
          <rPr>
            <sz val="11"/>
            <color theme="1"/>
            <rFont val="Aptos Narrow"/>
            <family val="2"/>
            <scheme val="minor"/>
          </rPr>
          <t>Unknown User:
REPLACEMENT OF SEWER BOUNDARY TRAP</t>
        </r>
      </text>
    </comment>
    <comment ref="G1043" authorId="1" shapeId="0" xr:uid="{25C125A3-9819-45E2-B799-83140DE063ED}">
      <text>
        <r>
          <rPr>
            <sz val="11"/>
            <color theme="1"/>
            <rFont val="Aptos Narrow"/>
            <family val="2"/>
            <scheme val="minor"/>
          </rPr>
          <t xml:space="preserve">Unknown User:
SUPPLY &amp; INSTALLATION OF NEW SINGLE ELEMENT HOT WATER UNIT – INTERNAL
</t>
        </r>
      </text>
    </comment>
    <comment ref="G1044" authorId="1" shapeId="0" xr:uid="{6D34CF01-7A97-45ED-8017-3841EB106BFD}">
      <text>
        <r>
          <rPr>
            <sz val="11"/>
            <color theme="1"/>
            <rFont val="Aptos Narrow"/>
            <family val="2"/>
            <scheme val="minor"/>
          </rPr>
          <t>Unknown User:
SUPPLY &amp; INSTALLATION OF NEW SKEW TOILET SUITE</t>
        </r>
      </text>
    </comment>
    <comment ref="S1044" authorId="1" shapeId="0" xr:uid="{43A19393-3848-4B39-BBFD-7AF235EC107B}">
      <text>
        <r>
          <rPr>
            <sz val="11"/>
            <color theme="1"/>
            <rFont val="Aptos Narrow"/>
            <family val="2"/>
            <scheme val="minor"/>
          </rPr>
          <t>Unknown User:
Signed invoice not emailed</t>
        </r>
      </text>
    </comment>
    <comment ref="T1044" authorId="1" shapeId="0" xr:uid="{E8C73CCA-F641-487A-8AA3-24F9E4458515}">
      <text>
        <r>
          <rPr>
            <sz val="11"/>
            <color theme="1"/>
            <rFont val="Aptos Narrow"/>
            <family val="2"/>
            <scheme val="minor"/>
          </rPr>
          <t>Unknown User:
0.5x Harrison</t>
        </r>
      </text>
    </comment>
    <comment ref="U1044" authorId="1" shapeId="0" xr:uid="{8969502F-E205-4D50-9ACE-78DAF53F3948}">
      <text>
        <r>
          <rPr>
            <sz val="11"/>
            <color theme="1"/>
            <rFont val="Aptos Narrow"/>
            <family val="2"/>
            <scheme val="minor"/>
          </rPr>
          <t>Unknown User:
8/9-As per Jack's note "Cistern and seat installed and tested for leaks. No leaks present. Attempted to collect a progress payment from client however she is unwilling to pay until the new parts are installed. Have advised her that the office will be in contact to re book once the new parts are in."
8/9-As per Tolga's note "Ordered new skew toilet from St kikda reece they will notify me when its ready
Client not happy with the one that was purchased
Jack to install flush pipe amd cistern for current one amd then we will come back to install new one"</t>
        </r>
      </text>
    </comment>
    <comment ref="G1045" authorId="1" shapeId="0" xr:uid="{17A5DB44-535E-4E48-A512-210E77D51CAF}">
      <text>
        <r>
          <rPr>
            <sz val="11"/>
            <color theme="1"/>
            <rFont val="Aptos Narrow"/>
            <family val="2"/>
            <scheme val="minor"/>
          </rPr>
          <t>Unknown User:
SUPPLY &amp; INSTALLATION OF GAS COOKTOP
10% Seniors &amp; Pensioners Discount</t>
        </r>
      </text>
    </comment>
    <comment ref="W1045" authorId="1" shapeId="0" xr:uid="{FD94C749-DA0B-40A4-8FBC-EB21943D6C89}">
      <text>
        <r>
          <rPr>
            <sz val="11"/>
            <color theme="1"/>
            <rFont val="Aptos Narrow"/>
            <family val="2"/>
            <scheme val="minor"/>
          </rPr>
          <t xml:space="preserve">Unknown User:
Cash denomination
$100*4=$400
$50*9=$450
Cash is updated as split payment in invoice tab. Unable to edit.
</t>
        </r>
      </text>
    </comment>
    <comment ref="A1046" authorId="33" shapeId="0" xr:uid="{9E1B1DEA-D477-41F7-9D18-2B1F473D6383}">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046" authorId="1" shapeId="0" xr:uid="{9138C4BD-13AF-4E4F-B269-E0EBE38AB807}">
      <text>
        <r>
          <rPr>
            <sz val="11"/>
            <color theme="1"/>
            <rFont val="Aptos Narrow"/>
            <family val="2"/>
            <scheme val="minor"/>
          </rPr>
          <t>Unknown User:
HIGH POWERED JET BLAST &amp; CCTV DRAIN CAMERA INSPECTION (SEWER SERVICE)</t>
        </r>
      </text>
    </comment>
    <comment ref="S1046" authorId="1" shapeId="0" xr:uid="{34732FDC-A76C-4F5E-9461-341E6ED5DB75}">
      <text>
        <r>
          <rPr>
            <sz val="11"/>
            <color theme="1"/>
            <rFont val="Aptos Narrow"/>
            <family val="2"/>
            <scheme val="minor"/>
          </rPr>
          <t>Unknown User:
Signed invoice not emailed</t>
        </r>
      </text>
    </comment>
    <comment ref="A1047" authorId="34" shapeId="0" xr:uid="{BD5BE7C7-A6A5-41DD-A18D-DF7DDF3F5AB9}">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047" authorId="1" shapeId="0" xr:uid="{03F64FAC-3FF5-415E-B676-257DCF53AFAC}">
      <text>
        <r>
          <rPr>
            <sz val="11"/>
            <color theme="1"/>
            <rFont val="Aptos Narrow"/>
            <family val="2"/>
            <scheme val="minor"/>
          </rPr>
          <t>Unknown User:
SUPPLY &amp; INSTALLATION OF GAS STORAGE HOT WATER SYSTEM (EXTERNAL)</t>
        </r>
      </text>
    </comment>
    <comment ref="V1047" authorId="1" shapeId="0" xr:uid="{B8F03DCE-6FB0-4C3C-9399-1FF0F97CBB66}">
      <text>
        <r>
          <rPr>
            <sz val="11"/>
            <color theme="1"/>
            <rFont val="Aptos Narrow"/>
            <family val="2"/>
            <scheme val="minor"/>
          </rPr>
          <t>Unknown User:
22/9-Received $200 by Smartpay</t>
        </r>
      </text>
    </comment>
    <comment ref="G1051" authorId="1" shapeId="0" xr:uid="{A0C0A401-5B27-46AD-8E5A-7ECDCEEFCAA0}">
      <text>
        <r>
          <rPr>
            <sz val="11"/>
            <color theme="1"/>
            <rFont val="Aptos Narrow"/>
            <family val="2"/>
            <scheme val="minor"/>
          </rPr>
          <t>Unknown User:
SPECIALIST LEAK DETECTION (WATER SERVICE)</t>
        </r>
      </text>
    </comment>
    <comment ref="G1052" authorId="1" shapeId="0" xr:uid="{8E1A3C22-C072-422F-81B8-A3F06685785D}">
      <text>
        <r>
          <rPr>
            <sz val="11"/>
            <color theme="1"/>
            <rFont val="Aptos Narrow"/>
            <family val="2"/>
            <scheme val="minor"/>
          </rPr>
          <t xml:space="preserve">Unknown User:
SUPPLY &amp; INSTALLATION OF GAS STORAGE HOT WATER SYSTEM (EXTERNAL)
</t>
        </r>
      </text>
    </comment>
    <comment ref="J1052" authorId="21" shapeId="0" xr:uid="{F2BA5DA0-C050-4118-A2C2-580EDD94A26A}">
      <text>
        <r>
          <rPr>
            <sz val="11"/>
            <color theme="1"/>
            <rFont val="Aptos Narrow"/>
            <family val="2"/>
            <scheme val="minor"/>
          </rPr>
          <t xml:space="preserve">ZIP
</t>
        </r>
      </text>
    </comment>
    <comment ref="L1052" authorId="1" shapeId="0" xr:uid="{7AC869CD-8FB5-4A9E-97AF-8A61CAFF87DD}">
      <text>
        <r>
          <rPr>
            <sz val="11"/>
            <color theme="1"/>
            <rFont val="Aptos Narrow"/>
            <family val="2"/>
            <scheme val="minor"/>
          </rPr>
          <t>Unknown User:
Pipes are to be connected to Gas HWS.Pic not uploaded.
Temp check pending</t>
        </r>
      </text>
    </comment>
    <comment ref="G1057" authorId="1" shapeId="0" xr:uid="{4C146E00-5720-4763-A39F-DB6D0D607BB4}">
      <text>
        <r>
          <rPr>
            <sz val="11"/>
            <color theme="1"/>
            <rFont val="Aptos Narrow"/>
            <family val="2"/>
            <scheme val="minor"/>
          </rPr>
          <t>Unknown User:
HIGH POWERED JET BLAST &amp; CCTV DRAIN CAMERA INSPECTION (SEWER SERVICE)</t>
        </r>
      </text>
    </comment>
    <comment ref="G1058" authorId="1" shapeId="0" xr:uid="{DF4CF3B1-61F4-40C6-9DDE-F51A727FA4A9}">
      <text>
        <r>
          <rPr>
            <sz val="11"/>
            <color theme="1"/>
            <rFont val="Aptos Narrow"/>
            <family val="2"/>
            <scheme val="minor"/>
          </rPr>
          <t xml:space="preserve">Unknown User:
SUPPLY &amp; INSTALLATION OF NEW LINK SUITE
</t>
        </r>
      </text>
    </comment>
    <comment ref="G1059" authorId="1" shapeId="0" xr:uid="{272B6727-91C0-4C1C-B9F8-3199213C6BC0}">
      <text>
        <r>
          <rPr>
            <sz val="11"/>
            <color theme="1"/>
            <rFont val="Aptos Narrow"/>
            <family val="2"/>
            <scheme val="minor"/>
          </rPr>
          <t>Unknown User:
SUPPLY &amp; INSTALLATION OF NEW SINGLE ELEMENT HOT WATER UNIT – INTERNAL
CREDIT OF SEARCH &amp; INVESTIGATION</t>
        </r>
      </text>
    </comment>
    <comment ref="K1059" authorId="1" shapeId="0" xr:uid="{9D8A78FB-70A2-4444-8969-BB01DCED1171}">
      <text>
        <r>
          <rPr>
            <sz val="11"/>
            <color theme="1"/>
            <rFont val="Aptos Narrow"/>
            <family val="2"/>
            <scheme val="minor"/>
          </rPr>
          <t>Unknown User:
Previous job #73509 images considered</t>
        </r>
      </text>
    </comment>
    <comment ref="E1081" authorId="35" shapeId="0" xr:uid="{0F397FB4-4614-499E-AA86-1EB8C882F268}">
      <text>
        <t>[Threaded comment]
Your version of Excel allows you to read this threaded comment; however, any edits to it will get removed if the file is opened in a newer version of Excel. Learn more: https://go.microsoft.com/fwlink/?linkid=870924
Comment:
    Stock</t>
      </text>
    </comment>
    <comment ref="E1082" authorId="36" shapeId="0" xr:uid="{5248493A-8D0A-4793-9C2E-6E2B30455E2B}">
      <text>
        <t>[Threaded comment]
Your version of Excel allows you to read this threaded comment; however, any edits to it will get removed if the file is opened in a newer version of Excel. Learn more: https://go.microsoft.com/fwlink/?linkid=870924
Comment:
    Stock</t>
      </text>
    </comment>
    <comment ref="G1093" authorId="1" shapeId="0" xr:uid="{AA245E70-DF59-4BBA-88E4-69BF49C31CE4}">
      <text>
        <r>
          <rPr>
            <sz val="11"/>
            <color theme="1"/>
            <rFont val="Aptos Narrow"/>
            <family val="2"/>
            <scheme val="minor"/>
          </rPr>
          <t>Unknown User:
SEARCH &amp; INVESTIGATION OF DOUBLE STOREY ROOF OF POTENTIAL LEAK</t>
        </r>
      </text>
    </comment>
    <comment ref="M1093" authorId="1" shapeId="0" xr:uid="{BADBE818-04C7-4144-B707-120681914526}">
      <text>
        <r>
          <rPr>
            <sz val="11"/>
            <color theme="1"/>
            <rFont val="Aptos Narrow"/>
            <family val="2"/>
            <scheme val="minor"/>
          </rPr>
          <t>Unknown User:
Smartpay receipt of $1500 not uploaded by plumber.
Uploaded by Modoras team</t>
        </r>
      </text>
    </comment>
    <comment ref="G1094" authorId="1" shapeId="0" xr:uid="{9E66EA82-E47A-42E0-833E-5E5F03CB4905}">
      <text>
        <r>
          <rPr>
            <sz val="11"/>
            <color theme="1"/>
            <rFont val="Aptos Narrow"/>
            <family val="2"/>
            <scheme val="minor"/>
          </rPr>
          <t>Unknown User:
SEARCH AND INVESTIGATION OF ELECTRIC STORAGE HOT WATER SYSTEM</t>
        </r>
      </text>
    </comment>
    <comment ref="M1094" authorId="1" shapeId="0" xr:uid="{94678320-C2BF-4454-9359-BA1E8F0DAB6C}">
      <text>
        <r>
          <rPr>
            <sz val="11"/>
            <color theme="1"/>
            <rFont val="Aptos Narrow"/>
            <family val="2"/>
            <scheme val="minor"/>
          </rPr>
          <t>Unknown User:
Smartpay receipt of $749.1 not uploaded by plumber.
Uploaded by Modoras team</t>
        </r>
      </text>
    </comment>
    <comment ref="G1095" authorId="1" shapeId="0" xr:uid="{DEB45F41-B09A-49AE-AFCC-971F8554D76D}">
      <text>
        <r>
          <rPr>
            <sz val="11"/>
            <color theme="1"/>
            <rFont val="Aptos Narrow"/>
            <family val="2"/>
            <scheme val="minor"/>
          </rPr>
          <t>Unknown User:
Gain access to main gas meter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Gain access to existing gas service
Supply &amp; install new b-press cap to existing gas connection  
Make safe
Use of a specialist crimping tool
Reinstate main gas supply to the property
Conduct a manometer test on the main gas service upon completion of the installation to ensure there are no leaks
Test &amp; commission the installation
Removal of all trade waste
PLEASE NOTE IF FURTHER WORK REQUIRED OTHER THEN QUOTED WORK FURTHER COST WILL APPLY</t>
        </r>
      </text>
    </comment>
    <comment ref="G1096" authorId="1" shapeId="0" xr:uid="{1875DB44-275B-43FE-8B68-1B7BE97A5DF8}">
      <text>
        <r>
          <rPr>
            <sz val="11"/>
            <color theme="1"/>
            <rFont val="Aptos Narrow"/>
            <family val="2"/>
            <scheme val="minor"/>
          </rPr>
          <t>Unknown User:
SUPPLY &amp; INSTALLATION OF NEW CLOSE COUPLED TOILET SUITE</t>
        </r>
      </text>
    </comment>
    <comment ref="G1097" authorId="1" shapeId="0" xr:uid="{82A37715-4EEF-461B-8281-9E5640EA3EBD}">
      <text>
        <r>
          <rPr>
            <sz val="11"/>
            <color theme="1"/>
            <rFont val="Aptos Narrow"/>
            <family val="2"/>
            <scheme val="minor"/>
          </rPr>
          <t>Unknown User:
WATER SERVICE RECTIFICATION (IN WALL)
10% Seniors &amp; Pensioners Discount</t>
        </r>
      </text>
    </comment>
    <comment ref="S1097" authorId="1" shapeId="0" xr:uid="{4C4139CF-02C7-403D-8D84-E0824E2A78EA}">
      <text>
        <r>
          <rPr>
            <sz val="11"/>
            <color theme="1"/>
            <rFont val="Aptos Narrow"/>
            <family val="2"/>
            <scheme val="minor"/>
          </rPr>
          <t>Unknown User:
Signed invoice not emailed</t>
        </r>
      </text>
    </comment>
    <comment ref="G1098" authorId="1" shapeId="0" xr:uid="{DDF968DE-8677-4F97-B4E7-926ECE2D6E5E}">
      <text>
        <r>
          <rPr>
            <sz val="11"/>
            <color theme="1"/>
            <rFont val="Aptos Narrow"/>
            <family val="2"/>
            <scheme val="minor"/>
          </rPr>
          <t>Unknown User:
SEARCH AND INVESTIGATION OF ELECTRIC STORAGE HOT WATER SYSTEM</t>
        </r>
      </text>
    </comment>
    <comment ref="G1099" authorId="1" shapeId="0" xr:uid="{5049D535-A8B0-4DE2-A16D-6026A8AA9A16}">
      <text>
        <r>
          <rPr>
            <sz val="11"/>
            <color theme="1"/>
            <rFont val="Aptos Narrow"/>
            <family val="2"/>
            <scheme val="minor"/>
          </rPr>
          <t>Unknown User:
HIGH POWERED JET BLAST &amp; CCTV DRAIN CAMERA INSPECTION (SEWER SERVICE)</t>
        </r>
      </text>
    </comment>
    <comment ref="G1100" authorId="1" shapeId="0" xr:uid="{2576317F-C323-454F-BE50-6B5F0B5C7026}">
      <text>
        <r>
          <rPr>
            <sz val="11"/>
            <color theme="1"/>
            <rFont val="Aptos Narrow"/>
            <family val="2"/>
            <scheme val="minor"/>
          </rPr>
          <t>Unknown User:
SEARCH &amp; INVESTIGATION OF GAS STORAGE HOT WATER SYSTEM</t>
        </r>
      </text>
    </comment>
    <comment ref="G1101" authorId="1" shapeId="0" xr:uid="{C8F500DF-6795-4483-BA7E-7081BB178ADA}">
      <text>
        <r>
          <rPr>
            <sz val="11"/>
            <color theme="1"/>
            <rFont val="Aptos Narrow"/>
            <family val="2"/>
            <scheme val="minor"/>
          </rPr>
          <t>Unknown User:
REPLACEMENT OF EXISTING GOOSE NECK KITCHEN MIXER</t>
        </r>
      </text>
    </comment>
    <comment ref="T1101" authorId="1" shapeId="0" xr:uid="{12656591-D55E-4DB8-BB8A-4A7F386A86B0}">
      <text>
        <r>
          <rPr>
            <sz val="11"/>
            <color theme="1"/>
            <rFont val="Aptos Narrow"/>
            <family val="2"/>
            <scheme val="minor"/>
          </rPr>
          <t>Unknown User:
1x Trustpilot 
1x Product review (Review pending)-Office to confirm</t>
        </r>
      </text>
    </comment>
    <comment ref="G1102" authorId="1" shapeId="0" xr:uid="{270F4DF3-00AB-477E-9C06-02202CA815A4}">
      <text>
        <r>
          <rPr>
            <sz val="11"/>
            <color theme="1"/>
            <rFont val="Aptos Narrow"/>
            <family val="2"/>
            <scheme val="minor"/>
          </rPr>
          <t xml:space="preserve">Unknown User:
INSTALLATION OF BASIN MIXER WITH NEW MIXER (CUSTOMER SUPPLIED)
</t>
        </r>
      </text>
    </comment>
    <comment ref="G1103" authorId="1" shapeId="0" xr:uid="{A31C8B6D-E415-453D-9CA9-03718A987493}">
      <text>
        <r>
          <rPr>
            <sz val="11"/>
            <color theme="1"/>
            <rFont val="Aptos Narrow"/>
            <family val="2"/>
            <scheme val="minor"/>
          </rPr>
          <t xml:space="preserve">Unknown User:
WATER SERVICE RECTIFICATION (EXPOSED)
</t>
        </r>
      </text>
    </comment>
    <comment ref="M1103" authorId="1" shapeId="0" xr:uid="{A71D356D-EF71-4323-A32A-36FFA2D816CC}">
      <text>
        <r>
          <rPr>
            <sz val="11"/>
            <color theme="1"/>
            <rFont val="Aptos Narrow"/>
            <family val="2"/>
            <scheme val="minor"/>
          </rPr>
          <t>Unknown User:
Smartpay receipt of $160 not uploaded by plumber.
Uploaded by Modoras team</t>
        </r>
      </text>
    </comment>
    <comment ref="G1104" authorId="1" shapeId="0" xr:uid="{AF16EB1B-A3FD-4B45-94F9-01FED40179C1}">
      <text>
        <r>
          <rPr>
            <sz val="11"/>
            <color theme="1"/>
            <rFont val="Aptos Narrow"/>
            <family val="2"/>
            <scheme val="minor"/>
          </rPr>
          <t xml:space="preserve">Unknown User:
HIGH POWERED JET BLAST &amp; CCTV DRAIN CAMERA INSPECTION (SEWER SERVICE)
</t>
        </r>
      </text>
    </comment>
    <comment ref="G1105" authorId="1" shapeId="0" xr:uid="{55BBA8DA-1357-4002-8182-08FBF7E64BAD}">
      <text>
        <r>
          <rPr>
            <sz val="11"/>
            <color theme="1"/>
            <rFont val="Aptos Narrow"/>
            <family val="2"/>
            <scheme val="minor"/>
          </rPr>
          <t>Unknown User:
REPLACEMENT OF EXISTING PULL-OUT KITCHEN MIXER</t>
        </r>
      </text>
    </comment>
    <comment ref="O1105" authorId="1" shapeId="0" xr:uid="{20397BF6-657A-4680-A6A2-1CBC2FA06EE3}">
      <text>
        <r>
          <rPr>
            <sz val="11"/>
            <color theme="1"/>
            <rFont val="Aptos Narrow"/>
            <family val="2"/>
            <scheme val="minor"/>
          </rPr>
          <t>Unknown User:
Mentioned that "E-sign" is obtained, but sign not evident in quote.</t>
        </r>
      </text>
    </comment>
    <comment ref="T1105" authorId="1" shapeId="0" xr:uid="{FF07E5EA-FD80-4370-8730-D5A8C6926C68}">
      <text>
        <r>
          <rPr>
            <sz val="11"/>
            <color theme="1"/>
            <rFont val="Aptos Narrow"/>
            <family val="2"/>
            <scheme val="minor"/>
          </rPr>
          <t>Unknown User:
1x Trustpilot 
1x Product review 
Uploaded on 6/10 whereas review obtained on 2/10.</t>
        </r>
      </text>
    </comment>
    <comment ref="G1106" authorId="1" shapeId="0" xr:uid="{E449E2F4-9128-4476-BA19-74FC3F98424E}">
      <text>
        <r>
          <rPr>
            <sz val="11"/>
            <color theme="1"/>
            <rFont val="Aptos Narrow"/>
            <family val="2"/>
            <scheme val="minor"/>
          </rPr>
          <t xml:space="preserve">Unknown User:
SUPPLY AND INSTALLATION OF 15MM THERMOSTATIC VALVE
</t>
        </r>
      </text>
    </comment>
    <comment ref="G1107" authorId="1" shapeId="0" xr:uid="{F7455366-2785-48B6-B48D-69EB720EEA04}">
      <text>
        <r>
          <rPr>
            <sz val="11"/>
            <color theme="1"/>
            <rFont val="Aptos Narrow"/>
            <family val="2"/>
            <scheme val="minor"/>
          </rPr>
          <t>Unknown User:
SUPPLY &amp; INSTALLATION OF GAS STORAGE HOT WATER SYSTEM (INTERNAL)</t>
        </r>
      </text>
    </comment>
    <comment ref="Q1107" authorId="1" shapeId="0" xr:uid="{A3F54489-3858-439E-8836-02FE98AD1ACC}">
      <text>
        <r>
          <rPr>
            <sz val="11"/>
            <color theme="1"/>
            <rFont val="Aptos Narrow"/>
            <family val="2"/>
            <scheme val="minor"/>
          </rPr>
          <t>Unknown User:
Final zero due invoice not raised</t>
        </r>
      </text>
    </comment>
    <comment ref="G1112" authorId="1" shapeId="0" xr:uid="{02CF097F-6B4A-403A-8BFA-37904C13083E}">
      <text>
        <r>
          <rPr>
            <sz val="11"/>
            <color theme="1"/>
            <rFont val="Aptos Narrow"/>
            <family val="2"/>
            <scheme val="minor"/>
          </rPr>
          <t>Unknown User:
SEARCH AND INVESTIGATION OF ELECTRIC STORAGE HOT WATER SYSTEM
$65 First Service Discount</t>
        </r>
      </text>
    </comment>
    <comment ref="Q1112" authorId="1" shapeId="0" xr:uid="{BEDC043E-599F-4B56-9820-310BC67DC477}">
      <text>
        <r>
          <rPr>
            <sz val="11"/>
            <color theme="1"/>
            <rFont val="Aptos Narrow"/>
            <family val="2"/>
            <scheme val="minor"/>
          </rPr>
          <t>Unknown User:
Invoice not raised</t>
        </r>
      </text>
    </comment>
    <comment ref="A1116" authorId="37" shapeId="0" xr:uid="{6F64A9B8-8621-4B7A-9DCB-FBA657299045}">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116" authorId="1" shapeId="0" xr:uid="{1B7F5513-4E58-437A-9F53-DD1DE1A45EE5}">
      <text>
        <r>
          <rPr>
            <sz val="11"/>
            <color theme="1"/>
            <rFont val="Aptos Narrow"/>
            <family val="2"/>
            <scheme val="minor"/>
          </rPr>
          <t>Unknown User:
SEARCH &amp; INVESTIGATION OF DOUBLE STOREY ROOF OF POTENTIAL LEAK</t>
        </r>
      </text>
    </comment>
    <comment ref="P1116" authorId="1" shapeId="0" xr:uid="{725D15E6-D36A-42C4-BFB8-19F10C9304CA}">
      <text>
        <r>
          <rPr>
            <sz val="11"/>
            <color theme="1"/>
            <rFont val="Aptos Narrow"/>
            <family val="2"/>
            <scheme val="minor"/>
          </rPr>
          <t>Unknown User:
Quote not emailed</t>
        </r>
      </text>
    </comment>
    <comment ref="Q1116" authorId="1" shapeId="0" xr:uid="{B91605C7-56A0-413B-BE0B-E79E4FD93734}">
      <text>
        <r>
          <rPr>
            <sz val="11"/>
            <color theme="1"/>
            <rFont val="Aptos Narrow"/>
            <family val="2"/>
            <scheme val="minor"/>
          </rPr>
          <t>Unknown User:
Progress payment not updated in invoice.</t>
        </r>
      </text>
    </comment>
    <comment ref="R1116" authorId="1" shapeId="0" xr:uid="{BF798E50-C56A-45B7-A78F-B37756CDBB38}">
      <text>
        <r>
          <rPr>
            <sz val="11"/>
            <color theme="1"/>
            <rFont val="Aptos Narrow"/>
            <family val="2"/>
            <scheme val="minor"/>
          </rPr>
          <t>Unknown User:
Invoice not Signed</t>
        </r>
      </text>
    </comment>
    <comment ref="G1117" authorId="1" shapeId="0" xr:uid="{62D9BD70-C8CE-4BAC-8DA9-F5BFAD02F59B}">
      <text>
        <r>
          <rPr>
            <sz val="11"/>
            <color theme="1"/>
            <rFont val="Aptos Narrow"/>
            <family val="2"/>
            <scheme val="minor"/>
          </rPr>
          <t xml:space="preserve">Unknown User:
HIGH POWERED JET BLAST &amp; CCTV DRAIN CAMERA INSPECTION (SEWER SERVICE)
</t>
        </r>
      </text>
    </comment>
    <comment ref="R1117" authorId="1" shapeId="0" xr:uid="{5046897B-2D21-4BF2-AA43-1316C6ABB5F7}">
      <text>
        <r>
          <rPr>
            <sz val="11"/>
            <color theme="1"/>
            <rFont val="Aptos Narrow"/>
            <family val="2"/>
            <scheme val="minor"/>
          </rPr>
          <t>Unknown User:
Sign not obtained</t>
        </r>
      </text>
    </comment>
    <comment ref="G1118" authorId="1" shapeId="0" xr:uid="{9F928045-9EBB-4D81-A6CB-40A020EDF553}">
      <text>
        <r>
          <rPr>
            <sz val="11"/>
            <color theme="1"/>
            <rFont val="Aptos Narrow"/>
            <family val="2"/>
            <scheme val="minor"/>
          </rPr>
          <t>Unknown User:
HIGH POWERED JET BLAST &amp; CCTV DRAIN CAMERA INSPECTION (SEWER SERVICE)</t>
        </r>
      </text>
    </comment>
    <comment ref="Q1118" authorId="1" shapeId="0" xr:uid="{F966BE79-94E9-4641-A1C8-26358344CD87}">
      <text>
        <r>
          <rPr>
            <sz val="11"/>
            <color theme="1"/>
            <rFont val="Aptos Narrow"/>
            <family val="2"/>
            <scheme val="minor"/>
          </rPr>
          <t>Unknown User:
Invoice not raised</t>
        </r>
      </text>
    </comment>
    <comment ref="G1119" authorId="1" shapeId="0" xr:uid="{00BD9982-B413-45C0-885F-DCBE9A1D5B39}">
      <text>
        <r>
          <rPr>
            <sz val="11"/>
            <color theme="1"/>
            <rFont val="Aptos Narrow"/>
            <family val="2"/>
            <scheme val="minor"/>
          </rPr>
          <t>Unknown User:
SEWER SPOT DIG UP TO 1.5M - IN GROUND
CREDIT HIGH POWERED JETBLAST &amp; CCTV CAMERA
Good Will Discount</t>
        </r>
      </text>
    </comment>
    <comment ref="O1119" authorId="1" shapeId="0" xr:uid="{51AF068C-6EA7-4761-9A16-FD5C2443192B}">
      <text>
        <r>
          <rPr>
            <sz val="11"/>
            <color theme="1"/>
            <rFont val="Aptos Narrow"/>
            <family val="2"/>
            <scheme val="minor"/>
          </rPr>
          <t>Unknown User:
Quote not signed</t>
        </r>
      </text>
    </comment>
    <comment ref="D1120" authorId="1" shapeId="0" xr:uid="{BE41F748-8E50-4C93-9FAD-B24EE3212354}">
      <text>
        <r>
          <rPr>
            <sz val="11"/>
            <color theme="1"/>
            <rFont val="Aptos Narrow"/>
            <family val="2"/>
            <scheme val="minor"/>
          </rPr>
          <t>Unknown User:
Quote duplicated</t>
        </r>
      </text>
    </comment>
    <comment ref="G1120" authorId="1" shapeId="0" xr:uid="{2BBC57F5-9CBB-4128-A01C-2B020D68A26F}">
      <text>
        <r>
          <rPr>
            <sz val="11"/>
            <color theme="1"/>
            <rFont val="Aptos Narrow"/>
            <family val="2"/>
            <scheme val="minor"/>
          </rPr>
          <t>Unknown User:
RELINE OF SEWER SERVICE UP TO 4M</t>
        </r>
      </text>
    </comment>
    <comment ref="A1121" authorId="38" shapeId="0" xr:uid="{6527F29D-1900-4F4E-B8A8-F34CF2AAB3F4}">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G1121" authorId="1" shapeId="0" xr:uid="{958FA249-7D57-4D8A-9DF7-269240D05E8A}">
      <text>
        <r>
          <rPr>
            <sz val="11"/>
            <color theme="1"/>
            <rFont val="Aptos Narrow"/>
            <family val="2"/>
            <scheme val="minor"/>
          </rPr>
          <t>Unknown User:
GUTTER REPLACEMENT (UP TO 6M)</t>
        </r>
      </text>
    </comment>
    <comment ref="G1122" authorId="1" shapeId="0" xr:uid="{AD9A609E-A50E-44E7-90AC-2D5DC4004CFD}">
      <text>
        <r>
          <rPr>
            <sz val="11"/>
            <color theme="1"/>
            <rFont val="Aptos Narrow"/>
            <family val="2"/>
            <scheme val="minor"/>
          </rPr>
          <t>Unknown User:
REPLACEMENT OF SEWER SHAFT UP TO 2.5M (UNDER PAVERS)</t>
        </r>
      </text>
    </comment>
    <comment ref="N1122" authorId="1" shapeId="0" xr:uid="{CE243F4E-BF19-4C50-81F2-479135A6D54B}">
      <text>
        <r>
          <rPr>
            <sz val="11"/>
            <color theme="1"/>
            <rFont val="Aptos Narrow"/>
            <family val="2"/>
            <scheme val="minor"/>
          </rPr>
          <t>Unknown User:
Quote not raised</t>
        </r>
      </text>
    </comment>
    <comment ref="V1122" authorId="1" shapeId="0" xr:uid="{21F3BC11-9FDD-4A3B-ADA0-6E50C49D725F}">
      <text>
        <r>
          <rPr>
            <sz val="11"/>
            <color theme="1"/>
            <rFont val="Aptos Narrow"/>
            <family val="2"/>
            <scheme val="minor"/>
          </rPr>
          <t>Unknown User:
22/8 Received $17575.40 EFT</t>
        </r>
      </text>
    </comment>
    <comment ref="A1123" authorId="39" shapeId="0" xr:uid="{D2C44EDA-55F0-48BB-B208-34C91ADD80DD}">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G1123" authorId="1" shapeId="0" xr:uid="{C8A058AC-C87A-4E55-B3CD-E992E40EBDCA}">
      <text>
        <r>
          <rPr>
            <sz val="11"/>
            <color theme="1"/>
            <rFont val="Aptos Narrow"/>
            <family val="2"/>
            <scheme val="minor"/>
          </rPr>
          <t>Unknown User:
STORM WATER SERVICE INSTALLATION UP TO 12M
10% Seniors &amp; Pensioners Discount</t>
        </r>
      </text>
    </comment>
    <comment ref="V1123" authorId="1" shapeId="0" xr:uid="{FE20ACEB-0275-4CE6-9B03-3A6A4A0D219C}">
      <text>
        <r>
          <rPr>
            <sz val="11"/>
            <color theme="1"/>
            <rFont val="Aptos Narrow"/>
            <family val="2"/>
            <scheme val="minor"/>
          </rPr>
          <t>Unknown User:
26/8-Received $5000 by Smartpay
10/9-Received $14187.86 by EFT</t>
        </r>
      </text>
    </comment>
    <comment ref="G1124" authorId="1" shapeId="0" xr:uid="{34B8F61D-F6DC-4F59-8804-AC1D593C56C5}">
      <text>
        <r>
          <rPr>
            <sz val="11"/>
            <color theme="1"/>
            <rFont val="Aptos Narrow"/>
            <family val="2"/>
            <scheme val="minor"/>
          </rPr>
          <t>Unknown User:
REPLACEMENT OF SEWER BOUNDARY TRAP</t>
        </r>
      </text>
    </comment>
    <comment ref="G1125" authorId="1" shapeId="0" xr:uid="{39264938-2D87-4AC2-B109-DF7B65CDF456}">
      <text>
        <r>
          <rPr>
            <sz val="11"/>
            <color theme="1"/>
            <rFont val="Aptos Narrow"/>
            <family val="2"/>
            <scheme val="minor"/>
          </rPr>
          <t xml:space="preserve">Unknown User:
SUPPLY &amp; INSTALLATION OF NEW SINGLE ELEMENT HOT WATER UNIT – INTERNAL
</t>
        </r>
      </text>
    </comment>
    <comment ref="G1126" authorId="1" shapeId="0" xr:uid="{DFBAD3D8-0F02-45BF-932C-F3B4FA1C404F}">
      <text>
        <r>
          <rPr>
            <sz val="11"/>
            <color theme="1"/>
            <rFont val="Aptos Narrow"/>
            <family val="2"/>
            <scheme val="minor"/>
          </rPr>
          <t>Unknown User:
SUPPLY &amp; INSTALLATION OF NEW SKEW TOILET SUITE</t>
        </r>
      </text>
    </comment>
    <comment ref="S1126" authorId="1" shapeId="0" xr:uid="{E69C7091-DEE6-4A1B-971D-DFD9140D40FE}">
      <text>
        <r>
          <rPr>
            <sz val="11"/>
            <color theme="1"/>
            <rFont val="Aptos Narrow"/>
            <family val="2"/>
            <scheme val="minor"/>
          </rPr>
          <t>Unknown User:
Signed invoice not emailed</t>
        </r>
      </text>
    </comment>
    <comment ref="T1126" authorId="1" shapeId="0" xr:uid="{35E5DBEA-4734-492E-8522-807CC536CAB1}">
      <text>
        <r>
          <rPr>
            <sz val="11"/>
            <color theme="1"/>
            <rFont val="Aptos Narrow"/>
            <family val="2"/>
            <scheme val="minor"/>
          </rPr>
          <t>Unknown User:
0.5x Harrison</t>
        </r>
      </text>
    </comment>
    <comment ref="U1126" authorId="1" shapeId="0" xr:uid="{BCBC3308-51EA-479C-807C-33FABA85F5A1}">
      <text>
        <r>
          <rPr>
            <sz val="11"/>
            <color theme="1"/>
            <rFont val="Aptos Narrow"/>
            <family val="2"/>
            <scheme val="minor"/>
          </rPr>
          <t>Unknown User:
8/9-As per Jack's note "Cistern and seat installed and tested for leaks. No leaks present. Attempted to collect a progress payment from client however she is unwilling to pay until the new parts are installed. Have advised her that the office will be in contact to re book once the new parts are in."
8/9-As per Tolga's note "Ordered new skew toilet from St kikda reece they will notify me when its ready
Client not happy with the one that was purchased
Jack to install flush pipe amd cistern for current one amd then we will come back to install new one"</t>
        </r>
      </text>
    </comment>
    <comment ref="G1127" authorId="1" shapeId="0" xr:uid="{27495065-598E-4CBF-8470-FD8E69D00201}">
      <text>
        <r>
          <rPr>
            <sz val="11"/>
            <color theme="1"/>
            <rFont val="Aptos Narrow"/>
            <family val="2"/>
            <scheme val="minor"/>
          </rPr>
          <t>Unknown User:
SUPPLY &amp; INSTALLATION OF GAS COOKTOP
10% Seniors &amp; Pensioners Discount</t>
        </r>
      </text>
    </comment>
    <comment ref="W1127" authorId="1" shapeId="0" xr:uid="{317666B9-9DEC-489A-9283-69D60FDA71AC}">
      <text>
        <r>
          <rPr>
            <sz val="11"/>
            <color theme="1"/>
            <rFont val="Aptos Narrow"/>
            <family val="2"/>
            <scheme val="minor"/>
          </rPr>
          <t xml:space="preserve">Unknown User:
Cash denomination
$100*4=$400
$50*9=$450
Cash is updated as split payment in invoice tab. Unable to edit.
</t>
        </r>
      </text>
    </comment>
    <comment ref="A1128" authorId="40" shapeId="0" xr:uid="{F713523B-BAAA-4BFB-8768-E20653A30F28}">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128" authorId="1" shapeId="0" xr:uid="{BA819EDA-7963-4A69-BA84-DBD2BF6F70DE}">
      <text>
        <r>
          <rPr>
            <sz val="11"/>
            <color theme="1"/>
            <rFont val="Aptos Narrow"/>
            <family val="2"/>
            <scheme val="minor"/>
          </rPr>
          <t>Unknown User:
HIGH POWERED JET BLAST &amp; CCTV DRAIN CAMERA INSPECTION (SEWER SERVICE)</t>
        </r>
      </text>
    </comment>
    <comment ref="S1128" authorId="1" shapeId="0" xr:uid="{57B9A6F8-1FAE-4178-B4E2-E89AED22CB64}">
      <text>
        <r>
          <rPr>
            <sz val="11"/>
            <color theme="1"/>
            <rFont val="Aptos Narrow"/>
            <family val="2"/>
            <scheme val="minor"/>
          </rPr>
          <t>Unknown User:
Signed invoice not emailed</t>
        </r>
      </text>
    </comment>
    <comment ref="A1129" authorId="41" shapeId="0" xr:uid="{C9E88143-9168-40EF-A3AB-567544C04A7A}">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129" authorId="1" shapeId="0" xr:uid="{CCBD0108-2CD3-4FBE-A2C7-F695C93578CD}">
      <text>
        <r>
          <rPr>
            <sz val="11"/>
            <color theme="1"/>
            <rFont val="Aptos Narrow"/>
            <family val="2"/>
            <scheme val="minor"/>
          </rPr>
          <t>Unknown User:
SUPPLY &amp; INSTALLATION OF GAS STORAGE HOT WATER SYSTEM (EXTERNAL)</t>
        </r>
      </text>
    </comment>
    <comment ref="V1129" authorId="1" shapeId="0" xr:uid="{1CA36491-BCA8-4C38-A3E0-7923C10D8149}">
      <text>
        <r>
          <rPr>
            <sz val="11"/>
            <color theme="1"/>
            <rFont val="Aptos Narrow"/>
            <family val="2"/>
            <scheme val="minor"/>
          </rPr>
          <t>Unknown User:
22/9-Received $200 by Smartpay</t>
        </r>
      </text>
    </comment>
    <comment ref="G1133" authorId="1" shapeId="0" xr:uid="{44946D3A-B21C-4FD0-9C9F-79B080EB0850}">
      <text>
        <r>
          <rPr>
            <sz val="11"/>
            <color theme="1"/>
            <rFont val="Aptos Narrow"/>
            <family val="2"/>
            <scheme val="minor"/>
          </rPr>
          <t>Unknown User:
SPECIALIST LEAK DETECTION (WATER SERVICE)</t>
        </r>
      </text>
    </comment>
    <comment ref="G1134" authorId="1" shapeId="0" xr:uid="{A03C3C70-6CD7-437F-B0CF-DED7CC7C963B}">
      <text>
        <r>
          <rPr>
            <sz val="11"/>
            <color theme="1"/>
            <rFont val="Aptos Narrow"/>
            <family val="2"/>
            <scheme val="minor"/>
          </rPr>
          <t xml:space="preserve">Unknown User:
SUPPLY &amp; INSTALLATION OF GAS STORAGE HOT WATER SYSTEM (EXTERNAL)
</t>
        </r>
      </text>
    </comment>
    <comment ref="J1134" authorId="21" shapeId="0" xr:uid="{EE53289B-15BF-41DA-80DA-4F496EB63ED3}">
      <text>
        <r>
          <rPr>
            <sz val="11"/>
            <color theme="1"/>
            <rFont val="Aptos Narrow"/>
            <family val="2"/>
            <scheme val="minor"/>
          </rPr>
          <t xml:space="preserve">ZIP
</t>
        </r>
      </text>
    </comment>
    <comment ref="L1134" authorId="1" shapeId="0" xr:uid="{F64AA7A2-1272-4FC2-83D3-BA76A7EB97FC}">
      <text>
        <r>
          <rPr>
            <sz val="11"/>
            <color theme="1"/>
            <rFont val="Aptos Narrow"/>
            <family val="2"/>
            <scheme val="minor"/>
          </rPr>
          <t>Unknown User:
Pipes are to be connected to Gas HWS.Pic not uploaded.
Temp check pending</t>
        </r>
      </text>
    </comment>
    <comment ref="G1138" authorId="1" shapeId="0" xr:uid="{BFA4A07A-1CA4-4557-8D52-18F597B5B1FC}">
      <text>
        <r>
          <rPr>
            <sz val="11"/>
            <color theme="1"/>
            <rFont val="Aptos Narrow"/>
            <family val="2"/>
            <scheme val="minor"/>
          </rPr>
          <t>Unknown User:
WATER SERVICE RECTIFICATION (EXPOSED)
WATER SERVICE RECTIFICATION (EXPOSED)</t>
        </r>
      </text>
    </comment>
    <comment ref="G1139" authorId="1" shapeId="0" xr:uid="{2FE03E74-E88B-4E16-90A6-516B9E88494E}">
      <text>
        <r>
          <rPr>
            <sz val="11"/>
            <color theme="1"/>
            <rFont val="Aptos Narrow"/>
            <family val="2"/>
            <scheme val="minor"/>
          </rPr>
          <t xml:space="preserve">Unknown User:
CONVERT SOLAR SPLIT HOT WATER SYSTEM TO EXTERNAL GAS INSTANTANEOUS HOT WATER SYSTEM
</t>
        </r>
      </text>
    </comment>
    <comment ref="K1139" authorId="1" shapeId="0" xr:uid="{10BBD011-1CBE-45D2-83B6-4AD579EFC003}">
      <text>
        <r>
          <rPr>
            <sz val="11"/>
            <color theme="1"/>
            <rFont val="Aptos Narrow"/>
            <family val="2"/>
            <scheme val="minor"/>
          </rPr>
          <t>Unknown User:
Previous job images considered</t>
        </r>
      </text>
    </comment>
    <comment ref="G1140" authorId="1" shapeId="0" xr:uid="{E8BC0115-6685-4322-ABCF-319A5515D8BD}">
      <text>
        <r>
          <rPr>
            <sz val="11"/>
            <color theme="1"/>
            <rFont val="Aptos Narrow"/>
            <family val="2"/>
            <scheme val="minor"/>
          </rPr>
          <t>Unknown User:
RECTIFICATION OF WATER METER</t>
        </r>
      </text>
    </comment>
    <comment ref="G1141" authorId="1" shapeId="0" xr:uid="{51790E54-9475-4214-8048-5B41780752CD}">
      <text>
        <r>
          <rPr>
            <sz val="11"/>
            <color theme="1"/>
            <rFont val="Aptos Narrow"/>
            <family val="2"/>
            <scheme val="minor"/>
          </rPr>
          <t>Unknown User:
HIGH POWERED JET BLAST &amp; CCTV DRAIN CAMERA INSPECTION (SEWER SERVICE)</t>
        </r>
      </text>
    </comment>
    <comment ref="G1142" authorId="1" shapeId="0" xr:uid="{BA72D49C-5A94-45DF-A659-B5016FC010FE}">
      <text>
        <r>
          <rPr>
            <sz val="11"/>
            <color theme="1"/>
            <rFont val="Aptos Narrow"/>
            <family val="2"/>
            <scheme val="minor"/>
          </rPr>
          <t>Unknown User:
CCTV DRAIN CAMERA INSPECTION OF SEWER SERVICE
$65 First Service Discount</t>
        </r>
      </text>
    </comment>
    <comment ref="G1143" authorId="1" shapeId="0" xr:uid="{C9DFED74-6E21-40CF-9084-30B3F88CE9C2}">
      <text>
        <r>
          <rPr>
            <sz val="11"/>
            <color theme="1"/>
            <rFont val="Aptos Narrow"/>
            <family val="2"/>
            <scheme val="minor"/>
          </rPr>
          <t>Unknown User:
HIGH POWERED JET BLAST &amp; CCTV DRAIN CAMERA INSPECTION (SEWER SERVICE)
$85 Off First Service</t>
        </r>
      </text>
    </comment>
    <comment ref="G1145" authorId="1" shapeId="0" xr:uid="{41804BF5-FBF4-4D96-A8EA-8A7A9D13B60C}">
      <text>
        <r>
          <rPr>
            <sz val="11"/>
            <color theme="1"/>
            <rFont val="Aptos Narrow"/>
            <family val="2"/>
            <scheme val="minor"/>
          </rPr>
          <t>Unknown User:
SUPPLY &amp; INSTALLATION OF GAS STORAGE HOT WATER SYSTEM (EXTERNAL)
10% Seniors &amp; Pensioners Discount</t>
        </r>
      </text>
    </comment>
    <comment ref="G1146" authorId="1" shapeId="0" xr:uid="{4A971324-8C31-47E5-AFA8-86C710FD5F76}">
      <text>
        <r>
          <rPr>
            <sz val="11"/>
            <color theme="1"/>
            <rFont val="Aptos Narrow"/>
            <family val="2"/>
            <scheme val="minor"/>
          </rPr>
          <t>Unknown User:
SUPPLY &amp; INSTALLATION OF NEW CLOSE COUPLED TOILET SUITE
$85 Off First Service</t>
        </r>
      </text>
    </comment>
    <comment ref="G1147" authorId="1" shapeId="0" xr:uid="{E35408A8-3369-41E0-AE70-64A458703F60}">
      <text>
        <r>
          <rPr>
            <sz val="11"/>
            <color theme="1"/>
            <rFont val="Aptos Narrow"/>
            <family val="2"/>
            <scheme val="minor"/>
          </rPr>
          <t xml:space="preserve">Unknown User:
SEARCH &amp; INVESTIGATION OF GAS STORAGE HOT WATER SYSTEM
</t>
        </r>
      </text>
    </comment>
    <comment ref="G1148" authorId="1" shapeId="0" xr:uid="{1BED542A-1FA6-4C86-8E43-0B08928155E8}">
      <text>
        <r>
          <rPr>
            <sz val="11"/>
            <color theme="1"/>
            <rFont val="Aptos Narrow"/>
            <family val="2"/>
            <scheme val="minor"/>
          </rPr>
          <t>Unknown User:
CCTV DRAIN CAMERA INSPECTION OF SEWER SERVICE</t>
        </r>
      </text>
    </comment>
    <comment ref="D1149" authorId="1" shapeId="0" xr:uid="{73415189-E0AD-44C8-B190-D4A0A1F4D7B3}">
      <text>
        <r>
          <rPr>
            <sz val="11"/>
            <color theme="1"/>
            <rFont val="Aptos Narrow"/>
            <family val="2"/>
            <scheme val="minor"/>
          </rPr>
          <t>Unknown User:
Previously attended by Elliot-Kept under quote &amp; now COF-Waive &amp; Estimate raised by Jarrod</t>
        </r>
      </text>
    </comment>
    <comment ref="G1149" authorId="1" shapeId="0" xr:uid="{E676C1AE-FF35-4C19-8FF9-9F22C2C709FA}">
      <text>
        <r>
          <rPr>
            <sz val="11"/>
            <color theme="1"/>
            <rFont val="Aptos Narrow"/>
            <family val="2"/>
            <scheme val="minor"/>
          </rPr>
          <t>Unknown User:
SEARCH &amp; INVESTIGATION OF GAS APPLIANCE</t>
        </r>
      </text>
    </comment>
    <comment ref="G1150" authorId="1" shapeId="0" xr:uid="{B1D89FB8-1E39-4908-868D-7D6B8B31B498}">
      <text>
        <r>
          <rPr>
            <sz val="11"/>
            <color theme="1"/>
            <rFont val="Aptos Narrow"/>
            <family val="2"/>
            <scheme val="minor"/>
          </rPr>
          <t xml:space="preserve">Unknown User:
REPLACEMENT OF EXISTING OVERFLOW GULLY &amp; SECTION OF MAIN SEWER SERVICE (UNDER PAVERS)
</t>
        </r>
      </text>
    </comment>
    <comment ref="K1150" authorId="1" shapeId="0" xr:uid="{7529F9DD-C692-4FAB-BF84-C64C492D8DD1}">
      <text>
        <r>
          <rPr>
            <sz val="11"/>
            <color theme="1"/>
            <rFont val="Aptos Narrow"/>
            <family val="2"/>
            <scheme val="minor"/>
          </rPr>
          <t>Unknown User:
Previous job #73868 pics considered</t>
        </r>
      </text>
    </comment>
    <comment ref="G1151" authorId="1" shapeId="0" xr:uid="{DB5AF349-58B2-4F53-BC33-46A39B0A6DB9}">
      <text>
        <r>
          <rPr>
            <sz val="11"/>
            <color theme="1"/>
            <rFont val="Aptos Narrow"/>
            <family val="2"/>
            <scheme val="minor"/>
          </rPr>
          <t>Unknown User:
SUPPLY &amp; INSTALLATION OF HAND WASH BASIN</t>
        </r>
      </text>
    </comment>
    <comment ref="G1152" authorId="1" shapeId="0" xr:uid="{77F8E5A8-4BBA-41C2-A44A-3FA721920CB4}">
      <text>
        <r>
          <rPr>
            <sz val="11"/>
            <color theme="1"/>
            <rFont val="Aptos Narrow"/>
            <family val="2"/>
            <scheme val="minor"/>
          </rPr>
          <t>Unknown User:
SUPPLY &amp; INSTALLATION OF GAS STORAGE HOT WATER SYSTEM (EXTERNAL)
CREDIT OF SEARCH &amp; INVESTIGATION</t>
        </r>
      </text>
    </comment>
    <comment ref="G1155" authorId="1" shapeId="0" xr:uid="{552EA556-04BE-40D3-AAAB-764F5E148999}">
      <text>
        <r>
          <rPr>
            <sz val="11"/>
            <color theme="1"/>
            <rFont val="Aptos Narrow"/>
            <family val="2"/>
            <scheme val="minor"/>
          </rPr>
          <t>Unknown User:
HIGH POWERED CHEMICAL TREATMENT ON SEWER SERVICE
$89 Blocked Drains Discount</t>
        </r>
      </text>
    </comment>
    <comment ref="G1156" authorId="1" shapeId="0" xr:uid="{524A19AE-399D-4F49-B235-D20C0671BE66}">
      <text>
        <r>
          <rPr>
            <sz val="11"/>
            <color theme="1"/>
            <rFont val="Aptos Narrow"/>
            <family val="2"/>
            <scheme val="minor"/>
          </rPr>
          <t>Unknown User:
SUPPLY &amp; INSTALLATION OF NEW WALL FACED TOILET SUITE</t>
        </r>
      </text>
    </comment>
    <comment ref="G1157" authorId="1" shapeId="0" xr:uid="{E9C6A6B6-4E9A-4492-ADA4-7A55F869FA00}">
      <text>
        <r>
          <rPr>
            <sz val="11"/>
            <color theme="1"/>
            <rFont val="Aptos Narrow"/>
            <family val="2"/>
            <scheme val="minor"/>
          </rPr>
          <t>Unknown User:
COMMERCIAL HIGH POWERED JETBLAST &amp; CCTV DRAIN CAMERA INSPECTION</t>
        </r>
      </text>
    </comment>
    <comment ref="G1159" authorId="1" shapeId="0" xr:uid="{43DAF6EA-9F92-4659-AAD0-FD4D541A5BD6}">
      <text>
        <r>
          <rPr>
            <sz val="11"/>
            <color theme="1"/>
            <rFont val="Aptos Narrow"/>
            <family val="2"/>
            <scheme val="minor"/>
          </rPr>
          <t xml:space="preserve">Unknown User:
SUPPLY &amp; INSTALLATION OF NEW INSTANTANEOUS GAS HOT WATER SYSTEM (INTERNAL)
</t>
        </r>
      </text>
    </comment>
    <comment ref="E1180" authorId="42" shapeId="0" xr:uid="{9C8F40BF-00EA-40BB-BDCE-AC99C07CF1CC}">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
Reply:
    And Banking Cash Money being Held!</t>
      </text>
    </comment>
    <comment ref="E1181" authorId="43" shapeId="0" xr:uid="{14CE200B-22E8-47F2-9965-E65346572785}">
      <text>
        <t>[Threaded comment]
Your version of Excel allows you to read this threaded comment; however, any edits to it will get removed if the file is opened in a newer version of Excel. Learn more: https://go.microsoft.com/fwlink/?linkid=870924
Comment:
    Stock</t>
      </text>
    </comment>
    <comment ref="E1182" authorId="44" shapeId="0" xr:uid="{A6FE2D61-B9DD-4078-BB03-6FBC3C13A718}">
      <text>
        <t>[Threaded comment]
Your version of Excel allows you to read this threaded comment; however, any edits to it will get removed if the file is opened in a newer version of Excel. Learn more: https://go.microsoft.com/fwlink/?linkid=870924
Comment:
    Stock</t>
      </text>
    </comment>
    <comment ref="E1183" authorId="45" shapeId="0" xr:uid="{B1E685BE-5706-42DD-9243-B9ED73CEC403}">
      <text>
        <t>[Threaded comment]
Your version of Excel allows you to read this threaded comment; however, any edits to it will get removed if the file is opened in a newer version of Excel. Learn more: https://go.microsoft.com/fwlink/?linkid=870924
Comment:
    Stock</t>
      </text>
    </comment>
    <comment ref="G1192" authorId="1" shapeId="0" xr:uid="{BB9A8BC6-7951-41D3-AFDE-8F26D6D8FC54}">
      <text>
        <r>
          <rPr>
            <sz val="11"/>
            <color theme="1"/>
            <rFont val="Aptos Narrow"/>
            <family val="2"/>
            <scheme val="minor"/>
          </rPr>
          <t>Unknown User:
FLOOD, DYE, PRESSURE TEST (WET AREA)</t>
        </r>
      </text>
    </comment>
    <comment ref="L1192" authorId="1" shapeId="0" xr:uid="{4A20EDC8-68B1-4CD4-9570-8FA15C07FFBB}">
      <text>
        <r>
          <rPr>
            <sz val="11"/>
            <color theme="1"/>
            <rFont val="Aptos Narrow"/>
            <family val="2"/>
            <scheme val="minor"/>
          </rPr>
          <t>Unknown User:
Pressure test pics not uploaded</t>
        </r>
      </text>
    </comment>
    <comment ref="G1193" authorId="1" shapeId="0" xr:uid="{9B371A89-28EE-4B63-8CEC-5F24EE2D2530}">
      <text>
        <r>
          <rPr>
            <sz val="11"/>
            <color theme="1"/>
            <rFont val="Aptos Narrow"/>
            <family val="2"/>
            <scheme val="minor"/>
          </rPr>
          <t>Unknown User:
SUPPLY &amp; INSTALLATION OF WAX PAN SEAL</t>
        </r>
      </text>
    </comment>
    <comment ref="G1194" authorId="1" shapeId="0" xr:uid="{A605AE75-C3E9-4E83-855E-2808BC278520}">
      <text>
        <r>
          <rPr>
            <sz val="11"/>
            <color theme="1"/>
            <rFont val="Aptos Narrow"/>
            <family val="2"/>
            <scheme val="minor"/>
          </rPr>
          <t>Unknown User:
HIGH POWERED SUCTION &amp; ACID TREATMENT</t>
        </r>
      </text>
    </comment>
    <comment ref="G1195" authorId="1" shapeId="0" xr:uid="{04A8132F-7A5B-44CD-8B16-5A723E0D860A}">
      <text>
        <r>
          <rPr>
            <sz val="11"/>
            <color theme="1"/>
            <rFont val="Aptos Narrow"/>
            <family val="2"/>
            <scheme val="minor"/>
          </rPr>
          <t>Unknown User:
REPLACEMENT OF EMERGENCY STOP VALVE</t>
        </r>
      </text>
    </comment>
    <comment ref="G1196" authorId="1" shapeId="0" xr:uid="{AB7BAED8-3F99-4101-813A-6215D8B14A91}">
      <text>
        <r>
          <rPr>
            <sz val="11"/>
            <color theme="1"/>
            <rFont val="Aptos Narrow"/>
            <family val="2"/>
            <scheme val="minor"/>
          </rPr>
          <t>Unknown User:
CCTV DRAIN CAMERA INSPECTION OF STORM WATER SERVICE</t>
        </r>
      </text>
    </comment>
    <comment ref="G1197" authorId="1" shapeId="0" xr:uid="{2EDB0147-90D0-46ED-9D55-0E5EB095014A}">
      <text>
        <r>
          <rPr>
            <sz val="11"/>
            <color theme="1"/>
            <rFont val="Aptos Narrow"/>
            <family val="2"/>
            <scheme val="minor"/>
          </rPr>
          <t xml:space="preserve">Unknown User:
REPLACEMENT OF EXISTING GOOSE NECK KITCHEN MIXER
$85 Off First Service </t>
        </r>
      </text>
    </comment>
    <comment ref="T1197" authorId="1" shapeId="0" xr:uid="{BD235231-6E71-46B7-BD98-D6E2FE1D199C}">
      <text>
        <r>
          <rPr>
            <sz val="11"/>
            <color theme="1"/>
            <rFont val="Aptos Narrow"/>
            <family val="2"/>
            <scheme val="minor"/>
          </rPr>
          <t>Unknown User:
1x Product review
1x Trust Pilot</t>
        </r>
      </text>
    </comment>
    <comment ref="G1198" authorId="1" shapeId="0" xr:uid="{BC268E50-8EA4-4ED8-88AA-81F701F14F5E}">
      <text>
        <r>
          <rPr>
            <sz val="11"/>
            <color theme="1"/>
            <rFont val="Aptos Narrow"/>
            <family val="2"/>
            <scheme val="minor"/>
          </rPr>
          <t>Unknown User:
SEARCH &amp; INVESTIGATION (GENERAL)
$85 Off First Service</t>
        </r>
      </text>
    </comment>
    <comment ref="Q1198" authorId="1" shapeId="0" xr:uid="{9B1AD732-EC71-438D-B9D9-507021980DF0}">
      <text>
        <r>
          <rPr>
            <sz val="11"/>
            <color theme="1"/>
            <rFont val="Aptos Narrow"/>
            <family val="2"/>
            <scheme val="minor"/>
          </rPr>
          <t>Unknown User:
Final zero due invoice not raised</t>
        </r>
      </text>
    </comment>
    <comment ref="G1199" authorId="1" shapeId="0" xr:uid="{140A72F7-E35A-4F74-860C-D05C903870C9}">
      <text>
        <r>
          <rPr>
            <sz val="11"/>
            <color theme="1"/>
            <rFont val="Aptos Narrow"/>
            <family val="2"/>
            <scheme val="minor"/>
          </rPr>
          <t>Unknown User:
SPECIALIST LEAK DETECTION (WATER SERVICE)</t>
        </r>
      </text>
    </comment>
    <comment ref="K1199" authorId="1" shapeId="0" xr:uid="{61B2A712-29B7-4BBF-BF71-B39790753F7B}">
      <text>
        <r>
          <rPr>
            <sz val="11"/>
            <color theme="1"/>
            <rFont val="Aptos Narrow"/>
            <family val="2"/>
            <scheme val="minor"/>
          </rPr>
          <t>Unknown User:
Job #74274 pics considered.</t>
        </r>
      </text>
    </comment>
    <comment ref="S1199" authorId="1" shapeId="0" xr:uid="{854670F6-41D9-40B6-BCA5-570A28165916}">
      <text>
        <r>
          <rPr>
            <sz val="11"/>
            <color theme="1"/>
            <rFont val="Aptos Narrow"/>
            <family val="2"/>
            <scheme val="minor"/>
          </rPr>
          <t>Unknown User:
Signed invoice not emailed</t>
        </r>
      </text>
    </comment>
    <comment ref="T1199" authorId="1" shapeId="0" xr:uid="{DE2764C0-42C8-4C8B-941C-D0AA5CDDE144}">
      <text>
        <r>
          <rPr>
            <sz val="11"/>
            <color theme="1"/>
            <rFont val="Aptos Narrow"/>
            <family val="2"/>
            <scheme val="minor"/>
          </rPr>
          <t>Unknown User:
1x Trust pilot-
Product review is duplicated.
Job #74285 &amp; Job #74248 (URL details appear the same)</t>
        </r>
      </text>
    </comment>
    <comment ref="G1200" authorId="1" shapeId="0" xr:uid="{1D6828D9-DA09-4AFB-9D76-6215E1591EE2}">
      <text>
        <r>
          <rPr>
            <sz val="11"/>
            <color theme="1"/>
            <rFont val="Aptos Narrow"/>
            <family val="2"/>
            <scheme val="minor"/>
          </rPr>
          <t>Unknown User:
SUPPLY &amp; INSTALLATION OF NEW PLASTIC TOILET CISTERN</t>
        </r>
      </text>
    </comment>
    <comment ref="G1201" authorId="1" shapeId="0" xr:uid="{B6A3C746-5411-405A-B7EF-7D23A9B65385}">
      <text>
        <r>
          <rPr>
            <sz val="11"/>
            <color theme="1"/>
            <rFont val="Aptos Narrow"/>
            <family val="2"/>
            <scheme val="minor"/>
          </rPr>
          <t>Unknown User:
SUPPLY AND INSTALLATION OF TRAP TO SINK OR LAUNDRY TUB - WHITE PVC</t>
        </r>
      </text>
    </comment>
    <comment ref="A1206" authorId="46" shapeId="0" xr:uid="{3453507A-8910-423C-9048-C628B92DC9D7}">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206" authorId="1" shapeId="0" xr:uid="{D196F7C4-33B9-4468-A0B5-69BD583CFB4F}">
      <text>
        <r>
          <rPr>
            <sz val="11"/>
            <color theme="1"/>
            <rFont val="Aptos Narrow"/>
            <family val="2"/>
            <scheme val="minor"/>
          </rPr>
          <t>Unknown User:
SEARCH &amp; INVESTIGATION OF DOUBLE STOREY ROOF OF POTENTIAL LEAK</t>
        </r>
      </text>
    </comment>
    <comment ref="P1206" authorId="1" shapeId="0" xr:uid="{5F99188F-2AB0-4F87-A212-101ED66CF27E}">
      <text>
        <r>
          <rPr>
            <sz val="11"/>
            <color theme="1"/>
            <rFont val="Aptos Narrow"/>
            <family val="2"/>
            <scheme val="minor"/>
          </rPr>
          <t>Unknown User:
Quote not emailed</t>
        </r>
      </text>
    </comment>
    <comment ref="Q1206" authorId="1" shapeId="0" xr:uid="{0519ABE2-796E-4850-A1F9-05586B48332F}">
      <text>
        <r>
          <rPr>
            <sz val="11"/>
            <color theme="1"/>
            <rFont val="Aptos Narrow"/>
            <family val="2"/>
            <scheme val="minor"/>
          </rPr>
          <t>Unknown User:
Progress payment not updated in invoice.</t>
        </r>
      </text>
    </comment>
    <comment ref="R1206" authorId="1" shapeId="0" xr:uid="{FEFF832A-43A7-4CFE-84AC-534005858BF1}">
      <text>
        <r>
          <rPr>
            <sz val="11"/>
            <color theme="1"/>
            <rFont val="Aptos Narrow"/>
            <family val="2"/>
            <scheme val="minor"/>
          </rPr>
          <t>Unknown User:
Invoice not Signed</t>
        </r>
      </text>
    </comment>
    <comment ref="A1207" authorId="47" shapeId="0" xr:uid="{33CBA187-2A16-4FC2-A750-86BE7C5CC434}">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G1207" authorId="1" shapeId="0" xr:uid="{C8C91CD0-7E77-4D68-A4BD-43ED4A74F83F}">
      <text>
        <r>
          <rPr>
            <sz val="11"/>
            <color theme="1"/>
            <rFont val="Aptos Narrow"/>
            <family val="2"/>
            <scheme val="minor"/>
          </rPr>
          <t>Unknown User:
GUTTER REPLACEMENT (UP TO 6M)</t>
        </r>
      </text>
    </comment>
    <comment ref="G1208" authorId="1" shapeId="0" xr:uid="{C81D7D6C-EB19-4D07-98B1-2454858FBADF}">
      <text>
        <r>
          <rPr>
            <sz val="11"/>
            <color theme="1"/>
            <rFont val="Aptos Narrow"/>
            <family val="2"/>
            <scheme val="minor"/>
          </rPr>
          <t>Unknown User:
REPLACEMENT OF SEWER SHAFT UP TO 2.5M (UNDER PAVERS)</t>
        </r>
      </text>
    </comment>
    <comment ref="N1208" authorId="1" shapeId="0" xr:uid="{A259F0E0-04D4-47F7-9B27-DB254F0BF383}">
      <text>
        <r>
          <rPr>
            <sz val="11"/>
            <color theme="1"/>
            <rFont val="Aptos Narrow"/>
            <family val="2"/>
            <scheme val="minor"/>
          </rPr>
          <t>Unknown User:
Quote not raised</t>
        </r>
      </text>
    </comment>
    <comment ref="V1208" authorId="1" shapeId="0" xr:uid="{B10FDF1A-A42F-4785-A648-12876CF66CA6}">
      <text>
        <r>
          <rPr>
            <sz val="11"/>
            <color theme="1"/>
            <rFont val="Aptos Narrow"/>
            <family val="2"/>
            <scheme val="minor"/>
          </rPr>
          <t>Unknown User:
22/8 Received $17575.40 EFT</t>
        </r>
      </text>
    </comment>
    <comment ref="A1209" authorId="48" shapeId="0" xr:uid="{709BC07A-0DA0-472E-ACDD-8136E256ADA4}">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G1209" authorId="1" shapeId="0" xr:uid="{AA8AAACC-9E5D-4930-B5E1-E94E98E1D3D5}">
      <text>
        <r>
          <rPr>
            <sz val="11"/>
            <color theme="1"/>
            <rFont val="Aptos Narrow"/>
            <family val="2"/>
            <scheme val="minor"/>
          </rPr>
          <t>Unknown User:
STORM WATER SERVICE INSTALLATION UP TO 12M
10% Seniors &amp; Pensioners Discount</t>
        </r>
      </text>
    </comment>
    <comment ref="V1209" authorId="1" shapeId="0" xr:uid="{87C0FADE-217E-440B-86A5-9B9900D8F266}">
      <text>
        <r>
          <rPr>
            <sz val="11"/>
            <color theme="1"/>
            <rFont val="Aptos Narrow"/>
            <family val="2"/>
            <scheme val="minor"/>
          </rPr>
          <t>Unknown User:
26/8-Received $5000 by Smartpay
10/9-Received $14187.86 by EFT</t>
        </r>
      </text>
    </comment>
    <comment ref="A1210" authorId="49" shapeId="0" xr:uid="{A595264D-3B81-4851-9AAD-015F499F27D3}">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210" authorId="1" shapeId="0" xr:uid="{F0C7B64D-D5BD-40B3-BC47-7EA53E2CD055}">
      <text>
        <r>
          <rPr>
            <sz val="11"/>
            <color theme="1"/>
            <rFont val="Aptos Narrow"/>
            <family val="2"/>
            <scheme val="minor"/>
          </rPr>
          <t>Unknown User:
HIGH POWERED JET BLAST &amp; CCTV DRAIN CAMERA INSPECTION (SEWER SERVICE)</t>
        </r>
      </text>
    </comment>
    <comment ref="S1210" authorId="1" shapeId="0" xr:uid="{06C7D675-8EBC-4967-BCFF-20B5813334A0}">
      <text>
        <r>
          <rPr>
            <sz val="11"/>
            <color theme="1"/>
            <rFont val="Aptos Narrow"/>
            <family val="2"/>
            <scheme val="minor"/>
          </rPr>
          <t>Unknown User:
Signed invoice not emailed</t>
        </r>
      </text>
    </comment>
    <comment ref="A1211" authorId="50" shapeId="0" xr:uid="{9E21E38E-5F7A-46CB-9F50-6F98EAEEC285}">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211" authorId="1" shapeId="0" xr:uid="{59BD062C-453B-4B54-975F-821D11F5AE0B}">
      <text>
        <r>
          <rPr>
            <sz val="11"/>
            <color theme="1"/>
            <rFont val="Aptos Narrow"/>
            <family val="2"/>
            <scheme val="minor"/>
          </rPr>
          <t>Unknown User:
SUPPLY &amp; INSTALLATION OF GAS STORAGE HOT WATER SYSTEM (EXTERNAL)</t>
        </r>
      </text>
    </comment>
    <comment ref="V1211" authorId="1" shapeId="0" xr:uid="{D0C60D6D-19E9-4375-9228-37D8F60797D2}">
      <text>
        <r>
          <rPr>
            <sz val="11"/>
            <color theme="1"/>
            <rFont val="Aptos Narrow"/>
            <family val="2"/>
            <scheme val="minor"/>
          </rPr>
          <t>Unknown User:
22/9-Received $200 by Smartpay</t>
        </r>
      </text>
    </comment>
    <comment ref="G1215" authorId="1" shapeId="0" xr:uid="{D32B6E12-1E9A-4856-A1F5-67AAE89D16E0}">
      <text>
        <r>
          <rPr>
            <sz val="11"/>
            <color theme="1"/>
            <rFont val="Aptos Narrow"/>
            <family val="2"/>
            <scheme val="minor"/>
          </rPr>
          <t>Unknown User:
RESEAL OF SHOWER</t>
        </r>
      </text>
    </comment>
    <comment ref="G1216" authorId="1" shapeId="0" xr:uid="{60D1EA80-C2F2-4152-B55F-C8F52F1A74F4}">
      <text>
        <r>
          <rPr>
            <sz val="11"/>
            <color theme="1"/>
            <rFont val="Aptos Narrow"/>
            <family val="2"/>
            <scheme val="minor"/>
          </rPr>
          <t>Unknown User:
WATER SERVICE RECTIFICATION (UNDER TILES)
5% Good Will Discount</t>
        </r>
      </text>
    </comment>
    <comment ref="T1216" authorId="1" shapeId="0" xr:uid="{D171B85A-3BCC-4688-841D-44E0A7598BA1}">
      <text>
        <r>
          <rPr>
            <sz val="11"/>
            <color theme="1"/>
            <rFont val="Aptos Narrow"/>
            <family val="2"/>
            <scheme val="minor"/>
          </rPr>
          <t>Unknown User:
1x Will Dower</t>
        </r>
      </text>
    </comment>
    <comment ref="V1216" authorId="1" shapeId="0" xr:uid="{3F96E1DC-1ACD-493F-AEA3-F57508B517CD}">
      <text>
        <r>
          <rPr>
            <sz val="11"/>
            <color theme="1"/>
            <rFont val="Aptos Narrow"/>
            <family val="2"/>
            <scheme val="minor"/>
          </rPr>
          <t>Unknown User:
25/10-EFT of $3000 received</t>
        </r>
      </text>
    </comment>
    <comment ref="G1217" authorId="1" shapeId="0" xr:uid="{DD3FF5E1-3BC9-4714-ADBF-CE603A3ED0D2}">
      <text>
        <r>
          <rPr>
            <sz val="11"/>
            <color theme="1"/>
            <rFont val="Aptos Narrow"/>
            <family val="2"/>
            <scheme val="minor"/>
          </rPr>
          <t>Unknown User:
SUPPLY &amp; INSTALLATION OF GAS COOKTOP</t>
        </r>
      </text>
    </comment>
    <comment ref="V1217" authorId="1" shapeId="0" xr:uid="{3B6B2DA7-0A6E-4DEF-B755-E01ADA90B9F0}">
      <text>
        <r>
          <rPr>
            <sz val="11"/>
            <color theme="1"/>
            <rFont val="Aptos Narrow"/>
            <family val="2"/>
            <scheme val="minor"/>
          </rPr>
          <t>Unknown User:
Overpayment by $30</t>
        </r>
      </text>
    </comment>
    <comment ref="G1218" authorId="1" shapeId="0" xr:uid="{F0557EAB-50DF-44D8-8FB2-19AEF1429ADF}">
      <text>
        <r>
          <rPr>
            <sz val="11"/>
            <color theme="1"/>
            <rFont val="Aptos Narrow"/>
            <family val="2"/>
            <scheme val="minor"/>
          </rPr>
          <t>Unknown User:
SUPPLY &amp; INSTALLATION OF NEW CLOSE COUPLED TOILET SUITE
10% Good Will Discount</t>
        </r>
      </text>
    </comment>
    <comment ref="G1222" authorId="1" shapeId="0" xr:uid="{A10AB239-7239-4532-ADA9-BC220BA139E6}">
      <text>
        <r>
          <rPr>
            <sz val="11"/>
            <color theme="1"/>
            <rFont val="Aptos Narrow"/>
            <family val="2"/>
            <scheme val="minor"/>
          </rPr>
          <t xml:space="preserve">Unknown User:
HIGH POWERED JET BLAST &amp; CCTV DRAIN CAMERA INSPECTION (SEWER SERVICE)
</t>
        </r>
      </text>
    </comment>
    <comment ref="R1222" authorId="1" shapeId="0" xr:uid="{7AEF4767-B75C-4B67-AEE8-B544835EF17A}">
      <text>
        <r>
          <rPr>
            <sz val="11"/>
            <color theme="1"/>
            <rFont val="Aptos Narrow"/>
            <family val="2"/>
            <scheme val="minor"/>
          </rPr>
          <t>Unknown User:
Sign not obtained</t>
        </r>
      </text>
    </comment>
    <comment ref="G1223" authorId="1" shapeId="0" xr:uid="{ECBA4B8C-FE37-4C40-95F8-B41E32BE2ED8}">
      <text>
        <r>
          <rPr>
            <sz val="11"/>
            <color theme="1"/>
            <rFont val="Aptos Narrow"/>
            <family val="2"/>
            <scheme val="minor"/>
          </rPr>
          <t>Unknown User:
HIGH POWERED JET BLAST &amp; CCTV DRAIN CAMERA INSPECTION (SEWER SERVICE)</t>
        </r>
      </text>
    </comment>
    <comment ref="Q1223" authorId="1" shapeId="0" xr:uid="{20A40860-D681-4010-9E59-29D4D5591DAC}">
      <text>
        <r>
          <rPr>
            <sz val="11"/>
            <color theme="1"/>
            <rFont val="Aptos Narrow"/>
            <family val="2"/>
            <scheme val="minor"/>
          </rPr>
          <t>Unknown User:
Invoice not raised</t>
        </r>
      </text>
    </comment>
    <comment ref="G1224" authorId="1" shapeId="0" xr:uid="{656559B3-AABB-4E43-94C7-3D839DE06380}">
      <text>
        <r>
          <rPr>
            <sz val="11"/>
            <color theme="1"/>
            <rFont val="Aptos Narrow"/>
            <family val="2"/>
            <scheme val="minor"/>
          </rPr>
          <t>Unknown User:
SEWER SPOT DIG UP TO 1.5M - IN GROUND
CREDIT HIGH POWERED JETBLAST &amp; CCTV CAMERA
Good Will Discount</t>
        </r>
      </text>
    </comment>
    <comment ref="O1224" authorId="1" shapeId="0" xr:uid="{A6C5C0AF-E63F-42EB-8313-6FE25CA72E80}">
      <text>
        <r>
          <rPr>
            <sz val="11"/>
            <color theme="1"/>
            <rFont val="Aptos Narrow"/>
            <family val="2"/>
            <scheme val="minor"/>
          </rPr>
          <t>Unknown User:
Quote not signed</t>
        </r>
      </text>
    </comment>
    <comment ref="D1225" authorId="1" shapeId="0" xr:uid="{9B8E34FB-D8BD-466F-A617-3A5C7F2035EF}">
      <text>
        <r>
          <rPr>
            <sz val="11"/>
            <color theme="1"/>
            <rFont val="Aptos Narrow"/>
            <family val="2"/>
            <scheme val="minor"/>
          </rPr>
          <t>Unknown User:
Quote duplicated</t>
        </r>
      </text>
    </comment>
    <comment ref="G1225" authorId="1" shapeId="0" xr:uid="{150E53CA-7518-43FD-8D21-8CA25D19076D}">
      <text>
        <r>
          <rPr>
            <sz val="11"/>
            <color theme="1"/>
            <rFont val="Aptos Narrow"/>
            <family val="2"/>
            <scheme val="minor"/>
          </rPr>
          <t>Unknown User:
RELINE OF SEWER SERVICE UP TO 4M</t>
        </r>
      </text>
    </comment>
    <comment ref="G1226" authorId="1" shapeId="0" xr:uid="{665709D4-9A1E-4941-A44D-762EC5B7A52A}">
      <text>
        <r>
          <rPr>
            <sz val="11"/>
            <color theme="1"/>
            <rFont val="Aptos Narrow"/>
            <family val="2"/>
            <scheme val="minor"/>
          </rPr>
          <t>Unknown User:
REPLACEMENT OF SEWER BOUNDARY TRAP</t>
        </r>
      </text>
    </comment>
    <comment ref="G1227" authorId="1" shapeId="0" xr:uid="{CD81ACB7-EA9C-45B4-9850-472949346776}">
      <text>
        <r>
          <rPr>
            <sz val="11"/>
            <color theme="1"/>
            <rFont val="Aptos Narrow"/>
            <family val="2"/>
            <scheme val="minor"/>
          </rPr>
          <t xml:space="preserve">Unknown User:
SUPPLY &amp; INSTALLATION OF NEW SINGLE ELEMENT HOT WATER UNIT – INTERNAL
</t>
        </r>
      </text>
    </comment>
    <comment ref="G1228" authorId="1" shapeId="0" xr:uid="{2435487E-7B8E-4889-8F3C-03E168CAE098}">
      <text>
        <r>
          <rPr>
            <sz val="11"/>
            <color theme="1"/>
            <rFont val="Aptos Narrow"/>
            <family val="2"/>
            <scheme val="minor"/>
          </rPr>
          <t>Unknown User:
SUPPLY &amp; INSTALLATION OF NEW SKEW TOILET SUITE</t>
        </r>
      </text>
    </comment>
    <comment ref="S1228" authorId="1" shapeId="0" xr:uid="{458E99CF-9725-427C-9D52-41A36EBE51DF}">
      <text>
        <r>
          <rPr>
            <sz val="11"/>
            <color theme="1"/>
            <rFont val="Aptos Narrow"/>
            <family val="2"/>
            <scheme val="minor"/>
          </rPr>
          <t>Unknown User:
Signed invoice not emailed</t>
        </r>
      </text>
    </comment>
    <comment ref="T1228" authorId="1" shapeId="0" xr:uid="{40AE5791-218C-457F-AD0D-1650DAFF0806}">
      <text>
        <r>
          <rPr>
            <sz val="11"/>
            <color theme="1"/>
            <rFont val="Aptos Narrow"/>
            <family val="2"/>
            <scheme val="minor"/>
          </rPr>
          <t>Unknown User:
0.5x Harrison</t>
        </r>
      </text>
    </comment>
    <comment ref="U1228" authorId="1" shapeId="0" xr:uid="{5F136040-F0AF-46E0-8FAF-A52F8E0FC30E}">
      <text>
        <r>
          <rPr>
            <sz val="11"/>
            <color theme="1"/>
            <rFont val="Aptos Narrow"/>
            <family val="2"/>
            <scheme val="minor"/>
          </rPr>
          <t>Unknown User:
8/9-As per Jack's note "Cistern and seat installed and tested for leaks. No leaks present. Attempted to collect a progress payment from client however she is unwilling to pay until the new parts are installed. Have advised her that the office will be in contact to re book once the new parts are in."
8/9-As per Tolga's note "Ordered new skew toilet from St kikda reece they will notify me when its ready
Client not happy with the one that was purchased
Jack to install flush pipe amd cistern for current one amd then we will come back to install new one"</t>
        </r>
      </text>
    </comment>
    <comment ref="G1229" authorId="1" shapeId="0" xr:uid="{9F187247-A69D-4FFC-9893-DF65E0808904}">
      <text>
        <r>
          <rPr>
            <sz val="11"/>
            <color theme="1"/>
            <rFont val="Aptos Narrow"/>
            <family val="2"/>
            <scheme val="minor"/>
          </rPr>
          <t>Unknown User:
SUPPLY &amp; INSTALLATION OF GAS COOKTOP
10% Seniors &amp; Pensioners Discount</t>
        </r>
      </text>
    </comment>
    <comment ref="W1229" authorId="1" shapeId="0" xr:uid="{7E578923-AD09-47C5-9726-3D5F2C634DEC}">
      <text>
        <r>
          <rPr>
            <sz val="11"/>
            <color theme="1"/>
            <rFont val="Aptos Narrow"/>
            <family val="2"/>
            <scheme val="minor"/>
          </rPr>
          <t xml:space="preserve">Unknown User:
Cash denomination
$100*4=$400
$50*9=$450
Cash is updated as split payment in invoice tab. Unable to edit.
</t>
        </r>
      </text>
    </comment>
    <comment ref="G1230" authorId="1" shapeId="0" xr:uid="{592E647B-5C9F-4624-817A-FACF90EF7339}">
      <text>
        <r>
          <rPr>
            <sz val="11"/>
            <color theme="1"/>
            <rFont val="Aptos Narrow"/>
            <family val="2"/>
            <scheme val="minor"/>
          </rPr>
          <t>Unknown User:
SEARCH AND INVESTIGATION OF ELECTRIC STORAGE HOT WATER SYSTEM
$65 First Service Discount</t>
        </r>
      </text>
    </comment>
    <comment ref="Q1230" authorId="1" shapeId="0" xr:uid="{81EEAD67-C56D-40D3-A70E-F0A02FD09565}">
      <text>
        <r>
          <rPr>
            <sz val="11"/>
            <color theme="1"/>
            <rFont val="Aptos Narrow"/>
            <family val="2"/>
            <scheme val="minor"/>
          </rPr>
          <t>Unknown User:
Invoice not raised</t>
        </r>
      </text>
    </comment>
    <comment ref="G1234" authorId="1" shapeId="0" xr:uid="{5F6D800D-F9AA-4409-B33F-D1AA682DC327}">
      <text>
        <r>
          <rPr>
            <sz val="11"/>
            <color theme="1"/>
            <rFont val="Aptos Narrow"/>
            <family val="2"/>
            <scheme val="minor"/>
          </rPr>
          <t>Unknown User:
SPECIALIST LEAK DETECTION (WATER SERVICE)</t>
        </r>
      </text>
    </comment>
    <comment ref="G1235" authorId="1" shapeId="0" xr:uid="{3D6C5CE9-F789-438F-9ECC-C8FE8B5F5BF7}">
      <text>
        <r>
          <rPr>
            <sz val="11"/>
            <color theme="1"/>
            <rFont val="Aptos Narrow"/>
            <family val="2"/>
            <scheme val="minor"/>
          </rPr>
          <t xml:space="preserve">Unknown User:
SUPPLY &amp; INSTALLATION OF GAS STORAGE HOT WATER SYSTEM (EXTERNAL)
</t>
        </r>
      </text>
    </comment>
    <comment ref="J1235" authorId="21" shapeId="0" xr:uid="{EEBFE3FD-D106-427C-B128-25A446DEF5EA}">
      <text>
        <r>
          <rPr>
            <sz val="11"/>
            <color theme="1"/>
            <rFont val="Aptos Narrow"/>
            <family val="2"/>
            <scheme val="minor"/>
          </rPr>
          <t xml:space="preserve">ZIP
</t>
        </r>
      </text>
    </comment>
    <comment ref="L1235" authorId="1" shapeId="0" xr:uid="{BDCF1396-A222-48F7-BF93-C740FC72A5AD}">
      <text>
        <r>
          <rPr>
            <sz val="11"/>
            <color theme="1"/>
            <rFont val="Aptos Narrow"/>
            <family val="2"/>
            <scheme val="minor"/>
          </rPr>
          <t>Unknown User:
Pipes are to be connected to Gas HWS.Pic not uploaded.
Temp check pending</t>
        </r>
      </text>
    </comment>
    <comment ref="G1239" authorId="1" shapeId="0" xr:uid="{14FE9C22-19F4-4B4E-A864-F575344A8A82}">
      <text>
        <r>
          <rPr>
            <sz val="11"/>
            <color theme="1"/>
            <rFont val="Aptos Narrow"/>
            <family val="2"/>
            <scheme val="minor"/>
          </rPr>
          <t>Unknown User:
INSTALLATION OF NEW CUSTOMER SUPPLIED IN-SINK-ERATOR (NEW INSTALLATION)
10% Good Will Discount</t>
        </r>
      </text>
    </comment>
    <comment ref="G1241" authorId="1" shapeId="0" xr:uid="{C69EDB3D-A9E0-4F5E-B21F-8CF97B9EE623}">
      <text>
        <r>
          <rPr>
            <sz val="11"/>
            <color theme="1"/>
            <rFont val="Aptos Narrow"/>
            <family val="2"/>
            <scheme val="minor"/>
          </rPr>
          <t>Unknown User:
SUPPLY AND INSTALLATION OF PRESSURE REGULATING DEVICE FITTED TO 20MM STRAIGHT PIPEWORK</t>
        </r>
      </text>
    </comment>
    <comment ref="G1242" authorId="1" shapeId="0" xr:uid="{132D4BAC-BF77-48F5-8F95-DCFB4238D9EC}">
      <text>
        <r>
          <rPr>
            <sz val="11"/>
            <color theme="1"/>
            <rFont val="Aptos Narrow"/>
            <family val="2"/>
            <scheme val="minor"/>
          </rPr>
          <t>Unknown User:
DECOMMISSION VANITY SINK</t>
        </r>
      </text>
    </comment>
    <comment ref="G1243" authorId="1" shapeId="0" xr:uid="{4CB348BE-6FAB-4C49-AE50-4E5249BF32AB}">
      <text>
        <r>
          <rPr>
            <sz val="11"/>
            <color theme="1"/>
            <rFont val="Aptos Narrow"/>
            <family val="2"/>
            <scheme val="minor"/>
          </rPr>
          <t xml:space="preserve">Unknown User:
DIG UP OF STORM WATER SPOT UP TO 2.5M (UNDER PAVERS)
</t>
        </r>
      </text>
    </comment>
    <comment ref="G1245" authorId="1" shapeId="0" xr:uid="{86A7A83F-3E80-43F1-AE1F-9B150CD2630F}">
      <text>
        <r>
          <rPr>
            <sz val="11"/>
            <color theme="1"/>
            <rFont val="Aptos Narrow"/>
            <family val="2"/>
            <scheme val="minor"/>
          </rPr>
          <t>Unknown User:
SEARCH &amp; INVESTIGATE - IN WALL CISTERN
$85 Off First Service</t>
        </r>
      </text>
    </comment>
    <comment ref="G1246" authorId="1" shapeId="0" xr:uid="{8A1146CF-17C0-498F-9C96-144C293AC4BC}">
      <text>
        <r>
          <rPr>
            <sz val="11"/>
            <color theme="1"/>
            <rFont val="Aptos Narrow"/>
            <family val="2"/>
            <scheme val="minor"/>
          </rPr>
          <t>Unknown User:
MIXER TAP - STANDARD
15% Seniors &amp; Pensioners Discount</t>
        </r>
      </text>
    </comment>
    <comment ref="G1247" authorId="1" shapeId="0" xr:uid="{6434E3D2-3510-41E5-8559-A44E7973F651}">
      <text>
        <r>
          <rPr>
            <sz val="11"/>
            <color theme="1"/>
            <rFont val="Aptos Narrow"/>
            <family val="2"/>
            <scheme val="minor"/>
          </rPr>
          <t>Unknown User:
WATER SERVICE RECTIFICATION (EXPOSED)
$85 Off First Service</t>
        </r>
      </text>
    </comment>
    <comment ref="G1248" authorId="1" shapeId="0" xr:uid="{DB89C255-0A88-4730-ADD6-60A74A1773B3}">
      <text>
        <r>
          <rPr>
            <sz val="11"/>
            <color theme="1"/>
            <rFont val="Aptos Narrow"/>
            <family val="2"/>
            <scheme val="minor"/>
          </rPr>
          <t>Unknown User:
SUPPLY &amp; INSTALLATION OF NEW LINK SUITE
10% Good Will Discount</t>
        </r>
      </text>
    </comment>
    <comment ref="G1249" authorId="1" shapeId="0" xr:uid="{1D37AC76-2DF1-4CB8-8D6D-7D5BA97F2FB5}">
      <text>
        <r>
          <rPr>
            <sz val="11"/>
            <color theme="1"/>
            <rFont val="Aptos Narrow"/>
            <family val="2"/>
            <scheme val="minor"/>
          </rPr>
          <t xml:space="preserve">Unknown User:
REPLACEMENT OF HAND-HELD SHOWER ROSE
</t>
        </r>
      </text>
    </comment>
    <comment ref="G1250" authorId="1" shapeId="0" xr:uid="{7806DDFF-AE6A-417F-84F7-E813BD55A6C9}">
      <text>
        <r>
          <rPr>
            <sz val="11"/>
            <color theme="1"/>
            <rFont val="Aptos Narrow"/>
            <family val="2"/>
            <scheme val="minor"/>
          </rPr>
          <t xml:space="preserve">Unknown User:
SEARCH &amp; INVESTIGATION – PUMP
</t>
        </r>
      </text>
    </comment>
    <comment ref="G1251" authorId="1" shapeId="0" xr:uid="{A53C0708-B023-48F1-B8CA-F9E56B9A6F32}">
      <text>
        <r>
          <rPr>
            <sz val="11"/>
            <color theme="1"/>
            <rFont val="Aptos Narrow"/>
            <family val="2"/>
            <scheme val="minor"/>
          </rPr>
          <t>Unknown User:
COMPLETE SERVICE OF TOILET CISTERN</t>
        </r>
      </text>
    </comment>
    <comment ref="G1252" authorId="1" shapeId="0" xr:uid="{994E1B17-8A14-49AF-9D7C-E662AFDD76EF}">
      <text>
        <r>
          <rPr>
            <sz val="11"/>
            <color theme="1"/>
            <rFont val="Aptos Narrow"/>
            <family val="2"/>
            <scheme val="minor"/>
          </rPr>
          <t>Unknown User:
SUPPLY &amp; INSTALLATION OF NEW MIXER CARTRIDGE
$85 Off First Service</t>
        </r>
      </text>
    </comment>
    <comment ref="V1252" authorId="1" shapeId="0" xr:uid="{01AFCBEC-2DB3-46C8-AC79-4CCEC669255A}">
      <text>
        <r>
          <rPr>
            <sz val="11"/>
            <color theme="1"/>
            <rFont val="Aptos Narrow"/>
            <family val="2"/>
            <scheme val="minor"/>
          </rPr>
          <t>Unknown User:
Payment applied as $150+$150 by Jarrod</t>
        </r>
      </text>
    </comment>
    <comment ref="E1273" authorId="51" shapeId="0" xr:uid="{957B7826-AF2B-4131-8C36-461D3FA5DA3A}">
      <text>
        <r>
          <rPr>
            <sz val="11"/>
            <color theme="1"/>
            <rFont val="Aptos Narrow"/>
            <family val="2"/>
            <scheme val="minor"/>
          </rPr>
          <t xml:space="preserve">Accounts | Australia Trades:
Completed
Job 73527 @ Awaiting Pmt 14th Oct 2025
</t>
        </r>
      </text>
    </comment>
    <comment ref="E1274" authorId="52" shapeId="0" xr:uid="{55A20AD6-E0FB-4B27-A992-765E0F04AF7C}">
      <text>
        <t>[Threaded comment]
Your version of Excel allows you to read this threaded comment; however, any edits to it will get removed if the file is opened in a newer version of Excel. Learn more: https://go.microsoft.com/fwlink/?linkid=870924
Comment:
    Stock</t>
      </text>
    </comment>
    <comment ref="G1284" authorId="1" shapeId="0" xr:uid="{3F525B9E-CEB1-4FB5-88B9-FEAA38BE1AA9}">
      <text>
        <r>
          <rPr>
            <sz val="11"/>
            <color theme="1"/>
            <rFont val="Aptos Narrow"/>
            <family val="2"/>
            <scheme val="minor"/>
          </rPr>
          <t>Unknown User:
SUPPLY &amp; INSTALLATION OF NEW LINK SUITE
10% Seniors &amp; Pensioners Discount</t>
        </r>
      </text>
    </comment>
    <comment ref="G1285" authorId="1" shapeId="0" xr:uid="{88E84F06-8E2C-4205-BCAD-2951F09AB94A}">
      <text>
        <r>
          <rPr>
            <sz val="11"/>
            <color theme="1"/>
            <rFont val="Aptos Narrow"/>
            <family val="2"/>
            <scheme val="minor"/>
          </rPr>
          <t>Unknown User:
HIGH POWERED JET BLAST &amp; CCTV DRAIN CAMERA INSPECTION (SEWER SERVICE)</t>
        </r>
      </text>
    </comment>
    <comment ref="Q1285" authorId="1" shapeId="0" xr:uid="{C6416CDD-84F4-4FDB-AB2C-AA17D2FC98C3}">
      <text>
        <r>
          <rPr>
            <sz val="11"/>
            <color theme="1"/>
            <rFont val="Aptos Narrow"/>
            <family val="2"/>
            <scheme val="minor"/>
          </rPr>
          <t>Unknown User:
Progress invoice not raised by plumber</t>
        </r>
      </text>
    </comment>
    <comment ref="G1286" authorId="1" shapeId="0" xr:uid="{5901712A-6646-4DFB-AA43-7969B88BCBFF}">
      <text>
        <r>
          <rPr>
            <sz val="11"/>
            <color theme="1"/>
            <rFont val="Aptos Narrow"/>
            <family val="2"/>
            <scheme val="minor"/>
          </rPr>
          <t>Unknown User:
SUPPLY &amp; INSTALLATION OF NEW SHOWER WALL TOP TAPS</t>
        </r>
      </text>
    </comment>
    <comment ref="G1287" authorId="1" shapeId="0" xr:uid="{AABB4098-B8BB-4080-ABF1-CA737ADD601F}">
      <text>
        <r>
          <rPr>
            <sz val="11"/>
            <color theme="1"/>
            <rFont val="Aptos Narrow"/>
            <family val="2"/>
            <scheme val="minor"/>
          </rPr>
          <t>Unknown User:
FLOOD, DYE, PRESSURE TEST (WET AREA)</t>
        </r>
      </text>
    </comment>
    <comment ref="Q1287" authorId="1" shapeId="0" xr:uid="{8E362E81-A2E6-40FC-890A-44A6B9C69EEB}">
      <text>
        <r>
          <rPr>
            <sz val="11"/>
            <color theme="1"/>
            <rFont val="Aptos Narrow"/>
            <family val="2"/>
            <scheme val="minor"/>
          </rPr>
          <t>Unknown User:
Invoice not raised</t>
        </r>
      </text>
    </comment>
    <comment ref="G1288" authorId="1" shapeId="0" xr:uid="{30892FF2-1738-45D6-87DF-F312E2AA5018}">
      <text>
        <r>
          <rPr>
            <sz val="11"/>
            <color theme="1"/>
            <rFont val="Aptos Narrow"/>
            <family val="2"/>
            <scheme val="minor"/>
          </rPr>
          <t>Unknown User:
WATER SERVICE RECTIFICATION (EXPOSED)</t>
        </r>
      </text>
    </comment>
    <comment ref="G1289" authorId="1" shapeId="0" xr:uid="{CF6B60F0-38D2-43BC-9998-A609F1F30665}">
      <text>
        <r>
          <rPr>
            <sz val="11"/>
            <color theme="1"/>
            <rFont val="Aptos Narrow"/>
            <family val="2"/>
            <scheme val="minor"/>
          </rPr>
          <t>Unknown User:
REPLACEMENT OF PAIR EMERGENCY STOP VALVES</t>
        </r>
      </text>
    </comment>
    <comment ref="G1290" authorId="1" shapeId="0" xr:uid="{45530280-201E-49F6-BDE5-63D690E347CB}">
      <text>
        <r>
          <rPr>
            <sz val="11"/>
            <color theme="1"/>
            <rFont val="Aptos Narrow"/>
            <family val="2"/>
            <scheme val="minor"/>
          </rPr>
          <t>Unknown User:
HIGH POWERED SUCTION &amp; ACID TREATMENT</t>
        </r>
      </text>
    </comment>
    <comment ref="L1290" authorId="1" shapeId="0" xr:uid="{F351D6E1-DBE2-45CF-A0D2-C3D468CFD385}">
      <text>
        <r>
          <rPr>
            <sz val="11"/>
            <color theme="1"/>
            <rFont val="Aptos Narrow"/>
            <family val="2"/>
            <scheme val="minor"/>
          </rPr>
          <t>Unknown User:
Suction pump pics not uploaded</t>
        </r>
      </text>
    </comment>
    <comment ref="G1291" authorId="1" shapeId="0" xr:uid="{8EA2628C-5F47-4B65-B03B-46C581FC0A5C}">
      <text>
        <r>
          <rPr>
            <sz val="11"/>
            <color theme="1"/>
            <rFont val="Aptos Narrow"/>
            <family val="2"/>
            <scheme val="minor"/>
          </rPr>
          <t>Unknown User:
SPECIALIST LEAK DETECTION (GAS SERVICE)</t>
        </r>
      </text>
    </comment>
    <comment ref="G1292" authorId="1" shapeId="0" xr:uid="{28481D2F-4A01-4889-9799-37CC3934CAE2}">
      <text>
        <r>
          <rPr>
            <sz val="11"/>
            <color theme="1"/>
            <rFont val="Aptos Narrow"/>
            <family val="2"/>
            <scheme val="minor"/>
          </rPr>
          <t>Unknown User:
SUPPLY &amp; INSTALLATION OF NEW COPPER GAS SERVICE UP TO 10M (REPLACEMENT OF EXISTING GALVANISED GAS SERVICE)</t>
        </r>
      </text>
    </comment>
    <comment ref="G1293" authorId="1" shapeId="0" xr:uid="{F3A188CF-B4C1-41A3-8E25-659F8AD2253A}">
      <text>
        <r>
          <rPr>
            <sz val="11"/>
            <color theme="1"/>
            <rFont val="Aptos Narrow"/>
            <family val="2"/>
            <scheme val="minor"/>
          </rPr>
          <t>Unknown User:
REPLACEMENT OF WALL TOP TAPWARE</t>
        </r>
      </text>
    </comment>
    <comment ref="R1293" authorId="1" shapeId="0" xr:uid="{7D233420-0763-4BF3-AAAB-5FF1BA654304}">
      <text>
        <r>
          <rPr>
            <sz val="11"/>
            <color theme="1"/>
            <rFont val="Aptos Narrow"/>
            <family val="2"/>
            <scheme val="minor"/>
          </rPr>
          <t>Unknown User:
Invoice not signed</t>
        </r>
      </text>
    </comment>
    <comment ref="S1293" authorId="1" shapeId="0" xr:uid="{3F69B2B8-4725-4EEC-9C01-D904B9F59D14}">
      <text>
        <r>
          <rPr>
            <sz val="11"/>
            <color theme="1"/>
            <rFont val="Aptos Narrow"/>
            <family val="2"/>
            <scheme val="minor"/>
          </rPr>
          <t>Unknown User:
Invoice emailed without sign</t>
        </r>
      </text>
    </comment>
    <comment ref="V1293" authorId="1" shapeId="0" xr:uid="{7D965E56-C3F0-4953-AD5E-F0956A56EE0E}">
      <text>
        <r>
          <rPr>
            <sz val="11"/>
            <color theme="1"/>
            <rFont val="Aptos Narrow"/>
            <family val="2"/>
            <scheme val="minor"/>
          </rPr>
          <t>Unknown User:
Smartpay receipt of $4409 is split as $1460.80 for Job #74563/88035733 &amp; as $1629.10 for Job #74563/88035993 &amp; as $959.10 for Job #74563/88035769</t>
        </r>
      </text>
    </comment>
    <comment ref="G1294" authorId="1" shapeId="0" xr:uid="{07033357-0A83-4912-9106-95ED63520C4E}">
      <text>
        <r>
          <rPr>
            <sz val="11"/>
            <color theme="1"/>
            <rFont val="Aptos Narrow"/>
            <family val="2"/>
            <scheme val="minor"/>
          </rPr>
          <t>Unknown User:
REPLACEMENT OF BASIN TAPS AND SPOUT</t>
        </r>
      </text>
    </comment>
    <comment ref="R1294" authorId="1" shapeId="0" xr:uid="{66070614-DE6E-4CB2-A131-12E61E3E9D7D}">
      <text>
        <r>
          <rPr>
            <sz val="11"/>
            <color theme="1"/>
            <rFont val="Aptos Narrow"/>
            <family val="2"/>
            <scheme val="minor"/>
          </rPr>
          <t>Unknown User:
Invoice not signed</t>
        </r>
      </text>
    </comment>
    <comment ref="S1294" authorId="1" shapeId="0" xr:uid="{00376B4E-41A4-49B0-95E7-7D006985ABBE}">
      <text>
        <r>
          <rPr>
            <sz val="11"/>
            <color theme="1"/>
            <rFont val="Aptos Narrow"/>
            <family val="2"/>
            <scheme val="minor"/>
          </rPr>
          <t>Unknown User:
Invoice emailed without sign</t>
        </r>
      </text>
    </comment>
    <comment ref="V1294" authorId="1" shapeId="0" xr:uid="{CD01D066-1505-449A-AFF5-404013FD314F}">
      <text>
        <r>
          <rPr>
            <sz val="11"/>
            <color theme="1"/>
            <rFont val="Aptos Narrow"/>
            <family val="2"/>
            <scheme val="minor"/>
          </rPr>
          <t>Unknown User:
Smartpay receipt of $4409 is split as $1460.80 for Job #74563/88035733 &amp; as $1629.10 for Job #74563/88035993 &amp; as $959.10 for Job #74563/88035769</t>
        </r>
      </text>
    </comment>
    <comment ref="G1295" authorId="1" shapeId="0" xr:uid="{3ECD4F56-052E-4B74-BBC2-6ED25B2CAF27}">
      <text>
        <r>
          <rPr>
            <sz val="11"/>
            <color theme="1"/>
            <rFont val="Aptos Narrow"/>
            <family val="2"/>
            <scheme val="minor"/>
          </rPr>
          <t>Unknown User:
REPLACEMENT OF KITCHEN MIXER</t>
        </r>
      </text>
    </comment>
    <comment ref="R1295" authorId="1" shapeId="0" xr:uid="{4EBC39AC-73ED-48C3-A2D1-C72FDEA1478C}">
      <text>
        <r>
          <rPr>
            <sz val="11"/>
            <color theme="1"/>
            <rFont val="Aptos Narrow"/>
            <family val="2"/>
            <scheme val="minor"/>
          </rPr>
          <t>Unknown User:
Invoice not signed</t>
        </r>
      </text>
    </comment>
    <comment ref="S1295" authorId="1" shapeId="0" xr:uid="{942EA4F4-36D2-47E2-AA6A-A2CBC52E6B04}">
      <text>
        <r>
          <rPr>
            <sz val="11"/>
            <color theme="1"/>
            <rFont val="Aptos Narrow"/>
            <family val="2"/>
            <scheme val="minor"/>
          </rPr>
          <t>Unknown User:
Invoice emailed without sign</t>
        </r>
      </text>
    </comment>
    <comment ref="V1295" authorId="1" shapeId="0" xr:uid="{A9AB68C1-4E28-48B7-B84F-10149E8366C5}">
      <text>
        <r>
          <rPr>
            <sz val="11"/>
            <color theme="1"/>
            <rFont val="Aptos Narrow"/>
            <family val="2"/>
            <scheme val="minor"/>
          </rPr>
          <t>Unknown User:
Smartpay receipt of $4409 is split as $1460.80 for Job #74563/88035733 &amp; as $1629.10 for Job #74563/88035993 &amp; as $959.10 for Job #74563/88035769</t>
        </r>
      </text>
    </comment>
    <comment ref="G1300" authorId="1" shapeId="0" xr:uid="{36B5A3ED-A791-480C-A263-B09B86615152}">
      <text>
        <r>
          <rPr>
            <sz val="11"/>
            <color theme="1"/>
            <rFont val="Aptos Narrow"/>
            <family val="2"/>
            <scheme val="minor"/>
          </rPr>
          <t>Unknown User:
SUPPLY &amp; INSTALLATION OF GAS COOKTOP</t>
        </r>
      </text>
    </comment>
    <comment ref="V1300" authorId="1" shapeId="0" xr:uid="{4B2AB8B6-A67C-42A1-8792-016A46D5F560}">
      <text>
        <r>
          <rPr>
            <sz val="11"/>
            <color theme="1"/>
            <rFont val="Aptos Narrow"/>
            <family val="2"/>
            <scheme val="minor"/>
          </rPr>
          <t>Unknown User:
Overpayment by $30</t>
        </r>
      </text>
    </comment>
    <comment ref="G1301" authorId="1" shapeId="0" xr:uid="{AA916AA6-3E3B-487D-A86D-079DC90ADC10}">
      <text>
        <r>
          <rPr>
            <sz val="11"/>
            <color theme="1"/>
            <rFont val="Aptos Narrow"/>
            <family val="2"/>
            <scheme val="minor"/>
          </rPr>
          <t>Unknown User:
SUPPLY &amp; INSTALLATION OF NEW CLOSE COUPLED TOILET SUITE
10% Good Will Discount</t>
        </r>
      </text>
    </comment>
    <comment ref="G1305" authorId="1" shapeId="0" xr:uid="{71F742B8-1ED0-4E98-9233-E8A6A1E10A50}">
      <text>
        <r>
          <rPr>
            <sz val="11"/>
            <color theme="1"/>
            <rFont val="Aptos Narrow"/>
            <family val="2"/>
            <scheme val="minor"/>
          </rPr>
          <t>Unknown User:
REPLACEMENT OF EXISTING OVERFLOW GULLY &amp; SECTION OF MAIN SEWER SERVICE</t>
        </r>
      </text>
    </comment>
    <comment ref="Q1305" authorId="1" shapeId="0" xr:uid="{7C01A977-23A6-4A8F-A0AF-C40FFC11BFA3}">
      <text>
        <r>
          <rPr>
            <sz val="11"/>
            <color theme="1"/>
            <rFont val="Aptos Narrow"/>
            <family val="2"/>
            <scheme val="minor"/>
          </rPr>
          <t>Unknown User:
Invoice not raised</t>
        </r>
      </text>
    </comment>
    <comment ref="G1306" authorId="1" shapeId="0" xr:uid="{641615C1-04FC-4952-B0DC-43603F32C2E3}">
      <text>
        <r>
          <rPr>
            <sz val="11"/>
            <color theme="1"/>
            <rFont val="Aptos Narrow"/>
            <family val="2"/>
            <scheme val="minor"/>
          </rPr>
          <t>Unknown User:
SUPPLY &amp; INSTALLATION OF NEW WALL FACED TOILET SUITE</t>
        </r>
      </text>
    </comment>
    <comment ref="G1310" authorId="1" shapeId="0" xr:uid="{7D77CC25-D032-4424-ADFD-E4FE14DB4390}">
      <text>
        <r>
          <rPr>
            <sz val="11"/>
            <color theme="1"/>
            <rFont val="Aptos Narrow"/>
            <family val="2"/>
            <scheme val="minor"/>
          </rPr>
          <t>Unknown User:
SEWER SERVICE RECTIFICATION / SEWER VENT REPLACEMENT</t>
        </r>
      </text>
    </comment>
    <comment ref="G1311" authorId="1" shapeId="0" xr:uid="{9D2784E7-E8F1-4949-A621-E901D47A23EF}">
      <text>
        <r>
          <rPr>
            <sz val="11"/>
            <color theme="1"/>
            <rFont val="Aptos Narrow"/>
            <family val="2"/>
            <scheme val="minor"/>
          </rPr>
          <t>Unknown User:
RESEAL OF SHOWER</t>
        </r>
      </text>
    </comment>
    <comment ref="G1312" authorId="1" shapeId="0" xr:uid="{D8B00D97-97FA-4F28-9849-328E27EE3513}">
      <text>
        <r>
          <rPr>
            <sz val="11"/>
            <color theme="1"/>
            <rFont val="Aptos Narrow"/>
            <family val="2"/>
            <scheme val="minor"/>
          </rPr>
          <t>Unknown User:
SEWER SPOT DIG - IN GROUND</t>
        </r>
      </text>
    </comment>
    <comment ref="G1316" authorId="1" shapeId="0" xr:uid="{4BED0D83-73E3-410D-A25E-78625A35EE2D}">
      <text>
        <r>
          <rPr>
            <sz val="11"/>
            <color theme="1"/>
            <rFont val="Aptos Narrow"/>
            <family val="2"/>
            <scheme val="minor"/>
          </rPr>
          <t xml:space="preserve">Unknown User:
HIGH POWERED JET BLAST &amp; CCTV DRAIN CAMERA INSPECTION (SEWER SERVICE)
</t>
        </r>
      </text>
    </comment>
    <comment ref="R1316" authorId="1" shapeId="0" xr:uid="{672753E3-7385-4898-A2E1-48BF2039434C}">
      <text>
        <r>
          <rPr>
            <sz val="11"/>
            <color theme="1"/>
            <rFont val="Aptos Narrow"/>
            <family val="2"/>
            <scheme val="minor"/>
          </rPr>
          <t>Unknown User:
Sign not obtained</t>
        </r>
      </text>
    </comment>
    <comment ref="G1317" authorId="1" shapeId="0" xr:uid="{9A177A16-DB0D-4A90-9FEE-C43162279FB2}">
      <text>
        <r>
          <rPr>
            <sz val="11"/>
            <color theme="1"/>
            <rFont val="Aptos Narrow"/>
            <family val="2"/>
            <scheme val="minor"/>
          </rPr>
          <t>Unknown User:
HIGH POWERED JET BLAST &amp; CCTV DRAIN CAMERA INSPECTION (SEWER SERVICE)</t>
        </r>
      </text>
    </comment>
    <comment ref="Q1317" authorId="1" shapeId="0" xr:uid="{4EBDE60F-9113-4F85-B477-867D1F65F627}">
      <text>
        <r>
          <rPr>
            <sz val="11"/>
            <color theme="1"/>
            <rFont val="Aptos Narrow"/>
            <family val="2"/>
            <scheme val="minor"/>
          </rPr>
          <t>Unknown User:
Invoice not raised</t>
        </r>
      </text>
    </comment>
    <comment ref="G1318" authorId="1" shapeId="0" xr:uid="{AC788AC6-CC76-4411-B92A-71D232F5538D}">
      <text>
        <r>
          <rPr>
            <sz val="11"/>
            <color theme="1"/>
            <rFont val="Aptos Narrow"/>
            <family val="2"/>
            <scheme val="minor"/>
          </rPr>
          <t>Unknown User:
SEWER SPOT DIG UP TO 1.5M - IN GROUND
CREDIT HIGH POWERED JETBLAST &amp; CCTV CAMERA
Good Will Discount</t>
        </r>
      </text>
    </comment>
    <comment ref="O1318" authorId="1" shapeId="0" xr:uid="{B73CC8F3-F42B-4D93-8746-B92C799BDEC2}">
      <text>
        <r>
          <rPr>
            <sz val="11"/>
            <color theme="1"/>
            <rFont val="Aptos Narrow"/>
            <family val="2"/>
            <scheme val="minor"/>
          </rPr>
          <t>Unknown User:
Quote not signed</t>
        </r>
      </text>
    </comment>
    <comment ref="D1319" authorId="1" shapeId="0" xr:uid="{E27DE81D-8862-4D3A-ACFB-BAFFD175F425}">
      <text>
        <r>
          <rPr>
            <sz val="11"/>
            <color theme="1"/>
            <rFont val="Aptos Narrow"/>
            <family val="2"/>
            <scheme val="minor"/>
          </rPr>
          <t>Unknown User:
Quote duplicated</t>
        </r>
      </text>
    </comment>
    <comment ref="G1319" authorId="1" shapeId="0" xr:uid="{882149E9-20E4-4030-AA4B-580DEABF73E4}">
      <text>
        <r>
          <rPr>
            <sz val="11"/>
            <color theme="1"/>
            <rFont val="Aptos Narrow"/>
            <family val="2"/>
            <scheme val="minor"/>
          </rPr>
          <t>Unknown User:
RELINE OF SEWER SERVICE UP TO 4M</t>
        </r>
      </text>
    </comment>
    <comment ref="G1320" authorId="1" shapeId="0" xr:uid="{B021E70D-4208-4ED7-8A68-8CDD4114E613}">
      <text>
        <r>
          <rPr>
            <sz val="11"/>
            <color theme="1"/>
            <rFont val="Aptos Narrow"/>
            <family val="2"/>
            <scheme val="minor"/>
          </rPr>
          <t>Unknown User:
REPLACEMENT OF SEWER BOUNDARY TRAP</t>
        </r>
      </text>
    </comment>
    <comment ref="G1321" authorId="1" shapeId="0" xr:uid="{4EF00382-43F1-4C54-8A32-DE60F476A15D}">
      <text>
        <r>
          <rPr>
            <sz val="11"/>
            <color theme="1"/>
            <rFont val="Aptos Narrow"/>
            <family val="2"/>
            <scheme val="minor"/>
          </rPr>
          <t xml:space="preserve">Unknown User:
SUPPLY &amp; INSTALLATION OF NEW SINGLE ELEMENT HOT WATER UNIT – INTERNAL
</t>
        </r>
      </text>
    </comment>
    <comment ref="G1322" authorId="1" shapeId="0" xr:uid="{99BB3C99-461A-46FE-BB1D-1DA73C03CB4B}">
      <text>
        <r>
          <rPr>
            <sz val="11"/>
            <color theme="1"/>
            <rFont val="Aptos Narrow"/>
            <family val="2"/>
            <scheme val="minor"/>
          </rPr>
          <t>Unknown User:
SUPPLY &amp; INSTALLATION OF NEW SKEW TOILET SUITE</t>
        </r>
      </text>
    </comment>
    <comment ref="S1322" authorId="1" shapeId="0" xr:uid="{333CF758-CB0F-4B40-98C5-F0F98E7F3330}">
      <text>
        <r>
          <rPr>
            <sz val="11"/>
            <color theme="1"/>
            <rFont val="Aptos Narrow"/>
            <family val="2"/>
            <scheme val="minor"/>
          </rPr>
          <t>Unknown User:
Signed invoice not emailed</t>
        </r>
      </text>
    </comment>
    <comment ref="T1322" authorId="1" shapeId="0" xr:uid="{3003B0FD-692A-4936-AAF0-2F66D1634FC1}">
      <text>
        <r>
          <rPr>
            <sz val="11"/>
            <color theme="1"/>
            <rFont val="Aptos Narrow"/>
            <family val="2"/>
            <scheme val="minor"/>
          </rPr>
          <t>Unknown User:
0.5x Harrison</t>
        </r>
      </text>
    </comment>
    <comment ref="U1322" authorId="1" shapeId="0" xr:uid="{EF64E2AB-96EB-4351-94B6-1D01049B304F}">
      <text>
        <r>
          <rPr>
            <sz val="11"/>
            <color theme="1"/>
            <rFont val="Aptos Narrow"/>
            <family val="2"/>
            <scheme val="minor"/>
          </rPr>
          <t>Unknown User:
8/9-As per Jack's note "Cistern and seat installed and tested for leaks. No leaks present. Attempted to collect a progress payment from client however she is unwilling to pay until the new parts are installed. Have advised her that the office will be in contact to re book once the new parts are in."
8/9-As per Tolga's note "Ordered new skew toilet from St kikda reece they will notify me when its ready
Client not happy with the one that was purchased
Jack to install flush pipe amd cistern for current one amd then we will come back to install new one"</t>
        </r>
      </text>
    </comment>
    <comment ref="G1323" authorId="1" shapeId="0" xr:uid="{EC0E2400-8736-48F3-AD96-3A2E654733E7}">
      <text>
        <r>
          <rPr>
            <sz val="11"/>
            <color theme="1"/>
            <rFont val="Aptos Narrow"/>
            <family val="2"/>
            <scheme val="minor"/>
          </rPr>
          <t>Unknown User:
SUPPLY &amp; INSTALLATION OF GAS COOKTOP
10% Seniors &amp; Pensioners Discount</t>
        </r>
      </text>
    </comment>
    <comment ref="W1323" authorId="1" shapeId="0" xr:uid="{5E0D5C65-E3EC-43E5-B7E1-EB14CDF9C36B}">
      <text>
        <r>
          <rPr>
            <sz val="11"/>
            <color theme="1"/>
            <rFont val="Aptos Narrow"/>
            <family val="2"/>
            <scheme val="minor"/>
          </rPr>
          <t xml:space="preserve">Unknown User:
Cash denomination
$100*4=$400
$50*9=$450
Cash is updated as split payment in invoice tab. Unable to edit.
</t>
        </r>
      </text>
    </comment>
    <comment ref="G1324" authorId="1" shapeId="0" xr:uid="{AD06214B-CFFA-4A95-8589-48D3C4336431}">
      <text>
        <r>
          <rPr>
            <sz val="11"/>
            <color theme="1"/>
            <rFont val="Aptos Narrow"/>
            <family val="2"/>
            <scheme val="minor"/>
          </rPr>
          <t>Unknown User:
SEARCH AND INVESTIGATION OF ELECTRIC STORAGE HOT WATER SYSTEM
$65 First Service Discount</t>
        </r>
      </text>
    </comment>
    <comment ref="Q1324" authorId="1" shapeId="0" xr:uid="{12AF414F-DB8E-40E7-8B39-F6BDE37ECBB7}">
      <text>
        <r>
          <rPr>
            <sz val="11"/>
            <color theme="1"/>
            <rFont val="Aptos Narrow"/>
            <family val="2"/>
            <scheme val="minor"/>
          </rPr>
          <t>Unknown User:
Invoice not raised</t>
        </r>
      </text>
    </comment>
    <comment ref="G1328" authorId="1" shapeId="0" xr:uid="{FCE5457D-0473-40A0-A0A2-E51D53D5869B}">
      <text>
        <r>
          <rPr>
            <sz val="11"/>
            <color theme="1"/>
            <rFont val="Aptos Narrow"/>
            <family val="2"/>
            <scheme val="minor"/>
          </rPr>
          <t>Unknown User:
SPECIALIST LEAK DETECTION (WATER SERVICE)</t>
        </r>
      </text>
    </comment>
    <comment ref="G1329" authorId="1" shapeId="0" xr:uid="{25B3405A-E744-453B-BFDE-CAD2F2A33E5B}">
      <text>
        <r>
          <rPr>
            <sz val="11"/>
            <color theme="1"/>
            <rFont val="Aptos Narrow"/>
            <family val="2"/>
            <scheme val="minor"/>
          </rPr>
          <t xml:space="preserve">Unknown User:
SUPPLY &amp; INSTALLATION OF GAS STORAGE HOT WATER SYSTEM (EXTERNAL)
</t>
        </r>
      </text>
    </comment>
    <comment ref="J1329" authorId="21" shapeId="0" xr:uid="{89481737-96B8-4023-9E69-401F1BB68575}">
      <text>
        <r>
          <rPr>
            <sz val="11"/>
            <color theme="1"/>
            <rFont val="Aptos Narrow"/>
            <family val="2"/>
            <scheme val="minor"/>
          </rPr>
          <t xml:space="preserve">ZIP
</t>
        </r>
      </text>
    </comment>
    <comment ref="L1329" authorId="1" shapeId="0" xr:uid="{2DD097B8-37A9-4808-9E75-0E07ECB55F0D}">
      <text>
        <r>
          <rPr>
            <sz val="11"/>
            <color theme="1"/>
            <rFont val="Aptos Narrow"/>
            <family val="2"/>
            <scheme val="minor"/>
          </rPr>
          <t>Unknown User:
Pipes are to be connected to Gas HWS.Pic not uploaded.
Temp check pending</t>
        </r>
      </text>
    </comment>
    <comment ref="G1330" authorId="1" shapeId="0" xr:uid="{3F0C8858-41EA-4A6D-8818-5B5CC5CF75B9}">
      <text>
        <r>
          <rPr>
            <sz val="11"/>
            <color theme="1"/>
            <rFont val="Aptos Narrow"/>
            <family val="2"/>
            <scheme val="minor"/>
          </rPr>
          <t>Unknown User:
RESEAL OF SHOWER</t>
        </r>
      </text>
    </comment>
    <comment ref="G1334" authorId="1" shapeId="0" xr:uid="{5B214E4C-12F2-469E-83C6-B563652C640D}">
      <text>
        <r>
          <rPr>
            <sz val="11"/>
            <color theme="1"/>
            <rFont val="Aptos Narrow"/>
            <family val="2"/>
            <scheme val="minor"/>
          </rPr>
          <t>Unknown User:
SUPPLY &amp; INSTALLATION OF GAS STORAGE HOT WATER SYSTEM (EXTERNAL)
10% Seniors &amp; Pensioners Discount</t>
        </r>
      </text>
    </comment>
    <comment ref="G1335" authorId="1" shapeId="0" xr:uid="{41AF3D15-A6C6-4E93-9F7A-F7EE383AE89F}">
      <text>
        <r>
          <rPr>
            <sz val="11"/>
            <color theme="1"/>
            <rFont val="Aptos Narrow"/>
            <family val="2"/>
            <scheme val="minor"/>
          </rPr>
          <t>Unknown User:
SPECIALIST LEAK DETECTION (GAS SERVICE)</t>
        </r>
      </text>
    </comment>
    <comment ref="G1336" authorId="1" shapeId="0" xr:uid="{868AB677-A50B-4B95-BDAE-5194BA1F89A6}">
      <text>
        <r>
          <rPr>
            <sz val="11"/>
            <color theme="1"/>
            <rFont val="Aptos Narrow"/>
            <family val="2"/>
            <scheme val="minor"/>
          </rPr>
          <t>Unknown User:
SUPPLY AND INSTALLATION OF PRESSURE REGULATING DEVICE FITTED TO 20MM STRAIGHT PIPEWORK
$85 Off First Service</t>
        </r>
      </text>
    </comment>
    <comment ref="G1337" authorId="1" shapeId="0" xr:uid="{8C05A760-9D1D-409D-9011-7816B5A9DEBB}">
      <text>
        <r>
          <rPr>
            <sz val="11"/>
            <color theme="1"/>
            <rFont val="Aptos Narrow"/>
            <family val="2"/>
            <scheme val="minor"/>
          </rPr>
          <t>Unknown User:
WATER SERVICE RECTIFICATION (IN WALL)
10% Good Will Discount</t>
        </r>
      </text>
    </comment>
    <comment ref="G1338" authorId="1" shapeId="0" xr:uid="{B6DEF4AA-265A-47B3-8C05-98E9FEADBD87}">
      <text>
        <r>
          <rPr>
            <sz val="11"/>
            <color theme="1"/>
            <rFont val="Aptos Narrow"/>
            <family val="2"/>
            <scheme val="minor"/>
          </rPr>
          <t>Unknown User:
SUPPLY &amp; INSTALLATION OF NEW LINK SUITE
10% Seniors &amp; Pensioners Discount</t>
        </r>
      </text>
    </comment>
    <comment ref="G1339" authorId="1" shapeId="0" xr:uid="{261C4795-5B71-4B65-B769-51750D02AE4F}">
      <text>
        <r>
          <rPr>
            <sz val="11"/>
            <color theme="1"/>
            <rFont val="Aptos Narrow"/>
            <family val="2"/>
            <scheme val="minor"/>
          </rPr>
          <t xml:space="preserve">Unknown User:
REPLACEMENT OF CISTERN DUAL FLUSHING VALVE (COMPLETE ASSEMBLY)
</t>
        </r>
      </text>
    </comment>
    <comment ref="G1340" authorId="1" shapeId="0" xr:uid="{02B5818E-D6A0-4F36-B847-543150E59277}">
      <text>
        <r>
          <rPr>
            <sz val="11"/>
            <color theme="1"/>
            <rFont val="Aptos Narrow"/>
            <family val="2"/>
            <scheme val="minor"/>
          </rPr>
          <t xml:space="preserve">Unknown User:
SUPPLY &amp; INSTALLATION OF NEW WALL FACED TOILET SUITE
</t>
        </r>
      </text>
    </comment>
    <comment ref="G1341" authorId="1" shapeId="0" xr:uid="{CAD67763-3CC2-4C7C-BC3E-FF4A81288395}">
      <text>
        <r>
          <rPr>
            <sz val="11"/>
            <color theme="1"/>
            <rFont val="Aptos Narrow"/>
            <family val="2"/>
            <scheme val="minor"/>
          </rPr>
          <t>Unknown User:
CONVERT INTERNAL GAS STORAGE HOT WATER SYSTEM TO EXTERNAL GAS STORAGE HOT WATER SYSTEM</t>
        </r>
      </text>
    </comment>
    <comment ref="G1342" authorId="1" shapeId="0" xr:uid="{1C88D98F-02A7-4623-85D6-2CD340A2E648}">
      <text>
        <r>
          <rPr>
            <sz val="11"/>
            <color theme="1"/>
            <rFont val="Aptos Narrow"/>
            <family val="2"/>
            <scheme val="minor"/>
          </rPr>
          <t xml:space="preserve">Unknown User:
CCTV DRAIN CAMERA INSPECTION OF SEWER SERVICE
</t>
        </r>
      </text>
    </comment>
    <comment ref="G1344" authorId="1" shapeId="0" xr:uid="{4C1A351A-2F48-46EE-9D0B-98664E44FFF9}">
      <text>
        <r>
          <rPr>
            <sz val="11"/>
            <color theme="1"/>
            <rFont val="Aptos Narrow"/>
            <family val="2"/>
            <scheme val="minor"/>
          </rPr>
          <t>Unknown User:
SPECIALIST LEAK DETECTION (WATER SERVICE)</t>
        </r>
      </text>
    </comment>
    <comment ref="G1345" authorId="1" shapeId="0" xr:uid="{E23AC731-E443-49DF-BAED-F29193E57138}">
      <text>
        <r>
          <rPr>
            <sz val="11"/>
            <color theme="1"/>
            <rFont val="Aptos Narrow"/>
            <family val="2"/>
            <scheme val="minor"/>
          </rPr>
          <t>Unknown User:
SUPPLY &amp; INSTALLATION OF NEW LINK SUITE</t>
        </r>
      </text>
    </comment>
    <comment ref="G1346" authorId="1" shapeId="0" xr:uid="{678BA221-2A78-470D-8D56-8F846ED4807F}">
      <text>
        <r>
          <rPr>
            <sz val="11"/>
            <color theme="1"/>
            <rFont val="Aptos Narrow"/>
            <family val="2"/>
            <scheme val="minor"/>
          </rPr>
          <t>Unknown User:
COMPLETE SERVICE OF TAP TOP ASSEMBLY
$85 Off First Service</t>
        </r>
      </text>
    </comment>
    <comment ref="G1348" authorId="1" shapeId="0" xr:uid="{8BC81FD1-53E5-40E1-A7C5-4E9CE1423630}">
      <text>
        <r>
          <rPr>
            <sz val="11"/>
            <color theme="1"/>
            <rFont val="Aptos Narrow"/>
            <family val="2"/>
            <scheme val="minor"/>
          </rPr>
          <t xml:space="preserve">Unknown User:
SUPPLY &amp; INSTALLATION OF NEW WALL FACED TOILET SUITE
</t>
        </r>
      </text>
    </comment>
    <comment ref="E1369" authorId="53" shapeId="0" xr:uid="{B36F79AF-34CD-472F-B693-D40F4A764914}">
      <text>
        <t>[Threaded comment]
Your version of Excel allows you to read this threaded comment; however, any edits to it will get removed if the file is opened in a newer version of Excel. Learn more: https://go.microsoft.com/fwlink/?linkid=870924
Comment:
    Stock</t>
      </text>
    </comment>
    <comment ref="E1370" authorId="54" shapeId="0" xr:uid="{DDAE96AB-0FB5-4E68-98B0-4D51DA5E887A}">
      <text>
        <t>[Threaded comment]
Your version of Excel allows you to read this threaded comment; however, any edits to it will get removed if the file is opened in a newer version of Excel. Learn more: https://go.microsoft.com/fwlink/?linkid=870924
Comment:
    Stock</t>
      </text>
    </comment>
    <comment ref="G1381" authorId="1" shapeId="0" xr:uid="{B423D652-2102-4D08-B06B-BF3CA4ECDC54}">
      <text>
        <r>
          <rPr>
            <sz val="11"/>
            <color theme="1"/>
            <rFont val="Aptos Narrow"/>
            <family val="2"/>
            <scheme val="minor"/>
          </rPr>
          <t xml:space="preserve">Unknown User:
HIGH POWERED JET BLAST &amp; CCTV DRAIN CAMERA INSPECTION (SEWER SERVICE)
</t>
        </r>
      </text>
    </comment>
    <comment ref="Q1381" authorId="1" shapeId="0" xr:uid="{A727AC9C-5B71-4FA9-95A2-B193B1E1A9B2}">
      <text>
        <r>
          <rPr>
            <sz val="11"/>
            <color theme="1"/>
            <rFont val="Aptos Narrow"/>
            <family val="2"/>
            <scheme val="minor"/>
          </rPr>
          <t>Unknown User:
Progress invoice not raised by plumber</t>
        </r>
      </text>
    </comment>
    <comment ref="G1382" authorId="1" shapeId="0" xr:uid="{AEA9AA48-2BC3-4911-BF4A-695727EFD9E1}">
      <text>
        <r>
          <rPr>
            <sz val="11"/>
            <color theme="1"/>
            <rFont val="Aptos Narrow"/>
            <family val="2"/>
            <scheme val="minor"/>
          </rPr>
          <t xml:space="preserve">Unknown User:
SEARCH &amp; INVESTIGATION OF IN WALL MIXER
</t>
        </r>
      </text>
    </comment>
    <comment ref="L1382" authorId="1" shapeId="0" xr:uid="{BA5A307E-F07C-40DB-9C83-F2007CEC2424}">
      <text>
        <r>
          <rPr>
            <sz val="11"/>
            <color theme="1"/>
            <rFont val="Aptos Narrow"/>
            <family val="2"/>
            <scheme val="minor"/>
          </rPr>
          <t>Unknown User:
Investigation pics uploaded in Job #74683 (Upsell job)</t>
        </r>
      </text>
    </comment>
    <comment ref="Q1382" authorId="1" shapeId="0" xr:uid="{4F6ED434-2005-44EA-A381-B4C8FD7CD1B9}">
      <text>
        <r>
          <rPr>
            <sz val="11"/>
            <color theme="1"/>
            <rFont val="Aptos Narrow"/>
            <family val="2"/>
            <scheme val="minor"/>
          </rPr>
          <t>Unknown User:
Progress &amp; final zero due invoice not raised by plumber.</t>
        </r>
      </text>
    </comment>
    <comment ref="G1383" authorId="1" shapeId="0" xr:uid="{D718C9CA-EC71-4D39-9BEE-18F3F7A06DBB}">
      <text>
        <r>
          <rPr>
            <sz val="11"/>
            <color theme="1"/>
            <rFont val="Aptos Narrow"/>
            <family val="2"/>
            <scheme val="minor"/>
          </rPr>
          <t>Unknown User:
SUPPLY &amp; INSTALLATION OF NEW MIXER CARTRIDGE</t>
        </r>
      </text>
    </comment>
    <comment ref="S1383" authorId="1" shapeId="0" xr:uid="{C7D5A3A6-2D48-4DBD-9047-D6FB4BDDF385}">
      <text>
        <r>
          <rPr>
            <sz val="11"/>
            <color theme="1"/>
            <rFont val="Aptos Narrow"/>
            <family val="2"/>
            <scheme val="minor"/>
          </rPr>
          <t>Unknown User:
Signed invoice not emailed</t>
        </r>
      </text>
    </comment>
    <comment ref="G1384" authorId="1" shapeId="0" xr:uid="{D9E92784-35D3-48B1-B238-237150574114}">
      <text>
        <r>
          <rPr>
            <sz val="11"/>
            <color theme="1"/>
            <rFont val="Aptos Narrow"/>
            <family val="2"/>
            <scheme val="minor"/>
          </rPr>
          <t>Unknown User:
SEARCH &amp; INVESTIGATION OF DOUBLE STOREY ROOF OF POTENTIAL LEAK</t>
        </r>
      </text>
    </comment>
    <comment ref="S1384" authorId="1" shapeId="0" xr:uid="{D0A1F023-1400-4075-BE0E-D497A8E4C1DC}">
      <text>
        <r>
          <rPr>
            <sz val="11"/>
            <color theme="1"/>
            <rFont val="Aptos Narrow"/>
            <family val="2"/>
            <scheme val="minor"/>
          </rPr>
          <t>Unknown User:
Signed invoice not emailed</t>
        </r>
      </text>
    </comment>
    <comment ref="G1385" authorId="1" shapeId="0" xr:uid="{D5DC75C2-94F9-4156-B8DB-20FCF56F64E6}">
      <text>
        <r>
          <rPr>
            <sz val="11"/>
            <color theme="1"/>
            <rFont val="Aptos Narrow"/>
            <family val="2"/>
            <scheme val="minor"/>
          </rPr>
          <t xml:space="preserve">Unknown User:
REPLACEMENT OF LAUNDRY TOPS AND ARM
REPLACEMENT OF BATH TAP TOPS AND SPOUT (NO DIVERTER)
CONVERT KITCHEN TAPWARE TO NEW KITCHEN MIXER
REPLACEMENT OF BASIN TAPS AND SPOUT
REPLACEMENT OF PAIR EMERGENCY STOP VALVES
SUPPLY &amp; INSTALLATION OF NEW LINK SUITE
SUPPLY &amp; INSTALLATION OF NEW SKEW TOILET SUITE
SUPPLY &amp; INSTALLATION OF NEW SHOWER WALL TOP TAPS
</t>
        </r>
      </text>
    </comment>
    <comment ref="S1385" authorId="1" shapeId="0" xr:uid="{08E45A03-1133-4769-A8ED-BF0AEDF202D0}">
      <text>
        <r>
          <rPr>
            <sz val="11"/>
            <color theme="1"/>
            <rFont val="Aptos Narrow"/>
            <family val="2"/>
            <scheme val="minor"/>
          </rPr>
          <t>Unknown User:
Signed invoice not emailed</t>
        </r>
      </text>
    </comment>
    <comment ref="G1386" authorId="1" shapeId="0" xr:uid="{FB259991-2055-4B54-BC5A-C64D22C0EE12}">
      <text>
        <r>
          <rPr>
            <sz val="11"/>
            <color theme="1"/>
            <rFont val="Aptos Narrow"/>
            <family val="2"/>
            <scheme val="minor"/>
          </rPr>
          <t>Unknown User:
SEARCH &amp; INVESTIGATION OF DISHWASHER</t>
        </r>
      </text>
    </comment>
    <comment ref="Q1386" authorId="1" shapeId="0" xr:uid="{A4812406-CEE5-4507-AE2B-A74EA65837AA}">
      <text>
        <r>
          <rPr>
            <sz val="11"/>
            <color theme="1"/>
            <rFont val="Aptos Narrow"/>
            <family val="2"/>
            <scheme val="minor"/>
          </rPr>
          <t>Unknown User:
Invoice not raised</t>
        </r>
      </text>
    </comment>
    <comment ref="G1387" authorId="1" shapeId="0" xr:uid="{7E34149F-323B-4AD4-A59C-294ED8D500DA}">
      <text>
        <r>
          <rPr>
            <sz val="11"/>
            <color theme="1"/>
            <rFont val="Aptos Narrow"/>
            <family val="2"/>
            <scheme val="minor"/>
          </rPr>
          <t>Unknown User:
SUPPLY &amp; INSTALLATION OF NEW DISHWASHER IN REPLACEMENT OF EXISTING</t>
        </r>
      </text>
    </comment>
    <comment ref="T1387" authorId="1" shapeId="0" xr:uid="{4CAEE0CF-5A7D-43DF-B263-797229CA0A40}">
      <text>
        <r>
          <rPr>
            <sz val="11"/>
            <color theme="1"/>
            <rFont val="Aptos Narrow"/>
            <family val="2"/>
            <scheme val="minor"/>
          </rPr>
          <t>Unknown User:
1x Trust Pilot
1x Product review</t>
        </r>
      </text>
    </comment>
    <comment ref="G1388" authorId="1" shapeId="0" xr:uid="{6A92AD02-054E-4781-8B42-9B712540192C}">
      <text>
        <r>
          <rPr>
            <sz val="11"/>
            <color theme="1"/>
            <rFont val="Aptos Narrow"/>
            <family val="2"/>
            <scheme val="minor"/>
          </rPr>
          <t xml:space="preserve">Unknown User:
HIGH POWERED JET BLAST &amp; CCTV DRAIN CAMERA INSPECTION (SEWER SERVICE)
</t>
        </r>
      </text>
    </comment>
    <comment ref="R1388" authorId="1" shapeId="0" xr:uid="{EAA8A6A1-9D0D-4B69-81EA-42E13520BB91}">
      <text>
        <r>
          <rPr>
            <sz val="11"/>
            <color theme="1"/>
            <rFont val="Aptos Narrow"/>
            <family val="2"/>
            <scheme val="minor"/>
          </rPr>
          <t>Unknown User:
Sign not obtained</t>
        </r>
      </text>
    </comment>
    <comment ref="S1388" authorId="1" shapeId="0" xr:uid="{A92CD918-3FCB-4E0C-A77C-145E6286096F}">
      <text>
        <r>
          <rPr>
            <sz val="11"/>
            <color theme="1"/>
            <rFont val="Aptos Narrow"/>
            <family val="2"/>
            <scheme val="minor"/>
          </rPr>
          <t>Unknown User:
Invoice emailed without sign</t>
        </r>
      </text>
    </comment>
    <comment ref="G1394" authorId="1" shapeId="0" xr:uid="{FFB2C0C5-58B7-4FEA-A191-D97BC9091F63}">
      <text>
        <r>
          <rPr>
            <sz val="11"/>
            <color theme="1"/>
            <rFont val="Aptos Narrow"/>
            <family val="2"/>
            <scheme val="minor"/>
          </rPr>
          <t xml:space="preserve">Unknown User:
HIGH POWERED JET BLAST &amp; CCTV DRAIN CAMERA INSPECTION (SEWER SERVICE)
</t>
        </r>
      </text>
    </comment>
    <comment ref="R1394" authorId="1" shapeId="0" xr:uid="{0210D37E-9969-491C-A10E-4FF891F698FC}">
      <text>
        <r>
          <rPr>
            <sz val="11"/>
            <color theme="1"/>
            <rFont val="Aptos Narrow"/>
            <family val="2"/>
            <scheme val="minor"/>
          </rPr>
          <t>Unknown User:
Sign not obtained</t>
        </r>
      </text>
    </comment>
    <comment ref="G1395" authorId="1" shapeId="0" xr:uid="{EE1D3534-BC29-42EE-B359-6933D2F09E0A}">
      <text>
        <r>
          <rPr>
            <sz val="11"/>
            <color theme="1"/>
            <rFont val="Aptos Narrow"/>
            <family val="2"/>
            <scheme val="minor"/>
          </rPr>
          <t>Unknown User:
HIGH POWERED JET BLAST &amp; CCTV DRAIN CAMERA INSPECTION (SEWER SERVICE)</t>
        </r>
      </text>
    </comment>
    <comment ref="Q1395" authorId="1" shapeId="0" xr:uid="{245DA9E9-9CC9-4F04-9EEC-E8EA342DC8C8}">
      <text>
        <r>
          <rPr>
            <sz val="11"/>
            <color theme="1"/>
            <rFont val="Aptos Narrow"/>
            <family val="2"/>
            <scheme val="minor"/>
          </rPr>
          <t>Unknown User:
Invoice not raised</t>
        </r>
      </text>
    </comment>
    <comment ref="G1396" authorId="1" shapeId="0" xr:uid="{01A010E0-FC25-4328-8385-CD75AC4EC188}">
      <text>
        <r>
          <rPr>
            <sz val="11"/>
            <color theme="1"/>
            <rFont val="Aptos Narrow"/>
            <family val="2"/>
            <scheme val="minor"/>
          </rPr>
          <t>Unknown User:
SEWER SPOT DIG UP TO 1.5M - IN GROUND
CREDIT HIGH POWERED JETBLAST &amp; CCTV CAMERA
Good Will Discount</t>
        </r>
      </text>
    </comment>
    <comment ref="O1396" authorId="1" shapeId="0" xr:uid="{C6E6685B-6F61-49E1-97B0-F6F138929A45}">
      <text>
        <r>
          <rPr>
            <sz val="11"/>
            <color theme="1"/>
            <rFont val="Aptos Narrow"/>
            <family val="2"/>
            <scheme val="minor"/>
          </rPr>
          <t>Unknown User:
Quote not signed</t>
        </r>
      </text>
    </comment>
    <comment ref="D1397" authorId="1" shapeId="0" xr:uid="{F62EB00B-8430-4F52-8D4D-B994F80005A8}">
      <text>
        <r>
          <rPr>
            <sz val="11"/>
            <color theme="1"/>
            <rFont val="Aptos Narrow"/>
            <family val="2"/>
            <scheme val="minor"/>
          </rPr>
          <t>Unknown User:
Quote duplicated</t>
        </r>
      </text>
    </comment>
    <comment ref="G1397" authorId="1" shapeId="0" xr:uid="{5AA8EE54-3785-4925-B11B-3F1D0D7AA3CC}">
      <text>
        <r>
          <rPr>
            <sz val="11"/>
            <color theme="1"/>
            <rFont val="Aptos Narrow"/>
            <family val="2"/>
            <scheme val="minor"/>
          </rPr>
          <t>Unknown User:
RELINE OF SEWER SERVICE UP TO 4M</t>
        </r>
      </text>
    </comment>
    <comment ref="G1398" authorId="1" shapeId="0" xr:uid="{563ABED7-6F1E-4290-A9D3-64660BCC9751}">
      <text>
        <r>
          <rPr>
            <sz val="11"/>
            <color theme="1"/>
            <rFont val="Aptos Narrow"/>
            <family val="2"/>
            <scheme val="minor"/>
          </rPr>
          <t>Unknown User:
REPLACEMENT OF SEWER BOUNDARY TRAP</t>
        </r>
      </text>
    </comment>
    <comment ref="G1399" authorId="1" shapeId="0" xr:uid="{1504C30B-C9A2-4D11-8628-93C9C8111609}">
      <text>
        <r>
          <rPr>
            <sz val="11"/>
            <color theme="1"/>
            <rFont val="Aptos Narrow"/>
            <family val="2"/>
            <scheme val="minor"/>
          </rPr>
          <t xml:space="preserve">Unknown User:
SUPPLY &amp; INSTALLATION OF NEW SINGLE ELEMENT HOT WATER UNIT – INTERNAL
</t>
        </r>
      </text>
    </comment>
    <comment ref="G1400" authorId="1" shapeId="0" xr:uid="{E603381C-7B4B-42EC-A516-122E9FF5D155}">
      <text>
        <r>
          <rPr>
            <sz val="11"/>
            <color theme="1"/>
            <rFont val="Aptos Narrow"/>
            <family val="2"/>
            <scheme val="minor"/>
          </rPr>
          <t>Unknown User:
SUPPLY &amp; INSTALLATION OF NEW SKEW TOILET SUITE</t>
        </r>
      </text>
    </comment>
    <comment ref="S1400" authorId="1" shapeId="0" xr:uid="{A9E6CBC0-BE08-45FF-B2BD-63E550390165}">
      <text>
        <r>
          <rPr>
            <sz val="11"/>
            <color theme="1"/>
            <rFont val="Aptos Narrow"/>
            <family val="2"/>
            <scheme val="minor"/>
          </rPr>
          <t>Unknown User:
Signed invoice not emailed</t>
        </r>
      </text>
    </comment>
    <comment ref="T1400" authorId="1" shapeId="0" xr:uid="{29A6573C-04F2-4873-B507-C53B79DCB24D}">
      <text>
        <r>
          <rPr>
            <sz val="11"/>
            <color theme="1"/>
            <rFont val="Aptos Narrow"/>
            <family val="2"/>
            <scheme val="minor"/>
          </rPr>
          <t>Unknown User:
0.5x Harrison</t>
        </r>
      </text>
    </comment>
    <comment ref="U1400" authorId="1" shapeId="0" xr:uid="{EBFC6C0B-B1F2-4166-B232-7E6F988FC7D1}">
      <text>
        <r>
          <rPr>
            <sz val="11"/>
            <color theme="1"/>
            <rFont val="Aptos Narrow"/>
            <family val="2"/>
            <scheme val="minor"/>
          </rPr>
          <t>Unknown User:
8/9-As per Jack's note "Cistern and seat installed and tested for leaks. No leaks present. Attempted to collect a progress payment from client however she is unwilling to pay until the new parts are installed. Have advised her that the office will be in contact to re book once the new parts are in."
8/9-As per Tolga's note "Ordered new skew toilet from St kikda reece they will notify me when its ready
Client not happy with the one that was purchased
Jack to install flush pipe amd cistern for current one amd then we will come back to install new one"</t>
        </r>
      </text>
    </comment>
    <comment ref="G1401" authorId="1" shapeId="0" xr:uid="{19D924D5-F456-4101-87AD-8467496488D3}">
      <text>
        <r>
          <rPr>
            <sz val="11"/>
            <color theme="1"/>
            <rFont val="Aptos Narrow"/>
            <family val="2"/>
            <scheme val="minor"/>
          </rPr>
          <t>Unknown User:
SUPPLY &amp; INSTALLATION OF GAS COOKTOP
10% Seniors &amp; Pensioners Discount</t>
        </r>
      </text>
    </comment>
    <comment ref="W1401" authorId="1" shapeId="0" xr:uid="{2F348CA5-CF5E-42C1-BEFE-F7F3C262D0E8}">
      <text>
        <r>
          <rPr>
            <sz val="11"/>
            <color theme="1"/>
            <rFont val="Aptos Narrow"/>
            <family val="2"/>
            <scheme val="minor"/>
          </rPr>
          <t xml:space="preserve">Unknown User:
Cash denomination
$100*4=$400
$50*9=$450
Cash is updated as split payment in invoice tab. Unable to edit.
</t>
        </r>
      </text>
    </comment>
    <comment ref="G1402" authorId="1" shapeId="0" xr:uid="{2B5C1F79-9810-4A5C-971C-5A3EDC654EC6}">
      <text>
        <r>
          <rPr>
            <sz val="11"/>
            <color theme="1"/>
            <rFont val="Aptos Narrow"/>
            <family val="2"/>
            <scheme val="minor"/>
          </rPr>
          <t>Unknown User:
SEARCH AND INVESTIGATION OF ELECTRIC STORAGE HOT WATER SYSTEM
$65 First Service Discount</t>
        </r>
      </text>
    </comment>
    <comment ref="Q1402" authorId="1" shapeId="0" xr:uid="{79941BB0-924B-421A-9ED4-5C8016FE6027}">
      <text>
        <r>
          <rPr>
            <sz val="11"/>
            <color theme="1"/>
            <rFont val="Aptos Narrow"/>
            <family val="2"/>
            <scheme val="minor"/>
          </rPr>
          <t>Unknown User:
Invoice not raised</t>
        </r>
      </text>
    </comment>
    <comment ref="G1403" authorId="1" shapeId="0" xr:uid="{EB9941FF-CA1D-4D3E-9ACB-21340CE6C4EA}">
      <text>
        <r>
          <rPr>
            <sz val="11"/>
            <color theme="1"/>
            <rFont val="Aptos Narrow"/>
            <family val="2"/>
            <scheme val="minor"/>
          </rPr>
          <t>Unknown User:
REPLACEMENT OF EXISTING OVERFLOW GULLY &amp; SECTION OF MAIN SEWER SERVICE</t>
        </r>
      </text>
    </comment>
    <comment ref="Q1403" authorId="1" shapeId="0" xr:uid="{4F9E61BF-6148-4F00-AAA3-1B23F9FAE556}">
      <text>
        <r>
          <rPr>
            <sz val="11"/>
            <color theme="1"/>
            <rFont val="Aptos Narrow"/>
            <family val="2"/>
            <scheme val="minor"/>
          </rPr>
          <t>Unknown User:
Invoice not raised</t>
        </r>
      </text>
    </comment>
    <comment ref="G1404" authorId="1" shapeId="0" xr:uid="{6B281621-759A-4EB9-8BAF-0AD2B33B2779}">
      <text>
        <r>
          <rPr>
            <sz val="11"/>
            <color theme="1"/>
            <rFont val="Aptos Narrow"/>
            <family val="2"/>
            <scheme val="minor"/>
          </rPr>
          <t>Unknown User:
SUPPLY &amp; INSTALLATION OF NEW WALL FACED TOILET SUITE</t>
        </r>
      </text>
    </comment>
    <comment ref="A1405" authorId="55" shapeId="0" xr:uid="{A8D4FFFD-6060-4859-B069-F5489698AB7B}">
      <text>
        <t>[Threaded comment]
Your version of Excel allows you to read this threaded comment; however, any edits to it will get removed if the file is opened in a newer version of Excel. Learn more: https://go.microsoft.com/fwlink/?linkid=870924
Comment:
    10% Comm'ns will be paid upon Achieving 5 x 5 Star Reviews</t>
      </text>
    </comment>
    <comment ref="G1405" authorId="1" shapeId="0" xr:uid="{0AA9DFCF-FCC2-474E-8FCC-81233F53A905}">
      <text>
        <r>
          <rPr>
            <sz val="11"/>
            <color theme="1"/>
            <rFont val="Aptos Narrow"/>
            <family val="2"/>
            <scheme val="minor"/>
          </rPr>
          <t>Unknown User:
SEWER SERVICE RECTIFICATION / SEWER VENT REPLACEMENT</t>
        </r>
      </text>
    </comment>
    <comment ref="V1405" authorId="1" shapeId="0" xr:uid="{44970869-258B-47C3-BD1F-E5D4C0F161C3}">
      <text>
        <r>
          <rPr>
            <sz val="11"/>
            <color theme="1"/>
            <rFont val="Aptos Narrow"/>
            <family val="2"/>
            <scheme val="minor"/>
          </rPr>
          <t>Unknown User:
21/10-Received $1231.86 by Smartpay</t>
        </r>
      </text>
    </comment>
    <comment ref="G1409" authorId="1" shapeId="0" xr:uid="{D5F5BDFC-4500-4EB0-BFE4-26064587D28F}">
      <text>
        <r>
          <rPr>
            <sz val="11"/>
            <color theme="1"/>
            <rFont val="Aptos Narrow"/>
            <family val="2"/>
            <scheme val="minor"/>
          </rPr>
          <t>Unknown User:
SPECIALIST LEAK DETECTION (WATER SERVICE)</t>
        </r>
      </text>
    </comment>
    <comment ref="G1410" authorId="1" shapeId="0" xr:uid="{1114822E-D2C5-4325-9594-9D1E6527EAF9}">
      <text>
        <r>
          <rPr>
            <sz val="11"/>
            <color theme="1"/>
            <rFont val="Aptos Narrow"/>
            <family val="2"/>
            <scheme val="minor"/>
          </rPr>
          <t xml:space="preserve">Unknown User:
SUPPLY &amp; INSTALLATION OF GAS STORAGE HOT WATER SYSTEM (EXTERNAL)
</t>
        </r>
      </text>
    </comment>
    <comment ref="J1410" authorId="21" shapeId="0" xr:uid="{EB516773-45DF-4A6D-A817-338AE8680216}">
      <text>
        <r>
          <rPr>
            <sz val="11"/>
            <color theme="1"/>
            <rFont val="Aptos Narrow"/>
            <family val="2"/>
            <scheme val="minor"/>
          </rPr>
          <t xml:space="preserve">ZIP
</t>
        </r>
      </text>
    </comment>
    <comment ref="L1410" authorId="1" shapeId="0" xr:uid="{E338DFFC-9BC0-48FF-9EC7-5BC57839EA57}">
      <text>
        <r>
          <rPr>
            <sz val="11"/>
            <color theme="1"/>
            <rFont val="Aptos Narrow"/>
            <family val="2"/>
            <scheme val="minor"/>
          </rPr>
          <t>Unknown User:
Pipes are to be connected to Gas HWS.Pic not uploaded.
Temp check pending</t>
        </r>
      </text>
    </comment>
    <comment ref="G1411" authorId="1" shapeId="0" xr:uid="{0ECC2D1A-C210-4BF7-8301-C2B594AEFACC}">
      <text>
        <r>
          <rPr>
            <sz val="11"/>
            <color theme="1"/>
            <rFont val="Aptos Narrow"/>
            <family val="2"/>
            <scheme val="minor"/>
          </rPr>
          <t>Unknown User:
RESEAL OF SHOWER</t>
        </r>
      </text>
    </comment>
    <comment ref="G1412" authorId="1" shapeId="0" xr:uid="{78D92186-0F1C-40F7-ABAC-42986278A123}">
      <text>
        <r>
          <rPr>
            <sz val="11"/>
            <color theme="1"/>
            <rFont val="Aptos Narrow"/>
            <family val="2"/>
            <scheme val="minor"/>
          </rPr>
          <t>Unknown User:
RESEAL OF SHOWER</t>
        </r>
      </text>
    </comment>
    <comment ref="G1413" authorId="1" shapeId="0" xr:uid="{3558442E-0E09-4087-9419-440A3FD83395}">
      <text>
        <r>
          <rPr>
            <sz val="11"/>
            <color theme="1"/>
            <rFont val="Aptos Narrow"/>
            <family val="2"/>
            <scheme val="minor"/>
          </rPr>
          <t>Unknown User:
SEWER SPOT DIG - IN GROUND</t>
        </r>
      </text>
    </comment>
    <comment ref="G1417" authorId="1" shapeId="0" xr:uid="{4AE8A19A-75B5-4210-BA99-65D60425D02B}">
      <text>
        <r>
          <rPr>
            <sz val="11"/>
            <color theme="1"/>
            <rFont val="Aptos Narrow"/>
            <family val="2"/>
            <scheme val="minor"/>
          </rPr>
          <t>Unknown User:
REPLACEMENT OF EXISTING PULL-OUT KITCHEN MIXER
10% Good Will Discount</t>
        </r>
      </text>
    </comment>
    <comment ref="G1418" authorId="1" shapeId="0" xr:uid="{9FEFDA62-6222-42FE-BBC0-86EC88AE1097}">
      <text>
        <r>
          <rPr>
            <sz val="11"/>
            <color theme="1"/>
            <rFont val="Aptos Narrow"/>
            <family val="2"/>
            <scheme val="minor"/>
          </rPr>
          <t xml:space="preserve">Unknown User:
MIXER TAP - GOOSE NECK
</t>
        </r>
      </text>
    </comment>
    <comment ref="G1419" authorId="1" shapeId="0" xr:uid="{C0F1611D-FA19-4B2B-9CF9-1149F3BE3F32}">
      <text>
        <r>
          <rPr>
            <sz val="11"/>
            <color theme="1"/>
            <rFont val="Aptos Narrow"/>
            <family val="2"/>
            <scheme val="minor"/>
          </rPr>
          <t>Unknown User:
SEWER SERVICE - RELINE - BOUNDARY TRAP</t>
        </r>
      </text>
    </comment>
    <comment ref="G1420" authorId="1" shapeId="0" xr:uid="{58BFBB23-D83C-478B-8040-1F54C5C5E5B5}">
      <text>
        <r>
          <rPr>
            <sz val="11"/>
            <color theme="1"/>
            <rFont val="Aptos Narrow"/>
            <family val="2"/>
            <scheme val="minor"/>
          </rPr>
          <t>Unknown User:
HIGH POWERED SUCTION &amp; ACID TREATMENT
10% Seniors &amp; Pensioners Discount</t>
        </r>
      </text>
    </comment>
    <comment ref="G1421" authorId="1" shapeId="0" xr:uid="{E643F6BB-A8B7-4307-8FDA-E813D1B32AFD}">
      <text>
        <r>
          <rPr>
            <sz val="11"/>
            <color theme="1"/>
            <rFont val="Aptos Narrow"/>
            <family val="2"/>
            <scheme val="minor"/>
          </rPr>
          <t>Unknown User:
SUPPLY &amp; INSTALLATION OF NEW IN-SINK-ERATOR (REPLACE EXISTING)</t>
        </r>
      </text>
    </comment>
    <comment ref="G1422" authorId="1" shapeId="0" xr:uid="{3DBFCD90-C011-47A5-8449-833CC01BFC7E}">
      <text>
        <r>
          <rPr>
            <sz val="11"/>
            <color theme="1"/>
            <rFont val="Aptos Narrow"/>
            <family val="2"/>
            <scheme val="minor"/>
          </rPr>
          <t xml:space="preserve">Unknown User:
ROOF SHEETING REPLACEMENT - LOWER ROOF ONLY </t>
        </r>
      </text>
    </comment>
    <comment ref="G1423" authorId="1" shapeId="0" xr:uid="{AE458B2D-A59F-4934-BB13-CE7842F167DF}">
      <text>
        <r>
          <rPr>
            <sz val="11"/>
            <color theme="1"/>
            <rFont val="Aptos Narrow"/>
            <family val="2"/>
            <scheme val="minor"/>
          </rPr>
          <t>Unknown User:
SPECIALIST LEAK DETECTION (WATER SERVICE)
$85 Off First Service</t>
        </r>
      </text>
    </comment>
    <comment ref="G1425" authorId="1" shapeId="0" xr:uid="{B5853470-C484-4454-9F8C-B10416E89C18}">
      <text>
        <r>
          <rPr>
            <sz val="11"/>
            <color theme="1"/>
            <rFont val="Aptos Narrow"/>
            <family val="2"/>
            <scheme val="minor"/>
          </rPr>
          <t xml:space="preserve">Unknown User:
HIGH POWERED SUCTION &amp; ACID TREATMENT
</t>
        </r>
      </text>
    </comment>
    <comment ref="G1426" authorId="1" shapeId="0" xr:uid="{4AAD574F-FD65-45AB-8A7F-53AD96A8A933}">
      <text>
        <r>
          <rPr>
            <sz val="11"/>
            <color theme="1"/>
            <rFont val="Aptos Narrow"/>
            <family val="2"/>
            <scheme val="minor"/>
          </rPr>
          <t xml:space="preserve">Unknown User:
SPECIALIST LEAK DETECTION (WATER SERVICE)
</t>
        </r>
      </text>
    </comment>
    <comment ref="G1427" authorId="1" shapeId="0" xr:uid="{768D44EE-F4FB-472F-81B6-A10A1E404E54}">
      <text>
        <r>
          <rPr>
            <sz val="11"/>
            <color theme="1"/>
            <rFont val="Aptos Narrow"/>
            <family val="2"/>
            <scheme val="minor"/>
          </rPr>
          <t>Unknown User:
SUPPLY &amp; INSTALLATION OF NEW CLOSE COUPLED TOILET SUITE
10% Good Will Discount</t>
        </r>
      </text>
    </comment>
    <comment ref="G1428" authorId="1" shapeId="0" xr:uid="{FD141937-977E-4909-B852-911117C35458}">
      <text>
        <r>
          <rPr>
            <sz val="11"/>
            <color theme="1"/>
            <rFont val="Aptos Narrow"/>
            <family val="2"/>
            <scheme val="minor"/>
          </rPr>
          <t xml:space="preserve">Unknown User:
FLOOD, DYE, PRESSURE TEST (WET AREA)
</t>
        </r>
      </text>
    </comment>
    <comment ref="G1429" authorId="1" shapeId="0" xr:uid="{E23D7EA0-816F-4416-B3AD-001ACA97C904}">
      <text>
        <r>
          <rPr>
            <sz val="11"/>
            <color theme="1"/>
            <rFont val="Aptos Narrow"/>
            <family val="2"/>
            <scheme val="minor"/>
          </rPr>
          <t>Unknown User:
SEARCH &amp; INVESTIGATION OF GAS APPLIANCE</t>
        </r>
      </text>
    </comment>
    <comment ref="G1430" authorId="1" shapeId="0" xr:uid="{136DB2F3-DDB7-4BCB-A2C7-92A00B368868}">
      <text>
        <r>
          <rPr>
            <sz val="11"/>
            <color theme="1"/>
            <rFont val="Aptos Narrow"/>
            <family val="2"/>
            <scheme val="minor"/>
          </rPr>
          <t>Unknown User:
REPLACEMENT OF EXISTING OVERFLOW GULLY &amp; SECTION OF MAIN SEWER SERVICE</t>
        </r>
      </text>
    </comment>
    <comment ref="G1431" authorId="1" shapeId="0" xr:uid="{4A4D6E3C-22F6-469A-B15E-417D9C97C452}">
      <text>
        <r>
          <rPr>
            <sz val="11"/>
            <color theme="1"/>
            <rFont val="Aptos Narrow"/>
            <family val="2"/>
            <scheme val="minor"/>
          </rPr>
          <t>Unknown User:
REPLACEMENT OF EXISTING GOOSE NECK KITCHEN MIXER
15% Good Will Discount</t>
        </r>
      </text>
    </comment>
    <comment ref="G1433" authorId="1" shapeId="0" xr:uid="{42EAB8D2-F273-405D-96CF-469B22CA63A1}">
      <text>
        <r>
          <rPr>
            <sz val="11"/>
            <color theme="1"/>
            <rFont val="Aptos Narrow"/>
            <family val="2"/>
            <scheme val="minor"/>
          </rPr>
          <t>Unknown User:
SPECIALIST LEAK DETECTION (WATER SERVICE)</t>
        </r>
      </text>
    </comment>
    <comment ref="G1434" authorId="1" shapeId="0" xr:uid="{A49922D5-1614-4E92-85AA-68AAAAA414AA}">
      <text>
        <r>
          <rPr>
            <sz val="11"/>
            <color theme="1"/>
            <rFont val="Aptos Narrow"/>
            <family val="2"/>
            <scheme val="minor"/>
          </rPr>
          <t>Unknown User:
FLOOD, DYE, PRESSURE TEST (WET AREA)
$85 Off First Service</t>
        </r>
      </text>
    </comment>
    <comment ref="G1435" authorId="1" shapeId="0" xr:uid="{456D8854-829E-47C1-BA0A-06D18A314DF2}">
      <text>
        <r>
          <rPr>
            <sz val="11"/>
            <color theme="1"/>
            <rFont val="Aptos Narrow"/>
            <family val="2"/>
            <scheme val="minor"/>
          </rPr>
          <t xml:space="preserve">Unknown User:
SEARCH &amp; INVESTIGATION OF POTENTIAL GAS LEAK
</t>
        </r>
      </text>
    </comment>
    <comment ref="G1436" authorId="1" shapeId="0" xr:uid="{3889540D-2735-4814-B62E-78E5E6144C8E}">
      <text>
        <r>
          <rPr>
            <sz val="11"/>
            <color theme="1"/>
            <rFont val="Aptos Narrow"/>
            <family val="2"/>
            <scheme val="minor"/>
          </rPr>
          <t xml:space="preserve">Unknown User:
SEARCH &amp; INVESTIGATION OF GAS STORAGE HOT WATER SYSTEM
</t>
        </r>
      </text>
    </comment>
    <comment ref="G1437" authorId="1" shapeId="0" xr:uid="{6F68FD89-FA6F-4617-B1D8-C8BF92103A8C}">
      <text>
        <r>
          <rPr>
            <sz val="11"/>
            <color theme="1"/>
            <rFont val="Aptos Narrow"/>
            <family val="2"/>
            <scheme val="minor"/>
          </rPr>
          <t>Unknown User:
SUPPLY &amp; INSTALLATION OF GAS STORAGE HOT WATER SYSTEM (EXTERNAL)
10% Loyalty Discount</t>
        </r>
      </text>
    </comment>
    <comment ref="G1438" authorId="1" shapeId="0" xr:uid="{009F9B7E-4A26-482E-B3C1-E96419007721}">
      <text>
        <r>
          <rPr>
            <sz val="11"/>
            <color theme="1"/>
            <rFont val="Aptos Narrow"/>
            <family val="2"/>
            <scheme val="minor"/>
          </rPr>
          <t xml:space="preserve">Unknown User:
INSTALLATION OF CUSTOMER SUPPLIED FRIDGE WITHIN 2.5M OF COLD WATER SUPPLY
</t>
        </r>
      </text>
    </comment>
    <comment ref="G1439" authorId="1" shapeId="0" xr:uid="{DFF387B3-104F-4BE3-A5D8-9D72A31983D4}">
      <text>
        <r>
          <rPr>
            <sz val="11"/>
            <color theme="1"/>
            <rFont val="Aptos Narrow"/>
            <family val="2"/>
            <scheme val="minor"/>
          </rPr>
          <t>Unknown User:
SEARCH &amp; INVESTIGATION OF DISHWASHER</t>
        </r>
      </text>
    </comment>
    <comment ref="G1440" authorId="1" shapeId="0" xr:uid="{236C11CC-D333-42E3-917B-6EE7180C5905}">
      <text>
        <r>
          <rPr>
            <sz val="11"/>
            <color theme="1"/>
            <rFont val="Aptos Narrow"/>
            <family val="2"/>
            <scheme val="minor"/>
          </rPr>
          <t xml:space="preserve">Unknown User:
SUPPLY AND INSTALLATION OF TRAP TO SINK OR LAUNDRY TUB - WHITE PVC
</t>
        </r>
      </text>
    </comment>
    <comment ref="G1441" authorId="1" shapeId="0" xr:uid="{FB7BD29D-BE0B-4E72-A445-B671BCC9ADB8}">
      <text>
        <r>
          <rPr>
            <sz val="11"/>
            <color theme="1"/>
            <rFont val="Aptos Narrow"/>
            <family val="2"/>
            <scheme val="minor"/>
          </rPr>
          <t>Unknown User:
SUPPLY &amp; INSTALLATION OF NEW INSTANTANEOUS GAS HOT WATER SYSTEM (EXTERNAL)</t>
        </r>
      </text>
    </comment>
    <comment ref="E1462" authorId="51" shapeId="0" xr:uid="{142BE738-C9F8-4E95-9D89-D67634502E39}">
      <text>
        <r>
          <rPr>
            <sz val="11"/>
            <color theme="1"/>
            <rFont val="Aptos Narrow"/>
            <family val="2"/>
            <scheme val="minor"/>
          </rPr>
          <t>Accounts | Australia Trades:
Open Work Order
Job 74323 @ 28th Oct 2025</t>
        </r>
      </text>
    </comment>
    <comment ref="E1463" authorId="56" shapeId="0" xr:uid="{491C659F-85D0-4B77-8DA9-F31E8740E2C1}">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E1464" authorId="57" shapeId="0" xr:uid="{CE4B0944-10C1-4713-976F-F5ED5DF3C7F2}">
      <text>
        <t>[Threaded comment]
Your version of Excel allows you to read this threaded comment; however, any edits to it will get removed if the file is opened in a newer version of Excel. Learn more: https://go.microsoft.com/fwlink/?linkid=870924
Comment:
    Stock</t>
      </text>
    </comment>
    <comment ref="E1466" authorId="58" shapeId="0" xr:uid="{DC730CA9-F500-4D37-A5C2-5FCBBE1B17FF}">
      <text>
        <t>[Threaded comment]
Your version of Excel allows you to read this threaded comment; however, any edits to it will get removed if the file is opened in a newer version of Excel. Learn more: https://go.microsoft.com/fwlink/?linkid=870924
Comment:
    Stock</t>
      </text>
    </comment>
    <comment ref="G1474" authorId="1" shapeId="0" xr:uid="{D8FDFA54-9934-41E8-90A5-AE92D4544EE8}">
      <text>
        <r>
          <rPr>
            <sz val="11"/>
            <color theme="1"/>
            <rFont val="Aptos Narrow"/>
            <family val="2"/>
            <scheme val="minor"/>
          </rPr>
          <t>Unknown User:
REPLACEMENT OF EMERGENCY STOP VALVE
SUPPLY AND INSTALLATION OF EMERGENCY STOP VALVE CONNECTION FOR DISHWASHER TO EXISTING WATER POINT
INSTALLATION OF NEW WASHING MACHINE (CUSTOMER SUPPLIED) - REPLACE EXISTING</t>
        </r>
      </text>
    </comment>
    <comment ref="G1475" authorId="1" shapeId="0" xr:uid="{B1733E78-49B0-4561-8EAB-2E30761279C6}">
      <text>
        <r>
          <rPr>
            <sz val="11"/>
            <color theme="1"/>
            <rFont val="Aptos Narrow"/>
            <family val="2"/>
            <scheme val="minor"/>
          </rPr>
          <t>Unknown User:
SEARCH AND INVESTIGATION OF SOLAR SPLIT HOT WATER SYSTEM</t>
        </r>
      </text>
    </comment>
    <comment ref="G1476" authorId="1" shapeId="0" xr:uid="{BAA54E82-A13A-43E6-9647-F7D6C181AD6D}">
      <text>
        <r>
          <rPr>
            <sz val="11"/>
            <color theme="1"/>
            <rFont val="Aptos Narrow"/>
            <family val="2"/>
            <scheme val="minor"/>
          </rPr>
          <t>Unknown User:
SPECIALIST LEAK DETECTION (WATER SERVICE)</t>
        </r>
      </text>
    </comment>
    <comment ref="G1477" authorId="1" shapeId="0" xr:uid="{D46E288D-3C5A-4975-B357-95FE1B8620E2}">
      <text>
        <r>
          <rPr>
            <sz val="11"/>
            <color theme="1"/>
            <rFont val="Aptos Narrow"/>
            <family val="2"/>
            <scheme val="minor"/>
          </rPr>
          <t>Unknown User:
MIXER TAP - STANDARD</t>
        </r>
      </text>
    </comment>
    <comment ref="G1478" authorId="1" shapeId="0" xr:uid="{427C19C4-84F9-477E-A537-49845BA8A3A1}">
      <text>
        <r>
          <rPr>
            <sz val="11"/>
            <color theme="1"/>
            <rFont val="Aptos Narrow"/>
            <family val="2"/>
            <scheme val="minor"/>
          </rPr>
          <t>Unknown User:
HIGH POWERED JET BLAST &amp; CCTV DRAIN CAMERA INSPECTION (SEWER SERVICE)
$89 Blocked Drains Discount</t>
        </r>
      </text>
    </comment>
    <comment ref="T1478" authorId="1" shapeId="0" xr:uid="{9637CC01-4896-417F-BBDE-F9EB4BB82179}">
      <text>
        <r>
          <rPr>
            <sz val="11"/>
            <color theme="1"/>
            <rFont val="Aptos Narrow"/>
            <family val="2"/>
            <scheme val="minor"/>
          </rPr>
          <t>Unknown User:
0.5x Jarrod
0.5x Aden &amp; Wil Dower
(Mentioned as "Plumbers were great. The plumbers that came out were amazing. They really dis everything they could to clear our drain, 74883)</t>
        </r>
      </text>
    </comment>
    <comment ref="V1478" authorId="1" shapeId="0" xr:uid="{1BD1DAAA-D1A8-4D62-883E-9642C71890E3}">
      <text>
        <r>
          <rPr>
            <sz val="11"/>
            <color theme="1"/>
            <rFont val="Aptos Narrow"/>
            <family val="2"/>
            <scheme val="minor"/>
          </rPr>
          <t>Unknown User:
$130 overpayment observed</t>
        </r>
      </text>
    </comment>
    <comment ref="G1479" authorId="1" shapeId="0" xr:uid="{4ECCE91C-7642-4DA3-A10E-87D2F7B2B5EF}">
      <text>
        <r>
          <rPr>
            <sz val="11"/>
            <color theme="1"/>
            <rFont val="Aptos Narrow"/>
            <family val="2"/>
            <scheme val="minor"/>
          </rPr>
          <t>Unknown User:
SUPPLY &amp; INSTALLATION OF NEW WALL FACED TOILET SUITE</t>
        </r>
      </text>
    </comment>
    <comment ref="G1480" authorId="1" shapeId="0" xr:uid="{613109D0-93A6-43C9-90B9-2429E5A04DF3}">
      <text>
        <r>
          <rPr>
            <sz val="11"/>
            <color theme="1"/>
            <rFont val="Aptos Narrow"/>
            <family val="2"/>
            <scheme val="minor"/>
          </rPr>
          <t>Unknown User:
SEARCH AND INVESTIGATION OF ELECTRIC STORAGE HOT WATER SYSTEM</t>
        </r>
      </text>
    </comment>
    <comment ref="G1481" authorId="1" shapeId="0" xr:uid="{226D1F16-281C-48A2-8673-50CD1C94306A}">
      <text>
        <r>
          <rPr>
            <sz val="11"/>
            <color theme="1"/>
            <rFont val="Aptos Narrow"/>
            <family val="2"/>
            <scheme val="minor"/>
          </rPr>
          <t>Unknown User:
SUPPLY &amp; INSTALLATION OF NEW SINGLE ELEMENT HOT WATER UNIT – EXTERNAL</t>
        </r>
      </text>
    </comment>
    <comment ref="M1481" authorId="1" shapeId="0" xr:uid="{842B9BC7-80E5-4D4F-AA97-CCAFF1F4DA71}">
      <text>
        <r>
          <rPr>
            <sz val="11"/>
            <color theme="1"/>
            <rFont val="Aptos Narrow"/>
            <family val="2"/>
            <scheme val="minor"/>
          </rPr>
          <t>Unknown User:
Smartpay receipt of $800 pic taken by plumber whereas uploaded by office team.</t>
        </r>
      </text>
    </comment>
    <comment ref="Q1481" authorId="1" shapeId="0" xr:uid="{162DAB36-EA10-40C4-AD7F-1530DD146542}">
      <text>
        <r>
          <rPr>
            <sz val="11"/>
            <color theme="1"/>
            <rFont val="Aptos Narrow"/>
            <family val="2"/>
            <scheme val="minor"/>
          </rPr>
          <t>Unknown User:
Progress invoice (For $800 receipt) not raised</t>
        </r>
      </text>
    </comment>
    <comment ref="G1482" authorId="1" shapeId="0" xr:uid="{2ADD0ED5-7E42-443D-B3BB-1CC4A87791E8}">
      <text>
        <r>
          <rPr>
            <sz val="11"/>
            <color theme="1"/>
            <rFont val="Aptos Narrow"/>
            <family val="2"/>
            <scheme val="minor"/>
          </rPr>
          <t xml:space="preserve">Unknown User:
SEARCH &amp; INVESTIGATION (MINOR) - POTENTIAL WATER LEAK FROM UNKOWN
LOCATION
</t>
        </r>
      </text>
    </comment>
    <comment ref="G1483" authorId="1" shapeId="0" xr:uid="{7EDD6E8E-8DA8-4AFC-AB97-F67EF4B25A5A}">
      <text>
        <r>
          <rPr>
            <sz val="11"/>
            <color theme="1"/>
            <rFont val="Aptos Narrow"/>
            <family val="2"/>
            <scheme val="minor"/>
          </rPr>
          <t>Unknown User:
REPLACEMENT OF BASIN MIXER</t>
        </r>
      </text>
    </comment>
    <comment ref="Q1483" authorId="1" shapeId="0" xr:uid="{70656788-18A9-4B07-8E61-491BBD0C23E2}">
      <text>
        <r>
          <rPr>
            <sz val="11"/>
            <color theme="1"/>
            <rFont val="Aptos Narrow"/>
            <family val="2"/>
            <scheme val="minor"/>
          </rPr>
          <t>Unknown User:
Progress invoice (For $1607.10 receipt) not raised</t>
        </r>
      </text>
    </comment>
    <comment ref="G1484" authorId="1" shapeId="0" xr:uid="{D5A2F4CD-2423-4F11-BC9C-23F1F86DCC96}">
      <text>
        <r>
          <rPr>
            <sz val="11"/>
            <color theme="1"/>
            <rFont val="Aptos Narrow"/>
            <family val="2"/>
            <scheme val="minor"/>
          </rPr>
          <t>Unknown User:
SUPPLY AND INSTALLATION OF WHITE PVC P TRAP TO WALL BASIN</t>
        </r>
      </text>
    </comment>
    <comment ref="G1485" authorId="1" shapeId="0" xr:uid="{2D9C99C1-7B33-481A-AC00-FC13308871E8}">
      <text>
        <r>
          <rPr>
            <sz val="11"/>
            <color theme="1"/>
            <rFont val="Aptos Narrow"/>
            <family val="2"/>
            <scheme val="minor"/>
          </rPr>
          <t>Unknown User:
SUPPLY &amp; INSTALLATION OF WAX PAN SEAL</t>
        </r>
      </text>
    </comment>
    <comment ref="G1486" authorId="1" shapeId="0" xr:uid="{3C06045E-0C7E-44A4-B9F1-97398E00F8FF}">
      <text>
        <r>
          <rPr>
            <sz val="11"/>
            <color theme="1"/>
            <rFont val="Aptos Narrow"/>
            <family val="2"/>
            <scheme val="minor"/>
          </rPr>
          <t>Unknown User:
SEARCH &amp; INVESTIGATION OF GAS STORAGE HOT WATER SYSTEM</t>
        </r>
      </text>
    </comment>
    <comment ref="Q1486" authorId="1" shapeId="0" xr:uid="{2617206B-9D99-416F-9519-929EA75E41CB}">
      <text>
        <r>
          <rPr>
            <sz val="11"/>
            <color theme="1"/>
            <rFont val="Aptos Narrow"/>
            <family val="2"/>
            <scheme val="minor"/>
          </rPr>
          <t>Unknown User:
Final zero due invoice not raised</t>
        </r>
      </text>
    </comment>
    <comment ref="W1486" authorId="1" shapeId="0" xr:uid="{6797681A-082B-4483-8303-855BA1996E57}">
      <text>
        <r>
          <rPr>
            <sz val="11"/>
            <color theme="1"/>
            <rFont val="Aptos Narrow"/>
            <family val="2"/>
            <scheme val="minor"/>
          </rPr>
          <t>Unknown User:
Cash denomination
$50*2=$100</t>
        </r>
      </text>
    </comment>
    <comment ref="G1502" authorId="1" shapeId="0" xr:uid="{E61C371C-7414-4AC1-8C41-F986F785FF29}">
      <text>
        <r>
          <rPr>
            <sz val="11"/>
            <color theme="1"/>
            <rFont val="Aptos Narrow"/>
            <family val="2"/>
            <scheme val="minor"/>
          </rPr>
          <t>Unknown User:
WATER SERVICE RECTIFICATION (IN WALL)</t>
        </r>
      </text>
    </comment>
    <comment ref="S1502" authorId="1" shapeId="0" xr:uid="{0044980C-D010-45DF-87B8-AFBEEEACFC9E}">
      <text>
        <r>
          <rPr>
            <sz val="11"/>
            <color theme="1"/>
            <rFont val="Aptos Narrow"/>
            <family val="2"/>
            <scheme val="minor"/>
          </rPr>
          <t>Unknown User:
Signed invoice not emailed</t>
        </r>
      </text>
    </comment>
    <comment ref="G1506" authorId="1" shapeId="0" xr:uid="{AA4FF3FC-DF24-4049-B4F2-8EEFE90042A3}">
      <text>
        <r>
          <rPr>
            <sz val="11"/>
            <color theme="1"/>
            <rFont val="Aptos Narrow"/>
            <family val="2"/>
            <scheme val="minor"/>
          </rPr>
          <t>Unknown User:
REPLACEMENT OF EXISTING 20MM WATER CONNECTION WITH BRAIDED FLEXIBLE HOSE
SUPPLY &amp; INSTALLATION OF SINGLE BOWL KITCHEN SINK</t>
        </r>
      </text>
    </comment>
    <comment ref="G1510" authorId="1" shapeId="0" xr:uid="{A4126A9B-8A24-40A1-A4C1-4CD9BA935E8F}">
      <text>
        <r>
          <rPr>
            <sz val="11"/>
            <color theme="1"/>
            <rFont val="Aptos Narrow"/>
            <family val="2"/>
            <scheme val="minor"/>
          </rPr>
          <t xml:space="preserve">Unknown User:
HIGH POWERED JET BLAST &amp; CCTV DRAIN CAMERA INSPECTION (SEWER SERVICE)
</t>
        </r>
      </text>
    </comment>
    <comment ref="R1510" authorId="1" shapeId="0" xr:uid="{2F92A21E-6F28-4867-B8BB-90A01B5ABE8F}">
      <text>
        <r>
          <rPr>
            <sz val="11"/>
            <color theme="1"/>
            <rFont val="Aptos Narrow"/>
            <family val="2"/>
            <scheme val="minor"/>
          </rPr>
          <t>Unknown User:
Sign not obtained</t>
        </r>
      </text>
    </comment>
    <comment ref="G1511" authorId="1" shapeId="0" xr:uid="{92BBD8F3-38FC-400D-B679-460D5666612C}">
      <text>
        <r>
          <rPr>
            <sz val="11"/>
            <color theme="1"/>
            <rFont val="Aptos Narrow"/>
            <family val="2"/>
            <scheme val="minor"/>
          </rPr>
          <t>Unknown User:
HIGH POWERED JET BLAST &amp; CCTV DRAIN CAMERA INSPECTION (SEWER SERVICE)</t>
        </r>
      </text>
    </comment>
    <comment ref="Q1511" authorId="1" shapeId="0" xr:uid="{EA5046E4-D446-4964-B215-6082CA536563}">
      <text>
        <r>
          <rPr>
            <sz val="11"/>
            <color theme="1"/>
            <rFont val="Aptos Narrow"/>
            <family val="2"/>
            <scheme val="minor"/>
          </rPr>
          <t>Unknown User:
Invoice not raised</t>
        </r>
      </text>
    </comment>
    <comment ref="G1512" authorId="1" shapeId="0" xr:uid="{EAA9DCE1-5546-42CC-828E-F6CB579570EA}">
      <text>
        <r>
          <rPr>
            <sz val="11"/>
            <color theme="1"/>
            <rFont val="Aptos Narrow"/>
            <family val="2"/>
            <scheme val="minor"/>
          </rPr>
          <t>Unknown User:
SEWER SPOT DIG UP TO 1.5M - IN GROUND
CREDIT HIGH POWERED JETBLAST &amp; CCTV CAMERA
Good Will Discount</t>
        </r>
      </text>
    </comment>
    <comment ref="O1512" authorId="1" shapeId="0" xr:uid="{38AA8107-7193-4802-B271-511B3F69B00E}">
      <text>
        <r>
          <rPr>
            <sz val="11"/>
            <color theme="1"/>
            <rFont val="Aptos Narrow"/>
            <family val="2"/>
            <scheme val="minor"/>
          </rPr>
          <t>Unknown User:
Quote not signed</t>
        </r>
      </text>
    </comment>
    <comment ref="D1513" authorId="1" shapeId="0" xr:uid="{9755DA0B-90A5-45F3-8FFF-1119AFDDB5CA}">
      <text>
        <r>
          <rPr>
            <sz val="11"/>
            <color theme="1"/>
            <rFont val="Aptos Narrow"/>
            <family val="2"/>
            <scheme val="minor"/>
          </rPr>
          <t>Unknown User:
Quote duplicated</t>
        </r>
      </text>
    </comment>
    <comment ref="G1513" authorId="1" shapeId="0" xr:uid="{7340452F-1D73-4FE0-975A-04A809EC4489}">
      <text>
        <r>
          <rPr>
            <sz val="11"/>
            <color theme="1"/>
            <rFont val="Aptos Narrow"/>
            <family val="2"/>
            <scheme val="minor"/>
          </rPr>
          <t>Unknown User:
RELINE OF SEWER SERVICE UP TO 4M</t>
        </r>
      </text>
    </comment>
    <comment ref="G1514" authorId="1" shapeId="0" xr:uid="{28992535-54CD-4656-8E3A-B9151C670A60}">
      <text>
        <r>
          <rPr>
            <sz val="11"/>
            <color theme="1"/>
            <rFont val="Aptos Narrow"/>
            <family val="2"/>
            <scheme val="minor"/>
          </rPr>
          <t>Unknown User:
REPLACEMENT OF SEWER BOUNDARY TRAP</t>
        </r>
      </text>
    </comment>
    <comment ref="G1515" authorId="1" shapeId="0" xr:uid="{66F52A8E-7FA7-4B90-A912-AED52AB0EB14}">
      <text>
        <r>
          <rPr>
            <sz val="11"/>
            <color theme="1"/>
            <rFont val="Aptos Narrow"/>
            <family val="2"/>
            <scheme val="minor"/>
          </rPr>
          <t xml:space="preserve">Unknown User:
SUPPLY &amp; INSTALLATION OF NEW SINGLE ELEMENT HOT WATER UNIT – INTERNAL
</t>
        </r>
      </text>
    </comment>
    <comment ref="G1516" authorId="1" shapeId="0" xr:uid="{DCA644C8-8747-4D5A-90C8-6DDB3B6ED93B}">
      <text>
        <r>
          <rPr>
            <sz val="11"/>
            <color theme="1"/>
            <rFont val="Aptos Narrow"/>
            <family val="2"/>
            <scheme val="minor"/>
          </rPr>
          <t>Unknown User:
SUPPLY &amp; INSTALLATION OF NEW SKEW TOILET SUITE</t>
        </r>
      </text>
    </comment>
    <comment ref="S1516" authorId="1" shapeId="0" xr:uid="{EF4E32D9-7BAE-41AE-BCB7-7BCCC3347306}">
      <text>
        <r>
          <rPr>
            <sz val="11"/>
            <color theme="1"/>
            <rFont val="Aptos Narrow"/>
            <family val="2"/>
            <scheme val="minor"/>
          </rPr>
          <t>Unknown User:
Signed invoice not emailed</t>
        </r>
      </text>
    </comment>
    <comment ref="T1516" authorId="1" shapeId="0" xr:uid="{B7E21021-7EA3-44DD-AD02-6584D0933C44}">
      <text>
        <r>
          <rPr>
            <sz val="11"/>
            <color theme="1"/>
            <rFont val="Aptos Narrow"/>
            <family val="2"/>
            <scheme val="minor"/>
          </rPr>
          <t>Unknown User:
0.5x Harrison</t>
        </r>
      </text>
    </comment>
    <comment ref="U1516" authorId="1" shapeId="0" xr:uid="{C9544D78-3CD7-4237-9DED-21C319402FA7}">
      <text>
        <r>
          <rPr>
            <sz val="11"/>
            <color theme="1"/>
            <rFont val="Aptos Narrow"/>
            <family val="2"/>
            <scheme val="minor"/>
          </rPr>
          <t>Unknown User:
8/9-As per Jack's note "Cistern and seat installed and tested for leaks. No leaks present. Attempted to collect a progress payment from client however she is unwilling to pay until the new parts are installed. Have advised her that the office will be in contact to re book once the new parts are in."
8/9-As per Tolga's note "Ordered new skew toilet from St kikda reece they will notify me when its ready
Client not happy with the one that was purchased
Jack to install flush pipe amd cistern for current one amd then we will come back to install new one"</t>
        </r>
      </text>
    </comment>
    <comment ref="G1517" authorId="1" shapeId="0" xr:uid="{EFC20BB7-AF26-4628-A026-D6A5D5AC9D31}">
      <text>
        <r>
          <rPr>
            <sz val="11"/>
            <color theme="1"/>
            <rFont val="Aptos Narrow"/>
            <family val="2"/>
            <scheme val="minor"/>
          </rPr>
          <t>Unknown User:
SUPPLY &amp; INSTALLATION OF GAS COOKTOP
10% Seniors &amp; Pensioners Discount</t>
        </r>
      </text>
    </comment>
    <comment ref="W1517" authorId="1" shapeId="0" xr:uid="{C4F823A6-D2E0-4D13-88D4-D4F7E4C7E632}">
      <text>
        <r>
          <rPr>
            <sz val="11"/>
            <color theme="1"/>
            <rFont val="Aptos Narrow"/>
            <family val="2"/>
            <scheme val="minor"/>
          </rPr>
          <t xml:space="preserve">Unknown User:
Cash denomination
$100*4=$400
$50*9=$450
Cash is updated as split payment in invoice tab. Unable to edit.
</t>
        </r>
      </text>
    </comment>
    <comment ref="G1518" authorId="1" shapeId="0" xr:uid="{A6DAA276-9B74-418D-BDD4-E4E0F01C836B}">
      <text>
        <r>
          <rPr>
            <sz val="11"/>
            <color theme="1"/>
            <rFont val="Aptos Narrow"/>
            <family val="2"/>
            <scheme val="minor"/>
          </rPr>
          <t>Unknown User:
SEARCH AND INVESTIGATION OF ELECTRIC STORAGE HOT WATER SYSTEM
$65 First Service Discount</t>
        </r>
      </text>
    </comment>
    <comment ref="Q1518" authorId="1" shapeId="0" xr:uid="{68574CD3-0E1D-4269-968A-E968E1B0D858}">
      <text>
        <r>
          <rPr>
            <sz val="11"/>
            <color theme="1"/>
            <rFont val="Aptos Narrow"/>
            <family val="2"/>
            <scheme val="minor"/>
          </rPr>
          <t>Unknown User:
Invoice not raised</t>
        </r>
      </text>
    </comment>
    <comment ref="G1519" authorId="1" shapeId="0" xr:uid="{E6920675-80C9-4CC0-96C3-BCBDD59B357F}">
      <text>
        <r>
          <rPr>
            <sz val="11"/>
            <color theme="1"/>
            <rFont val="Aptos Narrow"/>
            <family val="2"/>
            <scheme val="minor"/>
          </rPr>
          <t>Unknown User:
REPLACEMENT OF EXISTING OVERFLOW GULLY &amp; SECTION OF MAIN SEWER SERVICE</t>
        </r>
      </text>
    </comment>
    <comment ref="Q1519" authorId="1" shapeId="0" xr:uid="{A8D06313-9B4A-4B4B-AC87-1DDBC65D9EF9}">
      <text>
        <r>
          <rPr>
            <sz val="11"/>
            <color theme="1"/>
            <rFont val="Aptos Narrow"/>
            <family val="2"/>
            <scheme val="minor"/>
          </rPr>
          <t>Unknown User:
Invoice not raised</t>
        </r>
      </text>
    </comment>
    <comment ref="G1520" authorId="1" shapeId="0" xr:uid="{BF3C2BB3-443D-4735-8C15-C4EA972AC340}">
      <text>
        <r>
          <rPr>
            <sz val="11"/>
            <color theme="1"/>
            <rFont val="Aptos Narrow"/>
            <family val="2"/>
            <scheme val="minor"/>
          </rPr>
          <t>Unknown User:
SUPPLY &amp; INSTALLATION OF NEW WALL FACED TOILET SUITE</t>
        </r>
      </text>
    </comment>
    <comment ref="A1521" authorId="59" shapeId="0" xr:uid="{B9832915-1006-4A12-B694-B92B66F3CD75}">
      <text>
        <t>[Threaded comment]
Your version of Excel allows you to read this threaded comment; however, any edits to it will get removed if the file is opened in a newer version of Excel. Learn more: https://go.microsoft.com/fwlink/?linkid=870924
Comment:
    10% Comm'ns will be paid upon Achieving 5 x 5 Star Reviews</t>
      </text>
    </comment>
    <comment ref="G1521" authorId="1" shapeId="0" xr:uid="{60239A39-0EB1-4833-86FC-8C3FB0BC5324}">
      <text>
        <r>
          <rPr>
            <sz val="11"/>
            <color theme="1"/>
            <rFont val="Aptos Narrow"/>
            <family val="2"/>
            <scheme val="minor"/>
          </rPr>
          <t>Unknown User:
SEWER SERVICE RECTIFICATION / SEWER VENT REPLACEMENT</t>
        </r>
      </text>
    </comment>
    <comment ref="V1521" authorId="1" shapeId="0" xr:uid="{A83C0E2F-3585-4EE0-8E88-88130A6822DD}">
      <text>
        <r>
          <rPr>
            <sz val="11"/>
            <color theme="1"/>
            <rFont val="Aptos Narrow"/>
            <family val="2"/>
            <scheme val="minor"/>
          </rPr>
          <t>Unknown User:
21/10-Received $1231.86 by Smartpay</t>
        </r>
      </text>
    </comment>
    <comment ref="G1525" authorId="1" shapeId="0" xr:uid="{A444A8F1-70CE-4688-9444-7B0B489C612A}">
      <text>
        <r>
          <rPr>
            <sz val="11"/>
            <color theme="1"/>
            <rFont val="Aptos Narrow"/>
            <family val="2"/>
            <scheme val="minor"/>
          </rPr>
          <t>Unknown User:
SPECIALIST LEAK DETECTION (WATER SERVICE)</t>
        </r>
      </text>
    </comment>
    <comment ref="G1526" authorId="1" shapeId="0" xr:uid="{3F1C0F8C-5F63-482A-94FD-6B79BAF7DA1F}">
      <text>
        <r>
          <rPr>
            <sz val="11"/>
            <color theme="1"/>
            <rFont val="Aptos Narrow"/>
            <family val="2"/>
            <scheme val="minor"/>
          </rPr>
          <t xml:space="preserve">Unknown User:
SUPPLY &amp; INSTALLATION OF GAS STORAGE HOT WATER SYSTEM (EXTERNAL)
</t>
        </r>
      </text>
    </comment>
    <comment ref="J1526" authorId="21" shapeId="0" xr:uid="{C8DBD1CC-5515-48D3-B9E3-2146F64C7A95}">
      <text>
        <r>
          <rPr>
            <sz val="11"/>
            <color theme="1"/>
            <rFont val="Aptos Narrow"/>
            <family val="2"/>
            <scheme val="minor"/>
          </rPr>
          <t xml:space="preserve">ZIP
</t>
        </r>
      </text>
    </comment>
    <comment ref="L1526" authorId="1" shapeId="0" xr:uid="{9C53B8CE-817F-45BF-83E2-2057F9F35255}">
      <text>
        <r>
          <rPr>
            <sz val="11"/>
            <color theme="1"/>
            <rFont val="Aptos Narrow"/>
            <family val="2"/>
            <scheme val="minor"/>
          </rPr>
          <t>Unknown User:
Pipes are to be connected to Gas HWS.Pic not uploaded.
Temp check pending</t>
        </r>
      </text>
    </comment>
    <comment ref="G1527" authorId="1" shapeId="0" xr:uid="{5E19AF80-98E8-4963-B759-44BB57609EC5}">
      <text>
        <r>
          <rPr>
            <sz val="11"/>
            <color theme="1"/>
            <rFont val="Aptos Narrow"/>
            <family val="2"/>
            <scheme val="minor"/>
          </rPr>
          <t>Unknown User:
RESEAL OF SHOWER</t>
        </r>
      </text>
    </comment>
    <comment ref="G1528" authorId="1" shapeId="0" xr:uid="{78D5A3F9-FA5B-4E0D-99EC-6538431805F1}">
      <text>
        <r>
          <rPr>
            <sz val="11"/>
            <color theme="1"/>
            <rFont val="Aptos Narrow"/>
            <family val="2"/>
            <scheme val="minor"/>
          </rPr>
          <t>Unknown User:
RESEAL OF SHOWER</t>
        </r>
      </text>
    </comment>
    <comment ref="G1529" authorId="1" shapeId="0" xr:uid="{0E6B09F3-3F73-47CF-BFDA-F36E5D805D14}">
      <text>
        <r>
          <rPr>
            <sz val="11"/>
            <color theme="1"/>
            <rFont val="Aptos Narrow"/>
            <family val="2"/>
            <scheme val="minor"/>
          </rPr>
          <t>Unknown User:
SEWER SPOT DIG - IN GROUND</t>
        </r>
      </text>
    </comment>
    <comment ref="G1533" authorId="1" shapeId="0" xr:uid="{9B72C62A-47B2-4962-A5D6-E2014ABBCB6F}">
      <text>
        <r>
          <rPr>
            <sz val="11"/>
            <color theme="1"/>
            <rFont val="Aptos Narrow"/>
            <family val="2"/>
            <scheme val="minor"/>
          </rPr>
          <t>Unknown User:
SUPPLY &amp; INSTALLATION OF NEW WALL FACED TOILET SUITE
$85 Off First Service</t>
        </r>
      </text>
    </comment>
    <comment ref="G1534" authorId="1" shapeId="0" xr:uid="{396F0226-329E-4C40-83C5-3B43C7FD6112}">
      <text>
        <r>
          <rPr>
            <sz val="11"/>
            <color theme="1"/>
            <rFont val="Aptos Narrow"/>
            <family val="2"/>
            <scheme val="minor"/>
          </rPr>
          <t xml:space="preserve">Unknown User:
SPECIALIST LEAK DETECTION (WATER SERVICE)
</t>
        </r>
      </text>
    </comment>
    <comment ref="G1535" authorId="1" shapeId="0" xr:uid="{44D1334B-E56F-4FBD-B87B-D941C25ADCD5}">
      <text>
        <r>
          <rPr>
            <sz val="11"/>
            <color theme="1"/>
            <rFont val="Aptos Narrow"/>
            <family val="2"/>
            <scheme val="minor"/>
          </rPr>
          <t>Unknown User:
GAS SEARCH &amp; INVESTIGATION 
$85 Off First Service</t>
        </r>
      </text>
    </comment>
    <comment ref="G1536" authorId="1" shapeId="0" xr:uid="{08DE33C9-6309-455C-B6A9-DF0402AC3476}">
      <text>
        <r>
          <rPr>
            <sz val="11"/>
            <color theme="1"/>
            <rFont val="Aptos Narrow"/>
            <family val="2"/>
            <scheme val="minor"/>
          </rPr>
          <t>Unknown User:
CONVERT SOLAR SPLIT HOT WATER SYSTEM TO EXTERNAL GAS INSTANTANEOUS HOT WATER SYSTEM
10% Good Will Discount</t>
        </r>
      </text>
    </comment>
    <comment ref="G1537" authorId="1" shapeId="0" xr:uid="{348C72AD-CCC7-41CF-A173-1553DEC4A15C}">
      <text>
        <r>
          <rPr>
            <sz val="11"/>
            <color theme="1"/>
            <rFont val="Aptos Narrow"/>
            <family val="2"/>
            <scheme val="minor"/>
          </rPr>
          <t xml:space="preserve">Unknown User:
WATER SERVICE RECTIFICATION </t>
        </r>
      </text>
    </comment>
    <comment ref="G1538" authorId="1" shapeId="0" xr:uid="{93E4C588-A92E-4112-B425-97E0BC84B26A}">
      <text>
        <r>
          <rPr>
            <sz val="11"/>
            <color theme="1"/>
            <rFont val="Aptos Narrow"/>
            <family val="2"/>
            <scheme val="minor"/>
          </rPr>
          <t>Unknown User:
SPECIALIST LEAK DETECTION (GAS SERVICE)</t>
        </r>
      </text>
    </comment>
    <comment ref="G1539" authorId="1" shapeId="0" xr:uid="{E9F163DA-ECB8-4F27-9F76-F1784268419F}">
      <text>
        <r>
          <rPr>
            <sz val="11"/>
            <color theme="1"/>
            <rFont val="Aptos Narrow"/>
            <family val="2"/>
            <scheme val="minor"/>
          </rPr>
          <t>Unknown User:
SEARCH &amp; INVESTIGATION OF GAS STORAGE HOT WATER SYSTEM
$85 Off First Service</t>
        </r>
      </text>
    </comment>
    <comment ref="G1540" authorId="1" shapeId="0" xr:uid="{CCDFFB16-30D6-47F6-854A-2EA4854AFEC6}">
      <text>
        <r>
          <rPr>
            <sz val="11"/>
            <color theme="1"/>
            <rFont val="Aptos Narrow"/>
            <family val="2"/>
            <scheme val="minor"/>
          </rPr>
          <t xml:space="preserve">Unknown User:
REPLACEMENT OF EXISTING OVERFLOW GULLY &amp; SECTION OF MAIN SEWER SERVICE (UNDER CONCRETE)
</t>
        </r>
      </text>
    </comment>
    <comment ref="G1541" authorId="1" shapeId="0" xr:uid="{8C88DE13-B3A0-4E7D-BDB4-D38C22F7AC9A}">
      <text>
        <r>
          <rPr>
            <sz val="11"/>
            <color theme="1"/>
            <rFont val="Aptos Narrow"/>
            <family val="2"/>
            <scheme val="minor"/>
          </rPr>
          <t>Unknown User:
SEARCH &amp; INVESTIGATION OF DISHWASHER
$65 First Service Discount</t>
        </r>
      </text>
    </comment>
    <comment ref="G1542" authorId="1" shapeId="0" xr:uid="{D7F3F9AE-FD43-45C8-86CD-1AB9DBA8C7D6}">
      <text>
        <r>
          <rPr>
            <sz val="11"/>
            <color theme="1"/>
            <rFont val="Aptos Narrow"/>
            <family val="2"/>
            <scheme val="minor"/>
          </rPr>
          <t xml:space="preserve">Unknown User:
FLOOD, DYE, PRESSURE TEST (WET AREA)
</t>
        </r>
      </text>
    </comment>
    <comment ref="G1543" authorId="1" shapeId="0" xr:uid="{F87840E4-F1AF-4F0C-BCBF-4C7821A5188F}">
      <text>
        <r>
          <rPr>
            <sz val="11"/>
            <color theme="1"/>
            <rFont val="Aptos Narrow"/>
            <family val="2"/>
            <scheme val="minor"/>
          </rPr>
          <t>Unknown User:
SUPPLY &amp; INSTALLATION OF GAS STORAGE HOT WATER SYSTEM (EXTERNAL)
CREDIT OF SEARCH &amp; INVESTIGATION</t>
        </r>
      </text>
    </comment>
    <comment ref="G1576" authorId="1" shapeId="0" xr:uid="{603419E3-E26D-489D-A8F7-F278A49559F6}">
      <text>
        <r>
          <rPr>
            <sz val="11"/>
            <color theme="1"/>
            <rFont val="Aptos Narrow"/>
            <family val="2"/>
            <scheme val="minor"/>
          </rPr>
          <t xml:space="preserve">Unknown User:
INSTALLATION OF NEW TOILET SEAT (CUSTOMER SUPPLIED)
</t>
        </r>
      </text>
    </comment>
    <comment ref="G1618" authorId="1" shapeId="0" xr:uid="{ABEB7E81-1B8F-4E97-96F2-A61941A42A80}">
      <text>
        <r>
          <rPr>
            <sz val="11"/>
            <color theme="1"/>
            <rFont val="Aptos Narrow"/>
            <family val="2"/>
            <scheme val="minor"/>
          </rPr>
          <t>Unknown User:
SEARCH &amp; INVESTIGATION OF GAS STORAGE HOT WATER SYSTEM</t>
        </r>
      </text>
    </comment>
    <comment ref="M1618" authorId="1" shapeId="0" xr:uid="{8D89683A-7F93-4A25-894C-CC911A5467D3}">
      <text>
        <r>
          <rPr>
            <sz val="11"/>
            <color theme="1"/>
            <rFont val="Aptos Narrow"/>
            <family val="2"/>
            <scheme val="minor"/>
          </rPr>
          <t>Unknown User:
Smartpay receipt of $550 not uploaded by plumber.
Uploaded by Modoras team</t>
        </r>
      </text>
    </comment>
    <comment ref="G1640" authorId="1" shapeId="0" xr:uid="{097360C9-E7C1-4847-9BD1-2925C50F7CCF}">
      <text>
        <r>
          <rPr>
            <sz val="11"/>
            <color theme="1"/>
            <rFont val="Aptos Narrow"/>
            <family val="2"/>
            <scheme val="minor"/>
          </rPr>
          <t>Unknown User:
SUPPLY &amp; INSTALLATION OF GAS STORAGE HOT WATER SYSTEM (EXTERNAL)
CREDIT OF SEARCH &amp; INVESTIGATION</t>
        </r>
      </text>
    </comment>
    <comment ref="G1662" authorId="1" shapeId="0" xr:uid="{0DFA7E94-34CE-4BEB-9F38-38AFF568E47E}">
      <text>
        <r>
          <rPr>
            <sz val="11"/>
            <color theme="1"/>
            <rFont val="Aptos Narrow"/>
            <family val="2"/>
            <scheme val="minor"/>
          </rPr>
          <t>Unknown User:
SUPPLY &amp; INSTALLATION OF NEW LINK SUITE
10% Good Will Discount</t>
        </r>
      </text>
    </comment>
    <comment ref="G1663" authorId="1" shapeId="0" xr:uid="{4404A47A-8AD0-4D88-9C01-C89885475351}">
      <text>
        <r>
          <rPr>
            <sz val="11"/>
            <color theme="1"/>
            <rFont val="Aptos Narrow"/>
            <family val="2"/>
            <scheme val="minor"/>
          </rPr>
          <t>Unknown User:
SUPPLY &amp; INSTALLATION OF NEW BIDET TOILET SEAT
10% Good Will Discount</t>
        </r>
      </text>
    </comment>
    <comment ref="G1664" authorId="1" shapeId="0" xr:uid="{D2638E51-58DB-449B-82C5-67E78852EF10}">
      <text>
        <r>
          <rPr>
            <sz val="11"/>
            <color theme="1"/>
            <rFont val="Aptos Narrow"/>
            <family val="2"/>
            <scheme val="minor"/>
          </rPr>
          <t>Unknown User:
REPLACEMENT OF EXISTING 20MM WATER CONNECTION WITH BRAIDED FLEXIBLE HOSE
$85 Off First Service
EMERGENCY ISOLATION VALVE - COMBO
SUPPLY &amp; INSTALLATION OF NEW WASHING MACHINE OUTLET DRAIN HOSE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Guest User</author>
    <author>tc={7257E468-8B49-4A6A-AAC0-1FA0D1FC956B}</author>
    <author>tc={B5CE5474-53AF-44BC-B507-0F321F24F29E}</author>
    <author>tc={317C1329-EE42-4C94-B6C6-D7D2908597F0}</author>
    <author>Accounts | Point Plumbing</author>
    <author>tc={A766BAA7-3E33-4C88-82B2-520F236CFB80}</author>
    <author>tc={082BD52C-E949-4DFA-8B2C-303BB5C28447}</author>
    <author>tc={BD095F2E-F627-41DB-8A08-CAA139B27556}</author>
    <author>tc={76CD614B-BD4E-4939-A125-B912654A4116}</author>
    <author>tc={71A8F6B9-2E19-4EBC-821A-2DB2E1816F1F}</author>
    <author>tc={DE9AAA83-FDA3-4ADB-8115-0660BBA97C2A}</author>
    <author>tc={201FB57F-20A0-4D2F-BFC4-5E8876074492}</author>
    <author>tc={062CC28D-669E-4D98-8A2E-4267C9A159CC}</author>
    <author>tc={D1164F87-6F82-4529-B88D-F24AA9ECFBB1}</author>
    <author>tc={FE615132-D170-4C4A-9D56-AA11918405E3}</author>
    <author>tc={97E83E6B-D31D-45C3-95C7-9D3CA78C65BB}</author>
    <author>tc={A08F8FB8-23DE-4E78-8583-0B0FF0CFE73F}</author>
    <author>tc={B3B29987-D7A3-4385-A154-29355DDA261A}</author>
    <author>tc={483DEFD3-3B9E-4077-8032-F743715FF7AA}</author>
    <author>tc={790251BD-517C-4872-AEB0-41B54E3BCBA8}</author>
    <author>tc={791BB4D4-CFC3-426D-9624-1B905BB7714D}</author>
    <author>tc={B1EA40F0-F934-49EC-B643-24D5E6125A22}</author>
    <author>tc={5C2C6B5B-57B8-423A-A09D-A371D308A4BB}</author>
    <author>tc={18CB4983-6CB4-4F82-BDFE-31DB1FB367D9}</author>
    <author>tc={16A905CF-0845-40C6-A251-A25C38C584C0}</author>
    <author>tc={33235ED0-77DE-475B-975A-7C68AACA0FDF}</author>
    <author>tc={02997EC2-97AB-4B2E-AEF1-13CDE471C762}</author>
    <author>tc={747C8862-4A67-41C9-AC6D-AFA37B811297}</author>
    <author>tc={234F6F44-D07B-4836-A3E4-965BE8A6B82B}</author>
  </authors>
  <commentList>
    <comment ref="U34" authorId="0" shapeId="0" xr:uid="{60BE4527-23A3-4CC5-8465-B49975E344AD}">
      <text>
        <r>
          <rPr>
            <sz val="11"/>
            <color theme="1"/>
            <rFont val="Aptos Narrow"/>
            <family val="2"/>
            <scheme val="minor"/>
          </rPr>
          <t>Unknown User:
30 June-As per Shaun's note "Customer fucking us around all morning, now won’t answer phone, no job info in regards to what he wants, no points of plumbing near the area of which he wants a BBQ installed…. Waste of time and effort, don’t attend again"</t>
        </r>
      </text>
    </comment>
    <comment ref="G113" authorId="0" shapeId="0" xr:uid="{29367D5E-044B-41E0-A210-DAD00B96022B}">
      <text>
        <r>
          <rPr>
            <sz val="11"/>
            <color theme="1"/>
            <rFont val="Aptos Narrow"/>
            <family val="2"/>
            <scheme val="minor"/>
          </rPr>
          <t xml:space="preserve">Unknown User:
SUPPLY &amp; INSTALLATION OF NEW LINK SUITE
Isolate main water supply to property
Disconnect cold water supply to existing toilet cistern
Removal of existing cold-water supply to toilet cistern
Disconnect &amp; removal of existing emergency isolation valve
Disconnect &amp; removal of existing toilet cistern
Disconnect &amp; removal of existing toilet seat
Disconnect &amp; removal of existing toilet pan
Disconnect &amp; removal of existing toilet pan collar
Disconnect &amp; removal of existing bedding / sealant
Clean &amp; prepare worked area
Supply &amp; install new toilet pan collar
Supply &amp; install new toilet pan
Supply &amp; install new toilet cistern
Supply &amp; install new toilet seat
Secure new toilet seat to new toilet pan
Supply &amp; install new cold-water stainless-steel flexi hose
Connect new cold-water stainless-steel flexi hose to new toilet
cistern
Seal &amp; secure new toilet suite pan to floor
Reinstate water supply to property
Test &amp; commission installation
Removal of trade waste
PLEASE NOTE IF FURTHER WORK REQUIRED OUTSIDE OF QUOTED
WORKS ADDITIONAL COSTS WILL APPLY
</t>
        </r>
      </text>
    </comment>
    <comment ref="P113" authorId="0" shapeId="0" xr:uid="{D4D7A374-1022-44F6-ADE1-AFB51153C8A2}">
      <text>
        <r>
          <rPr>
            <sz val="11"/>
            <color theme="1"/>
            <rFont val="Aptos Narrow"/>
            <family val="2"/>
            <scheme val="minor"/>
          </rPr>
          <t>Unknown User:
Quote not Emailed</t>
        </r>
      </text>
    </comment>
    <comment ref="G114" authorId="0" shapeId="0" xr:uid="{296DF634-3BD2-4B5A-A121-73AF2D81C7AE}">
      <text>
        <r>
          <rPr>
            <sz val="11"/>
            <color theme="1"/>
            <rFont val="Aptos Narrow"/>
            <family val="2"/>
            <scheme val="minor"/>
          </rPr>
          <t>Unknown User:
SEARCH &amp; INVESTIGATION (GENERAL)
Set up safe worked area Isolate main water supply to property
Gain access to cold water supply
Gain access to hot water supply
Set up specialist pressure testing equipment
Conduct pressure test on cold water service
Conduct pressure test on hot water service
Conduct search &amp; investigation on property in attempt to locate
leak
Cut &amp; removal of gyprock (If required)
Provide additional quote for rectification work
Removal of any trade waste
Please note, if unable to find leak additional cost will apply for a
specialist leak detection
PLEASE NOTE IF FURTHER WORK REQUIRED OTHER THEN QUOTED
WORK FURTHER COST WILL APPLY</t>
        </r>
      </text>
    </comment>
    <comment ref="P114" authorId="0" shapeId="0" xr:uid="{2112B224-41AE-49DC-826D-CE18F736D00C}">
      <text>
        <r>
          <rPr>
            <sz val="11"/>
            <color theme="1"/>
            <rFont val="Aptos Narrow"/>
            <family val="2"/>
            <scheme val="minor"/>
          </rPr>
          <t>Unknown User:
Quote not Emailed</t>
        </r>
      </text>
    </comment>
    <comment ref="Q114" authorId="0" shapeId="0" xr:uid="{47F03236-3F00-44D0-B7AD-A320E0E884B4}">
      <text>
        <r>
          <rPr>
            <sz val="11"/>
            <color theme="1"/>
            <rFont val="Aptos Narrow"/>
            <family val="2"/>
            <scheme val="minor"/>
          </rPr>
          <t>Unknown User:
Final invoice not Raised</t>
        </r>
      </text>
    </comment>
    <comment ref="G115" authorId="0" shapeId="0" xr:uid="{BF02F9C2-4DEE-4C31-B7E1-2D94A48CC7D9}">
      <text>
        <r>
          <rPr>
            <sz val="11"/>
            <color theme="1"/>
            <rFont val="Aptos Narrow"/>
            <family val="2"/>
            <scheme val="minor"/>
          </rPr>
          <t>Unknown User:
 SUPPLY AND INSTALL NEW DRAINAGE 
. Isolate main water supply to property 
. Disconnect existing cold-water supply to existing tapware
 . Disconnect existing hot water supply to existing tapware 
. Disconnect &amp; removal of existing tapware 
. Disconnect existing drainage 
. Disconnect &amp; removal of existing fixture trap 
. Disconnect &amp; removal of existing section of drainage 
. Disconnect &amp; removal of existing sealant
 . Disconnect and removal of existing basin  
. Supply and install new DWV fittings 
. Supply and install new DWV drainage services 
. Supply and install new fixture trap
 . Supply and install new hot water emergency isolation valve
 . Supply and install new cold water emergency isolation valve
 . Supply and install new hot water stainless steel flexible connection 
. Supply and install new cold water stainless steel flexible connection 
. Install washing mashing inlet connections 
. Install washing machine drain hose 
. Test and commission 
. Removal of trade waste 
Please note. If further works are required, additional costs will apply. No warranty on existing
 customer supplied items.</t>
        </r>
      </text>
    </comment>
    <comment ref="P115" authorId="0" shapeId="0" xr:uid="{F6110CB5-F9C9-4DA7-AB7C-1BAB05EAE67D}">
      <text>
        <r>
          <rPr>
            <sz val="11"/>
            <color theme="1"/>
            <rFont val="Aptos Narrow"/>
            <family val="2"/>
            <scheme val="minor"/>
          </rPr>
          <t>Unknown User:
Quote not emailed</t>
        </r>
      </text>
    </comment>
    <comment ref="S115" authorId="0" shapeId="0" xr:uid="{682D7312-1287-4EB1-B53D-4B544C2DA619}">
      <text>
        <r>
          <rPr>
            <sz val="11"/>
            <color theme="1"/>
            <rFont val="Aptos Narrow"/>
            <family val="2"/>
            <scheme val="minor"/>
          </rPr>
          <t>Unknown User:
Invoice not emailed</t>
        </r>
      </text>
    </comment>
    <comment ref="G116" authorId="0" shapeId="0" xr:uid="{1E50DE44-AE0D-4947-A53F-BA3BA8797969}">
      <text>
        <r>
          <rPr>
            <sz val="11"/>
            <color theme="1"/>
            <rFont val="Aptos Narrow"/>
            <family val="2"/>
            <scheme val="minor"/>
          </rPr>
          <t>Unknown User:
 COMPLETE SERVICE OF IN WALL TOILET CISTERN
 Isolate main water supply to property
 Disconnect existing in wall toilet cistern cover plate
 Removal of existing toilet cistern cover plate
 Disconnect existing in wall toilet seat buttons
 Removal of existing in wall toilet seat buttons
 Gain access to in wall toilet cistern
 Disconnect existing cold-water supply to existing inlet valve
 Removal of existing cold-water supply to inlet valve
 Disconnect existing in wall toilet cistern inlet valve
 Removal of existing in wall toilet cistern inlet valve
 Disconnect existing in wall toilet cistern outlet valve
 Removal of existing in wall toilet cistern outlet valve
 Clean outlet valve housing
 Flush out in wall toilet cistern free form all debris
 Supply new cold-water stainless-steel flexi hose
 Supply new in wall toilet cistern inlet valve
 Supply new in wall toilet cistern outlet valve
 Install new in wall toilet cistern outlet valve to housing
 Install new in wall toilet cistern inlet valve
 Install new stainless steel flexi hose
 Connect cold-water stainless-steel flexi hose to new in wall
 toilet cistern
 Reinstate water supply
 Adjust toilet cistern inlet valve to ensure maximum flush
 Reinstall in wall toilet cistern buttons
 Reinstall in wall toilet cistern housing
 Test &amp; commission installation
 Removal of trade waste</t>
        </r>
      </text>
    </comment>
    <comment ref="P116" authorId="0" shapeId="0" xr:uid="{50CF5559-6F69-4581-879D-5D36270FCB0B}">
      <text>
        <r>
          <rPr>
            <sz val="11"/>
            <color theme="1"/>
            <rFont val="Aptos Narrow"/>
            <family val="2"/>
            <scheme val="minor"/>
          </rPr>
          <t xml:space="preserve">Unknown User:
Quote not emailed
</t>
        </r>
      </text>
    </comment>
    <comment ref="S116" authorId="0" shapeId="0" xr:uid="{5BE5BD40-BB0B-42CC-86F9-653A9AF25BBD}">
      <text>
        <r>
          <rPr>
            <sz val="11"/>
            <color theme="1"/>
            <rFont val="Aptos Narrow"/>
            <family val="2"/>
            <scheme val="minor"/>
          </rPr>
          <t>Unknown User:
Invoice not emailed by plumber</t>
        </r>
      </text>
    </comment>
    <comment ref="G117" authorId="0" shapeId="0" xr:uid="{0ACE65E7-B6CC-4924-9DA5-2D0B4AC5FF6E}">
      <text>
        <r>
          <rPr>
            <sz val="11"/>
            <color theme="1"/>
            <rFont val="Aptos Narrow"/>
            <family val="2"/>
            <scheme val="minor"/>
          </rPr>
          <t>Unknown User:
HIGH POWERED JET BLAST &amp; CCTV DRAIN CAMERA INSPECTION (STORM WATER SERVICE)
Set up high powered Jet blaster
Set up High powered mini-Reel
Set up high powered Turbines
Set up specialist CCTV Camera
Set up Specialist locator
Gain access to storm water service
First attempt to clear blocked storm water service using high powered Jet blaster
Attempt to clear &amp; flush out storm water service using high powered Jet Blaster
Conduct specialist CCTV drain camera to inspect storm water service
Use of CCTV camera on storm water service to identify potential faults &amp; cause of blockage
If faults found use off specialist locator to pinpoint exact location of fault
PLEASE NOTE IF BLOCKAGE DOES NOT CLEAR FURTHER COST WILL APPLY. THIS IS A FIRST ATTEMPT.</t>
        </r>
      </text>
    </comment>
    <comment ref="P117" authorId="0" shapeId="0" xr:uid="{D4065E45-96FA-48E4-A8A1-17DED8798EFD}">
      <text>
        <r>
          <rPr>
            <sz val="11"/>
            <color theme="1"/>
            <rFont val="Aptos Narrow"/>
            <family val="2"/>
            <scheme val="minor"/>
          </rPr>
          <t>Unknown User:
Quote not emailed</t>
        </r>
      </text>
    </comment>
    <comment ref="Q117" authorId="0" shapeId="0" xr:uid="{892175D4-BC3F-4690-AE07-95FBD9E7827E}">
      <text>
        <r>
          <rPr>
            <sz val="11"/>
            <color theme="1"/>
            <rFont val="Aptos Narrow"/>
            <family val="2"/>
            <scheme val="minor"/>
          </rPr>
          <t>Unknown User:
Final invoice not raised</t>
        </r>
      </text>
    </comment>
    <comment ref="G118" authorId="0" shapeId="0" xr:uid="{41E49C2C-17FD-469A-8C07-7DAE3C591474}">
      <text>
        <r>
          <rPr>
            <sz val="11"/>
            <color theme="1"/>
            <rFont val="Aptos Narrow"/>
            <family val="2"/>
            <scheme val="minor"/>
          </rPr>
          <t>Unknown User:
SEARCH &amp; INVESTIGATION (GENERAL)Set up safe worked area Isolate main water supply to property
Gain access to cold water supply
Gain access to hot water supply
Gain access to panel in roof space 
Conduct search &amp; investigation on property to locate valves
Check tempering valve/ thermostatic mixing valve for faults 
Include any repairs to loose nuts or fittings 
Provide additional quotation for any further works required 
Removal of any trade waste
Please note, if unable to find leak additional cost will apply for a specialist leak detection
PLEASE NOTE IF FURTHER WORK REQUIRED OTHER THEN QUOTED WORK FURTHER COST WILL APPLY</t>
        </r>
      </text>
    </comment>
    <comment ref="G119" authorId="0" shapeId="0" xr:uid="{BD089F7A-2DD1-47BE-9EE7-5FBC9E12AE18}">
      <text>
        <r>
          <rPr>
            <sz val="11"/>
            <color theme="1"/>
            <rFont val="Aptos Narrow"/>
            <family val="2"/>
            <scheme val="minor"/>
          </rPr>
          <t>Unknown User:
ROOF LEAK SEARCH &amp; INVESTIGATION
 Set up required height equipment
 Gain safe access to roof
 Visually inspect roof above the areas of damage
 Inspect condition of roof sheets or tiles
 Remove roof sheets or tiles in required location (only if
 required)
 Visually inspect below roofing for any water damage to timbers
 or plaster (if required)
 Inspect condition of roof penetration flashings
 Inspect condition of guttering
 Inspect condition of roof flashing
 Inspect condition of gutter joints
 Inspect gutter overflow outlets to ensure correct operation
 Inspect condition of roof sumps
 Check for sufficient overflow to the roof guttering
 Spray test potential defects on the roof
 Conduct complete roof search &amp; investigation
 Locate water ingress from below and identify the cause of
 water ingress
 Carry out any minor repairs (deteriorated sealant or loose
 roofing screws)
 Removal of trade waste
 Test &amp; commission
 *Please note if further work required other than quoted work further
 cost will apply</t>
        </r>
      </text>
    </comment>
    <comment ref="P119" authorId="0" shapeId="0" xr:uid="{A7C36C9E-7FD1-45CB-AF5C-548D778E9415}">
      <text>
        <r>
          <rPr>
            <sz val="11"/>
            <color theme="1"/>
            <rFont val="Aptos Narrow"/>
            <family val="2"/>
            <scheme val="minor"/>
          </rPr>
          <t xml:space="preserve">Unknown User:
Quote not emailed
</t>
        </r>
      </text>
    </comment>
    <comment ref="G120" authorId="0" shapeId="0" xr:uid="{3124BB92-29A4-43EA-81B0-5DDA8C8FD425}">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P120" authorId="0" shapeId="0" xr:uid="{35BCF70D-055E-4D1F-8E41-6C52790CBB93}">
      <text>
        <r>
          <rPr>
            <sz val="11"/>
            <color theme="1"/>
            <rFont val="Aptos Narrow"/>
            <family val="2"/>
            <scheme val="minor"/>
          </rPr>
          <t>Unknown User:
Quote not Emailed</t>
        </r>
      </text>
    </comment>
    <comment ref="S120" authorId="0" shapeId="0" xr:uid="{E01DA9D0-E773-436F-91E1-798AED5B53F5}">
      <text>
        <r>
          <rPr>
            <sz val="11"/>
            <color theme="1"/>
            <rFont val="Aptos Narrow"/>
            <family val="2"/>
            <scheme val="minor"/>
          </rPr>
          <t>Unknown User:
Invoice not Emailed</t>
        </r>
      </text>
    </comment>
    <comment ref="V120" authorId="0" shapeId="0" xr:uid="{A470056B-DDF3-4EE0-8CE4-8A56A5FF97A5}">
      <text>
        <r>
          <rPr>
            <sz val="11"/>
            <color theme="1"/>
            <rFont val="Aptos Narrow"/>
            <family val="2"/>
            <scheme val="minor"/>
          </rPr>
          <t>Unknown User:
Received Amount $1138 For 2 job
71213 - $1127.50
71225 - $10.5</t>
        </r>
      </text>
    </comment>
    <comment ref="G121" authorId="0" shapeId="0" xr:uid="{1780DEF2-5A53-4C16-B5E2-B89D26AE4F6D}">
      <text>
        <r>
          <rPr>
            <sz val="11"/>
            <color theme="1"/>
            <rFont val="Aptos Narrow"/>
            <family val="2"/>
            <scheme val="minor"/>
          </rPr>
          <t xml:space="preserve">Unknown User:
SUPPLY &amp; INSTALLATION OF NEW WALL TOP TAP SET
Isolate main water supply
Removal of cold water tap handle &amp; flange
Removal of hot water tap handle &amp; flange
Removal of existing hot water spindle
Removal of existing cold-water spindle
Removal of existing cold water jumper valve
Removal of existing hot water jumper valve
Machine breach
Flush out breach
Supply &amp; install new hot water jumper valve
Supply &amp; install new cold water jumper valve
Supply &amp; install new cold-water spindle
Supply &amp; install new hot water spindle
Supply &amp; install new easy clean tap ware
Supply &amp; install new hot &amp; cold cover plates
Supply &amp; install new hot &amp; cold tap handles
Supply &amp; install new locking nuts
Reinstate water supply
Test &amp; commission installation
Removal of trade waste
PLEASE NOTE IF FURTHER WORK REQUIRED OTHER THEN QUOTED WORK
FURTHER COST WILL APPLY
</t>
        </r>
      </text>
    </comment>
    <comment ref="P121" authorId="0" shapeId="0" xr:uid="{A4F301FD-2494-44E3-A2F3-3F103F1FA318}">
      <text>
        <r>
          <rPr>
            <sz val="11"/>
            <color theme="1"/>
            <rFont val="Aptos Narrow"/>
            <family val="2"/>
            <scheme val="minor"/>
          </rPr>
          <t>Unknown User:
Quote not Mailed</t>
        </r>
      </text>
    </comment>
    <comment ref="S121" authorId="0" shapeId="0" xr:uid="{3BCE9BE4-1D81-48CB-AB3B-C5253C5FF024}">
      <text>
        <r>
          <rPr>
            <sz val="11"/>
            <color theme="1"/>
            <rFont val="Aptos Narrow"/>
            <family val="2"/>
            <scheme val="minor"/>
          </rPr>
          <t>Unknown User:
Invoice not Emailed</t>
        </r>
      </text>
    </comment>
    <comment ref="G122" authorId="0" shapeId="0" xr:uid="{88636EA8-55B3-4581-9984-E4AE1A581897}">
      <text>
        <r>
          <rPr>
            <sz val="11"/>
            <color theme="1"/>
            <rFont val="Aptos Narrow"/>
            <family val="2"/>
            <scheme val="minor"/>
          </rPr>
          <t xml:space="preserve">Unknown User:
WATER SERVICE RECTIFICATION (IN GROUND)
Obtain service location diagram
Obtain dial before dig
Isolate water supply to property
Set up safe working area
Mark out ground area in required location
Dig &amp; excavate ground area
Expose existing section of damaged water service
Cut &amp; removal of existing damaged water service
Clean existing water service
Prepare existing water service for new connections
Flush out water service free of potential debris
Supply &amp; install new section of new water service up to __M
Supply &amp; install new Press fittings
Connect new section of water service to existing water service
Use of specialist hydraulic crimping tool
Crimp new section of water service
Reinstate water supply
Conduct pressure test on water service to ensure no further leaks
Back fill worked area
Removal of trade waste
Test &amp; commission installation
PLEASE NOTE IF FURTHER WORK REQUIRED OTHER THEN QUOTED WORK
FURTHER COST WILL APPLY
</t>
        </r>
      </text>
    </comment>
    <comment ref="P122" authorId="0" shapeId="0" xr:uid="{8800D3C3-45C0-4355-8450-5F9EDBBD5278}">
      <text>
        <r>
          <rPr>
            <sz val="11"/>
            <color theme="1"/>
            <rFont val="Aptos Narrow"/>
            <family val="2"/>
            <scheme val="minor"/>
          </rPr>
          <t>Unknown User:
Quote not Emailed</t>
        </r>
      </text>
    </comment>
    <comment ref="G123" authorId="0" shapeId="0" xr:uid="{17B48D49-ED0E-4C7C-A9AC-D1A30ABA0682}">
      <text>
        <r>
          <rPr>
            <sz val="11"/>
            <color theme="1"/>
            <rFont val="Aptos Narrow"/>
            <family val="2"/>
            <scheme val="minor"/>
          </rPr>
          <t>Unknown User:
HIGH POWERED SUCTION PUMP
Gain access to sewer service
Gain access to sewer fixture
Set up high powered suction pump
First attempt to clear blocked sewer using high powered suction pump
Attempt to clear sewer service using high powered suction pump
Attempt to clear debris from sewer service
Attempt to flush out sewer service &amp; debris
Test &amp; commission work completed
Removal of trade waste
PLEASE NOTE IF BLOCKAGES DOES NOT CLEAR FURTHER COST WILL APPLY. THIS
IS A FIRST ATTEMPT</t>
        </r>
      </text>
    </comment>
    <comment ref="P123" authorId="0" shapeId="0" xr:uid="{80AA2326-2DA2-4EEE-A973-D6383D046C24}">
      <text>
        <r>
          <rPr>
            <sz val="11"/>
            <color theme="1"/>
            <rFont val="Aptos Narrow"/>
            <family val="2"/>
            <scheme val="minor"/>
          </rPr>
          <t>Unknown User:
Quote not Emailed</t>
        </r>
      </text>
    </comment>
    <comment ref="Q123" authorId="0" shapeId="0" xr:uid="{45BF8F24-A351-4DB5-A006-A1DA2D9E5B2E}">
      <text>
        <r>
          <rPr>
            <sz val="11"/>
            <color theme="1"/>
            <rFont val="Aptos Narrow"/>
            <family val="2"/>
            <scheme val="minor"/>
          </rPr>
          <t>Unknown User:
Final invoice not raised</t>
        </r>
      </text>
    </comment>
    <comment ref="G132" authorId="0" shapeId="0" xr:uid="{CCC57000-4E26-4596-A74A-2504A9BDF789}">
      <text>
        <r>
          <rPr>
            <sz val="11"/>
            <color theme="1"/>
            <rFont val="Aptos Narrow"/>
            <family val="2"/>
            <scheme val="minor"/>
          </rPr>
          <t>Unknown User:
SUPPLY &amp; INSTALLATION OF (SOLAR RATED) TEMPERING VALVE
Isolate main cold water supply to property
Isolate main hot water supply to property
Isolate main power supply to existing hot water system
Gain access to existing tempering valve
Disconnect &amp; removal of existing outlet service unions
Disconnect &amp; removal of existing hot water service unions
Disconnect &amp; removal of existing cold water service unions
Disconnect &amp; removal of existing tempering valve body
Disconnect &amp; removal of existing hot water non return valve
Disconnect &amp; removal of existing cold water non return valve
Disconnect &amp; removal of existing service adapters from hot water service
Disconnect &amp; removal of existing service adapters from cold water service
Clean &amp; prepare existing water services for new connections
Supply &amp; install new service adapters
Supply &amp; install new brass fittings supply
Supply &amp; install new hot water non return valve
Supply &amp; install new cold water non return valve
Supply &amp; install new tempering valve body
Supply &amp; install new gaskets
Supply &amp; install new sealants
Supply &amp; install new valve lagging
Reinstate hot water supply to property
Reinstate cold water supply to property
Reinstate power supply to existing hot water system
Bleed hot water service
Bleed cold water service
Commission tempering valve to ensure compliance with AS/3500
Conduct temperature check to ensure compliance with AS/3500
Clean worked area
Removal of trade waste
PLEASE NOTE IF FURTHER WORK REQUIRED OTHER THEN QUOTED WORK FURTHER COST WILL APPLY</t>
        </r>
      </text>
    </comment>
    <comment ref="M132" authorId="0" shapeId="0" xr:uid="{ABDB09E5-4FE5-40ED-AE35-20F3ECD4F73E}">
      <text>
        <r>
          <rPr>
            <sz val="11"/>
            <color theme="1"/>
            <rFont val="Aptos Narrow"/>
            <family val="2"/>
            <scheme val="minor"/>
          </rPr>
          <t>Unknown User:
$140. Smart pay receipt not uploaded by plumber</t>
        </r>
      </text>
    </comment>
    <comment ref="P132" authorId="0" shapeId="0" xr:uid="{CF8A8E8B-1E9A-4D9F-883C-578B88229B61}">
      <text>
        <r>
          <rPr>
            <sz val="11"/>
            <color theme="1"/>
            <rFont val="Aptos Narrow"/>
            <family val="2"/>
            <scheme val="minor"/>
          </rPr>
          <t xml:space="preserve">Unknown User:
Quote not emailed
</t>
        </r>
      </text>
    </comment>
    <comment ref="Q132" authorId="0" shapeId="0" xr:uid="{70B60C21-1DC7-4C08-85F2-CF9FCC3E0215}">
      <text>
        <r>
          <rPr>
            <sz val="11"/>
            <color theme="1"/>
            <rFont val="Aptos Narrow"/>
            <family val="2"/>
            <scheme val="minor"/>
          </rPr>
          <t>Unknown User:
Final invoice not Raised by Plumber</t>
        </r>
      </text>
    </comment>
    <comment ref="V132" authorId="0" shapeId="0" xr:uid="{75D39BDB-ACAE-49B2-A95A-2E56CD874D40}">
      <text>
        <r>
          <rPr>
            <sz val="11"/>
            <color theme="1"/>
            <rFont val="Aptos Narrow"/>
            <family val="2"/>
            <scheme val="minor"/>
          </rPr>
          <t>Unknown User:
03/07 - Received $600 Card</t>
        </r>
      </text>
    </comment>
    <comment ref="G133" authorId="0" shapeId="0" xr:uid="{1AA02511-0AB1-4067-8E52-9559C8E7149F}">
      <text>
        <r>
          <rPr>
            <sz val="11"/>
            <color theme="1"/>
            <rFont val="Aptos Narrow"/>
            <family val="2"/>
            <scheme val="minor"/>
          </rPr>
          <t>Unknown User:
HIGH POWERED JET BLAST &amp; CCTV CAMERA INSPECTION (GAIN ACCESS FROM VENT)
Locate main sewer vent
Cut out section of sewer vent
Gain access to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section of sewer vent using specialist repair coupling
Test &amp; commission installation
PLEASE NOTE IF BLOCKAGE DOES NOT CLEAR FURTHER COST WILL APPLY. THIS IS A FIRST ATTEMPT.</t>
        </r>
      </text>
    </comment>
    <comment ref="P133" authorId="0" shapeId="0" xr:uid="{198D322A-9560-4534-8EEE-991003DC5A50}">
      <text>
        <r>
          <rPr>
            <sz val="11"/>
            <color theme="1"/>
            <rFont val="Aptos Narrow"/>
            <family val="2"/>
            <scheme val="minor"/>
          </rPr>
          <t>Unknown User:
Quote not emailed</t>
        </r>
      </text>
    </comment>
    <comment ref="S133" authorId="0" shapeId="0" xr:uid="{F96505D6-B288-44E1-9C9D-BC551B51E220}">
      <text>
        <r>
          <rPr>
            <sz val="11"/>
            <color theme="1"/>
            <rFont val="Aptos Narrow"/>
            <family val="2"/>
            <scheme val="minor"/>
          </rPr>
          <t>Unknown User:
Invoice not emailed</t>
        </r>
      </text>
    </comment>
    <comment ref="G137" authorId="0" shapeId="0" xr:uid="{4A589FBE-469B-4521-B147-75B0F37EDC94}">
      <text>
        <r>
          <rPr>
            <sz val="11"/>
            <color theme="1"/>
            <rFont val="Aptos Narrow"/>
            <family val="2"/>
            <scheme val="minor"/>
          </rPr>
          <t>Unknown User:
SEWER SPOT DIG UP TO 2M (UNDER PAVERS)
Obtain Sewer Diagram
Obtain Dial Before Dig
Obtain Service Location Diagram
Set Up Safe Work Area
Set Up Builders Plastic
Set Up Barricades for Safety
Removal of pavers – In Required location
Jackhammer concrete - In required location 
Dig &amp; Excavate Ground Area Up to 2M
Expose Existing Section of Sewer Service Up to 2M
Expose Existing Sewer Junctions (If Required)
Cut &amp; Remove Existing Section of Sewer Service Up to 2M
Cut &amp; Remove Existing Sewer Junctions (If Required)
Gain Access to Sewer Service
Set Up High-Powered Jet Blaster
Set Up High-Powered Mini Reel
Set Up High-Powered Turbines
Re-Jetblast Sewer Service
Re-Camera and Investigate Further
Supply &amp; Install New Section of Sewer Service Up to 2M
Supply &amp; Install New Sewer Junctions (If Required)
Supply &amp; Install New I/O Inspection Point
Supply &amp; Install New BTS and Raise to Ground Level
Supply &amp; Install New PVC Fittings
Connect New Section of Sewer Service to Existing Sewer Service
Concrete Encase New Connections to Existing Sewer Service
Encase New Section of Sewer Service with Blue Metal
Backfill Excavated Area
Compact ground area for Reinstallation of pavers
Prepare worked area for Re-Installation of pavers
Prepare Worked Area for Re-Paving
Re-Install pavers in worked area
Restoration of worked area
Test &amp; Commission Installation
Remove Trade Waste
PLEASE NOTE IF FURTHER WORK REQUIRED OTHER THEN QUOTED WORK FURTHER COST WILL APPLY</t>
        </r>
      </text>
    </comment>
    <comment ref="P137" authorId="0" shapeId="0" xr:uid="{2ED006E4-24D1-4969-B52A-225227B12F25}">
      <text>
        <r>
          <rPr>
            <sz val="11"/>
            <color theme="1"/>
            <rFont val="Aptos Narrow"/>
            <family val="2"/>
            <scheme val="minor"/>
          </rPr>
          <t xml:space="preserve">Unknown User:
Quote not emailed
</t>
        </r>
      </text>
    </comment>
    <comment ref="V137" authorId="0" shapeId="0" xr:uid="{3D4E8D24-F5FC-44D0-8AA5-AB779ACDC45E}">
      <text>
        <r>
          <rPr>
            <sz val="11"/>
            <color theme="1"/>
            <rFont val="Aptos Narrow"/>
            <family val="2"/>
            <scheme val="minor"/>
          </rPr>
          <t xml:space="preserve">Unknown User:
 03/07 - $1600, $1849.10 EFT Received </t>
        </r>
      </text>
    </comment>
    <comment ref="G146" authorId="0" shapeId="0" xr:uid="{857887D0-D329-4EB5-9D34-11BFB9DC270F}">
      <text>
        <r>
          <rPr>
            <sz val="11"/>
            <color theme="1"/>
            <rFont val="Aptos Narrow"/>
            <family val="2"/>
            <scheme val="minor"/>
          </rPr>
          <t>Unknown User:
SEARCH &amp; INVESTIGATION OF SINGLE STOREY ROOF OF POTENTIAL LEAK
Set up ladders
Set up working-at-height equipment
Gain safe access to the roof
Visually inspect the roof above the areas of damage
Check the condition of roof sheets or tiles
Remove roof sheets or tiles in the required location (if required)
Visually inspect underneath roof sheets or tiles for any water damage to timbers or plaster (if required)
Inspect the condition of roof penetration flashings
Inspect the condition of skylight flashing
Inspect the condition and installation of guttering
Inspect the condition of roof flashings
Inspect the condition of box gutter joins
Inspect the condition of box gutter overflows
Inspect the condition of sumps
Inspect for sufficient overflow to the roof guttering
Flood test potential defected areas on the roof
Locate water ingress from below and identify the cause of water ingress
Carry out any minor repairs (e.g., deteriorated sealant or loose roofing screws)
Reinstate roof sheets or tiles in worked area (only)
Test and commission work completed
Remove all trade waste
PLEASE NOTE IF FURTHER WORK REQUIRED OTHER THEN QUOTED WORK FURTHER COST WILL APPLY</t>
        </r>
      </text>
    </comment>
    <comment ref="G147" authorId="0" shapeId="0" xr:uid="{1EF07403-20DF-42EF-A498-E11FAC3229EC}">
      <text>
        <r>
          <rPr>
            <sz val="11"/>
            <color theme="1"/>
            <rFont val="Aptos Narrow"/>
            <family val="2"/>
            <scheme val="minor"/>
          </rPr>
          <t>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t>
        </r>
      </text>
    </comment>
    <comment ref="U147" authorId="0" shapeId="0" xr:uid="{A00B37A0-EB63-4342-A83F-6B7D12F8DE80}">
      <text>
        <r>
          <rPr>
            <sz val="11"/>
            <color theme="1"/>
            <rFont val="Aptos Narrow"/>
            <family val="2"/>
            <scheme val="minor"/>
          </rPr>
          <t xml:space="preserve">Unknown User:
Joshua's note - Kevin Jhugroo called to cancel job. (original caller this morning).
REASON: may be able to get another trade to complete for cheaper, also mentioned an overseas trip before just admitting they werent happy with the price despite signing/paying deposit.
Advised plumber will call back to them to organise cancellation as payment has been taken/job started. 
</t>
        </r>
      </text>
    </comment>
    <comment ref="G148" authorId="0" shapeId="0" xr:uid="{2D1BD9EB-0F55-44B8-AC83-B2C77A5C37E1}">
      <text>
        <r>
          <rPr>
            <sz val="11"/>
            <color theme="1"/>
            <rFont val="Aptos Narrow"/>
            <family val="2"/>
            <scheme val="minor"/>
          </rPr>
          <t>Unknown User:
FLOOD, DYE, PRESSURE TEST (WET AREA)
Isolate main water supply to property
Removal of existing wall mounted spout
Gain access to cold water supply
Gain access to hot water supply
Set up specialist pressure testing equipment
Conduct pressure test on cold water service
Conduct pressure test on hot water service
Connect specialist pressure gauge to wet area outlet
Conduct pressure test on internal breach / body
Conduct flood test on walls
Conduct flood test on floors
Conduct specialist dye test on wet area
Test water proofing integrity
Removal of floor grate
Visually inspect drainage for potential faults or defects
Conduct dye test on drainage
Test drainage for potential faults or leaks
Conduct search &amp; investigation on wet area
Locate &amp; identify potential faults
Provide additional quote for rectification work
*Please note if a specialist leak detection is required further cost will apply*
PLEASE NOTE IF FURTHER WORK REQUIRED OTHER THEN QUOTED WORK FURTHER COST WILL APPLY</t>
        </r>
      </text>
    </comment>
    <comment ref="G149" authorId="0" shapeId="0" xr:uid="{97BC10F1-2995-4FEB-B35F-06DBA2FBE7A3}">
      <text>
        <r>
          <rPr>
            <sz val="11"/>
            <color theme="1"/>
            <rFont val="Aptos Narrow"/>
            <family val="2"/>
            <scheme val="minor"/>
          </rPr>
          <t>Unknown User:
COMPLETE SERVICE OF TOILET CISTERN
Isolate main water supply to property
Disconnect cold-water supply to existing toilet cistern
Removal of existing cold-water supply to toilet cistern
Disconnect &amp; removal of existing emergency isolation valve
Gain access to toilet cistern
Disconnect existing toilet cistern inlet valve
Removal of existing toilet cistern inlet valve
Disconnect existing toilet cistern outlet valve
Removal of existing toilet cistern outlet valve
Disconnect &amp; removal of existing toilet cistern outlet valve drop washer
Clean existing toilet cistern outlet valve housing
Flush out toilet cistern free from all debris
Supply &amp; install new outlet valve drop washer
Reinstall existing toilet cistern outlet valve
Supply &amp; install new toilet cistern inlet valve
Secure new inlet valve to existing toilet cistern
Supply &amp; install new emergency isolation valve
Supply &amp; install new cold-water stainless-steel flexi hose
Reinstate main water supply to toilet cistern
Adjust inlet valve &amp; outlet valve to ensure optimal flush
Test &amp; commission installation
Removal of trade waste
PLEASE NOTE IF FURTHER WORK REQUIRED OUTSIDE OF QUOTED WORKS ADDITIONAL COSTS WILL APPLY</t>
        </r>
      </text>
    </comment>
    <comment ref="G150" authorId="0" shapeId="0" xr:uid="{CA5DA856-B771-4425-89C1-8728103A398A}">
      <text>
        <r>
          <rPr>
            <sz val="11"/>
            <color theme="1"/>
            <rFont val="Aptos Narrow"/>
            <family val="2"/>
            <scheme val="minor"/>
          </rPr>
          <t xml:space="preserve">Unknown User:
. Clean and prepare work area 
. Disconnect and removal of section of polybutylene pipe
. Disconnect and removal of push fittings 
. Supply and install new push fittings 
. Supply and install new polybutylene pipe up to 300mm
. Test and commission 
. Removal of trade waste </t>
        </r>
      </text>
    </comment>
    <comment ref="G151" authorId="0" shapeId="0" xr:uid="{DAF0F70F-9FBD-44E2-9932-C925A72BC13F}">
      <text>
        <r>
          <rPr>
            <sz val="11"/>
            <color theme="1"/>
            <rFont val="Aptos Narrow"/>
            <family val="2"/>
            <scheme val="minor"/>
          </rPr>
          <t>Unknown User:
MIXER TAP - GOOSE NECK
Isolate main cold-water supply to property
Isolate main hot water supply to property
Disconnect &amp; removal of cold-water supply to existing mixer
Disconnect &amp; removal of hot water supply to existing mixer
Disconnect &amp; removal of existing locking nut
Disconnect &amp; removal of existing mixer
Clean &amp; prepare worked area Supply &amp; install new mixer
Supply &amp; install new cold-water stainless-steel flexi hose
Supply &amp; install new hot water stainless steel flexi hose
Supply &amp; install new locking nut Secure new mixer
Reconnect cold water supply to new mixer
Reconnect hot water supply to new mixer
Reinstate cold water supply to new mixer
Reinstate hot water supply to new mixer
Reinstate cold water supply to property
Reinstate hot water supply to property
Test &amp; commission installation
Removal of trade waste
PLEASE NOTE IF FURTHER WORK REQUIRED OTHER THEN QUOTED WORK FURTHER COST WILL APPLY</t>
        </r>
      </text>
    </comment>
    <comment ref="G152" authorId="0" shapeId="0" xr:uid="{7C1EF943-FCE2-4CA7-B826-CDB93C707084}">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153" authorId="0" shapeId="0" xr:uid="{54881E0C-1683-425C-A11E-C01FF6ECE9A1}">
      <text>
        <r>
          <rPr>
            <sz val="11"/>
            <color theme="1"/>
            <rFont val="Aptos Narrow"/>
            <family val="2"/>
            <scheme val="minor"/>
          </rPr>
          <t>Unknown User:
ROOF LEAK SEARCH &amp; INVESTIGATION
Set up required height equipment
Gain safe access to roof
Visually inspect roof above the areas of damage
Inspect condition of roof sheets or tiles
Remove roof sheets or tiles in required location (only if required)
Visually inspect below roofing for any water damage to timbers or plaster (if required)
Inspect condition of roof penetration flashings
Inspect condition of guttering
Inspect condition of roof flashing
Inspect condition of gutter joints
Inspect gutter overflow outlets to ensure correct operation
Inspect condition of roof sumps
Check for sufficient overflow to the roof guttering
Spray test potential defects on the roof
Conduct complete roof search &amp; investigation
Locate water ingress from below and identify the cause of water ingress
Carry out any minor repairs (deteriorated sealant or loose roofing screws)
Removal of trade waste
Test &amp; commission
*Please note if further work required other than quoted work further cost will apply*
PLEASE NOTE IF FURTHER WORK REQUIRED OTHER THEN QUOTED WORK FURTHER COST WILL APPLY</t>
        </r>
      </text>
    </comment>
    <comment ref="G154" authorId="0" shapeId="0" xr:uid="{E130C0A9-FA81-425A-BE4B-CA740A739C27}">
      <text>
        <r>
          <rPr>
            <sz val="11"/>
            <color theme="1"/>
            <rFont val="Aptos Narrow"/>
            <family val="2"/>
            <scheme val="minor"/>
          </rPr>
          <t>Unknown User:
DIG UP OF STORM WATER SPOT UP TO 8MObtain Service Location Diagram
Obtain Dial Before Dig
Obtain Storm Water Diagram – If Available
Set Up Safe Work Area
Set Up Builders Plastic
Set Up Barricades for Safety
Remove fence on this side of the property
Dig &amp; Excavate Ground Area Up to 8M
Expose Existing Section of Storm Water Service Up to 2M
Expose Existing Storm Water Junctions (If Required)
Cut &amp; Remove Existing Section of Storm Water Service Up to 2M
Cut &amp; Remove Existing Storm Water Junctions (If Required)
Gain Access to Storm Water Service
Set Up High-Powered Jet Blaster
Set Up High-Powered Mini Reel
Set Up High-Powered Turbines
Re-Jetblast Storm Water Service
Re-Camera and Investigate Further
Supply &amp; Install New Section of Storm Water Service Up to 8M
Supply &amp; Install New Storm Water Junctions (If Required)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Backfill Excavated Area
Test &amp; Commission Installation
Remove Trade Waste
Restore Work Area (Excludes Returfing)
Reinstate the fence to best condition possible 
PLEASE NOTE IF FURTHER WORK REQUIRED OTHER THEN QUOTED WORK FURTHER COST WILL APPLY</t>
        </r>
      </text>
    </comment>
    <comment ref="G155" authorId="0" shapeId="0" xr:uid="{2D4A6DDE-6F91-487F-B797-869E480638F2}">
      <text>
        <r>
          <rPr>
            <sz val="11"/>
            <color theme="1"/>
            <rFont val="Aptos Narrow"/>
            <family val="2"/>
            <scheme val="minor"/>
          </rPr>
          <t>Unknown User:
SUPPLY AND INSTALL NEW ROOF FLASHING</t>
        </r>
      </text>
    </comment>
    <comment ref="G156" authorId="0" shapeId="0" xr:uid="{178539CB-7786-4EE9-B7D7-BE2D9AA98422}">
      <text>
        <r>
          <rPr>
            <sz val="11"/>
            <color theme="1"/>
            <rFont val="Aptos Narrow"/>
            <family val="2"/>
            <scheme val="minor"/>
          </rPr>
          <t>Unknown User:
SUPPLY &amp; INSTALLATION OF NEW PLASTIC TOILET CISTERN
Isolate main water supply to property
Disconnect &amp; removal of cold-water supply to existing toilet cistern
Disconnect &amp; removal of existing emergency isolation valve
Drain water supply from toilet cistern
Disconnect &amp; removal of existing toilet cistern
Disconnect &amp; removal of existing flush cone
Disconnect &amp; removal of existing key seal
Disconnect &amp; removal of existing seat
Clean &amp; prepare worked area
Supply &amp; install new toilet seat
Supply &amp; install new toilet pan key seal
Supply &amp; install new toilet cistern flush pipe
Supply &amp; install new plastic toilet cistern
Secure new toilet cistern to wall
Supply &amp; install new cistern link connector plate
Supply &amp; install new emergency isolation valve
Supply &amp; install new cold-water stainless-steel flexi hose
Connect cold water supply to new toilet cistern
Reinstate water supply
Test &amp; commission installation
Removal of trade waste
PLEASE NOTE IF FURTHER WORK REQUIRED OUTSIDE OF QUOTED WORKS ADDITIONAL COSTS WILL APPLY</t>
        </r>
      </text>
    </comment>
    <comment ref="G157" authorId="0" shapeId="0" xr:uid="{91DFCB7B-96BE-41CD-8AC9-AF4439707C47}">
      <text>
        <r>
          <rPr>
            <sz val="11"/>
            <color theme="1"/>
            <rFont val="Aptos Narrow"/>
            <family val="2"/>
            <scheme val="minor"/>
          </rPr>
          <t>Unknown User:
SUPPLY &amp; INSTALLATION OF NEW MIXER CARTRIDGE
Isolate main water supply to property
Disconnect &amp; remove mixer grub screw
Disconnect &amp; remove existing handle
Disconnect &amp; remove mixer cover plate
Disconnect &amp; remove mixer locking nut
Disconnect &amp; remove existing mixer cartridge
Disconnect &amp; remove existing mixer cartridge gasket
Visual inspect mixer body for damaged
Clean mixer body
Supply new mixer cartridge gasket
Supply new mixer cartridge to suit existing mixer
Install new mixer cartridge gasket to existing mixer body
Install new mixer cartridge to existing mixer body
Secure new mixer cartridge to mixer body
Reinstall mixer cartridge locking nut
Reinstall mixer cover plate
Reinstall mixer handle
Reinstall mixer grub screw
Reinstate water supply
Test &amp; commission installation
Removal of trade waste
PLEASE NOTE IF FURTHER WORK REQUIRED OUTSIDE OF QUOTED WORKS ADDITIONAL COSTS WILL APPLY.</t>
        </r>
      </text>
    </comment>
    <comment ref="G158" authorId="0" shapeId="0" xr:uid="{ED5A7D35-4CB1-4A99-A688-D9D9E6D81E81}">
      <text>
        <r>
          <rPr>
            <sz val="11"/>
            <color theme="1"/>
            <rFont val="Aptos Narrow"/>
            <family val="2"/>
            <scheme val="minor"/>
          </rPr>
          <t>Unknown User:
SEWER SPOT DIG UP TO 1.5M - IN GROUND
Obtain sewer diagram
Obtain dial Before dig
Obtain service location diagram
Set up safe work area
Set up builders plastic
Set up barricades for safety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Test &amp; commission installation</t>
        </r>
      </text>
    </comment>
    <comment ref="N158" authorId="0" shapeId="0" xr:uid="{FA317037-1C57-4EDC-BF98-2ABC0747B3E8}">
      <text>
        <r>
          <rPr>
            <sz val="11"/>
            <color theme="1"/>
            <rFont val="Aptos Narrow"/>
            <family val="2"/>
            <scheme val="minor"/>
          </rPr>
          <t xml:space="preserve">Unknown User:
Quote Raised in </t>
        </r>
      </text>
    </comment>
    <comment ref="V158" authorId="0" shapeId="0" xr:uid="{C52CF697-02B3-4B62-8D3F-579F6C33D72C}">
      <text>
        <r>
          <rPr>
            <sz val="11"/>
            <color theme="1"/>
            <rFont val="Aptos Narrow"/>
            <family val="2"/>
            <scheme val="minor"/>
          </rPr>
          <t>Unknown User:
Received Amount $1138 For 2 job
71213 - $1127.50
71225 - $10.5</t>
        </r>
      </text>
    </comment>
    <comment ref="G159" authorId="0" shapeId="0" xr:uid="{C77FF1A7-8A48-4705-A0B5-3182EFAD69C2}">
      <text>
        <r>
          <rPr>
            <sz val="11"/>
            <color theme="1"/>
            <rFont val="Aptos Narrow"/>
            <family val="2"/>
            <scheme val="minor"/>
          </rPr>
          <t>Unknown User:
SUPPLY &amp; INSTALLATION OF GAS STORAGE HOT WATER SYSTEM (EXTERNAL)
Isolate main water supply to property
Isolate main gas supply to property
Disconnect main gas supply to existing hot water system
Disconnect main cold-water supply to existing gas hot water system
Disconnect main hot water supply to existing gas hot water system
Disconnect existing plumbing connecting to existing gas hot water system
Drain existing gas hot water system
Removal of existing gas hot water system
Removal of existing brass fittings
Disconnect &amp; removal existing section of gas service connecting to existing internal hot water system
Disconnect &amp; removal of existing section of cold-water supply connecting to existing gas hot water system
Disconnect &amp; removal of existing section of hot supply connecting to existing section of gas hot water system
Clean &amp; prepare worked area
Supply &amp; install new external gas storage hot water system
Supply &amp; install new gas emergency isolation valve
Supply &amp; install new duo valve
Supply &amp; install new pressure limiting valve
Supply &amp; install tempering valve
Supply &amp; install new pressure relief valve
Supply &amp; install new B-press fittings
Supply &amp; install new Brass fittings
Supply &amp; install new section of copper gas service &amp; connect to new gas storage hot water system
Supply &amp; install new section of cold-water service &amp; connect to new gas storage hot water system
Supply &amp; install new section of hot water copper service &amp; connect to new gas storage hot water system
Supply &amp; install new pressure relief valve drain service in copper in accordance with AS3500
Reinstate main water supply to property
Reinstate main gas supply to property
Test &amp; commission installation
Removal of trade waste
PLEASE NOTE IF FURTHER WORK REQUIRED OUTSIDE OF QUOTED WORKS ADDITIONAL COSTS WILL APPLY</t>
        </r>
      </text>
    </comment>
    <comment ref="G160" authorId="0" shapeId="0" xr:uid="{D530F939-93B7-4B3F-ACC4-5E8469BF97E2}">
      <text>
        <r>
          <rPr>
            <sz val="11"/>
            <color theme="1"/>
            <rFont val="Aptos Narrow"/>
            <family val="2"/>
            <scheme val="minor"/>
          </rPr>
          <t xml:space="preserve">Unknown User:
ROCA MULTICLEAN PREMIUM BIDET SEAT (EA)
. Isolate main water supply to property
. Clean and prepare worked area 
. Cut plaster where required 
. Gain access to water supply 
. Disconnect and removal of water service 
. Disconnect and removal of existing toilet seat
. Supply and install new water service 
. Supply and install new press fittings 
. Supply and install new brass fittings 
. Supply and install new isolation valve 
. Supply and install new check valve 
. Supply and install new flexible stainless steel braided hose 
. Supply and install new bidet seat
. Fit new bidet seat to pan
. Connect new water supply to bidet seat
. Test and commission 
. Removal of trade waste 
PLEASE NOTE IF FURTHER WORK REQUIRED OUTSIDE OF QUOTED WORKS ADDITIONAL COSTS WILL APPLY
</t>
        </r>
      </text>
    </comment>
    <comment ref="G161" authorId="0" shapeId="0" xr:uid="{BC51D5DF-9987-476E-B8F7-E3CD390D9647}">
      <text>
        <r>
          <rPr>
            <sz val="11"/>
            <color theme="1"/>
            <rFont val="Aptos Narrow"/>
            <family val="2"/>
            <scheme val="minor"/>
          </rPr>
          <t>Unknown User:
INSTALLATION OF NEW DOUBLE BOWL KITCHEN SINK (CUSTOMER SUPPLIED)
Isolate main water supply to kitchen mixer
Clean &amp; prepare worked area
Install new customer supplied double bowl kitchen sink
Seal new kitchen sink to kitchen bench top
Secure new kitchen sink to existing bench top
Supply &amp; install new cold water emergency isolation valve
Supply &amp; install new hot water emergency isolation valve
Install new plug &amp; wastes
Supply &amp; install new S&amp;P Trap
Supply &amp; install new double bowl connector
Supply &amp; install new section of drainage
Supply &amp; install new PVC fittings
Connect new drainage to new kitchen sink
Connect new drainage to existing drainage
Install kitchen mixer
Secure new kitchen mixer
Install new cold-water stainless-steel flexi hose
Install new hot water stainless steel flexi hose
Connect cold water supply to new kitchen mixer
Connect hot water supply to new kitchen mixer
Reinstate cold water supply
Reinstate hot water supply
Test &amp; commission installation
Removal of trade waste
PLEASE NOTE IF FURTHER WORK REQUIRED OTHER THEN QUOTED WORK FURTHER COST WILL APPLY</t>
        </r>
      </text>
    </comment>
    <comment ref="G162" authorId="0" shapeId="0" xr:uid="{BC3FE618-7692-4F81-9AFE-501546B6107D}">
      <text>
        <r>
          <rPr>
            <sz val="11"/>
            <color theme="1"/>
            <rFont val="Aptos Narrow"/>
            <family val="2"/>
            <scheme val="minor"/>
          </rPr>
          <t>Unknown User:
REPLACEMENT OF EXISTING GOOSE NECK KITCHEN MIXER (CUSTOMER SUPPLIED)
Isolate main water supply to property
Disconnect existing cold-water supply to mixer tap
Disconnect existing hot-water supply to mixer tap
Disconnect and remove existing locking nut
Disconnect &amp; remove existing mixer tap
Clean and prepare work area for new installation
Supply and install new cold water emergency isolation valve
Supply and install new hot water emergency isolation valve
Install new customer supplied goose neck mixer tap
Install new cold-water stainless steel flexi hose
Install new hot-water stainless steel flexi hose
Install new locking nut
Secure new goose neck kitchen mixer tap
Connect cold-water flexible hose to new emergency isolation valve
Connect hot-water flexible hose to new emergency isolation valve
Reinstate main water supply to property.
Test and commission installation
Removal of trade waste
PLEASE NOTE IF FURTHER WORK REQUIRED OTHER THEN QUOTED WORK FURTHER COST WILL APPLY</t>
        </r>
      </text>
    </comment>
    <comment ref="G163" authorId="0" shapeId="0" xr:uid="{BA1DDAB2-8EB2-4C86-AEF6-61C779E3E64B}">
      <text>
        <r>
          <rPr>
            <sz val="11"/>
            <color theme="1"/>
            <rFont val="Aptos Narrow"/>
            <family val="2"/>
            <scheme val="minor"/>
          </rPr>
          <t>Unknown User:
COMPLETE SERVICE OF WALL TOP TAPS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in wall using specialist tungsten re-seating tool
Flush out breach in wall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in wall
Reinstall hot &amp; cold-water tapware
Reinstall hot &amp; cold-water locking nuts
Reinstate cold water supply to property
Reinstate hot water supply to property
Test &amp; commission installation
Removal of trade waste
PLEASE NOTE IF FURTHER WORK REQUIRED OUTSIDE OF QUOTED WORKS ADDITIONAL COSTS WILL APPLY. IF BREECH IS FOUND TO BE DAMAGED FUTHER COSTS WILL APPLY.</t>
        </r>
      </text>
    </comment>
    <comment ref="G164" authorId="0" shapeId="0" xr:uid="{0C5E0C2D-B6E0-4D14-ABB2-1035C539692E}">
      <text>
        <r>
          <rPr>
            <sz val="11"/>
            <color theme="1"/>
            <rFont val="Aptos Narrow"/>
            <family val="2"/>
            <scheme val="minor"/>
          </rPr>
          <t>Unknown User:
SUPPLY AND INSTALLATION OF PRESSURE REGULATING DEVICE FITTED TO 20MM STRAIGHT PIPEWORK
Isolate water service to property
Drain water service
Mark out valve location
Cut &amp; remove copper water service
Clean &amp; prepare existing copper water service
Supply &amp; install new service adapters
Supply &amp; install new press fittings
Supply &amp; install new brass fittings
Supply &amp; install new pressure regulating device
Supply &amp; install new sealant
Supply &amp; install new copper water service to suit new installation
Use of hydraulic press tool
Reinstate water service to property
Flush water system
Test &amp; commission installation
Set pressure of new installation
Removal of trade waste from site
PLEASE NOTE IF FURTHER WORK REQUIRED OTHER THAN QUOTED WORKS ADDITIONAL COSTS WILL APPLY</t>
        </r>
      </text>
    </comment>
    <comment ref="G165" authorId="0" shapeId="0" xr:uid="{33437653-A14A-4E53-9643-13E47D471B5D}">
      <text>
        <r>
          <rPr>
            <sz val="11"/>
            <color theme="1"/>
            <rFont val="Aptos Narrow"/>
            <family val="2"/>
            <scheme val="minor"/>
          </rPr>
          <t>Unknown User:
COMMERCIAL HIGH POWERED JETBLAST &amp; CCTV DRAIN CAMERA INSPECTION
Set up high commercial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166" authorId="0" shapeId="0" xr:uid="{9569A96B-E66C-46CA-8E84-0E1EB9C4693B}">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E187" authorId="1" shapeId="0" xr:uid="{7257E468-8B49-4A6A-AAC0-1FA0D1FC956B}">
      <text>
        <t>[Threaded comment]
Your version of Excel allows you to read this threaded comment; however, any edits to it will get removed if the file is opened in a newer version of Excel. Learn more: https://go.microsoft.com/fwlink/?linkid=870924
Comment:
    Stock</t>
      </text>
    </comment>
    <comment ref="G198" authorId="0" shapeId="0" xr:uid="{2ABFE040-9CDF-46CB-AD8C-924BF968353F}">
      <text>
        <r>
          <rPr>
            <sz val="11"/>
            <color theme="1"/>
            <rFont val="Aptos Narrow"/>
            <family val="2"/>
            <scheme val="minor"/>
          </rPr>
          <t>Unknown User:
SEARCH &amp; INVESTIGATION (GENERAL)
Set up safe worked area Isolate main water supply to property
Gain access to cold water supply
Gain access to hot water supply
Set up specialist pressure testing equipment
Conduct pressure test on cold water service
Conduct pressure test on hot water service
Conduct search &amp; investigation on property in attempt to locate leak
Cut &amp; removal of gyprock (If required)
Provide additional quote for rectification work
Removal of any trade waste
Please note, if unable to find leak additional cost will apply for a specialist leak detection
PLEASE NOTE IF FURTHER WORK REQUIRED OTHER THEN QUOTED WORK FURTHER COST WILL APPLY</t>
        </r>
      </text>
    </comment>
    <comment ref="L198" authorId="0" shapeId="0" xr:uid="{6AF8BD98-0F0A-469F-AD9E-9F5B34C38F6C}">
      <text>
        <r>
          <rPr>
            <sz val="11"/>
            <color theme="1"/>
            <rFont val="Aptos Narrow"/>
            <family val="2"/>
            <scheme val="minor"/>
          </rPr>
          <t>Unknown User:
After pics not uploaded</t>
        </r>
      </text>
    </comment>
    <comment ref="P198" authorId="0" shapeId="0" xr:uid="{AFF59864-66FB-4161-8851-031EF4187D36}">
      <text>
        <r>
          <rPr>
            <sz val="11"/>
            <color theme="1"/>
            <rFont val="Aptos Narrow"/>
            <family val="2"/>
            <scheme val="minor"/>
          </rPr>
          <t>Unknown User:
Quote not Emailed</t>
        </r>
      </text>
    </comment>
    <comment ref="S198" authorId="0" shapeId="0" xr:uid="{C75E892B-94D8-4B0C-A456-905D2445C163}">
      <text>
        <r>
          <rPr>
            <sz val="11"/>
            <color theme="1"/>
            <rFont val="Aptos Narrow"/>
            <family val="2"/>
            <scheme val="minor"/>
          </rPr>
          <t>Unknown User:
Invoice not Emailed</t>
        </r>
      </text>
    </comment>
    <comment ref="G199" authorId="0" shapeId="0" xr:uid="{84AECB18-40FA-43F2-B773-0593A7834CF2}">
      <text>
        <r>
          <rPr>
            <sz val="11"/>
            <color theme="1"/>
            <rFont val="Aptos Narrow"/>
            <family val="2"/>
            <scheme val="minor"/>
          </rPr>
          <t>Unknown User:
SEARCH &amp; INVESTIGATION (MINOR) - POTENTIAL WATER LEAK FROM UNKOWN LOCATION
Set up safe worked area
Isolate main water supply to property
Gain access to cold water supply
Set up specialist pressure testing equipment
Conduct pressure test on cold water service
Conduct search &amp; investigation on property in attempt to locate leak
Provide additional quote for rectification work
Removal of any trade waste
Please note, if unable to find leak additional cost will apply for a specialist leak detection.
PLEASE NOTE IF FURTHER WORK REQUIRED OTHER THAN QUOTED WORK FURTHER COST WILL APPLY.</t>
        </r>
      </text>
    </comment>
    <comment ref="Q199" authorId="0" shapeId="0" xr:uid="{10488419-81F9-4BC0-B7C2-8F88F9F0E73F}">
      <text>
        <r>
          <rPr>
            <sz val="11"/>
            <color theme="1"/>
            <rFont val="Aptos Narrow"/>
            <family val="2"/>
            <scheme val="minor"/>
          </rPr>
          <t xml:space="preserve">Unknown User:
Final invoice not Raised
</t>
        </r>
      </text>
    </comment>
    <comment ref="G200" authorId="0" shapeId="0" xr:uid="{484F1DC7-1181-4389-A0A8-FB47CE2A7E73}">
      <text>
        <r>
          <rPr>
            <sz val="11"/>
            <color theme="1"/>
            <rFont val="Aptos Narrow"/>
            <family val="2"/>
            <scheme val="minor"/>
          </rPr>
          <t>Unknown User:
MIXER TAP - STANDARD
Isolate main cold-water supply to property
Isolate main hot water supply to property
Disconnect &amp; removal of cold-water supply to existing mixer
Disconnect &amp; removal of hot water supply to existing mixer
Disconnect &amp; removal of existing locking nut
Disconnect &amp; removal of existing mixer
Clean &amp; prepare worked area
Supply &amp; install new mixer
Supply &amp; install new cold-water stainless-steel flexi hose
Supply &amp; install new hot water stainless steel flexi hose
Supply &amp; install new locking nut
Secure new mixer
Reconnect cold water supply to new mixer
Reconnect hot water supply to new mixer
Reinstate cold water supply to new mixer
Reinstate hot water supply to new mixer
Reinstate cold water supply to property
Reinstate hot water supply to property
Test &amp; commission installation
Removal of trade waste
PLEASE NOTE IF FURTHER WORK REQUIRED OTHER THEN QUOTED WORK FURTHER COST WILL APPLY</t>
        </r>
      </text>
    </comment>
    <comment ref="Q200" authorId="0" shapeId="0" xr:uid="{E0BAFE90-205B-4215-8CED-1B4D087343B1}">
      <text>
        <r>
          <rPr>
            <sz val="11"/>
            <color theme="1"/>
            <rFont val="Aptos Narrow"/>
            <family val="2"/>
            <scheme val="minor"/>
          </rPr>
          <t>Unknown User:
Final invoice not Raised</t>
        </r>
      </text>
    </comment>
    <comment ref="G201" authorId="0" shapeId="0" xr:uid="{69BAF83F-6C3B-42FC-8D19-CE5CF3E8CB90}">
      <text>
        <r>
          <rPr>
            <sz val="11"/>
            <color theme="1"/>
            <rFont val="Aptos Narrow"/>
            <family val="2"/>
            <scheme val="minor"/>
          </rPr>
          <t xml:space="preserve">Unknown User:
SEARCH AND INVESTIGATION OF ELECTRIC STORAGE HOT WATER
SYSTEM
Gain access to hot water unit
Gain access to electrical supply
Check power supply at mains
Disconnect and remove hot water system electrical cover
Check power supply at hot water unit
Check power supply to thermostat
Check power supply to element
Check water supply to isolation valve
Check hot water system for tempering valve
Check water supply pressure to property
Check hot water system flow rate
Check electrical cable connections on hot water unit
Visually inspect electrical cable for ruptures where able
Check relive valve operation and integrity
Check discharge from outlet of hot water system for any signs
of rust and corrosion in hot water supply
Determine cause and include any repair to a loose pipe or loose
wire connection
PLEASE NOTE IF FURTHER WORK IS REQUIRED ADDITIONAL COSTS
WILL APPLY
</t>
        </r>
      </text>
    </comment>
    <comment ref="P201" authorId="0" shapeId="0" xr:uid="{B3C3468B-FBE5-4AEC-B838-185EA16E6328}">
      <text>
        <r>
          <rPr>
            <sz val="11"/>
            <color theme="1"/>
            <rFont val="Aptos Narrow"/>
            <family val="2"/>
            <scheme val="minor"/>
          </rPr>
          <t>Unknown User:
Quote not Emailed</t>
        </r>
      </text>
    </comment>
    <comment ref="Q201" authorId="0" shapeId="0" xr:uid="{276F4F69-02B7-4F54-A683-F6CAC1D6AB98}">
      <text>
        <r>
          <rPr>
            <sz val="11"/>
            <color theme="1"/>
            <rFont val="Aptos Narrow"/>
            <family val="2"/>
            <scheme val="minor"/>
          </rPr>
          <t>Unknown User:
Final invoice not Raised</t>
        </r>
      </text>
    </comment>
    <comment ref="G202" authorId="0" shapeId="0" xr:uid="{220FC346-8AE7-4057-A4C8-CE8C93C11BCA}">
      <text>
        <r>
          <rPr>
            <sz val="11"/>
            <color theme="1"/>
            <rFont val="Aptos Narrow"/>
            <family val="2"/>
            <scheme val="minor"/>
          </rPr>
          <t xml:space="preserve">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
</t>
        </r>
      </text>
    </comment>
    <comment ref="P202" authorId="0" shapeId="0" xr:uid="{0DC0266F-A230-4125-8CDE-D633BC5FB135}">
      <text>
        <r>
          <rPr>
            <sz val="11"/>
            <color theme="1"/>
            <rFont val="Aptos Narrow"/>
            <family val="2"/>
            <scheme val="minor"/>
          </rPr>
          <t>Unknown User:
Quote not Emailed</t>
        </r>
      </text>
    </comment>
    <comment ref="G203" authorId="0" shapeId="0" xr:uid="{586280C7-7575-45AD-9E9F-F607DF3FB354}">
      <text>
        <r>
          <rPr>
            <sz val="11"/>
            <color theme="1"/>
            <rFont val="Aptos Narrow"/>
            <family val="2"/>
            <scheme val="minor"/>
          </rPr>
          <t xml:space="preserve">Unknown User:
Gain access to main gas meter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Gain access to existing gas service connecting to gas space heater
Disconnect existing gas service connected to gas space heater
Gain access to space heater internals
Gain access to space heater fans and flues
Conduct visual inspection of fans and flues
Clean filters and fans if required
Factory reset space heater
Reinstate main gas supply to the property
Conduct a manometer test on the main gas service upon completion of the installation to ensure there are no leaks
Test &amp; commission space heater
Removal of all trade waste
</t>
        </r>
      </text>
    </comment>
    <comment ref="P203" authorId="0" shapeId="0" xr:uid="{41F9E092-6F67-4BB3-AE72-A48E5F65217E}">
      <text>
        <r>
          <rPr>
            <sz val="11"/>
            <color theme="1"/>
            <rFont val="Aptos Narrow"/>
            <family val="2"/>
            <scheme val="minor"/>
          </rPr>
          <t>Unknown User:
Quote not Emailed</t>
        </r>
      </text>
    </comment>
    <comment ref="G204" authorId="0" shapeId="0" xr:uid="{5E5AA469-CE70-45E1-9AD1-C11957EFFF15}">
      <text>
        <r>
          <rPr>
            <sz val="11"/>
            <color theme="1"/>
            <rFont val="Aptos Narrow"/>
            <family val="2"/>
            <scheme val="minor"/>
          </rPr>
          <t xml:space="preserve">Unknown User:
SUPPLY &amp; INSTALLATION OF NEW WALL FACED TOILET SUITE
</t>
        </r>
      </text>
    </comment>
    <comment ref="P204" authorId="0" shapeId="0" xr:uid="{BA616914-6657-4D79-B945-7341797260C6}">
      <text>
        <r>
          <rPr>
            <sz val="11"/>
            <color theme="1"/>
            <rFont val="Aptos Narrow"/>
            <family val="2"/>
            <scheme val="minor"/>
          </rPr>
          <t>Unknown User:
Quote not Emailed</t>
        </r>
      </text>
    </comment>
    <comment ref="Q204" authorId="0" shapeId="0" xr:uid="{A6217F45-AA34-495A-90B1-F6172AEA7BB5}">
      <text>
        <r>
          <rPr>
            <sz val="11"/>
            <color theme="1"/>
            <rFont val="Aptos Narrow"/>
            <family val="2"/>
            <scheme val="minor"/>
          </rPr>
          <t>Unknown User:
Final zero due invoice not raised.</t>
        </r>
      </text>
    </comment>
    <comment ref="G205" authorId="0" shapeId="0" xr:uid="{557412C4-EC8C-4B06-81BE-022A64D1594C}">
      <text>
        <r>
          <rPr>
            <sz val="11"/>
            <color theme="1"/>
            <rFont val="Aptos Narrow"/>
            <family val="2"/>
            <scheme val="minor"/>
          </rPr>
          <t xml:space="preserve">Unknown User:
REPLACEMENT OF EXISTING 20MM WATER CONNECTION WITH BRAIDED FLEXIBLE HOSE
</t>
        </r>
      </text>
    </comment>
    <comment ref="K205" authorId="0" shapeId="0" xr:uid="{464BD9B5-E7D5-4518-978C-D4A3012785EB}">
      <text>
        <r>
          <rPr>
            <sz val="11"/>
            <color theme="1"/>
            <rFont val="Aptos Narrow"/>
            <family val="2"/>
            <scheme val="minor"/>
          </rPr>
          <t>Unknown User:
Before job pics not uploaded</t>
        </r>
      </text>
    </comment>
    <comment ref="P205" authorId="0" shapeId="0" xr:uid="{9EE42DF1-D757-4FDC-B2E2-2414FD005296}">
      <text>
        <r>
          <rPr>
            <sz val="11"/>
            <color theme="1"/>
            <rFont val="Aptos Narrow"/>
            <family val="2"/>
            <scheme val="minor"/>
          </rPr>
          <t>Unknown User:
Quote not Emailed</t>
        </r>
      </text>
    </comment>
    <comment ref="S205" authorId="0" shapeId="0" xr:uid="{4A371031-E056-4EAE-8E97-4BBC5F35C7E6}">
      <text>
        <r>
          <rPr>
            <sz val="11"/>
            <color theme="1"/>
            <rFont val="Aptos Narrow"/>
            <family val="2"/>
            <scheme val="minor"/>
          </rPr>
          <t>Unknown User:
Signed final invoice not emailed</t>
        </r>
      </text>
    </comment>
    <comment ref="G206" authorId="0" shapeId="0" xr:uid="{104F7083-F60C-4E18-8907-2E4933EF887C}">
      <text>
        <r>
          <rPr>
            <sz val="11"/>
            <color theme="1"/>
            <rFont val="Aptos Narrow"/>
            <family val="2"/>
            <scheme val="minor"/>
          </rPr>
          <t>Unknown User:
SEARCH AND INVESTIGATION OF ELECTRIC STORAGE HOT WATER SYSTEM
Gain access to electrical supply
Check power supply at mains
Isolate the water supply to the property
Gain access to ceiling hatch
Check for a tempering valve 
Check for a thermostatic mixing valve 
Check water supply to isolation valve
Check the integrity of the Valves
Conduct a thorough search and investigation on the property 
Determine cause and include any repair to a loose pipe or loose wire connection
Reinstate water supply to the property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repair.</t>
        </r>
      </text>
    </comment>
    <comment ref="P206" authorId="0" shapeId="0" xr:uid="{72E35529-F75A-4197-BBC9-064A5BD54EF7}">
      <text>
        <r>
          <rPr>
            <sz val="11"/>
            <color theme="1"/>
            <rFont val="Aptos Narrow"/>
            <family val="2"/>
            <scheme val="minor"/>
          </rPr>
          <t>Unknown User:
Quote not Emailed</t>
        </r>
      </text>
    </comment>
    <comment ref="S206" authorId="0" shapeId="0" xr:uid="{2E3098DC-A2B1-44E4-A89A-75FFB21EDE12}">
      <text>
        <r>
          <rPr>
            <sz val="11"/>
            <color theme="1"/>
            <rFont val="Aptos Narrow"/>
            <family val="2"/>
            <scheme val="minor"/>
          </rPr>
          <t>Unknown User:
Invoice not Emailed</t>
        </r>
      </text>
    </comment>
    <comment ref="G207" authorId="0" shapeId="0" xr:uid="{CB66A3E1-4CCE-48ED-9CC2-052EE786AD2E}">
      <text>
        <r>
          <rPr>
            <sz val="11"/>
            <color theme="1"/>
            <rFont val="Aptos Narrow"/>
            <family val="2"/>
            <scheme val="minor"/>
          </rPr>
          <t>Unknown User:
SUPPLY &amp; INSTALLATION OF (SOLAR RATED) TEMPERING VALVE
Isolate main cold water supply to property
Isolate main hot water supply to property
Isolate main power supply to existing hot water system
Gain access to existing tempering valve
Drain system
Disconnect &amp; removal of existing outlet service unions
Disconnect &amp; removal of existing hot water service unions
Disconnect &amp; removal of existing cold water service unions
Disconnect &amp; removal of existing tempering valve body
Disconnect &amp; removal of existing hot water non return valve
Disconnect &amp; removal of existing cold water non return valve
Disconnect &amp; removal of existing service adapters from hot water service
Disconnect &amp; removal of existing service adapters from cold water service
Clean &amp; prepare existing water services for new connections
Supply &amp; install new service adapters
Supply &amp; install new press fittings
Supply &amp; install new brass fittings supply
Supply &amp; install new hot water non return valve
Supply &amp; install new cold water non return valve
Supply &amp; install new tempering valve body
Supply &amp; install new gaskets
Supply &amp; install new sealants
Supply &amp; install new valve lagging
Reinstate hot water supply to property
Reinstate cold water supply to property
Reinstate power supply to existing hot water system
Bleed hot water service
Bleed cold water service
Commission tempering valve to ensure compliance with AS/3500
Conduct temperature check to ensure compliance with AS/3500
Clean worked area
Removal of trade waste
PLEASE NOTE IF FURTHER WORK REQUIRED OTHER THEN QUOTED WORK FURTHER COST WILL APPLY</t>
        </r>
      </text>
    </comment>
    <comment ref="P207" authorId="0" shapeId="0" xr:uid="{5DAAD47B-7EAA-41F2-A27A-561CB4C93B99}">
      <text>
        <r>
          <rPr>
            <sz val="11"/>
            <color theme="1"/>
            <rFont val="Aptos Narrow"/>
            <family val="2"/>
            <scheme val="minor"/>
          </rPr>
          <t>Unknown User:
Quote not Emailed</t>
        </r>
      </text>
    </comment>
    <comment ref="Q207" authorId="0" shapeId="0" xr:uid="{6997E9D8-B816-4639-89F1-E36F28736177}">
      <text>
        <r>
          <rPr>
            <sz val="11"/>
            <color theme="1"/>
            <rFont val="Aptos Narrow"/>
            <family val="2"/>
            <scheme val="minor"/>
          </rPr>
          <t>Unknown User:
Invoice not Raised</t>
        </r>
      </text>
    </comment>
    <comment ref="G212" authorId="0" shapeId="0" xr:uid="{DF673F9F-C4AF-46FB-BEA3-0C92CFBA29AF}">
      <text>
        <r>
          <rPr>
            <sz val="11"/>
            <color theme="1"/>
            <rFont val="Aptos Narrow"/>
            <family val="2"/>
            <scheme val="minor"/>
          </rPr>
          <t>Unknown User:
SUPPLY &amp; INSTALLATION OF (SOLAR RATED) TEMPERING VALVE
Isolate main cold water supply to property
Isolate main hot water supply to property
Isolate main power supply to existing hot water system
Gain access to existing tempering valve
Disconnect &amp; removal of existing outlet service unions
Disconnect &amp; removal of existing hot water service unions
Disconnect &amp; removal of existing cold water service unions
Disconnect &amp; removal of existing tempering valve body
Disconnect &amp; removal of existing hot water non return valve
Disconnect &amp; removal of existing cold water non return valve
Disconnect &amp; removal of existing service adapters from hot water service
Disconnect &amp; removal of existing service adapters from cold water service
Clean &amp; prepare existing water services for new connections
Supply &amp; install new service adapters
Supply &amp; install new brass fittings supply
Supply &amp; install new hot water non return valve
Supply &amp; install new cold water non return valve
Supply &amp; install new tempering valve body
Supply &amp; install new gaskets
Supply &amp; install new sealants
Supply &amp; install new valve lagging
Reinstate hot water supply to property
Reinstate cold water supply to property
Reinstate power supply to existing hot water system
Bleed hot water service
Bleed cold water service
Commission tempering valve to ensure compliance with AS/3500
Conduct temperature check to ensure compliance with AS/3500
Clean worked area
Removal of trade waste
PLEASE NOTE IF FURTHER WORK REQUIRED OTHER THEN QUOTED WORK FURTHER COST WILL APPLY</t>
        </r>
      </text>
    </comment>
    <comment ref="M212" authorId="0" shapeId="0" xr:uid="{C3E0ED36-D68E-4A6D-B915-FE42553B8F66}">
      <text>
        <r>
          <rPr>
            <sz val="11"/>
            <color theme="1"/>
            <rFont val="Aptos Narrow"/>
            <family val="2"/>
            <scheme val="minor"/>
          </rPr>
          <t>Unknown User:
$140. Smart pay receipt not uploaded by plumber</t>
        </r>
      </text>
    </comment>
    <comment ref="P212" authorId="0" shapeId="0" xr:uid="{4FA8F135-FC45-44BA-A46E-5D9E8E92F3C6}">
      <text>
        <r>
          <rPr>
            <sz val="11"/>
            <color theme="1"/>
            <rFont val="Aptos Narrow"/>
            <family val="2"/>
            <scheme val="minor"/>
          </rPr>
          <t xml:space="preserve">Unknown User:
Quote not emailed
</t>
        </r>
      </text>
    </comment>
    <comment ref="Q212" authorId="0" shapeId="0" xr:uid="{52EE9881-8733-42F9-9E4B-2ED24D7CD24D}">
      <text>
        <r>
          <rPr>
            <sz val="11"/>
            <color theme="1"/>
            <rFont val="Aptos Narrow"/>
            <family val="2"/>
            <scheme val="minor"/>
          </rPr>
          <t>Unknown User:
Final invoice not Raised by Plumber</t>
        </r>
      </text>
    </comment>
    <comment ref="V212" authorId="0" shapeId="0" xr:uid="{C42360BA-81AB-4762-9BC9-0C44729E42F3}">
      <text>
        <r>
          <rPr>
            <sz val="11"/>
            <color theme="1"/>
            <rFont val="Aptos Narrow"/>
            <family val="2"/>
            <scheme val="minor"/>
          </rPr>
          <t>Unknown User:
03/07 - Received $600 Card</t>
        </r>
      </text>
    </comment>
    <comment ref="G216" authorId="0" shapeId="0" xr:uid="{6E93D744-76F6-4CB4-B803-212158130EBA}">
      <text>
        <r>
          <rPr>
            <sz val="11"/>
            <color theme="1"/>
            <rFont val="Aptos Narrow"/>
            <family val="2"/>
            <scheme val="minor"/>
          </rPr>
          <t>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t>
        </r>
      </text>
    </comment>
    <comment ref="L216" authorId="0" shapeId="0" xr:uid="{57D20A64-E4A1-4832-8CBF-FE506DA66FED}">
      <text>
        <r>
          <rPr>
            <sz val="11"/>
            <color theme="1"/>
            <rFont val="Aptos Narrow"/>
            <family val="2"/>
            <scheme val="minor"/>
          </rPr>
          <t>Unknown User:
No after pics uploaded</t>
        </r>
      </text>
    </comment>
    <comment ref="P216" authorId="0" shapeId="0" xr:uid="{6B35421D-D09E-42D8-9CE6-D0534985B7ED}">
      <text>
        <r>
          <rPr>
            <sz val="11"/>
            <color theme="1"/>
            <rFont val="Aptos Narrow"/>
            <family val="2"/>
            <scheme val="minor"/>
          </rPr>
          <t>Unknown User:
Quote not Emailed</t>
        </r>
      </text>
    </comment>
    <comment ref="Q216" authorId="0" shapeId="0" xr:uid="{7D8296C0-91CE-4BA6-8A49-533C5B149461}">
      <text>
        <r>
          <rPr>
            <sz val="11"/>
            <color theme="1"/>
            <rFont val="Aptos Narrow"/>
            <family val="2"/>
            <scheme val="minor"/>
          </rPr>
          <t>Unknown User:
Invoice not Raised</t>
        </r>
      </text>
    </comment>
    <comment ref="G217" authorId="0" shapeId="0" xr:uid="{21601E44-7587-4E84-86A0-51EFAC18A492}">
      <text>
        <r>
          <rPr>
            <sz val="11"/>
            <color theme="1"/>
            <rFont val="Aptos Narrow"/>
            <family val="2"/>
            <scheme val="minor"/>
          </rPr>
          <t xml:space="preserve">Unknown User:
SUPPLY &amp; INSTALLATION OF NEW SINGLE ELEMENT HOT WATER UNIT
– INTERNAL
Isolate main water supply to property
Isolate main electrical supply to property
Disconnect cold water supply to existing hot water unit
Disconnect power supply to existing hot water unit
Drain existing hot water unit
Disconnect &amp; removal of existing valves
Disconnect &amp; removal of existing brass fittings
Disconnect &amp; removal of existing section of cold-water service
connecting to hot water unit
Disconnect &amp; removal of existing section of hot water service
connecting to hot water unit
Clean &amp; prepare worked area
Supply &amp; install new internal safe waste tray
Supply &amp; install new Duo valve
Supply &amp; install new Pressure limiting valve
Supply &amp; install new Mildred emergency shut off valve
Supply &amp; install new tempering valve
Supply &amp; install new pressure relief valve
Supply &amp; install new single element hot water
Supply &amp; install new section of copper cold water service
connecting to new hot water unit
Supply &amp; install new section of copper hot water service
connecting to new hot water unit
Supply &amp; install new pressure relief drain service in copper &amp;
ensure compliance with AS3500
Supply &amp; install new B-press fittings
Supply &amp; install new Brass fittings
Reconnect cold water service to new hot water unit
Reconnect hot water service to new hot water unit
Reconnect electrical supply to new hot water unit
Reinstate water supply to new hot water unit
Test &amp; commission installation
Removal of trade waste
PLEASE NOTE IF FURTHER WORK REQUIRED OUTSIDE OF QUOTED
WORKS ADDITIONAL COSTS WILL APPLY
</t>
        </r>
      </text>
    </comment>
    <comment ref="P217" authorId="0" shapeId="0" xr:uid="{2134F814-4886-4E9A-AE17-8DEAFDD646E2}">
      <text>
        <r>
          <rPr>
            <sz val="11"/>
            <color theme="1"/>
            <rFont val="Aptos Narrow"/>
            <family val="2"/>
            <scheme val="minor"/>
          </rPr>
          <t>Unknown User:
Quote not Emailed</t>
        </r>
      </text>
    </comment>
    <comment ref="G221" authorId="0" shapeId="0" xr:uid="{9D017467-C45D-42C1-879A-6ACD7F4E01C8}">
      <text>
        <r>
          <rPr>
            <sz val="11"/>
            <color theme="1"/>
            <rFont val="Aptos Narrow"/>
            <family val="2"/>
            <scheme val="minor"/>
          </rPr>
          <t xml:space="preserve">Unknown User:
INSTALLATION OF DISHWASHER [SAME LOCATION] (CUSTOMER SUPPLIED)
</t>
        </r>
      </text>
    </comment>
    <comment ref="P221" authorId="0" shapeId="0" xr:uid="{BFFB5B88-F63D-407A-89C7-A54AD71B96E1}">
      <text>
        <r>
          <rPr>
            <sz val="11"/>
            <color theme="1"/>
            <rFont val="Aptos Narrow"/>
            <family val="2"/>
            <scheme val="minor"/>
          </rPr>
          <t>Unknown User:
Quote not emailed</t>
        </r>
      </text>
    </comment>
    <comment ref="G222" authorId="0" shapeId="0" xr:uid="{D0B6B8DE-AB35-41A4-AD3F-6AEB263D4BD6}">
      <text>
        <r>
          <rPr>
            <sz val="11"/>
            <color theme="1"/>
            <rFont val="Aptos Narrow"/>
            <family val="2"/>
            <scheme val="minor"/>
          </rPr>
          <t xml:space="preserve">Unknown User:
HIGH POWERED JET BLAST &amp; CCTV DRAIN CAMERA INSPECTION (SEWER SERVICE)
</t>
        </r>
      </text>
    </comment>
    <comment ref="P222" authorId="0" shapeId="0" xr:uid="{8D12CE75-CFF2-480A-953A-263B28BE05C8}">
      <text>
        <r>
          <rPr>
            <sz val="11"/>
            <color theme="1"/>
            <rFont val="Aptos Narrow"/>
            <family val="2"/>
            <scheme val="minor"/>
          </rPr>
          <t>Unknown User:
Quote not emailed</t>
        </r>
      </text>
    </comment>
    <comment ref="V222" authorId="0" shapeId="0" xr:uid="{AB39B014-A4FD-479D-ACC1-2D16C6238981}">
      <text>
        <r>
          <rPr>
            <sz val="11"/>
            <color theme="1"/>
            <rFont val="Aptos Narrow"/>
            <family val="2"/>
            <scheme val="minor"/>
          </rPr>
          <t>Unknown User:
14/07 - Received $1126.80 Card</t>
        </r>
      </text>
    </comment>
    <comment ref="G223" authorId="0" shapeId="0" xr:uid="{B30663F5-89BF-4F92-B217-1830FC4B6B60}">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223" authorId="0" shapeId="0" xr:uid="{DA16754A-C95C-4810-B508-A02535A56454}">
      <text>
        <r>
          <rPr>
            <sz val="11"/>
            <color theme="1"/>
            <rFont val="Aptos Narrow"/>
            <family val="2"/>
            <scheme val="minor"/>
          </rPr>
          <t>Unknown User:
Quote not Emailed</t>
        </r>
      </text>
    </comment>
    <comment ref="G227" authorId="0" shapeId="0" xr:uid="{01F72CE7-FAB1-4095-8433-BC998B22710F}">
      <text>
        <r>
          <rPr>
            <sz val="11"/>
            <color theme="1"/>
            <rFont val="Aptos Narrow"/>
            <family val="2"/>
            <scheme val="minor"/>
          </rPr>
          <t>Unknown User:
HIGH POWERED JET BLAST &amp; CCTV CAMERA INSPECTION (GAIN ACCESS FROM VENT)
Locate main sewer vent
Cut out section of sewer vent
Gain access to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section of sewer vent using specialist repair coupling
Test &amp; commission installation
PLEASE NOTE IF BLOCKAGE DOES NOT CLEAR FURTHER COST WILL APPLY. THIS IS A FIRST ATTEMPT.</t>
        </r>
      </text>
    </comment>
    <comment ref="P227" authorId="0" shapeId="0" xr:uid="{EF3A108F-17D9-4B31-83A9-161BB237F541}">
      <text>
        <r>
          <rPr>
            <sz val="11"/>
            <color theme="1"/>
            <rFont val="Aptos Narrow"/>
            <family val="2"/>
            <scheme val="minor"/>
          </rPr>
          <t>Unknown User:
Quote not emailed</t>
        </r>
      </text>
    </comment>
    <comment ref="S227" authorId="0" shapeId="0" xr:uid="{85C45922-9F98-490B-8577-C405C1C554CC}">
      <text>
        <r>
          <rPr>
            <sz val="11"/>
            <color theme="1"/>
            <rFont val="Aptos Narrow"/>
            <family val="2"/>
            <scheme val="minor"/>
          </rPr>
          <t>Unknown User:
Invoice not emailed</t>
        </r>
      </text>
    </comment>
    <comment ref="G228" authorId="0" shapeId="0" xr:uid="{ECB66F4E-5678-4A48-912F-4A4544C7C01C}">
      <text>
        <r>
          <rPr>
            <sz val="11"/>
            <color theme="1"/>
            <rFont val="Aptos Narrow"/>
            <family val="2"/>
            <scheme val="minor"/>
          </rPr>
          <t>Unknown User:
SEWER SPOT DIG UP TO 2M (UNDER PAVERS)
Obtain Sewer Diagram
Obtain Dial Before Dig
Obtain Service Location Diagram
Set Up Safe Work Area
Set Up Builders Plastic
Set Up Barricades for Safety
Removal of pavers – In Required location
Jackhammer concrete - In required location 
Dig &amp; Excavate Ground Area Up to 2M
Expose Existing Section of Sewer Service Up to 2M
Expose Existing Sewer Junctions (If Required)
Cut &amp; Remove Existing Section of Sewer Service Up to 2M
Cut &amp; Remove Existing Sewer Junctions (If Required)
Gain Access to Sewer Service
Set Up High-Powered Jet Blaster
Set Up High-Powered Mini Reel
Set Up High-Powered Turbines
Re-Jetblast Sewer Service
Re-Camera and Investigate Further
Supply &amp; Install New Section of Sewer Service Up to 2M
Supply &amp; Install New Sewer Junctions (If Required)
Supply &amp; Install New I/O Inspection Point
Supply &amp; Install New BTS and Raise to Ground Level
Supply &amp; Install New PVC Fittings
Connect New Section of Sewer Service to Existing Sewer Service
Concrete Encase New Connections to Existing Sewer Service
Encase New Section of Sewer Service with Blue Metal
Backfill Excavated Area
Compact ground area for Reinstallation of pavers
Prepare worked area for Re-Installation of pavers
Prepare Worked Area for Re-Paving
Re-Install pavers in worked area
Restoration of worked area
Test &amp; Commission Installation
Remove Trade Waste
PLEASE NOTE IF FURTHER WORK REQUIRED OTHER THEN QUOTED WORK FURTHER COST WILL APPLY</t>
        </r>
      </text>
    </comment>
    <comment ref="P228" authorId="0" shapeId="0" xr:uid="{670F639B-5891-4F89-9F35-1782529FD7B7}">
      <text>
        <r>
          <rPr>
            <sz val="11"/>
            <color theme="1"/>
            <rFont val="Aptos Narrow"/>
            <family val="2"/>
            <scheme val="minor"/>
          </rPr>
          <t xml:space="preserve">Unknown User:
Quote not emailed
</t>
        </r>
      </text>
    </comment>
    <comment ref="V228" authorId="0" shapeId="0" xr:uid="{D49A57FF-F6B3-449F-B964-CB23FCE6AFE7}">
      <text>
        <r>
          <rPr>
            <sz val="11"/>
            <color theme="1"/>
            <rFont val="Aptos Narrow"/>
            <family val="2"/>
            <scheme val="minor"/>
          </rPr>
          <t xml:space="preserve">Unknown User:
 03/07 - $1600, $1849.10 EFT Received
08/07 - EFT received $5000  </t>
        </r>
      </text>
    </comment>
    <comment ref="G237" authorId="0" shapeId="0" xr:uid="{0BBAD050-D48F-4E46-A37E-2627D677F3A1}">
      <text>
        <r>
          <rPr>
            <sz val="11"/>
            <color theme="1"/>
            <rFont val="Aptos Narrow"/>
            <family val="2"/>
            <scheme val="minor"/>
          </rPr>
          <t>Unknown User:
 Suspended Storm Water Rectification 
. Set up safe working area
. Remove Ceiling Tiles 
. Expose Existing Section of Storm Water Service Up to 2M 
. Expose Existing Storm Water Junctions (If Required) 
. Cut &amp; Remove Existing Section of Storm Water Service Up to 2M 
. Cut &amp; Remove Existing Storm Water Junctions (If Required) 
. Gain Access to Storm Water Service 
. Camera and Investigate Further 
. Supply &amp; Install New Section of Storm Water Service Up to 2M 
. Supply &amp; Install New Storm Water Junctions (If Required) 
. Supply &amp; Install New I/O Inspection Point 
. Supply &amp; Install New Mounting Plate 
. Supply &amp; Install New Threaded Rod 
. Supply &amp; Install New Bolted Clip Heads 
. Supply &amp; Install New PVC Fittings 
. Connect New Section of Storm Water Service to Existing Storm  Water Service 
. Test and Commission 
. Restore Ceiling Tiles 
. Removal of trade waste 
 PLEASE NOTE IF FURTHER WORK REQUIRED OTHER THEN QUOTED WORK FURTHER COST WILL APPLY</t>
        </r>
      </text>
    </comment>
    <comment ref="G238" authorId="0" shapeId="0" xr:uid="{1D5A2F3D-8D84-4477-8F97-6A90128E032D}">
      <text>
        <r>
          <rPr>
            <sz val="11"/>
            <color theme="1"/>
            <rFont val="Aptos Narrow"/>
            <family val="2"/>
            <scheme val="minor"/>
          </rPr>
          <t>Unknown User:
Sterilizer Installation</t>
        </r>
      </text>
    </comment>
    <comment ref="G239" authorId="0" shapeId="0" xr:uid="{83BB0104-AD7F-4EA3-898D-25ED7F67CBAA}">
      <text>
        <r>
          <rPr>
            <sz val="11"/>
            <color theme="1"/>
            <rFont val="Aptos Narrow"/>
            <family val="2"/>
            <scheme val="minor"/>
          </rPr>
          <t xml:space="preserve">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
</t>
        </r>
      </text>
    </comment>
    <comment ref="G240" authorId="0" shapeId="0" xr:uid="{F98124B6-3221-45D9-BB00-E79C1E0F18D8}">
      <text>
        <r>
          <rPr>
            <sz val="11"/>
            <color theme="1"/>
            <rFont val="Aptos Narrow"/>
            <family val="2"/>
            <scheme val="minor"/>
          </rPr>
          <t>Unknown User:
SEARCH AND INVESTIGATION OF ELECTRIC STORAGE HOT WATER SYSTEM
Gain access to hot water unit
Gain access to electrical supply
Check power supply at mains
Disconnect and remove hot water system electrical cover
Check power supply at hot water unit
Check power supply to thermostat
Check power supply to element
Check water supply to isolation valve
Check hot water system for tempering valve
Check water supply pressure to property
Check hot water system flow rate
Check electrical cable connections on hot water unit
Visually inspect electrical cable for ruptures where able
Check relive valve operation and integrity
Check discharge from outlet of hot water system for any signs of rust and corrosion in hot water supply
Determine cause and include any repair to a loose pipe or loose wire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repair.</t>
        </r>
      </text>
    </comment>
    <comment ref="G242" authorId="0" shapeId="0" xr:uid="{34886DF4-3807-4251-94A9-8E71CE9736C4}">
      <text>
        <r>
          <rPr>
            <sz val="11"/>
            <color theme="1"/>
            <rFont val="Aptos Narrow"/>
            <family val="2"/>
            <scheme val="minor"/>
          </rPr>
          <t xml:space="preserve">Unknown User:
INSTALLATION OF NEW LAUNDRY TUB / WITH WALL TOP TAPWARE (CUSTOMER SUPPLIED)
Isolate main cold-water supply to property
Isolate main hot water supply to property
Removal of existing laundry tub spout
Removal of existing hot water tapware &amp; spindle
Removal of existing cold-water tapware &amp; spindle
Disconnect &amp; removal of existing drainage to laundry tub
Disconnect &amp; removal of existing S&amp;P Trap
Disconnect &amp; removal of existing laundry tub sink
Disconnect &amp; removal of existing laundry tub
Clean &amp; prepare worked area
Install new laundry tub
Install new laundry sink
Install new plug &amp; waste
Supply &amp; install new S&amp;P trap
Supply &amp; install new section of drainage
Supply &amp; install new PVC fittings
Connect new section of drainage to existing drainage
Install new customer supplied laundry tub spout
Install new customer supplied cold-water tapware with new spindle &amp; jumper valve
Install new customer supplied hot water tapware with new spindle &amp; jumper valve
Reinstate water supply to property
Test &amp; commission installation
Removal of trade waste
PLEASE NOTE IF FURTHER WORK REQUIRED OTHER THEN QUOTED WORK FURTHER COST WILL APPLY
SUPPLY &amp; INSTALLATION OF NEW WALL HUNG VANITY &amp; MIXER (CUSTOMER SUPPLIED)
Isolate main water supply to property
Disconnect existing cold-water supply to existing tapware
Disconnect existing hot water supply to existing tapware
Disconnect &amp; removal of existing tapware
Disconnect existing drainage
Disconnect &amp; removal of existing S&amp;P Trap
Disconnect &amp; removal of existing section of drainage
Disconnect &amp; removal of existing vanity top
Disconnect &amp; removal of existing vanity cabinet
Clean &amp; prepare worked area
Install new vanity cabinet
Mark out vanity cabinet water points &amp; drainage
Hole saw required location for new water points &amp; drainage
Secure new vanity cabinet to wall
Install new vanity top
Secure new vanity top to cabinet
Supply &amp; install new cold-water emergency isolation valve
Supply &amp; install new hot water emergency isolation valve
Supply &amp; install new Plug &amp; waste
Secure &amp; seal new plug &amp; waste to vanity top
Supply &amp; install new S&amp;P trap
Supply &amp; install new section of drainage
Supply &amp; install new PVC fittings
Connect new drainage to existing drainage
Install new vanity tapware to new suite vanity
Secure new vanity tapware to new vanity
Supply &amp; install new cold-water stainless-steel flexi hose
Supply &amp; install new hot water stainless-steel flexi hose
Connect cold water supply to new vanity tapware
Connect hot water supply to new vanity tapware
Test &amp; commission installation
Removal of trade waste
PLEASE NOTE IF FURTHER WORK REQUIRED OTHER THEN QUOTED WORK FURTHER COST WILL APPLY
</t>
        </r>
      </text>
    </comment>
    <comment ref="G243" authorId="0" shapeId="0" xr:uid="{C26B9F27-3DE6-4F1F-8C67-945A74323E4D}">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244" authorId="0" shapeId="0" xr:uid="{15C4A537-0413-47B3-AA7C-58AE30AE4F3D}">
      <text>
        <r>
          <rPr>
            <sz val="11"/>
            <color theme="1"/>
            <rFont val="Aptos Narrow"/>
            <family val="2"/>
            <scheme val="minor"/>
          </rPr>
          <t xml:space="preserve">Unknown User:
COMPLETE SERVICE OF TOILET CISTERN
</t>
        </r>
      </text>
    </comment>
    <comment ref="G245" authorId="0" shapeId="0" xr:uid="{103580E3-0209-45A5-929D-0BE2E48CDA7E}">
      <text>
        <r>
          <rPr>
            <sz val="11"/>
            <color theme="1"/>
            <rFont val="Aptos Narrow"/>
            <family val="2"/>
            <scheme val="minor"/>
          </rPr>
          <t>Unknown User:
SUPPLY &amp; INSTALLATION OF NEW COPPER GAS SERVICE UP TO 8M</t>
        </r>
      </text>
    </comment>
    <comment ref="G246" authorId="0" shapeId="0" xr:uid="{D5E42D63-6C8F-4F26-B8CB-B99BB1577917}">
      <text>
        <r>
          <rPr>
            <sz val="11"/>
            <color theme="1"/>
            <rFont val="Aptos Narrow"/>
            <family val="2"/>
            <scheme val="minor"/>
          </rPr>
          <t>Unknown User:
SUPPLY AND INSTALLATION OF COMMERCIAL PLATE WASHER TAP WITH TRIGGER SPRAY FUNCTION</t>
        </r>
      </text>
    </comment>
    <comment ref="G247" authorId="0" shapeId="0" xr:uid="{6B092AA3-9FD5-4E20-BF2E-2FA6766379C8}">
      <text>
        <r>
          <rPr>
            <sz val="11"/>
            <color theme="1"/>
            <rFont val="Aptos Narrow"/>
            <family val="2"/>
            <scheme val="minor"/>
          </rPr>
          <t>Unknown User:
SEWER SPOT DIG UP TO 1.5M (UNDER CONCRETE)</t>
        </r>
      </text>
    </comment>
    <comment ref="G248" authorId="0" shapeId="0" xr:uid="{03C62591-6419-4E8A-AF63-84095C79A298}">
      <text>
        <r>
          <rPr>
            <sz val="11"/>
            <color theme="1"/>
            <rFont val="Aptos Narrow"/>
            <family val="2"/>
            <scheme val="minor"/>
          </rPr>
          <t xml:space="preserve">Unknown User:
SEARCH &amp; INVESTIGATION OF GAS STORAGE HOT WATER SYSTEM
</t>
        </r>
      </text>
    </comment>
    <comment ref="G249" authorId="0" shapeId="0" xr:uid="{43D7AC50-671E-407E-A318-14DD6D3F1614}">
      <text>
        <r>
          <rPr>
            <sz val="11"/>
            <color theme="1"/>
            <rFont val="Aptos Narrow"/>
            <family val="2"/>
            <scheme val="minor"/>
          </rPr>
          <t>Unknown User:
SUPPLY &amp; INSTALLATION OF NEW CLOSE COUPLED TOILET SUITE</t>
        </r>
      </text>
    </comment>
    <comment ref="G250" authorId="0" shapeId="0" xr:uid="{C65A7612-FABD-4288-8C92-826CD700D6BE}">
      <text>
        <r>
          <rPr>
            <sz val="11"/>
            <color theme="1"/>
            <rFont val="Aptos Narrow"/>
            <family val="2"/>
            <scheme val="minor"/>
          </rPr>
          <t>Unknown User:
SUPPLY AND INSTALLATION OF TRAP TO SINK OR LAUNDRY TUB - WHITE PVC
Gain access to existing sink or laundry tub drainage
Disconnect &amp; removal of existing trap locking nuts
Disconnect &amp; removal of existing trap outlet fittings
Disconnect &amp; removal of existing trap gaskets
Disconnect &amp; removal of existing PVC drainage fittings if required
Clean &amp; prepare drainage outlet and waste connection for new installation
Supply &amp; install new white PVC sink or laundry tub trap
Supply &amp; install new PVC drainage fittings if required
Supply &amp; install new sealing gaskets
Connect new white PVC trap to existing waste outlet
Connect new white PVC trap to existing drainage
Test &amp; commission installation to ensure correct operation and no leaks
Removal of trade waste
PLEASE NOTE IF FURTHER WORK REQUIRED OTHER THEN QUOTED WORK FURTHER COST WILL APPLY</t>
        </r>
      </text>
    </comment>
    <comment ref="G252" authorId="0" shapeId="0" xr:uid="{EF091948-4AB9-41AB-8686-71BF9A424587}">
      <text>
        <r>
          <rPr>
            <sz val="11"/>
            <color theme="1"/>
            <rFont val="Aptos Narrow"/>
            <family val="2"/>
            <scheme val="minor"/>
          </rPr>
          <t>Unknown User:
SUPPLY &amp; INSTALLATION OF GAS STORAGE HOT WATER SYSTEM (EXTERNAL)
Isolate main water supply to property
Isolate main gas supply to property
Disconnect main gas supply to existing hot water system
Disconnect main cold-water supply to existing gas hot water system
Disconnect main hot water supply to existing gas hot water system
Disconnect existing plumbing connecting to existing gas hot water system
Drain existing gas hot water system
Removal of existing gas hot water system
Removal of existing brass fittings
Disconnect &amp; removal existing section of gas service connecting to existing internal hot water system
Disconnect &amp; removal of existing section of cold-water supply connecting to existing gas hot water system
Disconnect &amp; removal of existing section of hot supply connecting to existing section of gas hot water system
Clean &amp; prepare worked area
Supply &amp; install new external gas storage hot water system
Supply &amp; install new gas emergency isolation valve
Supply &amp; install new duo valve
Supply &amp; install new pressure limiting valve
Supply &amp; install tempering valve
Supply &amp; install new pressure relief valve
Supply &amp; install new B-press fittings
Supply &amp; install new Brass fittings
Supply &amp; install new section of copper gas service &amp; connect to new gas storage hot water system
Supply &amp; install new section of cold-water service &amp; connect to new gas storage hot water system
Supply &amp; install new section of hot water copper service &amp; connect to new gas storage hot water system
Supply &amp; install new pressure relief valve drain service in copper in accordance with AS3500
Reinstate main water supply to property
Reinstate main gas supply to property
Test &amp; commission installation
Removal of trade waste
PLEASE NOTE IF FURTHER WORK REQUIRED OUTSIDE OF QUOTED WORKS ADDITIONAL COSTS WILL APPLY</t>
        </r>
      </text>
    </comment>
    <comment ref="G253" authorId="0" shapeId="0" xr:uid="{B0BD0792-1B86-419E-87F3-9BFA67BC1513}">
      <text>
        <r>
          <rPr>
            <sz val="11"/>
            <color theme="1"/>
            <rFont val="Aptos Narrow"/>
            <family val="2"/>
            <scheme val="minor"/>
          </rPr>
          <t>Unknown User:
WATER SERVICE RECTIFICATION (IN GROUND)
Obtain service location diagram
Obtain dial before dig
Isolate water supply to property
Set up safe working area
Mark out ground area in required location
Dig &amp; excavate ground area
Expose existing section of damaged water service
Cut &amp; removal of existing damaged water service
Clean existing water service
Prepare existing water service for new connections
Flush out water service free of potential debris
Supply &amp; install new section of new water service up to 10M
Supply &amp; install new Press fittings
Connect new section of water service to existing water service
Use of specialist hydraulic crimping tool
Crimp new section of water service
Reinstate water supply
Conduct pressure test on water service to ensure no further leaks
Back fill worked area
Removal of trade waste
Test &amp; commission installation
PLEASE NOTE IF FURTHER WORK REQUIRED OTHER THEN QUOTED WORK FURTHER COST WILL APPLY</t>
        </r>
      </text>
    </comment>
    <comment ref="G254" authorId="0" shapeId="0" xr:uid="{066439DE-00B9-453D-9EAA-77A15D893DF7}">
      <text>
        <r>
          <rPr>
            <sz val="11"/>
            <color theme="1"/>
            <rFont val="Aptos Narrow"/>
            <family val="2"/>
            <scheme val="minor"/>
          </rPr>
          <t>Unknown User:
SEARCH &amp; INVESTIGATION OF POTENTIAL GAS LEAK
Gain access to main gas meter
Isolate the main gas supply to the property
Disconnect the existing main meter test point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t>
        </r>
      </text>
    </comment>
    <comment ref="E277" authorId="2" shapeId="0" xr:uid="{B5CE5474-53AF-44BC-B507-0F321F24F29E}">
      <text>
        <t>[Threaded comment]
Your version of Excel allows you to read this threaded comment; however, any edits to it will get removed if the file is opened in a newer version of Excel. Learn more: https://go.microsoft.com/fwlink/?linkid=870924
Comment:
    Stock</t>
      </text>
    </comment>
    <comment ref="G288" authorId="0" shapeId="0" xr:uid="{DEABC212-3D78-43F5-9F9F-24EE5971FCAD}">
      <text>
        <r>
          <rPr>
            <sz val="11"/>
            <color theme="1"/>
            <rFont val="Aptos Narrow"/>
            <family val="2"/>
            <scheme val="minor"/>
          </rPr>
          <t xml:space="preserve">Unknown User:
SEARCH AND INVESTIGATION OF ELECTRIC STORAGE HOT WATER SYSTEM
10% Seniors &amp; Pensioners Discount </t>
        </r>
      </text>
    </comment>
    <comment ref="P288" authorId="0" shapeId="0" xr:uid="{C5874DAC-7A42-4331-A3BF-7E35F6DC6860}">
      <text>
        <r>
          <rPr>
            <sz val="11"/>
            <color theme="1"/>
            <rFont val="Aptos Narrow"/>
            <family val="2"/>
            <scheme val="minor"/>
          </rPr>
          <t>Unknown User:
Quote not emailed</t>
        </r>
      </text>
    </comment>
    <comment ref="W288" authorId="0" shapeId="0" xr:uid="{4CB1C6AA-BD29-4690-9A40-487C57D75422}">
      <text>
        <r>
          <rPr>
            <sz val="11"/>
            <color theme="1"/>
            <rFont val="Aptos Narrow"/>
            <family val="2"/>
            <scheme val="minor"/>
          </rPr>
          <t>Unknown User:
Cash denomination
$50*13=$650
$20*1=$20
$10*1=$10
Total cash=$680</t>
        </r>
      </text>
    </comment>
    <comment ref="G289" authorId="0" shapeId="0" xr:uid="{DF342975-0DFF-47BE-A266-8AB15ED970A2}">
      <text>
        <r>
          <rPr>
            <sz val="11"/>
            <color theme="1"/>
            <rFont val="Aptos Narrow"/>
            <family val="2"/>
            <scheme val="minor"/>
          </rPr>
          <t>Unknown User:
SEARCH &amp; INVESTIGATION OF GAS STORAGE HOT WATER SYSTEM</t>
        </r>
      </text>
    </comment>
    <comment ref="P289" authorId="0" shapeId="0" xr:uid="{3CC4A788-7D04-44EF-8089-D0D58BB925F6}">
      <text>
        <r>
          <rPr>
            <sz val="11"/>
            <color theme="1"/>
            <rFont val="Aptos Narrow"/>
            <family val="2"/>
            <scheme val="minor"/>
          </rPr>
          <t>Unknown User:
Quote not emailed</t>
        </r>
      </text>
    </comment>
    <comment ref="G290" authorId="0" shapeId="0" xr:uid="{4D44F4BC-5AF5-4C73-9C5A-BE2E7383944F}">
      <text>
        <r>
          <rPr>
            <sz val="11"/>
            <color theme="1"/>
            <rFont val="Aptos Narrow"/>
            <family val="2"/>
            <scheme val="minor"/>
          </rPr>
          <t xml:space="preserve">Unknown User:
SUPPLY &amp; INSTALLATION OF GAS STORAGE HOT WATER SYSTEM (EXTERNAL)
</t>
        </r>
      </text>
    </comment>
    <comment ref="P290" authorId="0" shapeId="0" xr:uid="{BC1429C8-D3E6-4B96-93AC-F779FD9762AD}">
      <text>
        <r>
          <rPr>
            <sz val="11"/>
            <color theme="1"/>
            <rFont val="Aptos Narrow"/>
            <family val="2"/>
            <scheme val="minor"/>
          </rPr>
          <t>Unknown User:
Quote not emailed</t>
        </r>
      </text>
    </comment>
    <comment ref="Q290" authorId="0" shapeId="0" xr:uid="{F1640712-D163-46AE-A7E2-22DA8219AA0B}">
      <text>
        <r>
          <rPr>
            <sz val="11"/>
            <color theme="1"/>
            <rFont val="Aptos Narrow"/>
            <family val="2"/>
            <scheme val="minor"/>
          </rPr>
          <t>Unknown User:
To be updated upon final invoice</t>
        </r>
      </text>
    </comment>
    <comment ref="V290" authorId="0" shapeId="0" xr:uid="{56E8EC42-8BAC-4B3A-B07E-6320F41965CB}">
      <text>
        <r>
          <rPr>
            <sz val="11"/>
            <color theme="1"/>
            <rFont val="Aptos Narrow"/>
            <family val="2"/>
            <scheme val="minor"/>
          </rPr>
          <t>Unknown User:
Smartpay receipt of $7923.20 is split as $7495.40 for 1st upsell Job #71503/86178286/71515 and as $427.80 for 2nd upsell job #71503/86178127/71515.</t>
        </r>
      </text>
    </comment>
    <comment ref="G291" authorId="0" shapeId="0" xr:uid="{7F07470A-CC43-4F2D-838D-42E6C989B3FE}">
      <text>
        <r>
          <rPr>
            <sz val="11"/>
            <color theme="1"/>
            <rFont val="Aptos Narrow"/>
            <family val="2"/>
            <scheme val="minor"/>
          </rPr>
          <t>Unknown User:
SUPPLY &amp; INSTALLATION OF NEW WALL TOP TAP SET</t>
        </r>
      </text>
    </comment>
    <comment ref="P291" authorId="0" shapeId="0" xr:uid="{C30D4A6D-4B81-4DDC-AE14-2894730B985F}">
      <text>
        <r>
          <rPr>
            <sz val="11"/>
            <color theme="1"/>
            <rFont val="Aptos Narrow"/>
            <family val="2"/>
            <scheme val="minor"/>
          </rPr>
          <t>Unknown User:
Quote not emailed</t>
        </r>
      </text>
    </comment>
    <comment ref="Q291" authorId="0" shapeId="0" xr:uid="{DBBE3147-2836-40A5-8541-7C954016668B}">
      <text>
        <r>
          <rPr>
            <sz val="11"/>
            <color theme="1"/>
            <rFont val="Aptos Narrow"/>
            <family val="2"/>
            <scheme val="minor"/>
          </rPr>
          <t>Unknown User:
To be updated upon final invoice</t>
        </r>
      </text>
    </comment>
    <comment ref="V291" authorId="0" shapeId="0" xr:uid="{3E16EF1E-5B58-4DEF-AF21-FFBC91F30ABF}">
      <text>
        <r>
          <rPr>
            <sz val="11"/>
            <color theme="1"/>
            <rFont val="Aptos Narrow"/>
            <family val="2"/>
            <scheme val="minor"/>
          </rPr>
          <t>Unknown User:
Smartpay receipt of $7923.20 is split as $7495.40 for 1st upsell Job #71503/86178286/71515 and as $427.80 for 2nd upsell job #71503/86178127/71515</t>
        </r>
      </text>
    </comment>
    <comment ref="G292" authorId="0" shapeId="0" xr:uid="{E43ADBB5-0BE9-4A6C-BC27-667A7C20BD67}">
      <text>
        <r>
          <rPr>
            <sz val="11"/>
            <color theme="1"/>
            <rFont val="Aptos Narrow"/>
            <family val="2"/>
            <scheme val="minor"/>
          </rPr>
          <t>Unknown User:
SEARCH &amp; INVESTIGATION OF GAS STORAGE HOT WATER SYSTEM</t>
        </r>
      </text>
    </comment>
    <comment ref="N292" authorId="0" shapeId="0" xr:uid="{AADCBB1E-0550-4731-AC07-510C8940D3D8}">
      <text>
        <r>
          <rPr>
            <sz val="11"/>
            <color theme="1"/>
            <rFont val="Aptos Narrow"/>
            <family val="2"/>
            <scheme val="minor"/>
          </rPr>
          <t>Unknown User:
Quote not raised by plumber.</t>
        </r>
      </text>
    </comment>
    <comment ref="Q292" authorId="0" shapeId="0" xr:uid="{44402E91-E9AB-40BB-8235-20C04D7F08E6}">
      <text>
        <r>
          <rPr>
            <sz val="11"/>
            <color theme="1"/>
            <rFont val="Aptos Narrow"/>
            <family val="2"/>
            <scheme val="minor"/>
          </rPr>
          <t>Unknown User:
Final invoice not raised</t>
        </r>
      </text>
    </comment>
    <comment ref="G293" authorId="0" shapeId="0" xr:uid="{D46EA4B5-E848-416B-92CB-D865B447CEA1}">
      <text>
        <r>
          <rPr>
            <sz val="11"/>
            <color theme="1"/>
            <rFont val="Aptos Narrow"/>
            <family val="2"/>
            <scheme val="minor"/>
          </rPr>
          <t xml:space="preserve">Unknown User:
SEARCH &amp; INVESTIGATION (MINOR) - POTENTIAL WATER LEAK FROM UNKOWN LOCATION
</t>
        </r>
      </text>
    </comment>
    <comment ref="N293" authorId="0" shapeId="0" xr:uid="{4F78736C-0E11-4C4C-9719-AFCEC50EF222}">
      <text>
        <r>
          <rPr>
            <sz val="11"/>
            <color theme="1"/>
            <rFont val="Aptos Narrow"/>
            <family val="2"/>
            <scheme val="minor"/>
          </rPr>
          <t>Unknown User:
Quote not raised by plumber.</t>
        </r>
      </text>
    </comment>
    <comment ref="S293" authorId="0" shapeId="0" xr:uid="{25305D34-3B41-4D74-97CB-063AB60A86FC}">
      <text>
        <r>
          <rPr>
            <sz val="11"/>
            <color theme="1"/>
            <rFont val="Aptos Narrow"/>
            <family val="2"/>
            <scheme val="minor"/>
          </rPr>
          <t>Unknown User:
Final invoice not raised</t>
        </r>
      </text>
    </comment>
    <comment ref="G294" authorId="0" shapeId="0" xr:uid="{CAFF8485-B936-458C-B80E-C95E931AC85C}">
      <text>
        <r>
          <rPr>
            <sz val="11"/>
            <color theme="1"/>
            <rFont val="Aptos Narrow"/>
            <family val="2"/>
            <scheme val="minor"/>
          </rPr>
          <t>Unknown User:
SUPPLY &amp; INSTALLATION OF NEW LINK SUITE</t>
        </r>
      </text>
    </comment>
    <comment ref="P294" authorId="0" shapeId="0" xr:uid="{ECB7CF2C-83FA-4E98-A531-75CD1B1BB886}">
      <text>
        <r>
          <rPr>
            <sz val="11"/>
            <color theme="1"/>
            <rFont val="Aptos Narrow"/>
            <family val="2"/>
            <scheme val="minor"/>
          </rPr>
          <t>Unknown User:
Quote not emailed.</t>
        </r>
      </text>
    </comment>
    <comment ref="Q294" authorId="0" shapeId="0" xr:uid="{0FE5ACB3-7547-41FC-9FA4-3034E7119001}">
      <text>
        <r>
          <rPr>
            <sz val="11"/>
            <color theme="1"/>
            <rFont val="Aptos Narrow"/>
            <family val="2"/>
            <scheme val="minor"/>
          </rPr>
          <t>Unknown User:
Payment collected as $286+$2578.40 whereas entered by plumber as $2864.40 (Credit card) in page 2.</t>
        </r>
      </text>
    </comment>
    <comment ref="G295" authorId="0" shapeId="0" xr:uid="{B90A39AF-028C-49CD-8504-B1A9E6102D71}">
      <text>
        <r>
          <rPr>
            <sz val="11"/>
            <color theme="1"/>
            <rFont val="Aptos Narrow"/>
            <family val="2"/>
            <scheme val="minor"/>
          </rPr>
          <t>Unknown User:
SEARCH &amp; INVESTIGATION OF GAS STORAGE HOT WATER SYSTEM</t>
        </r>
      </text>
    </comment>
    <comment ref="P295" authorId="0" shapeId="0" xr:uid="{A64B008D-9B2A-45AC-931F-DBA600F0D77A}">
      <text>
        <r>
          <rPr>
            <sz val="11"/>
            <color theme="1"/>
            <rFont val="Aptos Narrow"/>
            <family val="2"/>
            <scheme val="minor"/>
          </rPr>
          <t>Unknown User:
Quote not emailed</t>
        </r>
      </text>
    </comment>
    <comment ref="U295" authorId="0" shapeId="0" xr:uid="{2DCEDB5E-38D8-497C-A7E5-DCF4855D5EBD}">
      <text>
        <r>
          <rPr>
            <sz val="11"/>
            <color theme="1"/>
            <rFont val="Aptos Narrow"/>
            <family val="2"/>
            <scheme val="minor"/>
          </rPr>
          <t>Unknown User:
18/07-As per Christone's note "called cust - he was quite upset as he assumed the S&amp;E was going to fix the issue - he advised he was very upset - advised he was going to write reviews - mentioned he just got out of hospital - listened to his concerns - placed on hold - offered $65 - cust just laughed and said that was an insult as the HWS is not even working - I asked hat did the plumber find - he said there was an issue with the valve inside the unit and advised he will need a whole new unit as he cannot access this - he then went on about the price and said he will warn everyone - - I placed on hold again and offered $120 for cust satisfaction - cust accepted verbally - mentioned T &amp; C's and confidentiality "</t>
        </r>
      </text>
    </comment>
    <comment ref="G296" authorId="0" shapeId="0" xr:uid="{5CBD62AE-C9C9-4D91-B65B-247B1B8F8CB5}">
      <text>
        <r>
          <rPr>
            <sz val="11"/>
            <color theme="1"/>
            <rFont val="Aptos Narrow"/>
            <family val="2"/>
            <scheme val="minor"/>
          </rPr>
          <t>Unknown User:
FLOOD, DYE, PRESSURE TEST (WET AREA)</t>
        </r>
      </text>
    </comment>
    <comment ref="P296" authorId="0" shapeId="0" xr:uid="{E5DDF465-891A-457D-A8C4-F90330836060}">
      <text>
        <r>
          <rPr>
            <sz val="11"/>
            <color theme="1"/>
            <rFont val="Aptos Narrow"/>
            <family val="2"/>
            <scheme val="minor"/>
          </rPr>
          <t>Unknown User:
Quote not emailed</t>
        </r>
      </text>
    </comment>
    <comment ref="G297" authorId="0" shapeId="0" xr:uid="{12A7F530-0DA5-4735-B65F-F610D52EA06E}">
      <text>
        <r>
          <rPr>
            <sz val="11"/>
            <color theme="1"/>
            <rFont val="Aptos Narrow"/>
            <family val="2"/>
            <scheme val="minor"/>
          </rPr>
          <t>Unknown User:
HIGH POWERED JET BLAST &amp; CCTV DRAIN CAMERA INSPECTION (SEWER SERVICE)</t>
        </r>
      </text>
    </comment>
    <comment ref="L297" authorId="0" shapeId="0" xr:uid="{C87D5B0D-8201-4FB5-9973-9FB4F108E266}">
      <text>
        <r>
          <rPr>
            <sz val="11"/>
            <color theme="1"/>
            <rFont val="Aptos Narrow"/>
            <family val="2"/>
            <scheme val="minor"/>
          </rPr>
          <t>Unknown User:
CCTV drain camera inspection pics are not uploaded.</t>
        </r>
      </text>
    </comment>
    <comment ref="P297" authorId="0" shapeId="0" xr:uid="{01A5840B-16BF-4814-AFB3-DDCF662899B4}">
      <text>
        <r>
          <rPr>
            <sz val="11"/>
            <color theme="1"/>
            <rFont val="Aptos Narrow"/>
            <family val="2"/>
            <scheme val="minor"/>
          </rPr>
          <t>Unknown User:
Quote not emailed</t>
        </r>
      </text>
    </comment>
    <comment ref="G302" authorId="0" shapeId="0" xr:uid="{CE40492F-EA88-40B2-801E-2DBB7FC7219E}">
      <text>
        <r>
          <rPr>
            <sz val="11"/>
            <color theme="1"/>
            <rFont val="Aptos Narrow"/>
            <family val="2"/>
            <scheme val="minor"/>
          </rPr>
          <t>Unknown User:
SEWER SPOT DIG UP TO 2M (UNDER PAVERS)
Obtain Sewer Diagram
Obtain Dial Before Dig
Obtain Service Location Diagram
Set Up Safe Work Area
Set Up Builders Plastic
Set Up Barricades for Safety
Removal of pavers – In Required location
Jackhammer concrete - In required location 
Dig &amp; Excavate Ground Area Up to 2M
Expose Existing Section of Sewer Service Up to 2M
Expose Existing Sewer Junctions (If Required)
Cut &amp; Remove Existing Section of Sewer Service Up to 2M
Cut &amp; Remove Existing Sewer Junctions (If Required)
Gain Access to Sewer Service
Set Up High-Powered Jet Blaster
Set Up High-Powered Mini Reel
Set Up High-Powered Turbines
Re-Jetblast Sewer Service
Re-Camera and Investigate Further
Supply &amp; Install New Section of Sewer Service Up to 2M
Supply &amp; Install New Sewer Junctions (If Required)
Supply &amp; Install New I/O Inspection Point
Supply &amp; Install New BTS and Raise to Ground Level
Supply &amp; Install New PVC Fittings
Connect New Section of Sewer Service to Existing Sewer Service
Concrete Encase New Connections to Existing Sewer Service
Encase New Section of Sewer Service with Blue Metal
Backfill Excavated Area
Compact ground area for Reinstallation of pavers
Prepare worked area for Re-Installation of pavers
Prepare Worked Area for Re-Paving
Re-Install pavers in worked area
Restoration of worked area
Test &amp; Commission Installation
Remove Trade Waste
PLEASE NOTE IF FURTHER WORK REQUIRED OTHER THEN QUOTED WORK FURTHER COST WILL APPLY</t>
        </r>
      </text>
    </comment>
    <comment ref="P302" authorId="0" shapeId="0" xr:uid="{45D4C70A-38AF-440F-9574-57092B2A772A}">
      <text>
        <r>
          <rPr>
            <sz val="11"/>
            <color theme="1"/>
            <rFont val="Aptos Narrow"/>
            <family val="2"/>
            <scheme val="minor"/>
          </rPr>
          <t xml:space="preserve">Unknown User:
Quote not emailed
</t>
        </r>
      </text>
    </comment>
    <comment ref="V302" authorId="0" shapeId="0" xr:uid="{6FA4788A-EA5C-49CC-93A2-DAA845BCF207}">
      <text>
        <r>
          <rPr>
            <sz val="11"/>
            <color theme="1"/>
            <rFont val="Aptos Narrow"/>
            <family val="2"/>
            <scheme val="minor"/>
          </rPr>
          <t xml:space="preserve">Unknown User:
 03/07 - $1600, $1849.10 EFT Received
08/07 - EFT received $5000  </t>
        </r>
      </text>
    </comment>
    <comment ref="G306" authorId="0" shapeId="0" xr:uid="{684D2768-707C-4F39-9390-55F2A89510E0}">
      <text>
        <r>
          <rPr>
            <sz val="11"/>
            <color theme="1"/>
            <rFont val="Aptos Narrow"/>
            <family val="2"/>
            <scheme val="minor"/>
          </rPr>
          <t>Unknown User:
INSTALLATION OF SHOWER ON RAIL (CUSTOMER SUPPLIED)</t>
        </r>
      </text>
    </comment>
    <comment ref="P306" authorId="0" shapeId="0" xr:uid="{6FC6D19D-8CF2-40E8-BCF4-86711D6FB6A3}">
      <text>
        <r>
          <rPr>
            <sz val="11"/>
            <color theme="1"/>
            <rFont val="Aptos Narrow"/>
            <family val="2"/>
            <scheme val="minor"/>
          </rPr>
          <t>Unknown User:
Quote not emailed</t>
        </r>
      </text>
    </comment>
    <comment ref="G307" authorId="0" shapeId="0" xr:uid="{606446DC-E263-495C-9F29-5C9ADB42415E}">
      <text>
        <r>
          <rPr>
            <sz val="11"/>
            <color theme="1"/>
            <rFont val="Aptos Narrow"/>
            <family val="2"/>
            <scheme val="minor"/>
          </rPr>
          <t>Unknown User:
SPECIALIST LEAK DETECTION (WATER SERVICE)</t>
        </r>
      </text>
    </comment>
    <comment ref="P307" authorId="0" shapeId="0" xr:uid="{9E65A29A-2EED-4625-B00B-2672C67A1889}">
      <text>
        <r>
          <rPr>
            <sz val="11"/>
            <color theme="1"/>
            <rFont val="Aptos Narrow"/>
            <family val="2"/>
            <scheme val="minor"/>
          </rPr>
          <t>Unknown User:
Quote not emailed</t>
        </r>
      </text>
    </comment>
    <comment ref="G308" authorId="0" shapeId="0" xr:uid="{52E80141-EC4A-4EB5-8E8B-36D31B05B41F}">
      <text>
        <r>
          <rPr>
            <sz val="11"/>
            <color theme="1"/>
            <rFont val="Aptos Narrow"/>
            <family val="2"/>
            <scheme val="minor"/>
          </rPr>
          <t>Unknown User:
REPLACEMENT OF EXISTING OVERFLOW GULLY &amp; UP TO 1.5M OF MAIN SEWER SERVICE</t>
        </r>
      </text>
    </comment>
    <comment ref="P308" authorId="0" shapeId="0" xr:uid="{E2058E63-13B6-47BC-BE1D-CE008AC4E125}">
      <text>
        <r>
          <rPr>
            <sz val="11"/>
            <color theme="1"/>
            <rFont val="Aptos Narrow"/>
            <family val="2"/>
            <scheme val="minor"/>
          </rPr>
          <t>Unknown User:
Quote not emailed.</t>
        </r>
      </text>
    </comment>
    <comment ref="U308" authorId="0" shapeId="0" xr:uid="{15233AFD-79DD-4BE9-81AE-829794D45F10}">
      <text>
        <r>
          <rPr>
            <sz val="11"/>
            <color theme="1"/>
            <rFont val="Aptos Narrow"/>
            <family val="2"/>
            <scheme val="minor"/>
          </rPr>
          <t>Unknown User:
Amount of $1621.00 is entered as $1621.30 by plumber in invoice tab.Now changed by Modoras team.</t>
        </r>
      </text>
    </comment>
    <comment ref="V308" authorId="0" shapeId="0" xr:uid="{F4A4415B-905A-4584-8AF2-100B2EC468B6}">
      <text>
        <r>
          <rPr>
            <sz val="11"/>
            <color theme="1"/>
            <rFont val="Aptos Narrow"/>
            <family val="2"/>
            <scheme val="minor"/>
          </rPr>
          <t>Unknown User:
21/07 Received $5000 Card</t>
        </r>
      </text>
    </comment>
    <comment ref="G309" authorId="0" shapeId="0" xr:uid="{D2324D63-5606-4ABB-A7BB-6FFBF1B3B381}">
      <text>
        <r>
          <rPr>
            <sz val="11"/>
            <color theme="1"/>
            <rFont val="Aptos Narrow"/>
            <family val="2"/>
            <scheme val="minor"/>
          </rPr>
          <t>Unknown User:
INSTALLATION OF SEMI-RECESSED BASIN (CUSTOMER SUPPLIED)
10% Seniors &amp; Pensioners Discount</t>
        </r>
      </text>
    </comment>
    <comment ref="P309" authorId="0" shapeId="0" xr:uid="{347777CD-FC91-4C07-952C-945FBA81AE0F}">
      <text>
        <r>
          <rPr>
            <sz val="11"/>
            <color theme="1"/>
            <rFont val="Aptos Narrow"/>
            <family val="2"/>
            <scheme val="minor"/>
          </rPr>
          <t>Unknown User:
Quote not emailed.</t>
        </r>
      </text>
    </comment>
    <comment ref="R309" authorId="0" shapeId="0" xr:uid="{CDDC41A0-B415-428B-B613-D86F130F3C6C}">
      <text>
        <r>
          <rPr>
            <sz val="11"/>
            <color theme="1"/>
            <rFont val="Aptos Narrow"/>
            <family val="2"/>
            <scheme val="minor"/>
          </rPr>
          <t>Unknown User:
Progress invoice for $200 is signed, whereas $1464.30 is no updated &amp; signed.</t>
        </r>
      </text>
    </comment>
    <comment ref="W309" authorId="0" shapeId="0" xr:uid="{E8995303-A68A-4FEB-AF5A-E996A3E89C29}">
      <text>
        <r>
          <rPr>
            <sz val="11"/>
            <color theme="1"/>
            <rFont val="Aptos Narrow"/>
            <family val="2"/>
            <scheme val="minor"/>
          </rPr>
          <t xml:space="preserve">Unknown User:
Cash denomination
$50*4=$200
$50*14=$700
$100*7=$700
$20*3=$60
Cash Total=$1460
Unable to assess Coin denomination </t>
        </r>
      </text>
    </comment>
    <comment ref="G310" authorId="0" shapeId="0" xr:uid="{F8B00707-3C40-46BF-8F2A-09C7B4538916}">
      <text>
        <r>
          <rPr>
            <sz val="11"/>
            <color theme="1"/>
            <rFont val="Aptos Narrow"/>
            <family val="2"/>
            <scheme val="minor"/>
          </rPr>
          <t>Unknown User:
SUPPLY &amp; INSTALLATION OF NEW INSET BASIN</t>
        </r>
      </text>
    </comment>
    <comment ref="P310" authorId="0" shapeId="0" xr:uid="{B93AC3B5-E718-4A98-8C9E-17AE66617CF6}">
      <text>
        <r>
          <rPr>
            <sz val="11"/>
            <color theme="1"/>
            <rFont val="Aptos Narrow"/>
            <family val="2"/>
            <scheme val="minor"/>
          </rPr>
          <t>Unknown User:
Quote not emailed.</t>
        </r>
      </text>
    </comment>
    <comment ref="G314" authorId="0" shapeId="0" xr:uid="{FBD04F03-5C82-4525-9DD8-BF3CA5E6FE2D}">
      <text>
        <r>
          <rPr>
            <sz val="11"/>
            <color theme="1"/>
            <rFont val="Aptos Narrow"/>
            <family val="2"/>
            <scheme val="minor"/>
          </rPr>
          <t>Unknown User:
HIGH POWERED JET BLAST &amp; CCTV CAMERA INSPECTION (GAIN ACCESS FROM VENT)
Locate main sewer vent
Cut out section of sewer vent
Gain access to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section of sewer vent using specialist repair coupling
Test &amp; commission installation
PLEASE NOTE IF BLOCKAGE DOES NOT CLEAR FURTHER COST WILL APPLY. THIS IS A FIRST ATTEMPT.</t>
        </r>
      </text>
    </comment>
    <comment ref="P314" authorId="0" shapeId="0" xr:uid="{4C63AFEE-E051-41A8-853A-ECF29F93D3E8}">
      <text>
        <r>
          <rPr>
            <sz val="11"/>
            <color theme="1"/>
            <rFont val="Aptos Narrow"/>
            <family val="2"/>
            <scheme val="minor"/>
          </rPr>
          <t>Unknown User:
Quote not emailed</t>
        </r>
      </text>
    </comment>
    <comment ref="S314" authorId="0" shapeId="0" xr:uid="{148A3977-9507-44D2-A520-42470D424731}">
      <text>
        <r>
          <rPr>
            <sz val="11"/>
            <color theme="1"/>
            <rFont val="Aptos Narrow"/>
            <family val="2"/>
            <scheme val="minor"/>
          </rPr>
          <t>Unknown User:
Invoice not emailed</t>
        </r>
      </text>
    </comment>
    <comment ref="G315" authorId="0" shapeId="0" xr:uid="{ED73812A-6B44-48FF-9179-FF28C18CF85F}">
      <text>
        <r>
          <rPr>
            <sz val="11"/>
            <color theme="1"/>
            <rFont val="Aptos Narrow"/>
            <family val="2"/>
            <scheme val="minor"/>
          </rPr>
          <t xml:space="preserve">Unknown User:
SUPPLY &amp; INSTALLATION OF NEW SINGLE ELEMENT HOT WATER UNIT
– INTERNAL
Isolate main water supply to property
Isolate main electrical supply to property
Disconnect cold water supply to existing hot water unit
Disconnect power supply to existing hot water unit
Drain existing hot water unit
Disconnect &amp; removal of existing valves
Disconnect &amp; removal of existing brass fittings
Disconnect &amp; removal of existing section of cold-water service
connecting to hot water unit
Disconnect &amp; removal of existing section of hot water service
connecting to hot water unit
Clean &amp; prepare worked area
Supply &amp; install new internal safe waste tray
Supply &amp; install new Duo valve
Supply &amp; install new Pressure limiting valve
Supply &amp; install new Mildred emergency shut off valve
Supply &amp; install new tempering valve
Supply &amp; install new pressure relief valve
Supply &amp; install new single element hot water
Supply &amp; install new section of copper cold water service
connecting to new hot water unit
Supply &amp; install new section of copper hot water service
connecting to new hot water unit
Supply &amp; install new pressure relief drain service in copper &amp;
ensure compliance with AS3500
Supply &amp; install new B-press fittings
Supply &amp; install new Brass fittings
Reconnect cold water service to new hot water unit
Reconnect hot water service to new hot water unit
Reconnect electrical supply to new hot water unit
Reinstate water supply to new hot water unit
Test &amp; commission installation
Removal of trade waste
PLEASE NOTE IF FURTHER WORK REQUIRED OUTSIDE OF QUOTED
WORKS ADDITIONAL COSTS WILL APPLY
</t>
        </r>
      </text>
    </comment>
    <comment ref="P315" authorId="0" shapeId="0" xr:uid="{147B9C33-5E19-4C13-BBE3-45EA10D76223}">
      <text>
        <r>
          <rPr>
            <sz val="11"/>
            <color theme="1"/>
            <rFont val="Aptos Narrow"/>
            <family val="2"/>
            <scheme val="minor"/>
          </rPr>
          <t>Unknown User:
Quote not Emailed</t>
        </r>
      </text>
    </comment>
    <comment ref="G321" authorId="0" shapeId="0" xr:uid="{6EEEDBCE-0677-4317-882A-016AFDA99CB7}">
      <text>
        <r>
          <rPr>
            <sz val="11"/>
            <color theme="1"/>
            <rFont val="Aptos Narrow"/>
            <family val="2"/>
            <scheme val="minor"/>
          </rPr>
          <t xml:space="preserve">Unknown User:
INSTALLATION OF DISHWASHER [SAME LOCATION] (CUSTOMER SUPPLIED)
</t>
        </r>
      </text>
    </comment>
    <comment ref="P321" authorId="0" shapeId="0" xr:uid="{5393B1AE-3EBF-4A8A-9039-0992029CF637}">
      <text>
        <r>
          <rPr>
            <sz val="11"/>
            <color theme="1"/>
            <rFont val="Aptos Narrow"/>
            <family val="2"/>
            <scheme val="minor"/>
          </rPr>
          <t>Unknown User:
Quote not emailed</t>
        </r>
      </text>
    </comment>
    <comment ref="G322" authorId="0" shapeId="0" xr:uid="{A6DE8677-793B-4D1B-9BE3-1D1FA90A527C}">
      <text>
        <r>
          <rPr>
            <sz val="11"/>
            <color theme="1"/>
            <rFont val="Aptos Narrow"/>
            <family val="2"/>
            <scheme val="minor"/>
          </rPr>
          <t xml:space="preserve">Unknown User:
HIGH POWERED JET BLAST &amp; CCTV DRAIN CAMERA INSPECTION (SEWER SERVICE)
</t>
        </r>
      </text>
    </comment>
    <comment ref="P322" authorId="0" shapeId="0" xr:uid="{79CCDFC0-C787-4765-A1CE-8BA48EFFB117}">
      <text>
        <r>
          <rPr>
            <sz val="11"/>
            <color theme="1"/>
            <rFont val="Aptos Narrow"/>
            <family val="2"/>
            <scheme val="minor"/>
          </rPr>
          <t>Unknown User:
Quote not emailed</t>
        </r>
      </text>
    </comment>
    <comment ref="V322" authorId="0" shapeId="0" xr:uid="{8514ED2E-D7DE-4DCC-B89C-6FA8F97A1FBD}">
      <text>
        <r>
          <rPr>
            <sz val="11"/>
            <color theme="1"/>
            <rFont val="Aptos Narrow"/>
            <family val="2"/>
            <scheme val="minor"/>
          </rPr>
          <t>Unknown User:
14/07 - Received $1126.80 Card</t>
        </r>
      </text>
    </comment>
    <comment ref="G323" authorId="0" shapeId="0" xr:uid="{83B65B80-5C0A-4A25-AF23-50334BB50EC2}">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323" authorId="0" shapeId="0" xr:uid="{B60D36CE-63F9-484A-BF8A-4691517068D4}">
      <text>
        <r>
          <rPr>
            <sz val="11"/>
            <color theme="1"/>
            <rFont val="Aptos Narrow"/>
            <family val="2"/>
            <scheme val="minor"/>
          </rPr>
          <t>Unknown User:
Quote not Emailed</t>
        </r>
      </text>
    </comment>
    <comment ref="G327" authorId="0" shapeId="0" xr:uid="{1E7E4887-632A-41A1-BC26-C7AF3F45299B}">
      <text>
        <r>
          <rPr>
            <sz val="11"/>
            <color theme="1"/>
            <rFont val="Aptos Narrow"/>
            <family val="2"/>
            <scheme val="minor"/>
          </rPr>
          <t>Unknown User:
SUPPLY &amp; INSTALLATION OF NEW MIXER CARTRIDGE</t>
        </r>
      </text>
    </comment>
    <comment ref="G328" authorId="0" shapeId="0" xr:uid="{EC24C50D-0B73-426D-A76F-8C460506FEE5}">
      <text>
        <r>
          <rPr>
            <sz val="11"/>
            <color theme="1"/>
            <rFont val="Aptos Narrow"/>
            <family val="2"/>
            <scheme val="minor"/>
          </rPr>
          <t>Unknown User:
HIGH POWERED SUCTION &amp; ACID TREATMENT</t>
        </r>
      </text>
    </comment>
    <comment ref="G329" authorId="0" shapeId="0" xr:uid="{7B516872-EE78-40A6-B9AE-313BA5A100AF}">
      <text>
        <r>
          <rPr>
            <sz val="11"/>
            <color theme="1"/>
            <rFont val="Aptos Narrow"/>
            <family val="2"/>
            <scheme val="minor"/>
          </rPr>
          <t>Unknown User:
SUPPLY &amp; INSTALLATION OF NEW SINGLE ELEMENT HOT WATER UNIT – INTERNAL
CREDIT OF SEARCH &amp; INVESTIGATION
5% Good Will Discount</t>
        </r>
      </text>
    </comment>
    <comment ref="G330" authorId="0" shapeId="0" xr:uid="{25085212-A7B0-4B41-8ED0-43D9B9B2B5F3}">
      <text>
        <r>
          <rPr>
            <sz val="11"/>
            <color theme="1"/>
            <rFont val="Aptos Narrow"/>
            <family val="2"/>
            <scheme val="minor"/>
          </rPr>
          <t xml:space="preserve">Unknown User:
CONVERT EXISTING GAS STORAGE TO NEW Electric Hot Water Service 
</t>
        </r>
      </text>
    </comment>
    <comment ref="G331" authorId="0" shapeId="0" xr:uid="{042B4A9B-AD5A-452C-AA03-1F3A64EEB3F7}">
      <text>
        <r>
          <rPr>
            <sz val="11"/>
            <color theme="1"/>
            <rFont val="Aptos Narrow"/>
            <family val="2"/>
            <scheme val="minor"/>
          </rPr>
          <t>Unknown User:
SUPPLY &amp; INSTALLATION OF GAS STORAGE HOT WATER SYSTEM (EXTERNAL)</t>
        </r>
      </text>
    </comment>
    <comment ref="G332" authorId="0" shapeId="0" xr:uid="{0DEDADFD-40C5-489A-B89D-1FB0ECA72ED8}">
      <text>
        <r>
          <rPr>
            <sz val="11"/>
            <color theme="1"/>
            <rFont val="Aptos Narrow"/>
            <family val="2"/>
            <scheme val="minor"/>
          </rPr>
          <t>Unknown User:
SEARCH &amp; INVESTIGATION OF GAS STORAGE HOT WATER SYSTEM</t>
        </r>
      </text>
    </comment>
    <comment ref="G333" authorId="0" shapeId="0" xr:uid="{AA600761-CFFE-4147-BD87-C17842354166}">
      <text>
        <r>
          <rPr>
            <sz val="11"/>
            <color theme="1"/>
            <rFont val="Aptos Narrow"/>
            <family val="2"/>
            <scheme val="minor"/>
          </rPr>
          <t>Unknown User:
SUPPLY &amp; INSTALLATION OF GAS STORAGE HOT WATER SYSTEM (INTERNAL)</t>
        </r>
      </text>
    </comment>
    <comment ref="G334" authorId="0" shapeId="0" xr:uid="{3CBD00F4-6F37-4A80-B7B4-83B0E774B39B}">
      <text>
        <r>
          <rPr>
            <sz val="11"/>
            <color theme="1"/>
            <rFont val="Aptos Narrow"/>
            <family val="2"/>
            <scheme val="minor"/>
          </rPr>
          <t xml:space="preserve">Unknown User:
WATER SERVICE RECTIFICATION (IN GROUND)
</t>
        </r>
      </text>
    </comment>
    <comment ref="G335" authorId="0" shapeId="0" xr:uid="{5BC3B6F8-1921-4F6E-B4B3-C35C2EE65220}">
      <text>
        <r>
          <rPr>
            <sz val="11"/>
            <color theme="1"/>
            <rFont val="Aptos Narrow"/>
            <family val="2"/>
            <scheme val="minor"/>
          </rPr>
          <t>Unknown User:
SUPPLY &amp; INSTALLATION OF GAS STORAGE HOT WATER SYSTEM (EXTERNAL)</t>
        </r>
      </text>
    </comment>
    <comment ref="G336" authorId="0" shapeId="0" xr:uid="{564C049C-63CF-410C-9B0C-BC5CAB84A346}">
      <text>
        <r>
          <rPr>
            <sz val="11"/>
            <color theme="1"/>
            <rFont val="Aptos Narrow"/>
            <family val="2"/>
            <scheme val="minor"/>
          </rPr>
          <t xml:space="preserve">Unknown User:
SEARCH &amp; INVESTIGATION OF GAS APPLIANCE </t>
        </r>
      </text>
    </comment>
    <comment ref="G337" authorId="0" shapeId="0" xr:uid="{F7570250-6696-4201-B6F8-4471AAFC125B}">
      <text>
        <r>
          <rPr>
            <sz val="11"/>
            <color theme="1"/>
            <rFont val="Aptos Narrow"/>
            <family val="2"/>
            <scheme val="minor"/>
          </rPr>
          <t>Unknown User:
SHOWER RESTORATION</t>
        </r>
      </text>
    </comment>
    <comment ref="G338" authorId="0" shapeId="0" xr:uid="{D785CCCF-FF7B-46FF-8287-F0B981D1D6CD}">
      <text>
        <r>
          <rPr>
            <sz val="11"/>
            <color theme="1"/>
            <rFont val="Aptos Narrow"/>
            <family val="2"/>
            <scheme val="minor"/>
          </rPr>
          <t>Unknown User:
SUPPLY &amp; INSTALLATION OF NEW RAIN SHOWER HEAD</t>
        </r>
      </text>
    </comment>
    <comment ref="G339" authorId="0" shapeId="0" xr:uid="{80800EE2-89F3-4021-B15D-61A65F9AF412}">
      <text>
        <r>
          <rPr>
            <sz val="11"/>
            <color theme="1"/>
            <rFont val="Aptos Narrow"/>
            <family val="2"/>
            <scheme val="minor"/>
          </rPr>
          <t>Unknown User:
SUPPLY &amp; INSTALLATION OF NEW TOILET SEAT</t>
        </r>
      </text>
    </comment>
    <comment ref="G340" authorId="0" shapeId="0" xr:uid="{DC42701A-231D-4C5A-9797-03AED2E6F079}">
      <text>
        <r>
          <rPr>
            <sz val="11"/>
            <color theme="1"/>
            <rFont val="Aptos Narrow"/>
            <family val="2"/>
            <scheme val="minor"/>
          </rPr>
          <t xml:space="preserve">Unknown User:
HIGH POWERED JET BLAST &amp; CCTV DRAIN CAMERA INSPECTION (SEWER SERVICE)
</t>
        </r>
      </text>
    </comment>
    <comment ref="G341" authorId="0" shapeId="0" xr:uid="{0F70A2FE-D692-4317-BD86-529EF45F3D80}">
      <text>
        <r>
          <rPr>
            <sz val="11"/>
            <color theme="1"/>
            <rFont val="Aptos Narrow"/>
            <family val="2"/>
            <scheme val="minor"/>
          </rPr>
          <t>Unknown User:
REPLACEMENT OF BASIN TAPS AND SPOUT (CUSTOMER SUPPLIED)
5% Good Will Discount</t>
        </r>
      </text>
    </comment>
    <comment ref="G342" authorId="0" shapeId="0" xr:uid="{90002460-D144-44FE-9821-908D4B7C554F}">
      <text>
        <r>
          <rPr>
            <sz val="11"/>
            <color theme="1"/>
            <rFont val="Aptos Narrow"/>
            <family val="2"/>
            <scheme val="minor"/>
          </rPr>
          <t>Unknown User:
CCTV DRAIN CAMERA INSPECTION OF SEWER SERVICE</t>
        </r>
      </text>
    </comment>
    <comment ref="E363" authorId="3" shapeId="0" xr:uid="{317C1329-EE42-4C94-B6C6-D7D2908597F0}">
      <text>
        <t>[Threaded comment]
Your version of Excel allows you to read this threaded comment; however, any edits to it will get removed if the file is opened in a newer version of Excel. Learn more: https://go.microsoft.com/fwlink/?linkid=870924
Comment:
    STOCK</t>
      </text>
    </comment>
    <comment ref="G374" authorId="0" shapeId="0" xr:uid="{9586011E-16D0-48AA-8395-74B1100CD352}">
      <text>
        <r>
          <rPr>
            <sz val="11"/>
            <color theme="1"/>
            <rFont val="Aptos Narrow"/>
            <family val="2"/>
            <scheme val="minor"/>
          </rPr>
          <t>Unknown User:
SEARCH AND INVESTIGATION OF HOT WATER IN APARTMENT</t>
        </r>
      </text>
    </comment>
    <comment ref="L374" authorId="0" shapeId="0" xr:uid="{CB8815C1-B471-4BD1-9A39-78E830E6C7BF}">
      <text>
        <r>
          <rPr>
            <sz val="11"/>
            <color theme="1"/>
            <rFont val="Aptos Narrow"/>
            <family val="2"/>
            <scheme val="minor"/>
          </rPr>
          <t>Unknown User:
Search &amp; Investigation pics are not satisfactory.</t>
        </r>
      </text>
    </comment>
    <comment ref="M374" authorId="0" shapeId="0" xr:uid="{D7FA62BA-48B7-4075-98AD-319972B604FC}">
      <text>
        <r>
          <rPr>
            <sz val="11"/>
            <color theme="1"/>
            <rFont val="Aptos Narrow"/>
            <family val="2"/>
            <scheme val="minor"/>
          </rPr>
          <t>Unknown User:
Smartpay receipt of $749.10 not uploaded by plumber.
Uploaded by Modoras team.</t>
        </r>
      </text>
    </comment>
    <comment ref="P374" authorId="0" shapeId="0" xr:uid="{240FB4D0-0BF3-43A9-A77D-7D3856321F5B}">
      <text>
        <r>
          <rPr>
            <sz val="11"/>
            <color theme="1"/>
            <rFont val="Aptos Narrow"/>
            <family val="2"/>
            <scheme val="minor"/>
          </rPr>
          <t>Unknown User:
Quote not emailed</t>
        </r>
      </text>
    </comment>
    <comment ref="G375" authorId="0" shapeId="0" xr:uid="{11C2DFF6-70EB-4A90-876D-D17870A4E7E5}">
      <text>
        <r>
          <rPr>
            <sz val="11"/>
            <color theme="1"/>
            <rFont val="Aptos Narrow"/>
            <family val="2"/>
            <scheme val="minor"/>
          </rPr>
          <t>Unknown User:
SEARCH AND INVESTIGATION OF ELECTRIC STORAGE HOT WATER SYSTEM</t>
        </r>
      </text>
    </comment>
    <comment ref="P375" authorId="0" shapeId="0" xr:uid="{5AA6C432-8882-41C7-A680-61E22483231E}">
      <text>
        <r>
          <rPr>
            <sz val="11"/>
            <color theme="1"/>
            <rFont val="Aptos Narrow"/>
            <family val="2"/>
            <scheme val="minor"/>
          </rPr>
          <t>Unknown User:
Quote not emailed</t>
        </r>
      </text>
    </comment>
    <comment ref="U375" authorId="0" shapeId="0" xr:uid="{CDF74FDD-969C-4FCA-8799-FBF7CFD96CFA}">
      <text>
        <r>
          <rPr>
            <sz val="11"/>
            <color theme="1"/>
            <rFont val="Aptos Narrow"/>
            <family val="2"/>
            <scheme val="minor"/>
          </rPr>
          <t>Unknown User:
21/7-As per Christine's note "Lim called cust care to advise the cust as a pricing concern - apparently when he attended and did diagnostics apparently who ever installed his HWS (a friend) did to turn on the electrical component and Liam suggested he contact an electrician as he is a plumber - then he went off rudely about the price "</t>
        </r>
      </text>
    </comment>
    <comment ref="G376" authorId="0" shapeId="0" xr:uid="{14E2AAE3-12AF-4E9E-8E5E-3A9E3073867E}">
      <text>
        <r>
          <rPr>
            <sz val="11"/>
            <color theme="1"/>
            <rFont val="Aptos Narrow"/>
            <family val="2"/>
            <scheme val="minor"/>
          </rPr>
          <t>Unknown User:
SEARCH AND INVESTIGATION OF ELECTRIC STORAGE HOT WATER SYSTEM</t>
        </r>
      </text>
    </comment>
    <comment ref="P376" authorId="0" shapeId="0" xr:uid="{A99A3F48-B4C4-45B2-89FF-0B953F7839BB}">
      <text>
        <r>
          <rPr>
            <sz val="11"/>
            <color theme="1"/>
            <rFont val="Aptos Narrow"/>
            <family val="2"/>
            <scheme val="minor"/>
          </rPr>
          <t>Unknown User:
Quote not emailed</t>
        </r>
      </text>
    </comment>
    <comment ref="Q376" authorId="0" shapeId="0" xr:uid="{B128074E-84DB-4CEA-84DB-4C3DB4236E8C}">
      <text>
        <r>
          <rPr>
            <sz val="11"/>
            <color theme="1"/>
            <rFont val="Aptos Narrow"/>
            <family val="2"/>
            <scheme val="minor"/>
          </rPr>
          <t>Unknown User:
Final invoice not raised</t>
        </r>
      </text>
    </comment>
    <comment ref="G377" authorId="0" shapeId="0" xr:uid="{8BFE6B36-4A9E-4D80-9F03-5A835BD66B0C}">
      <text>
        <r>
          <rPr>
            <sz val="11"/>
            <color theme="1"/>
            <rFont val="Aptos Narrow"/>
            <family val="2"/>
            <scheme val="minor"/>
          </rPr>
          <t>Unknown User:
INSTALLATION OF NEW WASHING MACHINE (CUSTOMER SUPPLIED)</t>
        </r>
      </text>
    </comment>
    <comment ref="P377" authorId="0" shapeId="0" xr:uid="{1877B0F4-A3D5-4FDC-8755-63A7308E3163}">
      <text>
        <r>
          <rPr>
            <sz val="11"/>
            <color theme="1"/>
            <rFont val="Aptos Narrow"/>
            <family val="2"/>
            <scheme val="minor"/>
          </rPr>
          <t>Unknown User:
Quote not emailed</t>
        </r>
      </text>
    </comment>
    <comment ref="U377" authorId="0" shapeId="0" xr:uid="{1724D4B9-F175-4218-9B77-25A0919EEA4D}">
      <text>
        <r>
          <rPr>
            <sz val="11"/>
            <color theme="1"/>
            <rFont val="Aptos Narrow"/>
            <family val="2"/>
            <scheme val="minor"/>
          </rPr>
          <t>Unknown User:
23/7-As per Joshua G's note "Spoke with Julie, she maintained we connected the wrong water supply etc. Told her to check temp settings on her machine.
Was angry saying Liam tricked her with the price - i told her she had signed the invoice, estimate and paid via eftpos. She said she wasnt looking/didnt have her glasses on.
Liam advised that she repeated the price back to him and said "that's a lot, but it needs to be done".asked for $1000 discount. advised i would investigate this, offered to have him return to site."</t>
        </r>
      </text>
    </comment>
    <comment ref="G378" authorId="0" shapeId="0" xr:uid="{F7AD2119-2420-4CC2-A107-DD44A9B5F3CF}">
      <text>
        <r>
          <rPr>
            <sz val="11"/>
            <color theme="1"/>
            <rFont val="Aptos Narrow"/>
            <family val="2"/>
            <scheme val="minor"/>
          </rPr>
          <t>Unknown User:
HIGH POWERED JET BLAST &amp; CCTV DRAIN CAMERA INSPECTION (SEWER SERVICE)</t>
        </r>
      </text>
    </comment>
    <comment ref="P378" authorId="0" shapeId="0" xr:uid="{AA22A089-6EA7-4D76-A0EB-3D02611C5032}">
      <text>
        <r>
          <rPr>
            <sz val="11"/>
            <color theme="1"/>
            <rFont val="Aptos Narrow"/>
            <family val="2"/>
            <scheme val="minor"/>
          </rPr>
          <t>Unknown User:
Quote not emailed</t>
        </r>
      </text>
    </comment>
    <comment ref="S378" authorId="0" shapeId="0" xr:uid="{660D4461-C0F0-4691-A742-70720F13C90B}">
      <text>
        <r>
          <rPr>
            <sz val="11"/>
            <color theme="1"/>
            <rFont val="Aptos Narrow"/>
            <family val="2"/>
            <scheme val="minor"/>
          </rPr>
          <t>Unknown User:
Final invoice not emailed</t>
        </r>
      </text>
    </comment>
    <comment ref="G379" authorId="0" shapeId="0" xr:uid="{B9B84E2E-A31D-41ED-A383-CB5163EC7A61}">
      <text>
        <r>
          <rPr>
            <sz val="11"/>
            <color theme="1"/>
            <rFont val="Aptos Narrow"/>
            <family val="2"/>
            <scheme val="minor"/>
          </rPr>
          <t>Unknown User:
COMPLETE SERVICE OF TOILET CISTERN
Non-refundable call out fee</t>
        </r>
      </text>
    </comment>
    <comment ref="L379" authorId="0" shapeId="0" xr:uid="{7E6D3B11-F58F-46FA-9D93-E171AEFA0B92}">
      <text>
        <r>
          <rPr>
            <sz val="11"/>
            <color theme="1"/>
            <rFont val="Aptos Narrow"/>
            <family val="2"/>
            <scheme val="minor"/>
          </rPr>
          <t>Unknown User:
The flush button doesn't seems to be fitted on the cistern.</t>
        </r>
      </text>
    </comment>
    <comment ref="M379" authorId="0" shapeId="0" xr:uid="{CFB4A253-EC1D-4347-B81B-6A728938380F}">
      <text>
        <r>
          <rPr>
            <sz val="11"/>
            <color theme="1"/>
            <rFont val="Aptos Narrow"/>
            <family val="2"/>
            <scheme val="minor"/>
          </rPr>
          <t>Unknown User:
Smartpay receipt of $125 not uploaded by plumber.
Uploaded by Modoras team.</t>
        </r>
      </text>
    </comment>
    <comment ref="P379" authorId="0" shapeId="0" xr:uid="{3DFE72DA-1044-46C8-9C29-B44BB94F69DF}">
      <text>
        <r>
          <rPr>
            <sz val="11"/>
            <color theme="1"/>
            <rFont val="Aptos Narrow"/>
            <family val="2"/>
            <scheme val="minor"/>
          </rPr>
          <t>Unknown User:
Quote not emailed</t>
        </r>
      </text>
    </comment>
    <comment ref="S379" authorId="0" shapeId="0" xr:uid="{19E90004-A641-4407-8111-38AEADFF470A}">
      <text>
        <r>
          <rPr>
            <sz val="11"/>
            <color theme="1"/>
            <rFont val="Aptos Narrow"/>
            <family val="2"/>
            <scheme val="minor"/>
          </rPr>
          <t>Unknown User:
Final zero due invoice raised but not emailed</t>
        </r>
      </text>
    </comment>
    <comment ref="G380" authorId="0" shapeId="0" xr:uid="{0BB2C081-30ED-42FD-AB39-4727D59F3E60}">
      <text>
        <r>
          <rPr>
            <sz val="11"/>
            <color theme="1"/>
            <rFont val="Aptos Narrow"/>
            <family val="2"/>
            <scheme val="minor"/>
          </rPr>
          <t xml:space="preserve">Unknown User:
FLOOD, DYE, PRESSURE TEST (WET AREA)
</t>
        </r>
      </text>
    </comment>
    <comment ref="P380" authorId="0" shapeId="0" xr:uid="{B02C335A-512B-47A2-8816-B50FAC4B8247}">
      <text>
        <r>
          <rPr>
            <sz val="11"/>
            <color theme="1"/>
            <rFont val="Aptos Narrow"/>
            <family val="2"/>
            <scheme val="minor"/>
          </rPr>
          <t>Unknown User:
Quote not emailed</t>
        </r>
      </text>
    </comment>
    <comment ref="Q380" authorId="0" shapeId="0" xr:uid="{650E897C-5935-419D-8D94-7894A965D4BF}">
      <text>
        <r>
          <rPr>
            <sz val="11"/>
            <color theme="1"/>
            <rFont val="Aptos Narrow"/>
            <family val="2"/>
            <scheme val="minor"/>
          </rPr>
          <t>Unknown User:
Final invoice combined &amp; raised for 2 estimates</t>
        </r>
      </text>
    </comment>
    <comment ref="G381" authorId="0" shapeId="0" xr:uid="{39799DA4-B60F-4176-99B5-FA2C425BD238}">
      <text>
        <r>
          <rPr>
            <sz val="11"/>
            <color theme="1"/>
            <rFont val="Aptos Narrow"/>
            <family val="2"/>
            <scheme val="minor"/>
          </rPr>
          <t>Unknown User:
COMPLETE SERVICE OF WALL TOP TAPS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in wall using specialist tungsten re-seating tool
Flush out breach in wall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in wall
Reinstall hot &amp; cold-water tapware
Reinstall hot &amp; cold-water locking nuts
Reinstate cold water supply to property
Reinstate hot water supply to property
Test &amp; commission installation
Removal of trade waste
PLEASE NOTE IF FURTHER WORK REQUIRED OUTSIDE OF QUOTED WORKS ADDITIONAL COSTS WILL APPLY. IF BREECH IS FOUND TO BE DAMAGED FUTHER COSTS WILL APPLY.</t>
        </r>
      </text>
    </comment>
    <comment ref="P381" authorId="0" shapeId="0" xr:uid="{B3B39DBE-26C5-4838-997C-14F2E37B2D83}">
      <text>
        <r>
          <rPr>
            <sz val="11"/>
            <color theme="1"/>
            <rFont val="Aptos Narrow"/>
            <family val="2"/>
            <scheme val="minor"/>
          </rPr>
          <t>Unknown User:
Quote not emailed</t>
        </r>
      </text>
    </comment>
    <comment ref="S381" authorId="0" shapeId="0" xr:uid="{D4C7E5B4-724D-4B95-A424-7D2DD0FD8994}">
      <text>
        <r>
          <rPr>
            <sz val="11"/>
            <color theme="1"/>
            <rFont val="Aptos Narrow"/>
            <family val="2"/>
            <scheme val="minor"/>
          </rPr>
          <t>Unknown User:
Final invoice not emailed</t>
        </r>
      </text>
    </comment>
    <comment ref="G382" authorId="0" shapeId="0" xr:uid="{454929F2-B8C3-4BB3-A1CD-797160DD7366}">
      <text>
        <r>
          <rPr>
            <sz val="11"/>
            <color theme="1"/>
            <rFont val="Aptos Narrow"/>
            <family val="2"/>
            <scheme val="minor"/>
          </rPr>
          <t>Unknown User:
MIXER TAP - GOOSE NECK
Isolate main cold-water supply to property
Isolate main hot water supply to property
Disconnect &amp; removal of cold-water supply to existing mixer
Disconnect &amp; removal of hot water supply to existing mixer
Disconnect &amp; removal of existing locking nut
Disconnect &amp; removal of existing mixer
Clean &amp; prepare worked area Supply &amp; install new mixer
Supply &amp; install new cold-water stainless-steel flexi hose
Supply &amp; install new hot water stainless steel flexi hose
Supply &amp; install new locking nut Secure new mixer
Reconnect cold water supply to new mixer
Reconnect hot water supply to new mixer
Reinstate cold water supply to new mixer
Reinstate hot water supply to new mixer
Reinstate cold water supply to property
Reinstate hot water supply to property
Test &amp; commission installation
Removal of trade waste
PLEASE NOTE IF FURTHER WORK REQUIRED OTHER THEN QUOTED WORK FURTHER COST WILL APPLY</t>
        </r>
      </text>
    </comment>
    <comment ref="L382" authorId="0" shapeId="0" xr:uid="{845A344F-A22C-41C2-9572-957A0659C50C}">
      <text>
        <r>
          <rPr>
            <sz val="11"/>
            <color theme="1"/>
            <rFont val="Aptos Narrow"/>
            <family val="2"/>
            <scheme val="minor"/>
          </rPr>
          <t>Unknown User:
After photos not identifiable</t>
        </r>
      </text>
    </comment>
    <comment ref="P382" authorId="0" shapeId="0" xr:uid="{DC03B874-AD53-4553-94B7-A160A79C1207}">
      <text>
        <r>
          <rPr>
            <sz val="11"/>
            <color theme="1"/>
            <rFont val="Aptos Narrow"/>
            <family val="2"/>
            <scheme val="minor"/>
          </rPr>
          <t>Unknown User:
Quote not emailed</t>
        </r>
      </text>
    </comment>
    <comment ref="Q382" authorId="0" shapeId="0" xr:uid="{B5D7E242-98CF-429C-9F61-F60487253BED}">
      <text>
        <r>
          <rPr>
            <sz val="11"/>
            <color theme="1"/>
            <rFont val="Aptos Narrow"/>
            <family val="2"/>
            <scheme val="minor"/>
          </rPr>
          <t>Unknown User:
Final invoice not emailed</t>
        </r>
      </text>
    </comment>
    <comment ref="W382" authorId="0" shapeId="0" xr:uid="{ABE64D52-2A25-42C9-9738-3A6FC0B10836}">
      <text>
        <r>
          <rPr>
            <sz val="11"/>
            <color theme="1"/>
            <rFont val="Aptos Narrow"/>
            <family val="2"/>
            <scheme val="minor"/>
          </rPr>
          <t>Unknown User:
Cash denomination
$20*1 = $20
 Total - $16.20</t>
        </r>
      </text>
    </comment>
    <comment ref="G383" authorId="0" shapeId="0" xr:uid="{1E89CDB7-6096-442D-B2AD-14A2615C2E3A}">
      <text>
        <r>
          <rPr>
            <sz val="11"/>
            <color theme="1"/>
            <rFont val="Aptos Narrow"/>
            <family val="2"/>
            <scheme val="minor"/>
          </rPr>
          <t>Unknown User:
SEARCH AND INVESTIGATION OF GAS INSTANTANEOUS HOT WATER SYSTEM
Gain access to gas instantaneous hot water system
Gain access to main gas isolation valve to property
Removal of main test point at main meter
Test main gas supply with specialist manometer device
Reinstall main test point at main meter
Gain access to instantaneous hot water system test point
Removal of test point on existing instantaneous hot water system
Conduct gas supply with specialist manometer device at instantaneous hot water system
Reinstall test point to gas instantaneous hot water system
Visually inspect gas supply and fittings to hot water system
Conduct soapy spray test on fittings and pipework (IF REQUIRED)
Check gas supply pressure to hot water system and control unit
Check integrity of gas isolation valve at hot water system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repair.</t>
        </r>
      </text>
    </comment>
    <comment ref="P383" authorId="0" shapeId="0" xr:uid="{BFE27C83-A2F2-4FE1-893C-E223D1D25F40}">
      <text>
        <r>
          <rPr>
            <sz val="11"/>
            <color theme="1"/>
            <rFont val="Aptos Narrow"/>
            <family val="2"/>
            <scheme val="minor"/>
          </rPr>
          <t xml:space="preserve">Unknown User:
Quote not emailed
</t>
        </r>
      </text>
    </comment>
    <comment ref="Q383" authorId="0" shapeId="0" xr:uid="{D1D04A02-67A1-4D33-8B70-64B94126EC79}">
      <text>
        <r>
          <rPr>
            <sz val="11"/>
            <color theme="1"/>
            <rFont val="Aptos Narrow"/>
            <family val="2"/>
            <scheme val="minor"/>
          </rPr>
          <t>Unknown User:
Final invoice not raised.</t>
        </r>
      </text>
    </comment>
    <comment ref="G384" authorId="0" shapeId="0" xr:uid="{166B8ED8-E3E4-40BF-B8DF-7B2A0197A428}">
      <text>
        <r>
          <rPr>
            <sz val="11"/>
            <color theme="1"/>
            <rFont val="Aptos Narrow"/>
            <family val="2"/>
            <scheme val="minor"/>
          </rPr>
          <t>Unknown User:
SEARCH AND INVESTIGATION OF SOLAR SPLIT HOT WATER SYSTEM</t>
        </r>
      </text>
    </comment>
    <comment ref="P384" authorId="0" shapeId="0" xr:uid="{E1B6A26B-BA53-495D-84E1-C33E2679BFE3}">
      <text>
        <r>
          <rPr>
            <sz val="11"/>
            <color theme="1"/>
            <rFont val="Aptos Narrow"/>
            <family val="2"/>
            <scheme val="minor"/>
          </rPr>
          <t>Unknown User:
Quote not emailed</t>
        </r>
      </text>
    </comment>
    <comment ref="Q384" authorId="0" shapeId="0" xr:uid="{664FB0C4-D7B0-433F-A10B-2F2AFDD3899C}">
      <text>
        <r>
          <rPr>
            <sz val="11"/>
            <color theme="1"/>
            <rFont val="Aptos Narrow"/>
            <family val="2"/>
            <scheme val="minor"/>
          </rPr>
          <t xml:space="preserve">Unknown User:
Final zero due invoice not emailed. </t>
        </r>
      </text>
    </comment>
    <comment ref="G385" authorId="0" shapeId="0" xr:uid="{F09D4A07-2F37-4AFE-8CFA-2DF7A2066CFD}">
      <text>
        <r>
          <rPr>
            <sz val="11"/>
            <color theme="1"/>
            <rFont val="Aptos Narrow"/>
            <family val="2"/>
            <scheme val="minor"/>
          </rPr>
          <t>Unknown User:
HIGH POWERED SUCTION &amp; ACID TREATMENT</t>
        </r>
      </text>
    </comment>
    <comment ref="G386" authorId="0" shapeId="0" xr:uid="{D9002B19-D0F2-47B4-B85C-08C1FD86AD22}">
      <text>
        <r>
          <rPr>
            <sz val="11"/>
            <color theme="1"/>
            <rFont val="Aptos Narrow"/>
            <family val="2"/>
            <scheme val="minor"/>
          </rPr>
          <t>Unknown User:
SEARCH &amp; INVESTIGATION OF GAS STORAGE HOT WATER SYSTEM</t>
        </r>
      </text>
    </comment>
    <comment ref="P386" authorId="0" shapeId="0" xr:uid="{A610BC6D-0B56-4660-AE5E-A735D442F2D5}">
      <text>
        <r>
          <rPr>
            <sz val="11"/>
            <color theme="1"/>
            <rFont val="Aptos Narrow"/>
            <family val="2"/>
            <scheme val="minor"/>
          </rPr>
          <t>Unknown User:
Quote not emailed</t>
        </r>
      </text>
    </comment>
    <comment ref="G387" authorId="0" shapeId="0" xr:uid="{30A61D26-44EC-4D84-8AC1-32F5C7BB1797}">
      <text>
        <r>
          <rPr>
            <sz val="11"/>
            <color theme="1"/>
            <rFont val="Aptos Narrow"/>
            <family val="2"/>
            <scheme val="minor"/>
          </rPr>
          <t>Unknown User:
WATER SERVICE RECTIFICATION (IN GROUND</t>
        </r>
      </text>
    </comment>
    <comment ref="P387" authorId="0" shapeId="0" xr:uid="{2B7C017B-D9D5-4D1A-A9D8-DCA9897140F7}">
      <text>
        <r>
          <rPr>
            <sz val="11"/>
            <color theme="1"/>
            <rFont val="Aptos Narrow"/>
            <family val="2"/>
            <scheme val="minor"/>
          </rPr>
          <t>Unknown User:
Quote not emailed</t>
        </r>
      </text>
    </comment>
    <comment ref="S387" authorId="0" shapeId="0" xr:uid="{464CD63B-6AA8-4128-81AD-74BED497D6D6}">
      <text>
        <r>
          <rPr>
            <sz val="11"/>
            <color theme="1"/>
            <rFont val="Aptos Narrow"/>
            <family val="2"/>
            <scheme val="minor"/>
          </rPr>
          <t>Unknown User:
Progress invoice not emailed.</t>
        </r>
      </text>
    </comment>
    <comment ref="G392" authorId="0" shapeId="0" xr:uid="{670FDE7F-82AB-4684-9A43-62B59F0B0CD5}">
      <text>
        <r>
          <rPr>
            <sz val="11"/>
            <color theme="1"/>
            <rFont val="Aptos Narrow"/>
            <family val="2"/>
            <scheme val="minor"/>
          </rPr>
          <t xml:space="preserve">Unknown User:
SUPPLY &amp; INSTALLATION OF NEW SINGLE ELEMENT HOT WATER UNIT
– INTERNAL
Isolate main water supply to property
Isolate main electrical supply to property
Disconnect cold water supply to existing hot water unit
Disconnect power supply to existing hot water unit
Drain existing hot water unit
Disconnect &amp; removal of existing valves
Disconnect &amp; removal of existing brass fittings
Disconnect &amp; removal of existing section of cold-water service
connecting to hot water unit
Disconnect &amp; removal of existing section of hot water service
connecting to hot water unit
Clean &amp; prepare worked area
Supply &amp; install new internal safe waste tray
Supply &amp; install new Duo valve
Supply &amp; install new Pressure limiting valve
Supply &amp; install new Mildred emergency shut off valve
Supply &amp; install new tempering valve
Supply &amp; install new pressure relief valve
Supply &amp; install new single element hot water
Supply &amp; install new section of copper cold water service
connecting to new hot water unit
Supply &amp; install new section of copper hot water service
connecting to new hot water unit
Supply &amp; install new pressure relief drain service in copper &amp;
ensure compliance with AS3500
Supply &amp; install new B-press fittings
Supply &amp; install new Brass fittings
Reconnect cold water service to new hot water unit
Reconnect hot water service to new hot water unit
Reconnect electrical supply to new hot water unit
Reinstate water supply to new hot water unit
Test &amp; commission installation
Removal of trade waste
PLEASE NOTE IF FURTHER WORK REQUIRED OUTSIDE OF QUOTED
WORKS ADDITIONAL COSTS WILL APPLY
</t>
        </r>
      </text>
    </comment>
    <comment ref="P392" authorId="0" shapeId="0" xr:uid="{762E9B8A-9EB1-4FD1-82B4-35B4D7592A0B}">
      <text>
        <r>
          <rPr>
            <sz val="11"/>
            <color theme="1"/>
            <rFont val="Aptos Narrow"/>
            <family val="2"/>
            <scheme val="minor"/>
          </rPr>
          <t>Unknown User:
Quote not Emailed</t>
        </r>
      </text>
    </comment>
    <comment ref="G393" authorId="0" shapeId="0" xr:uid="{F55735A0-7A11-4CE8-BE5E-13814EDE2B53}">
      <text>
        <r>
          <rPr>
            <sz val="11"/>
            <color theme="1"/>
            <rFont val="Aptos Narrow"/>
            <family val="2"/>
            <scheme val="minor"/>
          </rPr>
          <t xml:space="preserve">Unknown User:
HIGH POWERED JET BLAST &amp; CCTV DRAIN CAMERA INSPECTION (SEWER SERVICE)
</t>
        </r>
      </text>
    </comment>
    <comment ref="P393" authorId="0" shapeId="0" xr:uid="{636C5C89-5E59-43A4-868E-EA06227B004C}">
      <text>
        <r>
          <rPr>
            <sz val="11"/>
            <color theme="1"/>
            <rFont val="Aptos Narrow"/>
            <family val="2"/>
            <scheme val="minor"/>
          </rPr>
          <t>Unknown User:
Quote not emailed</t>
        </r>
      </text>
    </comment>
    <comment ref="V393" authorId="0" shapeId="0" xr:uid="{16C9A8F2-D1B3-4221-B9FD-95779A8E27F3}">
      <text>
        <r>
          <rPr>
            <sz val="11"/>
            <color theme="1"/>
            <rFont val="Aptos Narrow"/>
            <family val="2"/>
            <scheme val="minor"/>
          </rPr>
          <t>Unknown User:
14/07 - Received $1126.80 Card</t>
        </r>
      </text>
    </comment>
    <comment ref="G394" authorId="0" shapeId="0" xr:uid="{7F0A912F-4C35-4DBE-AF1F-93AE12968E40}">
      <text>
        <r>
          <rPr>
            <sz val="11"/>
            <color theme="1"/>
            <rFont val="Aptos Narrow"/>
            <family val="2"/>
            <scheme val="minor"/>
          </rPr>
          <t>Unknown User:
INSTALLATION OF SHOWER ON RAIL (CUSTOMER SUPPLIED)</t>
        </r>
      </text>
    </comment>
    <comment ref="P394" authorId="0" shapeId="0" xr:uid="{E7F914A4-4E07-4AED-AEE9-A6DD586101EC}">
      <text>
        <r>
          <rPr>
            <sz val="11"/>
            <color theme="1"/>
            <rFont val="Aptos Narrow"/>
            <family val="2"/>
            <scheme val="minor"/>
          </rPr>
          <t>Unknown User:
Quote not emailed</t>
        </r>
      </text>
    </comment>
    <comment ref="V394" authorId="0" shapeId="0" xr:uid="{454E09CA-8264-4D28-A9C7-9DC0B4318218}">
      <text>
        <r>
          <rPr>
            <sz val="11"/>
            <color theme="1"/>
            <rFont val="Aptos Narrow"/>
            <family val="2"/>
            <scheme val="minor"/>
          </rPr>
          <t>Unknown User:
23/07 Received $495.40 Card</t>
        </r>
      </text>
    </comment>
    <comment ref="G395" authorId="0" shapeId="0" xr:uid="{5BFE5AB1-F996-4064-A5A7-A84512C7C02B}">
      <text>
        <r>
          <rPr>
            <sz val="11"/>
            <color theme="1"/>
            <rFont val="Aptos Narrow"/>
            <family val="2"/>
            <scheme val="minor"/>
          </rPr>
          <t>Unknown User:
REPLACEMENT OF EXISTING OVERFLOW GULLY &amp; UP TO 1.5M OF MAIN SEWER SERVICE</t>
        </r>
      </text>
    </comment>
    <comment ref="P395" authorId="0" shapeId="0" xr:uid="{933CF9A9-7B5F-4D4B-9E13-451E841CADA7}">
      <text>
        <r>
          <rPr>
            <sz val="11"/>
            <color theme="1"/>
            <rFont val="Aptos Narrow"/>
            <family val="2"/>
            <scheme val="minor"/>
          </rPr>
          <t>Unknown User:
Quote not emailed.</t>
        </r>
      </text>
    </comment>
    <comment ref="U395" authorId="0" shapeId="0" xr:uid="{900FB673-A02E-4CFC-B802-B79749BF879F}">
      <text>
        <r>
          <rPr>
            <sz val="11"/>
            <color theme="1"/>
            <rFont val="Aptos Narrow"/>
            <family val="2"/>
            <scheme val="minor"/>
          </rPr>
          <t>Unknown User:
Amount of $1621.00 is entered as $1621.30 by plumber in invoice tab.Now changed by Modoras team.</t>
        </r>
      </text>
    </comment>
    <comment ref="V395" authorId="0" shapeId="0" xr:uid="{E748F8FC-039D-44C2-946A-F826E380A05C}">
      <text>
        <r>
          <rPr>
            <sz val="11"/>
            <color theme="1"/>
            <rFont val="Aptos Narrow"/>
            <family val="2"/>
            <scheme val="minor"/>
          </rPr>
          <t>Unknown User:
21/7 Received $5000 Card</t>
        </r>
      </text>
    </comment>
    <comment ref="G399" authorId="0" shapeId="0" xr:uid="{19629DF5-4483-475D-9BA1-7AC285D31A68}">
      <text>
        <r>
          <rPr>
            <sz val="11"/>
            <color theme="1"/>
            <rFont val="Aptos Narrow"/>
            <family val="2"/>
            <scheme val="minor"/>
          </rPr>
          <t>Unknown User:
SUPPLY &amp; INSTALLATION OF THERMOSTATIC MIXING VALVE</t>
        </r>
      </text>
    </comment>
    <comment ref="P399" authorId="0" shapeId="0" xr:uid="{6730905B-3998-4DC1-A230-5CC0B037330E}">
      <text>
        <r>
          <rPr>
            <sz val="11"/>
            <color theme="1"/>
            <rFont val="Aptos Narrow"/>
            <family val="2"/>
            <scheme val="minor"/>
          </rPr>
          <t>Unknown User:
Quote not emailed</t>
        </r>
      </text>
    </comment>
    <comment ref="Q399" authorId="0" shapeId="0" xr:uid="{A95C8970-643B-4AA8-A623-26EC1BF87F64}">
      <text>
        <r>
          <rPr>
            <sz val="11"/>
            <color theme="1"/>
            <rFont val="Aptos Narrow"/>
            <family val="2"/>
            <scheme val="minor"/>
          </rPr>
          <t>Unknown User:
Progress invoice payment of $486 not updated. (Raised in Job #71561 but $486 not applied.)</t>
        </r>
      </text>
    </comment>
    <comment ref="G400" authorId="0" shapeId="0" xr:uid="{0202D902-E7CF-4A3E-BCE1-FDA7FD8A4EF5}">
      <text>
        <r>
          <rPr>
            <sz val="11"/>
            <color theme="1"/>
            <rFont val="Aptos Narrow"/>
            <family val="2"/>
            <scheme val="minor"/>
          </rPr>
          <t xml:space="preserve">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
CONTINUATION OF SERVICES </t>
        </r>
      </text>
    </comment>
    <comment ref="N400" authorId="0" shapeId="0" xr:uid="{7C75575F-D99E-4DB9-88DB-F3FF8FB49753}">
      <text>
        <r>
          <rPr>
            <sz val="11"/>
            <color theme="1"/>
            <rFont val="Aptos Narrow"/>
            <family val="2"/>
            <scheme val="minor"/>
          </rPr>
          <t>Unknown User:
Quote raised in job #71681</t>
        </r>
      </text>
    </comment>
    <comment ref="P400" authorId="0" shapeId="0" xr:uid="{4AF00B6E-1DD2-4B89-94F9-ACA4073CEB20}">
      <text>
        <r>
          <rPr>
            <sz val="11"/>
            <color theme="1"/>
            <rFont val="Aptos Narrow"/>
            <family val="2"/>
            <scheme val="minor"/>
          </rPr>
          <t>Unknown User:
Quote not emailed</t>
        </r>
      </text>
    </comment>
    <comment ref="Q400" authorId="0" shapeId="0" xr:uid="{1AFCFE02-F4CB-44C1-BA40-5FC9B23A7CC7}">
      <text>
        <r>
          <rPr>
            <sz val="11"/>
            <color theme="1"/>
            <rFont val="Aptos Narrow"/>
            <family val="2"/>
            <scheme val="minor"/>
          </rPr>
          <t>Unknown User:
Final invoice not raised</t>
        </r>
      </text>
    </comment>
    <comment ref="U400" authorId="0" shapeId="0" xr:uid="{A325ACE8-F945-4843-8873-FB681278A1FC}">
      <text>
        <r>
          <rPr>
            <sz val="11"/>
            <color theme="1"/>
            <rFont val="Aptos Narrow"/>
            <family val="2"/>
            <scheme val="minor"/>
          </rPr>
          <t>Unknown User:
23/7-As per Alex's note "Previous invoices weren't taken off on the total and the system didn't match what she paid so I took what she said was left from her end. Please confirm if there is more needed to be taken. I tried my best
"</t>
        </r>
      </text>
    </comment>
    <comment ref="G404" authorId="0" shapeId="0" xr:uid="{E8D9556F-D547-43B5-B204-2E49E79D580D}">
      <text>
        <r>
          <rPr>
            <sz val="11"/>
            <color theme="1"/>
            <rFont val="Aptos Narrow"/>
            <family val="2"/>
            <scheme val="minor"/>
          </rPr>
          <t>Unknown User:
SUPPLY AND INSTALLATION OF PRESSURE REGULATING DEVICE FITTED TO 20MM STRAIGHT PIPEWORK</t>
        </r>
      </text>
    </comment>
    <comment ref="P404" authorId="0" shapeId="0" xr:uid="{437711B3-A85E-4B08-9421-A1212B850BC2}">
      <text>
        <r>
          <rPr>
            <sz val="11"/>
            <color theme="1"/>
            <rFont val="Aptos Narrow"/>
            <family val="2"/>
            <scheme val="minor"/>
          </rPr>
          <t>Unknown User:
Quote not emailed</t>
        </r>
      </text>
    </comment>
    <comment ref="A405" authorId="4" shapeId="0" xr:uid="{823DC9CD-D064-4D7C-9821-EE542183CBB0}">
      <text>
        <r>
          <rPr>
            <sz val="11"/>
            <color theme="1"/>
            <rFont val="Aptos Narrow"/>
            <family val="2"/>
            <scheme val="minor"/>
          </rPr>
          <t>Accounts | Point Plumbing:
Tiling Invoice</t>
        </r>
      </text>
    </comment>
    <comment ref="G405" authorId="0" shapeId="0" xr:uid="{E332BF7F-5D7A-42BB-BB28-D3C35F9C2726}">
      <text>
        <r>
          <rPr>
            <sz val="11"/>
            <color theme="1"/>
            <rFont val="Aptos Narrow"/>
            <family val="2"/>
            <scheme val="minor"/>
          </rPr>
          <t xml:space="preserve">Unknown User:
RECTIFICATION OF IN WALL SHOWER BREACH
RESEAL OF SHOWER
CONTINUATION OF WORKS
</t>
        </r>
      </text>
    </comment>
    <comment ref="N405" authorId="0" shapeId="0" xr:uid="{B5C565CA-9016-49A4-9BA3-205BD4C64A84}">
      <text>
        <r>
          <rPr>
            <sz val="11"/>
            <color theme="1"/>
            <rFont val="Aptos Narrow"/>
            <family val="2"/>
            <scheme val="minor"/>
          </rPr>
          <t xml:space="preserve">Unknown User:
Quote raised in job #71663
</t>
        </r>
      </text>
    </comment>
    <comment ref="P405" authorId="0" shapeId="0" xr:uid="{BEC804C4-F9E5-4D85-82CE-08FD67751C59}">
      <text>
        <r>
          <rPr>
            <sz val="11"/>
            <color theme="1"/>
            <rFont val="Aptos Narrow"/>
            <family val="2"/>
            <scheme val="minor"/>
          </rPr>
          <t>Unknown User:
Quote not emailed</t>
        </r>
      </text>
    </comment>
    <comment ref="U405" authorId="0" shapeId="0" xr:uid="{B1E84DEE-F0CA-4F0A-ACC2-96983058BE3F}">
      <text>
        <r>
          <rPr>
            <sz val="11"/>
            <color theme="1"/>
            <rFont val="Aptos Narrow"/>
            <family val="2"/>
            <scheme val="minor"/>
          </rPr>
          <t>Unknown User:
24/07-As per Liam's note "Tried to get an upsell, when I was vocalising my opinion he was very distressed and upset, kept telling me he has to leave it. He started back peddling and saying he should’ve gotten a second quote for the bathroom. I had to spend 20 min just smoothing it over and reassuring him so he doesn’t get angry. Didn’t produce a quote because it would’ve made the situation way worse. He’s okay now. Told him to call me if he has any concerns. Tiles and shower reseal booked for Tuesday"</t>
        </r>
      </text>
    </comment>
    <comment ref="G406" authorId="0" shapeId="0" xr:uid="{9AFA8032-E1B5-4122-BFA8-67B9C7F43AB9}">
      <text>
        <r>
          <rPr>
            <sz val="11"/>
            <color theme="1"/>
            <rFont val="Aptos Narrow"/>
            <family val="2"/>
            <scheme val="minor"/>
          </rPr>
          <t xml:space="preserve">Unknown User:
COMPLETE SERVICE OF IN WALL TOILET CISTERN
</t>
        </r>
      </text>
    </comment>
    <comment ref="G410" authorId="0" shapeId="0" xr:uid="{C99682AA-7808-45FB-94E7-28D0DFCD0D43}">
      <text>
        <r>
          <rPr>
            <sz val="11"/>
            <color theme="1"/>
            <rFont val="Aptos Narrow"/>
            <family val="2"/>
            <scheme val="minor"/>
          </rPr>
          <t>Unknown User:
HIGH POWERED JET BLAST &amp; CCTV CAMERA INSPECTION (GAIN ACCESS FROM VENT)
Locate main sewer vent
Cut out section of sewer vent
Gain access to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section of sewer vent using specialist repair coupling
Test &amp; commission installation
PLEASE NOTE IF BLOCKAGE DOES NOT CLEAR FURTHER COST WILL APPLY. THIS IS A FIRST ATTEMPT.</t>
        </r>
      </text>
    </comment>
    <comment ref="P410" authorId="0" shapeId="0" xr:uid="{B8F7E632-C20F-4161-A286-370AC18FB5DE}">
      <text>
        <r>
          <rPr>
            <sz val="11"/>
            <color theme="1"/>
            <rFont val="Aptos Narrow"/>
            <family val="2"/>
            <scheme val="minor"/>
          </rPr>
          <t>Unknown User:
Quote not emailed</t>
        </r>
      </text>
    </comment>
    <comment ref="S410" authorId="0" shapeId="0" xr:uid="{FC32AA74-D1AD-441D-A1F2-AEFBA91D5D7C}">
      <text>
        <r>
          <rPr>
            <sz val="11"/>
            <color theme="1"/>
            <rFont val="Aptos Narrow"/>
            <family val="2"/>
            <scheme val="minor"/>
          </rPr>
          <t>Unknown User:
Invoice not emailed</t>
        </r>
      </text>
    </comment>
    <comment ref="G411" authorId="0" shapeId="0" xr:uid="{B4B38A81-7493-4A1F-A0A8-7B9437D521DC}">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411" authorId="0" shapeId="0" xr:uid="{3EECFE5C-DCF3-49DF-8A47-67E9DA672E85}">
      <text>
        <r>
          <rPr>
            <sz val="11"/>
            <color theme="1"/>
            <rFont val="Aptos Narrow"/>
            <family val="2"/>
            <scheme val="minor"/>
          </rPr>
          <t>Unknown User:
Quote not Emailed</t>
        </r>
      </text>
    </comment>
    <comment ref="G417" authorId="0" shapeId="0" xr:uid="{65EAD06F-5F86-47C3-9084-BD0B0ED5BC48}">
      <text>
        <r>
          <rPr>
            <sz val="11"/>
            <color theme="1"/>
            <rFont val="Aptos Narrow"/>
            <family val="2"/>
            <scheme val="minor"/>
          </rPr>
          <t xml:space="preserve">Unknown User:
INSTALLATION OF DISHWASHER [SAME LOCATION] (CUSTOMER SUPPLIED)
</t>
        </r>
      </text>
    </comment>
    <comment ref="P417" authorId="0" shapeId="0" xr:uid="{03704783-DF75-49A5-AC68-BE8AD0D5B2C1}">
      <text>
        <r>
          <rPr>
            <sz val="11"/>
            <color theme="1"/>
            <rFont val="Aptos Narrow"/>
            <family val="2"/>
            <scheme val="minor"/>
          </rPr>
          <t>Unknown User:
Quote not emailed</t>
        </r>
      </text>
    </comment>
    <comment ref="G418" authorId="0" shapeId="0" xr:uid="{4340A248-661B-47F8-98D5-D8793999D31F}">
      <text>
        <r>
          <rPr>
            <sz val="11"/>
            <color theme="1"/>
            <rFont val="Aptos Narrow"/>
            <family val="2"/>
            <scheme val="minor"/>
          </rPr>
          <t>Unknown User:
SPECIALIST LEAK DETECTION (WATER SERVICE)</t>
        </r>
      </text>
    </comment>
    <comment ref="P418" authorId="0" shapeId="0" xr:uid="{F9722C0F-F8AF-48BD-AD86-FC3211E99B10}">
      <text>
        <r>
          <rPr>
            <sz val="11"/>
            <color theme="1"/>
            <rFont val="Aptos Narrow"/>
            <family val="2"/>
            <scheme val="minor"/>
          </rPr>
          <t>Unknown User:
Quote not emailed</t>
        </r>
      </text>
    </comment>
    <comment ref="G419" authorId="0" shapeId="0" xr:uid="{0E70EF83-A22A-48DB-AD6D-14E16204E4DB}">
      <text>
        <r>
          <rPr>
            <sz val="11"/>
            <color theme="1"/>
            <rFont val="Aptos Narrow"/>
            <family val="2"/>
            <scheme val="minor"/>
          </rPr>
          <t>Unknown User:
INSTALLATION OF SEMI-RECESSED BASIN (CUSTOMER SUPPLIED)
10% Seniors &amp; Pensioners Discount</t>
        </r>
      </text>
    </comment>
    <comment ref="P419" authorId="0" shapeId="0" xr:uid="{13594599-36D8-41AE-9898-7E6A4189194B}">
      <text>
        <r>
          <rPr>
            <sz val="11"/>
            <color theme="1"/>
            <rFont val="Aptos Narrow"/>
            <family val="2"/>
            <scheme val="minor"/>
          </rPr>
          <t>Unknown User:
Quote not emailed.</t>
        </r>
      </text>
    </comment>
    <comment ref="R419" authorId="0" shapeId="0" xr:uid="{A80900BD-E281-4ED3-958E-18EED429E858}">
      <text>
        <r>
          <rPr>
            <sz val="11"/>
            <color theme="1"/>
            <rFont val="Aptos Narrow"/>
            <family val="2"/>
            <scheme val="minor"/>
          </rPr>
          <t>Unknown User:
Progress invoice for $200 is signed, whereas $1464.30 is no updated &amp; signed.</t>
        </r>
      </text>
    </comment>
    <comment ref="W419" authorId="0" shapeId="0" xr:uid="{6F6FF6F6-9CB6-4B6A-9D45-AD45FA936B90}">
      <text>
        <r>
          <rPr>
            <sz val="11"/>
            <color theme="1"/>
            <rFont val="Aptos Narrow"/>
            <family val="2"/>
            <scheme val="minor"/>
          </rPr>
          <t xml:space="preserve">Unknown User:
Cash denomination
$50*4=$200
$50*14=$700
$100*7=$700
$20*3=$60
Cash Total=$1460
Unable to assess Coin denomination </t>
        </r>
      </text>
    </comment>
    <comment ref="G420" authorId="0" shapeId="0" xr:uid="{F3C955C8-4372-4644-BBAF-6D83FD743398}">
      <text>
        <r>
          <rPr>
            <sz val="11"/>
            <color theme="1"/>
            <rFont val="Aptos Narrow"/>
            <family val="2"/>
            <scheme val="minor"/>
          </rPr>
          <t>Unknown User:
SUPPLY &amp; INSTALLATION OF NEW INSET BASIN</t>
        </r>
      </text>
    </comment>
    <comment ref="P420" authorId="0" shapeId="0" xr:uid="{7D1135FB-B4FB-4FE9-9068-A089E8B1C864}">
      <text>
        <r>
          <rPr>
            <sz val="11"/>
            <color theme="1"/>
            <rFont val="Aptos Narrow"/>
            <family val="2"/>
            <scheme val="minor"/>
          </rPr>
          <t>Unknown User:
Quote not emailed.</t>
        </r>
      </text>
    </comment>
    <comment ref="G424" authorId="0" shapeId="0" xr:uid="{73E0F301-C630-4FFD-97FA-6F5B019BD2B9}">
      <text>
        <r>
          <rPr>
            <sz val="11"/>
            <color theme="1"/>
            <rFont val="Aptos Narrow"/>
            <family val="2"/>
            <scheme val="minor"/>
          </rPr>
          <t xml:space="preserve">Unknown User:
SUPPLY &amp; INSTALLATION OF NEW TWIN ELEMENT HOT WATER UNIT (INTERNAL)
</t>
        </r>
      </text>
    </comment>
    <comment ref="G425" authorId="0" shapeId="0" xr:uid="{576FF7AA-229D-4913-A373-B943A50AD862}">
      <text>
        <r>
          <rPr>
            <sz val="11"/>
            <color theme="1"/>
            <rFont val="Aptos Narrow"/>
            <family val="2"/>
            <scheme val="minor"/>
          </rPr>
          <t>Unknown User:
REPLACEMENT OF TAP TOPS</t>
        </r>
      </text>
    </comment>
    <comment ref="G427" authorId="0" shapeId="0" xr:uid="{CCCB2447-C9D0-4F8B-92EF-56E93114C2C9}">
      <text>
        <r>
          <rPr>
            <sz val="11"/>
            <color theme="1"/>
            <rFont val="Aptos Narrow"/>
            <family val="2"/>
            <scheme val="minor"/>
          </rPr>
          <t>Unknown User:
REPLACEMENT OF EXISTING OVERFLOW GULLY &amp; UP TO 1M OF MAIN SEWER
SERVICE (UNDER CONCRETE)
CREDIT HIGH POWERED JETBLAST &amp; CCTV CAMERA
Cancellation After Quote Acceptance</t>
        </r>
      </text>
    </comment>
    <comment ref="G428" authorId="0" shapeId="0" xr:uid="{0BE60F45-8199-496D-9467-E5D69FF4F5B2}">
      <text>
        <r>
          <rPr>
            <sz val="11"/>
            <color theme="1"/>
            <rFont val="Aptos Narrow"/>
            <family val="2"/>
            <scheme val="minor"/>
          </rPr>
          <t>Unknown User:
SEARCH AND INVESTIGATION OF ELECTRIC STORAGE HOT WATER SYSTEM
Set up ladder for safe entry into roof space 
Gain access to hot water unit
Gain access to electrical supply
Check power supply at mains
Check water supply pressure to property
Gain access underneath the house 
Search and investigate the area to determine relocations possibilities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repair.</t>
        </r>
      </text>
    </comment>
    <comment ref="G430" authorId="0" shapeId="0" xr:uid="{995C38E3-6CFD-49BB-B000-2037F7A4875C}">
      <text>
        <r>
          <rPr>
            <sz val="11"/>
            <color theme="1"/>
            <rFont val="Aptos Narrow"/>
            <family val="2"/>
            <scheme val="minor"/>
          </rPr>
          <t xml:space="preserve">Unknown User:
CONVERT SOLAR SPLIT HOT WATER SYSTEM TO EXTERNAL GAS INSTANTANEOUS HOT WATER SYSTEM
</t>
        </r>
      </text>
    </comment>
    <comment ref="G431" authorId="0" shapeId="0" xr:uid="{091D6408-4CC8-4492-9513-FEF212FA9844}">
      <text>
        <r>
          <rPr>
            <sz val="11"/>
            <color theme="1"/>
            <rFont val="Aptos Narrow"/>
            <family val="2"/>
            <scheme val="minor"/>
          </rPr>
          <t>Unknown User:
REPLACEMENT OF SOLAR FROST VALVE</t>
        </r>
      </text>
    </comment>
    <comment ref="G432" authorId="0" shapeId="0" xr:uid="{9CE55F04-2FCF-4F50-9005-87EF376217C6}">
      <text>
        <r>
          <rPr>
            <sz val="11"/>
            <color theme="1"/>
            <rFont val="Aptos Narrow"/>
            <family val="2"/>
            <scheme val="minor"/>
          </rPr>
          <t xml:space="preserve">Unknown User:
SEARCH &amp; INVESTIGATION OF DOUBLE STOREY ROOF OF POTENTIAL LEAK
</t>
        </r>
      </text>
    </comment>
    <comment ref="G433" authorId="0" shapeId="0" xr:uid="{01738D7F-2650-435F-813D-857FE862CD14}">
      <text>
        <r>
          <rPr>
            <sz val="11"/>
            <color theme="1"/>
            <rFont val="Aptos Narrow"/>
            <family val="2"/>
            <scheme val="minor"/>
          </rPr>
          <t xml:space="preserve">Unknown User:
SUPPLY &amp; INSTALLATION OF GAS STORAGE HOT WATER SYSTEM (INTERNAL)
</t>
        </r>
      </text>
    </comment>
    <comment ref="G434" authorId="0" shapeId="0" xr:uid="{0A0E5DB3-2D51-4A54-826F-52756D091F6A}">
      <text>
        <r>
          <rPr>
            <sz val="11"/>
            <color theme="1"/>
            <rFont val="Aptos Narrow"/>
            <family val="2"/>
            <scheme val="minor"/>
          </rPr>
          <t>Unknown User:
SUPPLY &amp; INSTALLATION OF GAS STORAGE HOT WATER SYSTEM (EXTERNAL)
10% Seniors &amp; Pensioners Discount
CREDIT OF SEARCH &amp; INVESTIGATION</t>
        </r>
      </text>
    </comment>
    <comment ref="G435" authorId="0" shapeId="0" xr:uid="{DC4D43B3-1E26-4D89-9B86-C62A34D608DE}">
      <text>
        <r>
          <rPr>
            <sz val="11"/>
            <color theme="1"/>
            <rFont val="Aptos Narrow"/>
            <family val="2"/>
            <scheme val="minor"/>
          </rPr>
          <t>Unknown User:
SPECIALIST LEAK DETECTION (WATER SERVICE)</t>
        </r>
      </text>
    </comment>
    <comment ref="G467" authorId="0" shapeId="0" xr:uid="{C5617B24-4EA9-43FF-8F56-BDC5555BB145}">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P467" authorId="0" shapeId="0" xr:uid="{E14289F9-0210-42B1-AAE4-A418FD623C0E}">
      <text>
        <r>
          <rPr>
            <sz val="11"/>
            <color theme="1"/>
            <rFont val="Aptos Narrow"/>
            <family val="2"/>
            <scheme val="minor"/>
          </rPr>
          <t>Unknown User:
Quote not emailed</t>
        </r>
      </text>
    </comment>
    <comment ref="G468" authorId="0" shapeId="0" xr:uid="{E0E7EF9D-0D20-4E18-B310-19F950320141}">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M468" authorId="0" shapeId="0" xr:uid="{65C2E921-70E7-4F76-A761-531ABC77B645}">
      <text>
        <r>
          <rPr>
            <sz val="11"/>
            <color theme="1"/>
            <rFont val="Aptos Narrow"/>
            <family val="2"/>
            <scheme val="minor"/>
          </rPr>
          <t>Unknown User:
Receipt for $1126.80 not uploaded by plumber, now uploaded by Modoras Team</t>
        </r>
      </text>
    </comment>
    <comment ref="P468" authorId="0" shapeId="0" xr:uid="{126DC256-7E0D-4618-8D0F-1B219C7974CF}">
      <text>
        <r>
          <rPr>
            <sz val="11"/>
            <color theme="1"/>
            <rFont val="Aptos Narrow"/>
            <family val="2"/>
            <scheme val="minor"/>
          </rPr>
          <t>Unknown User:
Quote not emailed</t>
        </r>
      </text>
    </comment>
    <comment ref="G469" authorId="0" shapeId="0" xr:uid="{40D7FCB9-D3A4-44BB-987D-41980562A4B7}">
      <text>
        <r>
          <rPr>
            <sz val="11"/>
            <color theme="1"/>
            <rFont val="Aptos Narrow"/>
            <family val="2"/>
            <scheme val="minor"/>
          </rPr>
          <t>Unknown User:
SEARCH AND INVESTIGATION OF GAS INSTANTANEOUS HOT WATER SYSTEM
5% Good Will Discount</t>
        </r>
      </text>
    </comment>
    <comment ref="P469" authorId="0" shapeId="0" xr:uid="{5CAE6089-5788-4B15-9945-720AE5168D2D}">
      <text>
        <r>
          <rPr>
            <sz val="11"/>
            <color theme="1"/>
            <rFont val="Aptos Narrow"/>
            <family val="2"/>
            <scheme val="minor"/>
          </rPr>
          <t>Unknown User:
Quote not emailed</t>
        </r>
      </text>
    </comment>
    <comment ref="U469" authorId="0" shapeId="0" xr:uid="{D0B0C17B-D1B8-4E1E-8C9E-ACD4EC2293BD}">
      <text>
        <r>
          <rPr>
            <sz val="11"/>
            <color theme="1"/>
            <rFont val="Aptos Narrow"/>
            <family val="2"/>
            <scheme val="minor"/>
          </rPr>
          <t>Unknown User:
30/07-Kayla and her grandma were on site. They wanted to know how to turn the gas off. (pull a lever). Mum/mum's husband is a licenced plumber and called to cancel today's job. He was happy to not have to go.
29/07-As per Luke's note "Received a call from the mother of Kayla.
She first wanted to enquire about the price of the invoice for the search and investigation - I spoke with Maddi who advised that we might be able to credit the price of the S&amp;I to the new HWS.
The customer then asked why only did a quote for S&amp;I and not fix/replace the HWS. I spoke with Liam who advised that we were going to reattend tomorrow 30/7 to quote up the new HWS.
She then asked why we left and did not contact Kayla to approve the quote - I spoke with Liam who advised that the only person on site could not speak English and nor was he able to contact the approval person.
Next the customer asked why the gas was switched off and how she was supposed to heat her house, make turkish coffee and have a hot shower.
I spoke with Liam who advised that he spoke with Kayla prior to her leaving the site and he showed her exactly how to switch the gas on and off.
The customer also stated that she knew how to switch the gas off. I objected and asked why she did not switch the gas on herself. She said that she did not want to damage anything and she would prefer a plumber attend to sort out."</t>
        </r>
      </text>
    </comment>
    <comment ref="G470" authorId="0" shapeId="0" xr:uid="{FB218E29-89FD-45FD-820A-1C874BA28BE0}">
      <text>
        <r>
          <rPr>
            <sz val="11"/>
            <color theme="1"/>
            <rFont val="Aptos Narrow"/>
            <family val="2"/>
            <scheme val="minor"/>
          </rPr>
          <t>Unknown User:
HIGH POWERED SUCTION PUMP &amp; ACID TREATMENT WITH CCTV DRAIN CAMERA INSPECTION</t>
        </r>
      </text>
    </comment>
    <comment ref="L470" authorId="0" shapeId="0" xr:uid="{12081D14-FD7F-45F3-B28F-26BE78DE0E1C}">
      <text>
        <r>
          <rPr>
            <sz val="11"/>
            <color theme="1"/>
            <rFont val="Aptos Narrow"/>
            <family val="2"/>
            <scheme val="minor"/>
          </rPr>
          <t>Unknown User:
Acid treatment pic is uploaded whereas High powered suction pump pic is not uploaded. (Just kept aside)</t>
        </r>
      </text>
    </comment>
    <comment ref="M470" authorId="0" shapeId="0" xr:uid="{CE55F50E-6CC8-40CA-960C-95A7E8C8FA18}">
      <text>
        <r>
          <rPr>
            <sz val="11"/>
            <color theme="1"/>
            <rFont val="Aptos Narrow"/>
            <family val="2"/>
            <scheme val="minor"/>
          </rPr>
          <t>Unknown User:
Smartpay receipt of $490 not uploaded by plumber.
Uploaded by Modoras team.</t>
        </r>
      </text>
    </comment>
    <comment ref="P470" authorId="0" shapeId="0" xr:uid="{D6E306B5-94E6-4208-A643-6475494DC50A}">
      <text>
        <r>
          <rPr>
            <sz val="11"/>
            <color theme="1"/>
            <rFont val="Aptos Narrow"/>
            <family val="2"/>
            <scheme val="minor"/>
          </rPr>
          <t xml:space="preserve">Unknown User:
Quote not emailed
</t>
        </r>
      </text>
    </comment>
    <comment ref="Q470" authorId="0" shapeId="0" xr:uid="{42029A3E-8836-4CE2-A4F8-D1E07892FDB7}">
      <text>
        <r>
          <rPr>
            <sz val="11"/>
            <color theme="1"/>
            <rFont val="Aptos Narrow"/>
            <family val="2"/>
            <scheme val="minor"/>
          </rPr>
          <t>Unknown User:
Final zero due invoice not raised.</t>
        </r>
      </text>
    </comment>
    <comment ref="G471" authorId="0" shapeId="0" xr:uid="{C3C2D7D3-6706-491E-85C7-7CA97E0A86C4}">
      <text>
        <r>
          <rPr>
            <sz val="11"/>
            <color theme="1"/>
            <rFont val="Aptos Narrow"/>
            <family val="2"/>
            <scheme val="minor"/>
          </rPr>
          <t>Unknown User:
SUPPLY &amp; INSTALLATION OF NEW SKEW TOILET SUITE</t>
        </r>
      </text>
    </comment>
    <comment ref="M471" authorId="0" shapeId="0" xr:uid="{63035AF5-17D0-4D14-908A-93BC262487B8}">
      <text>
        <r>
          <rPr>
            <sz val="11"/>
            <color theme="1"/>
            <rFont val="Aptos Narrow"/>
            <family val="2"/>
            <scheme val="minor"/>
          </rPr>
          <t>Unknown User:
Smartpay receipt of $900 &amp; $490 are not uploaded by plumber.
Uploaded by Modoras team.</t>
        </r>
      </text>
    </comment>
    <comment ref="P471" authorId="0" shapeId="0" xr:uid="{A5E68B63-4E64-48A2-9882-6E5378666162}">
      <text>
        <r>
          <rPr>
            <sz val="11"/>
            <color theme="1"/>
            <rFont val="Aptos Narrow"/>
            <family val="2"/>
            <scheme val="minor"/>
          </rPr>
          <t>Unknown User:
Quote not emailed</t>
        </r>
      </text>
    </comment>
    <comment ref="G472" authorId="0" shapeId="0" xr:uid="{20B8B4CA-1A4A-4245-8985-3E7C266058FF}">
      <text>
        <r>
          <rPr>
            <sz val="11"/>
            <color theme="1"/>
            <rFont val="Aptos Narrow"/>
            <family val="2"/>
            <scheme val="minor"/>
          </rPr>
          <t>Unknown User:
COMPLETE SERVICE OF WALL TOP TAPS ASSEMBLY</t>
        </r>
      </text>
    </comment>
    <comment ref="P472" authorId="0" shapeId="0" xr:uid="{E46C7060-0114-4C09-9653-6FE957E99044}">
      <text>
        <r>
          <rPr>
            <sz val="11"/>
            <color theme="1"/>
            <rFont val="Aptos Narrow"/>
            <family val="2"/>
            <scheme val="minor"/>
          </rPr>
          <t>Unknown User:
Quote not emailed</t>
        </r>
      </text>
    </comment>
    <comment ref="S472" authorId="0" shapeId="0" xr:uid="{DD9CB52A-BB4E-4925-859C-02F32A22D8E9}">
      <text>
        <r>
          <rPr>
            <sz val="11"/>
            <color theme="1"/>
            <rFont val="Aptos Narrow"/>
            <family val="2"/>
            <scheme val="minor"/>
          </rPr>
          <t>Unknown User:
Invoice not emailed</t>
        </r>
      </text>
    </comment>
    <comment ref="G473" authorId="0" shapeId="0" xr:uid="{7877F7E6-65E4-4E33-A5F9-2E1CB75F0110}">
      <text>
        <r>
          <rPr>
            <sz val="11"/>
            <color theme="1"/>
            <rFont val="Aptos Narrow"/>
            <family val="2"/>
            <scheme val="minor"/>
          </rPr>
          <t>Unknown User:
HIGH POWERED SUCTION PUMP &amp; ACID TREATMENT WITH CCTV DRAIN CAMERA INSPECTION</t>
        </r>
      </text>
    </comment>
    <comment ref="P473" authorId="0" shapeId="0" xr:uid="{C3510265-9240-40D2-8949-CD7A42072247}">
      <text>
        <r>
          <rPr>
            <sz val="11"/>
            <color theme="1"/>
            <rFont val="Aptos Narrow"/>
            <family val="2"/>
            <scheme val="minor"/>
          </rPr>
          <t>Unknown User:
Quote not emailed</t>
        </r>
      </text>
    </comment>
    <comment ref="G474" authorId="0" shapeId="0" xr:uid="{B8E7E916-A855-4499-9036-2919796604D4}">
      <text>
        <r>
          <rPr>
            <sz val="11"/>
            <color theme="1"/>
            <rFont val="Aptos Narrow"/>
            <family val="2"/>
            <scheme val="minor"/>
          </rPr>
          <t>Unknown User:
SEARCH &amp; INVESTIGATION OF GAS SPACE HEATER</t>
        </r>
      </text>
    </comment>
    <comment ref="P474" authorId="0" shapeId="0" xr:uid="{4E18F81F-ED74-40FB-B59A-C9B13CB7D9B8}">
      <text>
        <r>
          <rPr>
            <sz val="11"/>
            <color theme="1"/>
            <rFont val="Aptos Narrow"/>
            <family val="2"/>
            <scheme val="minor"/>
          </rPr>
          <t>Unknown User:
Quote not emailed</t>
        </r>
      </text>
    </comment>
    <comment ref="Q474" authorId="0" shapeId="0" xr:uid="{EF8087B5-0917-457F-927B-64B3D631D3B7}">
      <text>
        <r>
          <rPr>
            <sz val="11"/>
            <color theme="1"/>
            <rFont val="Aptos Narrow"/>
            <family val="2"/>
            <scheme val="minor"/>
          </rPr>
          <t>Unknown User:
Final invoice not raised</t>
        </r>
      </text>
    </comment>
    <comment ref="W474" authorId="0" shapeId="0" xr:uid="{AB51CE9F-18AE-40F3-BC78-E5EBF74B95AE}">
      <text>
        <r>
          <rPr>
            <sz val="11"/>
            <color theme="1"/>
            <rFont val="Aptos Narrow"/>
            <family val="2"/>
            <scheme val="minor"/>
          </rPr>
          <t>Unknown User:
Cash denomination
$100*7 = $700
$50*1 = $50
 Total - $750
Job value - $749.10
Excess receipt of $0.90 is observed</t>
        </r>
      </text>
    </comment>
    <comment ref="G479" authorId="0" shapeId="0" xr:uid="{EE6761C6-B429-45C2-A26D-237E593041DD}">
      <text>
        <r>
          <rPr>
            <sz val="11"/>
            <color theme="1"/>
            <rFont val="Aptos Narrow"/>
            <family val="2"/>
            <scheme val="minor"/>
          </rPr>
          <t>Unknown User:
SUPPLY &amp; INSTALLATION OF THERMOSTATIC MIXING VALVE</t>
        </r>
      </text>
    </comment>
    <comment ref="P479" authorId="0" shapeId="0" xr:uid="{B06FFF62-9334-4068-9446-9007171FA0A0}">
      <text>
        <r>
          <rPr>
            <sz val="11"/>
            <color theme="1"/>
            <rFont val="Aptos Narrow"/>
            <family val="2"/>
            <scheme val="minor"/>
          </rPr>
          <t>Unknown User:
Quote not emailed</t>
        </r>
      </text>
    </comment>
    <comment ref="Q479" authorId="0" shapeId="0" xr:uid="{FBD51562-B91B-4DC4-8DE5-0E85352D0AEE}">
      <text>
        <r>
          <rPr>
            <sz val="11"/>
            <color theme="1"/>
            <rFont val="Aptos Narrow"/>
            <family val="2"/>
            <scheme val="minor"/>
          </rPr>
          <t>Unknown User:
Progress invoice payment of $486 not updated. (Raised in Job #71561 but $486 not applied.)</t>
        </r>
      </text>
    </comment>
    <comment ref="G480" authorId="0" shapeId="0" xr:uid="{2AA8FAE2-8B1A-4B0F-9F0A-DB81BEE6269F}">
      <text>
        <r>
          <rPr>
            <sz val="11"/>
            <color theme="1"/>
            <rFont val="Aptos Narrow"/>
            <family val="2"/>
            <scheme val="minor"/>
          </rPr>
          <t>Unknown User:
SPECIALIST LEAK DETECTION (WATER SERVICE)</t>
        </r>
      </text>
    </comment>
    <comment ref="P480" authorId="0" shapeId="0" xr:uid="{18093369-EE23-4C6A-A8E3-B92E39466174}">
      <text>
        <r>
          <rPr>
            <sz val="11"/>
            <color theme="1"/>
            <rFont val="Aptos Narrow"/>
            <family val="2"/>
            <scheme val="minor"/>
          </rPr>
          <t>Unknown User:
Quote not emailed</t>
        </r>
      </text>
    </comment>
    <comment ref="G481" authorId="0" shapeId="0" xr:uid="{2AFA6C3B-99A3-4ACA-9EED-451D79B63EF4}">
      <text>
        <r>
          <rPr>
            <sz val="11"/>
            <color theme="1"/>
            <rFont val="Aptos Narrow"/>
            <family val="2"/>
            <scheme val="minor"/>
          </rPr>
          <t>Unknown User:
INSTALLATION OF SEMI-RECESSED BASIN (CUSTOMER SUPPLIED)
10% Seniors &amp; Pensioners Discount</t>
        </r>
      </text>
    </comment>
    <comment ref="P481" authorId="0" shapeId="0" xr:uid="{11C4E2F9-FC48-4ADC-8067-BED89F2AF997}">
      <text>
        <r>
          <rPr>
            <sz val="11"/>
            <color theme="1"/>
            <rFont val="Aptos Narrow"/>
            <family val="2"/>
            <scheme val="minor"/>
          </rPr>
          <t>Unknown User:
Quote not emailed.</t>
        </r>
      </text>
    </comment>
    <comment ref="R481" authorId="0" shapeId="0" xr:uid="{6464086D-E185-4AFE-9EDE-5BB3D01EFE2A}">
      <text>
        <r>
          <rPr>
            <sz val="11"/>
            <color theme="1"/>
            <rFont val="Aptos Narrow"/>
            <family val="2"/>
            <scheme val="minor"/>
          </rPr>
          <t>Unknown User:
Progress invoice for $200 is signed, whereas $1464.30 is no updated &amp; signed.</t>
        </r>
      </text>
    </comment>
    <comment ref="W481" authorId="0" shapeId="0" xr:uid="{401CBE8E-4BAA-43AD-A9F1-A080BBEE3929}">
      <text>
        <r>
          <rPr>
            <sz val="11"/>
            <color theme="1"/>
            <rFont val="Aptos Narrow"/>
            <family val="2"/>
            <scheme val="minor"/>
          </rPr>
          <t xml:space="preserve">Unknown User:
Cash denomination
$50*4=$200
$50*14=$700
$100*7=$700
$20*3=$60
Cash Total=$1460
Unable to assess Coin denomination </t>
        </r>
      </text>
    </comment>
    <comment ref="G482" authorId="0" shapeId="0" xr:uid="{CBC0182A-963C-4BAC-9A43-29507C514C55}">
      <text>
        <r>
          <rPr>
            <sz val="11"/>
            <color theme="1"/>
            <rFont val="Aptos Narrow"/>
            <family val="2"/>
            <scheme val="minor"/>
          </rPr>
          <t>Unknown User:
SUPPLY &amp; INSTALLATION OF NEW INSET BASIN</t>
        </r>
      </text>
    </comment>
    <comment ref="P482" authorId="0" shapeId="0" xr:uid="{AD777107-323A-40C9-9C5A-55A7C6134BD6}">
      <text>
        <r>
          <rPr>
            <sz val="11"/>
            <color theme="1"/>
            <rFont val="Aptos Narrow"/>
            <family val="2"/>
            <scheme val="minor"/>
          </rPr>
          <t>Unknown User:
Quote not emailed.</t>
        </r>
      </text>
    </comment>
    <comment ref="A483" authorId="4" shapeId="0" xr:uid="{1E76B352-9424-4025-83E2-1E368A0A708F}">
      <text>
        <r>
          <rPr>
            <sz val="11"/>
            <color theme="1"/>
            <rFont val="Aptos Narrow"/>
            <family val="2"/>
            <scheme val="minor"/>
          </rPr>
          <t>Accounts | Point Plumbing:
Tiling Invoice</t>
        </r>
      </text>
    </comment>
    <comment ref="G483" authorId="0" shapeId="0" xr:uid="{CA407F20-559E-4B89-9D19-9B9C292F33ED}">
      <text>
        <r>
          <rPr>
            <sz val="11"/>
            <color theme="1"/>
            <rFont val="Aptos Narrow"/>
            <family val="2"/>
            <scheme val="minor"/>
          </rPr>
          <t xml:space="preserve">Unknown User:
RECTIFICATION OF IN WALL SHOWER BREACH
RESEAL OF SHOWER
CONTINUATION OF WORKS
</t>
        </r>
      </text>
    </comment>
    <comment ref="N483" authorId="0" shapeId="0" xr:uid="{BB58FF8E-385E-43E2-AA7E-2490A4381B9E}">
      <text>
        <r>
          <rPr>
            <sz val="11"/>
            <color theme="1"/>
            <rFont val="Aptos Narrow"/>
            <family val="2"/>
            <scheme val="minor"/>
          </rPr>
          <t xml:space="preserve">Unknown User:
Quote raised in job #71663
</t>
        </r>
      </text>
    </comment>
    <comment ref="P483" authorId="0" shapeId="0" xr:uid="{60BE1F9D-D335-42DE-AEF3-751D81E52B32}">
      <text>
        <r>
          <rPr>
            <sz val="11"/>
            <color theme="1"/>
            <rFont val="Aptos Narrow"/>
            <family val="2"/>
            <scheme val="minor"/>
          </rPr>
          <t>Unknown User:
Quote not emailed</t>
        </r>
      </text>
    </comment>
    <comment ref="U483" authorId="0" shapeId="0" xr:uid="{A7D86336-6BA6-491C-A576-6C70EE4660D6}">
      <text>
        <r>
          <rPr>
            <sz val="11"/>
            <color theme="1"/>
            <rFont val="Aptos Narrow"/>
            <family val="2"/>
            <scheme val="minor"/>
          </rPr>
          <t>Unknown User:
24/07-As per Liam's note "Tried to get an upsell, when I was vocalising my opinion he was very distressed and upset, kept telling me he has to leave it. He started back peddling and saying he should’ve gotten a second quote for the bathroom. I had to spend 20 min just smoothing it over and reassuring him so he doesn’t get angry. Didn’t produce a quote because it would’ve made the situation way worse. He’s okay now. Told him to call me if he has any concerns. Tiles and shower reseal booked for Tuesday"</t>
        </r>
      </text>
    </comment>
    <comment ref="G487" authorId="0" shapeId="0" xr:uid="{7A4904D0-1741-44DD-9414-34174A6BF835}">
      <text>
        <r>
          <rPr>
            <sz val="11"/>
            <color theme="1"/>
            <rFont val="Aptos Narrow"/>
            <family val="2"/>
            <scheme val="minor"/>
          </rPr>
          <t>Unknown User:
COMMERCIAL HIGH POWERED JETBLAST &amp; CCTV DRAIN CAMERA INSPECTION</t>
        </r>
      </text>
    </comment>
    <comment ref="P487" authorId="0" shapeId="0" xr:uid="{EF2404CC-4CF6-4CDD-8831-82CD70827D98}">
      <text>
        <r>
          <rPr>
            <sz val="11"/>
            <color theme="1"/>
            <rFont val="Aptos Narrow"/>
            <family val="2"/>
            <scheme val="minor"/>
          </rPr>
          <t xml:space="preserve">Unknown User:
Quote not emailed
</t>
        </r>
      </text>
    </comment>
    <comment ref="G491" authorId="0" shapeId="0" xr:uid="{9F27C4EA-5B99-4481-BE0C-9D2AFFA868A2}">
      <text>
        <r>
          <rPr>
            <sz val="11"/>
            <color theme="1"/>
            <rFont val="Aptos Narrow"/>
            <family val="2"/>
            <scheme val="minor"/>
          </rPr>
          <t>Unknown User:
HIGH POWERED JET BLAST &amp; CCTV CAMERA INSPECTION (GAIN ACCESS FROM VENT)
Locate main sewer vent
Cut out section of sewer vent
Gain access to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section of sewer vent using specialist repair coupling
Test &amp; commission installation
PLEASE NOTE IF BLOCKAGE DOES NOT CLEAR FURTHER COST WILL APPLY. THIS IS A FIRST ATTEMPT.</t>
        </r>
      </text>
    </comment>
    <comment ref="P491" authorId="0" shapeId="0" xr:uid="{1F331474-C4EA-4591-B4C5-7DF621DC27CE}">
      <text>
        <r>
          <rPr>
            <sz val="11"/>
            <color theme="1"/>
            <rFont val="Aptos Narrow"/>
            <family val="2"/>
            <scheme val="minor"/>
          </rPr>
          <t>Unknown User:
Quote not emailed</t>
        </r>
      </text>
    </comment>
    <comment ref="S491" authorId="0" shapeId="0" xr:uid="{0B2A7B39-77B6-4E88-BBE2-B4C34F0EA324}">
      <text>
        <r>
          <rPr>
            <sz val="11"/>
            <color theme="1"/>
            <rFont val="Aptos Narrow"/>
            <family val="2"/>
            <scheme val="minor"/>
          </rPr>
          <t>Unknown User:
Invoice not emailed</t>
        </r>
      </text>
    </comment>
    <comment ref="G492" authorId="0" shapeId="0" xr:uid="{F7235E33-A082-4120-95AD-ED192C0512D8}">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492" authorId="0" shapeId="0" xr:uid="{53C228CE-1D78-4D66-813C-5411A10A9E8A}">
      <text>
        <r>
          <rPr>
            <sz val="11"/>
            <color theme="1"/>
            <rFont val="Aptos Narrow"/>
            <family val="2"/>
            <scheme val="minor"/>
          </rPr>
          <t>Unknown User:
Quote not Emailed</t>
        </r>
      </text>
    </comment>
    <comment ref="G493" authorId="0" shapeId="0" xr:uid="{10550200-4E67-4E0F-873E-637BB642D39A}">
      <text>
        <r>
          <rPr>
            <sz val="11"/>
            <color theme="1"/>
            <rFont val="Aptos Narrow"/>
            <family val="2"/>
            <scheme val="minor"/>
          </rPr>
          <t xml:space="preserve">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
CONTINUATION OF SERVICES </t>
        </r>
      </text>
    </comment>
    <comment ref="N493" authorId="0" shapeId="0" xr:uid="{8DA1BEAC-115E-4A19-BCAA-BB5E10F23967}">
      <text>
        <r>
          <rPr>
            <sz val="11"/>
            <color theme="1"/>
            <rFont val="Aptos Narrow"/>
            <family val="2"/>
            <scheme val="minor"/>
          </rPr>
          <t>Unknown User:
Quote raised in job #71681</t>
        </r>
      </text>
    </comment>
    <comment ref="P493" authorId="0" shapeId="0" xr:uid="{09735723-E5BF-431F-B263-8E6B5D77D5F2}">
      <text>
        <r>
          <rPr>
            <sz val="11"/>
            <color theme="1"/>
            <rFont val="Aptos Narrow"/>
            <family val="2"/>
            <scheme val="minor"/>
          </rPr>
          <t>Unknown User:
Quote not emailed</t>
        </r>
      </text>
    </comment>
    <comment ref="Q493" authorId="0" shapeId="0" xr:uid="{6211DB08-FF0C-41A9-9974-726211D3CFAE}">
      <text>
        <r>
          <rPr>
            <sz val="11"/>
            <color theme="1"/>
            <rFont val="Aptos Narrow"/>
            <family val="2"/>
            <scheme val="minor"/>
          </rPr>
          <t>Unknown User:
Final invoice not raised</t>
        </r>
      </text>
    </comment>
    <comment ref="U493" authorId="0" shapeId="0" xr:uid="{B2E1B898-7D2B-47B0-816E-C3285F4D5595}">
      <text>
        <r>
          <rPr>
            <sz val="11"/>
            <color theme="1"/>
            <rFont val="Aptos Narrow"/>
            <family val="2"/>
            <scheme val="minor"/>
          </rPr>
          <t>Unknown User:
23/7-As per Alex's note "Previous invoices weren't taken off on the total and the system didn't match what she paid so I took what she said was left from her end. Please confirm if there is more needed to be taken. I tried my best
"</t>
        </r>
      </text>
    </comment>
    <comment ref="G494" authorId="0" shapeId="0" xr:uid="{EA297151-EF90-44FB-954E-DF8F240467BB}">
      <text>
        <r>
          <rPr>
            <sz val="11"/>
            <color theme="1"/>
            <rFont val="Aptos Narrow"/>
            <family val="2"/>
            <scheme val="minor"/>
          </rPr>
          <t xml:space="preserve">Unknown User:
COMPLETE SERVICE OF IN WALL TOILET CISTERN
</t>
        </r>
      </text>
    </comment>
    <comment ref="G500" authorId="0" shapeId="0" xr:uid="{48123600-A4F5-4BA4-A444-6099312BF960}">
      <text>
        <r>
          <rPr>
            <sz val="11"/>
            <color theme="1"/>
            <rFont val="Aptos Narrow"/>
            <family val="2"/>
            <scheme val="minor"/>
          </rPr>
          <t xml:space="preserve">Unknown User:
INSTALLATION OF DISHWASHER [SAME LOCATION] (CUSTOMER SUPPLIED)
</t>
        </r>
      </text>
    </comment>
    <comment ref="P500" authorId="0" shapeId="0" xr:uid="{2CD4FB01-FE62-41E5-BC65-8F84DA2A6F9A}">
      <text>
        <r>
          <rPr>
            <sz val="11"/>
            <color theme="1"/>
            <rFont val="Aptos Narrow"/>
            <family val="2"/>
            <scheme val="minor"/>
          </rPr>
          <t>Unknown User:
Quote not emailed</t>
        </r>
      </text>
    </comment>
    <comment ref="G501" authorId="0" shapeId="0" xr:uid="{C68662CD-6246-4162-B453-1AB4DAF93C7C}">
      <text>
        <r>
          <rPr>
            <sz val="11"/>
            <color theme="1"/>
            <rFont val="Aptos Narrow"/>
            <family val="2"/>
            <scheme val="minor"/>
          </rPr>
          <t>Unknown User:
SUPPLY AND INSTALLATION OF PRESSURE REGULATING DEVICE FITTED TO 20MM STRAIGHT PIPEWORK</t>
        </r>
      </text>
    </comment>
    <comment ref="P501" authorId="0" shapeId="0" xr:uid="{D1B82E2E-1F46-4783-B1BC-9CA861E13B65}">
      <text>
        <r>
          <rPr>
            <sz val="11"/>
            <color theme="1"/>
            <rFont val="Aptos Narrow"/>
            <family val="2"/>
            <scheme val="minor"/>
          </rPr>
          <t>Unknown User:
Quote not emailed</t>
        </r>
      </text>
    </comment>
    <comment ref="G505" authorId="0" shapeId="0" xr:uid="{BDAD106F-A784-463D-AAC3-972560628E84}">
      <text>
        <r>
          <rPr>
            <sz val="11"/>
            <color theme="1"/>
            <rFont val="Aptos Narrow"/>
            <family val="2"/>
            <scheme val="minor"/>
          </rPr>
          <t xml:space="preserve">Unknown User:
INSTALLATION OF NEW INSET BASIN (CUSTOMER SUPPLIED)
INSTALLATION OF NEW WALL FACED TOILET SUITE (CUSTOMER SUPPLIED)
CHANGE LOCATION OF IN WALL MIXER
REPLACEMENT OF BATH DIVERTER SPOUT (CUSTOMER SUPPLIED)
Install customer supplied free standing bathtub
INSTALL CUSTOMER SUPPLIED SHOWER BASE </t>
        </r>
      </text>
    </comment>
    <comment ref="G506" authorId="0" shapeId="0" xr:uid="{786B434D-EA83-4622-8C50-7CDC67321511}">
      <text>
        <r>
          <rPr>
            <sz val="11"/>
            <color theme="1"/>
            <rFont val="Aptos Narrow"/>
            <family val="2"/>
            <scheme val="minor"/>
          </rPr>
          <t>Unknown User:
SEARCH &amp; INVESTIGATION OF GAS STORAGE HOT WATER SYSTEM
Gain access to gas hot water system
Gain access to main gas isolation valve to property
Test gas supply with specialist manometer device
Visually inspect gas supply and fittings to hot water system
Use soapy spray on fittings and pipework
Check gas supply pressure to hot water system and control unit
Check integrity of gas isolation valve at hot water system
Check power supply to hot water system using testing pen
Check electrical box (IF REQUIRED)
Check circuit switch (IF REQUIRED)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will apply.</t>
        </r>
      </text>
    </comment>
    <comment ref="G507" authorId="0" shapeId="0" xr:uid="{C3E3C836-4397-46D2-9F6F-043FC746A76A}">
      <text>
        <r>
          <rPr>
            <sz val="11"/>
            <color theme="1"/>
            <rFont val="Aptos Narrow"/>
            <family val="2"/>
            <scheme val="minor"/>
          </rPr>
          <t>Unknown User:
SUPPLY &amp; INSTALLATION OF GAS STORAGE HOT WATER SYSTEM (EXTERNAL)
Isolate main water supply to property
Isolate main gas supply to property
Disconnect main gas supply to existing hot water system
Disconnect main cold-water supply to existing gas hot water system
Disconnect main hot water supply to existing gas hot water system
Disconnect existing plumbing connecting to existing gas hot water system
Drain existing gas hot water system
Removal of existing gas hot water system
Removal of existing brass fittings
Disconnect &amp; removal existing section of gas service connecting to existing internal hot water system
Disconnect &amp; removal of existing section of cold-water supply connecting to existing gas hot water system
Disconnect &amp; removal of existing section of hot supply connecting to existing section of gas hot water system
Clean &amp; prepare worked area
Supply &amp; install new external gas storage hot water system
Supply &amp; install new gas emergency isolation valve
Supply &amp; install new duo valve
Supply &amp; install new pressure limiting valve
Supply &amp; install tempering valve
Supply &amp; install new pressure relief valve
Supply &amp; install new B-press fittings
Supply &amp; install new Brass fittings
Supply &amp; install new section of copper gas service &amp; connect to new gas storage hot water system
Supply &amp; install new section of cold-water service &amp; connect to new gas storage hot water system
Supply &amp; install new section of hot water copper service &amp; connect to new gas storage hot water system
Supply &amp; install new pressure relief valve drain service in copper in accordance with AS3500
Reinstate main water supply to property
Reinstate main gas supply to property
Test &amp; commission installation
Removal of trade waste
PLEASE NOTE IF FURTHER WORK REQUIRED OUTSIDE OF QUOTED WORKS ADDITIONAL COSTS WILL APPLY</t>
        </r>
      </text>
    </comment>
    <comment ref="G508" authorId="0" shapeId="0" xr:uid="{E128F584-7BE8-4FEA-BD15-D33DE7A6C963}">
      <text>
        <r>
          <rPr>
            <sz val="11"/>
            <color theme="1"/>
            <rFont val="Aptos Narrow"/>
            <family val="2"/>
            <scheme val="minor"/>
          </rPr>
          <t>Unknown User:
SUPPLY &amp; INSTALLATION OF SINGLE BOWL UNDER-MOUNT KITCHEN SINK
Isolate main water supply to kitchen mixer
Disconnect cold water supply to kitchen mixer
Disconnect hot water supply to kitchen mixer
Disconnect &amp; removal of existing kitchen mixer
Disconnect existing drainage to kitchen sink
Disconnect &amp; removal of existing S&amp;P Trap
Disconnect &amp; removal of existing kitchen sink
Disconnect &amp; removal of old sealant
Clean &amp; prepare worked area
Supply &amp; install new single bowl UNDER-MOUNT  kitchen sink
Seal new kitchen sink to kitchen bench top
Secure new kitchen sink to existing bench top
Supply &amp; install new cold water emergency isolation valve
Supply &amp; install new hot water emergency isolation valve
Supply &amp; install new plug &amp; waste
Supply &amp; install new S&amp;P Trap
Supply &amp; install new section of drainage
Supply &amp; install new PVC fittings
Connect new drainage to new kitchen sink
Connect new drainage to existing drainage
Supply &amp; install new kitchen mixer
Secure new kitchen mixer
Supply &amp; install new cold-water stainless-steel flexi hose
Supply &amp; install new hot water stainless steel flexi hose
Connect cold water supply to new kitchen mixer
Connect hot water supply to new kitchen mixer
Reinstate cold water supply
Reinstate hot water supply
Test &amp; commission installation
Removal of trade waste
PLEASE NOTE IF FURTHER WORK REQUIRED OTHER THEN QUOTED WORK FURTHER COST WILL APPLY</t>
        </r>
      </text>
    </comment>
    <comment ref="G509" authorId="0" shapeId="0" xr:uid="{75652F80-17C5-42A4-B1D8-07EF02355AED}">
      <text>
        <r>
          <rPr>
            <sz val="11"/>
            <color theme="1"/>
            <rFont val="Aptos Narrow"/>
            <family val="2"/>
            <scheme val="minor"/>
          </rPr>
          <t>Unknown User:
SEARCH &amp; INVESTIGATION OF GAS STORAGE HOT WATER SYSTEM
Gain access to gas hot water system
Gain access to main gas isolation valve to property
Test gas supply with specialist manometer device
Visually inspect gas supply and fittings to hot water system
Use soapy spray on fittings and pipework
Check gas supply pressure to hot water system and control unit
Check integrity of gas isolation valve at hot water system
Check power supply to hot water system using testing pen
Check electrical box (IF REQUIRED)
Check circuit switch (IF REQUIRED)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will apply.</t>
        </r>
      </text>
    </comment>
    <comment ref="G510" authorId="0" shapeId="0" xr:uid="{3ECA386C-7EBA-4FE7-A44B-B6A96D900D73}">
      <text>
        <r>
          <rPr>
            <sz val="11"/>
            <color theme="1"/>
            <rFont val="Aptos Narrow"/>
            <family val="2"/>
            <scheme val="minor"/>
          </rPr>
          <t>Unknown User:
REPLACEMENT OF EXISTING OVERFLOW GULLY &amp; UP TO 1M OF MAIN SEWER SERVICE
Obtain Dial Before Dig
Obtain Service Location Diagram
Set Up Safe Work Area
Set Up Builders Plastic
Set Up Barricades for Safety
Dig &amp; Excavate Ground Area Up to 1M
Expose Existing Section of Sewer Service Up to 1M
Expose Existing Sewer Overflow Relief Gully
Expose Existing Sewer Junctions
Cut &amp; Remove Existing Section of Sewer Service Up to 1M
Cut &amp; Remove Existing Overflow Relief Gully
Cut &amp; Remove Existing Sewer Junctions
Gain Access to Sewer Service
Set Up High-Powered Jet Blaster
Set Up High-Powered Mini Reel
Set Up High-Powered Turbines
Re-Jetblast Sewer Service
Re-Camera &amp; Investigate Further
Supply &amp; Install New Section of Sewer Service Up to 1M
Supply &amp; Install New Sewer Overflow Relief Gully
Supply &amp; Install New Sewer Junctions
Supply &amp; Install New I/O Inspection Point
Supply &amp; Install New BTS and Raise to Ground Level
Supply &amp; Install New PVC Fittings
Connect New Sewer Overflow Relief Gully to Connection point
Connect New Section of Sewer Service to Existing Sewer Service
Concrete Encase New Connections to Existing Sewer Service
Encase New Section of Sewer Service with Blue Metal
Backfill Excavated Area
Test &amp; Commission Installation
Remove Trade Waste
Restore Work Area (Excludes Returfing)
PLEASE NOTE IF FURTHER WORK REQUIRED OTHER THEN QUOTED WORK FURTHER COST WILL APPLY</t>
        </r>
      </text>
    </comment>
    <comment ref="G512" authorId="0" shapeId="0" xr:uid="{B325DE5A-0D17-4C40-AFC7-F66474ADBDF9}">
      <text>
        <r>
          <rPr>
            <sz val="11"/>
            <color theme="1"/>
            <rFont val="Aptos Narrow"/>
            <family val="2"/>
            <scheme val="minor"/>
          </rPr>
          <t>Unknown User:
SUPPLY AND INSTALLATION OF WHITE PVC P TRAP TO FLOOR WASTE</t>
        </r>
      </text>
    </comment>
    <comment ref="G513" authorId="0" shapeId="0" xr:uid="{2E0696E0-B28F-45E0-8F87-A7FDED36C476}">
      <text>
        <r>
          <rPr>
            <sz val="11"/>
            <color theme="1"/>
            <rFont val="Aptos Narrow"/>
            <family val="2"/>
            <scheme val="minor"/>
          </rPr>
          <t>Unknown User:
SEARCH &amp; INVESTIGATION OF GAS STORAGE HOT WATER SYSTEM</t>
        </r>
      </text>
    </comment>
    <comment ref="G514" authorId="0" shapeId="0" xr:uid="{DE17D825-6378-4CB3-936B-A97B63CA35D2}">
      <text>
        <r>
          <rPr>
            <sz val="11"/>
            <color theme="1"/>
            <rFont val="Aptos Narrow"/>
            <family val="2"/>
            <scheme val="minor"/>
          </rPr>
          <t>Unknown User:
RECTIFICATION OF IN WALL SHOWER BREACH</t>
        </r>
      </text>
    </comment>
    <comment ref="G515" authorId="0" shapeId="0" xr:uid="{08D38603-AFDE-4F43-BB45-EE6C50D2D275}">
      <text>
        <r>
          <rPr>
            <sz val="11"/>
            <color theme="1"/>
            <rFont val="Aptos Narrow"/>
            <family val="2"/>
            <scheme val="minor"/>
          </rPr>
          <t xml:space="preserve">Unknown User:
COMPLETE SERVICE OF WALL TOP TAPS ASSEMBLY
</t>
        </r>
      </text>
    </comment>
    <comment ref="G516" authorId="0" shapeId="0" xr:uid="{EF2264FF-3BDB-4D00-881E-72405ED8ECC2}">
      <text>
        <r>
          <rPr>
            <sz val="11"/>
            <color theme="1"/>
            <rFont val="Aptos Narrow"/>
            <family val="2"/>
            <scheme val="minor"/>
          </rPr>
          <t>Unknown User:
SUSPENDED SEWER SERVICE REPLACEMENT UP TO 1.5M</t>
        </r>
      </text>
    </comment>
    <comment ref="G517" authorId="0" shapeId="0" xr:uid="{516118C4-C56D-4546-AD30-E409F06BE45A}">
      <text>
        <r>
          <rPr>
            <sz val="11"/>
            <color theme="1"/>
            <rFont val="Aptos Narrow"/>
            <family val="2"/>
            <scheme val="minor"/>
          </rPr>
          <t>Unknown User:
SUPPLY &amp; INSTALLATION OF SPACE HEATER</t>
        </r>
      </text>
    </comment>
    <comment ref="G549" authorId="0" shapeId="0" xr:uid="{61727566-4DEE-4AA6-88E0-4624380EDE54}">
      <text>
        <r>
          <rPr>
            <sz val="11"/>
            <color theme="1"/>
            <rFont val="Aptos Narrow"/>
            <family val="2"/>
            <scheme val="minor"/>
          </rPr>
          <t>Unknown User:
SEARCH &amp; INVESTIGATION OF POTENTIAL GAS LEAK</t>
        </r>
      </text>
    </comment>
    <comment ref="P549" authorId="0" shapeId="0" xr:uid="{B67541AC-B372-4B42-B9D4-F64E0064EE36}">
      <text>
        <r>
          <rPr>
            <sz val="11"/>
            <color theme="1"/>
            <rFont val="Aptos Narrow"/>
            <family val="2"/>
            <scheme val="minor"/>
          </rPr>
          <t>Unknown User:
Quote not emailed</t>
        </r>
      </text>
    </comment>
    <comment ref="S549" authorId="0" shapeId="0" xr:uid="{C98BA329-696C-43D7-8B8F-EA5361CDE301}">
      <text>
        <r>
          <rPr>
            <sz val="11"/>
            <color theme="1"/>
            <rFont val="Aptos Narrow"/>
            <family val="2"/>
            <scheme val="minor"/>
          </rPr>
          <t>Unknown User:
Final zero due invoice not emailed</t>
        </r>
      </text>
    </comment>
    <comment ref="G550" authorId="0" shapeId="0" xr:uid="{D8F85E2E-80EC-4E11-A059-B3EDE39F41E0}">
      <text>
        <r>
          <rPr>
            <sz val="11"/>
            <color theme="1"/>
            <rFont val="Aptos Narrow"/>
            <family val="2"/>
            <scheme val="minor"/>
          </rPr>
          <t>Unknown User:
RECTIFICATION OF GAS SERVICE (EXPOSED)</t>
        </r>
      </text>
    </comment>
    <comment ref="M550" authorId="0" shapeId="0" xr:uid="{FBB8B1DF-30B9-4A48-8CF7-CF433F627F99}">
      <text>
        <r>
          <rPr>
            <sz val="11"/>
            <color theme="1"/>
            <rFont val="Aptos Narrow"/>
            <family val="2"/>
            <scheme val="minor"/>
          </rPr>
          <t>Unknown User:
Smartpay receipt of $486 not uploaded by plumber.
Uploaded by Modoras team.</t>
        </r>
      </text>
    </comment>
    <comment ref="P550" authorId="0" shapeId="0" xr:uid="{30C276FA-96CF-4A57-B999-4E244B482E8B}">
      <text>
        <r>
          <rPr>
            <sz val="11"/>
            <color theme="1"/>
            <rFont val="Aptos Narrow"/>
            <family val="2"/>
            <scheme val="minor"/>
          </rPr>
          <t>Unknown User:
Quote not emailed</t>
        </r>
      </text>
    </comment>
    <comment ref="U550" authorId="0" shapeId="0" xr:uid="{339EF6CC-A23D-4580-A69E-A0AE109B5AD0}">
      <text>
        <r>
          <rPr>
            <sz val="11"/>
            <color theme="1"/>
            <rFont val="Aptos Narrow"/>
            <family val="2"/>
            <scheme val="minor"/>
          </rPr>
          <t>Unknown User:
4/8-As per Tolga's note "Gas tested no leaks
Need to come back for a carbon monoxide test on gas heater gas gas lines was altered"</t>
        </r>
      </text>
    </comment>
    <comment ref="G551" authorId="0" shapeId="0" xr:uid="{615BE3D0-52A2-4405-9557-93DB1BF08F1B}">
      <text>
        <r>
          <rPr>
            <sz val="11"/>
            <color theme="1"/>
            <rFont val="Aptos Narrow"/>
            <family val="2"/>
            <scheme val="minor"/>
          </rPr>
          <t xml:space="preserve">Unknown User:
HIGH POWERED SUCTION &amp; ACID TREATMENT
EMERGENCY ISOLATION VALVE - COMBO
</t>
        </r>
      </text>
    </comment>
    <comment ref="P551" authorId="0" shapeId="0" xr:uid="{EE2DC7B9-11E1-49D5-81C8-80CE6CBB40CD}">
      <text>
        <r>
          <rPr>
            <sz val="11"/>
            <color theme="1"/>
            <rFont val="Aptos Narrow"/>
            <family val="2"/>
            <scheme val="minor"/>
          </rPr>
          <t>Unknown User:
Quote not emailed</t>
        </r>
      </text>
    </comment>
    <comment ref="S551" authorId="0" shapeId="0" xr:uid="{597AE88D-2CD2-497A-BCB3-832E664C5471}">
      <text>
        <r>
          <rPr>
            <sz val="11"/>
            <color theme="1"/>
            <rFont val="Aptos Narrow"/>
            <family val="2"/>
            <scheme val="minor"/>
          </rPr>
          <t>Unknown User:
Signed copy not emailed</t>
        </r>
      </text>
    </comment>
    <comment ref="G552" authorId="0" shapeId="0" xr:uid="{36E2C2C0-5B5A-4144-A2EF-D761111B62B1}">
      <text>
        <r>
          <rPr>
            <sz val="11"/>
            <color theme="1"/>
            <rFont val="Aptos Narrow"/>
            <family val="2"/>
            <scheme val="minor"/>
          </rPr>
          <t>Unknown User:
SEARCH AND INVESTIGATION OF ELECTRIC STORAGE HOT WATER SYSTEM</t>
        </r>
      </text>
    </comment>
    <comment ref="P552" authorId="0" shapeId="0" xr:uid="{36D1F4FA-35A9-4E69-91C1-2BE73D9FE334}">
      <text>
        <r>
          <rPr>
            <sz val="11"/>
            <color theme="1"/>
            <rFont val="Aptos Narrow"/>
            <family val="2"/>
            <scheme val="minor"/>
          </rPr>
          <t>Unknown User:
Quote not emailed</t>
        </r>
      </text>
    </comment>
    <comment ref="G553" authorId="0" shapeId="0" xr:uid="{FD651F31-5DEB-47BD-B3F4-350929E3510D}">
      <text>
        <r>
          <rPr>
            <sz val="11"/>
            <color theme="1"/>
            <rFont val="Aptos Narrow"/>
            <family val="2"/>
            <scheme val="minor"/>
          </rPr>
          <t xml:space="preserve">Unknown User:
SUPPLY &amp; INSTALLATION OF NEW SINGLE ELEMENT HOT WATER UNIT – INTERNAL
$65 First Service Discount </t>
        </r>
      </text>
    </comment>
    <comment ref="N553" authorId="0" shapeId="0" xr:uid="{4417B7B0-CE1C-49A9-8EB1-13C5CB26A258}">
      <text>
        <r>
          <rPr>
            <sz val="11"/>
            <color theme="1"/>
            <rFont val="Aptos Narrow"/>
            <family val="2"/>
            <scheme val="minor"/>
          </rPr>
          <t>Unknown User:
Quote raised in Job #71962</t>
        </r>
      </text>
    </comment>
    <comment ref="P553" authorId="0" shapeId="0" xr:uid="{0EDBE566-C783-4160-A504-EB22F52A8F6B}">
      <text>
        <r>
          <rPr>
            <sz val="11"/>
            <color theme="1"/>
            <rFont val="Aptos Narrow"/>
            <family val="2"/>
            <scheme val="minor"/>
          </rPr>
          <t>Unknown User:
Quote not emailed</t>
        </r>
      </text>
    </comment>
    <comment ref="G554" authorId="0" shapeId="0" xr:uid="{570CABE7-899C-4285-BC7C-B428F2034027}">
      <text>
        <r>
          <rPr>
            <sz val="11"/>
            <color theme="1"/>
            <rFont val="Aptos Narrow"/>
            <family val="2"/>
            <scheme val="minor"/>
          </rPr>
          <t>Unknown User:
SEARCH AND INVESTIGATION OF GAS INSTANTANEOUS HOT WATER SYSTEM</t>
        </r>
      </text>
    </comment>
    <comment ref="P554" authorId="0" shapeId="0" xr:uid="{623263D8-C3F8-4A9D-A30B-46A4C974B6EE}">
      <text>
        <r>
          <rPr>
            <sz val="11"/>
            <color theme="1"/>
            <rFont val="Aptos Narrow"/>
            <family val="2"/>
            <scheme val="minor"/>
          </rPr>
          <t>Unknown User:
Quote not emailed</t>
        </r>
      </text>
    </comment>
    <comment ref="G555" authorId="0" shapeId="0" xr:uid="{318772B5-2F72-4E5D-9F30-4CA53AF7CC0B}">
      <text>
        <r>
          <rPr>
            <sz val="11"/>
            <color theme="1"/>
            <rFont val="Aptos Narrow"/>
            <family val="2"/>
            <scheme val="minor"/>
          </rPr>
          <t>Unknown User:
MIXER TAP - GOOSE NECK
Customer Satisfaction</t>
        </r>
      </text>
    </comment>
    <comment ref="L555" authorId="0" shapeId="0" xr:uid="{CDC2569A-58C5-48D1-929C-18BE3E4AD637}">
      <text>
        <r>
          <rPr>
            <sz val="11"/>
            <color theme="1"/>
            <rFont val="Aptos Narrow"/>
            <family val="2"/>
            <scheme val="minor"/>
          </rPr>
          <t xml:space="preserve">Unknown User:
After pics are not satisfactory.
Testing/commission of tap is not performed. </t>
        </r>
      </text>
    </comment>
    <comment ref="P555" authorId="0" shapeId="0" xr:uid="{4E30EC68-4DAD-476E-94B1-D18783C850A5}">
      <text>
        <r>
          <rPr>
            <sz val="11"/>
            <color theme="1"/>
            <rFont val="Aptos Narrow"/>
            <family val="2"/>
            <scheme val="minor"/>
          </rPr>
          <t>Unknown User:
Quote not emailed</t>
        </r>
      </text>
    </comment>
    <comment ref="R555" authorId="0" shapeId="0" xr:uid="{EFE56896-D898-4DC0-90EF-CDE393E6692A}">
      <text>
        <r>
          <rPr>
            <sz val="11"/>
            <color theme="1"/>
            <rFont val="Aptos Narrow"/>
            <family val="2"/>
            <scheme val="minor"/>
          </rPr>
          <t>Unknown User:
Sign not obtained from customer</t>
        </r>
      </text>
    </comment>
    <comment ref="G556" authorId="0" shapeId="0" xr:uid="{541FE47D-9622-4B1E-9CE2-173669ECE91B}">
      <text>
        <r>
          <rPr>
            <sz val="11"/>
            <color theme="1"/>
            <rFont val="Aptos Narrow"/>
            <family val="2"/>
            <scheme val="minor"/>
          </rPr>
          <t>Unknown User:
SUPPLY AND INSTALLATION OF TRAP TO SINK OR LAUNDRY TUB - WHITE PVC</t>
        </r>
      </text>
    </comment>
    <comment ref="P556" authorId="0" shapeId="0" xr:uid="{BE886C93-1F59-4DD7-A882-AADA6B918406}">
      <text>
        <r>
          <rPr>
            <sz val="11"/>
            <color theme="1"/>
            <rFont val="Aptos Narrow"/>
            <family val="2"/>
            <scheme val="minor"/>
          </rPr>
          <t>Unknown User:
Quote not emailed</t>
        </r>
      </text>
    </comment>
    <comment ref="G557" authorId="0" shapeId="0" xr:uid="{0B3C22FC-7856-47A8-B895-F67990528AD2}">
      <text>
        <r>
          <rPr>
            <sz val="11"/>
            <color theme="1"/>
            <rFont val="Aptos Narrow"/>
            <family val="2"/>
            <scheme val="minor"/>
          </rPr>
          <t>Unknown User:
REPLACEMENT OF EXISTING GOOSE NECK KITCHEN MIXER (CUSTOMER SUPPLIED)</t>
        </r>
      </text>
    </comment>
    <comment ref="P557" authorId="0" shapeId="0" xr:uid="{FD40F9D7-EA4F-428E-9667-746CF1C64689}">
      <text>
        <r>
          <rPr>
            <sz val="11"/>
            <color theme="1"/>
            <rFont val="Aptos Narrow"/>
            <family val="2"/>
            <scheme val="minor"/>
          </rPr>
          <t>Unknown User:
Quote not emailed</t>
        </r>
      </text>
    </comment>
    <comment ref="G558" authorId="0" shapeId="0" xr:uid="{C9A72602-4379-422A-9AE7-324D37832C55}">
      <text>
        <r>
          <rPr>
            <sz val="11"/>
            <color theme="1"/>
            <rFont val="Aptos Narrow"/>
            <family val="2"/>
            <scheme val="minor"/>
          </rPr>
          <t>Unknown User:
DISCONNECT &amp; DRAIN ELECTRIC STORAGE HWS</t>
        </r>
      </text>
    </comment>
    <comment ref="P558" authorId="0" shapeId="0" xr:uid="{D7F924B3-CAEB-4BC7-92E4-96B2ACBBC7B3}">
      <text>
        <r>
          <rPr>
            <sz val="11"/>
            <color theme="1"/>
            <rFont val="Aptos Narrow"/>
            <family val="2"/>
            <scheme val="minor"/>
          </rPr>
          <t>Unknown User:
Quote not emailed</t>
        </r>
      </text>
    </comment>
    <comment ref="Q558" authorId="0" shapeId="0" xr:uid="{51CD34BE-BC9A-4F60-9F2F-000FAA2172C5}">
      <text>
        <r>
          <rPr>
            <sz val="11"/>
            <color theme="1"/>
            <rFont val="Aptos Narrow"/>
            <family val="2"/>
            <scheme val="minor"/>
          </rPr>
          <t>Unknown User:
Final invoice not raised</t>
        </r>
      </text>
    </comment>
    <comment ref="G559" authorId="0" shapeId="0" xr:uid="{71A433EE-AE52-4D92-99C5-37CFF8CD76BA}">
      <text>
        <r>
          <rPr>
            <sz val="11"/>
            <color theme="1"/>
            <rFont val="Aptos Narrow"/>
            <family val="2"/>
            <scheme val="minor"/>
          </rPr>
          <t>Unknown User:
SEARCH AND INVESTIGATION OF ELECTRIC STORAGE HOT WATER SYSTEM</t>
        </r>
      </text>
    </comment>
    <comment ref="P559" authorId="0" shapeId="0" xr:uid="{0153C9AB-AB1C-4794-931C-794B714C7463}">
      <text>
        <r>
          <rPr>
            <sz val="11"/>
            <color theme="1"/>
            <rFont val="Aptos Narrow"/>
            <family val="2"/>
            <scheme val="minor"/>
          </rPr>
          <t>Unknown User:
Quote not emailed</t>
        </r>
      </text>
    </comment>
    <comment ref="G560" authorId="0" shapeId="0" xr:uid="{58B14FC1-B7AB-4F65-AEE0-C5609F28955E}">
      <text>
        <r>
          <rPr>
            <sz val="11"/>
            <color theme="1"/>
            <rFont val="Aptos Narrow"/>
            <family val="2"/>
            <scheme val="minor"/>
          </rPr>
          <t>Unknown User:
SUPPLY AND INSTALLATION OF RIGHT-ANGLED PRESSURE REGULATING DEVICE FITTED TO 20MM STRAIGHT PIPEWORK</t>
        </r>
      </text>
    </comment>
    <comment ref="P560" authorId="0" shapeId="0" xr:uid="{F5465CF5-E594-4DF7-822E-9F3D5B5F0463}">
      <text>
        <r>
          <rPr>
            <sz val="11"/>
            <color theme="1"/>
            <rFont val="Aptos Narrow"/>
            <family val="2"/>
            <scheme val="minor"/>
          </rPr>
          <t>Unknown User:
Quote not emailed</t>
        </r>
      </text>
    </comment>
    <comment ref="U560" authorId="0" shapeId="0" xr:uid="{63F38C3B-157C-4D1E-BBCA-8683AD03DFE4}">
      <text>
        <r>
          <rPr>
            <sz val="11"/>
            <color theme="1"/>
            <rFont val="Aptos Narrow"/>
            <family val="2"/>
            <scheme val="minor"/>
          </rPr>
          <t>Unknown User:
12/8 refund of full amount initiated for customner satisfaction</t>
        </r>
      </text>
    </comment>
    <comment ref="G561" authorId="0" shapeId="0" xr:uid="{5F21B86A-0E6B-4E16-B280-3E789EB51877}">
      <text>
        <r>
          <rPr>
            <sz val="11"/>
            <color theme="1"/>
            <rFont val="Aptos Narrow"/>
            <family val="2"/>
            <scheme val="minor"/>
          </rPr>
          <t>Unknown User:
SUPPLY &amp; INSTALLATION OF NEW WALL FACED TOILET SUITE
SEARCH AND INVESTIGATION OF GAS INSTANTANEOUS HOT WATER SYSTEM</t>
        </r>
      </text>
    </comment>
    <comment ref="G566" authorId="0" shapeId="0" xr:uid="{257AD5B7-CBED-4A37-878D-72F3FCF78C48}">
      <text>
        <r>
          <rPr>
            <sz val="11"/>
            <color theme="1"/>
            <rFont val="Aptos Narrow"/>
            <family val="2"/>
            <scheme val="minor"/>
          </rPr>
          <t xml:space="preserve">Unknown User:
COMPLETE SERVICE OF IN WALL TOILET CISTERN
</t>
        </r>
      </text>
    </comment>
    <comment ref="V566" authorId="0" shapeId="0" xr:uid="{B20048DB-94AD-4F21-AA69-E75D2F54CFDF}">
      <text>
        <r>
          <rPr>
            <sz val="11"/>
            <color theme="1"/>
            <rFont val="Aptos Narrow"/>
            <family val="2"/>
            <scheme val="minor"/>
          </rPr>
          <t>Unknown User:
05/08 Received $1843.10 Card</t>
        </r>
      </text>
    </comment>
    <comment ref="G570" authorId="0" shapeId="0" xr:uid="{3AE9C56B-DEF1-4D64-9D49-8B64110F7C26}">
      <text>
        <r>
          <rPr>
            <sz val="11"/>
            <color theme="1"/>
            <rFont val="Aptos Narrow"/>
            <family val="2"/>
            <scheme val="minor"/>
          </rPr>
          <t>Unknown User:
REPLACEMENT OF BASIN SET</t>
        </r>
      </text>
    </comment>
    <comment ref="P570" authorId="0" shapeId="0" xr:uid="{DE9881DB-71EA-4C7B-A34D-8964156D84FE}">
      <text>
        <r>
          <rPr>
            <sz val="11"/>
            <color theme="1"/>
            <rFont val="Aptos Narrow"/>
            <family val="2"/>
            <scheme val="minor"/>
          </rPr>
          <t>Unknown User:
Quote not emailed</t>
        </r>
      </text>
    </comment>
    <comment ref="S570" authorId="0" shapeId="0" xr:uid="{1726EDA2-EDAC-4938-B1C9-22B1AFA97E7B}">
      <text>
        <r>
          <rPr>
            <sz val="11"/>
            <color theme="1"/>
            <rFont val="Aptos Narrow"/>
            <family val="2"/>
            <scheme val="minor"/>
          </rPr>
          <t>Unknown User:
Final invoice not emailed</t>
        </r>
      </text>
    </comment>
    <comment ref="V570" authorId="0" shapeId="0" xr:uid="{573B51B3-8819-4F52-AAD9-AED5D165F2A0}">
      <text>
        <r>
          <rPr>
            <sz val="11"/>
            <color theme="1"/>
            <rFont val="Aptos Narrow"/>
            <family val="2"/>
            <scheme val="minor"/>
          </rPr>
          <t>Unknown User:
Short receipt by $30</t>
        </r>
      </text>
    </comment>
    <comment ref="G574" authorId="0" shapeId="0" xr:uid="{6A624B94-8C32-4F8B-A6AA-8A3AC6616137}">
      <text>
        <r>
          <rPr>
            <sz val="11"/>
            <color theme="1"/>
            <rFont val="Aptos Narrow"/>
            <family val="2"/>
            <scheme val="minor"/>
          </rPr>
          <t>Unknown User:
HIGH POWERED JET BLAST &amp; CCTV CAMERA INSPECTION (GAIN ACCESS FROM VENT)
Locate main sewer vent
Cut out section of sewer vent
Gain access to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section of sewer vent using specialist repair coupling
Test &amp; commission installation
PLEASE NOTE IF BLOCKAGE DOES NOT CLEAR FURTHER COST WILL APPLY. THIS IS A FIRST ATTEMPT.</t>
        </r>
      </text>
    </comment>
    <comment ref="P574" authorId="0" shapeId="0" xr:uid="{4CFDB178-998E-43BC-A562-CA3AA4A28F48}">
      <text>
        <r>
          <rPr>
            <sz val="11"/>
            <color theme="1"/>
            <rFont val="Aptos Narrow"/>
            <family val="2"/>
            <scheme val="minor"/>
          </rPr>
          <t>Unknown User:
Quote not emailed</t>
        </r>
      </text>
    </comment>
    <comment ref="S574" authorId="0" shapeId="0" xr:uid="{5DF42664-E3F0-41A0-835B-FF7622B35C49}">
      <text>
        <r>
          <rPr>
            <sz val="11"/>
            <color theme="1"/>
            <rFont val="Aptos Narrow"/>
            <family val="2"/>
            <scheme val="minor"/>
          </rPr>
          <t>Unknown User:
Invoice not emailed</t>
        </r>
      </text>
    </comment>
    <comment ref="G575" authorId="0" shapeId="0" xr:uid="{7D1BB07E-1484-4E6E-B319-6FB9EEDE443B}">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575" authorId="0" shapeId="0" xr:uid="{B6C4D554-4A32-4150-B411-FAF4759EC94E}">
      <text>
        <r>
          <rPr>
            <sz val="11"/>
            <color theme="1"/>
            <rFont val="Aptos Narrow"/>
            <family val="2"/>
            <scheme val="minor"/>
          </rPr>
          <t>Unknown User:
Quote not Emailed</t>
        </r>
      </text>
    </comment>
    <comment ref="G576" authorId="0" shapeId="0" xr:uid="{C8808B8F-42AE-4FCA-8CBD-78546B88B03E}">
      <text>
        <r>
          <rPr>
            <sz val="11"/>
            <color theme="1"/>
            <rFont val="Aptos Narrow"/>
            <family val="2"/>
            <scheme val="minor"/>
          </rPr>
          <t xml:space="preserve">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
CONTINUATION OF SERVICES </t>
        </r>
      </text>
    </comment>
    <comment ref="N576" authorId="0" shapeId="0" xr:uid="{B1F0ED02-F701-48C8-BFD9-208B8923250C}">
      <text>
        <r>
          <rPr>
            <sz val="11"/>
            <color theme="1"/>
            <rFont val="Aptos Narrow"/>
            <family val="2"/>
            <scheme val="minor"/>
          </rPr>
          <t>Unknown User:
Quote raised in job #71681</t>
        </r>
      </text>
    </comment>
    <comment ref="P576" authorId="0" shapeId="0" xr:uid="{CFA1D003-351A-49E3-9FCE-DA608F9D7963}">
      <text>
        <r>
          <rPr>
            <sz val="11"/>
            <color theme="1"/>
            <rFont val="Aptos Narrow"/>
            <family val="2"/>
            <scheme val="minor"/>
          </rPr>
          <t>Unknown User:
Quote not emailed</t>
        </r>
      </text>
    </comment>
    <comment ref="Q576" authorId="0" shapeId="0" xr:uid="{73A4D5CF-0173-45BF-92C3-3CC93E1C20FB}">
      <text>
        <r>
          <rPr>
            <sz val="11"/>
            <color theme="1"/>
            <rFont val="Aptos Narrow"/>
            <family val="2"/>
            <scheme val="minor"/>
          </rPr>
          <t>Unknown User:
Final invoice not raised</t>
        </r>
      </text>
    </comment>
    <comment ref="U576" authorId="0" shapeId="0" xr:uid="{1ED8AFCC-DE99-4999-9A32-734F2D98F979}">
      <text>
        <r>
          <rPr>
            <sz val="11"/>
            <color theme="1"/>
            <rFont val="Aptos Narrow"/>
            <family val="2"/>
            <scheme val="minor"/>
          </rPr>
          <t>Unknown User:
23/7-As per Alex's note "Previous invoices weren't taken off on the total and the system didn't match what she paid so I took what she said was left from her end. Please confirm if there is more needed to be taken. I tried my best
"</t>
        </r>
      </text>
    </comment>
    <comment ref="G577" authorId="0" shapeId="0" xr:uid="{7F89D1A5-1678-416A-9D49-1C74128F6E74}">
      <text>
        <r>
          <rPr>
            <sz val="11"/>
            <color theme="1"/>
            <rFont val="Aptos Narrow"/>
            <family val="2"/>
            <scheme val="minor"/>
          </rPr>
          <t>Unknown User:
COMMERCIAL HIGH POWERED JETBLAST &amp; CCTV DRAIN CAMERA INSPECTION</t>
        </r>
      </text>
    </comment>
    <comment ref="P577" authorId="0" shapeId="0" xr:uid="{83487763-3398-457E-B92E-028028DFF2BE}">
      <text>
        <r>
          <rPr>
            <sz val="11"/>
            <color theme="1"/>
            <rFont val="Aptos Narrow"/>
            <family val="2"/>
            <scheme val="minor"/>
          </rPr>
          <t xml:space="preserve">Unknown User:
Quote not emailed
</t>
        </r>
      </text>
    </comment>
    <comment ref="G583" authorId="0" shapeId="0" xr:uid="{E8FC1F6A-2072-4526-95F6-29FBA192927D}">
      <text>
        <r>
          <rPr>
            <sz val="11"/>
            <color theme="1"/>
            <rFont val="Aptos Narrow"/>
            <family val="2"/>
            <scheme val="minor"/>
          </rPr>
          <t xml:space="preserve">Unknown User:
INSTALLATION OF DISHWASHER [SAME LOCATION] (CUSTOMER SUPPLIED)
</t>
        </r>
      </text>
    </comment>
    <comment ref="P583" authorId="0" shapeId="0" xr:uid="{381F19A3-AC82-40E5-AA67-1CB24CF35E9E}">
      <text>
        <r>
          <rPr>
            <sz val="11"/>
            <color theme="1"/>
            <rFont val="Aptos Narrow"/>
            <family val="2"/>
            <scheme val="minor"/>
          </rPr>
          <t>Unknown User:
Quote not emailed</t>
        </r>
      </text>
    </comment>
    <comment ref="G584" authorId="0" shapeId="0" xr:uid="{B23C45E2-6455-47DA-9BA7-BBDF7B452847}">
      <text>
        <r>
          <rPr>
            <sz val="11"/>
            <color theme="1"/>
            <rFont val="Aptos Narrow"/>
            <family val="2"/>
            <scheme val="minor"/>
          </rPr>
          <t>Unknown User:
SUPPLY AND INSTALLATION OF PRESSURE REGULATING DEVICE FITTED TO 20MM STRAIGHT PIPEWORK</t>
        </r>
      </text>
    </comment>
    <comment ref="P584" authorId="0" shapeId="0" xr:uid="{D88A73AE-4F3B-4E55-91B0-D796E67446E4}">
      <text>
        <r>
          <rPr>
            <sz val="11"/>
            <color theme="1"/>
            <rFont val="Aptos Narrow"/>
            <family val="2"/>
            <scheme val="minor"/>
          </rPr>
          <t>Unknown User:
Quote not emailed</t>
        </r>
      </text>
    </comment>
    <comment ref="G588" authorId="0" shapeId="0" xr:uid="{394E708A-2389-48CA-80D4-AB6FA3122D32}">
      <text>
        <r>
          <rPr>
            <sz val="11"/>
            <color theme="1"/>
            <rFont val="Aptos Narrow"/>
            <family val="2"/>
            <scheme val="minor"/>
          </rPr>
          <t>Unknown User:
CCTV DRAIN CAMERA INSPECTION OF SEWER SERVICE
CCTV DRAIN CAMERA INSPECTION OF STORM WATER SERVICE</t>
        </r>
      </text>
    </comment>
    <comment ref="G589" authorId="0" shapeId="0" xr:uid="{2AB854B6-1421-4C5A-87A6-A4C9BBD2B675}">
      <text>
        <r>
          <rPr>
            <sz val="11"/>
            <color theme="1"/>
            <rFont val="Aptos Narrow"/>
            <family val="2"/>
            <scheme val="minor"/>
          </rPr>
          <t>Unknown User:
DECOMMISSION OF RAIN WATER TANK</t>
        </r>
      </text>
    </comment>
    <comment ref="G590" authorId="0" shapeId="0" xr:uid="{218D075D-29DD-4DB1-B793-18C2E50A956F}">
      <text>
        <r>
          <rPr>
            <sz val="11"/>
            <color theme="1"/>
            <rFont val="Aptos Narrow"/>
            <family val="2"/>
            <scheme val="minor"/>
          </rPr>
          <t>Unknown User:
COMPLETE SERVICE OF WALL TOP TAPS ASSEMBLY
REPLACEMENT OF HAND-HELD SHOWER ROSE</t>
        </r>
      </text>
    </comment>
    <comment ref="G591" authorId="0" shapeId="0" xr:uid="{14D27A18-9F88-4DD1-8CA4-BB2D70164183}">
      <text>
        <r>
          <rPr>
            <sz val="11"/>
            <color theme="1"/>
            <rFont val="Aptos Narrow"/>
            <family val="2"/>
            <scheme val="minor"/>
          </rPr>
          <t>Unknown User:
REPLACEMENT OF EXISTING 20MM WATER CONNECTION WITH BRAIDED FLEXIBLE HOSE</t>
        </r>
      </text>
    </comment>
    <comment ref="G592" authorId="0" shapeId="0" xr:uid="{BB3FB8D7-D006-4974-AF3D-F9A57373164F}">
      <text>
        <r>
          <rPr>
            <sz val="11"/>
            <color theme="1"/>
            <rFont val="Aptos Narrow"/>
            <family val="2"/>
            <scheme val="minor"/>
          </rPr>
          <t>Unknown User:
SUPPLY &amp; INSTALLATION OF NEW INSET BASIN
15% Seniors &amp; Pensioners Discount</t>
        </r>
      </text>
    </comment>
    <comment ref="G593" authorId="0" shapeId="0" xr:uid="{23FCDC2F-94E7-41A7-91E0-03D16132E8C8}">
      <text>
        <r>
          <rPr>
            <sz val="11"/>
            <color theme="1"/>
            <rFont val="Aptos Narrow"/>
            <family val="2"/>
            <scheme val="minor"/>
          </rPr>
          <t>Unknown User:
RESEAL KITCHEN SINK
15% Seniors &amp; Pensioners Discount</t>
        </r>
      </text>
    </comment>
    <comment ref="G594" authorId="0" shapeId="0" xr:uid="{81DBB4D9-CB26-4B1A-BDA1-9005EC3192BE}">
      <text>
        <r>
          <rPr>
            <sz val="11"/>
            <color theme="1"/>
            <rFont val="Aptos Narrow"/>
            <family val="2"/>
            <scheme val="minor"/>
          </rPr>
          <t xml:space="preserve">Unknown User:
COMMERCIAL HIGH POWERED JETBLAST &amp; CCTV DRAIN CAMERA INSPECTION
</t>
        </r>
      </text>
    </comment>
    <comment ref="G595" authorId="0" shapeId="0" xr:uid="{81276F11-F8D2-40C9-A39D-3EE54E45FA01}">
      <text>
        <r>
          <rPr>
            <sz val="11"/>
            <color theme="1"/>
            <rFont val="Aptos Narrow"/>
            <family val="2"/>
            <scheme val="minor"/>
          </rPr>
          <t>Unknown User:
HIGH POWERED SUCTION &amp; ACID TREATMENT</t>
        </r>
      </text>
    </comment>
    <comment ref="G596" authorId="0" shapeId="0" xr:uid="{27F173AE-BEE7-4041-903E-0EC1447666C5}">
      <text>
        <r>
          <rPr>
            <sz val="11"/>
            <color theme="1"/>
            <rFont val="Aptos Narrow"/>
            <family val="2"/>
            <scheme val="minor"/>
          </rPr>
          <t>Unknown User:
HIGH POWERED SUCTION PUMP</t>
        </r>
      </text>
    </comment>
    <comment ref="G597" authorId="0" shapeId="0" xr:uid="{186DDAE9-E395-4DAE-BB5C-8F9D7BF22F76}">
      <text>
        <r>
          <rPr>
            <sz val="11"/>
            <color theme="1"/>
            <rFont val="Aptos Narrow"/>
            <family val="2"/>
            <scheme val="minor"/>
          </rPr>
          <t>Unknown User:
SEARCH &amp; INVESTIGATION OF IN WALL MIXER
15% Seniors &amp; Pensioners Discount</t>
        </r>
      </text>
    </comment>
    <comment ref="G598" authorId="0" shapeId="0" xr:uid="{7B16C219-A9D0-4795-8413-C87671FE26D1}">
      <text>
        <r>
          <rPr>
            <sz val="11"/>
            <color theme="1"/>
            <rFont val="Aptos Narrow"/>
            <family val="2"/>
            <scheme val="minor"/>
          </rPr>
          <t>Unknown User:
SUPPLY &amp; INSTALLATION OF NEW SINGLE ELEMENT HOT WATER UNIT – INTERNAL</t>
        </r>
      </text>
    </comment>
    <comment ref="G599" authorId="0" shapeId="0" xr:uid="{BFE2945F-C134-4F8F-A228-5018181DBF4F}">
      <text>
        <r>
          <rPr>
            <sz val="11"/>
            <color theme="1"/>
            <rFont val="Aptos Narrow"/>
            <family val="2"/>
            <scheme val="minor"/>
          </rPr>
          <t>Unknown User:
SUPPLY &amp; INSTALLATION OF NEW SINGLE ELEMENT HOT WATER UNIT – INTERNAL</t>
        </r>
      </text>
    </comment>
    <comment ref="G600" authorId="0" shapeId="0" xr:uid="{F0F0E007-60FD-460E-A6B5-AABDBF07216D}">
      <text>
        <r>
          <rPr>
            <sz val="11"/>
            <color theme="1"/>
            <rFont val="Aptos Narrow"/>
            <family val="2"/>
            <scheme val="minor"/>
          </rPr>
          <t xml:space="preserve">Unknown User:
WASHING MACHINE TAPS - COMBO
</t>
        </r>
      </text>
    </comment>
    <comment ref="G601" authorId="0" shapeId="0" xr:uid="{5CF14656-1F3D-443B-AA0C-DB33BDA47885}">
      <text>
        <r>
          <rPr>
            <sz val="11"/>
            <color theme="1"/>
            <rFont val="Aptos Narrow"/>
            <family val="2"/>
            <scheme val="minor"/>
          </rPr>
          <t xml:space="preserve">Unknown User:
SUPPLY AND INSTALL NEW BRASS CAP </t>
        </r>
      </text>
    </comment>
    <comment ref="G602" authorId="0" shapeId="0" xr:uid="{E41FE81B-57F2-4AE1-9747-6B036BAFB1B7}">
      <text>
        <r>
          <rPr>
            <sz val="11"/>
            <color theme="1"/>
            <rFont val="Aptos Narrow"/>
            <family val="2"/>
            <scheme val="minor"/>
          </rPr>
          <t>Unknown User:
WASHING MACHINE TAPS - COMBO</t>
        </r>
      </text>
    </comment>
    <comment ref="G603" authorId="0" shapeId="0" xr:uid="{C592616E-871B-4E93-A576-41D405CA4AEC}">
      <text>
        <r>
          <rPr>
            <sz val="11"/>
            <color theme="1"/>
            <rFont val="Aptos Narrow"/>
            <family val="2"/>
            <scheme val="minor"/>
          </rPr>
          <t>Unknown User:
COMPLETE SERVICE OF WALL TOP TAPS ASSEMBLY</t>
        </r>
      </text>
    </comment>
    <comment ref="G605" authorId="0" shapeId="0" xr:uid="{BE0F27B1-C399-4B7A-8478-406C3AEAFE98}">
      <text>
        <r>
          <rPr>
            <sz val="11"/>
            <color theme="1"/>
            <rFont val="Aptos Narrow"/>
            <family val="2"/>
            <scheme val="minor"/>
          </rPr>
          <t>Unknown User:
REPLACEMENT OF EXISTING GOOSE NECK KITCHEN MIXER</t>
        </r>
      </text>
    </comment>
    <comment ref="G606" authorId="0" shapeId="0" xr:uid="{35C948D9-F37B-4631-A056-B631610A5A51}">
      <text>
        <r>
          <rPr>
            <sz val="11"/>
            <color theme="1"/>
            <rFont val="Aptos Narrow"/>
            <family val="2"/>
            <scheme val="minor"/>
          </rPr>
          <t xml:space="preserve">Unknown User:
. Gain access to water metre 
. Check integrity of pressure limiting valve (if applicable)
. Conduct a pressure test on water supply to the property
. Conduct a search and investigate on the property 
. Check all the fixtures on the property 
. Determine the cause and include any minor repairs such as loose fittings or adjustments to valves </t>
        </r>
      </text>
    </comment>
    <comment ref="G608" authorId="0" shapeId="0" xr:uid="{BA4D6094-33E3-4E73-AE4A-B307F5155393}">
      <text>
        <r>
          <rPr>
            <sz val="11"/>
            <color theme="1"/>
            <rFont val="Aptos Narrow"/>
            <family val="2"/>
            <scheme val="minor"/>
          </rPr>
          <t>Unknown User:
CONVERT SOLAR SPLIT HOT WATER SYSTEM TO EXTERNAL GAS INSTANTANEOUS HOT WATER SYSTEM</t>
        </r>
      </text>
    </comment>
    <comment ref="G640" authorId="0" shapeId="0" xr:uid="{859FBA1B-B640-49C1-9CB2-3B00B80DDFFB}">
      <text>
        <r>
          <rPr>
            <sz val="11"/>
            <color theme="1"/>
            <rFont val="Aptos Narrow"/>
            <family val="2"/>
            <scheme val="minor"/>
          </rPr>
          <t xml:space="preserve">Unknown User:
INSTALLATION OF CUSTOMER SUPPLIED EMERGENCY STOP VALVE CONNECTION FOR FUTURE BIDET TO EXISTING WATER POINT </t>
        </r>
      </text>
    </comment>
    <comment ref="P640" authorId="0" shapeId="0" xr:uid="{DDC78025-187F-41BE-9F8B-4A62AB5B01DB}">
      <text>
        <r>
          <rPr>
            <sz val="11"/>
            <color theme="1"/>
            <rFont val="Aptos Narrow"/>
            <family val="2"/>
            <scheme val="minor"/>
          </rPr>
          <t>Unknown User:
Quote not emailed</t>
        </r>
      </text>
    </comment>
    <comment ref="G641" authorId="0" shapeId="0" xr:uid="{6DCAFF7D-41B8-49E7-99EC-57AAA7B2F95C}">
      <text>
        <r>
          <rPr>
            <sz val="11"/>
            <color theme="1"/>
            <rFont val="Aptos Narrow"/>
            <family val="2"/>
            <scheme val="minor"/>
          </rPr>
          <t>Unknown User:
SUPPLY &amp; INSTALLATION OF NEW BRASS HOSE TAP</t>
        </r>
      </text>
    </comment>
    <comment ref="P641" authorId="0" shapeId="0" xr:uid="{578374A0-2D2C-4A07-B143-5A2A08DCC16E}">
      <text>
        <r>
          <rPr>
            <sz val="11"/>
            <color theme="1"/>
            <rFont val="Aptos Narrow"/>
            <family val="2"/>
            <scheme val="minor"/>
          </rPr>
          <t>Unknown User:
Quote not emailed</t>
        </r>
      </text>
    </comment>
    <comment ref="Q641" authorId="0" shapeId="0" xr:uid="{3559B517-C469-47FA-AC1C-82E6B711A12C}">
      <text>
        <r>
          <rPr>
            <sz val="11"/>
            <color theme="1"/>
            <rFont val="Aptos Narrow"/>
            <family val="2"/>
            <scheme val="minor"/>
          </rPr>
          <t>Unknown User:
Final invoice not raised</t>
        </r>
      </text>
    </comment>
    <comment ref="G642" authorId="0" shapeId="0" xr:uid="{484F3B86-9CF7-4DD9-8E84-FB4A19F44A65}">
      <text>
        <r>
          <rPr>
            <sz val="11"/>
            <color theme="1"/>
            <rFont val="Aptos Narrow"/>
            <family val="2"/>
            <scheme val="minor"/>
          </rPr>
          <t>Unknown User:
SEARCH AND INVESTIGATION OF ELECTRIC STORAGE HOT WATER SYSTEM</t>
        </r>
      </text>
    </comment>
    <comment ref="M642" authorId="0" shapeId="0" xr:uid="{033B3F10-8120-4A9F-ADDB-D9F4314EA532}">
      <text>
        <r>
          <rPr>
            <sz val="11"/>
            <color theme="1"/>
            <rFont val="Aptos Narrow"/>
            <family val="2"/>
            <scheme val="minor"/>
          </rPr>
          <t>Unknown User:
SmartPay receipt of $74 not uploaded by plumber. Now uploaded by Modoras team.</t>
        </r>
      </text>
    </comment>
    <comment ref="N642" authorId="0" shapeId="0" xr:uid="{13F4C446-ACE7-4BA7-AAB0-DFF855AB45CA}">
      <text>
        <r>
          <rPr>
            <sz val="11"/>
            <color theme="1"/>
            <rFont val="Aptos Narrow"/>
            <family val="2"/>
            <scheme val="minor"/>
          </rPr>
          <t>Unknown User:
Quote not raised due to technical issue in ServiceTitan.</t>
        </r>
      </text>
    </comment>
    <comment ref="Q642" authorId="0" shapeId="0" xr:uid="{369549BB-557F-411B-988D-3004CCA27A5B}">
      <text>
        <r>
          <rPr>
            <sz val="11"/>
            <color theme="1"/>
            <rFont val="Aptos Narrow"/>
            <family val="2"/>
            <scheme val="minor"/>
          </rPr>
          <t>Unknown User:
Invoice not raised due to technical issue in ServiceTitan.</t>
        </r>
      </text>
    </comment>
    <comment ref="G647" authorId="0" shapeId="0" xr:uid="{DBBA989F-24CB-4AC4-8E5D-1DBC4F3DB901}">
      <text>
        <r>
          <rPr>
            <sz val="11"/>
            <color theme="1"/>
            <rFont val="Aptos Narrow"/>
            <family val="2"/>
            <scheme val="minor"/>
          </rPr>
          <t xml:space="preserve">Unknown User:
SUPPLY &amp; INSTALLATION OF NEW TWIN ELEMENT HOT WATER UNIT (INTERNAL)
</t>
        </r>
      </text>
    </comment>
    <comment ref="L647" authorId="0" shapeId="0" xr:uid="{85226754-2553-4A3D-B8B1-B9DFD203565E}">
      <text>
        <r>
          <rPr>
            <sz val="11"/>
            <color theme="1"/>
            <rFont val="Aptos Narrow"/>
            <family val="2"/>
            <scheme val="minor"/>
          </rPr>
          <t>Unknown User:
Temp check pic not uploaded</t>
        </r>
      </text>
    </comment>
    <comment ref="N647" authorId="0" shapeId="0" xr:uid="{9B428B5C-7BDE-4CF8-B351-B04E324664B9}">
      <text>
        <r>
          <rPr>
            <sz val="11"/>
            <color theme="1"/>
            <rFont val="Aptos Narrow"/>
            <family val="2"/>
            <scheme val="minor"/>
          </rPr>
          <t>Unknown User:
Quote not raised due to technical issue in ServiceTitan.</t>
        </r>
      </text>
    </comment>
    <comment ref="U647" authorId="0" shapeId="0" xr:uid="{5CD5C481-867B-4894-8E48-BF7C5F0DD13D}">
      <text>
        <r>
          <rPr>
            <sz val="11"/>
            <color theme="1"/>
            <rFont val="Aptos Narrow"/>
            <family val="2"/>
            <scheme val="minor"/>
          </rPr>
          <t>Unknown User:
14/8-As per Fiona's note "Customer has claimed that damage to the downstairs apartment has been caused by the water damaged from out workmanship. Charlie has advised that if damage is caused by us then we will definitely cover it however she must pay for her HWS first.
Customer expressed she thought the 10% deposit was the cost paid for the HSW and didn't realize she still owed more. She also advised she wanted a breakdown of cost to which she has now been told twice by different operators that we offer a fixed price quote and not a breakdown of labour and product or equipment."
14/8-As per Sadie's note "customer called to cancel appointment for today - refusing to pay outstanding balance, threatened with laws and regulations and is going to take action within 7 days if she doesn't receive a itemized invoice, advised customer we don't provide itemized invoices due to it being an upfront fixed price quote. customer has a written complaint which i have advised customer to send via email. email is being sent to info@tradesaus.com.au"
13/8-As per Mathew H's note "Karen said that she wasn’t aware of the price of the job, she was very surprised when I told her the balance owing over the phone, I said this would have been presented to you at the start of the job and you paid a deposit of it, she then said that she wanted an itemised invoice and I said we don’t do them as per the website we provide upfront fixed pricing for the work, she said yes I understand and I’m not saying that I’m not going to pay but I need to understand where all the money is going and also you need to sort out the damage caused by the leak to be downstairs of our property. This is difficult when Liam isn’t available at the moment so I said you will have to wait for a few days, for the meantime I sent her the invoice that shows what is outstanding. Adding appointment to follow up on Monday 18th"</t>
        </r>
      </text>
    </comment>
    <comment ref="G651" authorId="0" shapeId="0" xr:uid="{D97EE5A3-1BEB-4853-951B-9125FFECD6EA}">
      <text>
        <r>
          <rPr>
            <sz val="11"/>
            <color theme="1"/>
            <rFont val="Aptos Narrow"/>
            <family val="2"/>
            <scheme val="minor"/>
          </rPr>
          <t>Unknown User:
HIGH POWERED JET BLAST &amp; CCTV CAMERA INSPECTION (GAIN ACCESS FROM VENT)
Locate main sewer vent
Cut out section of sewer vent
Gain access to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section of sewer vent using specialist repair coupling
Test &amp; commission installation
PLEASE NOTE IF BLOCKAGE DOES NOT CLEAR FURTHER COST WILL APPLY. THIS IS A FIRST ATTEMPT.</t>
        </r>
      </text>
    </comment>
    <comment ref="P651" authorId="0" shapeId="0" xr:uid="{79ECCA8B-E1D3-4B2A-9579-9E812034FF01}">
      <text>
        <r>
          <rPr>
            <sz val="11"/>
            <color theme="1"/>
            <rFont val="Aptos Narrow"/>
            <family val="2"/>
            <scheme val="minor"/>
          </rPr>
          <t>Unknown User:
Quote not emailed</t>
        </r>
      </text>
    </comment>
    <comment ref="S651" authorId="0" shapeId="0" xr:uid="{A32A2E21-705B-445F-B252-C2B14AD80BC3}">
      <text>
        <r>
          <rPr>
            <sz val="11"/>
            <color theme="1"/>
            <rFont val="Aptos Narrow"/>
            <family val="2"/>
            <scheme val="minor"/>
          </rPr>
          <t>Unknown User:
Invoice not emailed</t>
        </r>
      </text>
    </comment>
    <comment ref="G652" authorId="0" shapeId="0" xr:uid="{E19BD4BF-773F-4912-9924-037338705316}">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652" authorId="0" shapeId="0" xr:uid="{850EE7FC-4C07-4C7D-A361-7AB7153E2756}">
      <text>
        <r>
          <rPr>
            <sz val="11"/>
            <color theme="1"/>
            <rFont val="Aptos Narrow"/>
            <family val="2"/>
            <scheme val="minor"/>
          </rPr>
          <t>Unknown User:
Quote not Emailed</t>
        </r>
      </text>
    </comment>
    <comment ref="V652" authorId="0" shapeId="0" xr:uid="{BA3887CF-4B0C-4C75-BD55-45791A49F6A6}">
      <text>
        <r>
          <rPr>
            <sz val="11"/>
            <color theme="1"/>
            <rFont val="Aptos Narrow"/>
            <family val="2"/>
            <scheme val="minor"/>
          </rPr>
          <t xml:space="preserve">Unknown User:
11/07 Received $200 EFT
</t>
        </r>
      </text>
    </comment>
    <comment ref="G653" authorId="0" shapeId="0" xr:uid="{238CF82C-4A1C-415A-A3DE-947B2CEC0AEF}">
      <text>
        <r>
          <rPr>
            <sz val="11"/>
            <color theme="1"/>
            <rFont val="Aptos Narrow"/>
            <family val="2"/>
            <scheme val="minor"/>
          </rPr>
          <t xml:space="preserve">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
CONTINUATION OF SERVICES </t>
        </r>
      </text>
    </comment>
    <comment ref="N653" authorId="0" shapeId="0" xr:uid="{F00ADFC6-DC8D-4BF1-BF5B-1561E6259143}">
      <text>
        <r>
          <rPr>
            <sz val="11"/>
            <color theme="1"/>
            <rFont val="Aptos Narrow"/>
            <family val="2"/>
            <scheme val="minor"/>
          </rPr>
          <t>Unknown User:
Quote raised in job #71681</t>
        </r>
      </text>
    </comment>
    <comment ref="P653" authorId="0" shapeId="0" xr:uid="{E657D63A-87E5-4487-8972-C9D2C7CCA64E}">
      <text>
        <r>
          <rPr>
            <sz val="11"/>
            <color theme="1"/>
            <rFont val="Aptos Narrow"/>
            <family val="2"/>
            <scheme val="minor"/>
          </rPr>
          <t>Unknown User:
Quote not emailed</t>
        </r>
      </text>
    </comment>
    <comment ref="Q653" authorId="0" shapeId="0" xr:uid="{E5F461C3-7BB9-4575-8A8F-E1F8863028E8}">
      <text>
        <r>
          <rPr>
            <sz val="11"/>
            <color theme="1"/>
            <rFont val="Aptos Narrow"/>
            <family val="2"/>
            <scheme val="minor"/>
          </rPr>
          <t>Unknown User:
Final invoice not raised</t>
        </r>
      </text>
    </comment>
    <comment ref="U653" authorId="0" shapeId="0" xr:uid="{3B1A3537-C053-421C-9780-36A2919542CF}">
      <text>
        <r>
          <rPr>
            <sz val="11"/>
            <color theme="1"/>
            <rFont val="Aptos Narrow"/>
            <family val="2"/>
            <scheme val="minor"/>
          </rPr>
          <t>Unknown User:
23/7-As per Alex's note "Previous invoices weren't taken off on the total and the system didn't match what she paid so I took what she said was left from her end. Please confirm if there is more needed to be taken. I tried my best
"</t>
        </r>
      </text>
    </comment>
    <comment ref="G654" authorId="0" shapeId="0" xr:uid="{4C3FCC7A-4F90-4120-B6D4-4D5C3C553F8B}">
      <text>
        <r>
          <rPr>
            <sz val="11"/>
            <color theme="1"/>
            <rFont val="Aptos Narrow"/>
            <family val="2"/>
            <scheme val="minor"/>
          </rPr>
          <t>Unknown User:
COMMERCIAL HIGH POWERED JETBLAST &amp; CCTV DRAIN CAMERA INSPECTION</t>
        </r>
      </text>
    </comment>
    <comment ref="P654" authorId="0" shapeId="0" xr:uid="{BD941A67-86F9-4DF5-A9AB-8A568B74C096}">
      <text>
        <r>
          <rPr>
            <sz val="11"/>
            <color theme="1"/>
            <rFont val="Aptos Narrow"/>
            <family val="2"/>
            <scheme val="minor"/>
          </rPr>
          <t xml:space="preserve">Unknown User:
Quote not emailed
</t>
        </r>
      </text>
    </comment>
    <comment ref="G655" authorId="0" shapeId="0" xr:uid="{087F7898-CB86-4EA4-8A71-51FC0807C1D2}">
      <text>
        <r>
          <rPr>
            <sz val="11"/>
            <color theme="1"/>
            <rFont val="Aptos Narrow"/>
            <family val="2"/>
            <scheme val="minor"/>
          </rPr>
          <t>Unknown User:
REPLACEMENT OF BASIN SET</t>
        </r>
      </text>
    </comment>
    <comment ref="P655" authorId="0" shapeId="0" xr:uid="{84937AC7-C931-4C44-A2B6-393EC3D6CD58}">
      <text>
        <r>
          <rPr>
            <sz val="11"/>
            <color theme="1"/>
            <rFont val="Aptos Narrow"/>
            <family val="2"/>
            <scheme val="minor"/>
          </rPr>
          <t>Unknown User:
Quote not emailed</t>
        </r>
      </text>
    </comment>
    <comment ref="S655" authorId="0" shapeId="0" xr:uid="{BEB25BF3-CEF5-48CC-A936-685E7515664D}">
      <text>
        <r>
          <rPr>
            <sz val="11"/>
            <color theme="1"/>
            <rFont val="Aptos Narrow"/>
            <family val="2"/>
            <scheme val="minor"/>
          </rPr>
          <t>Unknown User:
Final invoice not emailed</t>
        </r>
      </text>
    </comment>
    <comment ref="V655" authorId="0" shapeId="0" xr:uid="{66FF5A02-3345-4F34-88B5-819C68B79786}">
      <text>
        <r>
          <rPr>
            <sz val="11"/>
            <color theme="1"/>
            <rFont val="Aptos Narrow"/>
            <family val="2"/>
            <scheme val="minor"/>
          </rPr>
          <t>Unknown User:
Short receipt by $30</t>
        </r>
      </text>
    </comment>
    <comment ref="G661" authorId="0" shapeId="0" xr:uid="{4247BA1F-3957-494E-9051-F852042A70CF}">
      <text>
        <r>
          <rPr>
            <sz val="11"/>
            <color theme="1"/>
            <rFont val="Aptos Narrow"/>
            <family val="2"/>
            <scheme val="minor"/>
          </rPr>
          <t xml:space="preserve">Unknown User:
INSTALLATION OF DISHWASHER [SAME LOCATION] (CUSTOMER SUPPLIED)
</t>
        </r>
      </text>
    </comment>
    <comment ref="P661" authorId="0" shapeId="0" xr:uid="{1788A82B-C993-4639-8A61-667B3F93E075}">
      <text>
        <r>
          <rPr>
            <sz val="11"/>
            <color theme="1"/>
            <rFont val="Aptos Narrow"/>
            <family val="2"/>
            <scheme val="minor"/>
          </rPr>
          <t>Unknown User:
Quote not emailed</t>
        </r>
      </text>
    </comment>
    <comment ref="G662" authorId="0" shapeId="0" xr:uid="{5B746B5C-5780-49FB-BA88-D128669B22C4}">
      <text>
        <r>
          <rPr>
            <sz val="11"/>
            <color theme="1"/>
            <rFont val="Aptos Narrow"/>
            <family val="2"/>
            <scheme val="minor"/>
          </rPr>
          <t>Unknown User:
SUPPLY AND INSTALLATION OF PRESSURE REGULATING DEVICE FITTED TO 20MM STRAIGHT PIPEWORK</t>
        </r>
      </text>
    </comment>
    <comment ref="P662" authorId="0" shapeId="0" xr:uid="{887B1914-1ED9-47E5-A3C6-92FCBDCBC6CD}">
      <text>
        <r>
          <rPr>
            <sz val="11"/>
            <color theme="1"/>
            <rFont val="Aptos Narrow"/>
            <family val="2"/>
            <scheme val="minor"/>
          </rPr>
          <t>Unknown User:
Quote not emailed</t>
        </r>
      </text>
    </comment>
    <comment ref="G666" authorId="0" shapeId="0" xr:uid="{9B974BB3-DF65-4648-8EA2-890018470D40}">
      <text>
        <r>
          <rPr>
            <sz val="11"/>
            <color theme="1"/>
            <rFont val="Aptos Narrow"/>
            <family val="2"/>
            <scheme val="minor"/>
          </rPr>
          <t xml:space="preserve">Unknown User:
HIGH POWERED JET BLAST &amp; CCTV DRAIN CAMERA INSPECTION (SEWER SERVICE)
</t>
        </r>
      </text>
    </comment>
    <comment ref="G667" authorId="0" shapeId="0" xr:uid="{310C072A-6E78-44F1-ABCC-E5ABD26981CE}">
      <text>
        <r>
          <rPr>
            <sz val="11"/>
            <color theme="1"/>
            <rFont val="Aptos Narrow"/>
            <family val="2"/>
            <scheme val="minor"/>
          </rPr>
          <t xml:space="preserve">Unknown User:
SUPPLY &amp; INSTALLATION OF 15MM RPZ VALVE IN WATER SUPPLY (ADJACENT TO EQUIPMENT TO BE PROTECTED)
</t>
        </r>
      </text>
    </comment>
    <comment ref="G668" authorId="0" shapeId="0" xr:uid="{C1DFAD07-0D08-4AAD-94A4-942C6CA38EA4}">
      <text>
        <r>
          <rPr>
            <sz val="11"/>
            <color theme="1"/>
            <rFont val="Aptos Narrow"/>
            <family val="2"/>
            <scheme val="minor"/>
          </rPr>
          <t>Unknown User:
COMPLETE SERVICE OF WALL TOP TAPS ASSEMBLY</t>
        </r>
      </text>
    </comment>
    <comment ref="G669" authorId="0" shapeId="0" xr:uid="{D87F64B9-DD71-4A6E-A261-AD32C2F169AD}">
      <text>
        <r>
          <rPr>
            <sz val="11"/>
            <color theme="1"/>
            <rFont val="Aptos Narrow"/>
            <family val="2"/>
            <scheme val="minor"/>
          </rPr>
          <t xml:space="preserve">Unknown User:
HIGH POWERED SUCTION &amp; ACID TREATMENT
</t>
        </r>
      </text>
    </comment>
    <comment ref="G670" authorId="0" shapeId="0" xr:uid="{D752437D-B174-4AFD-B480-AF48EEE10659}">
      <text>
        <r>
          <rPr>
            <sz val="11"/>
            <color theme="1"/>
            <rFont val="Aptos Narrow"/>
            <family val="2"/>
            <scheme val="minor"/>
          </rPr>
          <t xml:space="preserve">Unknown User:
DECOMMISSION EXISTING UNDER SINK FILTER SYSTEM
15% Seniors &amp; Pensioners Discount
</t>
        </r>
      </text>
    </comment>
    <comment ref="H684" authorId="5" shapeId="0" xr:uid="{A766BAA7-3E33-4C88-82B2-520F236CFB80}">
      <text>
        <t>[Threaded comment]
Your version of Excel allows you to read this threaded comment; however, any edits to it will get removed if the file is opened in a newer version of Excel. Learn more: https://go.microsoft.com/fwlink/?linkid=870924
Comment:
    Have Told Liam he is to get 7 5 x Star Reviews for W/E 31 Aug 2025 &amp; Comm'ns will be Released on this Proviso</t>
      </text>
    </comment>
    <comment ref="E691" authorId="6" shapeId="0" xr:uid="{082BD52C-E949-4DFA-8B2C-303BB5C28447}">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t>
      </text>
    </comment>
    <comment ref="E692" authorId="7" shapeId="0" xr:uid="{BD095F2E-F627-41DB-8A08-CAA139B27556}">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t>
      </text>
    </comment>
    <comment ref="G702" authorId="0" shapeId="0" xr:uid="{E2008624-2047-4FD6-8EA6-D88E208FEC42}">
      <text>
        <r>
          <rPr>
            <sz val="11"/>
            <color theme="1"/>
            <rFont val="Aptos Narrow"/>
            <family val="2"/>
            <scheme val="minor"/>
          </rPr>
          <t>Unknown User:
SEARCH &amp; INVESTIGATION OF WASHING MACHINE</t>
        </r>
      </text>
    </comment>
    <comment ref="P702" authorId="0" shapeId="0" xr:uid="{793478F3-353F-44B1-9E5A-CF1F8BA08C2D}">
      <text>
        <r>
          <rPr>
            <sz val="11"/>
            <color theme="1"/>
            <rFont val="Aptos Narrow"/>
            <family val="2"/>
            <scheme val="minor"/>
          </rPr>
          <t>Unknown User:
Quote not emailed</t>
        </r>
      </text>
    </comment>
    <comment ref="Q702" authorId="0" shapeId="0" xr:uid="{5A5CB913-04A2-4134-B9C1-DFA20A5000BF}">
      <text>
        <r>
          <rPr>
            <sz val="11"/>
            <color theme="1"/>
            <rFont val="Aptos Narrow"/>
            <family val="2"/>
            <scheme val="minor"/>
          </rPr>
          <t>Unknown User:
Final invoice not raised</t>
        </r>
      </text>
    </comment>
    <comment ref="G703" authorId="0" shapeId="0" xr:uid="{EF4E77BB-6C54-4CB4-83B1-87307AEB9E0C}">
      <text>
        <r>
          <rPr>
            <sz val="11"/>
            <color theme="1"/>
            <rFont val="Aptos Narrow"/>
            <family val="2"/>
            <scheme val="minor"/>
          </rPr>
          <t>Unknown User:
SEARCH AND INVESTIGATION OF SOLAR SPLIT HOT WATER SYSTEM</t>
        </r>
      </text>
    </comment>
    <comment ref="P703" authorId="0" shapeId="0" xr:uid="{D0E4FB04-461C-4CFD-B9BF-C9D0822A9BC0}">
      <text>
        <r>
          <rPr>
            <sz val="11"/>
            <color theme="1"/>
            <rFont val="Aptos Narrow"/>
            <family val="2"/>
            <scheme val="minor"/>
          </rPr>
          <t>Unknown User:
Quote not emailed</t>
        </r>
      </text>
    </comment>
    <comment ref="G704" authorId="0" shapeId="0" xr:uid="{7F3FF297-6DAC-4E80-BEAD-F6AAFAF84869}">
      <text>
        <r>
          <rPr>
            <sz val="11"/>
            <color theme="1"/>
            <rFont val="Aptos Narrow"/>
            <family val="2"/>
            <scheme val="minor"/>
          </rPr>
          <t>Unknown User:
REPLACEMENT OF SOLAR FROST VALVE</t>
        </r>
      </text>
    </comment>
    <comment ref="P704" authorId="0" shapeId="0" xr:uid="{CC0CBFC8-D738-4C96-A6F7-E5D256135E31}">
      <text>
        <r>
          <rPr>
            <sz val="11"/>
            <color theme="1"/>
            <rFont val="Aptos Narrow"/>
            <family val="2"/>
            <scheme val="minor"/>
          </rPr>
          <t>Unknown User:
Quote not emailed</t>
        </r>
      </text>
    </comment>
    <comment ref="G705" authorId="0" shapeId="0" xr:uid="{64150C9D-1142-48C7-9063-D5F6B521E02E}">
      <text>
        <r>
          <rPr>
            <sz val="11"/>
            <color theme="1"/>
            <rFont val="Aptos Narrow"/>
            <family val="2"/>
            <scheme val="minor"/>
          </rPr>
          <t>Unknown User:
COMPLETE SERVICE OF WALL TOP TAPS ASSEMBLY</t>
        </r>
      </text>
    </comment>
    <comment ref="P705" authorId="0" shapeId="0" xr:uid="{FD647B76-3432-4AE2-B0F7-536EA9E17C28}">
      <text>
        <r>
          <rPr>
            <sz val="11"/>
            <color theme="1"/>
            <rFont val="Aptos Narrow"/>
            <family val="2"/>
            <scheme val="minor"/>
          </rPr>
          <t>Unknown User:
Quote not emailed</t>
        </r>
      </text>
    </comment>
    <comment ref="S705" authorId="0" shapeId="0" xr:uid="{A012DE88-5919-427A-A328-1CEC03D48774}">
      <text>
        <r>
          <rPr>
            <sz val="11"/>
            <color theme="1"/>
            <rFont val="Aptos Narrow"/>
            <family val="2"/>
            <scheme val="minor"/>
          </rPr>
          <t>Unknown User:
Signed invoice not emailed</t>
        </r>
      </text>
    </comment>
    <comment ref="G706" authorId="0" shapeId="0" xr:uid="{CD61DB38-E067-4A31-A49A-9D734C48E4DB}">
      <text>
        <r>
          <rPr>
            <sz val="11"/>
            <color theme="1"/>
            <rFont val="Aptos Narrow"/>
            <family val="2"/>
            <scheme val="minor"/>
          </rPr>
          <t xml:space="preserve">Unknown User:
HIGH POWERED JET BLAST &amp; CCTV DRAIN CAMERA INSPECTION (SEWER SERVICE)
$85 Off First Service
10% Seniors &amp; Pensioners Discount </t>
        </r>
      </text>
    </comment>
    <comment ref="P706" authorId="0" shapeId="0" xr:uid="{2E14666F-E6C2-45A6-AA98-87770DB1B060}">
      <text>
        <r>
          <rPr>
            <sz val="11"/>
            <color theme="1"/>
            <rFont val="Aptos Narrow"/>
            <family val="2"/>
            <scheme val="minor"/>
          </rPr>
          <t>Unknown User:
Quote not emailed</t>
        </r>
      </text>
    </comment>
    <comment ref="Q706" authorId="0" shapeId="0" xr:uid="{884117FD-A030-4B20-8C61-55EF37D5A8F7}">
      <text>
        <r>
          <rPr>
            <sz val="11"/>
            <color theme="1"/>
            <rFont val="Aptos Narrow"/>
            <family val="2"/>
            <scheme val="minor"/>
          </rPr>
          <t>Unknown User:
Final invoice not raised</t>
        </r>
      </text>
    </comment>
    <comment ref="V706" authorId="0" shapeId="0" xr:uid="{6DB79A4C-3EAA-4861-9F1B-48CDE1BF95AB}">
      <text>
        <r>
          <rPr>
            <sz val="11"/>
            <color theme="1"/>
            <rFont val="Aptos Narrow"/>
            <family val="2"/>
            <scheme val="minor"/>
          </rPr>
          <t>Unknown User:
Received $1000 for 2 estimates
$938.8 for #87197214
$61.2 for #87195581</t>
        </r>
      </text>
    </comment>
    <comment ref="G707" authorId="0" shapeId="0" xr:uid="{C7E12256-1A69-482F-BDDC-0F54A29DBA68}">
      <text>
        <r>
          <rPr>
            <sz val="11"/>
            <color theme="1"/>
            <rFont val="Aptos Narrow"/>
            <family val="2"/>
            <scheme val="minor"/>
          </rPr>
          <t>Unknown User:
SEARCH &amp; INVESTIGATION OF POTENTIAL GAS LEAK</t>
        </r>
      </text>
    </comment>
    <comment ref="P707" authorId="0" shapeId="0" xr:uid="{3481B61C-FF37-4416-8E1A-E3DEC7D8D8F7}">
      <text>
        <r>
          <rPr>
            <sz val="11"/>
            <color theme="1"/>
            <rFont val="Aptos Narrow"/>
            <family val="2"/>
            <scheme val="minor"/>
          </rPr>
          <t>Unknown User:
Quote not emailed</t>
        </r>
      </text>
    </comment>
    <comment ref="S707" authorId="0" shapeId="0" xr:uid="{7B9DDDD7-33C5-44B2-8390-E11F960BDBAF}">
      <text>
        <r>
          <rPr>
            <sz val="11"/>
            <color theme="1"/>
            <rFont val="Aptos Narrow"/>
            <family val="2"/>
            <scheme val="minor"/>
          </rPr>
          <t>Unknown User:
Signed invoice not emailed</t>
        </r>
      </text>
    </comment>
    <comment ref="G708" authorId="0" shapeId="0" xr:uid="{CE585FAA-0B37-47E7-89FB-991DBBC48F87}">
      <text>
        <r>
          <rPr>
            <sz val="11"/>
            <color theme="1"/>
            <rFont val="Aptos Narrow"/>
            <family val="2"/>
            <scheme val="minor"/>
          </rPr>
          <t>Unknown User:
CAP OFF TWO EXPOSED GAS POINTS AND MAKE SAFE</t>
        </r>
      </text>
    </comment>
    <comment ref="P708" authorId="0" shapeId="0" xr:uid="{B2F43F12-7225-4DB6-BC55-E53EF416C91F}">
      <text>
        <r>
          <rPr>
            <sz val="11"/>
            <color theme="1"/>
            <rFont val="Aptos Narrow"/>
            <family val="2"/>
            <scheme val="minor"/>
          </rPr>
          <t>Unknown User:
Quote not emailed</t>
        </r>
      </text>
    </comment>
    <comment ref="S708" authorId="0" shapeId="0" xr:uid="{9AE75CB0-533F-4762-9EFB-1CFC79E2A292}">
      <text>
        <r>
          <rPr>
            <sz val="11"/>
            <color theme="1"/>
            <rFont val="Aptos Narrow"/>
            <family val="2"/>
            <scheme val="minor"/>
          </rPr>
          <t>Unknown User:
Invoice not emailed</t>
        </r>
      </text>
    </comment>
    <comment ref="G713" authorId="0" shapeId="0" xr:uid="{2E34A413-79A2-4A0E-8BFB-DDAA19BB4FE2}">
      <text>
        <r>
          <rPr>
            <sz val="11"/>
            <color theme="1"/>
            <rFont val="Aptos Narrow"/>
            <family val="2"/>
            <scheme val="minor"/>
          </rPr>
          <t>Unknown User:
SEWER SPOT DIG - IN GROUND
CONTINUATION OF SERVICE DISCOUNT 
10% Seniors &amp; Pensioners Discount</t>
        </r>
      </text>
    </comment>
    <comment ref="N713" authorId="0" shapeId="0" xr:uid="{E8B898FA-CF28-457C-9F7A-177E99BA9225}">
      <text>
        <r>
          <rPr>
            <sz val="11"/>
            <color theme="1"/>
            <rFont val="Aptos Narrow"/>
            <family val="2"/>
            <scheme val="minor"/>
          </rPr>
          <t>Unknown User:
Quote raised in Job #72431</t>
        </r>
      </text>
    </comment>
    <comment ref="V713" authorId="0" shapeId="0" xr:uid="{E5EAC911-5E72-4CEC-931A-18444D2393B0}">
      <text>
        <r>
          <rPr>
            <sz val="11"/>
            <color theme="1"/>
            <rFont val="Aptos Narrow"/>
            <family val="2"/>
            <scheme val="minor"/>
          </rPr>
          <t>Unknown User:
Received $1000 for 2 estimates
$938.8 for #87197214
$61.2 for #87195581</t>
        </r>
      </text>
    </comment>
    <comment ref="G714" authorId="0" shapeId="0" xr:uid="{1286CA07-78AE-4E00-AB35-633537689D58}">
      <text>
        <r>
          <rPr>
            <sz val="11"/>
            <color theme="1"/>
            <rFont val="Aptos Narrow"/>
            <family val="2"/>
            <scheme val="minor"/>
          </rPr>
          <t>Unknown User:
SUPPLY &amp; INSTALLATION OF FREESTANDING OVEN &amp; GAS COOKTOP</t>
        </r>
      </text>
    </comment>
    <comment ref="P714" authorId="0" shapeId="0" xr:uid="{E858B0A6-627A-4A0B-9945-8E760EC2EB99}">
      <text>
        <r>
          <rPr>
            <sz val="11"/>
            <color theme="1"/>
            <rFont val="Aptos Narrow"/>
            <family val="2"/>
            <scheme val="minor"/>
          </rPr>
          <t>Unknown User:
Quote not emailed</t>
        </r>
      </text>
    </comment>
    <comment ref="U714" authorId="0" shapeId="0" xr:uid="{AA6D026B-A706-4C8E-B0EE-3F230C1E6C61}">
      <text>
        <r>
          <rPr>
            <sz val="11"/>
            <color theme="1"/>
            <rFont val="Aptos Narrow"/>
            <family val="2"/>
            <scheme val="minor"/>
          </rPr>
          <t>Unknown User:
25/08 - As per Joshua's note, "Betty - advised they would email us shortly with the brand of the stove/cooktop and to organise attendance."</t>
        </r>
      </text>
    </comment>
    <comment ref="D715" authorId="0" shapeId="0" xr:uid="{7AF501AB-9D88-439D-B69C-760EB5A441D3}">
      <text>
        <r>
          <rPr>
            <sz val="11"/>
            <color theme="1"/>
            <rFont val="Aptos Narrow"/>
            <family val="2"/>
            <scheme val="minor"/>
          </rPr>
          <t>Unknown User:
07/08 Job was unsuccessful by Shaun
21/08 Quote raised &amp; WIP by Laim</t>
        </r>
      </text>
    </comment>
    <comment ref="G715" authorId="0" shapeId="0" xr:uid="{B026037E-4114-45BB-9B10-3A229818126F}">
      <text>
        <r>
          <rPr>
            <sz val="11"/>
            <color theme="1"/>
            <rFont val="Aptos Narrow"/>
            <family val="2"/>
            <scheme val="minor"/>
          </rPr>
          <t>Unknown User:
REPLACEMENT OF TAP TOPS</t>
        </r>
      </text>
    </comment>
    <comment ref="P715" authorId="0" shapeId="0" xr:uid="{21B8BF18-A76F-4592-8B6F-1D3A9B344E18}">
      <text>
        <r>
          <rPr>
            <sz val="11"/>
            <color theme="1"/>
            <rFont val="Aptos Narrow"/>
            <family val="2"/>
            <scheme val="minor"/>
          </rPr>
          <t>Unknown User:
Quote not emailed</t>
        </r>
      </text>
    </comment>
    <comment ref="G719" authorId="0" shapeId="0" xr:uid="{D2560152-EF74-4E68-AE46-A385B08F30E6}">
      <text>
        <r>
          <rPr>
            <sz val="11"/>
            <color theme="1"/>
            <rFont val="Aptos Narrow"/>
            <family val="2"/>
            <scheme val="minor"/>
          </rPr>
          <t>Unknown User:
HIGH POWERED JET BLAST &amp; CCTV CAMERA INSPECTION (GAIN ACCESS FROM VENT)
Locate main sewer vent
Cut out section of sewer vent
Gain access to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section of sewer vent using specialist repair coupling
Test &amp; commission installation
PLEASE NOTE IF BLOCKAGE DOES NOT CLEAR FURTHER COST WILL APPLY. THIS IS A FIRST ATTEMPT.</t>
        </r>
      </text>
    </comment>
    <comment ref="P719" authorId="0" shapeId="0" xr:uid="{FF399A78-F021-42F2-B271-F6B3F68ABB01}">
      <text>
        <r>
          <rPr>
            <sz val="11"/>
            <color theme="1"/>
            <rFont val="Aptos Narrow"/>
            <family val="2"/>
            <scheme val="minor"/>
          </rPr>
          <t>Unknown User:
Quote not emailed</t>
        </r>
      </text>
    </comment>
    <comment ref="S719" authorId="0" shapeId="0" xr:uid="{01178335-096B-48D9-AC89-680E56044F76}">
      <text>
        <r>
          <rPr>
            <sz val="11"/>
            <color theme="1"/>
            <rFont val="Aptos Narrow"/>
            <family val="2"/>
            <scheme val="minor"/>
          </rPr>
          <t>Unknown User:
Invoice not emailed</t>
        </r>
      </text>
    </comment>
    <comment ref="G720" authorId="0" shapeId="0" xr:uid="{6A5D7452-8AC2-47D3-9F6C-322F281E96BA}">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720" authorId="0" shapeId="0" xr:uid="{A4A3518E-A903-4FDD-8099-0EDA3F666E46}">
      <text>
        <r>
          <rPr>
            <sz val="11"/>
            <color theme="1"/>
            <rFont val="Aptos Narrow"/>
            <family val="2"/>
            <scheme val="minor"/>
          </rPr>
          <t>Unknown User:
Quote not Emailed</t>
        </r>
      </text>
    </comment>
    <comment ref="V720" authorId="0" shapeId="0" xr:uid="{3B3D9ADA-33BC-404E-91E1-6AACB3400C85}">
      <text>
        <r>
          <rPr>
            <sz val="11"/>
            <color theme="1"/>
            <rFont val="Aptos Narrow"/>
            <family val="2"/>
            <scheme val="minor"/>
          </rPr>
          <t xml:space="preserve">Unknown User:
11/07 Received $200 EFT
</t>
        </r>
      </text>
    </comment>
    <comment ref="G721" authorId="0" shapeId="0" xr:uid="{FBA38572-522B-44E3-B00E-4E0DAC68D639}">
      <text>
        <r>
          <rPr>
            <sz val="11"/>
            <color theme="1"/>
            <rFont val="Aptos Narrow"/>
            <family val="2"/>
            <scheme val="minor"/>
          </rPr>
          <t xml:space="preserve">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
CONTINUATION OF SERVICES </t>
        </r>
      </text>
    </comment>
    <comment ref="N721" authorId="0" shapeId="0" xr:uid="{507E5533-B993-4C6A-8C48-B1C352A098AC}">
      <text>
        <r>
          <rPr>
            <sz val="11"/>
            <color theme="1"/>
            <rFont val="Aptos Narrow"/>
            <family val="2"/>
            <scheme val="minor"/>
          </rPr>
          <t>Unknown User:
Quote raised in job #71681</t>
        </r>
      </text>
    </comment>
    <comment ref="P721" authorId="0" shapeId="0" xr:uid="{049454D4-F8E9-465B-8300-E3350438AD8E}">
      <text>
        <r>
          <rPr>
            <sz val="11"/>
            <color theme="1"/>
            <rFont val="Aptos Narrow"/>
            <family val="2"/>
            <scheme val="minor"/>
          </rPr>
          <t>Unknown User:
Quote not emailed</t>
        </r>
      </text>
    </comment>
    <comment ref="Q721" authorId="0" shapeId="0" xr:uid="{8252925D-38D9-4DB2-BEF0-A7120811D38B}">
      <text>
        <r>
          <rPr>
            <sz val="11"/>
            <color theme="1"/>
            <rFont val="Aptos Narrow"/>
            <family val="2"/>
            <scheme val="minor"/>
          </rPr>
          <t>Unknown User:
Final invoice not raised</t>
        </r>
      </text>
    </comment>
    <comment ref="U721" authorId="0" shapeId="0" xr:uid="{E84BA685-1C74-4CC8-8CA5-836122B83AA6}">
      <text>
        <r>
          <rPr>
            <sz val="11"/>
            <color theme="1"/>
            <rFont val="Aptos Narrow"/>
            <family val="2"/>
            <scheme val="minor"/>
          </rPr>
          <t>Unknown User:
23/7-As per Alex's note "Previous invoices weren't taken off on the total and the system didn't match what she paid so I took what she said was left from her end. Please confirm if there is more needed to be taken. I tried my best
"</t>
        </r>
      </text>
    </comment>
    <comment ref="G722" authorId="0" shapeId="0" xr:uid="{A3105E35-8A3E-4E61-A650-738124A5C0BA}">
      <text>
        <r>
          <rPr>
            <sz val="11"/>
            <color theme="1"/>
            <rFont val="Aptos Narrow"/>
            <family val="2"/>
            <scheme val="minor"/>
          </rPr>
          <t>Unknown User:
COMMERCIAL HIGH POWERED JETBLAST &amp; CCTV DRAIN CAMERA INSPECTION</t>
        </r>
      </text>
    </comment>
    <comment ref="P722" authorId="0" shapeId="0" xr:uid="{A7CD738D-23C2-4B91-9B92-1989ED6E4699}">
      <text>
        <r>
          <rPr>
            <sz val="11"/>
            <color theme="1"/>
            <rFont val="Aptos Narrow"/>
            <family val="2"/>
            <scheme val="minor"/>
          </rPr>
          <t xml:space="preserve">Unknown User:
Quote not emailed
</t>
        </r>
      </text>
    </comment>
    <comment ref="G723" authorId="0" shapeId="0" xr:uid="{ED0297ED-E42F-4B88-AEB1-5F22FB58612D}">
      <text>
        <r>
          <rPr>
            <sz val="11"/>
            <color theme="1"/>
            <rFont val="Aptos Narrow"/>
            <family val="2"/>
            <scheme val="minor"/>
          </rPr>
          <t>Unknown User:
REPLACEMENT OF BASIN SET</t>
        </r>
      </text>
    </comment>
    <comment ref="P723" authorId="0" shapeId="0" xr:uid="{490D4307-7784-41B0-A6D2-2E6F8E89BA5C}">
      <text>
        <r>
          <rPr>
            <sz val="11"/>
            <color theme="1"/>
            <rFont val="Aptos Narrow"/>
            <family val="2"/>
            <scheme val="minor"/>
          </rPr>
          <t>Unknown User:
Quote not emailed</t>
        </r>
      </text>
    </comment>
    <comment ref="S723" authorId="0" shapeId="0" xr:uid="{C6C7E7ED-58D1-4992-B0AF-F5A07426EA9C}">
      <text>
        <r>
          <rPr>
            <sz val="11"/>
            <color theme="1"/>
            <rFont val="Aptos Narrow"/>
            <family val="2"/>
            <scheme val="minor"/>
          </rPr>
          <t>Unknown User:
Final invoice not emailed</t>
        </r>
      </text>
    </comment>
    <comment ref="V723" authorId="0" shapeId="0" xr:uid="{FAA007D7-60FA-487F-A10B-BC478266DD27}">
      <text>
        <r>
          <rPr>
            <sz val="11"/>
            <color theme="1"/>
            <rFont val="Aptos Narrow"/>
            <family val="2"/>
            <scheme val="minor"/>
          </rPr>
          <t>Unknown User:
Short receipt by $30</t>
        </r>
      </text>
    </comment>
    <comment ref="G724" authorId="0" shapeId="0" xr:uid="{4FDDA0F4-201B-429F-915E-86393A80BF72}">
      <text>
        <r>
          <rPr>
            <sz val="11"/>
            <color theme="1"/>
            <rFont val="Aptos Narrow"/>
            <family val="2"/>
            <scheme val="minor"/>
          </rPr>
          <t xml:space="preserve">Unknown User:
SUPPLY &amp; INSTALLATION OF NEW TWIN ELEMENT HOT WATER UNIT (INTERNAL)
</t>
        </r>
      </text>
    </comment>
    <comment ref="L724" authorId="0" shapeId="0" xr:uid="{F9BBD109-859B-44EE-BF68-21302B561F1F}">
      <text>
        <r>
          <rPr>
            <sz val="11"/>
            <color theme="1"/>
            <rFont val="Aptos Narrow"/>
            <family val="2"/>
            <scheme val="minor"/>
          </rPr>
          <t>Unknown User:
Temp check pic not uploaded</t>
        </r>
      </text>
    </comment>
    <comment ref="N724" authorId="0" shapeId="0" xr:uid="{AC49A297-781C-48A7-BF52-2B578FA70543}">
      <text>
        <r>
          <rPr>
            <sz val="11"/>
            <color theme="1"/>
            <rFont val="Aptos Narrow"/>
            <family val="2"/>
            <scheme val="minor"/>
          </rPr>
          <t>Unknown User:
Quote not raised due to technical issue in ServiceTitan.</t>
        </r>
      </text>
    </comment>
    <comment ref="U724" authorId="0" shapeId="0" xr:uid="{6DC8C64F-32BD-487E-BCC1-11CA2A84079E}">
      <text>
        <r>
          <rPr>
            <sz val="11"/>
            <color theme="1"/>
            <rFont val="Aptos Narrow"/>
            <family val="2"/>
            <scheme val="minor"/>
          </rPr>
          <t>Unknown User:
14/8-As per Fiona's note "Customer has claimed that damage to the downstairs apartment has been caused by the water damaged from out workmanship. Charlie has advised that if damage is caused by us then we will definitely cover it however she must pay for her HWS first.
Customer expressed she thought the 10% deposit was the cost paid for the HSW and didn't realize she still owed more. She also advised she wanted a breakdown of cost to which she has now been told twice by different operators that we offer a fixed price quote and not a breakdown of labour and product or equipment."
14/8-As per Sadie's note "customer called to cancel appointment for today - refusing to pay outstanding balance, threatened with laws and regulations and is going to take action within 7 days if she doesn't receive a itemized invoice, advised customer we don't provide itemized invoices due to it being an upfront fixed price quote. customer has a written complaint which i have advised customer to send via email. email is being sent to info@tradesaus.com.au"
13/8-As per Mathew H's note "Karen said that she wasn’t aware of the price of the job, she was very surprised when I told her the balance owing over the phone, I said this would have been presented to you at the start of the job and you paid a deposit of it, she then said that she wanted an itemised invoice and I said we don’t do them as per the website we provide upfront fixed pricing for the work, she said yes I understand and I’m not saying that I’m not going to pay but I need to understand where all the money is going and also you need to sort out the damage caused by the leak to be downstairs of our property. This is difficult when Liam isn’t available at the moment so I said you will have to wait for a few days, for the meantime I sent her the invoice that shows what is outstanding. Adding appointment to follow up on Monday 18th"</t>
        </r>
      </text>
    </comment>
    <comment ref="G730" authorId="0" shapeId="0" xr:uid="{5169ADEF-2994-4709-8818-A46D6937AF60}">
      <text>
        <r>
          <rPr>
            <sz val="11"/>
            <color theme="1"/>
            <rFont val="Aptos Narrow"/>
            <family val="2"/>
            <scheme val="minor"/>
          </rPr>
          <t xml:space="preserve">Unknown User:
INSTALLATION OF DISHWASHER [SAME LOCATION] (CUSTOMER SUPPLIED)
</t>
        </r>
      </text>
    </comment>
    <comment ref="P730" authorId="0" shapeId="0" xr:uid="{1478F90E-1925-4FA2-BED8-0B9F9D17FEF5}">
      <text>
        <r>
          <rPr>
            <sz val="11"/>
            <color theme="1"/>
            <rFont val="Aptos Narrow"/>
            <family val="2"/>
            <scheme val="minor"/>
          </rPr>
          <t>Unknown User:
Quote not emailed</t>
        </r>
      </text>
    </comment>
    <comment ref="G731" authorId="0" shapeId="0" xr:uid="{58158CF9-88F0-46DE-84D6-787098AA679E}">
      <text>
        <r>
          <rPr>
            <sz val="11"/>
            <color theme="1"/>
            <rFont val="Aptos Narrow"/>
            <family val="2"/>
            <scheme val="minor"/>
          </rPr>
          <t>Unknown User:
SUPPLY AND INSTALLATION OF PRESSURE REGULATING DEVICE FITTED TO 20MM STRAIGHT PIPEWORK</t>
        </r>
      </text>
    </comment>
    <comment ref="P731" authorId="0" shapeId="0" xr:uid="{AE59B8AC-EDFD-466C-8BCA-1C7972C567DA}">
      <text>
        <r>
          <rPr>
            <sz val="11"/>
            <color theme="1"/>
            <rFont val="Aptos Narrow"/>
            <family val="2"/>
            <scheme val="minor"/>
          </rPr>
          <t>Unknown User:
Quote not emailed</t>
        </r>
      </text>
    </comment>
    <comment ref="G735" authorId="0" shapeId="0" xr:uid="{E923121E-B460-42F4-B7C0-03C8312C4A06}">
      <text>
        <r>
          <rPr>
            <sz val="11"/>
            <color theme="1"/>
            <rFont val="Aptos Narrow"/>
            <family val="2"/>
            <scheme val="minor"/>
          </rPr>
          <t xml:space="preserve">Unknown User:
CCTV DRAIN CAMERA INSPECTION OF SEWER SERVICE
</t>
        </r>
      </text>
    </comment>
    <comment ref="G736" authorId="0" shapeId="0" xr:uid="{C8F92B85-0BCF-449F-B325-D37BA3FDF2E6}">
      <text>
        <r>
          <rPr>
            <sz val="11"/>
            <color theme="1"/>
            <rFont val="Aptos Narrow"/>
            <family val="2"/>
            <scheme val="minor"/>
          </rPr>
          <t xml:space="preserve">Unknown User:
INSTALLATION OF GAS COOKTOP [SAME LOCATION] (CUSTOMER SUPPLIED)
</t>
        </r>
      </text>
    </comment>
    <comment ref="G737" authorId="0" shapeId="0" xr:uid="{D30FEC43-D7FD-4BA6-8E65-6A1EFF53F219}">
      <text>
        <r>
          <rPr>
            <sz val="11"/>
            <color theme="1"/>
            <rFont val="Aptos Narrow"/>
            <family val="2"/>
            <scheme val="minor"/>
          </rPr>
          <t xml:space="preserve">Unknown User:
CONVERT INTERNAL GAS STORAGE HOT WATER SYSTEM TO EXTERNAL GAS INSTANTANEOUS HOT WATER SYSTEM
</t>
        </r>
      </text>
    </comment>
    <comment ref="G738" authorId="0" shapeId="0" xr:uid="{4EF95DF7-5611-4AB7-955C-C8CAE73893A4}">
      <text>
        <r>
          <rPr>
            <sz val="11"/>
            <color theme="1"/>
            <rFont val="Aptos Narrow"/>
            <family val="2"/>
            <scheme val="minor"/>
          </rPr>
          <t>Unknown User:
RECTIFICATION OF GAS SERVICE (EXPOSED)</t>
        </r>
      </text>
    </comment>
    <comment ref="G739" authorId="0" shapeId="0" xr:uid="{E9EA850D-19B9-4509-A492-2AA9E0620538}">
      <text>
        <r>
          <rPr>
            <sz val="11"/>
            <color theme="1"/>
            <rFont val="Aptos Narrow"/>
            <family val="2"/>
            <scheme val="minor"/>
          </rPr>
          <t>Unknown User:
WATER SERVICE RECTIFICATION (IN GROUND</t>
        </r>
      </text>
    </comment>
    <comment ref="U739" authorId="0" shapeId="0" xr:uid="{FE517416-1749-4CA3-B1A4-96141F843696}">
      <text>
        <r>
          <rPr>
            <sz val="11"/>
            <color theme="1"/>
            <rFont val="Aptos Narrow"/>
            <family val="2"/>
            <scheme val="minor"/>
          </rPr>
          <t>Unknown User:
18/8-As per Luke's note "Received a call from Andy who was calm, but extremely unhappy about not receiving their deposit back claiming we were extorting people for their money which is a "Criminal Act" - he also threatened me with media exposure. Passed onto Kylie to resolve."
18/8-As per Kylie's note "Wife was screaming about going to the radio and demanding to be refunded a the deposit because it is just not fair. Threw a right screaming fit over it. Terms and conditions signed and job cancelled"</t>
        </r>
      </text>
    </comment>
    <comment ref="G740" authorId="0" shapeId="0" xr:uid="{36D4F44B-AD7A-4450-BFCA-6244DD7DB516}">
      <text>
        <r>
          <rPr>
            <sz val="11"/>
            <color theme="1"/>
            <rFont val="Aptos Narrow"/>
            <family val="2"/>
            <scheme val="minor"/>
          </rPr>
          <t>Unknown User:
SEWER SERVICE - RELINE 
CREDIT OF SEARCH &amp; INVESTIGATION</t>
        </r>
      </text>
    </comment>
    <comment ref="P740" authorId="0" shapeId="0" xr:uid="{27DE4FB4-4B97-48CE-AADB-75EBDFC8A3CA}">
      <text>
        <r>
          <rPr>
            <sz val="11"/>
            <color theme="1"/>
            <rFont val="Aptos Narrow"/>
            <family val="2"/>
            <scheme val="minor"/>
          </rPr>
          <t>Unknown User:
Quote not emailed</t>
        </r>
      </text>
    </comment>
    <comment ref="G741" authorId="0" shapeId="0" xr:uid="{74CDEA25-8010-4FC0-BDC0-7E4253677C09}">
      <text>
        <r>
          <rPr>
            <sz val="11"/>
            <color theme="1"/>
            <rFont val="Aptos Narrow"/>
            <family val="2"/>
            <scheme val="minor"/>
          </rPr>
          <t>Unknown User:
COMPLETE SERVICE OF TAP TOP ASSEMBLY
SUPPLY &amp; INSTALLATION OF NEW BRASS HOSE TAP</t>
        </r>
      </text>
    </comment>
    <comment ref="G742" authorId="0" shapeId="0" xr:uid="{3C0D2A0D-8BE1-4399-92F4-79BD18782027}">
      <text>
        <r>
          <rPr>
            <sz val="11"/>
            <color theme="1"/>
            <rFont val="Aptos Narrow"/>
            <family val="2"/>
            <scheme val="minor"/>
          </rPr>
          <t xml:space="preserve">Unknown User:
RECTIFICATION OF GAS SERVICE (EXPOSED)
</t>
        </r>
      </text>
    </comment>
    <comment ref="G743" authorId="0" shapeId="0" xr:uid="{0C337760-343A-4F20-99D2-B52F3895E183}">
      <text>
        <r>
          <rPr>
            <sz val="11"/>
            <color theme="1"/>
            <rFont val="Aptos Narrow"/>
            <family val="2"/>
            <scheme val="minor"/>
          </rPr>
          <t>Unknown User:
REPLACEMENT OF PAIR EMERGENCY STOP VALVES</t>
        </r>
      </text>
    </comment>
    <comment ref="G744" authorId="0" shapeId="0" xr:uid="{6AE79B35-A297-4B85-B955-95C30913B420}">
      <text>
        <r>
          <rPr>
            <sz val="11"/>
            <color theme="1"/>
            <rFont val="Aptos Narrow"/>
            <family val="2"/>
            <scheme val="minor"/>
          </rPr>
          <t>Unknown User:
HIGH POWERED JET BLAST &amp; CCTV DRAIN CAMERA INSPECTION (SEWER SERVICE)
15% Seniors &amp; Pensioners Discount</t>
        </r>
      </text>
    </comment>
    <comment ref="G746" authorId="0" shapeId="0" xr:uid="{9A900A6B-1595-4C0D-9EB4-196B762D3D47}">
      <text>
        <r>
          <rPr>
            <sz val="11"/>
            <color theme="1"/>
            <rFont val="Aptos Narrow"/>
            <family val="2"/>
            <scheme val="minor"/>
          </rPr>
          <t>Unknown User:
SEARCH &amp; INVESTIGATION OF POTENTIAL GAS LEAK</t>
        </r>
      </text>
    </comment>
    <comment ref="E767" authorId="8" shapeId="0" xr:uid="{76CD614B-BD4E-4939-A125-B912654A4116}">
      <text>
        <t>[Threaded comment]
Your version of Excel allows you to read this threaded comment; however, any edits to it will get removed if the file is opened in a newer version of Excel. Learn more: https://go.microsoft.com/fwlink/?linkid=870924
Comment:
    Stock</t>
      </text>
    </comment>
    <comment ref="G778" authorId="0" shapeId="0" xr:uid="{71B35F39-BFAD-457A-B518-AF359317B4BF}">
      <text>
        <r>
          <rPr>
            <sz val="11"/>
            <color theme="1"/>
            <rFont val="Aptos Narrow"/>
            <family val="2"/>
            <scheme val="minor"/>
          </rPr>
          <t>Unknown User:
SEARCH &amp; INVESTIGATION OF POTENTIAL GAS LEAK</t>
        </r>
      </text>
    </comment>
    <comment ref="G779" authorId="0" shapeId="0" xr:uid="{08AD9232-B0D2-4BF8-B83E-C3A85518113F}">
      <text>
        <r>
          <rPr>
            <sz val="11"/>
            <color theme="1"/>
            <rFont val="Aptos Narrow"/>
            <family val="2"/>
            <scheme val="minor"/>
          </rPr>
          <t xml:space="preserve">Unknown User:
SUPPLY &amp; INSTALLATION OF NEW INSTANTANEOUS GAS HOT WATER SYSTEM (EXTERNAL)
</t>
        </r>
      </text>
    </comment>
    <comment ref="P779" authorId="0" shapeId="0" xr:uid="{57D3C96C-BCAB-4E3A-952E-0FE788B29E4F}">
      <text>
        <r>
          <rPr>
            <sz val="11"/>
            <color theme="1"/>
            <rFont val="Aptos Narrow"/>
            <family val="2"/>
            <scheme val="minor"/>
          </rPr>
          <t>Unknown User:
Quote not emailed</t>
        </r>
      </text>
    </comment>
    <comment ref="U779" authorId="0" shapeId="0" xr:uid="{F8DF2FE6-256D-45D5-B6EA-268A3F96DA19}">
      <text>
        <r>
          <rPr>
            <sz val="11"/>
            <color theme="1"/>
            <rFont val="Aptos Narrow"/>
            <family val="2"/>
            <scheme val="minor"/>
          </rPr>
          <t>Unknown User:
27/10-As per Nick Francis's note "PLEASE UPLOAD PHOTOS OF THE ENTIRE INSTALLATION"-(Callback)</t>
        </r>
      </text>
    </comment>
    <comment ref="D780" authorId="0" shapeId="0" xr:uid="{93DA5CA5-9819-4B5E-A003-FFD1957B4B07}">
      <text>
        <r>
          <rPr>
            <sz val="11"/>
            <color theme="1"/>
            <rFont val="Aptos Narrow"/>
            <family val="2"/>
            <scheme val="minor"/>
          </rPr>
          <t>Unknown User:
Job raised previously on 4/8 was under "Unsuccessful".
On 26/8, job changed to "successful"</t>
        </r>
      </text>
    </comment>
    <comment ref="G780" authorId="0" shapeId="0" xr:uid="{D8F143A8-0690-4236-934B-F5D78E296CDF}">
      <text>
        <r>
          <rPr>
            <sz val="11"/>
            <color theme="1"/>
            <rFont val="Aptos Narrow"/>
            <family val="2"/>
            <scheme val="minor"/>
          </rPr>
          <t>Unknown User:
CCTV DRAIN CAMERA INSPECTION OF SEWER SERVICE
CCTV DRAIN CAMERA INSPECTION OF STORM WATER SERVICE</t>
        </r>
      </text>
    </comment>
    <comment ref="G781" authorId="0" shapeId="0" xr:uid="{2FDA3D41-2110-4391-A6A0-A0F5078570BC}">
      <text>
        <r>
          <rPr>
            <sz val="11"/>
            <color theme="1"/>
            <rFont val="Aptos Narrow"/>
            <family val="2"/>
            <scheme val="minor"/>
          </rPr>
          <t xml:space="preserve">Unknown User:
HIGH POWERED JET BLAST &amp; CCTV DRAIN CAMERA INSPECTION (SEWER SERVICE)
</t>
        </r>
      </text>
    </comment>
    <comment ref="L781" authorId="0" shapeId="0" xr:uid="{7184FC43-2D40-46A1-8960-FEFE5651FA13}">
      <text>
        <r>
          <rPr>
            <sz val="11"/>
            <color theme="1"/>
            <rFont val="Aptos Narrow"/>
            <family val="2"/>
            <scheme val="minor"/>
          </rPr>
          <t>Unknown User:
CCTV pics/videos not uploaded</t>
        </r>
      </text>
    </comment>
    <comment ref="G782" authorId="0" shapeId="0" xr:uid="{454CA451-5591-4C92-87A3-9CC1D291652E}">
      <text>
        <r>
          <rPr>
            <sz val="11"/>
            <color theme="1"/>
            <rFont val="Aptos Narrow"/>
            <family val="2"/>
            <scheme val="minor"/>
          </rPr>
          <t>Unknown User:
SEARCH &amp; INVESTIGATION (GENERAL)
10% Seniors &amp; Pensioners Discount</t>
        </r>
      </text>
    </comment>
    <comment ref="P782" authorId="0" shapeId="0" xr:uid="{36E7B8DD-7BED-4DB4-9512-8A671B94EAD2}">
      <text>
        <r>
          <rPr>
            <sz val="11"/>
            <color theme="1"/>
            <rFont val="Aptos Narrow"/>
            <family val="2"/>
            <scheme val="minor"/>
          </rPr>
          <t>Unknown User:
Quote not emailed</t>
        </r>
      </text>
    </comment>
    <comment ref="S782" authorId="0" shapeId="0" xr:uid="{6BC1535F-A662-4D9A-82DA-B0B7C3165B7E}">
      <text>
        <r>
          <rPr>
            <sz val="11"/>
            <color theme="1"/>
            <rFont val="Aptos Narrow"/>
            <family val="2"/>
            <scheme val="minor"/>
          </rPr>
          <t>Unknown User:
Signed invoice not emailed</t>
        </r>
      </text>
    </comment>
    <comment ref="G783" authorId="0" shapeId="0" xr:uid="{9F79CE1D-385A-434C-A5B4-BBF5D227E1B8}">
      <text>
        <r>
          <rPr>
            <sz val="11"/>
            <color theme="1"/>
            <rFont val="Aptos Narrow"/>
            <family val="2"/>
            <scheme val="minor"/>
          </rPr>
          <t>Unknown User:
WATER SERVICE RECTIFICATION (IN WALL)</t>
        </r>
      </text>
    </comment>
    <comment ref="P783" authorId="0" shapeId="0" xr:uid="{51F9ED41-0F90-441F-90CD-5A1BF77FE406}">
      <text>
        <r>
          <rPr>
            <sz val="11"/>
            <color theme="1"/>
            <rFont val="Aptos Narrow"/>
            <family val="2"/>
            <scheme val="minor"/>
          </rPr>
          <t>Unknown User:
Quote not emailed</t>
        </r>
      </text>
    </comment>
    <comment ref="Q783" authorId="0" shapeId="0" xr:uid="{4B2A935F-C496-43AD-9CB4-3CAE0DB7558D}">
      <text>
        <r>
          <rPr>
            <sz val="11"/>
            <color theme="1"/>
            <rFont val="Aptos Narrow"/>
            <family val="2"/>
            <scheme val="minor"/>
          </rPr>
          <t>Unknown User:
Progress payment not updated in invoice (Raised in Job #72644)</t>
        </r>
      </text>
    </comment>
    <comment ref="G784" authorId="0" shapeId="0" xr:uid="{4DD39995-C22C-4691-9BA8-490047F08AA2}">
      <text>
        <r>
          <rPr>
            <sz val="11"/>
            <color theme="1"/>
            <rFont val="Aptos Narrow"/>
            <family val="2"/>
            <scheme val="minor"/>
          </rPr>
          <t>Unknown User:
REPLACEMENT OF EXISTING GOOSE NECK KITCHEN MIXER (CUSTOMER
SUPPLIED)</t>
        </r>
      </text>
    </comment>
    <comment ref="N784" authorId="0" shapeId="0" xr:uid="{8FA3A8B2-253C-4B35-B4D8-2D845FC06CF3}">
      <text>
        <r>
          <rPr>
            <sz val="11"/>
            <color theme="1"/>
            <rFont val="Aptos Narrow"/>
            <family val="2"/>
            <scheme val="minor"/>
          </rPr>
          <t>Unknown User:
Quote not raised</t>
        </r>
      </text>
    </comment>
    <comment ref="G785" authorId="0" shapeId="0" xr:uid="{2E601F96-D3BF-4449-95A2-9807218A754C}">
      <text>
        <r>
          <rPr>
            <sz val="11"/>
            <color theme="1"/>
            <rFont val="Aptos Narrow"/>
            <family val="2"/>
            <scheme val="minor"/>
          </rPr>
          <t>Unknown User:
REPLACEMENT OF EMERGENCY STOP VALVE
$65 First Service Discount</t>
        </r>
      </text>
    </comment>
    <comment ref="P785" authorId="0" shapeId="0" xr:uid="{D6E24CBC-54A4-4809-9638-A1E9BA7AA663}">
      <text>
        <r>
          <rPr>
            <sz val="11"/>
            <color theme="1"/>
            <rFont val="Aptos Narrow"/>
            <family val="2"/>
            <scheme val="minor"/>
          </rPr>
          <t>Unknown User:
Quote not emailed</t>
        </r>
      </text>
    </comment>
    <comment ref="G786" authorId="0" shapeId="0" xr:uid="{02541BB3-33A1-4159-91D2-EAE2683559A3}">
      <text>
        <r>
          <rPr>
            <sz val="11"/>
            <color theme="1"/>
            <rFont val="Aptos Narrow"/>
            <family val="2"/>
            <scheme val="minor"/>
          </rPr>
          <t>Unknown User:
SUPPLY AND INSTALLATION OF PRESSURE REGULATING DEVICE FITTED TO 20MM STRAIGHT PIPEWORK</t>
        </r>
      </text>
    </comment>
    <comment ref="P786" authorId="0" shapeId="0" xr:uid="{E7602D5E-C8D7-46E9-B312-CFB8E127840D}">
      <text>
        <r>
          <rPr>
            <sz val="11"/>
            <color theme="1"/>
            <rFont val="Aptos Narrow"/>
            <family val="2"/>
            <scheme val="minor"/>
          </rPr>
          <t>Unknown User:
Quote not emailed</t>
        </r>
      </text>
    </comment>
    <comment ref="G787" authorId="0" shapeId="0" xr:uid="{3B1E6A6A-63E4-4447-A128-0046E245A773}">
      <text>
        <r>
          <rPr>
            <sz val="11"/>
            <color theme="1"/>
            <rFont val="Aptos Narrow"/>
            <family val="2"/>
            <scheme val="minor"/>
          </rPr>
          <t>Unknown User:
SUPPLY &amp; INSTALLATION OF NEW WALL TOP TAP SET</t>
        </r>
      </text>
    </comment>
    <comment ref="P787" authorId="0" shapeId="0" xr:uid="{15D1E526-243F-442E-A327-B19ABC325945}">
      <text>
        <r>
          <rPr>
            <sz val="11"/>
            <color theme="1"/>
            <rFont val="Aptos Narrow"/>
            <family val="2"/>
            <scheme val="minor"/>
          </rPr>
          <t>Unknown User:
Quote not emailed</t>
        </r>
      </text>
    </comment>
    <comment ref="G788" authorId="0" shapeId="0" xr:uid="{BEB76A07-0000-432C-AC3E-622F3194A628}">
      <text>
        <r>
          <rPr>
            <sz val="11"/>
            <color theme="1"/>
            <rFont val="Aptos Narrow"/>
            <family val="2"/>
            <scheme val="minor"/>
          </rPr>
          <t>Unknown User:
COMPLETE SERVICE OF WALL TOP TAPS ASSEMBLY</t>
        </r>
      </text>
    </comment>
    <comment ref="P788" authorId="0" shapeId="0" xr:uid="{E5047B97-26E4-4CE9-93EC-F3C1032DFE60}">
      <text>
        <r>
          <rPr>
            <sz val="11"/>
            <color theme="1"/>
            <rFont val="Aptos Narrow"/>
            <family val="2"/>
            <scheme val="minor"/>
          </rPr>
          <t>Unknown User:
Quote not emailed</t>
        </r>
      </text>
    </comment>
    <comment ref="G789" authorId="0" shapeId="0" xr:uid="{8E00131D-DCFD-4728-9BB8-157ABF8916C9}">
      <text>
        <r>
          <rPr>
            <sz val="11"/>
            <color theme="1"/>
            <rFont val="Aptos Narrow"/>
            <family val="2"/>
            <scheme val="minor"/>
          </rPr>
          <t>Unknown User:
SEARCH AND INVESTIGATION OF ELECTRIC STORAGE HOT WATER SYSTEM</t>
        </r>
      </text>
    </comment>
    <comment ref="P789" authorId="0" shapeId="0" xr:uid="{4E9E4C78-C366-4E82-BBAD-A7ACDB7C7F69}">
      <text>
        <r>
          <rPr>
            <sz val="11"/>
            <color theme="1"/>
            <rFont val="Aptos Narrow"/>
            <family val="2"/>
            <scheme val="minor"/>
          </rPr>
          <t>Unknown User:
Quote not emailed</t>
        </r>
      </text>
    </comment>
    <comment ref="G790" authorId="0" shapeId="0" xr:uid="{8E90DEF5-34C7-4247-9D55-52644283E39B}">
      <text>
        <r>
          <rPr>
            <sz val="11"/>
            <color theme="1"/>
            <rFont val="Aptos Narrow"/>
            <family val="2"/>
            <scheme val="minor"/>
          </rPr>
          <t xml:space="preserve">Unknown User:
HIGH POWERED JET BLAST &amp; CCTV DRAIN CAMERA INSPECTION (SEWER SERVICE)
</t>
        </r>
      </text>
    </comment>
    <comment ref="P790" authorId="0" shapeId="0" xr:uid="{C6C1BF4C-5E0E-476C-A771-E754D5DCEB6E}">
      <text>
        <r>
          <rPr>
            <sz val="11"/>
            <color theme="1"/>
            <rFont val="Aptos Narrow"/>
            <family val="2"/>
            <scheme val="minor"/>
          </rPr>
          <t>Unknown User:
Quote not emailed</t>
        </r>
      </text>
    </comment>
    <comment ref="S790" authorId="0" shapeId="0" xr:uid="{2D99BFFA-457F-4B74-9274-2BE660D7AA46}">
      <text>
        <r>
          <rPr>
            <sz val="11"/>
            <color theme="1"/>
            <rFont val="Aptos Narrow"/>
            <family val="2"/>
            <scheme val="minor"/>
          </rPr>
          <t>Unknown User:
Final invoice raised &amp; sign obtained but not emailed</t>
        </r>
      </text>
    </comment>
    <comment ref="A795" authorId="9" shapeId="0" xr:uid="{71A8F6B9-2E19-4EBC-821A-2DB2E1816F1F}">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D795" authorId="0" shapeId="0" xr:uid="{BE4EB54E-DDA5-422D-BB24-BF59FB8EA9A5}">
      <text>
        <r>
          <rPr>
            <sz val="11"/>
            <color theme="1"/>
            <rFont val="Aptos Narrow"/>
            <family val="2"/>
            <scheme val="minor"/>
          </rPr>
          <t>Unknown User:
07/08 Job was unsuccessful by Shaun
21/08 Quote raised &amp; WIP by Laim</t>
        </r>
      </text>
    </comment>
    <comment ref="G795" authorId="0" shapeId="0" xr:uid="{92CFF1FF-4937-41D0-AD9E-AFFCFC311E73}">
      <text>
        <r>
          <rPr>
            <sz val="11"/>
            <color theme="1"/>
            <rFont val="Aptos Narrow"/>
            <family val="2"/>
            <scheme val="minor"/>
          </rPr>
          <t>Unknown User:
REPLACEMENT OF TAP TOPS</t>
        </r>
      </text>
    </comment>
    <comment ref="P795" authorId="0" shapeId="0" xr:uid="{11B03366-BD69-4D84-B00E-0FE46A45990F}">
      <text>
        <r>
          <rPr>
            <sz val="11"/>
            <color theme="1"/>
            <rFont val="Aptos Narrow"/>
            <family val="2"/>
            <scheme val="minor"/>
          </rPr>
          <t>Unknown User:
Quote not emailed</t>
        </r>
      </text>
    </comment>
    <comment ref="G798" authorId="0" shapeId="0" xr:uid="{B0EC5028-0252-499A-8B3F-EC029578D0B2}">
      <text>
        <r>
          <rPr>
            <sz val="11"/>
            <color theme="1"/>
            <rFont val="Aptos Narrow"/>
            <family val="2"/>
            <scheme val="minor"/>
          </rPr>
          <t>Unknown User:
SUPPLY AND INSTALLATION OF PRESSURE REGULATING DEVICE FITTED TO 20MM STRAIGHT PIPEWORK</t>
        </r>
      </text>
    </comment>
    <comment ref="P798" authorId="0" shapeId="0" xr:uid="{21612C7D-9BCB-4AB7-9B90-97E35B2D2D61}">
      <text>
        <r>
          <rPr>
            <sz val="11"/>
            <color theme="1"/>
            <rFont val="Aptos Narrow"/>
            <family val="2"/>
            <scheme val="minor"/>
          </rPr>
          <t>Unknown User:
Quote not emailed</t>
        </r>
      </text>
    </comment>
    <comment ref="G799" authorId="0" shapeId="0" xr:uid="{CD0CA4B2-0C89-4B2B-9BCA-5F076D05B6FA}">
      <text>
        <r>
          <rPr>
            <sz val="11"/>
            <color theme="1"/>
            <rFont val="Aptos Narrow"/>
            <family val="2"/>
            <scheme val="minor"/>
          </rPr>
          <t>Unknown User:
SEWER SPOT DIG - IN GROUND
CONTINUATION OF SERVICE DISCOUNT 
10% Seniors &amp; Pensioners Discount</t>
        </r>
      </text>
    </comment>
    <comment ref="N799" authorId="0" shapeId="0" xr:uid="{6F491A0A-1B96-45B0-915C-BF2DCB98D88D}">
      <text>
        <r>
          <rPr>
            <sz val="11"/>
            <color theme="1"/>
            <rFont val="Aptos Narrow"/>
            <family val="2"/>
            <scheme val="minor"/>
          </rPr>
          <t>Unknown User:
Quote raised in Job #72431</t>
        </r>
      </text>
    </comment>
    <comment ref="V799" authorId="0" shapeId="0" xr:uid="{F0CB179A-D7B9-44ED-B754-53B015F46409}">
      <text>
        <r>
          <rPr>
            <sz val="11"/>
            <color theme="1"/>
            <rFont val="Aptos Narrow"/>
            <family val="2"/>
            <scheme val="minor"/>
          </rPr>
          <t>Unknown User:
Received $1000 for 2 estimates
$938.8 for #87197214
$61.2 for #87195581
25/8-EFT of $7000 received
27/8-Received EFT of $2000</t>
        </r>
      </text>
    </comment>
    <comment ref="G803" authorId="0" shapeId="0" xr:uid="{EF050477-2B1B-461B-805C-CAAAAF03386B}">
      <text>
        <r>
          <rPr>
            <sz val="11"/>
            <color theme="1"/>
            <rFont val="Aptos Narrow"/>
            <family val="2"/>
            <scheme val="minor"/>
          </rPr>
          <t>Unknown User:
HIGH POWERED JET BLAST &amp; CCTV CAMERA INSPECTION (GAIN ACCESS FROM VENT)
Locate main sewer vent
Cut out section of sewer vent
Gain access to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section of sewer vent using specialist repair coupling
Test &amp; commission installation
PLEASE NOTE IF BLOCKAGE DOES NOT CLEAR FURTHER COST WILL APPLY. THIS IS A FIRST ATTEMPT.</t>
        </r>
      </text>
    </comment>
    <comment ref="P803" authorId="0" shapeId="0" xr:uid="{D2DECD60-90FD-4915-99D1-E56E9625F0AA}">
      <text>
        <r>
          <rPr>
            <sz val="11"/>
            <color theme="1"/>
            <rFont val="Aptos Narrow"/>
            <family val="2"/>
            <scheme val="minor"/>
          </rPr>
          <t>Unknown User:
Quote not emailed</t>
        </r>
      </text>
    </comment>
    <comment ref="S803" authorId="0" shapeId="0" xr:uid="{5AC493C5-D253-4AD8-AE09-6AF112674F39}">
      <text>
        <r>
          <rPr>
            <sz val="11"/>
            <color theme="1"/>
            <rFont val="Aptos Narrow"/>
            <family val="2"/>
            <scheme val="minor"/>
          </rPr>
          <t>Unknown User:
Invoice not emailed</t>
        </r>
      </text>
    </comment>
    <comment ref="G804" authorId="0" shapeId="0" xr:uid="{7FCD4336-DF3F-44B4-8266-3234350A7F77}">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804" authorId="0" shapeId="0" xr:uid="{ADC843BA-D0E8-433E-9625-203548FCA96F}">
      <text>
        <r>
          <rPr>
            <sz val="11"/>
            <color theme="1"/>
            <rFont val="Aptos Narrow"/>
            <family val="2"/>
            <scheme val="minor"/>
          </rPr>
          <t>Unknown User:
Quote not Emailed</t>
        </r>
      </text>
    </comment>
    <comment ref="V804" authorId="0" shapeId="0" xr:uid="{EB7E37FE-AAF5-4D87-84BC-A23004338B72}">
      <text>
        <r>
          <rPr>
            <sz val="11"/>
            <color theme="1"/>
            <rFont val="Aptos Narrow"/>
            <family val="2"/>
            <scheme val="minor"/>
          </rPr>
          <t xml:space="preserve">Unknown User:
11/07 Received $200 EFT
</t>
        </r>
      </text>
    </comment>
    <comment ref="G805" authorId="0" shapeId="0" xr:uid="{CC43D0FF-B0B6-4CF7-9F6D-E0F8CFF7D7AA}">
      <text>
        <r>
          <rPr>
            <sz val="11"/>
            <color theme="1"/>
            <rFont val="Aptos Narrow"/>
            <family val="2"/>
            <scheme val="minor"/>
          </rPr>
          <t xml:space="preserve">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
CONTINUATION OF SERVICES </t>
        </r>
      </text>
    </comment>
    <comment ref="N805" authorId="0" shapeId="0" xr:uid="{954618A9-0B73-4917-B752-8C09734E4ADE}">
      <text>
        <r>
          <rPr>
            <sz val="11"/>
            <color theme="1"/>
            <rFont val="Aptos Narrow"/>
            <family val="2"/>
            <scheme val="minor"/>
          </rPr>
          <t>Unknown User:
Quote raised in job #71681</t>
        </r>
      </text>
    </comment>
    <comment ref="P805" authorId="0" shapeId="0" xr:uid="{3BC0EF2C-4617-47E3-A754-C2F1AB219CB9}">
      <text>
        <r>
          <rPr>
            <sz val="11"/>
            <color theme="1"/>
            <rFont val="Aptos Narrow"/>
            <family val="2"/>
            <scheme val="minor"/>
          </rPr>
          <t>Unknown User:
Quote not emailed</t>
        </r>
      </text>
    </comment>
    <comment ref="Q805" authorId="0" shapeId="0" xr:uid="{ACD53EA3-F7A5-4761-BDA2-42BDE75001D2}">
      <text>
        <r>
          <rPr>
            <sz val="11"/>
            <color theme="1"/>
            <rFont val="Aptos Narrow"/>
            <family val="2"/>
            <scheme val="minor"/>
          </rPr>
          <t>Unknown User:
Final invoice not raised</t>
        </r>
      </text>
    </comment>
    <comment ref="U805" authorId="0" shapeId="0" xr:uid="{03895EA3-74F7-42C0-B3D4-411B3427163C}">
      <text>
        <r>
          <rPr>
            <sz val="11"/>
            <color theme="1"/>
            <rFont val="Aptos Narrow"/>
            <family val="2"/>
            <scheme val="minor"/>
          </rPr>
          <t>Unknown User:
23/7-As per Alex's note "Previous invoices weren't taken off on the total and the system didn't match what she paid so I took what she said was left from her end. Please confirm if there is more needed to be taken. I tried my best
"</t>
        </r>
      </text>
    </comment>
    <comment ref="G806" authorId="0" shapeId="0" xr:uid="{B83BDEDD-98AC-4A70-8C5D-1B3D25D9CB51}">
      <text>
        <r>
          <rPr>
            <sz val="11"/>
            <color theme="1"/>
            <rFont val="Aptos Narrow"/>
            <family val="2"/>
            <scheme val="minor"/>
          </rPr>
          <t>Unknown User:
COMMERCIAL HIGH POWERED JETBLAST &amp; CCTV DRAIN CAMERA INSPECTION</t>
        </r>
      </text>
    </comment>
    <comment ref="P806" authorId="0" shapeId="0" xr:uid="{005398ED-1130-4D66-8D1D-1932BF431484}">
      <text>
        <r>
          <rPr>
            <sz val="11"/>
            <color theme="1"/>
            <rFont val="Aptos Narrow"/>
            <family val="2"/>
            <scheme val="minor"/>
          </rPr>
          <t xml:space="preserve">Unknown User:
Quote not emailed
</t>
        </r>
      </text>
    </comment>
    <comment ref="G807" authorId="0" shapeId="0" xr:uid="{A42A33FE-72F2-4692-AF68-D814D01F787E}">
      <text>
        <r>
          <rPr>
            <sz val="11"/>
            <color theme="1"/>
            <rFont val="Aptos Narrow"/>
            <family val="2"/>
            <scheme val="minor"/>
          </rPr>
          <t>Unknown User:
REPLACEMENT OF BASIN SET</t>
        </r>
      </text>
    </comment>
    <comment ref="P807" authorId="0" shapeId="0" xr:uid="{E1DDC35C-4066-49D2-A5B7-121899D31E96}">
      <text>
        <r>
          <rPr>
            <sz val="11"/>
            <color theme="1"/>
            <rFont val="Aptos Narrow"/>
            <family val="2"/>
            <scheme val="minor"/>
          </rPr>
          <t>Unknown User:
Quote not emailed</t>
        </r>
      </text>
    </comment>
    <comment ref="S807" authorId="0" shapeId="0" xr:uid="{65088223-5874-4EB4-9CF1-4D34C7F3143B}">
      <text>
        <r>
          <rPr>
            <sz val="11"/>
            <color theme="1"/>
            <rFont val="Aptos Narrow"/>
            <family val="2"/>
            <scheme val="minor"/>
          </rPr>
          <t>Unknown User:
Final invoice not emailed</t>
        </r>
      </text>
    </comment>
    <comment ref="V807" authorId="0" shapeId="0" xr:uid="{B63AFE11-6BB3-4898-9822-23F49435A31F}">
      <text>
        <r>
          <rPr>
            <sz val="11"/>
            <color theme="1"/>
            <rFont val="Aptos Narrow"/>
            <family val="2"/>
            <scheme val="minor"/>
          </rPr>
          <t>Unknown User:
Short receipt by $30</t>
        </r>
      </text>
    </comment>
    <comment ref="A808" authorId="10" shapeId="0" xr:uid="{DE9AAA83-FDA3-4ADB-8115-0660BBA97C2A}">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808" authorId="0" shapeId="0" xr:uid="{021C1E22-D1BC-4E86-A9F0-EEE91BC3F75A}">
      <text>
        <r>
          <rPr>
            <sz val="11"/>
            <color theme="1"/>
            <rFont val="Aptos Narrow"/>
            <family val="2"/>
            <scheme val="minor"/>
          </rPr>
          <t xml:space="preserve">Unknown User:
SUPPLY &amp; INSTALLATION OF NEW TWIN ELEMENT HOT WATER UNIT (INTERNAL)
</t>
        </r>
      </text>
    </comment>
    <comment ref="L808" authorId="0" shapeId="0" xr:uid="{9B06CB06-F5E1-4A94-907A-D88408851425}">
      <text>
        <r>
          <rPr>
            <sz val="11"/>
            <color theme="1"/>
            <rFont val="Aptos Narrow"/>
            <family val="2"/>
            <scheme val="minor"/>
          </rPr>
          <t>Unknown User:
Temp check pic not uploaded</t>
        </r>
      </text>
    </comment>
    <comment ref="N808" authorId="0" shapeId="0" xr:uid="{96FEF19D-7D05-4A04-A0F7-7138B3510FC5}">
      <text>
        <r>
          <rPr>
            <sz val="11"/>
            <color theme="1"/>
            <rFont val="Aptos Narrow"/>
            <family val="2"/>
            <scheme val="minor"/>
          </rPr>
          <t>Unknown User:
Quote not raised due to technical issue in ServiceTitan.</t>
        </r>
      </text>
    </comment>
    <comment ref="U808" authorId="0" shapeId="0" xr:uid="{B430D87D-A48E-4D93-9F2E-ECA48E9339D1}">
      <text>
        <r>
          <rPr>
            <sz val="11"/>
            <color theme="1"/>
            <rFont val="Aptos Narrow"/>
            <family val="2"/>
            <scheme val="minor"/>
          </rPr>
          <t>Unknown User:
14/8-As per Fiona's note "Customer has claimed that damage to the downstairs apartment has been caused by the water damaged from out workmanship. Charlie has advised that if damage is caused by us then we will definitely cover it however she must pay for her HWS first.
Customer expressed she thought the 10% deposit was the cost paid for the HSW and didn't realize she still owed more. She also advised she wanted a breakdown of cost to which she has now been told twice by different operators that we offer a fixed price quote and not a breakdown of labour and product or equipment."
14/8-As per Sadie's note "customer called to cancel appointment for today - refusing to pay outstanding balance, threatened with laws and regulations and is going to take action within 7 days if she doesn't receive a itemized invoice, advised customer we don't provide itemized invoices due to it being an upfront fixed price quote. customer has a written complaint which i have advised customer to send via email. email is being sent to info@tradesaus.com.au"
13/8-As per Mathew H's note "Karen said that she wasn’t aware of the price of the job, she was very surprised when I told her the balance owing over the phone, I said this would have been presented to you at the start of the job and you paid a deposit of it, she then said that she wanted an itemised invoice and I said we don’t do them as per the website we provide upfront fixed pricing for the work, she said yes I understand and I’m not saying that I’m not going to pay but I need to understand where all the money is going and also you need to sort out the damage caused by the leak to be downstairs of our property. This is difficult when Liam isn’t available at the moment so I said you will have to wait for a few days, for the meantime I sent her the invoice that shows what is outstanding. Adding appointment to follow up on Monday 18th"</t>
        </r>
      </text>
    </comment>
    <comment ref="G812" authorId="0" shapeId="0" xr:uid="{54182C1F-28C7-43EB-B130-2024BBE57990}">
      <text>
        <r>
          <rPr>
            <sz val="11"/>
            <color theme="1"/>
            <rFont val="Aptos Narrow"/>
            <family val="2"/>
            <scheme val="minor"/>
          </rPr>
          <t xml:space="preserve">Unknown User:
INSTALLATION OF DISHWASHER [SAME LOCATION] (CUSTOMER SUPPLIED)
</t>
        </r>
      </text>
    </comment>
    <comment ref="P812" authorId="0" shapeId="0" xr:uid="{DC13E692-E3DB-495A-BB3F-E12D9EAD3F70}">
      <text>
        <r>
          <rPr>
            <sz val="11"/>
            <color theme="1"/>
            <rFont val="Aptos Narrow"/>
            <family val="2"/>
            <scheme val="minor"/>
          </rPr>
          <t>Unknown User:
Quote not emailed</t>
        </r>
      </text>
    </comment>
    <comment ref="G813" authorId="0" shapeId="0" xr:uid="{4C87034E-18BE-4896-83B4-60382EE4F0A6}">
      <text>
        <r>
          <rPr>
            <sz val="11"/>
            <color theme="1"/>
            <rFont val="Aptos Narrow"/>
            <family val="2"/>
            <scheme val="minor"/>
          </rPr>
          <t>Unknown User:
SUPPLY &amp; INSTALLATION OF FREESTANDING OVEN &amp; GAS COOKTOP</t>
        </r>
      </text>
    </comment>
    <comment ref="P813" authorId="0" shapeId="0" xr:uid="{F52F215C-68FE-47FF-A7DE-0E89F12A507C}">
      <text>
        <r>
          <rPr>
            <sz val="11"/>
            <color theme="1"/>
            <rFont val="Aptos Narrow"/>
            <family val="2"/>
            <scheme val="minor"/>
          </rPr>
          <t>Unknown User:
Quote not emailed</t>
        </r>
      </text>
    </comment>
    <comment ref="U813" authorId="0" shapeId="0" xr:uid="{5714425A-3169-4B7F-87E2-E1B7239D9376}">
      <text>
        <r>
          <rPr>
            <sz val="11"/>
            <color theme="1"/>
            <rFont val="Aptos Narrow"/>
            <family val="2"/>
            <scheme val="minor"/>
          </rPr>
          <t>Unknown User:
28/8-As per Liam's note "She wants to cancel because she believes I told her she can have a dual oven. I can’t remember if I did or didn’t say that but I most likely did. I can’t say for sure I didn’t say it so I’ll personally give her the benefit of the doubt. Spoken to the office and they are passing it on to Kylie."
25/08 - As per Joshua's note, "Betty - advised they would email us shortly with the brand of the stove/cooktop and to organise attendance."</t>
        </r>
      </text>
    </comment>
    <comment ref="G817" authorId="0" shapeId="0" xr:uid="{4F8E4CFA-CBA1-4878-AE73-92E23A5E0914}">
      <text>
        <r>
          <rPr>
            <sz val="11"/>
            <color theme="1"/>
            <rFont val="Aptos Narrow"/>
            <family val="2"/>
            <scheme val="minor"/>
          </rPr>
          <t>Unknown User:
HIGH POWERED SUCTION PUMP &amp; ACID TREATMENT WITH CCTV DRAIN CAMERA INSPECTION
10% Seniors &amp; Pensioners Discount</t>
        </r>
      </text>
    </comment>
    <comment ref="G818" authorId="0" shapeId="0" xr:uid="{C83CA362-560B-43C4-BED1-A3D9216C26F0}">
      <text>
        <r>
          <rPr>
            <sz val="11"/>
            <color theme="1"/>
            <rFont val="Aptos Narrow"/>
            <family val="2"/>
            <scheme val="minor"/>
          </rPr>
          <t>Unknown User:
SEARCH AND INVESTIGATION OF SOLAR SPLIT HOT WATER SYSTEM
$65 First Service Discount</t>
        </r>
      </text>
    </comment>
    <comment ref="G819" authorId="0" shapeId="0" xr:uid="{3AC68988-39F7-4109-8D12-095F2F8E3404}">
      <text>
        <r>
          <rPr>
            <sz val="11"/>
            <color theme="1"/>
            <rFont val="Aptos Narrow"/>
            <family val="2"/>
            <scheme val="minor"/>
          </rPr>
          <t>Unknown User:
CCTV DRAIN CAMERA INSPECTION OF SEWER SERVICE</t>
        </r>
      </text>
    </comment>
    <comment ref="G820" authorId="0" shapeId="0" xr:uid="{61750098-C17C-46F5-B423-D2C383C5F331}">
      <text>
        <r>
          <rPr>
            <sz val="11"/>
            <color theme="1"/>
            <rFont val="Aptos Narrow"/>
            <family val="2"/>
            <scheme val="minor"/>
          </rPr>
          <t xml:space="preserve">Unknown User:
SEWER SPOT DIG - IN GROUND
</t>
        </r>
      </text>
    </comment>
    <comment ref="G821" authorId="0" shapeId="0" xr:uid="{CA7FC120-C088-400D-A07F-243C803DDC37}">
      <text>
        <r>
          <rPr>
            <sz val="11"/>
            <color theme="1"/>
            <rFont val="Aptos Narrow"/>
            <family val="2"/>
            <scheme val="minor"/>
          </rPr>
          <t>Unknown User:
SUPPLY &amp; INSTALLATION OF NEW LINK SUITE</t>
        </r>
      </text>
    </comment>
    <comment ref="G822" authorId="0" shapeId="0" xr:uid="{F5A5F25A-E756-44B0-B71B-4B699AD74227}">
      <text>
        <r>
          <rPr>
            <sz val="11"/>
            <color theme="1"/>
            <rFont val="Aptos Narrow"/>
            <family val="2"/>
            <scheme val="minor"/>
          </rPr>
          <t xml:space="preserve">Unknown User:
REPLACEMENT OF SEWER SERVICE PIPE WITH PVC </t>
        </r>
      </text>
    </comment>
    <comment ref="G824" authorId="0" shapeId="0" xr:uid="{155B1B79-4168-46E3-9F49-64FEA0E173D9}">
      <text>
        <r>
          <rPr>
            <sz val="11"/>
            <color theme="1"/>
            <rFont val="Aptos Narrow"/>
            <family val="2"/>
            <scheme val="minor"/>
          </rPr>
          <t>Unknown User:
SEARCH &amp; INVESTIGATION OF DISHWASHER
$85 Off First Service</t>
        </r>
      </text>
    </comment>
    <comment ref="G825" authorId="0" shapeId="0" xr:uid="{BABDB6F4-7A87-4333-8FB8-50B8817E2330}">
      <text>
        <r>
          <rPr>
            <sz val="11"/>
            <color theme="1"/>
            <rFont val="Aptos Narrow"/>
            <family val="2"/>
            <scheme val="minor"/>
          </rPr>
          <t xml:space="preserve">Unknown User:
ROOF LEAK SEARCH &amp; INVESTIGATION
</t>
        </r>
      </text>
    </comment>
    <comment ref="G826" authorId="0" shapeId="0" xr:uid="{40087456-9287-45BB-9FD6-120E2D0A8D6F}">
      <text>
        <r>
          <rPr>
            <sz val="11"/>
            <color theme="1"/>
            <rFont val="Aptos Narrow"/>
            <family val="2"/>
            <scheme val="minor"/>
          </rPr>
          <t xml:space="preserve">Unknown User:
DOWN PIPE ADAPTER REPAIR </t>
        </r>
      </text>
    </comment>
    <comment ref="G827" authorId="0" shapeId="0" xr:uid="{87E00585-A1B1-49AB-8765-C87FEB7232C6}">
      <text>
        <r>
          <rPr>
            <sz val="11"/>
            <color theme="1"/>
            <rFont val="Aptos Narrow"/>
            <family val="2"/>
            <scheme val="minor"/>
          </rPr>
          <t xml:space="preserve">Unknown User:
INSTALLATION OF SHOWER ON RAIL (CUSTOMER SUPPLIED)
</t>
        </r>
      </text>
    </comment>
    <comment ref="G828" authorId="0" shapeId="0" xr:uid="{C72F0E1E-FA13-4016-9F21-F1BC49332CAF}">
      <text>
        <r>
          <rPr>
            <sz val="11"/>
            <color theme="1"/>
            <rFont val="Aptos Narrow"/>
            <family val="2"/>
            <scheme val="minor"/>
          </rPr>
          <t>Unknown User:
SUPPLY &amp; INSTALLATION OF NEW LINK SUITE
10% Seniors &amp; Pensioners Discount</t>
        </r>
      </text>
    </comment>
    <comment ref="G829" authorId="0" shapeId="0" xr:uid="{83F4A7BB-C20C-4EDD-86A6-0D0BEB7A8BCF}">
      <text>
        <r>
          <rPr>
            <sz val="11"/>
            <color theme="1"/>
            <rFont val="Aptos Narrow"/>
            <family val="2"/>
            <scheme val="minor"/>
          </rPr>
          <t>Unknown User:
COMPLETE SERVICE OF WALL TOP TAPS ASSEMBLY
REPLACEMENT OF SHOWER ON RAIL</t>
        </r>
      </text>
    </comment>
    <comment ref="G830" authorId="0" shapeId="0" xr:uid="{B7B267A1-2FE5-4517-A90B-6323D0EA534D}">
      <text>
        <r>
          <rPr>
            <sz val="11"/>
            <color theme="1"/>
            <rFont val="Aptos Narrow"/>
            <family val="2"/>
            <scheme val="minor"/>
          </rPr>
          <t xml:space="preserve">Unknown User:
COMPLETE SERVICE OF WALL TOP TAPS ASSEMBLY
</t>
        </r>
      </text>
    </comment>
    <comment ref="G831" authorId="0" shapeId="0" xr:uid="{9C3A633D-A4B6-45BE-8F7D-E32F7B1A0D86}">
      <text>
        <r>
          <rPr>
            <sz val="11"/>
            <color theme="1"/>
            <rFont val="Aptos Narrow"/>
            <family val="2"/>
            <scheme val="minor"/>
          </rPr>
          <t xml:space="preserve">Unknown User:
HIGH POWERED JET BLAST &amp; CCTV DRAIN CAMERA INSPECTION (SEWER SERVICE)
</t>
        </r>
      </text>
    </comment>
    <comment ref="G832" authorId="0" shapeId="0" xr:uid="{E90A8C38-FC4F-4E27-8868-965D3C56C4B4}">
      <text>
        <r>
          <rPr>
            <sz val="11"/>
            <color theme="1"/>
            <rFont val="Aptos Narrow"/>
            <family val="2"/>
            <scheme val="minor"/>
          </rPr>
          <t>Unknown User:
REPLACEMENT OF EXISTING GOOSE NECK KITCHEN MIXER (CUSTOMER SUPPLIED)</t>
        </r>
      </text>
    </comment>
    <comment ref="G833" authorId="0" shapeId="0" xr:uid="{F91247A6-22F8-48F8-AAF2-BEE6A18F38FE}">
      <text>
        <r>
          <rPr>
            <sz val="11"/>
            <color theme="1"/>
            <rFont val="Aptos Narrow"/>
            <family val="2"/>
            <scheme val="minor"/>
          </rPr>
          <t xml:space="preserve">Unknown User:
SUPPLY &amp; INSTALLATION OF NEW SINGLE ELEMENT HOT WATER UNIT (250L &gt; 400L)
CREDIT OF SEARCH &amp; INVESTIGATION
</t>
        </r>
      </text>
    </comment>
    <comment ref="G834" authorId="0" shapeId="0" xr:uid="{B09F2B93-21BB-4631-AD90-3E58D46C6D0D}">
      <text>
        <r>
          <rPr>
            <sz val="11"/>
            <color theme="1"/>
            <rFont val="Aptos Narrow"/>
            <family val="2"/>
            <scheme val="minor"/>
          </rPr>
          <t>Unknown User:
CHEMICAL DRAIN CLEANING TREATMENT</t>
        </r>
      </text>
    </comment>
    <comment ref="G835" authorId="0" shapeId="0" xr:uid="{B376F0F2-C05D-4300-9321-0F1700AD00D6}">
      <text>
        <r>
          <rPr>
            <sz val="11"/>
            <color theme="1"/>
            <rFont val="Aptos Narrow"/>
            <family val="2"/>
            <scheme val="minor"/>
          </rPr>
          <t>Unknown User:
ROOF LEAK SEARCH &amp; INVESTIGATION
10% Seniors &amp; Pensioners Discount
Customer Satisfaction Discount</t>
        </r>
      </text>
    </comment>
    <comment ref="G867" authorId="0" shapeId="0" xr:uid="{359E9F54-9F5C-46F2-B77E-63442F8E515D}">
      <text>
        <r>
          <rPr>
            <sz val="11"/>
            <color theme="1"/>
            <rFont val="Aptos Narrow"/>
            <family val="2"/>
            <scheme val="minor"/>
          </rPr>
          <t>Unknown User:
HIGH POWERED JET BLAST &amp; CCTV DRAIN CAMERA INSPECTION (SEWER SERVICE)</t>
        </r>
      </text>
    </comment>
    <comment ref="M867" authorId="0" shapeId="0" xr:uid="{9D781731-1766-4707-AF29-9CF6825062F7}">
      <text>
        <r>
          <rPr>
            <sz val="11"/>
            <color theme="1"/>
            <rFont val="Aptos Narrow"/>
            <family val="2"/>
            <scheme val="minor"/>
          </rPr>
          <t>Unknown User:
Smartpay receipt of $1126.80 not uploaded by plumber.
Uploaded by Modoras team.</t>
        </r>
      </text>
    </comment>
    <comment ref="P867" authorId="0" shapeId="0" xr:uid="{9F88B748-E6D1-401D-848F-F30ED556550F}">
      <text>
        <r>
          <rPr>
            <sz val="11"/>
            <color theme="1"/>
            <rFont val="Aptos Narrow"/>
            <family val="2"/>
            <scheme val="minor"/>
          </rPr>
          <t>Unknown User:
Quote not emailed</t>
        </r>
      </text>
    </comment>
    <comment ref="G868" authorId="0" shapeId="0" xr:uid="{FD17E7EF-7179-4F3E-A703-A21595FB6DA3}">
      <text>
        <r>
          <rPr>
            <sz val="11"/>
            <color theme="1"/>
            <rFont val="Aptos Narrow"/>
            <family val="2"/>
            <scheme val="minor"/>
          </rPr>
          <t xml:space="preserve">Unknown User:
HIGH POWERED JET BLAST &amp; CCTV DRAIN CAMERA INSPECTION (SEWER SERVICE)
$110 Blocked Drains Discount </t>
        </r>
      </text>
    </comment>
    <comment ref="P868" authorId="0" shapeId="0" xr:uid="{133A6E7A-E4D7-422F-A862-7E420B57C7FE}">
      <text>
        <r>
          <rPr>
            <sz val="11"/>
            <color theme="1"/>
            <rFont val="Aptos Narrow"/>
            <family val="2"/>
            <scheme val="minor"/>
          </rPr>
          <t>Unknown User:
Quote not emailed</t>
        </r>
      </text>
    </comment>
    <comment ref="G869" authorId="0" shapeId="0" xr:uid="{F8854140-CA33-4EBB-B2FB-ABED467D6A5C}">
      <text>
        <r>
          <rPr>
            <sz val="11"/>
            <color theme="1"/>
            <rFont val="Aptos Narrow"/>
            <family val="2"/>
            <scheme val="minor"/>
          </rPr>
          <t>Unknown User:
SEARCH &amp; INVESTIGATION – PUMP</t>
        </r>
      </text>
    </comment>
    <comment ref="T869" authorId="0" shapeId="0" xr:uid="{FDBFE527-8713-4641-91D0-C29CA644006B}">
      <text>
        <r>
          <rPr>
            <sz val="11"/>
            <color theme="1"/>
            <rFont val="Aptos Narrow"/>
            <family val="2"/>
            <scheme val="minor"/>
          </rPr>
          <t>Unknown User:
Ben</t>
        </r>
      </text>
    </comment>
    <comment ref="G870" authorId="0" shapeId="0" xr:uid="{57DDD990-06B1-4D22-8B5C-2ABD8F892DCC}">
      <text>
        <r>
          <rPr>
            <sz val="11"/>
            <color theme="1"/>
            <rFont val="Aptos Narrow"/>
            <family val="2"/>
            <scheme val="minor"/>
          </rPr>
          <t>Unknown User:
REPLACEMENT OF FIRST FLUSH DIVERTER ON AN EXISTING PVC DOWNPIPE
10% Seniors &amp; Pensioners Discount</t>
        </r>
      </text>
    </comment>
    <comment ref="P870" authorId="0" shapeId="0" xr:uid="{82A41CB0-F098-4754-B3DF-BB7BA68A92B0}">
      <text>
        <r>
          <rPr>
            <sz val="11"/>
            <color theme="1"/>
            <rFont val="Aptos Narrow"/>
            <family val="2"/>
            <scheme val="minor"/>
          </rPr>
          <t>Unknown User:
Quote not emailed</t>
        </r>
      </text>
    </comment>
    <comment ref="G871" authorId="0" shapeId="0" xr:uid="{FABD73EA-473A-4C77-BD6E-4864D2D5A0AB}">
      <text>
        <r>
          <rPr>
            <sz val="11"/>
            <color theme="1"/>
            <rFont val="Aptos Narrow"/>
            <family val="2"/>
            <scheme val="minor"/>
          </rPr>
          <t>Unknown User:
SEARCH &amp; INVESTIGATION OF GAS STORAGE HOT WATER SYSTEM</t>
        </r>
      </text>
    </comment>
    <comment ref="M871" authorId="0" shapeId="0" xr:uid="{0F631E2A-6255-4513-87BD-B22DBA6BA7F0}">
      <text>
        <r>
          <rPr>
            <sz val="11"/>
            <color theme="1"/>
            <rFont val="Aptos Narrow"/>
            <family val="2"/>
            <scheme val="minor"/>
          </rPr>
          <t>Unknown User:
Smartpay receipt of $621 not uploaded by plumber.
Uploaded by Modoras team.</t>
        </r>
      </text>
    </comment>
    <comment ref="P871" authorId="0" shapeId="0" xr:uid="{0C518BDB-DE2F-471B-9465-6CDE8801BD4B}">
      <text>
        <r>
          <rPr>
            <sz val="11"/>
            <color theme="1"/>
            <rFont val="Aptos Narrow"/>
            <family val="2"/>
            <scheme val="minor"/>
          </rPr>
          <t>Unknown User:
Quote not emailed</t>
        </r>
      </text>
    </comment>
    <comment ref="G872" authorId="0" shapeId="0" xr:uid="{D1FD9FED-CCA3-45F3-989D-4A43C8285BBD}">
      <text>
        <r>
          <rPr>
            <sz val="11"/>
            <color theme="1"/>
            <rFont val="Aptos Narrow"/>
            <family val="2"/>
            <scheme val="minor"/>
          </rPr>
          <t>Unknown User:
MIXER TAP - GOOSE NECK</t>
        </r>
      </text>
    </comment>
    <comment ref="P872" authorId="0" shapeId="0" xr:uid="{9B7E3DE3-22CD-4652-91F7-10D0CDED3997}">
      <text>
        <r>
          <rPr>
            <sz val="11"/>
            <color theme="1"/>
            <rFont val="Aptos Narrow"/>
            <family val="2"/>
            <scheme val="minor"/>
          </rPr>
          <t>Unknown User:
Quote not emailed</t>
        </r>
      </text>
    </comment>
    <comment ref="G873" authorId="0" shapeId="0" xr:uid="{E95B68F2-C33D-4C0D-A8DC-D8CF7693153D}">
      <text>
        <r>
          <rPr>
            <sz val="11"/>
            <color theme="1"/>
            <rFont val="Aptos Narrow"/>
            <family val="2"/>
            <scheme val="minor"/>
          </rPr>
          <t>Unknown User:
SEARCH &amp; INVESTIGATION OF POTENTIAL GAS LEAK
10% Seniors &amp; Pensioners Discount</t>
        </r>
      </text>
    </comment>
    <comment ref="P873" authorId="0" shapeId="0" xr:uid="{2B4B3DBE-9975-45AE-AD64-E3388D72FA4E}">
      <text>
        <r>
          <rPr>
            <sz val="11"/>
            <color theme="1"/>
            <rFont val="Aptos Narrow"/>
            <family val="2"/>
            <scheme val="minor"/>
          </rPr>
          <t>Unknown User:
Quote not emailed</t>
        </r>
      </text>
    </comment>
    <comment ref="S873" authorId="0" shapeId="0" xr:uid="{B693C038-4E31-4CA1-A609-9F92D1B178F4}">
      <text>
        <r>
          <rPr>
            <sz val="11"/>
            <color theme="1"/>
            <rFont val="Aptos Narrow"/>
            <family val="2"/>
            <scheme val="minor"/>
          </rPr>
          <t>Unknown User:
Final invoice signed but not emailed</t>
        </r>
      </text>
    </comment>
    <comment ref="G874" authorId="0" shapeId="0" xr:uid="{4433DDC6-814E-4119-9A7F-99DB3D850BE6}">
      <text>
        <r>
          <rPr>
            <sz val="11"/>
            <color theme="1"/>
            <rFont val="Aptos Narrow"/>
            <family val="2"/>
            <scheme val="minor"/>
          </rPr>
          <t>Unknown User:
COMPLETE SERVICE OF TOILET CISTERN
10% Seniors &amp; Pensioners Discount</t>
        </r>
      </text>
    </comment>
    <comment ref="P874" authorId="0" shapeId="0" xr:uid="{FA16A624-7B41-48AB-BE5C-89B88E5E451A}">
      <text>
        <r>
          <rPr>
            <sz val="11"/>
            <color theme="1"/>
            <rFont val="Aptos Narrow"/>
            <family val="2"/>
            <scheme val="minor"/>
          </rPr>
          <t>Unknown User:
Quote not emailed</t>
        </r>
      </text>
    </comment>
    <comment ref="G875" authorId="0" shapeId="0" xr:uid="{5E97F6C4-EF16-4CE5-A28A-CE4D7BF6B1DD}">
      <text>
        <r>
          <rPr>
            <sz val="11"/>
            <color theme="1"/>
            <rFont val="Aptos Narrow"/>
            <family val="2"/>
            <scheme val="minor"/>
          </rPr>
          <t>Unknown User:
HIGH POWERED JET BLAST &amp; CCTV DRAIN CAMERA INSPECTION (SEWER SERVICE)</t>
        </r>
      </text>
    </comment>
    <comment ref="L875" authorId="0" shapeId="0" xr:uid="{3BE5E0E0-A186-420C-A2A7-A03A48AF748D}">
      <text>
        <r>
          <rPr>
            <sz val="11"/>
            <color theme="1"/>
            <rFont val="Aptos Narrow"/>
            <family val="2"/>
            <scheme val="minor"/>
          </rPr>
          <t>Unknown User:
CCTV drain camera pics/videos not uploaded</t>
        </r>
      </text>
    </comment>
    <comment ref="P875" authorId="0" shapeId="0" xr:uid="{B2214744-085F-49D4-AABA-75B0CD36F697}">
      <text>
        <r>
          <rPr>
            <sz val="11"/>
            <color theme="1"/>
            <rFont val="Aptos Narrow"/>
            <family val="2"/>
            <scheme val="minor"/>
          </rPr>
          <t>Unknown User:
Quote not emailed</t>
        </r>
      </text>
    </comment>
    <comment ref="V875" authorId="0" shapeId="0" xr:uid="{5978A191-4749-4097-86F6-0FD659316EFA}">
      <text>
        <r>
          <rPr>
            <sz val="11"/>
            <color theme="1"/>
            <rFont val="Aptos Narrow"/>
            <family val="2"/>
            <scheme val="minor"/>
          </rPr>
          <t>Unknown User:
Overpayment by $26</t>
        </r>
      </text>
    </comment>
    <comment ref="G880" authorId="0" shapeId="0" xr:uid="{E2ADBD5E-0716-49E9-9A20-2CCE5557B4E2}">
      <text>
        <r>
          <rPr>
            <sz val="11"/>
            <color theme="1"/>
            <rFont val="Aptos Narrow"/>
            <family val="2"/>
            <scheme val="minor"/>
          </rPr>
          <t>Unknown User:
SUPPLY &amp; INSTALLATION OF FREESTANDING OVEN &amp; GAS COOKTOP</t>
        </r>
      </text>
    </comment>
    <comment ref="P880" authorId="0" shapeId="0" xr:uid="{6DBBF5AA-0298-48F4-A73F-0E34B3AB9FE9}">
      <text>
        <r>
          <rPr>
            <sz val="11"/>
            <color theme="1"/>
            <rFont val="Aptos Narrow"/>
            <family val="2"/>
            <scheme val="minor"/>
          </rPr>
          <t>Unknown User:
Quote not emailed</t>
        </r>
      </text>
    </comment>
    <comment ref="U880" authorId="0" shapeId="0" xr:uid="{EEE543F8-2FE3-405F-B299-4611EC599CF9}">
      <text>
        <r>
          <rPr>
            <sz val="11"/>
            <color theme="1"/>
            <rFont val="Aptos Narrow"/>
            <family val="2"/>
            <scheme val="minor"/>
          </rPr>
          <t>Unknown User:
28/8-As per Liam's note "She wants to cancel because she believes I told her she can have a dual oven. I can’t remember if I did or didn’t say that but I most likely did. I can’t say for sure I didn’t say it so I’ll personally give her the benefit of the doubt. Spoken to the office and they are passing it on to Kylie."
25/08 - As per Joshua's note, "Betty - advised they would email us shortly with the brand of the stove/cooktop and to organise attendance."</t>
        </r>
      </text>
    </comment>
    <comment ref="G884" authorId="0" shapeId="0" xr:uid="{4F0194E0-5791-4BE5-8BB5-01DFB19D3C16}">
      <text>
        <r>
          <rPr>
            <sz val="11"/>
            <color theme="1"/>
            <rFont val="Aptos Narrow"/>
            <family val="2"/>
            <scheme val="minor"/>
          </rPr>
          <t>Unknown User:
WATER SERVICE RECTIFICATION (IN GROUND)
10% Seniors &amp; Pensioners Discount</t>
        </r>
      </text>
    </comment>
    <comment ref="P884" authorId="0" shapeId="0" xr:uid="{397DDC2A-A39C-4528-A8B8-33FC233277CE}">
      <text>
        <r>
          <rPr>
            <sz val="11"/>
            <color theme="1"/>
            <rFont val="Aptos Narrow"/>
            <family val="2"/>
            <scheme val="minor"/>
          </rPr>
          <t>Unknown User:
Quote not emailed</t>
        </r>
      </text>
    </comment>
    <comment ref="G885" authorId="0" shapeId="0" xr:uid="{358CFAD2-4773-471D-85FF-D03812433920}">
      <text>
        <r>
          <rPr>
            <sz val="11"/>
            <color theme="1"/>
            <rFont val="Aptos Narrow"/>
            <family val="2"/>
            <scheme val="minor"/>
          </rPr>
          <t xml:space="preserve">Unknown User:
SUPPLY &amp; INSTALLATION OF GAS STORAGE HOT WATER SYSTEM (EXTERNAL)
CREDIT OF SEARCH &amp; INVESTIGATION </t>
        </r>
      </text>
    </comment>
    <comment ref="N885" authorId="0" shapeId="0" xr:uid="{05920967-F748-4D9E-B53E-688C0FD7D063}">
      <text>
        <r>
          <rPr>
            <sz val="11"/>
            <color theme="1"/>
            <rFont val="Aptos Narrow"/>
            <family val="2"/>
            <scheme val="minor"/>
          </rPr>
          <t>Unknown User:
Quote raised &amp; uploaded in Job #72903</t>
        </r>
      </text>
    </comment>
    <comment ref="P885" authorId="0" shapeId="0" xr:uid="{F7CF2652-9E4F-4E7D-A51E-30881B71875D}">
      <text>
        <r>
          <rPr>
            <sz val="11"/>
            <color theme="1"/>
            <rFont val="Aptos Narrow"/>
            <family val="2"/>
            <scheme val="minor"/>
          </rPr>
          <t>Unknown User:
Quote not emailed</t>
        </r>
      </text>
    </comment>
    <comment ref="T885" authorId="0" shapeId="0" xr:uid="{27D5E6E3-4B2C-4F2F-A75E-8039B01A157A}">
      <text>
        <r>
          <rPr>
            <sz val="11"/>
            <color theme="1"/>
            <rFont val="Aptos Narrow"/>
            <family val="2"/>
            <scheme val="minor"/>
          </rPr>
          <t>Unknown User:
0.5x for Tolga 
0.5x for Rylee W</t>
        </r>
      </text>
    </comment>
    <comment ref="G889" authorId="0" shapeId="0" xr:uid="{9D2D9EB5-50B9-459D-825E-74323D91101D}">
      <text>
        <r>
          <rPr>
            <sz val="11"/>
            <color theme="1"/>
            <rFont val="Aptos Narrow"/>
            <family val="2"/>
            <scheme val="minor"/>
          </rPr>
          <t>Unknown User:
REPLACEMENT OF TIMING TAP</t>
        </r>
      </text>
    </comment>
    <comment ref="O889" authorId="0" shapeId="0" xr:uid="{9957E185-ED24-455C-9440-D1D6AB84BF50}">
      <text>
        <r>
          <rPr>
            <sz val="11"/>
            <color theme="1"/>
            <rFont val="Aptos Narrow"/>
            <family val="2"/>
            <scheme val="minor"/>
          </rPr>
          <t>Unknown User:
Quote not signed</t>
        </r>
      </text>
    </comment>
    <comment ref="P889" authorId="0" shapeId="0" xr:uid="{BE92A58F-3894-4D4A-B0BE-050C5345665E}">
      <text>
        <r>
          <rPr>
            <sz val="11"/>
            <color theme="1"/>
            <rFont val="Aptos Narrow"/>
            <family val="2"/>
            <scheme val="minor"/>
          </rPr>
          <t>Unknown User:
Quote not emailed</t>
        </r>
      </text>
    </comment>
    <comment ref="G890" authorId="0" shapeId="0" xr:uid="{2BFC431D-A278-477C-9EAD-72D9457043B9}">
      <text>
        <r>
          <rPr>
            <sz val="11"/>
            <color theme="1"/>
            <rFont val="Aptos Narrow"/>
            <family val="2"/>
            <scheme val="minor"/>
          </rPr>
          <t>Unknown User:
SERVICE &amp; PUMP OUT OF SEPTIC TANK</t>
        </r>
      </text>
    </comment>
    <comment ref="P890" authorId="0" shapeId="0" xr:uid="{A009FBFD-5423-43A0-B0DB-C12A95022BC3}">
      <text>
        <r>
          <rPr>
            <sz val="11"/>
            <color theme="1"/>
            <rFont val="Aptos Narrow"/>
            <family val="2"/>
            <scheme val="minor"/>
          </rPr>
          <t>Unknown User:
Quote not emailed</t>
        </r>
      </text>
    </comment>
    <comment ref="G891" authorId="0" shapeId="0" xr:uid="{7FD43857-46CA-4BF5-9C09-A3673CD2899B}">
      <text>
        <r>
          <rPr>
            <sz val="11"/>
            <color theme="1"/>
            <rFont val="Aptos Narrow"/>
            <family val="2"/>
            <scheme val="minor"/>
          </rPr>
          <t xml:space="preserve">Unknown User:
REPLACEMENT OF EXISTING OVERFLOW GULLY &amp; SECTION OF MAIN SEWER SERVICE (UNDER CONCRETE)
</t>
        </r>
      </text>
    </comment>
    <comment ref="N891" authorId="0" shapeId="0" xr:uid="{9D412352-76EC-49D2-A293-E7E22AA2C551}">
      <text>
        <r>
          <rPr>
            <sz val="11"/>
            <color theme="1"/>
            <rFont val="Aptos Narrow"/>
            <family val="2"/>
            <scheme val="minor"/>
          </rPr>
          <t>Unknown User:
Quote raised in Job #73005</t>
        </r>
      </text>
    </comment>
    <comment ref="P891" authorId="0" shapeId="0" xr:uid="{38A9A8EB-F1CA-4FB5-BB93-3F31949D2606}">
      <text>
        <r>
          <rPr>
            <sz val="11"/>
            <color theme="1"/>
            <rFont val="Aptos Narrow"/>
            <family val="2"/>
            <scheme val="minor"/>
          </rPr>
          <t>Unknown User:
Quote not emailed</t>
        </r>
      </text>
    </comment>
    <comment ref="G895" authorId="0" shapeId="0" xr:uid="{E22AF160-6553-41F0-B1E4-9A0859994819}">
      <text>
        <r>
          <rPr>
            <sz val="11"/>
            <color theme="1"/>
            <rFont val="Aptos Narrow"/>
            <family val="2"/>
            <scheme val="minor"/>
          </rPr>
          <t>Unknown User:
HIGH POWERED JET BLAST &amp; CCTV CAMERA INSPECTION (GAIN ACCESS FROM VENT)
Locate main sewer vent
Cut out section of sewer vent
Gain access to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section of sewer vent using specialist repair coupling
Test &amp; commission installation
PLEASE NOTE IF BLOCKAGE DOES NOT CLEAR FURTHER COST WILL APPLY. THIS IS A FIRST ATTEMPT.</t>
        </r>
      </text>
    </comment>
    <comment ref="P895" authorId="0" shapeId="0" xr:uid="{72482B7E-4099-4C9A-AEBC-A1C3FF6735E3}">
      <text>
        <r>
          <rPr>
            <sz val="11"/>
            <color theme="1"/>
            <rFont val="Aptos Narrow"/>
            <family val="2"/>
            <scheme val="minor"/>
          </rPr>
          <t>Unknown User:
Quote not emailed</t>
        </r>
      </text>
    </comment>
    <comment ref="S895" authorId="0" shapeId="0" xr:uid="{87460EA4-58E1-43AF-888F-FF8D269BA7AB}">
      <text>
        <r>
          <rPr>
            <sz val="11"/>
            <color theme="1"/>
            <rFont val="Aptos Narrow"/>
            <family val="2"/>
            <scheme val="minor"/>
          </rPr>
          <t>Unknown User:
Invoice not emailed</t>
        </r>
      </text>
    </comment>
    <comment ref="G896" authorId="0" shapeId="0" xr:uid="{A3E2DCC6-9D51-490E-816A-11CA6A7A026B}">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896" authorId="0" shapeId="0" xr:uid="{B0F92D93-F8FA-455B-9B58-91031DDE4ED6}">
      <text>
        <r>
          <rPr>
            <sz val="11"/>
            <color theme="1"/>
            <rFont val="Aptos Narrow"/>
            <family val="2"/>
            <scheme val="minor"/>
          </rPr>
          <t>Unknown User:
Quote not Emailed</t>
        </r>
      </text>
    </comment>
    <comment ref="V896" authorId="0" shapeId="0" xr:uid="{81416604-4D71-4770-923D-8FD61C766DDB}">
      <text>
        <r>
          <rPr>
            <sz val="11"/>
            <color theme="1"/>
            <rFont val="Aptos Narrow"/>
            <family val="2"/>
            <scheme val="minor"/>
          </rPr>
          <t xml:space="preserve">Unknown User:
11/07 Received $200 EFT
</t>
        </r>
      </text>
    </comment>
    <comment ref="G897" authorId="0" shapeId="0" xr:uid="{1E22353E-7CCF-47D5-9C62-D06E01D9D746}">
      <text>
        <r>
          <rPr>
            <sz val="11"/>
            <color theme="1"/>
            <rFont val="Aptos Narrow"/>
            <family val="2"/>
            <scheme val="minor"/>
          </rPr>
          <t xml:space="preserve">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
CONTINUATION OF SERVICES </t>
        </r>
      </text>
    </comment>
    <comment ref="N897" authorId="0" shapeId="0" xr:uid="{18F38F32-B462-4F1C-A8FA-EB0327E5EF66}">
      <text>
        <r>
          <rPr>
            <sz val="11"/>
            <color theme="1"/>
            <rFont val="Aptos Narrow"/>
            <family val="2"/>
            <scheme val="minor"/>
          </rPr>
          <t>Unknown User:
Quote raised in job #71681</t>
        </r>
      </text>
    </comment>
    <comment ref="P897" authorId="0" shapeId="0" xr:uid="{288240FE-DC45-49C0-8F40-94B634828AC4}">
      <text>
        <r>
          <rPr>
            <sz val="11"/>
            <color theme="1"/>
            <rFont val="Aptos Narrow"/>
            <family val="2"/>
            <scheme val="minor"/>
          </rPr>
          <t>Unknown User:
Quote not emailed</t>
        </r>
      </text>
    </comment>
    <comment ref="Q897" authorId="0" shapeId="0" xr:uid="{58FA301E-EDB9-492C-824D-65F43B5F4EFF}">
      <text>
        <r>
          <rPr>
            <sz val="11"/>
            <color theme="1"/>
            <rFont val="Aptos Narrow"/>
            <family val="2"/>
            <scheme val="minor"/>
          </rPr>
          <t>Unknown User:
Final invoice not raised</t>
        </r>
      </text>
    </comment>
    <comment ref="U897" authorId="0" shapeId="0" xr:uid="{7FFA97A1-C7CE-4E9D-9F0E-2CEF9E735731}">
      <text>
        <r>
          <rPr>
            <sz val="11"/>
            <color theme="1"/>
            <rFont val="Aptos Narrow"/>
            <family val="2"/>
            <scheme val="minor"/>
          </rPr>
          <t>Unknown User:
23/7-As per Alex's note "Previous invoices weren't taken off on the total and the system didn't match what she paid so I took what she said was left from her end. Please confirm if there is more needed to be taken. I tried my best
"</t>
        </r>
      </text>
    </comment>
    <comment ref="G898" authorId="0" shapeId="0" xr:uid="{8E804351-FA04-44B6-A531-135EB8871489}">
      <text>
        <r>
          <rPr>
            <sz val="11"/>
            <color theme="1"/>
            <rFont val="Aptos Narrow"/>
            <family val="2"/>
            <scheme val="minor"/>
          </rPr>
          <t>Unknown User:
COMMERCIAL HIGH POWERED JETBLAST &amp; CCTV DRAIN CAMERA INSPECTION</t>
        </r>
      </text>
    </comment>
    <comment ref="P898" authorId="0" shapeId="0" xr:uid="{EF2D6088-72E1-4B3C-9745-CBFAF3EE9425}">
      <text>
        <r>
          <rPr>
            <sz val="11"/>
            <color theme="1"/>
            <rFont val="Aptos Narrow"/>
            <family val="2"/>
            <scheme val="minor"/>
          </rPr>
          <t xml:space="preserve">Unknown User:
Quote not emailed
</t>
        </r>
      </text>
    </comment>
    <comment ref="G899" authorId="0" shapeId="0" xr:uid="{8A721016-4243-4ED8-9718-7F7450061125}">
      <text>
        <r>
          <rPr>
            <sz val="11"/>
            <color theme="1"/>
            <rFont val="Aptos Narrow"/>
            <family val="2"/>
            <scheme val="minor"/>
          </rPr>
          <t>Unknown User:
REPLACEMENT OF BASIN SET</t>
        </r>
      </text>
    </comment>
    <comment ref="P899" authorId="0" shapeId="0" xr:uid="{B82A50D9-79B1-4C03-8C1F-5404CAEBCDEA}">
      <text>
        <r>
          <rPr>
            <sz val="11"/>
            <color theme="1"/>
            <rFont val="Aptos Narrow"/>
            <family val="2"/>
            <scheme val="minor"/>
          </rPr>
          <t>Unknown User:
Quote not emailed</t>
        </r>
      </text>
    </comment>
    <comment ref="S899" authorId="0" shapeId="0" xr:uid="{EB4997F6-62BA-4F58-B10A-B26CC218AD38}">
      <text>
        <r>
          <rPr>
            <sz val="11"/>
            <color theme="1"/>
            <rFont val="Aptos Narrow"/>
            <family val="2"/>
            <scheme val="minor"/>
          </rPr>
          <t>Unknown User:
Final invoice not emailed</t>
        </r>
      </text>
    </comment>
    <comment ref="V899" authorId="0" shapeId="0" xr:uid="{7BCF61DE-F87B-4B6F-BB1F-9EA137C69FEB}">
      <text>
        <r>
          <rPr>
            <sz val="11"/>
            <color theme="1"/>
            <rFont val="Aptos Narrow"/>
            <family val="2"/>
            <scheme val="minor"/>
          </rPr>
          <t>Unknown User:
Short receipt by $30</t>
        </r>
      </text>
    </comment>
    <comment ref="A900" authorId="11" shapeId="0" xr:uid="{201FB57F-20A0-4D2F-BFC4-5E8876074492}">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900" authorId="0" shapeId="0" xr:uid="{5C4DF48B-3326-4ADB-A7E3-D5FAAD784E5B}">
      <text>
        <r>
          <rPr>
            <sz val="11"/>
            <color theme="1"/>
            <rFont val="Aptos Narrow"/>
            <family val="2"/>
            <scheme val="minor"/>
          </rPr>
          <t xml:space="preserve">Unknown User:
SUPPLY &amp; INSTALLATION OF NEW TWIN ELEMENT HOT WATER UNIT (INTERNAL)
</t>
        </r>
      </text>
    </comment>
    <comment ref="L900" authorId="0" shapeId="0" xr:uid="{50C064E6-2BA2-4401-B620-31C185A06A68}">
      <text>
        <r>
          <rPr>
            <sz val="11"/>
            <color theme="1"/>
            <rFont val="Aptos Narrow"/>
            <family val="2"/>
            <scheme val="minor"/>
          </rPr>
          <t>Unknown User:
Temp check pic not uploaded</t>
        </r>
      </text>
    </comment>
    <comment ref="N900" authorId="0" shapeId="0" xr:uid="{13043231-2793-4B49-AA42-DFDBB0D42158}">
      <text>
        <r>
          <rPr>
            <sz val="11"/>
            <color theme="1"/>
            <rFont val="Aptos Narrow"/>
            <family val="2"/>
            <scheme val="minor"/>
          </rPr>
          <t>Unknown User:
Quote not raised due to technical issue in ServiceTitan.</t>
        </r>
      </text>
    </comment>
    <comment ref="U900" authorId="0" shapeId="0" xr:uid="{7E3F046C-9073-49EE-8AEC-411EDFE8B3E5}">
      <text>
        <r>
          <rPr>
            <sz val="11"/>
            <color theme="1"/>
            <rFont val="Aptos Narrow"/>
            <family val="2"/>
            <scheme val="minor"/>
          </rPr>
          <t>Unknown User:
14/8-As per Fiona's note "Customer has claimed that damage to the downstairs apartment has been caused by the water damaged from out workmanship. Charlie has advised that if damage is caused by us then we will definitely cover it however she must pay for her HWS first.
Customer expressed she thought the 10% deposit was the cost paid for the HSW and didn't realize she still owed more. She also advised she wanted a breakdown of cost to which she has now been told twice by different operators that we offer a fixed price quote and not a breakdown of labour and product or equipment."
14/8-As per Sadie's note "customer called to cancel appointment for today - refusing to pay outstanding balance, threatened with laws and regulations and is going to take action within 7 days if she doesn't receive a itemized invoice, advised customer we don't provide itemized invoices due to it being an upfront fixed price quote. customer has a written complaint which i have advised customer to send via email. email is being sent to info@tradesaus.com.au"
13/8-As per Mathew H's note "Karen said that she wasn’t aware of the price of the job, she was very surprised when I told her the balance owing over the phone, I said this would have been presented to you at the start of the job and you paid a deposit of it, she then said that she wanted an itemised invoice and I said we don’t do them as per the website we provide upfront fixed pricing for the work, she said yes I understand and I’m not saying that I’m not going to pay but I need to understand where all the money is going and also you need to sort out the damage caused by the leak to be downstairs of our property. This is difficult when Liam isn’t available at the moment so I said you will have to wait for a few days, for the meantime I sent her the invoice that shows what is outstanding. Adding appointment to follow up on Monday 18th"</t>
        </r>
      </text>
    </comment>
    <comment ref="G904" authorId="0" shapeId="0" xr:uid="{D7DA3927-FCC9-4DFD-97AE-FAB47BC0C40B}">
      <text>
        <r>
          <rPr>
            <sz val="11"/>
            <color theme="1"/>
            <rFont val="Aptos Narrow"/>
            <family val="2"/>
            <scheme val="minor"/>
          </rPr>
          <t xml:space="preserve">Unknown User:
INSTALLATION OF DISHWASHER [SAME LOCATION] (CUSTOMER SUPPLIED)
</t>
        </r>
      </text>
    </comment>
    <comment ref="P904" authorId="0" shapeId="0" xr:uid="{3D08418C-5489-44B7-A191-94D1F304F9FF}">
      <text>
        <r>
          <rPr>
            <sz val="11"/>
            <color theme="1"/>
            <rFont val="Aptos Narrow"/>
            <family val="2"/>
            <scheme val="minor"/>
          </rPr>
          <t>Unknown User:
Quote not emailed</t>
        </r>
      </text>
    </comment>
    <comment ref="G908" authorId="0" shapeId="0" xr:uid="{163AA2AE-494C-4CBA-B31C-4A9775E8AC2D}">
      <text>
        <r>
          <rPr>
            <sz val="11"/>
            <color theme="1"/>
            <rFont val="Aptos Narrow"/>
            <family val="2"/>
            <scheme val="minor"/>
          </rPr>
          <t xml:space="preserve">Unknown User:
SEWER SPOT DIG - IN GROUND
</t>
        </r>
      </text>
    </comment>
    <comment ref="G909" authorId="0" shapeId="0" xr:uid="{5B9CDD3E-5460-4F59-B7D1-A2A5B8F91D54}">
      <text>
        <r>
          <rPr>
            <sz val="11"/>
            <color theme="1"/>
            <rFont val="Aptos Narrow"/>
            <family val="2"/>
            <scheme val="minor"/>
          </rPr>
          <t>Unknown User:
WATER SERVICE RECTIFICATION (IN GROUND)
$65 First Service Discount</t>
        </r>
      </text>
    </comment>
    <comment ref="G910" authorId="0" shapeId="0" xr:uid="{913C5B8D-B6A2-4C8A-ADA5-1AD185A0B905}">
      <text>
        <r>
          <rPr>
            <sz val="11"/>
            <color theme="1"/>
            <rFont val="Aptos Narrow"/>
            <family val="2"/>
            <scheme val="minor"/>
          </rPr>
          <t>Unknown User:
SUPPLY &amp; INSTALLATION OF NEW PLASTIC TOILET CISTERN</t>
        </r>
      </text>
    </comment>
    <comment ref="G911" authorId="0" shapeId="0" xr:uid="{C485C4C1-F7C4-4894-957E-B3A7DFDB25A9}">
      <text>
        <r>
          <rPr>
            <sz val="11"/>
            <color theme="1"/>
            <rFont val="Aptos Narrow"/>
            <family val="2"/>
            <scheme val="minor"/>
          </rPr>
          <t xml:space="preserve">Unknown User:
SUPPLY &amp; INSTALLATION OF NEW LINK SUITE
</t>
        </r>
      </text>
    </comment>
    <comment ref="G912" authorId="0" shapeId="0" xr:uid="{FD94D388-7B9C-4087-A602-07A8E93FCAD9}">
      <text>
        <r>
          <rPr>
            <sz val="11"/>
            <color theme="1"/>
            <rFont val="Aptos Narrow"/>
            <family val="2"/>
            <scheme val="minor"/>
          </rPr>
          <t xml:space="preserve">Unknown User:
COMPLETE SERVICE OF TOILET CISTERN
</t>
        </r>
      </text>
    </comment>
    <comment ref="G913" authorId="0" shapeId="0" xr:uid="{336769D4-E650-4494-9AD9-583029370EA8}">
      <text>
        <r>
          <rPr>
            <sz val="11"/>
            <color theme="1"/>
            <rFont val="Aptos Narrow"/>
            <family val="2"/>
            <scheme val="minor"/>
          </rPr>
          <t xml:space="preserve">Unknown User:
HOME SAFTEY INSPECTION </t>
        </r>
      </text>
    </comment>
    <comment ref="G914" authorId="0" shapeId="0" xr:uid="{F316E920-F139-46B5-9272-09F631A9FB71}">
      <text>
        <r>
          <rPr>
            <sz val="11"/>
            <color theme="1"/>
            <rFont val="Aptos Narrow"/>
            <family val="2"/>
            <scheme val="minor"/>
          </rPr>
          <t xml:space="preserve">Unknown User:
REPLACEMENT OF SEWER BOUNDARY TRAP 
CREDIT HIGH POWERED JETBLAST &amp; CCTV CAMERA
</t>
        </r>
      </text>
    </comment>
    <comment ref="G915" authorId="0" shapeId="0" xr:uid="{2C3EDA3C-308F-459E-B6BD-1DB8C3C92CF7}">
      <text>
        <r>
          <rPr>
            <sz val="11"/>
            <color theme="1"/>
            <rFont val="Aptos Narrow"/>
            <family val="2"/>
            <scheme val="minor"/>
          </rPr>
          <t>Unknown User:
DIG UP OF STORM WATER SPOT (UNDER CONCRETE)
CREDIT OF SEARCH &amp; INVESTIGATION</t>
        </r>
      </text>
    </comment>
    <comment ref="G916" authorId="0" shapeId="0" xr:uid="{78AE117D-F5F0-425F-B1A6-B409CA3C1DE0}">
      <text>
        <r>
          <rPr>
            <sz val="11"/>
            <color theme="1"/>
            <rFont val="Aptos Narrow"/>
            <family val="2"/>
            <scheme val="minor"/>
          </rPr>
          <t>Unknown User:
REPLACEMENT OF PLUG &amp; WASTE - 40MM</t>
        </r>
      </text>
    </comment>
    <comment ref="G917" authorId="0" shapeId="0" xr:uid="{2223EA92-87B8-48FD-ABE0-6ECAE14669EE}">
      <text>
        <r>
          <rPr>
            <sz val="11"/>
            <color theme="1"/>
            <rFont val="Aptos Narrow"/>
            <family val="2"/>
            <scheme val="minor"/>
          </rPr>
          <t>Unknown User:
COMPLETE SERVICE OF TOILET CISTERN</t>
        </r>
      </text>
    </comment>
    <comment ref="G918" authorId="0" shapeId="0" xr:uid="{68B623AD-72B7-4582-97DB-136397D09E67}">
      <text>
        <r>
          <rPr>
            <sz val="11"/>
            <color theme="1"/>
            <rFont val="Aptos Narrow"/>
            <family val="2"/>
            <scheme val="minor"/>
          </rPr>
          <t xml:space="preserve">Unknown User:
SUPPLY &amp; INSTALLATION OF NEW LINK SUITE
</t>
        </r>
      </text>
    </comment>
    <comment ref="G919" authorId="0" shapeId="0" xr:uid="{5B1E4A78-C4AA-464D-8D16-312D6F3F2AD2}">
      <text>
        <r>
          <rPr>
            <sz val="11"/>
            <color theme="1"/>
            <rFont val="Aptos Narrow"/>
            <family val="2"/>
            <scheme val="minor"/>
          </rPr>
          <t>Unknown User:
SEARCH &amp; INVESTIGATION OF WASHING MACHINE</t>
        </r>
      </text>
    </comment>
    <comment ref="G920" authorId="0" shapeId="0" xr:uid="{F2F01449-44CB-4B61-8D27-D3AB909BED60}">
      <text>
        <r>
          <rPr>
            <sz val="11"/>
            <color theme="1"/>
            <rFont val="Aptos Narrow"/>
            <family val="2"/>
            <scheme val="minor"/>
          </rPr>
          <t xml:space="preserve">Unknown User:
INSTALL CUSTOMER SUPPLIED SHOWER WATER FILTER 
</t>
        </r>
      </text>
    </comment>
    <comment ref="G921" authorId="0" shapeId="0" xr:uid="{A95657DA-B7B8-491D-B9FA-1D5A41DBFECF}">
      <text>
        <r>
          <rPr>
            <sz val="11"/>
            <color theme="1"/>
            <rFont val="Aptos Narrow"/>
            <family val="2"/>
            <scheme val="minor"/>
          </rPr>
          <t xml:space="preserve">Unknown User:
REPLACEMENT OF BOTTOM INLET CISTERN FILLING VALVE
REPLACEMENT OF CISTERN DUAL FLUSHING VALVE (COMPLETE ASSEMBLY)
15% Good Will Discount
</t>
        </r>
      </text>
    </comment>
    <comment ref="G922" authorId="0" shapeId="0" xr:uid="{24AD8B43-58DB-48D1-912E-3EAE580213A3}">
      <text>
        <r>
          <rPr>
            <sz val="11"/>
            <color theme="1"/>
            <rFont val="Aptos Narrow"/>
            <family val="2"/>
            <scheme val="minor"/>
          </rPr>
          <t xml:space="preserve">Unknown User:
SUPPLY &amp; INSTALLATION OF NEW HEAT PUMP / CONVERSION FROM GAS INSTANTANEOUS HOT WATER SYSTEM </t>
        </r>
      </text>
    </comment>
    <comment ref="G923" authorId="0" shapeId="0" xr:uid="{98C4FC96-6164-4885-9368-4FAE85177976}">
      <text>
        <r>
          <rPr>
            <sz val="11"/>
            <color theme="1"/>
            <rFont val="Aptos Narrow"/>
            <family val="2"/>
            <scheme val="minor"/>
          </rPr>
          <t xml:space="preserve">Unknown User:
REPLACEMENT OF CISTERN DUAL FLUSHING VALVE (COMPLETE ASSEMBLY)
</t>
        </r>
      </text>
    </comment>
    <comment ref="G924" authorId="0" shapeId="0" xr:uid="{A0C6CE76-0F23-40FD-8D71-10F17143281F}">
      <text>
        <r>
          <rPr>
            <sz val="11"/>
            <color theme="1"/>
            <rFont val="Aptos Narrow"/>
            <family val="2"/>
            <scheme val="minor"/>
          </rPr>
          <t xml:space="preserve">Unknown User:
SEARCH &amp; INVESTIGATION OF POTENTIAL GAS LEAK
</t>
        </r>
      </text>
    </comment>
    <comment ref="G925" authorId="0" shapeId="0" xr:uid="{ADBBD0DF-4B56-4D50-86C9-D0F8E8A188A9}">
      <text>
        <r>
          <rPr>
            <sz val="11"/>
            <color theme="1"/>
            <rFont val="Aptos Narrow"/>
            <family val="2"/>
            <scheme val="minor"/>
          </rPr>
          <t>Unknown User:
CONVERT GAS INSTANTANEOUS HOT WATER UNIT TO ELECTRIC STORAGE TANK MADE BY RHEEM</t>
        </r>
      </text>
    </comment>
    <comment ref="G926" authorId="0" shapeId="0" xr:uid="{3BAB5840-DA68-4E15-AAFE-B2A96BD9D7EE}">
      <text>
        <r>
          <rPr>
            <sz val="11"/>
            <color theme="1"/>
            <rFont val="Aptos Narrow"/>
            <family val="2"/>
            <scheme val="minor"/>
          </rPr>
          <t>Unknown User:
HIGH POWERED JET BLAST &amp; CCTV DRAIN CAMERA INSPECTION (SEWER SERVICE)</t>
        </r>
      </text>
    </comment>
    <comment ref="G927" authorId="0" shapeId="0" xr:uid="{FF6C7E6A-6660-47DB-A9AA-BEE2702C954F}">
      <text>
        <r>
          <rPr>
            <sz val="11"/>
            <color theme="1"/>
            <rFont val="Aptos Narrow"/>
            <family val="2"/>
            <scheme val="minor"/>
          </rPr>
          <t>Unknown User:
SEARCH &amp; INVESTIGATION (MINOR) - POTENTIAL WATER LEAK FROM UNKOWN LOCATION
$65 First Service Discount</t>
        </r>
      </text>
    </comment>
    <comment ref="G928" authorId="0" shapeId="0" xr:uid="{86429C69-338E-4542-B46B-1556F00B7ECA}">
      <text>
        <r>
          <rPr>
            <sz val="11"/>
            <color theme="1"/>
            <rFont val="Aptos Narrow"/>
            <family val="2"/>
            <scheme val="minor"/>
          </rPr>
          <t>Unknown User:
SEARCH &amp; INVESTIGATION OF POTENTIAL GAS LEAK</t>
        </r>
      </text>
    </comment>
    <comment ref="P928" authorId="0" shapeId="0" xr:uid="{2427A790-A93A-42FD-A1CF-14C076AE6B92}">
      <text>
        <r>
          <rPr>
            <sz val="11"/>
            <color theme="1"/>
            <rFont val="Aptos Narrow"/>
            <family val="2"/>
            <scheme val="minor"/>
          </rPr>
          <t>Unknown User:
Quote not emailed</t>
        </r>
      </text>
    </comment>
    <comment ref="U928" authorId="0" shapeId="0" xr:uid="{4CDBD4B6-F504-4D79-84A5-FDEC987A1BE4}">
      <text>
        <r>
          <rPr>
            <sz val="11"/>
            <color theme="1"/>
            <rFont val="Aptos Narrow"/>
            <family val="2"/>
            <scheme val="minor"/>
          </rPr>
          <t>Unknown User:
4/9-Invoice tab not updated-Credits available-$138</t>
        </r>
      </text>
    </comment>
    <comment ref="G929" authorId="0" shapeId="0" xr:uid="{4BAAE0AE-7998-464B-A9EA-91A74E66D27F}">
      <text>
        <r>
          <rPr>
            <sz val="11"/>
            <color theme="1"/>
            <rFont val="Aptos Narrow"/>
            <family val="2"/>
            <scheme val="minor"/>
          </rPr>
          <t xml:space="preserve">Unknown User:
MIXER TAP - STANDARD
</t>
        </r>
      </text>
    </comment>
    <comment ref="G930" authorId="0" shapeId="0" xr:uid="{821D96A8-8D4B-4C0F-900F-D81B6AE16B78}">
      <text>
        <r>
          <rPr>
            <sz val="11"/>
            <color theme="1"/>
            <rFont val="Aptos Narrow"/>
            <family val="2"/>
            <scheme val="minor"/>
          </rPr>
          <t xml:space="preserve">Unknown User:
SEARCH AND INVESTIGATION OF SOLAR SPLIT HOT WATER SYSTEM
</t>
        </r>
      </text>
    </comment>
    <comment ref="G931" authorId="0" shapeId="0" xr:uid="{12CCAFB7-1BDC-4F17-A5AB-0EEB3E3671DD}">
      <text>
        <r>
          <rPr>
            <sz val="11"/>
            <color theme="1"/>
            <rFont val="Aptos Narrow"/>
            <family val="2"/>
            <scheme val="minor"/>
          </rPr>
          <t>Unknown User:
SEARCH AND INVESTIGATION OF HEAT PUMP</t>
        </r>
      </text>
    </comment>
    <comment ref="G932" authorId="0" shapeId="0" xr:uid="{B2E7AC47-7EB5-42C9-A586-9304CB99D6E3}">
      <text>
        <r>
          <rPr>
            <sz val="11"/>
            <color theme="1"/>
            <rFont val="Aptos Narrow"/>
            <family val="2"/>
            <scheme val="minor"/>
          </rPr>
          <t xml:space="preserve">Unknown User:
COMPLETE SERVICE OF WALL TOP TAPS ASSEMBLY
COMPLETE SERVICE OF TAP TOP ASSEMBLY
REPLACEMENT OF SHOWER ARM &amp; ROSE
</t>
        </r>
      </text>
    </comment>
    <comment ref="G933" authorId="0" shapeId="0" xr:uid="{77059269-7098-4ECB-99C7-C33046191A9A}">
      <text>
        <r>
          <rPr>
            <sz val="11"/>
            <color theme="1"/>
            <rFont val="Aptos Narrow"/>
            <family val="2"/>
            <scheme val="minor"/>
          </rPr>
          <t>Unknown User:
FLOOD, DYE, PRESSURE TEST (WET AREA)</t>
        </r>
      </text>
    </comment>
    <comment ref="E954" authorId="12" shapeId="0" xr:uid="{062CC28D-669E-4D98-8A2E-4267C9A159CC}">
      <text>
        <t>[Threaded comment]
Your version of Excel allows you to read this threaded comment; however, any edits to it will get removed if the file is opened in a newer version of Excel. Learn more: https://go.microsoft.com/fwlink/?linkid=870924
Comment:
    Checked</t>
      </text>
    </comment>
    <comment ref="E955" authorId="13" shapeId="0" xr:uid="{D1164F87-6F82-4529-B88D-F24AA9ECFBB1}">
      <text>
        <t>[Threaded comment]
Your version of Excel allows you to read this threaded comment; however, any edits to it will get removed if the file is opened in a newer version of Excel. Learn more: https://go.microsoft.com/fwlink/?linkid=870924
Comment:
    Checked</t>
      </text>
    </comment>
    <comment ref="E956" authorId="14" shapeId="0" xr:uid="{FE615132-D170-4C4A-9D56-AA11918405E3}">
      <text>
        <t>[Threaded comment]
Your version of Excel allows you to read this threaded comment; however, any edits to it will get removed if the file is opened in a newer version of Excel. Learn more: https://go.microsoft.com/fwlink/?linkid=870924
Comment:
    No Job Nominated</t>
      </text>
    </comment>
    <comment ref="G965" authorId="0" shapeId="0" xr:uid="{E9809C80-B1AD-46EB-9496-C5232D1B20C9}">
      <text>
        <r>
          <rPr>
            <sz val="11"/>
            <color theme="1"/>
            <rFont val="Aptos Narrow"/>
            <family val="2"/>
            <scheme val="minor"/>
          </rPr>
          <t>Unknown User:
SEARCH &amp; INVESTIGATION OF GAS STORAGE HOT WATER SYSTEM
$65 First Service Discount</t>
        </r>
      </text>
    </comment>
    <comment ref="P965" authorId="0" shapeId="0" xr:uid="{CDE90A88-610A-49F1-9EFC-FB26859492EC}">
      <text>
        <r>
          <rPr>
            <sz val="11"/>
            <color theme="1"/>
            <rFont val="Aptos Narrow"/>
            <family val="2"/>
            <scheme val="minor"/>
          </rPr>
          <t>Unknown User:
Quote not emailed</t>
        </r>
      </text>
    </comment>
    <comment ref="G966" authorId="0" shapeId="0" xr:uid="{FAE375F4-C0FE-45A8-A9E7-91DE8D8CDC73}">
      <text>
        <r>
          <rPr>
            <sz val="11"/>
            <color theme="1"/>
            <rFont val="Aptos Narrow"/>
            <family val="2"/>
            <scheme val="minor"/>
          </rPr>
          <t xml:space="preserve">Unknown User:
HIGH POWERED JET BLAST &amp; CCTV DRAIN CAMERA INSPECTION (SEWER SERVICE)
</t>
        </r>
      </text>
    </comment>
    <comment ref="P966" authorId="0" shapeId="0" xr:uid="{4286EF95-518F-4CD9-9016-39D7B147F8D7}">
      <text>
        <r>
          <rPr>
            <sz val="11"/>
            <color theme="1"/>
            <rFont val="Aptos Narrow"/>
            <family val="2"/>
            <scheme val="minor"/>
          </rPr>
          <t>Unknown User:
Quote not emailed</t>
        </r>
      </text>
    </comment>
    <comment ref="S966" authorId="0" shapeId="0" xr:uid="{6C109856-B34F-4719-B3E7-6C3A55C59F54}">
      <text>
        <r>
          <rPr>
            <sz val="11"/>
            <color theme="1"/>
            <rFont val="Aptos Narrow"/>
            <family val="2"/>
            <scheme val="minor"/>
          </rPr>
          <t>Unknown User:
Invoice not emailed</t>
        </r>
      </text>
    </comment>
    <comment ref="V966" authorId="0" shapeId="0" xr:uid="{4C975D21-34D1-45FA-B116-A7D3907D7A7D}">
      <text>
        <r>
          <rPr>
            <sz val="11"/>
            <color theme="1"/>
            <rFont val="Aptos Narrow"/>
            <family val="2"/>
            <scheme val="minor"/>
          </rPr>
          <t>Unknown User:
Overpayment by $125</t>
        </r>
      </text>
    </comment>
    <comment ref="G967" authorId="0" shapeId="0" xr:uid="{E49DAF75-32A8-4781-AA0F-3D38D766B52E}">
      <text>
        <r>
          <rPr>
            <sz val="11"/>
            <color theme="1"/>
            <rFont val="Aptos Narrow"/>
            <family val="2"/>
            <scheme val="minor"/>
          </rPr>
          <t xml:space="preserve">Unknown User:
HIGH POWERED JET BLAST &amp; CCTV DRAIN CAMERA INSPECTION (SEWER SERVICE)
</t>
        </r>
      </text>
    </comment>
    <comment ref="G968" authorId="0" shapeId="0" xr:uid="{0C2092D3-4187-4674-A90D-C4E574DBF766}">
      <text>
        <r>
          <rPr>
            <sz val="11"/>
            <color theme="1"/>
            <rFont val="Aptos Narrow"/>
            <family val="2"/>
            <scheme val="minor"/>
          </rPr>
          <t>Unknown User:
INSTALLATION OF NEW WASHING MACHINE (CUSTOMER SUPPLIED)</t>
        </r>
      </text>
    </comment>
    <comment ref="P968" authorId="0" shapeId="0" xr:uid="{0937B917-3081-4AAC-B634-59BC26A5F17D}">
      <text>
        <r>
          <rPr>
            <sz val="11"/>
            <color theme="1"/>
            <rFont val="Aptos Narrow"/>
            <family val="2"/>
            <scheme val="minor"/>
          </rPr>
          <t>Unknown User:
Quote not emailed</t>
        </r>
      </text>
    </comment>
    <comment ref="G969" authorId="0" shapeId="0" xr:uid="{3256AD5A-7A0B-4956-85D2-E6B4F6B7D83C}">
      <text>
        <r>
          <rPr>
            <sz val="11"/>
            <color theme="1"/>
            <rFont val="Aptos Narrow"/>
            <family val="2"/>
            <scheme val="minor"/>
          </rPr>
          <t>Unknown User:
FLOOD, DYE, PRESSURE TEST (WET AREA)</t>
        </r>
      </text>
    </comment>
    <comment ref="P969" authorId="0" shapeId="0" xr:uid="{F698A44D-4263-42CA-B9A2-A021169CE7C9}">
      <text>
        <r>
          <rPr>
            <sz val="11"/>
            <color theme="1"/>
            <rFont val="Aptos Narrow"/>
            <family val="2"/>
            <scheme val="minor"/>
          </rPr>
          <t>Unknown User:
Quote not emailed</t>
        </r>
      </text>
    </comment>
    <comment ref="S969" authorId="0" shapeId="0" xr:uid="{D0FE6209-7A48-4ABB-9441-9B308E126F5D}">
      <text>
        <r>
          <rPr>
            <sz val="11"/>
            <color theme="1"/>
            <rFont val="Aptos Narrow"/>
            <family val="2"/>
            <scheme val="minor"/>
          </rPr>
          <t>Unknown User:
Signed invoice not emailed</t>
        </r>
      </text>
    </comment>
    <comment ref="U969" authorId="0" shapeId="0" xr:uid="{FB84AF3D-7D73-4108-8570-621E5EE537A8}">
      <text>
        <r>
          <rPr>
            <sz val="11"/>
            <color theme="1"/>
            <rFont val="Aptos Narrow"/>
            <family val="2"/>
            <scheme val="minor"/>
          </rPr>
          <t>Unknown User:
30/9-As per Christine's note "sent technician to house to check the alleged damage - 30/09/2025 - the technician arrived and there was no one there. When he drove home apparently the son called and unsatisfactory exchange occurred"
"- sent technician back to assess alleged damage - technician attacked by son and his friend and had to leave the property"</t>
        </r>
      </text>
    </comment>
    <comment ref="G970" authorId="0" shapeId="0" xr:uid="{DC6302EB-860D-487B-B249-409F693C3992}">
      <text>
        <r>
          <rPr>
            <sz val="11"/>
            <color theme="1"/>
            <rFont val="Aptos Narrow"/>
            <family val="2"/>
            <scheme val="minor"/>
          </rPr>
          <t>Unknown User:
WATER SERVICE RECTIFICATION (IN GROUND)</t>
        </r>
      </text>
    </comment>
    <comment ref="P970" authorId="0" shapeId="0" xr:uid="{157158CA-1AC4-485F-ABBC-D8BCBF9ADEBB}">
      <text>
        <r>
          <rPr>
            <sz val="11"/>
            <color theme="1"/>
            <rFont val="Aptos Narrow"/>
            <family val="2"/>
            <scheme val="minor"/>
          </rPr>
          <t>Unknown User:
Quote not emailed</t>
        </r>
      </text>
    </comment>
    <comment ref="G971" authorId="0" shapeId="0" xr:uid="{A6BF0383-7728-484F-9B31-8A99463C3234}">
      <text>
        <r>
          <rPr>
            <sz val="11"/>
            <color theme="1"/>
            <rFont val="Aptos Narrow"/>
            <family val="2"/>
            <scheme val="minor"/>
          </rPr>
          <t>Unknown User:
REPLACEMENT OF WALL TOP TAPWARE
REPLACEMENT OF HOB SINK SET</t>
        </r>
      </text>
    </comment>
    <comment ref="P971" authorId="0" shapeId="0" xr:uid="{34FF6643-A3E6-41CA-A54A-31D1423CF079}">
      <text>
        <r>
          <rPr>
            <sz val="11"/>
            <color theme="1"/>
            <rFont val="Aptos Narrow"/>
            <family val="2"/>
            <scheme val="minor"/>
          </rPr>
          <t>Unknown User:
Quote not emailed</t>
        </r>
      </text>
    </comment>
    <comment ref="G976" authorId="0" shapeId="0" xr:uid="{A4F01A7D-E073-4A10-91ED-705221F16B29}">
      <text>
        <r>
          <rPr>
            <sz val="11"/>
            <color theme="1"/>
            <rFont val="Aptos Narrow"/>
            <family val="2"/>
            <scheme val="minor"/>
          </rPr>
          <t>Unknown User:
SEARCH AND INVESTIGATION OF GAS INSTANTANEOUS HOT WATER SYSTEM</t>
        </r>
      </text>
    </comment>
    <comment ref="P976" authorId="0" shapeId="0" xr:uid="{458F0AE5-6021-4369-8629-2646B3CB7BD6}">
      <text>
        <r>
          <rPr>
            <sz val="11"/>
            <color theme="1"/>
            <rFont val="Aptos Narrow"/>
            <family val="2"/>
            <scheme val="minor"/>
          </rPr>
          <t>Unknown User:
Quote not emailed</t>
        </r>
      </text>
    </comment>
    <comment ref="G980" authorId="0" shapeId="0" xr:uid="{2B20416F-CF48-458D-AD9B-2CF53B469FC3}">
      <text>
        <r>
          <rPr>
            <sz val="11"/>
            <color theme="1"/>
            <rFont val="Aptos Narrow"/>
            <family val="2"/>
            <scheme val="minor"/>
          </rPr>
          <t>Unknown User:
HIGH POWERED JET BLAST &amp; CCTV DRAIN CAMERA INSPECTION (STORM WATER SERVICE)</t>
        </r>
      </text>
    </comment>
    <comment ref="P980" authorId="0" shapeId="0" xr:uid="{C4F9857C-DA6D-4A1D-807D-BA55B8869009}">
      <text>
        <r>
          <rPr>
            <sz val="11"/>
            <color theme="1"/>
            <rFont val="Aptos Narrow"/>
            <family val="2"/>
            <scheme val="minor"/>
          </rPr>
          <t>Unknown User:
Quote not emailed</t>
        </r>
      </text>
    </comment>
    <comment ref="R980" authorId="0" shapeId="0" xr:uid="{764C1920-2ABC-4601-AC33-DFF30EAFD4AF}">
      <text>
        <r>
          <rPr>
            <sz val="11"/>
            <color theme="1"/>
            <rFont val="Aptos Narrow"/>
            <family val="2"/>
            <scheme val="minor"/>
          </rPr>
          <t>Unknown User:
Sign not obtained in invoice</t>
        </r>
      </text>
    </comment>
    <comment ref="D984" authorId="0" shapeId="0" xr:uid="{3F4A9228-D7F2-4492-8A84-D514538A1391}">
      <text>
        <r>
          <rPr>
            <sz val="11"/>
            <color theme="1"/>
            <rFont val="Aptos Narrow"/>
            <family val="2"/>
            <scheme val="minor"/>
          </rPr>
          <t>Unknown User:
Previously under "Unsuccessful jobs" in Bradley's sheet on 2/9. Now quote raised by Liam on 11/9</t>
        </r>
      </text>
    </comment>
    <comment ref="G984" authorId="0" shapeId="0" xr:uid="{5089C1B6-80AF-4DFC-AFE9-E85F58A594E8}">
      <text>
        <r>
          <rPr>
            <sz val="11"/>
            <color theme="1"/>
            <rFont val="Aptos Narrow"/>
            <family val="2"/>
            <scheme val="minor"/>
          </rPr>
          <t>Unknown User:
COMPLETE SERVICE OF WALL TOP TAPS ASSEMBLY</t>
        </r>
      </text>
    </comment>
    <comment ref="P984" authorId="0" shapeId="0" xr:uid="{2304E170-4452-4733-A457-58913578BB21}">
      <text>
        <r>
          <rPr>
            <sz val="11"/>
            <color theme="1"/>
            <rFont val="Aptos Narrow"/>
            <family val="2"/>
            <scheme val="minor"/>
          </rPr>
          <t>Unknown User:
Quote not emailed</t>
        </r>
      </text>
    </comment>
    <comment ref="W984" authorId="0" shapeId="0" xr:uid="{F8A8EBF5-4B6F-414F-8FFC-54F9AA404D26}">
      <text>
        <r>
          <rPr>
            <sz val="11"/>
            <color theme="1"/>
            <rFont val="Aptos Narrow"/>
            <family val="2"/>
            <scheme val="minor"/>
          </rPr>
          <t>Unknown User:
Cash denomination
$50*1=$50</t>
        </r>
      </text>
    </comment>
    <comment ref="A988" authorId="15" shapeId="0" xr:uid="{97E83E6B-D31D-45C3-95C7-9D3CA78C65BB}">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988" authorId="0" shapeId="0" xr:uid="{BFEC91D6-9323-4936-869A-B7A72A6F6C2A}">
      <text>
        <r>
          <rPr>
            <sz val="11"/>
            <color theme="1"/>
            <rFont val="Aptos Narrow"/>
            <family val="2"/>
            <scheme val="minor"/>
          </rPr>
          <t>Unknown User:
HIGH POWERED JET BLAST &amp; CCTV CAMERA INSPECTION (GAIN ACCESS FROM VENT)
Locate main sewer vent
Cut out section of sewer vent
Gain access to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section of sewer vent using specialist repair coupling
Test &amp; commission installation
PLEASE NOTE IF BLOCKAGE DOES NOT CLEAR FURTHER COST WILL APPLY. THIS IS A FIRST ATTEMPT.</t>
        </r>
      </text>
    </comment>
    <comment ref="P988" authorId="0" shapeId="0" xr:uid="{318C654C-2F8C-4D61-8CD1-DB2B236A2C16}">
      <text>
        <r>
          <rPr>
            <sz val="11"/>
            <color theme="1"/>
            <rFont val="Aptos Narrow"/>
            <family val="2"/>
            <scheme val="minor"/>
          </rPr>
          <t>Unknown User:
Quote not emailed</t>
        </r>
      </text>
    </comment>
    <comment ref="S988" authorId="0" shapeId="0" xr:uid="{D646AB92-4B47-4A1F-A2B7-1507631F4324}">
      <text>
        <r>
          <rPr>
            <sz val="11"/>
            <color theme="1"/>
            <rFont val="Aptos Narrow"/>
            <family val="2"/>
            <scheme val="minor"/>
          </rPr>
          <t>Unknown User:
Invoice not emailed</t>
        </r>
      </text>
    </comment>
    <comment ref="G989" authorId="0" shapeId="0" xr:uid="{06ABFCA3-EFFB-4471-85D2-49E574AF9CC2}">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989" authorId="0" shapeId="0" xr:uid="{87257E9A-4D2F-4FF6-B48C-F9165046B874}">
      <text>
        <r>
          <rPr>
            <sz val="11"/>
            <color theme="1"/>
            <rFont val="Aptos Narrow"/>
            <family val="2"/>
            <scheme val="minor"/>
          </rPr>
          <t>Unknown User:
Quote not Emailed</t>
        </r>
      </text>
    </comment>
    <comment ref="V989" authorId="0" shapeId="0" xr:uid="{B2092084-37E9-42EB-B121-460CFDF7A11C}">
      <text>
        <r>
          <rPr>
            <sz val="11"/>
            <color theme="1"/>
            <rFont val="Aptos Narrow"/>
            <family val="2"/>
            <scheme val="minor"/>
          </rPr>
          <t xml:space="preserve">Unknown User:
11/07 Received $200 EFT
</t>
        </r>
      </text>
    </comment>
    <comment ref="G990" authorId="0" shapeId="0" xr:uid="{8B1B5D6F-006B-41FC-9EE4-718158CA2064}">
      <text>
        <r>
          <rPr>
            <sz val="11"/>
            <color theme="1"/>
            <rFont val="Aptos Narrow"/>
            <family val="2"/>
            <scheme val="minor"/>
          </rPr>
          <t xml:space="preserve">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
CONTINUATION OF SERVICES </t>
        </r>
      </text>
    </comment>
    <comment ref="N990" authorId="0" shapeId="0" xr:uid="{E76F479D-6343-42DF-AD92-677CB541AFED}">
      <text>
        <r>
          <rPr>
            <sz val="11"/>
            <color theme="1"/>
            <rFont val="Aptos Narrow"/>
            <family val="2"/>
            <scheme val="minor"/>
          </rPr>
          <t>Unknown User:
Quote raised in job #71681</t>
        </r>
      </text>
    </comment>
    <comment ref="P990" authorId="0" shapeId="0" xr:uid="{84EAF0BA-1F4F-448D-B6BD-16F08F9B204D}">
      <text>
        <r>
          <rPr>
            <sz val="11"/>
            <color theme="1"/>
            <rFont val="Aptos Narrow"/>
            <family val="2"/>
            <scheme val="minor"/>
          </rPr>
          <t>Unknown User:
Quote not emailed</t>
        </r>
      </text>
    </comment>
    <comment ref="Q990" authorId="0" shapeId="0" xr:uid="{D2A0C6EC-0C06-489C-8BA8-A1FAFE5CC3E4}">
      <text>
        <r>
          <rPr>
            <sz val="11"/>
            <color theme="1"/>
            <rFont val="Aptos Narrow"/>
            <family val="2"/>
            <scheme val="minor"/>
          </rPr>
          <t>Unknown User:
Final invoice not raised</t>
        </r>
      </text>
    </comment>
    <comment ref="U990" authorId="0" shapeId="0" xr:uid="{E94CCB53-8ED3-4ABA-94A9-FCB7E9998D99}">
      <text>
        <r>
          <rPr>
            <sz val="11"/>
            <color theme="1"/>
            <rFont val="Aptos Narrow"/>
            <family val="2"/>
            <scheme val="minor"/>
          </rPr>
          <t>Unknown User:
23/7-As per Alex's note "Previous invoices weren't taken off on the total and the system didn't match what she paid so I took what she said was left from her end. Please confirm if there is more needed to be taken. I tried my best
"</t>
        </r>
      </text>
    </comment>
    <comment ref="G991" authorId="0" shapeId="0" xr:uid="{C9820BB3-3B61-4FE4-94A1-2670AA4A8B18}">
      <text>
        <r>
          <rPr>
            <sz val="11"/>
            <color theme="1"/>
            <rFont val="Aptos Narrow"/>
            <family val="2"/>
            <scheme val="minor"/>
          </rPr>
          <t>Unknown User:
COMMERCIAL HIGH POWERED JETBLAST &amp; CCTV DRAIN CAMERA INSPECTION</t>
        </r>
      </text>
    </comment>
    <comment ref="P991" authorId="0" shapeId="0" xr:uid="{9B140524-541F-4C71-9CF1-BFEF7D1D4CF0}">
      <text>
        <r>
          <rPr>
            <sz val="11"/>
            <color theme="1"/>
            <rFont val="Aptos Narrow"/>
            <family val="2"/>
            <scheme val="minor"/>
          </rPr>
          <t xml:space="preserve">Unknown User:
Quote not emailed
</t>
        </r>
      </text>
    </comment>
    <comment ref="G992" authorId="0" shapeId="0" xr:uid="{63AD7566-7396-42C2-B449-91CBC2789949}">
      <text>
        <r>
          <rPr>
            <sz val="11"/>
            <color theme="1"/>
            <rFont val="Aptos Narrow"/>
            <family val="2"/>
            <scheme val="minor"/>
          </rPr>
          <t>Unknown User:
REPLACEMENT OF BASIN SET</t>
        </r>
      </text>
    </comment>
    <comment ref="P992" authorId="0" shapeId="0" xr:uid="{5E27B6D0-3222-4071-977C-A7CC5D122693}">
      <text>
        <r>
          <rPr>
            <sz val="11"/>
            <color theme="1"/>
            <rFont val="Aptos Narrow"/>
            <family val="2"/>
            <scheme val="minor"/>
          </rPr>
          <t>Unknown User:
Quote not emailed</t>
        </r>
      </text>
    </comment>
    <comment ref="S992" authorId="0" shapeId="0" xr:uid="{3F755CCE-C4FC-4F6F-A720-A391A1C1F598}">
      <text>
        <r>
          <rPr>
            <sz val="11"/>
            <color theme="1"/>
            <rFont val="Aptos Narrow"/>
            <family val="2"/>
            <scheme val="minor"/>
          </rPr>
          <t>Unknown User:
Final invoice not emailed</t>
        </r>
      </text>
    </comment>
    <comment ref="V992" authorId="0" shapeId="0" xr:uid="{F6525743-DC2E-4F74-A018-F1D6A4F97A8A}">
      <text>
        <r>
          <rPr>
            <sz val="11"/>
            <color theme="1"/>
            <rFont val="Aptos Narrow"/>
            <family val="2"/>
            <scheme val="minor"/>
          </rPr>
          <t>Unknown User:
Short receipt by $30</t>
        </r>
      </text>
    </comment>
    <comment ref="G993" authorId="0" shapeId="0" xr:uid="{129119DF-30A8-4AA2-9EEB-6C54F5C81BAE}">
      <text>
        <r>
          <rPr>
            <sz val="11"/>
            <color theme="1"/>
            <rFont val="Aptos Narrow"/>
            <family val="2"/>
            <scheme val="minor"/>
          </rPr>
          <t xml:space="preserve">Unknown User:
SUPPLY &amp; INSTALLATION OF NEW TWIN ELEMENT HOT WATER UNIT (INTERNAL)
</t>
        </r>
      </text>
    </comment>
    <comment ref="L993" authorId="0" shapeId="0" xr:uid="{45AD7192-66BA-41F0-B81C-8CD84CE284B5}">
      <text>
        <r>
          <rPr>
            <sz val="11"/>
            <color theme="1"/>
            <rFont val="Aptos Narrow"/>
            <family val="2"/>
            <scheme val="minor"/>
          </rPr>
          <t>Unknown User:
Temp check pic not uploaded</t>
        </r>
      </text>
    </comment>
    <comment ref="N993" authorId="0" shapeId="0" xr:uid="{7198FDAB-1118-4892-9AE2-B04A8E10636B}">
      <text>
        <r>
          <rPr>
            <sz val="11"/>
            <color theme="1"/>
            <rFont val="Aptos Narrow"/>
            <family val="2"/>
            <scheme val="minor"/>
          </rPr>
          <t>Unknown User:
Quote not raised due to technical issue in ServiceTitan.</t>
        </r>
      </text>
    </comment>
    <comment ref="U993" authorId="0" shapeId="0" xr:uid="{A800BBFF-E185-4952-868F-0A73BDD68BD8}">
      <text>
        <r>
          <rPr>
            <sz val="11"/>
            <color theme="1"/>
            <rFont val="Aptos Narrow"/>
            <family val="2"/>
            <scheme val="minor"/>
          </rPr>
          <t>Unknown User:
14/8-As per Fiona's note "Customer has claimed that damage to the downstairs apartment has been caused by the water damaged from out workmanship. Charlie has advised that if damage is caused by us then we will definitely cover it however she must pay for her HWS first.
Customer expressed she thought the 10% deposit was the cost paid for the HSW and didn't realize she still owed more. She also advised she wanted a breakdown of cost to which she has now been told twice by different operators that we offer a fixed price quote and not a breakdown of labour and product or equipment."
14/8-As per Sadie's note "customer called to cancel appointment for today - refusing to pay outstanding balance, threatened with laws and regulations and is going to take action within 7 days if she doesn't receive a itemized invoice, advised customer we don't provide itemized invoices due to it being an upfront fixed price quote. customer has a written complaint which i have advised customer to send via email. email is being sent to info@tradesaus.com.au"
13/8-As per Mathew H's note "Karen said that she wasn’t aware of the price of the job, she was very surprised when I told her the balance owing over the phone, I said this would have been presented to you at the start of the job and you paid a deposit of it, she then said that she wanted an itemised invoice and I said we don’t do them as per the website we provide upfront fixed pricing for the work, she said yes I understand and I’m not saying that I’m not going to pay but I need to understand where all the money is going and also you need to sort out the damage caused by the leak to be downstairs of our property. This is difficult when Liam isn’t available at the moment so I said you will have to wait for a few days, for the meantime I sent her the invoice that shows what is outstanding. Adding appointment to follow up on Monday 18th"</t>
        </r>
      </text>
    </comment>
    <comment ref="G994" authorId="0" shapeId="0" xr:uid="{387F4F4A-C0DE-4DE2-BEB0-2BDD86B7CFEB}">
      <text>
        <r>
          <rPr>
            <sz val="11"/>
            <color theme="1"/>
            <rFont val="Aptos Narrow"/>
            <family val="2"/>
            <scheme val="minor"/>
          </rPr>
          <t>Unknown User:
WATER SERVICE RECTIFICATION (IN GROUND)
10% Seniors &amp; Pensioners Discount</t>
        </r>
      </text>
    </comment>
    <comment ref="P994" authorId="0" shapeId="0" xr:uid="{9CBFAB35-42F2-4755-8160-F54B2FED05A1}">
      <text>
        <r>
          <rPr>
            <sz val="11"/>
            <color theme="1"/>
            <rFont val="Aptos Narrow"/>
            <family val="2"/>
            <scheme val="minor"/>
          </rPr>
          <t>Unknown User:
Quote not emailed</t>
        </r>
      </text>
    </comment>
    <comment ref="G995" authorId="0" shapeId="0" xr:uid="{A4AB9E0C-327E-4D37-B2C4-90A586DD4FBD}">
      <text>
        <r>
          <rPr>
            <sz val="11"/>
            <color theme="1"/>
            <rFont val="Aptos Narrow"/>
            <family val="2"/>
            <scheme val="minor"/>
          </rPr>
          <t xml:space="preserve">Unknown User:
SUPPLY &amp; INSTALLATION OF GAS STORAGE HOT WATER SYSTEM (EXTERNAL)
CREDIT OF SEARCH &amp; INVESTIGATION </t>
        </r>
      </text>
    </comment>
    <comment ref="N995" authorId="0" shapeId="0" xr:uid="{B50E0A8A-1265-4EA7-B5A9-3F1F1B885BF8}">
      <text>
        <r>
          <rPr>
            <sz val="11"/>
            <color theme="1"/>
            <rFont val="Aptos Narrow"/>
            <family val="2"/>
            <scheme val="minor"/>
          </rPr>
          <t>Unknown User:
Quote raised &amp; uploaded in Job #72903</t>
        </r>
      </text>
    </comment>
    <comment ref="P995" authorId="0" shapeId="0" xr:uid="{5E098C31-1A7F-4584-AE40-58A7D737DABC}">
      <text>
        <r>
          <rPr>
            <sz val="11"/>
            <color theme="1"/>
            <rFont val="Aptos Narrow"/>
            <family val="2"/>
            <scheme val="minor"/>
          </rPr>
          <t>Unknown User:
Quote not emailed</t>
        </r>
      </text>
    </comment>
    <comment ref="T995" authorId="0" shapeId="0" xr:uid="{95C480DA-AE05-40AE-A1A5-09099236F102}">
      <text>
        <r>
          <rPr>
            <sz val="11"/>
            <color theme="1"/>
            <rFont val="Aptos Narrow"/>
            <family val="2"/>
            <scheme val="minor"/>
          </rPr>
          <t>Unknown User:
0.5x for Tolga 
0.5x for Rylee W</t>
        </r>
      </text>
    </comment>
    <comment ref="V995" authorId="0" shapeId="0" xr:uid="{F2FDAC74-573E-4D8F-8D70-B816BDACD87B}">
      <text>
        <r>
          <rPr>
            <sz val="11"/>
            <color theme="1"/>
            <rFont val="Aptos Narrow"/>
            <family val="2"/>
            <scheme val="minor"/>
          </rPr>
          <t>Unknown User:
3/9-EFT received for $608
3/9-PP (ZIP) settlement made for 5478.30</t>
        </r>
      </text>
    </comment>
    <comment ref="A996" authorId="16" shapeId="0" xr:uid="{A08F8FB8-23DE-4E78-8583-0B0FF0CFE73F}">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996" authorId="0" shapeId="0" xr:uid="{570CAD59-CB18-4FC1-B048-A6C41BF6FFD6}">
      <text>
        <r>
          <rPr>
            <sz val="11"/>
            <color theme="1"/>
            <rFont val="Aptos Narrow"/>
            <family val="2"/>
            <scheme val="minor"/>
          </rPr>
          <t xml:space="preserve">Unknown User:
REPLACEMENT OF EXISTING OVERFLOW GULLY &amp; SECTION OF MAIN SEWER SERVICE (UNDER CONCRETE)
</t>
        </r>
      </text>
    </comment>
    <comment ref="N996" authorId="0" shapeId="0" xr:uid="{B0708082-A820-489F-8087-96A0FAD6DCA9}">
      <text>
        <r>
          <rPr>
            <sz val="11"/>
            <color theme="1"/>
            <rFont val="Aptos Narrow"/>
            <family val="2"/>
            <scheme val="minor"/>
          </rPr>
          <t>Unknown User:
Quote raised in Job #73005</t>
        </r>
      </text>
    </comment>
    <comment ref="P996" authorId="0" shapeId="0" xr:uid="{A0F32254-D3C4-4DD9-885A-26AA81427319}">
      <text>
        <r>
          <rPr>
            <sz val="11"/>
            <color theme="1"/>
            <rFont val="Aptos Narrow"/>
            <family val="2"/>
            <scheme val="minor"/>
          </rPr>
          <t>Unknown User:
Quote not emailed</t>
        </r>
      </text>
    </comment>
    <comment ref="V996" authorId="0" shapeId="0" xr:uid="{75E5BC08-91BB-49A3-B45F-EEDD44A85F1A}">
      <text>
        <r>
          <rPr>
            <sz val="11"/>
            <color theme="1"/>
            <rFont val="Aptos Narrow"/>
            <family val="2"/>
            <scheme val="minor"/>
          </rPr>
          <t>Unknown User:
8/9-Received $3035.40 by Smartpay
9/9-Received $7000 by Smartpay</t>
        </r>
      </text>
    </comment>
    <comment ref="G1000" authorId="0" shapeId="0" xr:uid="{0370583D-7DA0-4EAC-A48D-DD2F03872F90}">
      <text>
        <r>
          <rPr>
            <sz val="11"/>
            <color theme="1"/>
            <rFont val="Aptos Narrow"/>
            <family val="2"/>
            <scheme val="minor"/>
          </rPr>
          <t xml:space="preserve">Unknown User:
INSTALLATION OF DISHWASHER [SAME LOCATION] (CUSTOMER SUPPLIED)
</t>
        </r>
      </text>
    </comment>
    <comment ref="P1000" authorId="0" shapeId="0" xr:uid="{149A590F-CEDB-4FDC-BDFD-FCF1309E6BF2}">
      <text>
        <r>
          <rPr>
            <sz val="11"/>
            <color theme="1"/>
            <rFont val="Aptos Narrow"/>
            <family val="2"/>
            <scheme val="minor"/>
          </rPr>
          <t>Unknown User:
Quote not emailed</t>
        </r>
      </text>
    </comment>
    <comment ref="G1001" authorId="0" shapeId="0" xr:uid="{2472CE4D-5CF9-42D2-A263-566C17DAE057}">
      <text>
        <r>
          <rPr>
            <sz val="11"/>
            <color theme="1"/>
            <rFont val="Aptos Narrow"/>
            <family val="2"/>
            <scheme val="minor"/>
          </rPr>
          <t>Unknown User:
REPLACEMENT OF TIMING TAP</t>
        </r>
      </text>
    </comment>
    <comment ref="O1001" authorId="0" shapeId="0" xr:uid="{E5B33DE1-0152-4202-AE5E-270D678030C4}">
      <text>
        <r>
          <rPr>
            <sz val="11"/>
            <color theme="1"/>
            <rFont val="Aptos Narrow"/>
            <family val="2"/>
            <scheme val="minor"/>
          </rPr>
          <t>Unknown User:
Quote not signed</t>
        </r>
      </text>
    </comment>
    <comment ref="P1001" authorId="0" shapeId="0" xr:uid="{418CB15D-65BE-4CEF-80E2-68E3FDC33C50}">
      <text>
        <r>
          <rPr>
            <sz val="11"/>
            <color theme="1"/>
            <rFont val="Aptos Narrow"/>
            <family val="2"/>
            <scheme val="minor"/>
          </rPr>
          <t>Unknown User:
Quote not emailed</t>
        </r>
      </text>
    </comment>
    <comment ref="G1002" authorId="0" shapeId="0" xr:uid="{69A277C6-3FCB-461D-8EE6-5B3A018D45C2}">
      <text>
        <r>
          <rPr>
            <sz val="11"/>
            <color theme="1"/>
            <rFont val="Aptos Narrow"/>
            <family val="2"/>
            <scheme val="minor"/>
          </rPr>
          <t>Unknown User:
SERVICE &amp; PUMP OUT OF SEPTIC TANK</t>
        </r>
      </text>
    </comment>
    <comment ref="P1002" authorId="0" shapeId="0" xr:uid="{263A0F09-A915-4FF5-B73F-1BC99B697A43}">
      <text>
        <r>
          <rPr>
            <sz val="11"/>
            <color theme="1"/>
            <rFont val="Aptos Narrow"/>
            <family val="2"/>
            <scheme val="minor"/>
          </rPr>
          <t>Unknown User:
Quote not emailed</t>
        </r>
      </text>
    </comment>
    <comment ref="G1006" authorId="0" shapeId="0" xr:uid="{99994B3F-2C2B-4493-B9E7-C2CBFE758B26}">
      <text>
        <r>
          <rPr>
            <sz val="11"/>
            <color theme="1"/>
            <rFont val="Aptos Narrow"/>
            <family val="2"/>
            <scheme val="minor"/>
          </rPr>
          <t>Unknown User:
REPLACEMENT OF 20MM RPZ VALVE ONLY IN WATER SUPPLY (ADJACENT TO EQUIPMENT TO BE PROTECTED)</t>
        </r>
      </text>
    </comment>
    <comment ref="G1007" authorId="0" shapeId="0" xr:uid="{7D69E83B-DC78-487C-8973-6D31BF15FA98}">
      <text>
        <r>
          <rPr>
            <sz val="11"/>
            <color theme="1"/>
            <rFont val="Aptos Narrow"/>
            <family val="2"/>
            <scheme val="minor"/>
          </rPr>
          <t>Unknown User:
PILLAR TAP - SINGLE
$85 Off First Service</t>
        </r>
      </text>
    </comment>
    <comment ref="G1008" authorId="0" shapeId="0" xr:uid="{A64F2205-45E2-4362-894B-830365BF796F}">
      <text>
        <r>
          <rPr>
            <sz val="11"/>
            <color theme="1"/>
            <rFont val="Aptos Narrow"/>
            <family val="2"/>
            <scheme val="minor"/>
          </rPr>
          <t>Unknown User:
DISCONNECT AND REINSTATE EXISTING HEATING RADIATOR 
$65 First Service Discount</t>
        </r>
      </text>
    </comment>
    <comment ref="G1009" authorId="0" shapeId="0" xr:uid="{0989F979-6CC6-4874-B1B5-F5D2A31547E7}">
      <text>
        <r>
          <rPr>
            <sz val="11"/>
            <color theme="1"/>
            <rFont val="Aptos Narrow"/>
            <family val="2"/>
            <scheme val="minor"/>
          </rPr>
          <t>Unknown User:
RESPOUT 10M</t>
        </r>
      </text>
    </comment>
    <comment ref="G1010" authorId="0" shapeId="0" xr:uid="{FA2A3F54-43A2-4A10-8B8F-7CE120EDEA06}">
      <text>
        <r>
          <rPr>
            <sz val="11"/>
            <color theme="1"/>
            <rFont val="Aptos Narrow"/>
            <family val="2"/>
            <scheme val="minor"/>
          </rPr>
          <t xml:space="preserve">Unknown User:
INSTALLATION OF NEW WASHING MACHINE (CUSTOMER SUPPLIED)
</t>
        </r>
      </text>
    </comment>
    <comment ref="G1011" authorId="0" shapeId="0" xr:uid="{319A317E-EC5B-48C4-8F51-7E0C41F7BF33}">
      <text>
        <r>
          <rPr>
            <sz val="11"/>
            <color theme="1"/>
            <rFont val="Aptos Narrow"/>
            <family val="2"/>
            <scheme val="minor"/>
          </rPr>
          <t xml:space="preserve">Unknown User:
HIGH POWERED JET BLAST &amp; CCTV CAMERA INSPECTION (GAIN ACCESS WITH REMOVAL OF TOILET)
</t>
        </r>
      </text>
    </comment>
    <comment ref="G1012" authorId="0" shapeId="0" xr:uid="{D0D71356-88CC-4535-B2F1-D95E2053A8BB}">
      <text>
        <r>
          <rPr>
            <sz val="11"/>
            <color theme="1"/>
            <rFont val="Aptos Narrow"/>
            <family val="2"/>
            <scheme val="minor"/>
          </rPr>
          <t>Unknown User:
SEARCH &amp; INVESTIGATION OF WASHING MACHINE</t>
        </r>
      </text>
    </comment>
    <comment ref="G1020" authorId="0" shapeId="0" xr:uid="{5279984B-0278-4E34-9B17-6B5DEDDE8D5B}">
      <text>
        <r>
          <rPr>
            <sz val="11"/>
            <color theme="1"/>
            <rFont val="Aptos Narrow"/>
            <family val="2"/>
            <scheme val="minor"/>
          </rPr>
          <t>Unknown User:
SUPPLY &amp; INSTALLATION OF NEW INSTANTANEOUS GAS HOT WATER SYSTEM (EXTERNAL)
CREDIT OF SEARCH &amp; INVESTIGATION</t>
        </r>
      </text>
    </comment>
    <comment ref="K1020" authorId="0" shapeId="0" xr:uid="{C9FAD55F-A44B-41CD-A394-6C0732ABED3D}">
      <text>
        <r>
          <rPr>
            <sz val="11"/>
            <color theme="1"/>
            <rFont val="Aptos Narrow"/>
            <family val="2"/>
            <scheme val="minor"/>
          </rPr>
          <t>Unknown User:
Previous job pics considered</t>
        </r>
      </text>
    </comment>
    <comment ref="G1021" authorId="0" shapeId="0" xr:uid="{6B8B2B7C-1724-4316-80F5-4D8616BB579E}">
      <text>
        <r>
          <rPr>
            <sz val="11"/>
            <color theme="1"/>
            <rFont val="Aptos Narrow"/>
            <family val="2"/>
            <scheme val="minor"/>
          </rPr>
          <t xml:space="preserve">Unknown User:
INSTALL CUSTOMER SUPPLIED INSTANTANEOUS HWS
</t>
        </r>
      </text>
    </comment>
    <comment ref="K1021" authorId="0" shapeId="0" xr:uid="{013D6230-79D4-447A-BCA6-DDD62FC6EFE1}">
      <text>
        <r>
          <rPr>
            <sz val="11"/>
            <color theme="1"/>
            <rFont val="Aptos Narrow"/>
            <family val="2"/>
            <scheme val="minor"/>
          </rPr>
          <t>Unknown User:
Previous job pics considered</t>
        </r>
      </text>
    </comment>
    <comment ref="E1042" authorId="17" shapeId="0" xr:uid="{B3B29987-D7A3-4385-A154-29355DDA261A}">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E1043" authorId="18" shapeId="0" xr:uid="{483DEFD3-3B9E-4077-8032-F743715FF7AA}">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E1044" authorId="19" shapeId="0" xr:uid="{790251BD-517C-4872-AEB0-41B54E3BCBA8}">
      <text>
        <t>[Threaded comment]
Your version of Excel allows you to read this threaded comment; however, any edits to it will get removed if the file is opened in a newer version of Excel. Learn more: https://go.microsoft.com/fwlink/?linkid=870924
Comment:
    Checked</t>
      </text>
    </comment>
    <comment ref="G1053" authorId="0" shapeId="0" xr:uid="{EFCD0288-A134-4F6A-9F03-8E03D51C6DA7}">
      <text>
        <r>
          <rPr>
            <sz val="11"/>
            <color theme="1"/>
            <rFont val="Aptos Narrow"/>
            <family val="2"/>
            <scheme val="minor"/>
          </rPr>
          <t>Unknown User:
DECOMMISSION OF EXISTING FREE STANDING OVEN AND GAS COOKTOP &amp; MAKE SAFE
10% Seniors &amp; Pensioners Discount</t>
        </r>
      </text>
    </comment>
    <comment ref="P1053" authorId="0" shapeId="0" xr:uid="{B9ED4471-8EAC-449E-8C13-65D9FD5572C0}">
      <text>
        <r>
          <rPr>
            <sz val="11"/>
            <color theme="1"/>
            <rFont val="Aptos Narrow"/>
            <family val="2"/>
            <scheme val="minor"/>
          </rPr>
          <t>Unknown User:
Quote not emailed</t>
        </r>
      </text>
    </comment>
    <comment ref="G1054" authorId="0" shapeId="0" xr:uid="{37E5FFB3-C75B-4893-9D97-422E47DAD83C}">
      <text>
        <r>
          <rPr>
            <sz val="11"/>
            <color theme="1"/>
            <rFont val="Aptos Narrow"/>
            <family val="2"/>
            <scheme val="minor"/>
          </rPr>
          <t>Unknown User:
SEARCH &amp; INVESTIGATION OF DISHWASHER</t>
        </r>
      </text>
    </comment>
    <comment ref="P1054" authorId="0" shapeId="0" xr:uid="{FF2B2F6F-F0E6-4B8C-A843-14359D4EAE38}">
      <text>
        <r>
          <rPr>
            <sz val="11"/>
            <color theme="1"/>
            <rFont val="Aptos Narrow"/>
            <family val="2"/>
            <scheme val="minor"/>
          </rPr>
          <t>Unknown User:
Quote not emailed</t>
        </r>
      </text>
    </comment>
    <comment ref="S1054" authorId="0" shapeId="0" xr:uid="{431ED3D6-A540-44F6-9CEB-7F337C552B81}">
      <text>
        <r>
          <rPr>
            <sz val="11"/>
            <color theme="1"/>
            <rFont val="Aptos Narrow"/>
            <family val="2"/>
            <scheme val="minor"/>
          </rPr>
          <t>Unknown User:
Signed final invoice not emailed</t>
        </r>
      </text>
    </comment>
    <comment ref="G1055" authorId="0" shapeId="0" xr:uid="{9DC0D68B-3F46-4E31-B887-17FFCF5CEBE6}">
      <text>
        <r>
          <rPr>
            <sz val="11"/>
            <color theme="1"/>
            <rFont val="Aptos Narrow"/>
            <family val="2"/>
            <scheme val="minor"/>
          </rPr>
          <t>Unknown User:
HIGH POWERED JET BLAST &amp; CCTV DRAIN CAMERA INSPECTION (SEWER SERVICE)</t>
        </r>
      </text>
    </comment>
    <comment ref="P1055" authorId="0" shapeId="0" xr:uid="{C7BD761E-8555-4A48-87D5-29AF4E42D5F4}">
      <text>
        <r>
          <rPr>
            <sz val="11"/>
            <color theme="1"/>
            <rFont val="Aptos Narrow"/>
            <family val="2"/>
            <scheme val="minor"/>
          </rPr>
          <t>Unknown User:
Quote not emailed</t>
        </r>
      </text>
    </comment>
    <comment ref="S1055" authorId="0" shapeId="0" xr:uid="{E4D38910-3A7D-4B87-8110-F37BAF32A5E5}">
      <text>
        <r>
          <rPr>
            <sz val="11"/>
            <color theme="1"/>
            <rFont val="Aptos Narrow"/>
            <family val="2"/>
            <scheme val="minor"/>
          </rPr>
          <t>Unknown User:
Signed final invoice not emailed</t>
        </r>
      </text>
    </comment>
    <comment ref="G1056" authorId="0" shapeId="0" xr:uid="{DF0727EB-82B5-40DE-A1A8-5D3A2840AC6F}">
      <text>
        <r>
          <rPr>
            <sz val="11"/>
            <color theme="1"/>
            <rFont val="Aptos Narrow"/>
            <family val="2"/>
            <scheme val="minor"/>
          </rPr>
          <t>Unknown User:
REPLACEMENT OF WALL TOP TAPWARE</t>
        </r>
      </text>
    </comment>
    <comment ref="S1056" authorId="0" shapeId="0" xr:uid="{A94F0431-A3A1-4CA8-90D0-99E9462E2459}">
      <text>
        <r>
          <rPr>
            <sz val="11"/>
            <color theme="1"/>
            <rFont val="Aptos Narrow"/>
            <family val="2"/>
            <scheme val="minor"/>
          </rPr>
          <t>Unknown User:
Signed invoice not emailed</t>
        </r>
      </text>
    </comment>
    <comment ref="V1056" authorId="0" shapeId="0" xr:uid="{6E31DE0D-4502-4975-824D-E70D468C2385}">
      <text>
        <r>
          <rPr>
            <sz val="11"/>
            <color theme="1"/>
            <rFont val="Aptos Narrow"/>
            <family val="2"/>
            <scheme val="minor"/>
          </rPr>
          <t>Unknown User:
Excess receipt by $1</t>
        </r>
      </text>
    </comment>
    <comment ref="G1057" authorId="0" shapeId="0" xr:uid="{4913661C-9097-4265-B659-44287FD1D328}">
      <text>
        <r>
          <rPr>
            <sz val="11"/>
            <color theme="1"/>
            <rFont val="Aptos Narrow"/>
            <family val="2"/>
            <scheme val="minor"/>
          </rPr>
          <t>Unknown User:
REPLACEMENT OF BASIN TAPS AND SPOUT (CUSTOMER SUPPLIED)</t>
        </r>
      </text>
    </comment>
    <comment ref="P1057" authorId="0" shapeId="0" xr:uid="{97654D58-1A31-4882-9953-7270907371BE}">
      <text>
        <r>
          <rPr>
            <sz val="11"/>
            <color theme="1"/>
            <rFont val="Aptos Narrow"/>
            <family val="2"/>
            <scheme val="minor"/>
          </rPr>
          <t>Unknown User:
Quote not emailed</t>
        </r>
      </text>
    </comment>
    <comment ref="U1057" authorId="0" shapeId="0" xr:uid="{34506F4D-D11F-465A-AA67-3C9BF1C69163}">
      <text>
        <r>
          <rPr>
            <sz val="11"/>
            <color theme="1"/>
            <rFont val="Aptos Narrow"/>
            <family val="2"/>
            <scheme val="minor"/>
          </rPr>
          <t>Unknown User:
23/9-As per Lia's note "Did a complimentary pressure test, the water pressure is too high. We replaced the copper with flexi hoses and the pressure being too high has caused it to pop. I’ve used a longer flexi hose that has less tension now but I’ll let her know my findings"</t>
        </r>
      </text>
    </comment>
    <comment ref="G1058" authorId="0" shapeId="0" xr:uid="{593DF56E-62DC-4F65-8647-0F222198E621}">
      <text>
        <r>
          <rPr>
            <sz val="11"/>
            <color theme="1"/>
            <rFont val="Aptos Narrow"/>
            <family val="2"/>
            <scheme val="minor"/>
          </rPr>
          <t>Unknown User:
REPLACEMENT OF WALL SINK TAPS AND SPOUT
Complimentary Home Safety Inspection</t>
        </r>
      </text>
    </comment>
    <comment ref="L1058" authorId="0" shapeId="0" xr:uid="{850237CB-DF79-4A4D-BA64-0E9795E610FE}">
      <text>
        <r>
          <rPr>
            <sz val="11"/>
            <color theme="1"/>
            <rFont val="Aptos Narrow"/>
            <family val="2"/>
            <scheme val="minor"/>
          </rPr>
          <t>Unknown User:
Replaced wall sink tap &amp; spout pic not uploaded</t>
        </r>
      </text>
    </comment>
    <comment ref="P1058" authorId="0" shapeId="0" xr:uid="{89FD76F2-1B7C-4E4D-96F8-349428639F71}">
      <text>
        <r>
          <rPr>
            <sz val="11"/>
            <color theme="1"/>
            <rFont val="Aptos Narrow"/>
            <family val="2"/>
            <scheme val="minor"/>
          </rPr>
          <t>Unknown User:
Quote not emailed</t>
        </r>
      </text>
    </comment>
    <comment ref="G1059" authorId="0" shapeId="0" xr:uid="{D3EA6B10-097D-4D2F-830D-9F5B7D23BB05}">
      <text>
        <r>
          <rPr>
            <sz val="11"/>
            <color theme="1"/>
            <rFont val="Aptos Narrow"/>
            <family val="2"/>
            <scheme val="minor"/>
          </rPr>
          <t>Unknown User:
HIGH POWERED JET BLAST &amp; CCTV CAMERA INSPECTION (GAIN ACCESS FROM VENT)</t>
        </r>
      </text>
    </comment>
    <comment ref="P1059" authorId="0" shapeId="0" xr:uid="{91C6F165-E849-4429-AA9A-7E2939A64DDD}">
      <text>
        <r>
          <rPr>
            <sz val="11"/>
            <color theme="1"/>
            <rFont val="Aptos Narrow"/>
            <family val="2"/>
            <scheme val="minor"/>
          </rPr>
          <t>Unknown User:
Quote not emailed</t>
        </r>
      </text>
    </comment>
    <comment ref="G1060" authorId="0" shapeId="0" xr:uid="{4C2C6BC7-0F1D-4927-868F-7C8D10D76976}">
      <text>
        <r>
          <rPr>
            <sz val="11"/>
            <color theme="1"/>
            <rFont val="Aptos Narrow"/>
            <family val="2"/>
            <scheme val="minor"/>
          </rPr>
          <t>Unknown User:
WATER SERVICE RECTIFICATION (IN WALL)</t>
        </r>
      </text>
    </comment>
    <comment ref="P1060" authorId="0" shapeId="0" xr:uid="{7892D6F5-9957-41F8-9BF2-A5286F077F84}">
      <text>
        <r>
          <rPr>
            <sz val="11"/>
            <color theme="1"/>
            <rFont val="Aptos Narrow"/>
            <family val="2"/>
            <scheme val="minor"/>
          </rPr>
          <t>Unknown User:
Quote not emailed</t>
        </r>
      </text>
    </comment>
    <comment ref="G1061" authorId="0" shapeId="0" xr:uid="{AD952C4F-BFF9-4C78-851F-E5C0F854A15D}">
      <text>
        <r>
          <rPr>
            <sz val="11"/>
            <color theme="1"/>
            <rFont val="Aptos Narrow"/>
            <family val="2"/>
            <scheme val="minor"/>
          </rPr>
          <t>Unknown User:
HIGH POWERED JET BLAST &amp; CCTV DRAIN CAMERA INSPECTION (SEWER SERVICE)</t>
        </r>
      </text>
    </comment>
    <comment ref="P1061" authorId="0" shapeId="0" xr:uid="{221C3C98-A0D6-4668-ADD9-70548874B6EC}">
      <text>
        <r>
          <rPr>
            <sz val="11"/>
            <color theme="1"/>
            <rFont val="Aptos Narrow"/>
            <family val="2"/>
            <scheme val="minor"/>
          </rPr>
          <t>Unknown User:
Quote not emailed</t>
        </r>
      </text>
    </comment>
    <comment ref="Q1061" authorId="0" shapeId="0" xr:uid="{4D67F103-8AA2-4FC4-8991-BB274C2103DC}">
      <text>
        <r>
          <rPr>
            <sz val="11"/>
            <color theme="1"/>
            <rFont val="Aptos Narrow"/>
            <family val="2"/>
            <scheme val="minor"/>
          </rPr>
          <t>Unknown User:
Final invoice not raised</t>
        </r>
      </text>
    </comment>
    <comment ref="G1062" authorId="0" shapeId="0" xr:uid="{7DA1DE61-58BA-46DD-B78F-0731CF3EA141}">
      <text>
        <r>
          <rPr>
            <sz val="11"/>
            <color theme="1"/>
            <rFont val="Aptos Narrow"/>
            <family val="2"/>
            <scheme val="minor"/>
          </rPr>
          <t>Unknown User:
REPLACE EXISTING 15MM WATER CONNECTION WITH BRAIDED FLEXIBLE HOSE</t>
        </r>
      </text>
    </comment>
    <comment ref="L1062" authorId="0" shapeId="0" xr:uid="{BA016C0B-E034-4C2E-B81B-1A5F231A77AB}">
      <text>
        <r>
          <rPr>
            <sz val="11"/>
            <color theme="1"/>
            <rFont val="Aptos Narrow"/>
            <family val="2"/>
            <scheme val="minor"/>
          </rPr>
          <t>Unknown User:
After pics are not uploaded.</t>
        </r>
      </text>
    </comment>
    <comment ref="P1062" authorId="0" shapeId="0" xr:uid="{6C4E5973-DF0E-4442-9A17-2F4D29A0C6C7}">
      <text>
        <r>
          <rPr>
            <sz val="11"/>
            <color theme="1"/>
            <rFont val="Aptos Narrow"/>
            <family val="2"/>
            <scheme val="minor"/>
          </rPr>
          <t>Unknown User:
Quote not emailed</t>
        </r>
      </text>
    </comment>
    <comment ref="G1063" authorId="0" shapeId="0" xr:uid="{23013A89-1B47-4A98-BC2D-A0F4C6F5003C}">
      <text>
        <r>
          <rPr>
            <sz val="11"/>
            <color theme="1"/>
            <rFont val="Aptos Narrow"/>
            <family val="2"/>
            <scheme val="minor"/>
          </rPr>
          <t>Unknown User:
DOWN PIPE REPAIR DOUBLE STORY
15% Seniors &amp; Pensioners Discount</t>
        </r>
      </text>
    </comment>
    <comment ref="M1063" authorId="0" shapeId="0" xr:uid="{0DC5699A-494A-4683-A442-C347403C4284}">
      <text>
        <r>
          <rPr>
            <sz val="11"/>
            <color theme="1"/>
            <rFont val="Aptos Narrow"/>
            <family val="2"/>
            <scheme val="minor"/>
          </rPr>
          <t>Unknown User:
Smartpay receipt of $1903.20 not uploaded by plumber.
Uploaded by Modoras team.</t>
        </r>
      </text>
    </comment>
    <comment ref="P1063" authorId="0" shapeId="0" xr:uid="{62820809-4BA1-4E7F-B070-22CB2295F6C1}">
      <text>
        <r>
          <rPr>
            <sz val="11"/>
            <color theme="1"/>
            <rFont val="Aptos Narrow"/>
            <family val="2"/>
            <scheme val="minor"/>
          </rPr>
          <t>Unknown User:
Quote not emailed</t>
        </r>
      </text>
    </comment>
    <comment ref="A1068" authorId="20" shapeId="0" xr:uid="{791BB4D4-CFC3-426D-9624-1B905BB7714D}">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068" authorId="0" shapeId="0" xr:uid="{0B3C37D7-506F-4DF9-871D-37B25F269590}">
      <text>
        <r>
          <rPr>
            <sz val="11"/>
            <color theme="1"/>
            <rFont val="Aptos Narrow"/>
            <family val="2"/>
            <scheme val="minor"/>
          </rPr>
          <t>Unknown User:
HIGH POWERED JET BLAST &amp; CCTV CAMERA INSPECTION (GAIN ACCESS FROM VENT)
Locate main sewer vent
Cut out section of sewer vent
Gain access to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section of sewer vent using specialist repair coupling
Test &amp; commission installation
PLEASE NOTE IF BLOCKAGE DOES NOT CLEAR FURTHER COST WILL APPLY. THIS IS A FIRST ATTEMPT.</t>
        </r>
      </text>
    </comment>
    <comment ref="P1068" authorId="0" shapeId="0" xr:uid="{009266D3-8D03-401B-8A16-3A5F0C3ACA1A}">
      <text>
        <r>
          <rPr>
            <sz val="11"/>
            <color theme="1"/>
            <rFont val="Aptos Narrow"/>
            <family val="2"/>
            <scheme val="minor"/>
          </rPr>
          <t>Unknown User:
Quote not emailed</t>
        </r>
      </text>
    </comment>
    <comment ref="S1068" authorId="0" shapeId="0" xr:uid="{81A73BB6-59E8-4449-B30B-F1E75D7477B1}">
      <text>
        <r>
          <rPr>
            <sz val="11"/>
            <color theme="1"/>
            <rFont val="Aptos Narrow"/>
            <family val="2"/>
            <scheme val="minor"/>
          </rPr>
          <t>Unknown User:
Invoice not emailed</t>
        </r>
      </text>
    </comment>
    <comment ref="A1069" authorId="21" shapeId="0" xr:uid="{B1EA40F0-F934-49EC-B643-24D5E6125A22}">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1069" authorId="0" shapeId="0" xr:uid="{DE4A72C2-A742-4053-9F44-651E317E74CE}">
      <text>
        <r>
          <rPr>
            <sz val="11"/>
            <color theme="1"/>
            <rFont val="Aptos Narrow"/>
            <family val="2"/>
            <scheme val="minor"/>
          </rPr>
          <t xml:space="preserve">Unknown User:
REPLACEMENT OF EXISTING OVERFLOW GULLY &amp; SECTION OF MAIN SEWER SERVICE (UNDER CONCRETE)
</t>
        </r>
      </text>
    </comment>
    <comment ref="N1069" authorId="0" shapeId="0" xr:uid="{54057B39-F293-46AA-B315-AA780A0CF565}">
      <text>
        <r>
          <rPr>
            <sz val="11"/>
            <color theme="1"/>
            <rFont val="Aptos Narrow"/>
            <family val="2"/>
            <scheme val="minor"/>
          </rPr>
          <t>Unknown User:
Quote raised in Job #73005</t>
        </r>
      </text>
    </comment>
    <comment ref="P1069" authorId="0" shapeId="0" xr:uid="{9F0D64F0-26EA-433E-A633-5D495F9997B4}">
      <text>
        <r>
          <rPr>
            <sz val="11"/>
            <color theme="1"/>
            <rFont val="Aptos Narrow"/>
            <family val="2"/>
            <scheme val="minor"/>
          </rPr>
          <t>Unknown User:
Quote not emailed</t>
        </r>
      </text>
    </comment>
    <comment ref="V1069" authorId="0" shapeId="0" xr:uid="{48EB97AA-0B40-4D66-9AF6-C56352FBF997}">
      <text>
        <r>
          <rPr>
            <sz val="11"/>
            <color theme="1"/>
            <rFont val="Aptos Narrow"/>
            <family val="2"/>
            <scheme val="minor"/>
          </rPr>
          <t>Unknown User:
8/9-Received $3035.40 by Smartpay
9/9-Received $7000 by Smartpay</t>
        </r>
      </text>
    </comment>
    <comment ref="G1073" authorId="0" shapeId="0" xr:uid="{C3920E04-01E9-4BAC-9C80-B11F460E62F8}">
      <text>
        <r>
          <rPr>
            <sz val="11"/>
            <color theme="1"/>
            <rFont val="Aptos Narrow"/>
            <family val="2"/>
            <scheme val="minor"/>
          </rPr>
          <t xml:space="preserve">Unknown User:
REPLACEMENT OF SEWER BOUNDARY TRAP (UNDER CONCRETE)
CREDIT HIGH POWERED JETBLAST &amp; CCTV CAMERA </t>
        </r>
      </text>
    </comment>
    <comment ref="N1073" authorId="0" shapeId="0" xr:uid="{AD867F68-714E-4901-86AB-C6431C1A745E}">
      <text>
        <r>
          <rPr>
            <sz val="11"/>
            <color theme="1"/>
            <rFont val="Aptos Narrow"/>
            <family val="2"/>
            <scheme val="minor"/>
          </rPr>
          <t>Unknown User:
Quote raised in Job #73204</t>
        </r>
      </text>
    </comment>
    <comment ref="P1073" authorId="0" shapeId="0" xr:uid="{F31118A3-753F-490D-86F3-838DE96F8130}">
      <text>
        <r>
          <rPr>
            <sz val="11"/>
            <color theme="1"/>
            <rFont val="Aptos Narrow"/>
            <family val="2"/>
            <scheme val="minor"/>
          </rPr>
          <t>Unknown User:
Quote not emailed</t>
        </r>
      </text>
    </comment>
    <comment ref="G1077" authorId="0" shapeId="0" xr:uid="{AC79A854-F514-424E-832A-9F3A2D29A3B2}">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1077" authorId="0" shapeId="0" xr:uid="{4EFB56D6-76AA-4832-9777-C2FD2A9E3794}">
      <text>
        <r>
          <rPr>
            <sz val="11"/>
            <color theme="1"/>
            <rFont val="Aptos Narrow"/>
            <family val="2"/>
            <scheme val="minor"/>
          </rPr>
          <t>Unknown User:
Quote not Emailed</t>
        </r>
      </text>
    </comment>
    <comment ref="V1077" authorId="0" shapeId="0" xr:uid="{A9965501-7FDE-49C8-B654-D3791063089A}">
      <text>
        <r>
          <rPr>
            <sz val="11"/>
            <color theme="1"/>
            <rFont val="Aptos Narrow"/>
            <family val="2"/>
            <scheme val="minor"/>
          </rPr>
          <t xml:space="preserve">Unknown User:
11/07 Received $200 EFT
</t>
        </r>
      </text>
    </comment>
    <comment ref="G1078" authorId="0" shapeId="0" xr:uid="{EB14D5FA-071C-4496-9EE8-E52FF3B35295}">
      <text>
        <r>
          <rPr>
            <sz val="11"/>
            <color theme="1"/>
            <rFont val="Aptos Narrow"/>
            <family val="2"/>
            <scheme val="minor"/>
          </rPr>
          <t xml:space="preserve">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
CONTINUATION OF SERVICES </t>
        </r>
      </text>
    </comment>
    <comment ref="N1078" authorId="0" shapeId="0" xr:uid="{CE321AEF-6950-4C92-A9BF-55C3260ACE46}">
      <text>
        <r>
          <rPr>
            <sz val="11"/>
            <color theme="1"/>
            <rFont val="Aptos Narrow"/>
            <family val="2"/>
            <scheme val="minor"/>
          </rPr>
          <t>Unknown User:
Quote raised in job #71681</t>
        </r>
      </text>
    </comment>
    <comment ref="P1078" authorId="0" shapeId="0" xr:uid="{7FB88D5E-9DBD-440F-8956-AC8CCDE7CDD9}">
      <text>
        <r>
          <rPr>
            <sz val="11"/>
            <color theme="1"/>
            <rFont val="Aptos Narrow"/>
            <family val="2"/>
            <scheme val="minor"/>
          </rPr>
          <t>Unknown User:
Quote not emailed</t>
        </r>
      </text>
    </comment>
    <comment ref="Q1078" authorId="0" shapeId="0" xr:uid="{A37F64D3-E766-4671-A481-0D969A1244E8}">
      <text>
        <r>
          <rPr>
            <sz val="11"/>
            <color theme="1"/>
            <rFont val="Aptos Narrow"/>
            <family val="2"/>
            <scheme val="minor"/>
          </rPr>
          <t>Unknown User:
Final invoice not raised</t>
        </r>
      </text>
    </comment>
    <comment ref="U1078" authorId="0" shapeId="0" xr:uid="{D9C30E39-273F-44B5-82E5-E62FEA02B211}">
      <text>
        <r>
          <rPr>
            <sz val="11"/>
            <color theme="1"/>
            <rFont val="Aptos Narrow"/>
            <family val="2"/>
            <scheme val="minor"/>
          </rPr>
          <t>Unknown User:
23/7-As per Alex's note "Previous invoices weren't taken off on the total and the system didn't match what she paid so I took what she said was left from her end. Please confirm if there is more needed to be taken. I tried my best
"</t>
        </r>
      </text>
    </comment>
    <comment ref="G1079" authorId="0" shapeId="0" xr:uid="{69470FF8-6182-4E10-BCD4-608A870EA9BD}">
      <text>
        <r>
          <rPr>
            <sz val="11"/>
            <color theme="1"/>
            <rFont val="Aptos Narrow"/>
            <family val="2"/>
            <scheme val="minor"/>
          </rPr>
          <t>Unknown User:
COMMERCIAL HIGH POWERED JETBLAST &amp; CCTV DRAIN CAMERA INSPECTION</t>
        </r>
      </text>
    </comment>
    <comment ref="P1079" authorId="0" shapeId="0" xr:uid="{B71A0E27-79C9-4810-8078-8417D118FBF2}">
      <text>
        <r>
          <rPr>
            <sz val="11"/>
            <color theme="1"/>
            <rFont val="Aptos Narrow"/>
            <family val="2"/>
            <scheme val="minor"/>
          </rPr>
          <t xml:space="preserve">Unknown User:
Quote not emailed
</t>
        </r>
      </text>
    </comment>
    <comment ref="G1080" authorId="0" shapeId="0" xr:uid="{72A91D27-8757-44DE-8D8E-B2216D070499}">
      <text>
        <r>
          <rPr>
            <sz val="11"/>
            <color theme="1"/>
            <rFont val="Aptos Narrow"/>
            <family val="2"/>
            <scheme val="minor"/>
          </rPr>
          <t>Unknown User:
REPLACEMENT OF BASIN SET</t>
        </r>
      </text>
    </comment>
    <comment ref="P1080" authorId="0" shapeId="0" xr:uid="{43856932-32C9-452F-BA01-7672583BB58B}">
      <text>
        <r>
          <rPr>
            <sz val="11"/>
            <color theme="1"/>
            <rFont val="Aptos Narrow"/>
            <family val="2"/>
            <scheme val="minor"/>
          </rPr>
          <t>Unknown User:
Quote not emailed</t>
        </r>
      </text>
    </comment>
    <comment ref="S1080" authorId="0" shapeId="0" xr:uid="{14B74BC5-99C3-45D9-941A-F80830896094}">
      <text>
        <r>
          <rPr>
            <sz val="11"/>
            <color theme="1"/>
            <rFont val="Aptos Narrow"/>
            <family val="2"/>
            <scheme val="minor"/>
          </rPr>
          <t>Unknown User:
Final invoice not emailed</t>
        </r>
      </text>
    </comment>
    <comment ref="V1080" authorId="0" shapeId="0" xr:uid="{E7B19862-8609-4A16-A184-F51AFD9FAE29}">
      <text>
        <r>
          <rPr>
            <sz val="11"/>
            <color theme="1"/>
            <rFont val="Aptos Narrow"/>
            <family val="2"/>
            <scheme val="minor"/>
          </rPr>
          <t>Unknown User:
Short receipt by $30</t>
        </r>
      </text>
    </comment>
    <comment ref="G1081" authorId="0" shapeId="0" xr:uid="{4CB936DB-D4C1-4826-94C3-E7AF8671E3C7}">
      <text>
        <r>
          <rPr>
            <sz val="11"/>
            <color theme="1"/>
            <rFont val="Aptos Narrow"/>
            <family val="2"/>
            <scheme val="minor"/>
          </rPr>
          <t xml:space="preserve">Unknown User:
SUPPLY &amp; INSTALLATION OF NEW TWIN ELEMENT HOT WATER UNIT (INTERNAL)
</t>
        </r>
      </text>
    </comment>
    <comment ref="L1081" authorId="0" shapeId="0" xr:uid="{0F18C718-1565-45F8-B404-9CD27F1FB8CD}">
      <text>
        <r>
          <rPr>
            <sz val="11"/>
            <color theme="1"/>
            <rFont val="Aptos Narrow"/>
            <family val="2"/>
            <scheme val="minor"/>
          </rPr>
          <t>Unknown User:
Temp check pic not uploaded</t>
        </r>
      </text>
    </comment>
    <comment ref="N1081" authorId="0" shapeId="0" xr:uid="{23A3131E-FE59-49E1-8A5B-DB5C5034661E}">
      <text>
        <r>
          <rPr>
            <sz val="11"/>
            <color theme="1"/>
            <rFont val="Aptos Narrow"/>
            <family val="2"/>
            <scheme val="minor"/>
          </rPr>
          <t>Unknown User:
Quote not raised due to technical issue in ServiceTitan.</t>
        </r>
      </text>
    </comment>
    <comment ref="U1081" authorId="0" shapeId="0" xr:uid="{F746DF3A-A47A-476F-8F33-65F0EAA10BC2}">
      <text>
        <r>
          <rPr>
            <sz val="11"/>
            <color theme="1"/>
            <rFont val="Aptos Narrow"/>
            <family val="2"/>
            <scheme val="minor"/>
          </rPr>
          <t>Unknown User:
14/8-As per Fiona's note "Customer has claimed that damage to the downstairs apartment has been caused by the water damaged from out workmanship. Charlie has advised that if damage is caused by us then we will definitely cover it however she must pay for her HWS first.
Customer expressed she thought the 10% deposit was the cost paid for the HSW and didn't realize she still owed more. She also advised she wanted a breakdown of cost to which she has now been told twice by different operators that we offer a fixed price quote and not a breakdown of labour and product or equipment."
14/8-As per Sadie's note "customer called to cancel appointment for today - refusing to pay outstanding balance, threatened with laws and regulations and is going to take action within 7 days if she doesn't receive a itemized invoice, advised customer we don't provide itemized invoices due to it being an upfront fixed price quote. customer has a written complaint which i have advised customer to send via email. email is being sent to info@tradesaus.com.au"
13/8-As per Mathew H's note "Karen said that she wasn’t aware of the price of the job, she was very surprised when I told her the balance owing over the phone, I said this would have been presented to you at the start of the job and you paid a deposit of it, she then said that she wanted an itemised invoice and I said we don’t do them as per the website we provide upfront fixed pricing for the work, she said yes I understand and I’m not saying that I’m not going to pay but I need to understand where all the money is going and also you need to sort out the damage caused by the leak to be downstairs of our property. This is difficult when Liam isn’t available at the moment so I said you will have to wait for a few days, for the meantime I sent her the invoice that shows what is outstanding. Adding appointment to follow up on Monday 18th"</t>
        </r>
      </text>
    </comment>
    <comment ref="G1082" authorId="0" shapeId="0" xr:uid="{C9AC760D-A9D8-42DC-A797-5314149275FE}">
      <text>
        <r>
          <rPr>
            <sz val="11"/>
            <color theme="1"/>
            <rFont val="Aptos Narrow"/>
            <family val="2"/>
            <scheme val="minor"/>
          </rPr>
          <t>Unknown User:
WATER SERVICE RECTIFICATION (IN GROUND)
10% Seniors &amp; Pensioners Discount</t>
        </r>
      </text>
    </comment>
    <comment ref="P1082" authorId="0" shapeId="0" xr:uid="{9465239F-9BF0-45AB-9F6A-19965BDF3985}">
      <text>
        <r>
          <rPr>
            <sz val="11"/>
            <color theme="1"/>
            <rFont val="Aptos Narrow"/>
            <family val="2"/>
            <scheme val="minor"/>
          </rPr>
          <t>Unknown User:
Quote not emailed</t>
        </r>
      </text>
    </comment>
    <comment ref="G1083" authorId="0" shapeId="0" xr:uid="{537A2D74-4EEE-4520-9D2E-A5BC85DDF01F}">
      <text>
        <r>
          <rPr>
            <sz val="11"/>
            <color theme="1"/>
            <rFont val="Aptos Narrow"/>
            <family val="2"/>
            <scheme val="minor"/>
          </rPr>
          <t xml:space="preserve">Unknown User:
SUPPLY &amp; INSTALLATION OF GAS STORAGE HOT WATER SYSTEM (EXTERNAL)
CREDIT OF SEARCH &amp; INVESTIGATION </t>
        </r>
      </text>
    </comment>
    <comment ref="N1083" authorId="0" shapeId="0" xr:uid="{4BCD1A3D-6E33-4484-8CB2-047C635080AE}">
      <text>
        <r>
          <rPr>
            <sz val="11"/>
            <color theme="1"/>
            <rFont val="Aptos Narrow"/>
            <family val="2"/>
            <scheme val="minor"/>
          </rPr>
          <t>Unknown User:
Quote raised &amp; uploaded in Job #72903</t>
        </r>
      </text>
    </comment>
    <comment ref="P1083" authorId="0" shapeId="0" xr:uid="{AFAA116F-18C1-4CDC-B852-61177C7296A2}">
      <text>
        <r>
          <rPr>
            <sz val="11"/>
            <color theme="1"/>
            <rFont val="Aptos Narrow"/>
            <family val="2"/>
            <scheme val="minor"/>
          </rPr>
          <t>Unknown User:
Quote not emailed</t>
        </r>
      </text>
    </comment>
    <comment ref="T1083" authorId="0" shapeId="0" xr:uid="{DB3D9725-40A0-4A12-B209-D043E8387AF6}">
      <text>
        <r>
          <rPr>
            <sz val="11"/>
            <color theme="1"/>
            <rFont val="Aptos Narrow"/>
            <family val="2"/>
            <scheme val="minor"/>
          </rPr>
          <t>Unknown User:
0.5x for Tolga 
0.5x for Rylee W</t>
        </r>
      </text>
    </comment>
    <comment ref="V1083" authorId="0" shapeId="0" xr:uid="{3CD6C9B2-16BD-4C5D-B79B-8F23A58554BC}">
      <text>
        <r>
          <rPr>
            <sz val="11"/>
            <color theme="1"/>
            <rFont val="Aptos Narrow"/>
            <family val="2"/>
            <scheme val="minor"/>
          </rPr>
          <t>Unknown User:
3/9-EFT received for $608
3/9-PP (ZIP) settlement made for 5478.30</t>
        </r>
      </text>
    </comment>
    <comment ref="D1084" authorId="0" shapeId="0" xr:uid="{54E3CD9E-07BE-42F7-846E-D5E1D4D5EC56}">
      <text>
        <r>
          <rPr>
            <sz val="11"/>
            <color theme="1"/>
            <rFont val="Aptos Narrow"/>
            <family val="2"/>
            <scheme val="minor"/>
          </rPr>
          <t>Unknown User:
Previously under "Unsuccessful jobs" in Bradley's sheet on 2/9. Now quote raised by Liam on 11/9</t>
        </r>
      </text>
    </comment>
    <comment ref="G1084" authorId="0" shapeId="0" xr:uid="{D305DF18-3E75-4F53-8EB7-B434249F0FDC}">
      <text>
        <r>
          <rPr>
            <sz val="11"/>
            <color theme="1"/>
            <rFont val="Aptos Narrow"/>
            <family val="2"/>
            <scheme val="minor"/>
          </rPr>
          <t>Unknown User:
COMPLETE SERVICE OF WALL TOP TAPS ASSEMBLY</t>
        </r>
      </text>
    </comment>
    <comment ref="P1084" authorId="0" shapeId="0" xr:uid="{24F8A71E-4DA1-4FD6-B677-1099CA6176B7}">
      <text>
        <r>
          <rPr>
            <sz val="11"/>
            <color theme="1"/>
            <rFont val="Aptos Narrow"/>
            <family val="2"/>
            <scheme val="minor"/>
          </rPr>
          <t>Unknown User:
Quote not emailed</t>
        </r>
      </text>
    </comment>
    <comment ref="W1084" authorId="0" shapeId="0" xr:uid="{B0E70115-1142-471A-A2AF-21E7832FBB5F}">
      <text>
        <r>
          <rPr>
            <sz val="11"/>
            <color theme="1"/>
            <rFont val="Aptos Narrow"/>
            <family val="2"/>
            <scheme val="minor"/>
          </rPr>
          <t>Unknown User:
Cash denomination
$50*1=$50</t>
        </r>
      </text>
    </comment>
    <comment ref="G1088" authorId="0" shapeId="0" xr:uid="{0B111E1C-3B25-4146-B3E4-2CFA1556DED6}">
      <text>
        <r>
          <rPr>
            <sz val="11"/>
            <color theme="1"/>
            <rFont val="Aptos Narrow"/>
            <family val="2"/>
            <scheme val="minor"/>
          </rPr>
          <t xml:space="preserve">Unknown User:
INSTALLATION OF DISHWASHER [SAME LOCATION] (CUSTOMER SUPPLIED)
</t>
        </r>
      </text>
    </comment>
    <comment ref="P1088" authorId="0" shapeId="0" xr:uid="{EFACC19D-5F7D-434D-B605-8690263112B3}">
      <text>
        <r>
          <rPr>
            <sz val="11"/>
            <color theme="1"/>
            <rFont val="Aptos Narrow"/>
            <family val="2"/>
            <scheme val="minor"/>
          </rPr>
          <t>Unknown User:
Quote not emailed</t>
        </r>
      </text>
    </comment>
    <comment ref="G1089" authorId="0" shapeId="0" xr:uid="{9F52A778-9095-49BC-9040-9448F5985F5D}">
      <text>
        <r>
          <rPr>
            <sz val="11"/>
            <color theme="1"/>
            <rFont val="Aptos Narrow"/>
            <family val="2"/>
            <scheme val="minor"/>
          </rPr>
          <t>Unknown User:
REPLACEMENT OF TIMING TAP</t>
        </r>
      </text>
    </comment>
    <comment ref="O1089" authorId="0" shapeId="0" xr:uid="{71CD63E6-BA23-4B8A-BAC5-DC7C8A11AE61}">
      <text>
        <r>
          <rPr>
            <sz val="11"/>
            <color theme="1"/>
            <rFont val="Aptos Narrow"/>
            <family val="2"/>
            <scheme val="minor"/>
          </rPr>
          <t>Unknown User:
Quote not signed</t>
        </r>
      </text>
    </comment>
    <comment ref="P1089" authorId="0" shapeId="0" xr:uid="{078EA451-C630-4301-BC20-FF4E8EE8D40A}">
      <text>
        <r>
          <rPr>
            <sz val="11"/>
            <color theme="1"/>
            <rFont val="Aptos Narrow"/>
            <family val="2"/>
            <scheme val="minor"/>
          </rPr>
          <t>Unknown User:
Quote not emailed</t>
        </r>
      </text>
    </comment>
    <comment ref="G1090" authorId="0" shapeId="0" xr:uid="{A0A367FF-E72B-4B16-92E8-1E0169A92CDC}">
      <text>
        <r>
          <rPr>
            <sz val="11"/>
            <color theme="1"/>
            <rFont val="Aptos Narrow"/>
            <family val="2"/>
            <scheme val="minor"/>
          </rPr>
          <t>Unknown User:
SERVICE &amp; PUMP OUT OF SEPTIC TANK</t>
        </r>
      </text>
    </comment>
    <comment ref="P1090" authorId="0" shapeId="0" xr:uid="{29B1D5F6-0BF9-4A67-A200-C28B7F70F126}">
      <text>
        <r>
          <rPr>
            <sz val="11"/>
            <color theme="1"/>
            <rFont val="Aptos Narrow"/>
            <family val="2"/>
            <scheme val="minor"/>
          </rPr>
          <t>Unknown User:
Quote not emailed</t>
        </r>
      </text>
    </comment>
    <comment ref="G1094" authorId="0" shapeId="0" xr:uid="{B819FE3E-269D-44DF-A103-714D08C92A31}">
      <text>
        <r>
          <rPr>
            <sz val="11"/>
            <color theme="1"/>
            <rFont val="Aptos Narrow"/>
            <family val="2"/>
            <scheme val="minor"/>
          </rPr>
          <t>Unknown User:
SUPPLY &amp; INSTALLATION OF NEW DISHWASHER IN REPLACEMENT OF EXISTING</t>
        </r>
      </text>
    </comment>
    <comment ref="K1094" authorId="0" shapeId="0" xr:uid="{68B30CB6-7557-4383-A77B-FDBA1823D39C}">
      <text>
        <r>
          <rPr>
            <sz val="11"/>
            <color theme="1"/>
            <rFont val="Aptos Narrow"/>
            <family val="2"/>
            <scheme val="minor"/>
          </rPr>
          <t>Unknown User:
Initial job pics considered</t>
        </r>
      </text>
    </comment>
    <comment ref="G1095" authorId="0" shapeId="0" xr:uid="{230DCD8C-967A-439E-B335-9367F10062EF}">
      <text>
        <r>
          <rPr>
            <sz val="11"/>
            <color theme="1"/>
            <rFont val="Aptos Narrow"/>
            <family val="2"/>
            <scheme val="minor"/>
          </rPr>
          <t>Unknown User:
SEWER SPOT DIG (UNDER CONCRETE)</t>
        </r>
      </text>
    </comment>
    <comment ref="K1095" authorId="0" shapeId="0" xr:uid="{2365B8A5-E84E-482C-89FA-2E811986032C}">
      <text>
        <r>
          <rPr>
            <sz val="11"/>
            <color theme="1"/>
            <rFont val="Aptos Narrow"/>
            <family val="2"/>
            <scheme val="minor"/>
          </rPr>
          <t>Unknown User:
Initial job pics considered</t>
        </r>
      </text>
    </comment>
    <comment ref="G1096" authorId="0" shapeId="0" xr:uid="{07C3DE02-5B70-4A71-93A2-D3A76742BA33}">
      <text>
        <r>
          <rPr>
            <sz val="11"/>
            <color theme="1"/>
            <rFont val="Aptos Narrow"/>
            <family val="2"/>
            <scheme val="minor"/>
          </rPr>
          <t>Unknown User:
HIGH POWERED JET BLAST &amp; CCTV DRAIN CAMERA INSPECTION (SEWER SERVICE)</t>
        </r>
      </text>
    </comment>
    <comment ref="G1097" authorId="0" shapeId="0" xr:uid="{DD9FF873-5F8A-405E-A6C2-D14DCD7ECC63}">
      <text>
        <r>
          <rPr>
            <sz val="11"/>
            <color theme="1"/>
            <rFont val="Aptos Narrow"/>
            <family val="2"/>
            <scheme val="minor"/>
          </rPr>
          <t>Unknown User:
HIGH POWERED JET BLAST &amp; CCTV CAMERA INSPECTION (GAIN ACCESS WITH REMOVAL OF TOILET)</t>
        </r>
      </text>
    </comment>
    <comment ref="G1098" authorId="0" shapeId="0" xr:uid="{4C828AEA-CE13-4C76-9A31-C6CB17FF8710}">
      <text>
        <r>
          <rPr>
            <sz val="11"/>
            <color theme="1"/>
            <rFont val="Aptos Narrow"/>
            <family val="2"/>
            <scheme val="minor"/>
          </rPr>
          <t xml:space="preserve">Unknown User:
SEWER SPOT DIG - IN GROUND
</t>
        </r>
      </text>
    </comment>
    <comment ref="G1099" authorId="0" shapeId="0" xr:uid="{9BFE8273-8867-4673-98E1-0E4A35AF53D4}">
      <text>
        <r>
          <rPr>
            <sz val="11"/>
            <color theme="1"/>
            <rFont val="Aptos Narrow"/>
            <family val="2"/>
            <scheme val="minor"/>
          </rPr>
          <t xml:space="preserve">Unknown User:
REPLACEMENT OF BASIN TAPS AND SPOUT (CUSTOMER SUPPLIED)
</t>
        </r>
      </text>
    </comment>
    <comment ref="G1100" authorId="0" shapeId="0" xr:uid="{EF7F3B21-CA03-4817-A4F8-635840616C2F}">
      <text>
        <r>
          <rPr>
            <sz val="11"/>
            <color theme="1"/>
            <rFont val="Aptos Narrow"/>
            <family val="2"/>
            <scheme val="minor"/>
          </rPr>
          <t>Unknown User:
SEARCH &amp; INVESTIGATION (MINOR) - POTENTIAL WATER LEAK FROM UNKOWN LOCATION</t>
        </r>
      </text>
    </comment>
    <comment ref="G1101" authorId="0" shapeId="0" xr:uid="{0D82838E-36B1-432B-988A-BEAF3C5DC95A}">
      <text>
        <r>
          <rPr>
            <sz val="11"/>
            <color theme="1"/>
            <rFont val="Aptos Narrow"/>
            <family val="2"/>
            <scheme val="minor"/>
          </rPr>
          <t>Unknown User:
SEARCH AND INVESTIGATION OF SOLAR SPLIT HOT WATER SYSTEM
$65 First Service Discount</t>
        </r>
      </text>
    </comment>
    <comment ref="G1102" authorId="0" shapeId="0" xr:uid="{3BB2100D-0650-4E7C-9803-6D1E02673715}">
      <text>
        <r>
          <rPr>
            <sz val="11"/>
            <color theme="1"/>
            <rFont val="Aptos Narrow"/>
            <family val="2"/>
            <scheme val="minor"/>
          </rPr>
          <t xml:space="preserve">Unknown User:
SEWER SPOT DIG - IN GROUND
</t>
        </r>
      </text>
    </comment>
    <comment ref="P1102" authorId="0" shapeId="0" xr:uid="{326F5009-E440-4D35-B54F-92883C040033}">
      <text>
        <r>
          <rPr>
            <sz val="11"/>
            <color theme="1"/>
            <rFont val="Aptos Narrow"/>
            <family val="2"/>
            <scheme val="minor"/>
          </rPr>
          <t>Unknown User:
Quote not emailed</t>
        </r>
      </text>
    </comment>
    <comment ref="G1103" authorId="0" shapeId="0" xr:uid="{A2800678-A86A-4C4A-884F-F64049E54C9C}">
      <text>
        <r>
          <rPr>
            <sz val="11"/>
            <color theme="1"/>
            <rFont val="Aptos Narrow"/>
            <family val="2"/>
            <scheme val="minor"/>
          </rPr>
          <t xml:space="preserve">Unknown User:
RESEAL OF SHOWER
</t>
        </r>
      </text>
    </comment>
    <comment ref="K1103" authorId="0" shapeId="0" xr:uid="{3D5E802A-F2E3-4EEC-9BBA-306259F85DAC}">
      <text>
        <r>
          <rPr>
            <sz val="11"/>
            <color theme="1"/>
            <rFont val="Aptos Narrow"/>
            <family val="2"/>
            <scheme val="minor"/>
          </rPr>
          <t>Unknown User:
Previous job #73331 pics considered</t>
        </r>
      </text>
    </comment>
    <comment ref="P1103" authorId="0" shapeId="0" xr:uid="{DA4DB449-BD2F-40CE-B32F-A695925F3962}">
      <text>
        <r>
          <rPr>
            <sz val="11"/>
            <color theme="1"/>
            <rFont val="Aptos Narrow"/>
            <family val="2"/>
            <scheme val="minor"/>
          </rPr>
          <t>Unknown User:
Quote not emailed</t>
        </r>
      </text>
    </comment>
    <comment ref="G1104" authorId="0" shapeId="0" xr:uid="{FACA4356-EE33-46D0-BC44-7BBE34DB7681}">
      <text>
        <r>
          <rPr>
            <sz val="11"/>
            <color theme="1"/>
            <rFont val="Aptos Narrow"/>
            <family val="2"/>
            <scheme val="minor"/>
          </rPr>
          <t>Unknown User:
SEARCH &amp; INVESTIGATION – PUMP</t>
        </r>
      </text>
    </comment>
    <comment ref="G1105" authorId="0" shapeId="0" xr:uid="{4F334A20-53CA-41F5-A915-BB2879BC9714}">
      <text>
        <r>
          <rPr>
            <sz val="11"/>
            <color theme="1"/>
            <rFont val="Aptos Narrow"/>
            <family val="2"/>
            <scheme val="minor"/>
          </rPr>
          <t xml:space="preserve">Unknown User:
SEWER SPOT DIG - IN GROUND
</t>
        </r>
      </text>
    </comment>
    <comment ref="G1106" authorId="0" shapeId="0" xr:uid="{AE7D637C-A256-420A-92DC-D4AFCF58BAEA}">
      <text>
        <r>
          <rPr>
            <sz val="11"/>
            <color theme="1"/>
            <rFont val="Aptos Narrow"/>
            <family val="2"/>
            <scheme val="minor"/>
          </rPr>
          <t xml:space="preserve">Unknown User:
COMPLETE SERVICE OF TOILET CISTERN
</t>
        </r>
      </text>
    </comment>
    <comment ref="G1107" authorId="0" shapeId="0" xr:uid="{891F9174-337A-4C4C-9629-735EBC4ED2CC}">
      <text>
        <r>
          <rPr>
            <sz val="11"/>
            <color theme="1"/>
            <rFont val="Aptos Narrow"/>
            <family val="2"/>
            <scheme val="minor"/>
          </rPr>
          <t>Unknown User:
WATER SERVICE RECTIFICATION (IN GROUND)</t>
        </r>
      </text>
    </comment>
    <comment ref="G1108" authorId="0" shapeId="0" xr:uid="{1FBCAF54-2A46-4D40-AF94-0E9A88D4219F}">
      <text>
        <r>
          <rPr>
            <sz val="11"/>
            <color theme="1"/>
            <rFont val="Aptos Narrow"/>
            <family val="2"/>
            <scheme val="minor"/>
          </rPr>
          <t xml:space="preserve">Unknown User:
HIGH POWERED JET BLAST &amp; CCTV DRAIN CAMERA INSPECTION (STORM WATER SERVICE)
</t>
        </r>
      </text>
    </comment>
    <comment ref="G1109" authorId="0" shapeId="0" xr:uid="{809B1B91-49A7-434D-8C03-26A1737C8394}">
      <text>
        <r>
          <rPr>
            <sz val="11"/>
            <color theme="1"/>
            <rFont val="Aptos Narrow"/>
            <family val="2"/>
            <scheme val="minor"/>
          </rPr>
          <t>Unknown User:
COMPLETE SERVICE OF WALL TOP TAPS ASSEMBLY
15% Good Will Discount</t>
        </r>
      </text>
    </comment>
    <comment ref="E1130" authorId="22" shapeId="0" xr:uid="{5C2C6B5B-57B8-423A-A09D-A371D308A4BB}">
      <text>
        <t>[Threaded comment]
Your version of Excel allows you to read this threaded comment; however, any edits to it will get removed if the file is opened in a newer version of Excel. Learn more: https://go.microsoft.com/fwlink/?linkid=870924
Comment:
    Stock</t>
      </text>
    </comment>
    <comment ref="G1141" authorId="0" shapeId="0" xr:uid="{A6E88AEB-5B89-4A52-B8E2-9FF2703DDF7E}">
      <text>
        <r>
          <rPr>
            <sz val="11"/>
            <color theme="1"/>
            <rFont val="Aptos Narrow"/>
            <family val="2"/>
            <scheme val="minor"/>
          </rPr>
          <t>Unknown User:
SUPPLY &amp; INSTALLATION OF NEW LINK SUITE</t>
        </r>
      </text>
    </comment>
    <comment ref="P1141" authorId="0" shapeId="0" xr:uid="{C5BF00AB-539D-4DB0-9878-29809E0BCBC7}">
      <text>
        <r>
          <rPr>
            <sz val="11"/>
            <color theme="1"/>
            <rFont val="Aptos Narrow"/>
            <family val="2"/>
            <scheme val="minor"/>
          </rPr>
          <t>Unknown User:
Quote not emailed</t>
        </r>
      </text>
    </comment>
    <comment ref="G1142" authorId="0" shapeId="0" xr:uid="{15D4AFD8-FA1C-4B90-8624-9D8C3C0EDC3D}">
      <text>
        <r>
          <rPr>
            <sz val="11"/>
            <color theme="1"/>
            <rFont val="Aptos Narrow"/>
            <family val="2"/>
            <scheme val="minor"/>
          </rPr>
          <t>Unknown User:
SUPPLY &amp; INSTALLATION OF NEW WATER SUPPLY TO WASHING MACHINE</t>
        </r>
      </text>
    </comment>
    <comment ref="P1142" authorId="0" shapeId="0" xr:uid="{F10C1682-D346-4AF2-8F06-C935D13EF39A}">
      <text>
        <r>
          <rPr>
            <sz val="11"/>
            <color theme="1"/>
            <rFont val="Aptos Narrow"/>
            <family val="2"/>
            <scheme val="minor"/>
          </rPr>
          <t>Unknown User:
Quote not emailed</t>
        </r>
      </text>
    </comment>
    <comment ref="G1143" authorId="0" shapeId="0" xr:uid="{96D69FC6-C588-4FF3-A265-53534C981CCE}">
      <text>
        <r>
          <rPr>
            <sz val="11"/>
            <color theme="1"/>
            <rFont val="Aptos Narrow"/>
            <family val="2"/>
            <scheme val="minor"/>
          </rPr>
          <t xml:space="preserve">Unknown User:
Hose clamp
</t>
        </r>
      </text>
    </comment>
    <comment ref="P1143" authorId="0" shapeId="0" xr:uid="{E429D07A-AF25-4104-ADEA-063C16A20131}">
      <text>
        <r>
          <rPr>
            <sz val="11"/>
            <color theme="1"/>
            <rFont val="Aptos Narrow"/>
            <family val="2"/>
            <scheme val="minor"/>
          </rPr>
          <t>Unknown User:
Quote not emailed</t>
        </r>
      </text>
    </comment>
    <comment ref="G1144" authorId="0" shapeId="0" xr:uid="{9BA42F17-7B45-42CC-92BF-F459D9D9F937}">
      <text>
        <r>
          <rPr>
            <sz val="11"/>
            <color theme="1"/>
            <rFont val="Aptos Narrow"/>
            <family val="2"/>
            <scheme val="minor"/>
          </rPr>
          <t>Unknown User:
SEARCH &amp; INVESTIGATION OF GAS STORAGE HOT WATER SYSTEM</t>
        </r>
      </text>
    </comment>
    <comment ref="P1144" authorId="0" shapeId="0" xr:uid="{87F7EFD8-540F-4339-92BD-F26388C6757C}">
      <text>
        <r>
          <rPr>
            <sz val="11"/>
            <color theme="1"/>
            <rFont val="Aptos Narrow"/>
            <family val="2"/>
            <scheme val="minor"/>
          </rPr>
          <t>Unknown User:
Quote not emailed</t>
        </r>
      </text>
    </comment>
    <comment ref="G1145" authorId="0" shapeId="0" xr:uid="{7A0C6407-422A-4597-9578-E3A2456C2ABA}">
      <text>
        <r>
          <rPr>
            <sz val="11"/>
            <color theme="1"/>
            <rFont val="Aptos Narrow"/>
            <family val="2"/>
            <scheme val="minor"/>
          </rPr>
          <t>Unknown User:
CCTV DRAIN CAMERA INSPECTION OF SEWER SERVICE
10% Seniors &amp; Pensioners Discount</t>
        </r>
      </text>
    </comment>
    <comment ref="P1145" authorId="0" shapeId="0" xr:uid="{77FC847D-C479-4296-AD10-7C88C85F260C}">
      <text>
        <r>
          <rPr>
            <sz val="11"/>
            <color theme="1"/>
            <rFont val="Aptos Narrow"/>
            <family val="2"/>
            <scheme val="minor"/>
          </rPr>
          <t>Unknown User:
Quote not emailed</t>
        </r>
      </text>
    </comment>
    <comment ref="W1145" authorId="0" shapeId="0" xr:uid="{EAAF0BDB-418F-4B9C-90C6-847AA7A27BDF}">
      <text>
        <r>
          <rPr>
            <sz val="11"/>
            <color theme="1"/>
            <rFont val="Aptos Narrow"/>
            <family val="2"/>
            <scheme val="minor"/>
          </rPr>
          <t>Unknown User:
Cash denomination
$100*16=$1600</t>
        </r>
      </text>
    </comment>
    <comment ref="G1146" authorId="0" shapeId="0" xr:uid="{9345FBE9-24B9-4AA4-A187-DEF78B022F3E}">
      <text>
        <r>
          <rPr>
            <sz val="11"/>
            <color theme="1"/>
            <rFont val="Aptos Narrow"/>
            <family val="2"/>
            <scheme val="minor"/>
          </rPr>
          <t>Unknown User:
HIGH POWERED JET BLAST</t>
        </r>
      </text>
    </comment>
    <comment ref="P1146" authorId="0" shapeId="0" xr:uid="{44CC1067-7914-4ABB-BD91-CC6ADBF99040}">
      <text>
        <r>
          <rPr>
            <sz val="11"/>
            <color theme="1"/>
            <rFont val="Aptos Narrow"/>
            <family val="2"/>
            <scheme val="minor"/>
          </rPr>
          <t>Unknown User:
Quote not emailed</t>
        </r>
      </text>
    </comment>
    <comment ref="W1146" authorId="0" shapeId="0" xr:uid="{FF4792A6-CBBF-4786-935B-BF71C0D4411F}">
      <text>
        <r>
          <rPr>
            <sz val="11"/>
            <color theme="1"/>
            <rFont val="Aptos Narrow"/>
            <family val="2"/>
            <scheme val="minor"/>
          </rPr>
          <t>Unknown User:
Cash denomination
$100*6=$600
$50*1=$50
Total cash=$650</t>
        </r>
      </text>
    </comment>
    <comment ref="G1147" authorId="23" shapeId="0" xr:uid="{18CB4983-6CB4-4F82-BDFE-31DB1FB367D9}">
      <text>
        <t>[Threaded comment]
Your version of Excel allows you to read this threaded comment; however, any edits to it will get removed if the file is opened in a newer version of Excel. Learn more: https://go.microsoft.com/fwlink/?linkid=870924
Comment:
    HIGH POWERED SUCTION &amp; ACID TREATMENT</t>
      </text>
    </comment>
    <comment ref="G1148" authorId="0" shapeId="0" xr:uid="{55748BE9-CCFE-4BB9-890F-8A10AFB3E6BC}">
      <text>
        <r>
          <rPr>
            <sz val="11"/>
            <color theme="1"/>
            <rFont val="Aptos Narrow"/>
            <family val="2"/>
            <scheme val="minor"/>
          </rPr>
          <t xml:space="preserve">Unknown User:
FLOOD, DYE, PRESSURE TEST (WET AREA)
</t>
        </r>
      </text>
    </comment>
    <comment ref="P1148" authorId="0" shapeId="0" xr:uid="{3AF41541-5B15-4175-AA6B-99F9A5AA071E}">
      <text>
        <r>
          <rPr>
            <sz val="11"/>
            <color theme="1"/>
            <rFont val="Aptos Narrow"/>
            <family val="2"/>
            <scheme val="minor"/>
          </rPr>
          <t>Unknown User:
Quote not emailed</t>
        </r>
      </text>
    </comment>
    <comment ref="G1149" authorId="0" shapeId="0" xr:uid="{49BC6572-7320-4E82-ACFB-4283DAB9403E}">
      <text>
        <r>
          <rPr>
            <sz val="11"/>
            <color theme="1"/>
            <rFont val="Aptos Narrow"/>
            <family val="2"/>
            <scheme val="minor"/>
          </rPr>
          <t>Unknown User:
SEARCH &amp; INVESTIGATION – PUMP</t>
        </r>
      </text>
    </comment>
    <comment ref="N1149" authorId="0" shapeId="0" xr:uid="{BD833B87-CCE4-49FC-8BAE-C4F6EA42BAC1}">
      <text>
        <r>
          <rPr>
            <sz val="11"/>
            <color theme="1"/>
            <rFont val="Aptos Narrow"/>
            <family val="2"/>
            <scheme val="minor"/>
          </rPr>
          <t>Unknown User:
Quote raised in Job #73580</t>
        </r>
      </text>
    </comment>
    <comment ref="P1149" authorId="0" shapeId="0" xr:uid="{2B20AE61-0EAB-451F-8000-B01AC1CC90BF}">
      <text>
        <r>
          <rPr>
            <sz val="11"/>
            <color theme="1"/>
            <rFont val="Aptos Narrow"/>
            <family val="2"/>
            <scheme val="minor"/>
          </rPr>
          <t>Unknown User:
Quote not emailed</t>
        </r>
      </text>
    </comment>
    <comment ref="G1150" authorId="0" shapeId="0" xr:uid="{EFEED055-A99E-4682-ABED-72D710FD3C2F}">
      <text>
        <r>
          <rPr>
            <sz val="11"/>
            <color theme="1"/>
            <rFont val="Aptos Narrow"/>
            <family val="2"/>
            <scheme val="minor"/>
          </rPr>
          <t xml:space="preserve">Unknown User:
SUPPLY &amp; INSTALLATION OF RAINWATER PUMP WITH RAIN2MAIN WATER SWITCHING UNIT
15% Good Will Discount </t>
        </r>
      </text>
    </comment>
    <comment ref="K1150" authorId="0" shapeId="0" xr:uid="{46E6D62E-1D0F-45B7-8B6A-C07AF3E15C5F}">
      <text>
        <r>
          <rPr>
            <sz val="11"/>
            <color theme="1"/>
            <rFont val="Aptos Narrow"/>
            <family val="2"/>
            <scheme val="minor"/>
          </rPr>
          <t>Unknown User:
Previous job #73584 pics considered</t>
        </r>
      </text>
    </comment>
    <comment ref="P1150" authorId="0" shapeId="0" xr:uid="{BB053172-965F-44B4-A879-ACE2DE577A4A}">
      <text>
        <r>
          <rPr>
            <sz val="11"/>
            <color theme="1"/>
            <rFont val="Aptos Narrow"/>
            <family val="2"/>
            <scheme val="minor"/>
          </rPr>
          <t>Unknown User:
Quote not emailed</t>
        </r>
      </text>
    </comment>
    <comment ref="S1150" authorId="0" shapeId="0" xr:uid="{64319FE2-FBD1-4536-865F-4A3519EC3260}">
      <text>
        <r>
          <rPr>
            <sz val="11"/>
            <color theme="1"/>
            <rFont val="Aptos Narrow"/>
            <family val="2"/>
            <scheme val="minor"/>
          </rPr>
          <t>Unknown User:
Invoice not emailed</t>
        </r>
      </text>
    </comment>
    <comment ref="G1151" authorId="0" shapeId="0" xr:uid="{9077043A-90D0-4356-B095-58A62A7D4CFB}">
      <text>
        <r>
          <rPr>
            <sz val="11"/>
            <color theme="1"/>
            <rFont val="Aptos Narrow"/>
            <family val="2"/>
            <scheme val="minor"/>
          </rPr>
          <t>Unknown User:
DECOMMISSION OF GAS STORAGE HOT WATER SYSTEM &amp; MAKE SAFE</t>
        </r>
      </text>
    </comment>
    <comment ref="P1151" authorId="0" shapeId="0" xr:uid="{152FC67E-57F5-487F-89E2-2D9AA4717D3C}">
      <text>
        <r>
          <rPr>
            <sz val="11"/>
            <color theme="1"/>
            <rFont val="Aptos Narrow"/>
            <family val="2"/>
            <scheme val="minor"/>
          </rPr>
          <t>Unknown User:
Quote not emailed</t>
        </r>
      </text>
    </comment>
    <comment ref="T1151" authorId="0" shapeId="0" xr:uid="{17BDA972-6F1E-4C35-84E4-E13DD0DBC258}">
      <text>
        <r>
          <rPr>
            <sz val="11"/>
            <color theme="1"/>
            <rFont val="Aptos Narrow"/>
            <family val="2"/>
            <scheme val="minor"/>
          </rPr>
          <t>Unknown User:
0.5x Junior</t>
        </r>
      </text>
    </comment>
    <comment ref="G1152" authorId="0" shapeId="0" xr:uid="{F88EBDE6-13EE-4425-BC70-2D9245D331CB}">
      <text>
        <r>
          <rPr>
            <sz val="11"/>
            <color theme="1"/>
            <rFont val="Aptos Narrow"/>
            <family val="2"/>
            <scheme val="minor"/>
          </rPr>
          <t>Unknown User:
COMPLETE SERVICE OF TAP TOP ASSEMBLY
COMPLETE SERVICE OF WALL TOP TAPS ASSEMBLY
10% Seniors &amp; Pensioners Discount</t>
        </r>
      </text>
    </comment>
    <comment ref="P1152" authorId="0" shapeId="0" xr:uid="{C66B243D-27BF-4EAA-9D65-71EFD05A2E5A}">
      <text>
        <r>
          <rPr>
            <sz val="11"/>
            <color theme="1"/>
            <rFont val="Aptos Narrow"/>
            <family val="2"/>
            <scheme val="minor"/>
          </rPr>
          <t>Unknown User:
Quote not emailed</t>
        </r>
      </text>
    </comment>
    <comment ref="S1152" authorId="0" shapeId="0" xr:uid="{F7AC777F-EFE0-4E26-B149-79E36E6D535A}">
      <text>
        <r>
          <rPr>
            <sz val="11"/>
            <color theme="1"/>
            <rFont val="Aptos Narrow"/>
            <family val="2"/>
            <scheme val="minor"/>
          </rPr>
          <t>Unknown User:
Signed progress payment invoice not emailed.</t>
        </r>
      </text>
    </comment>
    <comment ref="G1153" authorId="0" shapeId="0" xr:uid="{74742380-FA55-48A4-B0E6-1559BA2E7A69}">
      <text>
        <r>
          <rPr>
            <sz val="11"/>
            <color theme="1"/>
            <rFont val="Aptos Narrow"/>
            <family val="2"/>
            <scheme val="minor"/>
          </rPr>
          <t>Unknown User:
REPLACEMENT OF BASIN MIXER</t>
        </r>
      </text>
    </comment>
    <comment ref="P1153" authorId="0" shapeId="0" xr:uid="{DE2C2770-4814-4627-93C8-77B52D85E854}">
      <text>
        <r>
          <rPr>
            <sz val="11"/>
            <color theme="1"/>
            <rFont val="Aptos Narrow"/>
            <family val="2"/>
            <scheme val="minor"/>
          </rPr>
          <t>Unknown User:
Quote not emailed</t>
        </r>
      </text>
    </comment>
    <comment ref="G1154" authorId="0" shapeId="0" xr:uid="{06DD1FD8-42F9-4E68-87D4-54B791DB5577}">
      <text>
        <r>
          <rPr>
            <sz val="11"/>
            <color theme="1"/>
            <rFont val="Aptos Narrow"/>
            <family val="2"/>
            <scheme val="minor"/>
          </rPr>
          <t>Unknown User:
COMPLETE SERVICE OF TAP TOP ASSEMBLY
COMPLETE SERVICE OF WALL TOP TAPS ASSEMBLY
10% Seniors &amp; Pensioners Discount</t>
        </r>
      </text>
    </comment>
    <comment ref="L1154" authorId="0" shapeId="0" xr:uid="{B5639421-6F8D-4E64-8D6E-74D27CCB8E7B}">
      <text>
        <r>
          <rPr>
            <sz val="11"/>
            <color theme="1"/>
            <rFont val="Aptos Narrow"/>
            <family val="2"/>
            <scheme val="minor"/>
          </rPr>
          <t>Unknown User:
Serviced wall tap to be fitted &amp; teste. Pics not uploaded</t>
        </r>
      </text>
    </comment>
    <comment ref="P1154" authorId="0" shapeId="0" xr:uid="{27A59401-B8A2-4C01-B63B-F413E7AAB4F1}">
      <text>
        <r>
          <rPr>
            <sz val="11"/>
            <color theme="1"/>
            <rFont val="Aptos Narrow"/>
            <family val="2"/>
            <scheme val="minor"/>
          </rPr>
          <t>Unknown User:
Quote not emailed</t>
        </r>
      </text>
    </comment>
    <comment ref="G1155" authorId="0" shapeId="0" xr:uid="{DFBD91C7-2D71-4040-8531-A8C8F9D3B2B7}">
      <text>
        <r>
          <rPr>
            <sz val="11"/>
            <color theme="1"/>
            <rFont val="Aptos Narrow"/>
            <family val="2"/>
            <scheme val="minor"/>
          </rPr>
          <t>Unknown User:
SUPPLY &amp; INSTALLATION OF NEW BRASS HOSE TAP</t>
        </r>
      </text>
    </comment>
    <comment ref="P1155" authorId="0" shapeId="0" xr:uid="{8C1AB0DB-AC89-4BE1-AC12-9DA8A62ABCC3}">
      <text>
        <r>
          <rPr>
            <sz val="11"/>
            <color theme="1"/>
            <rFont val="Aptos Narrow"/>
            <family val="2"/>
            <scheme val="minor"/>
          </rPr>
          <t>Unknown User:
Quote not emailed</t>
        </r>
      </text>
    </comment>
    <comment ref="W1155" authorId="0" shapeId="0" xr:uid="{ED34B945-4832-4AD1-9FED-3329445E206B}">
      <text>
        <r>
          <rPr>
            <sz val="11"/>
            <color theme="1"/>
            <rFont val="Aptos Narrow"/>
            <family val="2"/>
            <scheme val="minor"/>
          </rPr>
          <t>Unknown User:
Cash denomination
$100*2=$200
$50*13=$650
$20*1=$20
$10*2=$20
Total cash=$890
Short receipt by $10</t>
        </r>
      </text>
    </comment>
    <comment ref="G1156" authorId="0" shapeId="0" xr:uid="{715D5924-465F-42CD-B466-630E8176A7F7}">
      <text>
        <r>
          <rPr>
            <sz val="11"/>
            <color theme="1"/>
            <rFont val="Aptos Narrow"/>
            <family val="2"/>
            <scheme val="minor"/>
          </rPr>
          <t>Unknown User:
REPLACEMENT OF EXISTING GOOSE NECK KITCHEN MIXER (CUSTOMER SUPPLIED)</t>
        </r>
      </text>
    </comment>
    <comment ref="P1156" authorId="0" shapeId="0" xr:uid="{2867F0DD-2BE8-40F3-9832-717576085A7C}">
      <text>
        <r>
          <rPr>
            <sz val="11"/>
            <color theme="1"/>
            <rFont val="Aptos Narrow"/>
            <family val="2"/>
            <scheme val="minor"/>
          </rPr>
          <t>Unknown User:
Quote not emailed</t>
        </r>
      </text>
    </comment>
    <comment ref="Q1156" authorId="0" shapeId="0" xr:uid="{01D1BA69-3B3D-4E13-AF3E-87B1E291EE49}">
      <text>
        <r>
          <rPr>
            <sz val="11"/>
            <color theme="1"/>
            <rFont val="Aptos Narrow"/>
            <family val="2"/>
            <scheme val="minor"/>
          </rPr>
          <t>Unknown User:
Progress invoice &amp; Final zero due invoice not raised</t>
        </r>
      </text>
    </comment>
    <comment ref="G1157" authorId="0" shapeId="0" xr:uid="{C0B22036-3B06-4640-A1F1-B59B32BE6286}">
      <text>
        <r>
          <rPr>
            <sz val="11"/>
            <color theme="1"/>
            <rFont val="Aptos Narrow"/>
            <family val="2"/>
            <scheme val="minor"/>
          </rPr>
          <t>Unknown User:
WATER SERVICE RECTIFICATION (EXPOSED)</t>
        </r>
      </text>
    </comment>
    <comment ref="P1157" authorId="0" shapeId="0" xr:uid="{9A6215D9-0753-4182-8CDB-CE730E44055E}">
      <text>
        <r>
          <rPr>
            <sz val="11"/>
            <color theme="1"/>
            <rFont val="Aptos Narrow"/>
            <family val="2"/>
            <scheme val="minor"/>
          </rPr>
          <t>Unknown User:
Quote not emailed</t>
        </r>
      </text>
    </comment>
    <comment ref="G1158" authorId="0" shapeId="0" xr:uid="{D9710281-188B-4E8A-8CC4-A4CE21D47C04}">
      <text>
        <r>
          <rPr>
            <sz val="11"/>
            <color theme="1"/>
            <rFont val="Aptos Narrow"/>
            <family val="2"/>
            <scheme val="minor"/>
          </rPr>
          <t>Unknown User:
MIXER TAP - STANDARD</t>
        </r>
      </text>
    </comment>
    <comment ref="P1158" authorId="0" shapeId="0" xr:uid="{1DC01D3C-B25A-4B4C-875F-13CCDB99F2D4}">
      <text>
        <r>
          <rPr>
            <sz val="11"/>
            <color theme="1"/>
            <rFont val="Aptos Narrow"/>
            <family val="2"/>
            <scheme val="minor"/>
          </rPr>
          <t>Unknown User:
Quote not emailed</t>
        </r>
      </text>
    </comment>
    <comment ref="G1163" authorId="0" shapeId="0" xr:uid="{53628D27-A68D-4ADC-AE18-F2EA03612970}">
      <text>
        <r>
          <rPr>
            <sz val="11"/>
            <color theme="1"/>
            <rFont val="Aptos Narrow"/>
            <family val="2"/>
            <scheme val="minor"/>
          </rPr>
          <t>Unknown User:
SUPPLY &amp; INSTALLATION OF GAS STORAGE HOT WATER SYSTEM (EXTERNAL)</t>
        </r>
      </text>
    </comment>
    <comment ref="P1163" authorId="0" shapeId="0" xr:uid="{E1381BD6-5D01-4018-8526-FDD9894C73AB}">
      <text>
        <r>
          <rPr>
            <sz val="11"/>
            <color theme="1"/>
            <rFont val="Aptos Narrow"/>
            <family val="2"/>
            <scheme val="minor"/>
          </rPr>
          <t>Unknown User:
Quote not emailed</t>
        </r>
      </text>
    </comment>
    <comment ref="Q1163" authorId="0" shapeId="0" xr:uid="{0A4718A1-D6E0-4C2D-91A3-7033C9E58CE8}">
      <text>
        <r>
          <rPr>
            <sz val="11"/>
            <color theme="1"/>
            <rFont val="Aptos Narrow"/>
            <family val="2"/>
            <scheme val="minor"/>
          </rPr>
          <t>Unknown User:
Updated invoice for progress payment of $600 is not added &amp; raised as an invoice.</t>
        </r>
      </text>
    </comment>
    <comment ref="U1163" authorId="0" shapeId="0" xr:uid="{4C233FB3-D8F5-4B75-A27C-DEA519401ABA}">
      <text>
        <r>
          <rPr>
            <sz val="11"/>
            <color theme="1"/>
            <rFont val="Aptos Narrow"/>
            <family val="2"/>
            <scheme val="minor"/>
          </rPr>
          <t>Unknown User:
22/9-Daniel considered total amount in Smartpay &amp; applied $2541.25 whereas only "Purchase value" (excl surcharge) is to be considered. That is $2500</t>
        </r>
      </text>
    </comment>
    <comment ref="G1164" authorId="0" shapeId="0" xr:uid="{802F82EB-6036-48E0-99E1-B1994B41BA38}">
      <text>
        <r>
          <rPr>
            <sz val="11"/>
            <color theme="1"/>
            <rFont val="Aptos Narrow"/>
            <family val="2"/>
            <scheme val="minor"/>
          </rPr>
          <t>Unknown User:
SUPPLY &amp; INSTALLATION OF NEW CLOSE COUPLED TOILET SUITE</t>
        </r>
      </text>
    </comment>
    <comment ref="P1164" authorId="0" shapeId="0" xr:uid="{D33F9D0F-CEC6-4D3A-818F-F70391D237B3}">
      <text>
        <r>
          <rPr>
            <sz val="11"/>
            <color theme="1"/>
            <rFont val="Aptos Narrow"/>
            <family val="2"/>
            <scheme val="minor"/>
          </rPr>
          <t>Unknown User:
Quote not emailed</t>
        </r>
      </text>
    </comment>
    <comment ref="G1168" authorId="0" shapeId="0" xr:uid="{2AFC9A2F-ABB3-453C-A18C-EE98BC389C0B}">
      <text>
        <r>
          <rPr>
            <sz val="11"/>
            <color theme="1"/>
            <rFont val="Aptos Narrow"/>
            <family val="2"/>
            <scheme val="minor"/>
          </rPr>
          <t xml:space="preserve">Unknown User:
RESEAL OF SHOWER
</t>
        </r>
      </text>
    </comment>
    <comment ref="K1168" authorId="0" shapeId="0" xr:uid="{FD244AE5-CFBA-46A1-8769-E6952BBB537B}">
      <text>
        <r>
          <rPr>
            <sz val="11"/>
            <color theme="1"/>
            <rFont val="Aptos Narrow"/>
            <family val="2"/>
            <scheme val="minor"/>
          </rPr>
          <t>Unknown User:
Previous job #73357 pics considered</t>
        </r>
      </text>
    </comment>
    <comment ref="N1168" authorId="0" shapeId="0" xr:uid="{AA355BCF-A2DE-4E60-A846-DED50DD13001}">
      <text>
        <r>
          <rPr>
            <sz val="11"/>
            <color theme="1"/>
            <rFont val="Aptos Narrow"/>
            <family val="2"/>
            <scheme val="minor"/>
          </rPr>
          <t>Unknown User:
Quote raised in Job #73357</t>
        </r>
      </text>
    </comment>
    <comment ref="P1168" authorId="0" shapeId="0" xr:uid="{E52A7F57-5536-4A47-8EDF-18A7C7983327}">
      <text>
        <r>
          <rPr>
            <sz val="11"/>
            <color theme="1"/>
            <rFont val="Aptos Narrow"/>
            <family val="2"/>
            <scheme val="minor"/>
          </rPr>
          <t>Unknown User:
Quote not emailed</t>
        </r>
      </text>
    </comment>
    <comment ref="G1172" authorId="0" shapeId="0" xr:uid="{D97BAC8F-604A-4041-BC6A-358C0C28D911}">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1172" authorId="0" shapeId="0" xr:uid="{F6B1A619-CBE0-42F2-A4DA-A741DCF51BAE}">
      <text>
        <r>
          <rPr>
            <sz val="11"/>
            <color theme="1"/>
            <rFont val="Aptos Narrow"/>
            <family val="2"/>
            <scheme val="minor"/>
          </rPr>
          <t>Unknown User:
Quote not Emailed</t>
        </r>
      </text>
    </comment>
    <comment ref="V1172" authorId="0" shapeId="0" xr:uid="{28FD8CA7-FD8E-4F8B-B572-547A714DD112}">
      <text>
        <r>
          <rPr>
            <sz val="11"/>
            <color theme="1"/>
            <rFont val="Aptos Narrow"/>
            <family val="2"/>
            <scheme val="minor"/>
          </rPr>
          <t xml:space="preserve">Unknown User:
11/07 Received $200 EFT
</t>
        </r>
      </text>
    </comment>
    <comment ref="G1173" authorId="0" shapeId="0" xr:uid="{01CABEAE-C798-4B09-93CF-B0CB74CBB9E2}">
      <text>
        <r>
          <rPr>
            <sz val="11"/>
            <color theme="1"/>
            <rFont val="Aptos Narrow"/>
            <family val="2"/>
            <scheme val="minor"/>
          </rPr>
          <t xml:space="preserve">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
CONTINUATION OF SERVICES </t>
        </r>
      </text>
    </comment>
    <comment ref="N1173" authorId="0" shapeId="0" xr:uid="{FF9E2B61-133B-4DC4-A347-5D7F259B1C70}">
      <text>
        <r>
          <rPr>
            <sz val="11"/>
            <color theme="1"/>
            <rFont val="Aptos Narrow"/>
            <family val="2"/>
            <scheme val="minor"/>
          </rPr>
          <t>Unknown User:
Quote raised in job #71681</t>
        </r>
      </text>
    </comment>
    <comment ref="P1173" authorId="0" shapeId="0" xr:uid="{6588E97E-CA19-409E-9193-A11D274637E8}">
      <text>
        <r>
          <rPr>
            <sz val="11"/>
            <color theme="1"/>
            <rFont val="Aptos Narrow"/>
            <family val="2"/>
            <scheme val="minor"/>
          </rPr>
          <t>Unknown User:
Quote not emailed</t>
        </r>
      </text>
    </comment>
    <comment ref="Q1173" authorId="0" shapeId="0" xr:uid="{A54B77DA-E5CA-48E5-A033-A8438FE28AE0}">
      <text>
        <r>
          <rPr>
            <sz val="11"/>
            <color theme="1"/>
            <rFont val="Aptos Narrow"/>
            <family val="2"/>
            <scheme val="minor"/>
          </rPr>
          <t>Unknown User:
Final invoice not raised</t>
        </r>
      </text>
    </comment>
    <comment ref="U1173" authorId="0" shapeId="0" xr:uid="{CAE452DA-419C-4670-93D1-7C9799E8D541}">
      <text>
        <r>
          <rPr>
            <sz val="11"/>
            <color theme="1"/>
            <rFont val="Aptos Narrow"/>
            <family val="2"/>
            <scheme val="minor"/>
          </rPr>
          <t>Unknown User:
23/7-As per Alex's note "Previous invoices weren't taken off on the total and the system didn't match what she paid so I took what she said was left from her end. Please confirm if there is more needed to be taken. I tried my best
"</t>
        </r>
      </text>
    </comment>
    <comment ref="G1174" authorId="0" shapeId="0" xr:uid="{6AC223BD-79E2-4AC9-97B5-B755989888AB}">
      <text>
        <r>
          <rPr>
            <sz val="11"/>
            <color theme="1"/>
            <rFont val="Aptos Narrow"/>
            <family val="2"/>
            <scheme val="minor"/>
          </rPr>
          <t>Unknown User:
COMMERCIAL HIGH POWERED JETBLAST &amp; CCTV DRAIN CAMERA INSPECTION</t>
        </r>
      </text>
    </comment>
    <comment ref="P1174" authorId="0" shapeId="0" xr:uid="{46C23B19-170A-4531-8FAB-1DD9EFFFCE77}">
      <text>
        <r>
          <rPr>
            <sz val="11"/>
            <color theme="1"/>
            <rFont val="Aptos Narrow"/>
            <family val="2"/>
            <scheme val="minor"/>
          </rPr>
          <t xml:space="preserve">Unknown User:
Quote not emailed
</t>
        </r>
      </text>
    </comment>
    <comment ref="G1175" authorId="0" shapeId="0" xr:uid="{39624F75-D7FB-468C-963E-02C463E66705}">
      <text>
        <r>
          <rPr>
            <sz val="11"/>
            <color theme="1"/>
            <rFont val="Aptos Narrow"/>
            <family val="2"/>
            <scheme val="minor"/>
          </rPr>
          <t>Unknown User:
REPLACEMENT OF BASIN SET</t>
        </r>
      </text>
    </comment>
    <comment ref="P1175" authorId="0" shapeId="0" xr:uid="{3D0B57EE-9EEF-4525-9C8B-23C3064665F0}">
      <text>
        <r>
          <rPr>
            <sz val="11"/>
            <color theme="1"/>
            <rFont val="Aptos Narrow"/>
            <family val="2"/>
            <scheme val="minor"/>
          </rPr>
          <t>Unknown User:
Quote not emailed</t>
        </r>
      </text>
    </comment>
    <comment ref="S1175" authorId="0" shapeId="0" xr:uid="{EB5DCD95-77A4-4C2E-9981-A8F3B3F51623}">
      <text>
        <r>
          <rPr>
            <sz val="11"/>
            <color theme="1"/>
            <rFont val="Aptos Narrow"/>
            <family val="2"/>
            <scheme val="minor"/>
          </rPr>
          <t>Unknown User:
Final invoice not emailed</t>
        </r>
      </text>
    </comment>
    <comment ref="V1175" authorId="0" shapeId="0" xr:uid="{02A6FF3B-4937-4016-839C-0AC5B440E6A0}">
      <text>
        <r>
          <rPr>
            <sz val="11"/>
            <color theme="1"/>
            <rFont val="Aptos Narrow"/>
            <family val="2"/>
            <scheme val="minor"/>
          </rPr>
          <t>Unknown User:
Short receipt by $30</t>
        </r>
      </text>
    </comment>
    <comment ref="G1176" authorId="0" shapeId="0" xr:uid="{BAEE6FC4-12A2-44D0-8F66-82F4C521E77B}">
      <text>
        <r>
          <rPr>
            <sz val="11"/>
            <color theme="1"/>
            <rFont val="Aptos Narrow"/>
            <family val="2"/>
            <scheme val="minor"/>
          </rPr>
          <t xml:space="preserve">Unknown User:
SUPPLY &amp; INSTALLATION OF NEW TWIN ELEMENT HOT WATER UNIT (INTERNAL)
</t>
        </r>
      </text>
    </comment>
    <comment ref="L1176" authorId="0" shapeId="0" xr:uid="{1F00E822-A6C7-4F7A-BDCB-10A580422DCE}">
      <text>
        <r>
          <rPr>
            <sz val="11"/>
            <color theme="1"/>
            <rFont val="Aptos Narrow"/>
            <family val="2"/>
            <scheme val="minor"/>
          </rPr>
          <t>Unknown User:
Temp check pic not uploaded</t>
        </r>
      </text>
    </comment>
    <comment ref="N1176" authorId="0" shapeId="0" xr:uid="{C2E85217-08A4-4B8A-8150-B64DFD11A619}">
      <text>
        <r>
          <rPr>
            <sz val="11"/>
            <color theme="1"/>
            <rFont val="Aptos Narrow"/>
            <family val="2"/>
            <scheme val="minor"/>
          </rPr>
          <t>Unknown User:
Quote not raised due to technical issue in ServiceTitan.</t>
        </r>
      </text>
    </comment>
    <comment ref="U1176" authorId="0" shapeId="0" xr:uid="{1DE93C0E-01DB-44E0-BD00-33279C1A4773}">
      <text>
        <r>
          <rPr>
            <sz val="11"/>
            <color theme="1"/>
            <rFont val="Aptos Narrow"/>
            <family val="2"/>
            <scheme val="minor"/>
          </rPr>
          <t>Unknown User:
14/8-As per Fiona's note "Customer has claimed that damage to the downstairs apartment has been caused by the water damaged from out workmanship. Charlie has advised that if damage is caused by us then we will definitely cover it however she must pay for her HWS first.
Customer expressed she thought the 10% deposit was the cost paid for the HSW and didn't realize she still owed more. She also advised she wanted a breakdown of cost to which she has now been told twice by different operators that we offer a fixed price quote and not a breakdown of labour and product or equipment."
14/8-As per Sadie's note "customer called to cancel appointment for today - refusing to pay outstanding balance, threatened with laws and regulations and is going to take action within 7 days if she doesn't receive a itemized invoice, advised customer we don't provide itemized invoices due to it being an upfront fixed price quote. customer has a written complaint which i have advised customer to send via email. email is being sent to info@tradesaus.com.au"
13/8-As per Mathew H's note "Karen said that she wasn’t aware of the price of the job, she was very surprised when I told her the balance owing over the phone, I said this would have been presented to you at the start of the job and you paid a deposit of it, she then said that she wanted an itemised invoice and I said we don’t do them as per the website we provide upfront fixed pricing for the work, she said yes I understand and I’m not saying that I’m not going to pay but I need to understand where all the money is going and also you need to sort out the damage caused by the leak to be downstairs of our property. This is difficult when Liam isn’t available at the moment so I said you will have to wait for a few days, for the meantime I sent her the invoice that shows what is outstanding. Adding appointment to follow up on Monday 18th"</t>
        </r>
      </text>
    </comment>
    <comment ref="G1177" authorId="0" shapeId="0" xr:uid="{29C0A6E4-FBD2-41A7-A361-BCB6339E6CA0}">
      <text>
        <r>
          <rPr>
            <sz val="11"/>
            <color theme="1"/>
            <rFont val="Aptos Narrow"/>
            <family val="2"/>
            <scheme val="minor"/>
          </rPr>
          <t>Unknown User:
WATER SERVICE RECTIFICATION (IN GROUND)
10% Seniors &amp; Pensioners Discount</t>
        </r>
      </text>
    </comment>
    <comment ref="P1177" authorId="0" shapeId="0" xr:uid="{A82B5492-0FEB-4F94-B16F-F9772B76FB5A}">
      <text>
        <r>
          <rPr>
            <sz val="11"/>
            <color theme="1"/>
            <rFont val="Aptos Narrow"/>
            <family val="2"/>
            <scheme val="minor"/>
          </rPr>
          <t>Unknown User:
Quote not emailed</t>
        </r>
      </text>
    </comment>
    <comment ref="G1178" authorId="0" shapeId="0" xr:uid="{CB208B0C-57D5-4C66-9AA3-45E08DC7DF5C}">
      <text>
        <r>
          <rPr>
            <sz val="11"/>
            <color theme="1"/>
            <rFont val="Aptos Narrow"/>
            <family val="2"/>
            <scheme val="minor"/>
          </rPr>
          <t xml:space="preserve">Unknown User:
SUPPLY &amp; INSTALLATION OF GAS STORAGE HOT WATER SYSTEM (EXTERNAL)
CREDIT OF SEARCH &amp; INVESTIGATION </t>
        </r>
      </text>
    </comment>
    <comment ref="N1178" authorId="0" shapeId="0" xr:uid="{1DFF31F0-B0FC-4B3A-AD1F-3ACEFB75BE5D}">
      <text>
        <r>
          <rPr>
            <sz val="11"/>
            <color theme="1"/>
            <rFont val="Aptos Narrow"/>
            <family val="2"/>
            <scheme val="minor"/>
          </rPr>
          <t>Unknown User:
Quote raised &amp; uploaded in Job #72903</t>
        </r>
      </text>
    </comment>
    <comment ref="P1178" authorId="0" shapeId="0" xr:uid="{88C90E30-79FE-4087-BD74-B1492002BC4C}">
      <text>
        <r>
          <rPr>
            <sz val="11"/>
            <color theme="1"/>
            <rFont val="Aptos Narrow"/>
            <family val="2"/>
            <scheme val="minor"/>
          </rPr>
          <t>Unknown User:
Quote not emailed</t>
        </r>
      </text>
    </comment>
    <comment ref="T1178" authorId="0" shapeId="0" xr:uid="{C31F0D24-E9DB-4E8C-8852-0C525EEF709A}">
      <text>
        <r>
          <rPr>
            <sz val="11"/>
            <color theme="1"/>
            <rFont val="Aptos Narrow"/>
            <family val="2"/>
            <scheme val="minor"/>
          </rPr>
          <t>Unknown User:
0.5x for Tolga 
0.5x for Rylee W</t>
        </r>
      </text>
    </comment>
    <comment ref="V1178" authorId="0" shapeId="0" xr:uid="{C495A62A-6AFF-46CD-BC95-8C4464060025}">
      <text>
        <r>
          <rPr>
            <sz val="11"/>
            <color theme="1"/>
            <rFont val="Aptos Narrow"/>
            <family val="2"/>
            <scheme val="minor"/>
          </rPr>
          <t>Unknown User:
3/9-EFT received for $608
3/9-PP (ZIP) settlement made for 5478.30</t>
        </r>
      </text>
    </comment>
    <comment ref="D1179" authorId="0" shapeId="0" xr:uid="{A2F32F76-BBC8-4175-969E-EF270E030D72}">
      <text>
        <r>
          <rPr>
            <sz val="11"/>
            <color theme="1"/>
            <rFont val="Aptos Narrow"/>
            <family val="2"/>
            <scheme val="minor"/>
          </rPr>
          <t>Unknown User:
Previously under "Unsuccessful jobs" in Bradley's sheet on 2/9. Now quote raised by Liam on 11/9</t>
        </r>
      </text>
    </comment>
    <comment ref="G1179" authorId="0" shapeId="0" xr:uid="{86DC930F-DD68-4F0E-B5A4-341F5F82BB30}">
      <text>
        <r>
          <rPr>
            <sz val="11"/>
            <color theme="1"/>
            <rFont val="Aptos Narrow"/>
            <family val="2"/>
            <scheme val="minor"/>
          </rPr>
          <t>Unknown User:
COMPLETE SERVICE OF WALL TOP TAPS ASSEMBLY</t>
        </r>
      </text>
    </comment>
    <comment ref="P1179" authorId="0" shapeId="0" xr:uid="{F20A79D8-BF05-4F84-93C4-B63B240256D5}">
      <text>
        <r>
          <rPr>
            <sz val="11"/>
            <color theme="1"/>
            <rFont val="Aptos Narrow"/>
            <family val="2"/>
            <scheme val="minor"/>
          </rPr>
          <t>Unknown User:
Quote not emailed</t>
        </r>
      </text>
    </comment>
    <comment ref="G1183" authorId="0" shapeId="0" xr:uid="{762BA9D0-D756-439E-AC7C-C8402D34443F}">
      <text>
        <r>
          <rPr>
            <sz val="11"/>
            <color theme="1"/>
            <rFont val="Aptos Narrow"/>
            <family val="2"/>
            <scheme val="minor"/>
          </rPr>
          <t xml:space="preserve">Unknown User:
INSTALLATION OF DISHWASHER [SAME LOCATION] (CUSTOMER SUPPLIED)
</t>
        </r>
      </text>
    </comment>
    <comment ref="P1183" authorId="0" shapeId="0" xr:uid="{019621DF-93C7-4C02-ACA8-F8EE5119121F}">
      <text>
        <r>
          <rPr>
            <sz val="11"/>
            <color theme="1"/>
            <rFont val="Aptos Narrow"/>
            <family val="2"/>
            <scheme val="minor"/>
          </rPr>
          <t>Unknown User:
Quote not emailed</t>
        </r>
      </text>
    </comment>
    <comment ref="G1184" authorId="0" shapeId="0" xr:uid="{71EA7872-C90E-431B-9FA8-BD0FED75AE45}">
      <text>
        <r>
          <rPr>
            <sz val="11"/>
            <color theme="1"/>
            <rFont val="Aptos Narrow"/>
            <family val="2"/>
            <scheme val="minor"/>
          </rPr>
          <t>Unknown User:
REPLACEMENT OF TIMING TAP</t>
        </r>
      </text>
    </comment>
    <comment ref="O1184" authorId="0" shapeId="0" xr:uid="{7F599782-7D08-4F93-8372-ACAF9F8D3B1B}">
      <text>
        <r>
          <rPr>
            <sz val="11"/>
            <color theme="1"/>
            <rFont val="Aptos Narrow"/>
            <family val="2"/>
            <scheme val="minor"/>
          </rPr>
          <t>Unknown User:
Quote not signed</t>
        </r>
      </text>
    </comment>
    <comment ref="P1184" authorId="0" shapeId="0" xr:uid="{CA4AA3D9-E183-4B3A-B2EE-A7C9382ADA30}">
      <text>
        <r>
          <rPr>
            <sz val="11"/>
            <color theme="1"/>
            <rFont val="Aptos Narrow"/>
            <family val="2"/>
            <scheme val="minor"/>
          </rPr>
          <t>Unknown User:
Quote not emailed</t>
        </r>
      </text>
    </comment>
    <comment ref="G1185" authorId="0" shapeId="0" xr:uid="{8290F3C0-9E77-4102-AEDE-5A5325FF172A}">
      <text>
        <r>
          <rPr>
            <sz val="11"/>
            <color theme="1"/>
            <rFont val="Aptos Narrow"/>
            <family val="2"/>
            <scheme val="minor"/>
          </rPr>
          <t>Unknown User:
SERVICE &amp; PUMP OUT OF SEPTIC TANK</t>
        </r>
      </text>
    </comment>
    <comment ref="P1185" authorId="0" shapeId="0" xr:uid="{AECCFF08-6FC6-4173-9E08-BF55CEB352A9}">
      <text>
        <r>
          <rPr>
            <sz val="11"/>
            <color theme="1"/>
            <rFont val="Aptos Narrow"/>
            <family val="2"/>
            <scheme val="minor"/>
          </rPr>
          <t>Unknown User:
Quote not emailed</t>
        </r>
      </text>
    </comment>
    <comment ref="G1186" authorId="0" shapeId="0" xr:uid="{0039B996-F50F-4A4D-AA99-48678AA24569}">
      <text>
        <r>
          <rPr>
            <sz val="11"/>
            <color theme="1"/>
            <rFont val="Aptos Narrow"/>
            <family val="2"/>
            <scheme val="minor"/>
          </rPr>
          <t xml:space="preserve">Unknown User:
REPLACEMENT OF SEWER BOUNDARY TRAP (UNDER CONCRETE)
CREDIT HIGH POWERED JETBLAST &amp; CCTV CAMERA </t>
        </r>
      </text>
    </comment>
    <comment ref="N1186" authorId="0" shapeId="0" xr:uid="{08710AB9-EA60-45BD-A0DC-440EC5FB631A}">
      <text>
        <r>
          <rPr>
            <sz val="11"/>
            <color theme="1"/>
            <rFont val="Aptos Narrow"/>
            <family val="2"/>
            <scheme val="minor"/>
          </rPr>
          <t>Unknown User:
Quote raised in Job #73204</t>
        </r>
      </text>
    </comment>
    <comment ref="P1186" authorId="0" shapeId="0" xr:uid="{0FB28228-96D6-4758-AF12-3240F380C64D}">
      <text>
        <r>
          <rPr>
            <sz val="11"/>
            <color theme="1"/>
            <rFont val="Aptos Narrow"/>
            <family val="2"/>
            <scheme val="minor"/>
          </rPr>
          <t>Unknown User:
Quote not emailed</t>
        </r>
      </text>
    </comment>
    <comment ref="G1190" authorId="0" shapeId="0" xr:uid="{C5CCED02-BF3B-4F45-A896-743FCC278F8E}">
      <text>
        <r>
          <rPr>
            <sz val="11"/>
            <color theme="1"/>
            <rFont val="Aptos Narrow"/>
            <family val="2"/>
            <scheme val="minor"/>
          </rPr>
          <t xml:space="preserve">Unknown User:
DISCONNECT AND RECONNECT WATER TANK 
</t>
        </r>
      </text>
    </comment>
    <comment ref="G1191" authorId="0" shapeId="0" xr:uid="{815AD351-1F6B-4AC5-A6B2-B0A7829CD626}">
      <text>
        <r>
          <rPr>
            <sz val="11"/>
            <color theme="1"/>
            <rFont val="Aptos Narrow"/>
            <family val="2"/>
            <scheme val="minor"/>
          </rPr>
          <t>Unknown User:
SEWER STACK REPAIR</t>
        </r>
      </text>
    </comment>
    <comment ref="K1191" authorId="0" shapeId="0" xr:uid="{15851C30-D9AB-42B8-B5CD-575A37FC26CD}">
      <text>
        <r>
          <rPr>
            <sz val="11"/>
            <color theme="1"/>
            <rFont val="Aptos Narrow"/>
            <family val="2"/>
            <scheme val="minor"/>
          </rPr>
          <t>Unknown User:
Before job pics of initial &amp; upsell are considered</t>
        </r>
      </text>
    </comment>
    <comment ref="G1192" authorId="0" shapeId="0" xr:uid="{6AFEBCAE-2246-492F-9C12-D4D19A40D917}">
      <text>
        <r>
          <rPr>
            <sz val="11"/>
            <color theme="1"/>
            <rFont val="Aptos Narrow"/>
            <family val="2"/>
            <scheme val="minor"/>
          </rPr>
          <t>Unknown User:
SPECIALIST LEAK DETECTION (WATER SERVICE)</t>
        </r>
      </text>
    </comment>
    <comment ref="Q1192" authorId="0" shapeId="0" xr:uid="{3D9DB83A-2131-42A8-ACD7-6C1310738B05}">
      <text>
        <r>
          <rPr>
            <sz val="11"/>
            <color theme="1"/>
            <rFont val="Aptos Narrow"/>
            <family val="2"/>
            <scheme val="minor"/>
          </rPr>
          <t>Unknown User:
Receipt of $204 not updated in invoice. Obtained sign &amp; emailed without considering the payment. Therefore, invoice DOC check not considered</t>
        </r>
      </text>
    </comment>
    <comment ref="G1193" authorId="0" shapeId="0" xr:uid="{3C3D7D65-5AAF-4D7E-BB64-FB9ABA002C13}">
      <text>
        <r>
          <rPr>
            <sz val="11"/>
            <color theme="1"/>
            <rFont val="Aptos Narrow"/>
            <family val="2"/>
            <scheme val="minor"/>
          </rPr>
          <t xml:space="preserve">Unknown User:
SEARCH &amp; INVESTIGATION (GENERAL)
</t>
        </r>
      </text>
    </comment>
    <comment ref="G1195" authorId="0" shapeId="0" xr:uid="{ED6924E2-74D6-4515-9C81-D3A7A1D76ECE}">
      <text>
        <r>
          <rPr>
            <sz val="11"/>
            <color theme="1"/>
            <rFont val="Aptos Narrow"/>
            <family val="2"/>
            <scheme val="minor"/>
          </rPr>
          <t>Unknown User:
WATER SERVICE RECTIFICATION (IN CONCRETE)</t>
        </r>
      </text>
    </comment>
    <comment ref="G1196" authorId="0" shapeId="0" xr:uid="{C9865B7C-391A-487B-AC83-E771CA3E35AD}">
      <text>
        <r>
          <rPr>
            <sz val="11"/>
            <color theme="1"/>
            <rFont val="Aptos Narrow"/>
            <family val="2"/>
            <scheme val="minor"/>
          </rPr>
          <t xml:space="preserve">Unknown User:
SEARCH &amp; INVESTIGATION OF DOUBLE STOREY ROOF OF POTENTIAL LEAK
</t>
        </r>
      </text>
    </comment>
    <comment ref="G1197" authorId="0" shapeId="0" xr:uid="{EDBCA31F-F882-4F34-BAD9-FAEEA2399C7A}">
      <text>
        <r>
          <rPr>
            <sz val="11"/>
            <color theme="1"/>
            <rFont val="Aptos Narrow"/>
            <family val="2"/>
            <scheme val="minor"/>
          </rPr>
          <t xml:space="preserve">Unknown User:
OUTDOOR WATER POINT
</t>
        </r>
      </text>
    </comment>
    <comment ref="G1198" authorId="0" shapeId="0" xr:uid="{7E82CDE0-18FB-456E-878C-B8D2F660B0D9}">
      <text>
        <r>
          <rPr>
            <sz val="11"/>
            <color theme="1"/>
            <rFont val="Aptos Narrow"/>
            <family val="2"/>
            <scheme val="minor"/>
          </rPr>
          <t>Unknown User:
SEARCH AND INVESTIGATION OF GAS INSTANTANEOUS HOT WATER SYSTEM</t>
        </r>
      </text>
    </comment>
    <comment ref="G1230" authorId="0" shapeId="0" xr:uid="{B4321881-473B-4682-B2C9-8CF691BB9066}">
      <text>
        <r>
          <rPr>
            <sz val="11"/>
            <color theme="1"/>
            <rFont val="Aptos Narrow"/>
            <family val="2"/>
            <scheme val="minor"/>
          </rPr>
          <t>Unknown User:
HIGH POWERED SUCTION &amp; ACID TREATMENT</t>
        </r>
      </text>
    </comment>
    <comment ref="P1230" authorId="0" shapeId="0" xr:uid="{13BED62C-A206-42EB-856E-C392AFCBA2B9}">
      <text>
        <r>
          <rPr>
            <sz val="11"/>
            <color theme="1"/>
            <rFont val="Aptos Narrow"/>
            <family val="2"/>
            <scheme val="minor"/>
          </rPr>
          <t>Unknown User:
Quote not emailed</t>
        </r>
      </text>
    </comment>
    <comment ref="G1231" authorId="0" shapeId="0" xr:uid="{EBDC07BA-4AC3-4CEA-80EA-27D5D4D640F9}">
      <text>
        <r>
          <rPr>
            <sz val="11"/>
            <color theme="1"/>
            <rFont val="Aptos Narrow"/>
            <family val="2"/>
            <scheme val="minor"/>
          </rPr>
          <t>Unknown User:
REPLACEMENT OF BASIN MIXER</t>
        </r>
      </text>
    </comment>
    <comment ref="P1231" authorId="0" shapeId="0" xr:uid="{796FA760-F1C7-4FB1-ACDD-2F80DE50798D}">
      <text>
        <r>
          <rPr>
            <sz val="11"/>
            <color theme="1"/>
            <rFont val="Aptos Narrow"/>
            <family val="2"/>
            <scheme val="minor"/>
          </rPr>
          <t>Unknown User:
Quote not emailed</t>
        </r>
      </text>
    </comment>
    <comment ref="G1232" authorId="0" shapeId="0" xr:uid="{5501188A-77F1-40F8-83D3-6FE02B6DD085}">
      <text>
        <r>
          <rPr>
            <sz val="11"/>
            <color theme="1"/>
            <rFont val="Aptos Narrow"/>
            <family val="2"/>
            <scheme val="minor"/>
          </rPr>
          <t>Unknown User:
HIGH POWERED SUCTION PUMP</t>
        </r>
      </text>
    </comment>
    <comment ref="P1232" authorId="0" shapeId="0" xr:uid="{1F9F9533-1BF4-40DD-A2E4-3134DDADE504}">
      <text>
        <r>
          <rPr>
            <sz val="11"/>
            <color theme="1"/>
            <rFont val="Aptos Narrow"/>
            <family val="2"/>
            <scheme val="minor"/>
          </rPr>
          <t>Unknown User:
Quote not emailed</t>
        </r>
      </text>
    </comment>
    <comment ref="G1233" authorId="0" shapeId="0" xr:uid="{8BE33600-0599-4E2B-849E-BE9E0F2BE2E4}">
      <text>
        <r>
          <rPr>
            <sz val="11"/>
            <color theme="1"/>
            <rFont val="Aptos Narrow"/>
            <family val="2"/>
            <scheme val="minor"/>
          </rPr>
          <t>Unknown User:
DRAINAGE HOSE CLAMP</t>
        </r>
      </text>
    </comment>
    <comment ref="P1233" authorId="0" shapeId="0" xr:uid="{13F32F3A-7AEE-46FB-B32D-40A1A08DCEA9}">
      <text>
        <r>
          <rPr>
            <sz val="11"/>
            <color theme="1"/>
            <rFont val="Aptos Narrow"/>
            <family val="2"/>
            <scheme val="minor"/>
          </rPr>
          <t>Unknown User:
Quote not emailed</t>
        </r>
      </text>
    </comment>
    <comment ref="G1234" authorId="0" shapeId="0" xr:uid="{266B643C-9DCB-41CD-84F7-F8855C08A6ED}">
      <text>
        <r>
          <rPr>
            <sz val="11"/>
            <color theme="1"/>
            <rFont val="Aptos Narrow"/>
            <family val="2"/>
            <scheme val="minor"/>
          </rPr>
          <t>Unknown User:
WATER SERVICE RECTIFICATION (IN GROUND)
$185+GST Non-refundable call out fee</t>
        </r>
      </text>
    </comment>
    <comment ref="P1234" authorId="0" shapeId="0" xr:uid="{F7C7300B-5D8C-4CFA-8813-30116E59C1BF}">
      <text>
        <r>
          <rPr>
            <sz val="11"/>
            <color theme="1"/>
            <rFont val="Aptos Narrow"/>
            <family val="2"/>
            <scheme val="minor"/>
          </rPr>
          <t>Unknown User:
Quote not emailed</t>
        </r>
      </text>
    </comment>
    <comment ref="G1235" authorId="0" shapeId="0" xr:uid="{A20AF1B1-95AF-48A5-B55E-7C7D03774812}">
      <text>
        <r>
          <rPr>
            <sz val="11"/>
            <color theme="1"/>
            <rFont val="Aptos Narrow"/>
            <family val="2"/>
            <scheme val="minor"/>
          </rPr>
          <t>Unknown User:
INSTALL CUSTOMER SUPPLIED PUDDLE FLANGE</t>
        </r>
      </text>
    </comment>
    <comment ref="P1235" authorId="0" shapeId="0" xr:uid="{62BDB272-510E-4C44-AE61-904DA33BC57A}">
      <text>
        <r>
          <rPr>
            <sz val="11"/>
            <color theme="1"/>
            <rFont val="Aptos Narrow"/>
            <family val="2"/>
            <scheme val="minor"/>
          </rPr>
          <t>Unknown User:
Quote not emailed</t>
        </r>
      </text>
    </comment>
    <comment ref="S1235" authorId="0" shapeId="0" xr:uid="{998EC96D-EC8C-49D0-BFBD-199943547F4A}">
      <text>
        <r>
          <rPr>
            <sz val="11"/>
            <color theme="1"/>
            <rFont val="Aptos Narrow"/>
            <family val="2"/>
            <scheme val="minor"/>
          </rPr>
          <t>Unknown User:
Signed progress invoice not emailed</t>
        </r>
      </text>
    </comment>
    <comment ref="G1236" authorId="0" shapeId="0" xr:uid="{9E4C96CB-0FD5-45E4-9029-DFF938339271}">
      <text>
        <r>
          <rPr>
            <sz val="11"/>
            <color theme="1"/>
            <rFont val="Aptos Narrow"/>
            <family val="2"/>
            <scheme val="minor"/>
          </rPr>
          <t xml:space="preserve">Unknown User:
HIGH POWERED JET BLAST &amp; CCTV DRAIN CAMERA INSPECTION (SEWER SERVICE)
</t>
        </r>
      </text>
    </comment>
    <comment ref="L1236" authorId="0" shapeId="0" xr:uid="{B0C9B184-6B3F-4DCA-B155-EFC79CF10395}">
      <text>
        <r>
          <rPr>
            <sz val="11"/>
            <color theme="1"/>
            <rFont val="Aptos Narrow"/>
            <family val="2"/>
            <scheme val="minor"/>
          </rPr>
          <t>Unknown User:
CCTV pics/videos not uploaded.</t>
        </r>
      </text>
    </comment>
    <comment ref="P1236" authorId="0" shapeId="0" xr:uid="{03F1156C-B2B0-42C9-97D9-721D8AEDACE3}">
      <text>
        <r>
          <rPr>
            <sz val="11"/>
            <color theme="1"/>
            <rFont val="Aptos Narrow"/>
            <family val="2"/>
            <scheme val="minor"/>
          </rPr>
          <t>Unknown User:
Quote not emailed</t>
        </r>
      </text>
    </comment>
    <comment ref="G1237" authorId="0" shapeId="0" xr:uid="{F671B39C-AFDE-49D2-A244-C9FA7606E72E}">
      <text>
        <r>
          <rPr>
            <sz val="11"/>
            <color theme="1"/>
            <rFont val="Aptos Narrow"/>
            <family val="2"/>
            <scheme val="minor"/>
          </rPr>
          <t>Unknown User:
INSTALLATION OF BASIN MIXER WITH NEW MIXER (CUSTOMER SUPPLIED)</t>
        </r>
      </text>
    </comment>
    <comment ref="P1237" authorId="0" shapeId="0" xr:uid="{CD27276D-62A3-436C-87FE-AE9D5B1A3896}">
      <text>
        <r>
          <rPr>
            <sz val="11"/>
            <color theme="1"/>
            <rFont val="Aptos Narrow"/>
            <family val="2"/>
            <scheme val="minor"/>
          </rPr>
          <t>Unknown User:
Quote not emailed</t>
        </r>
      </text>
    </comment>
    <comment ref="G1238" authorId="0" shapeId="0" xr:uid="{817CCE21-B6C4-4BA6-B806-B078EEB45D7D}">
      <text>
        <r>
          <rPr>
            <sz val="11"/>
            <color theme="1"/>
            <rFont val="Aptos Narrow"/>
            <family val="2"/>
            <scheme val="minor"/>
          </rPr>
          <t xml:space="preserve">Unknown User:
SEARCH &amp; INVESTIGATION OF SINGLE STOREY ROOF OF POTENTIAL LEAK
</t>
        </r>
      </text>
    </comment>
    <comment ref="P1238" authorId="0" shapeId="0" xr:uid="{DD578EBC-6EDE-436B-A452-7B0C38DF3265}">
      <text>
        <r>
          <rPr>
            <sz val="11"/>
            <color theme="1"/>
            <rFont val="Aptos Narrow"/>
            <family val="2"/>
            <scheme val="minor"/>
          </rPr>
          <t>Unknown User:
Quote not emailed</t>
        </r>
      </text>
    </comment>
    <comment ref="Q1238" authorId="0" shapeId="0" xr:uid="{B39B5F4D-8138-4E2E-B910-A98BECC56E8D}">
      <text>
        <r>
          <rPr>
            <sz val="11"/>
            <color theme="1"/>
            <rFont val="Aptos Narrow"/>
            <family val="2"/>
            <scheme val="minor"/>
          </rPr>
          <t>Unknown User:
Final zero due invoice not raised</t>
        </r>
      </text>
    </comment>
    <comment ref="G1239" authorId="0" shapeId="0" xr:uid="{93CB9B74-4CD9-4306-9EC6-8EC6D47E3D1B}">
      <text>
        <r>
          <rPr>
            <sz val="11"/>
            <color theme="1"/>
            <rFont val="Aptos Narrow"/>
            <family val="2"/>
            <scheme val="minor"/>
          </rPr>
          <t>Unknown User:
HIGH POWERED SUCTION &amp; ACID TREATMENT</t>
        </r>
      </text>
    </comment>
    <comment ref="P1239" authorId="0" shapeId="0" xr:uid="{B62C2018-D40A-4311-8D93-830CEA69CB98}">
      <text>
        <r>
          <rPr>
            <sz val="11"/>
            <color theme="1"/>
            <rFont val="Aptos Narrow"/>
            <family val="2"/>
            <scheme val="minor"/>
          </rPr>
          <t>Unknown User:
Quote not emailed</t>
        </r>
      </text>
    </comment>
    <comment ref="G1240" authorId="0" shapeId="0" xr:uid="{6D971414-81E3-452D-8D14-082E18182CFD}">
      <text>
        <r>
          <rPr>
            <sz val="11"/>
            <color theme="1"/>
            <rFont val="Aptos Narrow"/>
            <family val="2"/>
            <scheme val="minor"/>
          </rPr>
          <t>Unknown User:
HIGH POWERED SUCTION &amp; ACID TREATMENT
$155+GST Non-refundable call out fee</t>
        </r>
      </text>
    </comment>
    <comment ref="P1240" authorId="0" shapeId="0" xr:uid="{7C48F1E2-FE4E-4B49-B1AD-00DACADADDD0}">
      <text>
        <r>
          <rPr>
            <sz val="11"/>
            <color theme="1"/>
            <rFont val="Aptos Narrow"/>
            <family val="2"/>
            <scheme val="minor"/>
          </rPr>
          <t>Unknown User:
Quote not emailed</t>
        </r>
      </text>
    </comment>
    <comment ref="Q1240" authorId="0" shapeId="0" xr:uid="{68BCA951-B9C3-40FC-96F9-7B90A70C72D9}">
      <text>
        <r>
          <rPr>
            <sz val="11"/>
            <color theme="1"/>
            <rFont val="Aptos Narrow"/>
            <family val="2"/>
            <scheme val="minor"/>
          </rPr>
          <t>Unknown User:
Final zero due invoice not raised</t>
        </r>
      </text>
    </comment>
    <comment ref="G1241" authorId="0" shapeId="0" xr:uid="{E3B74CAC-FADA-4775-B93F-E9D41C39205B}">
      <text>
        <r>
          <rPr>
            <sz val="11"/>
            <color theme="1"/>
            <rFont val="Aptos Narrow"/>
            <family val="2"/>
            <scheme val="minor"/>
          </rPr>
          <t>Unknown User:
HIGH POWERED JET BLAST &amp; CCTV DRAIN CAMERA INSPECTION (SEWER SERVICE)</t>
        </r>
      </text>
    </comment>
    <comment ref="L1241" authorId="0" shapeId="0" xr:uid="{DBDDC0E7-FB3C-43DE-8A86-088306CEA051}">
      <text>
        <r>
          <rPr>
            <sz val="11"/>
            <color theme="1"/>
            <rFont val="Aptos Narrow"/>
            <family val="2"/>
            <scheme val="minor"/>
          </rPr>
          <t>Unknown User:
CCTV pics/videos not uploaded.</t>
        </r>
      </text>
    </comment>
    <comment ref="P1241" authorId="0" shapeId="0" xr:uid="{0EB29E2A-B30F-478B-81A2-BA2FC18AB542}">
      <text>
        <r>
          <rPr>
            <sz val="11"/>
            <color theme="1"/>
            <rFont val="Aptos Narrow"/>
            <family val="2"/>
            <scheme val="minor"/>
          </rPr>
          <t>Unknown User:
Quote not emailed</t>
        </r>
      </text>
    </comment>
    <comment ref="G1242" authorId="0" shapeId="0" xr:uid="{E495FD95-1A13-4FE9-92C3-CE176D0CF669}">
      <text>
        <r>
          <rPr>
            <sz val="11"/>
            <color theme="1"/>
            <rFont val="Aptos Narrow"/>
            <family val="2"/>
            <scheme val="minor"/>
          </rPr>
          <t>Unknown User:
CONVERT SOLAR SPLIT HOT WATER SYSTEM TO EXTERNAL GAS INSTANTANEOUS HOT WATER SYSTEM</t>
        </r>
      </text>
    </comment>
    <comment ref="L1242" authorId="0" shapeId="0" xr:uid="{95FC74BC-2E29-4DD5-82D7-7C00C6A947F1}">
      <text>
        <r>
          <rPr>
            <sz val="11"/>
            <color theme="1"/>
            <rFont val="Aptos Narrow"/>
            <family val="2"/>
            <scheme val="minor"/>
          </rPr>
          <t>Unknown User:
Temp check pic not uploaded</t>
        </r>
      </text>
    </comment>
    <comment ref="N1242" authorId="0" shapeId="0" xr:uid="{5526505C-3306-4F03-94DC-518D03225573}">
      <text>
        <r>
          <rPr>
            <sz val="11"/>
            <color theme="1"/>
            <rFont val="Aptos Narrow"/>
            <family val="2"/>
            <scheme val="minor"/>
          </rPr>
          <t>Unknown User:
Quote raised in Job #73988</t>
        </r>
      </text>
    </comment>
    <comment ref="P1242" authorId="0" shapeId="0" xr:uid="{CDD776B1-9976-4F42-9097-6DAC3BFEC871}">
      <text>
        <r>
          <rPr>
            <sz val="11"/>
            <color theme="1"/>
            <rFont val="Aptos Narrow"/>
            <family val="2"/>
            <scheme val="minor"/>
          </rPr>
          <t>Unknown User:
Quote not emailed</t>
        </r>
      </text>
    </comment>
    <comment ref="R1242" authorId="0" shapeId="0" xr:uid="{927D23D6-0007-4838-B518-B3C0F8FDABE8}">
      <text>
        <r>
          <rPr>
            <sz val="11"/>
            <color theme="1"/>
            <rFont val="Aptos Narrow"/>
            <family val="2"/>
            <scheme val="minor"/>
          </rPr>
          <t>Unknown User:
Invoice not signed</t>
        </r>
      </text>
    </comment>
    <comment ref="S1242" authorId="0" shapeId="0" xr:uid="{3DD49257-0A28-46FA-98CD-0B4DAF17E2A7}">
      <text>
        <r>
          <rPr>
            <sz val="11"/>
            <color theme="1"/>
            <rFont val="Aptos Narrow"/>
            <family val="2"/>
            <scheme val="minor"/>
          </rPr>
          <t>Unknown User:
Invoice emailed without sign</t>
        </r>
      </text>
    </comment>
    <comment ref="G1243" authorId="0" shapeId="0" xr:uid="{0FCB4BF7-4688-4978-9DE6-B17F5F4E6548}">
      <text>
        <r>
          <rPr>
            <sz val="11"/>
            <color theme="1"/>
            <rFont val="Aptos Narrow"/>
            <family val="2"/>
            <scheme val="minor"/>
          </rPr>
          <t xml:space="preserve">Unknown User:
INSTALLATION OF GAS COOKTOP [SAME LOCATION] (CUSTOMER SUPPLIED)
</t>
        </r>
      </text>
    </comment>
    <comment ref="P1243" authorId="0" shapeId="0" xr:uid="{A49D5C95-FF9F-4687-92D5-8442614C4465}">
      <text>
        <r>
          <rPr>
            <sz val="11"/>
            <color theme="1"/>
            <rFont val="Aptos Narrow"/>
            <family val="2"/>
            <scheme val="minor"/>
          </rPr>
          <t>Unknown User:
Quote not emailed</t>
        </r>
      </text>
    </comment>
    <comment ref="V1243" authorId="0" shapeId="0" xr:uid="{B70410D9-ACA2-4E2C-82D2-709CEBBB0B1C}">
      <text>
        <r>
          <rPr>
            <sz val="11"/>
            <color theme="1"/>
            <rFont val="Aptos Narrow"/>
            <family val="2"/>
            <scheme val="minor"/>
          </rPr>
          <t>Unknown User:
Short receipt by $3</t>
        </r>
      </text>
    </comment>
    <comment ref="G1244" authorId="0" shapeId="0" xr:uid="{95DE616D-FA4F-40BC-94F3-5FC53728F1D6}">
      <text>
        <r>
          <rPr>
            <sz val="11"/>
            <color theme="1"/>
            <rFont val="Aptos Narrow"/>
            <family val="2"/>
            <scheme val="minor"/>
          </rPr>
          <t>Unknown User:
REPLACE EXISTING 15MM WATER CONNECTION WITH BRAIDED FLEXIBLE HOSE
10% Good Will Discount</t>
        </r>
      </text>
    </comment>
    <comment ref="P1244" authorId="0" shapeId="0" xr:uid="{535EB1AB-71E5-4378-A161-FCF18D644691}">
      <text>
        <r>
          <rPr>
            <sz val="11"/>
            <color theme="1"/>
            <rFont val="Aptos Narrow"/>
            <family val="2"/>
            <scheme val="minor"/>
          </rPr>
          <t>Unknown User:
Quote not emailed</t>
        </r>
      </text>
    </comment>
    <comment ref="V1244" authorId="0" shapeId="0" xr:uid="{BA4C7FE2-3A5B-4206-9099-D52A990E3DC4}">
      <text>
        <r>
          <rPr>
            <sz val="11"/>
            <color theme="1"/>
            <rFont val="Aptos Narrow"/>
            <family val="2"/>
            <scheme val="minor"/>
          </rPr>
          <t>Unknown User:
Short receipt by $0.90</t>
        </r>
      </text>
    </comment>
    <comment ref="G1249" authorId="0" shapeId="0" xr:uid="{F38E447D-AD80-46FA-AB45-34E3408ACFF1}">
      <text>
        <r>
          <rPr>
            <sz val="11"/>
            <color theme="1"/>
            <rFont val="Aptos Narrow"/>
            <family val="2"/>
            <scheme val="minor"/>
          </rPr>
          <t>Unknown User:
HIGH POWERED JET BLAST &amp; CCTV CAMERA INSPECTION (GAIN ACCESS WITH
REMOVAL OF TOILET)
15% Good Will Discount</t>
        </r>
      </text>
    </comment>
    <comment ref="L1249" authorId="0" shapeId="0" xr:uid="{33C57C5A-4ECE-4797-A147-0F659AC89B80}">
      <text>
        <r>
          <rPr>
            <sz val="11"/>
            <color theme="1"/>
            <rFont val="Aptos Narrow"/>
            <family val="2"/>
            <scheme val="minor"/>
          </rPr>
          <t>Unknown User:
CCTV pics/videos not uploaded</t>
        </r>
      </text>
    </comment>
    <comment ref="P1249" authorId="0" shapeId="0" xr:uid="{4ECEA7AC-4913-4145-9027-CE1D262F961B}">
      <text>
        <r>
          <rPr>
            <sz val="11"/>
            <color theme="1"/>
            <rFont val="Aptos Narrow"/>
            <family val="2"/>
            <scheme val="minor"/>
          </rPr>
          <t>Unknown User:
Quote not emailed</t>
        </r>
      </text>
    </comment>
    <comment ref="G1250" authorId="0" shapeId="0" xr:uid="{0C139C83-033C-4998-99D8-DD7C34537247}">
      <text>
        <r>
          <rPr>
            <sz val="11"/>
            <color theme="1"/>
            <rFont val="Aptos Narrow"/>
            <family val="2"/>
            <scheme val="minor"/>
          </rPr>
          <t xml:space="preserve">Unknown User:
HIGH POWERED JET BLAST &amp; CCTV DRAIN CAMERA INSPECTION (SEWER SERVICE)
</t>
        </r>
      </text>
    </comment>
    <comment ref="P1250" authorId="0" shapeId="0" xr:uid="{BC94309D-653F-4F20-87A0-A8A9D38FFD1F}">
      <text>
        <r>
          <rPr>
            <sz val="11"/>
            <color theme="1"/>
            <rFont val="Aptos Narrow"/>
            <family val="2"/>
            <scheme val="minor"/>
          </rPr>
          <t>Unknown User:
Quote not emailed</t>
        </r>
      </text>
    </comment>
    <comment ref="Q1250" authorId="0" shapeId="0" xr:uid="{971218D3-8B74-4FDA-B887-0529C65D4DEB}">
      <text>
        <r>
          <rPr>
            <sz val="11"/>
            <color theme="1"/>
            <rFont val="Aptos Narrow"/>
            <family val="2"/>
            <scheme val="minor"/>
          </rPr>
          <t>Unknown User:
Progress invoice ($100 cash) not raised by plumber</t>
        </r>
      </text>
    </comment>
    <comment ref="W1250" authorId="0" shapeId="0" xr:uid="{AAD62F82-3603-4A87-9C06-86BF0D9403C9}">
      <text>
        <r>
          <rPr>
            <sz val="11"/>
            <color theme="1"/>
            <rFont val="Aptos Narrow"/>
            <family val="2"/>
            <scheme val="minor"/>
          </rPr>
          <t>Unknown User:
Cash denomination
$50*3=$150</t>
        </r>
      </text>
    </comment>
    <comment ref="D1251" authorId="0" shapeId="0" xr:uid="{AEA18D6E-63C5-44FF-8ADE-5F37D8D66550}">
      <text>
        <r>
          <rPr>
            <sz val="11"/>
            <color theme="1"/>
            <rFont val="Aptos Narrow"/>
            <family val="2"/>
            <scheme val="minor"/>
          </rPr>
          <t>Unknown User:
Previously under "Quote" (Unsuccessful) in Jarrod &amp; Liam's sheet. 
Although Jack has raised quote on 17/9/2025, customer gave approval only on 1/10/2025 and now job completed by Jack.</t>
        </r>
      </text>
    </comment>
    <comment ref="G1251" authorId="0" shapeId="0" xr:uid="{2301E654-52C4-436A-AAAD-D9CEB70186FB}">
      <text>
        <r>
          <rPr>
            <sz val="11"/>
            <color theme="1"/>
            <rFont val="Aptos Narrow"/>
            <family val="2"/>
            <scheme val="minor"/>
          </rPr>
          <t>Unknown User:
SUPPLY &amp; INSTALLATION OF NEW WALL FACED TOILET SUITE
Non-refundable call out fee</t>
        </r>
      </text>
    </comment>
    <comment ref="R1251" authorId="0" shapeId="0" xr:uid="{A9382371-DE7B-4349-81F4-CC47012B286E}">
      <text>
        <r>
          <rPr>
            <sz val="11"/>
            <color theme="1"/>
            <rFont val="Aptos Narrow"/>
            <family val="2"/>
            <scheme val="minor"/>
          </rPr>
          <t>Unknown User:
Sign not obtained</t>
        </r>
      </text>
    </comment>
    <comment ref="S1251" authorId="0" shapeId="0" xr:uid="{C0CFCF79-67D1-403D-9E1A-1B8AF2D85645}">
      <text>
        <r>
          <rPr>
            <sz val="11"/>
            <color theme="1"/>
            <rFont val="Aptos Narrow"/>
            <family val="2"/>
            <scheme val="minor"/>
          </rPr>
          <t>Unknown User:
Invoice emailed without sign.</t>
        </r>
      </text>
    </comment>
    <comment ref="U1251" authorId="0" shapeId="0" xr:uid="{9F53350C-77D8-4506-95D2-C8CF4F0826B2}">
      <text>
        <r>
          <rPr>
            <sz val="11"/>
            <color theme="1"/>
            <rFont val="Aptos Narrow"/>
            <family val="2"/>
            <scheme val="minor"/>
          </rPr>
          <t>Unknown User:
1/10-As per Luke's note "Received a call from the owner of 2 Lease regarding the quote - she has stated she wants to go ahead. Spoke with Ghadeer - we will be sending the plumber back out to obtain a signature for approval and then the works will commence as per the quote. Customer was ok with this - told them that the Plumber will call them to organise an attendance"</t>
        </r>
      </text>
    </comment>
    <comment ref="G1252" authorId="0" shapeId="0" xr:uid="{459AA3EE-EEBC-4CD9-A040-46FD3D672709}">
      <text>
        <r>
          <rPr>
            <sz val="11"/>
            <color theme="1"/>
            <rFont val="Aptos Narrow"/>
            <family val="2"/>
            <scheme val="minor"/>
          </rPr>
          <t xml:space="preserve">Unknown User:
SUPPLY &amp; INSTALLATION OF NEW LINK SUITE
10% Seniors &amp; Pensioners Discount </t>
        </r>
      </text>
    </comment>
    <comment ref="P1252" authorId="0" shapeId="0" xr:uid="{98F2E752-6D6B-4B1A-B1C2-415D505A3136}">
      <text>
        <r>
          <rPr>
            <sz val="11"/>
            <color theme="1"/>
            <rFont val="Aptos Narrow"/>
            <family val="2"/>
            <scheme val="minor"/>
          </rPr>
          <t>Unknown User:
Quote not emailed</t>
        </r>
      </text>
    </comment>
    <comment ref="S1252" authorId="0" shapeId="0" xr:uid="{0A7E7B9E-CD6E-4C25-9FD9-F202B9676892}">
      <text>
        <r>
          <rPr>
            <sz val="11"/>
            <color theme="1"/>
            <rFont val="Aptos Narrow"/>
            <family val="2"/>
            <scheme val="minor"/>
          </rPr>
          <t>Unknown User:
Signed invoice not emailed</t>
        </r>
      </text>
    </comment>
    <comment ref="G1256" authorId="0" shapeId="0" xr:uid="{ECF5C3ED-93BC-4032-B58E-52412BCD22BD}">
      <text>
        <r>
          <rPr>
            <sz val="11"/>
            <color theme="1"/>
            <rFont val="Aptos Narrow"/>
            <family val="2"/>
            <scheme val="minor"/>
          </rPr>
          <t>Unknown User:
SEWER SPOT DIG - IN GROUND</t>
        </r>
      </text>
    </comment>
    <comment ref="N1256" authorId="0" shapeId="0" xr:uid="{DF7356A7-637F-4707-B295-15776113DCE5}">
      <text>
        <r>
          <rPr>
            <sz val="11"/>
            <color theme="1"/>
            <rFont val="Aptos Narrow"/>
            <family val="2"/>
            <scheme val="minor"/>
          </rPr>
          <t>Unknown User:
Quote raised in Job #73987</t>
        </r>
      </text>
    </comment>
    <comment ref="P1256" authorId="0" shapeId="0" xr:uid="{920D3EB7-FA74-4F90-A779-4E97162EFB38}">
      <text>
        <r>
          <rPr>
            <sz val="11"/>
            <color theme="1"/>
            <rFont val="Aptos Narrow"/>
            <family val="2"/>
            <scheme val="minor"/>
          </rPr>
          <t>Unknown User:
Quote not emailed</t>
        </r>
      </text>
    </comment>
    <comment ref="V1256" authorId="0" shapeId="0" xr:uid="{790EBCE8-C0A4-4E92-8BE7-0395B2923F1B}">
      <text>
        <r>
          <rPr>
            <sz val="11"/>
            <color theme="1"/>
            <rFont val="Aptos Narrow"/>
            <family val="2"/>
            <scheme val="minor"/>
          </rPr>
          <t>Unknown User:
9/10-Received $3201.40 by Smartpay</t>
        </r>
      </text>
    </comment>
    <comment ref="G1260" authorId="0" shapeId="0" xr:uid="{54750E28-4E33-4C9C-B34E-057C57F979EA}">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1260" authorId="0" shapeId="0" xr:uid="{F4AEEA2D-0BF9-4E20-B5BB-51DD0A3482E2}">
      <text>
        <r>
          <rPr>
            <sz val="11"/>
            <color theme="1"/>
            <rFont val="Aptos Narrow"/>
            <family val="2"/>
            <scheme val="minor"/>
          </rPr>
          <t>Unknown User:
Quote not Emailed</t>
        </r>
      </text>
    </comment>
    <comment ref="V1260" authorId="0" shapeId="0" xr:uid="{A97CDC22-FC53-44DD-AA18-A22514FA1703}">
      <text>
        <r>
          <rPr>
            <sz val="11"/>
            <color theme="1"/>
            <rFont val="Aptos Narrow"/>
            <family val="2"/>
            <scheme val="minor"/>
          </rPr>
          <t xml:space="preserve">Unknown User:
11/07 Received $200 EFT
</t>
        </r>
      </text>
    </comment>
    <comment ref="G1261" authorId="0" shapeId="0" xr:uid="{8C39C57B-A436-4F11-82AD-AC135CCD43E4}">
      <text>
        <r>
          <rPr>
            <sz val="11"/>
            <color theme="1"/>
            <rFont val="Aptos Narrow"/>
            <family val="2"/>
            <scheme val="minor"/>
          </rPr>
          <t xml:space="preserve">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
CONTINUATION OF SERVICES </t>
        </r>
      </text>
    </comment>
    <comment ref="N1261" authorId="0" shapeId="0" xr:uid="{21768669-631D-49DD-B1E1-B9B5197A3DCF}">
      <text>
        <r>
          <rPr>
            <sz val="11"/>
            <color theme="1"/>
            <rFont val="Aptos Narrow"/>
            <family val="2"/>
            <scheme val="minor"/>
          </rPr>
          <t>Unknown User:
Quote raised in job #71681</t>
        </r>
      </text>
    </comment>
    <comment ref="P1261" authorId="0" shapeId="0" xr:uid="{5070A6ED-1406-45DE-B9D0-EDFAF8BA96F5}">
      <text>
        <r>
          <rPr>
            <sz val="11"/>
            <color theme="1"/>
            <rFont val="Aptos Narrow"/>
            <family val="2"/>
            <scheme val="minor"/>
          </rPr>
          <t>Unknown User:
Quote not emailed</t>
        </r>
      </text>
    </comment>
    <comment ref="Q1261" authorId="0" shapeId="0" xr:uid="{79D2BC5C-CEA8-4A72-8CFC-4D8A6672D2AE}">
      <text>
        <r>
          <rPr>
            <sz val="11"/>
            <color theme="1"/>
            <rFont val="Aptos Narrow"/>
            <family val="2"/>
            <scheme val="minor"/>
          </rPr>
          <t>Unknown User:
Final invoice not raised</t>
        </r>
      </text>
    </comment>
    <comment ref="U1261" authorId="0" shapeId="0" xr:uid="{C17AF046-D0B0-48D7-BDB4-A09D77DACC57}">
      <text>
        <r>
          <rPr>
            <sz val="11"/>
            <color theme="1"/>
            <rFont val="Aptos Narrow"/>
            <family val="2"/>
            <scheme val="minor"/>
          </rPr>
          <t>Unknown User:
23/7-As per Alex's note "Previous invoices weren't taken off on the total and the system didn't match what she paid so I took what she said was left from her end. Please confirm if there is more needed to be taken. I tried my best
"</t>
        </r>
      </text>
    </comment>
    <comment ref="G1262" authorId="0" shapeId="0" xr:uid="{4B7D1D25-BEA0-4C02-992E-36260203AD84}">
      <text>
        <r>
          <rPr>
            <sz val="11"/>
            <color theme="1"/>
            <rFont val="Aptos Narrow"/>
            <family val="2"/>
            <scheme val="minor"/>
          </rPr>
          <t>Unknown User:
COMMERCIAL HIGH POWERED JETBLAST &amp; CCTV DRAIN CAMERA INSPECTION</t>
        </r>
      </text>
    </comment>
    <comment ref="P1262" authorId="0" shapeId="0" xr:uid="{C15BF59B-D5F1-4A72-A5D2-6D5C51581E88}">
      <text>
        <r>
          <rPr>
            <sz val="11"/>
            <color theme="1"/>
            <rFont val="Aptos Narrow"/>
            <family val="2"/>
            <scheme val="minor"/>
          </rPr>
          <t xml:space="preserve">Unknown User:
Quote not emailed
</t>
        </r>
      </text>
    </comment>
    <comment ref="G1263" authorId="0" shapeId="0" xr:uid="{323A42C8-898E-4AA4-8D6D-D7C11DE74848}">
      <text>
        <r>
          <rPr>
            <sz val="11"/>
            <color theme="1"/>
            <rFont val="Aptos Narrow"/>
            <family val="2"/>
            <scheme val="minor"/>
          </rPr>
          <t>Unknown User:
REPLACEMENT OF BASIN SET</t>
        </r>
      </text>
    </comment>
    <comment ref="P1263" authorId="0" shapeId="0" xr:uid="{37199BB6-8C90-452A-A6A2-2A1C77308BA5}">
      <text>
        <r>
          <rPr>
            <sz val="11"/>
            <color theme="1"/>
            <rFont val="Aptos Narrow"/>
            <family val="2"/>
            <scheme val="minor"/>
          </rPr>
          <t>Unknown User:
Quote not emailed</t>
        </r>
      </text>
    </comment>
    <comment ref="S1263" authorId="0" shapeId="0" xr:uid="{E6122A81-CED8-49BE-9B5A-A4C2A624632C}">
      <text>
        <r>
          <rPr>
            <sz val="11"/>
            <color theme="1"/>
            <rFont val="Aptos Narrow"/>
            <family val="2"/>
            <scheme val="minor"/>
          </rPr>
          <t>Unknown User:
Final invoice not emailed</t>
        </r>
      </text>
    </comment>
    <comment ref="V1263" authorId="0" shapeId="0" xr:uid="{28B78D42-F048-40D6-A1F9-0FDAAE6FC826}">
      <text>
        <r>
          <rPr>
            <sz val="11"/>
            <color theme="1"/>
            <rFont val="Aptos Narrow"/>
            <family val="2"/>
            <scheme val="minor"/>
          </rPr>
          <t>Unknown User:
Short receipt by $30</t>
        </r>
      </text>
    </comment>
    <comment ref="G1264" authorId="0" shapeId="0" xr:uid="{E0248902-50B3-449F-899E-6A31D79993C0}">
      <text>
        <r>
          <rPr>
            <sz val="11"/>
            <color theme="1"/>
            <rFont val="Aptos Narrow"/>
            <family val="2"/>
            <scheme val="minor"/>
          </rPr>
          <t xml:space="preserve">Unknown User:
SUPPLY &amp; INSTALLATION OF NEW TWIN ELEMENT HOT WATER UNIT (INTERNAL)
</t>
        </r>
      </text>
    </comment>
    <comment ref="L1264" authorId="0" shapeId="0" xr:uid="{EA1034E0-5464-4B17-8074-6276D6ACE09D}">
      <text>
        <r>
          <rPr>
            <sz val="11"/>
            <color theme="1"/>
            <rFont val="Aptos Narrow"/>
            <family val="2"/>
            <scheme val="minor"/>
          </rPr>
          <t>Unknown User:
Temp check pic not uploaded</t>
        </r>
      </text>
    </comment>
    <comment ref="N1264" authorId="0" shapeId="0" xr:uid="{B165F120-2780-4C01-B27B-EFBABB6CD0A2}">
      <text>
        <r>
          <rPr>
            <sz val="11"/>
            <color theme="1"/>
            <rFont val="Aptos Narrow"/>
            <family val="2"/>
            <scheme val="minor"/>
          </rPr>
          <t>Unknown User:
Quote not raised due to technical issue in ServiceTitan.</t>
        </r>
      </text>
    </comment>
    <comment ref="U1264" authorId="0" shapeId="0" xr:uid="{F79DF8ED-C633-4DAC-92F3-B3B6CFA8BF03}">
      <text>
        <r>
          <rPr>
            <sz val="11"/>
            <color theme="1"/>
            <rFont val="Aptos Narrow"/>
            <family val="2"/>
            <scheme val="minor"/>
          </rPr>
          <t>Unknown User:
14/8-As per Fiona's note "Customer has claimed that damage to the downstairs apartment has been caused by the water damaged from out workmanship. Charlie has advised that if damage is caused by us then we will definitely cover it however she must pay for her HWS first.
Customer expressed she thought the 10% deposit was the cost paid for the HSW and didn't realize she still owed more. She also advised she wanted a breakdown of cost to which she has now been told twice by different operators that we offer a fixed price quote and not a breakdown of labour and product or equipment."
14/8-As per Sadie's note "customer called to cancel appointment for today - refusing to pay outstanding balance, threatened with laws and regulations and is going to take action within 7 days if she doesn't receive a itemized invoice, advised customer we don't provide itemized invoices due to it being an upfront fixed price quote. customer has a written complaint which i have advised customer to send via email. email is being sent to info@tradesaus.com.au"
13/8-As per Mathew H's note "Karen said that she wasn’t aware of the price of the job, she was very surprised when I told her the balance owing over the phone, I said this would have been presented to you at the start of the job and you paid a deposit of it, she then said that she wanted an itemised invoice and I said we don’t do them as per the website we provide upfront fixed pricing for the work, she said yes I understand and I’m not saying that I’m not going to pay but I need to understand where all the money is going and also you need to sort out the damage caused by the leak to be downstairs of our property. This is difficult when Liam isn’t available at the moment so I said you will have to wait for a few days, for the meantime I sent her the invoice that shows what is outstanding. Adding appointment to follow up on Monday 18th"</t>
        </r>
      </text>
    </comment>
    <comment ref="G1265" authorId="0" shapeId="0" xr:uid="{3CE61B55-01F8-4399-A188-127D08CA4AA0}">
      <text>
        <r>
          <rPr>
            <sz val="11"/>
            <color theme="1"/>
            <rFont val="Aptos Narrow"/>
            <family val="2"/>
            <scheme val="minor"/>
          </rPr>
          <t>Unknown User:
WATER SERVICE RECTIFICATION (IN GROUND)
10% Seniors &amp; Pensioners Discount</t>
        </r>
      </text>
    </comment>
    <comment ref="P1265" authorId="0" shapeId="0" xr:uid="{D95F42B5-EC5A-4DFF-86AB-088FDBF205D8}">
      <text>
        <r>
          <rPr>
            <sz val="11"/>
            <color theme="1"/>
            <rFont val="Aptos Narrow"/>
            <family val="2"/>
            <scheme val="minor"/>
          </rPr>
          <t>Unknown User:
Quote not emailed</t>
        </r>
      </text>
    </comment>
    <comment ref="G1266" authorId="0" shapeId="0" xr:uid="{52E77B68-FE14-4FF3-A449-7C8CD721BFC0}">
      <text>
        <r>
          <rPr>
            <sz val="11"/>
            <color theme="1"/>
            <rFont val="Aptos Narrow"/>
            <family val="2"/>
            <scheme val="minor"/>
          </rPr>
          <t xml:space="preserve">Unknown User:
SUPPLY &amp; INSTALLATION OF GAS STORAGE HOT WATER SYSTEM (EXTERNAL)
CREDIT OF SEARCH &amp; INVESTIGATION </t>
        </r>
      </text>
    </comment>
    <comment ref="N1266" authorId="0" shapeId="0" xr:uid="{F6DD5932-13D4-4D2E-8A9E-F01E4A22F643}">
      <text>
        <r>
          <rPr>
            <sz val="11"/>
            <color theme="1"/>
            <rFont val="Aptos Narrow"/>
            <family val="2"/>
            <scheme val="minor"/>
          </rPr>
          <t>Unknown User:
Quote raised &amp; uploaded in Job #72903</t>
        </r>
      </text>
    </comment>
    <comment ref="P1266" authorId="0" shapeId="0" xr:uid="{439305D2-A15A-4E60-9CC0-33DAC3DEB72E}">
      <text>
        <r>
          <rPr>
            <sz val="11"/>
            <color theme="1"/>
            <rFont val="Aptos Narrow"/>
            <family val="2"/>
            <scheme val="minor"/>
          </rPr>
          <t>Unknown User:
Quote not emailed</t>
        </r>
      </text>
    </comment>
    <comment ref="T1266" authorId="0" shapeId="0" xr:uid="{FB449A3E-5B2D-47A1-8907-DA462DCE1C82}">
      <text>
        <r>
          <rPr>
            <sz val="11"/>
            <color theme="1"/>
            <rFont val="Aptos Narrow"/>
            <family val="2"/>
            <scheme val="minor"/>
          </rPr>
          <t>Unknown User:
0.5x for Tolga 
0.5x for Rylee W</t>
        </r>
      </text>
    </comment>
    <comment ref="V1266" authorId="0" shapeId="0" xr:uid="{28BDB721-76D1-4BD9-A2BF-72CA09A19DC2}">
      <text>
        <r>
          <rPr>
            <sz val="11"/>
            <color theme="1"/>
            <rFont val="Aptos Narrow"/>
            <family val="2"/>
            <scheme val="minor"/>
          </rPr>
          <t>Unknown User:
3/9-EFT received for $608
3/9-PP (ZIP) settlement made for 5478.30</t>
        </r>
      </text>
    </comment>
    <comment ref="D1267" authorId="0" shapeId="0" xr:uid="{9F32AD80-6A3E-471B-93C8-0517504A7B47}">
      <text>
        <r>
          <rPr>
            <sz val="11"/>
            <color theme="1"/>
            <rFont val="Aptos Narrow"/>
            <family val="2"/>
            <scheme val="minor"/>
          </rPr>
          <t>Unknown User:
Previously under "Unsuccessful jobs" in Bradley's sheet on 2/9. Now quote raised by Liam on 11/9</t>
        </r>
      </text>
    </comment>
    <comment ref="G1267" authorId="0" shapeId="0" xr:uid="{B465A4F3-6A65-4753-9D15-AF5DAB47850B}">
      <text>
        <r>
          <rPr>
            <sz val="11"/>
            <color theme="1"/>
            <rFont val="Aptos Narrow"/>
            <family val="2"/>
            <scheme val="minor"/>
          </rPr>
          <t>Unknown User:
COMPLETE SERVICE OF WALL TOP TAPS ASSEMBLY</t>
        </r>
      </text>
    </comment>
    <comment ref="P1267" authorId="0" shapeId="0" xr:uid="{A1C51DFF-12A5-4C85-8F1F-61D7B2723681}">
      <text>
        <r>
          <rPr>
            <sz val="11"/>
            <color theme="1"/>
            <rFont val="Aptos Narrow"/>
            <family val="2"/>
            <scheme val="minor"/>
          </rPr>
          <t>Unknown User:
Quote not emailed</t>
        </r>
      </text>
    </comment>
    <comment ref="G1268" authorId="0" shapeId="0" xr:uid="{2B2D5CAD-9BCB-4446-943F-967C76C088B7}">
      <text>
        <r>
          <rPr>
            <sz val="11"/>
            <color theme="1"/>
            <rFont val="Aptos Narrow"/>
            <family val="2"/>
            <scheme val="minor"/>
          </rPr>
          <t>Unknown User:
SUPPLY &amp; INSTALLATION OF GAS STORAGE HOT WATER SYSTEM (EXTERNAL)</t>
        </r>
      </text>
    </comment>
    <comment ref="P1268" authorId="0" shapeId="0" xr:uid="{C6BCC58D-3BA3-405B-AF46-B110611EC255}">
      <text>
        <r>
          <rPr>
            <sz val="11"/>
            <color theme="1"/>
            <rFont val="Aptos Narrow"/>
            <family val="2"/>
            <scheme val="minor"/>
          </rPr>
          <t>Unknown User:
Quote not emailed</t>
        </r>
      </text>
    </comment>
    <comment ref="Q1268" authorId="0" shapeId="0" xr:uid="{BEBF0DC0-89DD-438D-8A44-75AEBC1365DA}">
      <text>
        <r>
          <rPr>
            <sz val="11"/>
            <color theme="1"/>
            <rFont val="Aptos Narrow"/>
            <family val="2"/>
            <scheme val="minor"/>
          </rPr>
          <t>Unknown User:
Updated invoice for progress payment of $600 is not added &amp; raised as an invoice.</t>
        </r>
      </text>
    </comment>
    <comment ref="U1268" authorId="0" shapeId="0" xr:uid="{22F7AAEA-F253-4327-8DD1-914BD7135431}">
      <text>
        <r>
          <rPr>
            <sz val="11"/>
            <color theme="1"/>
            <rFont val="Aptos Narrow"/>
            <family val="2"/>
            <scheme val="minor"/>
          </rPr>
          <t>Unknown User:
22/9-Daniel considered total amount in Smartpay &amp; applied $2541.25 whereas only "Purchase value" (excl surcharge) is to be considered. That is $2500</t>
        </r>
      </text>
    </comment>
    <comment ref="G1269" authorId="0" shapeId="0" xr:uid="{C32D0620-8F60-4FB5-9EC7-EEF311ECC16C}">
      <text>
        <r>
          <rPr>
            <sz val="11"/>
            <color theme="1"/>
            <rFont val="Aptos Narrow"/>
            <family val="2"/>
            <scheme val="minor"/>
          </rPr>
          <t>Unknown User:
SUPPLY &amp; INSTALLATION OF NEW CLOSE COUPLED TOILET SUITE</t>
        </r>
      </text>
    </comment>
    <comment ref="P1269" authorId="0" shapeId="0" xr:uid="{6C83954B-15EA-4839-B359-D4FB15294A20}">
      <text>
        <r>
          <rPr>
            <sz val="11"/>
            <color theme="1"/>
            <rFont val="Aptos Narrow"/>
            <family val="2"/>
            <scheme val="minor"/>
          </rPr>
          <t>Unknown User:
Quote not emailed</t>
        </r>
      </text>
    </comment>
    <comment ref="G1273" authorId="0" shapeId="0" xr:uid="{216D9DD4-99A1-43F3-9402-254477AEB474}">
      <text>
        <r>
          <rPr>
            <sz val="11"/>
            <color theme="1"/>
            <rFont val="Aptos Narrow"/>
            <family val="2"/>
            <scheme val="minor"/>
          </rPr>
          <t xml:space="preserve">Unknown User:
INSTALLATION OF DISHWASHER [SAME LOCATION] (CUSTOMER SUPPLIED)
</t>
        </r>
      </text>
    </comment>
    <comment ref="P1273" authorId="0" shapeId="0" xr:uid="{EF52612A-FB76-42F6-ADF4-8DD127369040}">
      <text>
        <r>
          <rPr>
            <sz val="11"/>
            <color theme="1"/>
            <rFont val="Aptos Narrow"/>
            <family val="2"/>
            <scheme val="minor"/>
          </rPr>
          <t>Unknown User:
Quote not emailed</t>
        </r>
      </text>
    </comment>
    <comment ref="G1274" authorId="0" shapeId="0" xr:uid="{3C31A471-4D5F-4527-A3DE-1A0A70650F0E}">
      <text>
        <r>
          <rPr>
            <sz val="11"/>
            <color theme="1"/>
            <rFont val="Aptos Narrow"/>
            <family val="2"/>
            <scheme val="minor"/>
          </rPr>
          <t>Unknown User:
REPLACEMENT OF TIMING TAP</t>
        </r>
      </text>
    </comment>
    <comment ref="O1274" authorId="0" shapeId="0" xr:uid="{092FDF46-A9F6-4574-8826-77BE0DD6402D}">
      <text>
        <r>
          <rPr>
            <sz val="11"/>
            <color theme="1"/>
            <rFont val="Aptos Narrow"/>
            <family val="2"/>
            <scheme val="minor"/>
          </rPr>
          <t>Unknown User:
Quote not signed</t>
        </r>
      </text>
    </comment>
    <comment ref="P1274" authorId="0" shapeId="0" xr:uid="{A123610C-22EE-45A7-A1A6-6CF0619765E4}">
      <text>
        <r>
          <rPr>
            <sz val="11"/>
            <color theme="1"/>
            <rFont val="Aptos Narrow"/>
            <family val="2"/>
            <scheme val="minor"/>
          </rPr>
          <t>Unknown User:
Quote not emailed</t>
        </r>
      </text>
    </comment>
    <comment ref="G1275" authorId="0" shapeId="0" xr:uid="{F93928D8-9E8F-4B20-9A6A-1EF347731F90}">
      <text>
        <r>
          <rPr>
            <sz val="11"/>
            <color theme="1"/>
            <rFont val="Aptos Narrow"/>
            <family val="2"/>
            <scheme val="minor"/>
          </rPr>
          <t>Unknown User:
SERVICE &amp; PUMP OUT OF SEPTIC TANK</t>
        </r>
      </text>
    </comment>
    <comment ref="P1275" authorId="0" shapeId="0" xr:uid="{26F236A6-45DD-4F34-9371-3D396CBEF1FB}">
      <text>
        <r>
          <rPr>
            <sz val="11"/>
            <color theme="1"/>
            <rFont val="Aptos Narrow"/>
            <family val="2"/>
            <scheme val="minor"/>
          </rPr>
          <t>Unknown User:
Quote not emailed</t>
        </r>
      </text>
    </comment>
    <comment ref="G1276" authorId="0" shapeId="0" xr:uid="{AEFB13F6-2BB8-4740-B5DD-83045184185B}">
      <text>
        <r>
          <rPr>
            <sz val="11"/>
            <color theme="1"/>
            <rFont val="Aptos Narrow"/>
            <family val="2"/>
            <scheme val="minor"/>
          </rPr>
          <t xml:space="preserve">Unknown User:
REPLACEMENT OF SEWER BOUNDARY TRAP (UNDER CONCRETE)
CREDIT HIGH POWERED JETBLAST &amp; CCTV CAMERA </t>
        </r>
      </text>
    </comment>
    <comment ref="N1276" authorId="0" shapeId="0" xr:uid="{343576B9-6841-4AFF-9C93-F5714863FA3B}">
      <text>
        <r>
          <rPr>
            <sz val="11"/>
            <color theme="1"/>
            <rFont val="Aptos Narrow"/>
            <family val="2"/>
            <scheme val="minor"/>
          </rPr>
          <t>Unknown User:
Quote raised in Job #73204</t>
        </r>
      </text>
    </comment>
    <comment ref="P1276" authorId="0" shapeId="0" xr:uid="{BAAEB5EF-4522-48CF-9D1C-4D21E2D5BBA8}">
      <text>
        <r>
          <rPr>
            <sz val="11"/>
            <color theme="1"/>
            <rFont val="Aptos Narrow"/>
            <family val="2"/>
            <scheme val="minor"/>
          </rPr>
          <t>Unknown User:
Quote not emailed</t>
        </r>
      </text>
    </comment>
    <comment ref="G1277" authorId="0" shapeId="0" xr:uid="{30407676-9259-4647-B221-7AE0F8E2BD4D}">
      <text>
        <r>
          <rPr>
            <sz val="11"/>
            <color theme="1"/>
            <rFont val="Aptos Narrow"/>
            <family val="2"/>
            <scheme val="minor"/>
          </rPr>
          <t xml:space="preserve">Unknown User:
RESEAL OF SHOWER
</t>
        </r>
      </text>
    </comment>
    <comment ref="K1277" authorId="0" shapeId="0" xr:uid="{F1FC2988-FCC5-42BF-8BED-A915FDFBDCBC}">
      <text>
        <r>
          <rPr>
            <sz val="11"/>
            <color theme="1"/>
            <rFont val="Aptos Narrow"/>
            <family val="2"/>
            <scheme val="minor"/>
          </rPr>
          <t>Unknown User:
Previous job #73357 pics considered</t>
        </r>
      </text>
    </comment>
    <comment ref="N1277" authorId="0" shapeId="0" xr:uid="{D6B7ACF6-8B51-444D-85B9-01E26B03A48C}">
      <text>
        <r>
          <rPr>
            <sz val="11"/>
            <color theme="1"/>
            <rFont val="Aptos Narrow"/>
            <family val="2"/>
            <scheme val="minor"/>
          </rPr>
          <t>Unknown User:
Quote raised in Job #73357</t>
        </r>
      </text>
    </comment>
    <comment ref="P1277" authorId="0" shapeId="0" xr:uid="{107C33C1-05AA-42C8-9064-CBD374C9D96D}">
      <text>
        <r>
          <rPr>
            <sz val="11"/>
            <color theme="1"/>
            <rFont val="Aptos Narrow"/>
            <family val="2"/>
            <scheme val="minor"/>
          </rPr>
          <t>Unknown User:
Quote not emailed</t>
        </r>
      </text>
    </comment>
    <comment ref="G1281" authorId="0" shapeId="0" xr:uid="{B9141C18-5835-4AF5-BFFE-C543BDD76949}">
      <text>
        <r>
          <rPr>
            <sz val="11"/>
            <color theme="1"/>
            <rFont val="Aptos Narrow"/>
            <family val="2"/>
            <scheme val="minor"/>
          </rPr>
          <t xml:space="preserve">Unknown User:
FLOOD, DYE, PRESSURE TEST (WET AREA)
</t>
        </r>
      </text>
    </comment>
    <comment ref="G1282" authorId="0" shapeId="0" xr:uid="{7AAB1AE0-93FC-444E-8EE5-233250F826D0}">
      <text>
        <r>
          <rPr>
            <sz val="11"/>
            <color theme="1"/>
            <rFont val="Aptos Narrow"/>
            <family val="2"/>
            <scheme val="minor"/>
          </rPr>
          <t xml:space="preserve">Unknown User:
COMPLETE STORM WATER GUTTER RE SPOUT - STORM WATER SERVICE DOWN PIPES  
</t>
        </r>
      </text>
    </comment>
    <comment ref="G1283" authorId="0" shapeId="0" xr:uid="{AA7A4C53-E52B-4301-9D24-1C196109E8EC}">
      <text>
        <r>
          <rPr>
            <sz val="11"/>
            <color theme="1"/>
            <rFont val="Aptos Narrow"/>
            <family val="2"/>
            <scheme val="minor"/>
          </rPr>
          <t>Unknown User:
WALL TOP TAPWARE TO MIXER CONVERSION</t>
        </r>
      </text>
    </comment>
    <comment ref="G1284" authorId="0" shapeId="0" xr:uid="{50844E41-3267-4DB7-BBFE-247EE6AB3628}">
      <text>
        <r>
          <rPr>
            <sz val="11"/>
            <color theme="1"/>
            <rFont val="Aptos Narrow"/>
            <family val="2"/>
            <scheme val="minor"/>
          </rPr>
          <t xml:space="preserve">Unknown User:
SHOWER RENOVATION.   DRAIN RELOCATION AND AND BREECH TO MIXER CONVERSION 
</t>
        </r>
      </text>
    </comment>
    <comment ref="G1285" authorId="0" shapeId="0" xr:uid="{35A89A09-B7FB-4705-BB6D-B6B043729C8E}">
      <text>
        <r>
          <rPr>
            <sz val="11"/>
            <color theme="1"/>
            <rFont val="Aptos Narrow"/>
            <family val="2"/>
            <scheme val="minor"/>
          </rPr>
          <t>Unknown User:
SUPPLY &amp; INSTALLATION OF NEW WASHING MACHINE
10% Seniors &amp; Pensioners Discount</t>
        </r>
      </text>
    </comment>
    <comment ref="G1286" authorId="0" shapeId="0" xr:uid="{535826A1-DB6B-4A09-BF30-3C1DF595D924}">
      <text>
        <r>
          <rPr>
            <sz val="11"/>
            <color theme="1"/>
            <rFont val="Aptos Narrow"/>
            <family val="2"/>
            <scheme val="minor"/>
          </rPr>
          <t>Unknown User:
HIGH POWERED SUCTION &amp; ACID TREATMENT
10% Seniors &amp; Pensioners Discount</t>
        </r>
      </text>
    </comment>
    <comment ref="G1287" authorId="0" shapeId="0" xr:uid="{8B1B63DB-391B-494A-AC26-B8A62827E4E7}">
      <text>
        <r>
          <rPr>
            <sz val="11"/>
            <color theme="1"/>
            <rFont val="Aptos Narrow"/>
            <family val="2"/>
            <scheme val="minor"/>
          </rPr>
          <t>Unknown User:
SEWER STACK REPAIR UP TO 2M
CREDIT HIGH POWERED JETBLAST &amp; CCTV CAMERA</t>
        </r>
      </text>
    </comment>
    <comment ref="M1287" authorId="0" shapeId="0" xr:uid="{05881AB8-D9E4-47CF-B258-15308D868CE9}">
      <text>
        <r>
          <rPr>
            <sz val="11"/>
            <color theme="1"/>
            <rFont val="Aptos Narrow"/>
            <family val="2"/>
            <scheme val="minor"/>
          </rPr>
          <t>Unknown User:
Smartpay receipt of $1400 not uploaded by plumber.
Uploaded by Modoras team.</t>
        </r>
      </text>
    </comment>
    <comment ref="P1287" authorId="0" shapeId="0" xr:uid="{14AB2E6E-420D-4A02-8792-A2359D0DB58D}">
      <text>
        <r>
          <rPr>
            <sz val="11"/>
            <color theme="1"/>
            <rFont val="Aptos Narrow"/>
            <family val="2"/>
            <scheme val="minor"/>
          </rPr>
          <t>Unknown User:
Quote not emailed</t>
        </r>
      </text>
    </comment>
    <comment ref="G1288" authorId="0" shapeId="0" xr:uid="{999B437C-6E45-4406-9F7C-D5868E900C97}">
      <text>
        <r>
          <rPr>
            <sz val="11"/>
            <color theme="1"/>
            <rFont val="Aptos Narrow"/>
            <family val="2"/>
            <scheme val="minor"/>
          </rPr>
          <t>Unknown User:
COMPLETE SERVICE OF TOILET CISTERN</t>
        </r>
      </text>
    </comment>
    <comment ref="G1289" authorId="0" shapeId="0" xr:uid="{AE674405-C2DF-473B-BBB8-7FA7E0D52D49}">
      <text>
        <r>
          <rPr>
            <sz val="11"/>
            <color theme="1"/>
            <rFont val="Aptos Narrow"/>
            <family val="2"/>
            <scheme val="minor"/>
          </rPr>
          <t>Unknown User:
REPLACEMENT OF BOTTOM INLET CISTERN FILLING VALVE</t>
        </r>
      </text>
    </comment>
    <comment ref="G1290" authorId="0" shapeId="0" xr:uid="{5D5B0507-4EDD-4D31-9427-E8873CB9EFD2}">
      <text>
        <r>
          <rPr>
            <sz val="11"/>
            <color theme="1"/>
            <rFont val="Aptos Narrow"/>
            <family val="2"/>
            <scheme val="minor"/>
          </rPr>
          <t>Unknown User:
REPLACEMENT OF SEWER BOUNDARY TRAP (UNDER CONCRETE)
CREDIT HIGH POWERED JETBLAST &amp; CCTV CAMERA</t>
        </r>
      </text>
    </comment>
    <comment ref="K1290" authorId="0" shapeId="0" xr:uid="{204581F0-F8BD-48B5-B73B-32B202AAA9F8}">
      <text>
        <r>
          <rPr>
            <sz val="11"/>
            <color theme="1"/>
            <rFont val="Aptos Narrow"/>
            <family val="2"/>
            <scheme val="minor"/>
          </rPr>
          <t>Unknown User:
Initial job pics considered</t>
        </r>
      </text>
    </comment>
    <comment ref="G1291" authorId="0" shapeId="0" xr:uid="{F4EF8A54-BCE5-487D-B8D1-3A2AD6840D25}">
      <text>
        <r>
          <rPr>
            <sz val="11"/>
            <color theme="1"/>
            <rFont val="Aptos Narrow"/>
            <family val="2"/>
            <scheme val="minor"/>
          </rPr>
          <t>Unknown User:
HIGH POWERED JET BLAST &amp; CCTV CAMERA INSPECTION (GAIN ACCESS FROM VENT)</t>
        </r>
      </text>
    </comment>
    <comment ref="G1292" authorId="0" shapeId="0" xr:uid="{167428BA-4EF4-4225-8B13-D04D69A85500}">
      <text>
        <r>
          <rPr>
            <sz val="11"/>
            <color theme="1"/>
            <rFont val="Aptos Narrow"/>
            <family val="2"/>
            <scheme val="minor"/>
          </rPr>
          <t xml:space="preserve">Unknown User:
TIGHTEN KITCHEN MIXER
</t>
        </r>
      </text>
    </comment>
    <comment ref="G1293" authorId="0" shapeId="0" xr:uid="{86963F89-AE38-449C-A450-F95B8D52871F}">
      <text>
        <r>
          <rPr>
            <sz val="11"/>
            <color theme="1"/>
            <rFont val="Aptos Narrow"/>
            <family val="2"/>
            <scheme val="minor"/>
          </rPr>
          <t>Unknown User:
INSTALLATION OF GAS COOKTOP [SAME LOCATION] (CUSTOMER SUPPLIED)
10% Seniors &amp; Pensioners Discount</t>
        </r>
      </text>
    </comment>
    <comment ref="G1294" authorId="0" shapeId="0" xr:uid="{D20C9085-F107-4FB7-99C5-A71537C9C3E5}">
      <text>
        <r>
          <rPr>
            <sz val="11"/>
            <color theme="1"/>
            <rFont val="Aptos Narrow"/>
            <family val="2"/>
            <scheme val="minor"/>
          </rPr>
          <t xml:space="preserve">Unknown User:
REPLACEMENT OF EXISTING OVERFLOW GULLY &amp; SECTION OF MAIN SEWER SERVICE
</t>
        </r>
      </text>
    </comment>
    <comment ref="G1296" authorId="0" shapeId="0" xr:uid="{A3B10C7A-504F-4186-ABEB-2EA344FEA649}">
      <text>
        <r>
          <rPr>
            <sz val="11"/>
            <color theme="1"/>
            <rFont val="Aptos Narrow"/>
            <family val="2"/>
            <scheme val="minor"/>
          </rPr>
          <t>Unknown User:
SUPPLY &amp; INSTALLATION OF NEW GAS BAYONET
10% Good Will Discount</t>
        </r>
      </text>
    </comment>
    <comment ref="G1329" authorId="0" shapeId="0" xr:uid="{292A2931-FB75-40B8-81C6-94F1F59B088F}">
      <text>
        <r>
          <rPr>
            <sz val="11"/>
            <color theme="1"/>
            <rFont val="Aptos Narrow"/>
            <family val="2"/>
            <scheme val="minor"/>
          </rPr>
          <t>Unknown User:
SEARCH AND INVESTIGATION OF ELECTRIC STORAGE HOT WATER SYSTEM</t>
        </r>
      </text>
    </comment>
    <comment ref="P1329" authorId="0" shapeId="0" xr:uid="{2DB50827-BD05-4626-AF8D-15A4CE7361FB}">
      <text>
        <r>
          <rPr>
            <sz val="11"/>
            <color theme="1"/>
            <rFont val="Aptos Narrow"/>
            <family val="2"/>
            <scheme val="minor"/>
          </rPr>
          <t>Unknown User:
Quote not emailed</t>
        </r>
      </text>
    </comment>
    <comment ref="Q1329" authorId="0" shapeId="0" xr:uid="{F27E754D-A43C-4D7A-A0DB-6329B3D0EC5D}">
      <text>
        <r>
          <rPr>
            <sz val="11"/>
            <color theme="1"/>
            <rFont val="Aptos Narrow"/>
            <family val="2"/>
            <scheme val="minor"/>
          </rPr>
          <t>Unknown User:
Payment of $639 pertaining to Job #74387 is applied wrongly by plumber.
Correct invoice to be raised.</t>
        </r>
      </text>
    </comment>
    <comment ref="G1334" authorId="0" shapeId="0" xr:uid="{17E37252-074D-4504-883F-58C2B0FD1FCB}">
      <text>
        <r>
          <rPr>
            <sz val="11"/>
            <color theme="1"/>
            <rFont val="Aptos Narrow"/>
            <family val="2"/>
            <scheme val="minor"/>
          </rPr>
          <t>Unknown User:
SUPPLY &amp; INSTALLATION OF NEW LINK SUITE</t>
        </r>
      </text>
    </comment>
    <comment ref="P1334" authorId="0" shapeId="0" xr:uid="{49078D37-A564-4FDA-B448-B64B57174598}">
      <text>
        <r>
          <rPr>
            <sz val="11"/>
            <color theme="1"/>
            <rFont val="Aptos Narrow"/>
            <family val="2"/>
            <scheme val="minor"/>
          </rPr>
          <t>Unknown User:
Quote not emailed</t>
        </r>
      </text>
    </comment>
    <comment ref="Q1334" authorId="0" shapeId="0" xr:uid="{3362A594-4B1A-4B9F-BE1D-0FE0E3CA5756}">
      <text>
        <r>
          <rPr>
            <sz val="11"/>
            <color theme="1"/>
            <rFont val="Aptos Narrow"/>
            <family val="2"/>
            <scheme val="minor"/>
          </rPr>
          <t>Unknown User:
Progress payment of $287 not updated &amp; emailed</t>
        </r>
      </text>
    </comment>
    <comment ref="G1338" authorId="0" shapeId="0" xr:uid="{D69DA2AB-1034-426D-85E9-38C8F9BEEB1E}">
      <text>
        <r>
          <rPr>
            <sz val="11"/>
            <color theme="1"/>
            <rFont val="Aptos Narrow"/>
            <family val="2"/>
            <scheme val="minor"/>
          </rPr>
          <t>Unknown User:
SUPPLY &amp; INSTALLATION OF NEW SINGLE ELEMENT HOT WATER UNIT – INTERNAL</t>
        </r>
      </text>
    </comment>
    <comment ref="P1338" authorId="0" shapeId="0" xr:uid="{FD04522E-7F48-4E36-AD5A-C3E9FFBF01A0}">
      <text>
        <r>
          <rPr>
            <sz val="11"/>
            <color theme="1"/>
            <rFont val="Aptos Narrow"/>
            <family val="2"/>
            <scheme val="minor"/>
          </rPr>
          <t>Unknown User:
Quote not emailed</t>
        </r>
      </text>
    </comment>
    <comment ref="G1339" authorId="0" shapeId="0" xr:uid="{F5F9CF5D-D497-4A58-A986-950EF2664E20}">
      <text>
        <r>
          <rPr>
            <sz val="11"/>
            <color theme="1"/>
            <rFont val="Aptos Narrow"/>
            <family val="2"/>
            <scheme val="minor"/>
          </rPr>
          <t>Unknown User:
SPECIALIST LEAK DETECTION (WATER SERVICE)</t>
        </r>
      </text>
    </comment>
    <comment ref="P1339" authorId="0" shapeId="0" xr:uid="{2AD4452C-FA31-4223-86C9-161ABF2D7696}">
      <text>
        <r>
          <rPr>
            <sz val="11"/>
            <color theme="1"/>
            <rFont val="Aptos Narrow"/>
            <family val="2"/>
            <scheme val="minor"/>
          </rPr>
          <t>Unknown User:
Quote not emailed</t>
        </r>
      </text>
    </comment>
    <comment ref="G1340" authorId="0" shapeId="0" xr:uid="{D5C72F4E-5142-4703-9246-7D8CC863AC05}">
      <text>
        <r>
          <rPr>
            <sz val="11"/>
            <color theme="1"/>
            <rFont val="Aptos Narrow"/>
            <family val="2"/>
            <scheme val="minor"/>
          </rPr>
          <t>Unknown User:
SPECIALIST LEAK DETECTION (WATER SERVICE)</t>
        </r>
      </text>
    </comment>
    <comment ref="P1340" authorId="0" shapeId="0" xr:uid="{E01558E9-55F0-4ED8-B481-1EA28A46C69B}">
      <text>
        <r>
          <rPr>
            <sz val="11"/>
            <color theme="1"/>
            <rFont val="Aptos Narrow"/>
            <family val="2"/>
            <scheme val="minor"/>
          </rPr>
          <t>Unknown User:
Quote not emailed</t>
        </r>
      </text>
    </comment>
    <comment ref="V1340" authorId="0" shapeId="0" xr:uid="{B9E7BBD5-A588-43A8-ACD9-58C4EE52D3F2}">
      <text>
        <r>
          <rPr>
            <sz val="11"/>
            <color theme="1"/>
            <rFont val="Aptos Narrow"/>
            <family val="2"/>
            <scheme val="minor"/>
          </rPr>
          <t>Unknown User:
13/10-Received $1843.10</t>
        </r>
      </text>
    </comment>
    <comment ref="G1344" authorId="0" shapeId="0" xr:uid="{88EB76F9-7EAA-41E4-B58D-4D636B3BB4BD}">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1344" authorId="0" shapeId="0" xr:uid="{F95EBABE-7BA2-423C-B505-04C8EC550BB1}">
      <text>
        <r>
          <rPr>
            <sz val="11"/>
            <color theme="1"/>
            <rFont val="Aptos Narrow"/>
            <family val="2"/>
            <scheme val="minor"/>
          </rPr>
          <t>Unknown User:
Quote not Emailed</t>
        </r>
      </text>
    </comment>
    <comment ref="V1344" authorId="0" shapeId="0" xr:uid="{E9F30E4B-A9A5-478A-A4BF-00FEEAC0BAA2}">
      <text>
        <r>
          <rPr>
            <sz val="11"/>
            <color theme="1"/>
            <rFont val="Aptos Narrow"/>
            <family val="2"/>
            <scheme val="minor"/>
          </rPr>
          <t xml:space="preserve">Unknown User:
11/07 Received $200 EFT
</t>
        </r>
      </text>
    </comment>
    <comment ref="G1345" authorId="0" shapeId="0" xr:uid="{D2856DDA-61FA-4035-B524-DDA978ECD60F}">
      <text>
        <r>
          <rPr>
            <sz val="11"/>
            <color theme="1"/>
            <rFont val="Aptos Narrow"/>
            <family val="2"/>
            <scheme val="minor"/>
          </rPr>
          <t xml:space="preserve">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
CONTINUATION OF SERVICES </t>
        </r>
      </text>
    </comment>
    <comment ref="N1345" authorId="0" shapeId="0" xr:uid="{CAC643DA-EB13-4657-BF68-7DDDF6DFD586}">
      <text>
        <r>
          <rPr>
            <sz val="11"/>
            <color theme="1"/>
            <rFont val="Aptos Narrow"/>
            <family val="2"/>
            <scheme val="minor"/>
          </rPr>
          <t>Unknown User:
Quote raised in job #71681</t>
        </r>
      </text>
    </comment>
    <comment ref="P1345" authorId="0" shapeId="0" xr:uid="{996DF072-ECB4-40DC-9F62-4124936957D0}">
      <text>
        <r>
          <rPr>
            <sz val="11"/>
            <color theme="1"/>
            <rFont val="Aptos Narrow"/>
            <family val="2"/>
            <scheme val="minor"/>
          </rPr>
          <t>Unknown User:
Quote not emailed</t>
        </r>
      </text>
    </comment>
    <comment ref="Q1345" authorId="0" shapeId="0" xr:uid="{608C41AB-646C-4520-ABAD-15D455151D89}">
      <text>
        <r>
          <rPr>
            <sz val="11"/>
            <color theme="1"/>
            <rFont val="Aptos Narrow"/>
            <family val="2"/>
            <scheme val="minor"/>
          </rPr>
          <t>Unknown User:
Final invoice not raised</t>
        </r>
      </text>
    </comment>
    <comment ref="U1345" authorId="0" shapeId="0" xr:uid="{2A254345-DB3D-48C4-83D4-8FBE728AC157}">
      <text>
        <r>
          <rPr>
            <sz val="11"/>
            <color theme="1"/>
            <rFont val="Aptos Narrow"/>
            <family val="2"/>
            <scheme val="minor"/>
          </rPr>
          <t>Unknown User:
23/7-As per Alex's note "Previous invoices weren't taken off on the total and the system didn't match what she paid so I took what she said was left from her end. Please confirm if there is more needed to be taken. I tried my best
"</t>
        </r>
      </text>
    </comment>
    <comment ref="G1346" authorId="0" shapeId="0" xr:uid="{518AC33F-2063-4F6B-A584-4F806733EF5E}">
      <text>
        <r>
          <rPr>
            <sz val="11"/>
            <color theme="1"/>
            <rFont val="Aptos Narrow"/>
            <family val="2"/>
            <scheme val="minor"/>
          </rPr>
          <t>Unknown User:
COMMERCIAL HIGH POWERED JETBLAST &amp; CCTV DRAIN CAMERA INSPECTION</t>
        </r>
      </text>
    </comment>
    <comment ref="P1346" authorId="0" shapeId="0" xr:uid="{F19211A0-655F-45A3-AA0E-B2101AE6D533}">
      <text>
        <r>
          <rPr>
            <sz val="11"/>
            <color theme="1"/>
            <rFont val="Aptos Narrow"/>
            <family val="2"/>
            <scheme val="minor"/>
          </rPr>
          <t xml:space="preserve">Unknown User:
Quote not emailed
</t>
        </r>
      </text>
    </comment>
    <comment ref="G1347" authorId="0" shapeId="0" xr:uid="{647ED095-EF37-405B-8BB7-AF1DDFBDDF6E}">
      <text>
        <r>
          <rPr>
            <sz val="11"/>
            <color theme="1"/>
            <rFont val="Aptos Narrow"/>
            <family val="2"/>
            <scheme val="minor"/>
          </rPr>
          <t>Unknown User:
REPLACEMENT OF BASIN SET</t>
        </r>
      </text>
    </comment>
    <comment ref="P1347" authorId="0" shapeId="0" xr:uid="{097D2849-2CD9-4DE4-8A9B-C80C287D9260}">
      <text>
        <r>
          <rPr>
            <sz val="11"/>
            <color theme="1"/>
            <rFont val="Aptos Narrow"/>
            <family val="2"/>
            <scheme val="minor"/>
          </rPr>
          <t>Unknown User:
Quote not emailed</t>
        </r>
      </text>
    </comment>
    <comment ref="S1347" authorId="0" shapeId="0" xr:uid="{7ECDF5E4-999E-4216-9240-E8D3A97263B5}">
      <text>
        <r>
          <rPr>
            <sz val="11"/>
            <color theme="1"/>
            <rFont val="Aptos Narrow"/>
            <family val="2"/>
            <scheme val="minor"/>
          </rPr>
          <t>Unknown User:
Final invoice not emailed</t>
        </r>
      </text>
    </comment>
    <comment ref="V1347" authorId="0" shapeId="0" xr:uid="{FACD3479-FFBE-40CB-A16A-D092D2685F12}">
      <text>
        <r>
          <rPr>
            <sz val="11"/>
            <color theme="1"/>
            <rFont val="Aptos Narrow"/>
            <family val="2"/>
            <scheme val="minor"/>
          </rPr>
          <t>Unknown User:
Short receipt by $30</t>
        </r>
      </text>
    </comment>
    <comment ref="G1348" authorId="0" shapeId="0" xr:uid="{36075339-1E19-4DE1-B391-4211E83C554E}">
      <text>
        <r>
          <rPr>
            <sz val="11"/>
            <color theme="1"/>
            <rFont val="Aptos Narrow"/>
            <family val="2"/>
            <scheme val="minor"/>
          </rPr>
          <t xml:space="preserve">Unknown User:
SUPPLY &amp; INSTALLATION OF NEW TWIN ELEMENT HOT WATER UNIT (INTERNAL)
</t>
        </r>
      </text>
    </comment>
    <comment ref="L1348" authorId="0" shapeId="0" xr:uid="{D673B57F-E20D-4ACD-9919-8AE8C1895D6B}">
      <text>
        <r>
          <rPr>
            <sz val="11"/>
            <color theme="1"/>
            <rFont val="Aptos Narrow"/>
            <family val="2"/>
            <scheme val="minor"/>
          </rPr>
          <t>Unknown User:
Temp check pic not uploaded</t>
        </r>
      </text>
    </comment>
    <comment ref="N1348" authorId="0" shapeId="0" xr:uid="{D7E6BEAA-59FA-4AED-9ABD-B6470D20D5B1}">
      <text>
        <r>
          <rPr>
            <sz val="11"/>
            <color theme="1"/>
            <rFont val="Aptos Narrow"/>
            <family val="2"/>
            <scheme val="minor"/>
          </rPr>
          <t>Unknown User:
Quote not raised due to technical issue in ServiceTitan.</t>
        </r>
      </text>
    </comment>
    <comment ref="U1348" authorId="0" shapeId="0" xr:uid="{E340B9B0-FED6-48D9-9172-E266ABF04BC2}">
      <text>
        <r>
          <rPr>
            <sz val="11"/>
            <color theme="1"/>
            <rFont val="Aptos Narrow"/>
            <family val="2"/>
            <scheme val="minor"/>
          </rPr>
          <t>Unknown User:
14/8-As per Fiona's note "Customer has claimed that damage to the downstairs apartment has been caused by the water damaged from out workmanship. Charlie has advised that if damage is caused by us then we will definitely cover it however she must pay for her HWS first.
Customer expressed she thought the 10% deposit was the cost paid for the HSW and didn't realize she still owed more. She also advised she wanted a breakdown of cost to which she has now been told twice by different operators that we offer a fixed price quote and not a breakdown of labour and product or equipment."
14/8-As per Sadie's note "customer called to cancel appointment for today - refusing to pay outstanding balance, threatened with laws and regulations and is going to take action within 7 days if she doesn't receive a itemized invoice, advised customer we don't provide itemized invoices due to it being an upfront fixed price quote. customer has a written complaint which i have advised customer to send via email. email is being sent to info@tradesaus.com.au"
13/8-As per Mathew H's note "Karen said that she wasn’t aware of the price of the job, she was very surprised when I told her the balance owing over the phone, I said this would have been presented to you at the start of the job and you paid a deposit of it, she then said that she wanted an itemised invoice and I said we don’t do them as per the website we provide upfront fixed pricing for the work, she said yes I understand and I’m not saying that I’m not going to pay but I need to understand where all the money is going and also you need to sort out the damage caused by the leak to be downstairs of our property. This is difficult when Liam isn’t available at the moment so I said you will have to wait for a few days, for the meantime I sent her the invoice that shows what is outstanding. Adding appointment to follow up on Monday 18th"</t>
        </r>
      </text>
    </comment>
    <comment ref="G1349" authorId="0" shapeId="0" xr:uid="{B3586A43-520B-490B-B3B2-F2F1B2E067E6}">
      <text>
        <r>
          <rPr>
            <sz val="11"/>
            <color theme="1"/>
            <rFont val="Aptos Narrow"/>
            <family val="2"/>
            <scheme val="minor"/>
          </rPr>
          <t>Unknown User:
WATER SERVICE RECTIFICATION (IN GROUND)
10% Seniors &amp; Pensioners Discount</t>
        </r>
      </text>
    </comment>
    <comment ref="P1349" authorId="0" shapeId="0" xr:uid="{662C1E72-0DD7-45B7-B680-7631FD49C66D}">
      <text>
        <r>
          <rPr>
            <sz val="11"/>
            <color theme="1"/>
            <rFont val="Aptos Narrow"/>
            <family val="2"/>
            <scheme val="minor"/>
          </rPr>
          <t>Unknown User:
Quote not emailed</t>
        </r>
      </text>
    </comment>
    <comment ref="G1350" authorId="0" shapeId="0" xr:uid="{FCE80650-A7A1-4010-93A0-E1AF0699B795}">
      <text>
        <r>
          <rPr>
            <sz val="11"/>
            <color theme="1"/>
            <rFont val="Aptos Narrow"/>
            <family val="2"/>
            <scheme val="minor"/>
          </rPr>
          <t xml:space="preserve">Unknown User:
SUPPLY &amp; INSTALLATION OF GAS STORAGE HOT WATER SYSTEM (EXTERNAL)
CREDIT OF SEARCH &amp; INVESTIGATION </t>
        </r>
      </text>
    </comment>
    <comment ref="N1350" authorId="0" shapeId="0" xr:uid="{4B4A6877-D170-4789-BFEF-FF3B1F084824}">
      <text>
        <r>
          <rPr>
            <sz val="11"/>
            <color theme="1"/>
            <rFont val="Aptos Narrow"/>
            <family val="2"/>
            <scheme val="minor"/>
          </rPr>
          <t>Unknown User:
Quote raised &amp; uploaded in Job #72903</t>
        </r>
      </text>
    </comment>
    <comment ref="P1350" authorId="0" shapeId="0" xr:uid="{158D21A3-F5ED-46CF-A79B-C24AF52D6B84}">
      <text>
        <r>
          <rPr>
            <sz val="11"/>
            <color theme="1"/>
            <rFont val="Aptos Narrow"/>
            <family val="2"/>
            <scheme val="minor"/>
          </rPr>
          <t>Unknown User:
Quote not emailed</t>
        </r>
      </text>
    </comment>
    <comment ref="T1350" authorId="0" shapeId="0" xr:uid="{A868E0F9-1C7E-4A48-A548-9E3918951AB4}">
      <text>
        <r>
          <rPr>
            <sz val="11"/>
            <color theme="1"/>
            <rFont val="Aptos Narrow"/>
            <family val="2"/>
            <scheme val="minor"/>
          </rPr>
          <t>Unknown User:
0.5x for Tolga 
0.5x for Rylee W</t>
        </r>
      </text>
    </comment>
    <comment ref="V1350" authorId="0" shapeId="0" xr:uid="{B79B79D3-1550-4BE0-865A-C7B6F50D9177}">
      <text>
        <r>
          <rPr>
            <sz val="11"/>
            <color theme="1"/>
            <rFont val="Aptos Narrow"/>
            <family val="2"/>
            <scheme val="minor"/>
          </rPr>
          <t>Unknown User:
3/9-EFT received for $608
3/9-PP (ZIP) settlement made for 5478.30</t>
        </r>
      </text>
    </comment>
    <comment ref="D1351" authorId="0" shapeId="0" xr:uid="{E5E5A27D-9396-4931-886A-962D1820FC77}">
      <text>
        <r>
          <rPr>
            <sz val="11"/>
            <color theme="1"/>
            <rFont val="Aptos Narrow"/>
            <family val="2"/>
            <scheme val="minor"/>
          </rPr>
          <t>Unknown User:
Previously under "Unsuccessful jobs" in Bradley's sheet on 2/9. Now quote raised by Liam on 11/9</t>
        </r>
      </text>
    </comment>
    <comment ref="G1351" authorId="0" shapeId="0" xr:uid="{E49DF849-02FE-4C21-98A3-D2F3C7B6479B}">
      <text>
        <r>
          <rPr>
            <sz val="11"/>
            <color theme="1"/>
            <rFont val="Aptos Narrow"/>
            <family val="2"/>
            <scheme val="minor"/>
          </rPr>
          <t>Unknown User:
COMPLETE SERVICE OF WALL TOP TAPS ASSEMBLY</t>
        </r>
      </text>
    </comment>
    <comment ref="P1351" authorId="0" shapeId="0" xr:uid="{D7E3419F-7B2C-496C-B0DC-369719490022}">
      <text>
        <r>
          <rPr>
            <sz val="11"/>
            <color theme="1"/>
            <rFont val="Aptos Narrow"/>
            <family val="2"/>
            <scheme val="minor"/>
          </rPr>
          <t>Unknown User:
Quote not emailed</t>
        </r>
      </text>
    </comment>
    <comment ref="G1352" authorId="0" shapeId="0" xr:uid="{8507B6F8-E9EB-4B32-B282-40D4A95310A6}">
      <text>
        <r>
          <rPr>
            <sz val="11"/>
            <color theme="1"/>
            <rFont val="Aptos Narrow"/>
            <family val="2"/>
            <scheme val="minor"/>
          </rPr>
          <t>Unknown User:
SUPPLY &amp; INSTALLATION OF GAS STORAGE HOT WATER SYSTEM (EXTERNAL)</t>
        </r>
      </text>
    </comment>
    <comment ref="P1352" authorId="0" shapeId="0" xr:uid="{197AC8BA-E4E5-4292-A86A-C63C171F5694}">
      <text>
        <r>
          <rPr>
            <sz val="11"/>
            <color theme="1"/>
            <rFont val="Aptos Narrow"/>
            <family val="2"/>
            <scheme val="minor"/>
          </rPr>
          <t>Unknown User:
Quote not emailed</t>
        </r>
      </text>
    </comment>
    <comment ref="Q1352" authorId="0" shapeId="0" xr:uid="{B45C61AF-3D79-45D5-864E-0A96BB69E7AB}">
      <text>
        <r>
          <rPr>
            <sz val="11"/>
            <color theme="1"/>
            <rFont val="Aptos Narrow"/>
            <family val="2"/>
            <scheme val="minor"/>
          </rPr>
          <t>Unknown User:
Updated invoice for progress payment of $600 is not added &amp; raised as an invoice.</t>
        </r>
      </text>
    </comment>
    <comment ref="U1352" authorId="0" shapeId="0" xr:uid="{F06DEE2A-399E-4841-99D4-F3874BE4C77F}">
      <text>
        <r>
          <rPr>
            <sz val="11"/>
            <color theme="1"/>
            <rFont val="Aptos Narrow"/>
            <family val="2"/>
            <scheme val="minor"/>
          </rPr>
          <t>Unknown User:
22/9-Daniel considered total amount in Smartpay &amp; applied $2541.25 whereas only "Purchase value" (excl surcharge) is to be considered. That is $2500</t>
        </r>
      </text>
    </comment>
    <comment ref="G1353" authorId="0" shapeId="0" xr:uid="{5868BA28-9063-4E5F-A39E-E98305470715}">
      <text>
        <r>
          <rPr>
            <sz val="11"/>
            <color theme="1"/>
            <rFont val="Aptos Narrow"/>
            <family val="2"/>
            <scheme val="minor"/>
          </rPr>
          <t>Unknown User:
SUPPLY &amp; INSTALLATION OF NEW CLOSE COUPLED TOILET SUITE</t>
        </r>
      </text>
    </comment>
    <comment ref="P1353" authorId="0" shapeId="0" xr:uid="{5CD23BCC-4C8B-42CC-BFC3-2B167FDDB6DA}">
      <text>
        <r>
          <rPr>
            <sz val="11"/>
            <color theme="1"/>
            <rFont val="Aptos Narrow"/>
            <family val="2"/>
            <scheme val="minor"/>
          </rPr>
          <t>Unknown User:
Quote not emailed</t>
        </r>
      </text>
    </comment>
    <comment ref="G1354" authorId="0" shapeId="0" xr:uid="{9C98C316-90DB-452F-87F5-9D02D0BD6B6B}">
      <text>
        <r>
          <rPr>
            <sz val="11"/>
            <color theme="1"/>
            <rFont val="Aptos Narrow"/>
            <family val="2"/>
            <scheme val="minor"/>
          </rPr>
          <t>Unknown User:
HIGH POWERED JET BLAST &amp; CCTV CAMERA INSPECTION (GAIN ACCESS WITH
REMOVAL OF TOILET)
15% Good Will Discount</t>
        </r>
      </text>
    </comment>
    <comment ref="L1354" authorId="0" shapeId="0" xr:uid="{11D6CAC2-36D3-4126-A90A-2866A7DBCE27}">
      <text>
        <r>
          <rPr>
            <sz val="11"/>
            <color theme="1"/>
            <rFont val="Aptos Narrow"/>
            <family val="2"/>
            <scheme val="minor"/>
          </rPr>
          <t>Unknown User:
CCTV pics/videos not uploaded</t>
        </r>
      </text>
    </comment>
    <comment ref="P1354" authorId="0" shapeId="0" xr:uid="{D2B36FFD-ECEF-452C-AF37-F3B23E04E79E}">
      <text>
        <r>
          <rPr>
            <sz val="11"/>
            <color theme="1"/>
            <rFont val="Aptos Narrow"/>
            <family val="2"/>
            <scheme val="minor"/>
          </rPr>
          <t>Unknown User:
Quote not emailed</t>
        </r>
      </text>
    </comment>
    <comment ref="G1355" authorId="0" shapeId="0" xr:uid="{056ED40F-B26B-4E6B-9E93-BC5221F7C875}">
      <text>
        <r>
          <rPr>
            <sz val="11"/>
            <color theme="1"/>
            <rFont val="Aptos Narrow"/>
            <family val="2"/>
            <scheme val="minor"/>
          </rPr>
          <t xml:space="preserve">Unknown User:
HIGH POWERED JET BLAST &amp; CCTV DRAIN CAMERA INSPECTION (SEWER SERVICE)
</t>
        </r>
      </text>
    </comment>
    <comment ref="P1355" authorId="0" shapeId="0" xr:uid="{2D4079A6-75E1-4F72-95CA-667D0F73076E}">
      <text>
        <r>
          <rPr>
            <sz val="11"/>
            <color theme="1"/>
            <rFont val="Aptos Narrow"/>
            <family val="2"/>
            <scheme val="minor"/>
          </rPr>
          <t>Unknown User:
Quote not emailed</t>
        </r>
      </text>
    </comment>
    <comment ref="Q1355" authorId="0" shapeId="0" xr:uid="{6B1034AF-FC8E-4A97-9071-79D6E2A5CEBB}">
      <text>
        <r>
          <rPr>
            <sz val="11"/>
            <color theme="1"/>
            <rFont val="Aptos Narrow"/>
            <family val="2"/>
            <scheme val="minor"/>
          </rPr>
          <t>Unknown User:
Progress invoice ($100 cash) not raised by plumber</t>
        </r>
      </text>
    </comment>
    <comment ref="D1356" authorId="0" shapeId="0" xr:uid="{81162709-36CC-4784-A8B0-D3D356A58603}">
      <text>
        <r>
          <rPr>
            <sz val="11"/>
            <color theme="1"/>
            <rFont val="Aptos Narrow"/>
            <family val="2"/>
            <scheme val="minor"/>
          </rPr>
          <t>Unknown User:
Previously under "Quote" (Unsuccessful) in Jarrod &amp; Liam's sheet. 
Although Jack has raised quote on 17/9/2025, customer gave approval only on 1/10/2025 and now job completed by Jack.</t>
        </r>
      </text>
    </comment>
    <comment ref="G1356" authorId="0" shapeId="0" xr:uid="{838BBDBF-92C8-49EA-B1D7-7C652075E1FB}">
      <text>
        <r>
          <rPr>
            <sz val="11"/>
            <color theme="1"/>
            <rFont val="Aptos Narrow"/>
            <family val="2"/>
            <scheme val="minor"/>
          </rPr>
          <t>Unknown User:
SUPPLY &amp; INSTALLATION OF NEW WALL FACED TOILET SUITE
Non-refundable call out fee</t>
        </r>
      </text>
    </comment>
    <comment ref="R1356" authorId="0" shapeId="0" xr:uid="{99665AAD-1E6D-43C0-9D83-711518C40645}">
      <text>
        <r>
          <rPr>
            <sz val="11"/>
            <color theme="1"/>
            <rFont val="Aptos Narrow"/>
            <family val="2"/>
            <scheme val="minor"/>
          </rPr>
          <t>Unknown User:
Sign not obtained</t>
        </r>
      </text>
    </comment>
    <comment ref="S1356" authorId="0" shapeId="0" xr:uid="{71451241-ED9F-4170-BAEB-0E6A159F3526}">
      <text>
        <r>
          <rPr>
            <sz val="11"/>
            <color theme="1"/>
            <rFont val="Aptos Narrow"/>
            <family val="2"/>
            <scheme val="minor"/>
          </rPr>
          <t>Unknown User:
Invoice emailed without sign.</t>
        </r>
      </text>
    </comment>
    <comment ref="U1356" authorId="0" shapeId="0" xr:uid="{CF4397EA-6F20-44E5-8CAB-1D17D844CF4E}">
      <text>
        <r>
          <rPr>
            <sz val="11"/>
            <color theme="1"/>
            <rFont val="Aptos Narrow"/>
            <family val="2"/>
            <scheme val="minor"/>
          </rPr>
          <t>Unknown User:
1/10-As per Luke's note "Received a call from the owner of 2 Lease regarding the quote - she has stated she wants to go ahead. Spoke with Ghadeer - we will be sending the plumber back out to obtain a signature for approval and then the works will commence as per the quote. Customer was ok with this - told them that the Plumber will call them to organise an attendance"</t>
        </r>
      </text>
    </comment>
    <comment ref="G1357" authorId="0" shapeId="0" xr:uid="{42B7BDD5-3DB5-44F2-B9CB-346017872202}">
      <text>
        <r>
          <rPr>
            <sz val="11"/>
            <color theme="1"/>
            <rFont val="Aptos Narrow"/>
            <family val="2"/>
            <scheme val="minor"/>
          </rPr>
          <t xml:space="preserve">Unknown User:
SUPPLY &amp; INSTALLATION OF NEW LINK SUITE
10% Seniors &amp; Pensioners Discount </t>
        </r>
      </text>
    </comment>
    <comment ref="P1357" authorId="0" shapeId="0" xr:uid="{CC43169F-8B74-42F0-8EE7-1F4F81E44D5B}">
      <text>
        <r>
          <rPr>
            <sz val="11"/>
            <color theme="1"/>
            <rFont val="Aptos Narrow"/>
            <family val="2"/>
            <scheme val="minor"/>
          </rPr>
          <t>Unknown User:
Quote not emailed</t>
        </r>
      </text>
    </comment>
    <comment ref="S1357" authorId="0" shapeId="0" xr:uid="{F02A3AF0-2195-43BD-BC5F-7B116C28DE76}">
      <text>
        <r>
          <rPr>
            <sz val="11"/>
            <color theme="1"/>
            <rFont val="Aptos Narrow"/>
            <family val="2"/>
            <scheme val="minor"/>
          </rPr>
          <t>Unknown User:
Signed invoice not emailed</t>
        </r>
      </text>
    </comment>
    <comment ref="G1358" authorId="0" shapeId="0" xr:uid="{1C42A3FC-89B0-4ACE-86E1-24147F487AA8}">
      <text>
        <r>
          <rPr>
            <sz val="11"/>
            <color theme="1"/>
            <rFont val="Aptos Narrow"/>
            <family val="2"/>
            <scheme val="minor"/>
          </rPr>
          <t>Unknown User:
SEWER SPOT DIG - IN GROUND</t>
        </r>
      </text>
    </comment>
    <comment ref="N1358" authorId="0" shapeId="0" xr:uid="{CC0ECDB8-A5C7-44C7-AB63-2575D76D6BCE}">
      <text>
        <r>
          <rPr>
            <sz val="11"/>
            <color theme="1"/>
            <rFont val="Aptos Narrow"/>
            <family val="2"/>
            <scheme val="minor"/>
          </rPr>
          <t>Unknown User:
Quote raised in Job #73987</t>
        </r>
      </text>
    </comment>
    <comment ref="P1358" authorId="0" shapeId="0" xr:uid="{C0782E0B-8C9E-4AE9-896C-A1391A36ADEA}">
      <text>
        <r>
          <rPr>
            <sz val="11"/>
            <color theme="1"/>
            <rFont val="Aptos Narrow"/>
            <family val="2"/>
            <scheme val="minor"/>
          </rPr>
          <t>Unknown User:
Quote not emailed</t>
        </r>
      </text>
    </comment>
    <comment ref="V1358" authorId="0" shapeId="0" xr:uid="{463A57B1-1F1E-46BE-BF33-B89E1E3B652C}">
      <text>
        <r>
          <rPr>
            <sz val="11"/>
            <color theme="1"/>
            <rFont val="Aptos Narrow"/>
            <family val="2"/>
            <scheme val="minor"/>
          </rPr>
          <t>Unknown User:
9/10-Received $3201.40 by Smartpay</t>
        </r>
      </text>
    </comment>
    <comment ref="G1362" authorId="0" shapeId="0" xr:uid="{1BB0D462-315C-4E9C-A486-CE9853DB46E9}">
      <text>
        <r>
          <rPr>
            <sz val="11"/>
            <color theme="1"/>
            <rFont val="Aptos Narrow"/>
            <family val="2"/>
            <scheme val="minor"/>
          </rPr>
          <t xml:space="preserve">Unknown User:
INSTALLATION OF DISHWASHER [SAME LOCATION] (CUSTOMER SUPPLIED)
</t>
        </r>
      </text>
    </comment>
    <comment ref="P1362" authorId="0" shapeId="0" xr:uid="{1D54C2B5-007F-45D8-B036-5F2FB8525AA1}">
      <text>
        <r>
          <rPr>
            <sz val="11"/>
            <color theme="1"/>
            <rFont val="Aptos Narrow"/>
            <family val="2"/>
            <scheme val="minor"/>
          </rPr>
          <t>Unknown User:
Quote not emailed</t>
        </r>
      </text>
    </comment>
    <comment ref="G1363" authorId="0" shapeId="0" xr:uid="{363D0040-80AE-4BC0-AD12-DCFE19E2DC7D}">
      <text>
        <r>
          <rPr>
            <sz val="11"/>
            <color theme="1"/>
            <rFont val="Aptos Narrow"/>
            <family val="2"/>
            <scheme val="minor"/>
          </rPr>
          <t>Unknown User:
REPLACEMENT OF TIMING TAP</t>
        </r>
      </text>
    </comment>
    <comment ref="O1363" authorId="0" shapeId="0" xr:uid="{E0417F71-4C25-46B5-B1CE-49A110A355B2}">
      <text>
        <r>
          <rPr>
            <sz val="11"/>
            <color theme="1"/>
            <rFont val="Aptos Narrow"/>
            <family val="2"/>
            <scheme val="minor"/>
          </rPr>
          <t>Unknown User:
Quote not signed</t>
        </r>
      </text>
    </comment>
    <comment ref="P1363" authorId="0" shapeId="0" xr:uid="{BD63508C-EFED-4F9F-AF95-F0C4612D65FE}">
      <text>
        <r>
          <rPr>
            <sz val="11"/>
            <color theme="1"/>
            <rFont val="Aptos Narrow"/>
            <family val="2"/>
            <scheme val="minor"/>
          </rPr>
          <t>Unknown User:
Quote not emailed</t>
        </r>
      </text>
    </comment>
    <comment ref="G1364" authorId="0" shapeId="0" xr:uid="{4F811691-9425-43E0-B65C-7445D7C3D23E}">
      <text>
        <r>
          <rPr>
            <sz val="11"/>
            <color theme="1"/>
            <rFont val="Aptos Narrow"/>
            <family val="2"/>
            <scheme val="minor"/>
          </rPr>
          <t>Unknown User:
SERVICE &amp; PUMP OUT OF SEPTIC TANK</t>
        </r>
      </text>
    </comment>
    <comment ref="P1364" authorId="0" shapeId="0" xr:uid="{A20432F0-7E66-45ED-ABB0-BD988314881A}">
      <text>
        <r>
          <rPr>
            <sz val="11"/>
            <color theme="1"/>
            <rFont val="Aptos Narrow"/>
            <family val="2"/>
            <scheme val="minor"/>
          </rPr>
          <t>Unknown User:
Quote not emailed</t>
        </r>
      </text>
    </comment>
    <comment ref="G1365" authorId="0" shapeId="0" xr:uid="{2F22E635-4708-40E2-9CDB-222B335038FD}">
      <text>
        <r>
          <rPr>
            <sz val="11"/>
            <color theme="1"/>
            <rFont val="Aptos Narrow"/>
            <family val="2"/>
            <scheme val="minor"/>
          </rPr>
          <t xml:space="preserve">Unknown User:
REPLACEMENT OF SEWER BOUNDARY TRAP (UNDER CONCRETE)
CREDIT HIGH POWERED JETBLAST &amp; CCTV CAMERA </t>
        </r>
      </text>
    </comment>
    <comment ref="N1365" authorId="0" shapeId="0" xr:uid="{A889FBFC-BAD0-415A-93D1-98CBDC1F6CE6}">
      <text>
        <r>
          <rPr>
            <sz val="11"/>
            <color theme="1"/>
            <rFont val="Aptos Narrow"/>
            <family val="2"/>
            <scheme val="minor"/>
          </rPr>
          <t>Unknown User:
Quote raised in Job #73204</t>
        </r>
      </text>
    </comment>
    <comment ref="P1365" authorId="0" shapeId="0" xr:uid="{9925BEA6-B48C-43CA-AC24-9BB35D6994DC}">
      <text>
        <r>
          <rPr>
            <sz val="11"/>
            <color theme="1"/>
            <rFont val="Aptos Narrow"/>
            <family val="2"/>
            <scheme val="minor"/>
          </rPr>
          <t>Unknown User:
Quote not emailed</t>
        </r>
      </text>
    </comment>
    <comment ref="G1366" authorId="0" shapeId="0" xr:uid="{660A3560-6EBD-4EC3-B6AD-C27A8E8B0100}">
      <text>
        <r>
          <rPr>
            <sz val="11"/>
            <color theme="1"/>
            <rFont val="Aptos Narrow"/>
            <family val="2"/>
            <scheme val="minor"/>
          </rPr>
          <t xml:space="preserve">Unknown User:
RESEAL OF SHOWER
</t>
        </r>
      </text>
    </comment>
    <comment ref="K1366" authorId="0" shapeId="0" xr:uid="{53D4FB38-6414-41DE-8447-5CBA7D839BB8}">
      <text>
        <r>
          <rPr>
            <sz val="11"/>
            <color theme="1"/>
            <rFont val="Aptos Narrow"/>
            <family val="2"/>
            <scheme val="minor"/>
          </rPr>
          <t>Unknown User:
Previous job #73357 pics considered</t>
        </r>
      </text>
    </comment>
    <comment ref="N1366" authorId="0" shapeId="0" xr:uid="{976A924F-488B-4689-9DA4-3D40B5E89C55}">
      <text>
        <r>
          <rPr>
            <sz val="11"/>
            <color theme="1"/>
            <rFont val="Aptos Narrow"/>
            <family val="2"/>
            <scheme val="minor"/>
          </rPr>
          <t>Unknown User:
Quote raised in Job #73357</t>
        </r>
      </text>
    </comment>
    <comment ref="P1366" authorId="0" shapeId="0" xr:uid="{7CCB9C92-C134-4EEB-8ED6-A2FB3C26BF03}">
      <text>
        <r>
          <rPr>
            <sz val="11"/>
            <color theme="1"/>
            <rFont val="Aptos Narrow"/>
            <family val="2"/>
            <scheme val="minor"/>
          </rPr>
          <t>Unknown User:
Quote not emailed</t>
        </r>
      </text>
    </comment>
    <comment ref="G1370" authorId="0" shapeId="0" xr:uid="{A52C6D8A-BC91-4665-8612-F0534C1AA4C4}">
      <text>
        <r>
          <rPr>
            <sz val="11"/>
            <color theme="1"/>
            <rFont val="Aptos Narrow"/>
            <family val="2"/>
            <scheme val="minor"/>
          </rPr>
          <t>Unknown User:
COMPLETE SERVICE OF TOILET CISTERN
$65 First Service Discount</t>
        </r>
      </text>
    </comment>
    <comment ref="G1371" authorId="0" shapeId="0" xr:uid="{49AA4D1E-4E41-44DA-B83A-22549F14747F}">
      <text>
        <r>
          <rPr>
            <sz val="11"/>
            <color theme="1"/>
            <rFont val="Aptos Narrow"/>
            <family val="2"/>
            <scheme val="minor"/>
          </rPr>
          <t>Unknown User:
SEARCH &amp; INVESTIGATION OF RAINWATER PUMP</t>
        </r>
      </text>
    </comment>
    <comment ref="G1372" authorId="0" shapeId="0" xr:uid="{22BE99B0-DF65-489C-A1AB-9B1E46F16D68}">
      <text>
        <r>
          <rPr>
            <sz val="11"/>
            <color theme="1"/>
            <rFont val="Aptos Narrow"/>
            <family val="2"/>
            <scheme val="minor"/>
          </rPr>
          <t xml:space="preserve">Unknown User:
SEARCH &amp; INVESTIGATION OF SINGLE STOREY ROOF OF POTENTIAL LEAK
CCTV DRAIN CAMERA INSPECTION OF STORM WATER SERVICE
</t>
        </r>
      </text>
    </comment>
    <comment ref="G1373" authorId="0" shapeId="0" xr:uid="{145CDECF-279E-45E0-A8E8-F22608BB2AA2}">
      <text>
        <r>
          <rPr>
            <sz val="11"/>
            <color theme="1"/>
            <rFont val="Aptos Narrow"/>
            <family val="2"/>
            <scheme val="minor"/>
          </rPr>
          <t>Unknown User:
SEARCH AND INVESTIGATION OF GAS INSTANTANEOUS HOT WATER SYSTEM</t>
        </r>
      </text>
    </comment>
    <comment ref="G1405" authorId="0" shapeId="0" xr:uid="{FED11B7C-F4E8-4C98-9C6B-1D7CCE6BFC82}">
      <text>
        <r>
          <rPr>
            <sz val="11"/>
            <color theme="1"/>
            <rFont val="Aptos Narrow"/>
            <family val="2"/>
            <scheme val="minor"/>
          </rPr>
          <t>Unknown User:
COMPLETE SERVICE OF TOILET CISTERN</t>
        </r>
      </text>
    </comment>
    <comment ref="P1405" authorId="0" shapeId="0" xr:uid="{C8A80796-1343-49B6-9649-73CC5216172B}">
      <text>
        <r>
          <rPr>
            <sz val="11"/>
            <color theme="1"/>
            <rFont val="Aptos Narrow"/>
            <family val="2"/>
            <scheme val="minor"/>
          </rPr>
          <t>Unknown User:
Quote not emailed</t>
        </r>
      </text>
    </comment>
    <comment ref="S1405" authorId="0" shapeId="0" xr:uid="{5D4CB56F-A93B-482E-9DD3-202ED8DE4139}">
      <text>
        <r>
          <rPr>
            <sz val="11"/>
            <color theme="1"/>
            <rFont val="Aptos Narrow"/>
            <family val="2"/>
            <scheme val="minor"/>
          </rPr>
          <t>Unknown User:
Signed invoice not emailed</t>
        </r>
      </text>
    </comment>
    <comment ref="G1406" authorId="0" shapeId="0" xr:uid="{C7D06FC8-0D32-4AEF-AD82-1BE235571504}">
      <text>
        <r>
          <rPr>
            <sz val="11"/>
            <color theme="1"/>
            <rFont val="Aptos Narrow"/>
            <family val="2"/>
            <scheme val="minor"/>
          </rPr>
          <t>Unknown User:
COMPLETE SERVICE OF TOILET CISTERN
COMPLETE SERVICE OF TOILET CISTERN</t>
        </r>
      </text>
    </comment>
    <comment ref="P1406" authorId="0" shapeId="0" xr:uid="{06C5347B-1782-44A6-B6F4-7E8AB38839D3}">
      <text>
        <r>
          <rPr>
            <sz val="11"/>
            <color theme="1"/>
            <rFont val="Aptos Narrow"/>
            <family val="2"/>
            <scheme val="minor"/>
          </rPr>
          <t>Unknown User:
Quote not emailed</t>
        </r>
      </text>
    </comment>
    <comment ref="S1406" authorId="0" shapeId="0" xr:uid="{1F7CFC8D-952B-4D2F-B004-CBD65F5A0E1B}">
      <text>
        <r>
          <rPr>
            <sz val="11"/>
            <color theme="1"/>
            <rFont val="Aptos Narrow"/>
            <family val="2"/>
            <scheme val="minor"/>
          </rPr>
          <t>Unknown User:
Signed invoice not emailed</t>
        </r>
      </text>
    </comment>
    <comment ref="G1407" authorId="0" shapeId="0" xr:uid="{07CFC84A-4478-411E-9799-7CA4DB5392EF}">
      <text>
        <r>
          <rPr>
            <sz val="11"/>
            <color theme="1"/>
            <rFont val="Aptos Narrow"/>
            <family val="2"/>
            <scheme val="minor"/>
          </rPr>
          <t xml:space="preserve">Unknown User:
HIGH POWERED JET BLAST &amp; CCTV DRAIN CAMERA INSPECTION (SEWER SERVICE)
</t>
        </r>
      </text>
    </comment>
    <comment ref="G1408" authorId="0" shapeId="0" xr:uid="{493977BA-D990-4919-9CAF-0BFC4576423E}">
      <text>
        <r>
          <rPr>
            <sz val="11"/>
            <color theme="1"/>
            <rFont val="Aptos Narrow"/>
            <family val="2"/>
            <scheme val="minor"/>
          </rPr>
          <t>Unknown User:
COMPLETE SERVICE OF WALL TOP TAPS ASSEMBLY</t>
        </r>
      </text>
    </comment>
    <comment ref="P1408" authorId="0" shapeId="0" xr:uid="{0E9E9A9C-8175-4394-8E7A-0EDADE68B9B5}">
      <text>
        <r>
          <rPr>
            <sz val="11"/>
            <color theme="1"/>
            <rFont val="Aptos Narrow"/>
            <family val="2"/>
            <scheme val="minor"/>
          </rPr>
          <t>Unknown User:
Quote not emailed</t>
        </r>
      </text>
    </comment>
    <comment ref="G1409" authorId="0" shapeId="0" xr:uid="{4D5FF48E-19F6-45E8-9AD8-433CBC5EF9D4}">
      <text>
        <r>
          <rPr>
            <sz val="11"/>
            <color theme="1"/>
            <rFont val="Aptos Narrow"/>
            <family val="2"/>
            <scheme val="minor"/>
          </rPr>
          <t>Unknown User:
PRESSURE PIPE RECTIFICATION (IN-GROUND)</t>
        </r>
      </text>
    </comment>
    <comment ref="O1409" authorId="0" shapeId="0" xr:uid="{DE2B22C0-2514-4A77-A03A-7C16082AC543}">
      <text>
        <r>
          <rPr>
            <sz val="11"/>
            <color theme="1"/>
            <rFont val="Aptos Narrow"/>
            <family val="2"/>
            <scheme val="minor"/>
          </rPr>
          <t>Unknown User:
Sign not obtained as customer not onsite.</t>
        </r>
      </text>
    </comment>
    <comment ref="P1409" authorId="0" shapeId="0" xr:uid="{0C5F26E4-C993-45DF-904F-92A2E1A4D245}">
      <text>
        <r>
          <rPr>
            <sz val="11"/>
            <color theme="1"/>
            <rFont val="Aptos Narrow"/>
            <family val="2"/>
            <scheme val="minor"/>
          </rPr>
          <t>Unknown User:
Quote not emailed</t>
        </r>
      </text>
    </comment>
    <comment ref="Q1409" authorId="0" shapeId="0" xr:uid="{5A94C611-1A4C-4EF7-BC2C-7A0A854CE668}">
      <text>
        <r>
          <rPr>
            <sz val="11"/>
            <color theme="1"/>
            <rFont val="Aptos Narrow"/>
            <family val="2"/>
            <scheme val="minor"/>
          </rPr>
          <t>Unknown User:
Invoice not raised</t>
        </r>
      </text>
    </comment>
    <comment ref="G1414" authorId="0" shapeId="0" xr:uid="{31E85329-AB93-4627-9225-0C34167B48E2}">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1414" authorId="0" shapeId="0" xr:uid="{741F9BDB-D53A-4A0F-8DE1-32A4BEC70BE4}">
      <text>
        <r>
          <rPr>
            <sz val="11"/>
            <color theme="1"/>
            <rFont val="Aptos Narrow"/>
            <family val="2"/>
            <scheme val="minor"/>
          </rPr>
          <t>Unknown User:
Quote not Emailed</t>
        </r>
      </text>
    </comment>
    <comment ref="V1414" authorId="0" shapeId="0" xr:uid="{160795CC-2CDC-406E-99F2-0C4C3AE86E06}">
      <text>
        <r>
          <rPr>
            <sz val="11"/>
            <color theme="1"/>
            <rFont val="Aptos Narrow"/>
            <family val="2"/>
            <scheme val="minor"/>
          </rPr>
          <t xml:space="preserve">Unknown User:
11/07 Received $200 EFT
</t>
        </r>
      </text>
    </comment>
    <comment ref="G1415" authorId="0" shapeId="0" xr:uid="{23DDB0C5-151E-4A94-AFB9-6134703C7C08}">
      <text>
        <r>
          <rPr>
            <sz val="11"/>
            <color theme="1"/>
            <rFont val="Aptos Narrow"/>
            <family val="2"/>
            <scheme val="minor"/>
          </rPr>
          <t xml:space="preserve">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
CONTINUATION OF SERVICES </t>
        </r>
      </text>
    </comment>
    <comment ref="N1415" authorId="0" shapeId="0" xr:uid="{734A5F43-A358-42C4-A833-1C5AB276095D}">
      <text>
        <r>
          <rPr>
            <sz val="11"/>
            <color theme="1"/>
            <rFont val="Aptos Narrow"/>
            <family val="2"/>
            <scheme val="minor"/>
          </rPr>
          <t>Unknown User:
Quote raised in job #71681</t>
        </r>
      </text>
    </comment>
    <comment ref="P1415" authorId="0" shapeId="0" xr:uid="{F51091AD-ACF2-405F-AD40-287231836428}">
      <text>
        <r>
          <rPr>
            <sz val="11"/>
            <color theme="1"/>
            <rFont val="Aptos Narrow"/>
            <family val="2"/>
            <scheme val="minor"/>
          </rPr>
          <t>Unknown User:
Quote not emailed</t>
        </r>
      </text>
    </comment>
    <comment ref="Q1415" authorId="0" shapeId="0" xr:uid="{7B767430-4999-43E7-ADEE-EDACD10891E3}">
      <text>
        <r>
          <rPr>
            <sz val="11"/>
            <color theme="1"/>
            <rFont val="Aptos Narrow"/>
            <family val="2"/>
            <scheme val="minor"/>
          </rPr>
          <t>Unknown User:
Final invoice not raised</t>
        </r>
      </text>
    </comment>
    <comment ref="U1415" authorId="0" shapeId="0" xr:uid="{CE9DAEA4-6A7A-47A2-BA14-AE0E41199D05}">
      <text>
        <r>
          <rPr>
            <sz val="11"/>
            <color theme="1"/>
            <rFont val="Aptos Narrow"/>
            <family val="2"/>
            <scheme val="minor"/>
          </rPr>
          <t>Unknown User:
23/7-As per Alex's note "Previous invoices weren't taken off on the total and the system didn't match what she paid so I took what she said was left from her end. Please confirm if there is more needed to be taken. I tried my best
"</t>
        </r>
      </text>
    </comment>
    <comment ref="G1416" authorId="0" shapeId="0" xr:uid="{955B6390-FEF7-4584-BD4E-5D64857FA8CE}">
      <text>
        <r>
          <rPr>
            <sz val="11"/>
            <color theme="1"/>
            <rFont val="Aptos Narrow"/>
            <family val="2"/>
            <scheme val="minor"/>
          </rPr>
          <t>Unknown User:
COMMERCIAL HIGH POWERED JETBLAST &amp; CCTV DRAIN CAMERA INSPECTION</t>
        </r>
      </text>
    </comment>
    <comment ref="P1416" authorId="0" shapeId="0" xr:uid="{5E2C7E62-922B-4B3F-A105-CAE46B8D9030}">
      <text>
        <r>
          <rPr>
            <sz val="11"/>
            <color theme="1"/>
            <rFont val="Aptos Narrow"/>
            <family val="2"/>
            <scheme val="minor"/>
          </rPr>
          <t xml:space="preserve">Unknown User:
Quote not emailed
</t>
        </r>
      </text>
    </comment>
    <comment ref="G1417" authorId="0" shapeId="0" xr:uid="{B5C62C2C-FE61-407F-9892-B5D510490CF1}">
      <text>
        <r>
          <rPr>
            <sz val="11"/>
            <color theme="1"/>
            <rFont val="Aptos Narrow"/>
            <family val="2"/>
            <scheme val="minor"/>
          </rPr>
          <t>Unknown User:
REPLACEMENT OF BASIN SET</t>
        </r>
      </text>
    </comment>
    <comment ref="P1417" authorId="0" shapeId="0" xr:uid="{E19985BD-FC4B-42AB-9DE8-85261EC42126}">
      <text>
        <r>
          <rPr>
            <sz val="11"/>
            <color theme="1"/>
            <rFont val="Aptos Narrow"/>
            <family val="2"/>
            <scheme val="minor"/>
          </rPr>
          <t>Unknown User:
Quote not emailed</t>
        </r>
      </text>
    </comment>
    <comment ref="S1417" authorId="0" shapeId="0" xr:uid="{94601A7A-53BA-4FDE-8A5B-BF9B25950C0D}">
      <text>
        <r>
          <rPr>
            <sz val="11"/>
            <color theme="1"/>
            <rFont val="Aptos Narrow"/>
            <family val="2"/>
            <scheme val="minor"/>
          </rPr>
          <t>Unknown User:
Final invoice not emailed</t>
        </r>
      </text>
    </comment>
    <comment ref="V1417" authorId="0" shapeId="0" xr:uid="{264E7F10-5495-4B8F-A31B-4C88428B21D8}">
      <text>
        <r>
          <rPr>
            <sz val="11"/>
            <color theme="1"/>
            <rFont val="Aptos Narrow"/>
            <family val="2"/>
            <scheme val="minor"/>
          </rPr>
          <t>Unknown User:
Short receipt by $30</t>
        </r>
      </text>
    </comment>
    <comment ref="G1418" authorId="0" shapeId="0" xr:uid="{BC78D7CB-9AA8-4DE6-9253-239A2F6A4F57}">
      <text>
        <r>
          <rPr>
            <sz val="11"/>
            <color theme="1"/>
            <rFont val="Aptos Narrow"/>
            <family val="2"/>
            <scheme val="minor"/>
          </rPr>
          <t xml:space="preserve">Unknown User:
SUPPLY &amp; INSTALLATION OF NEW TWIN ELEMENT HOT WATER UNIT (INTERNAL)
</t>
        </r>
      </text>
    </comment>
    <comment ref="L1418" authorId="0" shapeId="0" xr:uid="{A35F9B92-3BA0-4F0A-9CA0-3CD1E1494E0F}">
      <text>
        <r>
          <rPr>
            <sz val="11"/>
            <color theme="1"/>
            <rFont val="Aptos Narrow"/>
            <family val="2"/>
            <scheme val="minor"/>
          </rPr>
          <t>Unknown User:
Temp check pic not uploaded</t>
        </r>
      </text>
    </comment>
    <comment ref="N1418" authorId="0" shapeId="0" xr:uid="{3C3C9EB5-FCDB-40F7-A6B5-08C9F6BB0866}">
      <text>
        <r>
          <rPr>
            <sz val="11"/>
            <color theme="1"/>
            <rFont val="Aptos Narrow"/>
            <family val="2"/>
            <scheme val="minor"/>
          </rPr>
          <t>Unknown User:
Quote not raised due to technical issue in ServiceTitan.</t>
        </r>
      </text>
    </comment>
    <comment ref="U1418" authorId="0" shapeId="0" xr:uid="{D190BF55-EFCF-4AC1-A8D3-B3F3392801E3}">
      <text>
        <r>
          <rPr>
            <sz val="11"/>
            <color theme="1"/>
            <rFont val="Aptos Narrow"/>
            <family val="2"/>
            <scheme val="minor"/>
          </rPr>
          <t>Unknown User:
14/8-As per Fiona's note "Customer has claimed that damage to the downstairs apartment has been caused by the water damaged from out workmanship. Charlie has advised that if damage is caused by us then we will definitely cover it however she must pay for her HWS first.
Customer expressed she thought the 10% deposit was the cost paid for the HSW and didn't realize she still owed more. She also advised she wanted a breakdown of cost to which she has now been told twice by different operators that we offer a fixed price quote and not a breakdown of labour and product or equipment."
14/8-As per Sadie's note "customer called to cancel appointment for today - refusing to pay outstanding balance, threatened with laws and regulations and is going to take action within 7 days if she doesn't receive a itemized invoice, advised customer we don't provide itemized invoices due to it being an upfront fixed price quote. customer has a written complaint which i have advised customer to send via email. email is being sent to info@tradesaus.com.au"
13/8-As per Mathew H's note "Karen said that she wasn’t aware of the price of the job, she was very surprised when I told her the balance owing over the phone, I said this would have been presented to you at the start of the job and you paid a deposit of it, she then said that she wanted an itemised invoice and I said we don’t do them as per the website we provide upfront fixed pricing for the work, she said yes I understand and I’m not saying that I’m not going to pay but I need to understand where all the money is going and also you need to sort out the damage caused by the leak to be downstairs of our property. This is difficult when Liam isn’t available at the moment so I said you will have to wait for a few days, for the meantime I sent her the invoice that shows what is outstanding. Adding appointment to follow up on Monday 18th"</t>
        </r>
      </text>
    </comment>
    <comment ref="G1419" authorId="0" shapeId="0" xr:uid="{882FAE30-D24D-4444-A971-04EAA2AE1E19}">
      <text>
        <r>
          <rPr>
            <sz val="11"/>
            <color theme="1"/>
            <rFont val="Aptos Narrow"/>
            <family val="2"/>
            <scheme val="minor"/>
          </rPr>
          <t>Unknown User:
WATER SERVICE RECTIFICATION (IN GROUND)
10% Seniors &amp; Pensioners Discount</t>
        </r>
      </text>
    </comment>
    <comment ref="P1419" authorId="0" shapeId="0" xr:uid="{71B5868C-64CC-4396-9F35-746CDED76CDB}">
      <text>
        <r>
          <rPr>
            <sz val="11"/>
            <color theme="1"/>
            <rFont val="Aptos Narrow"/>
            <family val="2"/>
            <scheme val="minor"/>
          </rPr>
          <t>Unknown User:
Quote not emailed</t>
        </r>
      </text>
    </comment>
    <comment ref="G1420" authorId="0" shapeId="0" xr:uid="{EDAC8431-E069-4C56-83F1-9C24210987FC}">
      <text>
        <r>
          <rPr>
            <sz val="11"/>
            <color theme="1"/>
            <rFont val="Aptos Narrow"/>
            <family val="2"/>
            <scheme val="minor"/>
          </rPr>
          <t xml:space="preserve">Unknown User:
SUPPLY &amp; INSTALLATION OF GAS STORAGE HOT WATER SYSTEM (EXTERNAL)
CREDIT OF SEARCH &amp; INVESTIGATION </t>
        </r>
      </text>
    </comment>
    <comment ref="N1420" authorId="0" shapeId="0" xr:uid="{E14A712D-B126-484C-9B21-123DF8A949E4}">
      <text>
        <r>
          <rPr>
            <sz val="11"/>
            <color theme="1"/>
            <rFont val="Aptos Narrow"/>
            <family val="2"/>
            <scheme val="minor"/>
          </rPr>
          <t>Unknown User:
Quote raised &amp; uploaded in Job #72903</t>
        </r>
      </text>
    </comment>
    <comment ref="P1420" authorId="0" shapeId="0" xr:uid="{BD733F5F-DAEB-43CC-BE21-CC45C8C45915}">
      <text>
        <r>
          <rPr>
            <sz val="11"/>
            <color theme="1"/>
            <rFont val="Aptos Narrow"/>
            <family val="2"/>
            <scheme val="minor"/>
          </rPr>
          <t>Unknown User:
Quote not emailed</t>
        </r>
      </text>
    </comment>
    <comment ref="T1420" authorId="0" shapeId="0" xr:uid="{CA638109-D987-4FC4-9AAB-26B0CBAA175F}">
      <text>
        <r>
          <rPr>
            <sz val="11"/>
            <color theme="1"/>
            <rFont val="Aptos Narrow"/>
            <family val="2"/>
            <scheme val="minor"/>
          </rPr>
          <t>Unknown User:
0.5x for Tolga 
0.5x for Rylee W</t>
        </r>
      </text>
    </comment>
    <comment ref="V1420" authorId="0" shapeId="0" xr:uid="{14184B41-5C1F-4810-960E-C14F6C3155DC}">
      <text>
        <r>
          <rPr>
            <sz val="11"/>
            <color theme="1"/>
            <rFont val="Aptos Narrow"/>
            <family val="2"/>
            <scheme val="minor"/>
          </rPr>
          <t>Unknown User:
3/9-EFT received for $608
3/9-PP (ZIP) settlement made for 5478.30</t>
        </r>
      </text>
    </comment>
    <comment ref="D1421" authorId="0" shapeId="0" xr:uid="{42043362-C349-4930-86D8-CE396A82C449}">
      <text>
        <r>
          <rPr>
            <sz val="11"/>
            <color theme="1"/>
            <rFont val="Aptos Narrow"/>
            <family val="2"/>
            <scheme val="minor"/>
          </rPr>
          <t>Unknown User:
Previously under "Unsuccessful jobs" in Bradley's sheet on 2/9. Now quote raised by Liam on 11/9</t>
        </r>
      </text>
    </comment>
    <comment ref="G1421" authorId="0" shapeId="0" xr:uid="{6F9D896D-BE59-4271-A831-7A210F173313}">
      <text>
        <r>
          <rPr>
            <sz val="11"/>
            <color theme="1"/>
            <rFont val="Aptos Narrow"/>
            <family val="2"/>
            <scheme val="minor"/>
          </rPr>
          <t>Unknown User:
COMPLETE SERVICE OF WALL TOP TAPS ASSEMBLY</t>
        </r>
      </text>
    </comment>
    <comment ref="P1421" authorId="0" shapeId="0" xr:uid="{2D3E2496-1340-40F5-92F4-B413406ACE14}">
      <text>
        <r>
          <rPr>
            <sz val="11"/>
            <color theme="1"/>
            <rFont val="Aptos Narrow"/>
            <family val="2"/>
            <scheme val="minor"/>
          </rPr>
          <t>Unknown User:
Quote not emailed</t>
        </r>
      </text>
    </comment>
    <comment ref="G1422" authorId="0" shapeId="0" xr:uid="{723EA4B5-4887-4B20-93C4-15F51FBAB382}">
      <text>
        <r>
          <rPr>
            <sz val="11"/>
            <color theme="1"/>
            <rFont val="Aptos Narrow"/>
            <family val="2"/>
            <scheme val="minor"/>
          </rPr>
          <t>Unknown User:
SUPPLY &amp; INSTALLATION OF GAS STORAGE HOT WATER SYSTEM (EXTERNAL)</t>
        </r>
      </text>
    </comment>
    <comment ref="P1422" authorId="0" shapeId="0" xr:uid="{7384524E-4354-4864-848C-5AEAF4C58A63}">
      <text>
        <r>
          <rPr>
            <sz val="11"/>
            <color theme="1"/>
            <rFont val="Aptos Narrow"/>
            <family val="2"/>
            <scheme val="minor"/>
          </rPr>
          <t>Unknown User:
Quote not emailed</t>
        </r>
      </text>
    </comment>
    <comment ref="Q1422" authorId="0" shapeId="0" xr:uid="{EDC90DEE-48F5-43B4-9617-D3B224FCC30E}">
      <text>
        <r>
          <rPr>
            <sz val="11"/>
            <color theme="1"/>
            <rFont val="Aptos Narrow"/>
            <family val="2"/>
            <scheme val="minor"/>
          </rPr>
          <t>Unknown User:
Updated invoice for progress payment of $600 is not added &amp; raised as an invoice.</t>
        </r>
      </text>
    </comment>
    <comment ref="U1422" authorId="0" shapeId="0" xr:uid="{2E85C1BC-2A67-4524-88B9-4D07EE539CAA}">
      <text>
        <r>
          <rPr>
            <sz val="11"/>
            <color theme="1"/>
            <rFont val="Aptos Narrow"/>
            <family val="2"/>
            <scheme val="minor"/>
          </rPr>
          <t>Unknown User:
22/9-Daniel considered total amount in Smartpay &amp; applied $2541.25 whereas only "Purchase value" (excl surcharge) is to be considered. That is $2500</t>
        </r>
      </text>
    </comment>
    <comment ref="G1423" authorId="0" shapeId="0" xr:uid="{1C568065-86C9-44F2-829B-0D7EFB7F1A33}">
      <text>
        <r>
          <rPr>
            <sz val="11"/>
            <color theme="1"/>
            <rFont val="Aptos Narrow"/>
            <family val="2"/>
            <scheme val="minor"/>
          </rPr>
          <t>Unknown User:
SUPPLY &amp; INSTALLATION OF NEW CLOSE COUPLED TOILET SUITE</t>
        </r>
      </text>
    </comment>
    <comment ref="P1423" authorId="0" shapeId="0" xr:uid="{DB7F1C5B-507C-4DA9-9434-7F3AE3F02507}">
      <text>
        <r>
          <rPr>
            <sz val="11"/>
            <color theme="1"/>
            <rFont val="Aptos Narrow"/>
            <family val="2"/>
            <scheme val="minor"/>
          </rPr>
          <t>Unknown User:
Quote not emailed</t>
        </r>
      </text>
    </comment>
    <comment ref="G1424" authorId="0" shapeId="0" xr:uid="{40896A44-748B-4EC6-8B30-896B364BA1A0}">
      <text>
        <r>
          <rPr>
            <sz val="11"/>
            <color theme="1"/>
            <rFont val="Aptos Narrow"/>
            <family val="2"/>
            <scheme val="minor"/>
          </rPr>
          <t>Unknown User:
HIGH POWERED JET BLAST &amp; CCTV CAMERA INSPECTION (GAIN ACCESS WITH
REMOVAL OF TOILET)
15% Good Will Discount</t>
        </r>
      </text>
    </comment>
    <comment ref="L1424" authorId="0" shapeId="0" xr:uid="{1597EF0C-4385-4642-ADB9-3026B963549F}">
      <text>
        <r>
          <rPr>
            <sz val="11"/>
            <color theme="1"/>
            <rFont val="Aptos Narrow"/>
            <family val="2"/>
            <scheme val="minor"/>
          </rPr>
          <t>Unknown User:
CCTV pics/videos not uploaded</t>
        </r>
      </text>
    </comment>
    <comment ref="P1424" authorId="0" shapeId="0" xr:uid="{6B1FD900-6CA3-4843-B3F0-4D492A132A83}">
      <text>
        <r>
          <rPr>
            <sz val="11"/>
            <color theme="1"/>
            <rFont val="Aptos Narrow"/>
            <family val="2"/>
            <scheme val="minor"/>
          </rPr>
          <t>Unknown User:
Quote not emailed</t>
        </r>
      </text>
    </comment>
    <comment ref="G1425" authorId="0" shapeId="0" xr:uid="{CD7239FA-226C-44AA-9781-7211888FD9A3}">
      <text>
        <r>
          <rPr>
            <sz val="11"/>
            <color theme="1"/>
            <rFont val="Aptos Narrow"/>
            <family val="2"/>
            <scheme val="minor"/>
          </rPr>
          <t xml:space="preserve">Unknown User:
HIGH POWERED JET BLAST &amp; CCTV DRAIN CAMERA INSPECTION (SEWER SERVICE)
</t>
        </r>
      </text>
    </comment>
    <comment ref="P1425" authorId="0" shapeId="0" xr:uid="{ECC5A338-2CC8-41CF-A0E1-B3125A11F954}">
      <text>
        <r>
          <rPr>
            <sz val="11"/>
            <color theme="1"/>
            <rFont val="Aptos Narrow"/>
            <family val="2"/>
            <scheme val="minor"/>
          </rPr>
          <t>Unknown User:
Quote not emailed</t>
        </r>
      </text>
    </comment>
    <comment ref="Q1425" authorId="0" shapeId="0" xr:uid="{3E10A65C-1C8E-4A7D-974C-5E9667551111}">
      <text>
        <r>
          <rPr>
            <sz val="11"/>
            <color theme="1"/>
            <rFont val="Aptos Narrow"/>
            <family val="2"/>
            <scheme val="minor"/>
          </rPr>
          <t>Unknown User:
Progress invoice ($100 cash) not raised by plumber</t>
        </r>
      </text>
    </comment>
    <comment ref="D1426" authorId="0" shapeId="0" xr:uid="{15F43C88-376C-4E87-BB66-54A12FA7BB1A}">
      <text>
        <r>
          <rPr>
            <sz val="11"/>
            <color theme="1"/>
            <rFont val="Aptos Narrow"/>
            <family val="2"/>
            <scheme val="minor"/>
          </rPr>
          <t>Unknown User:
Previously under "Quote" (Unsuccessful) in Jarrod &amp; Liam's sheet. 
Although Jack has raised quote on 17/9/2025, customer gave approval only on 1/10/2025 and now job completed by Jack.</t>
        </r>
      </text>
    </comment>
    <comment ref="G1426" authorId="0" shapeId="0" xr:uid="{D64807E7-303A-4EC0-928D-0A4BA4D3D56C}">
      <text>
        <r>
          <rPr>
            <sz val="11"/>
            <color theme="1"/>
            <rFont val="Aptos Narrow"/>
            <family val="2"/>
            <scheme val="minor"/>
          </rPr>
          <t>Unknown User:
SUPPLY &amp; INSTALLATION OF NEW WALL FACED TOILET SUITE
Non-refundable call out fee</t>
        </r>
      </text>
    </comment>
    <comment ref="R1426" authorId="0" shapeId="0" xr:uid="{EB239A23-D72C-4C2C-89CE-C5D61721A3D1}">
      <text>
        <r>
          <rPr>
            <sz val="11"/>
            <color theme="1"/>
            <rFont val="Aptos Narrow"/>
            <family val="2"/>
            <scheme val="minor"/>
          </rPr>
          <t>Unknown User:
Sign not obtained</t>
        </r>
      </text>
    </comment>
    <comment ref="S1426" authorId="0" shapeId="0" xr:uid="{F1D72055-790A-480C-A418-70E39858C72D}">
      <text>
        <r>
          <rPr>
            <sz val="11"/>
            <color theme="1"/>
            <rFont val="Aptos Narrow"/>
            <family val="2"/>
            <scheme val="minor"/>
          </rPr>
          <t>Unknown User:
Invoice emailed without sign.</t>
        </r>
      </text>
    </comment>
    <comment ref="U1426" authorId="0" shapeId="0" xr:uid="{ABFDA455-A51A-4ABD-B4B1-8A8B9CA0EB76}">
      <text>
        <r>
          <rPr>
            <sz val="11"/>
            <color theme="1"/>
            <rFont val="Aptos Narrow"/>
            <family val="2"/>
            <scheme val="minor"/>
          </rPr>
          <t>Unknown User:
1/10-As per Luke's note "Received a call from the owner of 2 Lease regarding the quote - she has stated she wants to go ahead. Spoke with Ghadeer - we will be sending the plumber back out to obtain a signature for approval and then the works will commence as per the quote. Customer was ok with this - told them that the Plumber will call them to organise an attendance"</t>
        </r>
      </text>
    </comment>
    <comment ref="G1427" authorId="0" shapeId="0" xr:uid="{55DBB3FA-B5BF-48A0-9A40-5CD1CFE06F33}">
      <text>
        <r>
          <rPr>
            <sz val="11"/>
            <color theme="1"/>
            <rFont val="Aptos Narrow"/>
            <family val="2"/>
            <scheme val="minor"/>
          </rPr>
          <t xml:space="preserve">Unknown User:
SUPPLY &amp; INSTALLATION OF NEW LINK SUITE
10% Seniors &amp; Pensioners Discount </t>
        </r>
      </text>
    </comment>
    <comment ref="P1427" authorId="0" shapeId="0" xr:uid="{8BDA4E51-E280-4BFD-9AE3-351E1AB3DAD8}">
      <text>
        <r>
          <rPr>
            <sz val="11"/>
            <color theme="1"/>
            <rFont val="Aptos Narrow"/>
            <family val="2"/>
            <scheme val="minor"/>
          </rPr>
          <t>Unknown User:
Quote not emailed</t>
        </r>
      </text>
    </comment>
    <comment ref="S1427" authorId="0" shapeId="0" xr:uid="{ADCEC496-E4E4-4104-9923-BCF04BBBA927}">
      <text>
        <r>
          <rPr>
            <sz val="11"/>
            <color theme="1"/>
            <rFont val="Aptos Narrow"/>
            <family val="2"/>
            <scheme val="minor"/>
          </rPr>
          <t>Unknown User:
Signed invoice not emailed</t>
        </r>
      </text>
    </comment>
    <comment ref="G1428" authorId="0" shapeId="0" xr:uid="{B2B491E3-88C1-49B1-9FF4-2DE7F1E6AA42}">
      <text>
        <r>
          <rPr>
            <sz val="11"/>
            <color theme="1"/>
            <rFont val="Aptos Narrow"/>
            <family val="2"/>
            <scheme val="minor"/>
          </rPr>
          <t>Unknown User:
SEWER SPOT DIG - IN GROUND</t>
        </r>
      </text>
    </comment>
    <comment ref="N1428" authorId="0" shapeId="0" xr:uid="{72DE319F-2490-45FD-BC17-16A7A6E8F9F0}">
      <text>
        <r>
          <rPr>
            <sz val="11"/>
            <color theme="1"/>
            <rFont val="Aptos Narrow"/>
            <family val="2"/>
            <scheme val="minor"/>
          </rPr>
          <t>Unknown User:
Quote raised in Job #73987</t>
        </r>
      </text>
    </comment>
    <comment ref="P1428" authorId="0" shapeId="0" xr:uid="{4FE4F6C3-685F-4961-96E8-26C89B48F9CB}">
      <text>
        <r>
          <rPr>
            <sz val="11"/>
            <color theme="1"/>
            <rFont val="Aptos Narrow"/>
            <family val="2"/>
            <scheme val="minor"/>
          </rPr>
          <t>Unknown User:
Quote not emailed</t>
        </r>
      </text>
    </comment>
    <comment ref="V1428" authorId="0" shapeId="0" xr:uid="{C52B755E-3FE8-4E97-BBD2-E2A7F3FAD996}">
      <text>
        <r>
          <rPr>
            <sz val="11"/>
            <color theme="1"/>
            <rFont val="Aptos Narrow"/>
            <family val="2"/>
            <scheme val="minor"/>
          </rPr>
          <t>Unknown User:
9/10-Received $3201.40 by Smartpay</t>
        </r>
      </text>
    </comment>
    <comment ref="G1429" authorId="0" shapeId="0" xr:uid="{1CB3F948-985D-4ED0-87F9-68DFD83C71B8}">
      <text>
        <r>
          <rPr>
            <sz val="11"/>
            <color theme="1"/>
            <rFont val="Aptos Narrow"/>
            <family val="2"/>
            <scheme val="minor"/>
          </rPr>
          <t>Unknown User:
SUPPLY &amp; INSTALLATION OF NEW LINK SUITE</t>
        </r>
      </text>
    </comment>
    <comment ref="P1429" authorId="0" shapeId="0" xr:uid="{399E7272-6B57-414F-8B1F-A9BEF53CCC51}">
      <text>
        <r>
          <rPr>
            <sz val="11"/>
            <color theme="1"/>
            <rFont val="Aptos Narrow"/>
            <family val="2"/>
            <scheme val="minor"/>
          </rPr>
          <t>Unknown User:
Quote not emailed</t>
        </r>
      </text>
    </comment>
    <comment ref="Q1429" authorId="0" shapeId="0" xr:uid="{CCF6AB23-CFE7-4C17-AC3F-2BADBDF28348}">
      <text>
        <r>
          <rPr>
            <sz val="11"/>
            <color theme="1"/>
            <rFont val="Aptos Narrow"/>
            <family val="2"/>
            <scheme val="minor"/>
          </rPr>
          <t>Unknown User:
Progress payment of $287 not updated &amp; emailed</t>
        </r>
      </text>
    </comment>
    <comment ref="G1433" authorId="0" shapeId="0" xr:uid="{525049B9-3AFC-440E-B98E-F4E8E2CF111E}">
      <text>
        <r>
          <rPr>
            <sz val="11"/>
            <color theme="1"/>
            <rFont val="Aptos Narrow"/>
            <family val="2"/>
            <scheme val="minor"/>
          </rPr>
          <t xml:space="preserve">Unknown User:
INSTALLATION OF DISHWASHER [SAME LOCATION] (CUSTOMER SUPPLIED)
</t>
        </r>
      </text>
    </comment>
    <comment ref="P1433" authorId="0" shapeId="0" xr:uid="{F3DA3631-1210-4C1F-B22A-270FEC72F391}">
      <text>
        <r>
          <rPr>
            <sz val="11"/>
            <color theme="1"/>
            <rFont val="Aptos Narrow"/>
            <family val="2"/>
            <scheme val="minor"/>
          </rPr>
          <t>Unknown User:
Quote not emailed</t>
        </r>
      </text>
    </comment>
    <comment ref="G1434" authorId="0" shapeId="0" xr:uid="{AD2803C5-802D-4C17-8402-38266A10732A}">
      <text>
        <r>
          <rPr>
            <sz val="11"/>
            <color theme="1"/>
            <rFont val="Aptos Narrow"/>
            <family val="2"/>
            <scheme val="minor"/>
          </rPr>
          <t>Unknown User:
REPLACEMENT OF TIMING TAP</t>
        </r>
      </text>
    </comment>
    <comment ref="O1434" authorId="0" shapeId="0" xr:uid="{F8B6EE4F-8504-46B5-8055-6D08657EBC45}">
      <text>
        <r>
          <rPr>
            <sz val="11"/>
            <color theme="1"/>
            <rFont val="Aptos Narrow"/>
            <family val="2"/>
            <scheme val="minor"/>
          </rPr>
          <t>Unknown User:
Quote not signed</t>
        </r>
      </text>
    </comment>
    <comment ref="P1434" authorId="0" shapeId="0" xr:uid="{2EADF707-D239-471A-8EC9-7C12161C1DA2}">
      <text>
        <r>
          <rPr>
            <sz val="11"/>
            <color theme="1"/>
            <rFont val="Aptos Narrow"/>
            <family val="2"/>
            <scheme val="minor"/>
          </rPr>
          <t>Unknown User:
Quote not emailed</t>
        </r>
      </text>
    </comment>
    <comment ref="G1435" authorId="0" shapeId="0" xr:uid="{361FE448-BBEA-49BF-8DAA-16258CE6867B}">
      <text>
        <r>
          <rPr>
            <sz val="11"/>
            <color theme="1"/>
            <rFont val="Aptos Narrow"/>
            <family val="2"/>
            <scheme val="minor"/>
          </rPr>
          <t>Unknown User:
SERVICE &amp; PUMP OUT OF SEPTIC TANK</t>
        </r>
      </text>
    </comment>
    <comment ref="P1435" authorId="0" shapeId="0" xr:uid="{BE2DE5BE-3A46-49DB-B616-F0D15B4073E3}">
      <text>
        <r>
          <rPr>
            <sz val="11"/>
            <color theme="1"/>
            <rFont val="Aptos Narrow"/>
            <family val="2"/>
            <scheme val="minor"/>
          </rPr>
          <t>Unknown User:
Quote not emailed</t>
        </r>
      </text>
    </comment>
    <comment ref="G1436" authorId="0" shapeId="0" xr:uid="{3875628E-D6BB-4AC6-9DBC-35DA5C3FAA71}">
      <text>
        <r>
          <rPr>
            <sz val="11"/>
            <color theme="1"/>
            <rFont val="Aptos Narrow"/>
            <family val="2"/>
            <scheme val="minor"/>
          </rPr>
          <t xml:space="preserve">Unknown User:
REPLACEMENT OF SEWER BOUNDARY TRAP (UNDER CONCRETE)
CREDIT HIGH POWERED JETBLAST &amp; CCTV CAMERA </t>
        </r>
      </text>
    </comment>
    <comment ref="N1436" authorId="0" shapeId="0" xr:uid="{73C08298-6487-493A-8F62-A74C628CD63B}">
      <text>
        <r>
          <rPr>
            <sz val="11"/>
            <color theme="1"/>
            <rFont val="Aptos Narrow"/>
            <family val="2"/>
            <scheme val="minor"/>
          </rPr>
          <t>Unknown User:
Quote raised in Job #73204</t>
        </r>
      </text>
    </comment>
    <comment ref="P1436" authorId="0" shapeId="0" xr:uid="{DDF34522-3060-4560-8ED9-C75329130FB6}">
      <text>
        <r>
          <rPr>
            <sz val="11"/>
            <color theme="1"/>
            <rFont val="Aptos Narrow"/>
            <family val="2"/>
            <scheme val="minor"/>
          </rPr>
          <t>Unknown User:
Quote not emailed</t>
        </r>
      </text>
    </comment>
    <comment ref="G1437" authorId="0" shapeId="0" xr:uid="{6E1CAEBC-0296-44F3-B686-445C3BF77ECD}">
      <text>
        <r>
          <rPr>
            <sz val="11"/>
            <color theme="1"/>
            <rFont val="Aptos Narrow"/>
            <family val="2"/>
            <scheme val="minor"/>
          </rPr>
          <t xml:space="preserve">Unknown User:
RESEAL OF SHOWER
</t>
        </r>
      </text>
    </comment>
    <comment ref="K1437" authorId="0" shapeId="0" xr:uid="{763D7772-B0F6-4D0C-9810-32654F9F76DE}">
      <text>
        <r>
          <rPr>
            <sz val="11"/>
            <color theme="1"/>
            <rFont val="Aptos Narrow"/>
            <family val="2"/>
            <scheme val="minor"/>
          </rPr>
          <t>Unknown User:
Previous job #73357 pics considered</t>
        </r>
      </text>
    </comment>
    <comment ref="N1437" authorId="0" shapeId="0" xr:uid="{81ECAD3F-BC6D-4DBD-A09D-61A5CF793F9F}">
      <text>
        <r>
          <rPr>
            <sz val="11"/>
            <color theme="1"/>
            <rFont val="Aptos Narrow"/>
            <family val="2"/>
            <scheme val="minor"/>
          </rPr>
          <t>Unknown User:
Quote raised in Job #73357</t>
        </r>
      </text>
    </comment>
    <comment ref="P1437" authorId="0" shapeId="0" xr:uid="{17F0C23F-1C2E-4112-B03A-EA9DB3E27EA4}">
      <text>
        <r>
          <rPr>
            <sz val="11"/>
            <color theme="1"/>
            <rFont val="Aptos Narrow"/>
            <family val="2"/>
            <scheme val="minor"/>
          </rPr>
          <t>Unknown User:
Quote not emailed</t>
        </r>
      </text>
    </comment>
    <comment ref="G1438" authorId="0" shapeId="0" xr:uid="{A452DD56-C37D-440B-A14B-CF71AE5C717B}">
      <text>
        <r>
          <rPr>
            <sz val="11"/>
            <color theme="1"/>
            <rFont val="Aptos Narrow"/>
            <family val="2"/>
            <scheme val="minor"/>
          </rPr>
          <t>Unknown User:
SUPPLY &amp; INSTALLATION OF NEW SINGLE ELEMENT HOT WATER UNIT – INTERNAL</t>
        </r>
      </text>
    </comment>
    <comment ref="P1438" authorId="0" shapeId="0" xr:uid="{273D6EC5-BE35-433F-AD28-5FC9E04A5978}">
      <text>
        <r>
          <rPr>
            <sz val="11"/>
            <color theme="1"/>
            <rFont val="Aptos Narrow"/>
            <family val="2"/>
            <scheme val="minor"/>
          </rPr>
          <t>Unknown User:
Quote not emailed</t>
        </r>
      </text>
    </comment>
    <comment ref="G1439" authorId="0" shapeId="0" xr:uid="{D31FE13C-76E8-4608-A86D-A6DFA6473B42}">
      <text>
        <r>
          <rPr>
            <sz val="11"/>
            <color theme="1"/>
            <rFont val="Aptos Narrow"/>
            <family val="2"/>
            <scheme val="minor"/>
          </rPr>
          <t>Unknown User:
SPECIALIST LEAK DETECTION (WATER SERVICE)</t>
        </r>
      </text>
    </comment>
    <comment ref="P1439" authorId="0" shapeId="0" xr:uid="{D31801E9-8FA8-4D3F-B025-1FF6433020A4}">
      <text>
        <r>
          <rPr>
            <sz val="11"/>
            <color theme="1"/>
            <rFont val="Aptos Narrow"/>
            <family val="2"/>
            <scheme val="minor"/>
          </rPr>
          <t>Unknown User:
Quote not emailed</t>
        </r>
      </text>
    </comment>
    <comment ref="G1440" authorId="0" shapeId="0" xr:uid="{C12D4DD2-95E2-44C8-9391-534C429334BC}">
      <text>
        <r>
          <rPr>
            <sz val="11"/>
            <color theme="1"/>
            <rFont val="Aptos Narrow"/>
            <family val="2"/>
            <scheme val="minor"/>
          </rPr>
          <t>Unknown User:
SPECIALIST LEAK DETECTION (WATER SERVICE)</t>
        </r>
      </text>
    </comment>
    <comment ref="P1440" authorId="0" shapeId="0" xr:uid="{D441D724-BEF6-4827-BD23-2CF135805637}">
      <text>
        <r>
          <rPr>
            <sz val="11"/>
            <color theme="1"/>
            <rFont val="Aptos Narrow"/>
            <family val="2"/>
            <scheme val="minor"/>
          </rPr>
          <t>Unknown User:
Quote not emailed</t>
        </r>
      </text>
    </comment>
    <comment ref="V1440" authorId="0" shapeId="0" xr:uid="{ED03F966-E779-49F5-BD74-12688A5E7161}">
      <text>
        <r>
          <rPr>
            <sz val="11"/>
            <color theme="1"/>
            <rFont val="Aptos Narrow"/>
            <family val="2"/>
            <scheme val="minor"/>
          </rPr>
          <t>Unknown User:
13/10-Received $1843.10</t>
        </r>
      </text>
    </comment>
    <comment ref="G1444" authorId="0" shapeId="0" xr:uid="{E57D2F5E-6DC4-41AF-A12B-8462117BF9D0}">
      <text>
        <r>
          <rPr>
            <sz val="11"/>
            <color theme="1"/>
            <rFont val="Aptos Narrow"/>
            <family val="2"/>
            <scheme val="minor"/>
          </rPr>
          <t>Unknown User:
SEARCH AND INVESTIGATION OF SOLAR SPLIT HOT WATER SYSTEM</t>
        </r>
      </text>
    </comment>
    <comment ref="G1445" authorId="0" shapeId="0" xr:uid="{8E689A82-1DA6-49B6-ABC0-623148722A19}">
      <text>
        <r>
          <rPr>
            <sz val="11"/>
            <color theme="1"/>
            <rFont val="Aptos Narrow"/>
            <family val="2"/>
            <scheme val="minor"/>
          </rPr>
          <t>Unknown User:
HIGH POWERED SUCTION &amp; ACID TREATMENT
10% Seniors &amp; Pensioners Discount</t>
        </r>
      </text>
    </comment>
    <comment ref="G1447" authorId="0" shapeId="0" xr:uid="{E8C31AE9-2D1A-4D6D-BF1F-3FC131FFA676}">
      <text>
        <r>
          <rPr>
            <sz val="11"/>
            <color theme="1"/>
            <rFont val="Aptos Narrow"/>
            <family val="2"/>
            <scheme val="minor"/>
          </rPr>
          <t>Unknown User:
SEARCH AND INVESTIGATE WATER SUPPLY FOR FRIDGE 
$65 First Service Discount</t>
        </r>
      </text>
    </comment>
    <comment ref="G1448" authorId="0" shapeId="0" xr:uid="{5446F2A9-6708-4BE3-9EE9-87026ABF8304}">
      <text>
        <r>
          <rPr>
            <sz val="11"/>
            <color theme="1"/>
            <rFont val="Aptos Narrow"/>
            <family val="2"/>
            <scheme val="minor"/>
          </rPr>
          <t xml:space="preserve">Unknown User:
SEARCH &amp; INVESTIGATION OF GAS APPLIANCE
</t>
        </r>
      </text>
    </comment>
    <comment ref="G1485" authorId="0" shapeId="0" xr:uid="{14203D05-2E5B-43C6-B68E-C367099B575A}">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1485" authorId="0" shapeId="0" xr:uid="{86EA7CF9-7C42-4F8B-B6AF-032BA0364491}">
      <text>
        <r>
          <rPr>
            <sz val="11"/>
            <color theme="1"/>
            <rFont val="Aptos Narrow"/>
            <family val="2"/>
            <scheme val="minor"/>
          </rPr>
          <t>Unknown User:
Quote not Emailed</t>
        </r>
      </text>
    </comment>
    <comment ref="V1485" authorId="0" shapeId="0" xr:uid="{9E1A68EE-DD4B-46A1-9921-29E9569D3C89}">
      <text>
        <r>
          <rPr>
            <sz val="11"/>
            <color theme="1"/>
            <rFont val="Aptos Narrow"/>
            <family val="2"/>
            <scheme val="minor"/>
          </rPr>
          <t xml:space="preserve">Unknown User:
11/07 Received $200 EFT
</t>
        </r>
      </text>
    </comment>
    <comment ref="G1486" authorId="0" shapeId="0" xr:uid="{31538BDB-8ACD-4DB6-A102-FE7B0A808B5E}">
      <text>
        <r>
          <rPr>
            <sz val="11"/>
            <color theme="1"/>
            <rFont val="Aptos Narrow"/>
            <family val="2"/>
            <scheme val="minor"/>
          </rPr>
          <t xml:space="preserve">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
CONTINUATION OF SERVICES </t>
        </r>
      </text>
    </comment>
    <comment ref="N1486" authorId="0" shapeId="0" xr:uid="{46BBAB5A-5406-4862-B524-77CA32A48E17}">
      <text>
        <r>
          <rPr>
            <sz val="11"/>
            <color theme="1"/>
            <rFont val="Aptos Narrow"/>
            <family val="2"/>
            <scheme val="minor"/>
          </rPr>
          <t>Unknown User:
Quote raised in job #71681</t>
        </r>
      </text>
    </comment>
    <comment ref="P1486" authorId="0" shapeId="0" xr:uid="{0949C53F-2FB1-4ECB-A32E-43A600066DD0}">
      <text>
        <r>
          <rPr>
            <sz val="11"/>
            <color theme="1"/>
            <rFont val="Aptos Narrow"/>
            <family val="2"/>
            <scheme val="minor"/>
          </rPr>
          <t>Unknown User:
Quote not emailed</t>
        </r>
      </text>
    </comment>
    <comment ref="Q1486" authorId="0" shapeId="0" xr:uid="{1AC95D46-85EE-4B24-A90A-41E46AF38298}">
      <text>
        <r>
          <rPr>
            <sz val="11"/>
            <color theme="1"/>
            <rFont val="Aptos Narrow"/>
            <family val="2"/>
            <scheme val="minor"/>
          </rPr>
          <t>Unknown User:
Final invoice not raised</t>
        </r>
      </text>
    </comment>
    <comment ref="U1486" authorId="0" shapeId="0" xr:uid="{E6EBC808-ACFE-465D-AA27-5B55D58C0EEE}">
      <text>
        <r>
          <rPr>
            <sz val="11"/>
            <color theme="1"/>
            <rFont val="Aptos Narrow"/>
            <family val="2"/>
            <scheme val="minor"/>
          </rPr>
          <t>Unknown User:
23/7-As per Alex's note "Previous invoices weren't taken off on the total and the system didn't match what she paid so I took what she said was left from her end. Please confirm if there is more needed to be taken. I tried my best
"</t>
        </r>
      </text>
    </comment>
    <comment ref="G1487" authorId="0" shapeId="0" xr:uid="{32A7735E-7026-40B4-A2E6-D70CE7935518}">
      <text>
        <r>
          <rPr>
            <sz val="11"/>
            <color theme="1"/>
            <rFont val="Aptos Narrow"/>
            <family val="2"/>
            <scheme val="minor"/>
          </rPr>
          <t>Unknown User:
COMMERCIAL HIGH POWERED JETBLAST &amp; CCTV DRAIN CAMERA INSPECTION</t>
        </r>
      </text>
    </comment>
    <comment ref="P1487" authorId="0" shapeId="0" xr:uid="{CDE8E658-9917-4961-9EE7-F6B81F7AC5BD}">
      <text>
        <r>
          <rPr>
            <sz val="11"/>
            <color theme="1"/>
            <rFont val="Aptos Narrow"/>
            <family val="2"/>
            <scheme val="minor"/>
          </rPr>
          <t xml:space="preserve">Unknown User:
Quote not emailed
</t>
        </r>
      </text>
    </comment>
    <comment ref="G1488" authorId="0" shapeId="0" xr:uid="{30B02533-CF2E-403E-B2FA-C20482D88E78}">
      <text>
        <r>
          <rPr>
            <sz val="11"/>
            <color theme="1"/>
            <rFont val="Aptos Narrow"/>
            <family val="2"/>
            <scheme val="minor"/>
          </rPr>
          <t>Unknown User:
REPLACEMENT OF BASIN SET</t>
        </r>
      </text>
    </comment>
    <comment ref="P1488" authorId="0" shapeId="0" xr:uid="{ADA6DC36-41D4-43B1-8F4C-A512D73AE2E0}">
      <text>
        <r>
          <rPr>
            <sz val="11"/>
            <color theme="1"/>
            <rFont val="Aptos Narrow"/>
            <family val="2"/>
            <scheme val="minor"/>
          </rPr>
          <t>Unknown User:
Quote not emailed</t>
        </r>
      </text>
    </comment>
    <comment ref="S1488" authorId="0" shapeId="0" xr:uid="{E3F65AAB-2497-494C-8956-F94E247EFB8C}">
      <text>
        <r>
          <rPr>
            <sz val="11"/>
            <color theme="1"/>
            <rFont val="Aptos Narrow"/>
            <family val="2"/>
            <scheme val="minor"/>
          </rPr>
          <t>Unknown User:
Final invoice not emailed</t>
        </r>
      </text>
    </comment>
    <comment ref="V1488" authorId="0" shapeId="0" xr:uid="{A38903AB-ED85-4EF3-8516-A95EBFD4FE9C}">
      <text>
        <r>
          <rPr>
            <sz val="11"/>
            <color theme="1"/>
            <rFont val="Aptos Narrow"/>
            <family val="2"/>
            <scheme val="minor"/>
          </rPr>
          <t>Unknown User:
Short receipt by $30</t>
        </r>
      </text>
    </comment>
    <comment ref="G1489" authorId="0" shapeId="0" xr:uid="{D5479D3B-BD7B-4F25-B7E2-D1EBB979302A}">
      <text>
        <r>
          <rPr>
            <sz val="11"/>
            <color theme="1"/>
            <rFont val="Aptos Narrow"/>
            <family val="2"/>
            <scheme val="minor"/>
          </rPr>
          <t xml:space="preserve">Unknown User:
SUPPLY &amp; INSTALLATION OF NEW TWIN ELEMENT HOT WATER UNIT (INTERNAL)
</t>
        </r>
      </text>
    </comment>
    <comment ref="L1489" authorId="0" shapeId="0" xr:uid="{D22DF0DB-7B1E-40C9-A043-5CD06B6B0827}">
      <text>
        <r>
          <rPr>
            <sz val="11"/>
            <color theme="1"/>
            <rFont val="Aptos Narrow"/>
            <family val="2"/>
            <scheme val="minor"/>
          </rPr>
          <t>Unknown User:
Temp check pic not uploaded</t>
        </r>
      </text>
    </comment>
    <comment ref="N1489" authorId="0" shapeId="0" xr:uid="{2D4FAB9D-DC0C-4DDC-9D7B-A86E6CF79BE3}">
      <text>
        <r>
          <rPr>
            <sz val="11"/>
            <color theme="1"/>
            <rFont val="Aptos Narrow"/>
            <family val="2"/>
            <scheme val="minor"/>
          </rPr>
          <t>Unknown User:
Quote not raised due to technical issue in ServiceTitan.</t>
        </r>
      </text>
    </comment>
    <comment ref="U1489" authorId="0" shapeId="0" xr:uid="{5E219773-2DCA-4B32-830A-5D213E1B8F46}">
      <text>
        <r>
          <rPr>
            <sz val="11"/>
            <color theme="1"/>
            <rFont val="Aptos Narrow"/>
            <family val="2"/>
            <scheme val="minor"/>
          </rPr>
          <t>Unknown User:
14/8-As per Fiona's note "Customer has claimed that damage to the downstairs apartment has been caused by the water damaged from out workmanship. Charlie has advised that if damage is caused by us then we will definitely cover it however she must pay for her HWS first.
Customer expressed she thought the 10% deposit was the cost paid for the HSW and didn't realize she still owed more. She also advised she wanted a breakdown of cost to which she has now been told twice by different operators that we offer a fixed price quote and not a breakdown of labour and product or equipment."
14/8-As per Sadie's note "customer called to cancel appointment for today - refusing to pay outstanding balance, threatened with laws and regulations and is going to take action within 7 days if she doesn't receive a itemized invoice, advised customer we don't provide itemized invoices due to it being an upfront fixed price quote. customer has a written complaint which i have advised customer to send via email. email is being sent to info@tradesaus.com.au"
13/8-As per Mathew H's note "Karen said that she wasn’t aware of the price of the job, she was very surprised when I told her the balance owing over the phone, I said this would have been presented to you at the start of the job and you paid a deposit of it, she then said that she wanted an itemised invoice and I said we don’t do them as per the website we provide upfront fixed pricing for the work, she said yes I understand and I’m not saying that I’m not going to pay but I need to understand where all the money is going and also you need to sort out the damage caused by the leak to be downstairs of our property. This is difficult when Liam isn’t available at the moment so I said you will have to wait for a few days, for the meantime I sent her the invoice that shows what is outstanding. Adding appointment to follow up on Monday 18th"</t>
        </r>
      </text>
    </comment>
    <comment ref="G1490" authorId="0" shapeId="0" xr:uid="{556958D9-EBAB-43B4-9E14-253D8DDE995E}">
      <text>
        <r>
          <rPr>
            <sz val="11"/>
            <color theme="1"/>
            <rFont val="Aptos Narrow"/>
            <family val="2"/>
            <scheme val="minor"/>
          </rPr>
          <t>Unknown User:
WATER SERVICE RECTIFICATION (IN GROUND)
10% Seniors &amp; Pensioners Discount</t>
        </r>
      </text>
    </comment>
    <comment ref="P1490" authorId="0" shapeId="0" xr:uid="{E788C76A-3406-4007-AE87-341D8A09BCEB}">
      <text>
        <r>
          <rPr>
            <sz val="11"/>
            <color theme="1"/>
            <rFont val="Aptos Narrow"/>
            <family val="2"/>
            <scheme val="minor"/>
          </rPr>
          <t>Unknown User:
Quote not emailed</t>
        </r>
      </text>
    </comment>
    <comment ref="G1491" authorId="0" shapeId="0" xr:uid="{9BBEA648-2F07-4F3F-851F-0D335803E19A}">
      <text>
        <r>
          <rPr>
            <sz val="11"/>
            <color theme="1"/>
            <rFont val="Aptos Narrow"/>
            <family val="2"/>
            <scheme val="minor"/>
          </rPr>
          <t xml:space="preserve">Unknown User:
SUPPLY &amp; INSTALLATION OF GAS STORAGE HOT WATER SYSTEM (EXTERNAL)
CREDIT OF SEARCH &amp; INVESTIGATION </t>
        </r>
      </text>
    </comment>
    <comment ref="N1491" authorId="0" shapeId="0" xr:uid="{ECC75692-8E1B-42EC-925B-F127B1222F88}">
      <text>
        <r>
          <rPr>
            <sz val="11"/>
            <color theme="1"/>
            <rFont val="Aptos Narrow"/>
            <family val="2"/>
            <scheme val="minor"/>
          </rPr>
          <t>Unknown User:
Quote raised &amp; uploaded in Job #72903</t>
        </r>
      </text>
    </comment>
    <comment ref="P1491" authorId="0" shapeId="0" xr:uid="{A9B7D323-CBCF-4607-AFEF-FD820E1E9731}">
      <text>
        <r>
          <rPr>
            <sz val="11"/>
            <color theme="1"/>
            <rFont val="Aptos Narrow"/>
            <family val="2"/>
            <scheme val="minor"/>
          </rPr>
          <t>Unknown User:
Quote not emailed</t>
        </r>
      </text>
    </comment>
    <comment ref="T1491" authorId="0" shapeId="0" xr:uid="{F9127E83-6EFA-4B7B-BB30-469D70BE283A}">
      <text>
        <r>
          <rPr>
            <sz val="11"/>
            <color theme="1"/>
            <rFont val="Aptos Narrow"/>
            <family val="2"/>
            <scheme val="minor"/>
          </rPr>
          <t>Unknown User:
0.5x for Tolga 
0.5x for Rylee W</t>
        </r>
      </text>
    </comment>
    <comment ref="V1491" authorId="0" shapeId="0" xr:uid="{837928A5-D3B7-49CE-A536-C0937E9675CD}">
      <text>
        <r>
          <rPr>
            <sz val="11"/>
            <color theme="1"/>
            <rFont val="Aptos Narrow"/>
            <family val="2"/>
            <scheme val="minor"/>
          </rPr>
          <t>Unknown User:
3/9-EFT received for $608
3/9-PP (ZIP) settlement made for 5478.30</t>
        </r>
      </text>
    </comment>
    <comment ref="D1492" authorId="0" shapeId="0" xr:uid="{F5C334C0-8FF0-45C2-88A4-A4E35167CF7B}">
      <text>
        <r>
          <rPr>
            <sz val="11"/>
            <color theme="1"/>
            <rFont val="Aptos Narrow"/>
            <family val="2"/>
            <scheme val="minor"/>
          </rPr>
          <t>Unknown User:
Previously under "Unsuccessful jobs" in Bradley's sheet on 2/9. Now quote raised by Liam on 11/9</t>
        </r>
      </text>
    </comment>
    <comment ref="G1492" authorId="0" shapeId="0" xr:uid="{6E1CE9F2-361E-42E7-89C6-16AFB222D33C}">
      <text>
        <r>
          <rPr>
            <sz val="11"/>
            <color theme="1"/>
            <rFont val="Aptos Narrow"/>
            <family val="2"/>
            <scheme val="minor"/>
          </rPr>
          <t>Unknown User:
COMPLETE SERVICE OF WALL TOP TAPS ASSEMBLY</t>
        </r>
      </text>
    </comment>
    <comment ref="P1492" authorId="0" shapeId="0" xr:uid="{618958CE-55C9-449E-BB73-7A5462D17DE3}">
      <text>
        <r>
          <rPr>
            <sz val="11"/>
            <color theme="1"/>
            <rFont val="Aptos Narrow"/>
            <family val="2"/>
            <scheme val="minor"/>
          </rPr>
          <t>Unknown User:
Quote not emailed</t>
        </r>
      </text>
    </comment>
    <comment ref="G1493" authorId="0" shapeId="0" xr:uid="{30538091-23E1-4CF6-835B-1F342C5FF318}">
      <text>
        <r>
          <rPr>
            <sz val="11"/>
            <color theme="1"/>
            <rFont val="Aptos Narrow"/>
            <family val="2"/>
            <scheme val="minor"/>
          </rPr>
          <t>Unknown User:
SUPPLY &amp; INSTALLATION OF GAS STORAGE HOT WATER SYSTEM (EXTERNAL)</t>
        </r>
      </text>
    </comment>
    <comment ref="P1493" authorId="0" shapeId="0" xr:uid="{4B780215-E6D7-4853-8724-CD99EB4A9929}">
      <text>
        <r>
          <rPr>
            <sz val="11"/>
            <color theme="1"/>
            <rFont val="Aptos Narrow"/>
            <family val="2"/>
            <scheme val="minor"/>
          </rPr>
          <t>Unknown User:
Quote not emailed</t>
        </r>
      </text>
    </comment>
    <comment ref="Q1493" authorId="0" shapeId="0" xr:uid="{236C5F3A-BECA-40AD-B3C0-FFEF493EB57B}">
      <text>
        <r>
          <rPr>
            <sz val="11"/>
            <color theme="1"/>
            <rFont val="Aptos Narrow"/>
            <family val="2"/>
            <scheme val="minor"/>
          </rPr>
          <t>Unknown User:
Updated invoice for progress payment of $600 is not added &amp; raised as an invoice.</t>
        </r>
      </text>
    </comment>
    <comment ref="U1493" authorId="0" shapeId="0" xr:uid="{C9EF4580-E879-4D7E-9CD9-A8C3CC56E571}">
      <text>
        <r>
          <rPr>
            <sz val="11"/>
            <color theme="1"/>
            <rFont val="Aptos Narrow"/>
            <family val="2"/>
            <scheme val="minor"/>
          </rPr>
          <t>Unknown User:
22/9-Daniel considered total amount in Smartpay &amp; applied $2541.25 whereas only "Purchase value" (excl surcharge) is to be considered. That is $2500</t>
        </r>
      </text>
    </comment>
    <comment ref="G1494" authorId="0" shapeId="0" xr:uid="{568EB9D8-8850-4C2A-A060-CB58C3A082E7}">
      <text>
        <r>
          <rPr>
            <sz val="11"/>
            <color theme="1"/>
            <rFont val="Aptos Narrow"/>
            <family val="2"/>
            <scheme val="minor"/>
          </rPr>
          <t>Unknown User:
SUPPLY &amp; INSTALLATION OF NEW CLOSE COUPLED TOILET SUITE</t>
        </r>
      </text>
    </comment>
    <comment ref="P1494" authorId="0" shapeId="0" xr:uid="{5D1952F3-D00A-4187-AC61-E0B6E8F8C7C9}">
      <text>
        <r>
          <rPr>
            <sz val="11"/>
            <color theme="1"/>
            <rFont val="Aptos Narrow"/>
            <family val="2"/>
            <scheme val="minor"/>
          </rPr>
          <t>Unknown User:
Quote not emailed</t>
        </r>
      </text>
    </comment>
    <comment ref="G1495" authorId="0" shapeId="0" xr:uid="{A31D2373-59B0-4AB2-A981-353944B75234}">
      <text>
        <r>
          <rPr>
            <sz val="11"/>
            <color theme="1"/>
            <rFont val="Aptos Narrow"/>
            <family val="2"/>
            <scheme val="minor"/>
          </rPr>
          <t>Unknown User:
HIGH POWERED JET BLAST &amp; CCTV CAMERA INSPECTION (GAIN ACCESS WITH
REMOVAL OF TOILET)
15% Good Will Discount</t>
        </r>
      </text>
    </comment>
    <comment ref="L1495" authorId="0" shapeId="0" xr:uid="{68B20790-50BF-40EF-A291-98195385CC10}">
      <text>
        <r>
          <rPr>
            <sz val="11"/>
            <color theme="1"/>
            <rFont val="Aptos Narrow"/>
            <family val="2"/>
            <scheme val="minor"/>
          </rPr>
          <t>Unknown User:
CCTV pics/videos not uploaded</t>
        </r>
      </text>
    </comment>
    <comment ref="P1495" authorId="0" shapeId="0" xr:uid="{BB4D4DD7-2B37-4943-B760-6AFB447901A2}">
      <text>
        <r>
          <rPr>
            <sz val="11"/>
            <color theme="1"/>
            <rFont val="Aptos Narrow"/>
            <family val="2"/>
            <scheme val="minor"/>
          </rPr>
          <t>Unknown User:
Quote not emailed</t>
        </r>
      </text>
    </comment>
    <comment ref="G1496" authorId="0" shapeId="0" xr:uid="{6D23E84C-CE4D-4CEA-A3D5-13671DDA6EC2}">
      <text>
        <r>
          <rPr>
            <sz val="11"/>
            <color theme="1"/>
            <rFont val="Aptos Narrow"/>
            <family val="2"/>
            <scheme val="minor"/>
          </rPr>
          <t xml:space="preserve">Unknown User:
HIGH POWERED JET BLAST &amp; CCTV DRAIN CAMERA INSPECTION (SEWER SERVICE)
</t>
        </r>
      </text>
    </comment>
    <comment ref="P1496" authorId="0" shapeId="0" xr:uid="{A812D2C3-07D5-4726-9FEC-22AEBEA6BD30}">
      <text>
        <r>
          <rPr>
            <sz val="11"/>
            <color theme="1"/>
            <rFont val="Aptos Narrow"/>
            <family val="2"/>
            <scheme val="minor"/>
          </rPr>
          <t>Unknown User:
Quote not emailed</t>
        </r>
      </text>
    </comment>
    <comment ref="Q1496" authorId="0" shapeId="0" xr:uid="{E1BAB6E6-59CD-44E1-9AD1-BFFB1C71879F}">
      <text>
        <r>
          <rPr>
            <sz val="11"/>
            <color theme="1"/>
            <rFont val="Aptos Narrow"/>
            <family val="2"/>
            <scheme val="minor"/>
          </rPr>
          <t>Unknown User:
Progress invoice ($100 cash) not raised by plumber</t>
        </r>
      </text>
    </comment>
    <comment ref="D1497" authorId="0" shapeId="0" xr:uid="{29D8BE3D-D7CA-441E-8119-D5CA0F2D844B}">
      <text>
        <r>
          <rPr>
            <sz val="11"/>
            <color theme="1"/>
            <rFont val="Aptos Narrow"/>
            <family val="2"/>
            <scheme val="minor"/>
          </rPr>
          <t>Unknown User:
Previously under "Quote" (Unsuccessful) in Jarrod &amp; Liam's sheet. 
Although Jack has raised quote on 17/9/2025, customer gave approval only on 1/10/2025 and now job completed by Jack.</t>
        </r>
      </text>
    </comment>
    <comment ref="G1497" authorId="0" shapeId="0" xr:uid="{ED91BFBA-97BC-4420-B1C8-36158F6A504A}">
      <text>
        <r>
          <rPr>
            <sz val="11"/>
            <color theme="1"/>
            <rFont val="Aptos Narrow"/>
            <family val="2"/>
            <scheme val="minor"/>
          </rPr>
          <t>Unknown User:
SUPPLY &amp; INSTALLATION OF NEW WALL FACED TOILET SUITE
Non-refundable call out fee</t>
        </r>
      </text>
    </comment>
    <comment ref="R1497" authorId="0" shapeId="0" xr:uid="{6A724B8D-400C-4273-8879-4068044380EE}">
      <text>
        <r>
          <rPr>
            <sz val="11"/>
            <color theme="1"/>
            <rFont val="Aptos Narrow"/>
            <family val="2"/>
            <scheme val="minor"/>
          </rPr>
          <t>Unknown User:
Sign not obtained</t>
        </r>
      </text>
    </comment>
    <comment ref="S1497" authorId="0" shapeId="0" xr:uid="{D62FBA22-BB6D-4B22-B891-D919721627FA}">
      <text>
        <r>
          <rPr>
            <sz val="11"/>
            <color theme="1"/>
            <rFont val="Aptos Narrow"/>
            <family val="2"/>
            <scheme val="minor"/>
          </rPr>
          <t>Unknown User:
Invoice emailed without sign.</t>
        </r>
      </text>
    </comment>
    <comment ref="U1497" authorId="0" shapeId="0" xr:uid="{FE2D4182-50AE-41FC-8048-2802EADFA886}">
      <text>
        <r>
          <rPr>
            <sz val="11"/>
            <color theme="1"/>
            <rFont val="Aptos Narrow"/>
            <family val="2"/>
            <scheme val="minor"/>
          </rPr>
          <t>Unknown User:
1/10-As per Luke's note "Received a call from the owner of 2 Lease regarding the quote - she has stated she wants to go ahead. Spoke with Ghadeer - we will be sending the plumber back out to obtain a signature for approval and then the works will commence as per the quote. Customer was ok with this - told them that the Plumber will call them to organise an attendance"</t>
        </r>
      </text>
    </comment>
    <comment ref="G1498" authorId="0" shapeId="0" xr:uid="{70A883B4-F67D-4DA0-86DF-1FBD454FDB1E}">
      <text>
        <r>
          <rPr>
            <sz val="11"/>
            <color theme="1"/>
            <rFont val="Aptos Narrow"/>
            <family val="2"/>
            <scheme val="minor"/>
          </rPr>
          <t xml:space="preserve">Unknown User:
SUPPLY &amp; INSTALLATION OF NEW LINK SUITE
10% Seniors &amp; Pensioners Discount </t>
        </r>
      </text>
    </comment>
    <comment ref="P1498" authorId="0" shapeId="0" xr:uid="{40A6763C-09D5-40BC-BFE2-D6D6B65A6952}">
      <text>
        <r>
          <rPr>
            <sz val="11"/>
            <color theme="1"/>
            <rFont val="Aptos Narrow"/>
            <family val="2"/>
            <scheme val="minor"/>
          </rPr>
          <t>Unknown User:
Quote not emailed</t>
        </r>
      </text>
    </comment>
    <comment ref="S1498" authorId="0" shapeId="0" xr:uid="{DAD455F5-9CD6-4FC2-8D74-5974F9FF77B8}">
      <text>
        <r>
          <rPr>
            <sz val="11"/>
            <color theme="1"/>
            <rFont val="Aptos Narrow"/>
            <family val="2"/>
            <scheme val="minor"/>
          </rPr>
          <t>Unknown User:
Signed invoice not emailed</t>
        </r>
      </text>
    </comment>
    <comment ref="G1499" authorId="0" shapeId="0" xr:uid="{30E6CD5C-5991-4E2E-902E-981BB2A6DD0E}">
      <text>
        <r>
          <rPr>
            <sz val="11"/>
            <color theme="1"/>
            <rFont val="Aptos Narrow"/>
            <family val="2"/>
            <scheme val="minor"/>
          </rPr>
          <t>Unknown User:
SEWER SPOT DIG - IN GROUND</t>
        </r>
      </text>
    </comment>
    <comment ref="N1499" authorId="0" shapeId="0" xr:uid="{E97736CE-7CC4-48C8-AB28-248BB65223F5}">
      <text>
        <r>
          <rPr>
            <sz val="11"/>
            <color theme="1"/>
            <rFont val="Aptos Narrow"/>
            <family val="2"/>
            <scheme val="minor"/>
          </rPr>
          <t>Unknown User:
Quote raised in Job #73987</t>
        </r>
      </text>
    </comment>
    <comment ref="P1499" authorId="0" shapeId="0" xr:uid="{67AA0EFA-C29E-4E2A-8226-E9CA961AFAF4}">
      <text>
        <r>
          <rPr>
            <sz val="11"/>
            <color theme="1"/>
            <rFont val="Aptos Narrow"/>
            <family val="2"/>
            <scheme val="minor"/>
          </rPr>
          <t>Unknown User:
Quote not emailed</t>
        </r>
      </text>
    </comment>
    <comment ref="V1499" authorId="0" shapeId="0" xr:uid="{4F2AA82A-EB56-4A6A-88B9-3D988A6B45DC}">
      <text>
        <r>
          <rPr>
            <sz val="11"/>
            <color theme="1"/>
            <rFont val="Aptos Narrow"/>
            <family val="2"/>
            <scheme val="minor"/>
          </rPr>
          <t>Unknown User:
9/10-Received $3201.40 by Smartpay</t>
        </r>
      </text>
    </comment>
    <comment ref="G1500" authorId="0" shapeId="0" xr:uid="{16CB1276-887C-4F88-87A5-5D62D54D5F8E}">
      <text>
        <r>
          <rPr>
            <sz val="11"/>
            <color theme="1"/>
            <rFont val="Aptos Narrow"/>
            <family val="2"/>
            <scheme val="minor"/>
          </rPr>
          <t>Unknown User:
SUPPLY &amp; INSTALLATION OF NEW LINK SUITE</t>
        </r>
      </text>
    </comment>
    <comment ref="P1500" authorId="0" shapeId="0" xr:uid="{928D13D9-335A-4D83-B627-9DF0349A3F53}">
      <text>
        <r>
          <rPr>
            <sz val="11"/>
            <color theme="1"/>
            <rFont val="Aptos Narrow"/>
            <family val="2"/>
            <scheme val="minor"/>
          </rPr>
          <t>Unknown User:
Quote not emailed</t>
        </r>
      </text>
    </comment>
    <comment ref="Q1500" authorId="0" shapeId="0" xr:uid="{85A86E9A-B177-44DA-B092-5586A6485E0D}">
      <text>
        <r>
          <rPr>
            <sz val="11"/>
            <color theme="1"/>
            <rFont val="Aptos Narrow"/>
            <family val="2"/>
            <scheme val="minor"/>
          </rPr>
          <t>Unknown User:
Progress payment of $287 not updated &amp; emailed</t>
        </r>
      </text>
    </comment>
    <comment ref="G1504" authorId="0" shapeId="0" xr:uid="{BE0721BB-1B6C-4044-AD1B-A4EAAB37D9CB}">
      <text>
        <r>
          <rPr>
            <sz val="11"/>
            <color theme="1"/>
            <rFont val="Aptos Narrow"/>
            <family val="2"/>
            <scheme val="minor"/>
          </rPr>
          <t xml:space="preserve">Unknown User:
INSTALLATION OF DISHWASHER [SAME LOCATION] (CUSTOMER SUPPLIED)
</t>
        </r>
      </text>
    </comment>
    <comment ref="P1504" authorId="0" shapeId="0" xr:uid="{F19CC298-6A97-4DBA-8F29-24E74F487A22}">
      <text>
        <r>
          <rPr>
            <sz val="11"/>
            <color theme="1"/>
            <rFont val="Aptos Narrow"/>
            <family val="2"/>
            <scheme val="minor"/>
          </rPr>
          <t>Unknown User:
Quote not emailed</t>
        </r>
      </text>
    </comment>
    <comment ref="G1505" authorId="0" shapeId="0" xr:uid="{18A2E0BE-0294-419E-8496-5D1F7F37C0B4}">
      <text>
        <r>
          <rPr>
            <sz val="11"/>
            <color theme="1"/>
            <rFont val="Aptos Narrow"/>
            <family val="2"/>
            <scheme val="minor"/>
          </rPr>
          <t>Unknown User:
REPLACEMENT OF TIMING TAP</t>
        </r>
      </text>
    </comment>
    <comment ref="O1505" authorId="0" shapeId="0" xr:uid="{FBDB35A1-811E-442C-925A-2B0E5152170A}">
      <text>
        <r>
          <rPr>
            <sz val="11"/>
            <color theme="1"/>
            <rFont val="Aptos Narrow"/>
            <family val="2"/>
            <scheme val="minor"/>
          </rPr>
          <t>Unknown User:
Quote not signed</t>
        </r>
      </text>
    </comment>
    <comment ref="P1505" authorId="0" shapeId="0" xr:uid="{ED7654DE-2FAE-49D1-838B-DFC4CEA305B5}">
      <text>
        <r>
          <rPr>
            <sz val="11"/>
            <color theme="1"/>
            <rFont val="Aptos Narrow"/>
            <family val="2"/>
            <scheme val="minor"/>
          </rPr>
          <t>Unknown User:
Quote not emailed</t>
        </r>
      </text>
    </comment>
    <comment ref="G1506" authorId="0" shapeId="0" xr:uid="{54A6443A-A1B4-42CB-9893-7119602CC747}">
      <text>
        <r>
          <rPr>
            <sz val="11"/>
            <color theme="1"/>
            <rFont val="Aptos Narrow"/>
            <family val="2"/>
            <scheme val="minor"/>
          </rPr>
          <t>Unknown User:
SERVICE &amp; PUMP OUT OF SEPTIC TANK</t>
        </r>
      </text>
    </comment>
    <comment ref="P1506" authorId="0" shapeId="0" xr:uid="{A9CA32D3-8F49-4414-903F-6E389A4F2ED7}">
      <text>
        <r>
          <rPr>
            <sz val="11"/>
            <color theme="1"/>
            <rFont val="Aptos Narrow"/>
            <family val="2"/>
            <scheme val="minor"/>
          </rPr>
          <t>Unknown User:
Quote not emailed</t>
        </r>
      </text>
    </comment>
    <comment ref="G1507" authorId="0" shapeId="0" xr:uid="{7562ED66-93CC-4F94-9FF1-9A776B5504E0}">
      <text>
        <r>
          <rPr>
            <sz val="11"/>
            <color theme="1"/>
            <rFont val="Aptos Narrow"/>
            <family val="2"/>
            <scheme val="minor"/>
          </rPr>
          <t xml:space="preserve">Unknown User:
REPLACEMENT OF SEWER BOUNDARY TRAP (UNDER CONCRETE)
CREDIT HIGH POWERED JETBLAST &amp; CCTV CAMERA </t>
        </r>
      </text>
    </comment>
    <comment ref="N1507" authorId="0" shapeId="0" xr:uid="{97AD4A15-B28B-4B9F-9546-503BD9F1684C}">
      <text>
        <r>
          <rPr>
            <sz val="11"/>
            <color theme="1"/>
            <rFont val="Aptos Narrow"/>
            <family val="2"/>
            <scheme val="minor"/>
          </rPr>
          <t>Unknown User:
Quote raised in Job #73204</t>
        </r>
      </text>
    </comment>
    <comment ref="P1507" authorId="0" shapeId="0" xr:uid="{EBA6BCE7-8A40-4DB0-BC20-59A81EE2065F}">
      <text>
        <r>
          <rPr>
            <sz val="11"/>
            <color theme="1"/>
            <rFont val="Aptos Narrow"/>
            <family val="2"/>
            <scheme val="minor"/>
          </rPr>
          <t>Unknown User:
Quote not emailed</t>
        </r>
      </text>
    </comment>
    <comment ref="G1508" authorId="0" shapeId="0" xr:uid="{88F57319-19BE-4521-9052-50890F530DE7}">
      <text>
        <r>
          <rPr>
            <sz val="11"/>
            <color theme="1"/>
            <rFont val="Aptos Narrow"/>
            <family val="2"/>
            <scheme val="minor"/>
          </rPr>
          <t xml:space="preserve">Unknown User:
RESEAL OF SHOWER
</t>
        </r>
      </text>
    </comment>
    <comment ref="K1508" authorId="0" shapeId="0" xr:uid="{01EEF1EB-FCB2-4C77-906A-628FD541B510}">
      <text>
        <r>
          <rPr>
            <sz val="11"/>
            <color theme="1"/>
            <rFont val="Aptos Narrow"/>
            <family val="2"/>
            <scheme val="minor"/>
          </rPr>
          <t>Unknown User:
Previous job #73357 pics considered</t>
        </r>
      </text>
    </comment>
    <comment ref="N1508" authorId="0" shapeId="0" xr:uid="{E72E2244-B589-4C07-992F-1791CB470541}">
      <text>
        <r>
          <rPr>
            <sz val="11"/>
            <color theme="1"/>
            <rFont val="Aptos Narrow"/>
            <family val="2"/>
            <scheme val="minor"/>
          </rPr>
          <t>Unknown User:
Quote raised in Job #73357</t>
        </r>
      </text>
    </comment>
    <comment ref="P1508" authorId="0" shapeId="0" xr:uid="{9B5FB23C-227A-4727-A62E-9154D4D8B281}">
      <text>
        <r>
          <rPr>
            <sz val="11"/>
            <color theme="1"/>
            <rFont val="Aptos Narrow"/>
            <family val="2"/>
            <scheme val="minor"/>
          </rPr>
          <t>Unknown User:
Quote not emailed</t>
        </r>
      </text>
    </comment>
    <comment ref="G1509" authorId="0" shapeId="0" xr:uid="{2EBEC576-CC6C-4B47-A74C-72D60846330B}">
      <text>
        <r>
          <rPr>
            <sz val="11"/>
            <color theme="1"/>
            <rFont val="Aptos Narrow"/>
            <family val="2"/>
            <scheme val="minor"/>
          </rPr>
          <t>Unknown User:
SUPPLY &amp; INSTALLATION OF NEW SINGLE ELEMENT HOT WATER UNIT – INTERNAL</t>
        </r>
      </text>
    </comment>
    <comment ref="P1509" authorId="0" shapeId="0" xr:uid="{E2654FBE-5BA3-444E-B916-E249E34A0C95}">
      <text>
        <r>
          <rPr>
            <sz val="11"/>
            <color theme="1"/>
            <rFont val="Aptos Narrow"/>
            <family val="2"/>
            <scheme val="minor"/>
          </rPr>
          <t>Unknown User:
Quote not emailed</t>
        </r>
      </text>
    </comment>
    <comment ref="G1510" authorId="0" shapeId="0" xr:uid="{F8B14575-AA98-41ED-89A1-9850DCDBA122}">
      <text>
        <r>
          <rPr>
            <sz val="11"/>
            <color theme="1"/>
            <rFont val="Aptos Narrow"/>
            <family val="2"/>
            <scheme val="minor"/>
          </rPr>
          <t>Unknown User:
SPECIALIST LEAK DETECTION (WATER SERVICE)</t>
        </r>
      </text>
    </comment>
    <comment ref="P1510" authorId="0" shapeId="0" xr:uid="{1D65A719-A7B5-40A1-B3A1-177679B73460}">
      <text>
        <r>
          <rPr>
            <sz val="11"/>
            <color theme="1"/>
            <rFont val="Aptos Narrow"/>
            <family val="2"/>
            <scheme val="minor"/>
          </rPr>
          <t>Unknown User:
Quote not emailed</t>
        </r>
      </text>
    </comment>
    <comment ref="G1511" authorId="0" shapeId="0" xr:uid="{5575BFC8-2441-4C47-8230-F5E3E8FDBDD8}">
      <text>
        <r>
          <rPr>
            <sz val="11"/>
            <color theme="1"/>
            <rFont val="Aptos Narrow"/>
            <family val="2"/>
            <scheme val="minor"/>
          </rPr>
          <t>Unknown User:
SPECIALIST LEAK DETECTION (WATER SERVICE)</t>
        </r>
      </text>
    </comment>
    <comment ref="P1511" authorId="0" shapeId="0" xr:uid="{87608946-D478-43FE-8AC4-118BE70BE28F}">
      <text>
        <r>
          <rPr>
            <sz val="11"/>
            <color theme="1"/>
            <rFont val="Aptos Narrow"/>
            <family val="2"/>
            <scheme val="minor"/>
          </rPr>
          <t>Unknown User:
Quote not emailed</t>
        </r>
      </text>
    </comment>
    <comment ref="V1511" authorId="0" shapeId="0" xr:uid="{7F7FC764-1CED-4A74-AB19-390F0E5E3D34}">
      <text>
        <r>
          <rPr>
            <sz val="11"/>
            <color theme="1"/>
            <rFont val="Aptos Narrow"/>
            <family val="2"/>
            <scheme val="minor"/>
          </rPr>
          <t>Unknown User:
13/10-Received $1843.10</t>
        </r>
      </text>
    </comment>
    <comment ref="E1532" authorId="24" shapeId="0" xr:uid="{16A905CF-0845-40C6-A251-A25C38C584C0}">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E1533" authorId="25" shapeId="0" xr:uid="{33235ED0-77DE-475B-975A-7C68AACA0FDF}">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E1534" authorId="26" shapeId="0" xr:uid="{02997EC2-97AB-4B2E-AEF1-13CDE471C762}">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E1535" authorId="27" shapeId="0" xr:uid="{747C8862-4A67-41C9-AC6D-AFA37B811297}">
      <text>
        <t>[Threaded comment]
Your version of Excel allows you to read this threaded comment; however, any edits to it will get removed if the file is opened in a newer version of Excel. Learn more: https://go.microsoft.com/fwlink/?linkid=870924
Comment:
    Checked</t>
      </text>
    </comment>
    <comment ref="E1536" authorId="28" shapeId="0" xr:uid="{234F6F44-D07B-4836-A3E4-965BE8A6B82B}">
      <text>
        <t>[Threaded comment]
Your version of Excel allows you to read this threaded comment; however, any edits to it will get removed if the file is opened in a newer version of Excel. Learn more: https://go.microsoft.com/fwlink/?linkid=870924
Comment:
    Checked</t>
      </text>
    </comment>
    <comment ref="G1544" authorId="0" shapeId="0" xr:uid="{E7FD5F99-4614-473D-9E9C-D1E671736C6E}">
      <text>
        <r>
          <rPr>
            <sz val="11"/>
            <color theme="1"/>
            <rFont val="Aptos Narrow"/>
            <family val="2"/>
            <scheme val="minor"/>
          </rPr>
          <t>Unknown User:
SEARCH &amp; INVESTIGATION OF DOUBLE STOREY ROOF OF POTENTIAL LEAK</t>
        </r>
      </text>
    </comment>
    <comment ref="P1544" authorId="0" shapeId="0" xr:uid="{C3E60771-AC5B-4D66-8F27-27CBEA149C81}">
      <text>
        <r>
          <rPr>
            <sz val="11"/>
            <color theme="1"/>
            <rFont val="Aptos Narrow"/>
            <family val="2"/>
            <scheme val="minor"/>
          </rPr>
          <t>Unknown User:
Quote not emailed</t>
        </r>
      </text>
    </comment>
    <comment ref="G1545" authorId="0" shapeId="0" xr:uid="{7700B1D9-B407-46DF-8564-CB0178AF61F1}">
      <text>
        <r>
          <rPr>
            <sz val="11"/>
            <color theme="1"/>
            <rFont val="Aptos Narrow"/>
            <family val="2"/>
            <scheme val="minor"/>
          </rPr>
          <t>Unknown User:
REPLACEMENT OF EXISTING GOOSE NECK KITCHEN MIXER (CUSTOMER SUPPLIED)</t>
        </r>
      </text>
    </comment>
    <comment ref="P1545" authorId="0" shapeId="0" xr:uid="{6E9563C3-C408-4417-BC2B-11E672AA0662}">
      <text>
        <r>
          <rPr>
            <sz val="11"/>
            <color theme="1"/>
            <rFont val="Aptos Narrow"/>
            <family val="2"/>
            <scheme val="minor"/>
          </rPr>
          <t>Unknown User:
Quote not emailed</t>
        </r>
      </text>
    </comment>
    <comment ref="V1545" authorId="0" shapeId="0" xr:uid="{B3BE152A-2F13-4076-8D69-10552FAC0BE0}">
      <text>
        <r>
          <rPr>
            <sz val="11"/>
            <color theme="1"/>
            <rFont val="Aptos Narrow"/>
            <family val="2"/>
            <scheme val="minor"/>
          </rPr>
          <t>Unknown User:
Smartpay receipt of $1888.80 is split as $674.20 for initial job #74822/89020536 &amp; as $1214.60 for upsell job #74822/89020934</t>
        </r>
      </text>
    </comment>
    <comment ref="G1546" authorId="0" shapeId="0" xr:uid="{6993E224-3D89-4D9D-BEED-126E41A7EDE6}">
      <text>
        <r>
          <rPr>
            <sz val="11"/>
            <color theme="1"/>
            <rFont val="Aptos Narrow"/>
            <family val="2"/>
            <scheme val="minor"/>
          </rPr>
          <t xml:space="preserve">Unknown User:
Site Inspection and Preparation
Assess existing downpipe alignment and connection points.
Identify cause of misalignment (e.g. settlement, incorrect fitting, damage). 
. Prepare work area for safe access (ladder/scaffold if required).
. Removal of Existing Section
Cut and remove the affected section of downpipe.
. Clean and prepare connection ends to ensure proper fit for new components.
. Supply of Materials
90 mm PVC downpipe section.
Two (2) × 22° PVC bends (90 mm diameter).
. PVC primer and solvent cement.
. Brackets and fixings as required.
. Installation
Measure and cut new downpipe section to fit existing layout. 
. Fit and solvent-weld two 22° bends to achieve correct angle and flow.
. Secure pipe with brackets at appropriate intervals.
Ensure fall towards stormwater outlet is maintained.
. Testing and Cleanup
Flush test to confirm correct flow and no leaks.
. Clean site and remove debris/materials.
. Provide photos of completed work if required.
</t>
        </r>
      </text>
    </comment>
    <comment ref="P1546" authorId="0" shapeId="0" xr:uid="{D4264EF8-6927-48EC-9ED6-E1A1AE7BA23D}">
      <text>
        <r>
          <rPr>
            <sz val="11"/>
            <color theme="1"/>
            <rFont val="Aptos Narrow"/>
            <family val="2"/>
            <scheme val="minor"/>
          </rPr>
          <t>Unknown User:
Quote not emailed</t>
        </r>
      </text>
    </comment>
    <comment ref="V1546" authorId="0" shapeId="0" xr:uid="{322B9A82-991A-4551-8ABC-83CA437D1EA5}">
      <text>
        <r>
          <rPr>
            <sz val="11"/>
            <color theme="1"/>
            <rFont val="Aptos Narrow"/>
            <family val="2"/>
            <scheme val="minor"/>
          </rPr>
          <t>Unknown User:
Smartpay receipt of $1888.80 is split as $674.20 for initial job #74822/89020536 &amp; as $1214.60 for upsell job #74822/89020934</t>
        </r>
      </text>
    </comment>
    <comment ref="G1547" authorId="0" shapeId="0" xr:uid="{A024EC35-B512-4F16-878A-F2310B5E271B}">
      <text>
        <r>
          <rPr>
            <sz val="11"/>
            <color theme="1"/>
            <rFont val="Aptos Narrow"/>
            <family val="2"/>
            <scheme val="minor"/>
          </rPr>
          <t>Unknown User:
HIGH POWERED SUCTION &amp; ACID TREATMENT</t>
        </r>
      </text>
    </comment>
    <comment ref="P1547" authorId="0" shapeId="0" xr:uid="{56130A42-7733-4ECD-94E3-1C38CCCBA13A}">
      <text>
        <r>
          <rPr>
            <sz val="11"/>
            <color theme="1"/>
            <rFont val="Aptos Narrow"/>
            <family val="2"/>
            <scheme val="minor"/>
          </rPr>
          <t>Unknown User:
Quote not emailed</t>
        </r>
      </text>
    </comment>
    <comment ref="G1548" authorId="0" shapeId="0" xr:uid="{145A18AF-8667-40D5-B628-466DA9FF740D}">
      <text>
        <r>
          <rPr>
            <sz val="11"/>
            <color theme="1"/>
            <rFont val="Aptos Narrow"/>
            <family val="2"/>
            <scheme val="minor"/>
          </rPr>
          <t>Unknown User:
SEARCH &amp; INVESTIGATION OF POTENTIAL GAS LEAK</t>
        </r>
      </text>
    </comment>
    <comment ref="P1548" authorId="0" shapeId="0" xr:uid="{7125C80E-7607-4754-9566-A4A769BAAE7F}">
      <text>
        <r>
          <rPr>
            <sz val="11"/>
            <color theme="1"/>
            <rFont val="Aptos Narrow"/>
            <family val="2"/>
            <scheme val="minor"/>
          </rPr>
          <t>Unknown User:
Quote not emailed</t>
        </r>
      </text>
    </comment>
    <comment ref="G1549" authorId="0" shapeId="0" xr:uid="{BDAFDF8C-C75D-4670-A6C8-EAFECD32CCF0}">
      <text>
        <r>
          <rPr>
            <sz val="11"/>
            <color theme="1"/>
            <rFont val="Aptos Narrow"/>
            <family val="2"/>
            <scheme val="minor"/>
          </rPr>
          <t>Unknown User:
HIGH POWERED JET BLAST &amp; CCTV DRAIN CAMERA INSPECTION (SEWER SERVICE)
10% Seniors &amp; Pensioners Discount</t>
        </r>
      </text>
    </comment>
    <comment ref="P1549" authorId="0" shapeId="0" xr:uid="{57D45BC6-4481-433B-BADB-45E35DDC160E}">
      <text>
        <r>
          <rPr>
            <sz val="11"/>
            <color theme="1"/>
            <rFont val="Aptos Narrow"/>
            <family val="2"/>
            <scheme val="minor"/>
          </rPr>
          <t>Unknown User:
Quote not emailed</t>
        </r>
      </text>
    </comment>
    <comment ref="Q1549" authorId="0" shapeId="0" xr:uid="{05E0F6B3-8536-407E-BBF7-02E0952D6053}">
      <text>
        <r>
          <rPr>
            <sz val="11"/>
            <color theme="1"/>
            <rFont val="Aptos Narrow"/>
            <family val="2"/>
            <scheme val="minor"/>
          </rPr>
          <t>Unknown User:
Final zero due invoice not raised</t>
        </r>
      </text>
    </comment>
    <comment ref="G1550" authorId="0" shapeId="0" xr:uid="{B4973D20-33F3-4169-94A7-18E8A1B72A4B}">
      <text>
        <r>
          <rPr>
            <sz val="11"/>
            <color theme="1"/>
            <rFont val="Aptos Narrow"/>
            <family val="2"/>
            <scheme val="minor"/>
          </rPr>
          <t>Unknown User:
$85+GST Non-refundable call out fee
COMMERCIAL HIGH POWERED JETBLAST &amp; CCTV DRAIN CAMERA INSPECTION</t>
        </r>
      </text>
    </comment>
    <comment ref="P1550" authorId="0" shapeId="0" xr:uid="{C6C71F5B-4021-4F37-8CBE-AD5056C10F89}">
      <text>
        <r>
          <rPr>
            <sz val="11"/>
            <color theme="1"/>
            <rFont val="Aptos Narrow"/>
            <family val="2"/>
            <scheme val="minor"/>
          </rPr>
          <t>Unknown User:
Quote not emailed</t>
        </r>
      </text>
    </comment>
    <comment ref="G1551" authorId="0" shapeId="0" xr:uid="{DD65F359-13EB-44E6-A1DA-218374DEA677}">
      <text>
        <r>
          <rPr>
            <sz val="11"/>
            <color theme="1"/>
            <rFont val="Aptos Narrow"/>
            <family val="2"/>
            <scheme val="minor"/>
          </rPr>
          <t>Unknown User:
HIGH POWERED JET BLAST &amp; CCTV DRAIN CAMERA INSPECTION (SEWER SERVICE)</t>
        </r>
      </text>
    </comment>
    <comment ref="P1551" authorId="0" shapeId="0" xr:uid="{0413A85B-E8E3-4D74-8D34-1B919B8DA7CF}">
      <text>
        <r>
          <rPr>
            <sz val="11"/>
            <color theme="1"/>
            <rFont val="Aptos Narrow"/>
            <family val="2"/>
            <scheme val="minor"/>
          </rPr>
          <t>Unknown User:
Quote not emailed</t>
        </r>
      </text>
    </comment>
    <comment ref="G1552" authorId="0" shapeId="0" xr:uid="{E4A92BC1-371D-4DCB-AE17-D863711AAA42}">
      <text>
        <r>
          <rPr>
            <sz val="11"/>
            <color theme="1"/>
            <rFont val="Aptos Narrow"/>
            <family val="2"/>
            <scheme val="minor"/>
          </rPr>
          <t>Unknown User:
REPLACEMENT OF BASIN SET</t>
        </r>
      </text>
    </comment>
    <comment ref="P1552" authorId="0" shapeId="0" xr:uid="{78B4F390-A9AA-4336-8686-49ED63BA6189}">
      <text>
        <r>
          <rPr>
            <sz val="11"/>
            <color theme="1"/>
            <rFont val="Aptos Narrow"/>
            <family val="2"/>
            <scheme val="minor"/>
          </rPr>
          <t>Unknown User:
Quote not emailed</t>
        </r>
      </text>
    </comment>
    <comment ref="G1553" authorId="0" shapeId="0" xr:uid="{9F4FC14F-A59D-4166-A778-688BC7780227}">
      <text>
        <r>
          <rPr>
            <sz val="11"/>
            <color theme="1"/>
            <rFont val="Aptos Narrow"/>
            <family val="2"/>
            <scheme val="minor"/>
          </rPr>
          <t>Unknown User:
SEARCH &amp; INVESTIGATION OF POTENTIAL GAS LEAK
10% Seniors &amp; Pensioners Discount</t>
        </r>
      </text>
    </comment>
    <comment ref="P1553" authorId="0" shapeId="0" xr:uid="{34FE5E2F-150A-4854-B8FE-4F7C490AF155}">
      <text>
        <r>
          <rPr>
            <sz val="11"/>
            <color theme="1"/>
            <rFont val="Aptos Narrow"/>
            <family val="2"/>
            <scheme val="minor"/>
          </rPr>
          <t>Unknown User:
Quote not emailed</t>
        </r>
      </text>
    </comment>
    <comment ref="G1554" authorId="0" shapeId="0" xr:uid="{DB53A2BA-4AD5-4542-A447-1FAFE41A95D5}">
      <text>
        <r>
          <rPr>
            <sz val="11"/>
            <color theme="1"/>
            <rFont val="Aptos Narrow"/>
            <family val="2"/>
            <scheme val="minor"/>
          </rPr>
          <t>Unknown User:
COMPLETE SERVICE OF WALL TOP TAPS ASSEMBLY
10% Seniors &amp; Pensioners Discount</t>
        </r>
      </text>
    </comment>
    <comment ref="P1554" authorId="0" shapeId="0" xr:uid="{760CFE2F-354D-4A81-A1A5-EA9A6A4E7EAF}">
      <text>
        <r>
          <rPr>
            <sz val="11"/>
            <color theme="1"/>
            <rFont val="Aptos Narrow"/>
            <family val="2"/>
            <scheme val="minor"/>
          </rPr>
          <t>Unknown User:
Quote not emailed</t>
        </r>
      </text>
    </comment>
    <comment ref="G1555" authorId="0" shapeId="0" xr:uid="{E7A6F1DA-5AB8-4125-97AF-CD869E679023}">
      <text>
        <r>
          <rPr>
            <sz val="11"/>
            <color theme="1"/>
            <rFont val="Aptos Narrow"/>
            <family val="2"/>
            <scheme val="minor"/>
          </rPr>
          <t>Unknown User:
HIGH POWERED SUCTION PUMP
10% Seniors &amp; Pensioners Discount</t>
        </r>
      </text>
    </comment>
    <comment ref="P1555" authorId="0" shapeId="0" xr:uid="{5D48D968-482C-4BC7-A035-EEC09DEC861D}">
      <text>
        <r>
          <rPr>
            <sz val="11"/>
            <color theme="1"/>
            <rFont val="Aptos Narrow"/>
            <family val="2"/>
            <scheme val="minor"/>
          </rPr>
          <t>Unknown User:
Quote not emailed</t>
        </r>
      </text>
    </comment>
    <comment ref="G1560" authorId="0" shapeId="0" xr:uid="{0EB6AA07-D099-464E-A76E-B714C948E6DF}">
      <text>
        <r>
          <rPr>
            <sz val="11"/>
            <color theme="1"/>
            <rFont val="Aptos Narrow"/>
            <family val="2"/>
            <scheme val="minor"/>
          </rPr>
          <t xml:space="preserve">Unknown User:
HIGH POWERED SUCTION &amp; ACID TREATMENT
10% Good Will Discount
$85 Off First Service
CREDIT OF CALL OUT FEE
$85+GST Non-refundable call out fee </t>
        </r>
      </text>
    </comment>
    <comment ref="P1560" authorId="0" shapeId="0" xr:uid="{D371E423-463D-4CBF-8CDA-AD072F0F5F26}">
      <text>
        <r>
          <rPr>
            <sz val="11"/>
            <color theme="1"/>
            <rFont val="Aptos Narrow"/>
            <family val="2"/>
            <scheme val="minor"/>
          </rPr>
          <t>Unknown User:
Quote not emailed</t>
        </r>
      </text>
    </comment>
    <comment ref="S1560" authorId="0" shapeId="0" xr:uid="{6C16B192-AA3A-40DD-A66B-2E79EB0F9C2C}">
      <text>
        <r>
          <rPr>
            <sz val="11"/>
            <color theme="1"/>
            <rFont val="Aptos Narrow"/>
            <family val="2"/>
            <scheme val="minor"/>
          </rPr>
          <t>Unknown User:
Signed invoice not emailed</t>
        </r>
      </text>
    </comment>
    <comment ref="G1561" authorId="0" shapeId="0" xr:uid="{5699ADB7-6EC2-49FA-984A-E3A8A802195F}">
      <text>
        <r>
          <rPr>
            <sz val="11"/>
            <color theme="1"/>
            <rFont val="Aptos Narrow"/>
            <family val="2"/>
            <scheme val="minor"/>
          </rPr>
          <t>Unknown User:
HIGH POWERED JET BLAST &amp; CCTV DRAIN CAMERA INSPECTION (SEWER SERVICE)
$85+GST Non-refundable call out fee</t>
        </r>
      </text>
    </comment>
    <comment ref="P1561" authorId="0" shapeId="0" xr:uid="{683FB0E5-45CC-40E3-BDDE-1F8D7A6EF0B2}">
      <text>
        <r>
          <rPr>
            <sz val="11"/>
            <color theme="1"/>
            <rFont val="Aptos Narrow"/>
            <family val="2"/>
            <scheme val="minor"/>
          </rPr>
          <t>Unknown User:
Quote not emailed</t>
        </r>
      </text>
    </comment>
    <comment ref="G1562" authorId="0" shapeId="0" xr:uid="{02DE4FC4-938E-4D65-9C5B-123AC7D04EEE}">
      <text>
        <r>
          <rPr>
            <sz val="11"/>
            <color theme="1"/>
            <rFont val="Aptos Narrow"/>
            <family val="2"/>
            <scheme val="minor"/>
          </rPr>
          <t>Unknown User:
$85+GST Non-refundable call out fee
WATER SERVICE RECTIFICATION (IN WALL)</t>
        </r>
      </text>
    </comment>
    <comment ref="P1562" authorId="0" shapeId="0" xr:uid="{AAEC1407-18AD-4E32-BE79-A72C2D2CCFAF}">
      <text>
        <r>
          <rPr>
            <sz val="11"/>
            <color theme="1"/>
            <rFont val="Aptos Narrow"/>
            <family val="2"/>
            <scheme val="minor"/>
          </rPr>
          <t>Unknown User:
Quote not emailed</t>
        </r>
      </text>
    </comment>
    <comment ref="G1577" authorId="0" shapeId="0" xr:uid="{B936ED2F-47F7-4F75-8251-2F4857280A03}">
      <text>
        <r>
          <rPr>
            <sz val="11"/>
            <color theme="1"/>
            <rFont val="Aptos Narrow"/>
            <family val="2"/>
            <scheme val="minor"/>
          </rPr>
          <t>Unknown User:
REPLACEMENT OF BASIN MIXER
10% Good Will Discount</t>
        </r>
      </text>
    </comment>
    <comment ref="R1577" authorId="0" shapeId="0" xr:uid="{EA26EC59-878A-4AE6-A6D9-0000D2F453FC}">
      <text>
        <r>
          <rPr>
            <sz val="11"/>
            <color theme="1"/>
            <rFont val="Aptos Narrow"/>
            <family val="2"/>
            <scheme val="minor"/>
          </rPr>
          <t>Unknown User:
Sign not obtained</t>
        </r>
      </text>
    </comment>
    <comment ref="S1577" authorId="0" shapeId="0" xr:uid="{B8370A9B-A8ED-43F5-B703-3015D8A55A4C}">
      <text>
        <r>
          <rPr>
            <sz val="11"/>
            <color theme="1"/>
            <rFont val="Aptos Narrow"/>
            <family val="2"/>
            <scheme val="minor"/>
          </rPr>
          <t>Unknown User:
Invoice emailed without sign</t>
        </r>
      </text>
    </comment>
    <comment ref="V1577" authorId="0" shapeId="0" xr:uid="{94C68A8D-27D3-46DB-8B42-63B52E89D5D4}">
      <text>
        <r>
          <rPr>
            <sz val="11"/>
            <color theme="1"/>
            <rFont val="Aptos Narrow"/>
            <family val="2"/>
            <scheme val="minor"/>
          </rPr>
          <t>Unknown User:
3/11-Podium receipt of $140 collected</t>
        </r>
      </text>
    </comment>
    <comment ref="G1578" authorId="0" shapeId="0" xr:uid="{0F0A2066-2139-4833-ABE2-BC3BBE84ED48}">
      <text>
        <r>
          <rPr>
            <sz val="11"/>
            <color theme="1"/>
            <rFont val="Aptos Narrow"/>
            <family val="2"/>
            <scheme val="minor"/>
          </rPr>
          <t>Unknown User:
HIGH POWERED SUCTION &amp; ACID TREATMENT
10% Seniors &amp; Pensioners Discount</t>
        </r>
      </text>
    </comment>
    <comment ref="P1578" authorId="0" shapeId="0" xr:uid="{3F8CA7E2-19A6-421B-8A24-6E144F909597}">
      <text>
        <r>
          <rPr>
            <sz val="11"/>
            <color theme="1"/>
            <rFont val="Aptos Narrow"/>
            <family val="2"/>
            <scheme val="minor"/>
          </rPr>
          <t>Unknown User:
Quote not emailed</t>
        </r>
      </text>
    </comment>
    <comment ref="G1582" authorId="0" shapeId="0" xr:uid="{1127D6DF-EB1D-4137-9D2F-9B8BF2D22D4A}">
      <text>
        <r>
          <rPr>
            <sz val="11"/>
            <color theme="1"/>
            <rFont val="Aptos Narrow"/>
            <family val="2"/>
            <scheme val="minor"/>
          </rPr>
          <t>Unknown User:
CHEMICAL TREATMENT OF CROC-CRETE ON SEWER SERVICE</t>
        </r>
      </text>
    </comment>
    <comment ref="P1582" authorId="0" shapeId="0" xr:uid="{454425BF-693D-4CF6-842E-A1CAAE2BE11F}">
      <text>
        <r>
          <rPr>
            <sz val="11"/>
            <color theme="1"/>
            <rFont val="Aptos Narrow"/>
            <family val="2"/>
            <scheme val="minor"/>
          </rPr>
          <t>Unknown User:
Quote not emailed</t>
        </r>
      </text>
    </comment>
    <comment ref="Q1582" authorId="0" shapeId="0" xr:uid="{5230952B-7D4D-4551-B76D-257DB7B33D58}">
      <text>
        <r>
          <rPr>
            <sz val="11"/>
            <color theme="1"/>
            <rFont val="Aptos Narrow"/>
            <family val="2"/>
            <scheme val="minor"/>
          </rPr>
          <t>Unknown User:
Progress invoice ($486) not raised</t>
        </r>
      </text>
    </comment>
    <comment ref="G1583" authorId="0" shapeId="0" xr:uid="{DF2EA8D1-3025-4340-B15E-FF481CEE7641}">
      <text>
        <r>
          <rPr>
            <sz val="11"/>
            <color theme="1"/>
            <rFont val="Aptos Narrow"/>
            <family val="2"/>
            <scheme val="minor"/>
          </rPr>
          <t xml:space="preserve">Unknown User:
SUPPLY &amp; INSTALLATION OF NEW COPPER GAS SERVICE UP TO 15M (REPLACEMENT OF EXISTING PEX GAS SERVICE)
Cancellation of Job
</t>
        </r>
      </text>
    </comment>
    <comment ref="L1583" authorId="0" shapeId="0" xr:uid="{1386E160-91C5-4F72-A072-5CD65DC3E383}">
      <text>
        <r>
          <rPr>
            <sz val="11"/>
            <color theme="1"/>
            <rFont val="Aptos Narrow"/>
            <family val="2"/>
            <scheme val="minor"/>
          </rPr>
          <t>Unknown User:
After pics not uploaded-Decommissioned gas HWS</t>
        </r>
      </text>
    </comment>
    <comment ref="P1583" authorId="0" shapeId="0" xr:uid="{66D2CA42-25B2-4C22-9F26-C7C32C4B5714}">
      <text>
        <r>
          <rPr>
            <sz val="11"/>
            <color theme="1"/>
            <rFont val="Aptos Narrow"/>
            <family val="2"/>
            <scheme val="minor"/>
          </rPr>
          <t>Unknown User:
Quote not emailed</t>
        </r>
      </text>
    </comment>
    <comment ref="Q1583" authorId="0" shapeId="0" xr:uid="{4F1FF1F6-6436-40F4-B994-DFCF20CD3233}">
      <text>
        <r>
          <rPr>
            <sz val="11"/>
            <color theme="1"/>
            <rFont val="Aptos Narrow"/>
            <family val="2"/>
            <scheme val="minor"/>
          </rPr>
          <t>Unknown User:
Progress invoice not raised</t>
        </r>
      </text>
    </comment>
    <comment ref="G1587" authorId="0" shapeId="0" xr:uid="{592AB48B-1D38-4EDF-A939-597982A56489}">
      <text>
        <r>
          <rPr>
            <sz val="11"/>
            <color theme="1"/>
            <rFont val="Aptos Narrow"/>
            <family val="2"/>
            <scheme val="minor"/>
          </rPr>
          <t>Unknown User:
SEWER SPOT DIG - IN GROUND
15% Good Will Discount</t>
        </r>
      </text>
    </comment>
    <comment ref="P1587" authorId="0" shapeId="0" xr:uid="{8E35FA51-2F2E-4CC2-9485-1F59CD66EBE9}">
      <text>
        <r>
          <rPr>
            <sz val="11"/>
            <color theme="1"/>
            <rFont val="Aptos Narrow"/>
            <family val="2"/>
            <scheme val="minor"/>
          </rPr>
          <t>Unknown User:
Quote not emailed</t>
        </r>
      </text>
    </comment>
    <comment ref="G1591" authorId="0" shapeId="0" xr:uid="{9B38719D-4ABE-4984-8B0E-378C56703A5B}">
      <text>
        <r>
          <rPr>
            <sz val="11"/>
            <color theme="1"/>
            <rFont val="Aptos Narrow"/>
            <family val="2"/>
            <scheme val="minor"/>
          </rPr>
          <t xml:space="preserve">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
</t>
        </r>
      </text>
    </comment>
    <comment ref="P1591" authorId="0" shapeId="0" xr:uid="{E5A96F5F-99DB-4F57-B491-F1899896B8A1}">
      <text>
        <r>
          <rPr>
            <sz val="11"/>
            <color theme="1"/>
            <rFont val="Aptos Narrow"/>
            <family val="2"/>
            <scheme val="minor"/>
          </rPr>
          <t>Unknown User:
Quote not Emailed</t>
        </r>
      </text>
    </comment>
    <comment ref="V1591" authorId="0" shapeId="0" xr:uid="{A59FACBC-FA86-4610-BF0C-AC71CF45EF90}">
      <text>
        <r>
          <rPr>
            <sz val="11"/>
            <color theme="1"/>
            <rFont val="Aptos Narrow"/>
            <family val="2"/>
            <scheme val="minor"/>
          </rPr>
          <t xml:space="preserve">Unknown User:
11/07 Received $200 EFT
</t>
        </r>
      </text>
    </comment>
    <comment ref="G1592" authorId="0" shapeId="0" xr:uid="{2935F706-69E0-48F7-AF25-923860223FE6}">
      <text>
        <r>
          <rPr>
            <sz val="11"/>
            <color theme="1"/>
            <rFont val="Aptos Narrow"/>
            <family val="2"/>
            <scheme val="minor"/>
          </rPr>
          <t xml:space="preserve">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
CONTINUATION OF SERVICES </t>
        </r>
      </text>
    </comment>
    <comment ref="N1592" authorId="0" shapeId="0" xr:uid="{2E03605A-8676-4D61-8049-D8B9BCB46B41}">
      <text>
        <r>
          <rPr>
            <sz val="11"/>
            <color theme="1"/>
            <rFont val="Aptos Narrow"/>
            <family val="2"/>
            <scheme val="minor"/>
          </rPr>
          <t>Unknown User:
Quote raised in job #71681</t>
        </r>
      </text>
    </comment>
    <comment ref="P1592" authorId="0" shapeId="0" xr:uid="{7FC14BBF-AB56-4E3C-B563-4FE5B8153265}">
      <text>
        <r>
          <rPr>
            <sz val="11"/>
            <color theme="1"/>
            <rFont val="Aptos Narrow"/>
            <family val="2"/>
            <scheme val="minor"/>
          </rPr>
          <t>Unknown User:
Quote not emailed</t>
        </r>
      </text>
    </comment>
    <comment ref="Q1592" authorId="0" shapeId="0" xr:uid="{E7695117-D532-40D0-AC88-DE6740E3FA89}">
      <text>
        <r>
          <rPr>
            <sz val="11"/>
            <color theme="1"/>
            <rFont val="Aptos Narrow"/>
            <family val="2"/>
            <scheme val="minor"/>
          </rPr>
          <t>Unknown User:
Final invoice not raised</t>
        </r>
      </text>
    </comment>
    <comment ref="U1592" authorId="0" shapeId="0" xr:uid="{9556621D-C6BE-485B-ACD1-B600A051203E}">
      <text>
        <r>
          <rPr>
            <sz val="11"/>
            <color theme="1"/>
            <rFont val="Aptos Narrow"/>
            <family val="2"/>
            <scheme val="minor"/>
          </rPr>
          <t>Unknown User:
23/7-As per Alex's note "Previous invoices weren't taken off on the total and the system didn't match what she paid so I took what she said was left from her end. Please confirm if there is more needed to be taken. I tried my best
"</t>
        </r>
      </text>
    </comment>
    <comment ref="G1593" authorId="0" shapeId="0" xr:uid="{EB8F9A5D-DEF3-4C9D-AA1C-DC93A9BC120E}">
      <text>
        <r>
          <rPr>
            <sz val="11"/>
            <color theme="1"/>
            <rFont val="Aptos Narrow"/>
            <family val="2"/>
            <scheme val="minor"/>
          </rPr>
          <t>Unknown User:
COMMERCIAL HIGH POWERED JETBLAST &amp; CCTV DRAIN CAMERA INSPECTION</t>
        </r>
      </text>
    </comment>
    <comment ref="P1593" authorId="0" shapeId="0" xr:uid="{1FADEF15-08AB-4C3E-9263-E72A5DCC1003}">
      <text>
        <r>
          <rPr>
            <sz val="11"/>
            <color theme="1"/>
            <rFont val="Aptos Narrow"/>
            <family val="2"/>
            <scheme val="minor"/>
          </rPr>
          <t xml:space="preserve">Unknown User:
Quote not emailed
</t>
        </r>
      </text>
    </comment>
    <comment ref="G1594" authorId="0" shapeId="0" xr:uid="{DE5FBA3A-4EEE-4643-9A58-E8388B3D2626}">
      <text>
        <r>
          <rPr>
            <sz val="11"/>
            <color theme="1"/>
            <rFont val="Aptos Narrow"/>
            <family val="2"/>
            <scheme val="minor"/>
          </rPr>
          <t>Unknown User:
REPLACEMENT OF BASIN SET</t>
        </r>
      </text>
    </comment>
    <comment ref="P1594" authorId="0" shapeId="0" xr:uid="{6B361087-C773-40CA-8743-E0AAC06A4D51}">
      <text>
        <r>
          <rPr>
            <sz val="11"/>
            <color theme="1"/>
            <rFont val="Aptos Narrow"/>
            <family val="2"/>
            <scheme val="minor"/>
          </rPr>
          <t>Unknown User:
Quote not emailed</t>
        </r>
      </text>
    </comment>
    <comment ref="S1594" authorId="0" shapeId="0" xr:uid="{DE3FD2A9-F714-481E-B245-3E22F37D9B79}">
      <text>
        <r>
          <rPr>
            <sz val="11"/>
            <color theme="1"/>
            <rFont val="Aptos Narrow"/>
            <family val="2"/>
            <scheme val="minor"/>
          </rPr>
          <t>Unknown User:
Final invoice not emailed</t>
        </r>
      </text>
    </comment>
    <comment ref="V1594" authorId="0" shapeId="0" xr:uid="{6FC62159-6641-46D4-BF56-459AD198FB38}">
      <text>
        <r>
          <rPr>
            <sz val="11"/>
            <color theme="1"/>
            <rFont val="Aptos Narrow"/>
            <family val="2"/>
            <scheme val="minor"/>
          </rPr>
          <t>Unknown User:
Short receipt by $30</t>
        </r>
      </text>
    </comment>
    <comment ref="G1595" authorId="0" shapeId="0" xr:uid="{85BA8FDA-38F8-4EF5-B4BA-F481D6E55A3B}">
      <text>
        <r>
          <rPr>
            <sz val="11"/>
            <color theme="1"/>
            <rFont val="Aptos Narrow"/>
            <family val="2"/>
            <scheme val="minor"/>
          </rPr>
          <t xml:space="preserve">Unknown User:
SUPPLY &amp; INSTALLATION OF NEW TWIN ELEMENT HOT WATER UNIT (INTERNAL)
</t>
        </r>
      </text>
    </comment>
    <comment ref="L1595" authorId="0" shapeId="0" xr:uid="{614B47D6-4187-494E-84CE-6B6BC06D11D7}">
      <text>
        <r>
          <rPr>
            <sz val="11"/>
            <color theme="1"/>
            <rFont val="Aptos Narrow"/>
            <family val="2"/>
            <scheme val="minor"/>
          </rPr>
          <t>Unknown User:
Temp check pic not uploaded</t>
        </r>
      </text>
    </comment>
    <comment ref="N1595" authorId="0" shapeId="0" xr:uid="{86EA2A1F-8738-4AA8-8DFD-1931B84A41C2}">
      <text>
        <r>
          <rPr>
            <sz val="11"/>
            <color theme="1"/>
            <rFont val="Aptos Narrow"/>
            <family val="2"/>
            <scheme val="minor"/>
          </rPr>
          <t>Unknown User:
Quote not raised due to technical issue in ServiceTitan.</t>
        </r>
      </text>
    </comment>
    <comment ref="U1595" authorId="0" shapeId="0" xr:uid="{0206EF9B-04EE-438A-9879-47025A13B72A}">
      <text>
        <r>
          <rPr>
            <sz val="11"/>
            <color theme="1"/>
            <rFont val="Aptos Narrow"/>
            <family val="2"/>
            <scheme val="minor"/>
          </rPr>
          <t>Unknown User:
14/8-As per Fiona's note "Customer has claimed that damage to the downstairs apartment has been caused by the water damaged from out workmanship. Charlie has advised that if damage is caused by us then we will definitely cover it however she must pay for her HWS first.
Customer expressed she thought the 10% deposit was the cost paid for the HSW and didn't realize she still owed more. She also advised she wanted a breakdown of cost to which she has now been told twice by different operators that we offer a fixed price quote and not a breakdown of labour and product or equipment."
14/8-As per Sadie's note "customer called to cancel appointment for today - refusing to pay outstanding balance, threatened with laws and regulations and is going to take action within 7 days if she doesn't receive a itemized invoice, advised customer we don't provide itemized invoices due to it being an upfront fixed price quote. customer has a written complaint which i have advised customer to send via email. email is being sent to info@tradesaus.com.au"
13/8-As per Mathew H's note "Karen said that she wasn’t aware of the price of the job, she was very surprised when I told her the balance owing over the phone, I said this would have been presented to you at the start of the job and you paid a deposit of it, she then said that she wanted an itemised invoice and I said we don’t do them as per the website we provide upfront fixed pricing for the work, she said yes I understand and I’m not saying that I’m not going to pay but I need to understand where all the money is going and also you need to sort out the damage caused by the leak to be downstairs of our property. This is difficult when Liam isn’t available at the moment so I said you will have to wait for a few days, for the meantime I sent her the invoice that shows what is outstanding. Adding appointment to follow up on Monday 18th"</t>
        </r>
      </text>
    </comment>
    <comment ref="G1596" authorId="0" shapeId="0" xr:uid="{0C3148E3-6C47-4372-B805-DE89DB4E3350}">
      <text>
        <r>
          <rPr>
            <sz val="11"/>
            <color theme="1"/>
            <rFont val="Aptos Narrow"/>
            <family val="2"/>
            <scheme val="minor"/>
          </rPr>
          <t>Unknown User:
WATER SERVICE RECTIFICATION (IN GROUND)
10% Seniors &amp; Pensioners Discount</t>
        </r>
      </text>
    </comment>
    <comment ref="P1596" authorId="0" shapeId="0" xr:uid="{DB71FDDF-FC1F-4619-BEBB-9511E72AA112}">
      <text>
        <r>
          <rPr>
            <sz val="11"/>
            <color theme="1"/>
            <rFont val="Aptos Narrow"/>
            <family val="2"/>
            <scheme val="minor"/>
          </rPr>
          <t>Unknown User:
Quote not emailed</t>
        </r>
      </text>
    </comment>
    <comment ref="G1597" authorId="0" shapeId="0" xr:uid="{849F0D36-18E9-4C1E-980A-083B03590003}">
      <text>
        <r>
          <rPr>
            <sz val="11"/>
            <color theme="1"/>
            <rFont val="Aptos Narrow"/>
            <family val="2"/>
            <scheme val="minor"/>
          </rPr>
          <t xml:space="preserve">Unknown User:
SUPPLY &amp; INSTALLATION OF GAS STORAGE HOT WATER SYSTEM (EXTERNAL)
CREDIT OF SEARCH &amp; INVESTIGATION </t>
        </r>
      </text>
    </comment>
    <comment ref="N1597" authorId="0" shapeId="0" xr:uid="{9B05C4B2-4410-4DA6-B31A-9B3858E6BC04}">
      <text>
        <r>
          <rPr>
            <sz val="11"/>
            <color theme="1"/>
            <rFont val="Aptos Narrow"/>
            <family val="2"/>
            <scheme val="minor"/>
          </rPr>
          <t>Unknown User:
Quote raised &amp; uploaded in Job #72903</t>
        </r>
      </text>
    </comment>
    <comment ref="P1597" authorId="0" shapeId="0" xr:uid="{B155E2C1-A23E-455C-9B56-92E978BBFBA8}">
      <text>
        <r>
          <rPr>
            <sz val="11"/>
            <color theme="1"/>
            <rFont val="Aptos Narrow"/>
            <family val="2"/>
            <scheme val="minor"/>
          </rPr>
          <t>Unknown User:
Quote not emailed</t>
        </r>
      </text>
    </comment>
    <comment ref="T1597" authorId="0" shapeId="0" xr:uid="{5ED0F8AE-12FD-40F2-88DC-413F0B08B3AC}">
      <text>
        <r>
          <rPr>
            <sz val="11"/>
            <color theme="1"/>
            <rFont val="Aptos Narrow"/>
            <family val="2"/>
            <scheme val="minor"/>
          </rPr>
          <t>Unknown User:
0.5x for Tolga 
0.5x for Rylee W</t>
        </r>
      </text>
    </comment>
    <comment ref="V1597" authorId="0" shapeId="0" xr:uid="{CEF2E992-C5AB-4F65-AA71-49D997ED2AC1}">
      <text>
        <r>
          <rPr>
            <sz val="11"/>
            <color theme="1"/>
            <rFont val="Aptos Narrow"/>
            <family val="2"/>
            <scheme val="minor"/>
          </rPr>
          <t>Unknown User:
3/9-EFT received for $608
3/9-PP (ZIP) settlement made for 5478.30</t>
        </r>
      </text>
    </comment>
    <comment ref="D1598" authorId="0" shapeId="0" xr:uid="{C3014477-D937-43F2-A674-2CD3CB9424AE}">
      <text>
        <r>
          <rPr>
            <sz val="11"/>
            <color theme="1"/>
            <rFont val="Aptos Narrow"/>
            <family val="2"/>
            <scheme val="minor"/>
          </rPr>
          <t>Unknown User:
Previously under "Unsuccessful jobs" in Bradley's sheet on 2/9. Now quote raised by Liam on 11/9</t>
        </r>
      </text>
    </comment>
    <comment ref="G1598" authorId="0" shapeId="0" xr:uid="{91D08244-4E42-477E-ABC7-E0FA525F8693}">
      <text>
        <r>
          <rPr>
            <sz val="11"/>
            <color theme="1"/>
            <rFont val="Aptos Narrow"/>
            <family val="2"/>
            <scheme val="minor"/>
          </rPr>
          <t>Unknown User:
COMPLETE SERVICE OF WALL TOP TAPS ASSEMBLY</t>
        </r>
      </text>
    </comment>
    <comment ref="P1598" authorId="0" shapeId="0" xr:uid="{F92605A0-D0E1-4D28-BBEE-7ED6B264972C}">
      <text>
        <r>
          <rPr>
            <sz val="11"/>
            <color theme="1"/>
            <rFont val="Aptos Narrow"/>
            <family val="2"/>
            <scheme val="minor"/>
          </rPr>
          <t>Unknown User:
Quote not emailed</t>
        </r>
      </text>
    </comment>
    <comment ref="G1599" authorId="0" shapeId="0" xr:uid="{EBA38A0E-B1CE-4E24-AF24-8760A05D97B6}">
      <text>
        <r>
          <rPr>
            <sz val="11"/>
            <color theme="1"/>
            <rFont val="Aptos Narrow"/>
            <family val="2"/>
            <scheme val="minor"/>
          </rPr>
          <t>Unknown User:
SUPPLY &amp; INSTALLATION OF GAS STORAGE HOT WATER SYSTEM (EXTERNAL)</t>
        </r>
      </text>
    </comment>
    <comment ref="P1599" authorId="0" shapeId="0" xr:uid="{AFC07631-8ABD-47DD-A7FB-D36844CB1EC8}">
      <text>
        <r>
          <rPr>
            <sz val="11"/>
            <color theme="1"/>
            <rFont val="Aptos Narrow"/>
            <family val="2"/>
            <scheme val="minor"/>
          </rPr>
          <t>Unknown User:
Quote not emailed</t>
        </r>
      </text>
    </comment>
    <comment ref="Q1599" authorId="0" shapeId="0" xr:uid="{8A8F6D2F-1FF5-46E3-B015-B7EA5CD521D5}">
      <text>
        <r>
          <rPr>
            <sz val="11"/>
            <color theme="1"/>
            <rFont val="Aptos Narrow"/>
            <family val="2"/>
            <scheme val="minor"/>
          </rPr>
          <t>Unknown User:
Updated invoice for progress payment of $600 is not added &amp; raised as an invoice.</t>
        </r>
      </text>
    </comment>
    <comment ref="U1599" authorId="0" shapeId="0" xr:uid="{2DFC2302-CF7B-4FFB-9DD9-E4A3D9BD0037}">
      <text>
        <r>
          <rPr>
            <sz val="11"/>
            <color theme="1"/>
            <rFont val="Aptos Narrow"/>
            <family val="2"/>
            <scheme val="minor"/>
          </rPr>
          <t>Unknown User:
22/9-Daniel considered total amount in Smartpay &amp; applied $2541.25 whereas only "Purchase value" (excl surcharge) is to be considered. That is $2500</t>
        </r>
      </text>
    </comment>
    <comment ref="G1600" authorId="0" shapeId="0" xr:uid="{B38751E4-041D-4674-A41D-EBDFA40094A1}">
      <text>
        <r>
          <rPr>
            <sz val="11"/>
            <color theme="1"/>
            <rFont val="Aptos Narrow"/>
            <family val="2"/>
            <scheme val="minor"/>
          </rPr>
          <t>Unknown User:
SUPPLY &amp; INSTALLATION OF NEW CLOSE COUPLED TOILET SUITE</t>
        </r>
      </text>
    </comment>
    <comment ref="P1600" authorId="0" shapeId="0" xr:uid="{4924E8F7-4F80-4759-A268-8866AE05CB94}">
      <text>
        <r>
          <rPr>
            <sz val="11"/>
            <color theme="1"/>
            <rFont val="Aptos Narrow"/>
            <family val="2"/>
            <scheme val="minor"/>
          </rPr>
          <t>Unknown User:
Quote not emailed</t>
        </r>
      </text>
    </comment>
    <comment ref="G1601" authorId="0" shapeId="0" xr:uid="{529390B0-28F5-4322-983F-E82C434A9FEB}">
      <text>
        <r>
          <rPr>
            <sz val="11"/>
            <color theme="1"/>
            <rFont val="Aptos Narrow"/>
            <family val="2"/>
            <scheme val="minor"/>
          </rPr>
          <t>Unknown User:
HIGH POWERED JET BLAST &amp; CCTV CAMERA INSPECTION (GAIN ACCESS WITH
REMOVAL OF TOILET)
15% Good Will Discount</t>
        </r>
      </text>
    </comment>
    <comment ref="L1601" authorId="0" shapeId="0" xr:uid="{343B1DAA-51CF-44D8-A9EC-FE5DBC8AA248}">
      <text>
        <r>
          <rPr>
            <sz val="11"/>
            <color theme="1"/>
            <rFont val="Aptos Narrow"/>
            <family val="2"/>
            <scheme val="minor"/>
          </rPr>
          <t>Unknown User:
CCTV pics/videos not uploaded</t>
        </r>
      </text>
    </comment>
    <comment ref="P1601" authorId="0" shapeId="0" xr:uid="{754FB9A4-1B92-4EC9-9293-1249E0DDF3E2}">
      <text>
        <r>
          <rPr>
            <sz val="11"/>
            <color theme="1"/>
            <rFont val="Aptos Narrow"/>
            <family val="2"/>
            <scheme val="minor"/>
          </rPr>
          <t>Unknown User:
Quote not emailed</t>
        </r>
      </text>
    </comment>
    <comment ref="G1602" authorId="0" shapeId="0" xr:uid="{9572B514-5BD7-4F11-99F6-5B4118D60FAB}">
      <text>
        <r>
          <rPr>
            <sz val="11"/>
            <color theme="1"/>
            <rFont val="Aptos Narrow"/>
            <family val="2"/>
            <scheme val="minor"/>
          </rPr>
          <t xml:space="preserve">Unknown User:
HIGH POWERED JET BLAST &amp; CCTV DRAIN CAMERA INSPECTION (SEWER SERVICE)
</t>
        </r>
      </text>
    </comment>
    <comment ref="P1602" authorId="0" shapeId="0" xr:uid="{02D1400C-D334-4F28-BD82-AB28C3BA790E}">
      <text>
        <r>
          <rPr>
            <sz val="11"/>
            <color theme="1"/>
            <rFont val="Aptos Narrow"/>
            <family val="2"/>
            <scheme val="minor"/>
          </rPr>
          <t>Unknown User:
Quote not emailed</t>
        </r>
      </text>
    </comment>
    <comment ref="Q1602" authorId="0" shapeId="0" xr:uid="{A861C5A2-1B79-4DD5-9197-B993543F7AB0}">
      <text>
        <r>
          <rPr>
            <sz val="11"/>
            <color theme="1"/>
            <rFont val="Aptos Narrow"/>
            <family val="2"/>
            <scheme val="minor"/>
          </rPr>
          <t>Unknown User:
Progress invoice ($100 cash) not raised by plumber</t>
        </r>
      </text>
    </comment>
    <comment ref="D1603" authorId="0" shapeId="0" xr:uid="{F0786114-2818-4ABF-AF42-E70148CEF4B6}">
      <text>
        <r>
          <rPr>
            <sz val="11"/>
            <color theme="1"/>
            <rFont val="Aptos Narrow"/>
            <family val="2"/>
            <scheme val="minor"/>
          </rPr>
          <t>Unknown User:
Previously under "Quote" (Unsuccessful) in Jarrod &amp; Liam's sheet. 
Although Jack has raised quote on 17/9/2025, customer gave approval only on 1/10/2025 and now job completed by Jack.</t>
        </r>
      </text>
    </comment>
    <comment ref="G1603" authorId="0" shapeId="0" xr:uid="{276EF305-DFDB-42B2-B358-ED5F6AB6F1C1}">
      <text>
        <r>
          <rPr>
            <sz val="11"/>
            <color theme="1"/>
            <rFont val="Aptos Narrow"/>
            <family val="2"/>
            <scheme val="minor"/>
          </rPr>
          <t>Unknown User:
SUPPLY &amp; INSTALLATION OF NEW WALL FACED TOILET SUITE
Non-refundable call out fee</t>
        </r>
      </text>
    </comment>
    <comment ref="R1603" authorId="0" shapeId="0" xr:uid="{8E754F7C-C2D2-463B-914B-4D13A6DAC587}">
      <text>
        <r>
          <rPr>
            <sz val="11"/>
            <color theme="1"/>
            <rFont val="Aptos Narrow"/>
            <family val="2"/>
            <scheme val="minor"/>
          </rPr>
          <t>Unknown User:
Sign not obtained</t>
        </r>
      </text>
    </comment>
    <comment ref="S1603" authorId="0" shapeId="0" xr:uid="{6E6477F3-0556-4C9D-9EAF-D0A31F6ADD08}">
      <text>
        <r>
          <rPr>
            <sz val="11"/>
            <color theme="1"/>
            <rFont val="Aptos Narrow"/>
            <family val="2"/>
            <scheme val="minor"/>
          </rPr>
          <t>Unknown User:
Invoice emailed without sign.</t>
        </r>
      </text>
    </comment>
    <comment ref="U1603" authorId="0" shapeId="0" xr:uid="{41A77AD3-29E8-4FC4-8351-9ABABC079B5B}">
      <text>
        <r>
          <rPr>
            <sz val="11"/>
            <color theme="1"/>
            <rFont val="Aptos Narrow"/>
            <family val="2"/>
            <scheme val="minor"/>
          </rPr>
          <t>Unknown User:
1/10-As per Luke's note "Received a call from the owner of 2 Lease regarding the quote - she has stated she wants to go ahead. Spoke with Ghadeer - we will be sending the plumber back out to obtain a signature for approval and then the works will commence as per the quote. Customer was ok with this - told them that the Plumber will call them to organise an attendance"</t>
        </r>
      </text>
    </comment>
    <comment ref="G1604" authorId="0" shapeId="0" xr:uid="{657B79AA-BECC-4EF6-8233-00FE41F683FC}">
      <text>
        <r>
          <rPr>
            <sz val="11"/>
            <color theme="1"/>
            <rFont val="Aptos Narrow"/>
            <family val="2"/>
            <scheme val="minor"/>
          </rPr>
          <t xml:space="preserve">Unknown User:
SUPPLY &amp; INSTALLATION OF NEW LINK SUITE
10% Seniors &amp; Pensioners Discount </t>
        </r>
      </text>
    </comment>
    <comment ref="P1604" authorId="0" shapeId="0" xr:uid="{70FA02FD-3F7F-4103-ACAA-D12A33FE25FE}">
      <text>
        <r>
          <rPr>
            <sz val="11"/>
            <color theme="1"/>
            <rFont val="Aptos Narrow"/>
            <family val="2"/>
            <scheme val="minor"/>
          </rPr>
          <t>Unknown User:
Quote not emailed</t>
        </r>
      </text>
    </comment>
    <comment ref="S1604" authorId="0" shapeId="0" xr:uid="{ED3D6D29-AC2E-4574-B510-3A8934F4575E}">
      <text>
        <r>
          <rPr>
            <sz val="11"/>
            <color theme="1"/>
            <rFont val="Aptos Narrow"/>
            <family val="2"/>
            <scheme val="minor"/>
          </rPr>
          <t>Unknown User:
Signed invoice not emailed</t>
        </r>
      </text>
    </comment>
    <comment ref="G1605" authorId="0" shapeId="0" xr:uid="{6AED8506-5CA9-4D6C-9194-4763DA0D6DF5}">
      <text>
        <r>
          <rPr>
            <sz val="11"/>
            <color theme="1"/>
            <rFont val="Aptos Narrow"/>
            <family val="2"/>
            <scheme val="minor"/>
          </rPr>
          <t>Unknown User:
SEWER SPOT DIG - IN GROUND</t>
        </r>
      </text>
    </comment>
    <comment ref="N1605" authorId="0" shapeId="0" xr:uid="{1E362B66-13F0-40C6-AB53-1B6B42E9C8E9}">
      <text>
        <r>
          <rPr>
            <sz val="11"/>
            <color theme="1"/>
            <rFont val="Aptos Narrow"/>
            <family val="2"/>
            <scheme val="minor"/>
          </rPr>
          <t>Unknown User:
Quote raised in Job #73987</t>
        </r>
      </text>
    </comment>
    <comment ref="P1605" authorId="0" shapeId="0" xr:uid="{9A23EB27-5353-48D4-8F70-D6EF79F54CAC}">
      <text>
        <r>
          <rPr>
            <sz val="11"/>
            <color theme="1"/>
            <rFont val="Aptos Narrow"/>
            <family val="2"/>
            <scheme val="minor"/>
          </rPr>
          <t>Unknown User:
Quote not emailed</t>
        </r>
      </text>
    </comment>
    <comment ref="V1605" authorId="0" shapeId="0" xr:uid="{EF521758-6C8F-4DEF-80C9-B66BE37FBF7C}">
      <text>
        <r>
          <rPr>
            <sz val="11"/>
            <color theme="1"/>
            <rFont val="Aptos Narrow"/>
            <family val="2"/>
            <scheme val="minor"/>
          </rPr>
          <t>Unknown User:
9/10-Received $3201.40 by Smartpay</t>
        </r>
      </text>
    </comment>
    <comment ref="G1606" authorId="0" shapeId="0" xr:uid="{025D0DB6-3085-4617-84BE-85FBD6FAB570}">
      <text>
        <r>
          <rPr>
            <sz val="11"/>
            <color theme="1"/>
            <rFont val="Aptos Narrow"/>
            <family val="2"/>
            <scheme val="minor"/>
          </rPr>
          <t>Unknown User:
SUPPLY &amp; INSTALLATION OF NEW LINK SUITE</t>
        </r>
      </text>
    </comment>
    <comment ref="P1606" authorId="0" shapeId="0" xr:uid="{A2FAF5EA-CC18-4C07-8E27-D60A80085703}">
      <text>
        <r>
          <rPr>
            <sz val="11"/>
            <color theme="1"/>
            <rFont val="Aptos Narrow"/>
            <family val="2"/>
            <scheme val="minor"/>
          </rPr>
          <t>Unknown User:
Quote not emailed</t>
        </r>
      </text>
    </comment>
    <comment ref="Q1606" authorId="0" shapeId="0" xr:uid="{0615EBE8-9BE2-4CB9-93C4-34544C9DEAFB}">
      <text>
        <r>
          <rPr>
            <sz val="11"/>
            <color theme="1"/>
            <rFont val="Aptos Narrow"/>
            <family val="2"/>
            <scheme val="minor"/>
          </rPr>
          <t>Unknown User:
Progress payment of $287 not updated &amp; emailed</t>
        </r>
      </text>
    </comment>
    <comment ref="G1610" authorId="0" shapeId="0" xr:uid="{C0CFFC26-1FFC-43ED-B939-A9704E59327D}">
      <text>
        <r>
          <rPr>
            <sz val="11"/>
            <color theme="1"/>
            <rFont val="Aptos Narrow"/>
            <family val="2"/>
            <scheme val="minor"/>
          </rPr>
          <t xml:space="preserve">Unknown User:
INSTALLATION OF DISHWASHER [SAME LOCATION] (CUSTOMER SUPPLIED)
</t>
        </r>
      </text>
    </comment>
    <comment ref="P1610" authorId="0" shapeId="0" xr:uid="{EA33D825-4C77-4749-B7E4-20180EEDB192}">
      <text>
        <r>
          <rPr>
            <sz val="11"/>
            <color theme="1"/>
            <rFont val="Aptos Narrow"/>
            <family val="2"/>
            <scheme val="minor"/>
          </rPr>
          <t>Unknown User:
Quote not emailed</t>
        </r>
      </text>
    </comment>
    <comment ref="G1611" authorId="0" shapeId="0" xr:uid="{D0D30024-B791-4585-836D-23AA194077D6}">
      <text>
        <r>
          <rPr>
            <sz val="11"/>
            <color theme="1"/>
            <rFont val="Aptos Narrow"/>
            <family val="2"/>
            <scheme val="minor"/>
          </rPr>
          <t>Unknown User:
REPLACEMENT OF TIMING TAP</t>
        </r>
      </text>
    </comment>
    <comment ref="O1611" authorId="0" shapeId="0" xr:uid="{74C6CC90-7EFA-466D-8ADD-880CEE572796}">
      <text>
        <r>
          <rPr>
            <sz val="11"/>
            <color theme="1"/>
            <rFont val="Aptos Narrow"/>
            <family val="2"/>
            <scheme val="minor"/>
          </rPr>
          <t>Unknown User:
Quote not signed</t>
        </r>
      </text>
    </comment>
    <comment ref="P1611" authorId="0" shapeId="0" xr:uid="{8E2E561A-CCAB-4698-828A-F14C3D677D14}">
      <text>
        <r>
          <rPr>
            <sz val="11"/>
            <color theme="1"/>
            <rFont val="Aptos Narrow"/>
            <family val="2"/>
            <scheme val="minor"/>
          </rPr>
          <t>Unknown User:
Quote not emailed</t>
        </r>
      </text>
    </comment>
    <comment ref="G1612" authorId="0" shapeId="0" xr:uid="{F60BB54E-14AE-4BD7-B859-8A3A7CD8FD37}">
      <text>
        <r>
          <rPr>
            <sz val="11"/>
            <color theme="1"/>
            <rFont val="Aptos Narrow"/>
            <family val="2"/>
            <scheme val="minor"/>
          </rPr>
          <t>Unknown User:
SERVICE &amp; PUMP OUT OF SEPTIC TANK</t>
        </r>
      </text>
    </comment>
    <comment ref="P1612" authorId="0" shapeId="0" xr:uid="{5D21AD5A-6ECE-48A2-B380-6BA7032DD8DA}">
      <text>
        <r>
          <rPr>
            <sz val="11"/>
            <color theme="1"/>
            <rFont val="Aptos Narrow"/>
            <family val="2"/>
            <scheme val="minor"/>
          </rPr>
          <t>Unknown User:
Quote not emailed</t>
        </r>
      </text>
    </comment>
    <comment ref="G1613" authorId="0" shapeId="0" xr:uid="{718076E1-090A-491D-B396-78B7F566FABF}">
      <text>
        <r>
          <rPr>
            <sz val="11"/>
            <color theme="1"/>
            <rFont val="Aptos Narrow"/>
            <family val="2"/>
            <scheme val="minor"/>
          </rPr>
          <t xml:space="preserve">Unknown User:
REPLACEMENT OF SEWER BOUNDARY TRAP (UNDER CONCRETE)
CREDIT HIGH POWERED JETBLAST &amp; CCTV CAMERA </t>
        </r>
      </text>
    </comment>
    <comment ref="N1613" authorId="0" shapeId="0" xr:uid="{0949B076-AEFD-43B9-910D-9D313C5A05B5}">
      <text>
        <r>
          <rPr>
            <sz val="11"/>
            <color theme="1"/>
            <rFont val="Aptos Narrow"/>
            <family val="2"/>
            <scheme val="minor"/>
          </rPr>
          <t>Unknown User:
Quote raised in Job #73204</t>
        </r>
      </text>
    </comment>
    <comment ref="P1613" authorId="0" shapeId="0" xr:uid="{41554287-6193-41F8-AE38-A0D6988100C9}">
      <text>
        <r>
          <rPr>
            <sz val="11"/>
            <color theme="1"/>
            <rFont val="Aptos Narrow"/>
            <family val="2"/>
            <scheme val="minor"/>
          </rPr>
          <t>Unknown User:
Quote not emailed</t>
        </r>
      </text>
    </comment>
    <comment ref="G1614" authorId="0" shapeId="0" xr:uid="{3489D464-DB5A-4688-877D-226F661DB146}">
      <text>
        <r>
          <rPr>
            <sz val="11"/>
            <color theme="1"/>
            <rFont val="Aptos Narrow"/>
            <family val="2"/>
            <scheme val="minor"/>
          </rPr>
          <t xml:space="preserve">Unknown User:
RESEAL OF SHOWER
</t>
        </r>
      </text>
    </comment>
    <comment ref="K1614" authorId="0" shapeId="0" xr:uid="{18610A52-0FCC-49C3-96C6-28FF5E6B96C6}">
      <text>
        <r>
          <rPr>
            <sz val="11"/>
            <color theme="1"/>
            <rFont val="Aptos Narrow"/>
            <family val="2"/>
            <scheme val="minor"/>
          </rPr>
          <t>Unknown User:
Previous job #73357 pics considered</t>
        </r>
      </text>
    </comment>
    <comment ref="N1614" authorId="0" shapeId="0" xr:uid="{A80C506B-24F4-4507-A119-2F1F1B362BE1}">
      <text>
        <r>
          <rPr>
            <sz val="11"/>
            <color theme="1"/>
            <rFont val="Aptos Narrow"/>
            <family val="2"/>
            <scheme val="minor"/>
          </rPr>
          <t>Unknown User:
Quote raised in Job #73357</t>
        </r>
      </text>
    </comment>
    <comment ref="P1614" authorId="0" shapeId="0" xr:uid="{0DAA658A-6257-4BD5-AD6A-81DF3E241D0D}">
      <text>
        <r>
          <rPr>
            <sz val="11"/>
            <color theme="1"/>
            <rFont val="Aptos Narrow"/>
            <family val="2"/>
            <scheme val="minor"/>
          </rPr>
          <t>Unknown User:
Quote not emailed</t>
        </r>
      </text>
    </comment>
    <comment ref="G1615" authorId="0" shapeId="0" xr:uid="{DBF92E6D-34C6-4136-AB18-22210F0FC55F}">
      <text>
        <r>
          <rPr>
            <sz val="11"/>
            <color theme="1"/>
            <rFont val="Aptos Narrow"/>
            <family val="2"/>
            <scheme val="minor"/>
          </rPr>
          <t>Unknown User:
SUPPLY &amp; INSTALLATION OF NEW SINGLE ELEMENT HOT WATER UNIT – INTERNAL</t>
        </r>
      </text>
    </comment>
    <comment ref="P1615" authorId="0" shapeId="0" xr:uid="{0896A477-6D2B-484D-8C12-5F5C8BDF0DEA}">
      <text>
        <r>
          <rPr>
            <sz val="11"/>
            <color theme="1"/>
            <rFont val="Aptos Narrow"/>
            <family val="2"/>
            <scheme val="minor"/>
          </rPr>
          <t>Unknown User:
Quote not emailed</t>
        </r>
      </text>
    </comment>
    <comment ref="G1616" authorId="0" shapeId="0" xr:uid="{1DA66818-3529-4E2A-B814-9A44A7B4044F}">
      <text>
        <r>
          <rPr>
            <sz val="11"/>
            <color theme="1"/>
            <rFont val="Aptos Narrow"/>
            <family val="2"/>
            <scheme val="minor"/>
          </rPr>
          <t>Unknown User:
SPECIALIST LEAK DETECTION (WATER SERVICE)</t>
        </r>
      </text>
    </comment>
    <comment ref="P1616" authorId="0" shapeId="0" xr:uid="{8B69BBE9-848D-4B3C-8582-75555814CD68}">
      <text>
        <r>
          <rPr>
            <sz val="11"/>
            <color theme="1"/>
            <rFont val="Aptos Narrow"/>
            <family val="2"/>
            <scheme val="minor"/>
          </rPr>
          <t>Unknown User:
Quote not emailed</t>
        </r>
      </text>
    </comment>
    <comment ref="G1617" authorId="0" shapeId="0" xr:uid="{D76FB984-DA92-4ECC-8C69-00DD23E67A46}">
      <text>
        <r>
          <rPr>
            <sz val="11"/>
            <color theme="1"/>
            <rFont val="Aptos Narrow"/>
            <family val="2"/>
            <scheme val="minor"/>
          </rPr>
          <t>Unknown User:
SPECIALIST LEAK DETECTION (WATER SERVICE)</t>
        </r>
      </text>
    </comment>
    <comment ref="P1617" authorId="0" shapeId="0" xr:uid="{CE2D4538-47A1-4420-BA64-FAA3B5CB3FC1}">
      <text>
        <r>
          <rPr>
            <sz val="11"/>
            <color theme="1"/>
            <rFont val="Aptos Narrow"/>
            <family val="2"/>
            <scheme val="minor"/>
          </rPr>
          <t>Unknown User:
Quote not emailed</t>
        </r>
      </text>
    </comment>
    <comment ref="V1617" authorId="0" shapeId="0" xr:uid="{8407D8AE-48FF-4C37-BAF1-41615DA362D7}">
      <text>
        <r>
          <rPr>
            <sz val="11"/>
            <color theme="1"/>
            <rFont val="Aptos Narrow"/>
            <family val="2"/>
            <scheme val="minor"/>
          </rPr>
          <t>Unknown User:
13/10-Received $1843.10</t>
        </r>
      </text>
    </comment>
    <comment ref="G1621" authorId="0" shapeId="0" xr:uid="{7EF2E5BB-29BC-4101-AE10-0CC8256EB92E}">
      <text>
        <r>
          <rPr>
            <sz val="11"/>
            <color theme="1"/>
            <rFont val="Aptos Narrow"/>
            <family val="2"/>
            <scheme val="minor"/>
          </rPr>
          <t>Unknown User:
SUPPLY &amp; INSTALL NEW CUSTOM FLASHINGS</t>
        </r>
      </text>
    </comment>
    <comment ref="G1622" authorId="0" shapeId="0" xr:uid="{8E569A11-0C2E-46EC-8F3D-591FCB7B5044}">
      <text>
        <r>
          <rPr>
            <sz val="11"/>
            <color theme="1"/>
            <rFont val="Aptos Narrow"/>
            <family val="2"/>
            <scheme val="minor"/>
          </rPr>
          <t xml:space="preserve">Unknown User:
SUPPLY &amp; INSTALLATION OF NEW COPPER GAS SERVICE UP TO 15M (REPLACEMENT OF EXISTING GALVANISED GAS SERVICE)
</t>
        </r>
      </text>
    </comment>
    <comment ref="G1623" authorId="0" shapeId="0" xr:uid="{EDD6B662-FFEE-49C2-9B06-B0FE83C2D6C0}">
      <text>
        <r>
          <rPr>
            <sz val="11"/>
            <color theme="1"/>
            <rFont val="Aptos Narrow"/>
            <family val="2"/>
            <scheme val="minor"/>
          </rPr>
          <t>Unknown User:
REPLACEMENT OF SEWER BOUNDARY TRAP - UNDER PAVERS</t>
        </r>
      </text>
    </comment>
    <comment ref="G1624" authorId="0" shapeId="0" xr:uid="{52B75C98-AD13-43F7-B898-697DF6680260}">
      <text>
        <r>
          <rPr>
            <sz val="11"/>
            <color theme="1"/>
            <rFont val="Aptos Narrow"/>
            <family val="2"/>
            <scheme val="minor"/>
          </rPr>
          <t>Unknown User:
HIGH POWERED SUCTION &amp; ACID TREATMENT
10% Seniors &amp; Pensioners Discount</t>
        </r>
      </text>
    </comment>
    <comment ref="G1625" authorId="0" shapeId="0" xr:uid="{683D30D8-BB41-48AE-92A9-396BF0DC8E42}">
      <text>
        <r>
          <rPr>
            <sz val="11"/>
            <color theme="1"/>
            <rFont val="Aptos Narrow"/>
            <family val="2"/>
            <scheme val="minor"/>
          </rPr>
          <t>Unknown User:
INSTALLATION OF NEW WHOLE HOUSE DUAL FILTER SYSTEM (CUSTOMER SUPPLIED)</t>
        </r>
      </text>
    </comment>
    <comment ref="G1626" authorId="0" shapeId="0" xr:uid="{AE0EDE14-4AC3-4281-B206-1D9E3B2F9F36}">
      <text>
        <r>
          <rPr>
            <sz val="11"/>
            <color theme="1"/>
            <rFont val="Aptos Narrow"/>
            <family val="2"/>
            <scheme val="minor"/>
          </rPr>
          <t xml:space="preserve">Unknown User:
HIGH POWERED JET BLAST &amp; CCTV CAMERA INSPECTION (GAIN ACCESS WITH REMOVAL OF TOILET)
</t>
        </r>
      </text>
    </comment>
    <comment ref="G1627" authorId="0" shapeId="0" xr:uid="{C525F597-A53E-4D43-BF95-F9970C2E9750}">
      <text>
        <r>
          <rPr>
            <sz val="11"/>
            <color theme="1"/>
            <rFont val="Aptos Narrow"/>
            <family val="2"/>
            <scheme val="minor"/>
          </rPr>
          <t xml:space="preserve">Unknown User:
SEWER SPOT DIG (UNDER CONCRETE)
</t>
        </r>
      </text>
    </comment>
    <comment ref="G1628" authorId="0" shapeId="0" xr:uid="{C61885EC-3903-44E5-A9B8-CE719CECD82A}">
      <text>
        <r>
          <rPr>
            <sz val="11"/>
            <color theme="1"/>
            <rFont val="Aptos Narrow"/>
            <family val="2"/>
            <scheme val="minor"/>
          </rPr>
          <t>Unknown User:
SPECIALIST LEAK DETECTION (WATER SERVICE)</t>
        </r>
      </text>
    </comment>
    <comment ref="P1628" authorId="0" shapeId="0" xr:uid="{08C6515C-8B17-4A4F-8006-BBE8BCCA7EBD}">
      <text>
        <r>
          <rPr>
            <sz val="11"/>
            <color theme="1"/>
            <rFont val="Aptos Narrow"/>
            <family val="2"/>
            <scheme val="minor"/>
          </rPr>
          <t>Unknown User:
Quote not emailed</t>
        </r>
      </text>
    </comment>
    <comment ref="G1629" authorId="0" shapeId="0" xr:uid="{1B26FE7B-2A58-49CE-8747-892ABC80CB73}">
      <text>
        <r>
          <rPr>
            <sz val="11"/>
            <color theme="1"/>
            <rFont val="Aptos Narrow"/>
            <family val="2"/>
            <scheme val="minor"/>
          </rPr>
          <t>Unknown User:
INSTALLATION OF NEW WASHING MACHINE (CUSTOMER SUPPLIED)</t>
        </r>
      </text>
    </comment>
    <comment ref="G1630" authorId="0" shapeId="0" xr:uid="{8DE2E6EE-5A2A-4BAA-BC2C-94A8E3FBD2BF}">
      <text>
        <r>
          <rPr>
            <sz val="11"/>
            <color theme="1"/>
            <rFont val="Aptos Narrow"/>
            <family val="2"/>
            <scheme val="minor"/>
          </rPr>
          <t>Unknown User:
FLOOD, DYE, PRESSURE TEST (WET AREA)</t>
        </r>
      </text>
    </comment>
    <comment ref="G1631" authorId="0" shapeId="0" xr:uid="{4F012219-25E1-4DF1-A789-D82186A05F03}">
      <text>
        <r>
          <rPr>
            <sz val="11"/>
            <color theme="1"/>
            <rFont val="Aptos Narrow"/>
            <family val="2"/>
            <scheme val="minor"/>
          </rPr>
          <t>Unknown User:
SEARCH &amp; INVESTIGATION OF GAS STORAGE HOT WATER SYSTEM</t>
        </r>
      </text>
    </comment>
    <comment ref="G1632" authorId="0" shapeId="0" xr:uid="{809CDD69-D645-4AF2-9B7A-5EB97C5B8E56}">
      <text>
        <r>
          <rPr>
            <sz val="11"/>
            <color theme="1"/>
            <rFont val="Aptos Narrow"/>
            <family val="2"/>
            <scheme val="minor"/>
          </rPr>
          <t>Unknown User:
SEARCH AND INVESTIGATION OF GAS INSTANTANEOUS HOT WATER SYSTEM</t>
        </r>
      </text>
    </comment>
    <comment ref="G1633" authorId="0" shapeId="0" xr:uid="{21EA7F58-086C-4690-BE20-A018F9DBADE1}">
      <text>
        <r>
          <rPr>
            <sz val="11"/>
            <color theme="1"/>
            <rFont val="Aptos Narrow"/>
            <family val="2"/>
            <scheme val="minor"/>
          </rPr>
          <t>Unknown User:
HIGH POWERED JET BLAST &amp; CCTV CAMERA INSPECTION (GAIN ACCESS WITH REMOVAL OF TOILET)</t>
        </r>
      </text>
    </comment>
    <comment ref="G1634" authorId="0" shapeId="0" xr:uid="{A314029C-FE69-4491-B64F-7AF6F5CCAEEB}">
      <text>
        <r>
          <rPr>
            <sz val="11"/>
            <color theme="1"/>
            <rFont val="Aptos Narrow"/>
            <family val="2"/>
            <scheme val="minor"/>
          </rPr>
          <t>Unknown User:
WATER SERVICE RECTIFICATION (IN GROUND)
10% Good Will Discount</t>
        </r>
      </text>
    </comment>
    <comment ref="G1635" authorId="0" shapeId="0" xr:uid="{E2BC4B66-60C2-4DDF-9230-39828B58A078}">
      <text>
        <r>
          <rPr>
            <sz val="11"/>
            <color theme="1"/>
            <rFont val="Aptos Narrow"/>
            <family val="2"/>
            <scheme val="minor"/>
          </rPr>
          <t>Unknown User:
SPECIALIST LEAK DETECTION (WATER SERVICE)</t>
        </r>
      </text>
    </comment>
    <comment ref="P1635" authorId="0" shapeId="0" xr:uid="{2CFBA145-9EE8-42EF-A4CD-90FE42E617AD}">
      <text>
        <r>
          <rPr>
            <sz val="11"/>
            <color theme="1"/>
            <rFont val="Aptos Narrow"/>
            <family val="2"/>
            <scheme val="minor"/>
          </rPr>
          <t>Unknown User:
Quote not emailed</t>
        </r>
      </text>
    </comment>
    <comment ref="G1636" authorId="0" shapeId="0" xr:uid="{5A2D7878-57EF-440B-932A-4EF4CE8B8D00}">
      <text>
        <r>
          <rPr>
            <sz val="11"/>
            <color theme="1"/>
            <rFont val="Aptos Narrow"/>
            <family val="2"/>
            <scheme val="minor"/>
          </rPr>
          <t xml:space="preserve">Unknown User:
REPLACEMENT OF WALL TOP TAPWARE
EMERGENCY ISOLATION VALVE - COMBO
EMERGENCY ISOLATION VALVE - COMBO
</t>
        </r>
      </text>
    </comment>
    <comment ref="G1637" authorId="0" shapeId="0" xr:uid="{1F11AC77-E9E3-40C3-8AB5-26C1E96AC315}">
      <text>
        <r>
          <rPr>
            <sz val="11"/>
            <color theme="1"/>
            <rFont val="Aptos Narrow"/>
            <family val="2"/>
            <scheme val="minor"/>
          </rPr>
          <t>Unknown User:
INSTALLATION OF NEW LINK SUITE (CUSTOMER SUPPLIED)
10% Seniors &amp; Pensioners Discount</t>
        </r>
      </text>
    </comment>
    <comment ref="G1638" authorId="0" shapeId="0" xr:uid="{469A4577-499F-4629-89AC-A1C694AEB345}">
      <text>
        <r>
          <rPr>
            <sz val="11"/>
            <color theme="1"/>
            <rFont val="Aptos Narrow"/>
            <family val="2"/>
            <scheme val="minor"/>
          </rPr>
          <t>Unknown User:
SUPPLY AND INSTALLATION OF CUSTOMER SUPPLIED BOILING WATER UNIT
REPLACEMENT OF EXISTING GOOSE NECK KITCHEN MIXER (CUSTOMER SUPPLIED)</t>
        </r>
      </text>
    </comment>
    <comment ref="G1639" authorId="0" shapeId="0" xr:uid="{9413EDA8-3038-445E-B3EE-BB60779F25D9}">
      <text>
        <r>
          <rPr>
            <sz val="11"/>
            <color theme="1"/>
            <rFont val="Aptos Narrow"/>
            <family val="2"/>
            <scheme val="minor"/>
          </rPr>
          <t>Unknown User:
HIGH POWERED SUCTION &amp; ACID TREATMENT
10% Seniors &amp; Pensioners Discount</t>
        </r>
      </text>
    </comment>
    <comment ref="G1643" authorId="0" shapeId="0" xr:uid="{2226410B-6052-40F6-8471-3D5343E90E28}">
      <text>
        <r>
          <rPr>
            <sz val="11"/>
            <color theme="1"/>
            <rFont val="Aptos Narrow"/>
            <family val="2"/>
            <scheme val="minor"/>
          </rPr>
          <t>Unknown User:
HIGH POWERED JET BLAST &amp; CCTV DRAIN CAMERA INSPECTION (SEWER SERVICE)
10% Good Will Discount</t>
        </r>
      </text>
    </comment>
    <comment ref="G1644" authorId="0" shapeId="0" xr:uid="{D10E3C6B-4B8E-43BA-8679-614F69AD0D5D}">
      <text>
        <r>
          <rPr>
            <sz val="11"/>
            <color theme="1"/>
            <rFont val="Aptos Narrow"/>
            <family val="2"/>
            <scheme val="minor"/>
          </rPr>
          <t>Unknown User:
SUPPLY &amp; INSTALLATION OF GAS STORAGE HOT WATER SYSTEM (EXTERNAL)
10% Good Will Discount</t>
        </r>
      </text>
    </comment>
    <comment ref="G1676" authorId="0" shapeId="0" xr:uid="{08ED6607-7CBD-403F-90A2-B49C257C0D7B}">
      <text>
        <r>
          <rPr>
            <sz val="11"/>
            <color theme="1"/>
            <rFont val="Aptos Narrow"/>
            <family val="2"/>
            <scheme val="minor"/>
          </rPr>
          <t xml:space="preserve">Unknown User:
HIGH POWERED JET BLAST &amp; CCTV DRAIN CAMERA INSPECTION (STORM WATER SERVICE)
$89 Blocked Drains Discount 
10% Seniors &amp; Pensioners Discount </t>
        </r>
      </text>
    </comment>
    <comment ref="P1676" authorId="0" shapeId="0" xr:uid="{74033281-B50D-4AAA-994E-7F8045DE0F53}">
      <text>
        <r>
          <rPr>
            <sz val="11"/>
            <color theme="1"/>
            <rFont val="Aptos Narrow"/>
            <family val="2"/>
            <scheme val="minor"/>
          </rPr>
          <t>Unknown User:
Quote not emailed</t>
        </r>
      </text>
    </comment>
    <comment ref="W1676" authorId="0" shapeId="0" xr:uid="{0B15DB84-486D-4886-A957-112F2F94572C}">
      <text>
        <r>
          <rPr>
            <sz val="11"/>
            <color theme="1"/>
            <rFont val="Aptos Narrow"/>
            <family val="2"/>
            <scheme val="minor"/>
          </rPr>
          <t>Unknown User:
Cash denomination
$100*1=$100
$50*1=$50
$100*6=$600
$50*12=$600
Total cash=$1350
Excess receipt by $2.40</t>
        </r>
      </text>
    </comment>
    <comment ref="G1740" authorId="0" shapeId="0" xr:uid="{DF613F0C-5FBC-4A4C-A7DD-72F89BB8A481}">
      <text>
        <r>
          <rPr>
            <sz val="11"/>
            <color theme="1"/>
            <rFont val="Aptos Narrow"/>
            <family val="2"/>
            <scheme val="minor"/>
          </rPr>
          <t>Unknown User:
SPECIALIST LEAK DETECTION (WATER SERVICE)
10% Seniors &amp; Pensioners Discount</t>
        </r>
      </text>
    </comment>
    <comment ref="P1740" authorId="0" shapeId="0" xr:uid="{6DE750B8-841C-481F-9208-2218929C8FC9}">
      <text>
        <r>
          <rPr>
            <sz val="11"/>
            <color theme="1"/>
            <rFont val="Aptos Narrow"/>
            <family val="2"/>
            <scheme val="minor"/>
          </rPr>
          <t>Unknown User:
Quote not emailed</t>
        </r>
      </text>
    </comment>
    <comment ref="W1740" authorId="0" shapeId="0" xr:uid="{4DC8B149-B33E-41EF-9ADF-5494988FB583}">
      <text>
        <r>
          <rPr>
            <sz val="11"/>
            <color theme="1"/>
            <rFont val="Aptos Narrow"/>
            <family val="2"/>
            <scheme val="minor"/>
          </rPr>
          <t>Unknown User:
Cash denomination
$50*3=$150
$20*1=$20
$10*1=$10
Total cash=$150</t>
        </r>
      </text>
    </comment>
    <comment ref="G1762" authorId="0" shapeId="0" xr:uid="{50AA03B0-9C53-48FC-BDC3-12A2022B61EF}">
      <text>
        <r>
          <rPr>
            <sz val="11"/>
            <color theme="1"/>
            <rFont val="Aptos Narrow"/>
            <family val="2"/>
            <scheme val="minor"/>
          </rPr>
          <t xml:space="preserve">Unknown User:
SPECIALIST LEAK DETECTION (WATER SERVICE)
</t>
        </r>
      </text>
    </comment>
    <comment ref="G1763" authorId="0" shapeId="0" xr:uid="{63EBBA30-6AD1-47B9-9CD2-E7E7D3CA7EEC}">
      <text>
        <r>
          <rPr>
            <sz val="11"/>
            <color theme="1"/>
            <rFont val="Aptos Narrow"/>
            <family val="2"/>
            <scheme val="minor"/>
          </rPr>
          <t>Unknown User:
DIG UP OF STORM WATER SPOT (UNDER CONCRETE)
10% Seniors &amp; Pensioners Discount</t>
        </r>
      </text>
    </comment>
    <comment ref="G1764" authorId="0" shapeId="0" xr:uid="{5D1D5C9F-0A3A-4140-AD73-C741A37E50B8}">
      <text>
        <r>
          <rPr>
            <sz val="11"/>
            <color theme="1"/>
            <rFont val="Aptos Narrow"/>
            <family val="2"/>
            <scheme val="minor"/>
          </rPr>
          <t>Unknown User:
INSTALLATION OF NATURAL GAS FIRE PLACEMENT OF [SAME LOCATION] (CUSTOMER SUPPLIED)
10% Good Will Discount</t>
        </r>
      </text>
    </comment>
    <comment ref="G1766" authorId="0" shapeId="0" xr:uid="{C44F550D-5A6F-42B2-BA2F-A89C84F8F382}">
      <text>
        <r>
          <rPr>
            <sz val="11"/>
            <color theme="1"/>
            <rFont val="Aptos Narrow"/>
            <family val="2"/>
            <scheme val="minor"/>
          </rPr>
          <t xml:space="preserve">Unknown User:
SEARCH &amp; INVESTIGATION OF GAS APPLIANCE
</t>
        </r>
      </text>
    </comment>
    <comment ref="G1767" authorId="0" shapeId="0" xr:uid="{A5B838C4-F462-496A-A8FD-F606B0176B97}">
      <text>
        <r>
          <rPr>
            <sz val="11"/>
            <color theme="1"/>
            <rFont val="Aptos Narrow"/>
            <family val="2"/>
            <scheme val="minor"/>
          </rPr>
          <t xml:space="preserve">Unknown User:
BYPASS OF RAINWATER SWITCH
</t>
        </r>
      </text>
    </comment>
    <comment ref="G1768" authorId="0" shapeId="0" xr:uid="{702ACF3E-D443-4D94-B1DE-74972E7B05F0}">
      <text>
        <r>
          <rPr>
            <sz val="11"/>
            <color theme="1"/>
            <rFont val="Aptos Narrow"/>
            <family val="2"/>
            <scheme val="minor"/>
          </rPr>
          <t>Unknown User:
HIGH POWERED JET BLAST &amp; CCTV DRAIN CAMERA INSPECTION (STORM WATER SERVICE)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Guest User</author>
    <author>tc={6B606BB2-4893-46A6-BD65-9097A16670DF}</author>
  </authors>
  <commentList>
    <comment ref="G35" authorId="0" shapeId="0" xr:uid="{789D50C7-F50F-4392-9115-CB0F4B8C96D2}">
      <text>
        <r>
          <rPr>
            <sz val="11"/>
            <color theme="1"/>
            <rFont val="Aptos Narrow"/>
            <family val="2"/>
            <scheme val="minor"/>
          </rPr>
          <t>Unknown User:
SEARCH &amp; INVESTIGATION OF GAS STORAGE HOT WATER SYSTEM
Gain access to gas hot water system
Gain access to main gas isolation valve to property
Test gas supply with specialist manometer device
Visually inspect gas supply and fittings to hot water system
Use soapy spray on fittings and pipework
Check gas supply pressure to hot water system and control unit
Check integrity of gas isolation valve at hot water system
Check power supply to hot water system using testing pen
Check electrical box (IF REQUIRED)
Check circuit switch (IF REQUIRED)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will apply.</t>
        </r>
      </text>
    </comment>
    <comment ref="G36" authorId="0" shapeId="0" xr:uid="{451396BC-73EA-4510-9234-E45A0C741B58}">
      <text>
        <r>
          <rPr>
            <sz val="11"/>
            <color theme="1"/>
            <rFont val="Aptos Narrow"/>
            <family val="2"/>
            <scheme val="minor"/>
          </rPr>
          <t xml:space="preserve">Unknown User:
SUPPLY &amp; INSTALLATION OF GAS STORAGE HOT WATER SYSTEM
(EXTERNAL)
Isolate main water supply to property
Isolate main gas supply to property
Disconnect main gas supply to existing hot water system
Disconnect main cold-water supply to existing gas hot water
system
Disconnect main hot water supply to existing gas hot water
system
Disconnect existing plumbing connecting to existing gas hot
water system
Drain existing gas hot water system
Removal of existing gas hot water system
Removal of existing brass fittings
Disconnect &amp; removal existing section of gas service connecting
to existing internal hot water system
Disconnect &amp; removal of existing section of cold-water supply
connecting to existing gas hot water system
Disconnect &amp; removal of existing section of hot supply
connecting to existing section of gas hot water system
Clean &amp; prepare worked area
Supply &amp; install new external gas storage hot water system
Supply &amp; install new gas emergency isolation valve
Supply &amp; install new duo valve
Supply &amp; install new pressure limiting valve
Supply &amp; install tempering valve
Supply &amp; install new pressure relief valve
Supply &amp; install new B-press fittings
Supply &amp; install new Brass fittings
Supply &amp; install new section of copper gas service &amp; connect to
new gas storage hot water system
Supply &amp; install new section of cold-water service &amp; connect to
new gas storage hot water system
Supply &amp; install new section of hot water copper service &amp;
connect to new gas storage hot water system
Supply &amp; install new pressure relief valve drain service in copper
in accordance with AS3500
Reinstate main water supply to property
Reinstate main gas supply to property
Test &amp; commission installation
Removal of trade waste
PLEASE NOTE IF FURTHER WORK REQUIRED OUTSIDE OF QUOTED
WORKS ADDITIONAL COSTS WILL APPLY
SEARCH &amp; INVESTIGATION OF GAS STORAGE HOT WATER SYSTEM
Gain access to gas hot water system
Gain access to main gas isolation valve to property
Test gas supply with specialist manometer device
Visually inspect gas supply and fittings to hot water system
Use soapy spray on fittings and pipework
Check gas supply pressure to hot water system and control unit
Check integrity of gas isolation valve at hot water system
Check power supply to hot water system using testing pen
Check electrical box (IF REQUIRED)
Check circuit switch (IF REQUIRED)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will apply.
</t>
        </r>
      </text>
    </comment>
    <comment ref="O36" authorId="0" shapeId="0" xr:uid="{6665C7B9-DF54-48EE-AE0F-B98257FD82E0}">
      <text>
        <r>
          <rPr>
            <sz val="11"/>
            <color theme="1"/>
            <rFont val="Aptos Narrow"/>
            <family val="2"/>
            <scheme val="minor"/>
          </rPr>
          <t>Unknown User:
Approved via Text</t>
        </r>
      </text>
    </comment>
    <comment ref="Q36" authorId="0" shapeId="0" xr:uid="{07B0A5EE-09C8-499F-81FD-F7D4A17DDC50}">
      <text>
        <r>
          <rPr>
            <sz val="11"/>
            <color theme="1"/>
            <rFont val="Aptos Narrow"/>
            <family val="2"/>
            <scheme val="minor"/>
          </rPr>
          <t>Unknown User:
Invoice not raised</t>
        </r>
      </text>
    </comment>
    <comment ref="G73" authorId="0" shapeId="0" xr:uid="{5EB9ABEC-0161-49AC-8F1B-F9F35939E63D}">
      <text>
        <r>
          <rPr>
            <sz val="11"/>
            <color theme="1"/>
            <rFont val="Aptos Narrow"/>
            <family val="2"/>
            <scheme val="minor"/>
          </rPr>
          <t>Unknown User:
SUPPLY &amp; INSTALLATION OF NEW COPPER GAS SERVICE UP TO 12M
(REPLACEMENT OF EXISTING GALVANISED GAS SERVICE)
RETURN CUSTOMER DISCOUNT</t>
        </r>
      </text>
    </comment>
    <comment ref="N73" authorId="0" shapeId="0" xr:uid="{E0B25515-00EC-4269-9E60-85150C4EE4D3}">
      <text>
        <r>
          <rPr>
            <sz val="11"/>
            <color theme="1"/>
            <rFont val="Aptos Narrow"/>
            <family val="2"/>
            <scheme val="minor"/>
          </rPr>
          <t>Unknown User:
Quote not raised until 17/07-5:45pm (AEST)</t>
        </r>
      </text>
    </comment>
    <comment ref="G114" authorId="0" shapeId="0" xr:uid="{79452934-3334-42E1-BA48-14E397072D8F}">
      <text>
        <r>
          <rPr>
            <sz val="11"/>
            <color theme="1"/>
            <rFont val="Aptos Narrow"/>
            <family val="2"/>
            <scheme val="minor"/>
          </rPr>
          <t>Unknown User:
SUPPLY &amp; INSTALLATION OF NEW COPPER GAS SERVICE UP TO 12M
(REPLACEMENT OF EXISTING GALVANISED GAS SERVICE)
RETURN CUSTOMER DISCOUNT</t>
        </r>
      </text>
    </comment>
    <comment ref="N114" authorId="0" shapeId="0" xr:uid="{21616F0B-9FE3-4BBA-967B-8A60E4FDD303}">
      <text>
        <r>
          <rPr>
            <sz val="11"/>
            <color theme="1"/>
            <rFont val="Aptos Narrow"/>
            <family val="2"/>
            <scheme val="minor"/>
          </rPr>
          <t>Unknown User:
Quote not raised until 17/07-5:45pm (AEST)</t>
        </r>
      </text>
    </comment>
    <comment ref="G151" authorId="0" shapeId="0" xr:uid="{BC9B3A3B-1A32-41A2-95F6-B9823CEE1303}">
      <text>
        <r>
          <rPr>
            <sz val="11"/>
            <color theme="1"/>
            <rFont val="Aptos Narrow"/>
            <family val="2"/>
            <scheme val="minor"/>
          </rPr>
          <t>Unknown User:
SUPPLY &amp; INSTALLATION OF NEW COPPER GAS SERVICE UP TO 12M
(REPLACEMENT OF EXISTING GALVANISED GAS SERVICE)
RETURN CUSTOMER DISCOUNT</t>
        </r>
      </text>
    </comment>
    <comment ref="N151" authorId="0" shapeId="0" xr:uid="{1CE112E1-63D3-4C7D-B46E-5BE3FB78FB5D}">
      <text>
        <r>
          <rPr>
            <sz val="11"/>
            <color theme="1"/>
            <rFont val="Aptos Narrow"/>
            <family val="2"/>
            <scheme val="minor"/>
          </rPr>
          <t>Unknown User:
Quote not raised until 17/07-5:45pm (AEST)</t>
        </r>
      </text>
    </comment>
    <comment ref="G188" authorId="0" shapeId="0" xr:uid="{8753033B-E9FB-43C5-A6BC-05175944E396}">
      <text>
        <r>
          <rPr>
            <sz val="11"/>
            <color theme="1"/>
            <rFont val="Aptos Narrow"/>
            <family val="2"/>
            <scheme val="minor"/>
          </rPr>
          <t>Unknown User:
SUPPLY &amp; INSTALLATION OF NEW COPPER GAS SERVICE UP TO 12M
(REPLACEMENT OF EXISTING GALVANISED GAS SERVICE)
RETURN CUSTOMER DISCOUNT</t>
        </r>
      </text>
    </comment>
    <comment ref="N188" authorId="0" shapeId="0" xr:uid="{E2373292-CD34-4A68-BAA1-660E20C7A7FC}">
      <text>
        <r>
          <rPr>
            <sz val="11"/>
            <color theme="1"/>
            <rFont val="Aptos Narrow"/>
            <family val="2"/>
            <scheme val="minor"/>
          </rPr>
          <t>Unknown User:
Quote not raised until 17/07-5:45pm (AEST)</t>
        </r>
      </text>
    </comment>
    <comment ref="G225" authorId="0" shapeId="0" xr:uid="{F0D3497F-3F63-4F1F-9186-8BA1488C8376}">
      <text>
        <r>
          <rPr>
            <sz val="11"/>
            <color theme="1"/>
            <rFont val="Aptos Narrow"/>
            <family val="2"/>
            <scheme val="minor"/>
          </rPr>
          <t>Unknown User:
SUPPLY &amp; INSTALLATION OF NEW COPPER GAS SERVICE UP TO 12M
(REPLACEMENT OF EXISTING GALVANISED GAS SERVICE)
RETURN CUSTOMER DISCOUNT</t>
        </r>
      </text>
    </comment>
    <comment ref="N225" authorId="0" shapeId="0" xr:uid="{6EBDF22A-5C38-4A0D-BEC5-2F7B35AD2E17}">
      <text>
        <r>
          <rPr>
            <sz val="11"/>
            <color theme="1"/>
            <rFont val="Aptos Narrow"/>
            <family val="2"/>
            <scheme val="minor"/>
          </rPr>
          <t>Unknown User:
Quote not raised until 17/07-5:45pm (AEST)</t>
        </r>
      </text>
    </comment>
    <comment ref="G257" authorId="0" shapeId="0" xr:uid="{6CD68302-A073-4BC2-BB22-B304CC1CD6D8}">
      <text>
        <r>
          <rPr>
            <sz val="11"/>
            <color theme="1"/>
            <rFont val="Aptos Narrow"/>
            <family val="2"/>
            <scheme val="minor"/>
          </rPr>
          <t>Unknown User:
SUPPLY &amp; INSTALLATION OF TEMPERING VALVE</t>
        </r>
      </text>
    </comment>
    <comment ref="G262" authorId="0" shapeId="0" xr:uid="{281FB4A9-44C3-41B9-8019-B42378562360}">
      <text>
        <r>
          <rPr>
            <sz val="11"/>
            <color theme="1"/>
            <rFont val="Aptos Narrow"/>
            <family val="2"/>
            <scheme val="minor"/>
          </rPr>
          <t>Unknown User:
SUPPLY &amp; INSTALLATION OF NEW COPPER GAS SERVICE UP TO 12M
(REPLACEMENT OF EXISTING GALVANISED GAS SERVICE)
RETURN CUSTOMER DISCOUNT</t>
        </r>
      </text>
    </comment>
    <comment ref="N262" authorId="0" shapeId="0" xr:uid="{092D7FF2-7B3A-49FC-9513-A1D361A7B6D8}">
      <text>
        <r>
          <rPr>
            <sz val="11"/>
            <color theme="1"/>
            <rFont val="Aptos Narrow"/>
            <family val="2"/>
            <scheme val="minor"/>
          </rPr>
          <t>Unknown User:
Quote not raised until 17/07-5:45pm (AEST)</t>
        </r>
      </text>
    </comment>
    <comment ref="G299" authorId="0" shapeId="0" xr:uid="{08CBEFF9-545E-4633-B499-63E6052DFA4D}">
      <text>
        <r>
          <rPr>
            <sz val="11"/>
            <color theme="1"/>
            <rFont val="Aptos Narrow"/>
            <family val="2"/>
            <scheme val="minor"/>
          </rPr>
          <t>Unknown User:
SUPPLY &amp; INSTALLATION OF NEW COPPER GAS SERVICE UP TO 12M
(REPLACEMENT OF EXISTING GALVANISED GAS SERVICE)
RETURN CUSTOMER DISCOUNT</t>
        </r>
      </text>
    </comment>
    <comment ref="N299" authorId="0" shapeId="0" xr:uid="{BD10B452-9856-4EC0-92FC-AC0B2082BDCC}">
      <text>
        <r>
          <rPr>
            <sz val="11"/>
            <color theme="1"/>
            <rFont val="Aptos Narrow"/>
            <family val="2"/>
            <scheme val="minor"/>
          </rPr>
          <t>Unknown User:
Quote not raised until 17/07-5:45pm (AEST)</t>
        </r>
      </text>
    </comment>
    <comment ref="G336" authorId="0" shapeId="0" xr:uid="{B5D4A9E9-2846-43B2-AAA4-7AC4BF819505}">
      <text>
        <r>
          <rPr>
            <sz val="11"/>
            <color theme="1"/>
            <rFont val="Aptos Narrow"/>
            <family val="2"/>
            <scheme val="minor"/>
          </rPr>
          <t>Unknown User:
SUPPLY &amp; INSTALLATION OF NEW COPPER GAS SERVICE UP TO 12M
(REPLACEMENT OF EXISTING GALVANISED GAS SERVICE)
RETURN CUSTOMER DISCOUNT</t>
        </r>
      </text>
    </comment>
    <comment ref="N336" authorId="0" shapeId="0" xr:uid="{8B0ED082-5E87-4A93-8B4B-7853319A0BEE}">
      <text>
        <r>
          <rPr>
            <sz val="11"/>
            <color theme="1"/>
            <rFont val="Aptos Narrow"/>
            <family val="2"/>
            <scheme val="minor"/>
          </rPr>
          <t>Unknown User:
Quote not raised until 17/07-5:45pm (AEST)</t>
        </r>
      </text>
    </comment>
    <comment ref="G374" authorId="0" shapeId="0" xr:uid="{52E54369-EE69-4C72-8DDE-940E9CB91D6C}">
      <text>
        <r>
          <rPr>
            <sz val="11"/>
            <color theme="1"/>
            <rFont val="Aptos Narrow"/>
            <family val="2"/>
            <scheme val="minor"/>
          </rPr>
          <t>Unknown User:
SUPPLY &amp; INSTALLATION OF NEW COPPER GAS SERVICE UP TO 12M
(REPLACEMENT OF EXISTING GALVANISED GAS SERVICE)
RETURN CUSTOMER DISCOUNT</t>
        </r>
      </text>
    </comment>
    <comment ref="N374" authorId="0" shapeId="0" xr:uid="{44BB094E-064D-4074-B300-8FE0E94E34D9}">
      <text>
        <r>
          <rPr>
            <sz val="11"/>
            <color theme="1"/>
            <rFont val="Aptos Narrow"/>
            <family val="2"/>
            <scheme val="minor"/>
          </rPr>
          <t>Unknown User:
Quote not raised until 17/07-5:45pm (AEST)</t>
        </r>
      </text>
    </comment>
    <comment ref="E395" authorId="1" shapeId="0" xr:uid="{6B606BB2-4893-46A6-BD65-9097A16670DF}">
      <text>
        <t>[Threaded comment]
Your version of Excel allows you to read this threaded comment; however, any edits to it will get removed if the file is opened in a newer version of Excel. Learn more: https://go.microsoft.com/fwlink/?linkid=870924
Comment:
    5% Comm'ns to be Paid Upon Achieving 1 x 5 Star</t>
      </text>
    </comment>
    <comment ref="G407" authorId="0" shapeId="0" xr:uid="{1A6EBA14-36AF-45D3-ADB1-F6884AA48ED7}">
      <text>
        <r>
          <rPr>
            <sz val="11"/>
            <color theme="1"/>
            <rFont val="Aptos Narrow"/>
            <family val="2"/>
            <scheme val="minor"/>
          </rPr>
          <t>Unknown User:
COMPLETE SERVICE OF TAP TOP ASSEMBLY</t>
        </r>
      </text>
    </comment>
    <comment ref="P407" authorId="0" shapeId="0" xr:uid="{3DD179CA-0CEB-4EC7-B348-26DA65381555}">
      <text>
        <r>
          <rPr>
            <sz val="11"/>
            <color theme="1"/>
            <rFont val="Aptos Narrow"/>
            <family val="2"/>
            <scheme val="minor"/>
          </rPr>
          <t>Unknown User:
Signed quote not emailed</t>
        </r>
      </text>
    </comment>
    <comment ref="G412" authorId="0" shapeId="0" xr:uid="{26B908B9-B635-4A68-B674-A091CD3E7847}">
      <text>
        <r>
          <rPr>
            <sz val="11"/>
            <color theme="1"/>
            <rFont val="Aptos Narrow"/>
            <family val="2"/>
            <scheme val="minor"/>
          </rPr>
          <t>Unknown User:
SUPPLY &amp; INSTALLATION OF NEW COPPER GAS SERVICE UP TO 12M
(REPLACEMENT OF EXISTING GALVANISED GAS SERVICE)
RETURN CUSTOMER DISCOUNT</t>
        </r>
      </text>
    </comment>
    <comment ref="N412" authorId="0" shapeId="0" xr:uid="{A706C4B4-B79C-42BA-A5B0-F48C27F29EC0}">
      <text>
        <r>
          <rPr>
            <sz val="11"/>
            <color theme="1"/>
            <rFont val="Aptos Narrow"/>
            <family val="2"/>
            <scheme val="minor"/>
          </rPr>
          <t>Unknown User:
Quote not raised until 17/07-5:45pm (AEST)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tc={5CA3F603-90F3-4667-AB6B-94F4C841A8E2}</author>
    <author>Guest User</author>
    <author>tc={3ED4BCC6-BA2E-496D-92C5-3E366D6722B7}</author>
    <author>tc={C78FA506-9648-48EF-B9E3-AE61696D4DFB}</author>
    <author>tc={B7250293-B238-45D6-B854-6EF197D52981}</author>
  </authors>
  <commentList>
    <comment ref="E18" authorId="0" shapeId="0" xr:uid="{5CA3F603-90F3-4667-AB6B-94F4C841A8E2}">
      <text>
        <t>[Threaded comment]
Your version of Excel allows you to read this threaded comment; however, any edits to it will get removed if the file is opened in a newer version of Excel. Learn more: https://go.microsoft.com/fwlink/?linkid=870924
Comment:
    Stock</t>
      </text>
    </comment>
    <comment ref="G29" authorId="1" shapeId="0" xr:uid="{F88113E8-FDC4-4CBE-8A8A-90C0D431B603}">
      <text>
        <r>
          <rPr>
            <sz val="11"/>
            <color theme="1"/>
            <rFont val="Aptos Narrow"/>
            <family val="2"/>
            <scheme val="minor"/>
          </rPr>
          <t>Unknown User:
REPLACEMENT OF BASIN TAPS AND SPOUT
SUPPLY &amp; INSTALLATION OF NEW WALL TOP TAP SET</t>
        </r>
      </text>
    </comment>
    <comment ref="P29" authorId="1" shapeId="0" xr:uid="{2632E37F-37A2-4C5A-952D-3BB014C53103}">
      <text>
        <r>
          <rPr>
            <sz val="11"/>
            <color theme="1"/>
            <rFont val="Aptos Narrow"/>
            <family val="2"/>
            <scheme val="minor"/>
          </rPr>
          <t>Unknown User:
Quote not emailed</t>
        </r>
      </text>
    </comment>
    <comment ref="S29" authorId="1" shapeId="0" xr:uid="{306AE6FE-9FA3-456F-9A78-C8DA28CF8A5D}">
      <text>
        <r>
          <rPr>
            <sz val="11"/>
            <color theme="1"/>
            <rFont val="Aptos Narrow"/>
            <family val="2"/>
            <scheme val="minor"/>
          </rPr>
          <t>Unknown User:
Signed invoice not emailed</t>
        </r>
      </text>
    </comment>
    <comment ref="V29" authorId="1" shapeId="0" xr:uid="{1CBA9F50-AACE-4680-9C24-B2211476059A}">
      <text>
        <r>
          <rPr>
            <sz val="11"/>
            <color theme="1"/>
            <rFont val="Aptos Narrow"/>
            <family val="2"/>
            <scheme val="minor"/>
          </rPr>
          <t>Unknown User:
Overpayment of $261.90 observed.</t>
        </r>
      </text>
    </comment>
    <comment ref="G30" authorId="1" shapeId="0" xr:uid="{3A626B5F-2B16-4FDC-9316-77342855223E}">
      <text>
        <r>
          <rPr>
            <sz val="11"/>
            <color theme="1"/>
            <rFont val="Aptos Narrow"/>
            <family val="2"/>
            <scheme val="minor"/>
          </rPr>
          <t>Unknown User:
HIGH POWERED SUCTION &amp; ACID TREATMENT
10% Loyalty Discount</t>
        </r>
      </text>
    </comment>
    <comment ref="L30" authorId="1" shapeId="0" xr:uid="{688550B5-1C71-4334-9E4A-71EA68BA30C1}">
      <text>
        <r>
          <rPr>
            <sz val="11"/>
            <color theme="1"/>
            <rFont val="Aptos Narrow"/>
            <family val="2"/>
            <scheme val="minor"/>
          </rPr>
          <t>Unknown User:
Acid treatment pics/videos not uploaded</t>
        </r>
      </text>
    </comment>
    <comment ref="P30" authorId="1" shapeId="0" xr:uid="{20EC4A11-C8E0-4931-A60A-8B8A77E90674}">
      <text>
        <r>
          <rPr>
            <sz val="11"/>
            <color theme="1"/>
            <rFont val="Aptos Narrow"/>
            <family val="2"/>
            <scheme val="minor"/>
          </rPr>
          <t>Unknown User:
Quote not emailed</t>
        </r>
      </text>
    </comment>
    <comment ref="G31" authorId="1" shapeId="0" xr:uid="{D7440BE1-A451-4822-9613-DDCA2147B891}">
      <text>
        <r>
          <rPr>
            <sz val="11"/>
            <color theme="1"/>
            <rFont val="Aptos Narrow"/>
            <family val="2"/>
            <scheme val="minor"/>
          </rPr>
          <t>Unknown User:
REPLACEMENT OF BASIN SET</t>
        </r>
      </text>
    </comment>
    <comment ref="S31" authorId="1" shapeId="0" xr:uid="{4B47FF29-9E64-4BA0-A46E-33D65E3975D4}">
      <text>
        <r>
          <rPr>
            <sz val="11"/>
            <color theme="1"/>
            <rFont val="Aptos Narrow"/>
            <family val="2"/>
            <scheme val="minor"/>
          </rPr>
          <t>Unknown User:
Final invoice raised and signed but not emailed.</t>
        </r>
      </text>
    </comment>
    <comment ref="V31" authorId="1" shapeId="0" xr:uid="{92552259-C3FF-428D-8C5D-F59EC197C432}">
      <text>
        <r>
          <rPr>
            <sz val="11"/>
            <color theme="1"/>
            <rFont val="Aptos Narrow"/>
            <family val="2"/>
            <scheme val="minor"/>
          </rPr>
          <t>Unknown User:
Overpayment by $139.60</t>
        </r>
      </text>
    </comment>
    <comment ref="G32" authorId="1" shapeId="0" xr:uid="{2F31E10F-F4FF-49FA-AE33-84463D579BAF}">
      <text>
        <r>
          <rPr>
            <sz val="11"/>
            <color theme="1"/>
            <rFont val="Aptos Narrow"/>
            <family val="2"/>
            <scheme val="minor"/>
          </rPr>
          <t>Unknown User:
REPLACEMENT OF BOTTOM INLET CISTERN FILLING VALVE</t>
        </r>
      </text>
    </comment>
    <comment ref="N32" authorId="1" shapeId="0" xr:uid="{70BAE1B5-85CF-4038-A232-70E5D45ABB29}">
      <text>
        <r>
          <rPr>
            <sz val="11"/>
            <color theme="1"/>
            <rFont val="Aptos Narrow"/>
            <family val="2"/>
            <scheme val="minor"/>
          </rPr>
          <t>Unknown User:
Quote not raised/signed/SMS approval available</t>
        </r>
      </text>
    </comment>
    <comment ref="S32" authorId="1" shapeId="0" xr:uid="{A6553C74-2A4B-4139-8DD9-C6B29295B3A1}">
      <text>
        <r>
          <rPr>
            <sz val="11"/>
            <color theme="1"/>
            <rFont val="Aptos Narrow"/>
            <family val="2"/>
            <scheme val="minor"/>
          </rPr>
          <t>Unknown User:
Final invoice raised and signed but not emailed.</t>
        </r>
      </text>
    </comment>
    <comment ref="G33" authorId="1" shapeId="0" xr:uid="{3598842C-17A7-46AF-8063-37CD7698F781}">
      <text>
        <r>
          <rPr>
            <sz val="11"/>
            <color theme="1"/>
            <rFont val="Aptos Narrow"/>
            <family val="2"/>
            <scheme val="minor"/>
          </rPr>
          <t xml:space="preserve">Unknown User:
SUPPLY &amp; INSTALLATION OF NEW SHOWER WALL TOP TAPS
10% Good Will Discount </t>
        </r>
      </text>
    </comment>
    <comment ref="P33" authorId="1" shapeId="0" xr:uid="{7C32E343-B7EA-4F3D-B558-7775F66FA656}">
      <text>
        <r>
          <rPr>
            <sz val="11"/>
            <color theme="1"/>
            <rFont val="Aptos Narrow"/>
            <family val="2"/>
            <scheme val="minor"/>
          </rPr>
          <t>Unknown User:
Quote not emailed</t>
        </r>
      </text>
    </comment>
    <comment ref="Q33" authorId="1" shapeId="0" xr:uid="{E33EA198-9E88-4012-8645-7E22DB03365C}">
      <text>
        <r>
          <rPr>
            <sz val="11"/>
            <color theme="1"/>
            <rFont val="Aptos Narrow"/>
            <family val="2"/>
            <scheme val="minor"/>
          </rPr>
          <t>Unknown User:
Progress &amp; Final invoice not raised.</t>
        </r>
      </text>
    </comment>
    <comment ref="V33" authorId="1" shapeId="0" xr:uid="{86E36C33-071E-433C-AAA3-2F4630D05281}">
      <text>
        <r>
          <rPr>
            <sz val="11"/>
            <color theme="1"/>
            <rFont val="Aptos Narrow"/>
            <family val="2"/>
            <scheme val="minor"/>
          </rPr>
          <t>Unknown User:
Overpayment by $102 observed</t>
        </r>
      </text>
    </comment>
    <comment ref="G38" authorId="1" shapeId="0" xr:uid="{7A608776-9F92-41EA-9043-91C1A8A898B8}">
      <text>
        <r>
          <rPr>
            <sz val="11"/>
            <color theme="1"/>
            <rFont val="Aptos Narrow"/>
            <family val="2"/>
            <scheme val="minor"/>
          </rPr>
          <t>Unknown User:
HIGH POWERED JET BLAST &amp; CCTV DRAIN CAMERA INSPECTION (SEWER SERVICE)</t>
        </r>
      </text>
    </comment>
    <comment ref="L38" authorId="1" shapeId="0" xr:uid="{42075010-CB60-42CA-B00D-40B40F1AAC0B}">
      <text>
        <r>
          <rPr>
            <sz val="11"/>
            <color theme="1"/>
            <rFont val="Aptos Narrow"/>
            <family val="2"/>
            <scheme val="minor"/>
          </rPr>
          <t>Unknown User:
CCTV pics/videos not uploaded.</t>
        </r>
      </text>
    </comment>
    <comment ref="P38" authorId="1" shapeId="0" xr:uid="{41B5A4B7-81D0-46C8-B4CD-C8353E04C30F}">
      <text>
        <r>
          <rPr>
            <sz val="11"/>
            <color theme="1"/>
            <rFont val="Aptos Narrow"/>
            <family val="2"/>
            <scheme val="minor"/>
          </rPr>
          <t>Unknown User:
Quote not emailed</t>
        </r>
      </text>
    </comment>
    <comment ref="G39" authorId="1" shapeId="0" xr:uid="{05E1A320-18AE-433D-9299-3BD8994D4A71}">
      <text>
        <r>
          <rPr>
            <sz val="11"/>
            <color theme="1"/>
            <rFont val="Aptos Narrow"/>
            <family val="2"/>
            <scheme val="minor"/>
          </rPr>
          <t xml:space="preserve">Unknown User:
COMPLETE SERVICE OF TOILET CISTERN
</t>
        </r>
      </text>
    </comment>
    <comment ref="P39" authorId="1" shapeId="0" xr:uid="{2F691619-71B7-45C5-B356-1EBD01D63752}">
      <text>
        <r>
          <rPr>
            <sz val="11"/>
            <color theme="1"/>
            <rFont val="Aptos Narrow"/>
            <family val="2"/>
            <scheme val="minor"/>
          </rPr>
          <t>Unknown User:
Quote not emailed</t>
        </r>
      </text>
    </comment>
    <comment ref="Q39" authorId="1" shapeId="0" xr:uid="{2645F31D-516A-44F7-AA6C-65E20E39EC15}">
      <text>
        <r>
          <rPr>
            <sz val="11"/>
            <color theme="1"/>
            <rFont val="Aptos Narrow"/>
            <family val="2"/>
            <scheme val="minor"/>
          </rPr>
          <t>Unknown User:
Progress invoice not raised</t>
        </r>
      </text>
    </comment>
    <comment ref="G43" authorId="1" shapeId="0" xr:uid="{0882ABEA-1061-438D-B177-4F884D5EF03D}">
      <text>
        <r>
          <rPr>
            <sz val="11"/>
            <color theme="1"/>
            <rFont val="Aptos Narrow"/>
            <family val="2"/>
            <scheme val="minor"/>
          </rPr>
          <t>Unknown User:
SEARCH &amp; INVESTIGATION (MINOR) - POTENTIAL WATER LEAK FROM UNKOWN LOCATION</t>
        </r>
      </text>
    </comment>
    <comment ref="P43" authorId="1" shapeId="0" xr:uid="{59233A19-DBB0-4129-888D-FCE071730B9A}">
      <text>
        <r>
          <rPr>
            <sz val="11"/>
            <color theme="1"/>
            <rFont val="Aptos Narrow"/>
            <family val="2"/>
            <scheme val="minor"/>
          </rPr>
          <t>Unknown User:
Quote not emailed</t>
        </r>
      </text>
    </comment>
    <comment ref="G47" authorId="1" shapeId="0" xr:uid="{73829E6C-90DA-40C0-9D22-FAEA8E5B0287}">
      <text>
        <r>
          <rPr>
            <sz val="11"/>
            <color theme="1"/>
            <rFont val="Aptos Narrow"/>
            <family val="2"/>
            <scheme val="minor"/>
          </rPr>
          <t>Unknown User:
SEARCH &amp; INVESTIGATION OF GAS STORAGE HOT WATER SYSTEM</t>
        </r>
      </text>
    </comment>
    <comment ref="G48" authorId="1" shapeId="0" xr:uid="{46AF4E11-2391-451C-BB5A-4F8F935CA997}">
      <text>
        <r>
          <rPr>
            <sz val="11"/>
            <color theme="1"/>
            <rFont val="Aptos Narrow"/>
            <family val="2"/>
            <scheme val="minor"/>
          </rPr>
          <t>Unknown User:
RECTIFICATION OF WATER METER (IN GROUND)
10% Seniors &amp; Pensioners Discount</t>
        </r>
      </text>
    </comment>
    <comment ref="G49" authorId="1" shapeId="0" xr:uid="{D00ADF51-30D9-43E4-934A-FDEF63CC4138}">
      <text>
        <r>
          <rPr>
            <sz val="11"/>
            <color theme="1"/>
            <rFont val="Aptos Narrow"/>
            <family val="2"/>
            <scheme val="minor"/>
          </rPr>
          <t>Unknown User:
REPLACEMENT OF BATH TAPS &amp; SPOUT</t>
        </r>
      </text>
    </comment>
    <comment ref="G50" authorId="1" shapeId="0" xr:uid="{F3E64A2A-E0BF-4FC6-9A44-A3FD454FD36D}">
      <text>
        <r>
          <rPr>
            <sz val="11"/>
            <color theme="1"/>
            <rFont val="Aptos Narrow"/>
            <family val="2"/>
            <scheme val="minor"/>
          </rPr>
          <t xml:space="preserve">Unknown User:
REPLACEMENT OF INWALL TOILET CISTERN IN ACCESSIBLE LOCATION
</t>
        </r>
      </text>
    </comment>
    <comment ref="G51" authorId="1" shapeId="0" xr:uid="{BAF183D5-D619-4D9D-A374-90882E28208B}">
      <text>
        <r>
          <rPr>
            <sz val="11"/>
            <color theme="1"/>
            <rFont val="Aptos Narrow"/>
            <family val="2"/>
            <scheme val="minor"/>
          </rPr>
          <t xml:space="preserve">Unknown User:
COMPLETE SERVICE OF TOILET CISTERN
</t>
        </r>
      </text>
    </comment>
    <comment ref="G53" authorId="1" shapeId="0" xr:uid="{2A5051BE-F109-426F-9A3F-710B24BC0F29}">
      <text>
        <r>
          <rPr>
            <sz val="11"/>
            <color theme="1"/>
            <rFont val="Aptos Narrow"/>
            <family val="2"/>
            <scheme val="minor"/>
          </rPr>
          <t>Unknown User:
SUPPLY &amp; INSTALLATION OF NEW SINGLE ELEMENT HOT WATER UNIT – INTERNAL
10% Seniors &amp; Pensioners Discount</t>
        </r>
      </text>
    </comment>
    <comment ref="E75" authorId="2" shapeId="0" xr:uid="{3ED4BCC6-BA2E-496D-92C5-3E366D6722B7}">
      <text>
        <t>[Threaded comment]
Your version of Excel allows you to read this threaded comment; however, any edits to it will get removed if the file is opened in a newer version of Excel. Learn more: https://go.microsoft.com/fwlink/?linkid=870924
Comment:
    Stock</t>
      </text>
    </comment>
    <comment ref="G86" authorId="1" shapeId="0" xr:uid="{E077A4F9-4078-4A99-8614-69163AF84AC9}">
      <text>
        <r>
          <rPr>
            <sz val="11"/>
            <color theme="1"/>
            <rFont val="Aptos Narrow"/>
            <family val="2"/>
            <scheme val="minor"/>
          </rPr>
          <t>Unknown User:
SUPPLY &amp; INSTALLATION OF NEW EMERGENCY ISOLATION VALVE
10% Seniors &amp; Pensioners Discount</t>
        </r>
      </text>
    </comment>
    <comment ref="P86" authorId="1" shapeId="0" xr:uid="{BDF051EC-E19E-4F4B-981C-21CFA7EFA97B}">
      <text>
        <r>
          <rPr>
            <sz val="11"/>
            <color theme="1"/>
            <rFont val="Aptos Narrow"/>
            <family val="2"/>
            <scheme val="minor"/>
          </rPr>
          <t>Unknown User:
Quote not emailed</t>
        </r>
      </text>
    </comment>
    <comment ref="Q86" authorId="1" shapeId="0" xr:uid="{DB0963BF-25FF-499C-8AF9-6BFE44259812}">
      <text>
        <r>
          <rPr>
            <sz val="11"/>
            <color theme="1"/>
            <rFont val="Aptos Narrow"/>
            <family val="2"/>
            <scheme val="minor"/>
          </rPr>
          <t>Unknown User:
Invoice not raised</t>
        </r>
      </text>
    </comment>
    <comment ref="G87" authorId="1" shapeId="0" xr:uid="{D734C61A-5CB7-45FC-A8F1-FD6CE937A318}">
      <text>
        <r>
          <rPr>
            <sz val="11"/>
            <color theme="1"/>
            <rFont val="Aptos Narrow"/>
            <family val="2"/>
            <scheme val="minor"/>
          </rPr>
          <t>Unknown User:
SEARCH AND INVESTIGATION OF SOLAR SPLIT HOT WATER SYSTEM</t>
        </r>
      </text>
    </comment>
    <comment ref="P87" authorId="1" shapeId="0" xr:uid="{0403AE2D-AB2E-47F4-8FB4-548ADC1828CB}">
      <text>
        <r>
          <rPr>
            <sz val="11"/>
            <color theme="1"/>
            <rFont val="Aptos Narrow"/>
            <family val="2"/>
            <scheme val="minor"/>
          </rPr>
          <t>Unknown User:
Quote not emailed</t>
        </r>
      </text>
    </comment>
    <comment ref="S87" authorId="1" shapeId="0" xr:uid="{3158A421-342E-4845-BC26-4CF74BD0FBD9}">
      <text>
        <r>
          <rPr>
            <sz val="11"/>
            <color theme="1"/>
            <rFont val="Aptos Narrow"/>
            <family val="2"/>
            <scheme val="minor"/>
          </rPr>
          <t>Unknown User:
Invoice not emailed</t>
        </r>
      </text>
    </comment>
    <comment ref="V87" authorId="1" shapeId="0" xr:uid="{251CE0BA-0103-4829-9E62-2680488E5A4B}">
      <text>
        <r>
          <rPr>
            <sz val="11"/>
            <color theme="1"/>
            <rFont val="Aptos Narrow"/>
            <family val="2"/>
            <scheme val="minor"/>
          </rPr>
          <t>Unknown User:
Overpayment by $52.50</t>
        </r>
      </text>
    </comment>
    <comment ref="G92" authorId="1" shapeId="0" xr:uid="{C3D5891B-0236-4923-AABF-2A6D3241AB56}">
      <text>
        <r>
          <rPr>
            <sz val="11"/>
            <color theme="1"/>
            <rFont val="Aptos Narrow"/>
            <family val="2"/>
            <scheme val="minor"/>
          </rPr>
          <t>Unknown User:
HIGH POWERED JET BLAST &amp; CCTV DRAIN CAMERA INSPECTION (SEWER SERVICE)</t>
        </r>
      </text>
    </comment>
    <comment ref="L92" authorId="1" shapeId="0" xr:uid="{D6581D73-DD4C-4A6B-8C76-F8CA06ABFEAE}">
      <text>
        <r>
          <rPr>
            <sz val="11"/>
            <color theme="1"/>
            <rFont val="Aptos Narrow"/>
            <family val="2"/>
            <scheme val="minor"/>
          </rPr>
          <t>Unknown User:
CCTV pics/videos not uploaded.</t>
        </r>
      </text>
    </comment>
    <comment ref="P92" authorId="1" shapeId="0" xr:uid="{A4E6E4D4-C8B9-4B98-96C9-CA4B3B5F5D72}">
      <text>
        <r>
          <rPr>
            <sz val="11"/>
            <color theme="1"/>
            <rFont val="Aptos Narrow"/>
            <family val="2"/>
            <scheme val="minor"/>
          </rPr>
          <t>Unknown User:
Quote not emailed</t>
        </r>
      </text>
    </comment>
    <comment ref="G93" authorId="1" shapeId="0" xr:uid="{56A0F2C2-19B9-4D66-869A-34462F04D794}">
      <text>
        <r>
          <rPr>
            <sz val="11"/>
            <color theme="1"/>
            <rFont val="Aptos Narrow"/>
            <family val="2"/>
            <scheme val="minor"/>
          </rPr>
          <t xml:space="preserve">Unknown User:
COMPLETE SERVICE OF TOILET CISTERN
</t>
        </r>
      </text>
    </comment>
    <comment ref="P93" authorId="1" shapeId="0" xr:uid="{1C2560D6-641A-4609-9B44-BC128D94C24D}">
      <text>
        <r>
          <rPr>
            <sz val="11"/>
            <color theme="1"/>
            <rFont val="Aptos Narrow"/>
            <family val="2"/>
            <scheme val="minor"/>
          </rPr>
          <t>Unknown User:
Quote not emailed</t>
        </r>
      </text>
    </comment>
    <comment ref="Q93" authorId="1" shapeId="0" xr:uid="{03F0BB7D-31E7-4944-9EDA-A7F449F97FD5}">
      <text>
        <r>
          <rPr>
            <sz val="11"/>
            <color theme="1"/>
            <rFont val="Aptos Narrow"/>
            <family val="2"/>
            <scheme val="minor"/>
          </rPr>
          <t>Unknown User:
Progress invoice not raised</t>
        </r>
      </text>
    </comment>
    <comment ref="G94" authorId="1" shapeId="0" xr:uid="{4AA11DDB-A0E4-4B2F-B3B0-AEA25242CB47}">
      <text>
        <r>
          <rPr>
            <sz val="11"/>
            <color theme="1"/>
            <rFont val="Aptos Narrow"/>
            <family val="2"/>
            <scheme val="minor"/>
          </rPr>
          <t>Unknown User:
SEARCH &amp; INVESTIGATION (MINOR) - POTENTIAL WATER LEAK FROM UNKOWN LOCATION</t>
        </r>
      </text>
    </comment>
    <comment ref="P94" authorId="1" shapeId="0" xr:uid="{8C0FB4B6-D27B-41F5-AA69-099D58C119F1}">
      <text>
        <r>
          <rPr>
            <sz val="11"/>
            <color theme="1"/>
            <rFont val="Aptos Narrow"/>
            <family val="2"/>
            <scheme val="minor"/>
          </rPr>
          <t>Unknown User:
Quote not emailed</t>
        </r>
      </text>
    </comment>
    <comment ref="U94" authorId="1" shapeId="0" xr:uid="{3F520769-7DA4-4482-8432-6D27FD9A1FC3}">
      <text>
        <r>
          <rPr>
            <sz val="11"/>
            <color theme="1"/>
            <rFont val="Aptos Narrow"/>
            <family val="2"/>
            <scheme val="minor"/>
          </rPr>
          <t>Unknown User:
7/10-As per Nicholas's note "Customer has requested report on leak detection discovery regarding leak beneath concrete in front garden.
Leak has been located using air and water and locating tool with our specialized equipment with the the help from 1300leak.
Will need to be rectified asap due to excessive water bill each month."</t>
        </r>
      </text>
    </comment>
    <comment ref="V94" authorId="1" shapeId="0" xr:uid="{2285F090-B92F-4D3F-9537-E85BEDA262A5}">
      <text>
        <r>
          <rPr>
            <sz val="11"/>
            <color theme="1"/>
            <rFont val="Aptos Narrow"/>
            <family val="2"/>
            <scheme val="minor"/>
          </rPr>
          <t>Unknown User:
7/10-Received $398 by EFT</t>
        </r>
      </text>
    </comment>
    <comment ref="E119" authorId="3" shapeId="0" xr:uid="{C78FA506-9648-48EF-B9E3-AE61696D4DFB}">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A135" authorId="4" shapeId="0" xr:uid="{B7250293-B238-45D6-B854-6EF197D52981}">
      <text>
        <t>[Threaded comment]
Your version of Excel allows you to read this threaded comment; however, any edits to it will get removed if the file is opened in a newer version of Excel. Learn more: https://go.microsoft.com/fwlink/?linkid=870924
Comment:
    5% Comm's will be paid upon achieving 5 Star Reviews</t>
      </text>
    </comment>
    <comment ref="G135" authorId="1" shapeId="0" xr:uid="{F9F26242-C6BA-45A3-80F8-BC59782DF605}">
      <text>
        <r>
          <rPr>
            <sz val="11"/>
            <color theme="1"/>
            <rFont val="Aptos Narrow"/>
            <family val="2"/>
            <scheme val="minor"/>
          </rPr>
          <t>Unknown User:
SEARCH &amp; INVESTIGATION (MINOR) - POTENTIAL WATER LEAK FROM UNKOWN LOCATION</t>
        </r>
      </text>
    </comment>
    <comment ref="P135" authorId="1" shapeId="0" xr:uid="{1F01C3A6-71BC-4331-BE09-08464ADFB0A3}">
      <text>
        <r>
          <rPr>
            <sz val="11"/>
            <color theme="1"/>
            <rFont val="Aptos Narrow"/>
            <family val="2"/>
            <scheme val="minor"/>
          </rPr>
          <t>Unknown User:
Quote not emailed</t>
        </r>
      </text>
    </comment>
    <comment ref="U135" authorId="1" shapeId="0" xr:uid="{9FB1C2E0-9B6A-4489-98F8-35098527F806}">
      <text>
        <r>
          <rPr>
            <sz val="11"/>
            <color theme="1"/>
            <rFont val="Aptos Narrow"/>
            <family val="2"/>
            <scheme val="minor"/>
          </rPr>
          <t>Unknown User:
7/10-As per Nicholas's note "Customer has requested report on leak detection discovery regarding leak beneath concrete in front garden.
Leak has been located using air and water and locating tool with our specialized equipment with the the help from 1300leak.
Will need to be rectified asap due to excessive water bill each month."</t>
        </r>
      </text>
    </comment>
    <comment ref="V135" authorId="1" shapeId="0" xr:uid="{CD1B913E-2791-4BC5-9E0C-BAC76B838ED2}">
      <text>
        <r>
          <rPr>
            <sz val="11"/>
            <color theme="1"/>
            <rFont val="Aptos Narrow"/>
            <family val="2"/>
            <scheme val="minor"/>
          </rPr>
          <t>Unknown User:
7/10-Received $398 by EFT</t>
        </r>
      </text>
    </comment>
    <comment ref="G139" authorId="1" shapeId="0" xr:uid="{9F49580E-FB29-43A1-958E-BD5D5AE1F3B3}">
      <text>
        <r>
          <rPr>
            <sz val="11"/>
            <color theme="1"/>
            <rFont val="Aptos Narrow"/>
            <family val="2"/>
            <scheme val="minor"/>
          </rPr>
          <t>Unknown User:
HIGH POWERED JET BLAST &amp; CCTV DRAIN CAMERA INSPECTION (SEWER SERVICE)</t>
        </r>
      </text>
    </comment>
    <comment ref="L139" authorId="1" shapeId="0" xr:uid="{EDF6BAFA-E369-4034-9B9F-A83F133CF825}">
      <text>
        <r>
          <rPr>
            <sz val="11"/>
            <color theme="1"/>
            <rFont val="Aptos Narrow"/>
            <family val="2"/>
            <scheme val="minor"/>
          </rPr>
          <t>Unknown User:
CCTV pics/videos not uploaded.</t>
        </r>
      </text>
    </comment>
    <comment ref="P139" authorId="1" shapeId="0" xr:uid="{A9C82DE7-C88D-4F0C-A214-5F9E51C30A83}">
      <text>
        <r>
          <rPr>
            <sz val="11"/>
            <color theme="1"/>
            <rFont val="Aptos Narrow"/>
            <family val="2"/>
            <scheme val="minor"/>
          </rPr>
          <t>Unknown User:
Quote not emailed</t>
        </r>
      </text>
    </comment>
    <comment ref="G140" authorId="1" shapeId="0" xr:uid="{BCAF5C24-16B3-4C13-B1BA-FB2CCFD08379}">
      <text>
        <r>
          <rPr>
            <sz val="11"/>
            <color theme="1"/>
            <rFont val="Aptos Narrow"/>
            <family val="2"/>
            <scheme val="minor"/>
          </rPr>
          <t xml:space="preserve">Unknown User:
COMPLETE SERVICE OF TOILET CISTERN
</t>
        </r>
      </text>
    </comment>
    <comment ref="P140" authorId="1" shapeId="0" xr:uid="{ED709925-07BC-4E95-986C-1F33A8F17929}">
      <text>
        <r>
          <rPr>
            <sz val="11"/>
            <color theme="1"/>
            <rFont val="Aptos Narrow"/>
            <family val="2"/>
            <scheme val="minor"/>
          </rPr>
          <t>Unknown User:
Quote not emailed</t>
        </r>
      </text>
    </comment>
    <comment ref="Q140" authorId="1" shapeId="0" xr:uid="{6B7B62D0-C308-46AB-AEF5-3A0408E36146}">
      <text>
        <r>
          <rPr>
            <sz val="11"/>
            <color theme="1"/>
            <rFont val="Aptos Narrow"/>
            <family val="2"/>
            <scheme val="minor"/>
          </rPr>
          <t>Unknown User:
Progress invoice not raised</t>
        </r>
      </text>
    </comment>
    <comment ref="G177" authorId="1" shapeId="0" xr:uid="{05B87D1E-9F66-48F8-AADC-513B42DD48D7}">
      <text>
        <r>
          <rPr>
            <sz val="11"/>
            <color theme="1"/>
            <rFont val="Aptos Narrow"/>
            <family val="2"/>
            <scheme val="minor"/>
          </rPr>
          <t>Unknown User:
HIGH POWERED JET BLAST &amp; CCTV DRAIN CAMERA INSPECTION (SEWER SERVICE)</t>
        </r>
      </text>
    </comment>
    <comment ref="L177" authorId="1" shapeId="0" xr:uid="{1C76DB21-58E6-4BE7-A910-5345454F1AD0}">
      <text>
        <r>
          <rPr>
            <sz val="11"/>
            <color theme="1"/>
            <rFont val="Aptos Narrow"/>
            <family val="2"/>
            <scheme val="minor"/>
          </rPr>
          <t>Unknown User:
CCTV pics/videos not uploaded.</t>
        </r>
      </text>
    </comment>
    <comment ref="P177" authorId="1" shapeId="0" xr:uid="{13641798-89AA-48FB-B877-6F5BDB7940EB}">
      <text>
        <r>
          <rPr>
            <sz val="11"/>
            <color theme="1"/>
            <rFont val="Aptos Narrow"/>
            <family val="2"/>
            <scheme val="minor"/>
          </rPr>
          <t>Unknown User:
Quote not emailed</t>
        </r>
      </text>
    </comment>
    <comment ref="G178" authorId="1" shapeId="0" xr:uid="{5E29D05C-B924-4F11-854A-4158078DBC5E}">
      <text>
        <r>
          <rPr>
            <sz val="11"/>
            <color theme="1"/>
            <rFont val="Aptos Narrow"/>
            <family val="2"/>
            <scheme val="minor"/>
          </rPr>
          <t xml:space="preserve">Unknown User:
COMPLETE SERVICE OF TOILET CISTERN
</t>
        </r>
      </text>
    </comment>
    <comment ref="P178" authorId="1" shapeId="0" xr:uid="{71081DEF-60FF-4051-8116-CD41C5E58895}">
      <text>
        <r>
          <rPr>
            <sz val="11"/>
            <color theme="1"/>
            <rFont val="Aptos Narrow"/>
            <family val="2"/>
            <scheme val="minor"/>
          </rPr>
          <t>Unknown User:
Quote not emailed</t>
        </r>
      </text>
    </comment>
    <comment ref="Q178" authorId="1" shapeId="0" xr:uid="{195F0B3E-7748-43F4-BD89-FD9796457CF2}">
      <text>
        <r>
          <rPr>
            <sz val="11"/>
            <color theme="1"/>
            <rFont val="Aptos Narrow"/>
            <family val="2"/>
            <scheme val="minor"/>
          </rPr>
          <t>Unknown User:
Progress invoice not raised</t>
        </r>
      </text>
    </comment>
    <comment ref="G226" authorId="1" shapeId="0" xr:uid="{84F63022-1660-46DE-98C6-AF597226FAA0}">
      <text>
        <r>
          <rPr>
            <sz val="11"/>
            <color theme="1"/>
            <rFont val="Aptos Narrow"/>
            <family val="2"/>
            <scheme val="minor"/>
          </rPr>
          <t>Unknown User:
HIGH POWERED JET BLAST &amp; CCTV DRAIN CAMERA INSPECTION (SEWER SERVICE)</t>
        </r>
      </text>
    </comment>
    <comment ref="L226" authorId="1" shapeId="0" xr:uid="{863B0BC9-3F6A-42C9-B571-463F906681EB}">
      <text>
        <r>
          <rPr>
            <sz val="11"/>
            <color theme="1"/>
            <rFont val="Aptos Narrow"/>
            <family val="2"/>
            <scheme val="minor"/>
          </rPr>
          <t>Unknown User:
CCTV pics/videos not uploaded.</t>
        </r>
      </text>
    </comment>
    <comment ref="P226" authorId="1" shapeId="0" xr:uid="{B5F48C96-DFF3-419A-B8AA-C963052324B4}">
      <text>
        <r>
          <rPr>
            <sz val="11"/>
            <color theme="1"/>
            <rFont val="Aptos Narrow"/>
            <family val="2"/>
            <scheme val="minor"/>
          </rPr>
          <t>Unknown User:
Quote not emailed</t>
        </r>
      </text>
    </comment>
    <comment ref="G227" authorId="1" shapeId="0" xr:uid="{9323F0C8-7756-43D4-8A21-998ECCFD6A32}">
      <text>
        <r>
          <rPr>
            <sz val="11"/>
            <color theme="1"/>
            <rFont val="Aptos Narrow"/>
            <family val="2"/>
            <scheme val="minor"/>
          </rPr>
          <t xml:space="preserve">Unknown User:
COMPLETE SERVICE OF TOILET CISTERN
</t>
        </r>
      </text>
    </comment>
    <comment ref="P227" authorId="1" shapeId="0" xr:uid="{8037DF7F-11FB-4203-97F8-654E2F593D05}">
      <text>
        <r>
          <rPr>
            <sz val="11"/>
            <color theme="1"/>
            <rFont val="Aptos Narrow"/>
            <family val="2"/>
            <scheme val="minor"/>
          </rPr>
          <t>Unknown User:
Quote not emailed</t>
        </r>
      </text>
    </comment>
    <comment ref="Q227" authorId="1" shapeId="0" xr:uid="{26C9E276-F51B-493B-B5D2-1AE9EA48A06D}">
      <text>
        <r>
          <rPr>
            <sz val="11"/>
            <color theme="1"/>
            <rFont val="Aptos Narrow"/>
            <family val="2"/>
            <scheme val="minor"/>
          </rPr>
          <t>Unknown User:
Progress invoice not raised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tc={3D4854C4-D522-4A7B-B852-3115E3D111FF}</author>
    <author>tc={F3B76E19-3F6A-4F0D-BE23-3CA86F8A9B19}</author>
    <author>tc={A988E045-D85D-4503-A819-0BFA5C10A335}</author>
    <author>tc={66F3EBF9-4F25-49B9-B0F0-9826F1EEEC8C}</author>
    <author>Guest User</author>
    <author>Accounts | Point Plumbing</author>
    <author>tc={7C58B9C8-5B92-4794-B1C8-CE895865E50C}</author>
    <author>tc={8CB205A6-DB90-4BEB-BB44-C41F2B11E5C6}</author>
    <author>tc={D1B9419D-7413-4750-A9FD-04DEC887617D}</author>
    <author>tc={A08D861F-7BBD-42AF-9D49-CBDD6DE4C054}</author>
    <author>tc={4330D97B-C1CC-42ED-B830-8107BED0F215}</author>
    <author>tc={3E353FF9-ED16-4383-AB2B-994ED61E4A30}</author>
    <author>tc={77CE217A-AD69-439D-B280-FD4B82F17C58}</author>
    <author>tc={A3AD89CC-F4FE-4DC1-9885-EB7E8CD86516}</author>
    <author>tc={0A7597E2-E13F-4C21-87BB-D4EA02373EF3}</author>
    <author>tc={02B85A1E-84A7-4B3D-8445-8662D48C4CBF}</author>
    <author>tc={77502BAF-4725-4AA1-92F8-C094226BCF00}</author>
    <author>tc={141D7476-5802-4E75-B41B-C3CC547C03D7}</author>
    <author>tc={15611C7D-535C-4A07-83E4-064CD9FC24AC}</author>
    <author>tc={0A5D99DB-6FF4-4ABE-A528-9B5E1C94419F}</author>
    <author>tc={7C9B753E-2489-4044-BCA7-CF1DFBB012D7}</author>
    <author>tc={6DB84E2A-58CF-486D-96F2-EBBE7FFE1790}</author>
    <author>tc={30756C35-5073-4614-85E1-FF4A03035A8B}</author>
    <author>tc={732BA121-AF6A-4498-BABE-D58AC9110C99}</author>
    <author>tc={B417C7CB-72B2-4EEE-806F-0A0D6983668D}</author>
    <author>tc={8D7A2FD4-2064-4128-94E7-964A20A6C1A1}</author>
    <author>tc={E39DFE82-B58F-49E4-8BD1-4F1480492F00}</author>
    <author>tc={32A94893-4438-4911-8F17-66129901A5AD}</author>
    <author>tc={D68A50BC-E85F-498E-97BC-356228DA4543}</author>
    <author>tc={83B18C06-F292-4698-903A-CEE36DEF1579}</author>
    <author>tc={84B6F84C-94BA-4A4E-AF2E-F54E2551D593}</author>
    <author>tc={E7383256-485F-4199-AFA6-7B01A1039647}</author>
    <author>tc={05FF033C-E7D9-406E-8B9F-BFF4333182DB}</author>
  </authors>
  <commentList>
    <comment ref="E96" authorId="0" shapeId="0" xr:uid="{3D4854C4-D522-4A7B-B852-3115E3D111FF}">
      <text>
        <t>[Threaded comment]
Your version of Excel allows you to read this threaded comment; however, any edits to it will get removed if the file is opened in a newer version of Excel. Learn more: https://go.microsoft.com/fwlink/?linkid=870924
Comment:
    Stock</t>
      </text>
    </comment>
    <comment ref="E97" authorId="1" shapeId="0" xr:uid="{F3B76E19-3F6A-4F0D-BE23-3CA86F8A9B19}">
      <text>
        <t>[Threaded comment]
Your version of Excel allows you to read this threaded comment; however, any edits to it will get removed if the file is opened in a newer version of Excel. Learn more: https://go.microsoft.com/fwlink/?linkid=870924
Comment:
    Checked</t>
      </text>
    </comment>
    <comment ref="E98" authorId="2" shapeId="0" xr:uid="{A988E045-D85D-4503-A819-0BFA5C10A335}">
      <text>
        <t>[Threaded comment]
Your version of Excel allows you to read this threaded comment; however, any edits to it will get removed if the file is opened in a newer version of Excel. Learn more: https://go.microsoft.com/fwlink/?linkid=870924
Comment:
    Stock</t>
      </text>
    </comment>
    <comment ref="E99" authorId="3" shapeId="0" xr:uid="{66F3EBF9-4F25-49B9-B0F0-9826F1EEEC8C}">
      <text>
        <t>[Threaded comment]
Your version of Excel allows you to read this threaded comment; however, any edits to it will get removed if the file is opened in a newer version of Excel. Learn more: https://go.microsoft.com/fwlink/?linkid=870924
Comment:
    Stock</t>
      </text>
    </comment>
    <comment ref="G107" authorId="4" shapeId="0" xr:uid="{FFCBEBE6-A02A-4B52-9EB0-2B4D1B4D91A5}">
      <text>
        <r>
          <rPr>
            <sz val="11"/>
            <color theme="1"/>
            <rFont val="Aptos Narrow"/>
            <family val="2"/>
            <scheme val="minor"/>
          </rPr>
          <t>Unknown User:
COMPLETE SERVICE OF TOILET CISTERN
Isolate main water supply to property
Disconnect cold-water supply to existing toilet cistern
Removal of existing cold-water supply to toilet cistern
Disconnect &amp; removal of existing emergency isolation valve
Gain access to toilet cistern
Disconnect existing toilet cistern inlet valve
Removal of existing toilet cistern inlet valve
Disconnect existing toilet cistern outlet valve
Removal of existing toilet cistern outlet valve
Disconnect &amp; removal of existing toilet cistern outlet valve drop
washer
Clean existing toilet cistern outlet valve housing
Flush out toilet cistern free from all debris
Supply &amp; install new outlet valve drop washer
Reinstall existing toilet cistern outlet valve
Supply &amp; install new toilet cistern inlet valve
Secure new inlet valve to existing toilet cistern
Supply &amp; install new emergency isolation valve
Supply &amp; install new cold-water stainless-steel flexi hose
Reinstate main water supply to toilet cistern
Adjust inlet valve &amp; outlet valve to ensure optimal flush
Test &amp; commission installation
Removal of trade waste
PLEASE NOTE IF FURTHER WORK REQUIRED OUTSIDE OF QUOTED
WORKS ADDITIONAL COSTS WILL APPLY</t>
        </r>
      </text>
    </comment>
    <comment ref="M107" authorId="4" shapeId="0" xr:uid="{CCF4510C-0328-4BF3-AE4F-B1E5FC914F7E}">
      <text>
        <r>
          <rPr>
            <sz val="11"/>
            <color theme="1"/>
            <rFont val="Aptos Narrow"/>
            <family val="2"/>
            <scheme val="minor"/>
          </rPr>
          <t>Unknown User:
Receipt for $1251.80 is not uploaded by Plumber now uploaded by Modoras team</t>
        </r>
      </text>
    </comment>
    <comment ref="G108" authorId="4" shapeId="0" xr:uid="{54EF70F2-DDBE-417C-B266-75DDD28CBE8D}">
      <text>
        <r>
          <rPr>
            <sz val="11"/>
            <color theme="1"/>
            <rFont val="Aptos Narrow"/>
            <family val="2"/>
            <scheme val="minor"/>
          </rPr>
          <t>Unknown User:
HIGH POWERED SUCTION PUMP
Gain access to sewer service
Gain access to sewer fixture
Set up high powered suction pump
First attempt to clear blocked sewer using high powered suction
pump
Attempt to clear sewer service using high powered suction
pump
Attempt to clear debris from sewer service
Attempt to flush out sewer service &amp; debris
Test &amp; commission work completed
Removal of trade waste
PLEASE NOTE IF BLOCKAGES DOES NOT CLEAR FURTHER COST WILL
APPLY. THIS IS A FIRST ATTEMPT</t>
        </r>
      </text>
    </comment>
    <comment ref="G109" authorId="4" shapeId="0" xr:uid="{3CBF758B-BDB6-4C39-A252-86D01A956866}">
      <text>
        <r>
          <rPr>
            <sz val="11"/>
            <color theme="1"/>
            <rFont val="Aptos Narrow"/>
            <family val="2"/>
            <scheme val="minor"/>
          </rPr>
          <t xml:space="preserve">Unknown User:
SUPPLY &amp; INSTALLATION OF GAS STORAGE HOT WATER SYSTEM
(EXTERNAL)
Isolate main water supply to property
Isolate main gas supply to property
Disconnect main gas supply to existing hot water system
Disconnect main cold-water supply to existing gas hot water
system
Disconnect main hot water supply to existing gas hot water
system
Disconnect existing plumbing connecting to existing gas hot
water system
Drain existing gas hot water system
Removal of existing gas hot water system
Removal of existing brass fittings
Disconnect &amp; removal existing section of gas service connecting
to existing internal hot water system
Disconnect &amp; removal of existing section of cold-water supply
connecting to existing gas hot water system
Disconnect &amp; removal of existing section of hot supply
connecting to existing section of gas hot water system
Clean &amp; prepare worked area
Supply &amp; install new external gas storage hot water system
Supply &amp; install new gas emergency isolation valve
Supply &amp; install new duo valve
Supply &amp; install new pressure limiting valve
Supply &amp; install tempering valve
Supply &amp; install new pressure relief valve
Supply &amp; install new B-press fittings
Supply &amp; install new Brass fittings
Supply &amp; install new section of copper gas service &amp; connect to
new gas storage hot water system
Supply &amp; install new section of cold-water service &amp; connect to
new gas storage hot water system
Supply &amp; install new section of hot water copper service &amp;
connect to new gas storage hot water system
Supply &amp; install new pressure relief valve drain service in copper
in accordance with AS3500
Reinstate main water supply to property
Reinstate main gas supply to property
Test &amp; commission installation
Removal of trade waste
</t>
        </r>
      </text>
    </comment>
    <comment ref="G110" authorId="4" shapeId="0" xr:uid="{7A02C8DA-BB6E-4337-9A83-5EF1B42A330D}">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t>
        </r>
      </text>
    </comment>
    <comment ref="G111" authorId="4" shapeId="0" xr:uid="{B270CCF0-E60D-4707-80E9-4A04FD86D672}">
      <text>
        <r>
          <rPr>
            <sz val="11"/>
            <color theme="1"/>
            <rFont val="Aptos Narrow"/>
            <family val="2"/>
            <scheme val="minor"/>
          </rPr>
          <t>Unknown User:
 REPAIR CAST IRON TOILET CONNECTIONS 
*Isolate main water supply to property 
*Disconnect &amp; removal of existing toilet pan 
*Disconnect &amp; removal of existing toilet pan collar 
*Disconnect &amp; removal of existing bedding / sealant 
*Clean &amp; prepare worked area 
*Cut broken section of cast iron sewer service
 *Clean &amp; prepare existing pipe for new connections
 *Supply &amp; install new service adaptors
 *Supply &amp; install new PVC piping
 *Supply &amp; install new toilet pan collar 
*Reinstate existing toilet pan
 *Seal &amp; secure toilet suite pan to floor 
*Reinstate water supply to property 
*Test &amp; commission installation 
*Removal of trade waste 
PLEASE NOTE IF FURTHER WORK REQUIRED OUTSIDE OF QUOTED WORKS ADDITIONAL COSTS WILL APPLY</t>
        </r>
      </text>
    </comment>
    <comment ref="V111" authorId="4" shapeId="0" xr:uid="{78821238-4232-42EF-A885-BB9D018D83AB}">
      <text>
        <r>
          <rPr>
            <sz val="11"/>
            <color theme="1"/>
            <rFont val="Aptos Narrow"/>
            <family val="2"/>
            <scheme val="minor"/>
          </rPr>
          <t>Unknown User:
02/07 $4912 EFT Received
03/07 $2382.88 EFT received
EFT of $4912 is split as $4066.38 for original job (Shaun) and as $845.62 for upsell job (Rhys C)</t>
        </r>
      </text>
    </comment>
    <comment ref="G112" authorId="4" shapeId="0" xr:uid="{35E1ABF8-6A06-4A05-9706-EECC3493FF34}">
      <text>
        <r>
          <rPr>
            <sz val="11"/>
            <color theme="1"/>
            <rFont val="Aptos Narrow"/>
            <family val="2"/>
            <scheme val="minor"/>
          </rPr>
          <t>Unknown User:
 REPLACEMENT OF PAIR EMERGENCY STOP VALVES 
Isolate main water supply to property
 Disconnect existing cold water supply
 Disconnect existing hot water supply
 Disconnect &amp; removal of existing cold water emergency isolation valve
 Disconnect &amp; removal of existing hot water emergency isolation valve
 Clean no.19 thread
 Supply &amp; install new cold water emergency isolation valve
 Supply &amp; install new hot water emergency isolation valve
 Reconnect cold water supply to new emergency isolation valve
 Reconnect hot water supply to new emergency isolation valve
 Reinstate main water supply to property
 Test &amp; commission installation
 Removal of trade waste
 PLEASE NOTE IF FURTHER WORK REQUIRED OTHER THEN QUOTED WORK
 FURTHER COST WILL APPLY</t>
        </r>
      </text>
    </comment>
    <comment ref="G113" authorId="4" shapeId="0" xr:uid="{6328E5F0-364A-45AE-967C-0A1BC8C0A403}">
      <text>
        <r>
          <rPr>
            <sz val="11"/>
            <color theme="1"/>
            <rFont val="Aptos Narrow"/>
            <family val="2"/>
            <scheme val="minor"/>
          </rPr>
          <t>Unknown User:
 REPLACEMENT OF PLUG &amp; WASTE - 40MM 
Gain access to existing plug &amp; waste
 Disconnect &amp; removal of existing PVC drainage
 Disconnect &amp; removal of existing PVC fittings
 Disconnect &amp; removal of existing locking nut for plug &amp; waste
 Disconnect &amp; removal of existing plug &amp; waste
 Disconnect &amp; removal of existing sealant
 Disconnect &amp; removal of existing gaskets
 Clean &amp; prepare sink area for new installation
 Supply &amp; install new 40mm plug &amp; waste
 Supply &amp; install new sealant
 Seal new plug &amp; waste to sink
 Supply &amp; install new gaskets
 Secure new plug &amp; waste
 Connect new plug &amp; waste to existing drainage
 Test &amp; commission installation to ensure correct operation and no leaks
 Removal of trade waste
 PLEASE NOTE IF FURTHER WORK REQUIRED OTHER THEN QUOTED WORK FURTHER COST WILL APPLY</t>
        </r>
      </text>
    </comment>
    <comment ref="G114" authorId="4" shapeId="0" xr:uid="{81ED0F87-99C6-4C3D-8F8A-75CAB5EE5958}">
      <text>
        <r>
          <rPr>
            <sz val="11"/>
            <color theme="1"/>
            <rFont val="Aptos Narrow"/>
            <family val="2"/>
            <scheme val="minor"/>
          </rPr>
          <t>Unknown User:
HIGH POWERED SUCTION PUMP
Gain access to sewer service
Gain access to sewer fixture
Set up high powered suction pump
First attempt to clear blocked sewer using high powered suction pump
Attempt to clear sewer service using high powered suction pump
Attempt to clear debris from sewer service
Attempt to flush out sewer service &amp; debris
Test &amp; commission work completed
Removal of trade waste
PLEASE NOTE IF BLOCKAGES DOES NOT CLEAR FURTHER COST WILL APPLY. THIS IS A FIRST ATTEMPT</t>
        </r>
      </text>
    </comment>
    <comment ref="L114" authorId="4" shapeId="0" xr:uid="{D85932BC-E2A7-4358-980A-6DFDB8D2B5C6}">
      <text>
        <r>
          <rPr>
            <sz val="11"/>
            <color theme="1"/>
            <rFont val="Aptos Narrow"/>
            <family val="2"/>
            <scheme val="minor"/>
          </rPr>
          <t>Unknown User:
Suction pump pics are not uploaded
Shaun made a note as "Hit the sink with a double penetrating twin plunge action, cleared and free flowing", whereas no pics uploaded.</t>
        </r>
      </text>
    </comment>
    <comment ref="G115" authorId="4" shapeId="0" xr:uid="{CB613157-46BD-4248-820A-CD6C1CC222E0}">
      <text>
        <r>
          <rPr>
            <sz val="11"/>
            <color theme="1"/>
            <rFont val="Aptos Narrow"/>
            <family val="2"/>
            <scheme val="minor"/>
          </rPr>
          <t>Unknown User:
 SUPPLY AND INSTALLATION OF TRAP TO SINK OR LAUNDRY TUB - WHITE PVC
 Gain access to existing sink or laundry tub drainage
 Disconnect &amp; removal of existing trap locking nuts
 Disconnect &amp; removal of existing trap outlet fittings
 Disconnect &amp; removal of existing trap gaskets
 Disconnect &amp; removal of existing PVC drainage fittings if required
 Clean &amp; prepare drainage outlet and waste connection for new installation
 Supply &amp; install new white PVC sink or laundry tub trap
 Supply &amp; install new PVC drainage fittings if required
 Supply &amp; install new sealing gaskets
 Connect new white PVC trap to existing waste outlet
 Connect new white PVC trap to existing drainage
 Test &amp; commission installation to ensure correct operation and no leaks
 Removal of trade waste
 PLEASE NOTE IF FURTHER WORK REQUIRED OTHER THEN QUOTED WORK
 FURTHER COST WILL APPLY</t>
        </r>
      </text>
    </comment>
    <comment ref="G116" authorId="4" shapeId="0" xr:uid="{43190266-FA50-4EB4-A68D-21CFAE4AF4A5}">
      <text>
        <r>
          <rPr>
            <sz val="11"/>
            <color theme="1"/>
            <rFont val="Aptos Narrow"/>
            <family val="2"/>
            <scheme val="minor"/>
          </rPr>
          <t>Unknown User:
 MIXER TAP - STANDARD
 Isolate main cold-water supply to property
 Isolate main hot water supply to property
 Disconnect &amp; removal of cold-water supply to existing mixer
 Disconnect &amp; removal of hot water supply to existing mixer
 Disconnect &amp; removal of existing locking nut
 Disconnect &amp; removal of existing mixer
 Clean &amp; prepare worked area
 Supply &amp; install new mixer
 Supply &amp; install new cold-water stainless-steel flexi hose
 Supply &amp; install new hot water stainless steel flexi hose
 Supply &amp; install new locking nut
 Secure new mixer
 Reconnect cold water supply to new mixer
 Reconnect hot water supply to new mixer
 Reinstate cold water supply to new mixer
 Reinstate hot water supply to new mixer
 Reinstate cold water supply to property
 Reinstate hot water supply to property
 Test &amp; commission installation
 Removal of trade waste
 PLEASE NOTE IF FURTHER WORK REQUIRED OTHER THEN QUOTED WORK FURTHER COST WILL APPL</t>
        </r>
      </text>
    </comment>
    <comment ref="G117" authorId="4" shapeId="0" xr:uid="{B7DFC23C-D0BA-4BF7-B650-D7C714974459}">
      <text>
        <r>
          <rPr>
            <sz val="11"/>
            <color theme="1"/>
            <rFont val="Aptos Narrow"/>
            <family val="2"/>
            <scheme val="minor"/>
          </rPr>
          <t>Unknown User:
MIXER TAP - STANDARD
Isolate main cold-water supply to property
Isolate main hot water supply to property
Disconnect &amp; removal of cold-water supply to existing mixer
Disconnect &amp; removal of hot water supply to existing mixer
Disconnect &amp; removal of existing locking nut
Disconnect &amp; removal of existing mixer
Clean &amp; prepare worked area
Supply &amp; install new mixer
Supply &amp; install new cold-water stainless-steel flexi hose
Supply &amp; install new hot water stainless steel flexi hose
Supply &amp; install new locking nut
Secure new mixer
Reconnect cold water supply to new mixer
Reconnect hot water supply to new mixer
Reinstate cold water supply to new mixer
Reinstate hot water supply to new mixer
Reinstate cold water supply to property
Reinstate hot water supply to property
Test &amp; commission installation
Removal of trade waste
PLEASE NOTE IF FURTHER WORK REQUIRED OTHER THEN QUOTED WORK FURTHER COST WILL APPLY</t>
        </r>
      </text>
    </comment>
    <comment ref="G118" authorId="4" shapeId="0" xr:uid="{61AAD9E3-1DD0-4EA1-ADB0-2FE5FBD68203}">
      <text>
        <r>
          <rPr>
            <sz val="11"/>
            <color theme="1"/>
            <rFont val="Aptos Narrow"/>
            <family val="2"/>
            <scheme val="minor"/>
          </rPr>
          <t xml:space="preserve">Unknown User:
REMOVAL OF TOILET PAN AND RESEAL WITH NEW PAN COLLAR
Isolate main water supply to property
Removal of existing cold-water supply to toilet cistern
Disconnect &amp; removal of existing toilet cistern
Disconnect &amp; removal of existing toilet pan
Disconnect &amp; removal of existing toilet pan collar
Disconnect &amp; removal of existing bedding / sealant
Clean &amp; prepare worked area
Supply &amp; install new toilet pan collar
Reinstate existing toilet pan
Reinstate existing toilet cistern
Supply &amp; install new cold-water stainless-steel flexi hose
Connect new cold-water stainless-steel flexi hose to existing cistern Seal &amp; secure
toilet suite pan to floor
Reinstate water supply to property
Test &amp; commission installation
Removal of trade waste
PLEASE NOTE IF FURTHER WORK REQUIRED OUTSIDE OF QUOTED WORKS
ADDITIONAL COSTS WILL APPLY
</t>
        </r>
      </text>
    </comment>
    <comment ref="G119" authorId="4" shapeId="0" xr:uid="{EA23853D-E653-422D-AC65-66DA045BAF6B}">
      <text>
        <r>
          <rPr>
            <sz val="11"/>
            <color theme="1"/>
            <rFont val="Aptos Narrow"/>
            <family val="2"/>
            <scheme val="minor"/>
          </rPr>
          <t xml:space="preserve">Unknown User:
COMPLETE SERVICE OF WALL TOP TAPS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in wall using specialist tungsten re-seating tool
Flush out breach in wall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in wall
Reinstall hot &amp; cold-water tapware
Reinstall hot &amp; cold-water locking nuts
Reinstate cold water supply to property
Reinstate hot water supply to property
Test &amp; commission installation
Removal of trade waste
</t>
        </r>
      </text>
    </comment>
    <comment ref="L119" authorId="4" shapeId="0" xr:uid="{54D5AA98-06E6-4ECF-A0DE-2B264FFF41CB}">
      <text>
        <r>
          <rPr>
            <sz val="11"/>
            <color theme="1"/>
            <rFont val="Aptos Narrow"/>
            <family val="2"/>
            <scheme val="minor"/>
          </rPr>
          <t>Unknown User:
After pics are not satisfactory.
No testing of the taps &amp; service pics uploaded</t>
        </r>
      </text>
    </comment>
    <comment ref="G120" authorId="4" shapeId="0" xr:uid="{2EE39859-D5DC-4A0A-8126-64494FA868BD}">
      <text>
        <r>
          <rPr>
            <sz val="11"/>
            <color theme="1"/>
            <rFont val="Aptos Narrow"/>
            <family val="2"/>
            <scheme val="minor"/>
          </rPr>
          <t>Unknown User:
SEARCH &amp; INVESTIGATION OF POTENTIAL GAS LEAK
Gain access to main gas meter
Isolate the main gas supply to the property
Disconnect the existing main meter test point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t>
        </r>
      </text>
    </comment>
    <comment ref="M120" authorId="4" shapeId="0" xr:uid="{B5154F09-2021-49D9-885D-74370AF99C7E}">
      <text>
        <r>
          <rPr>
            <sz val="11"/>
            <color theme="1"/>
            <rFont val="Aptos Narrow"/>
            <family val="2"/>
            <scheme val="minor"/>
          </rPr>
          <t>Unknown User:
Receipt of $1409.10 is not uploaded by plumber now uploaded by Modoras team</t>
        </r>
      </text>
    </comment>
    <comment ref="G121" authorId="4" shapeId="0" xr:uid="{51C5F240-62F3-4B6E-8254-D781348700B0}">
      <text>
        <r>
          <rPr>
            <sz val="11"/>
            <color theme="1"/>
            <rFont val="Aptos Narrow"/>
            <family val="2"/>
            <scheme val="minor"/>
          </rPr>
          <t>Unknown User:
SUPPLY &amp; INSTALLATION OF NEW DISHWASHER COLD WATER INLET SUPPLY
Isolate main water supply to existing dishwasher
Isolate main power supply to existing dishwasher
Disconnect existing power supply to dishwasher
Disconnect cold water supply to existing dishwasher
Disconnect existing drainage supply to dishwasher
Disconnect &amp; remove existing dishwasher
Gain access to required location
Removal of existing cold water inlet supply
Supply &amp; install new dishwasher cold water inlet supply
Connect new cold water inlet supply to existing dishwasher
Prepare dishwasher for Re-installation
Re-install dishwasher to existing location
Re-connect cold-water supply to dishwasher
Re-connect drainage supply to dishwasher
Re-connect power supply to dishwasher
Secure dishwasher
Test &amp; commission installation
Removal of trade waste
PLEASE NOTE IF FURTHER WORK REQUIRED OTHER THEN QUOTED WORK
FURTHER COST WILL APPLY</t>
        </r>
      </text>
    </comment>
    <comment ref="W121" authorId="4" shapeId="0" xr:uid="{EA8A04B9-6007-4D2B-A810-86CFB296961E}">
      <text>
        <r>
          <rPr>
            <sz val="11"/>
            <color theme="1"/>
            <rFont val="Aptos Narrow"/>
            <family val="2"/>
            <scheme val="minor"/>
          </rPr>
          <t>Unknown User:
Cash Denomination 
$50*12 = $600</t>
        </r>
      </text>
    </comment>
    <comment ref="G122" authorId="4" shapeId="0" xr:uid="{3DBECB66-C02C-43F4-A000-41FA6CAE7D89}">
      <text>
        <r>
          <rPr>
            <sz val="11"/>
            <color theme="1"/>
            <rFont val="Aptos Narrow"/>
            <family val="2"/>
            <scheme val="minor"/>
          </rPr>
          <t xml:space="preserve">Unknown User:
COMPLETE SERVICE OF WALL TOP TAPS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in wall using specialist tungsten re-seating tool
Flush out breach in wall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in wall
Reinstall hot &amp; cold-water tapware
Reinstall hot &amp; cold-water locking nuts
Reinstate cold water supply to property
Reinstate hot water supply to property
Test &amp; commission installation
Removal of trade waste
PLEASE NOTE IF FURTHER WORK REQUIRED OUTSIDE OF QUOTED WORKS
ADDITIONAL COSTS WILL APPLY. IF BREECH IS FOUND TO BE DAMAGED FUTHER
COSTS WILL APPLY.
1.00 $581.00 $581.00
COMPLETE SERVICE OF TOILET CISTERN
Isolate main water supply to property
Disconnect cold-water supply to existing toilet cistern
Removal of existing cold-water supply to toilet cistern
Disconnect &amp; removal of existing emergency isolation valve
Gain access to toilet cistern
Disconnect existing toilet cistern inlet valve
Removal of existing toilet cistern inlet valve
Disconnect existing toilet cistern outlet valve
Removal of existing toilet cistern outlet valve
Disconnect &amp; removal of existing toilet cistern outlet valve drop washer
Clean existing toilet cistern outlet valve housing
Flush out toilet cistern free from all debris
Supply &amp; install new outlet valve drop washer
Reinstall existing toilet cistern outlet valve
Supply &amp; install new toilet cistern inlet valve
Secure new inlet valve to existing toilet cistern
Supply &amp; install new emergency isolation valve
Supply &amp; install new cold-water stainless-steel flexi hose
Reinstate main water supply to toilet cistern
Adjust inlet valve &amp; outlet valve to ensure optimal flush
Test &amp; commission installation
Removal of trade waste
PLEASE NOTE IF FURTHER WORK REQUIRED OUTSIDE OF QUOTED WORKS
ADDITIONAL COSTS WILL APPLY
</t>
        </r>
      </text>
    </comment>
    <comment ref="G123" authorId="4" shapeId="0" xr:uid="{FB259122-12EF-4AD7-8B78-6BC6EFFCF4FA}">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
1.00 $1,438.00 $1,438.00
T-NEW-174 1 SUPPLY AND INSTALLATION OF WHITE PVC P TRAP TO WALL BASIN
Gain access to existing wall basin drainage
Disconnect &amp; removal of existing basin trap locking nuts
Disconnect &amp; removal of existing basin trap outlet fittings
Disconnect &amp; removal of existing basin trap gaskets
Disconnect &amp; removal of existing wall connection fittings
Clean &amp; prepare wall outlet and basin waste for new installation
Supply &amp; install new white PVC P trap assembly
Supply &amp; install new white PVC wall cover plate
Supply &amp; install new sealing gaskets
Connect new white PVC P trap to existing basin waste
Connect new white PVC P trap to existing wall drainage
Test &amp; commission installation to ensure correct operation and
no leaks
Removal of trade waste
PLEASE NOTE IF FURTHER WORK REQUIRED OTHER THEN QUOTED
WORK FURTHER COST WILL APPLY
T-NEW-173 1 SUPPLY AND INSTALLATION OF TRAP TO SINK OR LAUNDRY TUB -
WHITE PVC
Gain access to existing sink or laundry tub drainage
Disconnect &amp; removal of existing trap locking nuts
Disconnect &amp; removal of existing trap outlet fittings
Disconnect &amp; removal of existing trap gaskets
Disconnect &amp; removal of existing PVC drainage fittings if
required
Clean &amp; prepare drainage outlet and waste connection for new
installation
Supply &amp; install new white PVC sink or laundry tub trap
Supply &amp; install new PVC drainage fittings if required
Supply &amp; install new sealing gaskets
Connect new white PVC trap to existing waste outlet
Connect new white PVC trap to existing drainage
Test &amp; commission installation to ensure correct operation and
no leaks
Removal of trade waste</t>
        </r>
      </text>
    </comment>
    <comment ref="G132" authorId="4" shapeId="0" xr:uid="{62840984-7E9B-480A-9370-C21CA05DC9F5}">
      <text>
        <r>
          <rPr>
            <sz val="11"/>
            <color theme="1"/>
            <rFont val="Aptos Narrow"/>
            <family val="2"/>
            <scheme val="minor"/>
          </rPr>
          <t>Unknown User:
SUSPENDED SEWER RECTIFICATION (UNDER HOUSE) UPTO 3M
*Obtain sewer diagram
*Obtain dial Before dig
*Obtain service location diagram
*Set up safe work area
*Set up builders plastic
*Set up barricades for safety
*Dig &amp; Excavate ground area for under floor access
*Locate &amp; identify existing section of sewer service up to 3M
*Locate &amp; identify existing sewer junctions (If Required)
*Cut &amp; remove existing section of sewer service up to 3M
*Cut &amp; remove existing sewer junctions (if required)
*Gain access to sewer service
*Supply &amp; installation of new
section of sewer service up to 3M
*Supply &amp; installation of new sewer junctions (if required)
*Supply &amp; installation of new I/O inspection point
*Supply &amp; installation of new PVC fittings
*Use of commercial grade solvents and sealants
*Connect new section of sewer service to existing sewer service
*Supply &amp; install new fixing and clips
*Backfill excavated area
*Set up high-powered Jet Blaster
*Set up high-powered mini reel
*Set up high-powered Turbines
*Jet Blast sewer service
*Re-camera and investigate further
*Test &amp; commission installation
*Remove trade waste
PLEASE NOTE IF FURTHER WORK REQUIRED OTHER THEN QUOTED WORK FURTHER COST WILL APPLY</t>
        </r>
      </text>
    </comment>
    <comment ref="N132" authorId="4" shapeId="0" xr:uid="{22C14ADA-BD52-4939-A4B9-695EBE646C1F}">
      <text>
        <r>
          <rPr>
            <sz val="11"/>
            <color theme="1"/>
            <rFont val="Aptos Narrow"/>
            <family val="2"/>
            <scheme val="minor"/>
          </rPr>
          <t>Unknown User:
Quote Raised in #71185</t>
        </r>
      </text>
    </comment>
    <comment ref="G148" authorId="4" shapeId="0" xr:uid="{8FA2288D-8FAD-42B4-9F91-A2FB949EEBF9}">
      <text>
        <r>
          <rPr>
            <sz val="11"/>
            <color theme="1"/>
            <rFont val="Aptos Narrow"/>
            <family val="2"/>
            <scheme val="minor"/>
          </rPr>
          <t>Unknown User:
SUPPLY AND INSTALLATION OF PRESSURE REGULATING DEVICE FITTED TO 20MM STRAIGHT PIPEWORK
Isolate water service to property
Drain water service
Mark out valve location
Excavate ground area
Expose galvanised steel pipe and fittings
Cut &amp; remove steel water service
Clean &amp; prepare existing steel water service
Supply &amp; install new service adapters
Supply &amp; install new press fittings
Supply &amp; install new brass fittings
Supply &amp; install new pressure regulating device
Supply &amp; install new sealant
Supply &amp; install new copper water service to suit new installation
Use of hydraulic press tool
Reinstate water service to property
Flush water system
Test &amp; commission installation
Set pressure of new installation
Removal of trade waste from site
PLEASE NOTE IF FURTHER WORK REQUIRED OTHER THAN QUOTED WORKS ADDITIONAL COSTS WILL APPLY</t>
        </r>
      </text>
    </comment>
    <comment ref="G149" authorId="4" shapeId="0" xr:uid="{2AA4F160-4192-4173-AC66-24C34FF9C112}">
      <text>
        <r>
          <rPr>
            <sz val="11"/>
            <color theme="1"/>
            <rFont val="Aptos Narrow"/>
            <family val="2"/>
            <scheme val="minor"/>
          </rPr>
          <t>Unknown User:
SEWER SPOT DIG UP TO 2M - IN GROUND
Obtain sewer diagram
Obtain dial Before dig
Obtain service location diagram
Set up safe work area
Set up builders plastic
Set up barricades for safety
Concrete cut ground area
Jack hammer ground area
Removal of concrete in required location
Dig &amp; Excavate Ground Area Up to 2M
Expose existing section of sewer service up to 2M
Expose existing sewer junctions (If Required)
Cut &amp; remove existing section of sewer service up to 2M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2M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Test &amp; commission installation
Remove trade waste
PLEASE NOTE IF FURTHER WORK REQUIRED OTHER THEN QUOTED WORK FURTHER COST WILL APPLY</t>
        </r>
      </text>
    </comment>
    <comment ref="G150" authorId="4" shapeId="0" xr:uid="{D7413FFB-64C7-4A3B-8CB1-9B397F211C41}">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G151" authorId="4" shapeId="0" xr:uid="{42159805-7A2B-4587-917C-85192B660063}">
      <text>
        <r>
          <rPr>
            <sz val="11"/>
            <color theme="1"/>
            <rFont val="Aptos Narrow"/>
            <family val="2"/>
            <scheme val="minor"/>
          </rPr>
          <t>Unknown User:
SUPPLY AND INSTALLATION OF PRESSURE REGULATING DEVICE FITTED TO 20MM STRAIGHT PIPEWORK
Isolate water service to property
Drain water service
Mark out valve location
Cut &amp; remove copper water service
Clean &amp; prepare existing copper water service
Supply &amp; install new service adapters
Supply &amp; install new press fittings
Supply &amp; install new brass fittings
Supply &amp; install new pressure regulating device
Supply &amp; install new sealant
Supply &amp; install new copper water service to suit new installation
Use of hydraulic press tool
Reinstate water service to property
Flush water system
Test &amp; commission installation
Set pressure of new installation
Removal of trade waste from site
PLEASE NOTE IF FURTHER WORK REQUIRED OTHER THAN QUOTED WORKS ADDITIONAL COSTS WILL APPLY
FLOOD, DYE, PRESSURE TEST (WET AREA)
Isolate main water supply to property
Removal of existing wall mounted spout
Gain access to cold water supply
Gain access to hot water supply
Set up specialist pressure testing equipment
Conduct pressure test on cold water service
Conduct pressure test on hot water service
Connect specialist pressure gauge to wet area outlet
Conduct pressure test on internal breach / body
Conduct flood test on walls
Conduct flood test on floors
Conduct specialist dye test on wet area
Test water proofing integrity
Removal of floor grate
Visually inspect drainage for potential faults or defects
Conduct dye test on drainage
Test drainage for potential faults or leaks
Conduct search &amp; investigation on wet area
Locate &amp; identify potential faults
Provide additional quote for rectification work
*Please note if a specialist leak detection is required further cost will apply*
PLEASE NOTE IF FURTHER WORK REQUIRED OTHER THEN QUOTED WORK FURTHER COST WILL APPLY</t>
        </r>
      </text>
    </comment>
    <comment ref="G152" authorId="4" shapeId="0" xr:uid="{AD43F929-39E4-4428-A800-0989A50E0751}">
      <text>
        <r>
          <rPr>
            <sz val="11"/>
            <color theme="1"/>
            <rFont val="Aptos Narrow"/>
            <family val="2"/>
            <scheme val="minor"/>
          </rPr>
          <t>Unknown User:
INSTALLATION OF NEW WASHING MACHINE (CUSTOMER SUPPLIED) - REPLACE EXISTING
Isolate main power supply to washing machine
Isolate cold water supply to washing machine
Isolate hot water supply to washing machine
Disconnect &amp; removal of existing power supply
Disconnect &amp; removal of existing cold-water supply to washing machine
Disconnect &amp; removal of existing hot water supply to washing machine
Disconnect &amp; removal of existing drainage supply to washing machine
Disconnect &amp; removal of existing washing machine
Clean &amp; prepare worked area
Prepare customer supplied washing machine for new installation
Install new customer supplied washing machine
Connect cold water inlet supply to washing machine
Connect hot water inlet supply to washing machine
Connect drainage outlet supply to washing machine
Connect drainage outlet supply to existing discharge point
Connect power supply to washing machine
Reinstate cold water supply
Reinstate hot water supply
Test &amp; commission installation
Removal of trade waste – Excludes removal of old appliance
PLEASE NOTE IF FURTHER WORK REQUIRED OTHER THEN QUOTED WORK FURTHER COST WILL APPLY</t>
        </r>
      </text>
    </comment>
    <comment ref="G153" authorId="4" shapeId="0" xr:uid="{AFF70DEF-C85D-47C3-99D1-4A75915EBE14}">
      <text>
        <r>
          <rPr>
            <sz val="11"/>
            <color theme="1"/>
            <rFont val="Aptos Narrow"/>
            <family val="2"/>
            <scheme val="minor"/>
          </rPr>
          <t>Unknown User:
MIXER TAP - STANDARD
Isolate main cold-water supply to property
Isolate main hot water supply to property
Disconnect &amp; removal of cold-water supply to existing mixer
Disconnect &amp; removal of hot water supply to existing mixer
Disconnect &amp; removal of existing locking nut
Disconnect &amp; removal of existing mixer
Clean &amp; prepare worked area
Supply &amp; install new mixer
Supply &amp; install new cold-water stainless-steel flexi hose
Supply &amp; install new hot water stainless steel flexi hose
Supply &amp; install new locking nut
Secure new mixer
Reconnect cold water supply to new mixer
Reconnect hot water supply to new mixer
Reinstate cold water supply to new mixer
Reinstate hot water supply to new mixer
Reinstate cold water supply to property
Reinstate hot water supply to property
Test &amp; commission installation
Removal of trade waste
PLEASE NOTE IF FURTHER WORK REQUIRED OTHER THEN QUOTED WORK FURTHER COST WILL APPLY</t>
        </r>
      </text>
    </comment>
    <comment ref="G154" authorId="4" shapeId="0" xr:uid="{EE456296-0EF1-4DE1-B9BE-3D79F5521115}">
      <text>
        <r>
          <rPr>
            <sz val="11"/>
            <color theme="1"/>
            <rFont val="Aptos Narrow"/>
            <family val="2"/>
            <scheme val="minor"/>
          </rPr>
          <t>Unknown User:
SUPPLY AND INSTALLATION OF REPLACEMENT BATH SET (CERAMIC DISC) – COMPLETE SET
Isolate main water supply to property
Removal of existing cold-water tapware
Removal of existing hot water tapware
Removal of existing bath spout
Removal of existing jumper valves in wall
Machine breech in wall
Flush out breech in wall
Supply &amp; install new cold water ceramic disc
Supply &amp; install hot water ceramic disc
Supply &amp; install new cold-water tapware
Supply &amp; install new hot water tapware
Supply &amp; install new bath spout
Reinstate main water supply to property
Test &amp; commission installation
Removal of trade waste
PLEASE NOTE IF FURTHER WORK REQUIRED OTHER THEN QUOTED WORK FURTHER COST WILL APPLY
SUPPLY &amp; INSTALLATION OF NEW WALL TOP TAPS AND HEAD COMBO - SHOWER
Isolate main water supply
Disconnect &amp; removal of existing shower head
Disconnect &amp; removal of existing cover plate
Removal of existing sealant
Clean no.19 thread
Removal of cold water tap handle &amp; flange
Removal of hot water tap handle &amp; flange
Removal of existing hot water spindle
Removal of existing cold-water spindle
Removal of existing cold water jumper valve
Removal of existing hot water jumper valve
Machine breach
Flush out breach
Supply &amp; install new cover plate for shower head
Supply &amp; install new shower head
Supply &amp; install new hot water jumper valve
Supply &amp; install new cold water jumper valve
Supply &amp; install new cold-water spindle
Supply &amp; install new hot water spindle
Supply &amp; install new easy clean tap ware
Supply &amp; install new hot &amp; cold cover plates
Supply &amp; install new hot &amp; cold tap handles
Supply &amp; install new locking nuts
Reinstate water supply
Test &amp; commission installation
Removal of trade waste
PLEASE NOTE IF FURTHER WORK REQUIRED OTHER THEN QUOTED WORK FURTHER COST WILL APPLY
REPLACEMENT OF BASIN SET (W/CERAMIC DISC)
Isolate main water supply to property
Disconnect cold water supply to existing basin breech
Disconnect hot water supply to existing basin breech
Disconnect &amp; removal of existing cold-water tapware
Disconnect &amp; removal of existing hot water tapware
Disconnect &amp; removal of existing basin spout
Disconnect &amp; removal of existing basin breech
Clean &amp; prepare worked area
Supply &amp; install new cold water emergency isolation valve
Supply &amp; install new hot water emergency isolation valve
Supply &amp; install new basin breech
Secure new sink basin breech
Supply &amp; install new basin spout
Supply &amp; install new cold-water ceramic disc tapware
Supply &amp; install new hot water ceramic disc tapware
Supply &amp; install new cold-water stainless-steel flexi hose
Supply &amp; install new hot water stainless steel flexi hose
Connect cold water supply to new basin breech
Connect hot water supply to new basin breech
Reinstate main water supply to property
Test &amp; commission installation
Removal of trade waste
PLEASE NOTE IF FURTHER WORK REQUIRED OTHER THEN QUOTED WORK FURTHER COST WILL APPLY
INSTALLATION OF NEW PEDESTAL BASIN (CUSTOMER SUPPLIED)
Isolate main water supply to property
Disconnect existing basin shroud
Removal of existing basin shroud
Disconnect existing cold-water supply to existing tapware
Disconnect existing hot water supply to existing tapware
Disconnect &amp; removal of existing tapware
Disconnect existing drainage
Disconnect &amp; removal of existing S&amp;P Trap
Disconnect &amp; removal of existing section of drainage
Disconnect &amp; removal of existing wall mounted basin
Disconnect &amp; removal of existing wall mounted basin brackets
Disconnect &amp; removal of existing sealant
Clean &amp; prepare worked area
Install new wall mounted basin brackets
Secure new wall mounted basin brackets to wall
Install new wall mounted basin
Secure new wall mounted basin to wall
Supply &amp; install new cold-water emergency isolation valve
Supply &amp; install new hot water emergency isolation valve
Install new Plug &amp; waste
Secure &amp; seal new plug &amp; waste to new wall mounted basin
Supply &amp; install new S&amp;P trap
Supply &amp; install new section of drainage
Supply &amp; install new PVC fittings
Connect new drainage to existing drainage
Install new tapware to suite new wall mounted basin
Secure tapware to new wall mounted basin
Supply &amp; install new cold-water stainless-steel flexi hose
Supply &amp; install new hot water stainless-steel flexi hose
Re-connect cold water supply
Re-connect hot water supply
Install new wall mounted basin shroud
Test &amp; commission installation
Removal of trade waste
PLEASE NOTE IF FURTHER WORK REQUIRED OTHER THEN QUOTED WORK FURTHER COST WILL APPLY</t>
        </r>
      </text>
    </comment>
    <comment ref="G155" authorId="4" shapeId="0" xr:uid="{BEBB5A92-19FB-4ED4-B748-89405E96E801}">
      <text>
        <r>
          <rPr>
            <sz val="11"/>
            <color theme="1"/>
            <rFont val="Aptos Narrow"/>
            <family val="2"/>
            <scheme val="minor"/>
          </rPr>
          <t>Unknown User:
SEARCH &amp; INVESTIGATION OF GAS APPLIANCE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appliance cover plates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t>
        </r>
      </text>
    </comment>
    <comment ref="G156" authorId="4" shapeId="0" xr:uid="{93562FBA-BDC8-4405-9C61-97B4B6C7979D}">
      <text>
        <r>
          <rPr>
            <sz val="11"/>
            <color theme="1"/>
            <rFont val="Aptos Narrow"/>
            <family val="2"/>
            <scheme val="minor"/>
          </rPr>
          <t>Unknown User:
REPLACEMENT OF EXISTING GOOSE NECK KITCHEN MIXER
Isolate main water supply to property
Disconnect existing cold-water supply to mixer tap
Disconnect existing hot-water supply to mixer tap
Disconnect and remove existing locking nut
Disconnect &amp; remove existing mixer tap
Clean and prepare work area for new installation
Supply and install new cold water emergency isolation valve
Supply and install new hot water emergency isolation valve
Supply &amp; install new goose neck mixer tap
Supply &amp; install new cold-water stainless steel flexi hose
Supply &amp; install new hot-water stainless steel flexi hose
Supply &amp; install new locking nut
Secure new mixer tap
Connect cold-water flexible hose to new emergency isolation valve
Connect hot-water flexible hose to new emergency isolation valve
Reinstate main water supply to property.
Test and commission installation
Removal of trade waste
PLEASE NOTE IF FURTHER WORK REQUIRED OTHER THEN QUOTED WORK FURTHER COST WILL APPLY</t>
        </r>
      </text>
    </comment>
    <comment ref="G157" authorId="4" shapeId="0" xr:uid="{9AAC5CDF-879F-48D2-8934-F2B7A903AEF4}">
      <text>
        <r>
          <rPr>
            <sz val="11"/>
            <color theme="1"/>
            <rFont val="Aptos Narrow"/>
            <family val="2"/>
            <scheme val="minor"/>
          </rPr>
          <t>Unknown User:
COMPLETE SERVICE OF TOILET CISTERN
Isolate main water supply to property
Disconnect cold-water supply to existing toilet cistern
Removal of existing cold-water supply to toilet cistern
Disconnect &amp; removal of existing emergency isolation valve
Gain access to toilet cistern
Disconnect existing toilet cistern inlet valve
Removal of existing toilet cistern inlet valve
Disconnect existing toilet cistern outlet valve
Removal of existing toilet cistern outlet valve
Disconnect &amp; removal of existing toilet cistern outlet valve drop washer
Clean existing toilet cistern outlet valve housing
Flush out toilet cistern free from all debris
Supply &amp; install new outlet valve drop washer
Reinstall existing toilet cistern outlet valve
Supply &amp; install new toilet cistern inlet valve
Secure new inlet valve to existing toilet cistern
Supply &amp; install new emergency isolation valve
Supply &amp; install new cold-water stainless-steel flexi hose
Reinstate main water supply to toilet cistern
Adjust inlet valve &amp; outlet valve to ensure optimal flush
Test &amp; commission installation
Removal of trade waste
PLEASE NOTE IF FURTHER WORK REQUIRED OUTSIDE OF QUOTED WORKS ADDITIONAL COSTS WILL APPLY</t>
        </r>
      </text>
    </comment>
    <comment ref="G158" authorId="4" shapeId="0" xr:uid="{2A38DC0F-0C00-4665-A34B-67A027A36144}">
      <text>
        <r>
          <rPr>
            <sz val="11"/>
            <color theme="1"/>
            <rFont val="Aptos Narrow"/>
            <family val="2"/>
            <scheme val="minor"/>
          </rPr>
          <t>Unknown User:
HIGH POWERED SUCTION PUMP
Gain access to sewer service
Gain access to sewer fixture
Removal of plug and waste
Set up high powered suction pump
First attempt to clear blocked sewer using high powered suction pump
Attempt to clear sewer service using high powered suction pump
Attempt to clear debris from sewer service
Attempt to flush out sewer service &amp; debris
Reinstate plug and waste
Test &amp; commission work completed
Removal of trade waste
PLEASE NOTE IF BLOCKAGES DOES NOT CLEAR FURTHER COST WILL APPLY. THIS IS A FIRST ATTEMPT</t>
        </r>
      </text>
    </comment>
    <comment ref="G159" authorId="4" shapeId="0" xr:uid="{2F6ABB09-BEA2-4E88-99BB-3C837821CB65}">
      <text>
        <r>
          <rPr>
            <sz val="11"/>
            <color theme="1"/>
            <rFont val="Aptos Narrow"/>
            <family val="2"/>
            <scheme val="minor"/>
          </rPr>
          <t>Unknown User:
SUPPLY &amp; INSTALLATION OF NEW CLOSE COUPLED TOILET SUITE
Isolate main water supply to property
Disconnect cold water supply to existing toilet cistern
Removal of existing cold-water supply to toilet cistern
Disconnect &amp; removal of existing emergency isolation valve
Disconnect &amp; removal of existing toilet cistern
Disconnect &amp; removal of existing toilet seat
Disconnect &amp; removal of existing toilet pan
Disconnect &amp; removal of existing toilet pan collar
Disconnect &amp; removal of existing bedding / sealant
Clean &amp; prepare worked area
Supply &amp; install new toilet pan collar
Supply &amp; install new toilet pan
Supply &amp; install new toilet cistern
Supply &amp; install new toilet seat
Secure new toilet seat to new toilet pan
Supply &amp; install new cold-water stainless-steel flexi hose
Connect new cold-water stainless-steel flexi hose to new toilet cistern
Seal &amp; secure new toilet suite pan to floor
Reinstate water supply to property
Test &amp; commission installation
Removal of trade waste
PLEASE NOTE IF FURTHER WORK REQUIRED OUTSIDE OF QUOTED WORKS ADDITIONAL COSTS WILL APPLY</t>
        </r>
      </text>
    </comment>
    <comment ref="G160" authorId="4" shapeId="0" xr:uid="{5F5B50AC-C1D9-4A76-839B-61A3BA3D4477}">
      <text>
        <r>
          <rPr>
            <sz val="11"/>
            <color theme="1"/>
            <rFont val="Aptos Narrow"/>
            <family val="2"/>
            <scheme val="minor"/>
          </rPr>
          <t>Unknown User:
REPLACEMENT OF EXISTING PULL-OUT KITCHEN MIXER
Isolate main water supply to property
Disconnect existing cold-water supply to mixer tap
Disconnect existing hot-water supply to mixer tap
Disconnect and remove existing locking nut
Disconnect &amp; remove existing mixer tap
Clean and prepare work area for new installation
Supply and install new cold water emergency isolation valve
Supply and install new hot water emergency isolation valve
Supply &amp; install new pull out - Mixer tap
Supply &amp; install new cold-water stainless steel flexi hose
Supply &amp; install new hot-water stainless steel flexi hose
Supply &amp; install new locking nut
Secure new mixer tap
Connect cold-water flexible hose to new emergency isolation valve
Connect hot-water flexible hose to new emergency isolation valve
Reinstate main water supply to property.
Test and commission installation
Removal of trade waste
PLEASE NOTE IF FURTHER WORK REQUIRED OTHER THEN QUOTED WORK FURTHER COST WILL APPLY</t>
        </r>
      </text>
    </comment>
    <comment ref="G161" authorId="4" shapeId="0" xr:uid="{EC53C320-1C87-460C-A09E-197864D0670D}">
      <text>
        <r>
          <rPr>
            <sz val="11"/>
            <color theme="1"/>
            <rFont val="Aptos Narrow"/>
            <family val="2"/>
            <scheme val="minor"/>
          </rPr>
          <t>Unknown User:
SEARCH &amp; INVESTIGATION OF GAS STORAGE HOT WATER SYSTEM
Gain access to gas hot water system
Gain access to main gas isolation valve to property
Test gas supply with specialist manometer device
Visually inspect gas supply and fittings to hot water system
Use soapy spray on fittings and pipework
Check gas supply pressure to hot water system and control unit
Check integrity of gas isolation valve at hot water system
Check power supply to hot water system using testing pen
Check electrical box (IF REQUIRED)
Check circuit switch (IF REQUIRED)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will apply.</t>
        </r>
      </text>
    </comment>
    <comment ref="G162" authorId="4" shapeId="0" xr:uid="{CD4CAC29-EF71-4E4E-A14A-E581C109183B}">
      <text>
        <r>
          <rPr>
            <sz val="11"/>
            <color theme="1"/>
            <rFont val="Aptos Narrow"/>
            <family val="2"/>
            <scheme val="minor"/>
          </rPr>
          <t>Unknown User:
SUPPLY AND INSTALLATION OF BOILING WATER UNIT
Isolate water supply to boiling water unit
Isolate power supply to boiling water unit
Drain boiling water unit
Disconnect &amp; removal unit cover
Disconnect &amp; remove cold water service to boiling water unit
Disconnect &amp; remove drain from boiling water unit
Disconnect &amp; remove power supply to boiling water unit
Disconnect &amp; remove boiling water unit fixings
Disconnect &amp; remove boiling water unit from wall
Cut &amp; remove existing cold water isolation valve
Clean &amp; prepare worked area
Supply &amp; install new wall brackets
Supply &amp; install new boiling water unit to wall brackets
Supply &amp; install new fixings
Supply &amp; install new service adapters
Supply &amp; install new cold water isolation valve
Supply &amp; install new service adapters
Supply &amp; install new brass fittings
Supply &amp; install new cold water service to new boiling water unit
Supply &amp; install new drain from boiling water unit
Connect power supply to new biling water unit
Reinstate water supply to boiling water unit
Reinstate power supply to boiling water unit
Fill unit
Test and commission unit
Removal of trade waste from site
PLEASE NOTE IF FURTHER WORK REQUIRED OUTSIDE OF QUOTED WORKS ADDITIONAL COSTS WILL APPLY
SUPPLY AND INSTALLATION OF TRAP TO SINK OR LAUNDRY TUB - WHITE PVC
Gain access to existing sink or laundry tub drainage
Disconnect &amp; removal of existing trap locking nuts
Disconnect &amp; removal of existing trap outlet fittings
Disconnect &amp; removal of existing trap gaskets
Disconnect &amp; removal of existing PVC drainage fittings if required
Clean &amp; prepare drainage outlet and waste connection for new installation
Supply &amp; install new white PVC sink or laundry tub trap
Supply &amp; install new PVC drainage fittings if required
Supply &amp; install new sealing gaskets
Connect new white PVC trap to existing waste outlet
Connect new white PVC trap to existing drainage
Test &amp; commission installation to ensure correct operation and no leaks
Removal of trade waste
PLEASE NOTE IF FURTHER WORK REQUIRED OTHER THEN QUOTED WORK FURTHER COST WILL APPLY</t>
        </r>
      </text>
    </comment>
    <comment ref="G164" authorId="4" shapeId="0" xr:uid="{BF79FE69-B9BF-4D17-9F95-8248A856ED5F}">
      <text>
        <r>
          <rPr>
            <sz val="11"/>
            <color theme="1"/>
            <rFont val="Aptos Narrow"/>
            <family val="2"/>
            <scheme val="minor"/>
          </rPr>
          <t>Unknown User:
RECTIFICATION OF GAS SERVICE (UNDER CONCRETE)</t>
        </r>
      </text>
    </comment>
    <comment ref="G165" authorId="4" shapeId="0" xr:uid="{3DD14EB3-CB56-4589-9FD0-17E86A2E4B7A}">
      <text>
        <r>
          <rPr>
            <sz val="11"/>
            <color theme="1"/>
            <rFont val="Aptos Narrow"/>
            <family val="2"/>
            <scheme val="minor"/>
          </rPr>
          <t>Unknown User:
HIGH POWERED JET BLAST &amp; CCTV DRAIN CAMERA INSPECTION IN CONJUNCTION WITH SPECIALIST WHIP HOSE
Set up high powered Jet Blaster
Set up high powered Mini-Reel
Set up specialist Whip Hose
Set up high powered Turbines
Set up specialist CCTV Camera
Set up Specialist locator
Gain access to sewer service
First attempt to clear blocked sewer service using high powered Jet Blaster in conjunction with specialist Whip Hose
Attempt to clear &amp; flush out sewer service using high powered Jet Blaster
Conduct specialist CCTV drain camera to inspect sewer service
Use of CCTV Camera on sewer service to identify potential faults &amp; cause of blockage
If faults found use Specialist locator to pinpoint exact location of fault
PLEASE NOTE IF BLOCKAGE DOES NOT CLEAR FURTHER COST WILL APPLY</t>
        </r>
      </text>
    </comment>
    <comment ref="G166" authorId="4" shapeId="0" xr:uid="{F0E00DE7-77B6-42DA-84A3-F4E4EC2B9956}">
      <text>
        <r>
          <rPr>
            <sz val="11"/>
            <color theme="1"/>
            <rFont val="Aptos Narrow"/>
            <family val="2"/>
            <scheme val="minor"/>
          </rPr>
          <t>Unknown User:
SEARCH AND INVESTIGATION OF GAS INSTANTANEOUS HOT WATER SYSTEM
Gain access to gas instantaneous hot water system
Gain access to main gas isolation valve to property
Removal of main test point at main meter
Test main gas supply with specialist manometer device
Reinstall main test point at main meter
Gain access to instantaneous hot water system test point
Removal of test point on existing instantaneous hot water system
Conduct gas supply with specialist manometer device at instantaneous hot water system
Reinstall test point to gas instantaneous hot water system
Visually inspect gas supply and fittings to hot water system
Conduct soapy spray test on fittings and pipework (IF REQUIRED)
Check gas supply pressure to hot water system and control unit
Check integrity of gas isolation valve at hot water system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repair.</t>
        </r>
      </text>
    </comment>
    <comment ref="G167" authorId="4" shapeId="0" xr:uid="{0EB20C15-BB6A-4313-81CA-41BFA1A3A25E}">
      <text>
        <r>
          <rPr>
            <sz val="11"/>
            <color theme="1"/>
            <rFont val="Aptos Narrow"/>
            <family val="2"/>
            <scheme val="minor"/>
          </rPr>
          <t xml:space="preserve">Unknown User:
REPLACEMENT OF IN WALL BATH BREACH
Isolate cold water supply to property
Isolate hot water supply to property
Disconnect &amp; removal of hot water tapware
Disconnect &amp; removal of cold-water tapware
Disconnect &amp; removal of existing bath spout
Dimond cut tiles in required location
Removal of tiles in required location
Cut out section of bath wall
Gain access to in wall
Expose section of section cold water service in wall
Expose section of hot water service in wall
Expose existing Bath breach in wall
Cut &amp; removal of section of cold-water service in wall
Cut &amp; removal of section of hot water service in wall
Cut &amp; removal of existing bath breech in wall
Clean existing hot &amp; cold-water services
Prepare existing hot &amp; cold-water services in wall for installation of new breech
Supply &amp; install new bath breech in wall
Supply &amp; install new section of cold-water service in wall
Supply &amp; install new section of hot water service in wall
Supply &amp; install new B-press fittings
Supply &amp; install new brass fittings
Secure new in wall breech
Use of specialist hydraulic crimping tool
Crimp new press fittings in wall
Reinstate cold water supply
Reinstate hot water supply
Conduct pressure test to ensure no further leaks
Restoration of worked area
Re-install cold water tapware
Re-install hot water tapware
Re-install bath spout
Test &amp; commission installation
Removal of trade waste
Please note tile match will not be exact but will endeavour to locate closest suitable match.
PLEASE NOTE IF FURTHER WORK REQUIRED OTHER THEN QUOTED WORK FURTHER COST WILL APPLY
REPLACEMENT OF WALL TOP TAPWARE
Isolate main water supply to property
Disconnect &amp; removal of existing cold water wall top tapware
Disconnect &amp; removal of existing hot water wall top tapware
Disconnect &amp; removal of existing jumper valves
Disconnect &amp; removal of existing fiber washers
Machine breech
Flush out breech free from debris
Supply &amp; install new jumper valves
Supply &amp; install new fiber washers
Supply &amp; install new cold water wall top tapware
Supply &amp; install new hot water wall top tapware
Reinstate main water supply to property
Test &amp; commission installation
Removal of trade waste
PLEASE NOTE IF FURTHER WORK REQUIRED OTHER THEN QUOTED WORK FURTHER COST WILL APPLY
</t>
        </r>
      </text>
    </comment>
    <comment ref="G168" authorId="4" shapeId="0" xr:uid="{6F2B07C5-2347-4887-8745-C478F772403D}">
      <text>
        <r>
          <rPr>
            <sz val="11"/>
            <color theme="1"/>
            <rFont val="Aptos Narrow"/>
            <family val="2"/>
            <scheme val="minor"/>
          </rPr>
          <t>Unknown User:
SEWER SPOT DIG UP TO ____M (UNDER CONCRETE)
Obtain sewer diagram
Obtain dial Before dig
Obtain service location diagram
Set up safe work area
Set up builders plastic
Set up barricades for safety
Concrete cut ground area
Jack hammer ground area
Removal of concrete in required location
Dig &amp; Excavate Ground Area Up to ___M
Expose existing section of sewer service up to ___M
Expose existing sewer junctions (If Required)
Cut &amp; remove existing section of sewer service up to ___M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___M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t>
        </r>
      </text>
    </comment>
    <comment ref="G201" authorId="4" shapeId="0" xr:uid="{4F72B0F5-9567-4D85-838F-632AA5428B84}">
      <text>
        <r>
          <rPr>
            <sz val="11"/>
            <color theme="1"/>
            <rFont val="Aptos Narrow"/>
            <family val="2"/>
            <scheme val="minor"/>
          </rPr>
          <t>Unknown User:
REPLACEMENT OF IN-WALL KITCHEN SINK/BATH/LAUNDRY RECESS TEE (IN BRICK
WALL)
Isolate cold water supply to property
Isolate hot water supply to property
Disconnect &amp; remove hot water tapware
Disconnect &amp; remove cold water tapware
Disconnect &amp; remove existing spout
Diamond cut tiles in required location
Remove tiles in required location
Cut out section of brick wall
Gain access to in-wall cavity
Chase down brickwork for new pipes to be installed
Expose section of cold-water service in wall
Expose section of hot water service in wall
Expose existing in-wall breech
Cut &amp; remove section of cold-water service in wall
Cut &amp; remove section of hot-water service in wall
Cut &amp; remove existing in-wall breech
Clean existing hot &amp; cold-water service
Supply &amp; install new section of cold-water service in wall
Supply &amp; install new section of hot-water service in wall
Supply &amp; install new B-press fittings
Supply &amp; install new brass fittings
Secure new brass lugged elbows
Use of specialist hydraulic crimping tool
Crimp new press fittings in wall
Install new test caps to lugged elbows
Reinstate cold water supply
Reinstate hot water supply
Conduct pressure test to ensure no further leaks
Test &amp; commission installation
Remove trade waste</t>
        </r>
      </text>
    </comment>
    <comment ref="P201" authorId="4" shapeId="0" xr:uid="{6335FA0C-EBC0-4C94-8654-367036081251}">
      <text>
        <r>
          <rPr>
            <sz val="11"/>
            <color theme="1"/>
            <rFont val="Aptos Narrow"/>
            <family val="2"/>
            <scheme val="minor"/>
          </rPr>
          <t>Unknown User:
Quote not Emailed</t>
        </r>
      </text>
    </comment>
    <comment ref="G202" authorId="4" shapeId="0" xr:uid="{5A3167EA-EB01-49E2-AD69-5F82A5040E2B}">
      <text>
        <r>
          <rPr>
            <sz val="11"/>
            <color theme="1"/>
            <rFont val="Aptos Narrow"/>
            <family val="2"/>
            <scheme val="minor"/>
          </rPr>
          <t xml:space="preserve">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
</t>
        </r>
      </text>
    </comment>
    <comment ref="G203" authorId="4" shapeId="0" xr:uid="{8A247B4C-098C-4C73-8A5E-86BE8DA88AC2}">
      <text>
        <r>
          <rPr>
            <sz val="11"/>
            <color theme="1"/>
            <rFont val="Aptos Narrow"/>
            <family val="2"/>
            <scheme val="minor"/>
          </rPr>
          <t>Unknown User:
SUPPLY AND INSTALLATION OF 15MM THERMOSTATIC VALVE
Isolate main cold water supply to property
Isolate main hot water supply to property
Isolate main power supply to existing hot water system
Gain access to existing thermostatic mixing valve
Drain system
Disconnect &amp; removal of existing outlet service unions
Disconnect &amp; removal of existing hot water service unions
Disconnect &amp; removal of existing cold water service unions
Disconnect &amp; removal of existing thermostatic mixing valve body
Disconnect &amp; removal of existing hot water non return isolating ball valve
Disconnect &amp; removal of existing cold water non return isolating ball valve
Disconnect &amp; removal of existing service adapters from hot water service
Disconnect &amp; removal of existing service adapters from cold water service
Clean &amp; prepare existing water services for new connections
Supply &amp; install new service adapters
Supply &amp; install new press fittings
Supply &amp; install new brass fittings supply
Supply &amp; install new hot water non return isolating ball valve
Supply &amp; install new cold water non return isolating ball valve
Supply &amp; install new thermostatic mixing valve body
Supply &amp; install new gaskets
Supply &amp; install new sealants
Reinstate hot water supply to property
Reinstate cold water supply to property
Bleed hot water service
Bleed cold water service
Commission thermostatic mixing valve to ensure compliance with AS/4032
Conduct temperature check to ensure compliance with AS/3500
Clean worked area
Removal of trade waste
PLEASE NOTE IF FURTHER WORK REQUIRED OTHER THEN QUOTED WORK
FURTHER COST WILL APPLY</t>
        </r>
      </text>
    </comment>
    <comment ref="G204" authorId="4" shapeId="0" xr:uid="{08F1B524-9F1B-4768-A666-4EF785D09FD5}">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t>
        </r>
      </text>
    </comment>
    <comment ref="G205" authorId="4" shapeId="0" xr:uid="{66B9DBD6-D5F8-42D5-8881-EEA0B6E0EE38}">
      <text>
        <r>
          <rPr>
            <sz val="11"/>
            <color theme="1"/>
            <rFont val="Aptos Narrow"/>
            <family val="2"/>
            <scheme val="minor"/>
          </rPr>
          <t xml:space="preserve">Unknown User:
REPLACEMENT OF PLUG &amp; WASTE - 40MM
Gain access to existing plug &amp; waste
Disconnect &amp; removal of existing PVC drainage
Disconnect &amp; removal of existing PVC fittings
Disconnect &amp; removal of existing locking nut for plug &amp; waste
Disconnect &amp; removal of existing plug &amp; waste
Disconnect &amp; removal of existing sealant
Disconnect &amp; removal of existing gaskets
Clean &amp; prepare sink area for new installation
Supply &amp; install new 40mm plug &amp; waste
Supply &amp; install new sealant
Seal new plug &amp; waste to sink
Supply &amp; install new gaskets
Secure new plug &amp; waste
Connect new plug &amp; waste to existing drainage
Test &amp; commission installation to ensure correct operation and no leaks
Removal of trade waste
PLEASE NOTE IF FURTHER WORK REQUIRED OTHER THEN QUOTED WORK FURTHER COST WILL APPLY
</t>
        </r>
      </text>
    </comment>
    <comment ref="L205" authorId="4" shapeId="0" xr:uid="{D184BED8-5F40-4B2E-BC07-853C449AEB92}">
      <text>
        <r>
          <rPr>
            <sz val="11"/>
            <color theme="1"/>
            <rFont val="Aptos Narrow"/>
            <family val="2"/>
            <scheme val="minor"/>
          </rPr>
          <t>Unknown User:
After pic not uploaded</t>
        </r>
      </text>
    </comment>
    <comment ref="G206" authorId="4" shapeId="0" xr:uid="{8AFFDDC0-41D5-4886-84DC-9130AC87E4A0}">
      <text>
        <r>
          <rPr>
            <sz val="11"/>
            <color theme="1"/>
            <rFont val="Aptos Narrow"/>
            <family val="2"/>
            <scheme val="minor"/>
          </rPr>
          <t xml:space="preserve">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
</t>
        </r>
      </text>
    </comment>
    <comment ref="G211" authorId="4" shapeId="0" xr:uid="{87CEDDC4-5A49-4C93-9F3A-121A3055DD4E}">
      <text>
        <r>
          <rPr>
            <sz val="11"/>
            <color theme="1"/>
            <rFont val="Aptos Narrow"/>
            <family val="2"/>
            <scheme val="minor"/>
          </rPr>
          <t>Unknown User:
SUSPENDED SEWER RECTIFICATION (UNDER HOUSE) UPTO 3M
*Obtain sewer diagram
*Obtain dial Before dig
*Obtain service location diagram
*Set up safe work area
*Set up builders plastic
*Set up barricades for safety
*Dig &amp; Excavate ground area for under floor access
*Locate &amp; identify existing section of sewer service up to 3M
*Locate &amp; identify existing sewer junctions (If Required)
*Cut &amp; remove existing section of sewer service up to 3M
*Cut &amp; remove existing sewer junctions (if required)
*Gain access to sewer service
*Supply &amp; installation of new
section of sewer service up to 3M
*Supply &amp; installation of new sewer junctions (if required)
*Supply &amp; installation of new I/O inspection point
*Supply &amp; installation of new PVC fittings
*Use of commercial grade solvents and sealants
*Connect new section of sewer service to existing sewer service
*Supply &amp; install new fixing and clips
*Backfill excavated area
*Set up high-powered Jet Blaster
*Set up high-powered mini reel
*Set up high-powered Turbines
*Jet Blast sewer service
*Re-camera and investigate further
*Test &amp; commission installation
*Remove trade waste
PLEASE NOTE IF FURTHER WORK REQUIRED OTHER THEN QUOTED WORK FURTHER COST WILL APPLY</t>
        </r>
      </text>
    </comment>
    <comment ref="N211" authorId="4" shapeId="0" xr:uid="{99480E41-7686-4077-A75B-5BF4712625E3}">
      <text>
        <r>
          <rPr>
            <sz val="11"/>
            <color theme="1"/>
            <rFont val="Aptos Narrow"/>
            <family val="2"/>
            <scheme val="minor"/>
          </rPr>
          <t>Unknown User:
Quote Raised in #71185</t>
        </r>
      </text>
    </comment>
    <comment ref="U211" authorId="4" shapeId="0" xr:uid="{7DF05C04-8B71-427B-8746-0F1CDD4E8DBA}">
      <text>
        <r>
          <rPr>
            <sz val="11"/>
            <color theme="1"/>
            <rFont val="Aptos Narrow"/>
            <family val="2"/>
            <scheme val="minor"/>
          </rPr>
          <t>Unknown User:
31/07-As per Alex P's CB notes "Went to site
Found the inspection shaft that is running off the junction for the toilet is back falling fowling on stromwater pipe. Need to cut out junction and rerun at a floater grade to get under the storm water.
Basin sink that customer was complaining about that was "over flowing and backing up" wasn't the case. It's leaking from the plug and waste video evidence on the job.
The other side of the house in the ense he comparing about slow drainage from the other basins. Looked under the house found 88" junctions and an 10 used on the sewer main line which I think is causing the toilets to slow the flow down and causing these blockages.
Gargling sound from kitchen sink when toilet we fixed when flushed has gone away after we cleared the blockages so there's no venting issues.
Customer is very unhappy with all these issues all arising. But iv assumed him the issues he's having are unrelated to the work we've done it's caused by what's further and past what we have fixed.
Shaun to call in the morning to calm him down."</t>
        </r>
      </text>
    </comment>
    <comment ref="V211" authorId="4" shapeId="0" xr:uid="{5097AC0A-8381-4C85-8162-DF175AAB13FF}">
      <text>
        <r>
          <rPr>
            <sz val="11"/>
            <color theme="1"/>
            <rFont val="Aptos Narrow"/>
            <family val="2"/>
            <scheme val="minor"/>
          </rPr>
          <t>Unknown User:
07/07 Received $7685.90 EFT</t>
        </r>
      </text>
    </comment>
    <comment ref="G227" authorId="4" shapeId="0" xr:uid="{54483697-CE3A-421F-875B-5B061C6EC6BA}">
      <text>
        <r>
          <rPr>
            <sz val="11"/>
            <color theme="1"/>
            <rFont val="Aptos Narrow"/>
            <family val="2"/>
            <scheme val="minor"/>
          </rPr>
          <t>Unknown User:
REPLACEMENT OF KITCHEN MIXER (CUSTOMER SUPPLIED)
Isolate main water supply to property
Disconnect existing cold-water supply to mixer tap
Disconnect existing hot-water supply to mixer tap
Disconnect and remove existing locking nut
Disconnect &amp; remove existing mixer tap
Clean and prepare work area for new installation
Supply and install new cold water emergency isolation valve
Supply and install new hot water emergency isolation valve
Install new customer supplied kitchen mixer
Install new cold-water stainless steel flexi hose
Install new hot-water stainless steel flexi hose
Install new locking nut
Secure new mixer tap
Connect cold-water flexible hose to new emergency isolation valve
Connect hot-water flexible hose to new emergency isolation valve
Reinstate main water supply to property.
Test and commission installation
Removal of trade waste
PLEASE NOTE IF FURTHER WORK REQUIRED OTHER THEN QUOTED WORK FURTHER COST WILL APPLY</t>
        </r>
      </text>
    </comment>
    <comment ref="G228" authorId="4" shapeId="0" xr:uid="{EE1CD904-74DB-4E94-A7D2-DC317044E6D8}">
      <text>
        <r>
          <rPr>
            <sz val="11"/>
            <color theme="1"/>
            <rFont val="Aptos Narrow"/>
            <family val="2"/>
            <scheme val="minor"/>
          </rPr>
          <t>Unknown User:
CONVERT SOLAR CLOSE COUPLED SOLAR HOT WATER SYSTEM TO ELECTRIC STORAGE HOT WATER SYSTEM ON GROUND
Isolate main water supply to property
Isolate main electrical supply to property
Set up safe work area
Gain access to existing solar hot water system
Disconnect existing power supply to existing solar hot water system
Disconnect water supply to existing solar hot water system
Disconnect existing plumbing to solar hot water system
Drain existing solar hot water system
Disconnect &amp; removal of existing valve sets
Disconnect &amp; removal of existing brass fittings
Disconnect &amp; removal of existing solar hot water system from roof
Disconnect &amp; removal of existing solar panels from roof
Disconnect &amp; removal of existing flow &amp; return lines
Decommission existing solar system
Clean &amp; prepare worked area
Mark out new desired location for new electric storage system
Supply &amp; install new precast concrete slab in new location
Supply &amp; install new electric storage hot water unit in new location
Gain access to existing hot water service
Gain access to existing cold water service
Supply &amp; install new copper cold water service to new location
Supply &amp; install new copper hot water service to new location
Supply &amp; install new duo non return isolation valve
Supply &amp; install new pressure limiting valve
Supply &amp; install new tempering valve
Supply &amp; install new temperature &amp; pressure relief valve
Supply &amp; install new temperature &amp; pressure relief drain
Supply &amp; install new press fittings
Supply &amp; install new brass fittings
Supply &amp; install new valve lagging
Supply &amp; install new service lagging
Reconnect electrical service
Reinstate water service
Fill tank
Test &amp; commission installation
Removal of trade waste form site
PLEASE NOTE IF FURTHER WORK REQUIRED OUTSIDE OF QUOTED WORKS ADDITIONAL COSTS WILL APPLY</t>
        </r>
      </text>
    </comment>
    <comment ref="G229" authorId="4" shapeId="0" xr:uid="{188AB05E-263C-49FF-BE1D-120D086E83E9}">
      <text>
        <r>
          <rPr>
            <sz val="11"/>
            <color theme="1"/>
            <rFont val="Aptos Narrow"/>
            <family val="2"/>
            <scheme val="minor"/>
          </rPr>
          <t>Unknown User:
SEWER SPOT DIG UP TO 2.5M - IN GROUND
Obtain sewer diagram
Obtain dial Before dig
Obtain service location diagram
Set up safe work area
Set up builders plastic
Set up barricades for safety
Jack hammer ground area
Removal of concrete in required location
Dig &amp; Excavate Ground Area Up to 2.5M
Expose existing section of sewer service up to 2.5M
Expose existing sewer junctions (If Required)
Cut &amp; remove existing section of sewer service up to 2.5M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2.5M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Standard finish only
Wash down worked area
Test &amp; commission installation
Remove trade waste
PLEASE NOTE IF FURTHER WORK REQUIRED OTHER THEN QUOTED WORK FURTHER COST WILL APPLY</t>
        </r>
      </text>
    </comment>
    <comment ref="G230" authorId="4" shapeId="0" xr:uid="{D1F16C90-34D9-4216-BC68-EDEB146B3DB7}">
      <text>
        <r>
          <rPr>
            <sz val="11"/>
            <color theme="1"/>
            <rFont val="Aptos Narrow"/>
            <family val="2"/>
            <scheme val="minor"/>
          </rPr>
          <t>Unknown User:
SEARCH &amp; INVESTIGATION (MINOR) - POTENTIAL WATER LEAK FROM UNKNOWN LOCATION
Set up safe worked area
Isolate main water supply to property
Gain access to cold water supply
Gain access to hot water supply
Set up specialist pressure testing equipment
Conduct pressure test on cold water service
Conduct pressure test on hot water service
Conduct search &amp; investigation on property in attempt to locate leak
Cut &amp; removal of gyprock/cabinetry – If required
Provide additional quote for rectification work
Removal of any trade waste
Please note, if unable to find leak additional cost will apply for a specialist leak detection.
PLEASE NOTE IF FURTHER WORK REQUIRED OTHER THAN QUOTED WORK FURTHER COST WILL APPLY.</t>
        </r>
      </text>
    </comment>
    <comment ref="G231" authorId="4" shapeId="0" xr:uid="{2C56EF8E-1C42-4D4D-BF9C-56FA016A349C}">
      <text>
        <r>
          <rPr>
            <sz val="11"/>
            <color theme="1"/>
            <rFont val="Aptos Narrow"/>
            <family val="2"/>
            <scheme val="minor"/>
          </rPr>
          <t xml:space="preserve">Unknown User:
SEWER SPOT DIG UP TO 2M - IN GROUND
Obtain sewer diagram
Obtain dial Before dig
Obtain service location diagram
Set up safe work area
Set up builders plastic
Set up barricades for safety
Concrete cut ground area
Jack hammer ground area
Removal of concrete in required location
Dig &amp; Excavate Ground Area Up to 2M
Expose existing section of sewer service up to 2M
Expose existing sewer junctions (If Required)
Cut &amp; remove existing section of sewer service up to 2M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2M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
</t>
        </r>
      </text>
    </comment>
    <comment ref="N231" authorId="4" shapeId="0" xr:uid="{61022DF4-5934-453C-9F81-B9F29A465B79}">
      <text>
        <r>
          <rPr>
            <sz val="11"/>
            <color theme="1"/>
            <rFont val="Aptos Narrow"/>
            <family val="2"/>
            <scheme val="minor"/>
          </rPr>
          <t xml:space="preserve">Unknown User:
Quote raised in #71320
</t>
        </r>
      </text>
    </comment>
    <comment ref="G263" authorId="4" shapeId="0" xr:uid="{1FF753A0-F2C1-4725-AF73-BE9D04235B3F}">
      <text>
        <r>
          <rPr>
            <sz val="11"/>
            <color theme="1"/>
            <rFont val="Aptos Narrow"/>
            <family val="2"/>
            <scheme val="minor"/>
          </rPr>
          <t xml:space="preserve">Unknown User:
SUPPLY &amp; INSTALLATION OF GAS STORAGE HOT WATER SYSTEM (EXTERNAL)
</t>
        </r>
      </text>
    </comment>
    <comment ref="G264" authorId="4" shapeId="0" xr:uid="{2D2C126B-444F-4E4B-A022-841540D19E76}">
      <text>
        <r>
          <rPr>
            <sz val="11"/>
            <color theme="1"/>
            <rFont val="Aptos Narrow"/>
            <family val="2"/>
            <scheme val="minor"/>
          </rPr>
          <t>Unknown User:
SEARCH &amp; INVESTIGATION OF POTENTIAL GAS LEAK</t>
        </r>
      </text>
    </comment>
    <comment ref="G265" authorId="4" shapeId="0" xr:uid="{D047F726-1214-4152-9311-F912ED4B4E33}">
      <text>
        <r>
          <rPr>
            <sz val="11"/>
            <color theme="1"/>
            <rFont val="Aptos Narrow"/>
            <family val="2"/>
            <scheme val="minor"/>
          </rPr>
          <t>Unknown User:
HIGH POWERED JET BLAST &amp; CCTV CAMERA INSPECTION (GAIN ACCESS WITH REMOVAL OF TOILET)
Isolate main water supply to toilet cistern
Disconnect &amp; removal of existing water supply to toilet cistern
Disconnect &amp; removal of existing toilet cistern
Disconnect &amp; removal of existing toilet pan
Disconnect &amp; removal of existing toilet pan collar
Gain access to sewer service
Set up high powered Jet blaster
Set up High powered mini-Reel
Set up specialist whip hose
Set up high powered Turbines
Set up specialist CCTV Camera
Set up Specialist locator
Gain access to sewer service
First attempt to clear blocked sewer service using high powered Jet blaster in conjunction with specialist whip hose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existing toilet pan collar
Reinstate existing toilet pan
Reinstate existing toilet cistern
Reinstate toilet pan to floor
Reinstate water supply to toilet cistern
Reinstate water supply to toilet cistern
Clean worked area
Test &amp; commission installation
PLEASE NOTE IF BLOCKAGE DOES NOT CLEAR FURTHER COST WILL APPLY. THIS IS A FIRST ATTEMPT.
PLEASE NOTE IF TOILET PAN BREAKS DURING THE REMOVAL OF TOILET SUITE FURTHER COST WILL APPLY TO REPLACE</t>
        </r>
      </text>
    </comment>
    <comment ref="M265" authorId="4" shapeId="0" xr:uid="{D0881A15-EE7F-4E2F-9C5C-72C5DB72CEC2}">
      <text>
        <r>
          <rPr>
            <sz val="11"/>
            <color theme="1"/>
            <rFont val="Aptos Narrow"/>
            <family val="2"/>
            <scheme val="minor"/>
          </rPr>
          <t>Unknown User:
Receipt for $3000 not uploaded by plumber, now uploaded by Modoras team</t>
        </r>
      </text>
    </comment>
    <comment ref="G266" authorId="4" shapeId="0" xr:uid="{B3BD2039-81D1-40E4-8615-40EC022DF364}">
      <text>
        <r>
          <rPr>
            <sz val="11"/>
            <color theme="1"/>
            <rFont val="Aptos Narrow"/>
            <family val="2"/>
            <scheme val="minor"/>
          </rPr>
          <t xml:space="preserve">Unknown User:
SEARCH &amp; INVESTIGATION OF DISHWASHER
Isolate the main water supply to the appliance
Disconnect &amp; remove the cold-water supply
Disconnect &amp; remove the drainage line
Disconnect &amp; remove the power supply
Visually inspect the dishwasher and hoses for any breaks or faults
Check for any blockages and clear them if possible
Inspect the dishwasher for leaks
Clean and flush the filters
Reinstate the main water supply
Reconnect the main drainage hose
Perform testing and commission the installation
Identify the cause of the issue
Provide an additional quote for any further repairs (if required)
PLEASE NOTE IF FURTHER WORK REQUIRED OTHER THEN QUOTED WORK FURTHER COST WILL APPLY
REPLACEMENT OF EXISTING GOOSE NECK KITCHEN MIXER (CUSTOMER SUPPLIED)
Isolate main water supply to property
Disconnect existing cold-water supply to mixer tap
Disconnect existing hot-water supply to mixer tap
Disconnect and remove existing locking nut
Disconnect &amp; remove existing mixer tap
Clean and prepare work area for new installation
Supply and install new cold water emergency isolation valve
Supply and install new hot water emergency isolation valve
Install new customer supplied goose neck mixer tap
Install new cold-water stainless steel flexi hose
Install new hot-water stainless steel flexi hose
Install new locking nut
Secure new goose neck kitchen mixer tap
Connect cold-water flexible hose to new emergency isolation valve
Connect hot-water flexible hose to new emergency isolation valve
Reinstate main water supply to property.
Test and commission installation
Removal of trade waste
PLEASE NOTE IF FURTHER WORK REQUIRED OTHER THEN QUOTED WORK FURTHER COST WILL APPLY
</t>
        </r>
      </text>
    </comment>
    <comment ref="M266" authorId="4" shapeId="0" xr:uid="{73B4981E-803D-4666-AFAF-C00C76F3A6D9}">
      <text>
        <r>
          <rPr>
            <sz val="11"/>
            <color theme="1"/>
            <rFont val="Aptos Narrow"/>
            <family val="2"/>
            <scheme val="minor"/>
          </rPr>
          <t>Unknown User:
Receipt for $1278.20 not uploaded by plumber, now uploaded by Modoras team</t>
        </r>
      </text>
    </comment>
    <comment ref="G267" authorId="4" shapeId="0" xr:uid="{BF8E2407-7444-4977-BE42-CC12607228B7}">
      <text>
        <r>
          <rPr>
            <sz val="11"/>
            <color theme="1"/>
            <rFont val="Aptos Narrow"/>
            <family val="2"/>
            <scheme val="minor"/>
          </rPr>
          <t>Unknown User:
SEARCH &amp; INVESTIGATION (GENERAL)</t>
        </r>
      </text>
    </comment>
    <comment ref="G268" authorId="4" shapeId="0" xr:uid="{F4D79A11-2BC7-40D4-8457-0DA5422AF4E3}">
      <text>
        <r>
          <rPr>
            <sz val="11"/>
            <color theme="1"/>
            <rFont val="Aptos Narrow"/>
            <family val="2"/>
            <scheme val="minor"/>
          </rPr>
          <t>Unknown User:
SPECIALIST LEAK DETECTION (WATER SERVICE)
CREDIT OF SEARCH &amp; INVESTIGATION</t>
        </r>
      </text>
    </comment>
    <comment ref="L268" authorId="4" shapeId="0" xr:uid="{73FE0951-6120-4C70-8C4A-F48301C8EACC}">
      <text>
        <r>
          <rPr>
            <sz val="11"/>
            <color theme="1"/>
            <rFont val="Aptos Narrow"/>
            <family val="2"/>
            <scheme val="minor"/>
          </rPr>
          <t>Unknown User:
After pics are not satisfactory.
Mentioned by Shaun as "Leaking from shark bite above breeches and mixers. Need to open entire shower and rectify then complete a shower reseal" whereas pics not uploaded.</t>
        </r>
      </text>
    </comment>
    <comment ref="G269" authorId="4" shapeId="0" xr:uid="{77759E65-FB47-461D-9953-0FDA6BA9B9F0}">
      <text>
        <r>
          <rPr>
            <sz val="11"/>
            <color theme="1"/>
            <rFont val="Aptos Narrow"/>
            <family val="2"/>
            <scheme val="minor"/>
          </rPr>
          <t>Unknown User:
SERVICE OF OUTLET VALVE - ALL TYPICAL SINGLE AND DUAL FLUSH MODELS</t>
        </r>
      </text>
    </comment>
    <comment ref="W269" authorId="4" shapeId="0" xr:uid="{C1935BD0-3BDA-4D6B-B1A0-9A0CECD22ADD}">
      <text>
        <r>
          <rPr>
            <sz val="11"/>
            <color theme="1"/>
            <rFont val="Aptos Narrow"/>
            <family val="2"/>
            <scheme val="minor"/>
          </rPr>
          <t>Unknown User:
Cash denomination
$100*1=$100</t>
        </r>
      </text>
    </comment>
    <comment ref="G270" authorId="4" shapeId="0" xr:uid="{0F605953-DA20-448E-8021-677C804B2753}">
      <text>
        <r>
          <rPr>
            <sz val="11"/>
            <color theme="1"/>
            <rFont val="Aptos Narrow"/>
            <family val="2"/>
            <scheme val="minor"/>
          </rPr>
          <t>Unknown User:
REPLACEMENT OF KITCHEN MIXER (CUSTOMER SUPPLIED)
Non-refundable call out fee</t>
        </r>
      </text>
    </comment>
    <comment ref="G271" authorId="4" shapeId="0" xr:uid="{5AE71346-0055-4BF5-8EB4-B1BEBC9B24C4}">
      <text>
        <r>
          <rPr>
            <sz val="11"/>
            <color theme="1"/>
            <rFont val="Aptos Narrow"/>
            <family val="2"/>
            <scheme val="minor"/>
          </rPr>
          <t xml:space="preserve">Unknown User:
REPLACEMENT OF EXISTING GOOSE NECK KITCHEN MIXER (CUSTOMER SUPPLIED)
</t>
        </r>
      </text>
    </comment>
    <comment ref="G272" authorId="4" shapeId="0" xr:uid="{68D087BA-3289-46C3-8146-73B4164874FC}">
      <text>
        <r>
          <rPr>
            <sz val="11"/>
            <color theme="1"/>
            <rFont val="Aptos Narrow"/>
            <family val="2"/>
            <scheme val="minor"/>
          </rPr>
          <t>Unknown User:
HIGH POWERED SUCTION PUMP
Gain access to sewer service
Gain access to sewer fixture
Set up high powered suction pump
First attempt to clear blocked sewer using high powered suction pump
Attempt to clear sewer service using high powered suction pump
Attempt to clear debris from sewer service
Attempt to flush out sewer service &amp; debris
Test &amp; commission work completed
Removal of trade waste
PLEASE NOTE IF BLOCKAGES DOES NOT CLEAR FURTHER COST WILL APPLY. THIS IS A FIRST ATTEMPT</t>
        </r>
      </text>
    </comment>
    <comment ref="L272" authorId="4" shapeId="0" xr:uid="{22F8F19A-A5CB-4F97-A28F-9B067AD03CD3}">
      <text>
        <r>
          <rPr>
            <sz val="11"/>
            <color theme="1"/>
            <rFont val="Aptos Narrow"/>
            <family val="2"/>
            <scheme val="minor"/>
          </rPr>
          <t>Unknown User:
After photos not 
identifiable</t>
        </r>
      </text>
    </comment>
    <comment ref="U272" authorId="4" shapeId="0" xr:uid="{41056E90-518B-47A8-A005-0921872A96C6}">
      <text>
        <r>
          <rPr>
            <sz val="11"/>
            <color theme="1"/>
            <rFont val="Aptos Narrow"/>
            <family val="2"/>
            <scheme val="minor"/>
          </rPr>
          <t xml:space="preserve">Unknown User:
01/08 - As per Mathew H's note - "told to customer that if it happens again this is the next step to identify the cause and I did not give price, basically if they call again quote for a camera". </t>
        </r>
      </text>
    </comment>
    <comment ref="A281" authorId="5" shapeId="0" xr:uid="{ED32C0D3-A9EC-4350-A7FF-9F046D8AA553}">
      <text>
        <r>
          <rPr>
            <sz val="11"/>
            <color theme="1"/>
            <rFont val="Aptos Narrow"/>
            <family val="2"/>
            <scheme val="minor"/>
          </rPr>
          <t>Accounts | Point Plumbing:
Leak Detect Inv</t>
        </r>
      </text>
    </comment>
    <comment ref="G281" authorId="4" shapeId="0" xr:uid="{87E1CE17-619E-4AB2-BF59-AD2FA4E9282D}">
      <text>
        <r>
          <rPr>
            <sz val="11"/>
            <color theme="1"/>
            <rFont val="Aptos Narrow"/>
            <family val="2"/>
            <scheme val="minor"/>
          </rPr>
          <t>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t>
        </r>
      </text>
    </comment>
    <comment ref="G282" authorId="4" shapeId="0" xr:uid="{DE93EACF-58DD-41BF-B5A0-0FCDE96DA0FC}">
      <text>
        <r>
          <rPr>
            <sz val="11"/>
            <color theme="1"/>
            <rFont val="Aptos Narrow"/>
            <family val="2"/>
            <scheme val="minor"/>
          </rPr>
          <t xml:space="preserve">Unknown User:
WATER SERVICE RECTIFICATION (IN WALL)
Isolate water supply to property
Set up safe working area
Mark out required location
Diamond grind wall 
Jackhammer and removal of section of wall 
Gain access to damaged water service in wall
Expose existing section of damaged water service in wall
Cut &amp; removal of existing damaged water service
Clean existing water service
Prepare existing water service for new connections
Flush out water service free of potential debris
Supply &amp; install new section of new water service up to 1.5M
Supply &amp; install new Press fittings
Connect new section of water service to existing water service
Use of specialist hydraulic crimping tool
Crimp new section of water service
Reinstate water supply
Conduct pressure test on water service to ensure no further leaks
Lag new service in wall 
Supply and install new wall mortar and bedding to worked area 
Water proof worked area 
Installation of new wall tiles in worked area 
Supply and installation of new grouting in worked area 
Removal of trade waste
Test &amp; commission installation
Please note. If further works are required, additional costs will apply. If exact tiles cannot be matched, closest option will be provided and agreed by customer. </t>
        </r>
      </text>
    </comment>
    <comment ref="N282" authorId="4" shapeId="0" xr:uid="{0D1C787B-81AB-4B86-8C88-0AD77EE4DF50}">
      <text>
        <r>
          <rPr>
            <sz val="11"/>
            <color theme="1"/>
            <rFont val="Aptos Narrow"/>
            <family val="2"/>
            <scheme val="minor"/>
          </rPr>
          <t>Unknown User:
Quote raised in job #71735</t>
        </r>
      </text>
    </comment>
    <comment ref="U282" authorId="4" shapeId="0" xr:uid="{1CE72D91-EAA4-4D60-9FC3-A61885A0178F}">
      <text>
        <r>
          <rPr>
            <sz val="11"/>
            <color theme="1"/>
            <rFont val="Aptos Narrow"/>
            <family val="2"/>
            <scheme val="minor"/>
          </rPr>
          <t>Unknown User:
28/07-As per Will's note "Asked for a leak report, I said we can send plumbers findings, I told her to ask the plumber for more information on that. I will let dispatch know too"</t>
        </r>
      </text>
    </comment>
    <comment ref="G297" authorId="4" shapeId="0" xr:uid="{0971C8E9-5D4A-47FC-87C2-97AA83FBE73E}">
      <text>
        <r>
          <rPr>
            <sz val="11"/>
            <color theme="1"/>
            <rFont val="Aptos Narrow"/>
            <family val="2"/>
            <scheme val="minor"/>
          </rPr>
          <t>Unknown User:
SUPPLY AND INSTALLATION OF STANDARD 20MM TEMPERING VALVE
REPLACEMENT OF KITCHEN MIXER (CUSTOMER SUPPLIED)
INSTALLATION OF BASIN MIXER WITH NEW MIXER (CUSTOMER SUPPLIED)
REPLACEMENT OF PAIR EMERGENCY STOP VALVES</t>
        </r>
      </text>
    </comment>
    <comment ref="G298" authorId="4" shapeId="0" xr:uid="{6EE088D0-918F-49FF-8AB5-BF4A3A50C41A}">
      <text>
        <r>
          <rPr>
            <sz val="11"/>
            <color theme="1"/>
            <rFont val="Aptos Narrow"/>
            <family val="2"/>
            <scheme val="minor"/>
          </rPr>
          <t>Unknown User:
SEARCH &amp; INVESTIGATION OF DISHWASHER
$65 First Service Discount</t>
        </r>
      </text>
    </comment>
    <comment ref="G300" authorId="4" shapeId="0" xr:uid="{B39013B9-3425-4CAA-9A99-233277B62DAB}">
      <text>
        <r>
          <rPr>
            <sz val="11"/>
            <color theme="1"/>
            <rFont val="Aptos Narrow"/>
            <family val="2"/>
            <scheme val="minor"/>
          </rPr>
          <t xml:space="preserve">Unknown User:
RECTIFICATION OF GAS SERVICE (EXPOSED)
</t>
        </r>
      </text>
    </comment>
    <comment ref="G302" authorId="4" shapeId="0" xr:uid="{4046C177-9C40-4046-B105-E50D66654C14}">
      <text>
        <r>
          <rPr>
            <sz val="11"/>
            <color theme="1"/>
            <rFont val="Aptos Narrow"/>
            <family val="2"/>
            <scheme val="minor"/>
          </rPr>
          <t>Unknown User:
SUPPLY &amp; INSTALLATION OF NEW WALL FACED TOILET SUITE
Isolate main water supply to property
Disconnect cold water supply to existing toilet cistern
Removal of existing cold-water supply to toilet cistern
Disconnect &amp; removal of existing emergency isolation valve
Disconnect &amp; removal of existing toilet cistern
Disconnect &amp; removal of existing toilet seat
Disconnect &amp; removal of existing toilet pan
Disconnect &amp; removal of existing toilet pan collar
Disconnect &amp; removal of existing bedding / sealant
Clean &amp; prepare worked area
Supply &amp; install new customer supplied toilet pan collar
Supply &amp; install new customer supplied toilet pan
Supply &amp; install new toilet cistern
Supply &amp; install supplied toilet seat
Secure new toilet seat to new toilet pan
Supply &amp; install new cold-water stainless-steel flexi hose
Supply &amp; install new cold water emergency isolation valve
Connect new cold-water stainless-steel flexi hose to new toilet cistern
Connect new cold-water supply to emergency isolation valve
Seal &amp; secure new toilet suite pan to floor
Reinstate water supply to property
Test &amp; commission installation
Removal of trade waste
PLEASE NOTE IF FURTHER WORK REQUIRED OUTSIDE OF QUOTED WORKS ADDITIONAL COSTS WILL APPLY
MIXER TAP - STANDARD
Isolate main cold-water supply to property
Isolate main hot water supply to property
Disconnect &amp; removal of cold-water supply to existing mixer
Disconnect &amp; removal of hot water supply to existing mixer
Disconnect &amp; removal of existing locking nut
Disconnect &amp; removal of existing mixer
Clean &amp; prepare worked area
Supply &amp; install new mixer
Supply &amp; install new cold-water stainless-steel flexi hose
Supply &amp; install new hot water stainless steel flexi hose
Supply &amp; install new locking nut
Secure new mixer
Reconnect cold water supply to new mixer
Reconnect hot water supply to new mixer
Reinstate cold water supply to new mixer
Reinstate hot water supply to new mixer
Reinstate cold water supply to property
Reinstate hot water supply to property
Test &amp; commission installation
Removal of trade waste
PLEASE NOTE IF FURTHER WORK REQUIRED OTHER THEN QUOTED WORK FURTHER COST WILL APPLY
REPLACEMENT OF BASIN MIXER
Isolate main water supply to property
Disconnect existing cold-water supply to basin mixer
Disconnect existing hot-water supply to basin mixer
Disconnect and remove existing locking nut
Disconnect and remove existing basin mixer
Clean and prepare work area for installation
Supply and install new cold-water emergency isolation valve
Supply and install new hot-water emergency isolation valve
Supply and install new basin mixer
Supply and install new cold-water stainless steel flexible hose
Supply and install new hot-water stainless steel flexible hose
Supply and install new locking nut
Secure new basin mixer in position
Connect cold-water supply to new emergency isolation valve
Connect hot-water supply to new emergency isolation valve
Reinstate main water supply to property
Test and commission installation
Removal of trade waste
PLEASE NOTE IF FURTHER WORK REQUIRED OTHER THEN QUOTED WORK FURTHER COST WILL APPLY</t>
        </r>
      </text>
    </comment>
    <comment ref="G303" authorId="4" shapeId="0" xr:uid="{8E0598A6-5BEE-4E98-8479-452D2DBA5EAD}">
      <text>
        <r>
          <rPr>
            <sz val="11"/>
            <color theme="1"/>
            <rFont val="Aptos Narrow"/>
            <family val="2"/>
            <scheme val="minor"/>
          </rPr>
          <t>Unknown User:
COMPLETE SERVICE OF TAP TOP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using specialist tungsten re-seating tool
Flush out breach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Reinstall hot &amp; cold-water tapware
Reinstall hot &amp; cold-water locking nuts
Reinstate cold water supply to property
Reinstate hot water supply to property
Test &amp; commission installation
Removal of trade waste
PLEASE NOTE IF FURTHER WORK REQUIRED OUTSIDE OF QUOTED WORKS ADDITIONAL COSTS WILL APPLY. IF BREECH IS FOUND TO BE DAMAGED FURTHER COSTS WILL APPLY.</t>
        </r>
      </text>
    </comment>
    <comment ref="G307" authorId="4" shapeId="0" xr:uid="{C791F31E-1BBC-4257-8D43-F80F2E8A176D}">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G308" authorId="4" shapeId="0" xr:uid="{6F76A6A4-26A3-45DD-A515-9AA09B97C575}">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E329" authorId="6" shapeId="0" xr:uid="{7C58B9C8-5B92-4794-B1C8-CE895865E50C}">
      <text>
        <t>[Threaded comment]
Your version of Excel allows you to read this threaded comment; however, any edits to it will get removed if the file is opened in a newer version of Excel. Learn more: https://go.microsoft.com/fwlink/?linkid=870924
Comment:
    Stock</t>
      </text>
    </comment>
    <comment ref="E330" authorId="7" shapeId="0" xr:uid="{8CB205A6-DB90-4BEB-BB44-C41F2B11E5C6}">
      <text>
        <t>[Threaded comment]
Your version of Excel allows you to read this threaded comment; however, any edits to it will get removed if the file is opened in a newer version of Excel. Learn more: https://go.microsoft.com/fwlink/?linkid=870924
Comment:
    Checked</t>
      </text>
    </comment>
    <comment ref="E331" authorId="8" shapeId="0" xr:uid="{D1B9419D-7413-4750-A9FD-04DEC887617D}">
      <text>
        <t>[Threaded comment]
Your version of Excel allows you to read this threaded comment; however, any edits to it will get removed if the file is opened in a newer version of Excel. Learn more: https://go.microsoft.com/fwlink/?linkid=870924
Comment:
    Checked</t>
      </text>
    </comment>
    <comment ref="E332" authorId="9" shapeId="0" xr:uid="{A08D861F-7BBD-42AF-9D49-CBDD6DE4C054}">
      <text>
        <t>[Threaded comment]
Your version of Excel allows you to read this threaded comment; however, any edits to it will get removed if the file is opened in a newer version of Excel. Learn more: https://go.microsoft.com/fwlink/?linkid=870924
Comment:
    Checked</t>
      </text>
    </comment>
    <comment ref="E333" authorId="10" shapeId="0" xr:uid="{4330D97B-C1CC-42ED-B830-8107BED0F215}">
      <text>
        <t>[Threaded comment]
Your version of Excel allows you to read this threaded comment; however, any edits to it will get removed if the file is opened in a newer version of Excel. Learn more: https://go.microsoft.com/fwlink/?linkid=870924
Comment:
    Checked</t>
      </text>
    </comment>
    <comment ref="E334" authorId="11" shapeId="0" xr:uid="{3E353FF9-ED16-4383-AB2B-994ED61E4A30}">
      <text>
        <t>[Threaded comment]
Your version of Excel allows you to read this threaded comment; however, any edits to it will get removed if the file is opened in a newer version of Excel. Learn more: https://go.microsoft.com/fwlink/?linkid=870924
Comment:
    Stock</t>
      </text>
    </comment>
    <comment ref="E335" authorId="12" shapeId="0" xr:uid="{77CE217A-AD69-439D-B280-FD4B82F17C58}">
      <text>
        <t>[Threaded comment]
Your version of Excel allows you to read this threaded comment; however, any edits to it will get removed if the file is opened in a newer version of Excel. Learn more: https://go.microsoft.com/fwlink/?linkid=870924
Comment:
    Checked</t>
      </text>
    </comment>
    <comment ref="G341" authorId="4" shapeId="0" xr:uid="{67518D78-8B4B-43F7-B061-91AE8284FB49}">
      <text>
        <r>
          <rPr>
            <sz val="11"/>
            <color theme="1"/>
            <rFont val="Aptos Narrow"/>
            <family val="2"/>
            <scheme val="minor"/>
          </rPr>
          <t>Unknown User:
SEARCH &amp; INVESTIGATION OF GAS STORAGE HOT WATER SYSTEM
Gain access to gas hot water system
Gain access to main gas isolation valve to property
Test gas supply with specialist manometer device
Visually inspect gas supply and fittings to hot water system
Use soapy spray on fittings and pipework
Check gas supply pressure to hot water system and control unit
Check integrity of gas isolation valve at hot water system
Check power supply to hot water system using testing pen
Check electrical box (IF REQUIRED)
Check circuit switch (IF REQUIRED)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will apply.</t>
        </r>
      </text>
    </comment>
    <comment ref="G342" authorId="4" shapeId="0" xr:uid="{F87AE443-EE47-44EA-971F-9D0BFEC97FAE}">
      <text>
        <r>
          <rPr>
            <sz val="11"/>
            <color theme="1"/>
            <rFont val="Aptos Narrow"/>
            <family val="2"/>
            <scheme val="minor"/>
          </rPr>
          <t>Unknown User:
REPLACEMENT OF HOB SINK TAP TOPS AND SPOUT
Isolate main water supply to property
Disconnect cold water supply to hob breech
Disconnect hot water supply to existing hob breech
Disconnect existing cold-water tapware
Disconnect existing hot water tapware
Disconnect existing hob spout
Disconnect &amp; removal of existing hob breech
Clean &amp; prepare worked area
Supply &amp; install new cold water emergency isolation valve
Supply &amp; install new hot water emergency isolation valve
Supply &amp; install new hob breech
Supply &amp; install new cold-water tapware
Supply &amp; install new hot water tapware
Supply &amp; install new hob spout
Secure new hob breech
Connect cold water supply
Connect hot water supply
Reinstate main water supply to property
Test &amp; commission installation
Removal of trade waste
PLEASE NOTE IF FURTHER WORK REQUIRED OTHER THAN QUOTED WORK FURTHER COST WILL APPLY.</t>
        </r>
      </text>
    </comment>
    <comment ref="G343" authorId="4" shapeId="0" xr:uid="{41C64333-8ECF-4EEE-A0EC-5D9075560850}">
      <text>
        <r>
          <rPr>
            <sz val="11"/>
            <color theme="1"/>
            <rFont val="Aptos Narrow"/>
            <family val="2"/>
            <scheme val="minor"/>
          </rPr>
          <t>Unknown User:
REPLACEMENT OF WALL SINK TAPS AND SPOUT
Isolate main water supply to property
Disconnect and remove existing cold-water tapware
Disconnect and remove existing hot-water tapware
Disconnect and remove existing wall sink spout
Disconnect and remove existing fibre washers
Disconnect and remove existing jumper valves in wall
Machine breech in wall
Flush out breech in wall
Clean and prepare worked area for new installation
Supply and install new jumper valves in wall
Supply and install new fibre washers
Supply and install new cold-water tapware
Supply and install new hot-water tapware
Supply and install new wall sink spout
Reinstate main water supply to property
Test and commission installation to ensure correct operation and no leaks
Removal of trade waste
PLEASE NOTE IF FURTHER WORK REQUIRED OTHER THEN QUOTED WORK FURTHER COST WILL APPLY</t>
        </r>
      </text>
    </comment>
    <comment ref="D344" authorId="4" shapeId="0" xr:uid="{0A7E28C2-4EBB-4E0D-AEF9-F2225B0732F0}">
      <text>
        <r>
          <rPr>
            <sz val="11"/>
            <color theme="1"/>
            <rFont val="Aptos Narrow"/>
            <family val="2"/>
            <scheme val="minor"/>
          </rPr>
          <t>Unknown User:
25/07 - Job was in quote
28/07 - Quote raised, WIP &amp; completed by Shaun</t>
        </r>
      </text>
    </comment>
    <comment ref="G344" authorId="4" shapeId="0" xr:uid="{DF85E5F8-216D-4061-9C23-0EA655DCFF67}">
      <text>
        <r>
          <rPr>
            <sz val="11"/>
            <color theme="1"/>
            <rFont val="Aptos Narrow"/>
            <family val="2"/>
            <scheme val="minor"/>
          </rPr>
          <t>Unknown User:
COMPLETE SERVICE OF TAP TOP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using specialist tungsten re-seating tool
Flush out breach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Reinstall hot &amp; cold-water tapware
Reinstall hot &amp; cold-water locking nuts
Reinstate cold water supply to property
Reinstate hot water supply to property
Test &amp; commission installation
Removal of trade waste
PLEASE NOTE IF FURTHER WORK REQUIRED OUTSIDE OF QUOTED WORKS ADDITIONAL COSTS WILL APPLY. IF BREECH IS FOUND TO BE DAMAGED FURTHER COSTS WILL APPLY.</t>
        </r>
      </text>
    </comment>
    <comment ref="G345" authorId="4" shapeId="0" xr:uid="{BA6C5A78-7C57-424F-96B7-83B1CF933042}">
      <text>
        <r>
          <rPr>
            <sz val="11"/>
            <color theme="1"/>
            <rFont val="Aptos Narrow"/>
            <family val="2"/>
            <scheme val="minor"/>
          </rPr>
          <t>Unknown User:
CCTV DRAIN CAMERA INSPECTION OF SEWER SERVICE
Obtain service location diagram
Obtain dial before dig
Obtain sewer diagram
Locate access point to sewer service
Removal of access point to sewer service
Gain access to sewer service
Set up CCTV drain camera
Set up locator
Conduct CCTV camera on sewer service
Use of specialist locator
Locate potential faults in sewer service
Mark out potential faults in sewer service if found
Provide additional quote for rectification work if faults found
Reinstall sewer access point
Test &amp; commission work completed
PLEASE NOTE IF FURTHER WORK REQUIRED OTHER THEN QUOTED WORK FURTHER COST WILL APPLY
CCTV DRAIN CAMERA INSPECTION OF STORM WATER SERVICE
Obtain service location diagram
Obtain dial before dig
Obtain storm water service diagram – If available
Locate storm water service access points
Removal of storm water access point
Gain access to storm water service
Set up CCTV drain camera
Set up locator
Conduct CCTV camera on storm water service
Use of specialist locator
Locate potential faults in storm water service
Mark out potential faults in storm water service if found
Provide additional quote for rectification work if faults found
Reinstall storm water access points
Test &amp; commission work completed
PLEASE NOTE IF FURTHER WORK REQUIRED OTHER THEN QUOTED WORK FURTHER COST WILL APPLY</t>
        </r>
      </text>
    </comment>
    <comment ref="L345" authorId="4" shapeId="0" xr:uid="{230AAE43-2D06-4161-9502-739372A79EEB}">
      <text>
        <r>
          <rPr>
            <sz val="11"/>
            <color theme="1"/>
            <rFont val="Aptos Narrow"/>
            <family val="2"/>
            <scheme val="minor"/>
          </rPr>
          <t>Unknown User:
CCTV pics not uploaded</t>
        </r>
      </text>
    </comment>
    <comment ref="G346" authorId="4" shapeId="0" xr:uid="{8B9EE49B-2DCA-4B2C-9D87-3B459B806958}">
      <text>
        <r>
          <rPr>
            <sz val="11"/>
            <color theme="1"/>
            <rFont val="Aptos Narrow"/>
            <family val="2"/>
            <scheme val="minor"/>
          </rPr>
          <t>Unknown User:
SEARCH &amp; INVESTIGATION - LEAKING TOILET SUITE
 • Isolate main water supply to toilet suite
 • Disconnect cold water supply to existing toilet cistern
 • Disconnect &amp; removal of existing toilet cistern
 • Disconnect &amp; removal of existing toilet pan
 • Disconnect &amp; removal of existing toilet pan collar
 • Conduct search &amp; investigation of existing toilet suite
 • Tighten toilet cistern locking nuts / Bolts &amp; components
 • Visually inspect toilet suite for cracks or potential faults &amp; damage
 • Reinstall existing toilet pan collar
 • Reinstall existing toilet pan
 • Reinstall existing toilet cistern
 • Secure toilet cistern to pan
 • Secure toilet pan to floor
 • Reseal toilet pan to floor
 • Reconnect water supply to toilet cistern
 • Re-instate water supply to toilet cistern
 • Test &amp; commission installation 
 • Removal of trade waste 
PLEASE NOTE IF FURTHER WORK REQUIRED OTHER THEN QUOTED WORK FURTHER COST WILL APPLY</t>
        </r>
      </text>
    </comment>
    <comment ref="G347" authorId="4" shapeId="0" xr:uid="{D05BCE53-4FEF-49F8-A14A-C3E290CB1CC5}">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M347" authorId="4" shapeId="0" xr:uid="{4C9C0591-132D-44E0-981E-A92E53807BBC}">
      <text>
        <r>
          <rPr>
            <sz val="11"/>
            <color theme="1"/>
            <rFont val="Aptos Narrow"/>
            <family val="2"/>
            <scheme val="minor"/>
          </rPr>
          <t>Unknown User:
Receipt for $1387.10 not uploaded by plumber, now uploaded by Modoras Team</t>
        </r>
      </text>
    </comment>
    <comment ref="N347" authorId="4" shapeId="0" xr:uid="{5D5CF58B-2908-4D88-9BFB-DDBD4F949985}">
      <text>
        <r>
          <rPr>
            <sz val="11"/>
            <color theme="1"/>
            <rFont val="Aptos Narrow"/>
            <family val="2"/>
            <scheme val="minor"/>
          </rPr>
          <t>Unknown User:
Quote raised in Job #71835</t>
        </r>
      </text>
    </comment>
    <comment ref="P347" authorId="4" shapeId="0" xr:uid="{FD83B433-16D1-4221-BF6B-BCDD945331D6}">
      <text>
        <r>
          <rPr>
            <sz val="11"/>
            <color theme="1"/>
            <rFont val="Aptos Narrow"/>
            <family val="2"/>
            <scheme val="minor"/>
          </rPr>
          <t>Unknown User:
Quote not emailed</t>
        </r>
      </text>
    </comment>
    <comment ref="G348" authorId="4" shapeId="0" xr:uid="{3F26F64F-1DFF-4AA6-AC4B-CDA499B2A3FE}">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P348" authorId="4" shapeId="0" xr:uid="{776AA2CA-FE25-4929-9044-C7382A389855}">
      <text>
        <r>
          <rPr>
            <sz val="11"/>
            <color theme="1"/>
            <rFont val="Aptos Narrow"/>
            <family val="2"/>
            <scheme val="minor"/>
          </rPr>
          <t>Unknown User:
Quote not emailed</t>
        </r>
      </text>
    </comment>
    <comment ref="Q348" authorId="4" shapeId="0" xr:uid="{5A17604E-E19B-446B-94E2-1DAE08191762}">
      <text>
        <r>
          <rPr>
            <sz val="11"/>
            <color theme="1"/>
            <rFont val="Aptos Narrow"/>
            <family val="2"/>
            <scheme val="minor"/>
          </rPr>
          <t>Unknown User:
Final zero due invoice not raised</t>
        </r>
      </text>
    </comment>
    <comment ref="W348" authorId="4" shapeId="0" xr:uid="{EB812D90-770C-4B75-883E-E35FA7C9817E}">
      <text>
        <r>
          <rPr>
            <sz val="11"/>
            <color theme="1"/>
            <rFont val="Aptos Narrow"/>
            <family val="2"/>
            <scheme val="minor"/>
          </rPr>
          <t>Unknown User:
Cash denomination 
$100*1 = $100
$50*14 = 700
$5*2 = $10
  Total - $810
$50*5=$250
$20*1=$20
Total cash=$270</t>
        </r>
      </text>
    </comment>
    <comment ref="G349" authorId="4" shapeId="0" xr:uid="{F494BE5D-65D8-4851-AE23-799D404DCE92}">
      <text>
        <r>
          <rPr>
            <sz val="11"/>
            <color theme="1"/>
            <rFont val="Aptos Narrow"/>
            <family val="2"/>
            <scheme val="minor"/>
          </rPr>
          <t>Unknown User:
SEARCH &amp; INVESTIGATION OF GAS STORAGE HOT WATER SYSTEM
$65 First Service Discount</t>
        </r>
      </text>
    </comment>
    <comment ref="G350" authorId="4" shapeId="0" xr:uid="{41ECE120-D7A2-4BB5-AAA5-C712ADD2E348}">
      <text>
        <r>
          <rPr>
            <sz val="11"/>
            <color theme="1"/>
            <rFont val="Aptos Narrow"/>
            <family val="2"/>
            <scheme val="minor"/>
          </rPr>
          <t xml:space="preserve">Unknown User:
REPLACEMENT OF BASIN TAPS AND SPOUT
</t>
        </r>
      </text>
    </comment>
    <comment ref="L350" authorId="4" shapeId="0" xr:uid="{198F15D0-124D-4657-A410-C103F7DF18CB}">
      <text>
        <r>
          <rPr>
            <sz val="11"/>
            <color theme="1"/>
            <rFont val="Aptos Narrow"/>
            <family val="2"/>
            <scheme val="minor"/>
          </rPr>
          <t>Unknown User:
Pics are reversed</t>
        </r>
      </text>
    </comment>
    <comment ref="P350" authorId="4" shapeId="0" xr:uid="{293D22E4-B8BF-48CB-BBF7-A86F1B1774B3}">
      <text>
        <r>
          <rPr>
            <sz val="11"/>
            <color theme="1"/>
            <rFont val="Aptos Narrow"/>
            <family val="2"/>
            <scheme val="minor"/>
          </rPr>
          <t>Unknown User:
Quote not emailed</t>
        </r>
      </text>
    </comment>
    <comment ref="G351" authorId="4" shapeId="0" xr:uid="{91EA4D9C-CD64-4CEF-B259-AA853F63A4FB}">
      <text>
        <r>
          <rPr>
            <sz val="11"/>
            <color theme="1"/>
            <rFont val="Aptos Narrow"/>
            <family val="2"/>
            <scheme val="minor"/>
          </rPr>
          <t xml:space="preserve">Unknown User:
INSTALLATION OF NEW WASHING MACHINE (CUSTOMER SUPPLIED)
10% Good Will Discount </t>
        </r>
      </text>
    </comment>
    <comment ref="L351" authorId="4" shapeId="0" xr:uid="{D6986A74-61FE-45CD-85CE-F09A76575A81}">
      <text>
        <r>
          <rPr>
            <sz val="11"/>
            <color theme="1"/>
            <rFont val="Aptos Narrow"/>
            <family val="2"/>
            <scheme val="minor"/>
          </rPr>
          <t>Unknown User:
After pics not uploaded</t>
        </r>
      </text>
    </comment>
    <comment ref="M351" authorId="4" shapeId="0" xr:uid="{3BB50735-35D4-4E81-9FF6-9108B65073E3}">
      <text>
        <r>
          <rPr>
            <sz val="11"/>
            <color theme="1"/>
            <rFont val="Aptos Narrow"/>
            <family val="2"/>
            <scheme val="minor"/>
          </rPr>
          <t>Unknown User:
Smartpay receipt of $1248.39 not uploaded by plumber.
Uploaded by Modoras team.</t>
        </r>
      </text>
    </comment>
    <comment ref="G352" authorId="4" shapeId="0" xr:uid="{86BC1901-84C0-4367-A481-07593748703D}">
      <text>
        <r>
          <rPr>
            <sz val="11"/>
            <color theme="1"/>
            <rFont val="Aptos Narrow"/>
            <family val="2"/>
            <scheme val="minor"/>
          </rPr>
          <t xml:space="preserve">Unknown User:
HIGH POWERED SUCTION PUMP
</t>
        </r>
      </text>
    </comment>
    <comment ref="L352" authorId="4" shapeId="0" xr:uid="{1BB2B0AE-4359-43EB-9CF3-8DD5715EE64A}">
      <text>
        <r>
          <rPr>
            <sz val="11"/>
            <color theme="1"/>
            <rFont val="Aptos Narrow"/>
            <family val="2"/>
            <scheme val="minor"/>
          </rPr>
          <t>Unknown User:
High powered suction pump pics are not uploaded.
After flush pics are uploaded.</t>
        </r>
      </text>
    </comment>
    <comment ref="M352" authorId="4" shapeId="0" xr:uid="{519B1C59-F6BF-4C89-A583-7C74ADA6C6FB}">
      <text>
        <r>
          <rPr>
            <sz val="11"/>
            <color theme="1"/>
            <rFont val="Aptos Narrow"/>
            <family val="2"/>
            <scheme val="minor"/>
          </rPr>
          <t>Unknown User:
Smartpay receipt of $859.10 not uploaded by plumber.
Uploaded by Modoras team.</t>
        </r>
      </text>
    </comment>
    <comment ref="G353" authorId="4" shapeId="0" xr:uid="{F67B7C6E-B3B8-4D0A-9D90-729EC933E662}">
      <text>
        <r>
          <rPr>
            <sz val="11"/>
            <color theme="1"/>
            <rFont val="Aptos Narrow"/>
            <family val="2"/>
            <scheme val="minor"/>
          </rPr>
          <t>Unknown User:
COMPLETE SERVICE OF TOILET CISTERN</t>
        </r>
      </text>
    </comment>
    <comment ref="G354" authorId="4" shapeId="0" xr:uid="{3F6B14DC-5DDC-4A54-97CA-750776F0CD43}">
      <text>
        <r>
          <rPr>
            <sz val="11"/>
            <color theme="1"/>
            <rFont val="Aptos Narrow"/>
            <family val="2"/>
            <scheme val="minor"/>
          </rPr>
          <t>Unknown User:
COMPLETE SERVICE OF TOILET CISTERN</t>
        </r>
      </text>
    </comment>
    <comment ref="G355" authorId="4" shapeId="0" xr:uid="{40B6F2CD-1EE2-41B2-8EEE-FE6ADAFBB817}">
      <text>
        <r>
          <rPr>
            <sz val="11"/>
            <color theme="1"/>
            <rFont val="Aptos Narrow"/>
            <family val="2"/>
            <scheme val="minor"/>
          </rPr>
          <t>Unknown User:
SEARCH &amp; INVESTIGATION OF GAS STORAGE HOT WATER SYSTEM</t>
        </r>
      </text>
    </comment>
    <comment ref="M355" authorId="4" shapeId="0" xr:uid="{ADF76BEB-8B7B-4835-B85C-EFAFDD490FD2}">
      <text>
        <r>
          <rPr>
            <sz val="11"/>
            <color theme="1"/>
            <rFont val="Aptos Narrow"/>
            <family val="2"/>
            <scheme val="minor"/>
          </rPr>
          <t>Unknown User:
Smartpay receipt of $749.10 not uploaded by plumber.
Uploaded by Modoras team.</t>
        </r>
      </text>
    </comment>
    <comment ref="G356" authorId="4" shapeId="0" xr:uid="{635B78AD-E93A-46DC-9438-69FDE7709304}">
      <text>
        <r>
          <rPr>
            <sz val="11"/>
            <color theme="1"/>
            <rFont val="Aptos Narrow"/>
            <family val="2"/>
            <scheme val="minor"/>
          </rPr>
          <t>Unknown User:
HIGH POWERED SUCTION PUMP</t>
        </r>
      </text>
    </comment>
    <comment ref="L356" authorId="4" shapeId="0" xr:uid="{9D6FA809-DB3A-458A-81B8-8736291D6F69}">
      <text>
        <r>
          <rPr>
            <sz val="11"/>
            <color theme="1"/>
            <rFont val="Aptos Narrow"/>
            <family val="2"/>
            <scheme val="minor"/>
          </rPr>
          <t>Unknown User:
After job pics not uploaded.</t>
        </r>
      </text>
    </comment>
    <comment ref="M356" authorId="4" shapeId="0" xr:uid="{BB272D9B-E204-4BA8-872C-9CB324404B9E}">
      <text>
        <r>
          <rPr>
            <sz val="11"/>
            <color theme="1"/>
            <rFont val="Aptos Narrow"/>
            <family val="2"/>
            <scheme val="minor"/>
          </rPr>
          <t>Unknown User:
Smartpay receipt of $749.10 not uploaded by plumber.
Uploaded by Modoras team.</t>
        </r>
      </text>
    </comment>
    <comment ref="U356" authorId="4" shapeId="0" xr:uid="{45EBFA5D-387C-4E5C-92CE-AF2CF3C2DD55}">
      <text>
        <r>
          <rPr>
            <sz val="11"/>
            <color theme="1"/>
            <rFont val="Aptos Narrow"/>
            <family val="2"/>
            <scheme val="minor"/>
          </rPr>
          <t>Unknown User:
1/8-As per Shaun's note "Pump not successful, altered quotation to meet customers needs with jet and whip hose. Still well over budget, customer said he will only pay for plunge as he can’t pay that much, budget of 800 was maxed out with the plunge attempt."</t>
        </r>
      </text>
    </comment>
    <comment ref="G357" authorId="4" shapeId="0" xr:uid="{10EF2ADE-FF76-46FB-90BF-3330A0B25D75}">
      <text>
        <r>
          <rPr>
            <sz val="11"/>
            <color theme="1"/>
            <rFont val="Aptos Narrow"/>
            <family val="2"/>
            <scheme val="minor"/>
          </rPr>
          <t>Unknown User:
INSTALLATION OF DISHWASHER [SAME LOCATION] (CUSTOMER SUPPLIED)</t>
        </r>
      </text>
    </comment>
    <comment ref="G362" authorId="4" shapeId="0" xr:uid="{DA918D0E-3CA4-47C8-80AA-A5DD27C49903}">
      <text>
        <r>
          <rPr>
            <sz val="11"/>
            <color theme="1"/>
            <rFont val="Aptos Narrow"/>
            <family val="2"/>
            <scheme val="minor"/>
          </rPr>
          <t>Unknown User:
TESTING OF RPZ VALVE</t>
        </r>
      </text>
    </comment>
    <comment ref="Q362" authorId="4" shapeId="0" xr:uid="{FAAED453-60F5-4D8F-BC6E-34FF267933D5}">
      <text>
        <r>
          <rPr>
            <sz val="11"/>
            <color theme="1"/>
            <rFont val="Aptos Narrow"/>
            <family val="2"/>
            <scheme val="minor"/>
          </rPr>
          <t>Unknown User:
Final invoice not raised</t>
        </r>
      </text>
    </comment>
    <comment ref="A374" authorId="5" shapeId="0" xr:uid="{CEEBFBC5-D7CE-47D8-AEDC-B9E9E4E89F05}">
      <text>
        <r>
          <rPr>
            <sz val="11"/>
            <color theme="1"/>
            <rFont val="Aptos Narrow"/>
            <family val="2"/>
            <scheme val="minor"/>
          </rPr>
          <t>Accounts | Point Plumbing:
Leak Detect Inv</t>
        </r>
      </text>
    </comment>
    <comment ref="G374" authorId="4" shapeId="0" xr:uid="{1EEEF41E-BF9C-4A1A-9025-EFDB0B86ACC5}">
      <text>
        <r>
          <rPr>
            <sz val="11"/>
            <color theme="1"/>
            <rFont val="Aptos Narrow"/>
            <family val="2"/>
            <scheme val="minor"/>
          </rPr>
          <t>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t>
        </r>
      </text>
    </comment>
    <comment ref="G375" authorId="4" shapeId="0" xr:uid="{BE829D40-72A5-4ED4-8D2C-B6A9A4B97281}">
      <text>
        <r>
          <rPr>
            <sz val="11"/>
            <color theme="1"/>
            <rFont val="Aptos Narrow"/>
            <family val="2"/>
            <scheme val="minor"/>
          </rPr>
          <t xml:space="preserve">Unknown User:
WATER SERVICE RECTIFICATION (IN WALL)
Isolate water supply to property
Set up safe working area
Mark out required location
Diamond grind wall 
Jackhammer and removal of section of wall 
Gain access to damaged water service in wall
Expose existing section of damaged water service in wall
Cut &amp; removal of existing damaged water service
Clean existing water service
Prepare existing water service for new connections
Flush out water service free of potential debris
Supply &amp; install new section of new water service up to 1.5M
Supply &amp; install new Press fittings
Connect new section of water service to existing water service
Use of specialist hydraulic crimping tool
Crimp new section of water service
Reinstate water supply
Conduct pressure test on water service to ensure no further leaks
Lag new service in wall 
Supply and install new wall mortar and bedding to worked area 
Water proof worked area 
Installation of new wall tiles in worked area 
Supply and installation of new grouting in worked area 
Removal of trade waste
Test &amp; commission installation
Please note. If further works are required, additional costs will apply. If exact tiles cannot be matched, closest option will be provided and agreed by customer. </t>
        </r>
      </text>
    </comment>
    <comment ref="N375" authorId="4" shapeId="0" xr:uid="{1F49407E-410B-41A4-8E00-276980AF3207}">
      <text>
        <r>
          <rPr>
            <sz val="11"/>
            <color theme="1"/>
            <rFont val="Aptos Narrow"/>
            <family val="2"/>
            <scheme val="minor"/>
          </rPr>
          <t>Unknown User:
Quote raised in job #71735</t>
        </r>
      </text>
    </comment>
    <comment ref="U375" authorId="4" shapeId="0" xr:uid="{319CE22E-6B0D-4900-836A-3523D53A2FC7}">
      <text>
        <r>
          <rPr>
            <sz val="11"/>
            <color theme="1"/>
            <rFont val="Aptos Narrow"/>
            <family val="2"/>
            <scheme val="minor"/>
          </rPr>
          <t>Unknown User:
28/07-As per Will's note "Asked for a leak report, I said we can send plumbers findings, I told her to ask the plumber for more information on that. I will let dispatch know too"</t>
        </r>
      </text>
    </comment>
    <comment ref="G379" authorId="4" shapeId="0" xr:uid="{7CB6CEA0-0E78-4767-9BF2-E02EF7492EBE}">
      <text>
        <r>
          <rPr>
            <sz val="11"/>
            <color theme="1"/>
            <rFont val="Aptos Narrow"/>
            <family val="2"/>
            <scheme val="minor"/>
          </rPr>
          <t>Unknown User:
REPLACEMENT OF ZINC RAIN WATER HEAD
Set up height equipment
Gai access to worked area
Disconnect &amp; removal of existing downpipe wall brackets
Disconnect &amp; removal of existing downpipe from downpipe drop
Disconnect &amp; removal of existing downpipe from service outlet
Disconnect &amp; removal of existing rainwater head fixings
Disconnect &amp; removal of existing rainwater head sealants
Disconnect &amp; removal of existing rainwater head
Clean &amp; prepare area
Fabricate new rainwater head to suit existing installation
Supply &amp; install new rainwater head to suit existing installation
Supply &amp; install new rainwater head fixings
Supply &amp; install new rainwater head sealants
Reinstate existing downpipe to new rainwater head
Reinstate existing downpipe to existing service outlet
Reinstate existing wall brackets
Flush new installation
Test &amp; commission new installation
Removal of height equipment
Removal of trade waste from site
PLEASE NOTE IF FURTHER WORK REQUIRED OTHER THEN QUOTED WORK FURTHER COST WILL APPLY</t>
        </r>
      </text>
    </comment>
    <comment ref="G380" authorId="4" shapeId="0" xr:uid="{1846C0A8-A7EB-4476-AEDD-A300DF14FAB6}">
      <text>
        <r>
          <rPr>
            <sz val="11"/>
            <color theme="1"/>
            <rFont val="Aptos Narrow"/>
            <family val="2"/>
            <scheme val="minor"/>
          </rPr>
          <t>Unknown User:
SUPPLY &amp; INSTALLATION OF GAS STORAGE HOT WATER SYSTEM (EXTERNAL)
Isolate main water supply to property
Isolate main gas supply to property
Disconnect main gas supply to existing hot water system
Disconnect main cold-water supply to existing gas hot water system
Disconnect main hot water supply to existing gas hot water system
Disconnect existing plumbing connecting to existing gas hot water system
Drain existing gas hot water system
Removal of existing gas hot water system
Removal of existing brass fittings
Disconnect &amp; removal existing section of gas service connecting to existing internal hot water system
Disconnect &amp; removal of existing section of cold-water supply connecting to existing gas hot water system
Disconnect &amp; removal of existing section of hot supply connecting to existing section of gas hot water system
Clean &amp; prepare worked area
Supply &amp; install new external gas storage hot water system
Supply &amp; install new gas emergency isolation valve
Supply &amp; install new duo valve
Supply &amp; install new pressure limiting valve
Supply &amp; install tempering valve
Supply &amp; install new pressure relief valve
Supply &amp; install new B-press fittings
Supply &amp; install new Brass fittings
Supply &amp; install new section of copper gas service &amp; connect to new gas storage hot water system
Supply &amp; install new section of cold-water service &amp; connect to new gas storage hot water system
Supply &amp; install new section of hot water copper service &amp; connect to new gas storage hot water system
Supply &amp; install new pressure relief valve drain service in copper in accordance with AS3500
Reinstate main water supply to property
Reinstate main gas supply to property
Test &amp; commission installation
Removal of trade waste
PLEASE NOTE IF FURTHER WORK REQUIRED OUTSIDE OF QUOTED WORKS ADDITIONAL COSTS WILL APPLY
CREDIT OF SEARCH &amp; INVESTIGATION</t>
        </r>
      </text>
    </comment>
    <comment ref="G381" authorId="4" shapeId="0" xr:uid="{74BBCD9C-3521-48BD-B71D-40945E31A24F}">
      <text>
        <r>
          <rPr>
            <sz val="11"/>
            <color theme="1"/>
            <rFont val="Aptos Narrow"/>
            <family val="2"/>
            <scheme val="minor"/>
          </rPr>
          <t>Unknown User:
STORM WATER GUTTER CLEAN AND SKY LIGHT FAST FLASH
Obtain service location diagram
Obtain Dial Before Dig
Set up safe work area
Set up working-at-heights equipment
Gain access to roof
Remove roof tiles in area around skylight
Clean all debris and loose items from existing aprons
Supply and install fast flash adhesive sheeting around sky light
Reinstate roof tiles around sky light
Conduct complete gutter clean on roof in area behind garage
Remove debris from gutter
Conduct high-pressure wash of gutters
Conduct seal of box gutter in area behind garage with commercial grade mastic
Advise of potential faults/rectification work that may be required
Test and commission installation
Removal of trade waste
PLEASE NOTE IF FURTHER WORK REQUIRED OTHER THEN QUOTED WORK FURTHER COST WILL APPLY</t>
        </r>
      </text>
    </comment>
    <comment ref="G382" authorId="4" shapeId="0" xr:uid="{A1A5C6D4-7EAB-4B79-8302-11934BFAF9B7}">
      <text>
        <r>
          <rPr>
            <sz val="11"/>
            <color theme="1"/>
            <rFont val="Aptos Narrow"/>
            <family val="2"/>
            <scheme val="minor"/>
          </rPr>
          <t>Unknown User:
SEWER CONNECTION UP TO 1.5M 
Obtain sewer diagram
Obtain dial Before you dig plans 
Obtain service location diagram
Set up safe work area
Set up builders plastic
Set up barricades for safety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Jet Blast sewer service
Re-camera and investigate further
Supply &amp; installation of new section of sewer service up to 1.5M
Supply &amp; installation of new sewer junctions
Supply &amp; installation of new I/O inspection point
Supply &amp; installation of new BTS and raise to ground level
Supply &amp; installation of new PVC fittings
Connect new section of sewer service to existing sewer service
Concrete encase new connections to existing sewer service
Cap off new sewer point in preparation for new house sewer 
Encase new section of sewer service with blue metal
Backfill excavated area
Wash down worked area
Test &amp; commission installation
Remove trade waste
PLEASE NOTE IF FURTHER WORK REQUIRED OTHER THEN QUOTED WORK FURTHER COST WILL APPLY</t>
        </r>
      </text>
    </comment>
    <comment ref="G383" authorId="4" shapeId="0" xr:uid="{A24E391B-0097-44AD-90C4-CF5985D094C1}">
      <text>
        <r>
          <rPr>
            <sz val="11"/>
            <color theme="1"/>
            <rFont val="Aptos Narrow"/>
            <family val="2"/>
            <scheme val="minor"/>
          </rPr>
          <t>Unknown User:
SUPPLY &amp; INSTALLATION OF GAS STORAGE HOT WATER SYSTEM (EXTERNAL)</t>
        </r>
      </text>
    </comment>
    <comment ref="G385" authorId="4" shapeId="0" xr:uid="{BC5ED0F0-59B1-47F1-B676-99D00E1DB04A}">
      <text>
        <r>
          <rPr>
            <sz val="11"/>
            <color theme="1"/>
            <rFont val="Aptos Narrow"/>
            <family val="2"/>
            <scheme val="minor"/>
          </rPr>
          <t>Unknown User:
SEARCH AND INVESTIGATE OF ROOF LEAK ON MULTI LEVEL DWELLING (SEAL SPLIT EXPANSION JOINT ON EXTERNAL WALL)</t>
        </r>
      </text>
    </comment>
    <comment ref="G387" authorId="4" shapeId="0" xr:uid="{EE9D57AF-C012-49C3-9C17-CCF5B5541E48}">
      <text>
        <r>
          <rPr>
            <sz val="11"/>
            <color theme="1"/>
            <rFont val="Aptos Narrow"/>
            <family val="2"/>
            <scheme val="minor"/>
          </rPr>
          <t>Unknown User:
SUPPLY &amp; INSTALLATION OF NEW SINGLE ELEMENT HOT WATER UNIT (_____L)
REPLACEMENT OF SHOWER ON RAIL
REPLACEMENT OF WALL SINK TAP TOPS AND SPOUT
REPLACEMENT OF WALL TOP TAPWARE</t>
        </r>
      </text>
    </comment>
    <comment ref="U387" authorId="4" shapeId="0" xr:uid="{A6E52194-32B3-43BF-A730-74E6FF8B6761}">
      <text>
        <r>
          <rPr>
            <sz val="11"/>
            <color theme="1"/>
            <rFont val="Aptos Narrow"/>
            <family val="2"/>
            <scheme val="minor"/>
          </rPr>
          <t>Unknown User:
31/07-As per Lily's note "Customer called - wants to cancel as she cant afford the quote anymore.
I informed her that as she has already signed the quote i do not have authority to cancel it it will have to be from the plumber.
She understands if she cant get a refund for the deposit but she would really appreciate one."</t>
        </r>
      </text>
    </comment>
    <comment ref="G388" authorId="4" shapeId="0" xr:uid="{2088D057-1865-45BA-BC41-117135A2CCD9}">
      <text>
        <r>
          <rPr>
            <sz val="11"/>
            <color theme="1"/>
            <rFont val="Aptos Narrow"/>
            <family val="2"/>
            <scheme val="minor"/>
          </rPr>
          <t xml:space="preserve">Unknown User:
INSTALLATION OF DISHWASHER [SAME LOCATION] (CUSTOMER SUPPLIED)
</t>
        </r>
      </text>
    </comment>
    <comment ref="G389" authorId="4" shapeId="0" xr:uid="{48F3E7E5-CCFD-48DD-BAFF-3F005E3262DA}">
      <text>
        <r>
          <rPr>
            <sz val="11"/>
            <color theme="1"/>
            <rFont val="Aptos Narrow"/>
            <family val="2"/>
            <scheme val="minor"/>
          </rPr>
          <t>Unknown User:
INSTALLATION OF BOILING AND CHILLED WATER UNIT WITH GOOSENECK MIXER (CUSTOMER SUPPLIED)</t>
        </r>
      </text>
    </comment>
    <comment ref="G390" authorId="4" shapeId="0" xr:uid="{4D26A93F-503C-4DD1-882C-D52AE15ED851}">
      <text>
        <r>
          <rPr>
            <sz val="11"/>
            <color theme="1"/>
            <rFont val="Aptos Narrow"/>
            <family val="2"/>
            <scheme val="minor"/>
          </rPr>
          <t>Unknown User:
REPLACEMENT OF EXISTING PULL-OUT KITCHEN MIXER (CUSTOMER SUPPLIED)</t>
        </r>
      </text>
    </comment>
    <comment ref="G391" authorId="4" shapeId="0" xr:uid="{67D74C36-62A2-40E8-9DEA-A228A346B705}">
      <text>
        <r>
          <rPr>
            <sz val="11"/>
            <color theme="1"/>
            <rFont val="Aptos Narrow"/>
            <family val="2"/>
            <scheme val="minor"/>
          </rPr>
          <t>Unknown User:
SEARCH AND INVESTIGATION OF SOLAR SPLIT HOT WATER SYSTEM
$65 First Service Discount</t>
        </r>
      </text>
    </comment>
    <comment ref="G392" authorId="4" shapeId="0" xr:uid="{39B2C255-0FA4-4106-9377-ED932EFDAF6C}">
      <text>
        <r>
          <rPr>
            <sz val="11"/>
            <color theme="1"/>
            <rFont val="Aptos Narrow"/>
            <family val="2"/>
            <scheme val="minor"/>
          </rPr>
          <t xml:space="preserve">Unknown User:
SUPPLY AND INSTALLATION OF TRAP TO SINK OR LAUNDRY TUB - WHITE PVC 
10% Seniors &amp; Pensioners Discount
</t>
        </r>
      </text>
    </comment>
    <comment ref="G393" authorId="4" shapeId="0" xr:uid="{1D77E2A0-D2AF-4E8C-B0EF-726EEAB8CC2E}">
      <text>
        <r>
          <rPr>
            <sz val="11"/>
            <color theme="1"/>
            <rFont val="Aptos Narrow"/>
            <family val="2"/>
            <scheme val="minor"/>
          </rPr>
          <t>Unknown User:
SUPPLY &amp; INSTALLATION OF GAS STORAGE HOT WATER SYSTEM (EXTERNAL)</t>
        </r>
      </text>
    </comment>
    <comment ref="G394" authorId="4" shapeId="0" xr:uid="{D9EBC517-7994-479C-ACDA-61AFCD744E35}">
      <text>
        <r>
          <rPr>
            <sz val="11"/>
            <color theme="1"/>
            <rFont val="Aptos Narrow"/>
            <family val="2"/>
            <scheme val="minor"/>
          </rPr>
          <t>Unknown User:
HIGH POWERED JET BLAST IN CONJUNCTION WITH SPECIALIST WHIP HOSE (NO CCTV AT REQUEST OF CUSTOMER)</t>
        </r>
      </text>
    </comment>
    <comment ref="E416" authorId="13" shapeId="0" xr:uid="{A3AD89CC-F4FE-4DC1-9885-EB7E8CD86516}">
      <text>
        <t>[Threaded comment]
Your version of Excel allows you to read this threaded comment; however, any edits to it will get removed if the file is opened in a newer version of Excel. Learn more: https://go.microsoft.com/fwlink/?linkid=870924
Comment:
    Checked</t>
      </text>
    </comment>
    <comment ref="G427" authorId="4" shapeId="0" xr:uid="{C0F5D618-7A73-4A7D-9B3E-44F365F000FA}">
      <text>
        <r>
          <rPr>
            <sz val="11"/>
            <color theme="1"/>
            <rFont val="Aptos Narrow"/>
            <family val="2"/>
            <scheme val="minor"/>
          </rPr>
          <t>Unknown User:
COMPLETE SERVICE OF WALL TOP TAPS ASSEMBLY
INSTALLATION OF SHOWER ARM &amp; ROSE (CUSTOMER SUPPLIED)</t>
        </r>
      </text>
    </comment>
    <comment ref="L427" authorId="4" shapeId="0" xr:uid="{FB5940F4-C2A8-41A1-AA6E-8C49507CE150}">
      <text>
        <r>
          <rPr>
            <sz val="11"/>
            <color theme="1"/>
            <rFont val="Aptos Narrow"/>
            <family val="2"/>
            <scheme val="minor"/>
          </rPr>
          <t>Unknown User:
Serviced wall tap top pics are reversed.</t>
        </r>
      </text>
    </comment>
    <comment ref="G428" authorId="4" shapeId="0" xr:uid="{ABDB07EA-727E-4124-9088-0281D47669D0}">
      <text>
        <r>
          <rPr>
            <sz val="11"/>
            <color theme="1"/>
            <rFont val="Aptos Narrow"/>
            <family val="2"/>
            <scheme val="minor"/>
          </rPr>
          <t>Unknown User:
INSTALLATION OF DISHWASHER [SAME LOCATION] (CUSTOMER SUPPLIED)</t>
        </r>
      </text>
    </comment>
    <comment ref="G429" authorId="4" shapeId="0" xr:uid="{90AE3A06-4E4C-489B-9696-1502739DFEFE}">
      <text>
        <r>
          <rPr>
            <sz val="11"/>
            <color theme="1"/>
            <rFont val="Aptos Narrow"/>
            <family val="2"/>
            <scheme val="minor"/>
          </rPr>
          <t>Unknown User:
SEARCH &amp; INVESTIGATION OF GAS STORAGE HOT WATER SYSTEM
$65 First Service Discount</t>
        </r>
      </text>
    </comment>
    <comment ref="W429" authorId="4" shapeId="0" xr:uid="{B2511146-9212-4A3F-85CF-FD16F7611485}">
      <text>
        <r>
          <rPr>
            <sz val="11"/>
            <color theme="1"/>
            <rFont val="Aptos Narrow"/>
            <family val="2"/>
            <scheme val="minor"/>
          </rPr>
          <t xml:space="preserve">Unknown User:
Cash denomination
$100*4=$400
$50*5=$250
$20*1=$20
$10*1=$10
Total cash=$680
</t>
        </r>
      </text>
    </comment>
    <comment ref="G430" authorId="4" shapeId="0" xr:uid="{68AA44EC-D871-4B1E-B7B0-3F696CBCE59C}">
      <text>
        <r>
          <rPr>
            <sz val="11"/>
            <color theme="1"/>
            <rFont val="Aptos Narrow"/>
            <family val="2"/>
            <scheme val="minor"/>
          </rPr>
          <t>Unknown User:
SEARCH AND INVESTIGATION OF GAS INSTANTANEOUS HOT WATER SYSTEM</t>
        </r>
      </text>
    </comment>
    <comment ref="G431" authorId="4" shapeId="0" xr:uid="{1E952DE3-1471-4ED2-89F7-95F0F9DA2A7D}">
      <text>
        <r>
          <rPr>
            <sz val="11"/>
            <color theme="1"/>
            <rFont val="Aptos Narrow"/>
            <family val="2"/>
            <scheme val="minor"/>
          </rPr>
          <t>Unknown User:
HIGH POWERED JET BLAST &amp; CCTV DRAIN CAMERA INSPECTION (SEWER SERVICE)
10% Seniors &amp; Pensioners Discount</t>
        </r>
      </text>
    </comment>
    <comment ref="L431" authorId="4" shapeId="0" xr:uid="{E4B8C988-5279-4D4D-B071-9FCECDA72B55}">
      <text>
        <r>
          <rPr>
            <sz val="11"/>
            <color theme="1"/>
            <rFont val="Aptos Narrow"/>
            <family val="2"/>
            <scheme val="minor"/>
          </rPr>
          <t>Unknown User:
CCTV drain camera inspection pics/videos not uploaded.</t>
        </r>
      </text>
    </comment>
    <comment ref="G432" authorId="4" shapeId="0" xr:uid="{04F4BDAE-AE91-4FEA-9DCD-83005429F976}">
      <text>
        <r>
          <rPr>
            <sz val="11"/>
            <color theme="1"/>
            <rFont val="Aptos Narrow"/>
            <family val="2"/>
            <scheme val="minor"/>
          </rPr>
          <t>Unknown User:
REPLACEMENT OF BASIN MIXER</t>
        </r>
      </text>
    </comment>
    <comment ref="G433" authorId="4" shapeId="0" xr:uid="{5E395731-FB36-4A3C-92B8-60F1ED66A5D7}">
      <text>
        <r>
          <rPr>
            <sz val="11"/>
            <color theme="1"/>
            <rFont val="Aptos Narrow"/>
            <family val="2"/>
            <scheme val="minor"/>
          </rPr>
          <t>Unknown User:
SEARCH &amp; INVESTIGATION OF POTENTIAL GAS LEAK</t>
        </r>
      </text>
    </comment>
    <comment ref="G434" authorId="4" shapeId="0" xr:uid="{A8FC84C1-1AD6-4E78-8BF1-FD24A394F22B}">
      <text>
        <r>
          <rPr>
            <sz val="11"/>
            <color theme="1"/>
            <rFont val="Aptos Narrow"/>
            <family val="2"/>
            <scheme val="minor"/>
          </rPr>
          <t>Unknown User:
HIGH POWERED JET BLAST &amp; CCTV CAMERA INSPECTION (GAIN ACCESS WITH REMOVAL OF TOILET)
Non-refundable call out fee</t>
        </r>
      </text>
    </comment>
    <comment ref="G435" authorId="4" shapeId="0" xr:uid="{011FBBE8-BF91-4919-AAE0-1D0BFC269FF8}">
      <text>
        <r>
          <rPr>
            <sz val="11"/>
            <color theme="1"/>
            <rFont val="Aptos Narrow"/>
            <family val="2"/>
            <scheme val="minor"/>
          </rPr>
          <t>Unknown User:
SEARCH &amp; INVESTIGATION OF GAS APPLIANCE</t>
        </r>
      </text>
    </comment>
    <comment ref="M435" authorId="4" shapeId="0" xr:uid="{4AD83454-7A80-466C-AE91-373EA9493479}">
      <text>
        <r>
          <rPr>
            <sz val="11"/>
            <color theme="1"/>
            <rFont val="Aptos Narrow"/>
            <family val="2"/>
            <scheme val="minor"/>
          </rPr>
          <t>Unknown User:
Smartpay receipt of $1247.40 not uploaded by plumber.
Uploaded by Modoras team.</t>
        </r>
      </text>
    </comment>
    <comment ref="G436" authorId="4" shapeId="0" xr:uid="{8E08FE00-9D7C-440C-9C5D-12313BC18265}">
      <text>
        <r>
          <rPr>
            <sz val="11"/>
            <color theme="1"/>
            <rFont val="Aptos Narrow"/>
            <family val="2"/>
            <scheme val="minor"/>
          </rPr>
          <t>Unknown User:
DISCONNECT &amp; DRAIN GAS STORAGE HWS</t>
        </r>
      </text>
    </comment>
    <comment ref="M436" authorId="4" shapeId="0" xr:uid="{75B71421-B046-4DC7-8EE0-14963C51252F}">
      <text>
        <r>
          <rPr>
            <sz val="11"/>
            <color theme="1"/>
            <rFont val="Aptos Narrow"/>
            <family val="2"/>
            <scheme val="minor"/>
          </rPr>
          <t>Unknown User:
Smartpay receipt of $1251.80 not uploaded by plumber.
Uploaded by Modoras team.</t>
        </r>
      </text>
    </comment>
    <comment ref="G441" authorId="4" shapeId="0" xr:uid="{375A8A0D-01BF-4C85-BA9F-4A4F74B55575}">
      <text>
        <r>
          <rPr>
            <sz val="11"/>
            <color theme="1"/>
            <rFont val="Aptos Narrow"/>
            <family val="2"/>
            <scheme val="minor"/>
          </rPr>
          <t>Unknown User:
SUPPLY &amp; INSTALLATION OF NEW UNDER MOUNT BASIN
10% Good Will Discount</t>
        </r>
      </text>
    </comment>
    <comment ref="G447" authorId="4" shapeId="0" xr:uid="{3E13FD24-696D-4594-9C58-DF3931C67618}">
      <text>
        <r>
          <rPr>
            <sz val="11"/>
            <color theme="1"/>
            <rFont val="Aptos Narrow"/>
            <family val="2"/>
            <scheme val="minor"/>
          </rPr>
          <t>Unknown User:
TESTING OF RPZ VALVE</t>
        </r>
      </text>
    </comment>
    <comment ref="Q447" authorId="4" shapeId="0" xr:uid="{243FF4C7-2DA4-492B-817D-831C61607B53}">
      <text>
        <r>
          <rPr>
            <sz val="11"/>
            <color theme="1"/>
            <rFont val="Aptos Narrow"/>
            <family val="2"/>
            <scheme val="minor"/>
          </rPr>
          <t>Unknown User:
Final invoice not raised</t>
        </r>
      </text>
    </comment>
    <comment ref="A454" authorId="5" shapeId="0" xr:uid="{388CAF11-3AEC-4442-9C94-772423FB71C1}">
      <text>
        <r>
          <rPr>
            <sz val="11"/>
            <color theme="1"/>
            <rFont val="Aptos Narrow"/>
            <family val="2"/>
            <scheme val="minor"/>
          </rPr>
          <t>Accounts | Point Plumbing:
Leak Detect Inv</t>
        </r>
      </text>
    </comment>
    <comment ref="G454" authorId="4" shapeId="0" xr:uid="{41674E65-31D1-4E9C-98BE-22F29812981F}">
      <text>
        <r>
          <rPr>
            <sz val="11"/>
            <color theme="1"/>
            <rFont val="Aptos Narrow"/>
            <family val="2"/>
            <scheme val="minor"/>
          </rPr>
          <t>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t>
        </r>
      </text>
    </comment>
    <comment ref="G455" authorId="4" shapeId="0" xr:uid="{1D026EB5-EE4C-454B-9053-BC2B3B532805}">
      <text>
        <r>
          <rPr>
            <sz val="11"/>
            <color theme="1"/>
            <rFont val="Aptos Narrow"/>
            <family val="2"/>
            <scheme val="minor"/>
          </rPr>
          <t xml:space="preserve">Unknown User:
WATER SERVICE RECTIFICATION (IN WALL)
Isolate water supply to property
Set up safe working area
Mark out required location
Diamond grind wall 
Jackhammer and removal of section of wall 
Gain access to damaged water service in wall
Expose existing section of damaged water service in wall
Cut &amp; removal of existing damaged water service
Clean existing water service
Prepare existing water service for new connections
Flush out water service free of potential debris
Supply &amp; install new section of new water service up to 1.5M
Supply &amp; install new Press fittings
Connect new section of water service to existing water service
Use of specialist hydraulic crimping tool
Crimp new section of water service
Reinstate water supply
Conduct pressure test on water service to ensure no further leaks
Lag new service in wall 
Supply and install new wall mortar and bedding to worked area 
Water proof worked area 
Installation of new wall tiles in worked area 
Supply and installation of new grouting in worked area 
Removal of trade waste
Test &amp; commission installation
Please note. If further works are required, additional costs will apply. If exact tiles cannot be matched, closest option will be provided and agreed by customer. </t>
        </r>
      </text>
    </comment>
    <comment ref="N455" authorId="4" shapeId="0" xr:uid="{635320C3-0D5E-438D-88B8-C71F1CF666AF}">
      <text>
        <r>
          <rPr>
            <sz val="11"/>
            <color theme="1"/>
            <rFont val="Aptos Narrow"/>
            <family val="2"/>
            <scheme val="minor"/>
          </rPr>
          <t>Unknown User:
Quote raised in job #71735</t>
        </r>
      </text>
    </comment>
    <comment ref="U455" authorId="4" shapeId="0" xr:uid="{DD61118D-D265-498E-B8B4-90D98FCEB214}">
      <text>
        <r>
          <rPr>
            <sz val="11"/>
            <color theme="1"/>
            <rFont val="Aptos Narrow"/>
            <family val="2"/>
            <scheme val="minor"/>
          </rPr>
          <t>Unknown User:
28/07-As per Will's note "Asked for a leak report, I said we can send plumbers findings, I told her to ask the plumber for more information on that. I will let dispatch know too"</t>
        </r>
      </text>
    </comment>
    <comment ref="G459" authorId="4" shapeId="0" xr:uid="{22432485-DDF6-443B-8CFF-D6124472869D}">
      <text>
        <r>
          <rPr>
            <sz val="11"/>
            <color theme="1"/>
            <rFont val="Aptos Narrow"/>
            <family val="2"/>
            <scheme val="minor"/>
          </rPr>
          <t xml:space="preserve">Unknown User:
INSTALLATION OF NEW BRASS HOSE TAP (CUSTOMER SUPPLIED)
</t>
        </r>
      </text>
    </comment>
    <comment ref="G460" authorId="4" shapeId="0" xr:uid="{C987A692-F39F-443E-A7FE-A5F763CBB538}">
      <text>
        <r>
          <rPr>
            <sz val="11"/>
            <color theme="1"/>
            <rFont val="Aptos Narrow"/>
            <family val="2"/>
            <scheme val="minor"/>
          </rPr>
          <t>Unknown User:
REMOVAL OF TOILET PAN AND RESEAL WITH NEW PAN COLLAR</t>
        </r>
      </text>
    </comment>
    <comment ref="G461" authorId="4" shapeId="0" xr:uid="{2BEC204C-8E95-49B4-A361-FEFE0FC20B4A}">
      <text>
        <r>
          <rPr>
            <sz val="11"/>
            <color theme="1"/>
            <rFont val="Aptos Narrow"/>
            <family val="2"/>
            <scheme val="minor"/>
          </rPr>
          <t>Unknown User:
SUPPLY &amp; INSTALLATION OF GAS STORAGE HOT WATER SYSTEM (EXTERNAL)
CREDIT OF SEARCH &amp; INVESTIGATION
10% Seniors &amp; Pensioners Discount</t>
        </r>
      </text>
    </comment>
    <comment ref="G462" authorId="4" shapeId="0" xr:uid="{19E19787-7633-465B-A429-A22CEB66CA64}">
      <text>
        <r>
          <rPr>
            <sz val="11"/>
            <color theme="1"/>
            <rFont val="Aptos Narrow"/>
            <family val="2"/>
            <scheme val="minor"/>
          </rPr>
          <t xml:space="preserve">Unknown User:
SUPPLY &amp; INSTALLATION OF GAS STORAGE HOT WATER SYSTEM (EXTERNAL)
</t>
        </r>
      </text>
    </comment>
    <comment ref="G463" authorId="4" shapeId="0" xr:uid="{89BF2BEC-5E2A-4D56-B2B7-198E16E0F605}">
      <text>
        <r>
          <rPr>
            <sz val="11"/>
            <color theme="1"/>
            <rFont val="Aptos Narrow"/>
            <family val="2"/>
            <scheme val="minor"/>
          </rPr>
          <t>Unknown User:
MIXER TAP - STANDARD
10% Seniors &amp; Pensioners Discount</t>
        </r>
      </text>
    </comment>
    <comment ref="G464" authorId="4" shapeId="0" xr:uid="{421400A8-4691-4482-B270-24F1ABF58B50}">
      <text>
        <r>
          <rPr>
            <sz val="11"/>
            <color theme="1"/>
            <rFont val="Aptos Narrow"/>
            <family val="2"/>
            <scheme val="minor"/>
          </rPr>
          <t>Unknown User:
SUPPLY &amp; INSTALLATION OF NEW INSTANTANEOUS GAS HOT WATER SYSTEM (EXTERNAL)
CREDIT OF SEARCH &amp; INVESTIGATION</t>
        </r>
      </text>
    </comment>
    <comment ref="G465" authorId="4" shapeId="0" xr:uid="{C9547406-38CA-4791-B61E-D76D009FA129}">
      <text>
        <r>
          <rPr>
            <sz val="11"/>
            <color theme="1"/>
            <rFont val="Aptos Narrow"/>
            <family val="2"/>
            <scheme val="minor"/>
          </rPr>
          <t xml:space="preserve">Unknown User:
INSTALLATION OF FREESTANDING OVEN AND GAS COOKTOP [SAME LOCATION] (CUSTOMER SUPPLIED)
REPLACEMENT OF EXISTING GOOSE NECK KITCHEN MIXER (CUSTOMER SUPPLIED)
</t>
        </r>
      </text>
    </comment>
    <comment ref="G467" authorId="4" shapeId="0" xr:uid="{4CAF7B0A-4279-447E-B47D-BAD3FD4B213F}">
      <text>
        <r>
          <rPr>
            <sz val="11"/>
            <color theme="1"/>
            <rFont val="Aptos Narrow"/>
            <family val="2"/>
            <scheme val="minor"/>
          </rPr>
          <t>Unknown User:
REPLACEMENT OF EXISTING OVERFLOW GULLY &amp; UP TO 1M OF MAIN SEWER SERVICE (UNDER PAVERS)</t>
        </r>
      </text>
    </comment>
    <comment ref="U467" authorId="4" shapeId="0" xr:uid="{789DC391-530F-4641-A1EB-98C809A151D6}">
      <text>
        <r>
          <rPr>
            <sz val="11"/>
            <color theme="1"/>
            <rFont val="Aptos Narrow"/>
            <family val="2"/>
            <scheme val="minor"/>
          </rPr>
          <t>Unknown User:
6/8-As per Zachias's note "Called customer after abandoned call, customer has sent a letter off to the plumbing commission regarding job, as she feels wrong done by in cost and pressure on her husband to make a decision, when he doesn't speak very good English. I explained to the customer I would get the plumber to call as she wants to stop the work from happening. Will Teams DSR to let them know the customer no longer wants to go ahead with the job."</t>
        </r>
      </text>
    </comment>
    <comment ref="G469" authorId="4" shapeId="0" xr:uid="{911408C4-9D7B-4CD4-B0E2-7353DF10A0EF}">
      <text>
        <r>
          <rPr>
            <sz val="11"/>
            <color theme="1"/>
            <rFont val="Aptos Narrow"/>
            <family val="2"/>
            <scheme val="minor"/>
          </rPr>
          <t>Unknown User:
REPLACEMENT OF WALL SINK SET (CERAMIC DISC)</t>
        </r>
      </text>
    </comment>
    <comment ref="G471" authorId="4" shapeId="0" xr:uid="{3402CFBE-C005-419A-8F2D-395FCD6E89CA}">
      <text>
        <r>
          <rPr>
            <sz val="11"/>
            <color theme="1"/>
            <rFont val="Aptos Narrow"/>
            <family val="2"/>
            <scheme val="minor"/>
          </rPr>
          <t xml:space="preserve">Unknown User:
HIGH POWERED SUCTION &amp; ACID TREATMENT
</t>
        </r>
      </text>
    </comment>
    <comment ref="G472" authorId="4" shapeId="0" xr:uid="{5A3F5389-64D1-4EB4-BC43-33BE9BC7D0E6}">
      <text>
        <r>
          <rPr>
            <sz val="11"/>
            <color theme="1"/>
            <rFont val="Aptos Narrow"/>
            <family val="2"/>
            <scheme val="minor"/>
          </rPr>
          <t xml:space="preserve">Unknown User:
SPECIALIST LEAK DETECTION (WATER SERVICE)
</t>
        </r>
      </text>
    </comment>
    <comment ref="G473" authorId="4" shapeId="0" xr:uid="{ED9384EB-F00B-4E6C-8BAF-F8BCD559322A}">
      <text>
        <r>
          <rPr>
            <sz val="11"/>
            <color theme="1"/>
            <rFont val="Aptos Narrow"/>
            <family val="2"/>
            <scheme val="minor"/>
          </rPr>
          <t xml:space="preserve">Unknown User:
SUSPENDED DRAINAGE RECTIFICATION
</t>
        </r>
      </text>
    </comment>
    <comment ref="G476" authorId="4" shapeId="0" xr:uid="{92D1F466-41B0-4697-AD1F-A00C7002006F}">
      <text>
        <r>
          <rPr>
            <sz val="11"/>
            <color theme="1"/>
            <rFont val="Aptos Narrow"/>
            <family val="2"/>
            <scheme val="minor"/>
          </rPr>
          <t xml:space="preserve">Unknown User:
SEARCH &amp; INVESTIGATION OF BOILING/CHILLED WATER UNIT
</t>
        </r>
      </text>
    </comment>
    <comment ref="D477" authorId="4" shapeId="0" xr:uid="{0D17F1AC-5D3A-4B9B-8312-4A3B0D5ACED0}">
      <text>
        <r>
          <rPr>
            <sz val="11"/>
            <color theme="1"/>
            <rFont val="Aptos Narrow"/>
            <family val="2"/>
            <scheme val="minor"/>
          </rPr>
          <t>Unknown User:
07/08 Job was unsuccessful by Shaun
21/08 Quote raised &amp; WIP by Liam</t>
        </r>
      </text>
    </comment>
    <comment ref="G477" authorId="4" shapeId="0" xr:uid="{D12C1124-B24C-4C5B-9536-C46D29481A3B}">
      <text>
        <r>
          <rPr>
            <sz val="11"/>
            <color theme="1"/>
            <rFont val="Aptos Narrow"/>
            <family val="2"/>
            <scheme val="minor"/>
          </rPr>
          <t xml:space="preserve">Unknown User:
REPLACEMENT OF TAP TOPS – CERAMIC DISC
SUPPLY AND INSTALLATION OF AAV TO EXISTING PIPEWORK
</t>
        </r>
      </text>
    </comment>
    <comment ref="G478" authorId="4" shapeId="0" xr:uid="{07C0CD3F-A4E7-4435-8D08-DAA82178D71F}">
      <text>
        <r>
          <rPr>
            <sz val="11"/>
            <color theme="1"/>
            <rFont val="Aptos Narrow"/>
            <family val="2"/>
            <scheme val="minor"/>
          </rPr>
          <t>Unknown User:
REPLACEMENT OF BASIN MIXER
INSTALLATION OF COMMERCIAL PLATE WASHER TAP WITH TRIGGER SPRAY FUNCTION (CUSTOMER SUPPLIED)</t>
        </r>
      </text>
    </comment>
    <comment ref="G479" authorId="4" shapeId="0" xr:uid="{4CBEDE4C-EFC2-4F54-BB3B-808E0F1873E4}">
      <text>
        <r>
          <rPr>
            <sz val="11"/>
            <color theme="1"/>
            <rFont val="Aptos Narrow"/>
            <family val="2"/>
            <scheme val="minor"/>
          </rPr>
          <t>Unknown User:
DISCONNECT &amp; DRAIN GAS STORAGE HWS</t>
        </r>
      </text>
    </comment>
    <comment ref="E500" authorId="14" shapeId="0" xr:uid="{0A7597E2-E13F-4C21-87BB-D4EA02373EF3}">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t>
      </text>
    </comment>
    <comment ref="G511" authorId="4" shapeId="0" xr:uid="{215FB430-A907-4602-BCEE-CB8BFF6B0568}">
      <text>
        <r>
          <rPr>
            <sz val="11"/>
            <color theme="1"/>
            <rFont val="Aptos Narrow"/>
            <family val="2"/>
            <scheme val="minor"/>
          </rPr>
          <t>Unknown User:
COMPLETE SERVICE OF TOILET CISTERN
$65 First Service Discount</t>
        </r>
      </text>
    </comment>
    <comment ref="G512" authorId="4" shapeId="0" xr:uid="{D61C2EB4-B243-4661-A6C6-42ADE4E8AB9C}">
      <text>
        <r>
          <rPr>
            <sz val="11"/>
            <color theme="1"/>
            <rFont val="Aptos Narrow"/>
            <family val="2"/>
            <scheme val="minor"/>
          </rPr>
          <t xml:space="preserve">Unknown User:
SUPPLY &amp; INSTALLATION OF ELECTRIC INSTANTANEOUS HOT WATER SYSTEM (THREE PHASE)
10% Seniors &amp; Pensioners Discount
 </t>
        </r>
      </text>
    </comment>
    <comment ref="N512" authorId="4" shapeId="0" xr:uid="{F544B5EB-9B56-4EA2-9A0E-229A20835C4D}">
      <text>
        <r>
          <rPr>
            <sz val="11"/>
            <color theme="1"/>
            <rFont val="Aptos Narrow"/>
            <family val="2"/>
            <scheme val="minor"/>
          </rPr>
          <t>Unknown User:
Quote not raised due to technical issue in ServiceTitan.</t>
        </r>
      </text>
    </comment>
    <comment ref="Q512" authorId="4" shapeId="0" xr:uid="{617FE3C0-386E-4B35-87E5-5FD3B22074F8}">
      <text>
        <r>
          <rPr>
            <sz val="11"/>
            <color theme="1"/>
            <rFont val="Aptos Narrow"/>
            <family val="2"/>
            <scheme val="minor"/>
          </rPr>
          <t>Unknown User:
Invoice not raised due to technical issue in ServiceTitan.</t>
        </r>
      </text>
    </comment>
    <comment ref="G513" authorId="4" shapeId="0" xr:uid="{02554A65-F253-4BBC-8FEF-48F99AFD92E8}">
      <text>
        <r>
          <rPr>
            <sz val="11"/>
            <color theme="1"/>
            <rFont val="Aptos Narrow"/>
            <family val="2"/>
            <scheme val="minor"/>
          </rPr>
          <t xml:space="preserve">Unknown User:
WATER SERVICE RECTIFICATION (UNDER PAVERS)
</t>
        </r>
      </text>
    </comment>
    <comment ref="G514" authorId="4" shapeId="0" xr:uid="{7628FA70-2D3B-40B0-893F-02846F0EC121}">
      <text>
        <r>
          <rPr>
            <sz val="11"/>
            <color theme="1"/>
            <rFont val="Aptos Narrow"/>
            <family val="2"/>
            <scheme val="minor"/>
          </rPr>
          <t xml:space="preserve">Unknown User:
COMPLETE SERVICE OF WALL TOP TAPS ASSEMBLY
10% Seniors &amp; Pensioners Discount
</t>
        </r>
      </text>
    </comment>
    <comment ref="G515" authorId="4" shapeId="0" xr:uid="{9DEA26A0-3988-4220-A866-DBD3ACEE60D9}">
      <text>
        <r>
          <rPr>
            <sz val="11"/>
            <color theme="1"/>
            <rFont val="Aptos Narrow"/>
            <family val="2"/>
            <scheme val="minor"/>
          </rPr>
          <t xml:space="preserve">Unknown User:
REPLACEMENT OF EXISTING GOOSE NECK KITCHEN MIXER (CUSTOMER SUPPLIED)
</t>
        </r>
      </text>
    </comment>
    <comment ref="G516" authorId="4" shapeId="0" xr:uid="{C2DE98EE-5C36-495E-BAB3-60A5B2580EE1}">
      <text>
        <r>
          <rPr>
            <sz val="11"/>
            <color theme="1"/>
            <rFont val="Aptos Narrow"/>
            <family val="2"/>
            <scheme val="minor"/>
          </rPr>
          <t xml:space="preserve">Unknown User:
SUPPLY &amp; INSTALLATION OF NEW INSTANTANEOUS GAS HOT WATER SYSTEM (EXTERNAL)
</t>
        </r>
      </text>
    </comment>
    <comment ref="G517" authorId="4" shapeId="0" xr:uid="{AF490550-C338-4A1F-AA93-0554C87E06AA}">
      <text>
        <r>
          <rPr>
            <sz val="11"/>
            <color theme="1"/>
            <rFont val="Aptos Narrow"/>
            <family val="2"/>
            <scheme val="minor"/>
          </rPr>
          <t>Unknown User:
CONVERT EXTERNAL GAS STORAGE HOT WATER SYSTEM TO EXTERNAL GAS INSTANTANEOUS HOT WATER SYSTEM
10% Seniors &amp; Pensioners Discount</t>
        </r>
      </text>
    </comment>
    <comment ref="M517" authorId="4" shapeId="0" xr:uid="{B382FEA3-015D-4918-A359-F52F0429438F}">
      <text>
        <r>
          <rPr>
            <sz val="11"/>
            <color theme="1"/>
            <rFont val="Aptos Narrow"/>
            <family val="2"/>
            <scheme val="minor"/>
          </rPr>
          <t>Unknown User:
Smartpay receipt of $674 not uploaded by plumber.
Uploaded by Modoras team.</t>
        </r>
      </text>
    </comment>
    <comment ref="G518" authorId="4" shapeId="0" xr:uid="{BEC2F134-1AA6-40FB-A697-75E993338E7A}">
      <text>
        <r>
          <rPr>
            <sz val="11"/>
            <color theme="1"/>
            <rFont val="Aptos Narrow"/>
            <family val="2"/>
            <scheme val="minor"/>
          </rPr>
          <t>Unknown User:
REPLACEMENT OF PLUG &amp; WASTE - 50MM
10% Seniors &amp; Pensioners Discount</t>
        </r>
      </text>
    </comment>
    <comment ref="M518" authorId="4" shapeId="0" xr:uid="{9CB66C4B-CC33-4015-B092-63955240D8F9}">
      <text>
        <r>
          <rPr>
            <sz val="11"/>
            <color theme="1"/>
            <rFont val="Aptos Narrow"/>
            <family val="2"/>
            <scheme val="minor"/>
          </rPr>
          <t>Unknown User:
SmartPay receipt of $1486.98 not uploaded by plumber .Now uploaded by Modoras team.</t>
        </r>
      </text>
    </comment>
    <comment ref="G519" authorId="4" shapeId="0" xr:uid="{F75AAE94-750C-47C2-B600-15C6B0CD2543}">
      <text>
        <r>
          <rPr>
            <sz val="11"/>
            <color theme="1"/>
            <rFont val="Aptos Narrow"/>
            <family val="2"/>
            <scheme val="minor"/>
          </rPr>
          <t xml:space="preserve">Unknown User:
REPLACEMENT OF KITCHEN MIXER
10% Seniors &amp; Pensioners Discount
</t>
        </r>
      </text>
    </comment>
    <comment ref="M519" authorId="4" shapeId="0" xr:uid="{155EE111-527D-40B2-8800-E57BDF8E5B0B}">
      <text>
        <r>
          <rPr>
            <sz val="11"/>
            <color theme="1"/>
            <rFont val="Aptos Narrow"/>
            <family val="2"/>
            <scheme val="minor"/>
          </rPr>
          <t>Unknown User:
SmartPay receipt of $1268.19  not uploaded by plumber. Now uploaded by Modoras.</t>
        </r>
      </text>
    </comment>
    <comment ref="G520" authorId="4" shapeId="0" xr:uid="{B274DE68-1F4C-42DC-9EE6-BF1E2B5C0D5D}">
      <text>
        <r>
          <rPr>
            <sz val="11"/>
            <color theme="1"/>
            <rFont val="Aptos Narrow"/>
            <family val="2"/>
            <scheme val="minor"/>
          </rPr>
          <t>Unknown User:
REPLACEMENT OF PLUG &amp; WASTE - 50MM
10% Seniors &amp; Pensioners Discount</t>
        </r>
      </text>
    </comment>
    <comment ref="M520" authorId="4" shapeId="0" xr:uid="{9DC9C8D8-AE50-4862-A5E2-B30AF4458B79}">
      <text>
        <r>
          <rPr>
            <sz val="11"/>
            <color theme="1"/>
            <rFont val="Aptos Narrow"/>
            <family val="2"/>
            <scheme val="minor"/>
          </rPr>
          <t xml:space="preserve">Unknown User:
SmartPay receipt of $1486.98 not uploaded by plumber. Now uploaded by Modoras team. </t>
        </r>
      </text>
    </comment>
    <comment ref="G521" authorId="4" shapeId="0" xr:uid="{FF504B0C-DC0F-456C-9ACD-30F92CB093EE}">
      <text>
        <r>
          <rPr>
            <sz val="11"/>
            <color theme="1"/>
            <rFont val="Aptos Narrow"/>
            <family val="2"/>
            <scheme val="minor"/>
          </rPr>
          <t xml:space="preserve">Unknown User:
REPLACEMENT OF KITCHEN MIXER (CUSTOMER SUPPLIED)
</t>
        </r>
      </text>
    </comment>
    <comment ref="G522" authorId="4" shapeId="0" xr:uid="{5457E383-1FC1-4DB6-8EF5-D1AFC109454D}">
      <text>
        <r>
          <rPr>
            <sz val="11"/>
            <color theme="1"/>
            <rFont val="Aptos Narrow"/>
            <family val="2"/>
            <scheme val="minor"/>
          </rPr>
          <t xml:space="preserve">Unknown User:
HIGH POWERED JET BLAST &amp; CCTV DRAIN CAMERA INSPECTION (SEWER SERVICE)
</t>
        </r>
      </text>
    </comment>
    <comment ref="G527" authorId="4" shapeId="0" xr:uid="{1FDDD250-4579-469B-ADE8-909417871FA7}">
      <text>
        <r>
          <rPr>
            <sz val="11"/>
            <color theme="1"/>
            <rFont val="Aptos Narrow"/>
            <family val="2"/>
            <scheme val="minor"/>
          </rPr>
          <t>Unknown User:
SUPPLY &amp; INSTALLATION OF NEW UNDER MOUNT BASIN
10% Good Will Discount</t>
        </r>
      </text>
    </comment>
    <comment ref="G531" authorId="4" shapeId="0" xr:uid="{C7106251-0664-4B75-B847-C4EE192FFE7C}">
      <text>
        <r>
          <rPr>
            <sz val="11"/>
            <color theme="1"/>
            <rFont val="Aptos Narrow"/>
            <family val="2"/>
            <scheme val="minor"/>
          </rPr>
          <t>Unknown User:
REPLACEMENT OF PLUG &amp; WASTE - 40MM
HIGH POWERED SUCTION PUMP</t>
        </r>
      </text>
    </comment>
    <comment ref="L531" authorId="4" shapeId="0" xr:uid="{30003E69-EB79-403B-9CFB-C11D1395EB94}">
      <text>
        <r>
          <rPr>
            <sz val="11"/>
            <color theme="1"/>
            <rFont val="Aptos Narrow"/>
            <family val="2"/>
            <scheme val="minor"/>
          </rPr>
          <t>Unknown User:
High powered suction pump pics not uploaded</t>
        </r>
      </text>
    </comment>
    <comment ref="R531" authorId="4" shapeId="0" xr:uid="{711DEB5F-D3EB-4FF3-A784-9E301212B5E5}">
      <text>
        <r>
          <rPr>
            <sz val="11"/>
            <color theme="1"/>
            <rFont val="Aptos Narrow"/>
            <family val="2"/>
            <scheme val="minor"/>
          </rPr>
          <t>Unknown User:
Customer not onsite</t>
        </r>
      </text>
    </comment>
    <comment ref="G535" authorId="4" shapeId="0" xr:uid="{E80123CC-683B-4D1A-B52B-399A6C34D461}">
      <text>
        <r>
          <rPr>
            <sz val="11"/>
            <color theme="1"/>
            <rFont val="Aptos Narrow"/>
            <family val="2"/>
            <scheme val="minor"/>
          </rPr>
          <t xml:space="preserve">Unknown User:
WATER SERVICE RECTIFICATION (IN WALL)
</t>
        </r>
      </text>
    </comment>
    <comment ref="G536" authorId="4" shapeId="0" xr:uid="{F4BEA3F0-B8FF-48C6-B90F-B9A6DD92EE32}">
      <text>
        <r>
          <rPr>
            <sz val="11"/>
            <color theme="1"/>
            <rFont val="Aptos Narrow"/>
            <family val="2"/>
            <scheme val="minor"/>
          </rPr>
          <t xml:space="preserve">Unknown User:
SUPPLY &amp; INSTALLATION OF ELECTRIC INSTANTANEOUS HOT WATER SYSTEM (SINGLE PHASE)
</t>
        </r>
      </text>
    </comment>
    <comment ref="G537" authorId="4" shapeId="0" xr:uid="{6BADF07B-3634-43BD-8674-D47AF5198DA3}">
      <text>
        <r>
          <rPr>
            <sz val="11"/>
            <color theme="1"/>
            <rFont val="Aptos Narrow"/>
            <family val="2"/>
            <scheme val="minor"/>
          </rPr>
          <t>Unknown User:
SUSPENDED DRAINAGE RECTIFICATION UPTO 13M</t>
        </r>
      </text>
    </comment>
    <comment ref="K537" authorId="4" shapeId="0" xr:uid="{9E34A8A2-81D2-43CC-B1DE-DE6C0FD2C98C}">
      <text>
        <r>
          <rPr>
            <sz val="11"/>
            <color theme="1"/>
            <rFont val="Aptos Narrow"/>
            <family val="2"/>
            <scheme val="minor"/>
          </rPr>
          <t>Unknown User:
Before photos uploaded in Job #72366</t>
        </r>
      </text>
    </comment>
    <comment ref="N537" authorId="4" shapeId="0" xr:uid="{A744C770-668C-4430-A331-B36AE28C42E9}">
      <text>
        <r>
          <rPr>
            <sz val="11"/>
            <color theme="1"/>
            <rFont val="Aptos Narrow"/>
            <family val="2"/>
            <scheme val="minor"/>
          </rPr>
          <t>Unknown User:
Quote raised in Job #72321</t>
        </r>
      </text>
    </comment>
    <comment ref="P537" authorId="4" shapeId="0" xr:uid="{5E1DD8E5-794F-46DE-BC25-8FEE2026764A}">
      <text>
        <r>
          <rPr>
            <sz val="11"/>
            <color theme="1"/>
            <rFont val="Aptos Narrow"/>
            <family val="2"/>
            <scheme val="minor"/>
          </rPr>
          <t>Unknown User:
Quote not emailed</t>
        </r>
      </text>
    </comment>
    <comment ref="G543" authorId="4" shapeId="0" xr:uid="{226EC68A-E7EE-45FE-9266-5C2333B0CBFC}">
      <text>
        <r>
          <rPr>
            <sz val="11"/>
            <color theme="1"/>
            <rFont val="Aptos Narrow"/>
            <family val="2"/>
            <scheme val="minor"/>
          </rPr>
          <t>Unknown User:
TESTING OF RPZ VALVE</t>
        </r>
      </text>
    </comment>
    <comment ref="Q543" authorId="4" shapeId="0" xr:uid="{B447C8B1-4F3D-43BA-BA6B-A0D46D6DC2EE}">
      <text>
        <r>
          <rPr>
            <sz val="11"/>
            <color theme="1"/>
            <rFont val="Aptos Narrow"/>
            <family val="2"/>
            <scheme val="minor"/>
          </rPr>
          <t>Unknown User:
Final invoice not raised</t>
        </r>
      </text>
    </comment>
    <comment ref="A550" authorId="5" shapeId="0" xr:uid="{840D6EFE-FDFA-439C-A7C3-73D6A457FC98}">
      <text>
        <r>
          <rPr>
            <sz val="11"/>
            <color theme="1"/>
            <rFont val="Aptos Narrow"/>
            <family val="2"/>
            <scheme val="minor"/>
          </rPr>
          <t>Accounts | Point Plumbing:
Leak Detect Inv</t>
        </r>
      </text>
    </comment>
    <comment ref="G550" authorId="4" shapeId="0" xr:uid="{247F831A-F467-4256-8BCC-53632D4A412E}">
      <text>
        <r>
          <rPr>
            <sz val="11"/>
            <color theme="1"/>
            <rFont val="Aptos Narrow"/>
            <family val="2"/>
            <scheme val="minor"/>
          </rPr>
          <t>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t>
        </r>
      </text>
    </comment>
    <comment ref="G551" authorId="4" shapeId="0" xr:uid="{F4A00D3A-C59F-4F89-AF82-C26036F01944}">
      <text>
        <r>
          <rPr>
            <sz val="11"/>
            <color theme="1"/>
            <rFont val="Aptos Narrow"/>
            <family val="2"/>
            <scheme val="minor"/>
          </rPr>
          <t xml:space="preserve">Unknown User:
WATER SERVICE RECTIFICATION (IN WALL)
Isolate water supply to property
Set up safe working area
Mark out required location
Diamond grind wall 
Jackhammer and removal of section of wall 
Gain access to damaged water service in wall
Expose existing section of damaged water service in wall
Cut &amp; removal of existing damaged water service
Clean existing water service
Prepare existing water service for new connections
Flush out water service free of potential debris
Supply &amp; install new section of new water service up to 1.5M
Supply &amp; install new Press fittings
Connect new section of water service to existing water service
Use of specialist hydraulic crimping tool
Crimp new section of water service
Reinstate water supply
Conduct pressure test on water service to ensure no further leaks
Lag new service in wall 
Supply and install new wall mortar and bedding to worked area 
Water proof worked area 
Installation of new wall tiles in worked area 
Supply and installation of new grouting in worked area 
Removal of trade waste
Test &amp; commission installation
Please note. If further works are required, additional costs will apply. If exact tiles cannot be matched, closest option will be provided and agreed by customer. </t>
        </r>
      </text>
    </comment>
    <comment ref="N551" authorId="4" shapeId="0" xr:uid="{409CCE67-FBC2-4D94-8473-6D528A1317C4}">
      <text>
        <r>
          <rPr>
            <sz val="11"/>
            <color theme="1"/>
            <rFont val="Aptos Narrow"/>
            <family val="2"/>
            <scheme val="minor"/>
          </rPr>
          <t>Unknown User:
Quote raised in job #71735</t>
        </r>
      </text>
    </comment>
    <comment ref="U551" authorId="4" shapeId="0" xr:uid="{DCBB36F8-FF58-474D-B386-F957F383E626}">
      <text>
        <r>
          <rPr>
            <sz val="11"/>
            <color theme="1"/>
            <rFont val="Aptos Narrow"/>
            <family val="2"/>
            <scheme val="minor"/>
          </rPr>
          <t>Unknown User:
28/07-As per Will's note "Asked for a leak report, I said we can send plumbers findings, I told her to ask the plumber for more information on that. I will let dispatch know too"</t>
        </r>
      </text>
    </comment>
    <comment ref="G555" authorId="4" shapeId="0" xr:uid="{6A14D35B-1B2D-4D36-B294-B5175C8EAE17}">
      <text>
        <r>
          <rPr>
            <sz val="11"/>
            <color theme="1"/>
            <rFont val="Aptos Narrow"/>
            <family val="2"/>
            <scheme val="minor"/>
          </rPr>
          <t xml:space="preserve">Unknown User:
SUPPLY &amp; INSTALLATION OF TEMPERING VALVE
SUPPLY &amp; INSTALLATION OF DUO VALVE
INSTALLATION OF NEW LINK SUITE (CUSTOMER SUPPLIED)
</t>
        </r>
      </text>
    </comment>
    <comment ref="G556" authorId="4" shapeId="0" xr:uid="{F6C19BE8-3F2B-43EC-B5A1-AC632FA64121}">
      <text>
        <r>
          <rPr>
            <sz val="11"/>
            <color theme="1"/>
            <rFont val="Aptos Narrow"/>
            <family val="2"/>
            <scheme val="minor"/>
          </rPr>
          <t>Unknown User:
COMMERCIAL HIGH POWERED JETBLAST &amp; CCTV DRAIN CAMERA INSPECTION</t>
        </r>
      </text>
    </comment>
    <comment ref="G557" authorId="4" shapeId="0" xr:uid="{0426ADF8-2954-44B6-A5DB-0D0AE840CA12}">
      <text>
        <r>
          <rPr>
            <sz val="11"/>
            <color theme="1"/>
            <rFont val="Aptos Narrow"/>
            <family val="2"/>
            <scheme val="minor"/>
          </rPr>
          <t>Unknown User:
COMMERCIAL HIGH POWERED JETBLAST &amp; CCTV DRAIN CAMERA INSPECTION</t>
        </r>
      </text>
    </comment>
    <comment ref="G559" authorId="4" shapeId="0" xr:uid="{DEE84ED6-B45A-47CD-8375-27538397F896}">
      <text>
        <r>
          <rPr>
            <sz val="11"/>
            <color theme="1"/>
            <rFont val="Aptos Narrow"/>
            <family val="2"/>
            <scheme val="minor"/>
          </rPr>
          <t xml:space="preserve">Unknown User:
SUPPLY &amp; INSTALLATION OF GAS STORAGE HOT WATER SYSTEM (INTERNAL)
</t>
        </r>
      </text>
    </comment>
    <comment ref="G560" authorId="4" shapeId="0" xr:uid="{6D591058-25AE-48AD-91AB-B07503BB00C2}">
      <text>
        <r>
          <rPr>
            <sz val="11"/>
            <color theme="1"/>
            <rFont val="Aptos Narrow"/>
            <family val="2"/>
            <scheme val="minor"/>
          </rPr>
          <t>Unknown User:
INSTALLATION OF SHOWER ARM &amp; ROSE (CUSTOMER SUPPLIED)</t>
        </r>
      </text>
    </comment>
    <comment ref="G561" authorId="4" shapeId="0" xr:uid="{89A2C653-1A03-4AB0-8917-E72F06FA4D9D}">
      <text>
        <r>
          <rPr>
            <sz val="11"/>
            <color theme="1"/>
            <rFont val="Aptos Narrow"/>
            <family val="2"/>
            <scheme val="minor"/>
          </rPr>
          <t>Unknown User:
SPECIALIST LEAK DETECTION (WATER SERVICE)</t>
        </r>
      </text>
    </comment>
    <comment ref="M561" authorId="4" shapeId="0" xr:uid="{7D37F050-88C5-4F82-99E8-9BA8B55BC63C}">
      <text>
        <r>
          <rPr>
            <sz val="11"/>
            <color theme="1"/>
            <rFont val="Aptos Narrow"/>
            <family val="2"/>
            <scheme val="minor"/>
          </rPr>
          <t>Unknown User:
Receipt for $93.5 not uploaded by plumber, now uploaded by Modoras Team</t>
        </r>
      </text>
    </comment>
    <comment ref="G562" authorId="4" shapeId="0" xr:uid="{17568CFD-9980-41ED-B7C0-8042865D57F1}">
      <text>
        <r>
          <rPr>
            <sz val="11"/>
            <color theme="1"/>
            <rFont val="Aptos Narrow"/>
            <family val="2"/>
            <scheme val="minor"/>
          </rPr>
          <t>Unknown User:
SEARCH &amp; INVESTIGATION OF GAS STORAGE HOT WATER SYSTEM</t>
        </r>
      </text>
    </comment>
    <comment ref="G563" authorId="4" shapeId="0" xr:uid="{5221FF10-D4B0-4247-B122-3C3C2B3084E3}">
      <text>
        <r>
          <rPr>
            <sz val="11"/>
            <color theme="1"/>
            <rFont val="Aptos Narrow"/>
            <family val="2"/>
            <scheme val="minor"/>
          </rPr>
          <t>Unknown User:
SEARCH &amp; INVESTIGATION (GENERAL)</t>
        </r>
      </text>
    </comment>
    <comment ref="G564" authorId="4" shapeId="0" xr:uid="{9B451400-1800-433F-8939-D3F7DB168EFE}">
      <text>
        <r>
          <rPr>
            <sz val="11"/>
            <color theme="1"/>
            <rFont val="Aptos Narrow"/>
            <family val="2"/>
            <scheme val="minor"/>
          </rPr>
          <t>Unknown User:
COMPLETE SERVICE OF IN WALL TOILET CISTERN</t>
        </r>
      </text>
    </comment>
    <comment ref="G565" authorId="4" shapeId="0" xr:uid="{63B33A86-B978-4922-86AF-F1E6E0BFA538}">
      <text>
        <r>
          <rPr>
            <sz val="11"/>
            <color theme="1"/>
            <rFont val="Aptos Narrow"/>
            <family val="2"/>
            <scheme val="minor"/>
          </rPr>
          <t xml:space="preserve">Unknown User:
ROOF LEAK SEARCH &amp; INVESTIGATION
</t>
        </r>
      </text>
    </comment>
    <comment ref="G566" authorId="4" shapeId="0" xr:uid="{2B58991E-DF08-4156-AAE2-D2BE1CBF0BAE}">
      <text>
        <r>
          <rPr>
            <sz val="11"/>
            <color theme="1"/>
            <rFont val="Aptos Narrow"/>
            <family val="2"/>
            <scheme val="minor"/>
          </rPr>
          <t>Unknown User:
MIXER TAP - GOOSE NECK</t>
        </r>
      </text>
    </comment>
    <comment ref="E590" authorId="15" shapeId="0" xr:uid="{02B85A1E-84A7-4B3D-8445-8662D48C4CBF}">
      <text>
        <t>[Threaded comment]
Your version of Excel allows you to read this threaded comment; however, any edits to it will get removed if the file is opened in a newer version of Excel. Learn more: https://go.microsoft.com/fwlink/?linkid=870924
Comment:
    Checked</t>
      </text>
    </comment>
    <comment ref="D600" authorId="4" shapeId="0" xr:uid="{491993E6-8830-46E8-A0F9-09632AABCD0E}">
      <text>
        <r>
          <rPr>
            <sz val="11"/>
            <color theme="1"/>
            <rFont val="Aptos Narrow"/>
            <family val="2"/>
            <scheme val="minor"/>
          </rPr>
          <t>Unknown User:
Job was previously under Quote (Unsuccessful) &amp; plumber waived COF. Estimate emailed again on 18/8</t>
        </r>
      </text>
    </comment>
    <comment ref="G600" authorId="4" shapeId="0" xr:uid="{23190541-D1EB-4269-9485-B4A6B8519A6C}">
      <text>
        <r>
          <rPr>
            <sz val="11"/>
            <color theme="1"/>
            <rFont val="Aptos Narrow"/>
            <family val="2"/>
            <scheme val="minor"/>
          </rPr>
          <t>Unknown User:
ROOF LEAK SEARCH &amp; INVESTIGATION</t>
        </r>
      </text>
    </comment>
    <comment ref="R600" authorId="4" shapeId="0" xr:uid="{2D02C4D8-7EC3-48DB-81C1-C008BB1FE235}">
      <text>
        <r>
          <rPr>
            <sz val="11"/>
            <color theme="1"/>
            <rFont val="Aptos Narrow"/>
            <family val="2"/>
            <scheme val="minor"/>
          </rPr>
          <t>Unknown User:
Invoice not signed</t>
        </r>
      </text>
    </comment>
    <comment ref="S600" authorId="4" shapeId="0" xr:uid="{0CBC29F7-0BE4-48D9-8931-70CE3BD264B6}">
      <text>
        <r>
          <rPr>
            <sz val="11"/>
            <color theme="1"/>
            <rFont val="Aptos Narrow"/>
            <family val="2"/>
            <scheme val="minor"/>
          </rPr>
          <t>Unknown User:
Invoice not signed &amp; emailed</t>
        </r>
      </text>
    </comment>
    <comment ref="G601" authorId="4" shapeId="0" xr:uid="{DBE068E4-C008-4214-93A8-EB575F890088}">
      <text>
        <r>
          <rPr>
            <sz val="11"/>
            <color theme="1"/>
            <rFont val="Aptos Narrow"/>
            <family val="2"/>
            <scheme val="minor"/>
          </rPr>
          <t>Unknown User:
INSTALLATION OF FRIDGE WITHIN 5M OF COLD WATER SUPPLY (CUSTOMER SUPPLIED)
SHOWER DRAINAGE ROUGH IN</t>
        </r>
      </text>
    </comment>
    <comment ref="G602" authorId="4" shapeId="0" xr:uid="{96558AFE-9C5B-4857-888E-70427E3D051E}">
      <text>
        <r>
          <rPr>
            <sz val="11"/>
            <color theme="1"/>
            <rFont val="Aptos Narrow"/>
            <family val="2"/>
            <scheme val="minor"/>
          </rPr>
          <t>Unknown User:
SUPPLY &amp; INSTALLATION OF NEW WATER SUPPLY TO WASHING MACHINE
COMPLETE SERVICE OF WALL TOP TAPS ASSEMBLY</t>
        </r>
      </text>
    </comment>
    <comment ref="G603" authorId="4" shapeId="0" xr:uid="{A7313BDC-9CB6-4B59-8844-B780251940D5}">
      <text>
        <r>
          <rPr>
            <sz val="11"/>
            <color theme="1"/>
            <rFont val="Aptos Narrow"/>
            <family val="2"/>
            <scheme val="minor"/>
          </rPr>
          <t>Unknown User:
MIXER TAP - STANDARD</t>
        </r>
      </text>
    </comment>
    <comment ref="G604" authorId="4" shapeId="0" xr:uid="{2C78D704-AD89-40EF-A334-775D712F715E}">
      <text>
        <r>
          <rPr>
            <sz val="11"/>
            <color theme="1"/>
            <rFont val="Aptos Narrow"/>
            <family val="2"/>
            <scheme val="minor"/>
          </rPr>
          <t>Unknown User:
HIGH POWERED SUCTION PUMP</t>
        </r>
      </text>
    </comment>
    <comment ref="G605" authorId="4" shapeId="0" xr:uid="{68E1024D-6CBB-488D-8050-5B1D5FFD6F3A}">
      <text>
        <r>
          <rPr>
            <sz val="11"/>
            <color theme="1"/>
            <rFont val="Aptos Narrow"/>
            <family val="2"/>
            <scheme val="minor"/>
          </rPr>
          <t>Unknown User:
CONVERT SOLAR CLOSE COUPLED SOLAR HOT WATER SYSTEM TO INSTANTANEOUS HOT WATER SYSTEM</t>
        </r>
      </text>
    </comment>
    <comment ref="L605" authorId="4" shapeId="0" xr:uid="{EECA50C8-7917-4FA0-A8F4-210A07378FD4}">
      <text>
        <r>
          <rPr>
            <sz val="11"/>
            <color theme="1"/>
            <rFont val="Aptos Narrow"/>
            <family val="2"/>
            <scheme val="minor"/>
          </rPr>
          <t>Unknown User:
Temp check not performed</t>
        </r>
      </text>
    </comment>
    <comment ref="T605" authorId="4" shapeId="0" xr:uid="{E9FB24F7-6021-4C9B-A39F-0F36F7F921C4}">
      <text>
        <r>
          <rPr>
            <sz val="11"/>
            <color theme="1"/>
            <rFont val="Aptos Narrow"/>
            <family val="2"/>
            <scheme val="minor"/>
          </rPr>
          <t>Unknown User:
0.5x Jayden</t>
        </r>
      </text>
    </comment>
    <comment ref="V605" authorId="4" shapeId="0" xr:uid="{4525E6A2-43D3-4F25-B8AD-4B2A1CF17802}">
      <text>
        <r>
          <rPr>
            <sz val="11"/>
            <color theme="1"/>
            <rFont val="Aptos Narrow"/>
            <family val="2"/>
            <scheme val="minor"/>
          </rPr>
          <t>Unknown User:
Short receipt by $1</t>
        </r>
      </text>
    </comment>
    <comment ref="G606" authorId="4" shapeId="0" xr:uid="{982C194D-4B8A-4CB0-AFEA-C006D9C9ED33}">
      <text>
        <r>
          <rPr>
            <sz val="11"/>
            <color theme="1"/>
            <rFont val="Aptos Narrow"/>
            <family val="2"/>
            <scheme val="minor"/>
          </rPr>
          <t>Unknown User:
DISCONNECT &amp; DRAIN ELECTRIC STORAGE HWS</t>
        </r>
      </text>
    </comment>
    <comment ref="G607" authorId="4" shapeId="0" xr:uid="{B3338815-B5AE-47F7-83C6-92543B9A4B0F}">
      <text>
        <r>
          <rPr>
            <sz val="11"/>
            <color theme="1"/>
            <rFont val="Aptos Narrow"/>
            <family val="2"/>
            <scheme val="minor"/>
          </rPr>
          <t>Unknown User:
COMPLETE SERVICE OF IN WALL TOILET CISTERN</t>
        </r>
      </text>
    </comment>
    <comment ref="G608" authorId="4" shapeId="0" xr:uid="{0D308B30-6932-45C8-BE0F-ACF82FA697D2}">
      <text>
        <r>
          <rPr>
            <sz val="11"/>
            <color theme="1"/>
            <rFont val="Aptos Narrow"/>
            <family val="2"/>
            <scheme val="minor"/>
          </rPr>
          <t>Unknown User:
SUPPLY &amp; INSTALLATION OF COLD WATER ISOLATION VALVE
SUPPLY AND INSTALLATION OF BALL VALVE ON HOT WATER SYSTEM - 20MM</t>
        </r>
      </text>
    </comment>
    <comment ref="G609" authorId="4" shapeId="0" xr:uid="{EE0456A6-24E5-4A64-888A-3CC03E562744}">
      <text>
        <r>
          <rPr>
            <sz val="11"/>
            <color theme="1"/>
            <rFont val="Aptos Narrow"/>
            <family val="2"/>
            <scheme val="minor"/>
          </rPr>
          <t>Unknown User:
REPLACEMENT OF EXISTING PULL-OUT KITCHEN MIXER (CUSTOMER SUPPLIED)
10% Seniors &amp; Pensioners Discount</t>
        </r>
      </text>
    </comment>
    <comment ref="G610" authorId="4" shapeId="0" xr:uid="{BF81AFBA-8A0C-4EFF-B0D9-46C546043C32}">
      <text>
        <r>
          <rPr>
            <sz val="11"/>
            <color theme="1"/>
            <rFont val="Aptos Narrow"/>
            <family val="2"/>
            <scheme val="minor"/>
          </rPr>
          <t xml:space="preserve">Unknown User:
STORM WATER SPOT RECTIFICATION IN GROUND  
</t>
        </r>
      </text>
    </comment>
    <comment ref="M610" authorId="4" shapeId="0" xr:uid="{C0A39ED7-CA41-4442-9E67-FF9CE4AB40AE}">
      <text>
        <r>
          <rPr>
            <sz val="11"/>
            <color theme="1"/>
            <rFont val="Aptos Narrow"/>
            <family val="2"/>
            <scheme val="minor"/>
          </rPr>
          <t>Unknown User:
Receipt for $429 is not uploaded by plumber, now uploaded by Modoras Team</t>
        </r>
      </text>
    </comment>
    <comment ref="G611" authorId="4" shapeId="0" xr:uid="{F7BDEE9A-A9A7-4B62-9006-FDC12726D8FB}">
      <text>
        <r>
          <rPr>
            <sz val="11"/>
            <color theme="1"/>
            <rFont val="Aptos Narrow"/>
            <family val="2"/>
            <scheme val="minor"/>
          </rPr>
          <t xml:space="preserve">Unknown User:
SEARCH &amp; INVESTIGATION OF GAS STORAGE HOT WATER SYSTEM
</t>
        </r>
      </text>
    </comment>
    <comment ref="S611" authorId="4" shapeId="0" xr:uid="{989EA688-62E0-42AA-B3BC-D792BE54AEEF}">
      <text>
        <r>
          <rPr>
            <sz val="11"/>
            <color theme="1"/>
            <rFont val="Aptos Narrow"/>
            <family val="2"/>
            <scheme val="minor"/>
          </rPr>
          <t>Unknown User:
Final invoice not emailed</t>
        </r>
      </text>
    </comment>
    <comment ref="G612" authorId="4" shapeId="0" xr:uid="{D40EBFCE-5F6B-49F1-A085-D19E86BD8DCC}">
      <text>
        <r>
          <rPr>
            <sz val="11"/>
            <color theme="1"/>
            <rFont val="Aptos Narrow"/>
            <family val="2"/>
            <scheme val="minor"/>
          </rPr>
          <t>Unknown User:
SUPPLY AND INSTALLATION OF TAP TO REPLACE WASHING MACHINE TAP</t>
        </r>
      </text>
    </comment>
    <comment ref="G613" authorId="4" shapeId="0" xr:uid="{0B5DC8C8-5C6E-49D9-89F8-0D6F4D5729B5}">
      <text>
        <r>
          <rPr>
            <sz val="11"/>
            <color theme="1"/>
            <rFont val="Aptos Narrow"/>
            <family val="2"/>
            <scheme val="minor"/>
          </rPr>
          <t>Unknown User:
HIGH POWERED JET BLAST &amp; CCTV DRAIN CAMERA INSPECTION (SEWER SERVICE)
10% Good Will Discount</t>
        </r>
      </text>
    </comment>
    <comment ref="G618" authorId="4" shapeId="0" xr:uid="{AA152AA1-EEB1-4007-8EB9-775ED6C2961A}">
      <text>
        <r>
          <rPr>
            <sz val="11"/>
            <color theme="1"/>
            <rFont val="Aptos Narrow"/>
            <family val="2"/>
            <scheme val="minor"/>
          </rPr>
          <t>Unknown User:
COMPLETE SERVICE OF WALL TOP TAPS ASSEMBLY</t>
        </r>
      </text>
    </comment>
    <comment ref="G619" authorId="4" shapeId="0" xr:uid="{5384CFC6-A4C8-498A-938E-32B57FAD6521}">
      <text>
        <r>
          <rPr>
            <sz val="11"/>
            <color theme="1"/>
            <rFont val="Aptos Narrow"/>
            <family val="2"/>
            <scheme val="minor"/>
          </rPr>
          <t>Unknown User:
CONVERT EXTERNAL GAS STORAGE HOT WATER SYSTEM TO EXTERNAL GAS INSTANTANEOUS HOT WATER SYSTEM
10% Seniors &amp; Pensioners Discount</t>
        </r>
      </text>
    </comment>
    <comment ref="T619" authorId="4" shapeId="0" xr:uid="{15733590-DB46-40E3-B3B0-B266BD5D805B}">
      <text>
        <r>
          <rPr>
            <sz val="11"/>
            <color theme="1"/>
            <rFont val="Aptos Narrow"/>
            <family val="2"/>
            <scheme val="minor"/>
          </rPr>
          <t>Unknown User:
0.5 X Jayden</t>
        </r>
      </text>
    </comment>
    <comment ref="G620" authorId="4" shapeId="0" xr:uid="{22BD21F3-3BA1-4053-8076-2787BE8F0000}">
      <text>
        <r>
          <rPr>
            <sz val="11"/>
            <color theme="1"/>
            <rFont val="Aptos Narrow"/>
            <family val="2"/>
            <scheme val="minor"/>
          </rPr>
          <t>Unknown User:
HIGH POWERED JET BLAST &amp; CCTV DRAIN CAMERA INSPECTION (SEWER SERVICE)</t>
        </r>
      </text>
    </comment>
    <comment ref="G621" authorId="4" shapeId="0" xr:uid="{640F8095-0FD0-4D5F-9FD8-5EDC6B4C0B4D}">
      <text>
        <r>
          <rPr>
            <sz val="11"/>
            <color theme="1"/>
            <rFont val="Aptos Narrow"/>
            <family val="2"/>
            <scheme val="minor"/>
          </rPr>
          <t xml:space="preserve">Unknown User:
SEARCH &amp; INVESTIGATION (GENERAL)
</t>
        </r>
      </text>
    </comment>
    <comment ref="L621" authorId="4" shapeId="0" xr:uid="{9C4E1BFA-5F01-43C4-8697-4C44F8623B0E}">
      <text>
        <r>
          <rPr>
            <sz val="11"/>
            <color theme="1"/>
            <rFont val="Aptos Narrow"/>
            <family val="2"/>
            <scheme val="minor"/>
          </rPr>
          <t xml:space="preserve">Unknown User:
After pics uploaded in job #72570
</t>
        </r>
      </text>
    </comment>
    <comment ref="G625" authorId="4" shapeId="0" xr:uid="{9F73B0E0-F225-4301-9032-F3E83C9AF878}">
      <text>
        <r>
          <rPr>
            <sz val="11"/>
            <color theme="1"/>
            <rFont val="Aptos Narrow"/>
            <family val="2"/>
            <scheme val="minor"/>
          </rPr>
          <t>Unknown User:
SUSPENDED DRAINAGE RECTIFICATION UPTO 13M</t>
        </r>
      </text>
    </comment>
    <comment ref="K625" authorId="4" shapeId="0" xr:uid="{96D86CDC-18F0-4636-9199-C538FAC0A2BD}">
      <text>
        <r>
          <rPr>
            <sz val="11"/>
            <color theme="1"/>
            <rFont val="Aptos Narrow"/>
            <family val="2"/>
            <scheme val="minor"/>
          </rPr>
          <t>Unknown User:
Before photos uploaded in Job #72366</t>
        </r>
      </text>
    </comment>
    <comment ref="N625" authorId="4" shapeId="0" xr:uid="{25E82C73-849A-428E-BCD2-77E546BEB8BD}">
      <text>
        <r>
          <rPr>
            <sz val="11"/>
            <color theme="1"/>
            <rFont val="Aptos Narrow"/>
            <family val="2"/>
            <scheme val="minor"/>
          </rPr>
          <t>Unknown User:
Quote raised in Job #72321</t>
        </r>
      </text>
    </comment>
    <comment ref="P625" authorId="4" shapeId="0" xr:uid="{F653E0E6-B98C-4D4C-99C2-2A8E8930D38D}">
      <text>
        <r>
          <rPr>
            <sz val="11"/>
            <color theme="1"/>
            <rFont val="Aptos Narrow"/>
            <family val="2"/>
            <scheme val="minor"/>
          </rPr>
          <t>Unknown User:
Quote not emailed</t>
        </r>
      </text>
    </comment>
    <comment ref="V625" authorId="4" shapeId="0" xr:uid="{8CB1B758-278C-45B9-9A90-0690DE575626}">
      <text>
        <r>
          <rPr>
            <sz val="11"/>
            <color theme="1"/>
            <rFont val="Aptos Narrow"/>
            <family val="2"/>
            <scheme val="minor"/>
          </rPr>
          <t>Unknown User:
18/8 Received $7000 EFT
19/8 Received $4000 Card
20/8 Received $8000 EFT</t>
        </r>
      </text>
    </comment>
    <comment ref="A628" authorId="5" shapeId="0" xr:uid="{CD6443A1-5373-4F5A-A49E-8DD03F8F31B7}">
      <text>
        <r>
          <rPr>
            <sz val="11"/>
            <color theme="1"/>
            <rFont val="Aptos Narrow"/>
            <family val="2"/>
            <scheme val="minor"/>
          </rPr>
          <t>Accounts | Point Plumbing:
Leak Detect Inv</t>
        </r>
      </text>
    </comment>
    <comment ref="G628" authorId="4" shapeId="0" xr:uid="{19B14DD8-087D-4B68-AA94-655A86D176B4}">
      <text>
        <r>
          <rPr>
            <sz val="11"/>
            <color theme="1"/>
            <rFont val="Aptos Narrow"/>
            <family val="2"/>
            <scheme val="minor"/>
          </rPr>
          <t>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t>
        </r>
      </text>
    </comment>
    <comment ref="G632" authorId="4" shapeId="0" xr:uid="{4CDC029E-FF37-46BC-A072-ABF4A5049C4C}">
      <text>
        <r>
          <rPr>
            <sz val="11"/>
            <color theme="1"/>
            <rFont val="Aptos Narrow"/>
            <family val="2"/>
            <scheme val="minor"/>
          </rPr>
          <t>Unknown User:
SEARCH &amp; INVESTIGATION OF GAS APPLIANCE</t>
        </r>
      </text>
    </comment>
    <comment ref="G636" authorId="4" shapeId="0" xr:uid="{48E914BA-11E8-4F8B-9638-85E7508FD3F4}">
      <text>
        <r>
          <rPr>
            <sz val="11"/>
            <color theme="1"/>
            <rFont val="Aptos Narrow"/>
            <family val="2"/>
            <scheme val="minor"/>
          </rPr>
          <t>Unknown User:
SUPPLY &amp; INSTALLATION OF GAS STORAGE HOT WATER SYSTEM (INTERNAL)
CREDIT OF SEARCH &amp; INVESTIGATION</t>
        </r>
      </text>
    </comment>
    <comment ref="K636" authorId="4" shapeId="0" xr:uid="{28C67608-2FC6-4104-92AE-8A85CCE59B99}">
      <text>
        <r>
          <rPr>
            <sz val="11"/>
            <color theme="1"/>
            <rFont val="Aptos Narrow"/>
            <family val="2"/>
            <scheme val="minor"/>
          </rPr>
          <t>Unknown User:
Before photos uploaded in Job #72518</t>
        </r>
      </text>
    </comment>
    <comment ref="M636" authorId="4" shapeId="0" xr:uid="{CD25CC6D-B80F-427B-8A00-90A0D44B9E8C}">
      <text>
        <r>
          <rPr>
            <sz val="11"/>
            <color theme="1"/>
            <rFont val="Aptos Narrow"/>
            <family val="2"/>
            <scheme val="minor"/>
          </rPr>
          <t>Unknown User:
SmartPay receipt of $498 not uploaded by plumber. Now uploaded by Modoras team.</t>
        </r>
      </text>
    </comment>
    <comment ref="N636" authorId="4" shapeId="0" xr:uid="{59F2598F-DFF0-4CAC-A1A9-ABEE3B54DF9E}">
      <text>
        <r>
          <rPr>
            <sz val="11"/>
            <color theme="1"/>
            <rFont val="Aptos Narrow"/>
            <family val="2"/>
            <scheme val="minor"/>
          </rPr>
          <t>Unknown User:
Quote raised in Job #72518</t>
        </r>
      </text>
    </comment>
    <comment ref="G642" authorId="4" shapeId="0" xr:uid="{D93B5DC8-9F94-41C9-B199-0A6253B1774C}">
      <text>
        <r>
          <rPr>
            <sz val="11"/>
            <color theme="1"/>
            <rFont val="Aptos Narrow"/>
            <family val="2"/>
            <scheme val="minor"/>
          </rPr>
          <t>Unknown User:
TESTING OF RPZ VALVE</t>
        </r>
      </text>
    </comment>
    <comment ref="Q642" authorId="4" shapeId="0" xr:uid="{07DCD595-7FA7-4921-84F8-B98787D4F4B8}">
      <text>
        <r>
          <rPr>
            <sz val="11"/>
            <color theme="1"/>
            <rFont val="Aptos Narrow"/>
            <family val="2"/>
            <scheme val="minor"/>
          </rPr>
          <t>Unknown User:
Final invoice not raised</t>
        </r>
      </text>
    </comment>
    <comment ref="G643" authorId="4" shapeId="0" xr:uid="{5AC0FF18-0C9C-4807-AC1A-F1CB18FC7913}">
      <text>
        <r>
          <rPr>
            <sz val="11"/>
            <color theme="1"/>
            <rFont val="Aptos Narrow"/>
            <family val="2"/>
            <scheme val="minor"/>
          </rPr>
          <t>Unknown User:
REPLACEMENT OF PLUG &amp; WASTE - 40MM
HIGH POWERED SUCTION PUMP</t>
        </r>
      </text>
    </comment>
    <comment ref="L643" authorId="4" shapeId="0" xr:uid="{BBE5CCD3-03DA-48ED-956B-8D2DD162A977}">
      <text>
        <r>
          <rPr>
            <sz val="11"/>
            <color theme="1"/>
            <rFont val="Aptos Narrow"/>
            <family val="2"/>
            <scheme val="minor"/>
          </rPr>
          <t>Unknown User:
High powered suction pump pics not uploaded</t>
        </r>
      </text>
    </comment>
    <comment ref="R643" authorId="4" shapeId="0" xr:uid="{56D42F2B-2E62-4770-9020-AC7134081718}">
      <text>
        <r>
          <rPr>
            <sz val="11"/>
            <color theme="1"/>
            <rFont val="Aptos Narrow"/>
            <family val="2"/>
            <scheme val="minor"/>
          </rPr>
          <t>Unknown User:
Customer not onsite</t>
        </r>
      </text>
    </comment>
    <comment ref="G644" authorId="4" shapeId="0" xr:uid="{523872F2-62D1-4951-8EA7-7C38C8655C36}">
      <text>
        <r>
          <rPr>
            <sz val="11"/>
            <color theme="1"/>
            <rFont val="Aptos Narrow"/>
            <family val="2"/>
            <scheme val="minor"/>
          </rPr>
          <t xml:space="preserve">Unknown User:
WATER SERVICE RECTIFICATION (IN WALL)
</t>
        </r>
      </text>
    </comment>
    <comment ref="G645" authorId="4" shapeId="0" xr:uid="{DA262376-5295-464E-B8EF-0376EA1CA3D9}">
      <text>
        <r>
          <rPr>
            <sz val="11"/>
            <color theme="1"/>
            <rFont val="Aptos Narrow"/>
            <family val="2"/>
            <scheme val="minor"/>
          </rPr>
          <t xml:space="preserve">Unknown User:
SUPPLY &amp; INSTALLATION OF ELECTRIC INSTANTANEOUS HOT WATER SYSTEM (SINGLE PHASE)
</t>
        </r>
      </text>
    </comment>
    <comment ref="G650" authorId="4" shapeId="0" xr:uid="{D081FE63-103A-4C9B-9351-C10527F7F758}">
      <text>
        <r>
          <rPr>
            <sz val="11"/>
            <color theme="1"/>
            <rFont val="Aptos Narrow"/>
            <family val="2"/>
            <scheme val="minor"/>
          </rPr>
          <t xml:space="preserve">Unknown User:
WATER SERVICE RECTIFICATION (IN WALL)
Isolate water supply to property
Set up safe working area
Mark out required location
Diamond grind wall 
Jackhammer and removal of section of wall 
Gain access to damaged water service in wall
Expose existing section of damaged water service in wall
Cut &amp; removal of existing damaged water service
Clean existing water service
Prepare existing water service for new connections
Flush out water service free of potential debris
Supply &amp; install new section of new water service up to 1.5M
Supply &amp; install new Press fittings
Connect new section of water service to existing water service
Use of specialist hydraulic crimping tool
Crimp new section of water service
Reinstate water supply
Conduct pressure test on water service to ensure no further leaks
Lag new service in wall 
Supply and install new wall mortar and bedding to worked area 
Water proof worked area 
Installation of new wall tiles in worked area 
Supply and installation of new grouting in worked area 
Removal of trade waste
Test &amp; commission installation
Please note. If further works are required, additional costs will apply. If exact tiles cannot be matched, closest option will be provided and agreed by customer. </t>
        </r>
      </text>
    </comment>
    <comment ref="N650" authorId="4" shapeId="0" xr:uid="{033FFC48-3D46-485C-9449-24B01EACD7A5}">
      <text>
        <r>
          <rPr>
            <sz val="11"/>
            <color theme="1"/>
            <rFont val="Aptos Narrow"/>
            <family val="2"/>
            <scheme val="minor"/>
          </rPr>
          <t>Unknown User:
Quote raised in job #71735</t>
        </r>
      </text>
    </comment>
    <comment ref="U650" authorId="4" shapeId="0" xr:uid="{7599416E-B6AD-4069-80C6-2F961F45A023}">
      <text>
        <r>
          <rPr>
            <sz val="11"/>
            <color theme="1"/>
            <rFont val="Aptos Narrow"/>
            <family val="2"/>
            <scheme val="minor"/>
          </rPr>
          <t>Unknown User:
28/07-As per Will's note "Asked for a leak report, I said we can send plumbers findings, I told her to ask the plumber for more information on that. I will let dispatch know too"</t>
        </r>
      </text>
    </comment>
    <comment ref="G654" authorId="4" shapeId="0" xr:uid="{D8617FE4-68E8-4906-B7E7-20D4DEB80BAB}">
      <text>
        <r>
          <rPr>
            <sz val="11"/>
            <color theme="1"/>
            <rFont val="Aptos Narrow"/>
            <family val="2"/>
            <scheme val="minor"/>
          </rPr>
          <t xml:space="preserve">Unknown User:
SECTION OF RE ROOF UP TO 70m2
</t>
        </r>
      </text>
    </comment>
    <comment ref="G656" authorId="4" shapeId="0" xr:uid="{69675EAC-3D14-4BD3-8099-FE8D48CC6021}">
      <text>
        <r>
          <rPr>
            <sz val="11"/>
            <color theme="1"/>
            <rFont val="Aptos Narrow"/>
            <family val="2"/>
            <scheme val="minor"/>
          </rPr>
          <t xml:space="preserve">Unknown User:
INSTALLATION OF NEW FREE-STANDING VANITY 900MM (CUSTOMER SUPPLIED)
</t>
        </r>
      </text>
    </comment>
    <comment ref="G657" authorId="4" shapeId="0" xr:uid="{DF9F9D56-4B4B-4D4F-BE37-C58DD8D6E50D}">
      <text>
        <r>
          <rPr>
            <sz val="11"/>
            <color theme="1"/>
            <rFont val="Aptos Narrow"/>
            <family val="2"/>
            <scheme val="minor"/>
          </rPr>
          <t>Unknown User:
SEWER SPOT DIG - (UNDER PAVERS)</t>
        </r>
      </text>
    </comment>
    <comment ref="G658" authorId="4" shapeId="0" xr:uid="{20AECCAC-F61C-4631-92D5-AB2DDD4D04D1}">
      <text>
        <r>
          <rPr>
            <sz val="11"/>
            <color theme="1"/>
            <rFont val="Aptos Narrow"/>
            <family val="2"/>
            <scheme val="minor"/>
          </rPr>
          <t>Unknown User:
HIGH POWERED JET BLAST &amp; CCTV CAMERA INSPECTION (GAIN ACCESS WITH REMOVAL OF TOILET)</t>
        </r>
      </text>
    </comment>
    <comment ref="G660" authorId="4" shapeId="0" xr:uid="{DACDB84F-8510-4B82-84F7-72E04150F7FC}">
      <text>
        <r>
          <rPr>
            <sz val="11"/>
            <color theme="1"/>
            <rFont val="Aptos Narrow"/>
            <family val="2"/>
            <scheme val="minor"/>
          </rPr>
          <t>Unknown User:
SUPPLY &amp; INSTALLATION OF NEW WALL FACED TOILET SUITE
10% Seniors &amp; Pensioners Discount</t>
        </r>
      </text>
    </comment>
    <comment ref="U661" authorId="4" shapeId="0" xr:uid="{F3B55D9F-096B-4F63-8A0C-857DDBF15CAF}">
      <text>
        <r>
          <rPr>
            <sz val="11"/>
            <color theme="1"/>
            <rFont val="Aptos Narrow"/>
            <family val="2"/>
            <scheme val="minor"/>
          </rPr>
          <t>Unknown User:
19/8-As per Shaun's note "Literally a non issue, entire house built 3 years ago and customer is under warranty builder called and confirmed while I was in transit between jobs, I was 40 minutes away when I courtesy called due to being so late and in the mean time, her builder got back to her
When I arrived, I advised on what was needed, she said nothing required from us and apologised for wasting my time, said she “seen my name on the reviews and wanted to contribute as I was very insightful and obviously knowledgeable, and wanted to give back considering the COF was being waived” '</t>
        </r>
      </text>
    </comment>
    <comment ref="G663" authorId="4" shapeId="0" xr:uid="{5663A4F3-182D-42D7-9F28-5227667ADBC3}">
      <text>
        <r>
          <rPr>
            <sz val="11"/>
            <color theme="1"/>
            <rFont val="Aptos Narrow"/>
            <family val="2"/>
            <scheme val="minor"/>
          </rPr>
          <t>Unknown User:
REPLACEMENT OF EXISTING GOOSE NECK KITCHEN MIXER (CUSTOMER SUPPLIED)</t>
        </r>
      </text>
    </comment>
    <comment ref="G664" authorId="4" shapeId="0" xr:uid="{9AAA970E-AEF2-4140-BC6E-7FF599933EB9}">
      <text>
        <r>
          <rPr>
            <sz val="11"/>
            <color theme="1"/>
            <rFont val="Aptos Narrow"/>
            <family val="2"/>
            <scheme val="minor"/>
          </rPr>
          <t xml:space="preserve">Unknown User:
SPECIALIST LEAK DETECTION (WATER SERVICE)
</t>
        </r>
      </text>
    </comment>
    <comment ref="G665" authorId="4" shapeId="0" xr:uid="{9ACBBBA5-E49B-467B-B8A3-19B04B420746}">
      <text>
        <r>
          <rPr>
            <sz val="11"/>
            <color theme="1"/>
            <rFont val="Aptos Narrow"/>
            <family val="2"/>
            <scheme val="minor"/>
          </rPr>
          <t xml:space="preserve">Unknown User:
SEARCH AND INVESTIGATION OF ELECTRIC STORAGE HOT WATER SYSTEM
</t>
        </r>
      </text>
    </comment>
    <comment ref="G666" authorId="4" shapeId="0" xr:uid="{7DADC16F-91C3-45A6-8351-FF4B3C6A6A13}">
      <text>
        <r>
          <rPr>
            <sz val="11"/>
            <color theme="1"/>
            <rFont val="Aptos Narrow"/>
            <family val="2"/>
            <scheme val="minor"/>
          </rPr>
          <t xml:space="preserve">Unknown User:
CONVERSION OF GRAVITY HOT WATER UNIT TO EXTERNAL ELECTRIC STORAGE TANK
</t>
        </r>
      </text>
    </comment>
    <comment ref="G667" authorId="4" shapeId="0" xr:uid="{615CCF6F-6680-49E2-AB89-22BDC8F272E5}">
      <text>
        <r>
          <rPr>
            <sz val="11"/>
            <color theme="1"/>
            <rFont val="Aptos Narrow"/>
            <family val="2"/>
            <scheme val="minor"/>
          </rPr>
          <t xml:space="preserve">Unknown User:
SEARCH &amp; INVESTIGATION (GENERAL)
</t>
        </r>
      </text>
    </comment>
    <comment ref="G668" authorId="4" shapeId="0" xr:uid="{CE7FFF8B-E1A3-4D5B-B1D0-17751392587A}">
      <text>
        <r>
          <rPr>
            <sz val="11"/>
            <color theme="1"/>
            <rFont val="Aptos Narrow"/>
            <family val="2"/>
            <scheme val="minor"/>
          </rPr>
          <t>Unknown User:
INSTALLATION OF GAS COOKTOP [SAME LOCATION] (CUSTOMER SUPPLIED)
INSTALLATION OF NEW WASHING MACHINE (CUSTOMER SUPPLIED)
INSTALLATION OF DISHWASHER [SAME LOCATION] (CUSTOMER SUPPLIED)
INSTALLATION OF NEW DOUBLE BOWL KITCHEN SINK (CUSTOMER SUPPLIED)
INSTALLATION OF NEW SINGLE BOWL KITCHEN SINK (CUSTOMER SUPPLIED)
REPLACEMENT OF EXISTING GOOSE NECK KITCHEN MIXER (CUSTOMER SUPPLIED)
10% Seniors &amp; Pensioners Discount</t>
        </r>
      </text>
    </comment>
    <comment ref="G670" authorId="4" shapeId="0" xr:uid="{289B7EB2-B15B-4DA4-9A5F-047A08BCE90C}">
      <text>
        <r>
          <rPr>
            <sz val="11"/>
            <color theme="1"/>
            <rFont val="Aptos Narrow"/>
            <family val="2"/>
            <scheme val="minor"/>
          </rPr>
          <t>Unknown User:
SUPPLY AND INSTALLATION OF T&amp;PR VALVE (15MM)</t>
        </r>
      </text>
    </comment>
    <comment ref="G671" authorId="4" shapeId="0" xr:uid="{8AE0D8E4-8298-4FD6-9E2E-3177BE2C83BF}">
      <text>
        <r>
          <rPr>
            <sz val="11"/>
            <color theme="1"/>
            <rFont val="Aptos Narrow"/>
            <family val="2"/>
            <scheme val="minor"/>
          </rPr>
          <t xml:space="preserve">Unknown User:
REPLACEMENT OF EXISTING OVERFLOW GULLY &amp; SECTION OF MAIN SEWER SERVICE (UNDER PAVERS)
CONTINUATION OF WORKS DISCOUNT 
5% Good Will Discount
</t>
        </r>
      </text>
    </comment>
    <comment ref="G675" authorId="4" shapeId="0" xr:uid="{B31C3600-3FB5-472F-B383-E7D4935B6023}">
      <text>
        <r>
          <rPr>
            <sz val="11"/>
            <color theme="1"/>
            <rFont val="Aptos Narrow"/>
            <family val="2"/>
            <scheme val="minor"/>
          </rPr>
          <t>Unknown User:
SEWER SPOT DIG (UNDER CONCRETE)</t>
        </r>
      </text>
    </comment>
    <comment ref="G676" authorId="4" shapeId="0" xr:uid="{EC558898-101B-445B-81AE-90C94FABAAA2}">
      <text>
        <r>
          <rPr>
            <sz val="11"/>
            <color theme="1"/>
            <rFont val="Aptos Narrow"/>
            <family val="2"/>
            <scheme val="minor"/>
          </rPr>
          <t>Unknown User:
WATER SERVICE RECTIFICATION (UNDER PAVERS)
CREDIT OF SEARCH &amp; INVESTIGATION</t>
        </r>
      </text>
    </comment>
    <comment ref="N676" authorId="4" shapeId="0" xr:uid="{0C8E92AE-6150-46D1-921C-919A01883CD0}">
      <text>
        <r>
          <rPr>
            <sz val="11"/>
            <color theme="1"/>
            <rFont val="Aptos Narrow"/>
            <family val="2"/>
            <scheme val="minor"/>
          </rPr>
          <t>Unknown User:
Quote raised in Job #72565</t>
        </r>
      </text>
    </comment>
    <comment ref="E697" authorId="16" shapeId="0" xr:uid="{77502BAF-4725-4AA1-92F8-C094226BCF00}">
      <text>
        <t>[Threaded comment]
Your version of Excel allows you to read this threaded comment; however, any edits to it will get removed if the file is opened in a newer version of Excel. Learn more: https://go.microsoft.com/fwlink/?linkid=870924
Comment:
    Checked</t>
      </text>
    </comment>
    <comment ref="E698" authorId="17" shapeId="0" xr:uid="{141D7476-5802-4E75-B41B-C3CC547C03D7}">
      <text>
        <t>[Threaded comment]
Your version of Excel allows you to read this threaded comment; however, any edits to it will get removed if the file is opened in a newer version of Excel. Learn more: https://go.microsoft.com/fwlink/?linkid=870924
Comment:
    Checked</t>
      </text>
    </comment>
    <comment ref="G708" authorId="4" shapeId="0" xr:uid="{9D7DA192-8F2B-4A79-A30E-56BBF92CFC38}">
      <text>
        <r>
          <rPr>
            <sz val="11"/>
            <color theme="1"/>
            <rFont val="Aptos Narrow"/>
            <family val="2"/>
            <scheme val="minor"/>
          </rPr>
          <t>Unknown User:
HIGH POWERED JET BLAST &amp; CCTV DRAIN CAMERA INSPECTION (SEWER SERVICE)
10% Seniors &amp; Pensioners Discount</t>
        </r>
      </text>
    </comment>
    <comment ref="G709" authorId="4" shapeId="0" xr:uid="{EEB6E081-D16B-4F5C-A6D3-C4474B169878}">
      <text>
        <r>
          <rPr>
            <sz val="11"/>
            <color theme="1"/>
            <rFont val="Aptos Narrow"/>
            <family val="2"/>
            <scheme val="minor"/>
          </rPr>
          <t>Unknown User:
SEARCH &amp; INVESTIGATION OF GAS STORAGE HOT WATER SYSTEM</t>
        </r>
      </text>
    </comment>
    <comment ref="M709" authorId="4" shapeId="0" xr:uid="{61945184-05F3-4E0A-B517-539819212091}">
      <text>
        <r>
          <rPr>
            <sz val="11"/>
            <color theme="1"/>
            <rFont val="Aptos Narrow"/>
            <family val="2"/>
            <scheme val="minor"/>
          </rPr>
          <t>Unknown User:
Smartpay receipt of $749.10 not uploaded by plumber.
Uploaded by Modoras team.</t>
        </r>
      </text>
    </comment>
    <comment ref="G710" authorId="4" shapeId="0" xr:uid="{42A26486-8A74-4520-A176-63D9A0A7003A}">
      <text>
        <r>
          <rPr>
            <sz val="11"/>
            <color theme="1"/>
            <rFont val="Aptos Narrow"/>
            <family val="2"/>
            <scheme val="minor"/>
          </rPr>
          <t>Unknown User:
SUPPLY &amp; INSTALLATION OF NEW SHOWER WALL TOP TAPS</t>
        </r>
      </text>
    </comment>
    <comment ref="G711" authorId="4" shapeId="0" xr:uid="{D4BD9E0A-B274-48D5-A58D-4194AF837DF0}">
      <text>
        <r>
          <rPr>
            <sz val="11"/>
            <color theme="1"/>
            <rFont val="Aptos Narrow"/>
            <family val="2"/>
            <scheme val="minor"/>
          </rPr>
          <t>Unknown User:
WATER SERVICE RECTIFICATION (EXPOSED)</t>
        </r>
      </text>
    </comment>
    <comment ref="G712" authorId="4" shapeId="0" xr:uid="{B76F63A1-3BCE-4990-9AD5-C2BF53426E79}">
      <text>
        <r>
          <rPr>
            <sz val="11"/>
            <color theme="1"/>
            <rFont val="Aptos Narrow"/>
            <family val="2"/>
            <scheme val="minor"/>
          </rPr>
          <t>Unknown User:
WATER SERVICE RECTIFICATION (IN GROUND)
10% Seniors &amp; Pensioners Discount</t>
        </r>
      </text>
    </comment>
    <comment ref="M712" authorId="4" shapeId="0" xr:uid="{EBF26A8C-FB29-49C2-ADAC-67AFDFB877A6}">
      <text>
        <r>
          <rPr>
            <sz val="11"/>
            <color theme="1"/>
            <rFont val="Aptos Narrow"/>
            <family val="2"/>
            <scheme val="minor"/>
          </rPr>
          <t>Unknown User:
Smartpay receipt of $2238.39 not uploaded by plumber.
Uploaded by Modoras team.</t>
        </r>
      </text>
    </comment>
    <comment ref="G713" authorId="4" shapeId="0" xr:uid="{A611639B-F53A-485E-93BF-99311FE63820}">
      <text>
        <r>
          <rPr>
            <sz val="11"/>
            <color theme="1"/>
            <rFont val="Aptos Narrow"/>
            <family val="2"/>
            <scheme val="minor"/>
          </rPr>
          <t xml:space="preserve">Unknown User:
REPLACEMENT OF EXISTING GOOSE NECK KITCHEN MIXER
10% Seniors &amp; Pensioners Discount </t>
        </r>
      </text>
    </comment>
    <comment ref="O713" authorId="4" shapeId="0" xr:uid="{91D42898-E217-4051-B437-D95624B77841}">
      <text>
        <r>
          <rPr>
            <sz val="11"/>
            <color theme="1"/>
            <rFont val="Aptos Narrow"/>
            <family val="2"/>
            <scheme val="minor"/>
          </rPr>
          <t>Unknown User:
Uploaded in Job #72650</t>
        </r>
      </text>
    </comment>
    <comment ref="G714" authorId="4" shapeId="0" xr:uid="{A2A67C61-0FFE-48A8-A8C9-0C837C730AEA}">
      <text>
        <r>
          <rPr>
            <sz val="11"/>
            <color theme="1"/>
            <rFont val="Aptos Narrow"/>
            <family val="2"/>
            <scheme val="minor"/>
          </rPr>
          <t xml:space="preserve">Unknown User:
HIGH POWERED SUCTION &amp; ACID TREATMENT
</t>
        </r>
      </text>
    </comment>
    <comment ref="L714" authorId="4" shapeId="0" xr:uid="{FA9D90DD-C387-415D-A46C-5E88CDD71AE9}">
      <text>
        <r>
          <rPr>
            <sz val="11"/>
            <color theme="1"/>
            <rFont val="Aptos Narrow"/>
            <family val="2"/>
            <scheme val="minor"/>
          </rPr>
          <t>Unknown User:
Suction pump &amp; Acid treatment pics aren't uploaded.</t>
        </r>
      </text>
    </comment>
    <comment ref="W714" authorId="4" shapeId="0" xr:uid="{99B30FA2-51EE-4C97-BE6E-65B52F28F39C}">
      <text>
        <r>
          <rPr>
            <sz val="11"/>
            <color theme="1"/>
            <rFont val="Aptos Narrow"/>
            <family val="2"/>
            <scheme val="minor"/>
          </rPr>
          <t>Unknown User:
Cash denomination
$50*18=$900</t>
        </r>
      </text>
    </comment>
    <comment ref="G715" authorId="4" shapeId="0" xr:uid="{2996C3A7-6983-4310-A02D-D47AE9734FAA}">
      <text>
        <r>
          <rPr>
            <sz val="11"/>
            <color theme="1"/>
            <rFont val="Aptos Narrow"/>
            <family val="2"/>
            <scheme val="minor"/>
          </rPr>
          <t>Unknown User:
CONVERT EXTERNAL GAS STORAGE HOT WATER SYSTEM TO EXTERNAL GAS INSTANTANEOUS HOT WATER SYSTEM</t>
        </r>
      </text>
    </comment>
    <comment ref="G716" authorId="4" shapeId="0" xr:uid="{1F401A0B-B668-49A6-B01C-AFD4D8552D24}">
      <text>
        <r>
          <rPr>
            <sz val="11"/>
            <color theme="1"/>
            <rFont val="Aptos Narrow"/>
            <family val="2"/>
            <scheme val="minor"/>
          </rPr>
          <t>Unknown User:
REPLACEMENT OF PLUG &amp; WASTE - 40MM</t>
        </r>
      </text>
    </comment>
    <comment ref="G717" authorId="4" shapeId="0" xr:uid="{17975A27-1B78-4795-8B89-30238E78F1AB}">
      <text>
        <r>
          <rPr>
            <sz val="11"/>
            <color theme="1"/>
            <rFont val="Aptos Narrow"/>
            <family val="2"/>
            <scheme val="minor"/>
          </rPr>
          <t>Unknown User:
INSTALLATION OF NEW WALL FACED TOILET SUITE (CUSTOMER SUPPLIED)</t>
        </r>
      </text>
    </comment>
    <comment ref="M717" authorId="4" shapeId="0" xr:uid="{A5F89073-8456-431D-B217-D5BF0179CBB4}">
      <text>
        <r>
          <rPr>
            <sz val="11"/>
            <color theme="1"/>
            <rFont val="Aptos Narrow"/>
            <family val="2"/>
            <scheme val="minor"/>
          </rPr>
          <t>Unknown User:
Smartpay receipt of $299 not uploaded by plumber.
Uploaded by Modoras team.</t>
        </r>
      </text>
    </comment>
    <comment ref="G718" authorId="4" shapeId="0" xr:uid="{E701F8E5-0D0C-4C61-8BAE-F7C11872115A}">
      <text>
        <r>
          <rPr>
            <sz val="11"/>
            <color theme="1"/>
            <rFont val="Aptos Narrow"/>
            <family val="2"/>
            <scheme val="minor"/>
          </rPr>
          <t xml:space="preserve">Unknown User:
HIGH POWERED SUCTION PUMP
</t>
        </r>
      </text>
    </comment>
    <comment ref="G724" authorId="4" shapeId="0" xr:uid="{F6A97F6A-60F7-45FC-9833-8A44C7226FC5}">
      <text>
        <r>
          <rPr>
            <sz val="11"/>
            <color theme="1"/>
            <rFont val="Aptos Narrow"/>
            <family val="2"/>
            <scheme val="minor"/>
          </rPr>
          <t xml:space="preserve">Unknown User:
WATER SERVICE RECTIFICATION (IN WALL)
</t>
        </r>
      </text>
    </comment>
    <comment ref="G725" authorId="4" shapeId="0" xr:uid="{1C9A920B-7D73-48AC-A986-1CA07DD1BEB2}">
      <text>
        <r>
          <rPr>
            <sz val="11"/>
            <color theme="1"/>
            <rFont val="Aptos Narrow"/>
            <family val="2"/>
            <scheme val="minor"/>
          </rPr>
          <t>Unknown User:
SUPPLY &amp; INSTALLATION OF GAS STORAGE HOT WATER SYSTEM (INTERNAL)
CREDIT OF SEARCH &amp; INVESTIGATION</t>
        </r>
      </text>
    </comment>
    <comment ref="K725" authorId="4" shapeId="0" xr:uid="{3EBD5C6E-DAE8-4418-B697-D0D5301F8E37}">
      <text>
        <r>
          <rPr>
            <sz val="11"/>
            <color theme="1"/>
            <rFont val="Aptos Narrow"/>
            <family val="2"/>
            <scheme val="minor"/>
          </rPr>
          <t>Unknown User:
Before photos uploaded in Job #72518</t>
        </r>
      </text>
    </comment>
    <comment ref="M725" authorId="4" shapeId="0" xr:uid="{06427E4C-B907-499D-A4AA-C7BE034DBBCE}">
      <text>
        <r>
          <rPr>
            <sz val="11"/>
            <color theme="1"/>
            <rFont val="Aptos Narrow"/>
            <family val="2"/>
            <scheme val="minor"/>
          </rPr>
          <t>Unknown User:
SmartPay receipt of $498 not uploaded by plumber. Now uploaded by Modoras team.</t>
        </r>
      </text>
    </comment>
    <comment ref="N725" authorId="4" shapeId="0" xr:uid="{2B8B1779-5A50-44C0-8E94-0C3D173F72EF}">
      <text>
        <r>
          <rPr>
            <sz val="11"/>
            <color theme="1"/>
            <rFont val="Aptos Narrow"/>
            <family val="2"/>
            <scheme val="minor"/>
          </rPr>
          <t>Unknown User:
Quote raised in Job #72518</t>
        </r>
      </text>
    </comment>
    <comment ref="U725" authorId="4" shapeId="0" xr:uid="{C0B14E9A-2095-4B2A-805E-E937E6F32691}">
      <text>
        <r>
          <rPr>
            <sz val="11"/>
            <color theme="1"/>
            <rFont val="Aptos Narrow"/>
            <family val="2"/>
            <scheme val="minor"/>
          </rPr>
          <t>Unknown User:
25/8-Receipt of $749.10 pertaining to 21/8 added. Overpayment of $160.80 observed.</t>
        </r>
      </text>
    </comment>
    <comment ref="G729" authorId="4" shapeId="0" xr:uid="{8C7852EE-9E25-407F-9333-EE31DF28118E}">
      <text>
        <r>
          <rPr>
            <sz val="11"/>
            <color theme="1"/>
            <rFont val="Aptos Narrow"/>
            <family val="2"/>
            <scheme val="minor"/>
          </rPr>
          <t>Unknown User:
SEWER SPOT DIG (UNDER CONCRETE)
CREDIT HIGH POWERED JETBLAST &amp; CCTV CAMERA
10% Seniors &amp; Pensioners Discount</t>
        </r>
      </text>
    </comment>
    <comment ref="T729" authorId="4" shapeId="0" xr:uid="{F6DADFCA-0CD9-45B9-96CF-BE4CAFA244EB}">
      <text>
        <r>
          <rPr>
            <sz val="11"/>
            <color theme="1"/>
            <rFont val="Aptos Narrow"/>
            <family val="2"/>
            <scheme val="minor"/>
          </rPr>
          <t>Unknown User:
Shaun,Jayden,Tolga,Alex</t>
        </r>
      </text>
    </comment>
    <comment ref="G734" authorId="4" shapeId="0" xr:uid="{F560A3EC-4B22-459E-93EE-9B5BC07114C9}">
      <text>
        <r>
          <rPr>
            <sz val="11"/>
            <color theme="1"/>
            <rFont val="Aptos Narrow"/>
            <family val="2"/>
            <scheme val="minor"/>
          </rPr>
          <t>Unknown User:
TESTING OF RPZ VALVE</t>
        </r>
      </text>
    </comment>
    <comment ref="Q734" authorId="4" shapeId="0" xr:uid="{19434AAB-21F7-4AE5-AF3C-469075071A8E}">
      <text>
        <r>
          <rPr>
            <sz val="11"/>
            <color theme="1"/>
            <rFont val="Aptos Narrow"/>
            <family val="2"/>
            <scheme val="minor"/>
          </rPr>
          <t>Unknown User:
Final invoice not raised</t>
        </r>
      </text>
    </comment>
    <comment ref="G735" authorId="4" shapeId="0" xr:uid="{11FD73C2-CBFF-4B2F-AB13-F6EC7691E513}">
      <text>
        <r>
          <rPr>
            <sz val="11"/>
            <color theme="1"/>
            <rFont val="Aptos Narrow"/>
            <family val="2"/>
            <scheme val="minor"/>
          </rPr>
          <t>Unknown User:
REPLACEMENT OF PLUG &amp; WASTE - 40MM
HIGH POWERED SUCTION PUMP</t>
        </r>
      </text>
    </comment>
    <comment ref="L735" authorId="4" shapeId="0" xr:uid="{8FD6B3DF-B22F-4053-8957-4FBF5DC78B18}">
      <text>
        <r>
          <rPr>
            <sz val="11"/>
            <color theme="1"/>
            <rFont val="Aptos Narrow"/>
            <family val="2"/>
            <scheme val="minor"/>
          </rPr>
          <t>Unknown User:
High powered suction pump pics not uploaded</t>
        </r>
      </text>
    </comment>
    <comment ref="R735" authorId="4" shapeId="0" xr:uid="{696564E7-87FF-4277-A0A9-D36638FA10DF}">
      <text>
        <r>
          <rPr>
            <sz val="11"/>
            <color theme="1"/>
            <rFont val="Aptos Narrow"/>
            <family val="2"/>
            <scheme val="minor"/>
          </rPr>
          <t>Unknown User:
Customer not onsite</t>
        </r>
      </text>
    </comment>
    <comment ref="G736" authorId="4" shapeId="0" xr:uid="{F0A56ACC-C4A2-48A0-9F15-CE86EF4451F3}">
      <text>
        <r>
          <rPr>
            <sz val="11"/>
            <color theme="1"/>
            <rFont val="Aptos Narrow"/>
            <family val="2"/>
            <scheme val="minor"/>
          </rPr>
          <t xml:space="preserve">Unknown User:
SUPPLY &amp; INSTALLATION OF ELECTRIC INSTANTANEOUS HOT WATER SYSTEM (SINGLE PHASE)
</t>
        </r>
      </text>
    </comment>
    <comment ref="A737" authorId="18" shapeId="0" xr:uid="{15611C7D-535C-4A07-83E4-064CD9FC24AC}">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G737" authorId="4" shapeId="0" xr:uid="{3A74A4CD-CD04-4076-B1AE-8130A4845D18}">
      <text>
        <r>
          <rPr>
            <sz val="11"/>
            <color theme="1"/>
            <rFont val="Aptos Narrow"/>
            <family val="2"/>
            <scheme val="minor"/>
          </rPr>
          <t>Unknown User:
SEARCH &amp; INVESTIGATION OF GAS APPLIANCE</t>
        </r>
      </text>
    </comment>
    <comment ref="G742" authorId="4" shapeId="0" xr:uid="{794BB316-EC3A-43D7-A0DE-A577180D1733}">
      <text>
        <r>
          <rPr>
            <sz val="11"/>
            <color theme="1"/>
            <rFont val="Aptos Narrow"/>
            <family val="2"/>
            <scheme val="minor"/>
          </rPr>
          <t xml:space="preserve">Unknown User:
WATER SERVICE RECTIFICATION (IN WALL)
Isolate water supply to property
Set up safe working area
Mark out required location
Diamond grind wall 
Jackhammer and removal of section of wall 
Gain access to damaged water service in wall
Expose existing section of damaged water service in wall
Cut &amp; removal of existing damaged water service
Clean existing water service
Prepare existing water service for new connections
Flush out water service free of potential debris
Supply &amp; install new section of new water service up to 1.5M
Supply &amp; install new Press fittings
Connect new section of water service to existing water service
Use of specialist hydraulic crimping tool
Crimp new section of water service
Reinstate water supply
Conduct pressure test on water service to ensure no further leaks
Lag new service in wall 
Supply and install new wall mortar and bedding to worked area 
Water proof worked area 
Installation of new wall tiles in worked area 
Supply and installation of new grouting in worked area 
Removal of trade waste
Test &amp; commission installation
Please note. If further works are required, additional costs will apply. If exact tiles cannot be matched, closest option will be provided and agreed by customer. </t>
        </r>
      </text>
    </comment>
    <comment ref="N742" authorId="4" shapeId="0" xr:uid="{48689CE6-EF6B-4FD4-9DEF-BB63E49E2E93}">
      <text>
        <r>
          <rPr>
            <sz val="11"/>
            <color theme="1"/>
            <rFont val="Aptos Narrow"/>
            <family val="2"/>
            <scheme val="minor"/>
          </rPr>
          <t>Unknown User:
Quote raised in job #71735</t>
        </r>
      </text>
    </comment>
    <comment ref="U742" authorId="4" shapeId="0" xr:uid="{99C62A89-637B-4DA1-8725-2402E0377DB2}">
      <text>
        <r>
          <rPr>
            <sz val="11"/>
            <color theme="1"/>
            <rFont val="Aptos Narrow"/>
            <family val="2"/>
            <scheme val="minor"/>
          </rPr>
          <t>Unknown User:
28/07-As per Will's note "Asked for a leak report, I said we can send plumbers findings, I told her to ask the plumber for more information on that. I will let dispatch know too"</t>
        </r>
      </text>
    </comment>
    <comment ref="G746" authorId="4" shapeId="0" xr:uid="{E098F69A-6994-447B-A01D-25B5423AAA0C}">
      <text>
        <r>
          <rPr>
            <sz val="11"/>
            <color theme="1"/>
            <rFont val="Aptos Narrow"/>
            <family val="2"/>
            <scheme val="minor"/>
          </rPr>
          <t>Unknown User:
SEARCH &amp; INVESTIGATION OF GAS APPLIANCE</t>
        </r>
      </text>
    </comment>
    <comment ref="G749" authorId="4" shapeId="0" xr:uid="{AECEB1A8-2D3A-4A47-A52D-9F1FCA961CDB}">
      <text>
        <r>
          <rPr>
            <sz val="11"/>
            <color theme="1"/>
            <rFont val="Aptos Narrow"/>
            <family val="2"/>
            <scheme val="minor"/>
          </rPr>
          <t xml:space="preserve">Unknown User:
SERVICE &amp; PUMP OUT OF GREASE TANK 
</t>
        </r>
      </text>
    </comment>
    <comment ref="G750" authorId="4" shapeId="0" xr:uid="{533AFDCC-8A74-4D86-913D-82286EFA8745}">
      <text>
        <r>
          <rPr>
            <sz val="11"/>
            <color theme="1"/>
            <rFont val="Aptos Narrow"/>
            <family val="2"/>
            <scheme val="minor"/>
          </rPr>
          <t>Unknown User:
SUPPLY &amp; INSTALLATION OF GAS STORAGE HOT WATER SYSTEM (EXTERNAL)
RECTIFICATION OF IN WALL SHOWER BREACH</t>
        </r>
      </text>
    </comment>
    <comment ref="G751" authorId="4" shapeId="0" xr:uid="{71FDAF5A-4D04-4D1D-91E1-215674815C48}">
      <text>
        <r>
          <rPr>
            <sz val="11"/>
            <color theme="1"/>
            <rFont val="Aptos Narrow"/>
            <family val="2"/>
            <scheme val="minor"/>
          </rPr>
          <t xml:space="preserve">Unknown User:
SEARCH AND INVESTIGATION OF SOLAR SPLIT HOT WATER SYSTEM
</t>
        </r>
      </text>
    </comment>
    <comment ref="G752" authorId="4" shapeId="0" xr:uid="{E6DB952A-1EE5-4DFC-9C34-F6F5084E1096}">
      <text>
        <r>
          <rPr>
            <sz val="11"/>
            <color theme="1"/>
            <rFont val="Aptos Narrow"/>
            <family val="2"/>
            <scheme val="minor"/>
          </rPr>
          <t xml:space="preserve">Unknown User:
HIGH POWERED SEWER FLEX SHAFT &amp; ACID TREATMENT WITH CCTV DRAIN CAMERA INSPECTION
</t>
        </r>
      </text>
    </comment>
    <comment ref="U757" authorId="4" shapeId="0" xr:uid="{F43ECAEC-19EF-4B9C-A747-E6E254F41964}">
      <text>
        <r>
          <rPr>
            <sz val="11"/>
            <color theme="1"/>
            <rFont val="Aptos Narrow"/>
            <family val="2"/>
            <scheme val="minor"/>
          </rPr>
          <t>Unknown User:
28/8-As per Shaun's note "All under warranty, builder on phone while I was talking to customer and they are rectifying…. Let’s not book new builds for quoting in the future"</t>
        </r>
      </text>
    </comment>
    <comment ref="G759" authorId="4" shapeId="0" xr:uid="{2BF86726-2B83-45AC-B681-63376E5B2ADE}">
      <text>
        <r>
          <rPr>
            <sz val="11"/>
            <color theme="1"/>
            <rFont val="Aptos Narrow"/>
            <family val="2"/>
            <scheme val="minor"/>
          </rPr>
          <t xml:space="preserve">Unknown User:
WASHING MACHINE TAPS - COMBO
</t>
        </r>
      </text>
    </comment>
    <comment ref="G760" authorId="4" shapeId="0" xr:uid="{9675C858-09CB-43A0-A719-4F4CA04CFE68}">
      <text>
        <r>
          <rPr>
            <sz val="11"/>
            <color theme="1"/>
            <rFont val="Aptos Narrow"/>
            <family val="2"/>
            <scheme val="minor"/>
          </rPr>
          <t>Unknown User:
RELIGHT GAS PILOT LIGHT</t>
        </r>
      </text>
    </comment>
    <comment ref="G761" authorId="4" shapeId="0" xr:uid="{0E31242A-FA06-4575-B8AC-C7C4F927FD99}">
      <text>
        <r>
          <rPr>
            <sz val="11"/>
            <color theme="1"/>
            <rFont val="Aptos Narrow"/>
            <family val="2"/>
            <scheme val="minor"/>
          </rPr>
          <t>Unknown User:
COMMERCIAL HIGH POWERED JETBLAST &amp; CCTV DRAIN CAMERA INSPECTION</t>
        </r>
      </text>
    </comment>
    <comment ref="G762" authorId="4" shapeId="0" xr:uid="{39FBA127-94F1-45B8-8472-D0C1E111230A}">
      <text>
        <r>
          <rPr>
            <sz val="11"/>
            <color theme="1"/>
            <rFont val="Aptos Narrow"/>
            <family val="2"/>
            <scheme val="minor"/>
          </rPr>
          <t>Unknown User:
REPLACEMENT OF EXISTING GOOSE NECK KITCHEN MIXER</t>
        </r>
      </text>
    </comment>
    <comment ref="G763" authorId="4" shapeId="0" xr:uid="{385684D5-6CB5-4690-8150-F3C4A0F26ADD}">
      <text>
        <r>
          <rPr>
            <sz val="11"/>
            <color theme="1"/>
            <rFont val="Aptos Narrow"/>
            <family val="2"/>
            <scheme val="minor"/>
          </rPr>
          <t>Unknown User:
REPLACEMENT OF HAND-HELD SHOWER ROSE
SUPPLY &amp; INSTALLATION OF NEW INSET BASIN
REPLACEMENT OF BASIN TAPS AND SPOUT
10% Seniors &amp; Pensioners Discount</t>
        </r>
      </text>
    </comment>
    <comment ref="E784" authorId="19" shapeId="0" xr:uid="{0A5D99DB-6FF4-4ABE-A528-9B5E1C94419F}">
      <text>
        <t>[Threaded comment]
Your version of Excel allows you to read this threaded comment; however, any edits to it will get removed if the file is opened in a newer version of Excel. Learn more: https://go.microsoft.com/fwlink/?linkid=870924
Comment:
    Checked</t>
      </text>
    </comment>
    <comment ref="G795" authorId="4" shapeId="0" xr:uid="{63ABD753-35E5-4E6E-9F15-F499F97C1766}">
      <text>
        <r>
          <rPr>
            <sz val="11"/>
            <color theme="1"/>
            <rFont val="Aptos Narrow"/>
            <family val="2"/>
            <scheme val="minor"/>
          </rPr>
          <t>Unknown User:
CHEMICAL DRAIN CLEANING TREATMENT</t>
        </r>
      </text>
    </comment>
    <comment ref="G796" authorId="4" shapeId="0" xr:uid="{B0B19CF6-8061-42A7-93AC-EFEDA337C8C4}">
      <text>
        <r>
          <rPr>
            <sz val="11"/>
            <color theme="1"/>
            <rFont val="Aptos Narrow"/>
            <family val="2"/>
            <scheme val="minor"/>
          </rPr>
          <t>Unknown User:
SEARCH AND INVESTIGATION OF ELECTRIC STORAGE HOT WATER SYSTEM</t>
        </r>
      </text>
    </comment>
    <comment ref="G797" authorId="4" shapeId="0" xr:uid="{F4C47541-8B68-4B52-9121-A86192B2C279}">
      <text>
        <r>
          <rPr>
            <sz val="11"/>
            <color theme="1"/>
            <rFont val="Aptos Narrow"/>
            <family val="2"/>
            <scheme val="minor"/>
          </rPr>
          <t xml:space="preserve">Unknown User:
SEARCH &amp; INVESTIGATION OF GAS STORAGE HOT WATER SYSTEM
</t>
        </r>
      </text>
    </comment>
    <comment ref="G798" authorId="4" shapeId="0" xr:uid="{0DEA1C76-7CE4-4251-A600-8258BBE66658}">
      <text>
        <r>
          <rPr>
            <sz val="11"/>
            <color theme="1"/>
            <rFont val="Aptos Narrow"/>
            <family val="2"/>
            <scheme val="minor"/>
          </rPr>
          <t>Unknown User:
SUPPLY &amp; INSTALLATION OF GAS STORAGE HOT WATER SYSTEM (EXTERNAL)</t>
        </r>
      </text>
    </comment>
    <comment ref="L798" authorId="4" shapeId="0" xr:uid="{FBF6DC9D-064C-433A-A830-F76E096B638B}">
      <text>
        <r>
          <rPr>
            <sz val="11"/>
            <color theme="1"/>
            <rFont val="Aptos Narrow"/>
            <family val="2"/>
            <scheme val="minor"/>
          </rPr>
          <t>Unknown User:
Temp check pics not uploaded</t>
        </r>
      </text>
    </comment>
    <comment ref="G799" authorId="4" shapeId="0" xr:uid="{BE347A3D-C417-4AEA-AF5B-9A5BD43C36E1}">
      <text>
        <r>
          <rPr>
            <sz val="11"/>
            <color theme="1"/>
            <rFont val="Aptos Narrow"/>
            <family val="2"/>
            <scheme val="minor"/>
          </rPr>
          <t>Unknown User:
HIGH POWERED SUCTION PUMP</t>
        </r>
      </text>
    </comment>
    <comment ref="G800" authorId="4" shapeId="0" xr:uid="{7970C716-D349-4FCD-BB3A-5E5D40DCE784}">
      <text>
        <r>
          <rPr>
            <sz val="11"/>
            <color theme="1"/>
            <rFont val="Aptos Narrow"/>
            <family val="2"/>
            <scheme val="minor"/>
          </rPr>
          <t>Unknown User:
HIGH POWERED JET BLAST &amp; CCTV DRAIN CAMERA INSPECTION (SEWER SERVICE)
CREDIT OF SEARCH &amp; INVESTIGATION
10% Seniors &amp; Pensioners Discount</t>
        </r>
      </text>
    </comment>
    <comment ref="P800" authorId="4" shapeId="0" xr:uid="{001AD5B0-4313-4737-B09F-00BCEFBCAA2B}">
      <text>
        <r>
          <rPr>
            <sz val="11"/>
            <color theme="1"/>
            <rFont val="Aptos Narrow"/>
            <family val="2"/>
            <scheme val="minor"/>
          </rPr>
          <t>Unknown User:
Quote not emailed</t>
        </r>
      </text>
    </comment>
    <comment ref="U800" authorId="4" shapeId="0" xr:uid="{8EA9A8FE-2286-4674-8153-D3B14E189A42}">
      <text>
        <r>
          <rPr>
            <sz val="11"/>
            <color theme="1"/>
            <rFont val="Aptos Narrow"/>
            <family val="2"/>
            <scheme val="minor"/>
          </rPr>
          <t>Unknown User:
As per Shaun's note "Service titan down and unable to upload new job into upsell, took 10% deposit and closed off. The others sent invoices and quotations however because the app is down, none of them are being received by the customer send 2 people here first thing in the morning."</t>
        </r>
      </text>
    </comment>
    <comment ref="G801" authorId="4" shapeId="0" xr:uid="{519A5DD6-2887-4F0F-8ABC-78A604B6FF03}">
      <text>
        <r>
          <rPr>
            <sz val="11"/>
            <color theme="1"/>
            <rFont val="Aptos Narrow"/>
            <family val="2"/>
            <scheme val="minor"/>
          </rPr>
          <t>Unknown User:
SPECIALIST LEAK DETECTION (WATER SERVICE)</t>
        </r>
      </text>
    </comment>
    <comment ref="R801" authorId="4" shapeId="0" xr:uid="{3DD4DD3C-3D77-40A1-AA42-1027D5FE89AB}">
      <text>
        <r>
          <rPr>
            <sz val="11"/>
            <color theme="1"/>
            <rFont val="Aptos Narrow"/>
            <family val="2"/>
            <scheme val="minor"/>
          </rPr>
          <t>Unknown User:
Customer not onsite</t>
        </r>
      </text>
    </comment>
    <comment ref="W801" authorId="4" shapeId="0" xr:uid="{72DE4264-E649-4258-BCA9-B19C0AFA2933}">
      <text>
        <r>
          <rPr>
            <sz val="11"/>
            <color theme="1"/>
            <rFont val="Aptos Narrow"/>
            <family val="2"/>
            <scheme val="minor"/>
          </rPr>
          <t>Unknown User:
Cash denomination
$100*2=$200
$20*1=$20</t>
        </r>
      </text>
    </comment>
    <comment ref="G802" authorId="4" shapeId="0" xr:uid="{BECB5B2A-0197-485E-BEBA-9D3BCFF6EF70}">
      <text>
        <r>
          <rPr>
            <sz val="11"/>
            <color theme="1"/>
            <rFont val="Aptos Narrow"/>
            <family val="2"/>
            <scheme val="minor"/>
          </rPr>
          <t xml:space="preserve">Unknown User:
REPLACEMENT OF WALL TOP TAPWARE
</t>
        </r>
      </text>
    </comment>
    <comment ref="L802" authorId="4" shapeId="0" xr:uid="{C8542A00-5888-4192-9325-A417F54CED33}">
      <text>
        <r>
          <rPr>
            <sz val="11"/>
            <color theme="1"/>
            <rFont val="Aptos Narrow"/>
            <family val="2"/>
            <scheme val="minor"/>
          </rPr>
          <t>Unknown User:
Replaced wall tap pics nott uploaded.</t>
        </r>
      </text>
    </comment>
    <comment ref="G803" authorId="4" shapeId="0" xr:uid="{44A90362-D744-4940-BE1F-C1C58A44587A}">
      <text>
        <r>
          <rPr>
            <sz val="11"/>
            <color theme="1"/>
            <rFont val="Aptos Narrow"/>
            <family val="2"/>
            <scheme val="minor"/>
          </rPr>
          <t>Unknown User:
WATER SERVICE RECTIFICATION (IN WALL)
10% Seniors &amp; Pensioners Discount</t>
        </r>
      </text>
    </comment>
    <comment ref="G804" authorId="4" shapeId="0" xr:uid="{53920E55-FA19-4257-AF4D-8F065342356A}">
      <text>
        <r>
          <rPr>
            <sz val="11"/>
            <color theme="1"/>
            <rFont val="Aptos Narrow"/>
            <family val="2"/>
            <scheme val="minor"/>
          </rPr>
          <t>Unknown User:
SUPPLY &amp; INSTALLATION OF ELECTRIC INSTANTANEOUS HOT WATER SYSTEM (THREE PHASE)
10% Seniors &amp; Pensioners Discount</t>
        </r>
      </text>
    </comment>
    <comment ref="M804" authorId="4" shapeId="0" xr:uid="{8823D525-BAFB-4814-B22D-CAA6935908FB}">
      <text>
        <r>
          <rPr>
            <sz val="11"/>
            <color theme="1"/>
            <rFont val="Aptos Narrow"/>
            <family val="2"/>
            <scheme val="minor"/>
          </rPr>
          <t>Unknown User:
Smartpay receipt of $5651.86 not uploaded by plumber.
Uploaded by Modoras team.</t>
        </r>
      </text>
    </comment>
    <comment ref="G805" authorId="4" shapeId="0" xr:uid="{751EAC5F-B280-4E0B-A1CB-1F1B674390FC}">
      <text>
        <r>
          <rPr>
            <sz val="11"/>
            <color theme="1"/>
            <rFont val="Aptos Narrow"/>
            <family val="2"/>
            <scheme val="minor"/>
          </rPr>
          <t>Unknown User:
INSTALLATION OF SHOWER ARM &amp; ROSE (CUSTOMER SUPPLIED)</t>
        </r>
      </text>
    </comment>
    <comment ref="G806" authorId="4" shapeId="0" xr:uid="{58DD3DBC-5FEA-4BA3-A8B1-850C65E79DC6}">
      <text>
        <r>
          <rPr>
            <sz val="11"/>
            <color theme="1"/>
            <rFont val="Aptos Narrow"/>
            <family val="2"/>
            <scheme val="minor"/>
          </rPr>
          <t>Unknown User:
SEARCH &amp; INVESTIGATION OF GAS APPLIANCE
10% Seniors &amp; Pensioners Discount</t>
        </r>
      </text>
    </comment>
    <comment ref="G807" authorId="4" shapeId="0" xr:uid="{22C30FB8-5853-43E0-8727-FC1A4CB3EC56}">
      <text>
        <r>
          <rPr>
            <sz val="11"/>
            <color theme="1"/>
            <rFont val="Aptos Narrow"/>
            <family val="2"/>
            <scheme val="minor"/>
          </rPr>
          <t>Unknown User:
RELIGHT GAS PILOT LIGHT &amp; BURST</t>
        </r>
      </text>
    </comment>
    <comment ref="T807" authorId="4" shapeId="0" xr:uid="{FE126AED-5FAE-4041-A166-0B1AFCD972A4}">
      <text>
        <r>
          <rPr>
            <sz val="11"/>
            <color theme="1"/>
            <rFont val="Aptos Narrow"/>
            <family val="2"/>
            <scheme val="minor"/>
          </rPr>
          <t>Unknown User:
0.5x for Will Dower</t>
        </r>
      </text>
    </comment>
    <comment ref="G808" authorId="4" shapeId="0" xr:uid="{B9D7D017-8F40-40EE-9FFA-3CBC2BCAEF96}">
      <text>
        <r>
          <rPr>
            <sz val="11"/>
            <color theme="1"/>
            <rFont val="Aptos Narrow"/>
            <family val="2"/>
            <scheme val="minor"/>
          </rPr>
          <t>Unknown User:
SEARCH &amp; INVESTIGATION OF POTENTIAL GAS LEAK</t>
        </r>
      </text>
    </comment>
    <comment ref="G809" authorId="4" shapeId="0" xr:uid="{DD903978-7ABF-47CD-9CDA-F28A87535299}">
      <text>
        <r>
          <rPr>
            <sz val="11"/>
            <color theme="1"/>
            <rFont val="Aptos Narrow"/>
            <family val="2"/>
            <scheme val="minor"/>
          </rPr>
          <t>Unknown User:
SUPPLY AND INSTALLATION OF PRESSURE REGULATING DEVICE FITTED TO 25MM STRAIGHT PIPEWORK
10% Loyalty Discount</t>
        </r>
      </text>
    </comment>
    <comment ref="U809" authorId="4" shapeId="0" xr:uid="{A10CAE0A-6A55-4C9C-BA35-63B60103816D}">
      <text>
        <r>
          <rPr>
            <sz val="11"/>
            <color theme="1"/>
            <rFont val="Aptos Narrow"/>
            <family val="2"/>
            <scheme val="minor"/>
          </rPr>
          <t>Unknown User:
8/9-As per Zachia's note "Customer called, wanted refund for 72942 and doesn't want plumbers to return to undo unwanted works until refund has been given. Will let Kylie know and put form through on Monday."
8/9-As per Joshua G's note "Spoke to Mary,
Back and forth regarding water pressure, compliance.
Says the plumber was intimidating over the phone, questioned if she knew what she was talking about.
While onsite, Shaun asked for 2x positive reviews.
Plumber advised her that the original job was required. Was unable to remove the review - offered help with this if she had changed her mind.
Wanted to speak to office before Shaun could re-attend, said she called through and texted Shaun. Wanted a resolution before job continues.
Argued with Shaun onsite. Disclosed she was traumatised due to previous experiences, nothing to do with Shaun.
Customer wants valve removed, water pressure changed back and full refund.
Spoke to KW and authorised for 10% discount but unable to un-do the job."</t>
        </r>
      </text>
    </comment>
    <comment ref="G810" authorId="4" shapeId="0" xr:uid="{7460E107-ED3E-4C2B-B963-BD515B637E57}">
      <text>
        <r>
          <rPr>
            <sz val="11"/>
            <color theme="1"/>
            <rFont val="Aptos Narrow"/>
            <family val="2"/>
            <scheme val="minor"/>
          </rPr>
          <t>Unknown User:
SUPPLY &amp; INSTALLATION OF GAS STORAGE HOT WATER SYSTEM (EXTERNAL)</t>
        </r>
      </text>
    </comment>
    <comment ref="G811" authorId="4" shapeId="0" xr:uid="{CD3C6F9D-4389-40A2-98FE-3EA5F55D3DA6}">
      <text>
        <r>
          <rPr>
            <sz val="11"/>
            <color theme="1"/>
            <rFont val="Aptos Narrow"/>
            <family val="2"/>
            <scheme val="minor"/>
          </rPr>
          <t>Unknown User:
SEARCH &amp; INVESTIGATION OF IN WALL MIXER</t>
        </r>
      </text>
    </comment>
    <comment ref="G812" authorId="4" shapeId="0" xr:uid="{537AFD76-57BA-4E7E-A699-2BEC950745BE}">
      <text>
        <r>
          <rPr>
            <sz val="11"/>
            <color theme="1"/>
            <rFont val="Aptos Narrow"/>
            <family val="2"/>
            <scheme val="minor"/>
          </rPr>
          <t>Unknown User:
SERVICE OF OUTLET VALVE - ALL TYPICAL SINGLE AND DUAL FLUSH MODELS</t>
        </r>
      </text>
    </comment>
    <comment ref="T812" authorId="4" shapeId="0" xr:uid="{B3E8CAD8-0BBA-4D01-8EF6-B0EDA8506F9F}">
      <text>
        <r>
          <rPr>
            <sz val="11"/>
            <color theme="1"/>
            <rFont val="Aptos Narrow"/>
            <family val="2"/>
            <scheme val="minor"/>
          </rPr>
          <t>Unknown User:
0.5x Will Dower</t>
        </r>
      </text>
    </comment>
    <comment ref="W812" authorId="4" shapeId="0" xr:uid="{8FB90E43-FEC8-4377-9332-FC72227BA599}">
      <text>
        <r>
          <rPr>
            <sz val="11"/>
            <color theme="1"/>
            <rFont val="Aptos Narrow"/>
            <family val="2"/>
            <scheme val="minor"/>
          </rPr>
          <t>Unknown User:
Cash denomination
$50*4=$200</t>
        </r>
      </text>
    </comment>
    <comment ref="G813" authorId="4" shapeId="0" xr:uid="{5AF68C7B-24E5-4A18-95BA-4A8526AC0E1D}">
      <text>
        <r>
          <rPr>
            <sz val="11"/>
            <color theme="1"/>
            <rFont val="Aptos Narrow"/>
            <family val="2"/>
            <scheme val="minor"/>
          </rPr>
          <t>Unknown User:
SUPPLY &amp; INSTALLATION OF NEW DISHWASHER COLD WATER INLET SUPPLY</t>
        </r>
      </text>
    </comment>
    <comment ref="L813" authorId="4" shapeId="0" xr:uid="{5BDD0C4A-D1BA-46D2-AE51-DE5BE1574E1E}">
      <text>
        <r>
          <rPr>
            <sz val="11"/>
            <color theme="1"/>
            <rFont val="Aptos Narrow"/>
            <family val="2"/>
            <scheme val="minor"/>
          </rPr>
          <t>Unknown User:
After pics are not satisfactory. Hose valve doesn't seems like attached to dishwasher.</t>
        </r>
      </text>
    </comment>
    <comment ref="O813" authorId="4" shapeId="0" xr:uid="{48DAEA81-16F0-47C4-9A98-A4BEB8BF0D10}">
      <text>
        <r>
          <rPr>
            <sz val="11"/>
            <color theme="1"/>
            <rFont val="Aptos Narrow"/>
            <family val="2"/>
            <scheme val="minor"/>
          </rPr>
          <t>Unknown User:
Sign obtained on behalf of the property owner. SMS approval</t>
        </r>
      </text>
    </comment>
    <comment ref="G814" authorId="4" shapeId="0" xr:uid="{A3514940-384B-4E3F-BE0D-98B27890F69B}">
      <text>
        <r>
          <rPr>
            <sz val="11"/>
            <color theme="1"/>
            <rFont val="Aptos Narrow"/>
            <family val="2"/>
            <scheme val="minor"/>
          </rPr>
          <t xml:space="preserve">Unknown User:
REPLACEMENT OF PLUG &amp; WASTE - 50MM
MIXER TAP - GOOSE NECK
</t>
        </r>
      </text>
    </comment>
    <comment ref="W814" authorId="4" shapeId="0" xr:uid="{4DD3CB57-240C-4E0D-9B92-717AA1CF72D3}">
      <text>
        <r>
          <rPr>
            <sz val="11"/>
            <color theme="1"/>
            <rFont val="Aptos Narrow"/>
            <family val="2"/>
            <scheme val="minor"/>
          </rPr>
          <t>Unknown User:
Cash denomination
$100*28=$2800
Excess receipt by $3.80</t>
        </r>
      </text>
    </comment>
    <comment ref="G815" authorId="4" shapeId="0" xr:uid="{A4D979A9-3B9B-455B-AFDE-F006AF928C48}">
      <text>
        <r>
          <rPr>
            <sz val="11"/>
            <color theme="1"/>
            <rFont val="Aptos Narrow"/>
            <family val="2"/>
            <scheme val="minor"/>
          </rPr>
          <t>Unknown User:
REPLACEMENT OF PLUG &amp; WASTE - 50MM
HIGH POWERED SUCTION &amp; ACID TREATMENT
10% Seniors &amp; Pensioners Discount</t>
        </r>
      </text>
    </comment>
    <comment ref="L815" authorId="4" shapeId="0" xr:uid="{5CE13250-568E-4265-9D21-A06494BEB0FE}">
      <text>
        <r>
          <rPr>
            <sz val="11"/>
            <color theme="1"/>
            <rFont val="Aptos Narrow"/>
            <family val="2"/>
            <scheme val="minor"/>
          </rPr>
          <t>Unknown User:
Replaced plug &amp; waste pic not uploaded</t>
        </r>
      </text>
    </comment>
    <comment ref="G816" authorId="4" shapeId="0" xr:uid="{488B43DE-A775-498E-8C20-D060EF42F781}">
      <text>
        <r>
          <rPr>
            <sz val="11"/>
            <color theme="1"/>
            <rFont val="Aptos Narrow"/>
            <family val="2"/>
            <scheme val="minor"/>
          </rPr>
          <t xml:space="preserve">Unknown User:
HIGH POWERED JET BLAST &amp; CCTV DRAIN CAMERA INSPECTION IN CONJUNCTION WITH SPECIALIST WHIP HOSE
CREDIT OF SEARCH &amp; INVESTIGATION </t>
        </r>
      </text>
    </comment>
    <comment ref="L816" authorId="4" shapeId="0" xr:uid="{A8F0C37A-02AD-4EC2-A397-F78529B06A19}">
      <text>
        <r>
          <rPr>
            <sz val="11"/>
            <color theme="1"/>
            <rFont val="Aptos Narrow"/>
            <family val="2"/>
            <scheme val="minor"/>
          </rPr>
          <t>Unknown User:
CCTV pics/videos not uploaded</t>
        </r>
      </text>
    </comment>
    <comment ref="M816" authorId="4" shapeId="0" xr:uid="{2E288108-7ACC-4349-9BF3-F78229A09158}">
      <text>
        <r>
          <rPr>
            <sz val="11"/>
            <color theme="1"/>
            <rFont val="Aptos Narrow"/>
            <family val="2"/>
            <scheme val="minor"/>
          </rPr>
          <t>Unknown User:
Smartpay receipt of $1426 not uploaded by plumber.
Uploaded by Modoras team</t>
        </r>
      </text>
    </comment>
    <comment ref="G817" authorId="4" shapeId="0" xr:uid="{F356705B-AF67-4E6F-A3B1-EFFBEBE39572}">
      <text>
        <r>
          <rPr>
            <sz val="11"/>
            <color theme="1"/>
            <rFont val="Aptos Narrow"/>
            <family val="2"/>
            <scheme val="minor"/>
          </rPr>
          <t>Unknown User:
SEARCH &amp; INVESTIGATION OF WASHING MACHINE</t>
        </r>
      </text>
    </comment>
    <comment ref="G818" authorId="4" shapeId="0" xr:uid="{B56AE49E-B21C-455D-978F-EDE6671DC2D9}">
      <text>
        <r>
          <rPr>
            <sz val="11"/>
            <color theme="1"/>
            <rFont val="Aptos Narrow"/>
            <family val="2"/>
            <scheme val="minor"/>
          </rPr>
          <t>Unknown User:
EMERGENCY ISOLATION VALVE - COMBO
10% Good Will Discount</t>
        </r>
      </text>
    </comment>
    <comment ref="G824" authorId="4" shapeId="0" xr:uid="{9D70A1C9-99C7-435B-AD71-30F23469F2E4}">
      <text>
        <r>
          <rPr>
            <sz val="11"/>
            <color theme="1"/>
            <rFont val="Aptos Narrow"/>
            <family val="2"/>
            <scheme val="minor"/>
          </rPr>
          <t xml:space="preserve">Unknown User:
SUPPLY &amp; INSTALLATION OF ELECTRIC INSTANTANEOUS HOT WATER SYSTEM (SINGLE PHASE)
</t>
        </r>
      </text>
    </comment>
    <comment ref="A825" authorId="20" shapeId="0" xr:uid="{7C9B753E-2489-4044-BCA7-CF1DFBB012D7}">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G825" authorId="4" shapeId="0" xr:uid="{EBF52094-CDA9-4C05-9BB8-63CC60C83EB6}">
      <text>
        <r>
          <rPr>
            <sz val="11"/>
            <color theme="1"/>
            <rFont val="Aptos Narrow"/>
            <family val="2"/>
            <scheme val="minor"/>
          </rPr>
          <t>Unknown User:
SEARCH &amp; INVESTIGATION OF GAS APPLIANCE</t>
        </r>
      </text>
    </comment>
    <comment ref="G829" authorId="4" shapeId="0" xr:uid="{B745A80C-2A48-4030-B2E2-8C74D5D511BE}">
      <text>
        <r>
          <rPr>
            <sz val="11"/>
            <color theme="1"/>
            <rFont val="Aptos Narrow"/>
            <family val="2"/>
            <scheme val="minor"/>
          </rPr>
          <t>Unknown User:
SPECIALIST LEAK DETECTION (WATER SERVICE)</t>
        </r>
      </text>
    </comment>
    <comment ref="V829" authorId="4" shapeId="0" xr:uid="{0B8C90AE-6E40-487D-97C5-E28DCA3ABC59}">
      <text>
        <r>
          <rPr>
            <sz val="11"/>
            <color theme="1"/>
            <rFont val="Aptos Narrow"/>
            <family val="2"/>
            <scheme val="minor"/>
          </rPr>
          <t>Unknown User:
8/9-Received $2239.10 by Smartpay</t>
        </r>
      </text>
    </comment>
    <comment ref="G834" authorId="4" shapeId="0" xr:uid="{FD92E089-D6EC-42C1-A338-54646755FF38}">
      <text>
        <r>
          <rPr>
            <sz val="11"/>
            <color theme="1"/>
            <rFont val="Aptos Narrow"/>
            <family val="2"/>
            <scheme val="minor"/>
          </rPr>
          <t>Unknown User:
TESTING OF RPZ VALVE</t>
        </r>
      </text>
    </comment>
    <comment ref="Q834" authorId="4" shapeId="0" xr:uid="{0F9DCE5B-88F8-489A-A1D2-534B85F910CF}">
      <text>
        <r>
          <rPr>
            <sz val="11"/>
            <color theme="1"/>
            <rFont val="Aptos Narrow"/>
            <family val="2"/>
            <scheme val="minor"/>
          </rPr>
          <t>Unknown User:
Final invoice not raised</t>
        </r>
      </text>
    </comment>
    <comment ref="G835" authorId="4" shapeId="0" xr:uid="{5945C634-B5DB-4719-9B58-8617ECA16808}">
      <text>
        <r>
          <rPr>
            <sz val="11"/>
            <color theme="1"/>
            <rFont val="Aptos Narrow"/>
            <family val="2"/>
            <scheme val="minor"/>
          </rPr>
          <t>Unknown User:
REPLACEMENT OF PLUG &amp; WASTE - 40MM
HIGH POWERED SUCTION PUMP</t>
        </r>
      </text>
    </comment>
    <comment ref="L835" authorId="4" shapeId="0" xr:uid="{8E4913BB-A880-4E27-8622-83198B1F187C}">
      <text>
        <r>
          <rPr>
            <sz val="11"/>
            <color theme="1"/>
            <rFont val="Aptos Narrow"/>
            <family val="2"/>
            <scheme val="minor"/>
          </rPr>
          <t>Unknown User:
High powered suction pump pics not uploaded</t>
        </r>
      </text>
    </comment>
    <comment ref="R835" authorId="4" shapeId="0" xr:uid="{F24994B0-B9DF-4C50-B9AB-91BC25EA7610}">
      <text>
        <r>
          <rPr>
            <sz val="11"/>
            <color theme="1"/>
            <rFont val="Aptos Narrow"/>
            <family val="2"/>
            <scheme val="minor"/>
          </rPr>
          <t>Unknown User:
Customer not onsite</t>
        </r>
      </text>
    </comment>
    <comment ref="G836" authorId="4" shapeId="0" xr:uid="{8114567E-EBD3-42B1-98B3-C899099C3B0B}">
      <text>
        <r>
          <rPr>
            <sz val="11"/>
            <color theme="1"/>
            <rFont val="Aptos Narrow"/>
            <family val="2"/>
            <scheme val="minor"/>
          </rPr>
          <t>Unknown User:
SEWER SPOT DIG (UNDER CONCRETE)
CREDIT HIGH POWERED JETBLAST &amp; CCTV CAMERA
10% Seniors &amp; Pensioners Discount</t>
        </r>
      </text>
    </comment>
    <comment ref="T836" authorId="4" shapeId="0" xr:uid="{C47CABE0-E1E9-41F5-BD35-9F893FE65428}">
      <text>
        <r>
          <rPr>
            <sz val="11"/>
            <color theme="1"/>
            <rFont val="Aptos Narrow"/>
            <family val="2"/>
            <scheme val="minor"/>
          </rPr>
          <t>Unknown User:
Shaun,Jayden,Tolga,Alex</t>
        </r>
      </text>
    </comment>
    <comment ref="G840" authorId="4" shapeId="0" xr:uid="{1F0105CC-D533-4460-A3ED-582BF34FE0D2}">
      <text>
        <r>
          <rPr>
            <sz val="11"/>
            <color theme="1"/>
            <rFont val="Aptos Narrow"/>
            <family val="2"/>
            <scheme val="minor"/>
          </rPr>
          <t xml:space="preserve">Unknown User:
WATER SERVICE RECTIFICATION (IN WALL)
Isolate water supply to property
Set up safe working area
Mark out required location
Diamond grind wall 
Jackhammer and removal of section of wall 
Gain access to damaged water service in wall
Expose existing section of damaged water service in wall
Cut &amp; removal of existing damaged water service
Clean existing water service
Prepare existing water service for new connections
Flush out water service free of potential debris
Supply &amp; install new section of new water service up to 1.5M
Supply &amp; install new Press fittings
Connect new section of water service to existing water service
Use of specialist hydraulic crimping tool
Crimp new section of water service
Reinstate water supply
Conduct pressure test on water service to ensure no further leaks
Lag new service in wall 
Supply and install new wall mortar and bedding to worked area 
Water proof worked area 
Installation of new wall tiles in worked area 
Supply and installation of new grouting in worked area 
Removal of trade waste
Test &amp; commission installation
Please note. If further works are required, additional costs will apply. If exact tiles cannot be matched, closest option will be provided and agreed by customer. </t>
        </r>
      </text>
    </comment>
    <comment ref="N840" authorId="4" shapeId="0" xr:uid="{64A54E8D-4320-49BE-BF28-E681F958B7FC}">
      <text>
        <r>
          <rPr>
            <sz val="11"/>
            <color theme="1"/>
            <rFont val="Aptos Narrow"/>
            <family val="2"/>
            <scheme val="minor"/>
          </rPr>
          <t>Unknown User:
Quote raised in job #71735</t>
        </r>
      </text>
    </comment>
    <comment ref="U840" authorId="4" shapeId="0" xr:uid="{7007EBB9-009A-4233-B344-9F3678104FF4}">
      <text>
        <r>
          <rPr>
            <sz val="11"/>
            <color theme="1"/>
            <rFont val="Aptos Narrow"/>
            <family val="2"/>
            <scheme val="minor"/>
          </rPr>
          <t>Unknown User:
28/07-As per Will's note "Asked for a leak report, I said we can send plumbers findings, I told her to ask the plumber for more information on that. I will let dispatch know too"</t>
        </r>
      </text>
    </comment>
    <comment ref="G841" authorId="4" shapeId="0" xr:uid="{202DE26C-AA6F-45E2-94F7-3C36400771D2}">
      <text>
        <r>
          <rPr>
            <sz val="11"/>
            <color theme="1"/>
            <rFont val="Aptos Narrow"/>
            <family val="2"/>
            <scheme val="minor"/>
          </rPr>
          <t>Unknown User:
SEWER SPOT DIG (UNDER CONCRETE)
CREDIT HIGH POWERED JETBLAST &amp; CCTV CAMERA
10% Seniors &amp; Pensioners Discount</t>
        </r>
      </text>
    </comment>
    <comment ref="T841" authorId="4" shapeId="0" xr:uid="{CE399A5A-A975-4CC1-A7BB-C136CF5A03AB}">
      <text>
        <r>
          <rPr>
            <sz val="11"/>
            <color theme="1"/>
            <rFont val="Aptos Narrow"/>
            <family val="2"/>
            <scheme val="minor"/>
          </rPr>
          <t>Unknown User:
Shaun,Jayden,Tolga,Alex</t>
        </r>
      </text>
    </comment>
    <comment ref="G845" authorId="4" shapeId="0" xr:uid="{31BC5653-87DE-4D5D-B8F7-A1ED2EDCE6D1}">
      <text>
        <r>
          <rPr>
            <sz val="11"/>
            <color theme="1"/>
            <rFont val="Aptos Narrow"/>
            <family val="2"/>
            <scheme val="minor"/>
          </rPr>
          <t>Unknown User:
HIGH POWERED SUCTION &amp; ACID TREATMENT</t>
        </r>
      </text>
    </comment>
    <comment ref="G846" authorId="4" shapeId="0" xr:uid="{FB3FD6B1-5D71-43B6-9E0D-F526EF007227}">
      <text>
        <r>
          <rPr>
            <sz val="11"/>
            <color theme="1"/>
            <rFont val="Aptos Narrow"/>
            <family val="2"/>
            <scheme val="minor"/>
          </rPr>
          <t>Unknown User:
HIGH POWERED SUCTION &amp; ACID TREATMENT</t>
        </r>
      </text>
    </comment>
    <comment ref="G847" authorId="4" shapeId="0" xr:uid="{110279F7-CBD0-4EE0-A3BE-5FDA75277A0F}">
      <text>
        <r>
          <rPr>
            <sz val="11"/>
            <color theme="1"/>
            <rFont val="Aptos Narrow"/>
            <family val="2"/>
            <scheme val="minor"/>
          </rPr>
          <t>Unknown User:
SUPPLY &amp; INSTALLATION OF NEW WALL FACED TOILET SUITE
10% Seniors &amp; Pensioners Discount</t>
        </r>
      </text>
    </comment>
    <comment ref="G848" authorId="4" shapeId="0" xr:uid="{2D36FF4C-65CD-4F95-8598-BABB51CAB855}">
      <text>
        <r>
          <rPr>
            <sz val="11"/>
            <color theme="1"/>
            <rFont val="Aptos Narrow"/>
            <family val="2"/>
            <scheme val="minor"/>
          </rPr>
          <t xml:space="preserve">Unknown User:
COMPLETE SERVICE OF TAP TOP ASSEMBLY
</t>
        </r>
      </text>
    </comment>
    <comment ref="G849" authorId="4" shapeId="0" xr:uid="{57E0E31D-B32B-4A5C-8EBB-458467F3C389}">
      <text>
        <r>
          <rPr>
            <sz val="11"/>
            <color theme="1"/>
            <rFont val="Aptos Narrow"/>
            <family val="2"/>
            <scheme val="minor"/>
          </rPr>
          <t xml:space="preserve">Unknown User:
REPLACEMENT OF EXISTING OVERFLOW GULLY &amp; SECTION OF MAIN SEWER SERVICE
</t>
        </r>
      </text>
    </comment>
    <comment ref="N849" authorId="4" shapeId="0" xr:uid="{F711D104-E701-4AD0-8803-E391387FAF8C}">
      <text>
        <r>
          <rPr>
            <sz val="11"/>
            <color theme="1"/>
            <rFont val="Aptos Narrow"/>
            <family val="2"/>
            <scheme val="minor"/>
          </rPr>
          <t>Unknown User:
Quote not raised de  to ST technical issue</t>
        </r>
      </text>
    </comment>
    <comment ref="G850" authorId="4" shapeId="0" xr:uid="{0BE898FE-444E-4265-B303-2295AD71D0F2}">
      <text>
        <r>
          <rPr>
            <sz val="11"/>
            <color theme="1"/>
            <rFont val="Aptos Narrow"/>
            <family val="2"/>
            <scheme val="minor"/>
          </rPr>
          <t>Unknown User:
SUPPLY &amp; INSTALL NEW GAS DUCTED HEATER</t>
        </r>
      </text>
    </comment>
    <comment ref="G851" authorId="4" shapeId="0" xr:uid="{281803C6-6C71-43E1-8EAC-FA7A3CB4C829}">
      <text>
        <r>
          <rPr>
            <sz val="11"/>
            <color theme="1"/>
            <rFont val="Aptos Narrow"/>
            <family val="2"/>
            <scheme val="minor"/>
          </rPr>
          <t xml:space="preserve">Unknown User:
SUPPLY &amp; INSTALL NEW GAS DUCTED HEATER
</t>
        </r>
      </text>
    </comment>
    <comment ref="G852" authorId="4" shapeId="0" xr:uid="{7A25BF3F-F023-4998-B47B-549CD46B14FF}">
      <text>
        <r>
          <rPr>
            <sz val="11"/>
            <color theme="1"/>
            <rFont val="Aptos Narrow"/>
            <family val="2"/>
            <scheme val="minor"/>
          </rPr>
          <t xml:space="preserve">Unknown User:
DIG UP OF STORM WATER SPOT (UNDER CONCRETE)
REPLACEMENT OF SEWER VENT PIPE WITH PVC
</t>
        </r>
      </text>
    </comment>
    <comment ref="G853" authorId="4" shapeId="0" xr:uid="{691A42C7-A6E3-4299-A990-48E6F80E1388}">
      <text>
        <r>
          <rPr>
            <sz val="11"/>
            <color theme="1"/>
            <rFont val="Aptos Narrow"/>
            <family val="2"/>
            <scheme val="minor"/>
          </rPr>
          <t>Unknown User:
SUPPLY &amp; INSTALLATION OF NEW WALL FACED TOILET SUITE</t>
        </r>
      </text>
    </comment>
    <comment ref="G856" authorId="4" shapeId="0" xr:uid="{9B8DDE3C-3B1A-4CDB-819E-C2C94200A9BE}">
      <text>
        <r>
          <rPr>
            <sz val="11"/>
            <color theme="1"/>
            <rFont val="Aptos Narrow"/>
            <family val="2"/>
            <scheme val="minor"/>
          </rPr>
          <t>Unknown User:
WATER SERVICE RECTIFICATION (IN WALL)
10% Good Will Discount</t>
        </r>
      </text>
    </comment>
    <comment ref="G857" authorId="4" shapeId="0" xr:uid="{89C8EB0B-A035-4065-9747-F3C1F1852087}">
      <text>
        <r>
          <rPr>
            <sz val="11"/>
            <color theme="1"/>
            <rFont val="Aptos Narrow"/>
            <family val="2"/>
            <scheme val="minor"/>
          </rPr>
          <t xml:space="preserve">Unknown User:
REPLACEMENT OF IN WALL MIXER
</t>
        </r>
      </text>
    </comment>
    <comment ref="T858" authorId="4" shapeId="0" xr:uid="{5D696522-04A2-49FA-BF40-FB433FED9BAF}">
      <text>
        <r>
          <rPr>
            <sz val="11"/>
            <color theme="1"/>
            <rFont val="Aptos Narrow"/>
            <family val="2"/>
            <scheme val="minor"/>
          </rPr>
          <t>Unknown User:
0.5x for Will Dower</t>
        </r>
      </text>
    </comment>
    <comment ref="G861" authorId="4" shapeId="0" xr:uid="{00EED152-2586-4A70-983C-0CC919DEB92F}">
      <text>
        <r>
          <rPr>
            <sz val="11"/>
            <color theme="1"/>
            <rFont val="Aptos Narrow"/>
            <family val="2"/>
            <scheme val="minor"/>
          </rPr>
          <t xml:space="preserve">Unknown User:
CONVERT SOLAR SPLIT HOT WATER SYSTEM TO EXTERNAL GAS INSTANTANEOUS HOT WATER SYSTEM
</t>
        </r>
      </text>
    </comment>
    <comment ref="G893" authorId="4" shapeId="0" xr:uid="{826491B3-F92C-488B-AD91-499CD94F2F08}">
      <text>
        <r>
          <rPr>
            <sz val="11"/>
            <color theme="1"/>
            <rFont val="Aptos Narrow"/>
            <family val="2"/>
            <scheme val="minor"/>
          </rPr>
          <t>Unknown User:
WATER SERVICE RECTIFICATION (IN WALL)</t>
        </r>
      </text>
    </comment>
    <comment ref="S893" authorId="4" shapeId="0" xr:uid="{6E5587C5-4C42-4CC7-B5D9-9D9BEE24BB4E}">
      <text>
        <r>
          <rPr>
            <sz val="11"/>
            <color theme="1"/>
            <rFont val="Aptos Narrow"/>
            <family val="2"/>
            <scheme val="minor"/>
          </rPr>
          <t>Unknown User:
Invoice not emailed</t>
        </r>
      </text>
    </comment>
    <comment ref="G894" authorId="4" shapeId="0" xr:uid="{CBD8AF25-4D2F-4082-B946-FFC2BAC71578}">
      <text>
        <r>
          <rPr>
            <sz val="11"/>
            <color theme="1"/>
            <rFont val="Aptos Narrow"/>
            <family val="2"/>
            <scheme val="minor"/>
          </rPr>
          <t>Unknown User:
SUPPLY &amp; INSTALLATION OF NEW LINK SUITE</t>
        </r>
      </text>
    </comment>
    <comment ref="G895" authorId="4" shapeId="0" xr:uid="{E83D4E87-6179-4A48-B94C-FE8E1D6A185A}">
      <text>
        <r>
          <rPr>
            <sz val="11"/>
            <color theme="1"/>
            <rFont val="Aptos Narrow"/>
            <family val="2"/>
            <scheme val="minor"/>
          </rPr>
          <t xml:space="preserve">Unknown User:
REPLACEMENT OF BASIN SET
</t>
        </r>
      </text>
    </comment>
    <comment ref="G896" authorId="4" shapeId="0" xr:uid="{8792AAC3-26B6-4462-BC2E-56E6649B2F6A}">
      <text>
        <r>
          <rPr>
            <sz val="11"/>
            <color theme="1"/>
            <rFont val="Aptos Narrow"/>
            <family val="2"/>
            <scheme val="minor"/>
          </rPr>
          <t>Unknown User:
Gain access to main gas meter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Gain access to existing gas service connecting to gas cooktop
Disconnect existing gas service connected to gas cooktop
Disconnect existing brass fittings connected gas cooktop
Disconnect existing gas appliance regulator
Disconnect &amp; remove the existing gas cooktop
Supply &amp; install new brass cap to existing gas cooktop connection point
Decommission existing gas cooktop
Make safe
Reinstate main gas supply to the property
Conduct a manometer test on the main gas service upon completion of the installation to ensure there are no leaks
Test &amp; commission the installation
Removal of all trade waste</t>
        </r>
      </text>
    </comment>
    <comment ref="G897" authorId="4" shapeId="0" xr:uid="{37922CF3-0C3A-45D4-B170-49D2F7198C0A}">
      <text>
        <r>
          <rPr>
            <sz val="11"/>
            <color theme="1"/>
            <rFont val="Aptos Narrow"/>
            <family val="2"/>
            <scheme val="minor"/>
          </rPr>
          <t>Unknown User:
SEARCH &amp; INVESTIGATION OF GAS STORAGE HOT WATER SYSTEM</t>
        </r>
      </text>
    </comment>
    <comment ref="G898" authorId="4" shapeId="0" xr:uid="{DFB0B5C4-44B5-4859-A8A7-A4FBA5627642}">
      <text>
        <r>
          <rPr>
            <sz val="11"/>
            <color theme="1"/>
            <rFont val="Aptos Narrow"/>
            <family val="2"/>
            <scheme val="minor"/>
          </rPr>
          <t>Unknown User:
SUPPLY &amp; INSTALLATION OF GAS STORAGE HOT WATER SYSTEM (EXTERNAL)
CREDIT OF SEARCH &amp; INVESTIGATION</t>
        </r>
      </text>
    </comment>
    <comment ref="L898" authorId="4" shapeId="0" xr:uid="{FAB7A714-BE5E-475E-89F5-E7031F7DA050}">
      <text>
        <r>
          <rPr>
            <sz val="11"/>
            <color theme="1"/>
            <rFont val="Aptos Narrow"/>
            <family val="2"/>
            <scheme val="minor"/>
          </rPr>
          <t>Unknown User:
Temp check pending</t>
        </r>
      </text>
    </comment>
    <comment ref="N898" authorId="4" shapeId="0" xr:uid="{E4B7D945-7842-4AE5-A811-DBB20CE7F1A8}">
      <text>
        <r>
          <rPr>
            <sz val="11"/>
            <color theme="1"/>
            <rFont val="Aptos Narrow"/>
            <family val="2"/>
            <scheme val="minor"/>
          </rPr>
          <t>Unknown User:
Quote raised in Job #73137</t>
        </r>
      </text>
    </comment>
    <comment ref="S898" authorId="4" shapeId="0" xr:uid="{DE60BEF5-36F7-4C4E-AC5D-FDD39EBE4799}">
      <text>
        <r>
          <rPr>
            <sz val="11"/>
            <color theme="1"/>
            <rFont val="Aptos Narrow"/>
            <family val="2"/>
            <scheme val="minor"/>
          </rPr>
          <t>Unknown User:
Invoice not emailed</t>
        </r>
      </text>
    </comment>
    <comment ref="G899" authorId="4" shapeId="0" xr:uid="{EE2E3FAB-CF3E-448D-9B7B-A29D94C88B3A}">
      <text>
        <r>
          <rPr>
            <sz val="11"/>
            <color theme="1"/>
            <rFont val="Aptos Narrow"/>
            <family val="2"/>
            <scheme val="minor"/>
          </rPr>
          <t>Unknown User:
SEARCH &amp; INVESTIGATION (GENERAL)</t>
        </r>
      </text>
    </comment>
    <comment ref="L899" authorId="4" shapeId="0" xr:uid="{1F8EC24A-89FF-45C7-9D4C-DC6F131D94BB}">
      <text>
        <r>
          <rPr>
            <sz val="11"/>
            <color theme="1"/>
            <rFont val="Aptos Narrow"/>
            <family val="2"/>
            <scheme val="minor"/>
          </rPr>
          <t>Unknown User:
After pics not uploaded</t>
        </r>
      </text>
    </comment>
    <comment ref="G900" authorId="4" shapeId="0" xr:uid="{5E98092D-6FF2-48B3-823C-F17EF4C48F53}">
      <text>
        <r>
          <rPr>
            <sz val="11"/>
            <color theme="1"/>
            <rFont val="Aptos Narrow"/>
            <family val="2"/>
            <scheme val="minor"/>
          </rPr>
          <t>Unknown User:
WATER SERVICE RECTIFICATION (EXPOSED)
CREDIT OF SEARCH &amp; INVESTIGATION</t>
        </r>
      </text>
    </comment>
    <comment ref="N900" authorId="4" shapeId="0" xr:uid="{B23AEF6F-38C8-466E-AC5D-B32BC2F86CFB}">
      <text>
        <r>
          <rPr>
            <sz val="11"/>
            <color theme="1"/>
            <rFont val="Aptos Narrow"/>
            <family val="2"/>
            <scheme val="minor"/>
          </rPr>
          <t>Unknown User:
Quote raised in Job #73127</t>
        </r>
      </text>
    </comment>
    <comment ref="G901" authorId="4" shapeId="0" xr:uid="{92E881F5-72A2-4213-B325-46F0B59E2C0C}">
      <text>
        <r>
          <rPr>
            <sz val="11"/>
            <color theme="1"/>
            <rFont val="Aptos Narrow"/>
            <family val="2"/>
            <scheme val="minor"/>
          </rPr>
          <t>Unknown User:
MIXER TAP - GOOSE NECK</t>
        </r>
      </text>
    </comment>
    <comment ref="G902" authorId="4" shapeId="0" xr:uid="{50191520-CFD8-4578-BC02-F7158C4D6A78}">
      <text>
        <r>
          <rPr>
            <sz val="11"/>
            <color theme="1"/>
            <rFont val="Aptos Narrow"/>
            <family val="2"/>
            <scheme val="minor"/>
          </rPr>
          <t xml:space="preserve">Unknown User:
SUPPLY &amp; INSTALLATION OF NEW WATER SUPPLY TO WASHING MACHINE
</t>
        </r>
      </text>
    </comment>
    <comment ref="G903" authorId="4" shapeId="0" xr:uid="{ACCD47F8-D0A1-461D-8E17-0B63C3C76302}">
      <text>
        <r>
          <rPr>
            <sz val="11"/>
            <color theme="1"/>
            <rFont val="Aptos Narrow"/>
            <family val="2"/>
            <scheme val="minor"/>
          </rPr>
          <t>Unknown User:
MIXER TAP - STANDARD
10% Seniors &amp; Pensioners Discount</t>
        </r>
      </text>
    </comment>
    <comment ref="G904" authorId="4" shapeId="0" xr:uid="{F20FA808-5B79-4F27-9309-AFD1867E349D}">
      <text>
        <r>
          <rPr>
            <sz val="11"/>
            <color theme="1"/>
            <rFont val="Aptos Narrow"/>
            <family val="2"/>
            <scheme val="minor"/>
          </rPr>
          <t>Unknown User:
FLOOD, DYE, PRESSURE TEST (WET AREA)</t>
        </r>
      </text>
    </comment>
    <comment ref="G905" authorId="4" shapeId="0" xr:uid="{22B2E531-9199-423C-94C8-30F1A4F0C8B0}">
      <text>
        <r>
          <rPr>
            <sz val="11"/>
            <color theme="1"/>
            <rFont val="Aptos Narrow"/>
            <family val="2"/>
            <scheme val="minor"/>
          </rPr>
          <t>Unknown User:
SEARCH &amp; INVESTIGATION (GENERAL)</t>
        </r>
      </text>
    </comment>
    <comment ref="K905" authorId="4" shapeId="0" xr:uid="{5FB5D1AF-1C01-404F-BF3E-27951A566809}">
      <text>
        <r>
          <rPr>
            <sz val="11"/>
            <color theme="1"/>
            <rFont val="Aptos Narrow"/>
            <family val="2"/>
            <scheme val="minor"/>
          </rPr>
          <t>Unknown User:
Before job pics not uploaded.</t>
        </r>
      </text>
    </comment>
    <comment ref="L905" authorId="4" shapeId="0" xr:uid="{2CA9020D-7CAE-4CB8-BD81-E19EDD5433E9}">
      <text>
        <r>
          <rPr>
            <sz val="11"/>
            <color theme="1"/>
            <rFont val="Aptos Narrow"/>
            <family val="2"/>
            <scheme val="minor"/>
          </rPr>
          <t>Unknown User:
After job pics not uploaded.</t>
        </r>
      </text>
    </comment>
    <comment ref="G910" authorId="4" shapeId="0" xr:uid="{17894CDF-0A45-45A3-9770-443A2B39E25C}">
      <text>
        <r>
          <rPr>
            <sz val="11"/>
            <color theme="1"/>
            <rFont val="Aptos Narrow"/>
            <family val="2"/>
            <scheme val="minor"/>
          </rPr>
          <t>Unknown User:
TESTING OF RPZ VALVE</t>
        </r>
      </text>
    </comment>
    <comment ref="Q910" authorId="4" shapeId="0" xr:uid="{DE8E31D4-FFF9-4D9A-B706-41D7A31CF232}">
      <text>
        <r>
          <rPr>
            <sz val="11"/>
            <color theme="1"/>
            <rFont val="Aptos Narrow"/>
            <family val="2"/>
            <scheme val="minor"/>
          </rPr>
          <t>Unknown User:
Final invoice not raised</t>
        </r>
      </text>
    </comment>
    <comment ref="A911" authorId="21" shapeId="0" xr:uid="{6DB84E2A-58CF-486D-96F2-EBBE7FFE1790}">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 Reviews</t>
      </text>
    </comment>
    <comment ref="G911" authorId="4" shapeId="0" xr:uid="{2D514ECF-B40E-40CE-82E3-55F892DC3CA9}">
      <text>
        <r>
          <rPr>
            <sz val="11"/>
            <color theme="1"/>
            <rFont val="Aptos Narrow"/>
            <family val="2"/>
            <scheme val="minor"/>
          </rPr>
          <t>Unknown User:
SPECIALIST LEAK DETECTION (WATER SERVICE)</t>
        </r>
      </text>
    </comment>
    <comment ref="V911" authorId="4" shapeId="0" xr:uid="{DB49EB0A-0CD8-4515-B968-4C92E68AF549}">
      <text>
        <r>
          <rPr>
            <sz val="11"/>
            <color theme="1"/>
            <rFont val="Aptos Narrow"/>
            <family val="2"/>
            <scheme val="minor"/>
          </rPr>
          <t>Unknown User:
8/9-Received $2239.10 by Smartpay</t>
        </r>
      </text>
    </comment>
    <comment ref="G915" authorId="4" shapeId="0" xr:uid="{4A5B8223-F6E7-4FC6-ACEE-0FE4D2C0B0B9}">
      <text>
        <r>
          <rPr>
            <sz val="11"/>
            <color theme="1"/>
            <rFont val="Aptos Narrow"/>
            <family val="2"/>
            <scheme val="minor"/>
          </rPr>
          <t>Unknown User:
SEWER SPOT DIG (UNDER CONCRETE)</t>
        </r>
      </text>
    </comment>
    <comment ref="N915" authorId="4" shapeId="0" xr:uid="{A8E530AD-1913-4451-BCAE-C495BAA79AD2}">
      <text>
        <r>
          <rPr>
            <sz val="11"/>
            <color theme="1"/>
            <rFont val="Aptos Narrow"/>
            <family val="2"/>
            <scheme val="minor"/>
          </rPr>
          <t>Unknown User:
Quote raised in Job #73021</t>
        </r>
      </text>
    </comment>
    <comment ref="V915" authorId="4" shapeId="0" xr:uid="{FA9FD248-CA21-47AE-96F7-DA52F5FCEE2D}">
      <text>
        <r>
          <rPr>
            <sz val="11"/>
            <color theme="1"/>
            <rFont val="Aptos Narrow"/>
            <family val="2"/>
            <scheme val="minor"/>
          </rPr>
          <t>Unknown User:
15/9-Received $7875.40 balance amount by Smartpay</t>
        </r>
      </text>
    </comment>
    <comment ref="G916" authorId="4" shapeId="0" xr:uid="{EAAA2BBF-F8AA-4FC5-8550-9DFEB6AF2235}">
      <text>
        <r>
          <rPr>
            <sz val="11"/>
            <color theme="1"/>
            <rFont val="Aptos Narrow"/>
            <family val="2"/>
            <scheme val="minor"/>
          </rPr>
          <t xml:space="preserve">Unknown User:
SUPPLY &amp; INSTALLATION OF NEW BRASS HOSE TAP
10% Seniors &amp; Pensioners Discount </t>
        </r>
      </text>
    </comment>
    <comment ref="O916" authorId="4" shapeId="0" xr:uid="{915CC5B2-36F5-4BAF-86DB-2D2F0D05674A}">
      <text>
        <r>
          <rPr>
            <sz val="11"/>
            <color theme="1"/>
            <rFont val="Aptos Narrow"/>
            <family val="2"/>
            <scheme val="minor"/>
          </rPr>
          <t>Unknown User:
Quote not signed. 
Although customer is not onsite,SMS approval not obtained</t>
        </r>
      </text>
    </comment>
    <comment ref="P916" authorId="4" shapeId="0" xr:uid="{21960901-0D03-40B3-AD80-378CD030FECA}">
      <text>
        <r>
          <rPr>
            <sz val="11"/>
            <color theme="1"/>
            <rFont val="Aptos Narrow"/>
            <family val="2"/>
            <scheme val="minor"/>
          </rPr>
          <t>Unknown User:
Quote emailed without sign</t>
        </r>
      </text>
    </comment>
    <comment ref="R916" authorId="4" shapeId="0" xr:uid="{64E0E6F8-73B0-4E7E-9A38-04844D98197A}">
      <text>
        <r>
          <rPr>
            <sz val="11"/>
            <color theme="1"/>
            <rFont val="Aptos Narrow"/>
            <family val="2"/>
            <scheme val="minor"/>
          </rPr>
          <t>Unknown User:
Invoice not signed as customer not onsite</t>
        </r>
      </text>
    </comment>
    <comment ref="S916" authorId="4" shapeId="0" xr:uid="{9F2BBC76-9F98-49D9-A2CB-0476261EC253}">
      <text>
        <r>
          <rPr>
            <sz val="11"/>
            <color theme="1"/>
            <rFont val="Aptos Narrow"/>
            <family val="2"/>
            <scheme val="minor"/>
          </rPr>
          <t>Unknown User:
Invoice emailed without sign</t>
        </r>
      </text>
    </comment>
    <comment ref="G917" authorId="4" shapeId="0" xr:uid="{3C76E0BE-54AD-487B-B462-71769F62765E}">
      <text>
        <r>
          <rPr>
            <sz val="11"/>
            <color theme="1"/>
            <rFont val="Aptos Narrow"/>
            <family val="2"/>
            <scheme val="minor"/>
          </rPr>
          <t xml:space="preserve">Unknown User:
WATER SERVICE RECTIFICATION (IN GROUND)
10% Seniors &amp; Pensioners Discount </t>
        </r>
      </text>
    </comment>
    <comment ref="T917" authorId="4" shapeId="0" xr:uid="{B1DB1EB2-57CD-4FBA-8AA5-1E3CEB86A090}">
      <text>
        <r>
          <rPr>
            <sz val="11"/>
            <color theme="1"/>
            <rFont val="Aptos Narrow"/>
            <family val="2"/>
            <scheme val="minor"/>
          </rPr>
          <t>Unknown User:
0.5x Will Dower</t>
        </r>
      </text>
    </comment>
    <comment ref="G921" authorId="4" shapeId="0" xr:uid="{E11B7ED3-D34D-4CBD-A321-1B8B4E6D89A6}">
      <text>
        <r>
          <rPr>
            <sz val="11"/>
            <color theme="1"/>
            <rFont val="Aptos Narrow"/>
            <family val="2"/>
            <scheme val="minor"/>
          </rPr>
          <t>Unknown User:
SPECIALIST LEAK DETECTION (WATER SERVICE)</t>
        </r>
      </text>
    </comment>
    <comment ref="K921" authorId="4" shapeId="0" xr:uid="{31B35A6B-5D89-4F0E-84AC-9F9B976968D5}">
      <text>
        <r>
          <rPr>
            <sz val="11"/>
            <color theme="1"/>
            <rFont val="Aptos Narrow"/>
            <family val="2"/>
            <scheme val="minor"/>
          </rPr>
          <t>Unknown User:
Before job pics not uploaded</t>
        </r>
      </text>
    </comment>
    <comment ref="V921" authorId="4" shapeId="0" xr:uid="{DE67C141-37E9-49A5-AB53-D9751658BF30}">
      <text>
        <r>
          <rPr>
            <sz val="11"/>
            <color theme="1"/>
            <rFont val="Aptos Narrow"/>
            <family val="2"/>
            <scheme val="minor"/>
          </rPr>
          <t>Unknown User:
15/9-Received $1665.10 by Smartpay</t>
        </r>
      </text>
    </comment>
    <comment ref="G922" authorId="4" shapeId="0" xr:uid="{F2C27CED-7A9E-4C57-9305-7E3126DCE88A}">
      <text>
        <r>
          <rPr>
            <sz val="11"/>
            <color theme="1"/>
            <rFont val="Aptos Narrow"/>
            <family val="2"/>
            <scheme val="minor"/>
          </rPr>
          <t>Unknown User:
REPLACEMENT OF SEWER BOUNDARY TRAP
10% Loyalty Discount</t>
        </r>
      </text>
    </comment>
    <comment ref="K922" authorId="4" shapeId="0" xr:uid="{5F46EC1E-93C6-450D-9E92-56ACF2217C41}">
      <text>
        <r>
          <rPr>
            <sz val="11"/>
            <color theme="1"/>
            <rFont val="Aptos Narrow"/>
            <family val="2"/>
            <scheme val="minor"/>
          </rPr>
          <t>Unknown User:
Previous job #73115 images considered</t>
        </r>
      </text>
    </comment>
    <comment ref="N922" authorId="4" shapeId="0" xr:uid="{98B2B811-0787-457E-B213-974C845886EC}">
      <text>
        <r>
          <rPr>
            <sz val="11"/>
            <color theme="1"/>
            <rFont val="Aptos Narrow"/>
            <family val="2"/>
            <scheme val="minor"/>
          </rPr>
          <t>Unknown User:
Quote raised in Job #73115</t>
        </r>
      </text>
    </comment>
    <comment ref="G923" authorId="4" shapeId="0" xr:uid="{62E9FE03-F6AA-4522-944E-E3018C718BE7}">
      <text>
        <r>
          <rPr>
            <sz val="11"/>
            <color theme="1"/>
            <rFont val="Aptos Narrow"/>
            <family val="2"/>
            <scheme val="minor"/>
          </rPr>
          <t>Unknown User:
SUPPLY &amp; INSTALLATION OF NEW SINGLE ELEMENT HOT WATER UNIT – INTERNAL</t>
        </r>
      </text>
    </comment>
    <comment ref="L923" authorId="4" shapeId="0" xr:uid="{34ECBBC6-D3E1-47D1-AC59-5481B2E0BD2B}">
      <text>
        <r>
          <rPr>
            <sz val="11"/>
            <color theme="1"/>
            <rFont val="Aptos Narrow"/>
            <family val="2"/>
            <scheme val="minor"/>
          </rPr>
          <t>Unknown User:
Temp check pending</t>
        </r>
      </text>
    </comment>
    <comment ref="G928" authorId="4" shapeId="0" xr:uid="{10F41BCF-EF90-457D-924A-CC6A56966CEA}">
      <text>
        <r>
          <rPr>
            <sz val="11"/>
            <color theme="1"/>
            <rFont val="Aptos Narrow"/>
            <family val="2"/>
            <scheme val="minor"/>
          </rPr>
          <t>Unknown User:
REPLACEMENT OF PLUG &amp; WASTE - 40MM
HIGH POWERED SUCTION PUMP</t>
        </r>
      </text>
    </comment>
    <comment ref="L928" authorId="4" shapeId="0" xr:uid="{2EB274A4-BAD7-4656-A2B0-1D42144EAB85}">
      <text>
        <r>
          <rPr>
            <sz val="11"/>
            <color theme="1"/>
            <rFont val="Aptos Narrow"/>
            <family val="2"/>
            <scheme val="minor"/>
          </rPr>
          <t>Unknown User:
High powered suction pump pics not uploaded</t>
        </r>
      </text>
    </comment>
    <comment ref="R928" authorId="4" shapeId="0" xr:uid="{73192B47-FE86-41B2-9073-3307AB688714}">
      <text>
        <r>
          <rPr>
            <sz val="11"/>
            <color theme="1"/>
            <rFont val="Aptos Narrow"/>
            <family val="2"/>
            <scheme val="minor"/>
          </rPr>
          <t>Unknown User:
Customer not onsite</t>
        </r>
      </text>
    </comment>
    <comment ref="G929" authorId="4" shapeId="0" xr:uid="{A2A00708-837A-46EF-9DC6-1C82B76AB345}">
      <text>
        <r>
          <rPr>
            <sz val="11"/>
            <color theme="1"/>
            <rFont val="Aptos Narrow"/>
            <family val="2"/>
            <scheme val="minor"/>
          </rPr>
          <t>Unknown User:
SEWER SPOT DIG (UNDER CONCRETE)
CREDIT HIGH POWERED JETBLAST &amp; CCTV CAMERA
10% Seniors &amp; Pensioners Discount</t>
        </r>
      </text>
    </comment>
    <comment ref="T929" authorId="4" shapeId="0" xr:uid="{A3986F14-0E7E-4E84-8671-64B84307C949}">
      <text>
        <r>
          <rPr>
            <sz val="11"/>
            <color theme="1"/>
            <rFont val="Aptos Narrow"/>
            <family val="2"/>
            <scheme val="minor"/>
          </rPr>
          <t>Unknown User:
Shaun,Jayden,Tolga,Alex</t>
        </r>
      </text>
    </comment>
    <comment ref="G930" authorId="4" shapeId="0" xr:uid="{4C48084C-57E4-4937-9F16-3344F3130752}">
      <text>
        <r>
          <rPr>
            <sz val="11"/>
            <color theme="1"/>
            <rFont val="Aptos Narrow"/>
            <family val="2"/>
            <scheme val="minor"/>
          </rPr>
          <t>Unknown User:
SEWER SPOT DIG (UNDER CONCRETE)
CREDIT HIGH POWERED JETBLAST &amp; CCTV CAMERA
10% Seniors &amp; Pensioners Discount</t>
        </r>
      </text>
    </comment>
    <comment ref="T930" authorId="4" shapeId="0" xr:uid="{95F544DA-A5BA-4422-95E6-6C3F37B8B0C2}">
      <text>
        <r>
          <rPr>
            <sz val="11"/>
            <color theme="1"/>
            <rFont val="Aptos Narrow"/>
            <family val="2"/>
            <scheme val="minor"/>
          </rPr>
          <t>Unknown User:
Shaun,Jayden,Tolga,Alex</t>
        </r>
      </text>
    </comment>
    <comment ref="G934" authorId="4" shapeId="0" xr:uid="{F390E55B-DF9D-45FE-9FC1-0323E353C979}">
      <text>
        <r>
          <rPr>
            <sz val="11"/>
            <color theme="1"/>
            <rFont val="Aptos Narrow"/>
            <family val="2"/>
            <scheme val="minor"/>
          </rPr>
          <t xml:space="preserve">Unknown User:
WATER SERVICE RECTIFICATION (IN WALL)
Isolate water supply to property
Set up safe working area
Mark out required location
Diamond grind wall 
Jackhammer and removal of section of wall 
Gain access to damaged water service in wall
Expose existing section of damaged water service in wall
Cut &amp; removal of existing damaged water service
Clean existing water service
Prepare existing water service for new connections
Flush out water service free of potential debris
Supply &amp; install new section of new water service up to 1.5M
Supply &amp; install new Press fittings
Connect new section of water service to existing water service
Use of specialist hydraulic crimping tool
Crimp new section of water service
Reinstate water supply
Conduct pressure test on water service to ensure no further leaks
Lag new service in wall 
Supply and install new wall mortar and bedding to worked area 
Water proof worked area 
Installation of new wall tiles in worked area 
Supply and installation of new grouting in worked area 
Removal of trade waste
Test &amp; commission installation
Please note. If further works are required, additional costs will apply. If exact tiles cannot be matched, closest option will be provided and agreed by customer. </t>
        </r>
      </text>
    </comment>
    <comment ref="N934" authorId="4" shapeId="0" xr:uid="{1CB7A7EF-CBD4-4650-AFDF-7F3F59578780}">
      <text>
        <r>
          <rPr>
            <sz val="11"/>
            <color theme="1"/>
            <rFont val="Aptos Narrow"/>
            <family val="2"/>
            <scheme val="minor"/>
          </rPr>
          <t>Unknown User:
Quote raised in job #71735</t>
        </r>
      </text>
    </comment>
    <comment ref="U934" authorId="4" shapeId="0" xr:uid="{392D86E0-0022-44F8-94E9-1460FC119E88}">
      <text>
        <r>
          <rPr>
            <sz val="11"/>
            <color theme="1"/>
            <rFont val="Aptos Narrow"/>
            <family val="2"/>
            <scheme val="minor"/>
          </rPr>
          <t>Unknown User:
28/07-As per Will's note "Asked for a leak report, I said we can send plumbers findings, I told her to ask the plumber for more information on that. I will let dispatch know too"</t>
        </r>
      </text>
    </comment>
    <comment ref="G939" authorId="4" shapeId="0" xr:uid="{3BC7D8D1-0547-492E-82BA-D0444A4D3A94}">
      <text>
        <r>
          <rPr>
            <sz val="11"/>
            <color theme="1"/>
            <rFont val="Aptos Narrow"/>
            <family val="2"/>
            <scheme val="minor"/>
          </rPr>
          <t xml:space="preserve">Unknown User:
REPLACEMENT OF SEWER VENT PIPE WITH PVC
</t>
        </r>
      </text>
    </comment>
    <comment ref="G941" authorId="4" shapeId="0" xr:uid="{F170E44D-6453-4543-A5BE-59BC45D71582}">
      <text>
        <r>
          <rPr>
            <sz val="11"/>
            <color theme="1"/>
            <rFont val="Aptos Narrow"/>
            <family val="2"/>
            <scheme val="minor"/>
          </rPr>
          <t>Unknown User:
SUPPLY &amp; INSTALLATION OF NEW PLASTIC TOILET CISTERN</t>
        </r>
      </text>
    </comment>
    <comment ref="G944" authorId="4" shapeId="0" xr:uid="{713BAC2A-F645-4A0D-9C14-C80FFC0C59D0}">
      <text>
        <r>
          <rPr>
            <sz val="11"/>
            <color theme="1"/>
            <rFont val="Aptos Narrow"/>
            <family val="2"/>
            <scheme val="minor"/>
          </rPr>
          <t xml:space="preserve">Unknown User:
HIGH POWERED JET BLAST &amp; CCTV DRAIN CAMERA INSPECTION (SEWER SERVICE)
</t>
        </r>
      </text>
    </comment>
    <comment ref="G945" authorId="4" shapeId="0" xr:uid="{15EB8F3F-4915-4A0E-A0AD-4AE798BF37D1}">
      <text>
        <r>
          <rPr>
            <sz val="11"/>
            <color theme="1"/>
            <rFont val="Aptos Narrow"/>
            <family val="2"/>
            <scheme val="minor"/>
          </rPr>
          <t>Unknown User:
SEARCH &amp; INVESTIGATION OF GAS STORAGE HOT WATER SYSTEM</t>
        </r>
      </text>
    </comment>
    <comment ref="G946" authorId="4" shapeId="0" xr:uid="{712EA57A-CCC9-48F9-8C8F-CE578BA0079A}">
      <text>
        <r>
          <rPr>
            <sz val="11"/>
            <color theme="1"/>
            <rFont val="Aptos Narrow"/>
            <family val="2"/>
            <scheme val="minor"/>
          </rPr>
          <t>Unknown User:
SUPPLY &amp; INSTALLATION OF GAS STORAGE HOT WATER SYSTEM (EXTERNAL)
10% Seniors &amp; Pensioners Discount</t>
        </r>
      </text>
    </comment>
    <comment ref="G947" authorId="4" shapeId="0" xr:uid="{F67DC481-B8D1-4F49-B7DC-FF5F693C8444}">
      <text>
        <r>
          <rPr>
            <sz val="11"/>
            <color theme="1"/>
            <rFont val="Aptos Narrow"/>
            <family val="2"/>
            <scheme val="minor"/>
          </rPr>
          <t xml:space="preserve">Unknown User:
RESEAL OF BATHROOM
CREDIT OF SEARCH &amp; INVESTIGATION 
10% Good Will Discount </t>
        </r>
      </text>
    </comment>
    <comment ref="K947" authorId="4" shapeId="0" xr:uid="{30519CD9-C7E0-4B66-A139-33DADBB7874E}">
      <text>
        <r>
          <rPr>
            <sz val="11"/>
            <color theme="1"/>
            <rFont val="Aptos Narrow"/>
            <family val="2"/>
            <scheme val="minor"/>
          </rPr>
          <t>Unknown User:
Previous job #73210 pics considered</t>
        </r>
      </text>
    </comment>
    <comment ref="G949" authorId="4" shapeId="0" xr:uid="{B1905352-9634-40C2-96C2-87D49211487F}">
      <text>
        <r>
          <rPr>
            <sz val="11"/>
            <color theme="1"/>
            <rFont val="Aptos Narrow"/>
            <family val="2"/>
            <scheme val="minor"/>
          </rPr>
          <t xml:space="preserve">Unknown User:
INSTALLATION OF NEW FREE-STANDING VANITY 750MM (CUSTOMER SUPPLIED)
</t>
        </r>
      </text>
    </comment>
    <comment ref="G950" authorId="4" shapeId="0" xr:uid="{F19B448D-D0D1-49F2-87E7-948AA4FCCDE9}">
      <text>
        <r>
          <rPr>
            <sz val="11"/>
            <color theme="1"/>
            <rFont val="Aptos Narrow"/>
            <family val="2"/>
            <scheme val="minor"/>
          </rPr>
          <t xml:space="preserve">Unknown User:
SUPPLY &amp; INSTALLATION OF GAS STORAGE HOT WATER SYSTEM (EXTERNAL)
</t>
        </r>
      </text>
    </comment>
    <comment ref="G952" authorId="4" shapeId="0" xr:uid="{4623F7B7-2371-4ABF-B8BF-49D7E07B9DAB}">
      <text>
        <r>
          <rPr>
            <sz val="11"/>
            <color theme="1"/>
            <rFont val="Aptos Narrow"/>
            <family val="2"/>
            <scheme val="minor"/>
          </rPr>
          <t>Unknown User:
INSTALL COMMERCIAL DRYER (CUSTOMER SUPPLIED)
Non-refundable call out fee applied to dispatch technician to a commercial property.</t>
        </r>
      </text>
    </comment>
    <comment ref="E973" authorId="22" shapeId="0" xr:uid="{30756C35-5073-4614-85E1-FF4A03035A8B}">
      <text>
        <t>[Threaded comment]
Your version of Excel allows you to read this threaded comment; however, any edits to it will get removed if the file is opened in a newer version of Excel. Learn more: https://go.microsoft.com/fwlink/?linkid=870924
Comment:
    Stock</t>
      </text>
    </comment>
    <comment ref="G985" authorId="4" shapeId="0" xr:uid="{CAF1076A-C099-4619-820B-72D3C7F2B997}">
      <text>
        <r>
          <rPr>
            <sz val="11"/>
            <color theme="1"/>
            <rFont val="Aptos Narrow"/>
            <family val="2"/>
            <scheme val="minor"/>
          </rPr>
          <t>Unknown User:
MIXER TAP - STANDARD
10% Seniors &amp; Pensioners Discount</t>
        </r>
      </text>
    </comment>
    <comment ref="G986" authorId="4" shapeId="0" xr:uid="{0656AA39-3B8D-458F-BC5D-042D6F52CC3C}">
      <text>
        <r>
          <rPr>
            <sz val="11"/>
            <color theme="1"/>
            <rFont val="Aptos Narrow"/>
            <family val="2"/>
            <scheme val="minor"/>
          </rPr>
          <t>Unknown User:
HIGH POWERED SUCTION &amp; ACID TREATMENT</t>
        </r>
      </text>
    </comment>
    <comment ref="G987" authorId="4" shapeId="0" xr:uid="{A90469F7-55A6-4EC3-AA2B-C112992422E6}">
      <text>
        <r>
          <rPr>
            <sz val="11"/>
            <color theme="1"/>
            <rFont val="Aptos Narrow"/>
            <family val="2"/>
            <scheme val="minor"/>
          </rPr>
          <t>Unknown User:
WATER SERVICE RECTIFICATION (IN WALL)
10% Seniors &amp; Pensioners Discount</t>
        </r>
      </text>
    </comment>
    <comment ref="G988" authorId="4" shapeId="0" xr:uid="{45C62DF6-F040-4D2D-B617-01EA08FE3CB4}">
      <text>
        <r>
          <rPr>
            <sz val="11"/>
            <color theme="1"/>
            <rFont val="Aptos Narrow"/>
            <family val="2"/>
            <scheme val="minor"/>
          </rPr>
          <t>Unknown User:
SUPPLY &amp; INSTALLATION OF GAS STORAGE HOT WATER SYSTEM (EXTERNAL)
Customer Satisfaction Discount</t>
        </r>
      </text>
    </comment>
    <comment ref="M988" authorId="4" shapeId="0" xr:uid="{EDBDFEF6-CEE8-4629-ABB2-BF9944DDA0B5}">
      <text>
        <r>
          <rPr>
            <sz val="11"/>
            <color theme="1"/>
            <rFont val="Aptos Narrow"/>
            <family val="2"/>
            <scheme val="minor"/>
          </rPr>
          <t>Unknown User:
Smartpay receipt of $549 not uploaded by plumber.
Uploaded by Modoras team.</t>
        </r>
      </text>
    </comment>
    <comment ref="Q988" authorId="4" shapeId="0" xr:uid="{ED77755B-5716-40BC-91A6-5902A960E327}">
      <text>
        <r>
          <rPr>
            <sz val="11"/>
            <color theme="1"/>
            <rFont val="Aptos Narrow"/>
            <family val="2"/>
            <scheme val="minor"/>
          </rPr>
          <t>Unknown User:
Final zero due invoice not raised</t>
        </r>
      </text>
    </comment>
    <comment ref="G989" authorId="4" shapeId="0" xr:uid="{9FCDA842-6BA5-42F9-98F8-9188F9B7B366}">
      <text>
        <r>
          <rPr>
            <sz val="11"/>
            <color theme="1"/>
            <rFont val="Aptos Narrow"/>
            <family val="2"/>
            <scheme val="minor"/>
          </rPr>
          <t>Unknown User:
REMOVAL OF UNDER SINK TRAP AND CLEAR BLOCKAGE
Non-refundable call out fee</t>
        </r>
      </text>
    </comment>
    <comment ref="G990" authorId="4" shapeId="0" xr:uid="{B8E1A075-568F-419A-AFF6-F9E11CF4A566}">
      <text>
        <r>
          <rPr>
            <sz val="11"/>
            <color theme="1"/>
            <rFont val="Aptos Narrow"/>
            <family val="2"/>
            <scheme val="minor"/>
          </rPr>
          <t xml:space="preserve">Unknown User:
SEWER STACK RECTIFICATION UPTO 1M
MIXER TAP - STANDARD
Non-refundable call out fee </t>
        </r>
      </text>
    </comment>
    <comment ref="G991" authorId="4" shapeId="0" xr:uid="{EB5B2FC6-CB2D-409C-ACA2-8E434CEEADEF}">
      <text>
        <r>
          <rPr>
            <sz val="11"/>
            <color theme="1"/>
            <rFont val="Aptos Narrow"/>
            <family val="2"/>
            <scheme val="minor"/>
          </rPr>
          <t>Unknown User:
RECTIFICATION OF WATER METER</t>
        </r>
      </text>
    </comment>
    <comment ref="M991" authorId="4" shapeId="0" xr:uid="{0C8264FA-15BD-4E03-AF6B-A0686F2C4BC1}">
      <text>
        <r>
          <rPr>
            <sz val="11"/>
            <color theme="1"/>
            <rFont val="Aptos Narrow"/>
            <family val="2"/>
            <scheme val="minor"/>
          </rPr>
          <t>Unknown User:
Smartpay receipt of $1497.10 not uploaded by plumber.
Uploaded by Modoras team.</t>
        </r>
      </text>
    </comment>
    <comment ref="G996" authorId="4" shapeId="0" xr:uid="{50116E8E-033B-49CB-93FA-22AEFFC39C89}">
      <text>
        <r>
          <rPr>
            <sz val="11"/>
            <color theme="1"/>
            <rFont val="Aptos Narrow"/>
            <family val="2"/>
            <scheme val="minor"/>
          </rPr>
          <t>Unknown User:
SEWER SPOT DIG (UNDER CONCRETE)</t>
        </r>
      </text>
    </comment>
    <comment ref="N996" authorId="4" shapeId="0" xr:uid="{6060401B-9981-4262-8D32-A73F5EA54DA7}">
      <text>
        <r>
          <rPr>
            <sz val="11"/>
            <color theme="1"/>
            <rFont val="Aptos Narrow"/>
            <family val="2"/>
            <scheme val="minor"/>
          </rPr>
          <t>Unknown User:
Quote raised in Job #73021</t>
        </r>
      </text>
    </comment>
    <comment ref="V996" authorId="4" shapeId="0" xr:uid="{6E988BEE-08FA-4E74-A185-B2FF8810B83C}">
      <text>
        <r>
          <rPr>
            <sz val="11"/>
            <color theme="1"/>
            <rFont val="Aptos Narrow"/>
            <family val="2"/>
            <scheme val="minor"/>
          </rPr>
          <t>Unknown User:
15/9-Received $7875.40 balance amount by Smartpay</t>
        </r>
      </text>
    </comment>
    <comment ref="G997" authorId="4" shapeId="0" xr:uid="{19DB26B2-4E41-49DD-8430-D437DCF067F3}">
      <text>
        <r>
          <rPr>
            <sz val="11"/>
            <color theme="1"/>
            <rFont val="Aptos Narrow"/>
            <family val="2"/>
            <scheme val="minor"/>
          </rPr>
          <t>Unknown User:
SPECIALIST LEAK DETECTION (WATER SERVICE)</t>
        </r>
      </text>
    </comment>
    <comment ref="K997" authorId="4" shapeId="0" xr:uid="{08201C8D-354B-4AAF-9A66-730061B1AFED}">
      <text>
        <r>
          <rPr>
            <sz val="11"/>
            <color theme="1"/>
            <rFont val="Aptos Narrow"/>
            <family val="2"/>
            <scheme val="minor"/>
          </rPr>
          <t>Unknown User:
Before job pics not uploaded</t>
        </r>
      </text>
    </comment>
    <comment ref="V997" authorId="4" shapeId="0" xr:uid="{52A5BD76-4303-4CB1-9414-F9777E86CB59}">
      <text>
        <r>
          <rPr>
            <sz val="11"/>
            <color theme="1"/>
            <rFont val="Aptos Narrow"/>
            <family val="2"/>
            <scheme val="minor"/>
          </rPr>
          <t>Unknown User:
15/9-Received $1665.10 by Smartpay</t>
        </r>
      </text>
    </comment>
    <comment ref="G998" authorId="4" shapeId="0" xr:uid="{4F97A8E2-8105-4902-BF72-707AECCF0A32}">
      <text>
        <r>
          <rPr>
            <sz val="11"/>
            <color theme="1"/>
            <rFont val="Aptos Narrow"/>
            <family val="2"/>
            <scheme val="minor"/>
          </rPr>
          <t>Unknown User:
SUPPLY &amp; INSTALLATION OF NEW SINGLE ELEMENT HOT WATER UNIT – INTERNAL</t>
        </r>
      </text>
    </comment>
    <comment ref="L998" authorId="4" shapeId="0" xr:uid="{8DE684D8-C8AD-43B8-A2AE-9105B04FDCD7}">
      <text>
        <r>
          <rPr>
            <sz val="11"/>
            <color theme="1"/>
            <rFont val="Aptos Narrow"/>
            <family val="2"/>
            <scheme val="minor"/>
          </rPr>
          <t>Unknown User:
Temp check pending</t>
        </r>
      </text>
    </comment>
    <comment ref="G999" authorId="4" shapeId="0" xr:uid="{EB827005-9C23-4804-B4BD-144FB19A82C3}">
      <text>
        <r>
          <rPr>
            <sz val="11"/>
            <color theme="1"/>
            <rFont val="Aptos Narrow"/>
            <family val="2"/>
            <scheme val="minor"/>
          </rPr>
          <t xml:space="preserve">Unknown User:
SUPPLY &amp; INSTALLATION OF NEW BRASS HOSE TAP
10% Seniors &amp; Pensioners Discount </t>
        </r>
      </text>
    </comment>
    <comment ref="O999" authorId="4" shapeId="0" xr:uid="{B6181350-7D37-44B7-B6F5-2754D9B51AEC}">
      <text>
        <r>
          <rPr>
            <sz val="11"/>
            <color theme="1"/>
            <rFont val="Aptos Narrow"/>
            <family val="2"/>
            <scheme val="minor"/>
          </rPr>
          <t>Unknown User:
Quote not signed. 
Although customer is not onsite,SMS approval not obtained</t>
        </r>
      </text>
    </comment>
    <comment ref="P999" authorId="4" shapeId="0" xr:uid="{1DA502FB-7745-487B-A138-AD4CBC1D22B3}">
      <text>
        <r>
          <rPr>
            <sz val="11"/>
            <color theme="1"/>
            <rFont val="Aptos Narrow"/>
            <family val="2"/>
            <scheme val="minor"/>
          </rPr>
          <t>Unknown User:
Quote emailed without sign</t>
        </r>
      </text>
    </comment>
    <comment ref="R999" authorId="4" shapeId="0" xr:uid="{7DF871A7-1A72-4EE4-A8B9-2B6C58279C8A}">
      <text>
        <r>
          <rPr>
            <sz val="11"/>
            <color theme="1"/>
            <rFont val="Aptos Narrow"/>
            <family val="2"/>
            <scheme val="minor"/>
          </rPr>
          <t>Unknown User:
Invoice not signed as customer not onsite</t>
        </r>
      </text>
    </comment>
    <comment ref="S999" authorId="4" shapeId="0" xr:uid="{44136EC0-B912-4EF5-AB3E-342FB4A3FFAF}">
      <text>
        <r>
          <rPr>
            <sz val="11"/>
            <color theme="1"/>
            <rFont val="Aptos Narrow"/>
            <family val="2"/>
            <scheme val="minor"/>
          </rPr>
          <t>Unknown User:
Invoice emailed without sign</t>
        </r>
      </text>
    </comment>
    <comment ref="G1004" authorId="4" shapeId="0" xr:uid="{B0F7675C-4F60-4CAF-A25D-2AB9FD3E8ED6}">
      <text>
        <r>
          <rPr>
            <sz val="11"/>
            <color theme="1"/>
            <rFont val="Aptos Narrow"/>
            <family val="2"/>
            <scheme val="minor"/>
          </rPr>
          <t>Unknown User:
REPLACEMENT OF PLUG &amp; WASTE - 40MM
HIGH POWERED SUCTION PUMP</t>
        </r>
      </text>
    </comment>
    <comment ref="L1004" authorId="4" shapeId="0" xr:uid="{A6CB4EA3-33E7-4406-B231-F09EE9E84A78}">
      <text>
        <r>
          <rPr>
            <sz val="11"/>
            <color theme="1"/>
            <rFont val="Aptos Narrow"/>
            <family val="2"/>
            <scheme val="minor"/>
          </rPr>
          <t>Unknown User:
High powered suction pump pics not uploaded</t>
        </r>
      </text>
    </comment>
    <comment ref="R1004" authorId="4" shapeId="0" xr:uid="{F6994403-0308-4779-A7DF-8E2B14C93A7F}">
      <text>
        <r>
          <rPr>
            <sz val="11"/>
            <color theme="1"/>
            <rFont val="Aptos Narrow"/>
            <family val="2"/>
            <scheme val="minor"/>
          </rPr>
          <t>Unknown User:
Customer not onsite</t>
        </r>
      </text>
    </comment>
    <comment ref="G1005" authorId="4" shapeId="0" xr:uid="{F97A46B9-4B61-4801-8637-65053DF32434}">
      <text>
        <r>
          <rPr>
            <sz val="11"/>
            <color theme="1"/>
            <rFont val="Aptos Narrow"/>
            <family val="2"/>
            <scheme val="minor"/>
          </rPr>
          <t>Unknown User:
SEWER SPOT DIG (UNDER CONCRETE)
CREDIT HIGH POWERED JETBLAST &amp; CCTV CAMERA
10% Seniors &amp; Pensioners Discount</t>
        </r>
      </text>
    </comment>
    <comment ref="T1005" authorId="4" shapeId="0" xr:uid="{0C844B85-03B4-4A2E-85D3-6DF9C503AFF7}">
      <text>
        <r>
          <rPr>
            <sz val="11"/>
            <color theme="1"/>
            <rFont val="Aptos Narrow"/>
            <family val="2"/>
            <scheme val="minor"/>
          </rPr>
          <t>Unknown User:
Shaun,Jayden,Tolga,Alex</t>
        </r>
      </text>
    </comment>
    <comment ref="G1006" authorId="4" shapeId="0" xr:uid="{E8BFD1A3-63F7-4148-A19C-B94B71114E70}">
      <text>
        <r>
          <rPr>
            <sz val="11"/>
            <color theme="1"/>
            <rFont val="Aptos Narrow"/>
            <family val="2"/>
            <scheme val="minor"/>
          </rPr>
          <t xml:space="preserve">Unknown User:
WATER SERVICE RECTIFICATION (IN GROUND)
10% Seniors &amp; Pensioners Discount </t>
        </r>
      </text>
    </comment>
    <comment ref="T1006" authorId="4" shapeId="0" xr:uid="{ABCAE9CF-2DEC-453E-BEF0-AEC1B7A9896F}">
      <text>
        <r>
          <rPr>
            <sz val="11"/>
            <color theme="1"/>
            <rFont val="Aptos Narrow"/>
            <family val="2"/>
            <scheme val="minor"/>
          </rPr>
          <t>Unknown User:
0.5x Will Dower</t>
        </r>
      </text>
    </comment>
    <comment ref="G1010" authorId="4" shapeId="0" xr:uid="{7FA0CE1B-BA02-4CE1-9764-70132523FAA7}">
      <text>
        <r>
          <rPr>
            <sz val="11"/>
            <color theme="1"/>
            <rFont val="Aptos Narrow"/>
            <family val="2"/>
            <scheme val="minor"/>
          </rPr>
          <t xml:space="preserve">Unknown User:
WATER SERVICE RECTIFICATION (IN WALL)
Isolate water supply to property
Set up safe working area
Mark out required location
Diamond grind wall 
Jackhammer and removal of section of wall 
Gain access to damaged water service in wall
Expose existing section of damaged water service in wall
Cut &amp; removal of existing damaged water service
Clean existing water service
Prepare existing water service for new connections
Flush out water service free of potential debris
Supply &amp; install new section of new water service up to 1.5M
Supply &amp; install new Press fittings
Connect new section of water service to existing water service
Use of specialist hydraulic crimping tool
Crimp new section of water service
Reinstate water supply
Conduct pressure test on water service to ensure no further leaks
Lag new service in wall 
Supply and install new wall mortar and bedding to worked area 
Water proof worked area 
Installation of new wall tiles in worked area 
Supply and installation of new grouting in worked area 
Removal of trade waste
Test &amp; commission installation
Please note. If further works are required, additional costs will apply. If exact tiles cannot be matched, closest option will be provided and agreed by customer. </t>
        </r>
      </text>
    </comment>
    <comment ref="N1010" authorId="4" shapeId="0" xr:uid="{231A71DD-306C-46E3-93F6-C7A473A8F764}">
      <text>
        <r>
          <rPr>
            <sz val="11"/>
            <color theme="1"/>
            <rFont val="Aptos Narrow"/>
            <family val="2"/>
            <scheme val="minor"/>
          </rPr>
          <t>Unknown User:
Quote raised in job #71735</t>
        </r>
      </text>
    </comment>
    <comment ref="U1010" authorId="4" shapeId="0" xr:uid="{2DB23341-6465-454E-9CEB-970A8C93EC83}">
      <text>
        <r>
          <rPr>
            <sz val="11"/>
            <color theme="1"/>
            <rFont val="Aptos Narrow"/>
            <family val="2"/>
            <scheme val="minor"/>
          </rPr>
          <t>Unknown User:
28/07-As per Will's note "Asked for a leak report, I said we can send plumbers findings, I told her to ask the plumber for more information on that. I will let dispatch know too"</t>
        </r>
      </text>
    </comment>
    <comment ref="G1011" authorId="4" shapeId="0" xr:uid="{08D326DB-CEBE-4BEC-A254-C7BC2268E814}">
      <text>
        <r>
          <rPr>
            <sz val="11"/>
            <color theme="1"/>
            <rFont val="Aptos Narrow"/>
            <family val="2"/>
            <scheme val="minor"/>
          </rPr>
          <t>Unknown User:
REPLACEMENT OF SEWER BOUNDARY TRAP
10% Loyalty Discount</t>
        </r>
      </text>
    </comment>
    <comment ref="K1011" authorId="4" shapeId="0" xr:uid="{4F86FC2D-5B47-4B1A-B1D4-F6373F6EE5D6}">
      <text>
        <r>
          <rPr>
            <sz val="11"/>
            <color theme="1"/>
            <rFont val="Aptos Narrow"/>
            <family val="2"/>
            <scheme val="minor"/>
          </rPr>
          <t>Unknown User:
Previous job #73115 images considered</t>
        </r>
      </text>
    </comment>
    <comment ref="N1011" authorId="4" shapeId="0" xr:uid="{B172CDC4-567A-47E3-ADBA-1867A6E8ED5B}">
      <text>
        <r>
          <rPr>
            <sz val="11"/>
            <color theme="1"/>
            <rFont val="Aptos Narrow"/>
            <family val="2"/>
            <scheme val="minor"/>
          </rPr>
          <t>Unknown User:
Quote raised in Job #73115</t>
        </r>
      </text>
    </comment>
    <comment ref="V1011" authorId="4" shapeId="0" xr:uid="{00F4C04E-B246-48D5-B017-14ECED5BF235}">
      <text>
        <r>
          <rPr>
            <sz val="11"/>
            <color theme="1"/>
            <rFont val="Aptos Narrow"/>
            <family val="2"/>
            <scheme val="minor"/>
          </rPr>
          <t>Unknown User:
18/9-Received $2000 by Smartpay</t>
        </r>
      </text>
    </comment>
    <comment ref="G1015" authorId="4" shapeId="0" xr:uid="{2E2F3088-ACF3-4FD2-B920-561998432BE8}">
      <text>
        <r>
          <rPr>
            <sz val="11"/>
            <color theme="1"/>
            <rFont val="Aptos Narrow"/>
            <family val="2"/>
            <scheme val="minor"/>
          </rPr>
          <t>Unknown User:
DIG UP OF STORM WATER SPOT (UNDER CONCRETE)
10% Loyalty Discount</t>
        </r>
      </text>
    </comment>
    <comment ref="G1017" authorId="4" shapeId="0" xr:uid="{27254891-CEAB-41C8-808D-187CFA91CA9B}">
      <text>
        <r>
          <rPr>
            <sz val="11"/>
            <color theme="1"/>
            <rFont val="Aptos Narrow"/>
            <family val="2"/>
            <scheme val="minor"/>
          </rPr>
          <t xml:space="preserve">Unknown User:
WATER SERVICE RECTIFICATION (IN GROUND)
</t>
        </r>
      </text>
    </comment>
    <comment ref="G1020" authorId="4" shapeId="0" xr:uid="{2D6BB8F2-2AC5-41F8-B301-88836BA034FD}">
      <text>
        <r>
          <rPr>
            <sz val="11"/>
            <color theme="1"/>
            <rFont val="Aptos Narrow"/>
            <family val="2"/>
            <scheme val="minor"/>
          </rPr>
          <t xml:space="preserve">Unknown User:
RESEAL OF SHOWER
</t>
        </r>
      </text>
    </comment>
    <comment ref="G1021" authorId="4" shapeId="0" xr:uid="{F60C436A-2DE0-4C9C-84C1-2B95176958D6}">
      <text>
        <r>
          <rPr>
            <sz val="11"/>
            <color theme="1"/>
            <rFont val="Aptos Narrow"/>
            <family val="2"/>
            <scheme val="minor"/>
          </rPr>
          <t>Unknown User:
HIGH POWERED SUCTION PUMP</t>
        </r>
      </text>
    </comment>
    <comment ref="G1022" authorId="4" shapeId="0" xr:uid="{A4126AF9-9782-4F5E-81BD-9BF693454358}">
      <text>
        <r>
          <rPr>
            <sz val="11"/>
            <color theme="1"/>
            <rFont val="Aptos Narrow"/>
            <family val="2"/>
            <scheme val="minor"/>
          </rPr>
          <t>Unknown User:
SUPPLY &amp; INSTALLATION OF GAS STORAGE HOT WATER SYSTEM (EXTERNAL)
10% Seniors &amp; Pensioners Discount</t>
        </r>
      </text>
    </comment>
    <comment ref="G1023" authorId="4" shapeId="0" xr:uid="{BB763808-7E24-42B5-AB04-FC870809F5DF}">
      <text>
        <r>
          <rPr>
            <sz val="11"/>
            <color theme="1"/>
            <rFont val="Aptos Narrow"/>
            <family val="2"/>
            <scheme val="minor"/>
          </rPr>
          <t>Unknown User:
SUPPLY &amp; INSTALLATION OF NEW LINK SUITE
10% Seniors &amp; Pensioners Discount</t>
        </r>
      </text>
    </comment>
    <comment ref="G1024" authorId="4" shapeId="0" xr:uid="{0ABD5B39-1A96-49B9-8311-A43EAD37955C}">
      <text>
        <r>
          <rPr>
            <sz val="11"/>
            <color theme="1"/>
            <rFont val="Aptos Narrow"/>
            <family val="2"/>
            <scheme val="minor"/>
          </rPr>
          <t xml:space="preserve">Unknown User:
RESEAL OF SHOWER
</t>
        </r>
      </text>
    </comment>
    <comment ref="G1025" authorId="4" shapeId="0" xr:uid="{D115426A-691A-42E1-98AC-E45590CB1FFC}">
      <text>
        <r>
          <rPr>
            <sz val="11"/>
            <color theme="1"/>
            <rFont val="Aptos Narrow"/>
            <family val="2"/>
            <scheme val="minor"/>
          </rPr>
          <t>Unknown User:
SUPPLY &amp; INSTALLATION OF NEW DISHWASHER IN REPLACEMENT OF EXISTING</t>
        </r>
      </text>
    </comment>
    <comment ref="E1046" authorId="23" shapeId="0" xr:uid="{732BA121-AF6A-4498-BABE-D58AC9110C99}">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E1047" authorId="24" shapeId="0" xr:uid="{B417C7CB-72B2-4EEE-806F-0A0D6983668D}">
      <text>
        <t>[Threaded comment]
Your version of Excel allows you to read this threaded comment; however, any edits to it will get removed if the file is opened in a newer version of Excel. Learn more: https://go.microsoft.com/fwlink/?linkid=870924
Comment:
    Stock</t>
      </text>
    </comment>
    <comment ref="E1048" authorId="25" shapeId="0" xr:uid="{8D7A2FD4-2064-4128-94E7-964A20A6C1A1}">
      <text>
        <t>[Threaded comment]
Your version of Excel allows you to read this threaded comment; however, any edits to it will get removed if the file is opened in a newer version of Excel. Learn more: https://go.microsoft.com/fwlink/?linkid=870924
Comment:
    Checked</t>
      </text>
    </comment>
    <comment ref="G1058" authorId="4" shapeId="0" xr:uid="{26E89EA5-3DA5-4FA0-91A5-A9427D9E3770}">
      <text>
        <r>
          <rPr>
            <sz val="11"/>
            <color theme="1"/>
            <rFont val="Aptos Narrow"/>
            <family val="2"/>
            <scheme val="minor"/>
          </rPr>
          <t>Unknown User:
SUPPLY &amp; INSTALLATION OF GAS STORAGE HOT WATER SYSTEM (EXTERNAL)</t>
        </r>
      </text>
    </comment>
    <comment ref="G1059" authorId="4" shapeId="0" xr:uid="{F8DEBF5C-5DB4-41A8-9D5B-71A70E2BBFE1}">
      <text>
        <r>
          <rPr>
            <sz val="11"/>
            <color theme="1"/>
            <rFont val="Aptos Narrow"/>
            <family val="2"/>
            <scheme val="minor"/>
          </rPr>
          <t>Unknown User:
SUPPLY &amp; INSTALLATION OF ELECTRIC INSTANTANEOUS HOT WATER SYSTEM (THREE PHASE)</t>
        </r>
      </text>
    </comment>
    <comment ref="Q1059" authorId="4" shapeId="0" xr:uid="{9A462C17-CEF2-4607-BB19-F234F422F8D1}">
      <text>
        <r>
          <rPr>
            <sz val="11"/>
            <color theme="1"/>
            <rFont val="Aptos Narrow"/>
            <family val="2"/>
            <scheme val="minor"/>
          </rPr>
          <t>Unknown User:
Although Shaun has mentioned a note as "No signatures due to offsite customers", invoice is not raised by him.</t>
        </r>
      </text>
    </comment>
    <comment ref="G1060" authorId="4" shapeId="0" xr:uid="{13AA12EE-E3D7-4100-A5D2-F4F8D471E7AC}">
      <text>
        <r>
          <rPr>
            <sz val="11"/>
            <color theme="1"/>
            <rFont val="Aptos Narrow"/>
            <family val="2"/>
            <scheme val="minor"/>
          </rPr>
          <t>Unknown User:
COMPLETE SERVICE OF TAP TOP ASSEMBLY</t>
        </r>
      </text>
    </comment>
    <comment ref="G1061" authorId="4" shapeId="0" xr:uid="{9201BF3D-25C0-4B89-950C-14B190393590}">
      <text>
        <r>
          <rPr>
            <sz val="11"/>
            <color theme="1"/>
            <rFont val="Aptos Narrow"/>
            <family val="2"/>
            <scheme val="minor"/>
          </rPr>
          <t xml:space="preserve">Unknown User:
SUPPLY &amp; INSTALLATION OF NEW PLASTIC TOILET CISTERN
</t>
        </r>
      </text>
    </comment>
    <comment ref="S1061" authorId="4" shapeId="0" xr:uid="{19B1011D-7A2D-41E9-AB84-94C10D759D96}">
      <text>
        <r>
          <rPr>
            <sz val="11"/>
            <color theme="1"/>
            <rFont val="Aptos Narrow"/>
            <family val="2"/>
            <scheme val="minor"/>
          </rPr>
          <t>Unknown User:
Signed invoice not emailed</t>
        </r>
      </text>
    </comment>
    <comment ref="G1062" authorId="4" shapeId="0" xr:uid="{54EE68D7-8F81-42F6-8DD6-2DCA877733DB}">
      <text>
        <r>
          <rPr>
            <sz val="11"/>
            <color theme="1"/>
            <rFont val="Aptos Narrow"/>
            <family val="2"/>
            <scheme val="minor"/>
          </rPr>
          <t>Unknown User:
SEARCH &amp; INVESTIGATION OF GAS STORAGE HOT WATER SYSTEM</t>
        </r>
      </text>
    </comment>
    <comment ref="G1063" authorId="4" shapeId="0" xr:uid="{7D5E44C5-B3D9-42C0-9449-C50E61E1332B}">
      <text>
        <r>
          <rPr>
            <sz val="11"/>
            <color theme="1"/>
            <rFont val="Aptos Narrow"/>
            <family val="2"/>
            <scheme val="minor"/>
          </rPr>
          <t>Unknown User:
HIGH POWERED SUCTION &amp; ACID TREATMENT
10% Seniors &amp; Pensioners Discount</t>
        </r>
      </text>
    </comment>
    <comment ref="G1064" authorId="4" shapeId="0" xr:uid="{1525DABE-8062-4ED8-B410-E7E40AA34467}">
      <text>
        <r>
          <rPr>
            <sz val="11"/>
            <color theme="1"/>
            <rFont val="Aptos Narrow"/>
            <family val="2"/>
            <scheme val="minor"/>
          </rPr>
          <t>Unknown User:
WATER SERVICE RECTIFICATION (EXPOSED)</t>
        </r>
      </text>
    </comment>
    <comment ref="G1065" authorId="4" shapeId="0" xr:uid="{A99E6479-88FB-44EC-AA1E-30F0D1D55975}">
      <text>
        <r>
          <rPr>
            <sz val="11"/>
            <color theme="1"/>
            <rFont val="Aptos Narrow"/>
            <family val="2"/>
            <scheme val="minor"/>
          </rPr>
          <t>Unknown User:
CONVERT EXTERNAL GAS STORAGE HOT WATER SYSTEM TO EXTERNAL GAS INSTANTANEOUS HOT WATER SYSTEM</t>
        </r>
      </text>
    </comment>
    <comment ref="G1066" authorId="4" shapeId="0" xr:uid="{7F6B77EF-9841-424C-B814-306944AF3F37}">
      <text>
        <r>
          <rPr>
            <sz val="11"/>
            <color theme="1"/>
            <rFont val="Aptos Narrow"/>
            <family val="2"/>
            <scheme val="minor"/>
          </rPr>
          <t>Unknown User:
REPLACEMENT OF BOTTOM INLET CISTERN FILLING VALVE</t>
        </r>
      </text>
    </comment>
    <comment ref="G1067" authorId="4" shapeId="0" xr:uid="{62A64D5B-1EBE-4789-80D7-241164F33C59}">
      <text>
        <r>
          <rPr>
            <sz val="11"/>
            <color theme="1"/>
            <rFont val="Aptos Narrow"/>
            <family val="2"/>
            <scheme val="minor"/>
          </rPr>
          <t>Unknown User:
REPLACEMENT OF SEWER VENT</t>
        </r>
      </text>
    </comment>
    <comment ref="G1068" authorId="4" shapeId="0" xr:uid="{7154D28F-3570-4161-9AA8-E6569A8F8A8D}">
      <text>
        <r>
          <rPr>
            <sz val="11"/>
            <color theme="1"/>
            <rFont val="Aptos Narrow"/>
            <family val="2"/>
            <scheme val="minor"/>
          </rPr>
          <t>Unknown User:
HIGH POWERED SUCTION &amp; ACID TREATMENT
10% Seniors &amp; Pensioners Discount</t>
        </r>
      </text>
    </comment>
    <comment ref="G1069" authorId="4" shapeId="0" xr:uid="{182E5B4D-4010-4574-BED7-AE515B910FF7}">
      <text>
        <r>
          <rPr>
            <sz val="11"/>
            <color theme="1"/>
            <rFont val="Aptos Narrow"/>
            <family val="2"/>
            <scheme val="minor"/>
          </rPr>
          <t>Unknown User:
HIGH POWERED JET BLAST &amp; CCTV DRAIN CAMERA INSPECTION (SEWER SERVICE)</t>
        </r>
      </text>
    </comment>
    <comment ref="U1069" authorId="4" shapeId="0" xr:uid="{56F7AA6B-E74F-4272-B604-4671A6B07B0A}">
      <text>
        <r>
          <rPr>
            <sz val="11"/>
            <color theme="1"/>
            <rFont val="Aptos Narrow"/>
            <family val="2"/>
            <scheme val="minor"/>
          </rPr>
          <t>Unknown User:
24/9-As per Shaun's note "Customer cracking the shits over plunge not working."
Plunge estimate is deleted by Shaun</t>
        </r>
      </text>
    </comment>
    <comment ref="G1070" authorId="4" shapeId="0" xr:uid="{03BA61D1-F8EB-4AB5-A5E6-BCA50415951D}">
      <text>
        <r>
          <rPr>
            <sz val="11"/>
            <color theme="1"/>
            <rFont val="Aptos Narrow"/>
            <family val="2"/>
            <scheme val="minor"/>
          </rPr>
          <t>Unknown User:
INSTALLATION OF BASIN MIXER WITH NEW MIXER (CUSTOMER SUPPLIED)
REPLACEMENT OF KITCHEN MIXER (CUSTOMER SUPPLIED)</t>
        </r>
      </text>
    </comment>
    <comment ref="G1071" authorId="4" shapeId="0" xr:uid="{5ABA10B8-E013-4C41-9394-515D3B4269E7}">
      <text>
        <r>
          <rPr>
            <sz val="11"/>
            <color theme="1"/>
            <rFont val="Aptos Narrow"/>
            <family val="2"/>
            <scheme val="minor"/>
          </rPr>
          <t>Unknown User:
REPLACEMENT OF PLUG &amp; WASTE - 40MM</t>
        </r>
      </text>
    </comment>
    <comment ref="G1076" authorId="4" shapeId="0" xr:uid="{61F21CE5-16D1-4790-A3C7-DC8AB6C90587}">
      <text>
        <r>
          <rPr>
            <sz val="11"/>
            <color theme="1"/>
            <rFont val="Aptos Narrow"/>
            <family val="2"/>
            <scheme val="minor"/>
          </rPr>
          <t>Unknown User:
REPLACEMENT OF BASIN SET
SUPPLY &amp; INSTALLATION OF NEW SKEW TOILET SUITE
SUPPLY &amp; INSTALLATION OF NEW WALL FACED TOILET SUITE</t>
        </r>
      </text>
    </comment>
    <comment ref="G1081" authorId="4" shapeId="0" xr:uid="{2D24E0DF-4123-4A1E-AF1B-293085536886}">
      <text>
        <r>
          <rPr>
            <sz val="11"/>
            <color theme="1"/>
            <rFont val="Aptos Narrow"/>
            <family val="2"/>
            <scheme val="minor"/>
          </rPr>
          <t>Unknown User:
REPLACEMENT OF PLUG &amp; WASTE - 40MM
HIGH POWERED SUCTION PUMP</t>
        </r>
      </text>
    </comment>
    <comment ref="L1081" authorId="4" shapeId="0" xr:uid="{FF6557B0-8AB0-43C0-AA69-0E2E890E2538}">
      <text>
        <r>
          <rPr>
            <sz val="11"/>
            <color theme="1"/>
            <rFont val="Aptos Narrow"/>
            <family val="2"/>
            <scheme val="minor"/>
          </rPr>
          <t>Unknown User:
High powered suction pump pics not uploaded</t>
        </r>
      </text>
    </comment>
    <comment ref="R1081" authorId="4" shapeId="0" xr:uid="{21E0BA42-4A0D-45F8-8780-9F769FEF979C}">
      <text>
        <r>
          <rPr>
            <sz val="11"/>
            <color theme="1"/>
            <rFont val="Aptos Narrow"/>
            <family val="2"/>
            <scheme val="minor"/>
          </rPr>
          <t>Unknown User:
Customer not onsite</t>
        </r>
      </text>
    </comment>
    <comment ref="G1082" authorId="4" shapeId="0" xr:uid="{C2462F3C-F558-47FD-AF44-AC53A8A2849D}">
      <text>
        <r>
          <rPr>
            <sz val="11"/>
            <color theme="1"/>
            <rFont val="Aptos Narrow"/>
            <family val="2"/>
            <scheme val="minor"/>
          </rPr>
          <t>Unknown User:
SEWER SPOT DIG (UNDER CONCRETE)
CREDIT HIGH POWERED JETBLAST &amp; CCTV CAMERA
10% Seniors &amp; Pensioners Discount</t>
        </r>
      </text>
    </comment>
    <comment ref="T1082" authorId="4" shapeId="0" xr:uid="{91CE0C1D-7446-450E-A88B-5738BB1C0E93}">
      <text>
        <r>
          <rPr>
            <sz val="11"/>
            <color theme="1"/>
            <rFont val="Aptos Narrow"/>
            <family val="2"/>
            <scheme val="minor"/>
          </rPr>
          <t>Unknown User:
Shaun,Jayden,Tolga,Alex</t>
        </r>
      </text>
    </comment>
    <comment ref="G1083" authorId="4" shapeId="0" xr:uid="{8367462E-C262-47D4-8A38-A88C49B6903D}">
      <text>
        <r>
          <rPr>
            <sz val="11"/>
            <color theme="1"/>
            <rFont val="Aptos Narrow"/>
            <family val="2"/>
            <scheme val="minor"/>
          </rPr>
          <t xml:space="preserve">Unknown User:
WATER SERVICE RECTIFICATION (IN GROUND)
10% Seniors &amp; Pensioners Discount </t>
        </r>
      </text>
    </comment>
    <comment ref="T1083" authorId="4" shapeId="0" xr:uid="{A137A902-FC9F-437E-B680-407CBF53AFE9}">
      <text>
        <r>
          <rPr>
            <sz val="11"/>
            <color theme="1"/>
            <rFont val="Aptos Narrow"/>
            <family val="2"/>
            <scheme val="minor"/>
          </rPr>
          <t>Unknown User:
0.5x Will Dower</t>
        </r>
      </text>
    </comment>
    <comment ref="G1087" authorId="4" shapeId="0" xr:uid="{BEFAF645-B58E-479D-9462-FAC42FCFD1C3}">
      <text>
        <r>
          <rPr>
            <sz val="11"/>
            <color theme="1"/>
            <rFont val="Aptos Narrow"/>
            <family val="2"/>
            <scheme val="minor"/>
          </rPr>
          <t xml:space="preserve">Unknown User:
WATER SERVICE RECTIFICATION (IN WALL)
Isolate water supply to property
Set up safe working area
Mark out required location
Diamond grind wall 
Jackhammer and removal of section of wall 
Gain access to damaged water service in wall
Expose existing section of damaged water service in wall
Cut &amp; removal of existing damaged water service
Clean existing water service
Prepare existing water service for new connections
Flush out water service free of potential debris
Supply &amp; install new section of new water service up to 1.5M
Supply &amp; install new Press fittings
Connect new section of water service to existing water service
Use of specialist hydraulic crimping tool
Crimp new section of water service
Reinstate water supply
Conduct pressure test on water service to ensure no further leaks
Lag new service in wall 
Supply and install new wall mortar and bedding to worked area 
Water proof worked area 
Installation of new wall tiles in worked area 
Supply and installation of new grouting in worked area 
Removal of trade waste
Test &amp; commission installation
Please note. If further works are required, additional costs will apply. If exact tiles cannot be matched, closest option will be provided and agreed by customer. </t>
        </r>
      </text>
    </comment>
    <comment ref="N1087" authorId="4" shapeId="0" xr:uid="{1FD6539E-20B9-4C0E-9690-3839806DC963}">
      <text>
        <r>
          <rPr>
            <sz val="11"/>
            <color theme="1"/>
            <rFont val="Aptos Narrow"/>
            <family val="2"/>
            <scheme val="minor"/>
          </rPr>
          <t>Unknown User:
Quote raised in job #71735</t>
        </r>
      </text>
    </comment>
    <comment ref="U1087" authorId="4" shapeId="0" xr:uid="{D8B7AD2B-B6B3-4905-B134-5C285EBA48AA}">
      <text>
        <r>
          <rPr>
            <sz val="11"/>
            <color theme="1"/>
            <rFont val="Aptos Narrow"/>
            <family val="2"/>
            <scheme val="minor"/>
          </rPr>
          <t>Unknown User:
28/07-As per Will's note "Asked for a leak report, I said we can send plumbers findings, I told her to ask the plumber for more information on that. I will let dispatch know too"</t>
        </r>
      </text>
    </comment>
    <comment ref="G1088" authorId="4" shapeId="0" xr:uid="{F1EA0AE3-095E-4AB0-A336-CCF2BEC5C2A6}">
      <text>
        <r>
          <rPr>
            <sz val="11"/>
            <color theme="1"/>
            <rFont val="Aptos Narrow"/>
            <family val="2"/>
            <scheme val="minor"/>
          </rPr>
          <t>Unknown User:
REPLACEMENT OF SEWER BOUNDARY TRAP
10% Loyalty Discount</t>
        </r>
      </text>
    </comment>
    <comment ref="K1088" authorId="4" shapeId="0" xr:uid="{C6104897-7ABC-42E7-9443-5F0E64B3D90A}">
      <text>
        <r>
          <rPr>
            <sz val="11"/>
            <color theme="1"/>
            <rFont val="Aptos Narrow"/>
            <family val="2"/>
            <scheme val="minor"/>
          </rPr>
          <t>Unknown User:
Previous job #73115 images considered</t>
        </r>
      </text>
    </comment>
    <comment ref="N1088" authorId="4" shapeId="0" xr:uid="{07C40504-5A4A-4968-AA76-6FADE781A2D3}">
      <text>
        <r>
          <rPr>
            <sz val="11"/>
            <color theme="1"/>
            <rFont val="Aptos Narrow"/>
            <family val="2"/>
            <scheme val="minor"/>
          </rPr>
          <t>Unknown User:
Quote raised in Job #73115</t>
        </r>
      </text>
    </comment>
    <comment ref="V1088" authorId="4" shapeId="0" xr:uid="{D51492A9-812F-4D79-83B6-50F2EA707ADD}">
      <text>
        <r>
          <rPr>
            <sz val="11"/>
            <color theme="1"/>
            <rFont val="Aptos Narrow"/>
            <family val="2"/>
            <scheme val="minor"/>
          </rPr>
          <t>Unknown User:
18/9-Received $2000 by Smartpay</t>
        </r>
      </text>
    </comment>
    <comment ref="G1092" authorId="4" shapeId="0" xr:uid="{C73C1AE1-1250-469D-8896-0893D5663CA3}">
      <text>
        <r>
          <rPr>
            <sz val="11"/>
            <color theme="1"/>
            <rFont val="Aptos Narrow"/>
            <family val="2"/>
            <scheme val="minor"/>
          </rPr>
          <t>Unknown User:
SEARCH &amp; INVESTIGATION OF IN WALL MIXER</t>
        </r>
      </text>
    </comment>
    <comment ref="G1093" authorId="4" shapeId="0" xr:uid="{E4FCA26A-A197-4626-B744-47CB89D0F7CC}">
      <text>
        <r>
          <rPr>
            <sz val="11"/>
            <color theme="1"/>
            <rFont val="Aptos Narrow"/>
            <family val="2"/>
            <scheme val="minor"/>
          </rPr>
          <t>Unknown User:
HIGH POWERED JET BLAST &amp; CCTV DRAIN CAMERA INSPECTION (SEWER SERVICE)
10% Seniors &amp; Pensioners Discount</t>
        </r>
      </text>
    </comment>
    <comment ref="G1094" authorId="4" shapeId="0" xr:uid="{75538DFC-3830-44AC-941F-91A59F921FC9}">
      <text>
        <r>
          <rPr>
            <sz val="11"/>
            <color theme="1"/>
            <rFont val="Aptos Narrow"/>
            <family val="2"/>
            <scheme val="minor"/>
          </rPr>
          <t xml:space="preserve">Unknown User:
INSTALLATION OF NEW WASHING MACHINE (CUSTOMER SUPPLIED)
</t>
        </r>
      </text>
    </comment>
    <comment ref="G1095" authorId="4" shapeId="0" xr:uid="{6280F2D1-5853-475B-970C-DA851079867F}">
      <text>
        <r>
          <rPr>
            <sz val="11"/>
            <color theme="1"/>
            <rFont val="Aptos Narrow"/>
            <family val="2"/>
            <scheme val="minor"/>
          </rPr>
          <t>Unknown User:
CONVERT EXTERNAL GAS STORAGE HOT WATER SYSTEM TO EXTERNAL GAS INSTANTANEOUS HOT WATER SYSTEM</t>
        </r>
      </text>
    </comment>
    <comment ref="G1096" authorId="4" shapeId="0" xr:uid="{32EDEE26-9E02-4D7D-9AF9-9F389BD8C5C9}">
      <text>
        <r>
          <rPr>
            <sz val="11"/>
            <color theme="1"/>
            <rFont val="Aptos Narrow"/>
            <family val="2"/>
            <scheme val="minor"/>
          </rPr>
          <t>Unknown User:
WATER SERVICE RECTIFICATION (IN GROUND)
10% Seniors &amp; Pensioners Discount</t>
        </r>
      </text>
    </comment>
    <comment ref="G1101" authorId="4" shapeId="0" xr:uid="{68A7D03C-6580-441E-B065-94EC787BCA95}">
      <text>
        <r>
          <rPr>
            <sz val="11"/>
            <color theme="1"/>
            <rFont val="Aptos Narrow"/>
            <family val="2"/>
            <scheme val="minor"/>
          </rPr>
          <t>Unknown User:
SUPPLY &amp; INSTALLATION OF GAS STORAGE HOT WATER SYSTEM (EXTERNAL)</t>
        </r>
      </text>
    </comment>
    <comment ref="K1101" authorId="4" shapeId="0" xr:uid="{FAAC6CA3-C39B-47DD-B1C9-AD14E8E93C9E}">
      <text>
        <r>
          <rPr>
            <sz val="11"/>
            <color theme="1"/>
            <rFont val="Aptos Narrow"/>
            <family val="2"/>
            <scheme val="minor"/>
          </rPr>
          <t>Unknown User:
Initial job pics considered</t>
        </r>
      </text>
    </comment>
    <comment ref="G1102" authorId="4" shapeId="0" xr:uid="{CBF43A69-C662-447D-89B8-F2B67C294922}">
      <text>
        <r>
          <rPr>
            <sz val="11"/>
            <color theme="1"/>
            <rFont val="Aptos Narrow"/>
            <family val="2"/>
            <scheme val="minor"/>
          </rPr>
          <t xml:space="preserve">Unknown User:
SEWER SPOT DIG - IN GROUND
</t>
        </r>
      </text>
    </comment>
    <comment ref="G1105" authorId="4" shapeId="0" xr:uid="{94A7DA2F-66FF-4005-B775-770F80657383}">
      <text>
        <r>
          <rPr>
            <sz val="11"/>
            <color theme="1"/>
            <rFont val="Aptos Narrow"/>
            <family val="2"/>
            <scheme val="minor"/>
          </rPr>
          <t xml:space="preserve">Unknown User:
HIGH POWERED SUCTION PUMP
</t>
        </r>
      </text>
    </comment>
    <comment ref="K1105" authorId="4" shapeId="0" xr:uid="{893A0AB4-B971-49E9-A3E6-262A852AE2F7}">
      <text>
        <r>
          <rPr>
            <sz val="11"/>
            <color theme="1"/>
            <rFont val="Aptos Narrow"/>
            <family val="2"/>
            <scheme val="minor"/>
          </rPr>
          <t>Unknown User:
Previous job #73641 pics considered</t>
        </r>
      </text>
    </comment>
    <comment ref="G1106" authorId="4" shapeId="0" xr:uid="{8AA7CEB8-8E2E-4E51-8859-936E2743847B}">
      <text>
        <r>
          <rPr>
            <sz val="11"/>
            <color theme="1"/>
            <rFont val="Aptos Narrow"/>
            <family val="2"/>
            <scheme val="minor"/>
          </rPr>
          <t xml:space="preserve">Unknown User:
REPLACEMENT OF EXISTING OVERFLOW GULLY &amp; SECTION OF MAIN SEWER SERVICE (UNDER CONCRETE)
</t>
        </r>
      </text>
    </comment>
    <comment ref="K1106" authorId="4" shapeId="0" xr:uid="{F0D53D1D-183F-4895-BD52-1D1D671313F8}">
      <text>
        <r>
          <rPr>
            <sz val="11"/>
            <color theme="1"/>
            <rFont val="Aptos Narrow"/>
            <family val="2"/>
            <scheme val="minor"/>
          </rPr>
          <t>Unknown User:
Previous job #73641 pics considered</t>
        </r>
      </text>
    </comment>
    <comment ref="G1108" authorId="4" shapeId="0" xr:uid="{B227B3C6-C35A-4969-83A8-7FF3FE92EE61}">
      <text>
        <r>
          <rPr>
            <sz val="11"/>
            <color theme="1"/>
            <rFont val="Aptos Narrow"/>
            <family val="2"/>
            <scheme val="minor"/>
          </rPr>
          <t>Unknown User:
HIGH POWERED SUCTION PUMP
$110 Blocked Drains Discount</t>
        </r>
      </text>
    </comment>
    <comment ref="G1109" authorId="4" shapeId="0" xr:uid="{A26015BC-B91A-41B8-A5E3-F46F865BA0D6}">
      <text>
        <r>
          <rPr>
            <sz val="11"/>
            <color theme="1"/>
            <rFont val="Aptos Narrow"/>
            <family val="2"/>
            <scheme val="minor"/>
          </rPr>
          <t>Unknown User:
ROOF LEAK SEARCH &amp; INVESTIGATION</t>
        </r>
      </text>
    </comment>
    <comment ref="G1110" authorId="4" shapeId="0" xr:uid="{DDC912C7-A872-4EB9-951D-46A44766272C}">
      <text>
        <r>
          <rPr>
            <sz val="11"/>
            <color theme="1"/>
            <rFont val="Aptos Narrow"/>
            <family val="2"/>
            <scheme val="minor"/>
          </rPr>
          <t>Unknown User:
SEARCH &amp; INVESTIGATION (GENERAL)</t>
        </r>
      </text>
    </comment>
    <comment ref="G1111" authorId="4" shapeId="0" xr:uid="{22F46EAA-072F-4158-A583-E7A7989C2799}">
      <text>
        <r>
          <rPr>
            <sz val="11"/>
            <color theme="1"/>
            <rFont val="Aptos Narrow"/>
            <family val="2"/>
            <scheme val="minor"/>
          </rPr>
          <t xml:space="preserve">Unknown User:
SUPPLY &amp; INSTALLATION OF DUO VALVE
</t>
        </r>
      </text>
    </comment>
    <comment ref="G1112" authorId="4" shapeId="0" xr:uid="{1B4EDD25-A2CF-4867-9FD6-3FDAB69CEA19}">
      <text>
        <r>
          <rPr>
            <sz val="11"/>
            <color theme="1"/>
            <rFont val="Aptos Narrow"/>
            <family val="2"/>
            <scheme val="minor"/>
          </rPr>
          <t>Unknown User:
COMPLETE SERVICE OF TAP TOP ASSEMBLY</t>
        </r>
      </text>
    </comment>
    <comment ref="G1113" authorId="4" shapeId="0" xr:uid="{46CBEADF-40C4-4561-9E00-D0BBB8892947}">
      <text>
        <r>
          <rPr>
            <sz val="11"/>
            <color theme="1"/>
            <rFont val="Aptos Narrow"/>
            <family val="2"/>
            <scheme val="minor"/>
          </rPr>
          <t>Unknown User:
REPLACEMENT OF CISTERN DUAL FLUSH VALVE WITH UNIVERSAL FLUSH VALVE (COMPLETE ASSEMBLY)</t>
        </r>
      </text>
    </comment>
    <comment ref="G1146" authorId="4" shapeId="0" xr:uid="{DCECFE70-EB04-4EFB-B639-DD4B3E3D8C4C}">
      <text>
        <r>
          <rPr>
            <sz val="11"/>
            <color theme="1"/>
            <rFont val="Aptos Narrow"/>
            <family val="2"/>
            <scheme val="minor"/>
          </rPr>
          <t>Unknown User:
SUPPLY &amp; INSTALLATION OF NEW BRASS HOSE TAP
$185+GST Non-refundable call out fee 
10% Loyalty Discount</t>
        </r>
      </text>
    </comment>
    <comment ref="G1147" authorId="4" shapeId="0" xr:uid="{7D816216-2A7B-41C6-A494-B04629E3E882}">
      <text>
        <r>
          <rPr>
            <sz val="11"/>
            <color theme="1"/>
            <rFont val="Aptos Narrow"/>
            <family val="2"/>
            <scheme val="minor"/>
          </rPr>
          <t>Unknown User:
WATER SERVICE RECTIFICATION (IN GROUND)
15% Seniors &amp; Pensioners Discount</t>
        </r>
      </text>
    </comment>
    <comment ref="V1147" authorId="4" shapeId="0" xr:uid="{3AC83E2A-25A6-48DE-A95F-24531D95A650}">
      <text>
        <r>
          <rPr>
            <sz val="11"/>
            <color theme="1"/>
            <rFont val="Aptos Narrow"/>
            <family val="2"/>
            <scheme val="minor"/>
          </rPr>
          <t>Unknown User:
Excess receipt by $1</t>
        </r>
      </text>
    </comment>
    <comment ref="G1148" authorId="4" shapeId="0" xr:uid="{464FDF75-73F5-49FF-9D2E-3C3500BD950D}">
      <text>
        <r>
          <rPr>
            <sz val="11"/>
            <color theme="1"/>
            <rFont val="Aptos Narrow"/>
            <family val="2"/>
            <scheme val="minor"/>
          </rPr>
          <t>Unknown User:
HIGH POWERED JET BLAST &amp; CCTV DRAIN CAMERA INSPECTION (SEWER SERVICE)</t>
        </r>
      </text>
    </comment>
    <comment ref="P1148" authorId="4" shapeId="0" xr:uid="{C5B23380-5C55-4A58-8879-2BAF378FBB95}">
      <text>
        <r>
          <rPr>
            <sz val="11"/>
            <color theme="1"/>
            <rFont val="Aptos Narrow"/>
            <family val="2"/>
            <scheme val="minor"/>
          </rPr>
          <t>Unknown User:
Quote not emailed</t>
        </r>
      </text>
    </comment>
    <comment ref="G1149" authorId="4" shapeId="0" xr:uid="{331CA319-2DA2-4C1B-897D-831ACC92B25C}">
      <text>
        <r>
          <rPr>
            <sz val="11"/>
            <color theme="1"/>
            <rFont val="Aptos Narrow"/>
            <family val="2"/>
            <scheme val="minor"/>
          </rPr>
          <t>Unknown User:
SUPPLY &amp; INSTALLATION OF NEW WALL FACED TOILET SUITE</t>
        </r>
      </text>
    </comment>
    <comment ref="G1150" authorId="4" shapeId="0" xr:uid="{8071E7BD-D205-46EF-8471-6A17C840E5B3}">
      <text>
        <r>
          <rPr>
            <sz val="11"/>
            <color theme="1"/>
            <rFont val="Aptos Narrow"/>
            <family val="2"/>
            <scheme val="minor"/>
          </rPr>
          <t xml:space="preserve">Unknown User:
SEWER SERVICE - RELINE
Obtain dial before dig (if required) Service
Obtain service location diagram (if required)
Obtain Sewer Service Diagram
Set Up Safe Work Area
Set Up Barricades for Safety
Gain Access to Sewer Service
Set Up CCTV Camera
Set Up High-Powered Jet Blaster
Set Up Commercial Warthog Turbine &amp; Mini Reel
Conduct CCTV Inspection of Sewer Service &amp; Prepare for Reline
Perform High-Powered Jet Blast on Sewer Service Using Specialist Warthog
Use Commercial Warthog to Flush and Polish Affected Sewer
Prepare Affected Sewer Service for Reline Installation
Set Up Reline Equipment on Site
Set Up Air Compressor on Site
Set Up Air Rods on Site
Set Up Sewer Reline Bladder on Site
Measure &amp; Cut Reline to Size on Site
Mix Two-Part Epoxy Resin on Site
Wet Out Sewer Reline with Epoxy Resin
Insert Reline into Sewer Service in the Affected Area
Use High-Powered Air Compressor to Inflate New Sewer Reline
Run High-Powered Air Compressor for 2 Hours to Allow Reline to Set
Remove Sewer Reline Equipment from Sewer Service
Remove Air Rods from Sewer Service
Use High-Powered Jet Blaster to Flush Out Sewer Service After Reline Installation
Conduct CCTV Inspection to Ensure Correct Installation of Sewer Reline
Test and Commission Installation
Remove Trade Waste
Restoration of Worked Area
PLEASE NOTE IF FURTHER WORK REQUIRED OTHER THEN QUOTED WORK FURTHER COST WILL APPLY
10% Loyalty Discount	</t>
        </r>
      </text>
    </comment>
    <comment ref="M1150" authorId="4" shapeId="0" xr:uid="{7EBE7295-273D-42E1-819C-7BE0B63D8162}">
      <text>
        <r>
          <rPr>
            <sz val="11"/>
            <color theme="1"/>
            <rFont val="Aptos Narrow"/>
            <family val="2"/>
            <scheme val="minor"/>
          </rPr>
          <t>Unknown User:
Smartpay receipt of $2328.19 not uploaded by plumber.
Uploaded by Modoras team.</t>
        </r>
      </text>
    </comment>
    <comment ref="N1150" authorId="4" shapeId="0" xr:uid="{BF5C2C68-DFBE-4460-8B51-25C76F2131DF}">
      <text>
        <r>
          <rPr>
            <sz val="11"/>
            <color theme="1"/>
            <rFont val="Aptos Narrow"/>
            <family val="2"/>
            <scheme val="minor"/>
          </rPr>
          <t>Unknown User:
Quote not raised</t>
        </r>
      </text>
    </comment>
    <comment ref="G1151" authorId="4" shapeId="0" xr:uid="{4B1EA04C-86F9-480F-A5E1-3F762DB6BFAA}">
      <text>
        <r>
          <rPr>
            <sz val="11"/>
            <color theme="1"/>
            <rFont val="Aptos Narrow"/>
            <family val="2"/>
            <scheme val="minor"/>
          </rPr>
          <t>Unknown User:
REPLACEMENT OF EMERGENCY STOP VALVE</t>
        </r>
      </text>
    </comment>
    <comment ref="G1152" authorId="4" shapeId="0" xr:uid="{CED302BB-FED0-4B56-AD17-F754B0147B8E}">
      <text>
        <r>
          <rPr>
            <sz val="11"/>
            <color theme="1"/>
            <rFont val="Aptos Narrow"/>
            <family val="2"/>
            <scheme val="minor"/>
          </rPr>
          <t>Unknown User:
REPLACEMENT OF PLUG &amp; WASTE - 40MM</t>
        </r>
      </text>
    </comment>
    <comment ref="G1153" authorId="4" shapeId="0" xr:uid="{206B6AC9-BF8B-4339-990A-DC53E1BBBEE4}">
      <text>
        <r>
          <rPr>
            <sz val="11"/>
            <color theme="1"/>
            <rFont val="Aptos Narrow"/>
            <family val="2"/>
            <scheme val="minor"/>
          </rPr>
          <t>Unknown User:
REPLACEMENT OF KITCHEN MIXER (CUSTOMER SUPPLIED)</t>
        </r>
      </text>
    </comment>
    <comment ref="G1154" authorId="4" shapeId="0" xr:uid="{C94418DC-5E33-4ED3-BFB3-E530AF30C58E}">
      <text>
        <r>
          <rPr>
            <sz val="11"/>
            <color theme="1"/>
            <rFont val="Aptos Narrow"/>
            <family val="2"/>
            <scheme val="minor"/>
          </rPr>
          <t>Unknown User:
SUPPLY &amp; INSTALLATION OF NEW PLASTIC TOILET CISTERN
$85+GST Non-refundable call out fee applied to dispatch technician to a commercial property.</t>
        </r>
      </text>
    </comment>
    <comment ref="G1155" authorId="4" shapeId="0" xr:uid="{DD56ABB2-7BEE-400D-873E-01CADD58EFD7}">
      <text>
        <r>
          <rPr>
            <sz val="11"/>
            <color theme="1"/>
            <rFont val="Aptos Narrow"/>
            <family val="2"/>
            <scheme val="minor"/>
          </rPr>
          <t>Unknown User:
REPLACEMENT OF PLUG &amp; WASTE - 50MM
HIGH POWERED JET BLAST &amp; CCTV DRAIN CAMERA INSPECTION (SEWER SERVICE)</t>
        </r>
      </text>
    </comment>
    <comment ref="L1155" authorId="4" shapeId="0" xr:uid="{AF6AC839-A904-4404-AA24-1150F78F783A}">
      <text>
        <r>
          <rPr>
            <sz val="11"/>
            <color theme="1"/>
            <rFont val="Aptos Narrow"/>
            <family val="2"/>
            <scheme val="minor"/>
          </rPr>
          <t>Unknown User:
CCTV pics/videos not uploaded</t>
        </r>
      </text>
    </comment>
    <comment ref="G1156" authorId="4" shapeId="0" xr:uid="{A4EB30B6-5E16-4774-8F55-EAC5E676B49D}">
      <text>
        <r>
          <rPr>
            <sz val="11"/>
            <color theme="1"/>
            <rFont val="Aptos Narrow"/>
            <family val="2"/>
            <scheme val="minor"/>
          </rPr>
          <t>Unknown User:
REPLACEMENT OF PLUG &amp; WASTE - 40MM</t>
        </r>
      </text>
    </comment>
    <comment ref="V1156" authorId="4" shapeId="0" xr:uid="{29BE2DD3-0E91-47DC-8C95-C9FE7B235559}">
      <text>
        <r>
          <rPr>
            <sz val="11"/>
            <color theme="1"/>
            <rFont val="Aptos Narrow"/>
            <family val="2"/>
            <scheme val="minor"/>
          </rPr>
          <t>Unknown User:
Overpayment by $27</t>
        </r>
      </text>
    </comment>
    <comment ref="G1157" authorId="4" shapeId="0" xr:uid="{052A784C-C67E-4774-90D6-2E6044903B2F}">
      <text>
        <r>
          <rPr>
            <sz val="11"/>
            <color theme="1"/>
            <rFont val="Aptos Narrow"/>
            <family val="2"/>
            <scheme val="minor"/>
          </rPr>
          <t>Unknown User:
SEARCH &amp; INVESTIGATION - LEAKING TOILET SUITE</t>
        </r>
      </text>
    </comment>
    <comment ref="G1158" authorId="4" shapeId="0" xr:uid="{4E70417C-4D6D-4F50-9198-BB3BC1D4F737}">
      <text>
        <r>
          <rPr>
            <sz val="11"/>
            <color theme="1"/>
            <rFont val="Aptos Narrow"/>
            <family val="2"/>
            <scheme val="minor"/>
          </rPr>
          <t>Unknown User:
SEARCH AND INVESTIGATION OF GAS INSTANTANEOUS HOT WATER SYSTEM</t>
        </r>
      </text>
    </comment>
    <comment ref="G1163" authorId="4" shapeId="0" xr:uid="{9BBCDD0B-406C-43C2-9B8B-6FB08D945BAC}">
      <text>
        <r>
          <rPr>
            <sz val="11"/>
            <color theme="1"/>
            <rFont val="Aptos Narrow"/>
            <family val="2"/>
            <scheme val="minor"/>
          </rPr>
          <t>Unknown User:
SUPPLY AND INSTALLATION OF TAP TO REPLACE WASHING MACHINE TAP</t>
        </r>
      </text>
    </comment>
    <comment ref="G1164" authorId="4" shapeId="0" xr:uid="{3FF2A5A9-CA63-4954-9BB4-3D5ADAE30F72}">
      <text>
        <r>
          <rPr>
            <sz val="11"/>
            <color theme="1"/>
            <rFont val="Aptos Narrow"/>
            <family val="2"/>
            <scheme val="minor"/>
          </rPr>
          <t>Unknown User:
Gain access to main gas meter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Gain access to existing gas service connecting to gas cooktop
Disconnect existing gas service connected to gas cooktop
Disconnect existing brass fittings connected gas cooktop
Disconnect existing gas appliance regulator
Disconnect &amp; remove the existing gas cooktop
Supply &amp; install new brass cap to existing gas cooktop connection point
Decommission existing gas cooktop
Make safe
Reinstate main gas supply to the property
Conduct a manometer test on the main gas service upon completion of the installation to ensure there are no leaks
Test &amp; commission the installation
Removal of all trade waste
$85+GST Non-refundable call out fee</t>
        </r>
      </text>
    </comment>
    <comment ref="G1168" authorId="4" shapeId="0" xr:uid="{67C5F8F3-6339-470F-ACE3-2D7F31CEE97B}">
      <text>
        <r>
          <rPr>
            <sz val="11"/>
            <color theme="1"/>
            <rFont val="Aptos Narrow"/>
            <family val="2"/>
            <scheme val="minor"/>
          </rPr>
          <t>Unknown User:
SEWER SPOT DIG (UNDER CONCRETE)
CREDIT HIGH POWERED JETBLAST &amp; CCTV CAMERA
10% Seniors &amp; Pensioners Discount</t>
        </r>
      </text>
    </comment>
    <comment ref="T1168" authorId="4" shapeId="0" xr:uid="{A9516552-B7D5-483D-A76B-8743047C194E}">
      <text>
        <r>
          <rPr>
            <sz val="11"/>
            <color theme="1"/>
            <rFont val="Aptos Narrow"/>
            <family val="2"/>
            <scheme val="minor"/>
          </rPr>
          <t>Unknown User:
Shaun,Jayden,Tolga,Alex</t>
        </r>
      </text>
    </comment>
    <comment ref="G1172" authorId="4" shapeId="0" xr:uid="{EBB693D8-72ED-4EEA-8956-023D07BE7576}">
      <text>
        <r>
          <rPr>
            <sz val="11"/>
            <color theme="1"/>
            <rFont val="Aptos Narrow"/>
            <family val="2"/>
            <scheme val="minor"/>
          </rPr>
          <t>Unknown User:
REPLACEMENT OF SEWER BOUNDARY TRAP
10% Loyalty Discount</t>
        </r>
      </text>
    </comment>
    <comment ref="K1172" authorId="4" shapeId="0" xr:uid="{4F78775E-D4D6-4DF8-975F-E259BAE57DB5}">
      <text>
        <r>
          <rPr>
            <sz val="11"/>
            <color theme="1"/>
            <rFont val="Aptos Narrow"/>
            <family val="2"/>
            <scheme val="minor"/>
          </rPr>
          <t>Unknown User:
Previous job #73115 images considered</t>
        </r>
      </text>
    </comment>
    <comment ref="N1172" authorId="4" shapeId="0" xr:uid="{E4033D8C-2776-4926-949D-B0C8F64F0F78}">
      <text>
        <r>
          <rPr>
            <sz val="11"/>
            <color theme="1"/>
            <rFont val="Aptos Narrow"/>
            <family val="2"/>
            <scheme val="minor"/>
          </rPr>
          <t>Unknown User:
Quote raised in Job #73115</t>
        </r>
      </text>
    </comment>
    <comment ref="V1172" authorId="4" shapeId="0" xr:uid="{C60BBBD7-D187-4FE0-BA03-7D3FE50B3246}">
      <text>
        <r>
          <rPr>
            <sz val="11"/>
            <color theme="1"/>
            <rFont val="Aptos Narrow"/>
            <family val="2"/>
            <scheme val="minor"/>
          </rPr>
          <t>Unknown User:
18/9-Received $2000 by Smartpay
2/10-Received $4078.39 by Smartpay</t>
        </r>
      </text>
    </comment>
    <comment ref="G1176" authorId="4" shapeId="0" xr:uid="{2A56731C-A506-4AA3-8085-8B47CD8B6569}">
      <text>
        <r>
          <rPr>
            <sz val="11"/>
            <color theme="1"/>
            <rFont val="Aptos Narrow"/>
            <family val="2"/>
            <scheme val="minor"/>
          </rPr>
          <t>Unknown User:
HIGH POWERED JET BLAST &amp; CCTV DRAIN CAMERA INSPECTION (SEWER SERVICE)</t>
        </r>
      </text>
    </comment>
    <comment ref="P1176" authorId="4" shapeId="0" xr:uid="{C4D23443-781F-4822-803F-53C5CC89DC5D}">
      <text>
        <r>
          <rPr>
            <sz val="11"/>
            <color theme="1"/>
            <rFont val="Aptos Narrow"/>
            <family val="2"/>
            <scheme val="minor"/>
          </rPr>
          <t>Unknown User:
Quote not emailed</t>
        </r>
      </text>
    </comment>
    <comment ref="Q1176" authorId="4" shapeId="0" xr:uid="{AFF60A67-4E44-48EC-86F1-AB8E7A9FCD2A}">
      <text>
        <r>
          <rPr>
            <sz val="11"/>
            <color theme="1"/>
            <rFont val="Aptos Narrow"/>
            <family val="2"/>
            <scheme val="minor"/>
          </rPr>
          <t>Unknown User:
Progress invoice not raised</t>
        </r>
      </text>
    </comment>
    <comment ref="G1177" authorId="4" shapeId="0" xr:uid="{5B4EAE50-F583-4E55-9CF5-F74675EE3B27}">
      <text>
        <r>
          <rPr>
            <sz val="11"/>
            <color theme="1"/>
            <rFont val="Aptos Narrow"/>
            <family val="2"/>
            <scheme val="minor"/>
          </rPr>
          <t>Unknown User:
SEARCH &amp; INVESTIGATION - LEAKING TOILET SUITE</t>
        </r>
      </text>
    </comment>
    <comment ref="G1178" authorId="4" shapeId="0" xr:uid="{8FA419B9-3464-40D0-85FC-34EEC28F7869}">
      <text>
        <r>
          <rPr>
            <sz val="11"/>
            <color theme="1"/>
            <rFont val="Aptos Narrow"/>
            <family val="2"/>
            <scheme val="minor"/>
          </rPr>
          <t xml:space="preserve">Unknown User:
SUPPLY &amp; INSTALLATION OF NEW INSTANTANEOUS GAS HOT WATER SYSTEM (EXTERNAL)
CREDIT OF SEARCH &amp; INVESTIGATION
Customer Satisfaction Discount $1300 </t>
        </r>
      </text>
    </comment>
    <comment ref="N1178" authorId="4" shapeId="0" xr:uid="{B4372063-3D0A-4F19-8571-6C52FA2CDBF2}">
      <text>
        <r>
          <rPr>
            <sz val="11"/>
            <color theme="1"/>
            <rFont val="Aptos Narrow"/>
            <family val="2"/>
            <scheme val="minor"/>
          </rPr>
          <t>Unknown User:
Quote raised in Job #73961</t>
        </r>
      </text>
    </comment>
    <comment ref="P1178" authorId="4" shapeId="0" xr:uid="{9FA4F21D-EE52-4DBA-A2F5-3C847A5E4126}">
      <text>
        <r>
          <rPr>
            <sz val="11"/>
            <color theme="1"/>
            <rFont val="Aptos Narrow"/>
            <family val="2"/>
            <scheme val="minor"/>
          </rPr>
          <t>Unknown User:
Signed quote not emailed</t>
        </r>
      </text>
    </comment>
    <comment ref="G1182" authorId="4" shapeId="0" xr:uid="{E08DF47B-D943-4F39-87B5-A3B7B640FFE8}">
      <text>
        <r>
          <rPr>
            <sz val="11"/>
            <color theme="1"/>
            <rFont val="Aptos Narrow"/>
            <family val="2"/>
            <scheme val="minor"/>
          </rPr>
          <t>Unknown User:
REPLACEMENT OF EXISTING OVERFLOW GULLY &amp; SECTION OF MAIN SEWER SERVICE (UNDER CONCRETE)
RETURN CUSTOMER DISCOUNT
PARTIAL CREDIT OF JETBLAST CCTV</t>
        </r>
      </text>
    </comment>
    <comment ref="W1182" authorId="4" shapeId="0" xr:uid="{33EFEA32-91EF-450F-BDDF-BFC6E21376BC}">
      <text>
        <r>
          <rPr>
            <sz val="11"/>
            <color theme="1"/>
            <rFont val="Aptos Narrow"/>
            <family val="2"/>
            <scheme val="minor"/>
          </rPr>
          <t>Unknown User:
Cash denomination
$100*20=$2000</t>
        </r>
      </text>
    </comment>
    <comment ref="G1187" authorId="4" shapeId="0" xr:uid="{E7B7212A-2564-4868-90E4-73871BBF7CBF}">
      <text>
        <r>
          <rPr>
            <sz val="11"/>
            <color theme="1"/>
            <rFont val="Aptos Narrow"/>
            <family val="2"/>
            <scheme val="minor"/>
          </rPr>
          <t>Unknown User:
REPLACEMENT OF PLUG &amp; WASTE - 40MM
HIGH POWERED SUCTION PUMP</t>
        </r>
      </text>
    </comment>
    <comment ref="L1187" authorId="4" shapeId="0" xr:uid="{F95F43D4-2052-4A07-8D68-226645532AE6}">
      <text>
        <r>
          <rPr>
            <sz val="11"/>
            <color theme="1"/>
            <rFont val="Aptos Narrow"/>
            <family val="2"/>
            <scheme val="minor"/>
          </rPr>
          <t>Unknown User:
High powered suction pump pics not uploaded</t>
        </r>
      </text>
    </comment>
    <comment ref="R1187" authorId="4" shapeId="0" xr:uid="{1C68308B-4613-4895-A7BF-6F88F67B88F3}">
      <text>
        <r>
          <rPr>
            <sz val="11"/>
            <color theme="1"/>
            <rFont val="Aptos Narrow"/>
            <family val="2"/>
            <scheme val="minor"/>
          </rPr>
          <t>Unknown User:
Customer not onsite</t>
        </r>
      </text>
    </comment>
    <comment ref="G1188" authorId="4" shapeId="0" xr:uid="{A7996527-54B1-4B6D-8B57-DF162A822519}">
      <text>
        <r>
          <rPr>
            <sz val="11"/>
            <color theme="1"/>
            <rFont val="Aptos Narrow"/>
            <family val="2"/>
            <scheme val="minor"/>
          </rPr>
          <t xml:space="preserve">Unknown User:
WATER SERVICE RECTIFICATION (IN GROUND)
10% Seniors &amp; Pensioners Discount </t>
        </r>
      </text>
    </comment>
    <comment ref="T1188" authorId="4" shapeId="0" xr:uid="{8D2A2515-1526-4AB8-AE3D-D9E0207BE7AD}">
      <text>
        <r>
          <rPr>
            <sz val="11"/>
            <color theme="1"/>
            <rFont val="Aptos Narrow"/>
            <family val="2"/>
            <scheme val="minor"/>
          </rPr>
          <t>Unknown User:
0.5x Will Dower</t>
        </r>
      </text>
    </comment>
    <comment ref="G1192" authorId="4" shapeId="0" xr:uid="{FB096AC1-3636-4279-8843-C87C78CF89E9}">
      <text>
        <r>
          <rPr>
            <sz val="11"/>
            <color theme="1"/>
            <rFont val="Aptos Narrow"/>
            <family val="2"/>
            <scheme val="minor"/>
          </rPr>
          <t xml:space="preserve">Unknown User:
WATER SERVICE RECTIFICATION (IN WALL)
Isolate water supply to property
Set up safe working area
Mark out required location
Diamond grind wall 
Jackhammer and removal of section of wall 
Gain access to damaged water service in wall
Expose existing section of damaged water service in wall
Cut &amp; removal of existing damaged water service
Clean existing water service
Prepare existing water service for new connections
Flush out water service free of potential debris
Supply &amp; install new section of new water service up to 1.5M
Supply &amp; install new Press fittings
Connect new section of water service to existing water service
Use of specialist hydraulic crimping tool
Crimp new section of water service
Reinstate water supply
Conduct pressure test on water service to ensure no further leaks
Lag new service in wall 
Supply and install new wall mortar and bedding to worked area 
Water proof worked area 
Installation of new wall tiles in worked area 
Supply and installation of new grouting in worked area 
Removal of trade waste
Test &amp; commission installation
Please note. If further works are required, additional costs will apply. If exact tiles cannot be matched, closest option will be provided and agreed by customer. </t>
        </r>
      </text>
    </comment>
    <comment ref="N1192" authorId="4" shapeId="0" xr:uid="{8A460A3D-0A47-4CEA-98BA-AFA3D9A67FA3}">
      <text>
        <r>
          <rPr>
            <sz val="11"/>
            <color theme="1"/>
            <rFont val="Aptos Narrow"/>
            <family val="2"/>
            <scheme val="minor"/>
          </rPr>
          <t>Unknown User:
Quote raised in job #71735</t>
        </r>
      </text>
    </comment>
    <comment ref="U1192" authorId="4" shapeId="0" xr:uid="{5B8DDEB0-9EAA-45B5-870C-236D0E8835A9}">
      <text>
        <r>
          <rPr>
            <sz val="11"/>
            <color theme="1"/>
            <rFont val="Aptos Narrow"/>
            <family val="2"/>
            <scheme val="minor"/>
          </rPr>
          <t>Unknown User:
28/07-As per Will's note "Asked for a leak report, I said we can send plumbers findings, I told her to ask the plumber for more information on that. I will let dispatch know too"</t>
        </r>
      </text>
    </comment>
    <comment ref="G1193" authorId="4" shapeId="0" xr:uid="{7F510848-16E2-4FED-89AE-45EE621360A3}">
      <text>
        <r>
          <rPr>
            <sz val="11"/>
            <color theme="1"/>
            <rFont val="Aptos Narrow"/>
            <family val="2"/>
            <scheme val="minor"/>
          </rPr>
          <t>Unknown User:
REPLACEMENT OF BASIN SET
SUPPLY &amp; INSTALLATION OF NEW SKEW TOILET SUITE
SUPPLY &amp; INSTALLATION OF NEW WALL FACED TOILET SUITE</t>
        </r>
      </text>
    </comment>
    <comment ref="G1197" authorId="4" shapeId="0" xr:uid="{B4795CBF-EFD9-424C-BD15-F5E83995AD6F}">
      <text>
        <r>
          <rPr>
            <sz val="11"/>
            <color theme="1"/>
            <rFont val="Aptos Narrow"/>
            <family val="2"/>
            <scheme val="minor"/>
          </rPr>
          <t>Unknown User:
SEARCH &amp; INVESTIGATION (MAJOR) - POTENTIAL WATER LEAK FROM UNKOWN LOCATION</t>
        </r>
      </text>
    </comment>
    <comment ref="G1198" authorId="4" shapeId="0" xr:uid="{D53BE918-B239-4402-867E-14DBCD059B81}">
      <text>
        <r>
          <rPr>
            <sz val="11"/>
            <color theme="1"/>
            <rFont val="Aptos Narrow"/>
            <family val="2"/>
            <scheme val="minor"/>
          </rPr>
          <t xml:space="preserve">Unknown User:
SUPPLY &amp; INSTALLATION OF NEW BRASS HOSE TAP
</t>
        </r>
      </text>
    </comment>
    <comment ref="G1199" authorId="4" shapeId="0" xr:uid="{076ECB2A-4BA3-4B0A-9E2B-9777641931A7}">
      <text>
        <r>
          <rPr>
            <sz val="11"/>
            <color theme="1"/>
            <rFont val="Aptos Narrow"/>
            <family val="2"/>
            <scheme val="minor"/>
          </rPr>
          <t>Unknown User:
WATER SERVICE RECTIFICATION (IN GROUND)</t>
        </r>
      </text>
    </comment>
    <comment ref="G1200" authorId="4" shapeId="0" xr:uid="{062E5564-E052-4302-BAF1-FCF58B4D6541}">
      <text>
        <r>
          <rPr>
            <sz val="11"/>
            <color theme="1"/>
            <rFont val="Aptos Narrow"/>
            <family val="2"/>
            <scheme val="minor"/>
          </rPr>
          <t xml:space="preserve">Unknown User:
INSTALLATION OF SHOWER ON RAIL (CUSTOMER SUPPLIED)
</t>
        </r>
      </text>
    </comment>
    <comment ref="G1203" authorId="4" shapeId="0" xr:uid="{6024C5CE-C1EA-45F7-A473-4C9B806DF96A}">
      <text>
        <r>
          <rPr>
            <sz val="11"/>
            <color theme="1"/>
            <rFont val="Aptos Narrow"/>
            <family val="2"/>
            <scheme val="minor"/>
          </rPr>
          <t xml:space="preserve">Unknown User:
SUPPLY &amp; INSTALLATION OF NEW LINK SUITE
</t>
        </r>
      </text>
    </comment>
    <comment ref="G1204" authorId="4" shapeId="0" xr:uid="{3EE2503F-C02D-4FF8-82B4-2C45D56C5F7B}">
      <text>
        <r>
          <rPr>
            <sz val="11"/>
            <color theme="1"/>
            <rFont val="Aptos Narrow"/>
            <family val="2"/>
            <scheme val="minor"/>
          </rPr>
          <t>Unknown User:
SUPPLY &amp; INSTALLATION OF TEMPERING VALVE</t>
        </r>
      </text>
    </comment>
    <comment ref="G1207" authorId="4" shapeId="0" xr:uid="{3DF05092-7DCC-4B91-ACCE-875690ED2B7F}">
      <text>
        <r>
          <rPr>
            <sz val="11"/>
            <color theme="1"/>
            <rFont val="Aptos Narrow"/>
            <family val="2"/>
            <scheme val="minor"/>
          </rPr>
          <t>Unknown User:
SUPPLY &amp; INSTALLATION OF NEW INSTANTANEOUS GAS HOT WATER SYSTEM (EXTERNAL)</t>
        </r>
      </text>
    </comment>
    <comment ref="G1209" authorId="4" shapeId="0" xr:uid="{C7A6FBAF-33C6-43F6-865D-DDDD5D7B4569}">
      <text>
        <r>
          <rPr>
            <sz val="11"/>
            <color theme="1"/>
            <rFont val="Aptos Narrow"/>
            <family val="2"/>
            <scheme val="minor"/>
          </rPr>
          <t>Unknown User:
INSTALLATION OF CUSTOMER SUPPLIED FRIDGE TO WATER SUPPLY</t>
        </r>
      </text>
    </comment>
    <comment ref="G1212" authorId="4" shapeId="0" xr:uid="{8134175F-5B5C-4E84-9B93-91BA7C6E828F}">
      <text>
        <r>
          <rPr>
            <sz val="11"/>
            <color theme="1"/>
            <rFont val="Aptos Narrow"/>
            <family val="2"/>
            <scheme val="minor"/>
          </rPr>
          <t>Unknown User:
HIGH POWERED SUCTION &amp; ACID TREATMENT</t>
        </r>
      </text>
    </comment>
    <comment ref="E1238" authorId="26" shapeId="0" xr:uid="{E39DFE82-B58F-49E4-8BD1-4F1480492F00}">
      <text>
        <t>[Threaded comment]
Your version of Excel allows you to read this threaded comment; however, any edits to it will get removed if the file is opened in a newer version of Excel. Learn more: https://go.microsoft.com/fwlink/?linkid=870924
Comment:
    Checked</t>
      </text>
    </comment>
    <comment ref="G1250" authorId="4" shapeId="0" xr:uid="{059FA90F-02CD-4793-AEF6-A105E9AB8F46}">
      <text>
        <r>
          <rPr>
            <sz val="11"/>
            <color theme="1"/>
            <rFont val="Aptos Narrow"/>
            <family val="2"/>
            <scheme val="minor"/>
          </rPr>
          <t>Unknown User:
ROOF LEAK SEARCH &amp; INVESTIGATION</t>
        </r>
      </text>
    </comment>
    <comment ref="Q1250" authorId="4" shapeId="0" xr:uid="{2B39532B-845E-45A0-BD6A-2AC48A2E4F7C}">
      <text>
        <r>
          <rPr>
            <sz val="11"/>
            <color theme="1"/>
            <rFont val="Aptos Narrow"/>
            <family val="2"/>
            <scheme val="minor"/>
          </rPr>
          <t>Unknown User:
Plumber hasn't raised progress invoice</t>
        </r>
      </text>
    </comment>
    <comment ref="G1251" authorId="4" shapeId="0" xr:uid="{B440B318-7778-4401-9B66-E7F5C46CB98E}">
      <text>
        <r>
          <rPr>
            <sz val="11"/>
            <color theme="1"/>
            <rFont val="Aptos Narrow"/>
            <family val="2"/>
            <scheme val="minor"/>
          </rPr>
          <t>Unknown User:
SEARCH AND INVESTIGATION OF GAS INSTANTANEOUS HOT WATER SYSTEM</t>
        </r>
      </text>
    </comment>
    <comment ref="G1252" authorId="4" shapeId="0" xr:uid="{87352971-E3BC-402C-A436-7A777271AB5E}">
      <text>
        <r>
          <rPr>
            <sz val="11"/>
            <color theme="1"/>
            <rFont val="Aptos Narrow"/>
            <family val="2"/>
            <scheme val="minor"/>
          </rPr>
          <t>Unknown User:
SUPPLY AND INSTALLATION OF BRASS HOSE TAPS TO REPLACE EXISTING HOSE TAP</t>
        </r>
      </text>
    </comment>
    <comment ref="G1253" authorId="4" shapeId="0" xr:uid="{84FB814B-944A-4263-B6D6-18B30D96A771}">
      <text>
        <r>
          <rPr>
            <sz val="11"/>
            <color theme="1"/>
            <rFont val="Aptos Narrow"/>
            <family val="2"/>
            <scheme val="minor"/>
          </rPr>
          <t>Unknown User:
HIGH POWERED JET BLAST &amp; CCTV DRAIN CAMERA INSPECTION (SEWER SERVICE)
10% Seniors &amp; Pensioners Discount</t>
        </r>
      </text>
    </comment>
    <comment ref="G1254" authorId="4" shapeId="0" xr:uid="{0F42485D-EE13-4122-959A-B2325F91DFFB}">
      <text>
        <r>
          <rPr>
            <sz val="11"/>
            <color theme="1"/>
            <rFont val="Aptos Narrow"/>
            <family val="2"/>
            <scheme val="minor"/>
          </rPr>
          <t>Unknown User:
INSTALLATION OF BASIN MIXER WITH NEW MIXER (CUSTOMER SUPPLIED</t>
        </r>
      </text>
    </comment>
    <comment ref="G1255" authorId="4" shapeId="0" xr:uid="{B53F347A-6767-43A3-8FA5-8CE01F05AD1D}">
      <text>
        <r>
          <rPr>
            <sz val="11"/>
            <color theme="1"/>
            <rFont val="Aptos Narrow"/>
            <family val="2"/>
            <scheme val="minor"/>
          </rPr>
          <t>Unknown User:
SEARCH &amp; INVESTIGATION OF GAS APPLIANCE</t>
        </r>
      </text>
    </comment>
    <comment ref="G1256" authorId="4" shapeId="0" xr:uid="{1E921851-FC9D-49E5-A1F5-DD96FE53E5B5}">
      <text>
        <r>
          <rPr>
            <sz val="11"/>
            <color theme="1"/>
            <rFont val="Aptos Narrow"/>
            <family val="2"/>
            <scheme val="minor"/>
          </rPr>
          <t>Unknown User:
REPLACEMENT OF EXISTING PULL-OUT KITCHEN MIXER (CUSTOMER SUPPLIED)
$85+GST Non-refundable call out fee applied to dispatch technician to a commercial
property.</t>
        </r>
      </text>
    </comment>
    <comment ref="G1257" authorId="4" shapeId="0" xr:uid="{CA06AD8B-3BF4-4366-ACA2-C381DE32C440}">
      <text>
        <r>
          <rPr>
            <sz val="11"/>
            <color theme="1"/>
            <rFont val="Aptos Narrow"/>
            <family val="2"/>
            <scheme val="minor"/>
          </rPr>
          <t>Unknown User:
SEARCH &amp; INVESTIGATION OF GAS STORAGE HOT WATER SYSTEM</t>
        </r>
      </text>
    </comment>
    <comment ref="G1258" authorId="4" shapeId="0" xr:uid="{9CBDD02B-7C55-40BA-B000-31290D6E32BF}">
      <text>
        <r>
          <rPr>
            <sz val="11"/>
            <color theme="1"/>
            <rFont val="Aptos Narrow"/>
            <family val="2"/>
            <scheme val="minor"/>
          </rPr>
          <t>Unknown User:
CONVERT EXTERNAL GAS STORAGE HOT WATER SYSTEM TO EXTERNAL GAS INSTANTANEOUS HOT WATER SYSTEM
CREDIT OF SEARCH &amp; INVESTIGATION</t>
        </r>
      </text>
    </comment>
    <comment ref="G1259" authorId="4" shapeId="0" xr:uid="{6471C55B-1A04-4BFB-B398-B5FEE71872F2}">
      <text>
        <r>
          <rPr>
            <sz val="11"/>
            <color theme="1"/>
            <rFont val="Aptos Narrow"/>
            <family val="2"/>
            <scheme val="minor"/>
          </rPr>
          <t>Unknown User:
SEARCH &amp; INVESTIGATION (GENERAL)</t>
        </r>
      </text>
    </comment>
    <comment ref="G1260" authorId="4" shapeId="0" xr:uid="{386E288D-39F1-4437-99DD-F90930E59A63}">
      <text>
        <r>
          <rPr>
            <sz val="11"/>
            <color theme="1"/>
            <rFont val="Aptos Narrow"/>
            <family val="2"/>
            <scheme val="minor"/>
          </rPr>
          <t xml:space="preserve">Unknown User:
HIGH POWERED JET BLAST &amp; CCTV DRAIN CAMERA INSPECTION (SEWER SERVICE)
</t>
        </r>
      </text>
    </comment>
    <comment ref="G1261" authorId="4" shapeId="0" xr:uid="{00D060BA-E55D-484B-A741-BC9D26F569CB}">
      <text>
        <r>
          <rPr>
            <sz val="11"/>
            <color theme="1"/>
            <rFont val="Aptos Narrow"/>
            <family val="2"/>
            <scheme val="minor"/>
          </rPr>
          <t xml:space="preserve">Unknown User:
SEARCH AND INVESTIGATION OF SOLAR SPLIT HOT WATER SYSTEM
</t>
        </r>
      </text>
    </comment>
    <comment ref="G1262" authorId="4" shapeId="0" xr:uid="{616160D0-5A8C-4CE4-822A-5B924BD8F438}">
      <text>
        <r>
          <rPr>
            <sz val="11"/>
            <color theme="1"/>
            <rFont val="Aptos Narrow"/>
            <family val="2"/>
            <scheme val="minor"/>
          </rPr>
          <t>Unknown User:
HIGH POWERED JET BLAST &amp; CCTV DRAIN CAMERA INSPECTION (STORM WATER SERVICE)</t>
        </r>
      </text>
    </comment>
    <comment ref="G1267" authorId="4" shapeId="0" xr:uid="{304ABC13-F608-4EE0-9732-2F04D392E80D}">
      <text>
        <r>
          <rPr>
            <sz val="11"/>
            <color theme="1"/>
            <rFont val="Aptos Narrow"/>
            <family val="2"/>
            <scheme val="minor"/>
          </rPr>
          <t xml:space="preserve">Unknown User:
SUPPLY &amp; INSTALLATION OF NEW INSTANTANEOUS GAS HOT WATER SYSTEM (EXTERNAL)
CREDIT OF SEARCH &amp; INVESTIGATION
Customer Satisfaction Discount $1300 </t>
        </r>
      </text>
    </comment>
    <comment ref="N1267" authorId="4" shapeId="0" xr:uid="{1C1D934A-8ABC-47C3-98CE-1D4B0717419F}">
      <text>
        <r>
          <rPr>
            <sz val="11"/>
            <color theme="1"/>
            <rFont val="Aptos Narrow"/>
            <family val="2"/>
            <scheme val="minor"/>
          </rPr>
          <t>Unknown User:
Quote raised in Job #73961</t>
        </r>
      </text>
    </comment>
    <comment ref="P1267" authorId="4" shapeId="0" xr:uid="{355A47EF-4CD3-4B52-B361-4D59535A193D}">
      <text>
        <r>
          <rPr>
            <sz val="11"/>
            <color theme="1"/>
            <rFont val="Aptos Narrow"/>
            <family val="2"/>
            <scheme val="minor"/>
          </rPr>
          <t>Unknown User:
Signed quote not emailed</t>
        </r>
      </text>
    </comment>
    <comment ref="G1271" authorId="4" shapeId="0" xr:uid="{CBE03183-E252-4542-B849-2662EEDD0F1C}">
      <text>
        <r>
          <rPr>
            <sz val="11"/>
            <color theme="1"/>
            <rFont val="Aptos Narrow"/>
            <family val="2"/>
            <scheme val="minor"/>
          </rPr>
          <t>Unknown User:
WATER SERVICE RECTIFICATION (IN GROUND)</t>
        </r>
      </text>
    </comment>
    <comment ref="U1271" authorId="4" shapeId="0" xr:uid="{B85133D8-7669-4921-B009-7A09342B3C39}">
      <text>
        <r>
          <rPr>
            <sz val="11"/>
            <color theme="1"/>
            <rFont val="Aptos Narrow"/>
            <family val="2"/>
            <scheme val="minor"/>
          </rPr>
          <t>Unknown User:
11/10-As per Dragon's note "Customer contacted in regards to water leak coming from the water main, advised that they currently have an ongoing job. Arranged for plumber to come out and check the leak and provide temp fix."</t>
        </r>
      </text>
    </comment>
    <comment ref="G1272" authorId="4" shapeId="0" xr:uid="{29275E61-BB0D-4C27-A939-77BD8D0FEFE6}">
      <text>
        <r>
          <rPr>
            <sz val="11"/>
            <color theme="1"/>
            <rFont val="Aptos Narrow"/>
            <family val="2"/>
            <scheme val="minor"/>
          </rPr>
          <t>Unknown User:
SEWER SPOT DIG - (UNDER PAVERS)</t>
        </r>
      </text>
    </comment>
    <comment ref="G1273" authorId="4" shapeId="0" xr:uid="{C11FD2F2-9DF2-4008-8604-B3852F0EE496}">
      <text>
        <r>
          <rPr>
            <sz val="11"/>
            <color theme="1"/>
            <rFont val="Aptos Narrow"/>
            <family val="2"/>
            <scheme val="minor"/>
          </rPr>
          <t xml:space="preserve">Unknown User:
CONVERT SOLAR SPLIT HOT WATER SYSTEM TO EXTERNAL GAS INSTANTANEOUS HOT WATER SYSTEM
</t>
        </r>
      </text>
    </comment>
    <comment ref="S1273" authorId="4" shapeId="0" xr:uid="{518F14ED-E40E-403A-8A66-C414A3DE4D40}">
      <text>
        <r>
          <rPr>
            <sz val="11"/>
            <color theme="1"/>
            <rFont val="Aptos Narrow"/>
            <family val="2"/>
            <scheme val="minor"/>
          </rPr>
          <t>Unknown User:
Signed invoice not emailed</t>
        </r>
      </text>
    </comment>
    <comment ref="G1274" authorId="4" shapeId="0" xr:uid="{7350AA84-540E-4CB7-B219-4FDA7AF6D83C}">
      <text>
        <r>
          <rPr>
            <sz val="11"/>
            <color theme="1"/>
            <rFont val="Aptos Narrow"/>
            <family val="2"/>
            <scheme val="minor"/>
          </rPr>
          <t>Unknown User:
SPECIALIST LEAK DETECTION (WATER SERVICE)</t>
        </r>
      </text>
    </comment>
    <comment ref="N1274" authorId="4" shapeId="0" xr:uid="{86989EA7-0B71-430A-8DE9-702F5F514F41}">
      <text>
        <r>
          <rPr>
            <sz val="11"/>
            <color theme="1"/>
            <rFont val="Aptos Narrow"/>
            <family val="2"/>
            <scheme val="minor"/>
          </rPr>
          <t>Unknown User:
Quote not raised by plumber.Until 13/10/2025.
Raised by office person on 10/10
Plumber has only made a note that the office person has booked leak tech on his behalf.</t>
        </r>
      </text>
    </comment>
    <comment ref="V1274" authorId="4" shapeId="0" xr:uid="{8870D832-9756-4DAC-B4D0-A538278659E3}">
      <text>
        <r>
          <rPr>
            <sz val="11"/>
            <color theme="1"/>
            <rFont val="Aptos Narrow"/>
            <family val="2"/>
            <scheme val="minor"/>
          </rPr>
          <t>Unknown User:
13/10-Received $1842.39 by Podium</t>
        </r>
      </text>
    </comment>
    <comment ref="G1279" authorId="4" shapeId="0" xr:uid="{B3446D64-C757-4509-8EDD-7BAA2BAAE084}">
      <text>
        <r>
          <rPr>
            <sz val="11"/>
            <color theme="1"/>
            <rFont val="Aptos Narrow"/>
            <family val="2"/>
            <scheme val="minor"/>
          </rPr>
          <t>Unknown User:
REPLACEMENT OF PLUG &amp; WASTE - 40MM
HIGH POWERED SUCTION PUMP</t>
        </r>
      </text>
    </comment>
    <comment ref="L1279" authorId="4" shapeId="0" xr:uid="{1CBAD48E-D1C0-43EB-B54A-A3556B4B264D}">
      <text>
        <r>
          <rPr>
            <sz val="11"/>
            <color theme="1"/>
            <rFont val="Aptos Narrow"/>
            <family val="2"/>
            <scheme val="minor"/>
          </rPr>
          <t>Unknown User:
High powered suction pump pics not uploaded</t>
        </r>
      </text>
    </comment>
    <comment ref="R1279" authorId="4" shapeId="0" xr:uid="{FF0CC702-FA96-4AF5-A8D3-B095103B1464}">
      <text>
        <r>
          <rPr>
            <sz val="11"/>
            <color theme="1"/>
            <rFont val="Aptos Narrow"/>
            <family val="2"/>
            <scheme val="minor"/>
          </rPr>
          <t>Unknown User:
Customer not onsite</t>
        </r>
      </text>
    </comment>
    <comment ref="G1280" authorId="4" shapeId="0" xr:uid="{16193537-B7BF-4ECF-AE36-25A64AE3FEFA}">
      <text>
        <r>
          <rPr>
            <sz val="11"/>
            <color theme="1"/>
            <rFont val="Aptos Narrow"/>
            <family val="2"/>
            <scheme val="minor"/>
          </rPr>
          <t xml:space="preserve">Unknown User:
WATER SERVICE RECTIFICATION (IN GROUND)
10% Seniors &amp; Pensioners Discount </t>
        </r>
      </text>
    </comment>
    <comment ref="T1280" authorId="4" shapeId="0" xr:uid="{3B7D1D2D-5C0C-492C-ADC9-C39FF266A7D9}">
      <text>
        <r>
          <rPr>
            <sz val="11"/>
            <color theme="1"/>
            <rFont val="Aptos Narrow"/>
            <family val="2"/>
            <scheme val="minor"/>
          </rPr>
          <t>Unknown User:
0.5x Will Dower</t>
        </r>
      </text>
    </comment>
    <comment ref="G1284" authorId="4" shapeId="0" xr:uid="{75BE314B-18AB-4E81-84A4-4590E84C7FE1}">
      <text>
        <r>
          <rPr>
            <sz val="11"/>
            <color theme="1"/>
            <rFont val="Aptos Narrow"/>
            <family val="2"/>
            <scheme val="minor"/>
          </rPr>
          <t xml:space="preserve">Unknown User:
WATER SERVICE RECTIFICATION (IN WALL)
Isolate water supply to property
Set up safe working area
Mark out required location
Diamond grind wall 
Jackhammer and removal of section of wall 
Gain access to damaged water service in wall
Expose existing section of damaged water service in wall
Cut &amp; removal of existing damaged water service
Clean existing water service
Prepare existing water service for new connections
Flush out water service free of potential debris
Supply &amp; install new section of new water service up to 1.5M
Supply &amp; install new Press fittings
Connect new section of water service to existing water service
Use of specialist hydraulic crimping tool
Crimp new section of water service
Reinstate water supply
Conduct pressure test on water service to ensure no further leaks
Lag new service in wall 
Supply and install new wall mortar and bedding to worked area 
Water proof worked area 
Installation of new wall tiles in worked area 
Supply and installation of new grouting in worked area 
Removal of trade waste
Test &amp; commission installation
Please note. If further works are required, additional costs will apply. If exact tiles cannot be matched, closest option will be provided and agreed by customer. </t>
        </r>
      </text>
    </comment>
    <comment ref="N1284" authorId="4" shapeId="0" xr:uid="{E48FE337-B59A-4DEB-B83F-0588CB083B9C}">
      <text>
        <r>
          <rPr>
            <sz val="11"/>
            <color theme="1"/>
            <rFont val="Aptos Narrow"/>
            <family val="2"/>
            <scheme val="minor"/>
          </rPr>
          <t>Unknown User:
Quote raised in job #71735</t>
        </r>
      </text>
    </comment>
    <comment ref="U1284" authorId="4" shapeId="0" xr:uid="{1689F8A3-C1DC-4AAC-9595-633DED947B0C}">
      <text>
        <r>
          <rPr>
            <sz val="11"/>
            <color theme="1"/>
            <rFont val="Aptos Narrow"/>
            <family val="2"/>
            <scheme val="minor"/>
          </rPr>
          <t>Unknown User:
28/07-As per Will's note "Asked for a leak report, I said we can send plumbers findings, I told her to ask the plumber for more information on that. I will let dispatch know too"</t>
        </r>
      </text>
    </comment>
    <comment ref="G1285" authorId="4" shapeId="0" xr:uid="{986A09FB-360A-4A09-B60D-AF99D3B41572}">
      <text>
        <r>
          <rPr>
            <sz val="11"/>
            <color theme="1"/>
            <rFont val="Aptos Narrow"/>
            <family val="2"/>
            <scheme val="minor"/>
          </rPr>
          <t>Unknown User:
REPLACEMENT OF BASIN SET
SUPPLY &amp; INSTALLATION OF NEW SKEW TOILET SUITE
SUPPLY &amp; INSTALLATION OF NEW WALL FACED TOILET SUITE</t>
        </r>
      </text>
    </comment>
    <comment ref="G1289" authorId="4" shapeId="0" xr:uid="{4CEA6548-D34F-440B-A08E-AD3D7E8DF710}">
      <text>
        <r>
          <rPr>
            <sz val="11"/>
            <color theme="1"/>
            <rFont val="Aptos Narrow"/>
            <family val="2"/>
            <scheme val="minor"/>
          </rPr>
          <t>Unknown User:
WATER SERVICE RECTIFICATION (IN GROUND)</t>
        </r>
      </text>
    </comment>
    <comment ref="G1290" authorId="4" shapeId="0" xr:uid="{6B8B782C-4FC1-4F59-941D-2A77D2AE3ECE}">
      <text>
        <r>
          <rPr>
            <sz val="11"/>
            <color theme="1"/>
            <rFont val="Aptos Narrow"/>
            <family val="2"/>
            <scheme val="minor"/>
          </rPr>
          <t>Unknown User:
REPLACEMENT OF EXISTING PULL-OUT KITCHEN MIXER (CUSTOMER SUPPLIED)</t>
        </r>
      </text>
    </comment>
    <comment ref="G1291" authorId="4" shapeId="0" xr:uid="{902BC298-87E6-43B7-9B38-BFD926921847}">
      <text>
        <r>
          <rPr>
            <sz val="11"/>
            <color theme="1"/>
            <rFont val="Aptos Narrow"/>
            <family val="2"/>
            <scheme val="minor"/>
          </rPr>
          <t>Unknown User:
COMPLETE SERVICE OF IN WALL TOILET CISTERN</t>
        </r>
      </text>
    </comment>
    <comment ref="G1292" authorId="4" shapeId="0" xr:uid="{B4B2B2A0-6AF0-4D8D-93C7-9AE76122A451}">
      <text>
        <r>
          <rPr>
            <sz val="11"/>
            <color theme="1"/>
            <rFont val="Aptos Narrow"/>
            <family val="2"/>
            <scheme val="minor"/>
          </rPr>
          <t xml:space="preserve">Unknown User:
SEARCH AND INVESTIGATION OF GAS INSTANTANEOUS HOT WATER SYSTEM
</t>
        </r>
      </text>
    </comment>
    <comment ref="G1293" authorId="4" shapeId="0" xr:uid="{6941C09B-A45B-4809-82F2-721550DB2E25}">
      <text>
        <r>
          <rPr>
            <sz val="11"/>
            <color theme="1"/>
            <rFont val="Aptos Narrow"/>
            <family val="2"/>
            <scheme val="minor"/>
          </rPr>
          <t xml:space="preserve">Unknown User:
HIGH POWERED JET BLAST &amp; CCTV DRAIN CAMERA INSPECTION (STORM WATER SERVICE)
</t>
        </r>
      </text>
    </comment>
    <comment ref="G1294" authorId="4" shapeId="0" xr:uid="{8F4A78AA-9076-4F47-B7FB-6A9DA9E56353}">
      <text>
        <r>
          <rPr>
            <sz val="11"/>
            <color theme="1"/>
            <rFont val="Aptos Narrow"/>
            <family val="2"/>
            <scheme val="minor"/>
          </rPr>
          <t>Unknown User:
SUPPLY &amp; INSTALLATION OF NEW WALL FACED TOILET SUITE
10% Seniors &amp; Pensioners Discount</t>
        </r>
      </text>
    </comment>
    <comment ref="G1295" authorId="4" shapeId="0" xr:uid="{8046FC19-A259-4C84-9398-263DF0D37274}">
      <text>
        <r>
          <rPr>
            <sz val="11"/>
            <color theme="1"/>
            <rFont val="Aptos Narrow"/>
            <family val="2"/>
            <scheme val="minor"/>
          </rPr>
          <t>Unknown User:
WATER SERVICE RECTIFICATION (EXPOSED)</t>
        </r>
      </text>
    </comment>
    <comment ref="G1297" authorId="4" shapeId="0" xr:uid="{90C38527-5DA2-494D-84CF-ED8F21CBC99B}">
      <text>
        <r>
          <rPr>
            <sz val="11"/>
            <color theme="1"/>
            <rFont val="Aptos Narrow"/>
            <family val="2"/>
            <scheme val="minor"/>
          </rPr>
          <t>Unknown User:
SUPPLY AND INSTALL GAS APPLIANCE FLUE</t>
        </r>
      </text>
    </comment>
    <comment ref="G1298" authorId="4" shapeId="0" xr:uid="{D894824B-BB04-485E-8076-F0C0F69B51BD}">
      <text>
        <r>
          <rPr>
            <sz val="11"/>
            <color theme="1"/>
            <rFont val="Aptos Narrow"/>
            <family val="2"/>
            <scheme val="minor"/>
          </rPr>
          <t>Unknown User:
CONVERT SOLAR SPLIT HOT WATER SYSTEM TO EXTERNAL GAS INSTANTANEOUS HOT WATER SYSTEM</t>
        </r>
      </text>
    </comment>
    <comment ref="G1299" authorId="4" shapeId="0" xr:uid="{7FCC9E5A-E106-45B4-ADF4-03F7BBE4291C}">
      <text>
        <r>
          <rPr>
            <sz val="11"/>
            <color theme="1"/>
            <rFont val="Aptos Narrow"/>
            <family val="2"/>
            <scheme val="minor"/>
          </rPr>
          <t>Unknown User:
HIGH POWERED JET BLAST &amp; CCTV DRAIN CAMERA INSPECTION (STORM WATER SERVICE)</t>
        </r>
      </text>
    </comment>
    <comment ref="G1300" authorId="4" shapeId="0" xr:uid="{2C827168-0BA7-4A7F-8453-152318186F19}">
      <text>
        <r>
          <rPr>
            <sz val="11"/>
            <color theme="1"/>
            <rFont val="Aptos Narrow"/>
            <family val="2"/>
            <scheme val="minor"/>
          </rPr>
          <t xml:space="preserve">Unknown User:
SEARCH &amp; INVESTIGATION OF GAS STORAGE HOT WATER SYSTEM
</t>
        </r>
      </text>
    </comment>
    <comment ref="G1301" authorId="4" shapeId="0" xr:uid="{A7611E75-2A7A-4155-BE1F-2C8102E09301}">
      <text>
        <r>
          <rPr>
            <sz val="11"/>
            <color theme="1"/>
            <rFont val="Aptos Narrow"/>
            <family val="2"/>
            <scheme val="minor"/>
          </rPr>
          <t xml:space="preserve">Unknown User:
STORM WATER SPOT RECTIFICATION IN GROUND
</t>
        </r>
      </text>
    </comment>
    <comment ref="G1303" authorId="4" shapeId="0" xr:uid="{C4FE29DB-0F13-428E-A509-411C244975AB}">
      <text>
        <r>
          <rPr>
            <sz val="11"/>
            <color theme="1"/>
            <rFont val="Aptos Narrow"/>
            <family val="2"/>
            <scheme val="minor"/>
          </rPr>
          <t xml:space="preserve">Unknown User:
SUSPENDED SEWER STACK RECTIFICATION UPTO 1M
</t>
        </r>
      </text>
    </comment>
    <comment ref="U1303" authorId="4" shapeId="0" xr:uid="{588C993C-CF46-4178-930A-978E2F567983}">
      <text>
        <r>
          <rPr>
            <sz val="11"/>
            <color theme="1"/>
            <rFont val="Aptos Narrow"/>
            <family val="2"/>
            <scheme val="minor"/>
          </rPr>
          <t>Unknown User:
10/10-As per Shaun's note "Customer unable to pay the deposit at this moment, but he’s desperate to get the work done has agreed to our quotation. No problem with the Pricing whatsoever he’s quite happy and understands the amount of work that needs to be done. He just doesn’t have even $1000 at the moment. I proceeded to talk about payment plans and the options that are available and he has requested to get back to me first thing tomorrow morning when he speaks to his in-laws who currently live in China"</t>
        </r>
      </text>
    </comment>
    <comment ref="E1325" authorId="27" shapeId="0" xr:uid="{32A94893-4438-4911-8F17-66129901A5AD}">
      <text>
        <t>[Threaded comment]
Your version of Excel allows you to read this threaded comment; however, any edits to it will get removed if the file is opened in a newer version of Excel. Learn more: https://go.microsoft.com/fwlink/?linkid=870924
Comment:
    Stock</t>
      </text>
    </comment>
    <comment ref="E1326" authorId="28" shapeId="0" xr:uid="{D68A50BC-E85F-498E-97BC-356228DA4543}">
      <text>
        <t>[Threaded comment]
Your version of Excel allows you to read this threaded comment; however, any edits to it will get removed if the file is opened in a newer version of Excel. Learn more: https://go.microsoft.com/fwlink/?linkid=870924
Comment:
    Stock</t>
      </text>
    </comment>
    <comment ref="G1336" authorId="4" shapeId="0" xr:uid="{E2069321-8EC7-472C-9467-D2BBDE7E8B72}">
      <text>
        <r>
          <rPr>
            <sz val="11"/>
            <color theme="1"/>
            <rFont val="Aptos Narrow"/>
            <family val="2"/>
            <scheme val="minor"/>
          </rPr>
          <t>Unknown User:
SEARCH AND INVESTIGATION OF ELECTRIC STORAGE HOT WATER SYSTEM</t>
        </r>
      </text>
    </comment>
    <comment ref="O1336" authorId="4" shapeId="0" xr:uid="{43E55C9D-9993-46FC-9D94-C48A1EF0EC26}">
      <text>
        <r>
          <rPr>
            <sz val="11"/>
            <color theme="1"/>
            <rFont val="Aptos Narrow"/>
            <family val="2"/>
            <scheme val="minor"/>
          </rPr>
          <t>Unknown User:
Sign not obtained in Quote.
No notes regarding whether customer is onsite.</t>
        </r>
      </text>
    </comment>
    <comment ref="P1336" authorId="4" shapeId="0" xr:uid="{EE5FEB52-B60C-480A-8C95-C0F21B89C6A2}">
      <text>
        <r>
          <rPr>
            <sz val="11"/>
            <color theme="1"/>
            <rFont val="Aptos Narrow"/>
            <family val="2"/>
            <scheme val="minor"/>
          </rPr>
          <t>Unknown User:
Quote emailed without sign</t>
        </r>
      </text>
    </comment>
    <comment ref="R1336" authorId="4" shapeId="0" xr:uid="{63F63A2E-25F9-40FE-AE2F-41D7A2C1F44D}">
      <text>
        <r>
          <rPr>
            <sz val="11"/>
            <color theme="1"/>
            <rFont val="Aptos Narrow"/>
            <family val="2"/>
            <scheme val="minor"/>
          </rPr>
          <t>Unknown User:
Sign not obtained</t>
        </r>
      </text>
    </comment>
    <comment ref="S1336" authorId="4" shapeId="0" xr:uid="{32901815-B53F-47E5-868A-C21B1752D4D8}">
      <text>
        <r>
          <rPr>
            <sz val="11"/>
            <color theme="1"/>
            <rFont val="Aptos Narrow"/>
            <family val="2"/>
            <scheme val="minor"/>
          </rPr>
          <t>Unknown User:
Invoice emailed without sign</t>
        </r>
      </text>
    </comment>
    <comment ref="G1337" authorId="4" shapeId="0" xr:uid="{33DBD59D-4BEB-4C64-99AC-5F6D8045C6A6}">
      <text>
        <r>
          <rPr>
            <sz val="11"/>
            <color theme="1"/>
            <rFont val="Aptos Narrow"/>
            <family val="2"/>
            <scheme val="minor"/>
          </rPr>
          <t>Unknown User:
CONVERSION OF GRAVITY HOT WATER UNIT TO EXTERNAL GAS INSTANTANEOUS HOT WATER UNIT</t>
        </r>
      </text>
    </comment>
    <comment ref="O1337" authorId="4" shapeId="0" xr:uid="{A1892CA0-5031-42DB-960F-CC1909AA1624}">
      <text>
        <r>
          <rPr>
            <sz val="11"/>
            <color theme="1"/>
            <rFont val="Aptos Narrow"/>
            <family val="2"/>
            <scheme val="minor"/>
          </rPr>
          <t>Unknown User:
Sign not obtained in Quote
No notes regarding whether customer is onsite.</t>
        </r>
      </text>
    </comment>
    <comment ref="P1337" authorId="4" shapeId="0" xr:uid="{DE79AB91-2419-41C1-A71E-C61B923B296A}">
      <text>
        <r>
          <rPr>
            <sz val="11"/>
            <color theme="1"/>
            <rFont val="Aptos Narrow"/>
            <family val="2"/>
            <scheme val="minor"/>
          </rPr>
          <t>Unknown User:
Quote emailed without sign</t>
        </r>
      </text>
    </comment>
    <comment ref="R1337" authorId="4" shapeId="0" xr:uid="{E30EA9BC-6CBE-4CD6-9558-1025E2773CD7}">
      <text>
        <r>
          <rPr>
            <sz val="11"/>
            <color theme="1"/>
            <rFont val="Aptos Narrow"/>
            <family val="2"/>
            <scheme val="minor"/>
          </rPr>
          <t>Unknown User:
Sign not obtained</t>
        </r>
      </text>
    </comment>
    <comment ref="S1337" authorId="4" shapeId="0" xr:uid="{B18F61CE-D3F9-40BA-ADB8-36B72E5F79BA}">
      <text>
        <r>
          <rPr>
            <sz val="11"/>
            <color theme="1"/>
            <rFont val="Aptos Narrow"/>
            <family val="2"/>
            <scheme val="minor"/>
          </rPr>
          <t>Unknown User:
Invoice emailed without sign</t>
        </r>
      </text>
    </comment>
    <comment ref="G1338" authorId="4" shapeId="0" xr:uid="{97C76BF0-F6D2-4C84-A634-EFEDD4B88E46}">
      <text>
        <r>
          <rPr>
            <sz val="11"/>
            <color theme="1"/>
            <rFont val="Aptos Narrow"/>
            <family val="2"/>
            <scheme val="minor"/>
          </rPr>
          <t>Unknown User:
SEARCH &amp; INVESTIGATION OF POTENTIAL GAS LEAK</t>
        </r>
      </text>
    </comment>
    <comment ref="G1339" authorId="4" shapeId="0" xr:uid="{4116210F-75EE-41D1-86B0-6273DB6D74C3}">
      <text>
        <r>
          <rPr>
            <sz val="11"/>
            <color theme="1"/>
            <rFont val="Aptos Narrow"/>
            <family val="2"/>
            <scheme val="minor"/>
          </rPr>
          <t xml:space="preserve">Unknown User:
SUPPLY &amp; INSTALLATION OF NEW INSTANTANEOUS GAS HOT WATER SYSTEM (EXTERNAL)
CREDIT OF SEARCH &amp; INVESTIGATION </t>
        </r>
      </text>
    </comment>
    <comment ref="L1339" authorId="4" shapeId="0" xr:uid="{EE28840E-0D31-48E4-A450-9E0A2658DDA6}">
      <text>
        <r>
          <rPr>
            <sz val="11"/>
            <color theme="1"/>
            <rFont val="Aptos Narrow"/>
            <family val="2"/>
            <scheme val="minor"/>
          </rPr>
          <t>Unknown User:
Temp check not performed</t>
        </r>
      </text>
    </comment>
    <comment ref="G1340" authorId="4" shapeId="0" xr:uid="{7F2158A9-2C28-487C-92B5-6C4244C92865}">
      <text>
        <r>
          <rPr>
            <sz val="11"/>
            <color theme="1"/>
            <rFont val="Aptos Narrow"/>
            <family val="2"/>
            <scheme val="minor"/>
          </rPr>
          <t xml:space="preserve">Unknown User:
SEARCH &amp; INVESTIGATION (GENERAL)
</t>
        </r>
      </text>
    </comment>
    <comment ref="G1341" authorId="4" shapeId="0" xr:uid="{6A4AB88F-5F2A-4CDE-981D-136DA6C29CEE}">
      <text>
        <r>
          <rPr>
            <sz val="11"/>
            <color theme="1"/>
            <rFont val="Aptos Narrow"/>
            <family val="2"/>
            <scheme val="minor"/>
          </rPr>
          <t>Unknown User:
WATER SERVICE RECTIFICATION (IN WALL)
Waive/Cancellation of Job
Customer Satisfaction Discount</t>
        </r>
      </text>
    </comment>
    <comment ref="G1342" authorId="4" shapeId="0" xr:uid="{4617048A-F12B-4904-8B64-FE631A9D6EA0}">
      <text>
        <r>
          <rPr>
            <sz val="11"/>
            <color theme="1"/>
            <rFont val="Aptos Narrow"/>
            <family val="2"/>
            <scheme val="minor"/>
          </rPr>
          <t xml:space="preserve">Unknown User:
</t>
        </r>
      </text>
    </comment>
    <comment ref="O1342" authorId="4" shapeId="0" xr:uid="{2CF6E474-84C4-45EB-BABE-B0280110203D}">
      <text>
        <r>
          <rPr>
            <sz val="11"/>
            <color theme="1"/>
            <rFont val="Aptos Narrow"/>
            <family val="2"/>
            <scheme val="minor"/>
          </rPr>
          <t>Unknown User:
Customer not onsite</t>
        </r>
      </text>
    </comment>
    <comment ref="R1342" authorId="4" shapeId="0" xr:uid="{4D2F61A5-0139-40FC-A30C-D289E0387D45}">
      <text>
        <r>
          <rPr>
            <sz val="11"/>
            <color theme="1"/>
            <rFont val="Aptos Narrow"/>
            <family val="2"/>
            <scheme val="minor"/>
          </rPr>
          <t>Unknown User:
Customer not onsite</t>
        </r>
      </text>
    </comment>
    <comment ref="G1343" authorId="4" shapeId="0" xr:uid="{6AA9C74B-0A74-40BA-8D28-E87543C6A5A6}">
      <text>
        <r>
          <rPr>
            <sz val="11"/>
            <color theme="1"/>
            <rFont val="Aptos Narrow"/>
            <family val="2"/>
            <scheme val="minor"/>
          </rPr>
          <t>Unknown User:
INSTALLATION OF NEW WASHING MACHINE (CUSTOMER SUPPLIED) - REPLACE EXISTING 
$85 Off First Service</t>
        </r>
      </text>
    </comment>
    <comment ref="M1343" authorId="4" shapeId="0" xr:uid="{337971AF-02B8-4E78-85E2-72C34F9330D3}">
      <text>
        <r>
          <rPr>
            <sz val="11"/>
            <color theme="1"/>
            <rFont val="Aptos Narrow"/>
            <family val="2"/>
            <scheme val="minor"/>
          </rPr>
          <t>Unknown User:
Smartpay receipt of $853.60 not uploaded by plumber.
Uploaded by Modoras team</t>
        </r>
      </text>
    </comment>
    <comment ref="G1344" authorId="4" shapeId="0" xr:uid="{901F5BB0-A83D-4D0D-98B8-4B8840DD694E}">
      <text>
        <r>
          <rPr>
            <sz val="11"/>
            <color theme="1"/>
            <rFont val="Aptos Narrow"/>
            <family val="2"/>
            <scheme val="minor"/>
          </rPr>
          <t xml:space="preserve">Unknown User:
SEARCH &amp; INVESTIGATION OF POTENTIAL GAS LEAK </t>
        </r>
      </text>
    </comment>
    <comment ref="G1345" authorId="4" shapeId="0" xr:uid="{3A6A9B4B-2A29-48DC-9F09-4B678251A7B0}">
      <text>
        <r>
          <rPr>
            <sz val="11"/>
            <color theme="1"/>
            <rFont val="Aptos Narrow"/>
            <family val="2"/>
            <scheme val="minor"/>
          </rPr>
          <t>Unknown User:
SUPPLY &amp; INSTALLATION OF NEW INSTANTANEOUS GAS HOT WATER SYSTEM (EXTERNAL)</t>
        </r>
      </text>
    </comment>
    <comment ref="N1345" authorId="4" shapeId="0" xr:uid="{CA8E1F2B-ECF9-40A5-8F65-B962AFB28566}">
      <text>
        <r>
          <rPr>
            <sz val="11"/>
            <color theme="1"/>
            <rFont val="Aptos Narrow"/>
            <family val="2"/>
            <scheme val="minor"/>
          </rPr>
          <t>Unknown User:
Quote raised in Job #74490</t>
        </r>
      </text>
    </comment>
    <comment ref="G1346" authorId="4" shapeId="0" xr:uid="{9827C342-FA72-4FC5-95F2-66C406901D91}">
      <text>
        <r>
          <rPr>
            <sz val="11"/>
            <color theme="1"/>
            <rFont val="Aptos Narrow"/>
            <family val="2"/>
            <scheme val="minor"/>
          </rPr>
          <t>Unknown User:
SUPPLY &amp; INSTALLATION OF WAX PAN SEAL</t>
        </r>
      </text>
    </comment>
    <comment ref="G1347" authorId="4" shapeId="0" xr:uid="{775E79D6-24A7-4621-A721-CDC302C6D368}">
      <text>
        <r>
          <rPr>
            <sz val="11"/>
            <color theme="1"/>
            <rFont val="Aptos Narrow"/>
            <family val="2"/>
            <scheme val="minor"/>
          </rPr>
          <t xml:space="preserve">Unknown User:
HIGH POWERED JET BLAST &amp; CCTV DRAIN CAMERA INSPECTION (SEWER SERVICE)
</t>
        </r>
      </text>
    </comment>
    <comment ref="G1348" authorId="4" shapeId="0" xr:uid="{44BDB9BC-469C-42FE-9381-994208D1B465}">
      <text>
        <r>
          <rPr>
            <sz val="11"/>
            <color theme="1"/>
            <rFont val="Aptos Narrow"/>
            <family val="2"/>
            <scheme val="minor"/>
          </rPr>
          <t xml:space="preserve">Unknown User:
REPLACEMENT OF WALL TAP SET (CUSTOMER SUPPLIED)
</t>
        </r>
      </text>
    </comment>
    <comment ref="G1349" authorId="4" shapeId="0" xr:uid="{9625CA3D-7707-4CBF-9BA4-7C58B850441B}">
      <text>
        <r>
          <rPr>
            <sz val="11"/>
            <color theme="1"/>
            <rFont val="Aptos Narrow"/>
            <family val="2"/>
            <scheme val="minor"/>
          </rPr>
          <t>Unknown User:
HIGH POWERED SUCTION &amp; ACID TREATMENT
15% Seniors &amp; Pensioners Discount</t>
        </r>
      </text>
    </comment>
    <comment ref="L1349" authorId="4" shapeId="0" xr:uid="{072F621B-8429-4538-BBC2-E27B8AE3A8A8}">
      <text>
        <r>
          <rPr>
            <sz val="11"/>
            <color theme="1"/>
            <rFont val="Aptos Narrow"/>
            <family val="2"/>
            <scheme val="minor"/>
          </rPr>
          <t>Unknown User:
Although blockage is cleared, Suction pump &amp; acid treatment pics are not uploaded.</t>
        </r>
      </text>
    </comment>
    <comment ref="G1350" authorId="4" shapeId="0" xr:uid="{1EC07D45-436C-4CD0-A1D8-98583BFD70F5}">
      <text>
        <r>
          <rPr>
            <sz val="11"/>
            <color theme="1"/>
            <rFont val="Aptos Narrow"/>
            <family val="2"/>
            <scheme val="minor"/>
          </rPr>
          <t>Unknown User:
REPLACEMENT OF WALL TOP TAPWARE</t>
        </r>
      </text>
    </comment>
    <comment ref="P1350" authorId="4" shapeId="0" xr:uid="{AFB30F39-F50C-454A-AC05-3EEB4C66CCF4}">
      <text>
        <r>
          <rPr>
            <sz val="11"/>
            <color theme="1"/>
            <rFont val="Aptos Narrow"/>
            <family val="2"/>
            <scheme val="minor"/>
          </rPr>
          <t>Unknown User:
Quote not emailed</t>
        </r>
      </text>
    </comment>
    <comment ref="S1350" authorId="4" shapeId="0" xr:uid="{04C89022-35BC-49E7-A29A-CD731D63C651}">
      <text>
        <r>
          <rPr>
            <sz val="11"/>
            <color theme="1"/>
            <rFont val="Aptos Narrow"/>
            <family val="2"/>
            <scheme val="minor"/>
          </rPr>
          <t>Unknown User:
Invoice not emailed</t>
        </r>
      </text>
    </comment>
    <comment ref="G1351" authorId="4" shapeId="0" xr:uid="{003E48BF-0C90-4092-9129-35074DC666A5}">
      <text>
        <r>
          <rPr>
            <sz val="11"/>
            <color theme="1"/>
            <rFont val="Aptos Narrow"/>
            <family val="2"/>
            <scheme val="minor"/>
          </rPr>
          <t>Unknown User:
SEARCH &amp; INVESTIGATION OF DISHWASHER</t>
        </r>
      </text>
    </comment>
    <comment ref="G1352" authorId="4" shapeId="0" xr:uid="{AF4D3487-B7F2-43B1-A655-5AE9E33B3467}">
      <text>
        <r>
          <rPr>
            <sz val="11"/>
            <color theme="1"/>
            <rFont val="Aptos Narrow"/>
            <family val="2"/>
            <scheme val="minor"/>
          </rPr>
          <t>Unknown User:
INSTALLATION OF SHOWER ON RAIL (CUSTOMER SUPPLIED)</t>
        </r>
      </text>
    </comment>
    <comment ref="W1352" authorId="4" shapeId="0" xr:uid="{E7BAD6A2-6EAB-4C8B-BCDA-AAC7A9F766D3}">
      <text>
        <r>
          <rPr>
            <sz val="11"/>
            <color theme="1"/>
            <rFont val="Aptos Narrow"/>
            <family val="2"/>
            <scheme val="minor"/>
          </rPr>
          <t>Unknown User:
Cash denomination
$50*27=$1350
$20*2=$40
Total cash=$1390
Excess receipt by $2.90</t>
        </r>
      </text>
    </comment>
    <comment ref="G1353" authorId="4" shapeId="0" xr:uid="{3BF51737-86D0-4DB8-B8D4-18F1B018587F}">
      <text>
        <r>
          <rPr>
            <sz val="11"/>
            <color theme="1"/>
            <rFont val="Aptos Narrow"/>
            <family val="2"/>
            <scheme val="minor"/>
          </rPr>
          <t>Unknown User:
SEARCH &amp; INVESTIGATE - IN WALL CISTERN</t>
        </r>
      </text>
    </comment>
    <comment ref="G1354" authorId="4" shapeId="0" xr:uid="{372E3EA9-81EF-4DBC-8C75-BE327485CE41}">
      <text>
        <r>
          <rPr>
            <sz val="11"/>
            <color theme="1"/>
            <rFont val="Aptos Narrow"/>
            <family val="2"/>
            <scheme val="minor"/>
          </rPr>
          <t>Unknown User:
COMPLETE SERVICE OF IN WALL TOILET CISTERN</t>
        </r>
      </text>
    </comment>
    <comment ref="G1355" authorId="4" shapeId="0" xr:uid="{54FA07B1-4DF6-483F-8B44-D60A6FA43AA9}">
      <text>
        <r>
          <rPr>
            <sz val="11"/>
            <color theme="1"/>
            <rFont val="Aptos Narrow"/>
            <family val="2"/>
            <scheme val="minor"/>
          </rPr>
          <t>Unknown User:
REPLACEMENT OF PLUG &amp; WASTE - 40MM</t>
        </r>
      </text>
    </comment>
    <comment ref="G1360" authorId="4" shapeId="0" xr:uid="{3EBA7011-959D-4200-8878-9CF87E0041C5}">
      <text>
        <r>
          <rPr>
            <sz val="11"/>
            <color theme="1"/>
            <rFont val="Aptos Narrow"/>
            <family val="2"/>
            <scheme val="minor"/>
          </rPr>
          <t xml:space="preserve">Unknown User:
CONVERT SOLAR SPLIT HOT WATER SYSTEM TO EXTERNAL GAS INSTANTANEOUS HOT WATER SYSTEM
</t>
        </r>
      </text>
    </comment>
    <comment ref="S1360" authorId="4" shapeId="0" xr:uid="{7DC08B83-11A3-4AF4-88B6-1884A0FA5A7A}">
      <text>
        <r>
          <rPr>
            <sz val="11"/>
            <color theme="1"/>
            <rFont val="Aptos Narrow"/>
            <family val="2"/>
            <scheme val="minor"/>
          </rPr>
          <t>Unknown User:
Signed invoice not emailed</t>
        </r>
      </text>
    </comment>
    <comment ref="G1361" authorId="4" shapeId="0" xr:uid="{39FA1C62-26EC-454A-A591-E49F506FA717}">
      <text>
        <r>
          <rPr>
            <sz val="11"/>
            <color theme="1"/>
            <rFont val="Aptos Narrow"/>
            <family val="2"/>
            <scheme val="minor"/>
          </rPr>
          <t>Unknown User:
SPECIALIST LEAK DETECTION (WATER SERVICE)</t>
        </r>
      </text>
    </comment>
    <comment ref="N1361" authorId="4" shapeId="0" xr:uid="{7CB2371E-7F27-4BA2-8ABC-838C18C01DE9}">
      <text>
        <r>
          <rPr>
            <sz val="11"/>
            <color theme="1"/>
            <rFont val="Aptos Narrow"/>
            <family val="2"/>
            <scheme val="minor"/>
          </rPr>
          <t>Unknown User:
Quote not raised by plumber.Until 13/10/2025.
Raised by office person on 10/10
Plumber has only made a note that the office person has booked leak tech on his behalf.</t>
        </r>
      </text>
    </comment>
    <comment ref="V1361" authorId="4" shapeId="0" xr:uid="{38ADD259-9C12-4F11-B409-754C186F157C}">
      <text>
        <r>
          <rPr>
            <sz val="11"/>
            <color theme="1"/>
            <rFont val="Aptos Narrow"/>
            <family val="2"/>
            <scheme val="minor"/>
          </rPr>
          <t>Unknown User:
13/10-Received $1842.39 by Podium</t>
        </r>
      </text>
    </comment>
    <comment ref="G1365" authorId="4" shapeId="0" xr:uid="{BE362E20-6319-4D3A-A683-1FAD9AFE0FB7}">
      <text>
        <r>
          <rPr>
            <sz val="11"/>
            <color theme="1"/>
            <rFont val="Aptos Narrow"/>
            <family val="2"/>
            <scheme val="minor"/>
          </rPr>
          <t>Unknown User:
HIGH POWERED JET BLAST &amp; CCTV DRAIN CAMERA INSPECTION (SEWER SERVICE)</t>
        </r>
      </text>
    </comment>
    <comment ref="G1370" authorId="4" shapeId="0" xr:uid="{C8B20D0A-98C0-44F6-86BB-CD8C95CD87D9}">
      <text>
        <r>
          <rPr>
            <sz val="11"/>
            <color theme="1"/>
            <rFont val="Aptos Narrow"/>
            <family val="2"/>
            <scheme val="minor"/>
          </rPr>
          <t>Unknown User:
REPLACEMENT OF PLUG &amp; WASTE - 40MM
HIGH POWERED SUCTION PUMP</t>
        </r>
      </text>
    </comment>
    <comment ref="L1370" authorId="4" shapeId="0" xr:uid="{9A8FEE63-6699-43DE-911C-693D3089D257}">
      <text>
        <r>
          <rPr>
            <sz val="11"/>
            <color theme="1"/>
            <rFont val="Aptos Narrow"/>
            <family val="2"/>
            <scheme val="minor"/>
          </rPr>
          <t>Unknown User:
High powered suction pump pics not uploaded</t>
        </r>
      </text>
    </comment>
    <comment ref="R1370" authorId="4" shapeId="0" xr:uid="{2E099949-FBEF-4CC6-85E1-B87BC90DCEE1}">
      <text>
        <r>
          <rPr>
            <sz val="11"/>
            <color theme="1"/>
            <rFont val="Aptos Narrow"/>
            <family val="2"/>
            <scheme val="minor"/>
          </rPr>
          <t>Unknown User:
Customer not onsite</t>
        </r>
      </text>
    </comment>
    <comment ref="G1371" authorId="4" shapeId="0" xr:uid="{D6F89192-4EF7-4BED-9EF7-454097D3CBF9}">
      <text>
        <r>
          <rPr>
            <sz val="11"/>
            <color theme="1"/>
            <rFont val="Aptos Narrow"/>
            <family val="2"/>
            <scheme val="minor"/>
          </rPr>
          <t xml:space="preserve">Unknown User:
WATER SERVICE RECTIFICATION (IN GROUND)
10% Seniors &amp; Pensioners Discount </t>
        </r>
      </text>
    </comment>
    <comment ref="T1371" authorId="4" shapeId="0" xr:uid="{D3074FCE-9BE0-462D-9D37-12B806A90070}">
      <text>
        <r>
          <rPr>
            <sz val="11"/>
            <color theme="1"/>
            <rFont val="Aptos Narrow"/>
            <family val="2"/>
            <scheme val="minor"/>
          </rPr>
          <t>Unknown User:
0.5x Will Dower</t>
        </r>
      </text>
    </comment>
    <comment ref="G1375" authorId="4" shapeId="0" xr:uid="{4C681012-362E-49AB-9483-017E0121749A}">
      <text>
        <r>
          <rPr>
            <sz val="11"/>
            <color theme="1"/>
            <rFont val="Aptos Narrow"/>
            <family val="2"/>
            <scheme val="minor"/>
          </rPr>
          <t xml:space="preserve">Unknown User:
WATER SERVICE RECTIFICATION (IN WALL)
Isolate water supply to property
Set up safe working area
Mark out required location
Diamond grind wall 
Jackhammer and removal of section of wall 
Gain access to damaged water service in wall
Expose existing section of damaged water service in wall
Cut &amp; removal of existing damaged water service
Clean existing water service
Prepare existing water service for new connections
Flush out water service free of potential debris
Supply &amp; install new section of new water service up to 1.5M
Supply &amp; install new Press fittings
Connect new section of water service to existing water service
Use of specialist hydraulic crimping tool
Crimp new section of water service
Reinstate water supply
Conduct pressure test on water service to ensure no further leaks
Lag new service in wall 
Supply and install new wall mortar and bedding to worked area 
Water proof worked area 
Installation of new wall tiles in worked area 
Supply and installation of new grouting in worked area 
Removal of trade waste
Test &amp; commission installation
Please note. If further works are required, additional costs will apply. If exact tiles cannot be matched, closest option will be provided and agreed by customer. </t>
        </r>
      </text>
    </comment>
    <comment ref="N1375" authorId="4" shapeId="0" xr:uid="{E6A3063C-EDF7-4F27-91BB-3E479888414F}">
      <text>
        <r>
          <rPr>
            <sz val="11"/>
            <color theme="1"/>
            <rFont val="Aptos Narrow"/>
            <family val="2"/>
            <scheme val="minor"/>
          </rPr>
          <t>Unknown User:
Quote raised in job #71735</t>
        </r>
      </text>
    </comment>
    <comment ref="U1375" authorId="4" shapeId="0" xr:uid="{2A7F2CEB-7596-4AD0-AD6D-3983FC1FBA79}">
      <text>
        <r>
          <rPr>
            <sz val="11"/>
            <color theme="1"/>
            <rFont val="Aptos Narrow"/>
            <family val="2"/>
            <scheme val="minor"/>
          </rPr>
          <t>Unknown User:
28/07-As per Will's note "Asked for a leak report, I said we can send plumbers findings, I told her to ask the plumber for more information on that. I will let dispatch know too"</t>
        </r>
      </text>
    </comment>
    <comment ref="G1376" authorId="4" shapeId="0" xr:uid="{7FCDA800-9312-4ABA-A9C0-AF90C176B67A}">
      <text>
        <r>
          <rPr>
            <sz val="11"/>
            <color theme="1"/>
            <rFont val="Aptos Narrow"/>
            <family val="2"/>
            <scheme val="minor"/>
          </rPr>
          <t>Unknown User:
REPLACEMENT OF BASIN SET
SUPPLY &amp; INSTALLATION OF NEW SKEW TOILET SUITE
SUPPLY &amp; INSTALLATION OF NEW WALL FACED TOILET SUITE</t>
        </r>
      </text>
    </comment>
    <comment ref="G1377" authorId="4" shapeId="0" xr:uid="{977BB00C-0DBF-44AB-B2EF-5E2EB8CEC29B}">
      <text>
        <r>
          <rPr>
            <sz val="11"/>
            <color theme="1"/>
            <rFont val="Aptos Narrow"/>
            <family val="2"/>
            <scheme val="minor"/>
          </rPr>
          <t>Unknown User:
WATER SERVICE RECTIFICATION (IN GROUND)</t>
        </r>
      </text>
    </comment>
    <comment ref="U1377" authorId="4" shapeId="0" xr:uid="{8BE6DF6D-851A-4281-9418-631D0A59ED06}">
      <text>
        <r>
          <rPr>
            <sz val="11"/>
            <color theme="1"/>
            <rFont val="Aptos Narrow"/>
            <family val="2"/>
            <scheme val="minor"/>
          </rPr>
          <t>Unknown User:
11/10-As per Dragon's note "Customer contacted in regards to water leak coming from the water main, advised that they currently have an ongoing job. Arranged for plumber to come out and check the leak and provide temp fix."</t>
        </r>
      </text>
    </comment>
    <comment ref="G1381" authorId="4" shapeId="0" xr:uid="{3C0D47B3-6C1D-444D-A382-5BB35D406878}">
      <text>
        <r>
          <rPr>
            <sz val="11"/>
            <color theme="1"/>
            <rFont val="Aptos Narrow"/>
            <family val="2"/>
            <scheme val="minor"/>
          </rPr>
          <t xml:space="preserve">Unknown User:
INSTALLATION OF NEW DOUBLE BOWL KITCHEN SINK (CUSTOMER SUPPLIED)
REPLACEMENT OF EXISTING GOOSE NECK KITCHEN MIXER (CUSTOMER SUPPLIED)
REPLACEMENT OF KITCHEN MIXER (CUSTOMER SUPPLIED)
</t>
        </r>
      </text>
    </comment>
    <comment ref="G1382" authorId="4" shapeId="0" xr:uid="{FAA72768-8F39-41F8-9DA5-5911A38FC8D5}">
      <text>
        <r>
          <rPr>
            <sz val="11"/>
            <color theme="1"/>
            <rFont val="Aptos Narrow"/>
            <family val="2"/>
            <scheme val="minor"/>
          </rPr>
          <t>Unknown User:
REPLACEMENT OF EXISTING OVERFLOW GULLY &amp; SECTION OF MAIN SEWER SERVICE (UNDER CONCRETE)
CREDIT HIGH POWERED JETBLAST &amp; CCTV CAMERA</t>
        </r>
      </text>
    </comment>
    <comment ref="G1383" authorId="4" shapeId="0" xr:uid="{55F4D452-6C51-4142-A7E7-2194A91C804E}">
      <text>
        <r>
          <rPr>
            <sz val="11"/>
            <color theme="1"/>
            <rFont val="Aptos Narrow"/>
            <family val="2"/>
            <scheme val="minor"/>
          </rPr>
          <t>Unknown User:
SEWER SPOT DIG - (UNDER PAVERS)
CREDIT HIGH POWERED JETBLAST &amp; CCTV CAMERA</t>
        </r>
      </text>
    </comment>
    <comment ref="K1383" authorId="4" shapeId="0" xr:uid="{4099B486-6DB1-4A49-A2CA-2D54A059AAEA}">
      <text>
        <r>
          <rPr>
            <sz val="11"/>
            <color theme="1"/>
            <rFont val="Aptos Narrow"/>
            <family val="2"/>
            <scheme val="minor"/>
          </rPr>
          <t>Unknown User:
Previous Job #74418 pics considered.</t>
        </r>
      </text>
    </comment>
    <comment ref="N1383" authorId="4" shapeId="0" xr:uid="{D025B6BF-0BF4-456F-A81C-57C48490A208}">
      <text>
        <r>
          <rPr>
            <sz val="11"/>
            <color theme="1"/>
            <rFont val="Aptos Narrow"/>
            <family val="2"/>
            <scheme val="minor"/>
          </rPr>
          <t>Unknown User:
Quote raised in Job #74418</t>
        </r>
      </text>
    </comment>
    <comment ref="G1384" authorId="4" shapeId="0" xr:uid="{C0A4BB08-2F14-44A8-8480-9AACD195DD57}">
      <text>
        <r>
          <rPr>
            <sz val="11"/>
            <color theme="1"/>
            <rFont val="Aptos Narrow"/>
            <family val="2"/>
            <scheme val="minor"/>
          </rPr>
          <t>Unknown User:
SUPPLY &amp; INSTALLATION OF NEW STAINLESS STEEL GAS HOSE
10% Good Will Discount</t>
        </r>
      </text>
    </comment>
    <comment ref="U1384" authorId="4" shapeId="0" xr:uid="{0979AC2A-3229-430D-B3CD-9D864507942C}">
      <text>
        <r>
          <rPr>
            <sz val="11"/>
            <color theme="1"/>
            <rFont val="Aptos Narrow"/>
            <family val="2"/>
            <scheme val="minor"/>
          </rPr>
          <t>Unknown User:
Tagged/marked as "Unsuccessful" by Shaun</t>
        </r>
      </text>
    </comment>
    <comment ref="G1385" authorId="4" shapeId="0" xr:uid="{7DF15CC8-1A2B-4C0E-802D-444626F321F6}">
      <text>
        <r>
          <rPr>
            <sz val="11"/>
            <color theme="1"/>
            <rFont val="Aptos Narrow"/>
            <family val="2"/>
            <scheme val="minor"/>
          </rPr>
          <t>Unknown User:
SEARCH &amp; INVESTIGATION OF WATER HAMMER
15% Seniors &amp; Pensioners Discount</t>
        </r>
      </text>
    </comment>
    <comment ref="G1386" authorId="4" shapeId="0" xr:uid="{370BA54A-B96A-45A6-A3FE-21DB23A8702D}">
      <text>
        <r>
          <rPr>
            <sz val="11"/>
            <color theme="1"/>
            <rFont val="Aptos Narrow"/>
            <family val="2"/>
            <scheme val="minor"/>
          </rPr>
          <t xml:space="preserve">Unknown User:
SUPPLY &amp; INSTALLATION OF NEW EMERGENCY ISOLATION VALVE
</t>
        </r>
      </text>
    </comment>
    <comment ref="G1388" authorId="4" shapeId="0" xr:uid="{FBE157B1-2A40-4A4D-BCE7-90B6ED1DCD7B}">
      <text>
        <r>
          <rPr>
            <sz val="11"/>
            <color theme="1"/>
            <rFont val="Aptos Narrow"/>
            <family val="2"/>
            <scheme val="minor"/>
          </rPr>
          <t>Unknown User:
HIGH POWERED CHEMICAL TREATMENT OF GREASE RELEASE ON SEWER SERVICE</t>
        </r>
      </text>
    </comment>
    <comment ref="G1390" authorId="4" shapeId="0" xr:uid="{616E9274-D6A9-4C34-980C-C37924A4F827}">
      <text>
        <r>
          <rPr>
            <sz val="11"/>
            <color theme="1"/>
            <rFont val="Aptos Narrow"/>
            <family val="2"/>
            <scheme val="minor"/>
          </rPr>
          <t>Unknown User:
CCTV DRAIN CAMERA INSPECTION OF SEWER SERVICE</t>
        </r>
      </text>
    </comment>
    <comment ref="G1391" authorId="4" shapeId="0" xr:uid="{E596321E-0F70-4E20-9791-84B8237A9B5D}">
      <text>
        <r>
          <rPr>
            <sz val="11"/>
            <color theme="1"/>
            <rFont val="Aptos Narrow"/>
            <family val="2"/>
            <scheme val="minor"/>
          </rPr>
          <t>Unknown User:
REPLACEMENT OF EXISTING OVERFLOW GULLY &amp; SECTION OF MAIN SEWER SERVICE (UNDER PAVERS)
15% Good Will Discount</t>
        </r>
      </text>
    </comment>
    <comment ref="G1392" authorId="4" shapeId="0" xr:uid="{C89F0FF1-EFB6-4021-956C-799872BF2676}">
      <text>
        <r>
          <rPr>
            <sz val="11"/>
            <color theme="1"/>
            <rFont val="Aptos Narrow"/>
            <family val="2"/>
            <scheme val="minor"/>
          </rPr>
          <t>Unknown User:
INSTALLATION OF NEW WASHING MACHINE (CUSTOMER SUPPLIED) - REPLACE EXISTING
15% Seniors &amp; Pensioners Discount</t>
        </r>
      </text>
    </comment>
    <comment ref="G1393" authorId="4" shapeId="0" xr:uid="{59939E31-AEEE-43E7-9880-E9C9457AA738}">
      <text>
        <r>
          <rPr>
            <sz val="11"/>
            <color theme="1"/>
            <rFont val="Aptos Narrow"/>
            <family val="2"/>
            <scheme val="minor"/>
          </rPr>
          <t xml:space="preserve">Unknown User:
REPLACEMENT OF HAND-HELD SHOWER ROSE (CUSTOMER SUPPLIED)
</t>
        </r>
      </text>
    </comment>
    <comment ref="G1426" authorId="4" shapeId="0" xr:uid="{DEF02EA2-7381-4169-8780-FC6E3C1621C0}">
      <text>
        <r>
          <rPr>
            <sz val="11"/>
            <color theme="1"/>
            <rFont val="Aptos Narrow"/>
            <family val="2"/>
            <scheme val="minor"/>
          </rPr>
          <t>Unknown User:
SEARCH AND INVESTIGATION OF SOLAR SPLIT HOT WATER SYSTEM</t>
        </r>
      </text>
    </comment>
    <comment ref="M1426" authorId="4" shapeId="0" xr:uid="{2A222F59-5086-4033-80A6-94B1DBD492C5}">
      <text>
        <r>
          <rPr>
            <sz val="11"/>
            <color theme="1"/>
            <rFont val="Aptos Narrow"/>
            <family val="2"/>
            <scheme val="minor"/>
          </rPr>
          <t>Unknown User:
Smartpay receipt of $749.10 not uploaded by plumber.
Uploaded by Modoras team</t>
        </r>
      </text>
    </comment>
    <comment ref="G1427" authorId="4" shapeId="0" xr:uid="{010A3F27-CDBF-46D5-BE12-AF2365ECD3C5}">
      <text>
        <r>
          <rPr>
            <sz val="11"/>
            <color theme="1"/>
            <rFont val="Aptos Narrow"/>
            <family val="2"/>
            <scheme val="minor"/>
          </rPr>
          <t>Unknown User:
CONVERT SOLAR SPLIT HOT WATER SYSTEM TO EXTERNAL ELECTRIC STORAGE
HOT WATER SYSTEM
CREDIT OF SEARCH &amp; INVESTIGATION</t>
        </r>
      </text>
    </comment>
    <comment ref="G1428" authorId="4" shapeId="0" xr:uid="{DB599F48-21E1-48E5-9CA9-C7DD96CD177B}">
      <text>
        <r>
          <rPr>
            <sz val="11"/>
            <color theme="1"/>
            <rFont val="Aptos Narrow"/>
            <family val="2"/>
            <scheme val="minor"/>
          </rPr>
          <t>Unknown User:
SEARCH &amp; INVESTIGATION OF GAS STORAGE HOT WATER SYSTEM</t>
        </r>
      </text>
    </comment>
    <comment ref="G1429" authorId="4" shapeId="0" xr:uid="{7BAB6B1C-DCE0-4B8B-8D01-226C424FB924}">
      <text>
        <r>
          <rPr>
            <sz val="11"/>
            <color theme="1"/>
            <rFont val="Aptos Narrow"/>
            <family val="2"/>
            <scheme val="minor"/>
          </rPr>
          <t xml:space="preserve">Unknown User:
HIGH POWERED JET BLAST &amp; CCTV DRAIN CAMERA INSPECTION IN CONJUNCTION WITH SPECIALIST WHIP HOSE
10% Seniors &amp; Pensioners Discount </t>
        </r>
      </text>
    </comment>
    <comment ref="G1430" authorId="4" shapeId="0" xr:uid="{F32E587D-3149-4E54-8E9B-B9DFDE1CB724}">
      <text>
        <r>
          <rPr>
            <sz val="11"/>
            <color theme="1"/>
            <rFont val="Aptos Narrow"/>
            <family val="2"/>
            <scheme val="minor"/>
          </rPr>
          <t>Unknown User:
CONVERT BASIN TAPWARE TO BASIN MIXER (CUSTOMER SUPPLIED)
10% Seniors &amp; Pensioners Discount</t>
        </r>
      </text>
    </comment>
    <comment ref="G1431" authorId="4" shapeId="0" xr:uid="{D583A1FD-E0E3-415E-B57D-02E7B249029B}">
      <text>
        <r>
          <rPr>
            <sz val="11"/>
            <color theme="1"/>
            <rFont val="Aptos Narrow"/>
            <family val="2"/>
            <scheme val="minor"/>
          </rPr>
          <t>Unknown User:
SEARCH &amp; INVESTIGATION (GENERAL)</t>
        </r>
      </text>
    </comment>
    <comment ref="G1432" authorId="4" shapeId="0" xr:uid="{B5881F75-DA3E-44E4-B4C2-75D97DF8CB0B}">
      <text>
        <r>
          <rPr>
            <sz val="11"/>
            <color theme="1"/>
            <rFont val="Aptos Narrow"/>
            <family val="2"/>
            <scheme val="minor"/>
          </rPr>
          <t>Unknown User:
WATER SERVICE RECTIFICATION (IN WALL &amp; UNDER GROUND)
CREDIT OF SEARCH &amp; INVESTIGATION</t>
        </r>
      </text>
    </comment>
    <comment ref="W1432" authorId="4" shapeId="0" xr:uid="{9444A40B-78AF-4FF2-B66F-BB45486E5C35}">
      <text>
        <r>
          <rPr>
            <sz val="11"/>
            <color theme="1"/>
            <rFont val="Aptos Narrow"/>
            <family val="2"/>
            <scheme val="minor"/>
          </rPr>
          <t>Unknown User:
Cash denomination
$100*20=$2000</t>
        </r>
      </text>
    </comment>
    <comment ref="G1433" authorId="4" shapeId="0" xr:uid="{31995A10-5C6C-47BF-B20B-51A822F8DBAD}">
      <text>
        <r>
          <rPr>
            <sz val="11"/>
            <color theme="1"/>
            <rFont val="Aptos Narrow"/>
            <family val="2"/>
            <scheme val="minor"/>
          </rPr>
          <t>Unknown User:
REPLACEMENT OF WALL TOP TAPWARE
10% Seniors &amp; Pensioners Discount</t>
        </r>
      </text>
    </comment>
    <comment ref="G1434" authorId="4" shapeId="0" xr:uid="{4F2AF2BA-1A00-4B06-B5D1-F3325C9E13C1}">
      <text>
        <r>
          <rPr>
            <sz val="11"/>
            <color theme="1"/>
            <rFont val="Aptos Narrow"/>
            <family val="2"/>
            <scheme val="minor"/>
          </rPr>
          <t>Unknown User:
EMERGENCY ISOLATION VALVE - COMBO
15% Good Will Discount</t>
        </r>
      </text>
    </comment>
    <comment ref="G1435" authorId="4" shapeId="0" xr:uid="{08C44E85-B627-419C-A907-338CE451473E}">
      <text>
        <r>
          <rPr>
            <sz val="11"/>
            <color theme="1"/>
            <rFont val="Aptos Narrow"/>
            <family val="2"/>
            <scheme val="minor"/>
          </rPr>
          <t>Unknown User:
SUPPLY AND INSTALLATION OF EMERGENCY STOP VALVE &amp; BRAIDED FLEXIBLE CONNECTION KIT ON BASIN, SINK OR TOILET</t>
        </r>
      </text>
    </comment>
    <comment ref="G1436" authorId="4" shapeId="0" xr:uid="{CA45E743-536E-4161-8DF3-FA5002DF5450}">
      <text>
        <r>
          <rPr>
            <sz val="11"/>
            <color theme="1"/>
            <rFont val="Aptos Narrow"/>
            <family val="2"/>
            <scheme val="minor"/>
          </rPr>
          <t>Unknown User:
HIGH POWERED SUCTION &amp; ACID TREATMENT</t>
        </r>
      </text>
    </comment>
    <comment ref="G1437" authorId="4" shapeId="0" xr:uid="{363361D3-8271-4647-B27F-2D45FDFD3673}">
      <text>
        <r>
          <rPr>
            <sz val="11"/>
            <color theme="1"/>
            <rFont val="Aptos Narrow"/>
            <family val="2"/>
            <scheme val="minor"/>
          </rPr>
          <t>Unknown User:
HIGH POWERED JET BLAST &amp; CCTV DRAIN CAMERA INSPECTION (SEWER SERVICE)
10% Seniors &amp; Pensioners Discount</t>
        </r>
      </text>
    </comment>
    <comment ref="G1442" authorId="4" shapeId="0" xr:uid="{E4D5AA97-180E-4A96-9F0B-F36BC2FE207C}">
      <text>
        <r>
          <rPr>
            <sz val="11"/>
            <color theme="1"/>
            <rFont val="Aptos Narrow"/>
            <family val="2"/>
            <scheme val="minor"/>
          </rPr>
          <t xml:space="preserve">Unknown User:
HIGH POWERED JET BLAST &amp; CCTV DRAIN CAMERA INSPECTION (STORM WATER SERVICE)
</t>
        </r>
      </text>
    </comment>
    <comment ref="L1442" authorId="4" shapeId="0" xr:uid="{EB2C1240-F024-461A-83FE-987205EF8F46}">
      <text>
        <r>
          <rPr>
            <sz val="11"/>
            <color theme="1"/>
            <rFont val="Aptos Narrow"/>
            <family val="2"/>
            <scheme val="minor"/>
          </rPr>
          <t>Unknown User:
CCTV pics/videos not uploaded</t>
        </r>
      </text>
    </comment>
    <comment ref="Q1442" authorId="4" shapeId="0" xr:uid="{7481665C-ACBA-432D-9F83-0A55D9A7309F}">
      <text>
        <r>
          <rPr>
            <sz val="11"/>
            <color theme="1"/>
            <rFont val="Aptos Narrow"/>
            <family val="2"/>
            <scheme val="minor"/>
          </rPr>
          <t>Unknown User:
Invoice not raised by plumber</t>
        </r>
      </text>
    </comment>
    <comment ref="G1446" authorId="4" shapeId="0" xr:uid="{A6ADC287-FBB2-4CED-B5D8-762C00A6E408}">
      <text>
        <r>
          <rPr>
            <sz val="11"/>
            <color theme="1"/>
            <rFont val="Aptos Narrow"/>
            <family val="2"/>
            <scheme val="minor"/>
          </rPr>
          <t xml:space="preserve">Unknown User:
TESTING OF RPZ VALVE
</t>
        </r>
      </text>
    </comment>
    <comment ref="V1446" authorId="4" shapeId="0" xr:uid="{4643C07C-3B50-4DCF-9252-3B9FE0B0DB05}">
      <text>
        <r>
          <rPr>
            <sz val="11"/>
            <color theme="1"/>
            <rFont val="Aptos Narrow"/>
            <family val="2"/>
            <scheme val="minor"/>
          </rPr>
          <t>Unknown User:
27/10-Smartpay of $1889.36 received</t>
        </r>
      </text>
    </comment>
    <comment ref="G1451" authorId="4" shapeId="0" xr:uid="{AE3B1A74-7C65-4F5A-8D6A-5A2F6227FE67}">
      <text>
        <r>
          <rPr>
            <sz val="11"/>
            <color theme="1"/>
            <rFont val="Aptos Narrow"/>
            <family val="2"/>
            <scheme val="minor"/>
          </rPr>
          <t>Unknown User:
REPLACEMENT OF PLUG &amp; WASTE - 40MM
HIGH POWERED SUCTION PUMP</t>
        </r>
      </text>
    </comment>
    <comment ref="L1451" authorId="4" shapeId="0" xr:uid="{D125257C-2FF2-4996-85DD-D7FC98F580D0}">
      <text>
        <r>
          <rPr>
            <sz val="11"/>
            <color theme="1"/>
            <rFont val="Aptos Narrow"/>
            <family val="2"/>
            <scheme val="minor"/>
          </rPr>
          <t>Unknown User:
High powered suction pump pics not uploaded</t>
        </r>
      </text>
    </comment>
    <comment ref="R1451" authorId="4" shapeId="0" xr:uid="{DE137A7F-CDA4-4F14-8C65-CB98B712925D}">
      <text>
        <r>
          <rPr>
            <sz val="11"/>
            <color theme="1"/>
            <rFont val="Aptos Narrow"/>
            <family val="2"/>
            <scheme val="minor"/>
          </rPr>
          <t>Unknown User:
Customer not onsite</t>
        </r>
      </text>
    </comment>
    <comment ref="G1452" authorId="4" shapeId="0" xr:uid="{DC1EDC4D-A9D2-43BD-B8CD-0808E15F4AD4}">
      <text>
        <r>
          <rPr>
            <sz val="11"/>
            <color theme="1"/>
            <rFont val="Aptos Narrow"/>
            <family val="2"/>
            <scheme val="minor"/>
          </rPr>
          <t xml:space="preserve">Unknown User:
WATER SERVICE RECTIFICATION (IN GROUND)
10% Seniors &amp; Pensioners Discount </t>
        </r>
      </text>
    </comment>
    <comment ref="T1452" authorId="4" shapeId="0" xr:uid="{4425F26B-2733-4344-AC45-4B60CF38C5DE}">
      <text>
        <r>
          <rPr>
            <sz val="11"/>
            <color theme="1"/>
            <rFont val="Aptos Narrow"/>
            <family val="2"/>
            <scheme val="minor"/>
          </rPr>
          <t>Unknown User:
0.5x Will Dower</t>
        </r>
      </text>
    </comment>
    <comment ref="G1456" authorId="4" shapeId="0" xr:uid="{0628601F-9857-4022-A666-FF7C61948C52}">
      <text>
        <r>
          <rPr>
            <sz val="11"/>
            <color theme="1"/>
            <rFont val="Aptos Narrow"/>
            <family val="2"/>
            <scheme val="minor"/>
          </rPr>
          <t xml:space="preserve">Unknown User:
WATER SERVICE RECTIFICATION (IN WALL)
Isolate water supply to property
Set up safe working area
Mark out required location
Diamond grind wall 
Jackhammer and removal of section of wall 
Gain access to damaged water service in wall
Expose existing section of damaged water service in wall
Cut &amp; removal of existing damaged water service
Clean existing water service
Prepare existing water service for new connections
Flush out water service free of potential debris
Supply &amp; install new section of new water service up to 1.5M
Supply &amp; install new Press fittings
Connect new section of water service to existing water service
Use of specialist hydraulic crimping tool
Crimp new section of water service
Reinstate water supply
Conduct pressure test on water service to ensure no further leaks
Lag new service in wall 
Supply and install new wall mortar and bedding to worked area 
Water proof worked area 
Installation of new wall tiles in worked area 
Supply and installation of new grouting in worked area 
Removal of trade waste
Test &amp; commission installation
Please note. If further works are required, additional costs will apply. If exact tiles cannot be matched, closest option will be provided and agreed by customer. </t>
        </r>
      </text>
    </comment>
    <comment ref="N1456" authorId="4" shapeId="0" xr:uid="{F4B28175-F89B-44AF-9943-E9DFB031B3C8}">
      <text>
        <r>
          <rPr>
            <sz val="11"/>
            <color theme="1"/>
            <rFont val="Aptos Narrow"/>
            <family val="2"/>
            <scheme val="minor"/>
          </rPr>
          <t>Unknown User:
Quote raised in job #71735</t>
        </r>
      </text>
    </comment>
    <comment ref="U1456" authorId="4" shapeId="0" xr:uid="{CDBE6F35-831B-455A-8DD9-070C853B6374}">
      <text>
        <r>
          <rPr>
            <sz val="11"/>
            <color theme="1"/>
            <rFont val="Aptos Narrow"/>
            <family val="2"/>
            <scheme val="minor"/>
          </rPr>
          <t>Unknown User:
28/07-As per Will's note "Asked for a leak report, I said we can send plumbers findings, I told her to ask the plumber for more information on that. I will let dispatch know too"</t>
        </r>
      </text>
    </comment>
    <comment ref="G1457" authorId="4" shapeId="0" xr:uid="{77B9AB98-8749-4C13-A6FB-44D4E51A6129}">
      <text>
        <r>
          <rPr>
            <sz val="11"/>
            <color theme="1"/>
            <rFont val="Aptos Narrow"/>
            <family val="2"/>
            <scheme val="minor"/>
          </rPr>
          <t>Unknown User:
REPLACEMENT OF BASIN SET
SUPPLY &amp; INSTALLATION OF NEW SKEW TOILET SUITE
SUPPLY &amp; INSTALLATION OF NEW WALL FACED TOILET SUITE</t>
        </r>
      </text>
    </comment>
    <comment ref="G1458" authorId="4" shapeId="0" xr:uid="{8A0A2C58-1A02-4A42-B489-FFDFE61439CF}">
      <text>
        <r>
          <rPr>
            <sz val="11"/>
            <color theme="1"/>
            <rFont val="Aptos Narrow"/>
            <family val="2"/>
            <scheme val="minor"/>
          </rPr>
          <t>Unknown User:
WATER SERVICE RECTIFICATION (IN GROUND)</t>
        </r>
      </text>
    </comment>
    <comment ref="U1458" authorId="4" shapeId="0" xr:uid="{46651C11-F41D-492F-9FAF-1BB6A524B781}">
      <text>
        <r>
          <rPr>
            <sz val="11"/>
            <color theme="1"/>
            <rFont val="Aptos Narrow"/>
            <family val="2"/>
            <scheme val="minor"/>
          </rPr>
          <t>Unknown User:
11/10-As per Dragon's note "Customer contacted in regards to water leak coming from the water main, advised that they currently have an ongoing job. Arranged for plumber to come out and check the leak and provide temp fix."</t>
        </r>
      </text>
    </comment>
    <comment ref="G1459" authorId="4" shapeId="0" xr:uid="{760A4C50-5C70-442A-9B8C-8DC44DB3F73B}">
      <text>
        <r>
          <rPr>
            <sz val="11"/>
            <color theme="1"/>
            <rFont val="Aptos Narrow"/>
            <family val="2"/>
            <scheme val="minor"/>
          </rPr>
          <t>Unknown User:
HIGH POWERED JET BLAST &amp; CCTV DRAIN CAMERA INSPECTION (SEWER SERVICE)</t>
        </r>
      </text>
    </comment>
    <comment ref="G1463" authorId="4" shapeId="0" xr:uid="{F55A14DE-EC1C-4C74-8432-FDD68E7EE22F}">
      <text>
        <r>
          <rPr>
            <sz val="11"/>
            <color theme="1"/>
            <rFont val="Aptos Narrow"/>
            <family val="2"/>
            <scheme val="minor"/>
          </rPr>
          <t xml:space="preserve">Unknown User:
SUPPLY &amp; INSTALLATION OF NEW WALL FACED TOILET SUITE
</t>
        </r>
      </text>
    </comment>
    <comment ref="G1464" authorId="4" shapeId="0" xr:uid="{9353BF0B-3266-40A2-86FD-DBEE71DDC939}">
      <text>
        <r>
          <rPr>
            <sz val="11"/>
            <color theme="1"/>
            <rFont val="Aptos Narrow"/>
            <family val="2"/>
            <scheme val="minor"/>
          </rPr>
          <t>Unknown User:
SUPPLY &amp; INSTALLATION OF GAS STORAGE HOT WATER SYSTEM (EXTERNAL)
15% Seniors &amp; Pensioners Discount</t>
        </r>
      </text>
    </comment>
    <comment ref="G1465" authorId="4" shapeId="0" xr:uid="{EAA27320-3EEB-4F9D-96C8-73001A9C2264}">
      <text>
        <r>
          <rPr>
            <sz val="11"/>
            <color theme="1"/>
            <rFont val="Aptos Narrow"/>
            <family val="2"/>
            <scheme val="minor"/>
          </rPr>
          <t>Unknown User:
CONVERT EXTERNAL GAS STORAGE HOT WATER SYSTEM TO EXTERNAL GAS INSTANTANEOUS HOT WATER SYSTEM
CREDIT OF SEARCH &amp; INVESTIGATION</t>
        </r>
      </text>
    </comment>
    <comment ref="G1466" authorId="4" shapeId="0" xr:uid="{AA37ABBB-7B52-4716-8D34-4784418096E0}">
      <text>
        <r>
          <rPr>
            <sz val="11"/>
            <color theme="1"/>
            <rFont val="Aptos Narrow"/>
            <family val="2"/>
            <scheme val="minor"/>
          </rPr>
          <t>Unknown User:
WATER SERVICE RECTIFICATION (IN CONCRETE)
SUPPLY &amp; INSTALLATION OF GAS STORAGE HOT WATER SYSTEM (EXTERNAL)</t>
        </r>
      </text>
    </comment>
    <comment ref="G1467" authorId="4" shapeId="0" xr:uid="{C2280D33-1F88-425F-9BBE-C2DE2561999B}">
      <text>
        <r>
          <rPr>
            <sz val="11"/>
            <color theme="1"/>
            <rFont val="Aptos Narrow"/>
            <family val="2"/>
            <scheme val="minor"/>
          </rPr>
          <t xml:space="preserve">Unknown User:
SUPPLY AND INSTALLATION OF CARAVAN WATER CIRCULATION PUMP - 15MM
</t>
        </r>
      </text>
    </comment>
    <comment ref="G1468" authorId="4" shapeId="0" xr:uid="{3D8DE02C-2FFD-4F4F-B96A-0FC9DFBE91FB}">
      <text>
        <r>
          <rPr>
            <sz val="11"/>
            <color theme="1"/>
            <rFont val="Aptos Narrow"/>
            <family val="2"/>
            <scheme val="minor"/>
          </rPr>
          <t xml:space="preserve">Unknown User:
SEARCH &amp; INVESTIGATION OF GAS APPLIANCE
</t>
        </r>
      </text>
    </comment>
    <comment ref="G1469" authorId="4" shapeId="0" xr:uid="{C134C215-3B05-4660-9E1E-90CF9ADBDD28}">
      <text>
        <r>
          <rPr>
            <sz val="11"/>
            <color theme="1"/>
            <rFont val="Aptos Narrow"/>
            <family val="2"/>
            <scheme val="minor"/>
          </rPr>
          <t xml:space="preserve">Unknown User:
INSTALLATION OF SHOWER ON RAIL (CUSTOMER SUPPLIED)
</t>
        </r>
      </text>
    </comment>
    <comment ref="G1470" authorId="4" shapeId="0" xr:uid="{57209455-84E3-443E-9218-B82861920796}">
      <text>
        <r>
          <rPr>
            <sz val="11"/>
            <color theme="1"/>
            <rFont val="Aptos Narrow"/>
            <family val="2"/>
            <scheme val="minor"/>
          </rPr>
          <t xml:space="preserve">Unknown User:
HIGH POWERED JET BLAST &amp; CCTV DRAIN CAMERA INSPECTION IN CONJUNCTION WITH SPECIALIST WHIP HOSE
</t>
        </r>
      </text>
    </comment>
    <comment ref="G1471" authorId="4" shapeId="0" xr:uid="{FA25BF21-DE54-4245-92E1-F5E937699B0B}">
      <text>
        <r>
          <rPr>
            <sz val="11"/>
            <color theme="1"/>
            <rFont val="Aptos Narrow"/>
            <family val="2"/>
            <scheme val="minor"/>
          </rPr>
          <t xml:space="preserve">Unknown User:
SUPPLY &amp; INSTALLATION OF NEW WATER SUPPLY TO WASHING MACHINE
</t>
        </r>
      </text>
    </comment>
    <comment ref="G1472" authorId="4" shapeId="0" xr:uid="{CF0A9B45-25F6-4ECE-AE9A-EBC770F2D58C}">
      <text>
        <r>
          <rPr>
            <sz val="11"/>
            <color theme="1"/>
            <rFont val="Aptos Narrow"/>
            <family val="2"/>
            <scheme val="minor"/>
          </rPr>
          <t>Unknown User:
SHOWER ROUGH IN 
10% Good Will Discount</t>
        </r>
      </text>
    </comment>
    <comment ref="G1473" authorId="4" shapeId="0" xr:uid="{F694A638-71D8-4601-8A27-C6FC7FDAF102}">
      <text>
        <r>
          <rPr>
            <sz val="11"/>
            <color theme="1"/>
            <rFont val="Aptos Narrow"/>
            <family val="2"/>
            <scheme val="minor"/>
          </rPr>
          <t xml:space="preserve">Unknown User:
REPLACEMENT OF WALL SINK TAPS AND SPOUT
15% Good Will Discount </t>
        </r>
      </text>
    </comment>
    <comment ref="G1474" authorId="4" shapeId="0" xr:uid="{6A383C5D-8A9C-48CB-804D-A7CA2D33A30F}">
      <text>
        <r>
          <rPr>
            <sz val="11"/>
            <color theme="1"/>
            <rFont val="Aptos Narrow"/>
            <family val="2"/>
            <scheme val="minor"/>
          </rPr>
          <t xml:space="preserve">Unknown User:
SEWER SPOT DIG (UNDER CONCRETE)
</t>
        </r>
      </text>
    </comment>
    <comment ref="G1475" authorId="4" shapeId="0" xr:uid="{B9287710-B3B2-40F5-8473-88C7D5740470}">
      <text>
        <r>
          <rPr>
            <sz val="11"/>
            <color theme="1"/>
            <rFont val="Aptos Narrow"/>
            <family val="2"/>
            <scheme val="minor"/>
          </rPr>
          <t>Unknown User:
HIGH POWERED SUCTION &amp; ACID TREATMENT</t>
        </r>
      </text>
    </comment>
    <comment ref="G1477" authorId="4" shapeId="0" xr:uid="{373FE28D-D906-4007-BCB2-02234AD07C53}">
      <text>
        <r>
          <rPr>
            <sz val="11"/>
            <color theme="1"/>
            <rFont val="Aptos Narrow"/>
            <family val="2"/>
            <scheme val="minor"/>
          </rPr>
          <t xml:space="preserve">Unknown User:
INSTALLATION OF NEW WASHING MACHINE (CUSTOMER SUPPLIED)
</t>
        </r>
      </text>
    </comment>
    <comment ref="G1478" authorId="4" shapeId="0" xr:uid="{C71932B4-914A-4474-B46B-5A76F4BAC689}">
      <text>
        <r>
          <rPr>
            <sz val="11"/>
            <color theme="1"/>
            <rFont val="Aptos Narrow"/>
            <family val="2"/>
            <scheme val="minor"/>
          </rPr>
          <t xml:space="preserve">Unknown User:
CONVERT SOLAR SPLIT HOT WATER SYSTEM TO EXTERNAL GAS INSTANTANEOUS HOT WATER SYSTEM
</t>
        </r>
      </text>
    </comment>
    <comment ref="E1500" authorId="29" shapeId="0" xr:uid="{83B18C06-F292-4698-903A-CEE36DEF1579}">
      <text>
        <t>[Threaded comment]
Your version of Excel allows you to read this threaded comment; however, any edits to it will get removed if the file is opened in a newer version of Excel. Learn more: https://go.microsoft.com/fwlink/?linkid=870924
Comment:
    10% Comm'ns will be paid upon Achieving 5 x 5 Star Reviews</t>
      </text>
    </comment>
    <comment ref="E1501" authorId="30" shapeId="0" xr:uid="{84B6F84C-94BA-4A4E-AF2E-F54E2551D593}">
      <text>
        <t>[Threaded comment]
Your version of Excel allows you to read this threaded comment; however, any edits to it will get removed if the file is opened in a newer version of Excel. Learn more: https://go.microsoft.com/fwlink/?linkid=870924
Comment:
    Stock</t>
      </text>
    </comment>
    <comment ref="E1502" authorId="31" shapeId="0" xr:uid="{E7383256-485F-4199-AFA6-7B01A1039647}">
      <text>
        <t>[Threaded comment]
Your version of Excel allows you to read this threaded comment; however, any edits to it will get removed if the file is opened in a newer version of Excel. Learn more: https://go.microsoft.com/fwlink/?linkid=870924
Comment:
    Checked</t>
      </text>
    </comment>
    <comment ref="E1503" authorId="32" shapeId="0" xr:uid="{05FF033C-E7D9-406E-8B9F-BFF4333182DB}">
      <text>
        <t>[Threaded comment]
Your version of Excel allows you to read this threaded comment; however, any edits to it will get removed if the file is opened in a newer version of Excel. Learn more: https://go.microsoft.com/fwlink/?linkid=870924
Comment:
    Stock</t>
      </text>
    </comment>
    <comment ref="G1511" authorId="4" shapeId="0" xr:uid="{43D03AD5-1539-4A3D-8AC4-A30EC950DE32}">
      <text>
        <r>
          <rPr>
            <sz val="11"/>
            <color theme="1"/>
            <rFont val="Aptos Narrow"/>
            <family val="2"/>
            <scheme val="minor"/>
          </rPr>
          <t>Unknown User:
HIGH POWERED JET BLAST &amp; CCTV DRAIN CAMERA INSPECTION (SEWER SERVICE)
HIGH POWERED SUCTION &amp; ACID TREATMENT</t>
        </r>
      </text>
    </comment>
    <comment ref="W1511" authorId="4" shapeId="0" xr:uid="{923E0BEF-100B-48BB-AF3B-12F7B6DCA9A2}">
      <text>
        <r>
          <rPr>
            <sz val="11"/>
            <color theme="1"/>
            <rFont val="Aptos Narrow"/>
            <family val="2"/>
            <scheme val="minor"/>
          </rPr>
          <t>Unknown User:
Cash denomination
$50*27=$1350
$20*2=$40
Coin denomination not assessable
Total cash=$1390.40</t>
        </r>
      </text>
    </comment>
    <comment ref="G1512" authorId="4" shapeId="0" xr:uid="{BC6595B2-5EF9-4CF5-ABF0-7578BB6A7B55}">
      <text>
        <r>
          <rPr>
            <sz val="11"/>
            <color theme="1"/>
            <rFont val="Aptos Narrow"/>
            <family val="2"/>
            <scheme val="minor"/>
          </rPr>
          <t>Unknown User:
ROOF LEAK SEARCH &amp; INVESTIGATION</t>
        </r>
      </text>
    </comment>
    <comment ref="G1513" authorId="4" shapeId="0" xr:uid="{139885FB-DF65-4D46-89E8-A9822C347900}">
      <text>
        <r>
          <rPr>
            <sz val="11"/>
            <color theme="1"/>
            <rFont val="Aptos Narrow"/>
            <family val="2"/>
            <scheme val="minor"/>
          </rPr>
          <t>Unknown User:
SUPPLY AND INSTALLATION OF TAPS TO REPLACE WASHING MACHINE TAPS (COMBO)</t>
        </r>
      </text>
    </comment>
    <comment ref="G1514" authorId="4" shapeId="0" xr:uid="{A2377E17-C654-43C8-ABFA-6D7244807BBE}">
      <text>
        <r>
          <rPr>
            <sz val="11"/>
            <color theme="1"/>
            <rFont val="Aptos Narrow"/>
            <family val="2"/>
            <scheme val="minor"/>
          </rPr>
          <t>Unknown User:
SUPPLY AND INSTALLATION OF NEW BRASS HOSE TAP WITH TIMBER STAKE AND NEW COPPER RISER
10% Seniors &amp; Pensioners Discount</t>
        </r>
      </text>
    </comment>
    <comment ref="U1514" authorId="4" shapeId="0" xr:uid="{D3DB6059-FC97-4FF4-A2C9-280A0A61CE3F}">
      <text>
        <r>
          <rPr>
            <sz val="11"/>
            <color theme="1"/>
            <rFont val="Aptos Narrow"/>
            <family val="2"/>
            <scheme val="minor"/>
          </rPr>
          <t>Unknown User:
28/10-As per Shaun's note "Customer left for work, need to touch base with her re upsell later.
This job can be closed"</t>
        </r>
      </text>
    </comment>
    <comment ref="G1515" authorId="4" shapeId="0" xr:uid="{5B4C7EF3-1020-461F-B4F6-E7B9952045E7}">
      <text>
        <r>
          <rPr>
            <sz val="11"/>
            <color theme="1"/>
            <rFont val="Aptos Narrow"/>
            <family val="2"/>
            <scheme val="minor"/>
          </rPr>
          <t xml:space="preserve">Unknown User:
CONVERT EXTERNAL GAS STORAGE HOT WATER SYSTEM TO EXTERNAL GAS INSTANTANEOUS HOT WATER SYSTEM
10% Seniors &amp; Pensioners Discount </t>
        </r>
      </text>
    </comment>
    <comment ref="T1515" authorId="4" shapeId="0" xr:uid="{58EE2476-3082-46A7-B348-D89C89571788}">
      <text>
        <r>
          <rPr>
            <sz val="11"/>
            <color theme="1"/>
            <rFont val="Aptos Narrow"/>
            <family val="2"/>
            <scheme val="minor"/>
          </rPr>
          <t>Unknown User:
0.5x Shaun 
0.5x Wil Dower
(Mentioned in review as "Shaun and his team were fabulous)</t>
        </r>
      </text>
    </comment>
    <comment ref="G1516" authorId="4" shapeId="0" xr:uid="{4824C8E3-AE7C-4C03-BD16-9E5FF9E13C0A}">
      <text>
        <r>
          <rPr>
            <sz val="11"/>
            <color theme="1"/>
            <rFont val="Aptos Narrow"/>
            <family val="2"/>
            <scheme val="minor"/>
          </rPr>
          <t>Unknown User:
REPLACEMENT OF EMERGENCY STOP VALVE</t>
        </r>
      </text>
    </comment>
    <comment ref="U1516" authorId="4" shapeId="0" xr:uid="{20CE8711-B04A-4F49-A223-3CDB0D38783A}">
      <text>
        <r>
          <rPr>
            <sz val="11"/>
            <color theme="1"/>
            <rFont val="Aptos Narrow"/>
            <family val="2"/>
            <scheme val="minor"/>
          </rPr>
          <t>Unknown User:
28/10-As per Joshua G's note "reattend/warranty to be cancelled
VM LEFT WITH LEO TO GO THRU JOB AND ADVISE THAT FURTHER WORKS WILL BE NECESSARY"
28/10-As per Shaun's note "Customer has now called and saying that there is a further leak and another problem on the lugged elbow and BP thread which I checked at. Have a photo of no leaks. There was no leak when I was on site. The leak was coming from the isolation valve which I replaced. Customer won’t let me speak when I talk to him."</t>
        </r>
      </text>
    </comment>
    <comment ref="G1517" authorId="4" shapeId="0" xr:uid="{34FC06C1-29BE-4E73-B433-2C2B4F89CC50}">
      <text>
        <r>
          <rPr>
            <sz val="11"/>
            <color theme="1"/>
            <rFont val="Aptos Narrow"/>
            <family val="2"/>
            <scheme val="minor"/>
          </rPr>
          <t>Unknown User:
REPLACEMENT OF WALL TOP TAPWARE
$85 Off First Service</t>
        </r>
      </text>
    </comment>
    <comment ref="G1518" authorId="4" shapeId="0" xr:uid="{CD96556C-626C-4D3C-A2FE-27F3AB9FD14E}">
      <text>
        <r>
          <rPr>
            <sz val="11"/>
            <color theme="1"/>
            <rFont val="Aptos Narrow"/>
            <family val="2"/>
            <scheme val="minor"/>
          </rPr>
          <t>Unknown User:
WATER SERVICE RECTIFICATION (IN GROUND)
15% Seniors &amp; Pensioners Discount</t>
        </r>
      </text>
    </comment>
    <comment ref="T1518" authorId="4" shapeId="0" xr:uid="{5147A810-900B-45BC-B0B0-812F88ED6CE1}">
      <text>
        <r>
          <rPr>
            <sz val="11"/>
            <color theme="1"/>
            <rFont val="Aptos Narrow"/>
            <family val="2"/>
            <scheme val="minor"/>
          </rPr>
          <t>Unknown User:
0.5x for Matthew H 
0.5x for Junior</t>
        </r>
      </text>
    </comment>
    <comment ref="G1519" authorId="4" shapeId="0" xr:uid="{86A38825-BF66-4255-B9DC-F1388865F159}">
      <text>
        <r>
          <rPr>
            <sz val="11"/>
            <color theme="1"/>
            <rFont val="Aptos Narrow"/>
            <family val="2"/>
            <scheme val="minor"/>
          </rPr>
          <t>Unknown User:
ACID TREATMENT WITH CCTV DRAIN CAMERA INSPECTION</t>
        </r>
      </text>
    </comment>
    <comment ref="G1520" authorId="4" shapeId="0" xr:uid="{7CDBFC3C-1048-466B-9472-96B18474727E}">
      <text>
        <r>
          <rPr>
            <sz val="11"/>
            <color theme="1"/>
            <rFont val="Aptos Narrow"/>
            <family val="2"/>
            <scheme val="minor"/>
          </rPr>
          <t>Unknown User:
FLOOD, DYE, PRESSURE TEST (WET AREA)</t>
        </r>
      </text>
    </comment>
    <comment ref="G1521" authorId="4" shapeId="0" xr:uid="{252932B3-2CBB-4A1C-B9EF-D8C6921F4F20}">
      <text>
        <r>
          <rPr>
            <sz val="11"/>
            <color theme="1"/>
            <rFont val="Aptos Narrow"/>
            <family val="2"/>
            <scheme val="minor"/>
          </rPr>
          <t>Unknown User:
CAP OFF WATER SERVICE &amp; DECOMMISSION EXISTING TOILET SUITE</t>
        </r>
      </text>
    </comment>
    <comment ref="G1522" authorId="4" shapeId="0" xr:uid="{AF0985F8-3412-4508-BE84-23739C10559B}">
      <text>
        <r>
          <rPr>
            <sz val="11"/>
            <color theme="1"/>
            <rFont val="Aptos Narrow"/>
            <family val="2"/>
            <scheme val="minor"/>
          </rPr>
          <t>Unknown User:
COMPLETE SERVICE OF WALL TOP TAPS ASSEMBLY
15% Seniors &amp; Pensioners Discount</t>
        </r>
      </text>
    </comment>
    <comment ref="L1522" authorId="4" shapeId="0" xr:uid="{9258C086-DDCA-4F55-AB59-41E1E547BA89}">
      <text>
        <r>
          <rPr>
            <sz val="11"/>
            <color theme="1"/>
            <rFont val="Aptos Narrow"/>
            <family val="2"/>
            <scheme val="minor"/>
          </rPr>
          <t>Unknown User:
After pics not uploaded.</t>
        </r>
      </text>
    </comment>
    <comment ref="G1523" authorId="4" shapeId="0" xr:uid="{7A001488-AEF0-4D01-B9C1-D465A15206AF}">
      <text>
        <r>
          <rPr>
            <sz val="11"/>
            <color theme="1"/>
            <rFont val="Aptos Narrow"/>
            <family val="2"/>
            <scheme val="minor"/>
          </rPr>
          <t>Unknown User:
SEARCH AND INVESTIGATION OF SOLAR SPLIT HOT WATER SYSTEM</t>
        </r>
      </text>
    </comment>
    <comment ref="M1523" authorId="4" shapeId="0" xr:uid="{5D1CB618-17A7-4BC4-90C0-1EDF353F11F5}">
      <text>
        <r>
          <rPr>
            <sz val="11"/>
            <color theme="1"/>
            <rFont val="Aptos Narrow"/>
            <family val="2"/>
            <scheme val="minor"/>
          </rPr>
          <t>Unknown User:
Smartpay receipt of $1387.10 not uploaded by plumber.
Uploaded by Modoras team.</t>
        </r>
      </text>
    </comment>
    <comment ref="G1524" authorId="4" shapeId="0" xr:uid="{FA6A4437-657C-4FAB-BC6C-AEDB9DFEB568}">
      <text>
        <r>
          <rPr>
            <sz val="11"/>
            <color theme="1"/>
            <rFont val="Aptos Narrow"/>
            <family val="2"/>
            <scheme val="minor"/>
          </rPr>
          <t>Unknown User:
CONVERT SOLAR SPLIT HOT WATER SYSTEM TO EXTERNAL GAS INSTANTANEOUS HOT WATER SYSTEM
CREDIT OF SEARCH &amp; INVESTIGATION</t>
        </r>
      </text>
    </comment>
    <comment ref="N1524" authorId="4" shapeId="0" xr:uid="{00600DDF-2234-4F7C-AA03-A7A43943382C}">
      <text>
        <r>
          <rPr>
            <sz val="11"/>
            <color theme="1"/>
            <rFont val="Aptos Narrow"/>
            <family val="2"/>
            <scheme val="minor"/>
          </rPr>
          <t>Unknown User:
Quote raised in Job #74956</t>
        </r>
      </text>
    </comment>
    <comment ref="Q1524" authorId="4" shapeId="0" xr:uid="{5E99972E-DA35-4970-8EBD-4011EEB406D2}">
      <text>
        <r>
          <rPr>
            <sz val="11"/>
            <color theme="1"/>
            <rFont val="Aptos Narrow"/>
            <family val="2"/>
            <scheme val="minor"/>
          </rPr>
          <t>Unknown User:
Progress invoice ($830) not raised</t>
        </r>
      </text>
    </comment>
    <comment ref="G1525" authorId="4" shapeId="0" xr:uid="{F2577739-CED0-4527-BC2E-FCE9C4734718}">
      <text>
        <r>
          <rPr>
            <sz val="11"/>
            <color theme="1"/>
            <rFont val="Aptos Narrow"/>
            <family val="2"/>
            <scheme val="minor"/>
          </rPr>
          <t>Unknown User:
SUPPLY &amp; INSTALLATION OF FLUSH PIPE CONE OR 50MM KEESEAL
MIXER TAP - STANDARD</t>
        </r>
      </text>
    </comment>
    <comment ref="L1525" authorId="4" shapeId="0" xr:uid="{2172B8CC-9653-4891-92E9-7FFF41386D7B}">
      <text>
        <r>
          <rPr>
            <sz val="11"/>
            <color theme="1"/>
            <rFont val="Aptos Narrow"/>
            <family val="2"/>
            <scheme val="minor"/>
          </rPr>
          <t>Unknown User:
Flush pipe cone/50mm Keeseal pics are not clear.</t>
        </r>
      </text>
    </comment>
    <comment ref="M1525" authorId="4" shapeId="0" xr:uid="{32CFF62A-A939-4961-A357-AAD4CCD1745C}">
      <text>
        <r>
          <rPr>
            <sz val="11"/>
            <color theme="1"/>
            <rFont val="Aptos Narrow"/>
            <family val="2"/>
            <scheme val="minor"/>
          </rPr>
          <t>Unknown User:
Smartpay receipt of $2356.20 not uploaded by plumber.
Uploaded by Modoras team.</t>
        </r>
      </text>
    </comment>
    <comment ref="G1526" authorId="4" shapeId="0" xr:uid="{F42ACF35-ED20-42B3-8D0D-4EE83B0DE832}">
      <text>
        <r>
          <rPr>
            <sz val="11"/>
            <color theme="1"/>
            <rFont val="Aptos Narrow"/>
            <family val="2"/>
            <scheme val="minor"/>
          </rPr>
          <t>Unknown User:
SEARCH AND INVESTIGATION OF ELECTRIC INSTANTANEOUS HOT WATER SYSTEM</t>
        </r>
      </text>
    </comment>
    <comment ref="W1526" authorId="4" shapeId="0" xr:uid="{3E03FAB2-3DC5-4AF7-A82B-E332F919E7B3}">
      <text>
        <r>
          <rPr>
            <sz val="11"/>
            <color theme="1"/>
            <rFont val="Aptos Narrow"/>
            <family val="2"/>
            <scheme val="minor"/>
          </rPr>
          <t>Unknown User:
Cash denomination
$100*4=$400
$50*6=$350
Total cash=$750</t>
        </r>
      </text>
    </comment>
    <comment ref="G1527" authorId="4" shapeId="0" xr:uid="{7E5F60B9-C2C2-41D2-A59C-C12331B7F5AF}">
      <text>
        <r>
          <rPr>
            <sz val="11"/>
            <color theme="1"/>
            <rFont val="Aptos Narrow"/>
            <family val="2"/>
            <scheme val="minor"/>
          </rPr>
          <t>Unknown User:
REPLACEMENT OF BOTTOM INLET CISTERN FILLING VALVE</t>
        </r>
      </text>
    </comment>
    <comment ref="G1528" authorId="4" shapeId="0" xr:uid="{744BB047-BCFD-431D-91A9-382BE3968578}">
      <text>
        <r>
          <rPr>
            <sz val="11"/>
            <color theme="1"/>
            <rFont val="Aptos Narrow"/>
            <family val="2"/>
            <scheme val="minor"/>
          </rPr>
          <t>Unknown User:
REPLACEMENT OF WALL TOP TAPWARE</t>
        </r>
      </text>
    </comment>
    <comment ref="G1529" authorId="4" shapeId="0" xr:uid="{7E0BA864-40AB-4E21-BEDA-8C6EB789D5CC}">
      <text>
        <r>
          <rPr>
            <sz val="11"/>
            <color theme="1"/>
            <rFont val="Aptos Narrow"/>
            <family val="2"/>
            <scheme val="minor"/>
          </rPr>
          <t xml:space="preserve">Unknown User:
REPLACEMENT OF TAP TOPS
15% Good Will Discount </t>
        </r>
      </text>
    </comment>
    <comment ref="N1529" authorId="4" shapeId="0" xr:uid="{66B689D8-87B2-4141-B779-6D2E9D62C7BE}">
      <text>
        <r>
          <rPr>
            <sz val="11"/>
            <color theme="1"/>
            <rFont val="Aptos Narrow"/>
            <family val="2"/>
            <scheme val="minor"/>
          </rPr>
          <t>Unknown User:
Q</t>
        </r>
      </text>
    </comment>
    <comment ref="G1545" authorId="4" shapeId="0" xr:uid="{46F744AD-F498-40DF-B4C1-7858A903961B}">
      <text>
        <r>
          <rPr>
            <sz val="11"/>
            <color theme="1"/>
            <rFont val="Aptos Narrow"/>
            <family val="2"/>
            <scheme val="minor"/>
          </rPr>
          <t>Unknown User:
SUPPLY &amp; INSTALLATION OF NEW FLOOR WASTE GRATE SEAL
RESEAL OF LAUNDRY/WET AREA
CREDIT OF SEARCH &amp; INVESTIGATION</t>
        </r>
      </text>
    </comment>
    <comment ref="M1545" authorId="4" shapeId="0" xr:uid="{B0F08D2C-E2C7-4F0D-B0BE-C8EA07C620A3}">
      <text>
        <r>
          <rPr>
            <sz val="11"/>
            <color theme="1"/>
            <rFont val="Aptos Narrow"/>
            <family val="2"/>
            <scheme val="minor"/>
          </rPr>
          <t>Unknown User:
Smartpay receipt of $800 not uploaded by plumber.
Uploaded by Modoras team.</t>
        </r>
      </text>
    </comment>
    <comment ref="G1546" authorId="4" shapeId="0" xr:uid="{E8945FA0-3C72-4036-AC1A-EFBA5E8D5185}">
      <text>
        <r>
          <rPr>
            <sz val="11"/>
            <color theme="1"/>
            <rFont val="Aptos Narrow"/>
            <family val="2"/>
            <scheme val="minor"/>
          </rPr>
          <t>Unknown User:
SUPPLY &amp; INSTALLATION OF GAS STORAGE HOT WATER SYSTEM (EXTERNAL)</t>
        </r>
      </text>
    </comment>
    <comment ref="S1546" authorId="4" shapeId="0" xr:uid="{B84E8AF1-77F2-4E62-9F92-E5CE9ACF6A16}">
      <text>
        <r>
          <rPr>
            <sz val="11"/>
            <color theme="1"/>
            <rFont val="Aptos Narrow"/>
            <family val="2"/>
            <scheme val="minor"/>
          </rPr>
          <t>Unknown User:
Signed invoice not emailed</t>
        </r>
      </text>
    </comment>
    <comment ref="G1551" authorId="4" shapeId="0" xr:uid="{03DB1671-5D48-4EA4-92B1-1F59E2834BB0}">
      <text>
        <r>
          <rPr>
            <sz val="11"/>
            <color theme="1"/>
            <rFont val="Aptos Narrow"/>
            <family val="2"/>
            <scheme val="minor"/>
          </rPr>
          <t>Unknown User:
REPLACEMENT OF PLUG &amp; WASTE - 40MM
HIGH POWERED SUCTION PUMP</t>
        </r>
      </text>
    </comment>
    <comment ref="L1551" authorId="4" shapeId="0" xr:uid="{757620EB-61C2-4A05-8616-6CC0181396FA}">
      <text>
        <r>
          <rPr>
            <sz val="11"/>
            <color theme="1"/>
            <rFont val="Aptos Narrow"/>
            <family val="2"/>
            <scheme val="minor"/>
          </rPr>
          <t>Unknown User:
High powered suction pump pics not uploaded</t>
        </r>
      </text>
    </comment>
    <comment ref="R1551" authorId="4" shapeId="0" xr:uid="{A2F6D756-3D65-4264-9FC7-90B500626FD6}">
      <text>
        <r>
          <rPr>
            <sz val="11"/>
            <color theme="1"/>
            <rFont val="Aptos Narrow"/>
            <family val="2"/>
            <scheme val="minor"/>
          </rPr>
          <t>Unknown User:
Customer not onsite</t>
        </r>
      </text>
    </comment>
    <comment ref="G1552" authorId="4" shapeId="0" xr:uid="{72BFF936-1526-43F3-A0A7-5D9577882C50}">
      <text>
        <r>
          <rPr>
            <sz val="11"/>
            <color theme="1"/>
            <rFont val="Aptos Narrow"/>
            <family val="2"/>
            <scheme val="minor"/>
          </rPr>
          <t xml:space="preserve">Unknown User:
WATER SERVICE RECTIFICATION (IN GROUND)
10% Seniors &amp; Pensioners Discount </t>
        </r>
      </text>
    </comment>
    <comment ref="T1552" authorId="4" shapeId="0" xr:uid="{7F1D004C-2630-410D-B653-BD3041BA0E55}">
      <text>
        <r>
          <rPr>
            <sz val="11"/>
            <color theme="1"/>
            <rFont val="Aptos Narrow"/>
            <family val="2"/>
            <scheme val="minor"/>
          </rPr>
          <t>Unknown User:
0.5x Will Dower</t>
        </r>
      </text>
    </comment>
    <comment ref="G1556" authorId="4" shapeId="0" xr:uid="{611F96DC-1DFA-49C0-BE4A-39FCC8114CE4}">
      <text>
        <r>
          <rPr>
            <sz val="11"/>
            <color theme="1"/>
            <rFont val="Aptos Narrow"/>
            <family val="2"/>
            <scheme val="minor"/>
          </rPr>
          <t xml:space="preserve">Unknown User:
WATER SERVICE RECTIFICATION (IN WALL)
Isolate water supply to property
Set up safe working area
Mark out required location
Diamond grind wall 
Jackhammer and removal of section of wall 
Gain access to damaged water service in wall
Expose existing section of damaged water service in wall
Cut &amp; removal of existing damaged water service
Clean existing water service
Prepare existing water service for new connections
Flush out water service free of potential debris
Supply &amp; install new section of new water service up to 1.5M
Supply &amp; install new Press fittings
Connect new section of water service to existing water service
Use of specialist hydraulic crimping tool
Crimp new section of water service
Reinstate water supply
Conduct pressure test on water service to ensure no further leaks
Lag new service in wall 
Supply and install new wall mortar and bedding to worked area 
Water proof worked area 
Installation of new wall tiles in worked area 
Supply and installation of new grouting in worked area 
Removal of trade waste
Test &amp; commission installation
Please note. If further works are required, additional costs will apply. If exact tiles cannot be matched, closest option will be provided and agreed by customer. </t>
        </r>
      </text>
    </comment>
    <comment ref="N1556" authorId="4" shapeId="0" xr:uid="{B5642197-B8B9-4C70-BAB5-751E3926341B}">
      <text>
        <r>
          <rPr>
            <sz val="11"/>
            <color theme="1"/>
            <rFont val="Aptos Narrow"/>
            <family val="2"/>
            <scheme val="minor"/>
          </rPr>
          <t>Unknown User:
Quote raised in job #71735</t>
        </r>
      </text>
    </comment>
    <comment ref="U1556" authorId="4" shapeId="0" xr:uid="{EA699037-9A63-499C-8AB8-E6AB29F5E75A}">
      <text>
        <r>
          <rPr>
            <sz val="11"/>
            <color theme="1"/>
            <rFont val="Aptos Narrow"/>
            <family val="2"/>
            <scheme val="minor"/>
          </rPr>
          <t>Unknown User:
28/07-As per Will's note "Asked for a leak report, I said we can send plumbers findings, I told her to ask the plumber for more information on that. I will let dispatch know too"</t>
        </r>
      </text>
    </comment>
    <comment ref="G1557" authorId="4" shapeId="0" xr:uid="{A269E37F-04C1-4918-9DB9-0343BDB4B1CB}">
      <text>
        <r>
          <rPr>
            <sz val="11"/>
            <color theme="1"/>
            <rFont val="Aptos Narrow"/>
            <family val="2"/>
            <scheme val="minor"/>
          </rPr>
          <t>Unknown User:
REPLACEMENT OF BASIN SET
SUPPLY &amp; INSTALLATION OF NEW SKEW TOILET SUITE
SUPPLY &amp; INSTALLATION OF NEW WALL FACED TOILET SUITE</t>
        </r>
      </text>
    </comment>
    <comment ref="G1558" authorId="4" shapeId="0" xr:uid="{402D4190-25DB-43AF-882C-5D04A417D311}">
      <text>
        <r>
          <rPr>
            <sz val="11"/>
            <color theme="1"/>
            <rFont val="Aptos Narrow"/>
            <family val="2"/>
            <scheme val="minor"/>
          </rPr>
          <t>Unknown User:
WATER SERVICE RECTIFICATION (IN GROUND)</t>
        </r>
      </text>
    </comment>
    <comment ref="U1558" authorId="4" shapeId="0" xr:uid="{6A88A05F-EA37-4AEA-A0CA-72764873B155}">
      <text>
        <r>
          <rPr>
            <sz val="11"/>
            <color theme="1"/>
            <rFont val="Aptos Narrow"/>
            <family val="2"/>
            <scheme val="minor"/>
          </rPr>
          <t>Unknown User:
11/10-As per Dragon's note "Customer contacted in regards to water leak coming from the water main, advised that they currently have an ongoing job. Arranged for plumber to come out and check the leak and provide temp fix."</t>
        </r>
      </text>
    </comment>
    <comment ref="G1559" authorId="4" shapeId="0" xr:uid="{B8B6E649-8ADC-4888-BA91-94CB75CCC6C6}">
      <text>
        <r>
          <rPr>
            <sz val="11"/>
            <color theme="1"/>
            <rFont val="Aptos Narrow"/>
            <family val="2"/>
            <scheme val="minor"/>
          </rPr>
          <t>Unknown User:
HIGH POWERED JET BLAST &amp; CCTV DRAIN CAMERA INSPECTION (SEWER SERVICE)</t>
        </r>
      </text>
    </comment>
    <comment ref="G1563" authorId="4" shapeId="0" xr:uid="{8458AC31-0F99-44D7-8109-4D8BB45D7BC9}">
      <text>
        <r>
          <rPr>
            <sz val="11"/>
            <color theme="1"/>
            <rFont val="Aptos Narrow"/>
            <family val="2"/>
            <scheme val="minor"/>
          </rPr>
          <t>Unknown User:
SEWER SPOT DIG - IN GROUND
CREDIT HIGH POWERED JETBLAST &amp; CCTV CAMERA</t>
        </r>
      </text>
    </comment>
    <comment ref="G1564" authorId="4" shapeId="0" xr:uid="{7BD1E1B1-F3A0-4AD6-8AD3-873295D0B4EA}">
      <text>
        <r>
          <rPr>
            <sz val="11"/>
            <color theme="1"/>
            <rFont val="Aptos Narrow"/>
            <family val="2"/>
            <scheme val="minor"/>
          </rPr>
          <t xml:space="preserve">Unknown User:
REPLACE ROOF SHEETS &amp; SEAL EXISTING FLASHING </t>
        </r>
      </text>
    </comment>
    <comment ref="G1565" authorId="4" shapeId="0" xr:uid="{9BDA262F-0EFA-469B-B24A-7EDEDE3079C2}">
      <text>
        <r>
          <rPr>
            <sz val="11"/>
            <color theme="1"/>
            <rFont val="Aptos Narrow"/>
            <family val="2"/>
            <scheme val="minor"/>
          </rPr>
          <t>Unknown User:
ROOF LEAK SEARCH &amp; INVESTIGATION
10% Good Will Discount</t>
        </r>
      </text>
    </comment>
    <comment ref="G1566" authorId="4" shapeId="0" xr:uid="{DD8CE7A1-0607-4500-ABB2-DA2A7B5FCA35}">
      <text>
        <r>
          <rPr>
            <sz val="11"/>
            <color theme="1"/>
            <rFont val="Aptos Narrow"/>
            <family val="2"/>
            <scheme val="minor"/>
          </rPr>
          <t>Unknown User:
WATER SERVICE RECTIFICATION (IN GROUND)
15% Seniors &amp; Pensioners Discount</t>
        </r>
      </text>
    </comment>
    <comment ref="G1567" authorId="4" shapeId="0" xr:uid="{5085B474-DB3B-4CEA-9801-667B756264F6}">
      <text>
        <r>
          <rPr>
            <sz val="11"/>
            <color theme="1"/>
            <rFont val="Aptos Narrow"/>
            <family val="2"/>
            <scheme val="minor"/>
          </rPr>
          <t>Unknown User:
CONVERT EXTERNAL GAS STORAGE HOT WATER SYSTEM TO EXTERNAL GAS INSTANTANEOUS HOT WATER SYSTEM
SUPPLY AND INSTALLATION OF PRESSURE REGULATING DEVICE FITTED TO 20MM STRAIGHT PIPEWORK</t>
        </r>
      </text>
    </comment>
    <comment ref="G1568" authorId="4" shapeId="0" xr:uid="{423AFCDB-9DB4-42A2-B536-8E17684D7021}">
      <text>
        <r>
          <rPr>
            <sz val="11"/>
            <color theme="1"/>
            <rFont val="Aptos Narrow"/>
            <family val="2"/>
            <scheme val="minor"/>
          </rPr>
          <t>Unknown User:
SEARCH &amp; INVESTIGATION OF GAS APPLIANCE
CCTV DRAIN CAMERA INSPECTION OF STORM WATER SERVICE
CCTV DRAIN CAMERA INSPECTION OF SEWER SERVICE
SEARCH &amp; INVESTIGATION (GENERAL)</t>
        </r>
      </text>
    </comment>
    <comment ref="G1569" authorId="4" shapeId="0" xr:uid="{13DC82E0-8DB5-4496-A93D-B676CEAA6674}">
      <text>
        <r>
          <rPr>
            <sz val="11"/>
            <color theme="1"/>
            <rFont val="Aptos Narrow"/>
            <family val="2"/>
            <scheme val="minor"/>
          </rPr>
          <t>Unknown User:
HIGH POWERED JET BLAST &amp; CCTV DRAIN CAMERA INSPECTION (SEWER SERVICE)</t>
        </r>
      </text>
    </comment>
    <comment ref="G1570" authorId="4" shapeId="0" xr:uid="{CFD66476-8809-46BD-8D39-2E6040BC380D}">
      <text>
        <r>
          <rPr>
            <sz val="11"/>
            <color theme="1"/>
            <rFont val="Aptos Narrow"/>
            <family val="2"/>
            <scheme val="minor"/>
          </rPr>
          <t>Unknown User:
COMPLETE SERVICE OF WALL TOP TAPS ASSEMBLY
10% Good Will Discount</t>
        </r>
      </text>
    </comment>
    <comment ref="G1571" authorId="4" shapeId="0" xr:uid="{14A42C1C-3D06-4C5A-9B6F-6244ED26D509}">
      <text>
        <r>
          <rPr>
            <sz val="11"/>
            <color theme="1"/>
            <rFont val="Aptos Narrow"/>
            <family val="2"/>
            <scheme val="minor"/>
          </rPr>
          <t>Unknown User:
SUPPLY &amp; INSTALLATION OF GAS STORAGE HOT WATER SYSTEM (EXTERNAL)
10% Seniors &amp; Pensioners Discount</t>
        </r>
      </text>
    </comment>
    <comment ref="G1572" authorId="4" shapeId="0" xr:uid="{367A9D30-7213-4CC7-A67B-657827544922}">
      <text>
        <r>
          <rPr>
            <sz val="11"/>
            <color theme="1"/>
            <rFont val="Aptos Narrow"/>
            <family val="2"/>
            <scheme val="minor"/>
          </rPr>
          <t>Unknown User:
SUPPLY &amp; INSTALLATION OF NEW SINGLE ELEMENT HOT WATER UNIT – INTERNAL
10% Good Will Discount</t>
        </r>
      </text>
    </comment>
    <comment ref="G1573" authorId="4" shapeId="0" xr:uid="{D87BCAAA-05B0-4FB6-961A-761F4271CDAD}">
      <text>
        <r>
          <rPr>
            <sz val="11"/>
            <color theme="1"/>
            <rFont val="Aptos Narrow"/>
            <family val="2"/>
            <scheme val="minor"/>
          </rPr>
          <t>Unknown User:
REPLACEMENT OF INWALL TOILET CISTERN IN ACCESSIBLE LOCATION</t>
        </r>
      </text>
    </comment>
    <comment ref="G1574" authorId="4" shapeId="0" xr:uid="{84EF3016-9DF1-40D3-80ED-ACB503CA4A1D}">
      <text>
        <r>
          <rPr>
            <sz val="11"/>
            <color theme="1"/>
            <rFont val="Aptos Narrow"/>
            <family val="2"/>
            <scheme val="minor"/>
          </rPr>
          <t xml:space="preserve">Unknown User:
SUPPLY &amp; INSTALLATION OF NEW WALL FACED TOILET SUITE
</t>
        </r>
      </text>
    </comment>
    <comment ref="G1575" authorId="4" shapeId="0" xr:uid="{90A3DDB4-8468-442B-84BB-BA803AE9FA31}">
      <text>
        <r>
          <rPr>
            <sz val="11"/>
            <color theme="1"/>
            <rFont val="Aptos Narrow"/>
            <family val="2"/>
            <scheme val="minor"/>
          </rPr>
          <t>Unknown User:
REPLACEMENT OF EXISTING PULL-OUT KITCHEN MIXER (CUSTOMER SUPPLIED)
10% Good Will Discount</t>
        </r>
      </text>
    </comment>
    <comment ref="G1576" authorId="4" shapeId="0" xr:uid="{4BE89FD3-DF5F-4BBD-A65F-A81042E66905}">
      <text>
        <r>
          <rPr>
            <sz val="11"/>
            <color theme="1"/>
            <rFont val="Aptos Narrow"/>
            <family val="2"/>
            <scheme val="minor"/>
          </rPr>
          <t>Unknown User:
SUPPLY &amp; INSTALLATION OF ELECTRIC INSTANTANEOUS HOT WATER SYSTEM (THREE PHASE)
CREDIT OF SEARCH &amp; INVESTIGATION</t>
        </r>
      </text>
    </comment>
    <comment ref="G1609" authorId="4" shapeId="0" xr:uid="{3AAE75A3-86F5-4AA5-9151-C14C36602F10}">
      <text>
        <r>
          <rPr>
            <sz val="11"/>
            <color theme="1"/>
            <rFont val="Aptos Narrow"/>
            <family val="2"/>
            <scheme val="minor"/>
          </rPr>
          <t>Unknown User:
CONVERT SOLAR SPLIT HOT WATER SYSTEM TO EXTERNAL GAS INSTANTANEOUS HOT WATER SYSTEM</t>
        </r>
      </text>
    </comment>
    <comment ref="G1610" authorId="4" shapeId="0" xr:uid="{1BE9C4DA-7E66-4AA1-905F-CF7A34C378A7}">
      <text>
        <r>
          <rPr>
            <sz val="11"/>
            <color theme="1"/>
            <rFont val="Aptos Narrow"/>
            <family val="2"/>
            <scheme val="minor"/>
          </rPr>
          <t xml:space="preserve">Unknown User:
REPLACEMENT OF SHOWER HOSE
</t>
        </r>
      </text>
    </comment>
    <comment ref="G1673" authorId="4" shapeId="0" xr:uid="{B154AAA4-CECF-42AD-9332-8BB63AA17E24}">
      <text>
        <r>
          <rPr>
            <sz val="11"/>
            <color theme="1"/>
            <rFont val="Aptos Narrow"/>
            <family val="2"/>
            <scheme val="minor"/>
          </rPr>
          <t>Unknown User:
SUPPLY &amp; INSTALLATION OF NEW FREE-STANDING VANITY (600MM)
COMPLETE SERVICE OF WALL TOP TAPS ASSEMBLY</t>
        </r>
      </text>
    </comment>
    <comment ref="G1695" authorId="4" shapeId="0" xr:uid="{FFA9497A-C4A7-4EAE-B443-FBD7B979334C}">
      <text>
        <r>
          <rPr>
            <sz val="11"/>
            <color theme="1"/>
            <rFont val="Aptos Narrow"/>
            <family val="2"/>
            <scheme val="minor"/>
          </rPr>
          <t xml:space="preserve">Unknown User:
SEARCH AND INVESTIGATION OF SOLAR SPLIT HOT WATER SYSTEM
</t>
        </r>
      </text>
    </comment>
    <comment ref="G1696" authorId="4" shapeId="0" xr:uid="{D7C4DCF6-29E6-4F98-82F1-9224FB12E842}">
      <text>
        <r>
          <rPr>
            <sz val="11"/>
            <color theme="1"/>
            <rFont val="Aptos Narrow"/>
            <family val="2"/>
            <scheme val="minor"/>
          </rPr>
          <t>Unknown User:
INSTALLATION OF NEW WASHING MACHINE (CUSTOMER SUPPLIED)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tc={F8E071B4-F9F9-4DB6-8C77-1896CB8552B1}</author>
    <author>tc={D8B18294-9732-4776-9425-D03709F078EA}</author>
    <author>tc={4F113600-75DE-4E30-913B-98A6D2650318}</author>
  </authors>
  <commentList>
    <comment ref="E57" authorId="0" shapeId="0" xr:uid="{F8E071B4-F9F9-4DB6-8C77-1896CB8552B1}">
      <text>
        <t>[Threaded comment]
Your version of Excel allows you to read this threaded comment; however, any edits to it will get removed if the file is opened in a newer version of Excel. Learn more: https://go.microsoft.com/fwlink/?linkid=870924
Comment:
    Checked</t>
      </text>
    </comment>
    <comment ref="E58" authorId="1" shapeId="0" xr:uid="{D8B18294-9732-4776-9425-D03709F078EA}">
      <text>
        <t>[Threaded comment]
Your version of Excel allows you to read this threaded comment; however, any edits to it will get removed if the file is opened in a newer version of Excel. Learn more: https://go.microsoft.com/fwlink/?linkid=870924
Comment:
    Stock</t>
      </text>
    </comment>
    <comment ref="E59" authorId="2" shapeId="0" xr:uid="{4F113600-75DE-4E30-913B-98A6D2650318}">
      <text>
        <t>[Threaded comment]
Your version of Excel allows you to read this threaded comment; however, any edits to it will get removed if the file is opened in a newer version of Excel. Learn more: https://go.microsoft.com/fwlink/?linkid=870924
Comment:
    Stock</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Guest User</author>
    <author>tc={8B73CA7F-2500-4ABB-BF7D-2F2B10FFF969}</author>
    <author>tc={CB7396FD-BA4B-4BF9-B13B-B49BA9A47E7C}</author>
    <author>tc={C0B9FCC1-BD8C-4AE1-892B-97AEEFD02A09}</author>
  </authors>
  <commentList>
    <comment ref="G34" authorId="0" shapeId="0" xr:uid="{7BD615F4-222C-445D-A968-1EB47778359F}">
      <text>
        <r>
          <rPr>
            <sz val="11"/>
            <color theme="1"/>
            <rFont val="Aptos Narrow"/>
            <family val="2"/>
            <scheme val="minor"/>
          </rPr>
          <t>Unknown User:
HIGH POWERED SUCTION PUMP</t>
        </r>
      </text>
    </comment>
    <comment ref="L34" authorId="0" shapeId="0" xr:uid="{6487476C-63F7-4BC8-9FCD-6E70104E30F0}">
      <text>
        <r>
          <rPr>
            <sz val="11"/>
            <color theme="1"/>
            <rFont val="Aptos Narrow"/>
            <family val="2"/>
            <scheme val="minor"/>
          </rPr>
          <t>Unknown User:
High powered suction pump pics are not uploaded.</t>
        </r>
      </text>
    </comment>
    <comment ref="P34" authorId="0" shapeId="0" xr:uid="{41AE4CA7-21DB-42FC-ADE9-0C093D964B69}">
      <text>
        <r>
          <rPr>
            <sz val="11"/>
            <color theme="1"/>
            <rFont val="Aptos Narrow"/>
            <family val="2"/>
            <scheme val="minor"/>
          </rPr>
          <t>Unknown User:
Quote not emailed</t>
        </r>
      </text>
    </comment>
    <comment ref="Q34" authorId="0" shapeId="0" xr:uid="{6376CC14-3074-4E02-80F0-6E0FF07DC875}">
      <text>
        <r>
          <rPr>
            <sz val="11"/>
            <color theme="1"/>
            <rFont val="Aptos Narrow"/>
            <family val="2"/>
            <scheme val="minor"/>
          </rPr>
          <t>Unknown User:
Final invoice not raised</t>
        </r>
      </text>
    </comment>
    <comment ref="S34" authorId="0" shapeId="0" xr:uid="{C9A7B6C4-BB01-4171-8E54-B37678C6D858}">
      <text>
        <r>
          <rPr>
            <sz val="11"/>
            <color theme="1"/>
            <rFont val="Aptos Narrow"/>
            <family val="2"/>
            <scheme val="minor"/>
          </rPr>
          <t>Unknown User:
Signed invoice not emailed</t>
        </r>
      </text>
    </comment>
    <comment ref="V34" authorId="0" shapeId="0" xr:uid="{495C933B-AA7F-4D72-BA99-8D1ECFDDF507}">
      <text>
        <r>
          <rPr>
            <sz val="11"/>
            <color theme="1"/>
            <rFont val="Aptos Narrow"/>
            <family val="2"/>
            <scheme val="minor"/>
          </rPr>
          <t>Unknown User:
Overpayment by $74.91</t>
        </r>
      </text>
    </comment>
    <comment ref="G35" authorId="0" shapeId="0" xr:uid="{97F43762-D02F-41CA-B2A2-6E91B14EFFD6}">
      <text>
        <r>
          <rPr>
            <sz val="11"/>
            <color theme="1"/>
            <rFont val="Aptos Narrow"/>
            <family val="2"/>
            <scheme val="minor"/>
          </rPr>
          <t>Unknown User:
COMPLETE SERVICE OF WALL TOP TAPS ASSEMBLY</t>
        </r>
      </text>
    </comment>
    <comment ref="L35" authorId="0" shapeId="0" xr:uid="{B452DE8B-B53B-4F71-9C2D-3E8A7749D5FA}">
      <text>
        <r>
          <rPr>
            <sz val="11"/>
            <color theme="1"/>
            <rFont val="Aptos Narrow"/>
            <family val="2"/>
            <scheme val="minor"/>
          </rPr>
          <t>Unknown User:
Service wall tap pics not uploaded</t>
        </r>
      </text>
    </comment>
    <comment ref="M35" authorId="0" shapeId="0" xr:uid="{5E9CBE95-05D7-4ED4-911C-3F553838DC82}">
      <text>
        <r>
          <rPr>
            <sz val="11"/>
            <color theme="1"/>
            <rFont val="Aptos Narrow"/>
            <family val="2"/>
            <scheme val="minor"/>
          </rPr>
          <t>Unknown User:
Podium receipt for $63.90 not uploaded by office person.
Uploaded now by Modoras team.</t>
        </r>
      </text>
    </comment>
    <comment ref="P35" authorId="0" shapeId="0" xr:uid="{9F5157CC-4700-4457-A70F-BC390ED6FED5}">
      <text>
        <r>
          <rPr>
            <sz val="11"/>
            <color theme="1"/>
            <rFont val="Aptos Narrow"/>
            <family val="2"/>
            <scheme val="minor"/>
          </rPr>
          <t>Unknown User:
Quote not emailed</t>
        </r>
      </text>
    </comment>
    <comment ref="Q35" authorId="0" shapeId="0" xr:uid="{737FE03F-8760-4131-83D5-D390E5EA357F}">
      <text>
        <r>
          <rPr>
            <sz val="11"/>
            <color theme="1"/>
            <rFont val="Aptos Narrow"/>
            <family val="2"/>
            <scheme val="minor"/>
          </rPr>
          <t>Unknown User:
Final invoice not raised</t>
        </r>
      </text>
    </comment>
    <comment ref="S35" authorId="0" shapeId="0" xr:uid="{54A56A1A-502D-47A8-B6DD-F83E1AD67E9B}">
      <text>
        <r>
          <rPr>
            <sz val="11"/>
            <color theme="1"/>
            <rFont val="Aptos Narrow"/>
            <family val="2"/>
            <scheme val="minor"/>
          </rPr>
          <t>Unknown User:
Signed invoice not emailed</t>
        </r>
      </text>
    </comment>
    <comment ref="V35" authorId="0" shapeId="0" xr:uid="{834FA81C-65BB-4C81-A031-6469DB421248}">
      <text>
        <r>
          <rPr>
            <sz val="11"/>
            <color theme="1"/>
            <rFont val="Aptos Narrow"/>
            <family val="2"/>
            <scheme val="minor"/>
          </rPr>
          <t>Unknown User:
Overpayment by $63.91</t>
        </r>
      </text>
    </comment>
    <comment ref="G36" authorId="0" shapeId="0" xr:uid="{8E3022FA-1C6F-46EA-8D54-AA6C5EA5D211}">
      <text>
        <r>
          <rPr>
            <sz val="11"/>
            <color theme="1"/>
            <rFont val="Aptos Narrow"/>
            <family val="2"/>
            <scheme val="minor"/>
          </rPr>
          <t>Unknown User:
HIGH POWERED JET BLAST &amp; CCTV DRAIN CAMERA INSPECTION (STORM WATER SERVICE)</t>
        </r>
      </text>
    </comment>
    <comment ref="G41" authorId="0" shapeId="0" xr:uid="{41BD31D5-1D5F-4F48-8B43-52D68CB43908}">
      <text>
        <r>
          <rPr>
            <sz val="11"/>
            <color theme="1"/>
            <rFont val="Aptos Narrow"/>
            <family val="2"/>
            <scheme val="minor"/>
          </rPr>
          <t xml:space="preserve">Unknown User:
SEARCH &amp; INVESTIGATION OF POTENTIAL GAS LEAK
</t>
        </r>
      </text>
    </comment>
    <comment ref="G45" authorId="0" shapeId="0" xr:uid="{1E9A0847-4A97-48B5-B149-DAF17647EF2D}">
      <text>
        <r>
          <rPr>
            <sz val="11"/>
            <color theme="1"/>
            <rFont val="Aptos Narrow"/>
            <family val="2"/>
            <scheme val="minor"/>
          </rPr>
          <t xml:space="preserve">Unknown User:
FLOOD, DYE, PRESSURE TEST (WET AREA)
</t>
        </r>
      </text>
    </comment>
    <comment ref="G46" authorId="0" shapeId="0" xr:uid="{9D5B7A09-3BA3-4513-9869-901F35463A58}">
      <text>
        <r>
          <rPr>
            <sz val="11"/>
            <color theme="1"/>
            <rFont val="Aptos Narrow"/>
            <family val="2"/>
            <scheme val="minor"/>
          </rPr>
          <t>Unknown User:
REPLACEMENT OF SEWER BOUNDARY TRAP (UNDER CONCRETE)
CREDIT HIGH POWERED JETBLAST &amp; CCTV CAMERA</t>
        </r>
      </text>
    </comment>
    <comment ref="K46" authorId="0" shapeId="0" xr:uid="{8A7FB989-28FB-4357-9D95-38C42C3FE4D9}">
      <text>
        <r>
          <rPr>
            <sz val="11"/>
            <color theme="1"/>
            <rFont val="Aptos Narrow"/>
            <family val="2"/>
            <scheme val="minor"/>
          </rPr>
          <t>Unknown User:
Initial job pics considered</t>
        </r>
      </text>
    </comment>
    <comment ref="G47" authorId="0" shapeId="0" xr:uid="{236F9FA7-7E66-421F-8D16-5AD41312339E}">
      <text>
        <r>
          <rPr>
            <sz val="11"/>
            <color theme="1"/>
            <rFont val="Aptos Narrow"/>
            <family val="2"/>
            <scheme val="minor"/>
          </rPr>
          <t>Unknown User:
SEARCH AND INVESTIGATION OF ELECTRIC STORAGE HOT WATER SYSTEM</t>
        </r>
      </text>
    </comment>
    <comment ref="G79" authorId="0" shapeId="0" xr:uid="{D0041FA9-0AFC-495F-A435-A2262B65CAB1}">
      <text>
        <r>
          <rPr>
            <sz val="11"/>
            <color theme="1"/>
            <rFont val="Aptos Narrow"/>
            <family val="2"/>
            <scheme val="minor"/>
          </rPr>
          <t>Unknown User:
COMPLETE SERVICE OF WALL TOP TAPS ASSEMBLY</t>
        </r>
      </text>
    </comment>
    <comment ref="L79" authorId="0" shapeId="0" xr:uid="{35E1D2A8-970F-48F9-A951-7EF89CA1D1E2}">
      <text>
        <r>
          <rPr>
            <sz val="11"/>
            <color theme="1"/>
            <rFont val="Aptos Narrow"/>
            <family val="2"/>
            <scheme val="minor"/>
          </rPr>
          <t>Unknown User:
Serviced wall tap pics not uploaded (Test pics)</t>
        </r>
      </text>
    </comment>
    <comment ref="P79" authorId="0" shapeId="0" xr:uid="{3071CA66-F64F-493D-AC4A-9DC052107F1D}">
      <text>
        <r>
          <rPr>
            <sz val="11"/>
            <color theme="1"/>
            <rFont val="Aptos Narrow"/>
            <family val="2"/>
            <scheme val="minor"/>
          </rPr>
          <t>Unknown User:
Quote not emailed</t>
        </r>
      </text>
    </comment>
    <comment ref="G80" authorId="0" shapeId="0" xr:uid="{2659EFAC-38CB-45F3-8B8D-E3C30E265CA3}">
      <text>
        <r>
          <rPr>
            <sz val="11"/>
            <color theme="1"/>
            <rFont val="Aptos Narrow"/>
            <family val="2"/>
            <scheme val="minor"/>
          </rPr>
          <t>Unknown User:
HIGH POWERED JET BLAST &amp; CCTV DRAIN CAMERA INSPECTION (STORM WATER SERVICE)</t>
        </r>
      </text>
    </comment>
    <comment ref="L80" authorId="0" shapeId="0" xr:uid="{27C90F9A-3339-49F3-8CBC-FCF35A4C6BB3}">
      <text>
        <r>
          <rPr>
            <sz val="11"/>
            <color theme="1"/>
            <rFont val="Aptos Narrow"/>
            <family val="2"/>
            <scheme val="minor"/>
          </rPr>
          <t>Unknown User:
CCTV pics/videos not uploaded</t>
        </r>
      </text>
    </comment>
    <comment ref="O80" authorId="0" shapeId="0" xr:uid="{0C1474B5-5308-4B3C-830B-87BEC4938748}">
      <text>
        <r>
          <rPr>
            <sz val="11"/>
            <color theme="1"/>
            <rFont val="Aptos Narrow"/>
            <family val="2"/>
            <scheme val="minor"/>
          </rPr>
          <t>Unknown User:
SMS approval</t>
        </r>
      </text>
    </comment>
    <comment ref="V80" authorId="0" shapeId="0" xr:uid="{E17D6364-4203-4BEB-A5AF-2A125F4C27A2}">
      <text>
        <r>
          <rPr>
            <sz val="11"/>
            <color theme="1"/>
            <rFont val="Aptos Narrow"/>
            <family val="2"/>
            <scheme val="minor"/>
          </rPr>
          <t>Unknown User:
EFT of $2300 is split as $1607.10 to Initial job &amp; as $692.90 to 1st upsell job</t>
        </r>
      </text>
    </comment>
    <comment ref="G81" authorId="0" shapeId="0" xr:uid="{746CC0DF-7BEB-4994-A3DD-0C970266E2EB}">
      <text>
        <r>
          <rPr>
            <sz val="11"/>
            <color theme="1"/>
            <rFont val="Aptos Narrow"/>
            <family val="2"/>
            <scheme val="minor"/>
          </rPr>
          <t>Unknown User:
REPLACEMENT OF PLUG &amp; WASTE - 40MM</t>
        </r>
      </text>
    </comment>
    <comment ref="N81" authorId="0" shapeId="0" xr:uid="{CB88CE12-B85D-4977-BEB2-5E21806E4781}">
      <text>
        <r>
          <rPr>
            <sz val="11"/>
            <color theme="1"/>
            <rFont val="Aptos Narrow"/>
            <family val="2"/>
            <scheme val="minor"/>
          </rPr>
          <t>Unknown User:
Quote raised without invoice description</t>
        </r>
      </text>
    </comment>
    <comment ref="P81" authorId="0" shapeId="0" xr:uid="{2FD46C00-2781-43EF-AB11-9628242A0647}">
      <text>
        <r>
          <rPr>
            <sz val="11"/>
            <color theme="1"/>
            <rFont val="Aptos Narrow"/>
            <family val="2"/>
            <scheme val="minor"/>
          </rPr>
          <t>Unknown User:
Quote not emailed</t>
        </r>
      </text>
    </comment>
    <comment ref="G82" authorId="0" shapeId="0" xr:uid="{788D84C3-DECF-42FB-8E24-B99F826F2C02}">
      <text>
        <r>
          <rPr>
            <sz val="11"/>
            <color theme="1"/>
            <rFont val="Aptos Narrow"/>
            <family val="2"/>
            <scheme val="minor"/>
          </rPr>
          <t xml:space="preserve">Unknown User:
SUPPLY AND INSTALLATION OF WHITE PVC P TRAP TO WALL BASIN
$65 First Service Discount </t>
        </r>
      </text>
    </comment>
    <comment ref="K82" authorId="0" shapeId="0" xr:uid="{D968697F-617E-42FB-8BB8-D3E7E269A181}">
      <text>
        <r>
          <rPr>
            <sz val="11"/>
            <color theme="1"/>
            <rFont val="Aptos Narrow"/>
            <family val="2"/>
            <scheme val="minor"/>
          </rPr>
          <t>Unknown User:
Before job pics not uploaded</t>
        </r>
      </text>
    </comment>
    <comment ref="G83" authorId="0" shapeId="0" xr:uid="{EF59B8E2-EB30-482A-8CBD-B2A6942728D0}">
      <text>
        <r>
          <rPr>
            <sz val="11"/>
            <color theme="1"/>
            <rFont val="Aptos Narrow"/>
            <family val="2"/>
            <scheme val="minor"/>
          </rPr>
          <t>Unknown User:
FLOOD, DYE, PRESSURE TEST (WET AREA)</t>
        </r>
      </text>
    </comment>
    <comment ref="S83" authorId="0" shapeId="0" xr:uid="{E23F05CE-5381-432A-B1D2-52B24FB843B1}">
      <text>
        <r>
          <rPr>
            <sz val="11"/>
            <color theme="1"/>
            <rFont val="Aptos Narrow"/>
            <family val="2"/>
            <scheme val="minor"/>
          </rPr>
          <t>Unknown User:
Signed invoice not emailed</t>
        </r>
      </text>
    </comment>
    <comment ref="G84" authorId="0" shapeId="0" xr:uid="{1B327B1A-60B9-41D2-91DA-B810526555A1}">
      <text>
        <r>
          <rPr>
            <sz val="11"/>
            <color theme="1"/>
            <rFont val="Aptos Narrow"/>
            <family val="2"/>
            <scheme val="minor"/>
          </rPr>
          <t>Unknown User:
HIGH POWERED SUCTION &amp; ACID TREATMENT</t>
        </r>
      </text>
    </comment>
    <comment ref="L84" authorId="0" shapeId="0" xr:uid="{C78E5B6A-C6EE-4BC4-9F48-30EDEA36E050}">
      <text>
        <r>
          <rPr>
            <sz val="11"/>
            <color theme="1"/>
            <rFont val="Aptos Narrow"/>
            <family val="2"/>
            <scheme val="minor"/>
          </rPr>
          <t>Unknown User:
High powered suction &amp; acid treatment pics are not uploaded</t>
        </r>
      </text>
    </comment>
    <comment ref="S84" authorId="0" shapeId="0" xr:uid="{256B9639-759D-43D6-BFA0-FC82CC2BEC5C}">
      <text>
        <r>
          <rPr>
            <sz val="11"/>
            <color theme="1"/>
            <rFont val="Aptos Narrow"/>
            <family val="2"/>
            <scheme val="minor"/>
          </rPr>
          <t>Unknown User:
Signed invoice not emailed</t>
        </r>
      </text>
    </comment>
    <comment ref="V84" authorId="0" shapeId="0" xr:uid="{3951E754-4D80-49FD-AFDF-ADBAFD6F9AE8}">
      <text>
        <r>
          <rPr>
            <sz val="11"/>
            <color theme="1"/>
            <rFont val="Aptos Narrow"/>
            <family val="2"/>
            <scheme val="minor"/>
          </rPr>
          <t>Unknown User:
Overpayment by $139</t>
        </r>
      </text>
    </comment>
    <comment ref="G85" authorId="0" shapeId="0" xr:uid="{F95D5293-8D7B-4472-B836-A75743DF9E7C}">
      <text>
        <r>
          <rPr>
            <sz val="11"/>
            <color theme="1"/>
            <rFont val="Aptos Narrow"/>
            <family val="2"/>
            <scheme val="minor"/>
          </rPr>
          <t>Unknown User:
SEARCH &amp; INVESTIGATE - IN WALL CISTERN</t>
        </r>
      </text>
    </comment>
    <comment ref="O85" authorId="0" shapeId="0" xr:uid="{22EAAE6A-0F50-48B0-B169-A06A0B5A5763}">
      <text>
        <r>
          <rPr>
            <sz val="11"/>
            <color theme="1"/>
            <rFont val="Aptos Narrow"/>
            <family val="2"/>
            <scheme val="minor"/>
          </rPr>
          <t>Unknown User:
SMS approval</t>
        </r>
      </text>
    </comment>
    <comment ref="R85" authorId="0" shapeId="0" xr:uid="{01A487C3-2D87-4021-A09D-CDC36F2AE205}">
      <text>
        <r>
          <rPr>
            <sz val="11"/>
            <color theme="1"/>
            <rFont val="Aptos Narrow"/>
            <family val="2"/>
            <scheme val="minor"/>
          </rPr>
          <t>Unknown User:
Invoice not signed</t>
        </r>
      </text>
    </comment>
    <comment ref="S85" authorId="0" shapeId="0" xr:uid="{86174179-4F55-496F-8C93-84DDEC783BE2}">
      <text>
        <r>
          <rPr>
            <sz val="11"/>
            <color theme="1"/>
            <rFont val="Aptos Narrow"/>
            <family val="2"/>
            <scheme val="minor"/>
          </rPr>
          <t>Unknown User:
Invoice emailed without sign</t>
        </r>
      </text>
    </comment>
    <comment ref="G86" authorId="0" shapeId="0" xr:uid="{1C5E159A-2280-4AA4-88CF-9B0C5D23F859}">
      <text>
        <r>
          <rPr>
            <sz val="11"/>
            <color theme="1"/>
            <rFont val="Aptos Narrow"/>
            <family val="2"/>
            <scheme val="minor"/>
          </rPr>
          <t>Unknown User:
REPLACEMENT OF EXISTING GOOSE NECK KITCHEN MIXER (CUSTOMER SUPPLIED)</t>
        </r>
      </text>
    </comment>
    <comment ref="L86" authorId="0" shapeId="0" xr:uid="{1F38A982-98A2-445D-8C67-2E33A934C8FA}">
      <text>
        <r>
          <rPr>
            <sz val="11"/>
            <color theme="1"/>
            <rFont val="Aptos Narrow"/>
            <family val="2"/>
            <scheme val="minor"/>
          </rPr>
          <t>Unknown User:
Replaced gooseneck pic/video not uploaded</t>
        </r>
      </text>
    </comment>
    <comment ref="P86" authorId="0" shapeId="0" xr:uid="{380D6CDE-8845-48AF-9863-C172B9858AD1}">
      <text>
        <r>
          <rPr>
            <sz val="11"/>
            <color theme="1"/>
            <rFont val="Aptos Narrow"/>
            <family val="2"/>
            <scheme val="minor"/>
          </rPr>
          <t>Unknown User:
Quote not emailed</t>
        </r>
      </text>
    </comment>
    <comment ref="S86" authorId="0" shapeId="0" xr:uid="{63957C1D-45BA-4AFB-8F16-D230404A74A5}">
      <text>
        <r>
          <rPr>
            <sz val="11"/>
            <color theme="1"/>
            <rFont val="Aptos Narrow"/>
            <family val="2"/>
            <scheme val="minor"/>
          </rPr>
          <t>Unknown User:
Signed invoice not emailed</t>
        </r>
      </text>
    </comment>
    <comment ref="G87" authorId="0" shapeId="0" xr:uid="{5ED3653E-32E8-4437-B538-4645BFC26650}">
      <text>
        <r>
          <rPr>
            <sz val="11"/>
            <color theme="1"/>
            <rFont val="Aptos Narrow"/>
            <family val="2"/>
            <scheme val="minor"/>
          </rPr>
          <t>Unknown User:
SUPPLY &amp; INSTALLATION OF NEW TOILET SEAT</t>
        </r>
      </text>
    </comment>
    <comment ref="K87" authorId="0" shapeId="0" xr:uid="{E5804489-D45D-4B46-AF14-6CA58EADE627}">
      <text>
        <r>
          <rPr>
            <sz val="11"/>
            <color theme="1"/>
            <rFont val="Aptos Narrow"/>
            <family val="2"/>
            <scheme val="minor"/>
          </rPr>
          <t>Unknown User:
Before pics not uploaded</t>
        </r>
      </text>
    </comment>
    <comment ref="P87" authorId="0" shapeId="0" xr:uid="{49632E2D-E1AA-4A7B-90A2-F80304137CC9}">
      <text>
        <r>
          <rPr>
            <sz val="11"/>
            <color theme="1"/>
            <rFont val="Aptos Narrow"/>
            <family val="2"/>
            <scheme val="minor"/>
          </rPr>
          <t>Unknown User:
Quote not emailed</t>
        </r>
      </text>
    </comment>
    <comment ref="V87" authorId="0" shapeId="0" xr:uid="{ACAAC9F8-B739-4D1F-BDAE-89BF76BF1B79}">
      <text>
        <r>
          <rPr>
            <sz val="11"/>
            <color theme="1"/>
            <rFont val="Aptos Narrow"/>
            <family val="2"/>
            <scheme val="minor"/>
          </rPr>
          <t>Unknown User:
Smartpay receipt of $2517.20 is split as $668.10 for initial job &amp; as $1849.10 for upsell job.</t>
        </r>
      </text>
    </comment>
    <comment ref="G88" authorId="0" shapeId="0" xr:uid="{83414DA7-AAD5-414C-99BE-F3D9BC204475}">
      <text>
        <r>
          <rPr>
            <sz val="11"/>
            <color theme="1"/>
            <rFont val="Aptos Narrow"/>
            <family val="2"/>
            <scheme val="minor"/>
          </rPr>
          <t>Unknown User:
MIXER TAP - GOOSE NECK</t>
        </r>
      </text>
    </comment>
    <comment ref="K88" authorId="0" shapeId="0" xr:uid="{045C2D96-413C-4311-9F95-191D2299419C}">
      <text>
        <r>
          <rPr>
            <sz val="11"/>
            <color theme="1"/>
            <rFont val="Aptos Narrow"/>
            <family val="2"/>
            <scheme val="minor"/>
          </rPr>
          <t>Unknown User:
Before pics not uploaded</t>
        </r>
      </text>
    </comment>
    <comment ref="L88" authorId="0" shapeId="0" xr:uid="{DB2FDF8F-D50B-404E-B373-640227AB9FF7}">
      <text>
        <r>
          <rPr>
            <sz val="11"/>
            <color theme="1"/>
            <rFont val="Aptos Narrow"/>
            <family val="2"/>
            <scheme val="minor"/>
          </rPr>
          <t>Unknown User:
After pics (Mixer installation) are not satisfactory.</t>
        </r>
      </text>
    </comment>
    <comment ref="P88" authorId="0" shapeId="0" xr:uid="{AFFB1231-6C41-44F0-BB5C-71771D967B6A}">
      <text>
        <r>
          <rPr>
            <sz val="11"/>
            <color theme="1"/>
            <rFont val="Aptos Narrow"/>
            <family val="2"/>
            <scheme val="minor"/>
          </rPr>
          <t>Unknown User:
Quote not emailed</t>
        </r>
      </text>
    </comment>
    <comment ref="V88" authorId="0" shapeId="0" xr:uid="{5DAA9368-00CA-476F-87B6-250FCE2DE0E6}">
      <text>
        <r>
          <rPr>
            <sz val="11"/>
            <color theme="1"/>
            <rFont val="Aptos Narrow"/>
            <family val="2"/>
            <scheme val="minor"/>
          </rPr>
          <t>Unknown User:
Smartpay receipt of $2517.20 is split as $668.10 for initial job &amp; as $1849.10 for upsell job.</t>
        </r>
      </text>
    </comment>
    <comment ref="D89" authorId="0" shapeId="0" xr:uid="{CA284409-6B4B-4F9D-AE17-CBF4A3E75D36}">
      <text>
        <r>
          <rPr>
            <sz val="11"/>
            <color theme="1"/>
            <rFont val="Aptos Narrow"/>
            <family val="2"/>
            <scheme val="minor"/>
          </rPr>
          <t>Unknown User:
Previously under Quote (Unsuccessful) by Elliot. Now actual quote raised &amp; job completed by Junior.</t>
        </r>
      </text>
    </comment>
    <comment ref="G89" authorId="0" shapeId="0" xr:uid="{3B90D1B7-9B7B-48F0-87FD-65C0C7445C1A}">
      <text>
        <r>
          <rPr>
            <sz val="11"/>
            <color theme="1"/>
            <rFont val="Aptos Narrow"/>
            <family val="2"/>
            <scheme val="minor"/>
          </rPr>
          <t>Unknown User:
COMPLETE SERVICE OF WALL TOP TAPS ASSEMBLY</t>
        </r>
      </text>
    </comment>
    <comment ref="L89" authorId="0" shapeId="0" xr:uid="{977505D5-BD02-4B54-AEFC-DA26055C6F09}">
      <text>
        <r>
          <rPr>
            <sz val="11"/>
            <color theme="1"/>
            <rFont val="Aptos Narrow"/>
            <family val="2"/>
            <scheme val="minor"/>
          </rPr>
          <t>Unknown User:
Serviced wall tap top pics not uploaded (Test &amp; Commission)</t>
        </r>
      </text>
    </comment>
    <comment ref="P89" authorId="0" shapeId="0" xr:uid="{12E2A287-8DD2-46F1-A3D4-79AAE65A7CF7}">
      <text>
        <r>
          <rPr>
            <sz val="11"/>
            <color theme="1"/>
            <rFont val="Aptos Narrow"/>
            <family val="2"/>
            <scheme val="minor"/>
          </rPr>
          <t>Unknown User:
Quote not emailed</t>
        </r>
      </text>
    </comment>
    <comment ref="S89" authorId="0" shapeId="0" xr:uid="{B0C27011-15B2-41E4-890B-26C4794FA89F}">
      <text>
        <r>
          <rPr>
            <sz val="11"/>
            <color theme="1"/>
            <rFont val="Aptos Narrow"/>
            <family val="2"/>
            <scheme val="minor"/>
          </rPr>
          <t>Unknown User:
Signed invoice not emailed</t>
        </r>
      </text>
    </comment>
    <comment ref="G90" authorId="0" shapeId="0" xr:uid="{85832B50-9B0F-4771-A77E-7D86954C6726}">
      <text>
        <r>
          <rPr>
            <sz val="11"/>
            <color theme="1"/>
            <rFont val="Aptos Narrow"/>
            <family val="2"/>
            <scheme val="minor"/>
          </rPr>
          <t>Unknown User:
COMPLETE SERVICE OF WALL TOP TAPS ASSEMBLY</t>
        </r>
      </text>
    </comment>
    <comment ref="M90" authorId="0" shapeId="0" xr:uid="{57C1F2E3-55F5-4424-9BEC-84A17C2D6829}">
      <text>
        <r>
          <rPr>
            <sz val="11"/>
            <color theme="1"/>
            <rFont val="Aptos Narrow"/>
            <family val="2"/>
            <scheme val="minor"/>
          </rPr>
          <t>Unknown User:
Smartpay receipt of $639.10 not uploaded by plumber.
Uploaded by Modoras team.</t>
        </r>
      </text>
    </comment>
    <comment ref="P90" authorId="0" shapeId="0" xr:uid="{3D417E00-B47A-4414-9A0D-ECAEAB1C6D40}">
      <text>
        <r>
          <rPr>
            <sz val="11"/>
            <color theme="1"/>
            <rFont val="Aptos Narrow"/>
            <family val="2"/>
            <scheme val="minor"/>
          </rPr>
          <t>Unknown User:
Quote not emailed</t>
        </r>
      </text>
    </comment>
    <comment ref="G91" authorId="0" shapeId="0" xr:uid="{612B0441-C420-4A1F-B3A4-A4BDEDD28210}">
      <text>
        <r>
          <rPr>
            <sz val="11"/>
            <color theme="1"/>
            <rFont val="Aptos Narrow"/>
            <family val="2"/>
            <scheme val="minor"/>
          </rPr>
          <t>Unknown User:
WATER SERVICE RECTIFICATION (EXPOSED)</t>
        </r>
      </text>
    </comment>
    <comment ref="P91" authorId="0" shapeId="0" xr:uid="{76AF5D8B-BA4E-4CCB-95F5-A4B90DC83365}">
      <text>
        <r>
          <rPr>
            <sz val="11"/>
            <color theme="1"/>
            <rFont val="Aptos Narrow"/>
            <family val="2"/>
            <scheme val="minor"/>
          </rPr>
          <t>Unknown User:
Quote not emailed</t>
        </r>
      </text>
    </comment>
    <comment ref="S91" authorId="0" shapeId="0" xr:uid="{E0737434-1F88-4FD6-B5A8-DCEA891387E6}">
      <text>
        <r>
          <rPr>
            <sz val="11"/>
            <color theme="1"/>
            <rFont val="Aptos Narrow"/>
            <family val="2"/>
            <scheme val="minor"/>
          </rPr>
          <t>Unknown User:
Signed invoice not emailed</t>
        </r>
      </text>
    </comment>
    <comment ref="G96" authorId="0" shapeId="0" xr:uid="{15E2197B-ADBD-48EC-91CF-91B7F0E12043}">
      <text>
        <r>
          <rPr>
            <sz val="11"/>
            <color theme="1"/>
            <rFont val="Aptos Narrow"/>
            <family val="2"/>
            <scheme val="minor"/>
          </rPr>
          <t xml:space="preserve">Unknown User:
REPLACEMENT OF INWALL TOILET CISTERN IN ACCESSIBLE LOCATION
</t>
        </r>
      </text>
    </comment>
    <comment ref="O96" authorId="0" shapeId="0" xr:uid="{F4620C69-DE7E-4E11-820F-1D4BA2452CEE}">
      <text>
        <r>
          <rPr>
            <sz val="11"/>
            <color theme="1"/>
            <rFont val="Aptos Narrow"/>
            <family val="2"/>
            <scheme val="minor"/>
          </rPr>
          <t>Unknown User:
SMS approval</t>
        </r>
      </text>
    </comment>
    <comment ref="R96" authorId="0" shapeId="0" xr:uid="{4A5A5C15-115F-4187-B696-9550D5254393}">
      <text>
        <r>
          <rPr>
            <sz val="11"/>
            <color theme="1"/>
            <rFont val="Aptos Narrow"/>
            <family val="2"/>
            <scheme val="minor"/>
          </rPr>
          <t>Unknown User:
Sign not obtained</t>
        </r>
      </text>
    </comment>
    <comment ref="G100" authorId="0" shapeId="0" xr:uid="{92715B56-D2AF-4FFB-AA7F-36F174C9C51B}">
      <text>
        <r>
          <rPr>
            <sz val="11"/>
            <color theme="1"/>
            <rFont val="Aptos Narrow"/>
            <family val="2"/>
            <scheme val="minor"/>
          </rPr>
          <t>Unknown User:
DIG UP OF STORM WATER SPOT (UNDER CONCRET)</t>
        </r>
      </text>
    </comment>
    <comment ref="O100" authorId="0" shapeId="0" xr:uid="{3D7B475B-C400-4650-BD8B-50795024AA3D}">
      <text>
        <r>
          <rPr>
            <sz val="11"/>
            <color theme="1"/>
            <rFont val="Aptos Narrow"/>
            <family val="2"/>
            <scheme val="minor"/>
          </rPr>
          <t>Unknown User:
SMS approval</t>
        </r>
      </text>
    </comment>
    <comment ref="P100" authorId="0" shapeId="0" xr:uid="{199DBF4B-7939-4804-A9F2-367D6C30DD61}">
      <text>
        <r>
          <rPr>
            <sz val="11"/>
            <color theme="1"/>
            <rFont val="Aptos Narrow"/>
            <family val="2"/>
            <scheme val="minor"/>
          </rPr>
          <t>Unknown User:
Quote not emailed</t>
        </r>
      </text>
    </comment>
    <comment ref="G101" authorId="0" shapeId="0" xr:uid="{5D4D0850-99EC-4A6B-A435-702FB7F55B6D}">
      <text>
        <r>
          <rPr>
            <sz val="11"/>
            <color theme="1"/>
            <rFont val="Aptos Narrow"/>
            <family val="2"/>
            <scheme val="minor"/>
          </rPr>
          <t>Unknown User:
COMPLETE STORM WATER GUTTER CLEAN - STORM WATER SERVICE DOWN PIPES &amp; MAIN STORM WATER SERVICE</t>
        </r>
      </text>
    </comment>
    <comment ref="P101" authorId="0" shapeId="0" xr:uid="{EF705C32-BD35-4978-9977-EEB8EBBAD585}">
      <text>
        <r>
          <rPr>
            <sz val="11"/>
            <color theme="1"/>
            <rFont val="Aptos Narrow"/>
            <family val="2"/>
            <scheme val="minor"/>
          </rPr>
          <t>Unknown User:
Quote not emailed</t>
        </r>
      </text>
    </comment>
    <comment ref="V101" authorId="0" shapeId="0" xr:uid="{DC940246-7A80-4BCF-A728-747EE5AB68E7}">
      <text>
        <r>
          <rPr>
            <sz val="11"/>
            <color theme="1"/>
            <rFont val="Aptos Narrow"/>
            <family val="2"/>
            <scheme val="minor"/>
          </rPr>
          <t>Unknown User:
EFT of $2300 is split as $1607.10 to Initial job &amp; as $692.90 to 1st upsell job</t>
        </r>
      </text>
    </comment>
    <comment ref="G102" authorId="0" shapeId="0" xr:uid="{E5A1C9C9-52F3-45FC-919D-9F98BCCC424B}">
      <text>
        <r>
          <rPr>
            <sz val="11"/>
            <color theme="1"/>
            <rFont val="Aptos Narrow"/>
            <family val="2"/>
            <scheme val="minor"/>
          </rPr>
          <t>Unknown User:
RESEAL OF SHOWER
CREDIT OF SEARCH &amp; INVESTIGATION</t>
        </r>
      </text>
    </comment>
    <comment ref="K102" authorId="0" shapeId="0" xr:uid="{77BD2C59-5FD1-4850-B107-37A5AE88A0DE}">
      <text>
        <r>
          <rPr>
            <sz val="11"/>
            <color theme="1"/>
            <rFont val="Aptos Narrow"/>
            <family val="2"/>
            <scheme val="minor"/>
          </rPr>
          <t>Unknown User:
Previous job #73819 pics considered.</t>
        </r>
      </text>
    </comment>
    <comment ref="N102" authorId="0" shapeId="0" xr:uid="{6C78FEB8-CC81-4808-93C4-A42E22ECBF2A}">
      <text>
        <r>
          <rPr>
            <sz val="11"/>
            <color theme="1"/>
            <rFont val="Aptos Narrow"/>
            <family val="2"/>
            <scheme val="minor"/>
          </rPr>
          <t>Unknown User:
Quote raised in Job #73819</t>
        </r>
      </text>
    </comment>
    <comment ref="P102" authorId="0" shapeId="0" xr:uid="{358D3962-8B93-4038-A940-8251C56A0BDB}">
      <text>
        <r>
          <rPr>
            <sz val="11"/>
            <color theme="1"/>
            <rFont val="Aptos Narrow"/>
            <family val="2"/>
            <scheme val="minor"/>
          </rPr>
          <t>Unknown User:
Quote not emailed</t>
        </r>
      </text>
    </comment>
    <comment ref="G106" authorId="0" shapeId="0" xr:uid="{1DA1B069-EC92-4301-9AE2-530F949A6F42}">
      <text>
        <r>
          <rPr>
            <sz val="11"/>
            <color theme="1"/>
            <rFont val="Aptos Narrow"/>
            <family val="2"/>
            <scheme val="minor"/>
          </rPr>
          <t xml:space="preserve">Unknown User:
SUPPLY &amp; INSTALLATION OF NEW WALL TOP TAP SET
</t>
        </r>
      </text>
    </comment>
    <comment ref="K106" authorId="0" shapeId="0" xr:uid="{B5FB86E6-3DC3-4DD4-8E39-5540FF83F9DB}">
      <text>
        <r>
          <rPr>
            <sz val="11"/>
            <color theme="1"/>
            <rFont val="Aptos Narrow"/>
            <family val="2"/>
            <scheme val="minor"/>
          </rPr>
          <t>Unknown User:
Initial job pics considered</t>
        </r>
      </text>
    </comment>
    <comment ref="G107" authorId="0" shapeId="0" xr:uid="{A4668BBA-EB1C-43E0-BDBF-5C358CA307DE}">
      <text>
        <r>
          <rPr>
            <sz val="11"/>
            <color theme="1"/>
            <rFont val="Aptos Narrow"/>
            <family val="2"/>
            <scheme val="minor"/>
          </rPr>
          <t xml:space="preserve">Unknown User:
SEARCH &amp; INVESTIGATION (GENERAL)
</t>
        </r>
      </text>
    </comment>
    <comment ref="G109" authorId="0" shapeId="0" xr:uid="{231FF1DA-1A1E-4831-8EE0-E83E1A6263A2}">
      <text>
        <r>
          <rPr>
            <sz val="11"/>
            <color theme="1"/>
            <rFont val="Aptos Narrow"/>
            <family val="2"/>
            <scheme val="minor"/>
          </rPr>
          <t xml:space="preserve">Unknown User:
CCTV DRAIN CAMERA INSPECTION OF SEWER SERVICE
</t>
        </r>
      </text>
    </comment>
    <comment ref="G110" authorId="0" shapeId="0" xr:uid="{71C16D8E-FE24-4B1E-B40C-C11F04309232}">
      <text>
        <r>
          <rPr>
            <sz val="11"/>
            <color theme="1"/>
            <rFont val="Aptos Narrow"/>
            <family val="2"/>
            <scheme val="minor"/>
          </rPr>
          <t>Unknown User:
REPLACEMENT OF EXISTING PULL-OUT KITCHEN MIXER
SUPPLY AND INSTALLATION OF LTV575 20MM T&amp;PR VALVE</t>
        </r>
      </text>
    </comment>
    <comment ref="G111" authorId="0" shapeId="0" xr:uid="{78563609-23EC-4354-BE59-926EAEF71BB9}">
      <text>
        <r>
          <rPr>
            <sz val="11"/>
            <color theme="1"/>
            <rFont val="Aptos Narrow"/>
            <family val="2"/>
            <scheme val="minor"/>
          </rPr>
          <t>Unknown User:
LOOD, DYE, PRESSURE TEST (WET AREA)</t>
        </r>
      </text>
    </comment>
    <comment ref="G112" authorId="0" shapeId="0" xr:uid="{37E39886-4121-4937-8A27-4CE5540561F2}">
      <text>
        <r>
          <rPr>
            <sz val="11"/>
            <color theme="1"/>
            <rFont val="Aptos Narrow"/>
            <family val="2"/>
            <scheme val="minor"/>
          </rPr>
          <t xml:space="preserve">Unknown User:
SEARCH AND INVESTIGATION OF ELECTRIC STORAGE HOT WATER SYSTEM
</t>
        </r>
      </text>
    </comment>
    <comment ref="G113" authorId="0" shapeId="0" xr:uid="{3C6B27EE-B6C5-421E-9EB5-EA176A0884F6}">
      <text>
        <r>
          <rPr>
            <sz val="11"/>
            <color theme="1"/>
            <rFont val="Aptos Narrow"/>
            <family val="2"/>
            <scheme val="minor"/>
          </rPr>
          <t>Unknown User:
SUPPLY AND INSTALL NEW WATER POINTS</t>
        </r>
      </text>
    </comment>
    <comment ref="K113" authorId="0" shapeId="0" xr:uid="{72C95EC4-6A3C-4A7C-9525-D0F9B2473774}">
      <text>
        <r>
          <rPr>
            <sz val="11"/>
            <color theme="1"/>
            <rFont val="Aptos Narrow"/>
            <family val="2"/>
            <scheme val="minor"/>
          </rPr>
          <t>Unknown User:
Initial job pics considered</t>
        </r>
      </text>
    </comment>
    <comment ref="G114" authorId="0" shapeId="0" xr:uid="{7677DE37-6DFC-438D-981B-E534DC5C24FB}">
      <text>
        <r>
          <rPr>
            <sz val="11"/>
            <color theme="1"/>
            <rFont val="Aptos Narrow"/>
            <family val="2"/>
            <scheme val="minor"/>
          </rPr>
          <t xml:space="preserve">Unknown User:
SUPPLY AND INSTALLATION OF PRESSURE REGULATING DEVICE FITTED TO 25MM STRAIGHT PIPEWORK
</t>
        </r>
      </text>
    </comment>
    <comment ref="G116" authorId="0" shapeId="0" xr:uid="{E8538E48-6910-4CBC-9153-B756B4C0336D}">
      <text>
        <r>
          <rPr>
            <sz val="11"/>
            <color theme="1"/>
            <rFont val="Aptos Narrow"/>
            <family val="2"/>
            <scheme val="minor"/>
          </rPr>
          <t xml:space="preserve">Unknown User:
FLOOD, DYE, PRESSURE TEST (WET AREA)
</t>
        </r>
      </text>
    </comment>
    <comment ref="G117" authorId="0" shapeId="0" xr:uid="{A91D2325-ABBB-4371-A54E-A8FEBD206FFB}">
      <text>
        <r>
          <rPr>
            <sz val="11"/>
            <color theme="1"/>
            <rFont val="Aptos Narrow"/>
            <family val="2"/>
            <scheme val="minor"/>
          </rPr>
          <t xml:space="preserve">Unknown User:
FLOOD, DYE, PRESSURE TEST (WET AREA)
</t>
        </r>
      </text>
    </comment>
    <comment ref="G118" authorId="0" shapeId="0" xr:uid="{0999307B-0A63-42AC-8E1D-024BCDFB6327}">
      <text>
        <r>
          <rPr>
            <sz val="11"/>
            <color theme="1"/>
            <rFont val="Aptos Narrow"/>
            <family val="2"/>
            <scheme val="minor"/>
          </rPr>
          <t xml:space="preserve">Unknown User:
SUPPLY &amp; INSTALLATION OF NEW WALL TOP TAP SET
</t>
        </r>
      </text>
    </comment>
    <comment ref="G119" authorId="0" shapeId="0" xr:uid="{7ABD7F82-0E65-4168-9AD4-E14EBA2622EA}">
      <text>
        <r>
          <rPr>
            <sz val="11"/>
            <color theme="1"/>
            <rFont val="Aptos Narrow"/>
            <family val="2"/>
            <scheme val="minor"/>
          </rPr>
          <t>Unknown User:
SUPPLY &amp; INSTALL NEW WATER SERVICE UP TO 6M</t>
        </r>
      </text>
    </comment>
    <comment ref="G120" authorId="0" shapeId="0" xr:uid="{BF190A1A-1DC5-47CE-8BD5-ACC57E0CF5CB}">
      <text>
        <r>
          <rPr>
            <sz val="11"/>
            <color theme="1"/>
            <rFont val="Aptos Narrow"/>
            <family val="2"/>
            <scheme val="minor"/>
          </rPr>
          <t xml:space="preserve">Unknown User:
SUPPLY &amp; INSTALLATION OF NEW MIXER CARTRIDGE
</t>
        </r>
      </text>
    </comment>
    <comment ref="G121" authorId="0" shapeId="0" xr:uid="{501719A3-3000-40E7-8CA3-6F109DA65F64}">
      <text>
        <r>
          <rPr>
            <sz val="11"/>
            <color theme="1"/>
            <rFont val="Aptos Narrow"/>
            <family val="2"/>
            <scheme val="minor"/>
          </rPr>
          <t xml:space="preserve">Unknown User:
SUPPLY &amp; INSTALLATION OF GAS STORAGE HOT WATER SYSTEM (EXTERNAL)
</t>
        </r>
      </text>
    </comment>
    <comment ref="K122" authorId="0" shapeId="0" xr:uid="{262ADD65-75CE-462A-A97A-54FFCFC930F3}">
      <text>
        <r>
          <rPr>
            <sz val="11"/>
            <color theme="1"/>
            <rFont val="Aptos Narrow"/>
            <family val="2"/>
            <scheme val="minor"/>
          </rPr>
          <t>Unknown User:
Job pics of #73911 uploaded to Job #74018</t>
        </r>
      </text>
    </comment>
    <comment ref="G154" authorId="0" shapeId="0" xr:uid="{2537EF05-FD7C-4A91-AA33-98D559A4E349}">
      <text>
        <r>
          <rPr>
            <sz val="11"/>
            <color theme="1"/>
            <rFont val="Aptos Narrow"/>
            <family val="2"/>
            <scheme val="minor"/>
          </rPr>
          <t>Unknown User:
HIGH POWERED SUCTION &amp; ACID TREATMENT</t>
        </r>
      </text>
    </comment>
    <comment ref="P154" authorId="0" shapeId="0" xr:uid="{873F1EF2-99CA-4C59-802E-7988D72F2DF8}">
      <text>
        <r>
          <rPr>
            <sz val="11"/>
            <color theme="1"/>
            <rFont val="Aptos Narrow"/>
            <family val="2"/>
            <scheme val="minor"/>
          </rPr>
          <t>Unknown User:
Quote not emailed</t>
        </r>
      </text>
    </comment>
    <comment ref="Q154" authorId="0" shapeId="0" xr:uid="{D4963F66-F323-468A-95D7-691F189629EB}">
      <text>
        <r>
          <rPr>
            <sz val="11"/>
            <color theme="1"/>
            <rFont val="Aptos Narrow"/>
            <family val="2"/>
            <scheme val="minor"/>
          </rPr>
          <t>Unknown User:
Invoice not raised by plumber</t>
        </r>
      </text>
    </comment>
    <comment ref="G155" authorId="0" shapeId="0" xr:uid="{F7A735BC-0B81-4AAF-B10B-C31E92BEEB78}">
      <text>
        <r>
          <rPr>
            <sz val="11"/>
            <color theme="1"/>
            <rFont val="Aptos Narrow"/>
            <family val="2"/>
            <scheme val="minor"/>
          </rPr>
          <t>Unknown User:
HIGH POWERED SUCTION PUMP</t>
        </r>
      </text>
    </comment>
    <comment ref="L155" authorId="0" shapeId="0" xr:uid="{3628CE59-F5DD-4CC9-98CD-021D23C73BC5}">
      <text>
        <r>
          <rPr>
            <sz val="11"/>
            <color theme="1"/>
            <rFont val="Aptos Narrow"/>
            <family val="2"/>
            <scheme val="minor"/>
          </rPr>
          <t>Unknown User:
Suction pump pics/videos not obtained.</t>
        </r>
      </text>
    </comment>
    <comment ref="P155" authorId="0" shapeId="0" xr:uid="{BDCEF8EC-1100-4E94-A195-F765F9CCB208}">
      <text>
        <r>
          <rPr>
            <sz val="11"/>
            <color theme="1"/>
            <rFont val="Aptos Narrow"/>
            <family val="2"/>
            <scheme val="minor"/>
          </rPr>
          <t>Unknown User:
Quote not emailed</t>
        </r>
      </text>
    </comment>
    <comment ref="R155" authorId="0" shapeId="0" xr:uid="{E2E18464-1763-4C36-8E43-BDF36BC7FA40}">
      <text>
        <r>
          <rPr>
            <sz val="11"/>
            <color theme="1"/>
            <rFont val="Aptos Narrow"/>
            <family val="2"/>
            <scheme val="minor"/>
          </rPr>
          <t>Unknown User:
Sign not obtained</t>
        </r>
      </text>
    </comment>
    <comment ref="S155" authorId="0" shapeId="0" xr:uid="{E87430DA-D2B0-4D41-A5E5-71EDFC6B179E}">
      <text>
        <r>
          <rPr>
            <sz val="11"/>
            <color theme="1"/>
            <rFont val="Aptos Narrow"/>
            <family val="2"/>
            <scheme val="minor"/>
          </rPr>
          <t>Unknown User:
Invoice emailed without sign</t>
        </r>
      </text>
    </comment>
    <comment ref="G156" authorId="0" shapeId="0" xr:uid="{A14CB0E0-1DAB-45A4-A4AF-D9009A1D0099}">
      <text>
        <r>
          <rPr>
            <sz val="11"/>
            <color theme="1"/>
            <rFont val="Aptos Narrow"/>
            <family val="2"/>
            <scheme val="minor"/>
          </rPr>
          <t>Unknown User:
HIGH POWERED SUCTION PUMP</t>
        </r>
      </text>
    </comment>
    <comment ref="L156" authorId="0" shapeId="0" xr:uid="{D6F26A81-F01B-433F-A792-D84B1ED61AEF}">
      <text>
        <r>
          <rPr>
            <sz val="11"/>
            <color theme="1"/>
            <rFont val="Aptos Narrow"/>
            <family val="2"/>
            <scheme val="minor"/>
          </rPr>
          <t>Unknown User:
High powered suction pump pics/videos not uploaded.</t>
        </r>
      </text>
    </comment>
    <comment ref="P156" authorId="0" shapeId="0" xr:uid="{02456B33-5DB8-4674-8AFC-8F0CAB5D5D2C}">
      <text>
        <r>
          <rPr>
            <sz val="11"/>
            <color theme="1"/>
            <rFont val="Aptos Narrow"/>
            <family val="2"/>
            <scheme val="minor"/>
          </rPr>
          <t>Unknown User:
Quote not emailed</t>
        </r>
      </text>
    </comment>
    <comment ref="Q156" authorId="0" shapeId="0" xr:uid="{71DF6AF8-F876-4901-8831-F72BCB87D4B6}">
      <text>
        <r>
          <rPr>
            <sz val="11"/>
            <color theme="1"/>
            <rFont val="Aptos Narrow"/>
            <family val="2"/>
            <scheme val="minor"/>
          </rPr>
          <t>Unknown User:
Invoice not raised by plumber</t>
        </r>
      </text>
    </comment>
    <comment ref="G157" authorId="0" shapeId="0" xr:uid="{B4827395-B299-4628-8559-796E3A6C4A5E}">
      <text>
        <r>
          <rPr>
            <sz val="11"/>
            <color theme="1"/>
            <rFont val="Aptos Narrow"/>
            <family val="2"/>
            <scheme val="minor"/>
          </rPr>
          <t>Unknown User:
WATER SERVICE RECTIFICATION (EXPOSED Isolate water supply to property
10% Seniors &amp; Pensioners Discount
$65 First Service Discount</t>
        </r>
      </text>
    </comment>
    <comment ref="P157" authorId="0" shapeId="0" xr:uid="{877CAD7C-C538-419C-8F8D-96C0ADE5DC1F}">
      <text>
        <r>
          <rPr>
            <sz val="11"/>
            <color theme="1"/>
            <rFont val="Aptos Narrow"/>
            <family val="2"/>
            <scheme val="minor"/>
          </rPr>
          <t>Unknown User:
Quote not emailed</t>
        </r>
      </text>
    </comment>
    <comment ref="Q157" authorId="0" shapeId="0" xr:uid="{E1179F13-AF1F-4E11-9959-E6BC44C54203}">
      <text>
        <r>
          <rPr>
            <sz val="11"/>
            <color theme="1"/>
            <rFont val="Aptos Narrow"/>
            <family val="2"/>
            <scheme val="minor"/>
          </rPr>
          <t>Unknown User:
Final invoice not raised</t>
        </r>
      </text>
    </comment>
    <comment ref="V157" authorId="0" shapeId="0" xr:uid="{5CCC2085-5DF9-4789-BCF2-5E1FCA40C025}">
      <text>
        <r>
          <rPr>
            <sz val="11"/>
            <color theme="1"/>
            <rFont val="Aptos Narrow"/>
            <family val="2"/>
            <scheme val="minor"/>
          </rPr>
          <t>Unknown User:
Overpayment by $334.74 ($168.74 by EFT+$166 by Smartpay)</t>
        </r>
      </text>
    </comment>
    <comment ref="G158" authorId="0" shapeId="0" xr:uid="{EB726727-88A8-4CEE-97B1-D1FC353EA31C}">
      <text>
        <r>
          <rPr>
            <sz val="11"/>
            <color theme="1"/>
            <rFont val="Aptos Narrow"/>
            <family val="2"/>
            <scheme val="minor"/>
          </rPr>
          <t>Unknown User:
SPECIALIST LEAK DETECTION (WATER SERVICE)</t>
        </r>
      </text>
    </comment>
    <comment ref="G159" authorId="0" shapeId="0" xr:uid="{4FE1C153-C478-4DE7-8967-0A21B16CEA6B}">
      <text>
        <r>
          <rPr>
            <sz val="11"/>
            <color theme="1"/>
            <rFont val="Aptos Narrow"/>
            <family val="2"/>
            <scheme val="minor"/>
          </rPr>
          <t>Unknown User:
REPLACEMENT OF BOTTOM INLET CISTERN FILLING VALVE
$85+GST Non-refundable call out fee applied to dispatch technician to a commercial
property.</t>
        </r>
      </text>
    </comment>
    <comment ref="K159" authorId="0" shapeId="0" xr:uid="{D8A2A2C4-31C4-4947-9112-3F4FE0785F4F}">
      <text>
        <r>
          <rPr>
            <sz val="11"/>
            <color theme="1"/>
            <rFont val="Aptos Narrow"/>
            <family val="2"/>
            <scheme val="minor"/>
          </rPr>
          <t>Unknown User:
Before pics not uploaded.</t>
        </r>
      </text>
    </comment>
    <comment ref="L159" authorId="0" shapeId="0" xr:uid="{E209DFC7-BF07-4C46-874F-91B1599D6186}">
      <text>
        <r>
          <rPr>
            <sz val="11"/>
            <color theme="1"/>
            <rFont val="Aptos Narrow"/>
            <family val="2"/>
            <scheme val="minor"/>
          </rPr>
          <t>Unknown User:
After pics not uploaded.</t>
        </r>
      </text>
    </comment>
    <comment ref="S159" authorId="0" shapeId="0" xr:uid="{C329E3E2-C4DB-4E30-A483-3DE2453DEE45}">
      <text>
        <r>
          <rPr>
            <sz val="11"/>
            <color theme="1"/>
            <rFont val="Aptos Narrow"/>
            <family val="2"/>
            <scheme val="minor"/>
          </rPr>
          <t>Unknown User:
Signed invoice not emailed</t>
        </r>
      </text>
    </comment>
    <comment ref="G160" authorId="0" shapeId="0" xr:uid="{9806C348-0F9A-4DA2-90C3-7E76264E8F9B}">
      <text>
        <r>
          <rPr>
            <sz val="11"/>
            <color theme="1"/>
            <rFont val="Aptos Narrow"/>
            <family val="2"/>
            <scheme val="minor"/>
          </rPr>
          <t>Unknown User:
MIXER TAP - GOOSE NECK</t>
        </r>
      </text>
    </comment>
    <comment ref="P160" authorId="0" shapeId="0" xr:uid="{7A2A3EB1-87B5-4F7A-83C4-B7EF58B120A1}">
      <text>
        <r>
          <rPr>
            <sz val="11"/>
            <color theme="1"/>
            <rFont val="Aptos Narrow"/>
            <family val="2"/>
            <scheme val="minor"/>
          </rPr>
          <t>Unknown User:
Quote not emailed</t>
        </r>
      </text>
    </comment>
    <comment ref="Q160" authorId="0" shapeId="0" xr:uid="{31FBA52A-B6D5-4631-8A54-DB5BF03849F4}">
      <text>
        <r>
          <rPr>
            <sz val="11"/>
            <color theme="1"/>
            <rFont val="Aptos Narrow"/>
            <family val="2"/>
            <scheme val="minor"/>
          </rPr>
          <t>Unknown User:
Invoice not raised by plumber</t>
        </r>
      </text>
    </comment>
    <comment ref="G161" authorId="0" shapeId="0" xr:uid="{77851E85-0EC4-4F90-9D5E-40040C00236F}">
      <text>
        <r>
          <rPr>
            <sz val="11"/>
            <color theme="1"/>
            <rFont val="Aptos Narrow"/>
            <family val="2"/>
            <scheme val="minor"/>
          </rPr>
          <t>Unknown User:
WATER SERVICE RECTIFICATION (EXPOSED)</t>
        </r>
      </text>
    </comment>
    <comment ref="O161" authorId="0" shapeId="0" xr:uid="{5AD56EDE-4521-4357-A0BB-42FEB202ED33}">
      <text>
        <r>
          <rPr>
            <sz val="11"/>
            <color theme="1"/>
            <rFont val="Aptos Narrow"/>
            <family val="2"/>
            <scheme val="minor"/>
          </rPr>
          <t>Unknown User:
Quote not signed.
No SMS approval/notes regarding customer availability is noted.</t>
        </r>
      </text>
    </comment>
    <comment ref="P161" authorId="0" shapeId="0" xr:uid="{B59372CE-D752-4991-B187-F0633DFBCA48}">
      <text>
        <r>
          <rPr>
            <sz val="11"/>
            <color theme="1"/>
            <rFont val="Aptos Narrow"/>
            <family val="2"/>
            <scheme val="minor"/>
          </rPr>
          <t>Unknown User:
Quote emailed without sign/confirmation</t>
        </r>
      </text>
    </comment>
    <comment ref="R161" authorId="0" shapeId="0" xr:uid="{AD13173D-6EF2-4040-B978-E37B2FE17568}">
      <text>
        <r>
          <rPr>
            <sz val="11"/>
            <color theme="1"/>
            <rFont val="Aptos Narrow"/>
            <family val="2"/>
            <scheme val="minor"/>
          </rPr>
          <t>Unknown User:
Invoice not signed</t>
        </r>
      </text>
    </comment>
    <comment ref="S161" authorId="0" shapeId="0" xr:uid="{AF904C56-E897-492E-BF49-A15677E7186F}">
      <text>
        <r>
          <rPr>
            <sz val="11"/>
            <color theme="1"/>
            <rFont val="Aptos Narrow"/>
            <family val="2"/>
            <scheme val="minor"/>
          </rPr>
          <t>Unknown User:
Invoice emailed without sign</t>
        </r>
      </text>
    </comment>
    <comment ref="G162" authorId="0" shapeId="0" xr:uid="{0A100614-409D-47FC-B520-6BF157E848FB}">
      <text>
        <r>
          <rPr>
            <sz val="11"/>
            <color theme="1"/>
            <rFont val="Aptos Narrow"/>
            <family val="2"/>
            <scheme val="minor"/>
          </rPr>
          <t>Unknown User:
HIGH POWERED SUCTION &amp; ACID TREATMENT</t>
        </r>
      </text>
    </comment>
    <comment ref="L162" authorId="0" shapeId="0" xr:uid="{B3B6F543-CBD7-4850-AB30-97DEDB59D564}">
      <text>
        <r>
          <rPr>
            <sz val="11"/>
            <color theme="1"/>
            <rFont val="Aptos Narrow"/>
            <family val="2"/>
            <scheme val="minor"/>
          </rPr>
          <t>Unknown User:
High powered suction pump &amp; acid treatment pics are not uploaded.</t>
        </r>
      </text>
    </comment>
    <comment ref="R162" authorId="0" shapeId="0" xr:uid="{78490CD5-EE7D-4FAD-B9EB-6A9B5DF9E2BC}">
      <text>
        <r>
          <rPr>
            <sz val="11"/>
            <color theme="1"/>
            <rFont val="Aptos Narrow"/>
            <family val="2"/>
            <scheme val="minor"/>
          </rPr>
          <t>Unknown User:
Invoice not signed</t>
        </r>
      </text>
    </comment>
    <comment ref="S162" authorId="0" shapeId="0" xr:uid="{48549554-43B0-4E05-87A2-59D513893AAB}">
      <text>
        <r>
          <rPr>
            <sz val="11"/>
            <color theme="1"/>
            <rFont val="Aptos Narrow"/>
            <family val="2"/>
            <scheme val="minor"/>
          </rPr>
          <t>Unknown User:
Invoice emailed without sign</t>
        </r>
      </text>
    </comment>
    <comment ref="G163" authorId="0" shapeId="0" xr:uid="{293D7175-84EF-4200-B5EB-864D44E1EBFC}">
      <text>
        <r>
          <rPr>
            <sz val="11"/>
            <color theme="1"/>
            <rFont val="Aptos Narrow"/>
            <family val="2"/>
            <scheme val="minor"/>
          </rPr>
          <t>Unknown User:
REPLACE EXISTING 15MM WATER CONNECTION WITH BRAIDED FLEXIBLE HOSE</t>
        </r>
      </text>
    </comment>
    <comment ref="O163" authorId="0" shapeId="0" xr:uid="{B13645B8-7C55-4CBB-87FF-4CA65436CFED}">
      <text>
        <r>
          <rPr>
            <sz val="11"/>
            <color theme="1"/>
            <rFont val="Aptos Narrow"/>
            <family val="2"/>
            <scheme val="minor"/>
          </rPr>
          <t>Unknown User:
Quote not signed.
No SMS approval/notes regarding customer availability is noted.</t>
        </r>
      </text>
    </comment>
    <comment ref="P163" authorId="0" shapeId="0" xr:uid="{FF815953-E73D-4820-9B23-7B93626D5ACE}">
      <text>
        <r>
          <rPr>
            <sz val="11"/>
            <color theme="1"/>
            <rFont val="Aptos Narrow"/>
            <family val="2"/>
            <scheme val="minor"/>
          </rPr>
          <t>Unknown User:
Quote emailed without sign/confirmation</t>
        </r>
      </text>
    </comment>
    <comment ref="R163" authorId="0" shapeId="0" xr:uid="{AAE22175-67DF-46AF-9C92-466C23BC8F5F}">
      <text>
        <r>
          <rPr>
            <sz val="11"/>
            <color theme="1"/>
            <rFont val="Aptos Narrow"/>
            <family val="2"/>
            <scheme val="minor"/>
          </rPr>
          <t>Unknown User:
Invoice not signed</t>
        </r>
      </text>
    </comment>
    <comment ref="S163" authorId="0" shapeId="0" xr:uid="{42FF8F7D-6854-48D4-B038-4B14F79DF83F}">
      <text>
        <r>
          <rPr>
            <sz val="11"/>
            <color theme="1"/>
            <rFont val="Aptos Narrow"/>
            <family val="2"/>
            <scheme val="minor"/>
          </rPr>
          <t>Unknown User:
Invoice emailed without sign</t>
        </r>
      </text>
    </comment>
    <comment ref="G164" authorId="0" shapeId="0" xr:uid="{D73BA0A9-40F7-4D32-8FE8-585662D174FF}">
      <text>
        <r>
          <rPr>
            <sz val="11"/>
            <color theme="1"/>
            <rFont val="Aptos Narrow"/>
            <family val="2"/>
            <scheme val="minor"/>
          </rPr>
          <t>Unknown User:
WATER SERVICE RECTIFICATION (EXPOSED)</t>
        </r>
      </text>
    </comment>
    <comment ref="K164" authorId="0" shapeId="0" xr:uid="{8E87A0C0-16F7-44F5-B6AC-3EBC0B16E7BE}">
      <text>
        <r>
          <rPr>
            <sz val="11"/>
            <color theme="1"/>
            <rFont val="Aptos Narrow"/>
            <family val="2"/>
            <scheme val="minor"/>
          </rPr>
          <t xml:space="preserve">Unknown User:
Before job pics uploaded in Job #74076 </t>
        </r>
      </text>
    </comment>
    <comment ref="L164" authorId="0" shapeId="0" xr:uid="{1418F72F-7E1C-4B05-BE74-BBE97F7920FE}">
      <text>
        <r>
          <rPr>
            <sz val="11"/>
            <color theme="1"/>
            <rFont val="Aptos Narrow"/>
            <family val="2"/>
            <scheme val="minor"/>
          </rPr>
          <t xml:space="preserve">Unknown User:
After job pics uploaded in Job #74076 </t>
        </r>
      </text>
    </comment>
    <comment ref="P164" authorId="0" shapeId="0" xr:uid="{74991C53-27FC-406B-9BE3-35FD227B18FF}">
      <text>
        <r>
          <rPr>
            <sz val="11"/>
            <color theme="1"/>
            <rFont val="Aptos Narrow"/>
            <family val="2"/>
            <scheme val="minor"/>
          </rPr>
          <t>Unknown User:
Quote not emailed</t>
        </r>
      </text>
    </comment>
    <comment ref="Q164" authorId="0" shapeId="0" xr:uid="{EF04414C-AA0A-4CB7-BA24-6FF071EE8535}">
      <text>
        <r>
          <rPr>
            <sz val="11"/>
            <color theme="1"/>
            <rFont val="Aptos Narrow"/>
            <family val="2"/>
            <scheme val="minor"/>
          </rPr>
          <t>Unknown User:
Invoice not raised</t>
        </r>
      </text>
    </comment>
    <comment ref="G165" authorId="0" shapeId="0" xr:uid="{A2F7ABA8-7B3B-4C0D-A98E-BED1A82C8B08}">
      <text>
        <r>
          <rPr>
            <sz val="11"/>
            <color theme="1"/>
            <rFont val="Aptos Narrow"/>
            <family val="2"/>
            <scheme val="minor"/>
          </rPr>
          <t>Unknown User:
REPLACEMENT OF WALL TOP TAPWARE</t>
        </r>
      </text>
    </comment>
    <comment ref="R165" authorId="0" shapeId="0" xr:uid="{D95FC3CA-3AE4-4D91-8A97-3066C5C1EB7C}">
      <text>
        <r>
          <rPr>
            <sz val="11"/>
            <color theme="1"/>
            <rFont val="Aptos Narrow"/>
            <family val="2"/>
            <scheme val="minor"/>
          </rPr>
          <t>Unknown User:
Sign not obtained</t>
        </r>
      </text>
    </comment>
    <comment ref="S165" authorId="0" shapeId="0" xr:uid="{43A10331-4CF6-4D51-A267-8C2A54C5724D}">
      <text>
        <r>
          <rPr>
            <sz val="11"/>
            <color theme="1"/>
            <rFont val="Aptos Narrow"/>
            <family val="2"/>
            <scheme val="minor"/>
          </rPr>
          <t>Unknown User:
Invoice emailed without sign</t>
        </r>
      </text>
    </comment>
    <comment ref="G166" authorId="0" shapeId="0" xr:uid="{89A5D29D-1D44-449F-9954-06DC680CFC41}">
      <text>
        <r>
          <rPr>
            <sz val="11"/>
            <color theme="1"/>
            <rFont val="Aptos Narrow"/>
            <family val="2"/>
            <scheme val="minor"/>
          </rPr>
          <t>Unknown User:
HIGH POWERED SUCTION PUMP
$65 First Service Discount</t>
        </r>
      </text>
    </comment>
    <comment ref="L166" authorId="0" shapeId="0" xr:uid="{B143D7B7-5FBD-4629-9850-2CDC1ECB4126}">
      <text>
        <r>
          <rPr>
            <sz val="11"/>
            <color theme="1"/>
            <rFont val="Aptos Narrow"/>
            <family val="2"/>
            <scheme val="minor"/>
          </rPr>
          <t>Unknown User:
High powered suction pump pics are not uploaded</t>
        </r>
      </text>
    </comment>
    <comment ref="M166" authorId="0" shapeId="0" xr:uid="{C69928CC-DF90-4758-A814-B00B1C9BFCF3}">
      <text>
        <r>
          <rPr>
            <sz val="11"/>
            <color theme="1"/>
            <rFont val="Aptos Narrow"/>
            <family val="2"/>
            <scheme val="minor"/>
          </rPr>
          <t>Unknown User:
Smartpay receipt of $677.60 not uploaded by plumber.
Uploaded by Modoras team.</t>
        </r>
      </text>
    </comment>
    <comment ref="P166" authorId="0" shapeId="0" xr:uid="{B0EB2FF9-58DF-4571-BFE5-DC0992FC19BF}">
      <text>
        <r>
          <rPr>
            <sz val="11"/>
            <color theme="1"/>
            <rFont val="Aptos Narrow"/>
            <family val="2"/>
            <scheme val="minor"/>
          </rPr>
          <t>Unknown User:
Quote not emailed</t>
        </r>
      </text>
    </comment>
    <comment ref="Q166" authorId="0" shapeId="0" xr:uid="{DE30E3E5-E823-421A-9FBB-649B56704CE2}">
      <text>
        <r>
          <rPr>
            <sz val="11"/>
            <color theme="1"/>
            <rFont val="Aptos Narrow"/>
            <family val="2"/>
            <scheme val="minor"/>
          </rPr>
          <t>Unknown User:
Invoice not raised</t>
        </r>
      </text>
    </comment>
    <comment ref="G167" authorId="0" shapeId="0" xr:uid="{92E44273-F84B-44A8-B42D-582DD538CCDD}">
      <text>
        <r>
          <rPr>
            <sz val="11"/>
            <color theme="1"/>
            <rFont val="Aptos Narrow"/>
            <family val="2"/>
            <scheme val="minor"/>
          </rPr>
          <t>Unknown User:
SEARCH &amp; INVESTIGATION - LEAKING TOILET SUITE</t>
        </r>
      </text>
    </comment>
    <comment ref="M167" authorId="0" shapeId="0" xr:uid="{B0F7A66F-AFDF-4AD2-9989-B2273F592264}">
      <text>
        <r>
          <rPr>
            <sz val="11"/>
            <color theme="1"/>
            <rFont val="Aptos Narrow"/>
            <family val="2"/>
            <scheme val="minor"/>
          </rPr>
          <t>Unknown User:
Smartpay receipt of $749.10 not uploaded by plumber.
Uploaded by Modoras team.</t>
        </r>
      </text>
    </comment>
    <comment ref="Q167" authorId="0" shapeId="0" xr:uid="{D15EBB6E-7607-469F-89F6-984CA34192BC}">
      <text>
        <r>
          <rPr>
            <sz val="11"/>
            <color theme="1"/>
            <rFont val="Aptos Narrow"/>
            <family val="2"/>
            <scheme val="minor"/>
          </rPr>
          <t>Unknown User:
Invoice not raised (Payment not updadted)</t>
        </r>
      </text>
    </comment>
    <comment ref="G168" authorId="0" shapeId="0" xr:uid="{71FC2280-3F93-496A-93DE-EFEE87EE2AD2}">
      <text>
        <r>
          <rPr>
            <sz val="11"/>
            <color theme="1"/>
            <rFont val="Aptos Narrow"/>
            <family val="2"/>
            <scheme val="minor"/>
          </rPr>
          <t>Unknown User:
SUPPLY AND INSTALLATION OF BRASS HOSE TAPS TO REPLACE EXISTING HOSE TAP</t>
        </r>
      </text>
    </comment>
    <comment ref="R168" authorId="0" shapeId="0" xr:uid="{9FE5EB21-B859-41A8-AD35-8D4F8151FE99}">
      <text>
        <r>
          <rPr>
            <sz val="11"/>
            <color theme="1"/>
            <rFont val="Aptos Narrow"/>
            <family val="2"/>
            <scheme val="minor"/>
          </rPr>
          <t>Unknown User:
Sign not obtained</t>
        </r>
      </text>
    </comment>
    <comment ref="S168" authorId="0" shapeId="0" xr:uid="{B339E818-9CE0-439C-A1E5-FE3470E408C1}">
      <text>
        <r>
          <rPr>
            <sz val="11"/>
            <color theme="1"/>
            <rFont val="Aptos Narrow"/>
            <family val="2"/>
            <scheme val="minor"/>
          </rPr>
          <t>Unknown User:
Invoice emailed without sign</t>
        </r>
      </text>
    </comment>
    <comment ref="G169" authorId="0" shapeId="0" xr:uid="{5186A0F4-9564-4364-8C79-67827684DA2B}">
      <text>
        <r>
          <rPr>
            <sz val="11"/>
            <color theme="1"/>
            <rFont val="Aptos Narrow"/>
            <family val="2"/>
            <scheme val="minor"/>
          </rPr>
          <t>Unknown User:
TOILET REMOVAL</t>
        </r>
      </text>
    </comment>
    <comment ref="M169" authorId="0" shapeId="0" xr:uid="{85FC4ADF-B23E-44DE-B5B3-C5CFF1D5F9BC}">
      <text>
        <r>
          <rPr>
            <sz val="11"/>
            <color theme="1"/>
            <rFont val="Aptos Narrow"/>
            <family val="2"/>
            <scheme val="minor"/>
          </rPr>
          <t>Unknown User:
Podium receipt for $74.90 not uploaded by office.
Uploaded by Modoras team.</t>
        </r>
      </text>
    </comment>
    <comment ref="R169" authorId="0" shapeId="0" xr:uid="{D11A907E-3827-452E-804E-8E99A1066061}">
      <text>
        <r>
          <rPr>
            <sz val="11"/>
            <color theme="1"/>
            <rFont val="Aptos Narrow"/>
            <family val="2"/>
            <scheme val="minor"/>
          </rPr>
          <t>Unknown User:
Invoice not signed</t>
        </r>
      </text>
    </comment>
    <comment ref="S169" authorId="0" shapeId="0" xr:uid="{CB52FD70-BB5D-4DCA-9482-86F3AE826466}">
      <text>
        <r>
          <rPr>
            <sz val="11"/>
            <color theme="1"/>
            <rFont val="Aptos Narrow"/>
            <family val="2"/>
            <scheme val="minor"/>
          </rPr>
          <t>Unknown User:
Invoice emailed without sign</t>
        </r>
      </text>
    </comment>
    <comment ref="G170" authorId="0" shapeId="0" xr:uid="{F1228EC8-99B7-4091-967E-6A8007E91446}">
      <text>
        <r>
          <rPr>
            <sz val="11"/>
            <color theme="1"/>
            <rFont val="Aptos Narrow"/>
            <family val="2"/>
            <scheme val="minor"/>
          </rPr>
          <t>Unknown User:
WATER SERVICE RECTIFICATION (EXPOSED</t>
        </r>
      </text>
    </comment>
    <comment ref="R170" authorId="0" shapeId="0" xr:uid="{9995A3EF-3B27-4D31-8924-B9B2BF45019D}">
      <text>
        <r>
          <rPr>
            <sz val="11"/>
            <color theme="1"/>
            <rFont val="Aptos Narrow"/>
            <family val="2"/>
            <scheme val="minor"/>
          </rPr>
          <t>Unknown User:
Invoice not signed</t>
        </r>
      </text>
    </comment>
    <comment ref="S170" authorId="0" shapeId="0" xr:uid="{347112AA-6DF6-4B52-9211-42E55C1EDA13}">
      <text>
        <r>
          <rPr>
            <sz val="11"/>
            <color theme="1"/>
            <rFont val="Aptos Narrow"/>
            <family val="2"/>
            <scheme val="minor"/>
          </rPr>
          <t>Unknown User:
Invoice emailed without sign</t>
        </r>
      </text>
    </comment>
    <comment ref="G175" authorId="0" shapeId="0" xr:uid="{6FD86170-E7DD-4475-A1D1-A20A2D569858}">
      <text>
        <r>
          <rPr>
            <sz val="11"/>
            <color theme="1"/>
            <rFont val="Aptos Narrow"/>
            <family val="2"/>
            <scheme val="minor"/>
          </rPr>
          <t xml:space="preserve">Unknown User:
REPLACEMENT OF INWALL TOILET CISTERN IN ACCESSIBLE LOCATION
</t>
        </r>
      </text>
    </comment>
    <comment ref="O175" authorId="0" shapeId="0" xr:uid="{CF2D1226-A5D2-4077-84CF-2248EE88EB07}">
      <text>
        <r>
          <rPr>
            <sz val="11"/>
            <color theme="1"/>
            <rFont val="Aptos Narrow"/>
            <family val="2"/>
            <scheme val="minor"/>
          </rPr>
          <t>Unknown User:
SMS approval</t>
        </r>
      </text>
    </comment>
    <comment ref="R175" authorId="0" shapeId="0" xr:uid="{FAB5CC6D-2E23-46F9-8E38-846AB51D9A07}">
      <text>
        <r>
          <rPr>
            <sz val="11"/>
            <color theme="1"/>
            <rFont val="Aptos Narrow"/>
            <family val="2"/>
            <scheme val="minor"/>
          </rPr>
          <t>Unknown User:
Sign not obtained</t>
        </r>
      </text>
    </comment>
    <comment ref="G176" authorId="0" shapeId="0" xr:uid="{C62BCADD-6527-4208-B0D2-BC8717CE5542}">
      <text>
        <r>
          <rPr>
            <sz val="11"/>
            <color theme="1"/>
            <rFont val="Aptos Narrow"/>
            <family val="2"/>
            <scheme val="minor"/>
          </rPr>
          <t>Unknown User:
DIG UP OF STORM WATER SPOT (UNDER CONCRET)</t>
        </r>
      </text>
    </comment>
    <comment ref="O176" authorId="0" shapeId="0" xr:uid="{B1C7B9DA-DFE9-4789-95BB-3A98B2774F0A}">
      <text>
        <r>
          <rPr>
            <sz val="11"/>
            <color theme="1"/>
            <rFont val="Aptos Narrow"/>
            <family val="2"/>
            <scheme val="minor"/>
          </rPr>
          <t>Unknown User:
SMS approval</t>
        </r>
      </text>
    </comment>
    <comment ref="P176" authorId="0" shapeId="0" xr:uid="{FCB5DF8E-AD95-458D-9917-3DF66B642B80}">
      <text>
        <r>
          <rPr>
            <sz val="11"/>
            <color theme="1"/>
            <rFont val="Aptos Narrow"/>
            <family val="2"/>
            <scheme val="minor"/>
          </rPr>
          <t>Unknown User:
Quote not emailed</t>
        </r>
      </text>
    </comment>
    <comment ref="V176" authorId="0" shapeId="0" xr:uid="{7E285AD8-C1D4-40C6-AD35-D19C99E3CDD0}">
      <text>
        <r>
          <rPr>
            <sz val="11"/>
            <color theme="1"/>
            <rFont val="Aptos Narrow"/>
            <family val="2"/>
            <scheme val="minor"/>
          </rPr>
          <t>Unknown User:
6/10-EFT of $9000 received
9/10-Received $11102.50 by EFT</t>
        </r>
      </text>
    </comment>
    <comment ref="G177" authorId="0" shapeId="0" xr:uid="{FE6AD04D-4FD0-4081-B925-4914F12B69EB}">
      <text>
        <r>
          <rPr>
            <sz val="11"/>
            <color theme="1"/>
            <rFont val="Aptos Narrow"/>
            <family val="2"/>
            <scheme val="minor"/>
          </rPr>
          <t>Unknown User:
COMPLETE STORM WATER GUTTER CLEAN - STORM WATER SERVICE DOWN PIPES &amp; MAIN STORM WATER SERVICE</t>
        </r>
      </text>
    </comment>
    <comment ref="P177" authorId="0" shapeId="0" xr:uid="{A0D38E79-B31B-4826-9056-57825DE5C87C}">
      <text>
        <r>
          <rPr>
            <sz val="11"/>
            <color theme="1"/>
            <rFont val="Aptos Narrow"/>
            <family val="2"/>
            <scheme val="minor"/>
          </rPr>
          <t>Unknown User:
Quote not emailed</t>
        </r>
      </text>
    </comment>
    <comment ref="V177" authorId="0" shapeId="0" xr:uid="{C334857A-A9C9-44F5-B431-1726B66DA485}">
      <text>
        <r>
          <rPr>
            <sz val="11"/>
            <color theme="1"/>
            <rFont val="Aptos Narrow"/>
            <family val="2"/>
            <scheme val="minor"/>
          </rPr>
          <t>Unknown User:
EFT of $2300 is split as $1607.10 to Initial job &amp; as $692.90 to 1st upsell job</t>
        </r>
      </text>
    </comment>
    <comment ref="G178" authorId="0" shapeId="0" xr:uid="{9B5BF7E3-CC93-4485-B9BA-38C5DE7768E2}">
      <text>
        <r>
          <rPr>
            <sz val="11"/>
            <color theme="1"/>
            <rFont val="Aptos Narrow"/>
            <family val="2"/>
            <scheme val="minor"/>
          </rPr>
          <t>Unknown User:
RESEAL OF SHOWER
CREDIT OF SEARCH &amp; INVESTIGATION</t>
        </r>
      </text>
    </comment>
    <comment ref="K178" authorId="0" shapeId="0" xr:uid="{177E33DA-D54C-4688-93F2-B81BC14F6291}">
      <text>
        <r>
          <rPr>
            <sz val="11"/>
            <color theme="1"/>
            <rFont val="Aptos Narrow"/>
            <family val="2"/>
            <scheme val="minor"/>
          </rPr>
          <t>Unknown User:
Previous job #73819 pics considered.</t>
        </r>
      </text>
    </comment>
    <comment ref="N178" authorId="0" shapeId="0" xr:uid="{CC19A2FD-76BA-43B2-81CB-E4E61E5D7863}">
      <text>
        <r>
          <rPr>
            <sz val="11"/>
            <color theme="1"/>
            <rFont val="Aptos Narrow"/>
            <family val="2"/>
            <scheme val="minor"/>
          </rPr>
          <t>Unknown User:
Quote raised in Job #73819</t>
        </r>
      </text>
    </comment>
    <comment ref="P178" authorId="0" shapeId="0" xr:uid="{E30445FB-2D0C-431E-9C2A-3C5E0A6729F0}">
      <text>
        <r>
          <rPr>
            <sz val="11"/>
            <color theme="1"/>
            <rFont val="Aptos Narrow"/>
            <family val="2"/>
            <scheme val="minor"/>
          </rPr>
          <t>Unknown User:
Quote not emailed</t>
        </r>
      </text>
    </comment>
    <comment ref="G182" authorId="0" shapeId="0" xr:uid="{3341D92A-8A8F-4CD0-9CC5-92653F60693D}">
      <text>
        <r>
          <rPr>
            <sz val="11"/>
            <color theme="1"/>
            <rFont val="Aptos Narrow"/>
            <family val="2"/>
            <scheme val="minor"/>
          </rPr>
          <t xml:space="preserve">Unknown User:
SUPPLY &amp; INSTALLATION OF NEW LINK SUITE
10% Seniors &amp; Pensioners Discount
$65 First Service Discount </t>
        </r>
      </text>
    </comment>
    <comment ref="S182" authorId="0" shapeId="0" xr:uid="{E6FFF87D-E57B-4CEA-8DDB-9FD43F446CEC}">
      <text>
        <r>
          <rPr>
            <sz val="11"/>
            <color theme="1"/>
            <rFont val="Aptos Narrow"/>
            <family val="2"/>
            <scheme val="minor"/>
          </rPr>
          <t>Unknown User:
Signed invoice not emailed</t>
        </r>
      </text>
    </comment>
    <comment ref="G187" authorId="0" shapeId="0" xr:uid="{BBD772C8-6FE0-4763-A5CD-BC54D9A3FED6}">
      <text>
        <r>
          <rPr>
            <sz val="11"/>
            <color theme="1"/>
            <rFont val="Aptos Narrow"/>
            <family val="2"/>
            <scheme val="minor"/>
          </rPr>
          <t>Unknown User:
HIGH POWERED JET BLAST &amp; CCTV DRAIN CAMERA INSPECTION (SEWER SERVICE)
$89 Blocked Drains Discount</t>
        </r>
      </text>
    </comment>
    <comment ref="M187" authorId="0" shapeId="0" xr:uid="{F7CD885E-FE0A-4E69-BEE0-CA497E60619E}">
      <text>
        <r>
          <rPr>
            <sz val="11"/>
            <color theme="1"/>
            <rFont val="Aptos Narrow"/>
            <family val="2"/>
            <scheme val="minor"/>
          </rPr>
          <t>Unknown User:
Smartpay receipt of $1038.90 not uploaded by plumber.
Uploaded by Modoras team</t>
        </r>
      </text>
    </comment>
    <comment ref="V187" authorId="0" shapeId="0" xr:uid="{3927943D-7A20-4E57-9AFE-34646CBE1543}">
      <text>
        <r>
          <rPr>
            <sz val="11"/>
            <color theme="1"/>
            <rFont val="Aptos Narrow"/>
            <family val="2"/>
            <scheme val="minor"/>
          </rPr>
          <t>Unknown User:
13/10-Received $1038.90</t>
        </r>
      </text>
    </comment>
    <comment ref="G191" authorId="0" shapeId="0" xr:uid="{B12680EE-F5F7-45B4-B214-19792652C0C3}">
      <text>
        <r>
          <rPr>
            <sz val="11"/>
            <color theme="1"/>
            <rFont val="Aptos Narrow"/>
            <family val="2"/>
            <scheme val="minor"/>
          </rPr>
          <t xml:space="preserve">Unknown User:
SEARCH &amp; INVESTIGATION OF DISHWASHER
</t>
        </r>
      </text>
    </comment>
    <comment ref="G192" authorId="0" shapeId="0" xr:uid="{95EA1422-7BDC-44F6-82CF-482E85880AEE}">
      <text>
        <r>
          <rPr>
            <sz val="11"/>
            <color theme="1"/>
            <rFont val="Aptos Narrow"/>
            <family val="2"/>
            <scheme val="minor"/>
          </rPr>
          <t xml:space="preserve">Unknown User:
SUPPLY &amp; INSTALLATION OF NEW CLOSE COUPLED TOILET SUITE
</t>
        </r>
      </text>
    </comment>
    <comment ref="G193" authorId="0" shapeId="0" xr:uid="{4F36523A-8DBA-41C6-B4DF-AD0577EE297A}">
      <text>
        <r>
          <rPr>
            <sz val="11"/>
            <color theme="1"/>
            <rFont val="Aptos Narrow"/>
            <family val="2"/>
            <scheme val="minor"/>
          </rPr>
          <t xml:space="preserve">Unknown User:
SUPPLY &amp; INSTALLATION OF CERAMIC TOILET CISTERN
</t>
        </r>
      </text>
    </comment>
    <comment ref="G194" authorId="0" shapeId="0" xr:uid="{8CF8F6E1-3A67-4FF8-84E2-63D8FA1420BB}">
      <text>
        <r>
          <rPr>
            <sz val="11"/>
            <color theme="1"/>
            <rFont val="Aptos Narrow"/>
            <family val="2"/>
            <scheme val="minor"/>
          </rPr>
          <t>Unknown User:
REPLACEMENT OF BOTTOM INLET CISTERN FILLING VALVE</t>
        </r>
      </text>
    </comment>
    <comment ref="G196" authorId="0" shapeId="0" xr:uid="{9A962B81-740A-41E8-81A8-4CFAF3B5AAD7}">
      <text>
        <r>
          <rPr>
            <sz val="11"/>
            <color theme="1"/>
            <rFont val="Aptos Narrow"/>
            <family val="2"/>
            <scheme val="minor"/>
          </rPr>
          <t xml:space="preserve">Unknown User:
INSTALLATION OF NEW BIDET TOILET SUITE (CUSTOMER SUPPLIED)
</t>
        </r>
      </text>
    </comment>
    <comment ref="G198" authorId="0" shapeId="0" xr:uid="{6DD9D9E8-40D0-4ECD-8D27-4F19A64A98EC}">
      <text>
        <r>
          <rPr>
            <sz val="11"/>
            <color theme="1"/>
            <rFont val="Aptos Narrow"/>
            <family val="2"/>
            <scheme val="minor"/>
          </rPr>
          <t xml:space="preserve">Unknown User:
CCTV DRAIN CAMERA INSPECTION OF SEWER SERVICE
</t>
        </r>
      </text>
    </comment>
    <comment ref="G200" authorId="0" shapeId="0" xr:uid="{8F0BB95D-F7A6-48ED-8D71-1629772E1515}">
      <text>
        <r>
          <rPr>
            <sz val="11"/>
            <color theme="1"/>
            <rFont val="Aptos Narrow"/>
            <family val="2"/>
            <scheme val="minor"/>
          </rPr>
          <t>Unknown User:
SUPPLY &amp; INSTALLATION OF GAS STORAGE HOT WATER SYSTEM (EXTERNAL)
10% Seniors &amp; Pensioners Discount</t>
        </r>
      </text>
    </comment>
    <comment ref="G201" authorId="0" shapeId="0" xr:uid="{C00E9E90-632B-425A-A52B-DAF9230EAB2D}">
      <text>
        <r>
          <rPr>
            <sz val="11"/>
            <color theme="1"/>
            <rFont val="Aptos Narrow"/>
            <family val="2"/>
            <scheme val="minor"/>
          </rPr>
          <t>Unknown User:
REPLACEMENT OF BOTTOM INLET CISTERN FILLING VALVE</t>
        </r>
      </text>
    </comment>
    <comment ref="G233" authorId="0" shapeId="0" xr:uid="{A86463C0-3720-407D-A79B-3943BF175A5C}">
      <text>
        <r>
          <rPr>
            <sz val="11"/>
            <color theme="1"/>
            <rFont val="Aptos Narrow"/>
            <family val="2"/>
            <scheme val="minor"/>
          </rPr>
          <t>Unknown User:
SEARCH AND INVESTIGATION OF SOLAR SPLIT HOT WATER SYSTEM
$65 First Service Discount</t>
        </r>
      </text>
    </comment>
    <comment ref="S233" authorId="0" shapeId="0" xr:uid="{6D1B477B-D172-42DB-B0C9-E068090BF8E3}">
      <text>
        <r>
          <rPr>
            <sz val="11"/>
            <color theme="1"/>
            <rFont val="Aptos Narrow"/>
            <family val="2"/>
            <scheme val="minor"/>
          </rPr>
          <t>Unknown User:
Signed invoice not emailed.</t>
        </r>
      </text>
    </comment>
    <comment ref="G234" authorId="0" shapeId="0" xr:uid="{6B8BF63C-268E-480F-B053-A37C082F10C6}">
      <text>
        <r>
          <rPr>
            <sz val="11"/>
            <color theme="1"/>
            <rFont val="Aptos Narrow"/>
            <family val="2"/>
            <scheme val="minor"/>
          </rPr>
          <t>Unknown User:
SEARCH &amp; INVESTIGATION OF GAS APPLIANCE</t>
        </r>
      </text>
    </comment>
    <comment ref="R234" authorId="0" shapeId="0" xr:uid="{73BF65F2-C23A-4B1F-A2B4-B88036773524}">
      <text>
        <r>
          <rPr>
            <sz val="11"/>
            <color theme="1"/>
            <rFont val="Aptos Narrow"/>
            <family val="2"/>
            <scheme val="minor"/>
          </rPr>
          <t>Unknown User:
Sign not obtained</t>
        </r>
      </text>
    </comment>
    <comment ref="S234" authorId="0" shapeId="0" xr:uid="{E1772E25-C8ED-4AED-ACFA-872D1ADE9E57}">
      <text>
        <r>
          <rPr>
            <sz val="11"/>
            <color theme="1"/>
            <rFont val="Aptos Narrow"/>
            <family val="2"/>
            <scheme val="minor"/>
          </rPr>
          <t>Unknown User:
Invoice emailed without sign</t>
        </r>
      </text>
    </comment>
    <comment ref="G235" authorId="0" shapeId="0" xr:uid="{C36F5302-53D0-4F33-B940-016369B82253}">
      <text>
        <r>
          <rPr>
            <sz val="11"/>
            <color theme="1"/>
            <rFont val="Aptos Narrow"/>
            <family val="2"/>
            <scheme val="minor"/>
          </rPr>
          <t>Unknown User:
SEARCH AND INVESTIGATION OF GAS INSTANTANEOUS HOT WATER SYSTEM</t>
        </r>
      </text>
    </comment>
    <comment ref="L235" authorId="0" shapeId="0" xr:uid="{F209D49D-B9FF-492E-A3CE-09ADD0F08760}">
      <text>
        <r>
          <rPr>
            <sz val="11"/>
            <color theme="1"/>
            <rFont val="Aptos Narrow"/>
            <family val="2"/>
            <scheme val="minor"/>
          </rPr>
          <t>Unknown User:
Search &amp; after investigation pics no uploaded.</t>
        </r>
      </text>
    </comment>
    <comment ref="P235" authorId="0" shapeId="0" xr:uid="{F81F472F-5940-4CF5-8725-67F6CE60C7E9}">
      <text>
        <r>
          <rPr>
            <sz val="11"/>
            <color theme="1"/>
            <rFont val="Aptos Narrow"/>
            <family val="2"/>
            <scheme val="minor"/>
          </rPr>
          <t>Unknown User:
Quote not emailed</t>
        </r>
      </text>
    </comment>
    <comment ref="S235" authorId="0" shapeId="0" xr:uid="{732CF7BB-0B1F-4FDB-9200-01D314DC61C8}">
      <text>
        <r>
          <rPr>
            <sz val="11"/>
            <color theme="1"/>
            <rFont val="Aptos Narrow"/>
            <family val="2"/>
            <scheme val="minor"/>
          </rPr>
          <t>Unknown User:
Signed invoice not emailed.</t>
        </r>
      </text>
    </comment>
    <comment ref="G236" authorId="0" shapeId="0" xr:uid="{C37F6837-9B1C-4C0F-939E-6A30B4A44800}">
      <text>
        <r>
          <rPr>
            <sz val="11"/>
            <color theme="1"/>
            <rFont val="Aptos Narrow"/>
            <family val="2"/>
            <scheme val="minor"/>
          </rPr>
          <t>Unknown User:
INSTALLATION OF FRIDGE WITHIN 3M OF COLD WATER SUPPLY (CUSTOMER SUPPLIED)</t>
        </r>
      </text>
    </comment>
    <comment ref="M236" authorId="0" shapeId="0" xr:uid="{7D823C6B-3D6F-4D68-B3D4-A5309A65B55C}">
      <text>
        <r>
          <rPr>
            <sz val="11"/>
            <color theme="1"/>
            <rFont val="Aptos Narrow"/>
            <family val="2"/>
            <scheme val="minor"/>
          </rPr>
          <t>Unknown User:
Smartpay receipt of $270 not uploaded by plumber.
Uploaded by Modoras team</t>
        </r>
      </text>
    </comment>
    <comment ref="G237" authorId="0" shapeId="0" xr:uid="{65A3AB5B-FC38-4A15-B910-A468F0E0AEED}">
      <text>
        <r>
          <rPr>
            <sz val="11"/>
            <color theme="1"/>
            <rFont val="Aptos Narrow"/>
            <family val="2"/>
            <scheme val="minor"/>
          </rPr>
          <t>Unknown User:
SEARCH AND INVESTIGATION OF GAS INSTANTANEOUS HOT WATER SYSTEM</t>
        </r>
      </text>
    </comment>
    <comment ref="R237" authorId="0" shapeId="0" xr:uid="{03EC2CAA-5793-4289-8FC6-CB75C1A2783E}">
      <text>
        <r>
          <rPr>
            <sz val="11"/>
            <color theme="1"/>
            <rFont val="Aptos Narrow"/>
            <family val="2"/>
            <scheme val="minor"/>
          </rPr>
          <t>Unknown User:
Sign not obtained</t>
        </r>
      </text>
    </comment>
    <comment ref="S237" authorId="0" shapeId="0" xr:uid="{ED505BC2-F575-417A-A27B-3BDDE935A738}">
      <text>
        <r>
          <rPr>
            <sz val="11"/>
            <color theme="1"/>
            <rFont val="Aptos Narrow"/>
            <family val="2"/>
            <scheme val="minor"/>
          </rPr>
          <t>Unknown User:
Invoice emailed without sign</t>
        </r>
      </text>
    </comment>
    <comment ref="G238" authorId="0" shapeId="0" xr:uid="{89FC4046-AF93-4BFE-9350-A1DCA8DB32DD}">
      <text>
        <r>
          <rPr>
            <sz val="11"/>
            <color theme="1"/>
            <rFont val="Aptos Narrow"/>
            <family val="2"/>
            <scheme val="minor"/>
          </rPr>
          <t xml:space="preserve">Unknown User:
WATER SERVICE RECTIFICATION (EXPOSED)
$65 First Service Discount 
10% Seniors &amp; Pensioners Discount </t>
        </r>
      </text>
    </comment>
    <comment ref="R238" authorId="0" shapeId="0" xr:uid="{A49905F0-54A7-4E26-802A-6EAC2A628295}">
      <text>
        <r>
          <rPr>
            <sz val="11"/>
            <color theme="1"/>
            <rFont val="Aptos Narrow"/>
            <family val="2"/>
            <scheme val="minor"/>
          </rPr>
          <t>Unknown User:
Sign not obtained</t>
        </r>
      </text>
    </comment>
    <comment ref="S238" authorId="0" shapeId="0" xr:uid="{95001E01-757E-4A52-89FE-B56D1C2DDAA5}">
      <text>
        <r>
          <rPr>
            <sz val="11"/>
            <color theme="1"/>
            <rFont val="Aptos Narrow"/>
            <family val="2"/>
            <scheme val="minor"/>
          </rPr>
          <t>Unknown User:
Invoice emailed without sign</t>
        </r>
      </text>
    </comment>
    <comment ref="V238" authorId="0" shapeId="0" xr:uid="{8648E929-D5B3-46CC-A4CA-71A013BFEF0C}">
      <text>
        <r>
          <rPr>
            <sz val="11"/>
            <color theme="1"/>
            <rFont val="Aptos Narrow"/>
            <family val="2"/>
            <scheme val="minor"/>
          </rPr>
          <t>Unknown User:
Smartpay receipt of $3439.79 is split as $1392.69 for Job #74482 (Initial job) &amp; as $2047.10 for upsell job.</t>
        </r>
      </text>
    </comment>
    <comment ref="G239" authorId="0" shapeId="0" xr:uid="{FC543485-D33F-425D-A34D-0A8BF31747F9}">
      <text>
        <r>
          <rPr>
            <sz val="11"/>
            <color theme="1"/>
            <rFont val="Aptos Narrow"/>
            <family val="2"/>
            <scheme val="minor"/>
          </rPr>
          <t>Unknown User:
COMPLETE SERVICE OF WALL TOP TAPS ASSEMBLY
10% Seniors &amp; Pensioners Discount
$65 First Service Discount</t>
        </r>
      </text>
    </comment>
    <comment ref="P239" authorId="0" shapeId="0" xr:uid="{A5328E2B-F40F-4BAB-8D44-5C4FE279A54E}">
      <text>
        <r>
          <rPr>
            <sz val="11"/>
            <color theme="1"/>
            <rFont val="Aptos Narrow"/>
            <family val="2"/>
            <scheme val="minor"/>
          </rPr>
          <t>Unknown User:
Quote not emailed</t>
        </r>
      </text>
    </comment>
    <comment ref="Q239" authorId="0" shapeId="0" xr:uid="{127EF0B1-3EFB-435A-B2C0-F41E6340FCCE}">
      <text>
        <r>
          <rPr>
            <sz val="11"/>
            <color theme="1"/>
            <rFont val="Aptos Narrow"/>
            <family val="2"/>
            <scheme val="minor"/>
          </rPr>
          <t>Unknown User:
Invoice not raised</t>
        </r>
      </text>
    </comment>
    <comment ref="G240" authorId="0" shapeId="0" xr:uid="{27D868B5-98CA-49DD-B16D-6BE04AF5FBE2}">
      <text>
        <r>
          <rPr>
            <sz val="11"/>
            <color theme="1"/>
            <rFont val="Aptos Narrow"/>
            <family val="2"/>
            <scheme val="minor"/>
          </rPr>
          <t>Unknown User:
HIGH POWERED JET BLAST &amp; CCTV CAMERA INSPECTION (GAIN ACCESS FROM VENT)</t>
        </r>
      </text>
    </comment>
    <comment ref="M240" authorId="0" shapeId="0" xr:uid="{47867B50-262E-4FFE-A176-77979293A465}">
      <text>
        <r>
          <rPr>
            <sz val="11"/>
            <color theme="1"/>
            <rFont val="Aptos Narrow"/>
            <family val="2"/>
            <scheme val="minor"/>
          </rPr>
          <t>Unknown User:
Smartpay receipt of $1664.10 not uploaded by plumber.
Uploaded by Modoras team</t>
        </r>
      </text>
    </comment>
    <comment ref="R240" authorId="0" shapeId="0" xr:uid="{4C604C75-6E57-4CD4-A527-C6E33481B336}">
      <text>
        <r>
          <rPr>
            <sz val="11"/>
            <color theme="1"/>
            <rFont val="Aptos Narrow"/>
            <family val="2"/>
            <scheme val="minor"/>
          </rPr>
          <t>Unknown User:
Sign not obtained</t>
        </r>
      </text>
    </comment>
    <comment ref="S240" authorId="0" shapeId="0" xr:uid="{09C6796D-8C71-4BD7-BF6A-8CCED64F6303}">
      <text>
        <r>
          <rPr>
            <sz val="11"/>
            <color theme="1"/>
            <rFont val="Aptos Narrow"/>
            <family val="2"/>
            <scheme val="minor"/>
          </rPr>
          <t>Unknown User:
Invoice emailed without sign</t>
        </r>
      </text>
    </comment>
    <comment ref="G241" authorId="0" shapeId="0" xr:uid="{8DF6B874-0553-42E4-AFDB-90B9F0C13BE4}">
      <text>
        <r>
          <rPr>
            <sz val="11"/>
            <color theme="1"/>
            <rFont val="Aptos Narrow"/>
            <family val="2"/>
            <scheme val="minor"/>
          </rPr>
          <t>Unknown User:
REPLACEMENT OF EMERGENCY STOP VALVE</t>
        </r>
      </text>
    </comment>
    <comment ref="R241" authorId="0" shapeId="0" xr:uid="{D57C2605-C381-41B3-8F73-AC2ACA523ED2}">
      <text>
        <r>
          <rPr>
            <sz val="11"/>
            <color theme="1"/>
            <rFont val="Aptos Narrow"/>
            <family val="2"/>
            <scheme val="minor"/>
          </rPr>
          <t>Unknown User:
Sign not obtained</t>
        </r>
      </text>
    </comment>
    <comment ref="S241" authorId="0" shapeId="0" xr:uid="{62525AED-543D-404D-BD4F-7B2FA8E24BDF}">
      <text>
        <r>
          <rPr>
            <sz val="11"/>
            <color theme="1"/>
            <rFont val="Aptos Narrow"/>
            <family val="2"/>
            <scheme val="minor"/>
          </rPr>
          <t>Unknown User:
Invoice emailed without sign</t>
        </r>
      </text>
    </comment>
    <comment ref="G242" authorId="0" shapeId="0" xr:uid="{05D0D9C6-18B4-4B41-AAD5-762D94B481A5}">
      <text>
        <r>
          <rPr>
            <sz val="11"/>
            <color theme="1"/>
            <rFont val="Aptos Narrow"/>
            <family val="2"/>
            <scheme val="minor"/>
          </rPr>
          <t xml:space="preserve">Unknown User:
SPECIALIST LEAK DETECTION (WATER SERVICE)
</t>
        </r>
      </text>
    </comment>
    <comment ref="Q242" authorId="0" shapeId="0" xr:uid="{42A8417B-5ACF-4232-94CD-AD30AF480AA3}">
      <text>
        <r>
          <rPr>
            <sz val="11"/>
            <color theme="1"/>
            <rFont val="Aptos Narrow"/>
            <family val="2"/>
            <scheme val="minor"/>
          </rPr>
          <t>Unknown User:
Invoice not raised</t>
        </r>
      </text>
    </comment>
    <comment ref="V242" authorId="0" shapeId="0" xr:uid="{539C7015-9B1D-4C46-ACDE-C0BAE620CFD7}">
      <text>
        <r>
          <rPr>
            <sz val="11"/>
            <color theme="1"/>
            <rFont val="Aptos Narrow"/>
            <family val="2"/>
            <scheme val="minor"/>
          </rPr>
          <t>Unknown User:
Smartpay receipt of $3439.79 is split as $1392.69 for Job #74482 (Initial job) &amp; as $2047.10 for upsell job.</t>
        </r>
      </text>
    </comment>
    <comment ref="G243" authorId="0" shapeId="0" xr:uid="{3BD08646-03FA-4549-A998-8A7D5325D423}">
      <text>
        <r>
          <rPr>
            <sz val="11"/>
            <color theme="1"/>
            <rFont val="Aptos Narrow"/>
            <family val="2"/>
            <scheme val="minor"/>
          </rPr>
          <t xml:space="preserve">Unknown User:
HIGH POWERED JET BLAST &amp; CCTV DRAIN CAMERA INSPECTION (STORM WATER SERVICE)
Customer Satisfaction Discount </t>
        </r>
      </text>
    </comment>
    <comment ref="R243" authorId="0" shapeId="0" xr:uid="{DDDCDC64-8FFA-4B91-A55C-3BFED89C3137}">
      <text>
        <r>
          <rPr>
            <sz val="11"/>
            <color theme="1"/>
            <rFont val="Aptos Narrow"/>
            <family val="2"/>
            <scheme val="minor"/>
          </rPr>
          <t>Unknown User:
Sign not obtained</t>
        </r>
      </text>
    </comment>
    <comment ref="S243" authorId="0" shapeId="0" xr:uid="{67F9C17C-7A4E-4576-B017-15AF2DD3E67A}">
      <text>
        <r>
          <rPr>
            <sz val="11"/>
            <color theme="1"/>
            <rFont val="Aptos Narrow"/>
            <family val="2"/>
            <scheme val="minor"/>
          </rPr>
          <t>Unknown User:
Invoice emailed without sign</t>
        </r>
      </text>
    </comment>
    <comment ref="G244" authorId="0" shapeId="0" xr:uid="{D18586FA-B53D-4231-ABA6-DE510FD9E54B}">
      <text>
        <r>
          <rPr>
            <sz val="11"/>
            <color theme="1"/>
            <rFont val="Aptos Narrow"/>
            <family val="2"/>
            <scheme val="minor"/>
          </rPr>
          <t>Unknown User:
INSTALLATION OF NEW CUSTOMER TOILET CISTERN</t>
        </r>
      </text>
    </comment>
    <comment ref="L244" authorId="0" shapeId="0" xr:uid="{59D67BBF-81A3-4E6D-A061-1F824EDB91FD}">
      <text>
        <r>
          <rPr>
            <sz val="11"/>
            <color theme="1"/>
            <rFont val="Aptos Narrow"/>
            <family val="2"/>
            <scheme val="minor"/>
          </rPr>
          <t>Unknown User:
Installed cistern pics not uploaded</t>
        </r>
      </text>
    </comment>
    <comment ref="G245" authorId="0" shapeId="0" xr:uid="{EB3E11C2-FD40-4875-B870-8BDBF4B8D140}">
      <text>
        <r>
          <rPr>
            <sz val="11"/>
            <color theme="1"/>
            <rFont val="Aptos Narrow"/>
            <family val="2"/>
            <scheme val="minor"/>
          </rPr>
          <t>Unknown User:
FLOOD, DYE, PRESSURE TEST (WET AREA)</t>
        </r>
      </text>
    </comment>
    <comment ref="R245" authorId="0" shapeId="0" xr:uid="{48987E54-4BFF-43F7-AA3B-58AECEDA32F0}">
      <text>
        <r>
          <rPr>
            <sz val="11"/>
            <color theme="1"/>
            <rFont val="Aptos Narrow"/>
            <family val="2"/>
            <scheme val="minor"/>
          </rPr>
          <t>Unknown User:
Sign not obtained</t>
        </r>
      </text>
    </comment>
    <comment ref="S245" authorId="0" shapeId="0" xr:uid="{6EF65D95-6F37-4B48-8745-9BECDB06053B}">
      <text>
        <r>
          <rPr>
            <sz val="11"/>
            <color theme="1"/>
            <rFont val="Aptos Narrow"/>
            <family val="2"/>
            <scheme val="minor"/>
          </rPr>
          <t>Unknown User:
Invoice emailed without sign</t>
        </r>
      </text>
    </comment>
    <comment ref="V245" authorId="0" shapeId="0" xr:uid="{0276DF9E-F9BC-4AD9-9130-DB4BA52E05DB}">
      <text>
        <r>
          <rPr>
            <sz val="11"/>
            <color theme="1"/>
            <rFont val="Aptos Narrow"/>
            <family val="2"/>
            <scheme val="minor"/>
          </rPr>
          <t>Unknown User:
Smartpay receipt of $1921.10 is split as $1387.10 for initial job #74574 &amp; as $534 for upsell Job #74589</t>
        </r>
      </text>
    </comment>
    <comment ref="G246" authorId="0" shapeId="0" xr:uid="{431AAA91-CF48-4455-8775-38F47C2644C1}">
      <text>
        <r>
          <rPr>
            <sz val="11"/>
            <color theme="1"/>
            <rFont val="Aptos Narrow"/>
            <family val="2"/>
            <scheme val="minor"/>
          </rPr>
          <t>Unknown User:
HIGH POWERED JET BLAST &amp; CCTV DRAIN CAMERA INSPECTION (SEWER SERVICE)</t>
        </r>
      </text>
    </comment>
    <comment ref="M246" authorId="0" shapeId="0" xr:uid="{42C15479-6ADB-4171-B361-E11D6971DA2A}">
      <text>
        <r>
          <rPr>
            <sz val="11"/>
            <color theme="1"/>
            <rFont val="Aptos Narrow"/>
            <family val="2"/>
            <scheme val="minor"/>
          </rPr>
          <t>Unknown User:
Smartpay receipt of $1126.80 not uploaded by plumber.
Uploaded by Modoras team</t>
        </r>
      </text>
    </comment>
    <comment ref="R246" authorId="0" shapeId="0" xr:uid="{91B5B24F-A00E-4236-86AA-880E0B59ECD8}">
      <text>
        <r>
          <rPr>
            <sz val="11"/>
            <color theme="1"/>
            <rFont val="Aptos Narrow"/>
            <family val="2"/>
            <scheme val="minor"/>
          </rPr>
          <t>Unknown User:
Sign not obtained</t>
        </r>
      </text>
    </comment>
    <comment ref="S246" authorId="0" shapeId="0" xr:uid="{EFCC3D90-C1E0-41B2-8F4F-590213A51730}">
      <text>
        <r>
          <rPr>
            <sz val="11"/>
            <color theme="1"/>
            <rFont val="Aptos Narrow"/>
            <family val="2"/>
            <scheme val="minor"/>
          </rPr>
          <t>Unknown User:
Invoice emailed without sign</t>
        </r>
      </text>
    </comment>
    <comment ref="G247" authorId="0" shapeId="0" xr:uid="{DB11E9B1-7D83-4552-91AD-3D631C5F8C82}">
      <text>
        <r>
          <rPr>
            <sz val="11"/>
            <color theme="1"/>
            <rFont val="Aptos Narrow"/>
            <family val="2"/>
            <scheme val="minor"/>
          </rPr>
          <t>Unknown User:
SEARCH &amp; INVESTIGATION OF RAINWATER PUMP</t>
        </r>
      </text>
    </comment>
    <comment ref="R247" authorId="0" shapeId="0" xr:uid="{D584C891-7C4B-4A07-9C73-8EE8B92D4492}">
      <text>
        <r>
          <rPr>
            <sz val="11"/>
            <color theme="1"/>
            <rFont val="Aptos Narrow"/>
            <family val="2"/>
            <scheme val="minor"/>
          </rPr>
          <t>Unknown User:
Sign not obtained</t>
        </r>
      </text>
    </comment>
    <comment ref="S247" authorId="0" shapeId="0" xr:uid="{E84C9549-8ACD-4F09-991C-BC2B6AB69230}">
      <text>
        <r>
          <rPr>
            <sz val="11"/>
            <color theme="1"/>
            <rFont val="Aptos Narrow"/>
            <family val="2"/>
            <scheme val="minor"/>
          </rPr>
          <t>Unknown User:
Invoice emailed without sign</t>
        </r>
      </text>
    </comment>
    <comment ref="G252" authorId="0" shapeId="0" xr:uid="{6F5E8CFA-6106-4DF3-9E14-F0613EE6761E}">
      <text>
        <r>
          <rPr>
            <sz val="11"/>
            <color theme="1"/>
            <rFont val="Aptos Narrow"/>
            <family val="2"/>
            <scheme val="minor"/>
          </rPr>
          <t>Unknown User:
HIGH POWERED JET BLAST &amp; CCTV DRAIN CAMERA INSPECTION (SEWER SERVICE)
$89 Blocked Drains Discount</t>
        </r>
      </text>
    </comment>
    <comment ref="M252" authorId="0" shapeId="0" xr:uid="{780D9627-F5AF-4BA9-AE01-AEF82DB65196}">
      <text>
        <r>
          <rPr>
            <sz val="11"/>
            <color theme="1"/>
            <rFont val="Aptos Narrow"/>
            <family val="2"/>
            <scheme val="minor"/>
          </rPr>
          <t>Unknown User:
Smartpay receipt of $1038.90 not uploaded by plumber.
Uploaded by Modoras team</t>
        </r>
      </text>
    </comment>
    <comment ref="V252" authorId="0" shapeId="0" xr:uid="{39507BE4-81EF-41E5-84BD-D722C82F1F18}">
      <text>
        <r>
          <rPr>
            <sz val="11"/>
            <color theme="1"/>
            <rFont val="Aptos Narrow"/>
            <family val="2"/>
            <scheme val="minor"/>
          </rPr>
          <t>Unknown User:
13/10-Received $1038.90</t>
        </r>
      </text>
    </comment>
    <comment ref="G256" authorId="0" shapeId="0" xr:uid="{D382F8DE-3CEC-4E01-8172-036A9D4E9638}">
      <text>
        <r>
          <rPr>
            <sz val="11"/>
            <color theme="1"/>
            <rFont val="Aptos Narrow"/>
            <family val="2"/>
            <scheme val="minor"/>
          </rPr>
          <t>Unknown User:
HIGH POWERED JET BLAST &amp; CCTV DRAIN CAMERA INSPECTION (SEWER SERVICE)</t>
        </r>
      </text>
    </comment>
    <comment ref="M256" authorId="0" shapeId="0" xr:uid="{09977D57-B96D-4516-A022-C9B4B0822E8C}">
      <text>
        <r>
          <rPr>
            <sz val="11"/>
            <color theme="1"/>
            <rFont val="Aptos Narrow"/>
            <family val="2"/>
            <scheme val="minor"/>
          </rPr>
          <t>Unknown User:
Customer payment screengrab is not uploaded by plumber.</t>
        </r>
      </text>
    </comment>
    <comment ref="R256" authorId="0" shapeId="0" xr:uid="{48C3DE74-660F-41A7-ADDE-DB81E7B420FA}">
      <text>
        <r>
          <rPr>
            <sz val="11"/>
            <color theme="1"/>
            <rFont val="Aptos Narrow"/>
            <family val="2"/>
            <scheme val="minor"/>
          </rPr>
          <t>Unknown User:
Invoice not signed</t>
        </r>
      </text>
    </comment>
    <comment ref="S256" authorId="0" shapeId="0" xr:uid="{305F6766-75C8-4A85-9A4E-120912AD84A8}">
      <text>
        <r>
          <rPr>
            <sz val="11"/>
            <color theme="1"/>
            <rFont val="Aptos Narrow"/>
            <family val="2"/>
            <scheme val="minor"/>
          </rPr>
          <t>Unknown User:
Invoice emailed without sign</t>
        </r>
      </text>
    </comment>
    <comment ref="G260" authorId="0" shapeId="0" xr:uid="{8CC09DEA-B5D4-4FF6-A35F-F61615F66C74}">
      <text>
        <r>
          <rPr>
            <sz val="11"/>
            <color theme="1"/>
            <rFont val="Aptos Narrow"/>
            <family val="2"/>
            <scheme val="minor"/>
          </rPr>
          <t xml:space="preserve">Unknown User:
RESEAL OF SHOWER
SENIORS DISCOUNT
CREDIT OF FLOOD , DYE , PRESSURE TEST </t>
        </r>
      </text>
    </comment>
    <comment ref="K260" authorId="0" shapeId="0" xr:uid="{B3DD8871-135B-4D11-8244-B326B13B0B6F}">
      <text>
        <r>
          <rPr>
            <sz val="11"/>
            <color theme="1"/>
            <rFont val="Aptos Narrow"/>
            <family val="2"/>
            <scheme val="minor"/>
          </rPr>
          <t>Unknown User:
Previous job images considered</t>
        </r>
      </text>
    </comment>
    <comment ref="M260" authorId="0" shapeId="0" xr:uid="{3E8907EE-D744-4653-97D3-195390BCE222}">
      <text>
        <r>
          <rPr>
            <sz val="11"/>
            <color theme="1"/>
            <rFont val="Aptos Narrow"/>
            <family val="2"/>
            <scheme val="minor"/>
          </rPr>
          <t>Unknown User:
Smartpay receipt of $140 not uploaded by plumber.
Uploaded by Modoras team</t>
        </r>
      </text>
    </comment>
    <comment ref="V260" authorId="0" shapeId="0" xr:uid="{A0D63A29-4F22-44AF-B402-AB36BC52DA0C}">
      <text>
        <r>
          <rPr>
            <sz val="11"/>
            <color theme="1"/>
            <rFont val="Aptos Narrow"/>
            <family val="2"/>
            <scheme val="minor"/>
          </rPr>
          <t>Unknown User:
Smartpay receipt of $1921.10 is split as $1387.10 for initial job #74574 &amp; as $534 for upsell Job #74589</t>
        </r>
      </text>
    </comment>
    <comment ref="G261" authorId="0" shapeId="0" xr:uid="{96118CE9-4F9F-4FF1-A6C7-C478F3B3A1E8}">
      <text>
        <r>
          <rPr>
            <sz val="11"/>
            <color theme="1"/>
            <rFont val="Aptos Narrow"/>
            <family val="2"/>
            <scheme val="minor"/>
          </rPr>
          <t>Unknown User:
CONVERSION OF NATURAL GAS APPLIANCE</t>
        </r>
      </text>
    </comment>
    <comment ref="M261" authorId="0" shapeId="0" xr:uid="{534D75F2-DC6C-49F5-82B2-8923E7449283}">
      <text>
        <r>
          <rPr>
            <sz val="11"/>
            <color theme="1"/>
            <rFont val="Aptos Narrow"/>
            <family val="2"/>
            <scheme val="minor"/>
          </rPr>
          <t>Unknown User:
Smartpay receipt of $94.70 is not uploaded by plumber.
Uploaded by Modoras team.</t>
        </r>
      </text>
    </comment>
    <comment ref="G265" authorId="0" shapeId="0" xr:uid="{044901C0-C0C5-4AD8-8E7C-16703C4BD30F}">
      <text>
        <r>
          <rPr>
            <sz val="11"/>
            <color theme="1"/>
            <rFont val="Aptos Narrow"/>
            <family val="2"/>
            <scheme val="minor"/>
          </rPr>
          <t xml:space="preserve">Unknown User:
SUPPLY &amp; INSTALLATION OF NEW LINK SUITE
10% Seniors &amp; Pensioners Discount
$65 First Service Discount </t>
        </r>
      </text>
    </comment>
    <comment ref="S265" authorId="0" shapeId="0" xr:uid="{1EA9F6F7-9B31-4523-9F58-8F52F10FABC9}">
      <text>
        <r>
          <rPr>
            <sz val="11"/>
            <color theme="1"/>
            <rFont val="Aptos Narrow"/>
            <family val="2"/>
            <scheme val="minor"/>
          </rPr>
          <t>Unknown User:
Signed invoice not emailed</t>
        </r>
      </text>
    </comment>
    <comment ref="G270" authorId="0" shapeId="0" xr:uid="{29C6C8FC-22DB-4611-A268-A990B489FE5A}">
      <text>
        <r>
          <rPr>
            <sz val="11"/>
            <color theme="1"/>
            <rFont val="Aptos Narrow"/>
            <family val="2"/>
            <scheme val="minor"/>
          </rPr>
          <t xml:space="preserve">Unknown User:
DECOMMISSION EXISTING UNDER SINK FILTER SYSTEM
</t>
        </r>
      </text>
    </comment>
    <comment ref="G271" authorId="0" shapeId="0" xr:uid="{7A9AC436-44D7-44C7-995B-F4762A4B4A71}">
      <text>
        <r>
          <rPr>
            <sz val="11"/>
            <color theme="1"/>
            <rFont val="Aptos Narrow"/>
            <family val="2"/>
            <scheme val="minor"/>
          </rPr>
          <t>Unknown User:
ROOF LEAK SEARCH &amp; INVESTIGATION</t>
        </r>
      </text>
    </comment>
    <comment ref="G272" authorId="0" shapeId="0" xr:uid="{F7822964-C113-4836-845D-80CF7106A798}">
      <text>
        <r>
          <rPr>
            <sz val="11"/>
            <color theme="1"/>
            <rFont val="Aptos Narrow"/>
            <family val="2"/>
            <scheme val="minor"/>
          </rPr>
          <t>Unknown User:
CHEMICAL DRAIN CLEANING TREATMENT
$89 Blocked Drains Discount</t>
        </r>
      </text>
    </comment>
    <comment ref="G274" authorId="0" shapeId="0" xr:uid="{52E7EB89-4B66-4538-B9FD-EF65071C9E5A}">
      <text>
        <r>
          <rPr>
            <sz val="11"/>
            <color theme="1"/>
            <rFont val="Aptos Narrow"/>
            <family val="2"/>
            <scheme val="minor"/>
          </rPr>
          <t xml:space="preserve">Unknown User:
RECTIFICATION OF GAS SERVICE (EXPOSED)
</t>
        </r>
      </text>
    </comment>
    <comment ref="U274" authorId="0" shapeId="0" xr:uid="{7EF1F273-1418-4179-80D4-C7BC10A8EFC2}">
      <text>
        <r>
          <rPr>
            <sz val="11"/>
            <color theme="1"/>
            <rFont val="Aptos Narrow"/>
            <family val="2"/>
            <scheme val="minor"/>
          </rPr>
          <t>Unknown User:
14/10-Customer dismay with price. Wants to leave a bad review</t>
        </r>
      </text>
    </comment>
    <comment ref="G275" authorId="0" shapeId="0" xr:uid="{BE92061C-E54C-4904-84D2-AB4413B1FB02}">
      <text>
        <r>
          <rPr>
            <sz val="11"/>
            <color theme="1"/>
            <rFont val="Aptos Narrow"/>
            <family val="2"/>
            <scheme val="minor"/>
          </rPr>
          <t xml:space="preserve">Unknown User:
SUPPLY AND INSTALL NEW HYDRONIC HEATER(UNIT ONLY)
</t>
        </r>
      </text>
    </comment>
    <comment ref="G276" authorId="0" shapeId="0" xr:uid="{FBE11ADD-475D-4372-8A53-137C7A8A7419}">
      <text>
        <r>
          <rPr>
            <sz val="11"/>
            <color theme="1"/>
            <rFont val="Aptos Narrow"/>
            <family val="2"/>
            <scheme val="minor"/>
          </rPr>
          <t>Unknown User:
HIGH POWERED JET BLAST &amp; CCTV DRAIN CAMERA INSPECTION (SEWER SERVICE)
$89 Blocked Drains Discount</t>
        </r>
      </text>
    </comment>
    <comment ref="G277" authorId="0" shapeId="0" xr:uid="{007C5E4E-C255-4B70-83E4-C027DBEFE2AF}">
      <text>
        <r>
          <rPr>
            <sz val="11"/>
            <color theme="1"/>
            <rFont val="Aptos Narrow"/>
            <family val="2"/>
            <scheme val="minor"/>
          </rPr>
          <t xml:space="preserve">Unknown User:
HIGH POWERED SUCTION PUMP
</t>
        </r>
      </text>
    </comment>
    <comment ref="G279" authorId="0" shapeId="0" xr:uid="{81D603D5-A99C-4C74-861E-59D9C16367F3}">
      <text>
        <r>
          <rPr>
            <sz val="11"/>
            <color theme="1"/>
            <rFont val="Aptos Narrow"/>
            <family val="2"/>
            <scheme val="minor"/>
          </rPr>
          <t xml:space="preserve">Unknown User:
SUPPLY &amp; INSTALLATION OF NEW INSTANTANEOUS GAS HOT WATER SYSTEM (EXTERNAL)
</t>
        </r>
      </text>
    </comment>
    <comment ref="G280" authorId="0" shapeId="0" xr:uid="{616F15FF-0331-4B45-A599-612F4EF91E34}">
      <text>
        <r>
          <rPr>
            <sz val="11"/>
            <color theme="1"/>
            <rFont val="Aptos Narrow"/>
            <family val="2"/>
            <scheme val="minor"/>
          </rPr>
          <t xml:space="preserve">Unknown User:
SEARCH &amp; INVESTIGATION OF GAS STORAGE HOT WATER SYSTEM
</t>
        </r>
      </text>
    </comment>
    <comment ref="G281" authorId="0" shapeId="0" xr:uid="{95C53DFD-092D-41EC-BDAC-CE7BEC5B17BD}">
      <text>
        <r>
          <rPr>
            <sz val="11"/>
            <color theme="1"/>
            <rFont val="Aptos Narrow"/>
            <family val="2"/>
            <scheme val="minor"/>
          </rPr>
          <t>Unknown User:
MIXER TAP - STANDARD
10% Seniors &amp; Pensioners Discount
$65 First Service Discount</t>
        </r>
      </text>
    </comment>
    <comment ref="G282" authorId="0" shapeId="0" xr:uid="{AF3A4110-9781-4492-9677-D139CE38E3C1}">
      <text>
        <r>
          <rPr>
            <sz val="11"/>
            <color theme="1"/>
            <rFont val="Aptos Narrow"/>
            <family val="2"/>
            <scheme val="minor"/>
          </rPr>
          <t>Unknown User:
SEARCH AND INVESTIGATION OF GAS INSTANTANEOUS HOT WATER SYSTEM</t>
        </r>
      </text>
    </comment>
    <comment ref="G283" authorId="0" shapeId="0" xr:uid="{6A0E17AC-7CF8-4437-A8BB-F96EF19F3087}">
      <text>
        <r>
          <rPr>
            <sz val="11"/>
            <color theme="1"/>
            <rFont val="Aptos Narrow"/>
            <family val="2"/>
            <scheme val="minor"/>
          </rPr>
          <t>Unknown User:
REPLACEMENT OF LAUNDRY TUB TAPS AND ARM
$65 First Service Discount
10% Seniors &amp; Pensioners Discount</t>
        </r>
      </text>
    </comment>
    <comment ref="G284" authorId="0" shapeId="0" xr:uid="{D5F912C6-7AF1-4D76-BD42-EC231A86628A}">
      <text>
        <r>
          <rPr>
            <sz val="11"/>
            <color theme="1"/>
            <rFont val="Aptos Narrow"/>
            <family val="2"/>
            <scheme val="minor"/>
          </rPr>
          <t>Unknown User:
SEWER SPOT DIG / RELINE
CREDIT HIGH POWERED JETBLAST &amp; CCTV CAMERA</t>
        </r>
      </text>
    </comment>
    <comment ref="G285" authorId="0" shapeId="0" xr:uid="{A6A0F9C2-131D-41E4-81A0-E782DD13B787}">
      <text>
        <r>
          <rPr>
            <sz val="11"/>
            <color theme="1"/>
            <rFont val="Aptos Narrow"/>
            <family val="2"/>
            <scheme val="minor"/>
          </rPr>
          <t>Unknown User:
SUPPLY &amp; INSTALLATION OF NEW PLASTIC TOILE</t>
        </r>
      </text>
    </comment>
    <comment ref="G286" authorId="0" shapeId="0" xr:uid="{25D9F528-0D3E-4CA3-9214-07C50D2C3CEB}">
      <text>
        <r>
          <rPr>
            <sz val="11"/>
            <color theme="1"/>
            <rFont val="Aptos Narrow"/>
            <family val="2"/>
            <scheme val="minor"/>
          </rPr>
          <t xml:space="preserve">Unknown User:
REPLACEMENT OF EMERGENCY STOP VALVE
</t>
        </r>
      </text>
    </comment>
    <comment ref="G287" authorId="0" shapeId="0" xr:uid="{47366223-3FAF-4CC3-952E-E04289C3944F}">
      <text>
        <r>
          <rPr>
            <sz val="11"/>
            <color theme="1"/>
            <rFont val="Aptos Narrow"/>
            <family val="2"/>
            <scheme val="minor"/>
          </rPr>
          <t>Unknown User:
DIG UP OF STORM WATER SPOT (UNDER CONCRETE)</t>
        </r>
      </text>
    </comment>
    <comment ref="G288" authorId="0" shapeId="0" xr:uid="{B391C57B-F2C4-419E-B6D0-6196E34521E2}">
      <text>
        <r>
          <rPr>
            <sz val="11"/>
            <color theme="1"/>
            <rFont val="Aptos Narrow"/>
            <family val="2"/>
            <scheme val="minor"/>
          </rPr>
          <t xml:space="preserve">Unknown User:
REPLACEMENT OF PLUG &amp; WASTE - 50MM
SUPPLY AND INSTALLATION OF TRAP TO SINK OR LAUNDRY TUB - WHITE PVC
</t>
        </r>
      </text>
    </comment>
    <comment ref="G289" authorId="0" shapeId="0" xr:uid="{4A82AE86-12FD-46F8-801D-A101588EC2CA}">
      <text>
        <r>
          <rPr>
            <sz val="11"/>
            <color theme="1"/>
            <rFont val="Aptos Narrow"/>
            <family val="2"/>
            <scheme val="minor"/>
          </rPr>
          <t xml:space="preserve">Unknown User:
SUPPLY &amp; INSTALLATION OF NEW RAINWATER PUMP
</t>
        </r>
      </text>
    </comment>
    <comment ref="E310" authorId="1" shapeId="0" xr:uid="{8B73CA7F-2500-4ABB-BF7D-2F2B10FFF969}">
      <text>
        <t>[Threaded comment]
Your version of Excel allows you to read this threaded comment; however, any edits to it will get removed if the file is opened in a newer version of Excel. Learn more: https://go.microsoft.com/fwlink/?linkid=870924
Comment:
    Stock</t>
      </text>
    </comment>
    <comment ref="G321" authorId="0" shapeId="0" xr:uid="{BD347CAB-24E2-4DD0-A14D-1FF4DEB5941D}">
      <text>
        <r>
          <rPr>
            <sz val="11"/>
            <color theme="1"/>
            <rFont val="Aptos Narrow"/>
            <family val="2"/>
            <scheme val="minor"/>
          </rPr>
          <t>Unknown User:
REPLACEMENT OF EXISTING GOOSE NECK KITCHEN MIXER (CUSTOMER SUPPLIED)
COMPLETE SERVICE OF WALL TOP TAPS ASSEMBLY
10% Seniors &amp; Pensioners Discount</t>
        </r>
      </text>
    </comment>
    <comment ref="R321" authorId="0" shapeId="0" xr:uid="{D73A6F99-A695-473A-88F9-17A8ECB2DCCA}">
      <text>
        <r>
          <rPr>
            <sz val="11"/>
            <color theme="1"/>
            <rFont val="Aptos Narrow"/>
            <family val="2"/>
            <scheme val="minor"/>
          </rPr>
          <t>Unknown User:
Sign not obatained</t>
        </r>
      </text>
    </comment>
    <comment ref="S321" authorId="0" shapeId="0" xr:uid="{AE522A3C-7530-42FC-90FC-8A8D6197C27A}">
      <text>
        <r>
          <rPr>
            <sz val="11"/>
            <color theme="1"/>
            <rFont val="Aptos Narrow"/>
            <family val="2"/>
            <scheme val="minor"/>
          </rPr>
          <t>Unknown User:
Invoice emailed without sign</t>
        </r>
      </text>
    </comment>
    <comment ref="G322" authorId="0" shapeId="0" xr:uid="{CC2D8947-89BA-4D91-828F-1C36E798AD47}">
      <text>
        <r>
          <rPr>
            <sz val="11"/>
            <color theme="1"/>
            <rFont val="Aptos Narrow"/>
            <family val="2"/>
            <scheme val="minor"/>
          </rPr>
          <t>Unknown User:
SEARCH &amp; INVESTIGATE - IN WALL CISTERN
$185+GST Non-refundable call out fee</t>
        </r>
      </text>
    </comment>
    <comment ref="R322" authorId="0" shapeId="0" xr:uid="{3280F9F3-3752-47D9-A6EF-736C764B6E18}">
      <text>
        <r>
          <rPr>
            <sz val="11"/>
            <color theme="1"/>
            <rFont val="Aptos Narrow"/>
            <family val="2"/>
            <scheme val="minor"/>
          </rPr>
          <t>Unknown User:
Sign not obatained</t>
        </r>
      </text>
    </comment>
    <comment ref="S322" authorId="0" shapeId="0" xr:uid="{B973F2A5-FD9B-4425-9901-1F80A6FA1F98}">
      <text>
        <r>
          <rPr>
            <sz val="11"/>
            <color theme="1"/>
            <rFont val="Aptos Narrow"/>
            <family val="2"/>
            <scheme val="minor"/>
          </rPr>
          <t>Unknown User:
Invoice emailed without sign</t>
        </r>
      </text>
    </comment>
    <comment ref="G323" authorId="0" shapeId="0" xr:uid="{271D3378-DD23-4723-82BA-91522265403E}">
      <text>
        <r>
          <rPr>
            <sz val="11"/>
            <color theme="1"/>
            <rFont val="Aptos Narrow"/>
            <family val="2"/>
            <scheme val="minor"/>
          </rPr>
          <t>Unknown User:
COMPLETE SERVICE OF IN WALL TOILET CISTERN
CONTINUATION OF SERVICES</t>
        </r>
      </text>
    </comment>
    <comment ref="M323" authorId="0" shapeId="0" xr:uid="{18DA1414-3061-47A0-AFE3-FEE15D59134E}">
      <text>
        <r>
          <rPr>
            <sz val="11"/>
            <color theme="1"/>
            <rFont val="Aptos Narrow"/>
            <family val="2"/>
            <scheme val="minor"/>
          </rPr>
          <t>Unknown User:
Smartpay receipt of $1461.60 not uploaded by plumber.
Uploaded by Modoras team</t>
        </r>
      </text>
    </comment>
    <comment ref="P323" authorId="0" shapeId="0" xr:uid="{848D21C3-290E-4080-8419-22DD2C3C6077}">
      <text>
        <r>
          <rPr>
            <sz val="11"/>
            <color theme="1"/>
            <rFont val="Aptos Narrow"/>
            <family val="2"/>
            <scheme val="minor"/>
          </rPr>
          <t>Unknown User:
Signed quote not emailed</t>
        </r>
      </text>
    </comment>
    <comment ref="R323" authorId="0" shapeId="0" xr:uid="{B810F265-836B-4851-8BF4-BF8ADA6D0E88}">
      <text>
        <r>
          <rPr>
            <sz val="11"/>
            <color theme="1"/>
            <rFont val="Aptos Narrow"/>
            <family val="2"/>
            <scheme val="minor"/>
          </rPr>
          <t>Unknown User:
Sign not obatained</t>
        </r>
      </text>
    </comment>
    <comment ref="S323" authorId="0" shapeId="0" xr:uid="{82C226A2-F76A-4FFF-B937-5A5FF89FC35C}">
      <text>
        <r>
          <rPr>
            <sz val="11"/>
            <color theme="1"/>
            <rFont val="Aptos Narrow"/>
            <family val="2"/>
            <scheme val="minor"/>
          </rPr>
          <t>Unknown User:
Invoice emailed without sign</t>
        </r>
      </text>
    </comment>
    <comment ref="G324" authorId="0" shapeId="0" xr:uid="{8AB30472-EA2B-4304-A94B-A538AE6B9C48}">
      <text>
        <r>
          <rPr>
            <sz val="11"/>
            <color theme="1"/>
            <rFont val="Aptos Narrow"/>
            <family val="2"/>
            <scheme val="minor"/>
          </rPr>
          <t>Unknown User:
SUPPLY &amp; INSTALLATION OF RAINWATER PUMP WITH RAIN2MAIN WATER
SWITCHING UNIT
RETURN CUSTOMER DISCOUNT</t>
        </r>
      </text>
    </comment>
    <comment ref="Q324" authorId="0" shapeId="0" xr:uid="{3E372AF8-D64E-483C-A99C-AE2BCAACD3BC}">
      <text>
        <r>
          <rPr>
            <sz val="11"/>
            <color theme="1"/>
            <rFont val="Aptos Narrow"/>
            <family val="2"/>
            <scheme val="minor"/>
          </rPr>
          <t>Unknown User:
Final zero due invoice not raised</t>
        </r>
      </text>
    </comment>
    <comment ref="G325" authorId="0" shapeId="0" xr:uid="{40C43180-7096-48F6-8FE5-C997755325B9}">
      <text>
        <r>
          <rPr>
            <sz val="11"/>
            <color theme="1"/>
            <rFont val="Aptos Narrow"/>
            <family val="2"/>
            <scheme val="minor"/>
          </rPr>
          <t>Unknown User:
SEARCH &amp; INVESTIGATION - LEAKING TOILET SUITE</t>
        </r>
      </text>
    </comment>
    <comment ref="M325" authorId="0" shapeId="0" xr:uid="{F1EBC1CB-4093-49EF-8D1D-0C196F0DD434}">
      <text>
        <r>
          <rPr>
            <sz val="11"/>
            <color theme="1"/>
            <rFont val="Aptos Narrow"/>
            <family val="2"/>
            <scheme val="minor"/>
          </rPr>
          <t>Unknown User:
Smartpay receipt of $140 not uploaded by plumber.
Uploaded by Modoras team</t>
        </r>
      </text>
    </comment>
    <comment ref="Q325" authorId="0" shapeId="0" xr:uid="{1488D3F8-E927-408A-B014-D319E76B64F7}">
      <text>
        <r>
          <rPr>
            <sz val="11"/>
            <color theme="1"/>
            <rFont val="Aptos Narrow"/>
            <family val="2"/>
            <scheme val="minor"/>
          </rPr>
          <t>Unknown User:
Final zero due invoice not raised</t>
        </r>
      </text>
    </comment>
    <comment ref="G326" authorId="0" shapeId="0" xr:uid="{D3D93204-D7CF-4A0D-A9BF-7FE30DFF939F}">
      <text>
        <r>
          <rPr>
            <sz val="11"/>
            <color theme="1"/>
            <rFont val="Aptos Narrow"/>
            <family val="2"/>
            <scheme val="minor"/>
          </rPr>
          <t>Unknown User:
HIGH POWERED JET BLAST &amp; CCTV DRAIN CAMERA INSPECTION (SEWER SERVICE)
$185+GST Non-refundable call out fee</t>
        </r>
      </text>
    </comment>
    <comment ref="G327" authorId="0" shapeId="0" xr:uid="{7FE8CAE7-85ED-4D0D-9DB8-AABA76147ED2}">
      <text>
        <r>
          <rPr>
            <sz val="11"/>
            <color theme="1"/>
            <rFont val="Aptos Narrow"/>
            <family val="2"/>
            <scheme val="minor"/>
          </rPr>
          <t>Unknown User:
HIGH POWERED SUCTION PUMP</t>
        </r>
      </text>
    </comment>
    <comment ref="L327" authorId="0" shapeId="0" xr:uid="{2E671DEC-401B-47A7-9879-FC3591AD822D}">
      <text>
        <r>
          <rPr>
            <sz val="11"/>
            <color theme="1"/>
            <rFont val="Aptos Narrow"/>
            <family val="2"/>
            <scheme val="minor"/>
          </rPr>
          <t>Unknown User:
Suction pump pics not uploaded.</t>
        </r>
      </text>
    </comment>
    <comment ref="P327" authorId="0" shapeId="0" xr:uid="{07B9B0F0-0FE1-41F9-A69B-9EB84419924D}">
      <text>
        <r>
          <rPr>
            <sz val="11"/>
            <color theme="1"/>
            <rFont val="Aptos Narrow"/>
            <family val="2"/>
            <scheme val="minor"/>
          </rPr>
          <t>Unknown User:
Quote not emailed</t>
        </r>
      </text>
    </comment>
    <comment ref="Q327" authorId="0" shapeId="0" xr:uid="{2D31BCC5-54A2-48C8-8DA8-4550317A450B}">
      <text>
        <r>
          <rPr>
            <sz val="11"/>
            <color theme="1"/>
            <rFont val="Aptos Narrow"/>
            <family val="2"/>
            <scheme val="minor"/>
          </rPr>
          <t xml:space="preserve">Unknown User:
Invoice not raised by plumber </t>
        </r>
      </text>
    </comment>
    <comment ref="G328" authorId="0" shapeId="0" xr:uid="{7FDB9454-A8FC-4FB4-94A5-37E345F889B0}">
      <text>
        <r>
          <rPr>
            <sz val="11"/>
            <color theme="1"/>
            <rFont val="Aptos Narrow"/>
            <family val="2"/>
            <scheme val="minor"/>
          </rPr>
          <t>Unknown User:
REPLACEMENT OF EXISTING GOOSE NECK KITCHEN MIXER (CUSTOMER SUPPLIED)</t>
        </r>
      </text>
    </comment>
    <comment ref="P328" authorId="0" shapeId="0" xr:uid="{D87642BB-6E88-4261-A30A-F5EFE657F236}">
      <text>
        <r>
          <rPr>
            <sz val="11"/>
            <color theme="1"/>
            <rFont val="Aptos Narrow"/>
            <family val="2"/>
            <scheme val="minor"/>
          </rPr>
          <t>Unknown User:
Quote not emailed</t>
        </r>
      </text>
    </comment>
    <comment ref="Q328" authorId="0" shapeId="0" xr:uid="{513AD815-62D0-40C8-92D6-C8E0270FE345}">
      <text>
        <r>
          <rPr>
            <sz val="11"/>
            <color theme="1"/>
            <rFont val="Aptos Narrow"/>
            <family val="2"/>
            <scheme val="minor"/>
          </rPr>
          <t>Unknown User:
Invoice not raised by plumber</t>
        </r>
      </text>
    </comment>
    <comment ref="G329" authorId="0" shapeId="0" xr:uid="{A9233F21-D2E4-4011-9979-4FAADC5535D8}">
      <text>
        <r>
          <rPr>
            <sz val="11"/>
            <color theme="1"/>
            <rFont val="Aptos Narrow"/>
            <family val="2"/>
            <scheme val="minor"/>
          </rPr>
          <t>Unknown User:
REPLACEMENT OF WALL TAP TOPS (W/ CERAMIC DISK TAPS)
10% Seniors &amp; Pensioners Discount
$39 Tap Services Discount</t>
        </r>
      </text>
    </comment>
    <comment ref="R329" authorId="0" shapeId="0" xr:uid="{915E2C30-358D-4505-BF4A-58042A6B1F46}">
      <text>
        <r>
          <rPr>
            <sz val="11"/>
            <color theme="1"/>
            <rFont val="Aptos Narrow"/>
            <family val="2"/>
            <scheme val="minor"/>
          </rPr>
          <t>Unknown User:
Sign not obtained</t>
        </r>
      </text>
    </comment>
    <comment ref="S329" authorId="0" shapeId="0" xr:uid="{F4ED1AC8-AB9C-4287-A26F-77B17406839A}">
      <text>
        <r>
          <rPr>
            <sz val="11"/>
            <color theme="1"/>
            <rFont val="Aptos Narrow"/>
            <family val="2"/>
            <scheme val="minor"/>
          </rPr>
          <t>Unknown User:
Invoice emailed without sign</t>
        </r>
      </text>
    </comment>
    <comment ref="V329" authorId="0" shapeId="0" xr:uid="{C4D3E41B-EFBF-4564-9E2C-9B913A553FA2}">
      <text>
        <r>
          <rPr>
            <sz val="11"/>
            <color theme="1"/>
            <rFont val="Aptos Narrow"/>
            <family val="2"/>
            <scheme val="minor"/>
          </rPr>
          <t>Unknown User:
Smartpay receipt of $1637.11 is split as $690.01 for initial job &amp; as $947.10 for upsell job.</t>
        </r>
      </text>
    </comment>
    <comment ref="G330" authorId="0" shapeId="0" xr:uid="{1AF750D9-824F-450D-8D3F-E8A64C4C104A}">
      <text>
        <r>
          <rPr>
            <sz val="11"/>
            <color theme="1"/>
            <rFont val="Aptos Narrow"/>
            <family val="2"/>
            <scheme val="minor"/>
          </rPr>
          <t>Unknown User:
REPLACEMENT OF PLUG &amp; WASTE - 40MM</t>
        </r>
      </text>
    </comment>
    <comment ref="R330" authorId="0" shapeId="0" xr:uid="{05368339-951C-4798-8C76-51E93FAF28F2}">
      <text>
        <r>
          <rPr>
            <sz val="11"/>
            <color theme="1"/>
            <rFont val="Aptos Narrow"/>
            <family val="2"/>
            <scheme val="minor"/>
          </rPr>
          <t>Unknown User:
Sign not obtained</t>
        </r>
      </text>
    </comment>
    <comment ref="S330" authorId="0" shapeId="0" xr:uid="{7D453CEC-E7FA-45F1-A671-A3261CF131E0}">
      <text>
        <r>
          <rPr>
            <sz val="11"/>
            <color theme="1"/>
            <rFont val="Aptos Narrow"/>
            <family val="2"/>
            <scheme val="minor"/>
          </rPr>
          <t>Unknown User:
Invoice emailed without sign</t>
        </r>
      </text>
    </comment>
    <comment ref="V330" authorId="0" shapeId="0" xr:uid="{06FDA2F1-2DE8-4D02-9A1C-55EBDE6EB1E5}">
      <text>
        <r>
          <rPr>
            <sz val="11"/>
            <color theme="1"/>
            <rFont val="Aptos Narrow"/>
            <family val="2"/>
            <scheme val="minor"/>
          </rPr>
          <t>Unknown User:
Smartpay receipt of $1637.11 is split as $690.01 for initial job &amp; as $947.10 for upsell job.</t>
        </r>
      </text>
    </comment>
    <comment ref="G331" authorId="0" shapeId="0" xr:uid="{720770CD-9F34-40ED-A2A8-65E560EF7EF1}">
      <text>
        <r>
          <rPr>
            <sz val="11"/>
            <color theme="1"/>
            <rFont val="Aptos Narrow"/>
            <family val="2"/>
            <scheme val="minor"/>
          </rPr>
          <t>Unknown User:
HIGH POWERED SUCTION &amp; ACID TREATMENT
$65 First Service Discount
$185+GST Non-refundable call out fee</t>
        </r>
      </text>
    </comment>
    <comment ref="L331" authorId="0" shapeId="0" xr:uid="{36A8482A-F39B-495A-A611-B699FEBEA1F8}">
      <text>
        <r>
          <rPr>
            <sz val="11"/>
            <color theme="1"/>
            <rFont val="Aptos Narrow"/>
            <family val="2"/>
            <scheme val="minor"/>
          </rPr>
          <t>Unknown User:
Suction pump &amp; acid treatment pics are not uploaded.</t>
        </r>
      </text>
    </comment>
    <comment ref="S331" authorId="0" shapeId="0" xr:uid="{9D725B85-6394-4EC0-8789-53C57A36B23B}">
      <text>
        <r>
          <rPr>
            <sz val="11"/>
            <color theme="1"/>
            <rFont val="Aptos Narrow"/>
            <family val="2"/>
            <scheme val="minor"/>
          </rPr>
          <t>Unknown User:
Invoice emailed without sign</t>
        </r>
      </text>
    </comment>
    <comment ref="G332" authorId="0" shapeId="0" xr:uid="{6C00EF96-ED61-49D8-9BC5-B05AF5259ED9}">
      <text>
        <r>
          <rPr>
            <sz val="11"/>
            <color theme="1"/>
            <rFont val="Aptos Narrow"/>
            <family val="2"/>
            <scheme val="minor"/>
          </rPr>
          <t>Unknown User:
SUPPLY &amp; INSTALLATION OF NEW BRASS HOSE TAP</t>
        </r>
      </text>
    </comment>
    <comment ref="P332" authorId="0" shapeId="0" xr:uid="{16C72AC9-F1B6-46E0-A12F-72651F3AA429}">
      <text>
        <r>
          <rPr>
            <sz val="11"/>
            <color theme="1"/>
            <rFont val="Aptos Narrow"/>
            <family val="2"/>
            <scheme val="minor"/>
          </rPr>
          <t>Unknown User:
Quote not emailed by plumber</t>
        </r>
      </text>
    </comment>
    <comment ref="G333" authorId="0" shapeId="0" xr:uid="{6C71A779-4C93-401F-8143-93162D9644D7}">
      <text>
        <r>
          <rPr>
            <sz val="11"/>
            <color theme="1"/>
            <rFont val="Aptos Narrow"/>
            <family val="2"/>
            <scheme val="minor"/>
          </rPr>
          <t>Unknown User:
SEARCH &amp; INVESTIGATION OF POTENTIAL GAS LEAK</t>
        </r>
      </text>
    </comment>
    <comment ref="M333" authorId="0" shapeId="0" xr:uid="{AF7B91C0-1741-493E-AE9C-B4FA4FE1EE0B}">
      <text>
        <r>
          <rPr>
            <sz val="11"/>
            <color theme="1"/>
            <rFont val="Aptos Narrow"/>
            <family val="2"/>
            <scheme val="minor"/>
          </rPr>
          <t>Unknown User:
Smartpay receipt of $2528.90 not uploaded by plumber.
Uploaded by Modoras team.</t>
        </r>
      </text>
    </comment>
    <comment ref="S333" authorId="0" shapeId="0" xr:uid="{958ED9B7-350C-490B-B919-701CF29BAE78}">
      <text>
        <r>
          <rPr>
            <sz val="11"/>
            <color theme="1"/>
            <rFont val="Aptos Narrow"/>
            <family val="2"/>
            <scheme val="minor"/>
          </rPr>
          <t>Unknown User:
Invoice not emailed</t>
        </r>
      </text>
    </comment>
    <comment ref="V333" authorId="0" shapeId="0" xr:uid="{F7518A34-8C54-4B6C-890A-1452C3727661}">
      <text>
        <r>
          <rPr>
            <sz val="11"/>
            <color theme="1"/>
            <rFont val="Aptos Narrow"/>
            <family val="2"/>
            <scheme val="minor"/>
          </rPr>
          <t>Unknown User:
Smartpay receipt of $2528.90 is split as $1387.10 for initial job &amp; as $1141.80 for upsell job.</t>
        </r>
      </text>
    </comment>
    <comment ref="G334" authorId="0" shapeId="0" xr:uid="{09306FFD-C44F-4B74-BD61-49EE4C09AA4A}">
      <text>
        <r>
          <rPr>
            <sz val="11"/>
            <color theme="1"/>
            <rFont val="Aptos Narrow"/>
            <family val="2"/>
            <scheme val="minor"/>
          </rPr>
          <t>Unknown User:
REPLACEMENT OF (15MM) APPLIANCE REGULATOR</t>
        </r>
      </text>
    </comment>
    <comment ref="M334" authorId="0" shapeId="0" xr:uid="{15500853-BBC8-4AC6-A66A-B4A02491F4E3}">
      <text>
        <r>
          <rPr>
            <sz val="11"/>
            <color theme="1"/>
            <rFont val="Aptos Narrow"/>
            <family val="2"/>
            <scheme val="minor"/>
          </rPr>
          <t>Unknown User:
Smartpay receipt of $2528.90 not uploaded by plumber.
Uploaded by Modoras team.</t>
        </r>
      </text>
    </comment>
    <comment ref="S334" authorId="0" shapeId="0" xr:uid="{A4C2F48D-8B7E-4CD5-8752-D6A97AABF3A0}">
      <text>
        <r>
          <rPr>
            <sz val="11"/>
            <color theme="1"/>
            <rFont val="Aptos Narrow"/>
            <family val="2"/>
            <scheme val="minor"/>
          </rPr>
          <t>Unknown User:
Invoice not emailed</t>
        </r>
      </text>
    </comment>
    <comment ref="V334" authorId="0" shapeId="0" xr:uid="{4747EE6D-B067-4300-A4DB-623C4EC60076}">
      <text>
        <r>
          <rPr>
            <sz val="11"/>
            <color theme="1"/>
            <rFont val="Aptos Narrow"/>
            <family val="2"/>
            <scheme val="minor"/>
          </rPr>
          <t>Unknown User:
Smartpay receipt of $2528.90 is split as $1387.10 for initial job &amp; as $1141.80 for upsell job.</t>
        </r>
      </text>
    </comment>
    <comment ref="G339" authorId="0" shapeId="0" xr:uid="{CF750057-F74B-4042-B367-C8E8E0198CA2}">
      <text>
        <r>
          <rPr>
            <sz val="11"/>
            <color theme="1"/>
            <rFont val="Aptos Narrow"/>
            <family val="2"/>
            <scheme val="minor"/>
          </rPr>
          <t xml:space="preserve">Unknown User:
SEARCH &amp; INVESTIGATION OF RAINWATER PUMP
</t>
        </r>
      </text>
    </comment>
    <comment ref="R339" authorId="0" shapeId="0" xr:uid="{ECC00E0E-5D0B-4121-A018-167B075DF459}">
      <text>
        <r>
          <rPr>
            <sz val="11"/>
            <color theme="1"/>
            <rFont val="Aptos Narrow"/>
            <family val="2"/>
            <scheme val="minor"/>
          </rPr>
          <t>Unknown User:
Sign not obtained</t>
        </r>
      </text>
    </comment>
    <comment ref="S339" authorId="0" shapeId="0" xr:uid="{B68B45D2-C7FE-4839-8E2C-5A4EC38153D0}">
      <text>
        <r>
          <rPr>
            <sz val="11"/>
            <color theme="1"/>
            <rFont val="Aptos Narrow"/>
            <family val="2"/>
            <scheme val="minor"/>
          </rPr>
          <t>Unknown User:
Progress Invoice emailed without sign.</t>
        </r>
      </text>
    </comment>
    <comment ref="G340" authorId="0" shapeId="0" xr:uid="{0B0D2512-AF70-4D05-BBB8-DF7CDA955D78}">
      <text>
        <r>
          <rPr>
            <sz val="11"/>
            <color theme="1"/>
            <rFont val="Aptos Narrow"/>
            <family val="2"/>
            <scheme val="minor"/>
          </rPr>
          <t>Unknown User:
SEARCH &amp; INVESTIGATION OF MACERATOR PUMP
$85+GST Non-refundable call out fee</t>
        </r>
      </text>
    </comment>
    <comment ref="P340" authorId="0" shapeId="0" xr:uid="{5848528A-770E-46EE-83EE-707D7321D3EE}">
      <text>
        <r>
          <rPr>
            <sz val="11"/>
            <color theme="1"/>
            <rFont val="Aptos Narrow"/>
            <family val="2"/>
            <scheme val="minor"/>
          </rPr>
          <t>Unknown User:
Quote not emailed</t>
        </r>
      </text>
    </comment>
    <comment ref="Q340" authorId="0" shapeId="0" xr:uid="{BAC8BAF8-AEDF-4A28-A3A3-4B6A2A699953}">
      <text>
        <r>
          <rPr>
            <sz val="11"/>
            <color theme="1"/>
            <rFont val="Aptos Narrow"/>
            <family val="2"/>
            <scheme val="minor"/>
          </rPr>
          <t xml:space="preserve">Unknown User:
Invoice not raised by plumber </t>
        </r>
      </text>
    </comment>
    <comment ref="G344" authorId="0" shapeId="0" xr:uid="{C037AC70-25D6-4B65-A988-AD2E51A6392A}">
      <text>
        <r>
          <rPr>
            <sz val="11"/>
            <color theme="1"/>
            <rFont val="Aptos Narrow"/>
            <family val="2"/>
            <scheme val="minor"/>
          </rPr>
          <t xml:space="preserve">Unknown User:
REMOVAL OF TOILET PAN AND RESEAL WITH NEW PAN COLLAR
10% Seniors &amp; Pensioners Discount
$65 First Service Discount </t>
        </r>
      </text>
    </comment>
    <comment ref="M344" authorId="0" shapeId="0" xr:uid="{6B9BFD49-7A0B-4D61-86AF-F69F0D82DFF9}">
      <text>
        <r>
          <rPr>
            <sz val="11"/>
            <color theme="1"/>
            <rFont val="Aptos Narrow"/>
            <family val="2"/>
            <scheme val="minor"/>
          </rPr>
          <t>Unknown User:
Smartpay receipt of $170 not uploaded by plumber.
Uploaded by Modoras team</t>
        </r>
      </text>
    </comment>
    <comment ref="N344" authorId="0" shapeId="0" xr:uid="{5E3B0EBE-4C64-420E-A12D-4AD3DAC71A11}">
      <text>
        <r>
          <rPr>
            <sz val="11"/>
            <color theme="1"/>
            <rFont val="Aptos Narrow"/>
            <family val="2"/>
            <scheme val="minor"/>
          </rPr>
          <t>Unknown User:
Quote available in Job #74591</t>
        </r>
      </text>
    </comment>
    <comment ref="P344" authorId="0" shapeId="0" xr:uid="{2BAB1652-3272-44E4-8407-FB5A91B36BEC}">
      <text>
        <r>
          <rPr>
            <sz val="11"/>
            <color theme="1"/>
            <rFont val="Aptos Narrow"/>
            <family val="2"/>
            <scheme val="minor"/>
          </rPr>
          <t>Unknown User:
Quote not emailed</t>
        </r>
      </text>
    </comment>
    <comment ref="U344" authorId="0" shapeId="0" xr:uid="{CC20EF86-B8E0-49C8-818F-6C8B97E736E3}">
      <text>
        <r>
          <rPr>
            <sz val="11"/>
            <color theme="1"/>
            <rFont val="Aptos Narrow"/>
            <family val="2"/>
            <scheme val="minor"/>
          </rPr>
          <t>Unknown User:
23/10-As per Junior's note "taped up sewer pipe for smell. ordered parts to be delivered to my place"</t>
        </r>
      </text>
    </comment>
    <comment ref="V344" authorId="0" shapeId="0" xr:uid="{62E18B45-6629-4CA3-BFF5-54D348002181}">
      <text>
        <r>
          <rPr>
            <sz val="11"/>
            <color theme="1"/>
            <rFont val="Aptos Narrow"/>
            <family val="2"/>
            <scheme val="minor"/>
          </rPr>
          <t>Unknown User:
30/10-Smartpay receipt of $1600.89 not uploaded by plumber.
Uploaded by Modoras team.</t>
        </r>
      </text>
    </comment>
    <comment ref="G348" authorId="0" shapeId="0" xr:uid="{DA2234BE-2B61-4045-B6D0-20A1358F0C5B}">
      <text>
        <r>
          <rPr>
            <sz val="11"/>
            <color theme="1"/>
            <rFont val="Aptos Narrow"/>
            <family val="2"/>
            <scheme val="minor"/>
          </rPr>
          <t xml:space="preserve">Unknown User:
SUPPLY &amp; INSTALLATION OF NEW LINK SUITE
10% Seniors &amp; Pensioners Discount
$65 First Service Discount </t>
        </r>
      </text>
    </comment>
    <comment ref="S348" authorId="0" shapeId="0" xr:uid="{A586833E-2BD2-48B2-A8A9-015576C927E3}">
      <text>
        <r>
          <rPr>
            <sz val="11"/>
            <color theme="1"/>
            <rFont val="Aptos Narrow"/>
            <family val="2"/>
            <scheme val="minor"/>
          </rPr>
          <t>Unknown User:
Signed invoice not emailed</t>
        </r>
      </text>
    </comment>
    <comment ref="G349" authorId="0" shapeId="0" xr:uid="{9F87F834-97C2-4E6D-87FD-DF957C19DC44}">
      <text>
        <r>
          <rPr>
            <sz val="11"/>
            <color theme="1"/>
            <rFont val="Aptos Narrow"/>
            <family val="2"/>
            <scheme val="minor"/>
          </rPr>
          <t xml:space="preserve">Unknown User:
RESEAL OF SHOWER
SENIORS DISCOUNT
CREDIT OF FLOOD , DYE , PRESSURE TEST </t>
        </r>
      </text>
    </comment>
    <comment ref="K349" authorId="0" shapeId="0" xr:uid="{9945FA95-0865-451E-9C73-C3E0F8C9C565}">
      <text>
        <r>
          <rPr>
            <sz val="11"/>
            <color theme="1"/>
            <rFont val="Aptos Narrow"/>
            <family val="2"/>
            <scheme val="minor"/>
          </rPr>
          <t>Unknown User:
Previous job images considered</t>
        </r>
      </text>
    </comment>
    <comment ref="M349" authorId="0" shapeId="0" xr:uid="{F2201341-531E-46B5-B30C-9A5E89F8C5B8}">
      <text>
        <r>
          <rPr>
            <sz val="11"/>
            <color theme="1"/>
            <rFont val="Aptos Narrow"/>
            <family val="2"/>
            <scheme val="minor"/>
          </rPr>
          <t>Unknown User:
Smartpay receipt of $140 not uploaded by plumber.
Uploaded by Modoras team</t>
        </r>
      </text>
    </comment>
    <comment ref="V349" authorId="0" shapeId="0" xr:uid="{50F71EA9-ECAF-4AC2-B62B-B1DDF51C1B86}">
      <text>
        <r>
          <rPr>
            <sz val="11"/>
            <color theme="1"/>
            <rFont val="Aptos Narrow"/>
            <family val="2"/>
            <scheme val="minor"/>
          </rPr>
          <t>Unknown User:
Smartpay receipt of $1921.10 is split as $1387.10 for initial job #74574 &amp; as $534 for upsell Job #74589</t>
        </r>
      </text>
    </comment>
    <comment ref="G354" authorId="0" shapeId="0" xr:uid="{1B44F9F8-A0FA-44F0-ABB3-1F4FB3E358CD}">
      <text>
        <r>
          <rPr>
            <sz val="11"/>
            <color theme="1"/>
            <rFont val="Aptos Narrow"/>
            <family val="2"/>
            <scheme val="minor"/>
          </rPr>
          <t>Unknown User:
CONVERSION OF NATURAL GAS APPLIANCE</t>
        </r>
      </text>
    </comment>
    <comment ref="M354" authorId="0" shapeId="0" xr:uid="{AE87B0CC-325F-49A9-95FB-5B08E4C600F4}">
      <text>
        <r>
          <rPr>
            <sz val="11"/>
            <color theme="1"/>
            <rFont val="Aptos Narrow"/>
            <family val="2"/>
            <scheme val="minor"/>
          </rPr>
          <t>Unknown User:
Smartpay receipt of $94.70 is not uploaded by plumber.
Uploaded by Modoras team.</t>
        </r>
      </text>
    </comment>
    <comment ref="G358" authorId="0" shapeId="0" xr:uid="{9203CD23-D591-4037-9D17-298319E664B9}">
      <text>
        <r>
          <rPr>
            <sz val="11"/>
            <color theme="1"/>
            <rFont val="Aptos Narrow"/>
            <family val="2"/>
            <scheme val="minor"/>
          </rPr>
          <t xml:space="preserve">Unknown User:
INSTALLATION OF NEW WASHING MACHINE (CUSTOMER SUPPLied)
</t>
        </r>
      </text>
    </comment>
    <comment ref="G359" authorId="0" shapeId="0" xr:uid="{676C3E1C-0D98-439B-B597-F87B331FB2C3}">
      <text>
        <r>
          <rPr>
            <sz val="11"/>
            <color theme="1"/>
            <rFont val="Aptos Narrow"/>
            <family val="2"/>
            <scheme val="minor"/>
          </rPr>
          <t>Unknown User:
INSTALLATION OF FRIDGE WITHIN 3M OF COLD WATER SUPPLY (CUSTOMER SUPPLIED)</t>
        </r>
      </text>
    </comment>
    <comment ref="G360" authorId="0" shapeId="0" xr:uid="{136FBBE3-D0C9-46E5-9491-B6B5AE2D412F}">
      <text>
        <r>
          <rPr>
            <sz val="11"/>
            <color theme="1"/>
            <rFont val="Aptos Narrow"/>
            <family val="2"/>
            <scheme val="minor"/>
          </rPr>
          <t xml:space="preserve">Unknown User:
SUPPLY &amp; INSTALLATION OF NEW DOWNPIPE AND GUTTER UP TO 1.5M
</t>
        </r>
      </text>
    </comment>
    <comment ref="G361" authorId="0" shapeId="0" xr:uid="{AF21AE15-EEBD-42C7-AB5E-698F9A001A08}">
      <text>
        <r>
          <rPr>
            <sz val="11"/>
            <color theme="1"/>
            <rFont val="Aptos Narrow"/>
            <family val="2"/>
            <scheme val="minor"/>
          </rPr>
          <t xml:space="preserve">Unknown User:
SEARCH &amp; INVESTIGATION OF GAS STORAGE HOT WATER SYSTEM
</t>
        </r>
      </text>
    </comment>
    <comment ref="G362" authorId="0" shapeId="0" xr:uid="{8E89FE75-ECE5-4AF9-B9B2-CF482D11B2F6}">
      <text>
        <r>
          <rPr>
            <sz val="11"/>
            <color theme="1"/>
            <rFont val="Aptos Narrow"/>
            <family val="2"/>
            <scheme val="minor"/>
          </rPr>
          <t>Unknown User:
REPLACEMENT OF SEWER SHAFT</t>
        </r>
      </text>
    </comment>
    <comment ref="G363" authorId="0" shapeId="0" xr:uid="{B418B543-5720-4E96-A094-CE61E50AD805}">
      <text>
        <r>
          <rPr>
            <sz val="11"/>
            <color theme="1"/>
            <rFont val="Aptos Narrow"/>
            <family val="2"/>
            <scheme val="minor"/>
          </rPr>
          <t>Unknown User:
SUPPLY &amp; INSTALLATION OF NEW INSTANTANEOUS GAS HOT WATER SYSTEM (EXTERNAL)
10% Seniors &amp; Pensioners Discount</t>
        </r>
      </text>
    </comment>
    <comment ref="G364" authorId="0" shapeId="0" xr:uid="{307BC607-A9D6-4BE8-A6C6-7B24FBCDAE96}">
      <text>
        <r>
          <rPr>
            <sz val="11"/>
            <color theme="1"/>
            <rFont val="Aptos Narrow"/>
            <family val="2"/>
            <scheme val="minor"/>
          </rPr>
          <t xml:space="preserve">Unknown User:
HIGH POWERED JET BLAST &amp; CCTV DRAIN CAMERA INSPECTION (SEWER SERVICE)
</t>
        </r>
      </text>
    </comment>
    <comment ref="G365" authorId="0" shapeId="0" xr:uid="{CC2BC122-D9A5-46CF-8573-7FE858F061FC}">
      <text>
        <r>
          <rPr>
            <sz val="11"/>
            <color theme="1"/>
            <rFont val="Aptos Narrow"/>
            <family val="2"/>
            <scheme val="minor"/>
          </rPr>
          <t>Unknown User:
WATER SERVICE RECTIFICATION (EXPOSED)
SUPPLY &amp; INSTALLATION OF NEW TWIN UNDER SINK FILTER SYSTEM WITH NEW CHROME TAP</t>
        </r>
      </text>
    </comment>
    <comment ref="G366" authorId="0" shapeId="0" xr:uid="{AAE0FD75-65D5-479E-A2F2-540F8DB27ED7}">
      <text>
        <r>
          <rPr>
            <sz val="11"/>
            <color theme="1"/>
            <rFont val="Aptos Narrow"/>
            <family val="2"/>
            <scheme val="minor"/>
          </rPr>
          <t xml:space="preserve">Unknown User:
SUPPLY &amp; INSTALLATION OF MACERATOR PUMP
</t>
        </r>
      </text>
    </comment>
    <comment ref="E388" authorId="2" shapeId="0" xr:uid="{CB7396FD-BA4B-4BF9-B13B-B49BA9A47E7C}">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E389" authorId="3" shapeId="0" xr:uid="{C0B9FCC1-BD8C-4AE1-892B-97AEEFD02A09}">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G403" authorId="0" shapeId="0" xr:uid="{A3C3C21B-4B40-48CF-BCCA-BB1435FFD2CC}">
      <text>
        <r>
          <rPr>
            <sz val="11"/>
            <color theme="1"/>
            <rFont val="Aptos Narrow"/>
            <family val="2"/>
            <scheme val="minor"/>
          </rPr>
          <t xml:space="preserve">Unknown User:
SUPPLY &amp; INSTALLATION OF NEW LINK SUITE
10% Seniors &amp; Pensioners Discount
$65 First Service Discount </t>
        </r>
      </text>
    </comment>
    <comment ref="S403" authorId="0" shapeId="0" xr:uid="{B043DF99-8554-4018-BD8B-FC19688DF9D9}">
      <text>
        <r>
          <rPr>
            <sz val="11"/>
            <color theme="1"/>
            <rFont val="Aptos Narrow"/>
            <family val="2"/>
            <scheme val="minor"/>
          </rPr>
          <t>Unknown User:
Signed invoice not emailed</t>
        </r>
      </text>
    </comment>
    <comment ref="G404" authorId="0" shapeId="0" xr:uid="{94CA5490-3924-42CB-BAE7-E1382A9DBF29}">
      <text>
        <r>
          <rPr>
            <sz val="11"/>
            <color theme="1"/>
            <rFont val="Aptos Narrow"/>
            <family val="2"/>
            <scheme val="minor"/>
          </rPr>
          <t xml:space="preserve">Unknown User:
RESEAL OF SHOWER
SENIORS DISCOUNT
CREDIT OF FLOOD , DYE , PRESSURE TEST </t>
        </r>
      </text>
    </comment>
    <comment ref="K404" authorId="0" shapeId="0" xr:uid="{6682AA75-BA77-4D2E-8A34-E2950CFDDA68}">
      <text>
        <r>
          <rPr>
            <sz val="11"/>
            <color theme="1"/>
            <rFont val="Aptos Narrow"/>
            <family val="2"/>
            <scheme val="minor"/>
          </rPr>
          <t>Unknown User:
Previous job images considered</t>
        </r>
      </text>
    </comment>
    <comment ref="M404" authorId="0" shapeId="0" xr:uid="{C81BC817-80A6-42FF-8026-D921F77B4C34}">
      <text>
        <r>
          <rPr>
            <sz val="11"/>
            <color theme="1"/>
            <rFont val="Aptos Narrow"/>
            <family val="2"/>
            <scheme val="minor"/>
          </rPr>
          <t>Unknown User:
Smartpay receipt of $140 not uploaded by plumber.
Uploaded by Modoras team</t>
        </r>
      </text>
    </comment>
    <comment ref="V404" authorId="0" shapeId="0" xr:uid="{1594F1A8-152E-4AF5-8D84-815EBD6C07E4}">
      <text>
        <r>
          <rPr>
            <sz val="11"/>
            <color theme="1"/>
            <rFont val="Aptos Narrow"/>
            <family val="2"/>
            <scheme val="minor"/>
          </rPr>
          <t>Unknown User:
Smartpay receipt of $1921.10 is split as $1387.10 for initial job #74574 &amp; as $534 for upsell Job #74589</t>
        </r>
      </text>
    </comment>
    <comment ref="G409" authorId="0" shapeId="0" xr:uid="{22429FA2-1EDA-4959-A5D9-FF31E4940A87}">
      <text>
        <r>
          <rPr>
            <sz val="11"/>
            <color theme="1"/>
            <rFont val="Aptos Narrow"/>
            <family val="2"/>
            <scheme val="minor"/>
          </rPr>
          <t>Unknown User:
CONVERSION OF NATURAL GAS APPLIANCE</t>
        </r>
      </text>
    </comment>
    <comment ref="M409" authorId="0" shapeId="0" xr:uid="{11C8D0B3-462F-4302-8722-60B24AA45BA4}">
      <text>
        <r>
          <rPr>
            <sz val="11"/>
            <color theme="1"/>
            <rFont val="Aptos Narrow"/>
            <family val="2"/>
            <scheme val="minor"/>
          </rPr>
          <t>Unknown User:
Smartpay receipt of $94.70 is not uploaded by plumber.
Uploaded by Modoras team.</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G34" authorId="0" shapeId="0" xr:uid="{505204C3-D4E0-473B-A45C-3CDEDFEBA68E}">
      <text>
        <r>
          <rPr>
            <sz val="11"/>
            <color theme="1"/>
            <rFont val="Aptos Narrow"/>
            <family val="2"/>
            <scheme val="minor"/>
          </rPr>
          <t>Unknown User:
SEARCH &amp; INVESTIGATION (MINOR) - POTENTIAL WATER LEAK FROM UNKOWN LOCATION
Set up safe worked area
Isolate main water supply to property
Gain access to cold water supply
Gain access to hot water supply
Set up specialist pressure testing equipment
Conduct pressure test on cold water service
Conduct pressure test on hot water service
Conduct search &amp; investigation on property in attempt to locate leak
Cut &amp; removal of gyprock – If required
Provide additional quote for rectification work
Removal of any trade waste
Please note, if unable to find leak additional cost will apply for a specialist leak detection.
PLEASE NOTE IF FURTHER WORK REQUIRED OTHER THAN QUOTED WORK FURTHER COST WILL APPLY.</t>
        </r>
      </text>
    </comment>
    <comment ref="G72" authorId="0" shapeId="0" xr:uid="{C2977836-0725-43AC-8322-6F608E16C8E7}">
      <text>
        <r>
          <rPr>
            <sz val="11"/>
            <color theme="1"/>
            <rFont val="Aptos Narrow"/>
            <family val="2"/>
            <scheme val="minor"/>
          </rPr>
          <t>Unknown User:
SUPPLY &amp; INSTALLATION OF GAS STORAGE HOT WATER SYSTEM (EXTERNAL)</t>
        </r>
      </text>
    </comment>
    <comment ref="U72" authorId="0" shapeId="0" xr:uid="{7B0B24BF-CC55-49F2-9D3D-364F1870AEB7}">
      <text>
        <r>
          <rPr>
            <sz val="11"/>
            <color theme="1"/>
            <rFont val="Aptos Narrow"/>
            <family val="2"/>
            <scheme val="minor"/>
          </rPr>
          <t>Unknown User:
21/7-As per Alex's note "Pilot light relight
Told customer if it goes out again that means some of her internal components are faulty. Quoted a new hws for 5814 + gst. She said she doesn't want to go ahead today she'll wait until it goes out again. And to give us a call for a hws swap."</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tc={6CE52523-104B-475F-880E-7366BA5C9CF5}</author>
    <author>Guest User</author>
    <author>tc={D1145516-7717-4658-B5FC-46F230C7EE22}</author>
    <author>tc={EE29717A-D797-4C11-AEF5-C1B72B4EB066}</author>
    <author>tc={A83FC59B-B569-45AD-A5A6-03858ED53777}</author>
    <author>tc={AF17EE2D-B162-41AC-9EBE-BA4391A5EF69}</author>
    <author>tc={1CA3693F-220B-4263-B19D-3E98E7617EAD}</author>
    <author>tc={FA7CA6DC-7BDC-4CE1-828D-0878C9A0801F}</author>
    <author>tc={30F743E6-61BC-4B7A-879E-FC2BE6A4D6C3}</author>
    <author>tc={B03A5533-26DD-4589-815E-EDE071E22AC6}</author>
    <author>tc={DDA9E68E-C81F-43D1-BB22-00E133CFB6A3}</author>
    <author>tc={F713A2B0-1EC4-433A-B615-35D0B67EB6E8}</author>
    <author>tc={6CA14D57-48D3-4061-878D-8E7DEAF11C58}</author>
    <author>tc={CC9AAD3B-AC37-4A50-9CF1-0EB7273F3965}</author>
    <author>tc={B420EA88-3459-4F24-92C6-54553D47B3C5}</author>
    <author>tc={1ECDAC09-3725-4405-A1F6-B8929C640B35}</author>
    <author>tc={EE6BC42F-95E7-4B53-8783-060341CF3B12}</author>
    <author>tc={9F5CB259-700E-4262-A751-DC5B2017FBDC}</author>
    <author>tc={DE8627A2-D90E-4D15-A5C7-BF521344CD1B}</author>
    <author>tc={AAD642A7-AED7-4E4B-B4BB-77BA86862F81}</author>
    <author>tc={2E7B4210-D41D-4603-96EF-CF957A444143}</author>
    <author>tc={D2E2D43F-255B-4C85-965B-D2328FC1E3D9}</author>
    <author>tc={CDC1AC9D-CBB9-475A-87EF-E96BE4CBA674}</author>
    <author>tc={EFB9F918-3807-4230-8A5F-37B0BEEAE0A3}</author>
    <author>tc={59B4FFDE-7CF0-4248-9FDD-9FC1B174C12A}</author>
    <author>tc={1E81405B-C0E7-4538-8997-CC602067969E}</author>
    <author>tc={44830C20-96EC-4408-8584-8B969A22074B}</author>
    <author>tc={29DE13FA-07D4-4E50-9CBB-B97C20ACE184}</author>
    <author>tc={13F416E9-CF78-4AD9-9378-F238504AE9CC}</author>
    <author>tc={5F872D48-42BA-4E4D-A551-080FF1F210B2}</author>
    <author>tc={5112B27A-EF56-415E-831C-C46847AC2D56}</author>
    <author>tc={71C05909-E8BA-4CFE-92AB-C64EAEE775F1}</author>
    <author>tc={DAC56DA4-BB49-4C1A-B9C7-560E7F4C4A61}</author>
    <author>tc={CC79C42D-BC23-4587-A77C-8A30B45E3B8D}</author>
    <author>tc={9B06CA1C-2928-43AE-9EFE-42A928CB71DE}</author>
    <author>tc={C925109F-D83B-43C1-873B-BF92AED01DD0}</author>
    <author>tc={4F0686DC-BB15-4139-9134-68C7F3841FF0}</author>
    <author>tc={B5DC0B3C-98ED-4942-AC2B-A4C5CF9C52C5}</author>
    <author>tc={FDD1EBC7-033E-47FC-9058-A3AFBC807AF1}</author>
    <author>tc={3A8D7475-95C8-4555-982A-DD25934E72BB}</author>
    <author>tc={0ABAFDB7-FDA5-430E-A53A-F52B587BA117}</author>
    <author>tc={0658689D-4FD0-46AE-96A8-5E9C076E711C}</author>
    <author>tc={32E740C6-166F-4574-8241-5EF1A232BEA3}</author>
    <author>tc={5B1113A8-D43C-420F-A46C-7D59D169B36C}</author>
    <author>tc={3898789A-B8B1-4C3F-BAC8-DD95CFCDA0CC}</author>
    <author>tc={C68CF26A-F50C-4429-A796-6E487D9D9CA9}</author>
    <author>tc={A4F63830-E618-4DA6-AE22-75C5FE03B983}</author>
    <author>tc={C5704E10-AAD2-46B7-B66E-875265D24665}</author>
    <author>tc={212B5630-4D7C-4589-8765-5DADE65D0ABF}</author>
    <author>tc={839CC970-3B00-4E38-AEC1-F039968F76A9}</author>
    <author>tc={9D8E0D9D-2381-43CC-995A-9FB1EEFB1E3E}</author>
    <author>tc={E313B96B-607C-4065-BBFC-B79882F5A8A1}</author>
    <author>tc={C028B6AC-9979-4206-BCFA-B03BB8A008E1}</author>
    <author>tc={2A6C4487-C694-402B-8CAF-579432A9ACE5}</author>
    <author>tc={49410BD3-B6FF-4376-8356-85DD341B727E}</author>
    <author>tc={5C438A5F-E20A-4DA7-91E2-DCADC5569439}</author>
    <author>tc={10915EE4-5D17-4BED-9BBA-D4D35A03C036}</author>
    <author>tc={515570DE-1F13-44AE-966D-0DD7123D2C9A}</author>
    <author>tc={576B047A-AF7E-411B-9831-4322B7434A17}</author>
  </authors>
  <commentList>
    <comment ref="E18" authorId="0" shapeId="0" xr:uid="{6CE52523-104B-475F-880E-7366BA5C9CF5}">
      <text>
        <t>[Threaded comment]
Your version of Excel allows you to read this threaded comment; however, any edits to it will get removed if the file is opened in a newer version of Excel. Learn more: https://go.microsoft.com/fwlink/?linkid=870924
Comment:
    Stock</t>
      </text>
    </comment>
    <comment ref="G29" authorId="1" shapeId="0" xr:uid="{95FAD3B9-C825-4F10-99B0-DB7C11191E04}">
      <text>
        <r>
          <rPr>
            <sz val="11"/>
            <color theme="1"/>
            <rFont val="Aptos Narrow"/>
            <family val="2"/>
            <scheme val="minor"/>
          </rPr>
          <t>Unknown User:
SUPPLY AND INSTALL NEW SEWER CONNECTION IN WALL (UPSTAIRS BATHROOM)
Mark out wall to be cut 
Diamond grind tile wall 
Jackhammer and remove tile wall 
Gain access to existing sewer service 
Cut and removal of existing sewer service 
Clean &amp; prepare worked area
Supply and install new service adapters 
Supply and install new in wall sewer service to existing toilet 
Supply and install new DWV fitting 
Supply and install new pan connector 
Seal penetrations
Reinstate existing toilet pan
Reinstate existing toilet cistern
Supply &amp; install new cold-water stainless-steel flexi hose
Connect new cold-water stainless-steel flexi hose to existing cistern Seal &amp; secure toilet suite pan to floor
Reinstate water supply to property
Test &amp; commission installation
Removal of trade waste
PLEASE NOTE IF FURTHER WORK REQUIRED OUTSIDE OF QUOTED WORKS ADDITIONAL COSTS WILL APPLY</t>
        </r>
      </text>
    </comment>
    <comment ref="V29" authorId="1" shapeId="0" xr:uid="{177AFBCE-2D00-47EC-B5EE-6DED172C622D}">
      <text>
        <r>
          <rPr>
            <sz val="11"/>
            <color theme="1"/>
            <rFont val="Aptos Narrow"/>
            <family val="2"/>
            <scheme val="minor"/>
          </rPr>
          <t>Unknown User:
02/07 $4912 EFT Received
03/07 $2382.88 EFT received
EFT of $4912 is split as $4066.38 for original job (Shaun) and as $845.62 for upsell job (Rhys C)</t>
        </r>
      </text>
    </comment>
    <comment ref="G62" authorId="1" shapeId="0" xr:uid="{34019471-DACC-409B-ACAE-53BE53CA4816}">
      <text>
        <r>
          <rPr>
            <sz val="11"/>
            <color theme="1"/>
            <rFont val="Aptos Narrow"/>
            <family val="2"/>
            <scheme val="minor"/>
          </rPr>
          <t>Unknown User:
HIGH POWERED JET BLAST &amp; CCTV DRAIN CAMERA INSPECTION (SEWER SERVICE)</t>
        </r>
      </text>
    </comment>
    <comment ref="P62" authorId="1" shapeId="0" xr:uid="{2D1C4D43-8D5F-47F7-BD4B-F717084C7B3B}">
      <text>
        <r>
          <rPr>
            <sz val="11"/>
            <color theme="1"/>
            <rFont val="Aptos Narrow"/>
            <family val="2"/>
            <scheme val="minor"/>
          </rPr>
          <t>Unknown User:
Quote not emailed</t>
        </r>
      </text>
    </comment>
    <comment ref="G63" authorId="1" shapeId="0" xr:uid="{ADDED81A-105A-4376-A517-F27DE91985E4}">
      <text>
        <r>
          <rPr>
            <sz val="11"/>
            <color theme="1"/>
            <rFont val="Aptos Narrow"/>
            <family val="2"/>
            <scheme val="minor"/>
          </rPr>
          <t>Unknown User:
COMPLETE SERVICE OF TAP TOP ASSEMBLY</t>
        </r>
      </text>
    </comment>
    <comment ref="P63" authorId="1" shapeId="0" xr:uid="{DE936040-FBD6-4038-A9B0-9642CD55D7AA}">
      <text>
        <r>
          <rPr>
            <sz val="11"/>
            <color theme="1"/>
            <rFont val="Aptos Narrow"/>
            <family val="2"/>
            <scheme val="minor"/>
          </rPr>
          <t>Unknown User:
Quote not emailed</t>
        </r>
      </text>
    </comment>
    <comment ref="Q63" authorId="1" shapeId="0" xr:uid="{EF17FD69-7BFB-4FDA-BBA8-4B994646162B}">
      <text>
        <r>
          <rPr>
            <sz val="11"/>
            <color theme="1"/>
            <rFont val="Aptos Narrow"/>
            <family val="2"/>
            <scheme val="minor"/>
          </rPr>
          <t>Unknown User:
Progress invoice not raised</t>
        </r>
      </text>
    </comment>
    <comment ref="G64" authorId="1" shapeId="0" xr:uid="{15E40A7B-1E53-46DE-8441-1F3B97490F78}">
      <text>
        <r>
          <rPr>
            <sz val="11"/>
            <color theme="1"/>
            <rFont val="Aptos Narrow"/>
            <family val="2"/>
            <scheme val="minor"/>
          </rPr>
          <t>Unknown User:
HIGH POWERED SUCTION PUMP
Non-refundable call out fee</t>
        </r>
      </text>
    </comment>
    <comment ref="P64" authorId="1" shapeId="0" xr:uid="{3BCC1D26-F2A0-4F19-8D27-7E7B160F2F88}">
      <text>
        <r>
          <rPr>
            <sz val="11"/>
            <color theme="1"/>
            <rFont val="Aptos Narrow"/>
            <family val="2"/>
            <scheme val="minor"/>
          </rPr>
          <t>Unknown User:
Quote not emailed</t>
        </r>
      </text>
    </comment>
    <comment ref="U64" authorId="1" shapeId="0" xr:uid="{93B7DF17-EF92-4EB8-926E-5F5824ABCD9C}">
      <text>
        <r>
          <rPr>
            <sz val="11"/>
            <color theme="1"/>
            <rFont val="Aptos Narrow"/>
            <family val="2"/>
            <scheme val="minor"/>
          </rPr>
          <t>Unknown User:
31/7-As per Oscar's note "sue emailed with some complaints - i spoke to rhys to see what went down on site with the job - i have emailed her asking when i can call her to discuss"
"spoke with sue over the phone and discussed her concerns - she wants $330 - got called into surgery/a meeting so will call me back tomorrow "</t>
        </r>
      </text>
    </comment>
    <comment ref="G65" authorId="1" shapeId="0" xr:uid="{A9F80AE1-4FA4-4D2B-BC4B-D233BDB00D98}">
      <text>
        <r>
          <rPr>
            <sz val="11"/>
            <color theme="1"/>
            <rFont val="Aptos Narrow"/>
            <family val="2"/>
            <scheme val="minor"/>
          </rPr>
          <t>Unknown User:
SEARCH AND INVESTIGATION OF GAS INSTANTANEOUS HOT WATER SYSTEM</t>
        </r>
      </text>
    </comment>
    <comment ref="P65" authorId="1" shapeId="0" xr:uid="{FEA782F1-356F-41AF-86C5-2B44D799AD21}">
      <text>
        <r>
          <rPr>
            <sz val="11"/>
            <color theme="1"/>
            <rFont val="Aptos Narrow"/>
            <family val="2"/>
            <scheme val="minor"/>
          </rPr>
          <t>Unknown User:
Quote not emailed</t>
        </r>
      </text>
    </comment>
    <comment ref="G66" authorId="1" shapeId="0" xr:uid="{0F518CAF-A828-4E4D-9E67-955A981D5EAA}">
      <text>
        <r>
          <rPr>
            <sz val="11"/>
            <color theme="1"/>
            <rFont val="Aptos Narrow"/>
            <family val="2"/>
            <scheme val="minor"/>
          </rPr>
          <t>Unknown User:
SUPPLY AND INSTALL FAN ON WOOD FIRE HEATER
10% Seniors &amp; Pensioners Discount</t>
        </r>
      </text>
    </comment>
    <comment ref="P66" authorId="1" shapeId="0" xr:uid="{96CD0D5F-C7F9-40F2-8898-CA3C8AE0CD83}">
      <text>
        <r>
          <rPr>
            <sz val="11"/>
            <color theme="1"/>
            <rFont val="Aptos Narrow"/>
            <family val="2"/>
            <scheme val="minor"/>
          </rPr>
          <t>Unknown User:
Quote not emailed</t>
        </r>
      </text>
    </comment>
    <comment ref="Q66" authorId="1" shapeId="0" xr:uid="{D8EAB3E9-DD21-4E4A-BAC0-0DB50B10F273}">
      <text>
        <r>
          <rPr>
            <sz val="11"/>
            <color theme="1"/>
            <rFont val="Aptos Narrow"/>
            <family val="2"/>
            <scheme val="minor"/>
          </rPr>
          <t>Unknown User:
Final invoice not raised.Cash receipt of $2560 not updated in invoice.</t>
        </r>
      </text>
    </comment>
    <comment ref="W66" authorId="1" shapeId="0" xr:uid="{A843835F-7644-4FDC-8043-FE09F071EB88}">
      <text>
        <r>
          <rPr>
            <sz val="11"/>
            <color theme="1"/>
            <rFont val="Aptos Narrow"/>
            <family val="2"/>
            <scheme val="minor"/>
          </rPr>
          <t>Unknown User:
Cash denomination
$100*25=$2500
$50*1=$50
$10*1=$10
Total cash=$2560
Cash pics not uploaded for $300</t>
        </r>
      </text>
    </comment>
    <comment ref="G67" authorId="1" shapeId="0" xr:uid="{E83875B9-C4C5-4785-927A-D7E83BDE4BC2}">
      <text>
        <r>
          <rPr>
            <sz val="11"/>
            <color theme="1"/>
            <rFont val="Aptos Narrow"/>
            <family val="2"/>
            <scheme val="minor"/>
          </rPr>
          <t>Unknown User:
WATER SERVICE RECTIFICATION (IN WALL)</t>
        </r>
      </text>
    </comment>
    <comment ref="G68" authorId="1" shapeId="0" xr:uid="{E1BE07DC-FB5F-4D99-AE1D-E84516C6DA68}">
      <text>
        <r>
          <rPr>
            <sz val="11"/>
            <color theme="1"/>
            <rFont val="Aptos Narrow"/>
            <family val="2"/>
            <scheme val="minor"/>
          </rPr>
          <t>Unknown User:
SUPPLY &amp; INSTALLATION OF NEW SINGLE ELEMENT HOT WATER UNIT – EXTERNAL</t>
        </r>
      </text>
    </comment>
    <comment ref="W68" authorId="1" shapeId="0" xr:uid="{FB7707BE-CA09-4EC1-94BB-5E4D17737C82}">
      <text>
        <r>
          <rPr>
            <sz val="11"/>
            <color theme="1"/>
            <rFont val="Aptos Narrow"/>
            <family val="2"/>
            <scheme val="minor"/>
          </rPr>
          <t>Unknown User:
Cash denomination
$100*1=$100
$50*14=$700
Total cash=$800</t>
        </r>
      </text>
    </comment>
    <comment ref="G69" authorId="1" shapeId="0" xr:uid="{171AAB1D-FEC4-45C1-AEE6-EB3AAD407FA9}">
      <text>
        <r>
          <rPr>
            <sz val="11"/>
            <color theme="1"/>
            <rFont val="Aptos Narrow"/>
            <family val="2"/>
            <scheme val="minor"/>
          </rPr>
          <t>Unknown User:
MIXER TAP - GOOSE NECK</t>
        </r>
      </text>
    </comment>
    <comment ref="G74" authorId="1" shapeId="0" xr:uid="{DC5B3D9B-4CD1-484C-9CC3-B50F2642AE6F}">
      <text>
        <r>
          <rPr>
            <sz val="11"/>
            <color theme="1"/>
            <rFont val="Aptos Narrow"/>
            <family val="2"/>
            <scheme val="minor"/>
          </rPr>
          <t>Unknown User:
WATER SERVICE RECTIFICATION (EXPOSED)</t>
        </r>
      </text>
    </comment>
    <comment ref="G75" authorId="1" shapeId="0" xr:uid="{4942848E-81D9-44D6-9714-38085FC349B0}">
      <text>
        <r>
          <rPr>
            <sz val="11"/>
            <color theme="1"/>
            <rFont val="Aptos Narrow"/>
            <family val="2"/>
            <scheme val="minor"/>
          </rPr>
          <t>Unknown User:
SUPPLY AND INSTALLATION OF PRESSURE REGULATING DEVICE FITTED TO 15MM STRAIGHT PIPEWORK
$65 First Service Discount
10% Seniors &amp; Pensioners Discount
REPLACEMENT OF PAIR EMERGENCY STOP VALVES</t>
        </r>
      </text>
    </comment>
    <comment ref="P75" authorId="1" shapeId="0" xr:uid="{F955806C-0571-454E-89E8-D6DB69B4BB0D}">
      <text>
        <r>
          <rPr>
            <sz val="11"/>
            <color theme="1"/>
            <rFont val="Aptos Narrow"/>
            <family val="2"/>
            <scheme val="minor"/>
          </rPr>
          <t>Unknown User:
Quote not emailed</t>
        </r>
      </text>
    </comment>
    <comment ref="Q75" authorId="1" shapeId="0" xr:uid="{4AE99D61-DA51-49CB-95A4-EF5250DBDF54}">
      <text>
        <r>
          <rPr>
            <sz val="11"/>
            <color theme="1"/>
            <rFont val="Aptos Narrow"/>
            <family val="2"/>
            <scheme val="minor"/>
          </rPr>
          <t>Unknown User:
Final invoice combined &amp; raised for 2 estimates</t>
        </r>
      </text>
    </comment>
    <comment ref="S75" authorId="1" shapeId="0" xr:uid="{57AC7779-8CD3-4385-A940-101891DF50D0}">
      <text>
        <r>
          <rPr>
            <sz val="11"/>
            <color theme="1"/>
            <rFont val="Aptos Narrow"/>
            <family val="2"/>
            <scheme val="minor"/>
          </rPr>
          <t>Unknown User:
Final invoice not emailed</t>
        </r>
      </text>
    </comment>
    <comment ref="V75" authorId="1" shapeId="0" xr:uid="{5B16206F-42EB-4141-9F2B-C53A8A7EACA5}">
      <text>
        <r>
          <rPr>
            <sz val="11"/>
            <color theme="1"/>
            <rFont val="Aptos Narrow"/>
            <family val="2"/>
            <scheme val="minor"/>
          </rPr>
          <t>Unknown User:
$3905.88 split as $2647.19 for Job #71892/86393906 &amp; as $1268.19 for upsell job #71892/86394528</t>
        </r>
      </text>
    </comment>
    <comment ref="G79" authorId="1" shapeId="0" xr:uid="{08197A79-9FDF-4155-B6EC-0A4364F0FA03}">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L79" authorId="1" shapeId="0" xr:uid="{DD4F3F37-AF10-44B3-83A6-CF3683B316C2}">
      <text>
        <r>
          <rPr>
            <sz val="11"/>
            <color theme="1"/>
            <rFont val="Aptos Narrow"/>
            <family val="2"/>
            <scheme val="minor"/>
          </rPr>
          <t>Unknown User:
Temp check pending</t>
        </r>
      </text>
    </comment>
    <comment ref="P79" authorId="1" shapeId="0" xr:uid="{DAACC3E8-28CE-45D7-9FC3-FFCA7A678D21}">
      <text>
        <r>
          <rPr>
            <sz val="11"/>
            <color theme="1"/>
            <rFont val="Aptos Narrow"/>
            <family val="2"/>
            <scheme val="minor"/>
          </rPr>
          <t>Unknown User:
Quote not emailed</t>
        </r>
      </text>
    </comment>
    <comment ref="Q79" authorId="1" shapeId="0" xr:uid="{20E02C46-47A7-427E-AFFB-0E70BDC39F30}">
      <text>
        <r>
          <rPr>
            <sz val="11"/>
            <color theme="1"/>
            <rFont val="Aptos Narrow"/>
            <family val="2"/>
            <scheme val="minor"/>
          </rPr>
          <t>Unknown User:
Progress payment of $341.75 not updated in invoice (Signed but amount not recorded).</t>
        </r>
      </text>
    </comment>
    <comment ref="G83" authorId="1" shapeId="0" xr:uid="{D9D467D5-B5E5-4785-A3A6-9B1F59011AB8}">
      <text>
        <r>
          <rPr>
            <sz val="11"/>
            <color theme="1"/>
            <rFont val="Aptos Narrow"/>
            <family val="2"/>
            <scheme val="minor"/>
          </rPr>
          <t>Unknown User:
STORM WATER RECTIFICATION UP TO 30M
Obtain Service Location Diagram
Obtain Dial Before Dig
Obtain Storm Water Diagram – If Available
Set Up Safe Work Area
Set Up Builders Plastic
Set Up Barricades for Safety
Dig &amp; Excavate Ground Area Up to 30M
Expose Existing Section of Storm Water Service Up to 30M
Locate stormwater entering barrel drain
Expose Existing Storm Water Junctions 
Cut &amp; Remove Existing Section of Storm Water Service Up to 30M
Cut &amp; Remove Existing Storm Water Junctions 
Gain Access to Storm Water Service
Set Up High-Powered Jet Blaster
Set Up High-Powered Mini Reel
Set Up High-Powered Turbines
Re-Jetblast Storm Water Service
Re-Camera and Investigate Further
Supply &amp; Install New Section of Storm Water Service Up to 30M
Supply &amp; Install New Storm Water Junctions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Upsize existing 50mm down pipe to 90mm down pipe
Install new 90mm pop and down pipe to back of house
Connect new stormwater to existing down pipes on shed
Backfill Excavated Area
Test &amp; Commission Installation
Remove Trade Waste
Restore Work Area (Excludes Returfing)
PLEASE NOTE IF FURTHER WORK REQUIRED OTHER THEN QUOTED WORK FURTHER COST WILL APPLY</t>
        </r>
      </text>
    </comment>
    <comment ref="P83" authorId="1" shapeId="0" xr:uid="{91A9996E-2A64-4D0D-83E3-3DB4A4DDB041}">
      <text>
        <r>
          <rPr>
            <sz val="11"/>
            <color theme="1"/>
            <rFont val="Aptos Narrow"/>
            <family val="2"/>
            <scheme val="minor"/>
          </rPr>
          <t>Unknown User:
Quote not emailed</t>
        </r>
      </text>
    </comment>
    <comment ref="U83" authorId="1" shapeId="0" xr:uid="{644EC99F-AB18-4C98-AADD-07BD8A135D98}">
      <text>
        <r>
          <rPr>
            <sz val="11"/>
            <color theme="1"/>
            <rFont val="Aptos Narrow"/>
            <family val="2"/>
            <scheme val="minor"/>
          </rPr>
          <t>Unknown User:
31/7-As per Joshua's note "Callback from Prue and Mr Stone,
Complained about
-price of the job, wanted itemised invoice. they were under the assumption that this was a given.
-items on invoice not completed (not specified, said they could talk to Daniel or let me know).
-Humm misunderstanding, they dont trust HUMM even though they've used it in the past. I explained the general process and that we take a 10% deposit and put the customer on a plan for the rest. They werent happy with this, i did say 10% more would be required to clear the balance as limit is $25k.
-multiple trading names, explained this is for marketing purposes and we were in a transitional period.
Asked for them to suggest a resolution as they said they'd "take this further". Invited them to come back to me at any time."</t>
        </r>
      </text>
    </comment>
    <comment ref="G84" authorId="1" shapeId="0" xr:uid="{A523A19C-AE99-489C-9178-F44FFBA42EC2}">
      <text>
        <r>
          <rPr>
            <sz val="11"/>
            <color theme="1"/>
            <rFont val="Aptos Narrow"/>
            <family val="2"/>
            <scheme val="minor"/>
          </rPr>
          <t>Unknown User:
INSTALLATION OF SPACE HEATER [SAME LOCATION] (CUSTOMER SUPPLIED)
10% Seniors &amp; Pensioners Discount</t>
        </r>
      </text>
    </comment>
    <comment ref="M84" authorId="1" shapeId="0" xr:uid="{DA7E5DFE-D10C-46CE-B1E0-EE058573BF1C}">
      <text>
        <r>
          <rPr>
            <sz val="11"/>
            <color theme="1"/>
            <rFont val="Aptos Narrow"/>
            <family val="2"/>
            <scheme val="minor"/>
          </rPr>
          <t>Unknown User:
Cash pic not uploaded</t>
        </r>
      </text>
    </comment>
    <comment ref="P84" authorId="1" shapeId="0" xr:uid="{C2C2AD31-FC33-46BB-B607-D167B2467B17}">
      <text>
        <r>
          <rPr>
            <sz val="11"/>
            <color theme="1"/>
            <rFont val="Aptos Narrow"/>
            <family val="2"/>
            <scheme val="minor"/>
          </rPr>
          <t>Unknown User:
Quote not emailed</t>
        </r>
      </text>
    </comment>
    <comment ref="W84" authorId="1" shapeId="0" xr:uid="{D50E7E04-C5F5-4558-8A59-ED99F0C92C50}">
      <text>
        <r>
          <rPr>
            <sz val="11"/>
            <color theme="1"/>
            <rFont val="Aptos Narrow"/>
            <family val="2"/>
            <scheme val="minor"/>
          </rPr>
          <t>Unknown User:
Cash pic not uploaded</t>
        </r>
      </text>
    </comment>
    <comment ref="G89" authorId="1" shapeId="0" xr:uid="{26AEA53E-2C1A-4533-97D3-0F4BDF5EA3F6}">
      <text>
        <r>
          <rPr>
            <sz val="11"/>
            <color theme="1"/>
            <rFont val="Aptos Narrow"/>
            <family val="2"/>
            <scheme val="minor"/>
          </rPr>
          <t>Unknown User:
HIGH POWERED JET BLAST &amp; CCTV DRAIN CAMERA INSPECTION (STORM WATER SERVICE)
Set up high powered Jet blaster
Set up High powered mini-Reel
Set up high powered Turbines
Set up specialist CCTV Camera
Set up Specialist locator
Gain access to storm water service
First attempt to clear blocked storm water service using high powered Jet blaster
Attempt to clear &amp; flush out storm water service using high powered Jet Blaster
Conduct specialist CCTV drain camera to inspect storm water service
Use of CCTV camera on storm water service to identify potential faults &amp; cause of blockage
If faults found use off specialist locator to pinpoint exact location of fault
PLEASE NOTE IF BLOCKAGE DOES NOT CLEAR FURTHER COST WILL APPLY. THIS IS A FIRST ATTEMPT.
10% Seniors &amp; Pensioners Discount</t>
        </r>
      </text>
    </comment>
    <comment ref="G90" authorId="1" shapeId="0" xr:uid="{FC3C730D-58A7-4ECD-A6BB-0F400F400F48}">
      <text>
        <r>
          <rPr>
            <sz val="11"/>
            <color theme="1"/>
            <rFont val="Aptos Narrow"/>
            <family val="2"/>
            <scheme val="minor"/>
          </rPr>
          <t>Unknown User:
SUPPLY &amp; INSTALLATION OF NEW LINK SUITE
Isolate main water supply to property
Disconnect cold water supply to existing toilet cistern
Removal of existing cold-water supply to toilet cistern
Disconnect &amp; removal of existing emergency isolation valve
Disconnect &amp; removal of existing toilet cistern
Disconnect &amp; removal of existing toilet seat
Disconnect &amp; removal of existing toilet pan
Disconnect &amp; removal of existing toilet pan collar
Disconnect &amp; removal of existing bedding / sealant
Clean &amp; prepare worked area
Supply &amp; install new toilet pan collar
Supply &amp; install new toilet pan
Supply &amp; install new toilet cistern
Supply &amp; install new toilet seat
Secure new toilet seat to new toilet pan
Supply &amp; install new cold-water stainless-steel flexi hose
Connect new cold-water stainless-steel flexi hose to new toilet cistern
Seal &amp; secure new toilet suite pan to floor
Reinstate water supply to property
Test &amp; commission installation
Removal of trade waste
PLEASE NOTE IF FURTHER WORK REQUIRED OUTSIDE OF QUOTED WORKS ADDITIONAL COSTS WILL APPLY</t>
        </r>
      </text>
    </comment>
    <comment ref="G91" authorId="1" shapeId="0" xr:uid="{D9503CAA-B1E8-4566-BDA0-52C1C285914C}">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G92" authorId="1" shapeId="0" xr:uid="{0052E5FA-32E4-406C-A30E-71730912094B}">
      <text>
        <r>
          <rPr>
            <sz val="11"/>
            <color theme="1"/>
            <rFont val="Aptos Narrow"/>
            <family val="2"/>
            <scheme val="minor"/>
          </rPr>
          <t xml:space="preserve">Unknown User:
REPLACEMENT OF SOLAR FROST VALVE
</t>
        </r>
      </text>
    </comment>
    <comment ref="G93" authorId="1" shapeId="0" xr:uid="{A9A6F95F-43D4-4533-B401-D8B18886F889}">
      <text>
        <r>
          <rPr>
            <sz val="11"/>
            <color theme="1"/>
            <rFont val="Aptos Narrow"/>
            <family val="2"/>
            <scheme val="minor"/>
          </rPr>
          <t>Unknown User:
WATER SERVICE RECTIFACTION</t>
        </r>
      </text>
    </comment>
    <comment ref="G94" authorId="1" shapeId="0" xr:uid="{0A4D20CA-1F66-42A3-ADC8-2BAACB964304}">
      <text>
        <r>
          <rPr>
            <sz val="11"/>
            <color theme="1"/>
            <rFont val="Aptos Narrow"/>
            <family val="2"/>
            <scheme val="minor"/>
          </rPr>
          <t>Unknown User:
SEWER SPOT DIG UP TO 1.5M - IN GROUND</t>
        </r>
      </text>
    </comment>
    <comment ref="G95" authorId="1" shapeId="0" xr:uid="{EC8E4922-DF8C-45FC-A24D-16017781AB8B}">
      <text>
        <r>
          <rPr>
            <sz val="11"/>
            <color theme="1"/>
            <rFont val="Aptos Narrow"/>
            <family val="2"/>
            <scheme val="minor"/>
          </rPr>
          <t>Unknown User:
SUPPLY &amp; INSTALLATION OF GAS STORAGE HOT WATER SYSTEM (EXTERNAL)</t>
        </r>
      </text>
    </comment>
    <comment ref="G96" authorId="1" shapeId="0" xr:uid="{0FD7CE5F-2357-4839-8E58-50A27A8027F8}">
      <text>
        <r>
          <rPr>
            <sz val="11"/>
            <color theme="1"/>
            <rFont val="Aptos Narrow"/>
            <family val="2"/>
            <scheme val="minor"/>
          </rPr>
          <t>Unknown User:
SEARCH &amp; INVESTIGATION (GENERAL)</t>
        </r>
      </text>
    </comment>
    <comment ref="G97" authorId="1" shapeId="0" xr:uid="{CB00BDC6-D09B-4577-9541-5820FD1A7093}">
      <text>
        <r>
          <rPr>
            <sz val="11"/>
            <color theme="1"/>
            <rFont val="Aptos Narrow"/>
            <family val="2"/>
            <scheme val="minor"/>
          </rPr>
          <t>Unknown User:
HIGH POWERED JET BLAST &amp; CCTV DRAIN CAMERA INSPECTION (SEWER SERVICE)</t>
        </r>
      </text>
    </comment>
    <comment ref="G98" authorId="1" shapeId="0" xr:uid="{F03544D5-B211-49FB-870A-D0C89F387AB2}">
      <text>
        <r>
          <rPr>
            <sz val="11"/>
            <color theme="1"/>
            <rFont val="Aptos Narrow"/>
            <family val="2"/>
            <scheme val="minor"/>
          </rPr>
          <t>Unknown User:
SEARCH &amp; INVESTIGATION OF GAS APPLIANCE</t>
        </r>
      </text>
    </comment>
    <comment ref="G99" authorId="1" shapeId="0" xr:uid="{45FA3BAA-7CEB-485E-A7C7-F60A495D8741}">
      <text>
        <r>
          <rPr>
            <sz val="11"/>
            <color theme="1"/>
            <rFont val="Aptos Narrow"/>
            <family val="2"/>
            <scheme val="minor"/>
          </rPr>
          <t>Unknown User:
INSTALLATION OF NEW FREE-STANDING VANITY 600MM (CUSTOMER SUPPLIED)
INSTALLATION OF NEW DOUBLE BOWL KITCHEN SINK (CUSTOMER SUPPLIED)
INSTALLATION OF NEW LINK SUITE (CUSTOMER SUPPLIED)
INSTALLATION OF NEW LAUNDRY TUB / WITH MIXER (CUSTOMER SUPPLIED)</t>
        </r>
      </text>
    </comment>
    <comment ref="D100" authorId="1" shapeId="0" xr:uid="{43A00287-5ADE-4AD5-BD7F-2FBAC3798B88}">
      <text>
        <r>
          <rPr>
            <sz val="11"/>
            <color theme="1"/>
            <rFont val="Aptos Narrow"/>
            <family val="2"/>
            <scheme val="minor"/>
          </rPr>
          <t>Unknown User:
28/07 - Job assigned in Shaun's timeline
30/07 - Quote raised &amp; unsuccessful by Rhys</t>
        </r>
      </text>
    </comment>
    <comment ref="G100" authorId="1" shapeId="0" xr:uid="{CA22D152-94E6-4087-A24F-4625755A4F4D}">
      <text>
        <r>
          <rPr>
            <sz val="11"/>
            <color theme="1"/>
            <rFont val="Aptos Narrow"/>
            <family val="2"/>
            <scheme val="minor"/>
          </rPr>
          <t>Unknown User:
BATHROOM RENOVATION</t>
        </r>
      </text>
    </comment>
    <comment ref="G101" authorId="1" shapeId="0" xr:uid="{01BC57B2-6FA4-432F-98E2-F4BD1A5E8F71}">
      <text>
        <r>
          <rPr>
            <sz val="11"/>
            <color theme="1"/>
            <rFont val="Aptos Narrow"/>
            <family val="2"/>
            <scheme val="minor"/>
          </rPr>
          <t>Unknown User:
WATER SERVICE RECTIFICATION (IN GROUND)
10% Seniors &amp; Pensioners Discount</t>
        </r>
      </text>
    </comment>
    <comment ref="T102" authorId="1" shapeId="0" xr:uid="{BF839347-DBE4-4B0C-8B2A-1C7AED20DC35}">
      <text>
        <r>
          <rPr>
            <sz val="11"/>
            <color theme="1"/>
            <rFont val="Aptos Narrow"/>
            <family val="2"/>
            <scheme val="minor"/>
          </rPr>
          <t>Unknown User:
0.5x Mathew B &amp; 0.5x Rhys</t>
        </r>
      </text>
    </comment>
    <comment ref="G103" authorId="1" shapeId="0" xr:uid="{D7850494-F008-4BD5-ACA2-2117EBED643E}">
      <text>
        <r>
          <rPr>
            <sz val="11"/>
            <color theme="1"/>
            <rFont val="Aptos Narrow"/>
            <family val="2"/>
            <scheme val="minor"/>
          </rPr>
          <t xml:space="preserve">Unknown User:
WATER SERVICE RECTIFICATION (IN GROUND)
10% Seniors &amp; Pensioners Discount
</t>
        </r>
      </text>
    </comment>
    <comment ref="G104" authorId="1" shapeId="0" xr:uid="{6679A5C7-A824-4868-9B32-A114B6404249}">
      <text>
        <r>
          <rPr>
            <sz val="11"/>
            <color theme="1"/>
            <rFont val="Aptos Narrow"/>
            <family val="2"/>
            <scheme val="minor"/>
          </rPr>
          <t>Unknown User:
SUPPLY &amp; INSTALLATION OF NEW INSTANTANEOUS GAS HOT WATER SYSTEM (EXTERNAL)
CREDIT OF SEARCH &amp; INVESTIGATION</t>
        </r>
      </text>
    </comment>
    <comment ref="G105" authorId="1" shapeId="0" xr:uid="{DF550694-DAE3-4C8B-B7D1-1AACFCFC32A2}">
      <text>
        <r>
          <rPr>
            <sz val="11"/>
            <color theme="1"/>
            <rFont val="Aptos Narrow"/>
            <family val="2"/>
            <scheme val="minor"/>
          </rPr>
          <t xml:space="preserve">Unknown User:
HIGH POWERED SUCTION &amp; ACID TREATMENT
10% Seniors &amp; Pensioners Discount
</t>
        </r>
      </text>
    </comment>
    <comment ref="G106" authorId="1" shapeId="0" xr:uid="{E511E4F5-76CE-4264-A82E-104FBC3FEF30}">
      <text>
        <r>
          <rPr>
            <sz val="11"/>
            <color theme="1"/>
            <rFont val="Aptos Narrow"/>
            <family val="2"/>
            <scheme val="minor"/>
          </rPr>
          <t>Unknown User:
SUPPLY &amp; INSTALLATION OF GAS STORAGE HOT WATER SYSTEM (EXTERNAL)
10% Seniors &amp; Pensioners Discount</t>
        </r>
      </text>
    </comment>
    <comment ref="G107" authorId="1" shapeId="0" xr:uid="{1B427E63-32B4-47B4-9650-F4BCC7B10FD7}">
      <text>
        <r>
          <rPr>
            <sz val="11"/>
            <color theme="1"/>
            <rFont val="Aptos Narrow"/>
            <family val="2"/>
            <scheme val="minor"/>
          </rPr>
          <t>Unknown User:
HIGH POWERED SUCTION PUMP
$85 Off First Service
$65 First Service Discount</t>
        </r>
      </text>
    </comment>
    <comment ref="G109" authorId="1" shapeId="0" xr:uid="{92F3B3C1-46D9-4636-ABC7-7713EDC8F13B}">
      <text>
        <r>
          <rPr>
            <sz val="11"/>
            <color theme="1"/>
            <rFont val="Aptos Narrow"/>
            <family val="2"/>
            <scheme val="minor"/>
          </rPr>
          <t xml:space="preserve">Unknown User:
SUPPLY &amp; INSTALLATION OF NEW SINGLE ELEMENT HOT WATER UNIT – EXTERNAL
</t>
        </r>
      </text>
    </comment>
    <comment ref="G110" authorId="1" shapeId="0" xr:uid="{FA7AE646-9028-4F3A-BF1F-3B021B026F0E}">
      <text>
        <r>
          <rPr>
            <sz val="11"/>
            <color theme="1"/>
            <rFont val="Aptos Narrow"/>
            <family val="2"/>
            <scheme val="minor"/>
          </rPr>
          <t>Unknown User:
REPLACEMENT OF EXISTING GOOSE NECK KITCHEN MIXER (CUSTOMER SUPPLIED)</t>
        </r>
      </text>
    </comment>
    <comment ref="G114" authorId="1" shapeId="0" xr:uid="{858A24E7-7192-4886-AA1C-D0BE4E641592}">
      <text>
        <r>
          <rPr>
            <sz val="11"/>
            <color theme="1"/>
            <rFont val="Aptos Narrow"/>
            <family val="2"/>
            <scheme val="minor"/>
          </rPr>
          <t>Unknown User:
SPECIALIST LEAK DETECTION (WATER SERVICE)</t>
        </r>
      </text>
    </comment>
    <comment ref="G115" authorId="1" shapeId="0" xr:uid="{3C72B98A-B419-4FBF-9185-96B03629FB51}">
      <text>
        <r>
          <rPr>
            <sz val="11"/>
            <color theme="1"/>
            <rFont val="Aptos Narrow"/>
            <family val="2"/>
            <scheme val="minor"/>
          </rPr>
          <t>Unknown User:
SUPPLY &amp; INSTALLATION OF GAS STORAGE HOT WATER SYSTEM (INTERNAL)
10% Seniors &amp; Pensioners Discount</t>
        </r>
      </text>
    </comment>
    <comment ref="E137" authorId="2" shapeId="0" xr:uid="{D1145516-7717-4658-B5FC-46F230C7EE22}">
      <text>
        <t>[Threaded comment]
Your version of Excel allows you to read this threaded comment; however, any edits to it will get removed if the file is opened in a newer version of Excel. Learn more: https://go.microsoft.com/fwlink/?linkid=870924
Comment:
    Stock</t>
      </text>
    </comment>
    <comment ref="E138" authorId="3" shapeId="0" xr:uid="{EE29717A-D797-4C11-AEF5-C1B72B4EB066}">
      <text>
        <t>[Threaded comment]
Your version of Excel allows you to read this threaded comment; however, any edits to it will get removed if the file is opened in a newer version of Excel. Learn more: https://go.microsoft.com/fwlink/?linkid=870924
Comment:
    Checked</t>
      </text>
    </comment>
    <comment ref="E139" authorId="4" shapeId="0" xr:uid="{A83FC59B-B569-45AD-A5A6-03858ED53777}">
      <text>
        <t>[Threaded comment]
Your version of Excel allows you to read this threaded comment; however, any edits to it will get removed if the file is opened in a newer version of Excel. Learn more: https://go.microsoft.com/fwlink/?linkid=870924
Comment:
    Checked</t>
      </text>
    </comment>
    <comment ref="G148" authorId="1" shapeId="0" xr:uid="{22C0BBF7-6E52-4794-9898-51385F02C1C5}">
      <text>
        <r>
          <rPr>
            <sz val="11"/>
            <color theme="1"/>
            <rFont val="Aptos Narrow"/>
            <family val="2"/>
            <scheme val="minor"/>
          </rPr>
          <t>Unknown User:
HIGH POWERED JET BLAST &amp; CCTV CAMERA INSPECTION (GAIN ACCESS FROM VENT)</t>
        </r>
      </text>
    </comment>
    <comment ref="L148" authorId="1" shapeId="0" xr:uid="{6846F2A8-5D62-4044-821C-B20479804BE8}">
      <text>
        <r>
          <rPr>
            <sz val="11"/>
            <color theme="1"/>
            <rFont val="Aptos Narrow"/>
            <family val="2"/>
            <scheme val="minor"/>
          </rPr>
          <t>Unknown User:
CCTV camera inspection pics/videos not uploaded.</t>
        </r>
      </text>
    </comment>
    <comment ref="P148" authorId="1" shapeId="0" xr:uid="{0AB87A08-03BB-4014-8561-78A1C3596DD8}">
      <text>
        <r>
          <rPr>
            <sz val="11"/>
            <color theme="1"/>
            <rFont val="Aptos Narrow"/>
            <family val="2"/>
            <scheme val="minor"/>
          </rPr>
          <t>Unknown User:
Quote not emailed</t>
        </r>
      </text>
    </comment>
    <comment ref="G149" authorId="1" shapeId="0" xr:uid="{B29D34D8-C79B-4850-BE74-ED8499E85A55}">
      <text>
        <r>
          <rPr>
            <sz val="11"/>
            <color theme="1"/>
            <rFont val="Aptos Narrow"/>
            <family val="2"/>
            <scheme val="minor"/>
          </rPr>
          <t>Unknown User:
SUPPLY &amp; INSTALLATION OF DUAL CHECK VALVE
REPLACE EXISTING 15MM WATER CONNECTION WITH BRAIDED FLEXIBLE HOSE
REPLACEMENT OF PLUG &amp; WASTE - 40MM</t>
        </r>
      </text>
    </comment>
    <comment ref="G150" authorId="1" shapeId="0" xr:uid="{775A0983-19F6-46D5-85EC-26D48AC2AF83}">
      <text>
        <r>
          <rPr>
            <sz val="11"/>
            <color theme="1"/>
            <rFont val="Aptos Narrow"/>
            <family val="2"/>
            <scheme val="minor"/>
          </rPr>
          <t>Unknown User:
SEARCH AND INVESTIGATION OF GAS INSTANTANEOUS HOT WATER SYSTEM
$65 First Service Discount</t>
        </r>
      </text>
    </comment>
    <comment ref="Q150" authorId="1" shapeId="0" xr:uid="{E31551CA-826F-43EE-B3F7-DAC638EF5E41}">
      <text>
        <r>
          <rPr>
            <sz val="11"/>
            <color theme="1"/>
            <rFont val="Aptos Narrow"/>
            <family val="2"/>
            <scheme val="minor"/>
          </rPr>
          <t>Unknown User:
Invoice not raised</t>
        </r>
      </text>
    </comment>
    <comment ref="G151" authorId="1" shapeId="0" xr:uid="{C0EF405B-2DDE-40B7-8B9A-E6697F722D4D}">
      <text>
        <r>
          <rPr>
            <sz val="11"/>
            <color theme="1"/>
            <rFont val="Aptos Narrow"/>
            <family val="2"/>
            <scheme val="minor"/>
          </rPr>
          <t>Unknown User:
SEARCH AND INVESTIGATION OF GAS INSTANTANEOUS HOT WATER SYSTEM</t>
        </r>
      </text>
    </comment>
    <comment ref="P151" authorId="1" shapeId="0" xr:uid="{259B663B-8AF8-4B89-B8E2-9BDBD8E36621}">
      <text>
        <r>
          <rPr>
            <sz val="11"/>
            <color theme="1"/>
            <rFont val="Aptos Narrow"/>
            <family val="2"/>
            <scheme val="minor"/>
          </rPr>
          <t>Unknown User:
Quote not emailed</t>
        </r>
      </text>
    </comment>
    <comment ref="G152" authorId="1" shapeId="0" xr:uid="{A1C17216-FD69-47E8-BE51-A23ED26048CA}">
      <text>
        <r>
          <rPr>
            <sz val="11"/>
            <color theme="1"/>
            <rFont val="Aptos Narrow"/>
            <family val="2"/>
            <scheme val="minor"/>
          </rPr>
          <t>Unknown User:
SUPPLY &amp; INSTALLATION OF NEW INSTANTANEOUS GAS HOT WATER SYSTEM (EXTERNAL)</t>
        </r>
      </text>
    </comment>
    <comment ref="G153" authorId="1" shapeId="0" xr:uid="{975F7E20-133C-4859-9BB2-EDC48F5B4FA1}">
      <text>
        <r>
          <rPr>
            <sz val="11"/>
            <color theme="1"/>
            <rFont val="Aptos Narrow"/>
            <family val="2"/>
            <scheme val="minor"/>
          </rPr>
          <t>Unknown User:
SUPPLY &amp; INSTALLATION OF NEW INSTANTANEOUS GAS HOT WATER SYSTEM (EXTERNAL)
10% Good Will Discount</t>
        </r>
      </text>
    </comment>
    <comment ref="R153" authorId="1" shapeId="0" xr:uid="{C57C42DD-E278-4A3B-A357-655CC34C1ABD}">
      <text>
        <r>
          <rPr>
            <sz val="11"/>
            <color theme="1"/>
            <rFont val="Aptos Narrow"/>
            <family val="2"/>
            <scheme val="minor"/>
          </rPr>
          <t>Unknown User:
Sign not obtained</t>
        </r>
      </text>
    </comment>
    <comment ref="G154" authorId="1" shapeId="0" xr:uid="{F6F64C05-4551-494E-8A43-9BE98EE3BB3E}">
      <text>
        <r>
          <rPr>
            <sz val="11"/>
            <color theme="1"/>
            <rFont val="Aptos Narrow"/>
            <family val="2"/>
            <scheme val="minor"/>
          </rPr>
          <t>Unknown User:
WATER SERVICE RECTIFICATION (EXPOSED)
10% Seniors &amp; Pensioners Discount</t>
        </r>
      </text>
    </comment>
    <comment ref="G155" authorId="1" shapeId="0" xr:uid="{F0D7A3C9-E1E8-44EF-869C-640D4BB05AE3}">
      <text>
        <r>
          <rPr>
            <sz val="11"/>
            <color theme="1"/>
            <rFont val="Aptos Narrow"/>
            <family val="2"/>
            <scheme val="minor"/>
          </rPr>
          <t>Unknown User:
HIGH POWERED JET BLAST &amp; CCTV CAMERA INSPECTION</t>
        </r>
      </text>
    </comment>
    <comment ref="Q155" authorId="1" shapeId="0" xr:uid="{F40545A8-7E36-4DE3-8505-9066B6C163E2}">
      <text>
        <r>
          <rPr>
            <sz val="11"/>
            <color theme="1"/>
            <rFont val="Aptos Narrow"/>
            <family val="2"/>
            <scheme val="minor"/>
          </rPr>
          <t>Unknown User:
COF of $185+GST not included in invoice</t>
        </r>
      </text>
    </comment>
    <comment ref="G156" authorId="1" shapeId="0" xr:uid="{FF4FC23B-91DB-4ECB-8FDE-283659FF8846}">
      <text>
        <r>
          <rPr>
            <sz val="11"/>
            <color theme="1"/>
            <rFont val="Aptos Narrow"/>
            <family val="2"/>
            <scheme val="minor"/>
          </rPr>
          <t>Unknown User:
SUPPLY AND INSTALLATION OF T&amp;PR VALVE (15MM)
$65 First Service Discount</t>
        </r>
      </text>
    </comment>
    <comment ref="G157" authorId="1" shapeId="0" xr:uid="{937B7722-2567-44F5-A0CA-53D6F1DDBA1E}">
      <text>
        <r>
          <rPr>
            <sz val="11"/>
            <color theme="1"/>
            <rFont val="Aptos Narrow"/>
            <family val="2"/>
            <scheme val="minor"/>
          </rPr>
          <t>Unknown User:
SUPPLY AND INSTALLATION OF TAPS TO REPLACE WASHING MACHINE TAPS (COMBO)
10% Good Will Discount</t>
        </r>
      </text>
    </comment>
    <comment ref="S157" authorId="1" shapeId="0" xr:uid="{41FAEBD0-2A45-4A20-B7CD-C2079E6839C7}">
      <text>
        <r>
          <rPr>
            <sz val="11"/>
            <color theme="1"/>
            <rFont val="Aptos Narrow"/>
            <family val="2"/>
            <scheme val="minor"/>
          </rPr>
          <t>Unknown User:
Signed copy not emailed</t>
        </r>
      </text>
    </comment>
    <comment ref="G162" authorId="1" shapeId="0" xr:uid="{659E6799-D102-4405-B929-ACDFB61A2AC2}">
      <text>
        <r>
          <rPr>
            <sz val="11"/>
            <color theme="1"/>
            <rFont val="Aptos Narrow"/>
            <family val="2"/>
            <scheme val="minor"/>
          </rPr>
          <t>Unknown User:
SEARCH &amp; INVESTIGATION OF DOUBLE STOREY ROOF OF POTENTIAL LEAK</t>
        </r>
      </text>
    </comment>
    <comment ref="P162" authorId="1" shapeId="0" xr:uid="{DA2DD41E-0167-4241-A1B9-66B8298D60C0}">
      <text>
        <r>
          <rPr>
            <sz val="11"/>
            <color theme="1"/>
            <rFont val="Aptos Narrow"/>
            <family val="2"/>
            <scheme val="minor"/>
          </rPr>
          <t>Unknown User:
Quote not emailed</t>
        </r>
      </text>
    </comment>
    <comment ref="U162" authorId="1" shapeId="0" xr:uid="{334D39C4-D5C1-44A1-877E-9C3DCE712648}">
      <text>
        <r>
          <rPr>
            <sz val="11"/>
            <color theme="1"/>
            <rFont val="Aptos Narrow"/>
            <family val="2"/>
            <scheme val="minor"/>
          </rPr>
          <t>Unknown User:
4/8-As per Kylie's note "Spoke to Tara she has already left the property and is refusing to pay any more than 1K she states that we have not done the work to the scope which is correct as no height equipment has been used, nor has the plumber done a test and commission. States based on the 30 mins the plumber has been onsite she is not paying for the quoted amount. States she is now doing her due diligence and asking around and another plumber has told her it should have cost no more than $400. Claims she will pay 1K at the most"</t>
        </r>
      </text>
    </comment>
    <comment ref="G166" authorId="1" shapeId="0" xr:uid="{88FA61C5-5A39-453B-B85C-7CCB2D0081CE}">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L166" authorId="1" shapeId="0" xr:uid="{8B47EAF5-1398-46D5-AA6D-50403F64950A}">
      <text>
        <r>
          <rPr>
            <sz val="11"/>
            <color theme="1"/>
            <rFont val="Aptos Narrow"/>
            <family val="2"/>
            <scheme val="minor"/>
          </rPr>
          <t>Unknown User:
Temp check pending</t>
        </r>
      </text>
    </comment>
    <comment ref="P166" authorId="1" shapeId="0" xr:uid="{B9F439EF-A22F-4A2B-B060-98906DE03477}">
      <text>
        <r>
          <rPr>
            <sz val="11"/>
            <color theme="1"/>
            <rFont val="Aptos Narrow"/>
            <family val="2"/>
            <scheme val="minor"/>
          </rPr>
          <t>Unknown User:
Quote not emailed</t>
        </r>
      </text>
    </comment>
    <comment ref="Q166" authorId="1" shapeId="0" xr:uid="{B48FFED0-DF05-4A85-9FC1-E3FFE97BC13E}">
      <text>
        <r>
          <rPr>
            <sz val="11"/>
            <color theme="1"/>
            <rFont val="Aptos Narrow"/>
            <family val="2"/>
            <scheme val="minor"/>
          </rPr>
          <t>Unknown User:
Progress payment of $341.75 not updated in invoice (Signed but amount not recorded).</t>
        </r>
      </text>
    </comment>
    <comment ref="G167" authorId="1" shapeId="0" xr:uid="{ECFA62FA-FCD7-4131-B080-EB94483FA232}">
      <text>
        <r>
          <rPr>
            <sz val="11"/>
            <color theme="1"/>
            <rFont val="Aptos Narrow"/>
            <family val="2"/>
            <scheme val="minor"/>
          </rPr>
          <t>Unknown User:
STORM WATER RECTIFICATION UP TO 30M
Obtain Service Location Diagram
Obtain Dial Before Dig
Obtain Storm Water Diagram – If Available
Set Up Safe Work Area
Set Up Builders Plastic
Set Up Barricades for Safety
Dig &amp; Excavate Ground Area Up to 30M
Expose Existing Section of Storm Water Service Up to 30M
Locate stormwater entering barrel drain
Expose Existing Storm Water Junctions 
Cut &amp; Remove Existing Section of Storm Water Service Up to 30M
Cut &amp; Remove Existing Storm Water Junctions 
Gain Access to Storm Water Service
Set Up High-Powered Jet Blaster
Set Up High-Powered Mini Reel
Set Up High-Powered Turbines
Re-Jetblast Storm Water Service
Re-Camera and Investigate Further
Supply &amp; Install New Section of Storm Water Service Up to 30M
Supply &amp; Install New Storm Water Junctions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Upsize existing 50mm down pipe to 90mm down pipe
Install new 90mm pop and down pipe to back of house
Connect new stormwater to existing down pipes on shed
Backfill Excavated Area
Test &amp; Commission Installation
Remove Trade Waste
Restore Work Area (Excludes Returfing)
PLEASE NOTE IF FURTHER WORK REQUIRED OTHER THEN QUOTED WORK FURTHER COST WILL APPLY</t>
        </r>
      </text>
    </comment>
    <comment ref="P167" authorId="1" shapeId="0" xr:uid="{4DC4EAC3-A0FF-42F1-ACBE-D3C085AB2728}">
      <text>
        <r>
          <rPr>
            <sz val="11"/>
            <color theme="1"/>
            <rFont val="Aptos Narrow"/>
            <family val="2"/>
            <scheme val="minor"/>
          </rPr>
          <t>Unknown User:
Quote not emailed</t>
        </r>
      </text>
    </comment>
    <comment ref="U167" authorId="1" shapeId="0" xr:uid="{282BE4C9-3AB5-4A38-9986-152FC20F6DA0}">
      <text>
        <r>
          <rPr>
            <sz val="11"/>
            <color theme="1"/>
            <rFont val="Aptos Narrow"/>
            <family val="2"/>
            <scheme val="minor"/>
          </rPr>
          <t>Unknown User:
31/7-As per Joshua's note "Callback from Prue and Mr Stone,
Complained about
-price of the job, wanted itemised invoice. they were under the assumption that this was a given.
-items on invoice not completed (not specified, said they could talk to Daniel or let me know).
-Humm misunderstanding, they dont trust HUMM even though they've used it in the past. I explained the general process and that we take a 10% deposit and put the customer on a plan for the rest. They werent happy with this, i did say 10% more would be required to clear the balance as limit is $25k.
-multiple trading names, explained this is for marketing purposes and we were in a transitional period.
Asked for them to suggest a resolution as they said they'd "take this further". Invited them to come back to me at any time."</t>
        </r>
      </text>
    </comment>
    <comment ref="G171" authorId="1" shapeId="0" xr:uid="{D718E4DF-E77E-4A05-B933-0079FB9CDA49}">
      <text>
        <r>
          <rPr>
            <sz val="11"/>
            <color theme="1"/>
            <rFont val="Aptos Narrow"/>
            <family val="2"/>
            <scheme val="minor"/>
          </rPr>
          <t>Unknown User:
WATER SERVICE RECTIFICATION (EXPOSED)</t>
        </r>
      </text>
    </comment>
    <comment ref="G173" authorId="1" shapeId="0" xr:uid="{3AB84758-3278-44CA-8E09-E000F8B3231A}">
      <text>
        <r>
          <rPr>
            <sz val="11"/>
            <color theme="1"/>
            <rFont val="Aptos Narrow"/>
            <family val="2"/>
            <scheme val="minor"/>
          </rPr>
          <t xml:space="preserve">Unknown User:
SERVICE &amp; PUMP OUT OF GREASE TRAP
</t>
        </r>
      </text>
    </comment>
    <comment ref="G174" authorId="1" shapeId="0" xr:uid="{B2B500A1-B874-4503-A818-F84EA8941F53}">
      <text>
        <r>
          <rPr>
            <sz val="11"/>
            <color theme="1"/>
            <rFont val="Aptos Narrow"/>
            <family val="2"/>
            <scheme val="minor"/>
          </rPr>
          <t xml:space="preserve">Unknown User:
REPLACEMENT OF PLUG &amp; WASTE - 50MM
</t>
        </r>
      </text>
    </comment>
    <comment ref="G175" authorId="1" shapeId="0" xr:uid="{B7075D48-A595-4FD6-8D0F-7EC55D1AF710}">
      <text>
        <r>
          <rPr>
            <sz val="11"/>
            <color theme="1"/>
            <rFont val="Aptos Narrow"/>
            <family val="2"/>
            <scheme val="minor"/>
          </rPr>
          <t>Unknown User:
INSTALLATION OF GAS COOKTOP [SAME LOCATION] (CUSTOMER SUPPLIED)</t>
        </r>
      </text>
    </comment>
    <comment ref="G176" authorId="1" shapeId="0" xr:uid="{563CCE87-98E2-47C1-B108-D2C33C8417AA}">
      <text>
        <r>
          <rPr>
            <sz val="11"/>
            <color theme="1"/>
            <rFont val="Aptos Narrow"/>
            <family val="2"/>
            <scheme val="minor"/>
          </rPr>
          <t xml:space="preserve">Unknown User:
BATHROOM RENOVATION </t>
        </r>
      </text>
    </comment>
    <comment ref="G179" authorId="1" shapeId="0" xr:uid="{08B9E5F8-9C74-44D1-9B16-B871B2C3D234}">
      <text>
        <r>
          <rPr>
            <sz val="11"/>
            <color theme="1"/>
            <rFont val="Aptos Narrow"/>
            <family val="2"/>
            <scheme val="minor"/>
          </rPr>
          <t>Unknown User:
SUPPLY &amp; INSTALLATION OF (SOLAR RATED) TEMPERING VALVE
$65 First Service Discount
10% Seniors &amp; Pensioners Discount</t>
        </r>
      </text>
    </comment>
    <comment ref="G181" authorId="1" shapeId="0" xr:uid="{AB106F80-3FC7-44A2-A874-4F8398BF5087}">
      <text>
        <r>
          <rPr>
            <sz val="11"/>
            <color theme="1"/>
            <rFont val="Aptos Narrow"/>
            <family val="2"/>
            <scheme val="minor"/>
          </rPr>
          <t>Unknown User:
SUPPLY AND INSTALLATION OF PRESSURE REGULATING DEVICE FITTED TO 15MM STRAIGHT PIPEWORK</t>
        </r>
      </text>
    </comment>
    <comment ref="G182" authorId="1" shapeId="0" xr:uid="{AF0A9FD7-03EB-46D8-8D41-5D63C8788DD2}">
      <text>
        <r>
          <rPr>
            <sz val="11"/>
            <color theme="1"/>
            <rFont val="Aptos Narrow"/>
            <family val="2"/>
            <scheme val="minor"/>
          </rPr>
          <t xml:space="preserve">Unknown User:
INSTALLATION OF SHOWER ARM &amp; ROSE (CUSTOMER SUPPLIED)
</t>
        </r>
      </text>
    </comment>
    <comment ref="E203" authorId="5" shapeId="0" xr:uid="{AF17EE2D-B162-41AC-9EBE-BA4391A5EF69}">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E204" authorId="6" shapeId="0" xr:uid="{1CA3693F-220B-4263-B19D-3E98E7617EAD}">
      <text>
        <t>[Threaded comment]
Your version of Excel allows you to read this threaded comment; however, any edits to it will get removed if the file is opened in a newer version of Excel. Learn more: https://go.microsoft.com/fwlink/?linkid=870924
Comment:
    Stock</t>
      </text>
    </comment>
    <comment ref="G214" authorId="1" shapeId="0" xr:uid="{B0560311-9120-4073-B0C4-63F4F4CAA203}">
      <text>
        <r>
          <rPr>
            <sz val="11"/>
            <color theme="1"/>
            <rFont val="Aptos Narrow"/>
            <family val="2"/>
            <scheme val="minor"/>
          </rPr>
          <t>Unknown User:
WATER SERVICE RECTIFICATION (EXPOSED)</t>
        </r>
      </text>
    </comment>
    <comment ref="W214" authorId="1" shapeId="0" xr:uid="{999CCD50-E029-4288-95CA-1344690CBB06}">
      <text>
        <r>
          <rPr>
            <sz val="11"/>
            <color theme="1"/>
            <rFont val="Aptos Narrow"/>
            <family val="2"/>
            <scheme val="minor"/>
          </rPr>
          <t>Unknown User:
Unable to confirm cash denomination
$50*20=$1000</t>
        </r>
      </text>
    </comment>
    <comment ref="G215" authorId="1" shapeId="0" xr:uid="{CE13E290-56D6-43E3-BCC3-14221D1B2932}">
      <text>
        <r>
          <rPr>
            <sz val="11"/>
            <color theme="1"/>
            <rFont val="Aptos Narrow"/>
            <family val="2"/>
            <scheme val="minor"/>
          </rPr>
          <t xml:space="preserve">Unknown User:
SUPPLY &amp; INSTALLATION OF GAS STORAGE HOT WATER SYSTEM (EXTERNAL)
</t>
        </r>
      </text>
    </comment>
    <comment ref="T215" authorId="1" shapeId="0" xr:uid="{806E8D6B-B71A-4DE3-80E4-83FEBCDA5A95}">
      <text>
        <r>
          <rPr>
            <sz val="11"/>
            <color theme="1"/>
            <rFont val="Aptos Narrow"/>
            <family val="2"/>
            <scheme val="minor"/>
          </rPr>
          <t>Unknown User:
0.5x for Jayden &amp; 0.5x for Rhyss</t>
        </r>
      </text>
    </comment>
    <comment ref="G216" authorId="1" shapeId="0" xr:uid="{BC3B5B0F-EE6E-4107-B4B6-DDF42C955F6D}">
      <text>
        <r>
          <rPr>
            <sz val="11"/>
            <color theme="1"/>
            <rFont val="Aptos Narrow"/>
            <family val="2"/>
            <scheme val="minor"/>
          </rPr>
          <t xml:space="preserve">Unknown User:
WATER SERVICE RECTIFICATION (IN WALL)
</t>
        </r>
      </text>
    </comment>
    <comment ref="R216" authorId="1" shapeId="0" xr:uid="{24463CEA-C2F1-41B0-87FA-DB044B0A8607}">
      <text>
        <r>
          <rPr>
            <sz val="11"/>
            <color theme="1"/>
            <rFont val="Aptos Narrow"/>
            <family val="2"/>
            <scheme val="minor"/>
          </rPr>
          <t>Unknown User:
Invoice not signed</t>
        </r>
      </text>
    </comment>
    <comment ref="S216" authorId="1" shapeId="0" xr:uid="{9282CD4A-603B-4E34-90CB-2A43A58707CC}">
      <text>
        <r>
          <rPr>
            <sz val="11"/>
            <color theme="1"/>
            <rFont val="Aptos Narrow"/>
            <family val="2"/>
            <scheme val="minor"/>
          </rPr>
          <t>Unknown User:
Invoice emailed without sign</t>
        </r>
      </text>
    </comment>
    <comment ref="G217" authorId="1" shapeId="0" xr:uid="{869EF1C0-3E7A-4BE6-A95B-D52B7B4D6B9B}">
      <text>
        <r>
          <rPr>
            <sz val="11"/>
            <color theme="1"/>
            <rFont val="Aptos Narrow"/>
            <family val="2"/>
            <scheme val="minor"/>
          </rPr>
          <t>Unknown User:
REPLACEMENT OF SOLAR FROST VALVE</t>
        </r>
      </text>
    </comment>
    <comment ref="P217" authorId="1" shapeId="0" xr:uid="{241066FE-CDA7-4CD5-A192-29DB7EF15E21}">
      <text>
        <r>
          <rPr>
            <sz val="11"/>
            <color theme="1"/>
            <rFont val="Aptos Narrow"/>
            <family val="2"/>
            <scheme val="minor"/>
          </rPr>
          <t>Unknown User:
Quote not emailed</t>
        </r>
      </text>
    </comment>
    <comment ref="V217" authorId="1" shapeId="0" xr:uid="{9808CE2A-9A94-4150-9AB1-A1CC25091B40}">
      <text>
        <r>
          <rPr>
            <sz val="11"/>
            <color theme="1"/>
            <rFont val="Aptos Narrow"/>
            <family val="2"/>
            <scheme val="minor"/>
          </rPr>
          <t>Unknown User:
Short receipt by $0.80</t>
        </r>
      </text>
    </comment>
    <comment ref="G218" authorId="1" shapeId="0" xr:uid="{DADEA88B-CCD6-47D0-9FF4-D4079F411F84}">
      <text>
        <r>
          <rPr>
            <sz val="11"/>
            <color theme="1"/>
            <rFont val="Aptos Narrow"/>
            <family val="2"/>
            <scheme val="minor"/>
          </rPr>
          <t>Unknown User:
WATER SERVICE RECTIFICATION (IN GROUND)</t>
        </r>
      </text>
    </comment>
    <comment ref="Q218" authorId="1" shapeId="0" xr:uid="{CA240AF3-8372-44E6-9984-C662FFB7388F}">
      <text>
        <r>
          <rPr>
            <sz val="11"/>
            <color theme="1"/>
            <rFont val="Aptos Narrow"/>
            <family val="2"/>
            <scheme val="minor"/>
          </rPr>
          <t>Unknown User:
Final invoice not raised</t>
        </r>
      </text>
    </comment>
    <comment ref="G219" authorId="1" shapeId="0" xr:uid="{B9677802-F45E-433E-9672-E441E561D9C6}">
      <text>
        <r>
          <rPr>
            <sz val="11"/>
            <color theme="1"/>
            <rFont val="Aptos Narrow"/>
            <family val="2"/>
            <scheme val="minor"/>
          </rPr>
          <t>Unknown User:
CHEMICAL DRAIN CLEANING TREATMENT</t>
        </r>
      </text>
    </comment>
    <comment ref="O219" authorId="1" shapeId="0" xr:uid="{8B568C8E-CA07-494C-82DA-88C38A9044C5}">
      <text>
        <r>
          <rPr>
            <sz val="11"/>
            <color theme="1"/>
            <rFont val="Aptos Narrow"/>
            <family val="2"/>
            <scheme val="minor"/>
          </rPr>
          <t>Unknown User:
Quote not signed</t>
        </r>
      </text>
    </comment>
    <comment ref="P219" authorId="1" shapeId="0" xr:uid="{0EE24CA9-F5D1-4A77-A483-11D2048CA0CE}">
      <text>
        <r>
          <rPr>
            <sz val="11"/>
            <color theme="1"/>
            <rFont val="Aptos Narrow"/>
            <family val="2"/>
            <scheme val="minor"/>
          </rPr>
          <t>Unknown User:
Quote not emailed by the plumber</t>
        </r>
      </text>
    </comment>
    <comment ref="S219" authorId="1" shapeId="0" xr:uid="{526EB904-09BC-4362-A4FE-DA4F31530949}">
      <text>
        <r>
          <rPr>
            <sz val="11"/>
            <color theme="1"/>
            <rFont val="Aptos Narrow"/>
            <family val="2"/>
            <scheme val="minor"/>
          </rPr>
          <t>Unknown User:
Final invoice not emailed</t>
        </r>
      </text>
    </comment>
    <comment ref="G220" authorId="1" shapeId="0" xr:uid="{F7D52745-C5B3-436E-A117-0ACA15CDE12F}">
      <text>
        <r>
          <rPr>
            <sz val="11"/>
            <color theme="1"/>
            <rFont val="Aptos Narrow"/>
            <family val="2"/>
            <scheme val="minor"/>
          </rPr>
          <t>Unknown User:
SPECIALIST LEAK DETECTION (WATER SERVICE)</t>
        </r>
      </text>
    </comment>
    <comment ref="P220" authorId="1" shapeId="0" xr:uid="{CC4EFB06-C9D1-4D3D-93E2-F5E19152D640}">
      <text>
        <r>
          <rPr>
            <sz val="11"/>
            <color theme="1"/>
            <rFont val="Aptos Narrow"/>
            <family val="2"/>
            <scheme val="minor"/>
          </rPr>
          <t>Unknown User:
Quote not emailed</t>
        </r>
      </text>
    </comment>
    <comment ref="Q220" authorId="1" shapeId="0" xr:uid="{346B8669-9262-4B77-BEED-6383269717A1}">
      <text>
        <r>
          <rPr>
            <sz val="11"/>
            <color theme="1"/>
            <rFont val="Aptos Narrow"/>
            <family val="2"/>
            <scheme val="minor"/>
          </rPr>
          <t>Unknown User:
Final invoice not raised</t>
        </r>
      </text>
    </comment>
    <comment ref="G221" authorId="1" shapeId="0" xr:uid="{AB953EB2-0720-40C5-A572-5EB92C6304AD}">
      <text>
        <r>
          <rPr>
            <sz val="11"/>
            <color theme="1"/>
            <rFont val="Aptos Narrow"/>
            <family val="2"/>
            <scheme val="minor"/>
          </rPr>
          <t>Unknown User:
SUPPLY AND INSTALLATION OF STOP VALVE 15MM DUOVALVE
SUPPLY AND INSTALLATION OF PRESSURE REGULATING DEVICE FITTED TO 20MM STRAIGHT PIPEWORK
SUPPLY &amp; INSTALLATION OF NEW CLOSE COUPLED TOILET SUITE
10% Seniors &amp; Pensioners Discount</t>
        </r>
      </text>
    </comment>
    <comment ref="P221" authorId="1" shapeId="0" xr:uid="{8FC0824F-5921-408B-AA59-74D17B04A0EA}">
      <text>
        <r>
          <rPr>
            <sz val="11"/>
            <color theme="1"/>
            <rFont val="Aptos Narrow"/>
            <family val="2"/>
            <scheme val="minor"/>
          </rPr>
          <t>Unknown User:
Quote not emailed</t>
        </r>
      </text>
    </comment>
    <comment ref="Q221" authorId="1" shapeId="0" xr:uid="{2F45596F-CE88-4A62-BF7C-646D7DAEDE98}">
      <text>
        <r>
          <rPr>
            <sz val="11"/>
            <color theme="1"/>
            <rFont val="Aptos Narrow"/>
            <family val="2"/>
            <scheme val="minor"/>
          </rPr>
          <t>Unknown User:
Final invoice not raised</t>
        </r>
      </text>
    </comment>
    <comment ref="U221" authorId="1" shapeId="0" xr:uid="{AA3654FB-A614-45D0-A9E6-732BB0F8B8E5}">
      <text>
        <r>
          <rPr>
            <sz val="11"/>
            <color theme="1"/>
            <rFont val="Aptos Narrow"/>
            <family val="2"/>
            <scheme val="minor"/>
          </rPr>
          <t>Unknown User:
18/8-As per Charles Hadfield's note "Customer called to complain about how are plumber had to go to a another company for the leak detection and how he could not find it himself. Unhappy about the price charged and want to a resolution for himself. He wants to speak to customer care department as well as the plumber who attended. Put through to monday.com."</t>
        </r>
      </text>
    </comment>
    <comment ref="G222" authorId="1" shapeId="0" xr:uid="{47985BBB-F052-448A-9B93-0A6606AD066B}">
      <text>
        <r>
          <rPr>
            <sz val="11"/>
            <color theme="1"/>
            <rFont val="Aptos Narrow"/>
            <family val="2"/>
            <scheme val="minor"/>
          </rPr>
          <t>Unknown User:
SEARCH AND INVESTIGATION OF SOLAR SPLIT HOT WATER SYSTEM
10% Loyalty Discount</t>
        </r>
      </text>
    </comment>
    <comment ref="P222" authorId="1" shapeId="0" xr:uid="{ED77ECBC-D11F-44DB-BB4A-702826FFA16D}">
      <text>
        <r>
          <rPr>
            <sz val="11"/>
            <color theme="1"/>
            <rFont val="Aptos Narrow"/>
            <family val="2"/>
            <scheme val="minor"/>
          </rPr>
          <t>Unknown User:
Quote not emailed</t>
        </r>
      </text>
    </comment>
    <comment ref="Q222" authorId="1" shapeId="0" xr:uid="{8FD341F6-F796-4FC7-B487-AAF72AB8E5CC}">
      <text>
        <r>
          <rPr>
            <sz val="11"/>
            <color theme="1"/>
            <rFont val="Aptos Narrow"/>
            <family val="2"/>
            <scheme val="minor"/>
          </rPr>
          <t>Unknown User:
Final invoice not raised</t>
        </r>
      </text>
    </comment>
    <comment ref="G227" authorId="1" shapeId="0" xr:uid="{36613A92-949C-4317-AC0C-CC89340B63C3}">
      <text>
        <r>
          <rPr>
            <sz val="11"/>
            <color theme="1"/>
            <rFont val="Aptos Narrow"/>
            <family val="2"/>
            <scheme val="minor"/>
          </rPr>
          <t>Unknown User:
DISCONNECT WASHING MACHINE &amp; MAKE SAFE</t>
        </r>
      </text>
    </comment>
    <comment ref="G228" authorId="1" shapeId="0" xr:uid="{36EE0A4F-2F3F-4D88-A814-6A8F7F144AAA}">
      <text>
        <r>
          <rPr>
            <sz val="11"/>
            <color theme="1"/>
            <rFont val="Aptos Narrow"/>
            <family val="2"/>
            <scheme val="minor"/>
          </rPr>
          <t>Unknown User:
HIGH POWERED SUCTION &amp; ACID TREATMENT</t>
        </r>
      </text>
    </comment>
    <comment ref="L228" authorId="1" shapeId="0" xr:uid="{15663668-CDBD-4611-827E-3C281B7A02F3}">
      <text>
        <r>
          <rPr>
            <sz val="11"/>
            <color theme="1"/>
            <rFont val="Aptos Narrow"/>
            <family val="2"/>
            <scheme val="minor"/>
          </rPr>
          <t>Unknown User:
Acid treatment pics not uploaded.</t>
        </r>
      </text>
    </comment>
    <comment ref="G232" authorId="1" shapeId="0" xr:uid="{D3BC988E-2A76-482D-8CE5-C56F54BAF422}">
      <text>
        <r>
          <rPr>
            <sz val="11"/>
            <color theme="1"/>
            <rFont val="Aptos Narrow"/>
            <family val="2"/>
            <scheme val="minor"/>
          </rPr>
          <t xml:space="preserve">Unknown User:
SEARCH AND INVESTIGATION OF SOLAR SPLIT HOT WATER SYSTEM ON 3 STORY TOWN HOUSE 
10% Seniors &amp; Pensioners Discount
</t>
        </r>
      </text>
    </comment>
    <comment ref="O232" authorId="1" shapeId="0" xr:uid="{34F77CDD-E515-4EB5-A054-A9ACB90C6F2C}">
      <text>
        <r>
          <rPr>
            <sz val="11"/>
            <color theme="1"/>
            <rFont val="Aptos Narrow"/>
            <family val="2"/>
            <scheme val="minor"/>
          </rPr>
          <t>Unknown User:
Quote not signed</t>
        </r>
      </text>
    </comment>
    <comment ref="P232" authorId="1" shapeId="0" xr:uid="{FCA7FE8F-EF8D-4AC5-B4A4-B836247316B3}">
      <text>
        <r>
          <rPr>
            <sz val="11"/>
            <color theme="1"/>
            <rFont val="Aptos Narrow"/>
            <family val="2"/>
            <scheme val="minor"/>
          </rPr>
          <t>Unknown User:
Quote not emailed</t>
        </r>
      </text>
    </comment>
    <comment ref="Q232" authorId="1" shapeId="0" xr:uid="{586C2EB0-70E1-47C3-82B6-D7A4BAF33040}">
      <text>
        <r>
          <rPr>
            <sz val="11"/>
            <color theme="1"/>
            <rFont val="Aptos Narrow"/>
            <family val="2"/>
            <scheme val="minor"/>
          </rPr>
          <t>Unknown User:
Invoice not raised</t>
        </r>
      </text>
    </comment>
    <comment ref="G236" authorId="1" shapeId="0" xr:uid="{38817BCA-6269-4C2F-A62E-ECC1F40A2BEC}">
      <text>
        <r>
          <rPr>
            <sz val="11"/>
            <color theme="1"/>
            <rFont val="Aptos Narrow"/>
            <family val="2"/>
            <scheme val="minor"/>
          </rPr>
          <t>Unknown User:
Install concrete slab
Adapt onto downpipe
Run downpipe to tank
Install hose bit
Test and commission
10% Good Will Discount</t>
        </r>
      </text>
    </comment>
    <comment ref="M236" authorId="1" shapeId="0" xr:uid="{A916D6A3-8260-458F-B4DF-E3AF9C7D578C}">
      <text>
        <r>
          <rPr>
            <sz val="11"/>
            <color theme="1"/>
            <rFont val="Aptos Narrow"/>
            <family val="2"/>
            <scheme val="minor"/>
          </rPr>
          <t>Unknown User:
Cash pic for $200 not uploaded.</t>
        </r>
      </text>
    </comment>
    <comment ref="W236" authorId="1" shapeId="0" xr:uid="{316376EB-76A7-414D-A4EC-9A5383F90EA3}">
      <text>
        <r>
          <rPr>
            <sz val="11"/>
            <color theme="1"/>
            <rFont val="Aptos Narrow"/>
            <family val="2"/>
            <scheme val="minor"/>
          </rPr>
          <t>Unknown User:
Cash pic not uploaded</t>
        </r>
      </text>
    </comment>
    <comment ref="G237" authorId="1" shapeId="0" xr:uid="{5B2E726E-6963-4D57-A5B7-4BDE01426B71}">
      <text>
        <r>
          <rPr>
            <sz val="11"/>
            <color theme="1"/>
            <rFont val="Aptos Narrow"/>
            <family val="2"/>
            <scheme val="minor"/>
          </rPr>
          <t xml:space="preserve">Unknown User:
SUPPLY &amp; INSTALLATION OF NEW LINK SUITE
INSTALLATION OF FREESTANDING OVEN AND GAS COOKTOP [SAME LOCATION] (CUSTOMER SUPPLIED)
INSTALLATION OF NEW WASHING MACHINE (CUSTOMER SUPPLIED)
INSTALL NEW CUSTOMER SUPPLIED DISHWASHER IN NEW LOCATION
</t>
        </r>
      </text>
    </comment>
    <comment ref="P237" authorId="1" shapeId="0" xr:uid="{1AC6774C-C035-4906-AD78-4ED39A485D4B}">
      <text>
        <r>
          <rPr>
            <sz val="11"/>
            <color theme="1"/>
            <rFont val="Aptos Narrow"/>
            <family val="2"/>
            <scheme val="minor"/>
          </rPr>
          <t>Unknown User:
Quote not emailed</t>
        </r>
      </text>
    </comment>
    <comment ref="G238" authorId="1" shapeId="0" xr:uid="{765C5CF4-6BAC-44AA-9D40-8A627D3C6CCF}">
      <text>
        <r>
          <rPr>
            <sz val="11"/>
            <color theme="1"/>
            <rFont val="Aptos Narrow"/>
            <family val="2"/>
            <scheme val="minor"/>
          </rPr>
          <t xml:space="preserve">Unknown User:
SPECIALIST LEAK DETECTION (WATER SERVICE)
10% Seniors &amp; Pensioners Discount
</t>
        </r>
      </text>
    </comment>
    <comment ref="P238" authorId="1" shapeId="0" xr:uid="{F08DA9A0-13A2-4026-8735-D12BCBE3227A}">
      <text>
        <r>
          <rPr>
            <sz val="11"/>
            <color theme="1"/>
            <rFont val="Aptos Narrow"/>
            <family val="2"/>
            <scheme val="minor"/>
          </rPr>
          <t>Unknown User:
Quote not emailed</t>
        </r>
      </text>
    </comment>
    <comment ref="U238" authorId="1" shapeId="0" xr:uid="{C1564EA3-AC0E-4C5C-8D3A-817C39DF2B5A}">
      <text>
        <r>
          <rPr>
            <sz val="11"/>
            <color theme="1"/>
            <rFont val="Aptos Narrow"/>
            <family val="2"/>
            <scheme val="minor"/>
          </rPr>
          <t>Unknown User:
15/8-As per Rhys's note "HUMM messed around for like 2 hours
Client didn’t wanna do it anymore
Collected deposit come back next week"</t>
        </r>
      </text>
    </comment>
    <comment ref="G242" authorId="1" shapeId="0" xr:uid="{0F44B530-A749-4659-80A7-AE6B14FA39B9}">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L242" authorId="1" shapeId="0" xr:uid="{FED1874C-E2AD-4F65-B50F-FE5F233EA023}">
      <text>
        <r>
          <rPr>
            <sz val="11"/>
            <color theme="1"/>
            <rFont val="Aptos Narrow"/>
            <family val="2"/>
            <scheme val="minor"/>
          </rPr>
          <t>Unknown User:
Temp check pending</t>
        </r>
      </text>
    </comment>
    <comment ref="P242" authorId="1" shapeId="0" xr:uid="{CD88EC3F-6638-4B51-9155-C8608D693156}">
      <text>
        <r>
          <rPr>
            <sz val="11"/>
            <color theme="1"/>
            <rFont val="Aptos Narrow"/>
            <family val="2"/>
            <scheme val="minor"/>
          </rPr>
          <t>Unknown User:
Quote not emailed</t>
        </r>
      </text>
    </comment>
    <comment ref="Q242" authorId="1" shapeId="0" xr:uid="{4A1927B0-FE0E-495A-A9A8-15D55860B03B}">
      <text>
        <r>
          <rPr>
            <sz val="11"/>
            <color theme="1"/>
            <rFont val="Aptos Narrow"/>
            <family val="2"/>
            <scheme val="minor"/>
          </rPr>
          <t>Unknown User:
Progress payment of $341.75 not updated in invoice (Signed but amount not recorded).</t>
        </r>
      </text>
    </comment>
    <comment ref="G243" authorId="1" shapeId="0" xr:uid="{692D5E1C-9A62-41AB-B180-0B4AB4D62818}">
      <text>
        <r>
          <rPr>
            <sz val="11"/>
            <color theme="1"/>
            <rFont val="Aptos Narrow"/>
            <family val="2"/>
            <scheme val="minor"/>
          </rPr>
          <t>Unknown User:
STORM WATER RECTIFICATION UP TO 30M
Obtain Service Location Diagram
Obtain Dial Before Dig
Obtain Storm Water Diagram – If Available
Set Up Safe Work Area
Set Up Builders Plastic
Set Up Barricades for Safety
Dig &amp; Excavate Ground Area Up to 30M
Expose Existing Section of Storm Water Service Up to 30M
Locate stormwater entering barrel drain
Expose Existing Storm Water Junctions 
Cut &amp; Remove Existing Section of Storm Water Service Up to 30M
Cut &amp; Remove Existing Storm Water Junctions 
Gain Access to Storm Water Service
Set Up High-Powered Jet Blaster
Set Up High-Powered Mini Reel
Set Up High-Powered Turbines
Re-Jetblast Storm Water Service
Re-Camera and Investigate Further
Supply &amp; Install New Section of Storm Water Service Up to 30M
Supply &amp; Install New Storm Water Junctions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Upsize existing 50mm down pipe to 90mm down pipe
Install new 90mm pop and down pipe to back of house
Connect new stormwater to existing down pipes on shed
Backfill Excavated Area
Test &amp; Commission Installation
Remove Trade Waste
Restore Work Area (Excludes Returfing)
PLEASE NOTE IF FURTHER WORK REQUIRED OTHER THEN QUOTED WORK FURTHER COST WILL APPLY</t>
        </r>
      </text>
    </comment>
    <comment ref="P243" authorId="1" shapeId="0" xr:uid="{280A4063-1B76-4DEA-A309-31AEE5B30431}">
      <text>
        <r>
          <rPr>
            <sz val="11"/>
            <color theme="1"/>
            <rFont val="Aptos Narrow"/>
            <family val="2"/>
            <scheme val="minor"/>
          </rPr>
          <t>Unknown User:
Quote not emailed</t>
        </r>
      </text>
    </comment>
    <comment ref="U243" authorId="1" shapeId="0" xr:uid="{BD65A90E-0ABB-4BBD-A829-C98633A7F332}">
      <text>
        <r>
          <rPr>
            <sz val="11"/>
            <color theme="1"/>
            <rFont val="Aptos Narrow"/>
            <family val="2"/>
            <scheme val="minor"/>
          </rPr>
          <t>Unknown User:
31/7-As per Joshua's note "Callback from Prue and Mr Stone,
Complained about
-price of the job, wanted itemised invoice. they were under the assumption that this was a given.
-items on invoice not completed (not specified, said they could talk to Daniel or let me know).
-Humm misunderstanding, they dont trust HUMM even though they've used it in the past. I explained the general process and that we take a 10% deposit and put the customer on a plan for the rest. They werent happy with this, i did say 10% more would be required to clear the balance as limit is $25k.
-multiple trading names, explained this is for marketing purposes and we were in a transitional period.
Asked for them to suggest a resolution as they said they'd "take this further". Invited them to come back to me at any time."</t>
        </r>
      </text>
    </comment>
    <comment ref="G244" authorId="1" shapeId="0" xr:uid="{56D5E8EE-ACF3-49BF-A2D4-A3D6337F912A}">
      <text>
        <r>
          <rPr>
            <sz val="11"/>
            <color theme="1"/>
            <rFont val="Aptos Narrow"/>
            <family val="2"/>
            <scheme val="minor"/>
          </rPr>
          <t>Unknown User:
SEARCH &amp; INVESTIGATION OF DOUBLE STOREY ROOF OF POTENTIAL LEAK</t>
        </r>
      </text>
    </comment>
    <comment ref="P244" authorId="1" shapeId="0" xr:uid="{58114B52-F147-421B-A2EB-4DD11EC1D36D}">
      <text>
        <r>
          <rPr>
            <sz val="11"/>
            <color theme="1"/>
            <rFont val="Aptos Narrow"/>
            <family val="2"/>
            <scheme val="minor"/>
          </rPr>
          <t>Unknown User:
Quote not emailed</t>
        </r>
      </text>
    </comment>
    <comment ref="U244" authorId="1" shapeId="0" xr:uid="{42F53D17-55F2-4E1D-AB2A-AECE271B7A99}">
      <text>
        <r>
          <rPr>
            <sz val="11"/>
            <color theme="1"/>
            <rFont val="Aptos Narrow"/>
            <family val="2"/>
            <scheme val="minor"/>
          </rPr>
          <t>Unknown User:
4/8-As per Kylie's note "Spoke to Tara she has already left the property and is refusing to pay any more than 1K she states that we have not done the work to the scope which is correct as no height equipment has been used, nor has the plumber done a test and commission. States based on the 30 mins the plumber has been onsite she is not paying for the quoted amount. States she is now doing her due diligence and asking around and another plumber has told her it should have cost no more than $400. Claims she will pay 1K at the most"</t>
        </r>
      </text>
    </comment>
    <comment ref="G248" authorId="1" shapeId="0" xr:uid="{E5445E12-3D21-4954-A53D-EE7C23508490}">
      <text>
        <r>
          <rPr>
            <sz val="11"/>
            <color theme="1"/>
            <rFont val="Aptos Narrow"/>
            <family val="2"/>
            <scheme val="minor"/>
          </rPr>
          <t>Unknown User:
SUPPLY &amp; INSTALLATION OF NEW LINK SUITE
SUPPLY &amp; INSTALLATION OF NEW FREE-STANDING VANITY (750MM)</t>
        </r>
      </text>
    </comment>
    <comment ref="G249" authorId="1" shapeId="0" xr:uid="{70418CDD-90EB-4D86-AB85-0A5DB2212032}">
      <text>
        <r>
          <rPr>
            <sz val="11"/>
            <color theme="1"/>
            <rFont val="Aptos Narrow"/>
            <family val="2"/>
            <scheme val="minor"/>
          </rPr>
          <t>Unknown User:
HIGH POWERED SEWER SNAKE &amp; CCTV DRAIN CAMERA INSPECTION (SEWER SERVICE)</t>
        </r>
      </text>
    </comment>
    <comment ref="U250" authorId="1" shapeId="0" xr:uid="{9D2B2B37-40DC-4658-9F02-80CBAA740B4E}">
      <text>
        <r>
          <rPr>
            <sz val="11"/>
            <color theme="1"/>
            <rFont val="Aptos Narrow"/>
            <family val="2"/>
            <scheme val="minor"/>
          </rPr>
          <t>Unknown User:
11/8-As per Rhys's note "Got review for taking out water savers, took 2 mins"</t>
        </r>
      </text>
    </comment>
    <comment ref="G251" authorId="1" shapeId="0" xr:uid="{70E8C3C9-7EAC-4D70-90DB-47FE78EF357C}">
      <text>
        <r>
          <rPr>
            <sz val="11"/>
            <color theme="1"/>
            <rFont val="Aptos Narrow"/>
            <family val="2"/>
            <scheme val="minor"/>
          </rPr>
          <t xml:space="preserve">Unknown User:
HIGH POWERED JET BLAST &amp; CCTV DRAIN CAMERA INSPECTION (SEWER SERVICE)
</t>
        </r>
      </text>
    </comment>
    <comment ref="G252" authorId="1" shapeId="0" xr:uid="{13F7F1FB-1D21-4940-BBAC-5633C9204AEB}">
      <text>
        <r>
          <rPr>
            <sz val="11"/>
            <color theme="1"/>
            <rFont val="Aptos Narrow"/>
            <family val="2"/>
            <scheme val="minor"/>
          </rPr>
          <t>Unknown User:
SUPPLY &amp; INSTALLATION OF NEW INSTANTANEOUS GAS HOT WATER SYSTEM (EXTERNAL)
10% Seniors &amp; Pensioners Discount</t>
        </r>
      </text>
    </comment>
    <comment ref="G253" authorId="1" shapeId="0" xr:uid="{B475DC1D-E3E5-446A-B2AC-08A14EBC52AF}">
      <text>
        <r>
          <rPr>
            <sz val="11"/>
            <color theme="1"/>
            <rFont val="Aptos Narrow"/>
            <family val="2"/>
            <scheme val="minor"/>
          </rPr>
          <t xml:space="preserve">Unknown User:
SEARCH AND INVESTIGATION OF GAS INSTANTANEOUS HOT WATER SYSTEM
</t>
        </r>
      </text>
    </comment>
    <comment ref="G254" authorId="1" shapeId="0" xr:uid="{09EF8982-D6A5-4C27-97FD-1E1F1D13FB96}">
      <text>
        <r>
          <rPr>
            <sz val="11"/>
            <color theme="1"/>
            <rFont val="Aptos Narrow"/>
            <family val="2"/>
            <scheme val="minor"/>
          </rPr>
          <t>Unknown User:
SPECIALIST LEAK DETECTION (WATER SERVICE)</t>
        </r>
      </text>
    </comment>
    <comment ref="G255" authorId="1" shapeId="0" xr:uid="{6382160A-E9CB-4DD9-A7DE-DB5FDCF03FB5}">
      <text>
        <r>
          <rPr>
            <sz val="11"/>
            <color theme="1"/>
            <rFont val="Aptos Narrow"/>
            <family val="2"/>
            <scheme val="minor"/>
          </rPr>
          <t>Unknown User:
SPECIALIST LEAK DETECTION (WATER SERVICE)</t>
        </r>
      </text>
    </comment>
    <comment ref="G256" authorId="1" shapeId="0" xr:uid="{44FA8BC7-5F3C-43D2-9589-74C293DC5496}">
      <text>
        <r>
          <rPr>
            <sz val="11"/>
            <color theme="1"/>
            <rFont val="Aptos Narrow"/>
            <family val="2"/>
            <scheme val="minor"/>
          </rPr>
          <t>Unknown User:
HIGH POWERED SUCTION &amp; ACID TREATMENT
SEARCH &amp; INVESTIGATION OF GAS APPLIANCE
FLOOD, DYE, PRESSURE TEST (WET AREA)
15% Good Will Discount</t>
        </r>
      </text>
    </comment>
    <comment ref="G257" authorId="1" shapeId="0" xr:uid="{C5FFEE28-21F3-4017-8F9C-00022FB9291B}">
      <text>
        <r>
          <rPr>
            <sz val="11"/>
            <color theme="1"/>
            <rFont val="Aptos Narrow"/>
            <family val="2"/>
            <scheme val="minor"/>
          </rPr>
          <t>Unknown User:
SEARCH &amp; INVESTIGATION OF GAS APPLIANCE</t>
        </r>
      </text>
    </comment>
    <comment ref="G258" authorId="1" shapeId="0" xr:uid="{B1150767-846B-4FAF-8B1D-08881E08F532}">
      <text>
        <r>
          <rPr>
            <sz val="11"/>
            <color theme="1"/>
            <rFont val="Aptos Narrow"/>
            <family val="2"/>
            <scheme val="minor"/>
          </rPr>
          <t xml:space="preserve">Unknown User:
INSTALLATION OF CUSTOMER SUPPLIED HEAT PUMP (SPA BATH) </t>
        </r>
      </text>
    </comment>
    <comment ref="G260" authorId="1" shapeId="0" xr:uid="{12B2B797-988B-4ADD-95BB-25B97CFA94A7}">
      <text>
        <r>
          <rPr>
            <sz val="11"/>
            <color theme="1"/>
            <rFont val="Aptos Narrow"/>
            <family val="2"/>
            <scheme val="minor"/>
          </rPr>
          <t xml:space="preserve">Unknown User:
REPLACEMENT OF LARGE ROOF MOUNTED SOLAR (GAS BOOSTED) HWS
</t>
        </r>
      </text>
    </comment>
    <comment ref="G261" authorId="1" shapeId="0" xr:uid="{2ACDAA28-E779-4A03-AD5F-D6D300D4ACD7}">
      <text>
        <r>
          <rPr>
            <sz val="11"/>
            <color theme="1"/>
            <rFont val="Aptos Narrow"/>
            <family val="2"/>
            <scheme val="minor"/>
          </rPr>
          <t xml:space="preserve">Unknown User:
CONVERT SOLAR HOT WATER SYSTEM TO EXTERNAL GAS INSTANTANEOUS HOT WATER SYSTEM
</t>
        </r>
      </text>
    </comment>
    <comment ref="G262" authorId="1" shapeId="0" xr:uid="{ADFDC4F8-124E-4AF0-982F-8960868D46FA}">
      <text>
        <r>
          <rPr>
            <sz val="11"/>
            <color theme="1"/>
            <rFont val="Aptos Narrow"/>
            <family val="2"/>
            <scheme val="minor"/>
          </rPr>
          <t xml:space="preserve">Unknown User:
REPLACEMENT OF BOTTOM INLET CISTERN FILLING VALVE
10% Seniors &amp; Pensioners Discount
</t>
        </r>
      </text>
    </comment>
    <comment ref="E284" authorId="7" shapeId="0" xr:uid="{FA7CA6DC-7BDC-4CE1-828D-0878C9A0801F}">
      <text>
        <t>[Threaded comment]
Your version of Excel allows you to read this threaded comment; however, any edits to it will get removed if the file is opened in a newer version of Excel. Learn more: https://go.microsoft.com/fwlink/?linkid=870924
Comment:
    Checked</t>
      </text>
    </comment>
    <comment ref="E285" authorId="8" shapeId="0" xr:uid="{30F743E6-61BC-4B7A-879E-FC2BE6A4D6C3}">
      <text>
        <t>[Threaded comment]
Your version of Excel allows you to read this threaded comment; however, any edits to it will get removed if the file is opened in a newer version of Excel. Learn more: https://go.microsoft.com/fwlink/?linkid=870924
Comment:
    Stock</t>
      </text>
    </comment>
    <comment ref="E286" authorId="9" shapeId="0" xr:uid="{B03A5533-26DD-4589-815E-EDE071E22AC6}">
      <text>
        <t>[Threaded comment]
Your version of Excel allows you to read this threaded comment; however, any edits to it will get removed if the file is opened in a newer version of Excel. Learn more: https://go.microsoft.com/fwlink/?linkid=870924
Comment:
    Stock</t>
      </text>
    </comment>
    <comment ref="E287" authorId="10" shapeId="0" xr:uid="{DDA9E68E-C81F-43D1-BB22-00E133CFB6A3}">
      <text>
        <t>[Threaded comment]
Your version of Excel allows you to read this threaded comment; however, any edits to it will get removed if the file is opened in a newer version of Excel. Learn more: https://go.microsoft.com/fwlink/?linkid=870924
Comment:
    Stock</t>
      </text>
    </comment>
    <comment ref="G294" authorId="1" shapeId="0" xr:uid="{082E84E5-146E-480B-A0C6-5110EB694D77}">
      <text>
        <r>
          <rPr>
            <sz val="11"/>
            <color theme="1"/>
            <rFont val="Aptos Narrow"/>
            <family val="2"/>
            <scheme val="minor"/>
          </rPr>
          <t>Unknown User:
SEARCH &amp; INVESTIGATION - LEAKING TOILET SUITE</t>
        </r>
      </text>
    </comment>
    <comment ref="P294" authorId="1" shapeId="0" xr:uid="{432A4FA0-2373-44A7-8B36-F28DB91C4EFD}">
      <text>
        <r>
          <rPr>
            <sz val="11"/>
            <color theme="1"/>
            <rFont val="Aptos Narrow"/>
            <family val="2"/>
            <scheme val="minor"/>
          </rPr>
          <t>Unknown User:
Quote not emailed</t>
        </r>
      </text>
    </comment>
    <comment ref="S294" authorId="1" shapeId="0" xr:uid="{67802789-D478-4730-8FAC-A513E44AF93A}">
      <text>
        <r>
          <rPr>
            <sz val="11"/>
            <color theme="1"/>
            <rFont val="Aptos Narrow"/>
            <family val="2"/>
            <scheme val="minor"/>
          </rPr>
          <t>Unknown User:
Invoice not emailed</t>
        </r>
      </text>
    </comment>
    <comment ref="G295" authorId="1" shapeId="0" xr:uid="{E197F8BA-2905-4202-AA38-BE4094DD470A}">
      <text>
        <r>
          <rPr>
            <sz val="11"/>
            <color theme="1"/>
            <rFont val="Aptos Narrow"/>
            <family val="2"/>
            <scheme val="minor"/>
          </rPr>
          <t>Unknown User:
HIGH POWERED JET BLAST &amp; CCTV DRAIN CAMERA INSPECTION (SEWER SERVICE)</t>
        </r>
      </text>
    </comment>
    <comment ref="G296" authorId="1" shapeId="0" xr:uid="{966A951C-0875-42CA-91A0-83BDFB462827}">
      <text>
        <r>
          <rPr>
            <sz val="11"/>
            <color theme="1"/>
            <rFont val="Aptos Narrow"/>
            <family val="2"/>
            <scheme val="minor"/>
          </rPr>
          <t>Unknown User:
CAP OFF WATER AND WASTE</t>
        </r>
      </text>
    </comment>
    <comment ref="G297" authorId="1" shapeId="0" xr:uid="{02C71A83-C32E-43B4-B3F0-9B9571987AD5}">
      <text>
        <r>
          <rPr>
            <sz val="11"/>
            <color theme="1"/>
            <rFont val="Aptos Narrow"/>
            <family val="2"/>
            <scheme val="minor"/>
          </rPr>
          <t>Unknown User:
SUPPLY AND INSTALLATION OF NEW BRASS HOSE TAP WITH TIMBER STAKE AND NEW COPPER RISER
WATER SERVICE RECTIFICATION (IN WALL)
10% Seniors &amp; Pensioners Discount</t>
        </r>
      </text>
    </comment>
    <comment ref="P297" authorId="1" shapeId="0" xr:uid="{0F020CCF-1F72-4020-A11E-9BF87A2CC51E}">
      <text>
        <r>
          <rPr>
            <sz val="11"/>
            <color theme="1"/>
            <rFont val="Aptos Narrow"/>
            <family val="2"/>
            <scheme val="minor"/>
          </rPr>
          <t>Unknown User:
Quote not emailed</t>
        </r>
      </text>
    </comment>
    <comment ref="Q297" authorId="1" shapeId="0" xr:uid="{812CA5D3-0A6C-4617-B6FB-61F284873E71}">
      <text>
        <r>
          <rPr>
            <sz val="11"/>
            <color theme="1"/>
            <rFont val="Aptos Narrow"/>
            <family val="2"/>
            <scheme val="minor"/>
          </rPr>
          <t>Unknown User:
Invoice not raised</t>
        </r>
      </text>
    </comment>
    <comment ref="G298" authorId="1" shapeId="0" xr:uid="{08863E44-938F-4C51-9243-71C2CB6EC5E1}">
      <text>
        <r>
          <rPr>
            <sz val="11"/>
            <color theme="1"/>
            <rFont val="Aptos Narrow"/>
            <family val="2"/>
            <scheme val="minor"/>
          </rPr>
          <t>Unknown User:
HIGH POWERED JET BLAST &amp; CCTV DRAIN CAMERA INSPECTION (SEWER SERVICE)</t>
        </r>
      </text>
    </comment>
    <comment ref="R298" authorId="1" shapeId="0" xr:uid="{D5744576-7F1E-440B-A2A9-92B9BF6328DE}">
      <text>
        <r>
          <rPr>
            <sz val="11"/>
            <color theme="1"/>
            <rFont val="Aptos Narrow"/>
            <family val="2"/>
            <scheme val="minor"/>
          </rPr>
          <t>Unknown User:
Invoice not signed</t>
        </r>
      </text>
    </comment>
    <comment ref="S298" authorId="1" shapeId="0" xr:uid="{594AE8DB-FA04-4123-8A70-AD87D9D86063}">
      <text>
        <r>
          <rPr>
            <sz val="11"/>
            <color theme="1"/>
            <rFont val="Aptos Narrow"/>
            <family val="2"/>
            <scheme val="minor"/>
          </rPr>
          <t>Unknown User:
Signed invoice not emailed</t>
        </r>
      </text>
    </comment>
    <comment ref="G299" authorId="1" shapeId="0" xr:uid="{B41BFE29-CF37-427E-8598-5E1F3F49AB59}">
      <text>
        <r>
          <rPr>
            <sz val="11"/>
            <color theme="1"/>
            <rFont val="Aptos Narrow"/>
            <family val="2"/>
            <scheme val="minor"/>
          </rPr>
          <t>Unknown User:
WATER SERVICE RECTIFICATION (EXPOSED)</t>
        </r>
      </text>
    </comment>
    <comment ref="S299" authorId="1" shapeId="0" xr:uid="{CE622312-27A0-400E-B1C9-646D61565301}">
      <text>
        <r>
          <rPr>
            <sz val="11"/>
            <color theme="1"/>
            <rFont val="Aptos Narrow"/>
            <family val="2"/>
            <scheme val="minor"/>
          </rPr>
          <t>Unknown User:
Signed invoice not emailed</t>
        </r>
      </text>
    </comment>
    <comment ref="G304" authorId="1" shapeId="0" xr:uid="{DB0B00B0-9863-4112-826B-47C3563A2727}">
      <text>
        <r>
          <rPr>
            <sz val="11"/>
            <color theme="1"/>
            <rFont val="Aptos Narrow"/>
            <family val="2"/>
            <scheme val="minor"/>
          </rPr>
          <t>Unknown User:
SUPPLY AND INSTALLATION OF INSTANT HOT WATER UNIT</t>
        </r>
      </text>
    </comment>
    <comment ref="R304" authorId="1" shapeId="0" xr:uid="{A9D56C69-F514-4E65-B335-28B967CC999F}">
      <text>
        <r>
          <rPr>
            <sz val="11"/>
            <color theme="1"/>
            <rFont val="Aptos Narrow"/>
            <family val="2"/>
            <scheme val="minor"/>
          </rPr>
          <t>Unknown User:
Invoice not signed</t>
        </r>
      </text>
    </comment>
    <comment ref="S304" authorId="1" shapeId="0" xr:uid="{56A75424-E5E8-45D3-98A0-C7DDFBAB6278}">
      <text>
        <r>
          <rPr>
            <sz val="11"/>
            <color theme="1"/>
            <rFont val="Aptos Narrow"/>
            <family val="2"/>
            <scheme val="minor"/>
          </rPr>
          <t>Unknown User:
Signed invoice not emailed</t>
        </r>
      </text>
    </comment>
    <comment ref="G305" authorId="1" shapeId="0" xr:uid="{12ABF1A8-F20D-4AB4-B80F-60BAB403A602}">
      <text>
        <r>
          <rPr>
            <sz val="11"/>
            <color theme="1"/>
            <rFont val="Aptos Narrow"/>
            <family val="2"/>
            <scheme val="minor"/>
          </rPr>
          <t>Unknown User:
ROOF LEAK SEARCH &amp; INVESTIGATION
10% Seniors &amp; Pensioners Discount</t>
        </r>
      </text>
    </comment>
    <comment ref="R305" authorId="1" shapeId="0" xr:uid="{9A7104BE-3D23-4629-8F4C-7C8B3D15B939}">
      <text>
        <r>
          <rPr>
            <sz val="11"/>
            <color theme="1"/>
            <rFont val="Aptos Narrow"/>
            <family val="2"/>
            <scheme val="minor"/>
          </rPr>
          <t>Unknown User:
Invoice not signed</t>
        </r>
      </text>
    </comment>
    <comment ref="S305" authorId="1" shapeId="0" xr:uid="{C2AB6970-74E4-4BA4-92C7-83F6A8A42413}">
      <text>
        <r>
          <rPr>
            <sz val="11"/>
            <color theme="1"/>
            <rFont val="Aptos Narrow"/>
            <family val="2"/>
            <scheme val="minor"/>
          </rPr>
          <t>Unknown User:
Signed invoice not emailed</t>
        </r>
      </text>
    </comment>
    <comment ref="G309" authorId="1" shapeId="0" xr:uid="{7034C4DB-54FD-447F-B7F9-6CBDF1D2F865}">
      <text>
        <r>
          <rPr>
            <sz val="11"/>
            <color theme="1"/>
            <rFont val="Aptos Narrow"/>
            <family val="2"/>
            <scheme val="minor"/>
          </rPr>
          <t>Unknown User:
SUPPLY &amp; INSTALLATION OF GAS STORAGE HOT WATER SYSTEM (EXTERNAL)</t>
        </r>
      </text>
    </comment>
    <comment ref="G310" authorId="1" shapeId="0" xr:uid="{B945DF71-D882-41D8-A6F2-0FCC55AC3A53}">
      <text>
        <r>
          <rPr>
            <sz val="11"/>
            <color theme="1"/>
            <rFont val="Aptos Narrow"/>
            <family val="2"/>
            <scheme val="minor"/>
          </rPr>
          <t>Unknown User:
REPLACEMENT OF SOLAR FROST VALVE</t>
        </r>
      </text>
    </comment>
    <comment ref="M310" authorId="1" shapeId="0" xr:uid="{20316499-5642-4D2F-8B3A-AFF88B8A4B10}">
      <text>
        <r>
          <rPr>
            <sz val="11"/>
            <color theme="1"/>
            <rFont val="Aptos Narrow"/>
            <family val="2"/>
            <scheme val="minor"/>
          </rPr>
          <t>Unknown User:
Receipt for $150 not uploaded by plumber, now uploaded by Modoras Team</t>
        </r>
      </text>
    </comment>
    <comment ref="P310" authorId="1" shapeId="0" xr:uid="{C4973B63-A425-4694-B8F9-7809F457C41D}">
      <text>
        <r>
          <rPr>
            <sz val="11"/>
            <color theme="1"/>
            <rFont val="Aptos Narrow"/>
            <family val="2"/>
            <scheme val="minor"/>
          </rPr>
          <t>Unknown User:
Quote not emailed</t>
        </r>
      </text>
    </comment>
    <comment ref="G311" authorId="1" shapeId="0" xr:uid="{F1B7FD45-CDB7-4FE1-A6C0-F9BC7AF41297}">
      <text>
        <r>
          <rPr>
            <sz val="11"/>
            <color theme="1"/>
            <rFont val="Aptos Narrow"/>
            <family val="2"/>
            <scheme val="minor"/>
          </rPr>
          <t xml:space="preserve">Unknown User:
ROOF MAINTENANCE </t>
        </r>
      </text>
    </comment>
    <comment ref="N311" authorId="1" shapeId="0" xr:uid="{CB6C1260-57D1-486B-85CB-53961C94E144}">
      <text>
        <r>
          <rPr>
            <sz val="11"/>
            <color theme="1"/>
            <rFont val="Aptos Narrow"/>
            <family val="2"/>
            <scheme val="minor"/>
          </rPr>
          <t>Unknown User:
Quote raised in Job #72515</t>
        </r>
      </text>
    </comment>
    <comment ref="G315" authorId="1" shapeId="0" xr:uid="{B9937A94-6CDA-4375-8CDC-F87BC2E73F84}">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L315" authorId="1" shapeId="0" xr:uid="{3EEC61B5-06E6-4A81-91E3-A4CEB7A4549F}">
      <text>
        <r>
          <rPr>
            <sz val="11"/>
            <color theme="1"/>
            <rFont val="Aptos Narrow"/>
            <family val="2"/>
            <scheme val="minor"/>
          </rPr>
          <t>Unknown User:
Temp check pending</t>
        </r>
      </text>
    </comment>
    <comment ref="P315" authorId="1" shapeId="0" xr:uid="{DB41A485-463A-444D-A6BF-D69126B0E1D5}">
      <text>
        <r>
          <rPr>
            <sz val="11"/>
            <color theme="1"/>
            <rFont val="Aptos Narrow"/>
            <family val="2"/>
            <scheme val="minor"/>
          </rPr>
          <t>Unknown User:
Quote not emailed</t>
        </r>
      </text>
    </comment>
    <comment ref="Q315" authorId="1" shapeId="0" xr:uid="{89E34751-695A-41DA-9088-CC9FF26B2A3F}">
      <text>
        <r>
          <rPr>
            <sz val="11"/>
            <color theme="1"/>
            <rFont val="Aptos Narrow"/>
            <family val="2"/>
            <scheme val="minor"/>
          </rPr>
          <t>Unknown User:
Progress payment of $341.75 not updated in invoice (Signed but amount not recorded).</t>
        </r>
      </text>
    </comment>
    <comment ref="G316" authorId="1" shapeId="0" xr:uid="{3425BE2A-6590-4E87-9AC2-8750DF1F568C}">
      <text>
        <r>
          <rPr>
            <sz val="11"/>
            <color theme="1"/>
            <rFont val="Aptos Narrow"/>
            <family val="2"/>
            <scheme val="minor"/>
          </rPr>
          <t>Unknown User:
STORM WATER RECTIFICATION UP TO 30M
Obtain Service Location Diagram
Obtain Dial Before Dig
Obtain Storm Water Diagram – If Available
Set Up Safe Work Area
Set Up Builders Plastic
Set Up Barricades for Safety
Dig &amp; Excavate Ground Area Up to 30M
Expose Existing Section of Storm Water Service Up to 30M
Locate stormwater entering barrel drain
Expose Existing Storm Water Junctions 
Cut &amp; Remove Existing Section of Storm Water Service Up to 30M
Cut &amp; Remove Existing Storm Water Junctions 
Gain Access to Storm Water Service
Set Up High-Powered Jet Blaster
Set Up High-Powered Mini Reel
Set Up High-Powered Turbines
Re-Jetblast Storm Water Service
Re-Camera and Investigate Further
Supply &amp; Install New Section of Storm Water Service Up to 30M
Supply &amp; Install New Storm Water Junctions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Upsize existing 50mm down pipe to 90mm down pipe
Install new 90mm pop and down pipe to back of house
Connect new stormwater to existing down pipes on shed
Backfill Excavated Area
Test &amp; Commission Installation
Remove Trade Waste
Restore Work Area (Excludes Returfing)
PLEASE NOTE IF FURTHER WORK REQUIRED OTHER THEN QUOTED WORK FURTHER COST WILL APPLY</t>
        </r>
      </text>
    </comment>
    <comment ref="P316" authorId="1" shapeId="0" xr:uid="{FADD9111-D3D3-4662-BBC7-AFDA787AD523}">
      <text>
        <r>
          <rPr>
            <sz val="11"/>
            <color theme="1"/>
            <rFont val="Aptos Narrow"/>
            <family val="2"/>
            <scheme val="minor"/>
          </rPr>
          <t>Unknown User:
Quote not emailed</t>
        </r>
      </text>
    </comment>
    <comment ref="U316" authorId="1" shapeId="0" xr:uid="{A9BBCB68-7A5C-41F8-A696-D3B6FCC0334F}">
      <text>
        <r>
          <rPr>
            <sz val="11"/>
            <color theme="1"/>
            <rFont val="Aptos Narrow"/>
            <family val="2"/>
            <scheme val="minor"/>
          </rPr>
          <t>Unknown User:
31/7-As per Joshua's note "Callback from Prue and Mr Stone,
Complained about
-price of the job, wanted itemised invoice. they were under the assumption that this was a given.
-items on invoice not completed (not specified, said they could talk to Daniel or let me know).
-Humm misunderstanding, they dont trust HUMM even though they've used it in the past. I explained the general process and that we take a 10% deposit and put the customer on a plan for the rest. They werent happy with this, i did say 10% more would be required to clear the balance as limit is $25k.
-multiple trading names, explained this is for marketing purposes and we were in a transitional period.
Asked for them to suggest a resolution as they said they'd "take this further". Invited them to come back to me at any time."</t>
        </r>
      </text>
    </comment>
    <comment ref="G317" authorId="1" shapeId="0" xr:uid="{BF138B5E-4EE3-4EAA-A8F2-52251CF8518C}">
      <text>
        <r>
          <rPr>
            <sz val="11"/>
            <color theme="1"/>
            <rFont val="Aptos Narrow"/>
            <family val="2"/>
            <scheme val="minor"/>
          </rPr>
          <t>Unknown User:
SEARCH &amp; INVESTIGATION OF DOUBLE STOREY ROOF OF POTENTIAL LEAK</t>
        </r>
      </text>
    </comment>
    <comment ref="P317" authorId="1" shapeId="0" xr:uid="{FA18803C-8600-4A78-BD05-3188297ED69C}">
      <text>
        <r>
          <rPr>
            <sz val="11"/>
            <color theme="1"/>
            <rFont val="Aptos Narrow"/>
            <family val="2"/>
            <scheme val="minor"/>
          </rPr>
          <t>Unknown User:
Quote not emailed</t>
        </r>
      </text>
    </comment>
    <comment ref="U317" authorId="1" shapeId="0" xr:uid="{F339CF59-CBF2-4D8F-905D-17566DE7FABF}">
      <text>
        <r>
          <rPr>
            <sz val="11"/>
            <color theme="1"/>
            <rFont val="Aptos Narrow"/>
            <family val="2"/>
            <scheme val="minor"/>
          </rPr>
          <t>Unknown User:
4/8-As per Kylie's note "Spoke to Tara she has already left the property and is refusing to pay any more than 1K she states that we have not done the work to the scope which is correct as no height equipment has been used, nor has the plumber done a test and commission. States based on the 30 mins the plumber has been onsite she is not paying for the quoted amount. States she is now doing her due diligence and asking around and another plumber has told her it should have cost no more than $400. Claims she will pay 1K at the most"</t>
        </r>
      </text>
    </comment>
    <comment ref="G318" authorId="1" shapeId="0" xr:uid="{7110ED58-9E6A-45CD-B07A-1B0B1BFC1149}">
      <text>
        <r>
          <rPr>
            <sz val="11"/>
            <color theme="1"/>
            <rFont val="Aptos Narrow"/>
            <family val="2"/>
            <scheme val="minor"/>
          </rPr>
          <t xml:space="preserve">Unknown User:
SUPPLY &amp; INSTALLATION OF NEW LINK SUITE
INSTALLATION OF FREESTANDING OVEN AND GAS COOKTOP [SAME LOCATION] (CUSTOMER SUPPLIED)
INSTALLATION OF NEW WASHING MACHINE (CUSTOMER SUPPLIED)
INSTALL NEW CUSTOMER SUPPLIED DISHWASHER IN NEW LOCATION
</t>
        </r>
      </text>
    </comment>
    <comment ref="P318" authorId="1" shapeId="0" xr:uid="{9ADC1810-B335-426C-B036-D7643910FAB6}">
      <text>
        <r>
          <rPr>
            <sz val="11"/>
            <color theme="1"/>
            <rFont val="Aptos Narrow"/>
            <family val="2"/>
            <scheme val="minor"/>
          </rPr>
          <t>Unknown User:
Quote not emailed</t>
        </r>
      </text>
    </comment>
    <comment ref="G322" authorId="1" shapeId="0" xr:uid="{6F9E7EC9-635B-42CE-881C-9EF5D44824AE}">
      <text>
        <r>
          <rPr>
            <sz val="11"/>
            <color theme="1"/>
            <rFont val="Aptos Narrow"/>
            <family val="2"/>
            <scheme val="minor"/>
          </rPr>
          <t>Unknown User:
Install concrete slab
Adapt onto downpipe
Run downpipe to tank
Install hose bit
Test and commission
10% Good Will Discount</t>
        </r>
      </text>
    </comment>
    <comment ref="M322" authorId="1" shapeId="0" xr:uid="{FD00A6CE-3D0B-48D1-8F96-4A47746C8B2F}">
      <text>
        <r>
          <rPr>
            <sz val="11"/>
            <color theme="1"/>
            <rFont val="Aptos Narrow"/>
            <family val="2"/>
            <scheme val="minor"/>
          </rPr>
          <t>Unknown User:
Cash pic for $200 not uploaded.</t>
        </r>
      </text>
    </comment>
    <comment ref="W322" authorId="1" shapeId="0" xr:uid="{4DA985DF-4C77-4BA1-8BE5-32D03674E177}">
      <text>
        <r>
          <rPr>
            <sz val="11"/>
            <color theme="1"/>
            <rFont val="Aptos Narrow"/>
            <family val="2"/>
            <scheme val="minor"/>
          </rPr>
          <t>Unknown User:
Cash pic not uploaded</t>
        </r>
      </text>
    </comment>
    <comment ref="G323" authorId="1" shapeId="0" xr:uid="{002134F5-A9AA-4D7B-9DC2-46DC2506271C}">
      <text>
        <r>
          <rPr>
            <sz val="11"/>
            <color theme="1"/>
            <rFont val="Aptos Narrow"/>
            <family val="2"/>
            <scheme val="minor"/>
          </rPr>
          <t xml:space="preserve">Unknown User:
SPECIALIST LEAK DETECTION (WATER SERVICE)
10% Seniors &amp; Pensioners Discount
</t>
        </r>
      </text>
    </comment>
    <comment ref="P323" authorId="1" shapeId="0" xr:uid="{99DBA4C4-E2F4-4877-A1CE-2D9F4C97AC57}">
      <text>
        <r>
          <rPr>
            <sz val="11"/>
            <color theme="1"/>
            <rFont val="Aptos Narrow"/>
            <family val="2"/>
            <scheme val="minor"/>
          </rPr>
          <t>Unknown User:
Quote not emailed</t>
        </r>
      </text>
    </comment>
    <comment ref="U323" authorId="1" shapeId="0" xr:uid="{C3B7AAD8-0B79-41D6-A5B2-CD8E0501E3D4}">
      <text>
        <r>
          <rPr>
            <sz val="11"/>
            <color theme="1"/>
            <rFont val="Aptos Narrow"/>
            <family val="2"/>
            <scheme val="minor"/>
          </rPr>
          <t>Unknown User:
15/8-As per Rhys's note "HUMM messed around for like 2 hours
Client didn’t wanna do it anymore
Collected deposit come back next week"</t>
        </r>
      </text>
    </comment>
    <comment ref="G327" authorId="1" shapeId="0" xr:uid="{1598F2C7-3454-4984-9AF5-1289DFB69060}">
      <text>
        <r>
          <rPr>
            <sz val="11"/>
            <color theme="1"/>
            <rFont val="Aptos Narrow"/>
            <family val="2"/>
            <scheme val="minor"/>
          </rPr>
          <t xml:space="preserve">Unknown User:
SUPPLY &amp; INSTALLATION OF 20MM RPZ VALVE IN WATER SUPPLY (ADJACENT TO EQUIPMENT TO BE PROTECTED)
</t>
        </r>
      </text>
    </comment>
    <comment ref="G328" authorId="1" shapeId="0" xr:uid="{BCDC412B-964E-4C8A-98EF-B25E8533E885}">
      <text>
        <r>
          <rPr>
            <sz val="11"/>
            <color theme="1"/>
            <rFont val="Aptos Narrow"/>
            <family val="2"/>
            <scheme val="minor"/>
          </rPr>
          <t>Unknown User:
SUPPLY &amp; INSTALLATION OF GAS STORAGE HOT WATER SYSTEM (EXTERNAL)
10% Seniors &amp; Pensioners Discount</t>
        </r>
      </text>
    </comment>
    <comment ref="G329" authorId="1" shapeId="0" xr:uid="{F88B551C-F30A-4D86-88FA-AABCA3A1DFA4}">
      <text>
        <r>
          <rPr>
            <sz val="11"/>
            <color theme="1"/>
            <rFont val="Aptos Narrow"/>
            <family val="2"/>
            <scheme val="minor"/>
          </rPr>
          <t>Unknown User:
SEARCH &amp; INVESTIGATION OF GAS STORAGE HOT WATER SYSTEM
10% Seniors &amp; Pensioners Discount</t>
        </r>
      </text>
    </comment>
    <comment ref="G330" authorId="1" shapeId="0" xr:uid="{D7DFCB5B-D111-442D-B85B-620D95AC6AEE}">
      <text>
        <r>
          <rPr>
            <sz val="11"/>
            <color theme="1"/>
            <rFont val="Aptos Narrow"/>
            <family val="2"/>
            <scheme val="minor"/>
          </rPr>
          <t xml:space="preserve">Unknown User:
SUPPLY &amp; INSTALLATION OF GAS STORAGE HOT WATER SYSTEM (EXTERNAL)
10% Seniors &amp; Pensioners Discount </t>
        </r>
      </text>
    </comment>
    <comment ref="G331" authorId="1" shapeId="0" xr:uid="{76FF2A89-AA4E-4E0C-BD2D-11935E4D965B}">
      <text>
        <r>
          <rPr>
            <sz val="11"/>
            <color theme="1"/>
            <rFont val="Aptos Narrow"/>
            <family val="2"/>
            <scheme val="minor"/>
          </rPr>
          <t>Unknown User:
SUPPLY &amp; INSTALLATION OF GAS STORAGE HOT WATER SYSTEM (EXTERNAL)
10% Good Will Discount</t>
        </r>
      </text>
    </comment>
    <comment ref="G332" authorId="1" shapeId="0" xr:uid="{24E8148A-5C05-4AE4-859D-54C3DFA464B7}">
      <text>
        <r>
          <rPr>
            <sz val="11"/>
            <color theme="1"/>
            <rFont val="Aptos Narrow"/>
            <family val="2"/>
            <scheme val="minor"/>
          </rPr>
          <t>Unknown User:
SUPPLY &amp; INSTALLATION OF RAINWATER PUMP WITH RAIN2MAIN WATER SWITCHING UNIT</t>
        </r>
      </text>
    </comment>
    <comment ref="G334" authorId="1" shapeId="0" xr:uid="{6145BB55-9321-4ED0-950E-FDECE0683809}">
      <text>
        <r>
          <rPr>
            <sz val="11"/>
            <color theme="1"/>
            <rFont val="Aptos Narrow"/>
            <family val="2"/>
            <scheme val="minor"/>
          </rPr>
          <t xml:space="preserve">Unknown User:
SUPPLY AND INSTALLATION OF SUBSURFACE DRAINAGE UP TO 12M
</t>
        </r>
      </text>
    </comment>
    <comment ref="G335" authorId="1" shapeId="0" xr:uid="{6E0AFEEB-5899-4EA3-A934-97C5CDB2618F}">
      <text>
        <r>
          <rPr>
            <sz val="11"/>
            <color theme="1"/>
            <rFont val="Aptos Narrow"/>
            <family val="2"/>
            <scheme val="minor"/>
          </rPr>
          <t>Unknown User:
CONVERT SOLAR SPLIT HOT WATER SYSTEM TO EXTERNAL GAS INSTANTANEOUS HOT WATER SYSTEM</t>
        </r>
      </text>
    </comment>
    <comment ref="P335" authorId="1" shapeId="0" xr:uid="{31D95F90-FC54-4027-BFAC-B1DAB0FC1278}">
      <text>
        <r>
          <rPr>
            <sz val="11"/>
            <color theme="1"/>
            <rFont val="Aptos Narrow"/>
            <family val="2"/>
            <scheme val="minor"/>
          </rPr>
          <t>Unknown User:
Quote not emailed</t>
        </r>
      </text>
    </comment>
    <comment ref="G336" authorId="1" shapeId="0" xr:uid="{2453A075-3000-467A-9767-6D9B3187D4BD}">
      <text>
        <r>
          <rPr>
            <sz val="11"/>
            <color theme="1"/>
            <rFont val="Aptos Narrow"/>
            <family val="2"/>
            <scheme val="minor"/>
          </rPr>
          <t>Unknown User:
SEARCH AND INVESTIGATION OF SOLAR SPLIT HOT WATER SYSTEM</t>
        </r>
      </text>
    </comment>
    <comment ref="G337" authorId="1" shapeId="0" xr:uid="{AF3A8CD5-BBCF-41BE-8531-8F9B86B4452F}">
      <text>
        <r>
          <rPr>
            <sz val="11"/>
            <color theme="1"/>
            <rFont val="Aptos Narrow"/>
            <family val="2"/>
            <scheme val="minor"/>
          </rPr>
          <t>Unknown User:
CONVERT SOLAR SPLIT HOT WATER SYSTEM TO EXTERNAL GAS INSTANTANEOUS HOT WATER SYSTEM</t>
        </r>
      </text>
    </comment>
    <comment ref="G338" authorId="1" shapeId="0" xr:uid="{B959FE01-5173-44D0-91F5-7E798EA94584}">
      <text>
        <r>
          <rPr>
            <sz val="11"/>
            <color theme="1"/>
            <rFont val="Aptos Narrow"/>
            <family val="2"/>
            <scheme val="minor"/>
          </rPr>
          <t>Unknown User:
SEWER SPOT DIG - IN GROUND</t>
        </r>
      </text>
    </comment>
    <comment ref="G339" authorId="1" shapeId="0" xr:uid="{6374C8A8-3181-45FA-BB9F-96203265722E}">
      <text>
        <r>
          <rPr>
            <sz val="11"/>
            <color theme="1"/>
            <rFont val="Aptos Narrow"/>
            <family val="2"/>
            <scheme val="minor"/>
          </rPr>
          <t>Unknown User:
SEARCH &amp; INVESTIGATION (GENERAL)</t>
        </r>
      </text>
    </comment>
    <comment ref="G340" authorId="1" shapeId="0" xr:uid="{5F3FD8D5-FD8B-4C00-BAD9-EBDBF376B7D5}">
      <text>
        <r>
          <rPr>
            <sz val="11"/>
            <color theme="1"/>
            <rFont val="Aptos Narrow"/>
            <family val="2"/>
            <scheme val="minor"/>
          </rPr>
          <t>Unknown User:
HIGH POWERED SUCTION &amp; ACID TREATMENT
SUPPLY &amp; INSTALLATION OF RAINWATER PUMP WITH RAIN2MAIN WATER SWITCHING UNIT</t>
        </r>
      </text>
    </comment>
    <comment ref="G341" authorId="1" shapeId="0" xr:uid="{BFBF88A2-AC5C-41CB-921A-BD6C99748B7B}">
      <text>
        <r>
          <rPr>
            <sz val="11"/>
            <color theme="1"/>
            <rFont val="Aptos Narrow"/>
            <family val="2"/>
            <scheme val="minor"/>
          </rPr>
          <t xml:space="preserve">Unknown User:
REPLACEMENT OF BOTTOM INLET CISTERN FILLING VALVE
</t>
        </r>
      </text>
    </comment>
    <comment ref="G343" authorId="1" shapeId="0" xr:uid="{BBD0167F-FADD-4E64-B382-66701669C79A}">
      <text>
        <r>
          <rPr>
            <sz val="11"/>
            <color theme="1"/>
            <rFont val="Aptos Narrow"/>
            <family val="2"/>
            <scheme val="minor"/>
          </rPr>
          <t>Unknown User:
SEARCH &amp; INVESTIGATION OF WASHING MACHINE</t>
        </r>
      </text>
    </comment>
    <comment ref="G344" authorId="1" shapeId="0" xr:uid="{467FF224-77D4-4353-8636-A722DF689B32}">
      <text>
        <r>
          <rPr>
            <sz val="11"/>
            <color theme="1"/>
            <rFont val="Aptos Narrow"/>
            <family val="2"/>
            <scheme val="minor"/>
          </rPr>
          <t>Unknown User:
COMPLETE SERVICE OF TAP TOP ASSEMBLY
COMPLETE SERVICE OF WALL TOP TAPS ASSEMBLY</t>
        </r>
      </text>
    </comment>
    <comment ref="G345" authorId="1" shapeId="0" xr:uid="{22F7B45F-A19B-4291-92D8-D26BD22D53D4}">
      <text>
        <r>
          <rPr>
            <sz val="11"/>
            <color theme="1"/>
            <rFont val="Aptos Narrow"/>
            <family val="2"/>
            <scheme val="minor"/>
          </rPr>
          <t>Unknown User:
SEARCH AND INVESTIGATION OF SOLAR SPLIT HOT WATER SYSTEM</t>
        </r>
      </text>
    </comment>
    <comment ref="E366" authorId="11" shapeId="0" xr:uid="{F713A2B0-1EC4-433A-B615-35D0B67EB6E8}">
      <text>
        <t>[Threaded comment]
Your version of Excel allows you to read this threaded comment; however, any edits to it will get removed if the file is opened in a newer version of Excel. Learn more: https://go.microsoft.com/fwlink/?linkid=870924
Comment:
    5% Comm'ns to be Paid Upon Achieving 5 x 5 Star</t>
      </text>
    </comment>
    <comment ref="E367" authorId="12" shapeId="0" xr:uid="{6CA14D57-48D3-4061-878D-8E7DEAF11C58}">
      <text>
        <t>[Threaded comment]
Your version of Excel allows you to read this threaded comment; however, any edits to it will get removed if the file is opened in a newer version of Excel. Learn more: https://go.microsoft.com/fwlink/?linkid=870924
Comment:
    Checked</t>
      </text>
    </comment>
    <comment ref="E368" authorId="13" shapeId="0" xr:uid="{CC9AAD3B-AC37-4A50-9CF1-0EB7273F3965}">
      <text>
        <t>[Threaded comment]
Your version of Excel allows you to read this threaded comment; however, any edits to it will get removed if the file is opened in a newer version of Excel. Learn more: https://go.microsoft.com/fwlink/?linkid=870924
Comment:
    Checked</t>
      </text>
    </comment>
    <comment ref="G378" authorId="1" shapeId="0" xr:uid="{7FE03671-6C65-43C6-919A-44FE2B2EECF7}">
      <text>
        <r>
          <rPr>
            <sz val="11"/>
            <color theme="1"/>
            <rFont val="Aptos Narrow"/>
            <family val="2"/>
            <scheme val="minor"/>
          </rPr>
          <t>Unknown User:
HIGH POWERED JET BLAST &amp; CCTV DRAIN CAMERA INSPECTION (SEWER SERVICE)</t>
        </r>
      </text>
    </comment>
    <comment ref="Q378" authorId="1" shapeId="0" xr:uid="{69A26115-7D9B-446D-8086-65EA9D869B11}">
      <text>
        <r>
          <rPr>
            <sz val="11"/>
            <color theme="1"/>
            <rFont val="Aptos Narrow"/>
            <family val="2"/>
            <scheme val="minor"/>
          </rPr>
          <t>Unknown User:
Final invoice not raised</t>
        </r>
      </text>
    </comment>
    <comment ref="G379" authorId="1" shapeId="0" xr:uid="{430CA15A-D00E-4D37-AEEA-BF368E7D90DA}">
      <text>
        <r>
          <rPr>
            <sz val="11"/>
            <color theme="1"/>
            <rFont val="Aptos Narrow"/>
            <family val="2"/>
            <scheme val="minor"/>
          </rPr>
          <t>Unknown User:
SEARCH AND INVESTIGATION OF GAS INSTANTANEOUS HOT WATER SYSTEM</t>
        </r>
      </text>
    </comment>
    <comment ref="G380" authorId="1" shapeId="0" xr:uid="{8F458024-16DA-4DAC-9C32-C1DC009ABB92}">
      <text>
        <r>
          <rPr>
            <sz val="11"/>
            <color theme="1"/>
            <rFont val="Aptos Narrow"/>
            <family val="2"/>
            <scheme val="minor"/>
          </rPr>
          <t>Unknown User:
SEARCH &amp; INVESTIGATION OF GAS STORAGE HOT WATER SYSTEM</t>
        </r>
      </text>
    </comment>
    <comment ref="P380" authorId="1" shapeId="0" xr:uid="{8371AD01-0CF6-49D5-AACF-5C46CF0192DE}">
      <text>
        <r>
          <rPr>
            <sz val="11"/>
            <color theme="1"/>
            <rFont val="Aptos Narrow"/>
            <family val="2"/>
            <scheme val="minor"/>
          </rPr>
          <t>Unknown User:
Quote not emailed</t>
        </r>
      </text>
    </comment>
    <comment ref="Q380" authorId="1" shapeId="0" xr:uid="{97814F71-C972-4A18-9916-1642F78C63B7}">
      <text>
        <r>
          <rPr>
            <sz val="11"/>
            <color theme="1"/>
            <rFont val="Aptos Narrow"/>
            <family val="2"/>
            <scheme val="minor"/>
          </rPr>
          <t>Unknown User:
Invoice not raised</t>
        </r>
      </text>
    </comment>
    <comment ref="G381" authorId="1" shapeId="0" xr:uid="{58F4C65F-CBFC-42B7-A819-5CFDBF4FB8CA}">
      <text>
        <r>
          <rPr>
            <sz val="11"/>
            <color theme="1"/>
            <rFont val="Aptos Narrow"/>
            <family val="2"/>
            <scheme val="minor"/>
          </rPr>
          <t>Unknown User:
SERVICE OF OUTLET VALVE - ALL TYPICAL SINGLE AND DUAL FLUSH MODELS</t>
        </r>
      </text>
    </comment>
    <comment ref="G382" authorId="1" shapeId="0" xr:uid="{80BEBAB4-119A-4041-9E66-1893C12837B6}">
      <text>
        <r>
          <rPr>
            <sz val="11"/>
            <color theme="1"/>
            <rFont val="Aptos Narrow"/>
            <family val="2"/>
            <scheme val="minor"/>
          </rPr>
          <t>Unknown User:
SUPPLY &amp; INSTALLATION OF NEW CLOSE COUPLED TOILET SUITE
10% Seniors &amp; Pensioners Discount</t>
        </r>
      </text>
    </comment>
    <comment ref="P382" authorId="1" shapeId="0" xr:uid="{A2D431A4-B776-4327-9C59-AA7BCCDFE3C0}">
      <text>
        <r>
          <rPr>
            <sz val="11"/>
            <color theme="1"/>
            <rFont val="Aptos Narrow"/>
            <family val="2"/>
            <scheme val="minor"/>
          </rPr>
          <t>Unknown User:
Quote not emailed</t>
        </r>
      </text>
    </comment>
    <comment ref="G383" authorId="1" shapeId="0" xr:uid="{B2BEB120-92CF-4D3A-82F0-20A790FE7227}">
      <text>
        <r>
          <rPr>
            <sz val="11"/>
            <color theme="1"/>
            <rFont val="Aptos Narrow"/>
            <family val="2"/>
            <scheme val="minor"/>
          </rPr>
          <t>Unknown User:
REPLACEMENT OF BOTTOM INLET CISTERN FILLING VALVE</t>
        </r>
      </text>
    </comment>
    <comment ref="G384" authorId="1" shapeId="0" xr:uid="{6BCB3614-C986-47B6-BD4F-1035BBA01A1E}">
      <text>
        <r>
          <rPr>
            <sz val="11"/>
            <color theme="1"/>
            <rFont val="Aptos Narrow"/>
            <family val="2"/>
            <scheme val="minor"/>
          </rPr>
          <t>Unknown User:
REPLACEMENT OF SOLAR FROST VALVE</t>
        </r>
      </text>
    </comment>
    <comment ref="S384" authorId="1" shapeId="0" xr:uid="{909EECF2-1683-4718-84F9-01FC2D204180}">
      <text>
        <r>
          <rPr>
            <sz val="11"/>
            <color theme="1"/>
            <rFont val="Aptos Narrow"/>
            <family val="2"/>
            <scheme val="minor"/>
          </rPr>
          <t>Unknown User:
Signed invoice not emailed</t>
        </r>
      </text>
    </comment>
    <comment ref="G385" authorId="1" shapeId="0" xr:uid="{0B117294-A135-42AE-9AB3-AA6FCE1B2C0B}">
      <text>
        <r>
          <rPr>
            <sz val="11"/>
            <color theme="1"/>
            <rFont val="Aptos Narrow"/>
            <family val="2"/>
            <scheme val="minor"/>
          </rPr>
          <t>Unknown User:
REPLACEMENT OF BOTTOM INLET CISTERN FILLING VALVE
COMPLETE SERVICE OF TAP TOP ASSEMBLY</t>
        </r>
      </text>
    </comment>
    <comment ref="G386" authorId="1" shapeId="0" xr:uid="{0F664B98-0E77-40D5-85FE-B3C62AE712A1}">
      <text>
        <r>
          <rPr>
            <sz val="11"/>
            <color theme="1"/>
            <rFont val="Aptos Narrow"/>
            <family val="2"/>
            <scheme val="minor"/>
          </rPr>
          <t>Unknown User:
SEARCH AND INVESTIGATION OF SOLAR SPLIT HOT WATER SYSTEM
10% Seniors &amp; Pensioners Discount</t>
        </r>
      </text>
    </comment>
    <comment ref="Q386" authorId="1" shapeId="0" xr:uid="{979CF9DF-2C28-4F7F-AF2E-A556DDDBF488}">
      <text>
        <r>
          <rPr>
            <sz val="11"/>
            <color theme="1"/>
            <rFont val="Aptos Narrow"/>
            <family val="2"/>
            <scheme val="minor"/>
          </rPr>
          <t>Unknown User:
Invoice not raised</t>
        </r>
      </text>
    </comment>
    <comment ref="G387" authorId="1" shapeId="0" xr:uid="{17D94834-BF9F-4A14-94AA-61A1D698224B}">
      <text>
        <r>
          <rPr>
            <sz val="11"/>
            <color theme="1"/>
            <rFont val="Aptos Narrow"/>
            <family val="2"/>
            <scheme val="minor"/>
          </rPr>
          <t>Unknown User:
HIGH POWERED JET BLAST &amp; CCTV CAMERA INSPECTION (GAIN ACCESS WITH REMOVAL OF TOILET)</t>
        </r>
      </text>
    </comment>
    <comment ref="W387" authorId="1" shapeId="0" xr:uid="{1D663C1F-8F3B-4507-A6F5-A5A8DED5B208}">
      <text>
        <r>
          <rPr>
            <sz val="11"/>
            <color theme="1"/>
            <rFont val="Aptos Narrow"/>
            <family val="2"/>
            <scheme val="minor"/>
          </rPr>
          <t>Unknown User:
Cash denomination
$50*10=$500</t>
        </r>
      </text>
    </comment>
    <comment ref="G388" authorId="1" shapeId="0" xr:uid="{61A4DCC8-4E3B-4377-B987-3EBCE256A82E}">
      <text>
        <r>
          <rPr>
            <sz val="11"/>
            <color theme="1"/>
            <rFont val="Aptos Narrow"/>
            <family val="2"/>
            <scheme val="minor"/>
          </rPr>
          <t>Unknown User:
HIGH POWERED JET BLAST &amp; CCTV DRAIN CAMERA INSPECTION (SEWER SERVICE)
10% Good Will Discount</t>
        </r>
      </text>
    </comment>
    <comment ref="R388" authorId="1" shapeId="0" xr:uid="{AD5C7530-E601-4F1E-B9E6-C287DE019CB5}">
      <text>
        <r>
          <rPr>
            <sz val="11"/>
            <color theme="1"/>
            <rFont val="Aptos Narrow"/>
            <family val="2"/>
            <scheme val="minor"/>
          </rPr>
          <t>Unknown User:
Invoice not signed</t>
        </r>
      </text>
    </comment>
    <comment ref="S388" authorId="1" shapeId="0" xr:uid="{FD680E39-6C84-49A0-B9A7-9FA038754566}">
      <text>
        <r>
          <rPr>
            <sz val="11"/>
            <color theme="1"/>
            <rFont val="Aptos Narrow"/>
            <family val="2"/>
            <scheme val="minor"/>
          </rPr>
          <t>Unknown User:
Invoice emailed without customer sign</t>
        </r>
      </text>
    </comment>
    <comment ref="G389" authorId="1" shapeId="0" xr:uid="{4AC11F13-5073-44E8-8AA6-CCC4D1B238F1}">
      <text>
        <r>
          <rPr>
            <sz val="11"/>
            <color theme="1"/>
            <rFont val="Aptos Narrow"/>
            <family val="2"/>
            <scheme val="minor"/>
          </rPr>
          <t>Unknown User:
SUPPLY &amp; INSTALLATION OF TEMPERING VALVE</t>
        </r>
      </text>
    </comment>
    <comment ref="G390" authorId="1" shapeId="0" xr:uid="{BBBD2402-EFEA-4EE9-845D-EACD29DA4946}">
      <text>
        <r>
          <rPr>
            <sz val="11"/>
            <color theme="1"/>
            <rFont val="Aptos Narrow"/>
            <family val="2"/>
            <scheme val="minor"/>
          </rPr>
          <t>Unknown User:
CONVERT EXTERNAL GAS STORAGE HOT WATER SYSTEM TO EXTERNAL GAS INSTANTANEOUS HOT WATER SYSTEM</t>
        </r>
      </text>
    </comment>
    <comment ref="S390" authorId="1" shapeId="0" xr:uid="{CC670AFE-358D-48F5-A2AB-7D3BCF55BEF0}">
      <text>
        <r>
          <rPr>
            <sz val="11"/>
            <color theme="1"/>
            <rFont val="Aptos Narrow"/>
            <family val="2"/>
            <scheme val="minor"/>
          </rPr>
          <t>Unknown User:
Signed invoice copy not emailed</t>
        </r>
      </text>
    </comment>
    <comment ref="G391" authorId="1" shapeId="0" xr:uid="{E8E9A63B-BBAA-40B8-ABB4-DEC8CF2527DA}">
      <text>
        <r>
          <rPr>
            <sz val="11"/>
            <color theme="1"/>
            <rFont val="Aptos Narrow"/>
            <family val="2"/>
            <scheme val="minor"/>
          </rPr>
          <t>Unknown User:
DECOMMISSION OF EXISTING DISHWASHER &amp; MAKE SAFE</t>
        </r>
      </text>
    </comment>
    <comment ref="P391" authorId="1" shapeId="0" xr:uid="{E07DFBB6-FC4C-4E0A-9A9D-B85747E1DEF6}">
      <text>
        <r>
          <rPr>
            <sz val="11"/>
            <color theme="1"/>
            <rFont val="Aptos Narrow"/>
            <family val="2"/>
            <scheme val="minor"/>
          </rPr>
          <t>Unknown User:
Quote not emailed</t>
        </r>
      </text>
    </comment>
    <comment ref="S391" authorId="1" shapeId="0" xr:uid="{E11EC11B-7D67-4C4F-A031-8E194C29B7EF}">
      <text>
        <r>
          <rPr>
            <sz val="11"/>
            <color theme="1"/>
            <rFont val="Aptos Narrow"/>
            <family val="2"/>
            <scheme val="minor"/>
          </rPr>
          <t>Unknown User:
Signed invoice not emailed</t>
        </r>
      </text>
    </comment>
    <comment ref="G396" authorId="1" shapeId="0" xr:uid="{D22AD0D9-4AEE-4240-8FC5-D700B7067AC0}">
      <text>
        <r>
          <rPr>
            <sz val="11"/>
            <color theme="1"/>
            <rFont val="Aptos Narrow"/>
            <family val="2"/>
            <scheme val="minor"/>
          </rPr>
          <t xml:space="preserve">Unknown User:
HIGH POWERED JET BLAST &amp; CCTV DRAIN CAMERA INSPECTION (SEWER SERVICE)
</t>
        </r>
      </text>
    </comment>
    <comment ref="L396" authorId="1" shapeId="0" xr:uid="{997BD556-3B1D-4163-B1FE-6BBA302A1BF0}">
      <text>
        <r>
          <rPr>
            <sz val="11"/>
            <color theme="1"/>
            <rFont val="Aptos Narrow"/>
            <family val="2"/>
            <scheme val="minor"/>
          </rPr>
          <t>Unknown User:
CCTV pics/videos not uploaded</t>
        </r>
      </text>
    </comment>
    <comment ref="P396" authorId="1" shapeId="0" xr:uid="{CF299F6A-87C0-483D-8360-A77993EE10DD}">
      <text>
        <r>
          <rPr>
            <sz val="11"/>
            <color theme="1"/>
            <rFont val="Aptos Narrow"/>
            <family val="2"/>
            <scheme val="minor"/>
          </rPr>
          <t>Unknown User:
Quote not emailed</t>
        </r>
      </text>
    </comment>
    <comment ref="S396" authorId="1" shapeId="0" xr:uid="{500EB270-314E-49AC-B047-12A8C8DC2FAC}">
      <text>
        <r>
          <rPr>
            <sz val="11"/>
            <color theme="1"/>
            <rFont val="Aptos Narrow"/>
            <family val="2"/>
            <scheme val="minor"/>
          </rPr>
          <t>Unknown User:
Signed invoice not emailed</t>
        </r>
      </text>
    </comment>
    <comment ref="V396" authorId="1" shapeId="0" xr:uid="{7D66BCE1-6D21-4CA0-A7C5-9DAF75FC219C}">
      <text>
        <r>
          <rPr>
            <sz val="11"/>
            <color theme="1"/>
            <rFont val="Aptos Narrow"/>
            <family val="2"/>
            <scheme val="minor"/>
          </rPr>
          <t>Unknown User:
Overpayment by $93.50</t>
        </r>
      </text>
    </comment>
    <comment ref="G397" authorId="1" shapeId="0" xr:uid="{EE461E8D-BA77-4899-B178-D8088D2AD024}">
      <text>
        <r>
          <rPr>
            <sz val="11"/>
            <color theme="1"/>
            <rFont val="Aptos Narrow"/>
            <family val="2"/>
            <scheme val="minor"/>
          </rPr>
          <t>Unknown User:
SUPPLY &amp; INSTALLATION OF NEW INSTANTANEOUS GAS HOT WATER SYSTEM (EXTERNAL)</t>
        </r>
      </text>
    </comment>
    <comment ref="M397" authorId="1" shapeId="0" xr:uid="{35D3B671-FAD2-4064-9102-55DFD19E4B1A}">
      <text>
        <r>
          <rPr>
            <sz val="11"/>
            <color theme="1"/>
            <rFont val="Aptos Narrow"/>
            <family val="2"/>
            <scheme val="minor"/>
          </rPr>
          <t>Unknown User:
Smartpay receipt of $600 not uploaded by plumber.
Uploaded by Modoras team</t>
        </r>
      </text>
    </comment>
    <comment ref="P397" authorId="1" shapeId="0" xr:uid="{F1C0526E-51CC-4BE7-BF7E-69EAC97E5A7D}">
      <text>
        <r>
          <rPr>
            <sz val="11"/>
            <color theme="1"/>
            <rFont val="Aptos Narrow"/>
            <family val="2"/>
            <scheme val="minor"/>
          </rPr>
          <t>Unknown User:
Quote not emailed</t>
        </r>
      </text>
    </comment>
    <comment ref="S397" authorId="1" shapeId="0" xr:uid="{586F1FE7-95B1-4C44-BAB6-EFC14208C853}">
      <text>
        <r>
          <rPr>
            <sz val="11"/>
            <color theme="1"/>
            <rFont val="Aptos Narrow"/>
            <family val="2"/>
            <scheme val="minor"/>
          </rPr>
          <t>Unknown User:
Signed invoice not emailed</t>
        </r>
      </text>
    </comment>
    <comment ref="G401" authorId="1" shapeId="0" xr:uid="{F4F6D695-0AF1-4228-A73C-8B5732EB8F16}">
      <text>
        <r>
          <rPr>
            <sz val="11"/>
            <color theme="1"/>
            <rFont val="Aptos Narrow"/>
            <family val="2"/>
            <scheme val="minor"/>
          </rPr>
          <t>Unknown User:
SUPPLY &amp; INSTALLATION OF GAS STORAGE HOT WATER SYSTEM (EXTERNAL)</t>
        </r>
      </text>
    </comment>
    <comment ref="G402" authorId="1" shapeId="0" xr:uid="{EA99FDB7-7A2E-4759-862E-7B65A86ACD32}">
      <text>
        <r>
          <rPr>
            <sz val="11"/>
            <color theme="1"/>
            <rFont val="Aptos Narrow"/>
            <family val="2"/>
            <scheme val="minor"/>
          </rPr>
          <t>Unknown User:
REPLACEMENT OF SOLAR FROST VALVE</t>
        </r>
      </text>
    </comment>
    <comment ref="M402" authorId="1" shapeId="0" xr:uid="{3288CACE-47AE-4D1B-B54C-993C06EFBF6C}">
      <text>
        <r>
          <rPr>
            <sz val="11"/>
            <color theme="1"/>
            <rFont val="Aptos Narrow"/>
            <family val="2"/>
            <scheme val="minor"/>
          </rPr>
          <t>Unknown User:
Receipt for $150 not uploaded by plumber, now uploaded by Modoras Team</t>
        </r>
      </text>
    </comment>
    <comment ref="P402" authorId="1" shapeId="0" xr:uid="{5F9533DB-DEA7-4589-9AC2-0CE97890AF61}">
      <text>
        <r>
          <rPr>
            <sz val="11"/>
            <color theme="1"/>
            <rFont val="Aptos Narrow"/>
            <family val="2"/>
            <scheme val="minor"/>
          </rPr>
          <t>Unknown User:
Quote not emailed</t>
        </r>
      </text>
    </comment>
    <comment ref="G406" authorId="1" shapeId="0" xr:uid="{D2D8D06D-5BAE-4CCC-9713-ED4BF88E4A6A}">
      <text>
        <r>
          <rPr>
            <sz val="11"/>
            <color theme="1"/>
            <rFont val="Aptos Narrow"/>
            <family val="2"/>
            <scheme val="minor"/>
          </rPr>
          <t xml:space="preserve">Unknown User:
CONVERT SOLAR SPLIT HOT WATER SYSTEM TO EXTERNAL GAS INSTANTANEOUS HOT WATER SYSTEM
SUPPLY AND INSTALLATION OF PRESSURE REGULATING DEVICE FITTED TO 20MM STRAIGHT PIPEWORK
10% Seniors &amp; Pensioners Discount
CREDIT OF SEARCH &amp; INVESTIGATION </t>
        </r>
      </text>
    </comment>
    <comment ref="L406" authorId="1" shapeId="0" xr:uid="{85A5FB75-3445-4205-B9E3-34849ACC4BB2}">
      <text>
        <r>
          <rPr>
            <sz val="11"/>
            <color theme="1"/>
            <rFont val="Aptos Narrow"/>
            <family val="2"/>
            <scheme val="minor"/>
          </rPr>
          <t>Unknown User:
Temp check not performed</t>
        </r>
      </text>
    </comment>
    <comment ref="P406" authorId="1" shapeId="0" xr:uid="{3713F4E2-C9A1-41C6-A704-7D3201CBE762}">
      <text>
        <r>
          <rPr>
            <sz val="11"/>
            <color theme="1"/>
            <rFont val="Aptos Narrow"/>
            <family val="2"/>
            <scheme val="minor"/>
          </rPr>
          <t>Unknown User:
Quote not emailed</t>
        </r>
      </text>
    </comment>
    <comment ref="R406" authorId="1" shapeId="0" xr:uid="{1FB56CC0-6D1D-4ECB-B002-60AEDCBAA14B}">
      <text>
        <r>
          <rPr>
            <sz val="11"/>
            <color theme="1"/>
            <rFont val="Aptos Narrow"/>
            <family val="2"/>
            <scheme val="minor"/>
          </rPr>
          <t>Unknown User:
Invoice not signed</t>
        </r>
      </text>
    </comment>
    <comment ref="S406" authorId="1" shapeId="0" xr:uid="{F3DEF26F-6AAD-4EC5-B0AD-649DAD3CA7E6}">
      <text>
        <r>
          <rPr>
            <sz val="11"/>
            <color theme="1"/>
            <rFont val="Aptos Narrow"/>
            <family val="2"/>
            <scheme val="minor"/>
          </rPr>
          <t>Unknown User:
Invoice emailed without sign.</t>
        </r>
      </text>
    </comment>
    <comment ref="T406" authorId="1" shapeId="0" xr:uid="{553D06F1-A355-4F9D-9D07-BDA72A3340EF}">
      <text>
        <r>
          <rPr>
            <sz val="11"/>
            <color theme="1"/>
            <rFont val="Aptos Narrow"/>
            <family val="2"/>
            <scheme val="minor"/>
          </rPr>
          <t>Unknown User:
0.5x Tolga Bal
0.5x Rhys</t>
        </r>
      </text>
    </comment>
    <comment ref="G410" authorId="1" shapeId="0" xr:uid="{7C7CBD40-E78A-48C7-B205-F0D4D612F30D}">
      <text>
        <r>
          <rPr>
            <sz val="11"/>
            <color theme="1"/>
            <rFont val="Aptos Narrow"/>
            <family val="2"/>
            <scheme val="minor"/>
          </rPr>
          <t xml:space="preserve">Unknown User:
SUPPLY &amp; INSTALLATION OF NEW SHOWER WALL TOP TAPS
REPLACEMENT OF TAP TOPS
10% Good Will Discount </t>
        </r>
      </text>
    </comment>
    <comment ref="P410" authorId="1" shapeId="0" xr:uid="{0CBD7089-4859-44F9-85AE-65AF4B45624C}">
      <text>
        <r>
          <rPr>
            <sz val="11"/>
            <color theme="1"/>
            <rFont val="Aptos Narrow"/>
            <family val="2"/>
            <scheme val="minor"/>
          </rPr>
          <t>Unknown User:
Quote not emailed</t>
        </r>
      </text>
    </comment>
    <comment ref="G411" authorId="1" shapeId="0" xr:uid="{C8B1E5C4-4206-4C82-893A-2C86ED8F9B3B}">
      <text>
        <r>
          <rPr>
            <sz val="11"/>
            <color theme="1"/>
            <rFont val="Aptos Narrow"/>
            <family val="2"/>
            <scheme val="minor"/>
          </rPr>
          <t>Unknown User:
REPLACEMENT OF PLUG &amp; WASTE - 40MM
MIXER TAP - GOOSE NECK
10% Good Will Discount 
CHEMICAL DRAIN CLEANING TREATMENT</t>
        </r>
      </text>
    </comment>
    <comment ref="V411" authorId="1" shapeId="0" xr:uid="{07561393-D598-432F-B15A-B51F04B7229D}">
      <text>
        <r>
          <rPr>
            <sz val="11"/>
            <color theme="1"/>
            <rFont val="Aptos Narrow"/>
            <family val="2"/>
            <scheme val="minor"/>
          </rPr>
          <t>Unknown User:
1/9-Received $707.60 by Smartpay</t>
        </r>
      </text>
    </comment>
    <comment ref="G415" authorId="1" shapeId="0" xr:uid="{02ADC156-F69D-4D0B-8BF4-DA8957B8D0A8}">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L415" authorId="1" shapeId="0" xr:uid="{630DE13F-FBCD-43E7-B78F-DB682F8CA999}">
      <text>
        <r>
          <rPr>
            <sz val="11"/>
            <color theme="1"/>
            <rFont val="Aptos Narrow"/>
            <family val="2"/>
            <scheme val="minor"/>
          </rPr>
          <t>Unknown User:
Temp check pending</t>
        </r>
      </text>
    </comment>
    <comment ref="P415" authorId="1" shapeId="0" xr:uid="{738615E2-29E3-4551-A6A0-65422ABC3C68}">
      <text>
        <r>
          <rPr>
            <sz val="11"/>
            <color theme="1"/>
            <rFont val="Aptos Narrow"/>
            <family val="2"/>
            <scheme val="minor"/>
          </rPr>
          <t>Unknown User:
Quote not emailed</t>
        </r>
      </text>
    </comment>
    <comment ref="Q415" authorId="1" shapeId="0" xr:uid="{D13FED8F-0FD2-4A21-8912-2BE82A9CA809}">
      <text>
        <r>
          <rPr>
            <sz val="11"/>
            <color theme="1"/>
            <rFont val="Aptos Narrow"/>
            <family val="2"/>
            <scheme val="minor"/>
          </rPr>
          <t>Unknown User:
Progress payment of $341.75 not updated in invoice (Signed but amount not recorded).</t>
        </r>
      </text>
    </comment>
    <comment ref="G416" authorId="1" shapeId="0" xr:uid="{3969D261-BEB3-421E-A964-D5BD24F6F8A8}">
      <text>
        <r>
          <rPr>
            <sz val="11"/>
            <color theme="1"/>
            <rFont val="Aptos Narrow"/>
            <family val="2"/>
            <scheme val="minor"/>
          </rPr>
          <t>Unknown User:
STORM WATER RECTIFICATION UP TO 30M
Obtain Service Location Diagram
Obtain Dial Before Dig
Obtain Storm Water Diagram – If Available
Set Up Safe Work Area
Set Up Builders Plastic
Set Up Barricades for Safety
Dig &amp; Excavate Ground Area Up to 30M
Expose Existing Section of Storm Water Service Up to 30M
Locate stormwater entering barrel drain
Expose Existing Storm Water Junctions 
Cut &amp; Remove Existing Section of Storm Water Service Up to 30M
Cut &amp; Remove Existing Storm Water Junctions 
Gain Access to Storm Water Service
Set Up High-Powered Jet Blaster
Set Up High-Powered Mini Reel
Set Up High-Powered Turbines
Re-Jetblast Storm Water Service
Re-Camera and Investigate Further
Supply &amp; Install New Section of Storm Water Service Up to 30M
Supply &amp; Install New Storm Water Junctions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Upsize existing 50mm down pipe to 90mm down pipe
Install new 90mm pop and down pipe to back of house
Connect new stormwater to existing down pipes on shed
Backfill Excavated Area
Test &amp; Commission Installation
Remove Trade Waste
Restore Work Area (Excludes Returfing)
PLEASE NOTE IF FURTHER WORK REQUIRED OTHER THEN QUOTED WORK FURTHER COST WILL APPLY</t>
        </r>
      </text>
    </comment>
    <comment ref="P416" authorId="1" shapeId="0" xr:uid="{A1B04ADF-CA1B-4881-B74B-131A373BA843}">
      <text>
        <r>
          <rPr>
            <sz val="11"/>
            <color theme="1"/>
            <rFont val="Aptos Narrow"/>
            <family val="2"/>
            <scheme val="minor"/>
          </rPr>
          <t>Unknown User:
Quote not emailed</t>
        </r>
      </text>
    </comment>
    <comment ref="U416" authorId="1" shapeId="0" xr:uid="{E61A9429-171E-4F35-9BB4-C51BF1071F6D}">
      <text>
        <r>
          <rPr>
            <sz val="11"/>
            <color theme="1"/>
            <rFont val="Aptos Narrow"/>
            <family val="2"/>
            <scheme val="minor"/>
          </rPr>
          <t>Unknown User:
31/7-As per Joshua's note "Callback from Prue and Mr Stone,
Complained about
-price of the job, wanted itemised invoice. they were under the assumption that this was a given.
-items on invoice not completed (not specified, said they could talk to Daniel or let me know).
-Humm misunderstanding, they dont trust HUMM even though they've used it in the past. I explained the general process and that we take a 10% deposit and put the customer on a plan for the rest. They werent happy with this, i did say 10% more would be required to clear the balance as limit is $25k.
-multiple trading names, explained this is for marketing purposes and we were in a transitional period.
Asked for them to suggest a resolution as they said they'd "take this further". Invited them to come back to me at any time."</t>
        </r>
      </text>
    </comment>
    <comment ref="G417" authorId="1" shapeId="0" xr:uid="{3B4A37A3-C118-4AB1-B989-740D61B5051F}">
      <text>
        <r>
          <rPr>
            <sz val="11"/>
            <color theme="1"/>
            <rFont val="Aptos Narrow"/>
            <family val="2"/>
            <scheme val="minor"/>
          </rPr>
          <t>Unknown User:
SEARCH &amp; INVESTIGATION OF DOUBLE STOREY ROOF OF POTENTIAL LEAK</t>
        </r>
      </text>
    </comment>
    <comment ref="P417" authorId="1" shapeId="0" xr:uid="{6C06D69D-4547-4728-9E27-58209349CCE8}">
      <text>
        <r>
          <rPr>
            <sz val="11"/>
            <color theme="1"/>
            <rFont val="Aptos Narrow"/>
            <family val="2"/>
            <scheme val="minor"/>
          </rPr>
          <t>Unknown User:
Quote not emailed</t>
        </r>
      </text>
    </comment>
    <comment ref="U417" authorId="1" shapeId="0" xr:uid="{EB21AB96-9252-4048-A532-01F19D8587D9}">
      <text>
        <r>
          <rPr>
            <sz val="11"/>
            <color theme="1"/>
            <rFont val="Aptos Narrow"/>
            <family val="2"/>
            <scheme val="minor"/>
          </rPr>
          <t>Unknown User:
4/8-As per Kylie's note "Spoke to Tara she has already left the property and is refusing to pay any more than 1K she states that we have not done the work to the scope which is correct as no height equipment has been used, nor has the plumber done a test and commission. States based on the 30 mins the plumber has been onsite she is not paying for the quoted amount. States she is now doing her due diligence and asking around and another plumber has told her it should have cost no more than $400. Claims she will pay 1K at the most"</t>
        </r>
      </text>
    </comment>
    <comment ref="G418" authorId="1" shapeId="0" xr:uid="{BF55E4BE-7ADD-4B20-AE6B-5AE4B52AE5D2}">
      <text>
        <r>
          <rPr>
            <sz val="11"/>
            <color theme="1"/>
            <rFont val="Aptos Narrow"/>
            <family val="2"/>
            <scheme val="minor"/>
          </rPr>
          <t xml:space="preserve">Unknown User:
SUPPLY &amp; INSTALLATION OF NEW LINK SUITE
INSTALLATION OF FREESTANDING OVEN AND GAS COOKTOP [SAME LOCATION] (CUSTOMER SUPPLIED)
INSTALLATION OF NEW WASHING MACHINE (CUSTOMER SUPPLIED)
INSTALL NEW CUSTOMER SUPPLIED DISHWASHER IN NEW LOCATION
</t>
        </r>
      </text>
    </comment>
    <comment ref="P418" authorId="1" shapeId="0" xr:uid="{16345064-8F6C-47E6-BDAE-89F472E92818}">
      <text>
        <r>
          <rPr>
            <sz val="11"/>
            <color theme="1"/>
            <rFont val="Aptos Narrow"/>
            <family val="2"/>
            <scheme val="minor"/>
          </rPr>
          <t>Unknown User:
Quote not emailed</t>
        </r>
      </text>
    </comment>
    <comment ref="A419" authorId="14" shapeId="0" xr:uid="{B420EA88-3459-4F24-92C6-54553D47B3C5}">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419" authorId="1" shapeId="0" xr:uid="{2D846A07-CE84-4927-95DC-4F9B83CA9BAF}">
      <text>
        <r>
          <rPr>
            <sz val="11"/>
            <color theme="1"/>
            <rFont val="Aptos Narrow"/>
            <family val="2"/>
            <scheme val="minor"/>
          </rPr>
          <t>Unknown User:
SUPPLY AND INSTALLATION OF INSTANT HOT WATER UNIT</t>
        </r>
      </text>
    </comment>
    <comment ref="R419" authorId="1" shapeId="0" xr:uid="{1CA365E7-66CD-4C08-BF3E-C387C42EBDE1}">
      <text>
        <r>
          <rPr>
            <sz val="11"/>
            <color theme="1"/>
            <rFont val="Aptos Narrow"/>
            <family val="2"/>
            <scheme val="minor"/>
          </rPr>
          <t>Unknown User:
Invoice not signed</t>
        </r>
      </text>
    </comment>
    <comment ref="S419" authorId="1" shapeId="0" xr:uid="{32443FAF-5C47-484C-895B-31F855C35AAA}">
      <text>
        <r>
          <rPr>
            <sz val="11"/>
            <color theme="1"/>
            <rFont val="Aptos Narrow"/>
            <family val="2"/>
            <scheme val="minor"/>
          </rPr>
          <t>Unknown User:
Signed invoice not emailed</t>
        </r>
      </text>
    </comment>
    <comment ref="G420" authorId="1" shapeId="0" xr:uid="{047C2FB5-E389-4832-A455-8A60E5D1319F}">
      <text>
        <r>
          <rPr>
            <sz val="11"/>
            <color theme="1"/>
            <rFont val="Aptos Narrow"/>
            <family val="2"/>
            <scheme val="minor"/>
          </rPr>
          <t>Unknown User:
ROOF LEAK SEARCH &amp; INVESTIGATION
10% Seniors &amp; Pensioners Discount</t>
        </r>
      </text>
    </comment>
    <comment ref="R420" authorId="1" shapeId="0" xr:uid="{DE288C70-AC4B-4556-9EEA-1B9ADFC7CC1E}">
      <text>
        <r>
          <rPr>
            <sz val="11"/>
            <color theme="1"/>
            <rFont val="Aptos Narrow"/>
            <family val="2"/>
            <scheme val="minor"/>
          </rPr>
          <t>Unknown User:
Invoice not signed</t>
        </r>
      </text>
    </comment>
    <comment ref="S420" authorId="1" shapeId="0" xr:uid="{B1774CB4-4522-4722-B782-4BCB869E2234}">
      <text>
        <r>
          <rPr>
            <sz val="11"/>
            <color theme="1"/>
            <rFont val="Aptos Narrow"/>
            <family val="2"/>
            <scheme val="minor"/>
          </rPr>
          <t>Unknown User:
Signed invoice not emailed</t>
        </r>
      </text>
    </comment>
    <comment ref="G424" authorId="1" shapeId="0" xr:uid="{9F1755F5-86FA-483A-969A-8B82D9727F36}">
      <text>
        <r>
          <rPr>
            <sz val="11"/>
            <color theme="1"/>
            <rFont val="Aptos Narrow"/>
            <family val="2"/>
            <scheme val="minor"/>
          </rPr>
          <t>Unknown User:
Install concrete slab
Adapt onto downpipe
Run downpipe to tank
Install hose bit
Test and commission
10% Good Will Discount</t>
        </r>
      </text>
    </comment>
    <comment ref="M424" authorId="1" shapeId="0" xr:uid="{A33A7B86-0FA8-4471-BC5A-7FB768F403E1}">
      <text>
        <r>
          <rPr>
            <sz val="11"/>
            <color theme="1"/>
            <rFont val="Aptos Narrow"/>
            <family val="2"/>
            <scheme val="minor"/>
          </rPr>
          <t>Unknown User:
Cash pic for $200 not uploaded.</t>
        </r>
      </text>
    </comment>
    <comment ref="W424" authorId="1" shapeId="0" xr:uid="{7D395F21-12F4-4FD5-A090-1D0645173B47}">
      <text>
        <r>
          <rPr>
            <sz val="11"/>
            <color theme="1"/>
            <rFont val="Aptos Narrow"/>
            <family val="2"/>
            <scheme val="minor"/>
          </rPr>
          <t>Unknown User:
Cash pic not uploaded</t>
        </r>
      </text>
    </comment>
    <comment ref="G425" authorId="1" shapeId="0" xr:uid="{10F4D084-C9C4-49F3-8661-F17C2953AEEB}">
      <text>
        <r>
          <rPr>
            <sz val="11"/>
            <color theme="1"/>
            <rFont val="Aptos Narrow"/>
            <family val="2"/>
            <scheme val="minor"/>
          </rPr>
          <t xml:space="preserve">Unknown User:
SPECIALIST LEAK DETECTION (WATER SERVICE)
10% Seniors &amp; Pensioners Discount
</t>
        </r>
      </text>
    </comment>
    <comment ref="P425" authorId="1" shapeId="0" xr:uid="{0B332DC5-0E09-4063-861E-826042FB3724}">
      <text>
        <r>
          <rPr>
            <sz val="11"/>
            <color theme="1"/>
            <rFont val="Aptos Narrow"/>
            <family val="2"/>
            <scheme val="minor"/>
          </rPr>
          <t>Unknown User:
Quote not emailed</t>
        </r>
      </text>
    </comment>
    <comment ref="U425" authorId="1" shapeId="0" xr:uid="{6438EFD2-1EEF-459D-BB4D-0EADCBDEEB0E}">
      <text>
        <r>
          <rPr>
            <sz val="11"/>
            <color theme="1"/>
            <rFont val="Aptos Narrow"/>
            <family val="2"/>
            <scheme val="minor"/>
          </rPr>
          <t>Unknown User:
15/8-As per Rhys's note "HUMM messed around for like 2 hours
Client didn’t wanna do it anymore
Collected deposit come back next week"</t>
        </r>
      </text>
    </comment>
    <comment ref="G426" authorId="1" shapeId="0" xr:uid="{16AEFCE5-226C-4AB9-A4EB-9A5D6BD840E1}">
      <text>
        <r>
          <rPr>
            <sz val="11"/>
            <color theme="1"/>
            <rFont val="Aptos Narrow"/>
            <family val="2"/>
            <scheme val="minor"/>
          </rPr>
          <t xml:space="preserve">Unknown User:
ROOF MAINTENANCE </t>
        </r>
      </text>
    </comment>
    <comment ref="N426" authorId="1" shapeId="0" xr:uid="{E8F9B192-8D37-4C96-984B-9AC359CE4248}">
      <text>
        <r>
          <rPr>
            <sz val="11"/>
            <color theme="1"/>
            <rFont val="Aptos Narrow"/>
            <family val="2"/>
            <scheme val="minor"/>
          </rPr>
          <t>Unknown User:
Quote raised in Job #72515</t>
        </r>
      </text>
    </comment>
    <comment ref="G430" authorId="1" shapeId="0" xr:uid="{178B6B07-02AD-4EC5-9919-2DDDD2B05D6D}">
      <text>
        <r>
          <rPr>
            <sz val="11"/>
            <color theme="1"/>
            <rFont val="Aptos Narrow"/>
            <family val="2"/>
            <scheme val="minor"/>
          </rPr>
          <t>Unknown User:
SUPPLY &amp; INSTALLATION OF NEW INSTANTANEOUS GAS HOT WATER SYSTEM (INTERNAL)
SPECIALIST GAS LEAK DETECTION
10% Good Will Discount</t>
        </r>
      </text>
    </comment>
    <comment ref="G431" authorId="1" shapeId="0" xr:uid="{54666A82-6FBC-4DF5-9580-C7327594B4B4}">
      <text>
        <r>
          <rPr>
            <sz val="11"/>
            <color theme="1"/>
            <rFont val="Aptos Narrow"/>
            <family val="2"/>
            <scheme val="minor"/>
          </rPr>
          <t xml:space="preserve">Unknown User:
SEARCH AND INVESTIGATION OF GAS INSTANTANEOUS HOT WATER SYSTEM
</t>
        </r>
      </text>
    </comment>
    <comment ref="G433" authorId="1" shapeId="0" xr:uid="{274AA34A-4855-4B05-BDEF-5F2B1140720D}">
      <text>
        <r>
          <rPr>
            <sz val="11"/>
            <color theme="1"/>
            <rFont val="Aptos Narrow"/>
            <family val="2"/>
            <scheme val="minor"/>
          </rPr>
          <t>Unknown User:
SUPPLY &amp; INSTALLATION OF GAS STORAGE HOT WATER SYSTEM (EXTERNAL)</t>
        </r>
      </text>
    </comment>
    <comment ref="G434" authorId="1" shapeId="0" xr:uid="{BC74B63D-644B-4DB2-AEAB-ABAEFAA96D74}">
      <text>
        <r>
          <rPr>
            <sz val="11"/>
            <color theme="1"/>
            <rFont val="Aptos Narrow"/>
            <family val="2"/>
            <scheme val="minor"/>
          </rPr>
          <t>Unknown User:
SEARCH &amp; INVESTIGATION OF GAS STORAGE HOT WATER SYSTEM</t>
        </r>
      </text>
    </comment>
    <comment ref="G435" authorId="1" shapeId="0" xr:uid="{D0BD872D-27B9-4F8F-B2E5-80DA139EE541}">
      <text>
        <r>
          <rPr>
            <sz val="11"/>
            <color theme="1"/>
            <rFont val="Aptos Narrow"/>
            <family val="2"/>
            <scheme val="minor"/>
          </rPr>
          <t>Unknown User:
SUPPLY &amp; INSTALLATION OF NEW PLASTIC TOILET CISTERN</t>
        </r>
      </text>
    </comment>
    <comment ref="G436" authorId="1" shapeId="0" xr:uid="{39C3DF95-839E-4D61-BF5B-3DB8C014772F}">
      <text>
        <r>
          <rPr>
            <sz val="11"/>
            <color theme="1"/>
            <rFont val="Aptos Narrow"/>
            <family val="2"/>
            <scheme val="minor"/>
          </rPr>
          <t xml:space="preserve">Unknown User:
REPLACEMENT OF CISTERN DUAL FLUSH VALVE WITH UNIVERSAL FLUSH VALVE (COMPLETE ASSEMBLY)
</t>
        </r>
      </text>
    </comment>
    <comment ref="G437" authorId="1" shapeId="0" xr:uid="{8A9C1BEF-A193-403B-9BC2-EDC9C9D8FAE3}">
      <text>
        <r>
          <rPr>
            <sz val="11"/>
            <color theme="1"/>
            <rFont val="Aptos Narrow"/>
            <family val="2"/>
            <scheme val="minor"/>
          </rPr>
          <t xml:space="preserve">Unknown User:
COMPLETE SERVICE OF TOILET CISTERN
</t>
        </r>
      </text>
    </comment>
    <comment ref="G438" authorId="1" shapeId="0" xr:uid="{3DD6290D-192A-4C2E-9DC1-883DBDB35948}">
      <text>
        <r>
          <rPr>
            <sz val="11"/>
            <color theme="1"/>
            <rFont val="Aptos Narrow"/>
            <family val="2"/>
            <scheme val="minor"/>
          </rPr>
          <t>Unknown User:
REPLACEMENT OF BOTTOM INLET CISTERN FILLING VALVE</t>
        </r>
      </text>
    </comment>
    <comment ref="G439" authorId="1" shapeId="0" xr:uid="{A8B0770D-F0C4-4B2B-99C3-327B634BCA34}">
      <text>
        <r>
          <rPr>
            <sz val="11"/>
            <color theme="1"/>
            <rFont val="Aptos Narrow"/>
            <family val="2"/>
            <scheme val="minor"/>
          </rPr>
          <t xml:space="preserve">Unknown User:
REPLACEMENT OF PLUG &amp; WASTE - 50MM
</t>
        </r>
      </text>
    </comment>
    <comment ref="G440" authorId="1" shapeId="0" xr:uid="{5674F777-4FFD-4A5A-986D-1A1FF4092B2D}">
      <text>
        <r>
          <rPr>
            <sz val="11"/>
            <color theme="1"/>
            <rFont val="Aptos Narrow"/>
            <family val="2"/>
            <scheme val="minor"/>
          </rPr>
          <t xml:space="preserve">Unknown User:
INSTALLATION OF NEW WALL FACED TOILET SUITE (CUSTOMER SUPPLIED)
INSTALLATION OF BASIN MIXER WITH NEW MIXER (CUSTOMER SUPPLIED)
</t>
        </r>
      </text>
    </comment>
    <comment ref="G441" authorId="1" shapeId="0" xr:uid="{FD54CDDD-DA6F-45DB-8A6C-6D92FD015F8F}">
      <text>
        <r>
          <rPr>
            <sz val="11"/>
            <color theme="1"/>
            <rFont val="Aptos Narrow"/>
            <family val="2"/>
            <scheme val="minor"/>
          </rPr>
          <t xml:space="preserve">Unknown User:
FLOOD, DYE, PRESSURE TEST (WET AREA)
</t>
        </r>
      </text>
    </comment>
    <comment ref="G442" authorId="1" shapeId="0" xr:uid="{9A725F81-E28D-40D3-AFCA-AB42B53FA462}">
      <text>
        <r>
          <rPr>
            <sz val="11"/>
            <color theme="1"/>
            <rFont val="Aptos Narrow"/>
            <family val="2"/>
            <scheme val="minor"/>
          </rPr>
          <t>Unknown User:
COMPLETE SERVICE OF TOILET CISTERN</t>
        </r>
      </text>
    </comment>
    <comment ref="G443" authorId="1" shapeId="0" xr:uid="{1C90ABC3-6DAD-4306-9C44-C1870FDA8A3E}">
      <text>
        <r>
          <rPr>
            <sz val="11"/>
            <color theme="1"/>
            <rFont val="Aptos Narrow"/>
            <family val="2"/>
            <scheme val="minor"/>
          </rPr>
          <t>Unknown User:
SEARCH &amp; INVESTIGATION OF GAS STORAGE HOT WATER SYSTEM</t>
        </r>
      </text>
    </comment>
    <comment ref="G444" authorId="1" shapeId="0" xr:uid="{D75E4DFE-311D-4F7A-90DD-F6C6D715A6A5}">
      <text>
        <r>
          <rPr>
            <sz val="11"/>
            <color theme="1"/>
            <rFont val="Aptos Narrow"/>
            <family val="2"/>
            <scheme val="minor"/>
          </rPr>
          <t>Unknown User:
SUPPLY &amp; INSTALLATION OF GAS STORAGE HOT WATER SYSTEM (EXTERNAL)</t>
        </r>
      </text>
    </comment>
    <comment ref="G445" authorId="1" shapeId="0" xr:uid="{41C8C316-3C5A-4250-B7C0-58C44084C140}">
      <text>
        <r>
          <rPr>
            <sz val="11"/>
            <color theme="1"/>
            <rFont val="Aptos Narrow"/>
            <family val="2"/>
            <scheme val="minor"/>
          </rPr>
          <t>Unknown User:
REPLACEMENT OF EXISTING PULL-OUT KITCHEN MIXER
REPLACEMENT OF KITCHEN MIXER</t>
        </r>
      </text>
    </comment>
    <comment ref="G446" authorId="1" shapeId="0" xr:uid="{673F0E39-F9C5-4751-B7AF-997CCF4E753F}">
      <text>
        <r>
          <rPr>
            <sz val="11"/>
            <color theme="1"/>
            <rFont val="Aptos Narrow"/>
            <family val="2"/>
            <scheme val="minor"/>
          </rPr>
          <t xml:space="preserve">Unknown User:
COMPLETE SERVICE OF TOILET CISTERN
</t>
        </r>
      </text>
    </comment>
    <comment ref="G447" authorId="1" shapeId="0" xr:uid="{6B9550E2-166A-4D58-A09A-7FB5D311D831}">
      <text>
        <r>
          <rPr>
            <sz val="11"/>
            <color theme="1"/>
            <rFont val="Aptos Narrow"/>
            <family val="2"/>
            <scheme val="minor"/>
          </rPr>
          <t>Unknown User:
SEWER SPOT DIG - IN GROUND</t>
        </r>
      </text>
    </comment>
    <comment ref="G448" authorId="1" shapeId="0" xr:uid="{C156A36C-26DB-40E5-AF57-063E0B031144}">
      <text>
        <r>
          <rPr>
            <sz val="11"/>
            <color theme="1"/>
            <rFont val="Aptos Narrow"/>
            <family val="2"/>
            <scheme val="minor"/>
          </rPr>
          <t xml:space="preserve">Unknown User:
- Set up tarps 
</t>
        </r>
      </text>
    </comment>
    <comment ref="G450" authorId="1" shapeId="0" xr:uid="{7A9E31B9-D258-49BB-A679-21F7323076CE}">
      <text>
        <r>
          <rPr>
            <sz val="11"/>
            <color theme="1"/>
            <rFont val="Aptos Narrow"/>
            <family val="2"/>
            <scheme val="minor"/>
          </rPr>
          <t>Unknown User:
CONVERT SOLAR SPLIT HOT WATER SYSTEM TO EXTERNAL GAS INSTANTANEOUS HOT WATER SYSTEM
10% Good Will Discount</t>
        </r>
      </text>
    </comment>
    <comment ref="G451" authorId="1" shapeId="0" xr:uid="{47F7A8AA-FE04-4087-A6F8-02920D1B4D5D}">
      <text>
        <r>
          <rPr>
            <sz val="11"/>
            <color theme="1"/>
            <rFont val="Aptos Narrow"/>
            <family val="2"/>
            <scheme val="minor"/>
          </rPr>
          <t xml:space="preserve">Unknown User:
GAS COMPLIANCE INSPECTION  </t>
        </r>
      </text>
    </comment>
    <comment ref="G456" authorId="1" shapeId="0" xr:uid="{0D7E3585-42D6-4607-A79F-2B5E5E9FDCFF}">
      <text>
        <r>
          <rPr>
            <sz val="11"/>
            <color theme="1"/>
            <rFont val="Aptos Narrow"/>
            <family val="2"/>
            <scheme val="minor"/>
          </rPr>
          <t>Unknown User:
SUPPLY &amp; INSTALLATION OF NEW INSTANTANEOUS GAS HOT WATER SYSTEM (EXTERNAL)</t>
        </r>
      </text>
    </comment>
    <comment ref="E478" authorId="15" shapeId="0" xr:uid="{1ECDAC09-3725-4405-A1F6-B8929C640B35}">
      <text>
        <t>[Threaded comment]
Your version of Excel allows you to read this threaded comment; however, any edits to it will get removed if the file is opened in a newer version of Excel. Learn more: https://go.microsoft.com/fwlink/?linkid=870924
Comment:
    Checked</t>
      </text>
    </comment>
    <comment ref="E479" authorId="16" shapeId="0" xr:uid="{EE6BC42F-95E7-4B53-8783-060341CF3B12}">
      <text>
        <t>[Threaded comment]
Your version of Excel allows you to read this threaded comment; however, any edits to it will get removed if the file is opened in a newer version of Excel. Learn more: https://go.microsoft.com/fwlink/?linkid=870924
Comment:
    Stock</t>
      </text>
    </comment>
    <comment ref="G488" authorId="1" shapeId="0" xr:uid="{8832382D-4465-43C3-B96A-6EB440531DE8}">
      <text>
        <r>
          <rPr>
            <sz val="11"/>
            <color theme="1"/>
            <rFont val="Aptos Narrow"/>
            <family val="2"/>
            <scheme val="minor"/>
          </rPr>
          <t>Unknown User:
REPLACEMENT OF PLUG &amp; WASTE - 50MM
10% Seniors &amp; Pensioners Discount</t>
        </r>
      </text>
    </comment>
    <comment ref="S488" authorId="1" shapeId="0" xr:uid="{A76198B8-1B1D-4519-8D2D-26F669FF8084}">
      <text>
        <r>
          <rPr>
            <sz val="11"/>
            <color theme="1"/>
            <rFont val="Aptos Narrow"/>
            <family val="2"/>
            <scheme val="minor"/>
          </rPr>
          <t>Unknown User:
Signed final invoice not emailed</t>
        </r>
      </text>
    </comment>
    <comment ref="G489" authorId="1" shapeId="0" xr:uid="{E7F49BEE-4C4C-4041-BE97-C1951E4CACC7}">
      <text>
        <r>
          <rPr>
            <sz val="11"/>
            <color theme="1"/>
            <rFont val="Aptos Narrow"/>
            <family val="2"/>
            <scheme val="minor"/>
          </rPr>
          <t>Unknown User:
SUPPLY &amp; INSTALLATION OF NEW MIXER CARTRIDGE</t>
        </r>
      </text>
    </comment>
    <comment ref="S490" authorId="1" shapeId="0" xr:uid="{C8927B29-4BBD-48AF-8A90-5150F97E18CB}">
      <text>
        <r>
          <rPr>
            <sz val="11"/>
            <color theme="1"/>
            <rFont val="Aptos Narrow"/>
            <family val="2"/>
            <scheme val="minor"/>
          </rPr>
          <t>Unknown User:
Signed invoice not emailed</t>
        </r>
      </text>
    </comment>
    <comment ref="U490" authorId="1" shapeId="0" xr:uid="{AE5D8267-AA93-40B1-929D-11204ADF202B}">
      <text>
        <r>
          <rPr>
            <sz val="11"/>
            <color theme="1"/>
            <rFont val="Aptos Narrow"/>
            <family val="2"/>
            <scheme val="minor"/>
          </rPr>
          <t>Unknown User:
Jayden raised the quote for the same job with reduction in job value. Considered Rhys's quote as he has SOLD the job first.</t>
        </r>
      </text>
    </comment>
    <comment ref="G491" authorId="1" shapeId="0" xr:uid="{535A9E6B-E34B-4490-A717-22272104B023}">
      <text>
        <r>
          <rPr>
            <sz val="11"/>
            <color theme="1"/>
            <rFont val="Aptos Narrow"/>
            <family val="2"/>
            <scheme val="minor"/>
          </rPr>
          <t xml:space="preserve">Unknown User:
SUPPLY &amp; INSTALLATION OF NEW PLASTIC TOILET CISTERN
COMPLETE SERVICE OF WALL TOP TAPS ASSEMBLY
</t>
        </r>
      </text>
    </comment>
    <comment ref="V491" authorId="1" shapeId="0" xr:uid="{9446762E-A5CC-4CED-8501-DD0A46F3A3AB}">
      <text>
        <r>
          <rPr>
            <sz val="11"/>
            <color theme="1"/>
            <rFont val="Aptos Narrow"/>
            <family val="2"/>
            <scheme val="minor"/>
          </rPr>
          <t>Unknown User:
Short receipt by $0.02</t>
        </r>
      </text>
    </comment>
    <comment ref="G492" authorId="1" shapeId="0" xr:uid="{8F4CAE04-C85A-411B-8A31-6C2F699DAED8}">
      <text>
        <r>
          <rPr>
            <sz val="11"/>
            <color theme="1"/>
            <rFont val="Aptos Narrow"/>
            <family val="2"/>
            <scheme val="minor"/>
          </rPr>
          <t>Unknown User:
SEARCH &amp; INVESTIGATION OF DISHWASHER</t>
        </r>
      </text>
    </comment>
    <comment ref="G493" authorId="1" shapeId="0" xr:uid="{B79600C5-E7F8-4ACB-AA7C-5BDA1F78B7BD}">
      <text>
        <r>
          <rPr>
            <sz val="11"/>
            <color theme="1"/>
            <rFont val="Aptos Narrow"/>
            <family val="2"/>
            <scheme val="minor"/>
          </rPr>
          <t xml:space="preserve">Unknown User:
SEARCH &amp; INVESTIGATION OF GAS APPLIANCE
10% Seniors &amp; Pensioners Discount </t>
        </r>
      </text>
    </comment>
    <comment ref="M493" authorId="1" shapeId="0" xr:uid="{1C1BBD7D-0E69-4144-9A3E-16772EEA5733}">
      <text>
        <r>
          <rPr>
            <sz val="11"/>
            <color theme="1"/>
            <rFont val="Aptos Narrow"/>
            <family val="2"/>
            <scheme val="minor"/>
          </rPr>
          <t>Unknown User:
Smartpay receipt of $1000 &amp; $100 not uploaded by plumber.
Uploaded by Modoras team.</t>
        </r>
      </text>
    </comment>
    <comment ref="G494" authorId="1" shapeId="0" xr:uid="{5B1FCFB2-B260-4FE1-A003-B70B80737C72}">
      <text>
        <r>
          <rPr>
            <sz val="11"/>
            <color theme="1"/>
            <rFont val="Aptos Narrow"/>
            <family val="2"/>
            <scheme val="minor"/>
          </rPr>
          <t>Unknown User:
SUPPLY &amp; INSTALLATION OF NEW WATER SUPPLY TO WASHING MACHINE</t>
        </r>
      </text>
    </comment>
    <comment ref="P494" authorId="1" shapeId="0" xr:uid="{707BF665-0093-4A2D-ACE0-54E4BC622ED3}">
      <text>
        <r>
          <rPr>
            <sz val="11"/>
            <color theme="1"/>
            <rFont val="Aptos Narrow"/>
            <family val="2"/>
            <scheme val="minor"/>
          </rPr>
          <t>Unknown User:
Quote not emailed</t>
        </r>
      </text>
    </comment>
    <comment ref="Q494" authorId="1" shapeId="0" xr:uid="{6B07BE4F-8BFB-4277-BA8D-DCA6F159BE83}">
      <text>
        <r>
          <rPr>
            <sz val="11"/>
            <color theme="1"/>
            <rFont val="Aptos Narrow"/>
            <family val="2"/>
            <scheme val="minor"/>
          </rPr>
          <t>Unknown User:
Final invoice not raised</t>
        </r>
      </text>
    </comment>
    <comment ref="G495" authorId="1" shapeId="0" xr:uid="{F948E7A9-3CFB-48F5-B2E5-B1682D987068}">
      <text>
        <r>
          <rPr>
            <sz val="11"/>
            <color theme="1"/>
            <rFont val="Aptos Narrow"/>
            <family val="2"/>
            <scheme val="minor"/>
          </rPr>
          <t>Unknown User:
*Access showers
*Removal of shower heads
*Removal of water savers
*Clean shower heads out of debris
*Assemble shower heads back together
*Check water pressure with specialist gauge
*Check integrity of mixer cartridge
*Test shower heads</t>
        </r>
      </text>
    </comment>
    <comment ref="G496" authorId="1" shapeId="0" xr:uid="{E93F6240-2578-416B-807F-A69C273D99A0}">
      <text>
        <r>
          <rPr>
            <sz val="11"/>
            <color theme="1"/>
            <rFont val="Aptos Narrow"/>
            <family val="2"/>
            <scheme val="minor"/>
          </rPr>
          <t xml:space="preserve">Unknown User:
SUPPLY &amp; INSTALLATION OF NEW CLOSE COUPLED TOILET SUITE/SEWER STACK CONNECTION
</t>
        </r>
      </text>
    </comment>
    <comment ref="P496" authorId="1" shapeId="0" xr:uid="{FBE39296-3BF1-4F20-B2D1-3EB1EC0FFF07}">
      <text>
        <r>
          <rPr>
            <sz val="11"/>
            <color theme="1"/>
            <rFont val="Aptos Narrow"/>
            <family val="2"/>
            <scheme val="minor"/>
          </rPr>
          <t>Unknown User:
Quote not emailed</t>
        </r>
      </text>
    </comment>
    <comment ref="S496" authorId="1" shapeId="0" xr:uid="{757EBF45-0FAA-4019-9910-2B605E7A460F}">
      <text>
        <r>
          <rPr>
            <sz val="11"/>
            <color theme="1"/>
            <rFont val="Aptos Narrow"/>
            <family val="2"/>
            <scheme val="minor"/>
          </rPr>
          <t>Unknown User:
Signed invoice not emailed</t>
        </r>
      </text>
    </comment>
    <comment ref="W496" authorId="1" shapeId="0" xr:uid="{188D902A-6FB0-4E65-BBF1-D5A676BA9640}">
      <text>
        <r>
          <rPr>
            <sz val="11"/>
            <color theme="1"/>
            <rFont val="Aptos Narrow"/>
            <family val="2"/>
            <scheme val="minor"/>
          </rPr>
          <t>Unknown User:
Cash denomination
$50*15=$750
$100*5=$500
$50*125=$6250
$20*2=$40
$10*3=$30
$5*$1=$5
Coin=$0.10*1=$0.10
Total=7575.10
Overpayment by $50</t>
        </r>
      </text>
    </comment>
    <comment ref="G497" authorId="1" shapeId="0" xr:uid="{0E312774-C568-433C-BE1E-9B276B2CC379}">
      <text>
        <r>
          <rPr>
            <sz val="11"/>
            <color theme="1"/>
            <rFont val="Aptos Narrow"/>
            <family val="2"/>
            <scheme val="minor"/>
          </rPr>
          <t>Unknown User:
CONVERT EXTERNAL GAS STORAGE HOT WATER SYSTEM TO EXTERNAL GAS INSTANTANEOUS HOT WATER SYSTEM</t>
        </r>
      </text>
    </comment>
    <comment ref="G502" authorId="1" shapeId="0" xr:uid="{6E9A536A-AC85-471B-94B6-3AE93C82A2F7}">
      <text>
        <r>
          <rPr>
            <sz val="11"/>
            <color theme="1"/>
            <rFont val="Aptos Narrow"/>
            <family val="2"/>
            <scheme val="minor"/>
          </rPr>
          <t>Unknown User:
HIGH POWERED JET BLAST &amp; CCTV DRAIN CAMERA INSPECTION (SEWER SERVICE)</t>
        </r>
      </text>
    </comment>
    <comment ref="O502" authorId="1" shapeId="0" xr:uid="{DE197AEB-638A-4D94-877F-AE1D41200587}">
      <text>
        <r>
          <rPr>
            <sz val="11"/>
            <color theme="1"/>
            <rFont val="Aptos Narrow"/>
            <family val="2"/>
            <scheme val="minor"/>
          </rPr>
          <t>Unknown User:
Quote not signed</t>
        </r>
      </text>
    </comment>
    <comment ref="P502" authorId="1" shapeId="0" xr:uid="{1C2C2402-89D1-492D-878E-8ACE9383BA83}">
      <text>
        <r>
          <rPr>
            <sz val="11"/>
            <color theme="1"/>
            <rFont val="Aptos Narrow"/>
            <family val="2"/>
            <scheme val="minor"/>
          </rPr>
          <t>Unknown User:
Quote not emailed</t>
        </r>
      </text>
    </comment>
    <comment ref="Q502" authorId="1" shapeId="0" xr:uid="{38628149-E23F-40BC-9853-EBAE3377D679}">
      <text>
        <r>
          <rPr>
            <sz val="11"/>
            <color theme="1"/>
            <rFont val="Aptos Narrow"/>
            <family val="2"/>
            <scheme val="minor"/>
          </rPr>
          <t>Unknown User:
Invoice not raised.
To be updated if raised.</t>
        </r>
      </text>
    </comment>
    <comment ref="G503" authorId="1" shapeId="0" xr:uid="{CA35EB4E-C8BC-4EC9-8D2D-4918069668B7}">
      <text>
        <r>
          <rPr>
            <sz val="11"/>
            <color theme="1"/>
            <rFont val="Aptos Narrow"/>
            <family val="2"/>
            <scheme val="minor"/>
          </rPr>
          <t>Unknown User:
WATER SERVICE RECTIFICATION (EXPOSED)</t>
        </r>
      </text>
    </comment>
    <comment ref="K503" authorId="1" shapeId="0" xr:uid="{B4B432EF-9486-441E-B3B6-7C0B7769E0AE}">
      <text>
        <r>
          <rPr>
            <sz val="11"/>
            <color theme="1"/>
            <rFont val="Aptos Narrow"/>
            <family val="2"/>
            <scheme val="minor"/>
          </rPr>
          <t>Unknown User:
Before job pics not uploaded</t>
        </r>
      </text>
    </comment>
    <comment ref="P503" authorId="1" shapeId="0" xr:uid="{BD635A9C-CD85-4CD9-ABF1-A72B275AAF8E}">
      <text>
        <r>
          <rPr>
            <sz val="11"/>
            <color theme="1"/>
            <rFont val="Aptos Narrow"/>
            <family val="2"/>
            <scheme val="minor"/>
          </rPr>
          <t>Unknown User:
Quote not emailed</t>
        </r>
      </text>
    </comment>
    <comment ref="Q503" authorId="1" shapeId="0" xr:uid="{4247AD55-E780-4AC9-915A-DBFA3DE35117}">
      <text>
        <r>
          <rPr>
            <sz val="11"/>
            <color theme="1"/>
            <rFont val="Aptos Narrow"/>
            <family val="2"/>
            <scheme val="minor"/>
          </rPr>
          <t>Unknown User:
Invoice not raised</t>
        </r>
      </text>
    </comment>
    <comment ref="V503" authorId="1" shapeId="0" xr:uid="{5C33087A-02D8-4DA3-A8FE-5D540ABA61B9}">
      <text>
        <r>
          <rPr>
            <sz val="11"/>
            <color theme="1"/>
            <rFont val="Aptos Narrow"/>
            <family val="2"/>
            <scheme val="minor"/>
          </rPr>
          <t>Unknown User:
12/9-$1849.10 received through Podium</t>
        </r>
      </text>
    </comment>
    <comment ref="G504" authorId="1" shapeId="0" xr:uid="{AFB6B0F0-2664-4D2B-9B5F-3D52517E985D}">
      <text>
        <r>
          <rPr>
            <sz val="11"/>
            <color theme="1"/>
            <rFont val="Aptos Narrow"/>
            <family val="2"/>
            <scheme val="minor"/>
          </rPr>
          <t>Unknown User:
HIGH POWERED JET BLAST &amp; CCTV CAMERA INSPECTION (GAIN ACCESS WITH REMOVAL OF TOILET)
10% Good Will Discount</t>
        </r>
      </text>
    </comment>
    <comment ref="L504" authorId="1" shapeId="0" xr:uid="{CD24953B-F467-4CF4-B2A2-3CD59DDB68FA}">
      <text>
        <r>
          <rPr>
            <sz val="11"/>
            <color theme="1"/>
            <rFont val="Aptos Narrow"/>
            <family val="2"/>
            <scheme val="minor"/>
          </rPr>
          <t>Unknown User:
CCTV inspection pic uploaded to Job #73041 (Upsell)</t>
        </r>
      </text>
    </comment>
    <comment ref="R504" authorId="1" shapeId="0" xr:uid="{582D92E4-3345-4E16-9F88-E056F72B2603}">
      <text>
        <r>
          <rPr>
            <sz val="11"/>
            <color theme="1"/>
            <rFont val="Aptos Narrow"/>
            <family val="2"/>
            <scheme val="minor"/>
          </rPr>
          <t>Unknown User:
Invoice not signed</t>
        </r>
      </text>
    </comment>
    <comment ref="S504" authorId="1" shapeId="0" xr:uid="{FC5CEC69-7E65-492A-9E92-BA50B4EFFB27}">
      <text>
        <r>
          <rPr>
            <sz val="11"/>
            <color theme="1"/>
            <rFont val="Aptos Narrow"/>
            <family val="2"/>
            <scheme val="minor"/>
          </rPr>
          <t>Unknown User:
Invoice emailed without sign</t>
        </r>
      </text>
    </comment>
    <comment ref="G508" authorId="1" shapeId="0" xr:uid="{08F16606-7E4B-4F3B-8A21-E82DB07EE40F}">
      <text>
        <r>
          <rPr>
            <sz val="11"/>
            <color theme="1"/>
            <rFont val="Aptos Narrow"/>
            <family val="2"/>
            <scheme val="minor"/>
          </rPr>
          <t>Unknown User:
SEWER SPOT DIG - IN GROUND</t>
        </r>
      </text>
    </comment>
    <comment ref="K508" authorId="1" shapeId="0" xr:uid="{1D575724-DA3B-4C86-9BB4-13991D14CB97}">
      <text>
        <r>
          <rPr>
            <sz val="11"/>
            <color theme="1"/>
            <rFont val="Aptos Narrow"/>
            <family val="2"/>
            <scheme val="minor"/>
          </rPr>
          <t xml:space="preserve">Unknown User:
Job #73032 pics uploaded </t>
        </r>
      </text>
    </comment>
    <comment ref="G512" authorId="1" shapeId="0" xr:uid="{582C3657-C7F3-482D-BF0D-223A58B8E651}">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L512" authorId="1" shapeId="0" xr:uid="{C7912E91-640A-4676-A16A-9D5F3D54BB3F}">
      <text>
        <r>
          <rPr>
            <sz val="11"/>
            <color theme="1"/>
            <rFont val="Aptos Narrow"/>
            <family val="2"/>
            <scheme val="minor"/>
          </rPr>
          <t>Unknown User:
Temp check pending</t>
        </r>
      </text>
    </comment>
    <comment ref="P512" authorId="1" shapeId="0" xr:uid="{76E98CBB-9FA9-45FE-A46C-782BB86DA47E}">
      <text>
        <r>
          <rPr>
            <sz val="11"/>
            <color theme="1"/>
            <rFont val="Aptos Narrow"/>
            <family val="2"/>
            <scheme val="minor"/>
          </rPr>
          <t>Unknown User:
Quote not emailed</t>
        </r>
      </text>
    </comment>
    <comment ref="Q512" authorId="1" shapeId="0" xr:uid="{F27690F3-E494-4F0F-AB23-E8E698C31123}">
      <text>
        <r>
          <rPr>
            <sz val="11"/>
            <color theme="1"/>
            <rFont val="Aptos Narrow"/>
            <family val="2"/>
            <scheme val="minor"/>
          </rPr>
          <t>Unknown User:
Progress payment of $341.75 not updated in invoice (Signed but amount not recorded).</t>
        </r>
      </text>
    </comment>
    <comment ref="G513" authorId="1" shapeId="0" xr:uid="{EB9CD376-9018-4167-AD8C-399B37CF8287}">
      <text>
        <r>
          <rPr>
            <sz val="11"/>
            <color theme="1"/>
            <rFont val="Aptos Narrow"/>
            <family val="2"/>
            <scheme val="minor"/>
          </rPr>
          <t>Unknown User:
STORM WATER RECTIFICATION UP TO 30M
Obtain Service Location Diagram
Obtain Dial Before Dig
Obtain Storm Water Diagram – If Available
Set Up Safe Work Area
Set Up Builders Plastic
Set Up Barricades for Safety
Dig &amp; Excavate Ground Area Up to 30M
Expose Existing Section of Storm Water Service Up to 30M
Locate stormwater entering barrel drain
Expose Existing Storm Water Junctions 
Cut &amp; Remove Existing Section of Storm Water Service Up to 30M
Cut &amp; Remove Existing Storm Water Junctions 
Gain Access to Storm Water Service
Set Up High-Powered Jet Blaster
Set Up High-Powered Mini Reel
Set Up High-Powered Turbines
Re-Jetblast Storm Water Service
Re-Camera and Investigate Further
Supply &amp; Install New Section of Storm Water Service Up to 30M
Supply &amp; Install New Storm Water Junctions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Upsize existing 50mm down pipe to 90mm down pipe
Install new 90mm pop and down pipe to back of house
Connect new stormwater to existing down pipes on shed
Backfill Excavated Area
Test &amp; Commission Installation
Remove Trade Waste
Restore Work Area (Excludes Returfing)
PLEASE NOTE IF FURTHER WORK REQUIRED OTHER THEN QUOTED WORK FURTHER COST WILL APPLY</t>
        </r>
      </text>
    </comment>
    <comment ref="P513" authorId="1" shapeId="0" xr:uid="{8C44E6BB-043B-44F3-9CDB-542B4237BA73}">
      <text>
        <r>
          <rPr>
            <sz val="11"/>
            <color theme="1"/>
            <rFont val="Aptos Narrow"/>
            <family val="2"/>
            <scheme val="minor"/>
          </rPr>
          <t>Unknown User:
Quote not emailed</t>
        </r>
      </text>
    </comment>
    <comment ref="U513" authorId="1" shapeId="0" xr:uid="{3D75B7E4-2251-430E-9E1B-0B0B5CE093E0}">
      <text>
        <r>
          <rPr>
            <sz val="11"/>
            <color theme="1"/>
            <rFont val="Aptos Narrow"/>
            <family val="2"/>
            <scheme val="minor"/>
          </rPr>
          <t>Unknown User:
31/7-As per Joshua's note "Callback from Prue and Mr Stone,
Complained about
-price of the job, wanted itemised invoice. they were under the assumption that this was a given.
-items on invoice not completed (not specified, said they could talk to Daniel or let me know).
-Humm misunderstanding, they dont trust HUMM even though they've used it in the past. I explained the general process and that we take a 10% deposit and put the customer on a plan for the rest. They werent happy with this, i did say 10% more would be required to clear the balance as limit is $25k.
-multiple trading names, explained this is for marketing purposes and we were in a transitional period.
Asked for them to suggest a resolution as they said they'd "take this further". Invited them to come back to me at any time."</t>
        </r>
      </text>
    </comment>
    <comment ref="G514" authorId="1" shapeId="0" xr:uid="{9C5B8927-8858-44ED-A805-1F31FEF7FEA3}">
      <text>
        <r>
          <rPr>
            <sz val="11"/>
            <color theme="1"/>
            <rFont val="Aptos Narrow"/>
            <family val="2"/>
            <scheme val="minor"/>
          </rPr>
          <t>Unknown User:
SEARCH &amp; INVESTIGATION OF DOUBLE STOREY ROOF OF POTENTIAL LEAK</t>
        </r>
      </text>
    </comment>
    <comment ref="P514" authorId="1" shapeId="0" xr:uid="{AE537D78-D0C4-4232-962F-6E0D1019633C}">
      <text>
        <r>
          <rPr>
            <sz val="11"/>
            <color theme="1"/>
            <rFont val="Aptos Narrow"/>
            <family val="2"/>
            <scheme val="minor"/>
          </rPr>
          <t>Unknown User:
Quote not emailed</t>
        </r>
      </text>
    </comment>
    <comment ref="U514" authorId="1" shapeId="0" xr:uid="{7E036E47-E664-48C3-925A-963EE3E3D067}">
      <text>
        <r>
          <rPr>
            <sz val="11"/>
            <color theme="1"/>
            <rFont val="Aptos Narrow"/>
            <family val="2"/>
            <scheme val="minor"/>
          </rPr>
          <t>Unknown User:
4/8-As per Kylie's note "Spoke to Tara she has already left the property and is refusing to pay any more than 1K she states that we have not done the work to the scope which is correct as no height equipment has been used, nor has the plumber done a test and commission. States based on the 30 mins the plumber has been onsite she is not paying for the quoted amount. States she is now doing her due diligence and asking around and another plumber has told her it should have cost no more than $400. Claims she will pay 1K at the most"</t>
        </r>
      </text>
    </comment>
    <comment ref="G515" authorId="1" shapeId="0" xr:uid="{C7353975-A121-47EA-874A-F2675B4562F6}">
      <text>
        <r>
          <rPr>
            <sz val="11"/>
            <color theme="1"/>
            <rFont val="Aptos Narrow"/>
            <family val="2"/>
            <scheme val="minor"/>
          </rPr>
          <t xml:space="preserve">Unknown User:
SUPPLY &amp; INSTALLATION OF NEW LINK SUITE
INSTALLATION OF FREESTANDING OVEN AND GAS COOKTOP [SAME LOCATION] (CUSTOMER SUPPLIED)
INSTALLATION OF NEW WASHING MACHINE (CUSTOMER SUPPLIED)
INSTALL NEW CUSTOMER SUPPLIED DISHWASHER IN NEW LOCATION
</t>
        </r>
      </text>
    </comment>
    <comment ref="P515" authorId="1" shapeId="0" xr:uid="{620EBF32-9C85-4D2C-A143-B3657A56ED37}">
      <text>
        <r>
          <rPr>
            <sz val="11"/>
            <color theme="1"/>
            <rFont val="Aptos Narrow"/>
            <family val="2"/>
            <scheme val="minor"/>
          </rPr>
          <t>Unknown User:
Quote not emailed</t>
        </r>
      </text>
    </comment>
    <comment ref="A516" authorId="17" shapeId="0" xr:uid="{9F5CB259-700E-4262-A751-DC5B2017FBDC}">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516" authorId="1" shapeId="0" xr:uid="{DC7C1C55-EE8B-4C84-93A7-D1BFC41BEA50}">
      <text>
        <r>
          <rPr>
            <sz val="11"/>
            <color theme="1"/>
            <rFont val="Aptos Narrow"/>
            <family val="2"/>
            <scheme val="minor"/>
          </rPr>
          <t>Unknown User:
SUPPLY AND INSTALLATION OF INSTANT HOT WATER UNIT</t>
        </r>
      </text>
    </comment>
    <comment ref="R516" authorId="1" shapeId="0" xr:uid="{687E377E-0A2B-4AB9-A6BC-3946B9A294B4}">
      <text>
        <r>
          <rPr>
            <sz val="11"/>
            <color theme="1"/>
            <rFont val="Aptos Narrow"/>
            <family val="2"/>
            <scheme val="minor"/>
          </rPr>
          <t>Unknown User:
Invoice not signed</t>
        </r>
      </text>
    </comment>
    <comment ref="S516" authorId="1" shapeId="0" xr:uid="{1E95BD10-CAC6-41D3-9E47-47308271F420}">
      <text>
        <r>
          <rPr>
            <sz val="11"/>
            <color theme="1"/>
            <rFont val="Aptos Narrow"/>
            <family val="2"/>
            <scheme val="minor"/>
          </rPr>
          <t>Unknown User:
Signed invoice not emailed</t>
        </r>
      </text>
    </comment>
    <comment ref="G517" authorId="1" shapeId="0" xr:uid="{834022B6-E163-4289-A695-221ACFF174D3}">
      <text>
        <r>
          <rPr>
            <sz val="11"/>
            <color theme="1"/>
            <rFont val="Aptos Narrow"/>
            <family val="2"/>
            <scheme val="minor"/>
          </rPr>
          <t>Unknown User:
ROOF LEAK SEARCH &amp; INVESTIGATION
10% Seniors &amp; Pensioners Discount</t>
        </r>
      </text>
    </comment>
    <comment ref="R517" authorId="1" shapeId="0" xr:uid="{2DB9C8A3-C622-4F3D-B155-3BE4DB20A475}">
      <text>
        <r>
          <rPr>
            <sz val="11"/>
            <color theme="1"/>
            <rFont val="Aptos Narrow"/>
            <family val="2"/>
            <scheme val="minor"/>
          </rPr>
          <t>Unknown User:
Invoice not signed</t>
        </r>
      </text>
    </comment>
    <comment ref="S517" authorId="1" shapeId="0" xr:uid="{923E72B4-B089-4DF9-9F3E-07565193E4B5}">
      <text>
        <r>
          <rPr>
            <sz val="11"/>
            <color theme="1"/>
            <rFont val="Aptos Narrow"/>
            <family val="2"/>
            <scheme val="minor"/>
          </rPr>
          <t>Unknown User:
Signed invoice not emailed</t>
        </r>
      </text>
    </comment>
    <comment ref="G518" authorId="1" shapeId="0" xr:uid="{D0A3B9FD-BCAC-4026-9288-0E9458D9EF71}">
      <text>
        <r>
          <rPr>
            <sz val="11"/>
            <color theme="1"/>
            <rFont val="Aptos Narrow"/>
            <family val="2"/>
            <scheme val="minor"/>
          </rPr>
          <t xml:space="preserve">Unknown User:
CONVERT SOLAR SPLIT HOT WATER SYSTEM TO EXTERNAL GAS INSTANTANEOUS HOT WATER SYSTEM
SUPPLY AND INSTALLATION OF PRESSURE REGULATING DEVICE FITTED TO 20MM STRAIGHT PIPEWORK
10% Seniors &amp; Pensioners Discount
CREDIT OF SEARCH &amp; INVESTIGATION </t>
        </r>
      </text>
    </comment>
    <comment ref="L518" authorId="1" shapeId="0" xr:uid="{93183A93-47CB-49F4-A100-58B0320D16E4}">
      <text>
        <r>
          <rPr>
            <sz val="11"/>
            <color theme="1"/>
            <rFont val="Aptos Narrow"/>
            <family val="2"/>
            <scheme val="minor"/>
          </rPr>
          <t>Unknown User:
Temp check not performed</t>
        </r>
      </text>
    </comment>
    <comment ref="P518" authorId="1" shapeId="0" xr:uid="{8AB62DB4-9F52-4A79-8171-BCD61EF81BF1}">
      <text>
        <r>
          <rPr>
            <sz val="11"/>
            <color theme="1"/>
            <rFont val="Aptos Narrow"/>
            <family val="2"/>
            <scheme val="minor"/>
          </rPr>
          <t>Unknown User:
Quote not emailed</t>
        </r>
      </text>
    </comment>
    <comment ref="R518" authorId="1" shapeId="0" xr:uid="{8727547A-1108-42E0-82F8-EC0D4EDB0CA7}">
      <text>
        <r>
          <rPr>
            <sz val="11"/>
            <color theme="1"/>
            <rFont val="Aptos Narrow"/>
            <family val="2"/>
            <scheme val="minor"/>
          </rPr>
          <t>Unknown User:
Invoice not signed</t>
        </r>
      </text>
    </comment>
    <comment ref="S518" authorId="1" shapeId="0" xr:uid="{78C9C799-A74E-4340-910B-D8823A4E7919}">
      <text>
        <r>
          <rPr>
            <sz val="11"/>
            <color theme="1"/>
            <rFont val="Aptos Narrow"/>
            <family val="2"/>
            <scheme val="minor"/>
          </rPr>
          <t>Unknown User:
Invoice emailed without sign.</t>
        </r>
      </text>
    </comment>
    <comment ref="T518" authorId="1" shapeId="0" xr:uid="{E7410007-B99D-4641-A6D4-4AE41E490C9D}">
      <text>
        <r>
          <rPr>
            <sz val="11"/>
            <color theme="1"/>
            <rFont val="Aptos Narrow"/>
            <family val="2"/>
            <scheme val="minor"/>
          </rPr>
          <t>Unknown User:
0.5x Tolga Bal
0.5x Rhys</t>
        </r>
      </text>
    </comment>
    <comment ref="A519" authorId="18" shapeId="0" xr:uid="{DE8627A2-D90E-4D15-A5C7-BF521344CD1B}">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519" authorId="1" shapeId="0" xr:uid="{CF001D3F-BAE4-40E0-B880-C6A3B974B3B2}">
      <text>
        <r>
          <rPr>
            <sz val="11"/>
            <color theme="1"/>
            <rFont val="Aptos Narrow"/>
            <family val="2"/>
            <scheme val="minor"/>
          </rPr>
          <t>Unknown User:
REPLACEMENT OF PLUG &amp; WASTE - 40MM
MIXER TAP - GOOSE NECK
10% Good Will Discount 
CHEMICAL DRAIN CLEANING TREATMENT</t>
        </r>
      </text>
    </comment>
    <comment ref="V519" authorId="1" shapeId="0" xr:uid="{90ADC428-640B-4083-B2BB-3D01CD0838B0}">
      <text>
        <r>
          <rPr>
            <sz val="11"/>
            <color theme="1"/>
            <rFont val="Aptos Narrow"/>
            <family val="2"/>
            <scheme val="minor"/>
          </rPr>
          <t>Unknown User:
1/9-Received $707.60 by Smartpay</t>
        </r>
      </text>
    </comment>
    <comment ref="G520" authorId="1" shapeId="0" xr:uid="{37A23FC9-7F09-436A-9FFF-C27891A31E40}">
      <text>
        <r>
          <rPr>
            <sz val="11"/>
            <color theme="1"/>
            <rFont val="Aptos Narrow"/>
            <family val="2"/>
            <scheme val="minor"/>
          </rPr>
          <t xml:space="preserve">Unknown User:
SUPPLY &amp; INSTALLATION OF NEW SHOWER WALL TOP TAPS
REPLACEMENT OF TAP TOPS
10% Good Will Discount </t>
        </r>
      </text>
    </comment>
    <comment ref="P520" authorId="1" shapeId="0" xr:uid="{0A2744C4-4D52-4112-A5E3-8D36C58E5DAF}">
      <text>
        <r>
          <rPr>
            <sz val="11"/>
            <color theme="1"/>
            <rFont val="Aptos Narrow"/>
            <family val="2"/>
            <scheme val="minor"/>
          </rPr>
          <t>Unknown User:
Quote not emailed</t>
        </r>
      </text>
    </comment>
    <comment ref="G524" authorId="1" shapeId="0" xr:uid="{90A9DABB-8EF6-4DA1-B5DD-3D0246671927}">
      <text>
        <r>
          <rPr>
            <sz val="11"/>
            <color theme="1"/>
            <rFont val="Aptos Narrow"/>
            <family val="2"/>
            <scheme val="minor"/>
          </rPr>
          <t>Unknown User:
Install concrete slab
Adapt onto downpipe
Run downpipe to tank
Install hose bit
Test and commission
10% Good Will Discount</t>
        </r>
      </text>
    </comment>
    <comment ref="M524" authorId="1" shapeId="0" xr:uid="{42DF94AC-D9FA-4C39-B70E-D281324D9364}">
      <text>
        <r>
          <rPr>
            <sz val="11"/>
            <color theme="1"/>
            <rFont val="Aptos Narrow"/>
            <family val="2"/>
            <scheme val="minor"/>
          </rPr>
          <t>Unknown User:
Cash pic for $200 not uploaded.</t>
        </r>
      </text>
    </comment>
    <comment ref="W524" authorId="1" shapeId="0" xr:uid="{5C2E7AE1-70ED-40C9-B026-0C758A0EE17D}">
      <text>
        <r>
          <rPr>
            <sz val="11"/>
            <color theme="1"/>
            <rFont val="Aptos Narrow"/>
            <family val="2"/>
            <scheme val="minor"/>
          </rPr>
          <t>Unknown User:
Cash pic not uploaded</t>
        </r>
      </text>
    </comment>
    <comment ref="G525" authorId="1" shapeId="0" xr:uid="{40D82AEF-050E-49D3-A2A5-1EBDDB82ECF4}">
      <text>
        <r>
          <rPr>
            <sz val="11"/>
            <color theme="1"/>
            <rFont val="Aptos Narrow"/>
            <family val="2"/>
            <scheme val="minor"/>
          </rPr>
          <t xml:space="preserve">Unknown User:
SPECIALIST LEAK DETECTION (WATER SERVICE)
10% Seniors &amp; Pensioners Discount
</t>
        </r>
      </text>
    </comment>
    <comment ref="P525" authorId="1" shapeId="0" xr:uid="{889BA4C8-1A74-427F-A016-4971B49E380E}">
      <text>
        <r>
          <rPr>
            <sz val="11"/>
            <color theme="1"/>
            <rFont val="Aptos Narrow"/>
            <family val="2"/>
            <scheme val="minor"/>
          </rPr>
          <t>Unknown User:
Quote not emailed</t>
        </r>
      </text>
    </comment>
    <comment ref="U525" authorId="1" shapeId="0" xr:uid="{4C3874BA-B1D9-4350-A5FA-76DFCEC07669}">
      <text>
        <r>
          <rPr>
            <sz val="11"/>
            <color theme="1"/>
            <rFont val="Aptos Narrow"/>
            <family val="2"/>
            <scheme val="minor"/>
          </rPr>
          <t>Unknown User:
15/8-As per Rhys's note "HUMM messed around for like 2 hours
Client didn’t wanna do it anymore
Collected deposit come back next week"</t>
        </r>
      </text>
    </comment>
    <comment ref="G526" authorId="1" shapeId="0" xr:uid="{53B44D17-A1C3-47FF-A2AD-5EEF92FFBAD9}">
      <text>
        <r>
          <rPr>
            <sz val="11"/>
            <color theme="1"/>
            <rFont val="Aptos Narrow"/>
            <family val="2"/>
            <scheme val="minor"/>
          </rPr>
          <t xml:space="preserve">Unknown User:
ROOF MAINTENANCE </t>
        </r>
      </text>
    </comment>
    <comment ref="N526" authorId="1" shapeId="0" xr:uid="{00289558-FC56-4862-B5B0-2397B53B4D63}">
      <text>
        <r>
          <rPr>
            <sz val="11"/>
            <color theme="1"/>
            <rFont val="Aptos Narrow"/>
            <family val="2"/>
            <scheme val="minor"/>
          </rPr>
          <t>Unknown User:
Quote raised in Job #72515</t>
        </r>
      </text>
    </comment>
    <comment ref="G530" authorId="1" shapeId="0" xr:uid="{31417526-D32E-4B73-8DD2-00F8C5D44C25}">
      <text>
        <r>
          <rPr>
            <sz val="11"/>
            <color theme="1"/>
            <rFont val="Aptos Narrow"/>
            <family val="2"/>
            <scheme val="minor"/>
          </rPr>
          <t>Unknown User:
REPLACEMENT OF EXISTING GOOSE NECK KITCHEN MIXER (CUSTOMER SUPPLIED)
10% Seniors &amp; Pensioners Discount</t>
        </r>
      </text>
    </comment>
    <comment ref="G531" authorId="1" shapeId="0" xr:uid="{A1E5C03C-EE3D-43A8-A2B7-4E6B50B78ABF}">
      <text>
        <r>
          <rPr>
            <sz val="11"/>
            <color theme="1"/>
            <rFont val="Aptos Narrow"/>
            <family val="2"/>
            <scheme val="minor"/>
          </rPr>
          <t>Unknown User:
SEARCH AND INVESTIGATION OF SOLAR SPLIT HOT WATER SYSTEM</t>
        </r>
      </text>
    </comment>
    <comment ref="G532" authorId="1" shapeId="0" xr:uid="{A2F9F7C7-7DB6-47A3-A672-64CB1BD3FB35}">
      <text>
        <r>
          <rPr>
            <sz val="11"/>
            <color theme="1"/>
            <rFont val="Aptos Narrow"/>
            <family val="2"/>
            <scheme val="minor"/>
          </rPr>
          <t xml:space="preserve">Unknown User:
REPLACEMENT OF EXISTING PULL-OUT KITCHEN MIXER
</t>
        </r>
      </text>
    </comment>
    <comment ref="G533" authorId="1" shapeId="0" xr:uid="{5AA0AF01-A73D-4EF6-A33B-77F0D654289F}">
      <text>
        <r>
          <rPr>
            <sz val="11"/>
            <color theme="1"/>
            <rFont val="Aptos Narrow"/>
            <family val="2"/>
            <scheme val="minor"/>
          </rPr>
          <t>Unknown User:
HIGH POWERED JET BLAST &amp; CCTV CAMERA INSPECTION (GAIN ACCESS WITH REMOVAL OF TOILET)</t>
        </r>
      </text>
    </comment>
    <comment ref="G534" authorId="1" shapeId="0" xr:uid="{179B538E-CD66-41BD-ABE7-FFD1AFA16F31}">
      <text>
        <r>
          <rPr>
            <sz val="11"/>
            <color theme="1"/>
            <rFont val="Aptos Narrow"/>
            <family val="2"/>
            <scheme val="minor"/>
          </rPr>
          <t>Unknown User:
HIGH POWERED SUCTION &amp; ACID TREATMENT</t>
        </r>
      </text>
    </comment>
    <comment ref="G535" authorId="1" shapeId="0" xr:uid="{95D005BA-FFBF-4D49-AD3D-BEB3007831E9}">
      <text>
        <r>
          <rPr>
            <sz val="11"/>
            <color theme="1"/>
            <rFont val="Aptos Narrow"/>
            <family val="2"/>
            <scheme val="minor"/>
          </rPr>
          <t>Unknown User:
SERVICE &amp; PUMP OUT OF SEPTIC TANK</t>
        </r>
      </text>
    </comment>
    <comment ref="G536" authorId="1" shapeId="0" xr:uid="{F6E3FF21-F821-405A-8DC9-A569F04354C1}">
      <text>
        <r>
          <rPr>
            <sz val="11"/>
            <color theme="1"/>
            <rFont val="Aptos Narrow"/>
            <family val="2"/>
            <scheme val="minor"/>
          </rPr>
          <t xml:space="preserve">Unknown User:
SEARCH &amp; INVESTIGATION OF GAS STORAGE HOT WATER SYSTEM
</t>
        </r>
      </text>
    </comment>
    <comment ref="G537" authorId="1" shapeId="0" xr:uid="{D0F514D4-5918-4E28-8AB6-F3C6155CCF60}">
      <text>
        <r>
          <rPr>
            <sz val="11"/>
            <color theme="1"/>
            <rFont val="Aptos Narrow"/>
            <family val="2"/>
            <scheme val="minor"/>
          </rPr>
          <t>Unknown User:
SUPPLY &amp; INSTALLATION OF GAS STORAGE HOT WATER SYSTEM (EXTERNAL)
10% Good Will Discount</t>
        </r>
      </text>
    </comment>
    <comment ref="G538" authorId="1" shapeId="0" xr:uid="{C4AF36A4-F50E-427B-9132-0C283211CC6B}">
      <text>
        <r>
          <rPr>
            <sz val="11"/>
            <color theme="1"/>
            <rFont val="Aptos Narrow"/>
            <family val="2"/>
            <scheme val="minor"/>
          </rPr>
          <t xml:space="preserve">Unknown User:
INSTALLATION OF CUSTOMER SUPPLIED TOILET WITH BATH REMOVAL </t>
        </r>
      </text>
    </comment>
    <comment ref="G539" authorId="1" shapeId="0" xr:uid="{D94830C6-52AE-4F03-A31D-B9C25AA07397}">
      <text>
        <r>
          <rPr>
            <sz val="11"/>
            <color theme="1"/>
            <rFont val="Aptos Narrow"/>
            <family val="2"/>
            <scheme val="minor"/>
          </rPr>
          <t xml:space="preserve">Unknown User:
WATER SERVICE RECTIFICATION (EXPOSED)
</t>
        </r>
      </text>
    </comment>
    <comment ref="G540" authorId="1" shapeId="0" xr:uid="{447B27DE-174F-494A-9EEB-425AAA31F8FA}">
      <text>
        <r>
          <rPr>
            <sz val="11"/>
            <color theme="1"/>
            <rFont val="Aptos Narrow"/>
            <family val="2"/>
            <scheme val="minor"/>
          </rPr>
          <t>Unknown User:
SUPPLY &amp; INSTALLATION OF NEW SINGLE ELEMENT HOT WATER UNIT – INTERNAL</t>
        </r>
      </text>
    </comment>
    <comment ref="G541" authorId="1" shapeId="0" xr:uid="{D9706878-73A5-4529-85F5-92B4D26135F1}">
      <text>
        <r>
          <rPr>
            <sz val="11"/>
            <color theme="1"/>
            <rFont val="Aptos Narrow"/>
            <family val="2"/>
            <scheme val="minor"/>
          </rPr>
          <t xml:space="preserve">Unknown User:
INSTALLATION OF FREESTANDING OVEN AND GAS COOKTOP (CUSTOMER SUPPLIED)
INSTALLATION OF GAS DEEP FRYER (CUSTOMER SUPPLIED)
</t>
        </r>
      </text>
    </comment>
    <comment ref="G542" authorId="1" shapeId="0" xr:uid="{A492FE1E-D484-4966-A4B5-86DB170C46D4}">
      <text>
        <r>
          <rPr>
            <sz val="11"/>
            <color theme="1"/>
            <rFont val="Aptos Narrow"/>
            <family val="2"/>
            <scheme val="minor"/>
          </rPr>
          <t>Unknown User:
*Gain access to gas ducted heater</t>
        </r>
      </text>
    </comment>
    <comment ref="G543" authorId="1" shapeId="0" xr:uid="{9A6B63E1-1F86-4DFE-88C0-0ECC95BCE6B2}">
      <text>
        <r>
          <rPr>
            <sz val="11"/>
            <color theme="1"/>
            <rFont val="Aptos Narrow"/>
            <family val="2"/>
            <scheme val="minor"/>
          </rPr>
          <t>Unknown User:
SUPPLY &amp; INSTALL NEW GAS DUCTED HEATER
10% Seniors &amp; Pensioners Discount</t>
        </r>
      </text>
    </comment>
    <comment ref="G544" authorId="1" shapeId="0" xr:uid="{24C4A484-8BCE-4D9F-9C54-15F0EB7C7D72}">
      <text>
        <r>
          <rPr>
            <sz val="11"/>
            <color theme="1"/>
            <rFont val="Aptos Narrow"/>
            <family val="2"/>
            <scheme val="minor"/>
          </rPr>
          <t>Unknown User:
SEARCH &amp; INVESTIGATION - LEAKING TOILET SUITE</t>
        </r>
      </text>
    </comment>
    <comment ref="G545" authorId="1" shapeId="0" xr:uid="{5D372F60-8616-436A-827A-553C26490BDF}">
      <text>
        <r>
          <rPr>
            <sz val="11"/>
            <color theme="1"/>
            <rFont val="Aptos Narrow"/>
            <family val="2"/>
            <scheme val="minor"/>
          </rPr>
          <t xml:space="preserve">Unknown User:
REPLACEMENT OF SEWER BOUNDARY TRAP 
</t>
        </r>
      </text>
    </comment>
    <comment ref="G546" authorId="1" shapeId="0" xr:uid="{5C1526DE-C08C-494A-A7A5-08950D0C9CF1}">
      <text>
        <r>
          <rPr>
            <sz val="11"/>
            <color theme="1"/>
            <rFont val="Aptos Narrow"/>
            <family val="2"/>
            <scheme val="minor"/>
          </rPr>
          <t xml:space="preserve">Unknown User:
REPLACEMENT OF SHOWER ARM &amp; ROSE
</t>
        </r>
      </text>
    </comment>
    <comment ref="G547" authorId="1" shapeId="0" xr:uid="{9CC887C0-680E-4A11-9416-9858B0C73DC5}">
      <text>
        <r>
          <rPr>
            <sz val="11"/>
            <color theme="1"/>
            <rFont val="Aptos Narrow"/>
            <family val="2"/>
            <scheme val="minor"/>
          </rPr>
          <t>Unknown User:
SEARCH AND INVESTIGATION OF GAS INSTANTANEOUS HOT WATER SYSTEM</t>
        </r>
      </text>
    </comment>
    <comment ref="G548" authorId="1" shapeId="0" xr:uid="{557FC2AF-9BD2-46D3-B9CA-E08520559ABA}">
      <text>
        <r>
          <rPr>
            <sz val="11"/>
            <color theme="1"/>
            <rFont val="Aptos Narrow"/>
            <family val="2"/>
            <scheme val="minor"/>
          </rPr>
          <t>Unknown User:
SUPPLY AND INSTALLATION OF STANDARD 15MM TEMPERING VALVE</t>
        </r>
      </text>
    </comment>
    <comment ref="E569" authorId="19" shapeId="0" xr:uid="{AAD642A7-AED7-4E4B-B4BB-77BA86862F81}">
      <text>
        <t>[Threaded comment]
Your version of Excel allows you to read this threaded comment; however, any edits to it will get removed if the file is opened in a newer version of Excel. Learn more: https://go.microsoft.com/fwlink/?linkid=870924
Comment:
    Stock</t>
      </text>
    </comment>
    <comment ref="G580" authorId="1" shapeId="0" xr:uid="{53A04A17-C342-409C-8CBE-0A0C652CD4FD}">
      <text>
        <r>
          <rPr>
            <sz val="11"/>
            <color theme="1"/>
            <rFont val="Aptos Narrow"/>
            <family val="2"/>
            <scheme val="minor"/>
          </rPr>
          <t xml:space="preserve">Unknown User:
WATER SERVICE RECTIFICATION (EXPOSED)
</t>
        </r>
      </text>
    </comment>
    <comment ref="L580" authorId="1" shapeId="0" xr:uid="{A7AC7877-A6CF-4688-8FEC-CDCE93367C71}">
      <text>
        <r>
          <rPr>
            <sz val="11"/>
            <color theme="1"/>
            <rFont val="Aptos Narrow"/>
            <family val="2"/>
            <scheme val="minor"/>
          </rPr>
          <t>Unknown User:
After pics are not satisfactory</t>
        </r>
      </text>
    </comment>
    <comment ref="G581" authorId="1" shapeId="0" xr:uid="{69DAFBF3-E8AC-4119-B7D7-C05535D33863}">
      <text>
        <r>
          <rPr>
            <sz val="11"/>
            <color theme="1"/>
            <rFont val="Aptos Narrow"/>
            <family val="2"/>
            <scheme val="minor"/>
          </rPr>
          <t>Unknown User:
COMPLETE SERVICE OF WALL TOP TAPS ASSEMBLY</t>
        </r>
      </text>
    </comment>
    <comment ref="M581" authorId="1" shapeId="0" xr:uid="{E9B64295-1DB5-4231-BBCC-FF038FD018F0}">
      <text>
        <r>
          <rPr>
            <sz val="11"/>
            <color theme="1"/>
            <rFont val="Aptos Narrow"/>
            <family val="2"/>
            <scheme val="minor"/>
          </rPr>
          <t>Unknown User:
Smartpay receipt of $639.10 not uploaded by the plumber.
Uploaded by Modoras team.</t>
        </r>
      </text>
    </comment>
    <comment ref="G582" authorId="1" shapeId="0" xr:uid="{CC8E1BEA-AEA5-4EF0-A370-4CAC4D8AABAA}">
      <text>
        <r>
          <rPr>
            <sz val="11"/>
            <color theme="1"/>
            <rFont val="Aptos Narrow"/>
            <family val="2"/>
            <scheme val="minor"/>
          </rPr>
          <t>Unknown User:
ROOF LEAK SEARCH &amp; INVESTIGATION</t>
        </r>
      </text>
    </comment>
    <comment ref="R582" authorId="1" shapeId="0" xr:uid="{900F17F9-C6FE-44C6-9263-3D49603A28DA}">
      <text>
        <r>
          <rPr>
            <sz val="11"/>
            <color theme="1"/>
            <rFont val="Aptos Narrow"/>
            <family val="2"/>
            <scheme val="minor"/>
          </rPr>
          <t>Unknown User:
Invoice not signed</t>
        </r>
      </text>
    </comment>
    <comment ref="S582" authorId="1" shapeId="0" xr:uid="{1B8DD5F4-614A-4CC7-919D-E0996CD11482}">
      <text>
        <r>
          <rPr>
            <sz val="11"/>
            <color theme="1"/>
            <rFont val="Aptos Narrow"/>
            <family val="2"/>
            <scheme val="minor"/>
          </rPr>
          <t>Unknown User:
Invoice emailed without sign</t>
        </r>
      </text>
    </comment>
    <comment ref="G583" authorId="1" shapeId="0" xr:uid="{11F901E6-47FF-4D60-98DF-C68E9B92A1A8}">
      <text>
        <r>
          <rPr>
            <sz val="11"/>
            <color theme="1"/>
            <rFont val="Aptos Narrow"/>
            <family val="2"/>
            <scheme val="minor"/>
          </rPr>
          <t>Unknown User:
REPLACEMENT OF SHOWER HOSE
$65 First Service Discount</t>
        </r>
      </text>
    </comment>
    <comment ref="R583" authorId="1" shapeId="0" xr:uid="{A07B018E-721E-411A-B7EC-37F718DE57C1}">
      <text>
        <r>
          <rPr>
            <sz val="11"/>
            <color theme="1"/>
            <rFont val="Aptos Narrow"/>
            <family val="2"/>
            <scheme val="minor"/>
          </rPr>
          <t>Unknown User:
Invoice not signed</t>
        </r>
      </text>
    </comment>
    <comment ref="S583" authorId="1" shapeId="0" xr:uid="{306AAE58-2BF8-4C6B-BCA6-88F480B0F8A9}">
      <text>
        <r>
          <rPr>
            <sz val="11"/>
            <color theme="1"/>
            <rFont val="Aptos Narrow"/>
            <family val="2"/>
            <scheme val="minor"/>
          </rPr>
          <t>Unknown User:
Invoice emailed without sign</t>
        </r>
      </text>
    </comment>
    <comment ref="G584" authorId="1" shapeId="0" xr:uid="{8913E300-BC48-4D4C-8064-E88F8157819A}">
      <text>
        <r>
          <rPr>
            <sz val="11"/>
            <color theme="1"/>
            <rFont val="Aptos Narrow"/>
            <family val="2"/>
            <scheme val="minor"/>
          </rPr>
          <t>Unknown User:
Gain access to main gas meter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Gain access to existing gas service connecting to gas cooktop
Disconnect existing gas service connected to gas cooktop
Disconnect existing brass fittings connected gas cooktop
Disconnect existing gas appliance regulator
Supply &amp; install new brass cap to existing gas cooktop connection point
Decommission existing gas cooktop
Make safe
Reinstate main gas supply to the property
Conduct a manometer test on the main gas service upon completion of the installation to ensure there are no leaks
Test &amp; commission the installation
Removal of all trade waste
10% Seniors &amp; Pensioners Discount</t>
        </r>
      </text>
    </comment>
    <comment ref="S584" authorId="1" shapeId="0" xr:uid="{C4762841-A67A-40AA-B030-2A9A7D358650}">
      <text>
        <r>
          <rPr>
            <sz val="11"/>
            <color theme="1"/>
            <rFont val="Aptos Narrow"/>
            <family val="2"/>
            <scheme val="minor"/>
          </rPr>
          <t>Unknown User:
Signed invoice not emailed</t>
        </r>
      </text>
    </comment>
    <comment ref="G585" authorId="1" shapeId="0" xr:uid="{C65AAC86-852A-44EC-B16D-609196E5FEDC}">
      <text>
        <r>
          <rPr>
            <sz val="11"/>
            <color theme="1"/>
            <rFont val="Aptos Narrow"/>
            <family val="2"/>
            <scheme val="minor"/>
          </rPr>
          <t>Unknown User:
REPLACEMENT OF BASIN MIXER
10% Seniors &amp; Pensioners Discount</t>
        </r>
      </text>
    </comment>
    <comment ref="L585" authorId="1" shapeId="0" xr:uid="{FB07F1D8-2F63-40EC-B2CD-1038FE667844}">
      <text>
        <r>
          <rPr>
            <sz val="11"/>
            <color theme="1"/>
            <rFont val="Aptos Narrow"/>
            <family val="2"/>
            <scheme val="minor"/>
          </rPr>
          <t xml:space="preserve">Unknown User:
After pic is not satisfactory. </t>
        </r>
      </text>
    </comment>
    <comment ref="Q585" authorId="1" shapeId="0" xr:uid="{773795CB-2CAD-4AE8-8255-B8FFF9B3523A}">
      <text>
        <r>
          <rPr>
            <sz val="11"/>
            <color theme="1"/>
            <rFont val="Aptos Narrow"/>
            <family val="2"/>
            <scheme val="minor"/>
          </rPr>
          <t>Unknown User:
Progress &amp; final invoice not raised.</t>
        </r>
      </text>
    </comment>
    <comment ref="G586" authorId="1" shapeId="0" xr:uid="{29E47CC4-6D51-4F56-A069-80DFA1744619}">
      <text>
        <r>
          <rPr>
            <sz val="11"/>
            <color theme="1"/>
            <rFont val="Aptos Narrow"/>
            <family val="2"/>
            <scheme val="minor"/>
          </rPr>
          <t>Unknown User:
CHEMICAL DRAIN CLEANING TREATMENT</t>
        </r>
      </text>
    </comment>
    <comment ref="T586" authorId="1" shapeId="0" xr:uid="{AA131771-0E39-45F6-BBC4-3E3941DA3C1A}">
      <text>
        <r>
          <rPr>
            <sz val="11"/>
            <color theme="1"/>
            <rFont val="Aptos Narrow"/>
            <family val="2"/>
            <scheme val="minor"/>
          </rPr>
          <t>Unknown User:
5 star review not considered as it is not submitted as per the pic.
No notes provided regarding the above.</t>
        </r>
      </text>
    </comment>
    <comment ref="G587" authorId="1" shapeId="0" xr:uid="{3F9F8528-06E3-4102-A583-A3E5593EBE68}">
      <text>
        <r>
          <rPr>
            <sz val="11"/>
            <color theme="1"/>
            <rFont val="Aptos Narrow"/>
            <family val="2"/>
            <scheme val="minor"/>
          </rPr>
          <t>Unknown User:
HIGH POWERED JET BLAST &amp; CCTV CAMERA INSPECTION (GAIN ACCESS WITH REMOVAL OF TOILET)
10% Good Will Discount</t>
        </r>
      </text>
    </comment>
    <comment ref="G588" authorId="1" shapeId="0" xr:uid="{93BCDB52-08C3-4754-A54A-4156D8A8B8A7}">
      <text>
        <r>
          <rPr>
            <sz val="11"/>
            <color theme="1"/>
            <rFont val="Aptos Narrow"/>
            <family val="2"/>
            <scheme val="minor"/>
          </rPr>
          <t>Unknown User:
HIGH POWERED SUCTION PUMP</t>
        </r>
      </text>
    </comment>
    <comment ref="P588" authorId="1" shapeId="0" xr:uid="{035485C7-EBE5-4D55-B08E-7FC3D741D222}">
      <text>
        <r>
          <rPr>
            <sz val="11"/>
            <color theme="1"/>
            <rFont val="Aptos Narrow"/>
            <family val="2"/>
            <scheme val="minor"/>
          </rPr>
          <t>Unknown User:
Quote not emailed</t>
        </r>
      </text>
    </comment>
    <comment ref="Q588" authorId="1" shapeId="0" xr:uid="{13E3E139-D242-4E0B-AABD-7C82CAD5410E}">
      <text>
        <r>
          <rPr>
            <sz val="11"/>
            <color theme="1"/>
            <rFont val="Aptos Narrow"/>
            <family val="2"/>
            <scheme val="minor"/>
          </rPr>
          <t>Unknown User:
Progress &amp; final invoice not raised.</t>
        </r>
      </text>
    </comment>
    <comment ref="G593" authorId="1" shapeId="0" xr:uid="{E58A9ECF-FB48-4A95-9335-B784F87201AB}">
      <text>
        <r>
          <rPr>
            <sz val="11"/>
            <color theme="1"/>
            <rFont val="Aptos Narrow"/>
            <family val="2"/>
            <scheme val="minor"/>
          </rPr>
          <t xml:space="preserve">Unknown User:
SPECIALIST LEAK DETECTION (WATER SERVICE)
10% Seniors &amp; Pensioners Discount </t>
        </r>
      </text>
    </comment>
    <comment ref="M593" authorId="1" shapeId="0" xr:uid="{515C4143-A521-4EF5-8396-7EB5F95B4F0A}">
      <text>
        <r>
          <rPr>
            <sz val="11"/>
            <color theme="1"/>
            <rFont val="Aptos Narrow"/>
            <family val="2"/>
            <scheme val="minor"/>
          </rPr>
          <t>Unknown User:
Cash pic/receipt not uploaded</t>
        </r>
      </text>
    </comment>
    <comment ref="Q593" authorId="1" shapeId="0" xr:uid="{2ED51FCF-44B6-4B87-9264-683D2814BE5F}">
      <text>
        <r>
          <rPr>
            <sz val="11"/>
            <color theme="1"/>
            <rFont val="Aptos Narrow"/>
            <family val="2"/>
            <scheme val="minor"/>
          </rPr>
          <t>Unknown User:
Progress invoice not updated</t>
        </r>
      </text>
    </comment>
    <comment ref="R593" authorId="1" shapeId="0" xr:uid="{26FAFE2C-1B5D-4257-9E19-FB75F4236294}">
      <text>
        <r>
          <rPr>
            <sz val="11"/>
            <color theme="1"/>
            <rFont val="Aptos Narrow"/>
            <family val="2"/>
            <scheme val="minor"/>
          </rPr>
          <t>Unknown User:
Sign not obtained</t>
        </r>
      </text>
    </comment>
    <comment ref="S593" authorId="1" shapeId="0" xr:uid="{920C5701-2F14-4402-817B-9DE6A7A737E8}">
      <text>
        <r>
          <rPr>
            <sz val="11"/>
            <color theme="1"/>
            <rFont val="Aptos Narrow"/>
            <family val="2"/>
            <scheme val="minor"/>
          </rPr>
          <t>Unknown User:
Invoice emailed without sign</t>
        </r>
      </text>
    </comment>
    <comment ref="W593" authorId="1" shapeId="0" xr:uid="{344FFB01-DC40-46E3-84F8-F202965DF600}">
      <text>
        <r>
          <rPr>
            <sz val="11"/>
            <color theme="1"/>
            <rFont val="Aptos Narrow"/>
            <family val="2"/>
            <scheme val="minor"/>
          </rPr>
          <t>Unknown User:
Cash denomination not available as cash pic/receipt not uploaded.</t>
        </r>
      </text>
    </comment>
    <comment ref="G594" authorId="1" shapeId="0" xr:uid="{0F8BB498-BD43-45CD-978D-6A03BEB5681C}">
      <text>
        <r>
          <rPr>
            <sz val="11"/>
            <color theme="1"/>
            <rFont val="Aptos Narrow"/>
            <family val="2"/>
            <scheme val="minor"/>
          </rPr>
          <t>Unknown User:
HIGH POWERED SUCTION PUMP
Non-refundable call out fee</t>
        </r>
      </text>
    </comment>
    <comment ref="G598" authorId="1" shapeId="0" xr:uid="{049ED923-FC73-4F98-8437-CCF7AE738F82}">
      <text>
        <r>
          <rPr>
            <sz val="11"/>
            <color theme="1"/>
            <rFont val="Aptos Narrow"/>
            <family val="2"/>
            <scheme val="minor"/>
          </rPr>
          <t>Unknown User:
SUPPLY &amp; INSTALLATION OF GAS STORAGE HOT WATER SYSTEM (EXTERNAL)
HIGH POWERED JET BLAST &amp; CCTV DRAIN CAMERA INSPECTION (SEWER SERVICE)</t>
        </r>
      </text>
    </comment>
    <comment ref="U598" authorId="1" shapeId="0" xr:uid="{4A143C5A-A88E-4D95-8B23-68B26003C622}">
      <text>
        <r>
          <rPr>
            <sz val="11"/>
            <color theme="1"/>
            <rFont val="Aptos Narrow"/>
            <family val="2"/>
            <scheme val="minor"/>
          </rPr>
          <t>Unknown User:
11/9-As per Joshua g's note "Callback from Lisa. Advised family member might be able to do job and was asking for refund of deposit. Advised Rhys would give her a call."
8/9-As per Kris's note "payment plan"
9/9-As per Joshua G's note "Call from Lisa, transferred by LM
Asked if she can pay $50 a week internally. (ZIP DECLINED)
Said I'd speak to accounts.
Asked us to email her son kienanremy2@gmail.com"</t>
        </r>
      </text>
    </comment>
    <comment ref="W598" authorId="1" shapeId="0" xr:uid="{B509E863-CB2B-49DC-91D1-711FD845E7D2}">
      <text>
        <r>
          <rPr>
            <sz val="11"/>
            <color theme="1"/>
            <rFont val="Aptos Narrow"/>
            <family val="2"/>
            <scheme val="minor"/>
          </rPr>
          <t>Unknown User:
Cash denomination
$50*7=$350
$10*1=$10
Total cash=$360</t>
        </r>
      </text>
    </comment>
    <comment ref="G599" authorId="1" shapeId="0" xr:uid="{3395FF48-41FD-4BC8-9F35-E747DBE5A962}">
      <text>
        <r>
          <rPr>
            <sz val="11"/>
            <color theme="1"/>
            <rFont val="Aptos Narrow"/>
            <family val="2"/>
            <scheme val="minor"/>
          </rPr>
          <t>Unknown User:
SUPPLY AND INSTALLATION OF NEW BOX GUTTER UP TO 2.5M
10% Seniors &amp; Pensioners Discount</t>
        </r>
      </text>
    </comment>
    <comment ref="K599" authorId="1" shapeId="0" xr:uid="{6DBE3F7F-72A6-4A90-8848-40F06E3B0873}">
      <text>
        <r>
          <rPr>
            <sz val="11"/>
            <color theme="1"/>
            <rFont val="Aptos Narrow"/>
            <family val="2"/>
            <scheme val="minor"/>
          </rPr>
          <t>Unknown User:
Previous job images considered</t>
        </r>
      </text>
    </comment>
    <comment ref="G603" authorId="1" shapeId="0" xr:uid="{AA9D86C0-B18A-4320-AA1B-14DBD4F3197A}">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L603" authorId="1" shapeId="0" xr:uid="{C51954D7-48F5-4E46-B5A6-1903C4921CA0}">
      <text>
        <r>
          <rPr>
            <sz val="11"/>
            <color theme="1"/>
            <rFont val="Aptos Narrow"/>
            <family val="2"/>
            <scheme val="minor"/>
          </rPr>
          <t>Unknown User:
Temp check pending</t>
        </r>
      </text>
    </comment>
    <comment ref="P603" authorId="1" shapeId="0" xr:uid="{28C27132-4FE6-40DE-BC54-41D53791CF3F}">
      <text>
        <r>
          <rPr>
            <sz val="11"/>
            <color theme="1"/>
            <rFont val="Aptos Narrow"/>
            <family val="2"/>
            <scheme val="minor"/>
          </rPr>
          <t>Unknown User:
Quote not emailed</t>
        </r>
      </text>
    </comment>
    <comment ref="Q603" authorId="1" shapeId="0" xr:uid="{8B23516D-956C-4B79-A880-FA210FF6DCDA}">
      <text>
        <r>
          <rPr>
            <sz val="11"/>
            <color theme="1"/>
            <rFont val="Aptos Narrow"/>
            <family val="2"/>
            <scheme val="minor"/>
          </rPr>
          <t>Unknown User:
Progress payment of $341.75 not updated in invoice (Signed but amount not recorded).</t>
        </r>
      </text>
    </comment>
    <comment ref="G604" authorId="1" shapeId="0" xr:uid="{78748027-2C8D-4DAE-AE3E-0619E722CF37}">
      <text>
        <r>
          <rPr>
            <sz val="11"/>
            <color theme="1"/>
            <rFont val="Aptos Narrow"/>
            <family val="2"/>
            <scheme val="minor"/>
          </rPr>
          <t>Unknown User:
STORM WATER RECTIFICATION UP TO 30M
Obtain Service Location Diagram
Obtain Dial Before Dig
Obtain Storm Water Diagram – If Available
Set Up Safe Work Area
Set Up Builders Plastic
Set Up Barricades for Safety
Dig &amp; Excavate Ground Area Up to 30M
Expose Existing Section of Storm Water Service Up to 30M
Locate stormwater entering barrel drain
Expose Existing Storm Water Junctions 
Cut &amp; Remove Existing Section of Storm Water Service Up to 30M
Cut &amp; Remove Existing Storm Water Junctions 
Gain Access to Storm Water Service
Set Up High-Powered Jet Blaster
Set Up High-Powered Mini Reel
Set Up High-Powered Turbines
Re-Jetblast Storm Water Service
Re-Camera and Investigate Further
Supply &amp; Install New Section of Storm Water Service Up to 30M
Supply &amp; Install New Storm Water Junctions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Upsize existing 50mm down pipe to 90mm down pipe
Install new 90mm pop and down pipe to back of house
Connect new stormwater to existing down pipes on shed
Backfill Excavated Area
Test &amp; Commission Installation
Remove Trade Waste
Restore Work Area (Excludes Returfing)
PLEASE NOTE IF FURTHER WORK REQUIRED OTHER THEN QUOTED WORK FURTHER COST WILL APPLY</t>
        </r>
      </text>
    </comment>
    <comment ref="P604" authorId="1" shapeId="0" xr:uid="{FD55CFED-781A-4881-BFD4-ABA0C55B2DD1}">
      <text>
        <r>
          <rPr>
            <sz val="11"/>
            <color theme="1"/>
            <rFont val="Aptos Narrow"/>
            <family val="2"/>
            <scheme val="minor"/>
          </rPr>
          <t>Unknown User:
Quote not emailed</t>
        </r>
      </text>
    </comment>
    <comment ref="U604" authorId="1" shapeId="0" xr:uid="{AA3E9E1A-9F5C-49D0-B6B2-15D513C61625}">
      <text>
        <r>
          <rPr>
            <sz val="11"/>
            <color theme="1"/>
            <rFont val="Aptos Narrow"/>
            <family val="2"/>
            <scheme val="minor"/>
          </rPr>
          <t>Unknown User:
31/7-As per Joshua's note "Callback from Prue and Mr Stone,
Complained about
-price of the job, wanted itemised invoice. they were under the assumption that this was a given.
-items on invoice not completed (not specified, said they could talk to Daniel or let me know).
-Humm misunderstanding, they dont trust HUMM even though they've used it in the past. I explained the general process and that we take a 10% deposit and put the customer on a plan for the rest. They werent happy with this, i did say 10% more would be required to clear the balance as limit is $25k.
-multiple trading names, explained this is for marketing purposes and we were in a transitional period.
Asked for them to suggest a resolution as they said they'd "take this further". Invited them to come back to me at any time."</t>
        </r>
      </text>
    </comment>
    <comment ref="G605" authorId="1" shapeId="0" xr:uid="{035C93E2-6177-4256-9981-4A7815229140}">
      <text>
        <r>
          <rPr>
            <sz val="11"/>
            <color theme="1"/>
            <rFont val="Aptos Narrow"/>
            <family val="2"/>
            <scheme val="minor"/>
          </rPr>
          <t>Unknown User:
SEARCH &amp; INVESTIGATION OF DOUBLE STOREY ROOF OF POTENTIAL LEAK</t>
        </r>
      </text>
    </comment>
    <comment ref="P605" authorId="1" shapeId="0" xr:uid="{625FA541-EFAA-4885-B25F-5261A56570E0}">
      <text>
        <r>
          <rPr>
            <sz val="11"/>
            <color theme="1"/>
            <rFont val="Aptos Narrow"/>
            <family val="2"/>
            <scheme val="minor"/>
          </rPr>
          <t>Unknown User:
Quote not emailed</t>
        </r>
      </text>
    </comment>
    <comment ref="U605" authorId="1" shapeId="0" xr:uid="{6E97604C-4E10-47D7-BD34-F4B4EFEA0F0A}">
      <text>
        <r>
          <rPr>
            <sz val="11"/>
            <color theme="1"/>
            <rFont val="Aptos Narrow"/>
            <family val="2"/>
            <scheme val="minor"/>
          </rPr>
          <t>Unknown User:
4/8-As per Kylie's note "Spoke to Tara she has already left the property and is refusing to pay any more than 1K she states that we have not done the work to the scope which is correct as no height equipment has been used, nor has the plumber done a test and commission. States based on the 30 mins the plumber has been onsite she is not paying for the quoted amount. States she is now doing her due diligence and asking around and another plumber has told her it should have cost no more than $400. Claims she will pay 1K at the most"</t>
        </r>
      </text>
    </comment>
    <comment ref="G606" authorId="1" shapeId="0" xr:uid="{12AAE63A-EBF1-4460-80B4-FAEB46020419}">
      <text>
        <r>
          <rPr>
            <sz val="11"/>
            <color theme="1"/>
            <rFont val="Aptos Narrow"/>
            <family val="2"/>
            <scheme val="minor"/>
          </rPr>
          <t xml:space="preserve">Unknown User:
SUPPLY &amp; INSTALLATION OF NEW LINK SUITE
INSTALLATION OF FREESTANDING OVEN AND GAS COOKTOP [SAME LOCATION] (CUSTOMER SUPPLIED)
INSTALLATION OF NEW WASHING MACHINE (CUSTOMER SUPPLIED)
INSTALL NEW CUSTOMER SUPPLIED DISHWASHER IN NEW LOCATION
</t>
        </r>
      </text>
    </comment>
    <comment ref="P606" authorId="1" shapeId="0" xr:uid="{11AD014B-D83C-40D0-BCE9-7E6C5FA114DC}">
      <text>
        <r>
          <rPr>
            <sz val="11"/>
            <color theme="1"/>
            <rFont val="Aptos Narrow"/>
            <family val="2"/>
            <scheme val="minor"/>
          </rPr>
          <t>Unknown User:
Quote not emailed</t>
        </r>
      </text>
    </comment>
    <comment ref="A607" authorId="20" shapeId="0" xr:uid="{2E7B4210-D41D-4603-96EF-CF957A444143}">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607" authorId="1" shapeId="0" xr:uid="{91FA2DCC-3BCD-4B28-BE02-E7FF660EBAE3}">
      <text>
        <r>
          <rPr>
            <sz val="11"/>
            <color theme="1"/>
            <rFont val="Aptos Narrow"/>
            <family val="2"/>
            <scheme val="minor"/>
          </rPr>
          <t>Unknown User:
SUPPLY AND INSTALLATION OF INSTANT HOT WATER UNIT</t>
        </r>
      </text>
    </comment>
    <comment ref="R607" authorId="1" shapeId="0" xr:uid="{9FCE900C-CA24-4B68-81C7-0EF270EC1F85}">
      <text>
        <r>
          <rPr>
            <sz val="11"/>
            <color theme="1"/>
            <rFont val="Aptos Narrow"/>
            <family val="2"/>
            <scheme val="minor"/>
          </rPr>
          <t>Unknown User:
Invoice not signed</t>
        </r>
      </text>
    </comment>
    <comment ref="S607" authorId="1" shapeId="0" xr:uid="{4A7AC186-F293-4B16-9126-7FD9C99B9A20}">
      <text>
        <r>
          <rPr>
            <sz val="11"/>
            <color theme="1"/>
            <rFont val="Aptos Narrow"/>
            <family val="2"/>
            <scheme val="minor"/>
          </rPr>
          <t>Unknown User:
Signed invoice not emailed</t>
        </r>
      </text>
    </comment>
    <comment ref="G608" authorId="1" shapeId="0" xr:uid="{54A3E1A9-1B9C-4B93-9076-C12C57387A5D}">
      <text>
        <r>
          <rPr>
            <sz val="11"/>
            <color theme="1"/>
            <rFont val="Aptos Narrow"/>
            <family val="2"/>
            <scheme val="minor"/>
          </rPr>
          <t>Unknown User:
ROOF LEAK SEARCH &amp; INVESTIGATION
10% Seniors &amp; Pensioners Discount</t>
        </r>
      </text>
    </comment>
    <comment ref="R608" authorId="1" shapeId="0" xr:uid="{2F30981F-9638-400D-97C4-89050FFE3F2A}">
      <text>
        <r>
          <rPr>
            <sz val="11"/>
            <color theme="1"/>
            <rFont val="Aptos Narrow"/>
            <family val="2"/>
            <scheme val="minor"/>
          </rPr>
          <t>Unknown User:
Invoice not signed</t>
        </r>
      </text>
    </comment>
    <comment ref="S608" authorId="1" shapeId="0" xr:uid="{E1A83301-8E0C-42E9-A4A5-7661B7E0481D}">
      <text>
        <r>
          <rPr>
            <sz val="11"/>
            <color theme="1"/>
            <rFont val="Aptos Narrow"/>
            <family val="2"/>
            <scheme val="minor"/>
          </rPr>
          <t>Unknown User:
Signed invoice not emailed</t>
        </r>
      </text>
    </comment>
    <comment ref="G609" authorId="1" shapeId="0" xr:uid="{137A5B02-879A-4F36-A4FC-9A850110EC37}">
      <text>
        <r>
          <rPr>
            <sz val="11"/>
            <color theme="1"/>
            <rFont val="Aptos Narrow"/>
            <family val="2"/>
            <scheme val="minor"/>
          </rPr>
          <t xml:space="preserve">Unknown User:
CONVERT SOLAR SPLIT HOT WATER SYSTEM TO EXTERNAL GAS INSTANTANEOUS HOT WATER SYSTEM
SUPPLY AND INSTALLATION OF PRESSURE REGULATING DEVICE FITTED TO 20MM STRAIGHT PIPEWORK
10% Seniors &amp; Pensioners Discount
CREDIT OF SEARCH &amp; INVESTIGATION </t>
        </r>
      </text>
    </comment>
    <comment ref="L609" authorId="1" shapeId="0" xr:uid="{5CEB1DD2-872E-47C7-895A-5B7FC1565781}">
      <text>
        <r>
          <rPr>
            <sz val="11"/>
            <color theme="1"/>
            <rFont val="Aptos Narrow"/>
            <family val="2"/>
            <scheme val="minor"/>
          </rPr>
          <t>Unknown User:
Temp check not performed</t>
        </r>
      </text>
    </comment>
    <comment ref="P609" authorId="1" shapeId="0" xr:uid="{4D8A07DD-D592-46AC-B0D6-EE0AF6C34962}">
      <text>
        <r>
          <rPr>
            <sz val="11"/>
            <color theme="1"/>
            <rFont val="Aptos Narrow"/>
            <family val="2"/>
            <scheme val="minor"/>
          </rPr>
          <t>Unknown User:
Quote not emailed</t>
        </r>
      </text>
    </comment>
    <comment ref="R609" authorId="1" shapeId="0" xr:uid="{BB838DCF-4DBF-43DF-BD44-132943055BDE}">
      <text>
        <r>
          <rPr>
            <sz val="11"/>
            <color theme="1"/>
            <rFont val="Aptos Narrow"/>
            <family val="2"/>
            <scheme val="minor"/>
          </rPr>
          <t>Unknown User:
Invoice not signed</t>
        </r>
      </text>
    </comment>
    <comment ref="S609" authorId="1" shapeId="0" xr:uid="{3AB80094-9415-402D-9E9A-E058FB67AE9A}">
      <text>
        <r>
          <rPr>
            <sz val="11"/>
            <color theme="1"/>
            <rFont val="Aptos Narrow"/>
            <family val="2"/>
            <scheme val="minor"/>
          </rPr>
          <t>Unknown User:
Invoice emailed without sign.</t>
        </r>
      </text>
    </comment>
    <comment ref="T609" authorId="1" shapeId="0" xr:uid="{6FEF38C0-9948-4B25-91BE-66DB26232838}">
      <text>
        <r>
          <rPr>
            <sz val="11"/>
            <color theme="1"/>
            <rFont val="Aptos Narrow"/>
            <family val="2"/>
            <scheme val="minor"/>
          </rPr>
          <t>Unknown User:
0.5x Tolga Bal
0.5x Rhys</t>
        </r>
      </text>
    </comment>
    <comment ref="A610" authorId="21" shapeId="0" xr:uid="{D2E2D43F-255B-4C85-965B-D2328FC1E3D9}">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610" authorId="1" shapeId="0" xr:uid="{03B00F41-A0AA-4E42-893C-745E1756F217}">
      <text>
        <r>
          <rPr>
            <sz val="11"/>
            <color theme="1"/>
            <rFont val="Aptos Narrow"/>
            <family val="2"/>
            <scheme val="minor"/>
          </rPr>
          <t>Unknown User:
REPLACEMENT OF PLUG &amp; WASTE - 40MM
MIXER TAP - GOOSE NECK
10% Good Will Discount 
CHEMICAL DRAIN CLEANING TREATMENT</t>
        </r>
      </text>
    </comment>
    <comment ref="V610" authorId="1" shapeId="0" xr:uid="{1EDEDBAE-8457-46AE-8F1A-6CE225C119B0}">
      <text>
        <r>
          <rPr>
            <sz val="11"/>
            <color theme="1"/>
            <rFont val="Aptos Narrow"/>
            <family val="2"/>
            <scheme val="minor"/>
          </rPr>
          <t>Unknown User:
1/9-Received $707.60 by Smartpay</t>
        </r>
      </text>
    </comment>
    <comment ref="G611" authorId="1" shapeId="0" xr:uid="{C48251C0-AF2C-40D4-876C-69BD904DA33A}">
      <text>
        <r>
          <rPr>
            <sz val="11"/>
            <color theme="1"/>
            <rFont val="Aptos Narrow"/>
            <family val="2"/>
            <scheme val="minor"/>
          </rPr>
          <t xml:space="preserve">Unknown User:
SUPPLY &amp; INSTALLATION OF NEW SHOWER WALL TOP TAPS
REPLACEMENT OF TAP TOPS
10% Good Will Discount </t>
        </r>
      </text>
    </comment>
    <comment ref="P611" authorId="1" shapeId="0" xr:uid="{5C08AF52-AAB1-42FB-A275-8A4EE845F40F}">
      <text>
        <r>
          <rPr>
            <sz val="11"/>
            <color theme="1"/>
            <rFont val="Aptos Narrow"/>
            <family val="2"/>
            <scheme val="minor"/>
          </rPr>
          <t>Unknown User:
Quote not emailed</t>
        </r>
      </text>
    </comment>
    <comment ref="G615" authorId="1" shapeId="0" xr:uid="{3AA085A5-1C6B-4390-AC59-63A4CA2AA696}">
      <text>
        <r>
          <rPr>
            <sz val="11"/>
            <color theme="1"/>
            <rFont val="Aptos Narrow"/>
            <family val="2"/>
            <scheme val="minor"/>
          </rPr>
          <t>Unknown User:
Install concrete slab
Adapt onto downpipe
Run downpipe to tank
Install hose bit
Test and commission
10% Good Will Discount</t>
        </r>
      </text>
    </comment>
    <comment ref="M615" authorId="1" shapeId="0" xr:uid="{C1A2A1D1-2F11-47B0-9260-21981E0ADF86}">
      <text>
        <r>
          <rPr>
            <sz val="11"/>
            <color theme="1"/>
            <rFont val="Aptos Narrow"/>
            <family val="2"/>
            <scheme val="minor"/>
          </rPr>
          <t>Unknown User:
Cash pic for $200 not uploaded.</t>
        </r>
      </text>
    </comment>
    <comment ref="W615" authorId="1" shapeId="0" xr:uid="{693DB4FA-AF3E-4B23-AED3-0735842133C0}">
      <text>
        <r>
          <rPr>
            <sz val="11"/>
            <color theme="1"/>
            <rFont val="Aptos Narrow"/>
            <family val="2"/>
            <scheme val="minor"/>
          </rPr>
          <t>Unknown User:
Cash pic not uploaded</t>
        </r>
      </text>
    </comment>
    <comment ref="G616" authorId="1" shapeId="0" xr:uid="{501F1FC5-E566-4D56-828D-A8E9D699F541}">
      <text>
        <r>
          <rPr>
            <sz val="11"/>
            <color theme="1"/>
            <rFont val="Aptos Narrow"/>
            <family val="2"/>
            <scheme val="minor"/>
          </rPr>
          <t xml:space="preserve">Unknown User:
SPECIALIST LEAK DETECTION (WATER SERVICE)
10% Seniors &amp; Pensioners Discount
</t>
        </r>
      </text>
    </comment>
    <comment ref="P616" authorId="1" shapeId="0" xr:uid="{F789655D-3AA5-4FB4-915A-9BB2E07F64A6}">
      <text>
        <r>
          <rPr>
            <sz val="11"/>
            <color theme="1"/>
            <rFont val="Aptos Narrow"/>
            <family val="2"/>
            <scheme val="minor"/>
          </rPr>
          <t>Unknown User:
Quote not emailed</t>
        </r>
      </text>
    </comment>
    <comment ref="U616" authorId="1" shapeId="0" xr:uid="{F09A2B23-EB25-4E99-846D-823D73B3CB85}">
      <text>
        <r>
          <rPr>
            <sz val="11"/>
            <color theme="1"/>
            <rFont val="Aptos Narrow"/>
            <family val="2"/>
            <scheme val="minor"/>
          </rPr>
          <t>Unknown User:
15/8-As per Rhys's note "HUMM messed around for like 2 hours
Client didn’t wanna do it anymore
Collected deposit come back next week"</t>
        </r>
      </text>
    </comment>
    <comment ref="G617" authorId="1" shapeId="0" xr:uid="{E20714F4-5C15-4B0D-9A31-79D990395D54}">
      <text>
        <r>
          <rPr>
            <sz val="11"/>
            <color theme="1"/>
            <rFont val="Aptos Narrow"/>
            <family val="2"/>
            <scheme val="minor"/>
          </rPr>
          <t xml:space="preserve">Unknown User:
ROOF MAINTENANCE </t>
        </r>
      </text>
    </comment>
    <comment ref="N617" authorId="1" shapeId="0" xr:uid="{698AC494-E3AC-4850-AC15-7D5880F277DB}">
      <text>
        <r>
          <rPr>
            <sz val="11"/>
            <color theme="1"/>
            <rFont val="Aptos Narrow"/>
            <family val="2"/>
            <scheme val="minor"/>
          </rPr>
          <t>Unknown User:
Quote raised in Job #72515</t>
        </r>
      </text>
    </comment>
    <comment ref="V617" authorId="1" shapeId="0" xr:uid="{8FA8CC59-5107-4240-AB0A-92893EFD1F28}">
      <text>
        <r>
          <rPr>
            <sz val="11"/>
            <color theme="1"/>
            <rFont val="Aptos Narrow"/>
            <family val="2"/>
            <scheme val="minor"/>
          </rPr>
          <t>Unknown User:
10/9-EFT of $10000 received</t>
        </r>
      </text>
    </comment>
    <comment ref="G618" authorId="1" shapeId="0" xr:uid="{E51A747E-562C-4DAB-A4CE-8C6AE82B84C1}">
      <text>
        <r>
          <rPr>
            <sz val="11"/>
            <color theme="1"/>
            <rFont val="Aptos Narrow"/>
            <family val="2"/>
            <scheme val="minor"/>
          </rPr>
          <t>Unknown User:
SEWER SPOT DIG - IN GROUND</t>
        </r>
      </text>
    </comment>
    <comment ref="K618" authorId="1" shapeId="0" xr:uid="{08F4F9A8-D34D-4B3B-BB82-61D219CCA302}">
      <text>
        <r>
          <rPr>
            <sz val="11"/>
            <color theme="1"/>
            <rFont val="Aptos Narrow"/>
            <family val="2"/>
            <scheme val="minor"/>
          </rPr>
          <t xml:space="preserve">Unknown User:
Job #73032 pics uploaded </t>
        </r>
      </text>
    </comment>
    <comment ref="G623" authorId="1" shapeId="0" xr:uid="{E990D85C-3EAF-4E5C-9862-799E0381C4F1}">
      <text>
        <r>
          <rPr>
            <sz val="11"/>
            <color theme="1"/>
            <rFont val="Aptos Narrow"/>
            <family val="2"/>
            <scheme val="minor"/>
          </rPr>
          <t>Unknown User:
RECTIFICATION OF IN WALL SHOWER BREACH</t>
        </r>
      </text>
    </comment>
    <comment ref="T623" authorId="22" shapeId="0" xr:uid="{CDC1AC9D-CBB9-475A-87EF-E96BE4CBA674}">
      <text>
        <t>[Threaded comment]
Your version of Excel allows you to read this threaded comment; however, any edits to it will get removed if the file is opened in a newer version of Excel. Learn more: https://go.microsoft.com/fwlink/?linkid=870924
Comment:
    Claiming 5 Star Review no Pic Uploaded</t>
      </text>
    </comment>
    <comment ref="G624" authorId="1" shapeId="0" xr:uid="{FD7A04C7-D271-47EB-813A-B4A6E6B8E9AC}">
      <text>
        <r>
          <rPr>
            <sz val="11"/>
            <color theme="1"/>
            <rFont val="Aptos Narrow"/>
            <family val="2"/>
            <scheme val="minor"/>
          </rPr>
          <t>Unknown User:
RECTIFICATION OF IN WALL SHOWER BREACH</t>
        </r>
      </text>
    </comment>
    <comment ref="K624" authorId="1" shapeId="0" xr:uid="{741EE0C8-F908-43E4-97F0-1ADEF4BE02B3}">
      <text>
        <r>
          <rPr>
            <sz val="11"/>
            <color theme="1"/>
            <rFont val="Aptos Narrow"/>
            <family val="2"/>
            <scheme val="minor"/>
          </rPr>
          <t>Unknown User:
Previous job #73056 images considered.</t>
        </r>
      </text>
    </comment>
    <comment ref="G625" authorId="1" shapeId="0" xr:uid="{EB8EC2D0-2A6D-46F7-BCA5-05E47DEC017B}">
      <text>
        <r>
          <rPr>
            <sz val="11"/>
            <color theme="1"/>
            <rFont val="Aptos Narrow"/>
            <family val="2"/>
            <scheme val="minor"/>
          </rPr>
          <t>Unknown User:
SEARCH &amp; INVESTIGATION OF GAS STORAGE HOT WATER SYSTEM</t>
        </r>
      </text>
    </comment>
    <comment ref="G626" authorId="1" shapeId="0" xr:uid="{35B33738-E984-4E5C-A573-596F289ED198}">
      <text>
        <r>
          <rPr>
            <sz val="11"/>
            <color theme="1"/>
            <rFont val="Aptos Narrow"/>
            <family val="2"/>
            <scheme val="minor"/>
          </rPr>
          <t xml:space="preserve">Unknown User:
SUPPLY AND INSTALLATION OF BOX GUTTER UP TO 8M </t>
        </r>
      </text>
    </comment>
    <comment ref="G627" authorId="1" shapeId="0" xr:uid="{71468D2D-DCBD-473E-9DE5-6C842535B0D6}">
      <text>
        <r>
          <rPr>
            <sz val="11"/>
            <color theme="1"/>
            <rFont val="Aptos Narrow"/>
            <family val="2"/>
            <scheme val="minor"/>
          </rPr>
          <t>Unknown User:
SUPPLY &amp; INSTALLATION OF NEW ROOF SHEETS (UP TO
40SQM)
10% Seniors &amp; Pensioners Discount</t>
        </r>
      </text>
    </comment>
    <comment ref="G628" authorId="1" shapeId="0" xr:uid="{31037602-476A-425C-9044-6547E3F0922B}">
      <text>
        <r>
          <rPr>
            <sz val="11"/>
            <color theme="1"/>
            <rFont val="Aptos Narrow"/>
            <family val="2"/>
            <scheme val="minor"/>
          </rPr>
          <t xml:space="preserve">Unknown User:
MIXER TAP - STANDARD
10% Seniors &amp; Pensioners Discount
</t>
        </r>
      </text>
    </comment>
    <comment ref="G629" authorId="1" shapeId="0" xr:uid="{B02F1BDE-DAE4-4ADF-A1AD-7A57A5BAD05C}">
      <text>
        <r>
          <rPr>
            <sz val="11"/>
            <color theme="1"/>
            <rFont val="Aptos Narrow"/>
            <family val="2"/>
            <scheme val="minor"/>
          </rPr>
          <t>Unknown User:
INSTALLATION OF FREESTANDING OVEN AND GAS COOKTOP [SAME LOCATION] (CUSTOMER SUPPLIED)</t>
        </r>
      </text>
    </comment>
    <comment ref="G630" authorId="1" shapeId="0" xr:uid="{40E1C67D-9595-4D7D-AC81-772C52C748E7}">
      <text>
        <r>
          <rPr>
            <sz val="11"/>
            <color theme="1"/>
            <rFont val="Aptos Narrow"/>
            <family val="2"/>
            <scheme val="minor"/>
          </rPr>
          <t>Unknown User:
HIGH POWERED JET BLAST &amp; CCTV DRAIN CAMERA INSPECTION (SEWER SERVICE)
$65 First Service Discount</t>
        </r>
      </text>
    </comment>
    <comment ref="G631" authorId="1" shapeId="0" xr:uid="{28DA4B78-284C-4FC0-B28D-3C0366108371}">
      <text>
        <r>
          <rPr>
            <sz val="11"/>
            <color theme="1"/>
            <rFont val="Aptos Narrow"/>
            <family val="2"/>
            <scheme val="minor"/>
          </rPr>
          <t>Unknown User:
REPLACEMENT OF SHOWER ARM &amp; ROSE</t>
        </r>
      </text>
    </comment>
    <comment ref="G632" authorId="1" shapeId="0" xr:uid="{DE657C38-AC60-461D-8E31-1EE3EAC21B57}">
      <text>
        <r>
          <rPr>
            <sz val="11"/>
            <color theme="1"/>
            <rFont val="Aptos Narrow"/>
            <family val="2"/>
            <scheme val="minor"/>
          </rPr>
          <t>Unknown User:
SEARCH AND INVESTIGATION OF GAS INSTANTANEOUS HOT WATER SYSTEM</t>
        </r>
      </text>
    </comment>
    <comment ref="G633" authorId="1" shapeId="0" xr:uid="{DBCA4A6A-F1E1-4E1B-AD4A-AD6D0C6550E5}">
      <text>
        <r>
          <rPr>
            <sz val="11"/>
            <color theme="1"/>
            <rFont val="Aptos Narrow"/>
            <family val="2"/>
            <scheme val="minor"/>
          </rPr>
          <t xml:space="preserve">Unknown User:
SUPPLY &amp; INSTALLATION OF NEW INSTANTANEOUS GAS HOT WATER SYSTEM (EXTERNAL)
</t>
        </r>
      </text>
    </comment>
    <comment ref="G634" authorId="1" shapeId="0" xr:uid="{504354D2-8148-466C-AE65-7D9B33A6AE16}">
      <text>
        <r>
          <rPr>
            <sz val="11"/>
            <color theme="1"/>
            <rFont val="Aptos Narrow"/>
            <family val="2"/>
            <scheme val="minor"/>
          </rPr>
          <t xml:space="preserve">Unknown User:
CUSTOMER SUPPLIED BATH ROUGH IN
</t>
        </r>
      </text>
    </comment>
    <comment ref="G635" authorId="1" shapeId="0" xr:uid="{339B6810-4C37-4D93-A49E-F95F7275DB3D}">
      <text>
        <r>
          <rPr>
            <sz val="11"/>
            <color theme="1"/>
            <rFont val="Aptos Narrow"/>
            <family val="2"/>
            <scheme val="minor"/>
          </rPr>
          <t>Unknown User:
SUPPLY &amp; INSTALLATION OF GAS STORAGE HOT WATER SYSTEM (EXTERNAL)
10% Seniors &amp; Pensioners Discount</t>
        </r>
      </text>
    </comment>
    <comment ref="G636" authorId="1" shapeId="0" xr:uid="{D021C1B0-3FBE-4FFE-B3CA-2F7625281564}">
      <text>
        <r>
          <rPr>
            <sz val="11"/>
            <color theme="1"/>
            <rFont val="Aptos Narrow"/>
            <family val="2"/>
            <scheme val="minor"/>
          </rPr>
          <t xml:space="preserve">Unknown User:
HIGH POWERED JET BLAST &amp; CCTV DRAIN CAMERA INSPECTION (SEWER SERVICE)
</t>
        </r>
      </text>
    </comment>
    <comment ref="T636" authorId="23" shapeId="0" xr:uid="{EFB9F918-3807-4230-8A5F-37B0BEEAE0A3}">
      <text>
        <t>[Threaded comment]
Your version of Excel allows you to read this threaded comment; however, any edits to it will get removed if the file is opened in a newer version of Excel. Learn more: https://go.microsoft.com/fwlink/?linkid=870924
Comment:
    Claiming 5 Star Review no Pic Uploaded</t>
      </text>
    </comment>
    <comment ref="G637" authorId="1" shapeId="0" xr:uid="{A90F6616-6247-4A7A-A902-7A63C0EFF561}">
      <text>
        <r>
          <rPr>
            <sz val="11"/>
            <color theme="1"/>
            <rFont val="Aptos Narrow"/>
            <family val="2"/>
            <scheme val="minor"/>
          </rPr>
          <t>Unknown User:
INSTALLATION OF DISHWASHER [SAME LOCATION] (CUSTOMER SUPPLIED)
10% Seniors &amp; Pensioners Discount</t>
        </r>
      </text>
    </comment>
    <comment ref="K638" authorId="1" shapeId="0" xr:uid="{4C0F09D9-A9DA-4C5E-86B7-9942CFC995BB}">
      <text>
        <r>
          <rPr>
            <sz val="11"/>
            <color theme="1"/>
            <rFont val="Aptos Narrow"/>
            <family val="2"/>
            <scheme val="minor"/>
          </rPr>
          <t>Unknown User:
Previous job pics considered</t>
        </r>
      </text>
    </comment>
    <comment ref="G639" authorId="1" shapeId="0" xr:uid="{AFCA82A4-3B4B-4CB7-A076-AB127DE1DA58}">
      <text>
        <r>
          <rPr>
            <sz val="11"/>
            <color theme="1"/>
            <rFont val="Aptos Narrow"/>
            <family val="2"/>
            <scheme val="minor"/>
          </rPr>
          <t>Unknown User:
FLOOD, DYE, PRESSURE TEST (WET AREA)
5% Good Will Discount</t>
        </r>
      </text>
    </comment>
    <comment ref="G640" authorId="1" shapeId="0" xr:uid="{7DF3973E-C2A7-45B2-A0A7-1D96F5219418}">
      <text>
        <r>
          <rPr>
            <sz val="11"/>
            <color theme="1"/>
            <rFont val="Aptos Narrow"/>
            <family val="2"/>
            <scheme val="minor"/>
          </rPr>
          <t>Unknown User:
INSTALLATION OF FRIDGE WITHIN 3M OF COLD WATER SUPPLY (CUSTOMER SUPPLIED)</t>
        </r>
      </text>
    </comment>
    <comment ref="G641" authorId="1" shapeId="0" xr:uid="{9532692B-846C-4712-A921-9D4643EC1434}">
      <text>
        <r>
          <rPr>
            <sz val="11"/>
            <color theme="1"/>
            <rFont val="Aptos Narrow"/>
            <family val="2"/>
            <scheme val="minor"/>
          </rPr>
          <t>Unknown User:
WATER SERVICE RECTIFICATION (EXPOSED)
10% Seniors &amp; Pensioners Discount</t>
        </r>
      </text>
    </comment>
    <comment ref="G642" authorId="1" shapeId="0" xr:uid="{B85B24F9-B578-424C-87FD-631031037BC6}">
      <text>
        <r>
          <rPr>
            <sz val="11"/>
            <color theme="1"/>
            <rFont val="Aptos Narrow"/>
            <family val="2"/>
            <scheme val="minor"/>
          </rPr>
          <t xml:space="preserve">Unknown User:
REPLACEMENT OF SEWER SHAFT
</t>
        </r>
      </text>
    </comment>
    <comment ref="K642" authorId="1" shapeId="0" xr:uid="{01AE745C-6A06-4C1C-87AB-F8636166DF23}">
      <text>
        <r>
          <rPr>
            <sz val="11"/>
            <color theme="1"/>
            <rFont val="Aptos Narrow"/>
            <family val="2"/>
            <scheme val="minor"/>
          </rPr>
          <t>Unknown User:
Previous job #73234 pics considered</t>
        </r>
      </text>
    </comment>
    <comment ref="G643" authorId="1" shapeId="0" xr:uid="{A31C25FC-82DF-4588-B286-75F2D1DC440D}">
      <text>
        <r>
          <rPr>
            <sz val="11"/>
            <color theme="1"/>
            <rFont val="Aptos Narrow"/>
            <family val="2"/>
            <scheme val="minor"/>
          </rPr>
          <t>Unknown User:
*Access property and assess work area 
10% Seniors &amp; Pensioners Discount</t>
        </r>
      </text>
    </comment>
    <comment ref="E664" authorId="24" shapeId="0" xr:uid="{59B4FFDE-7CF0-4248-9FDD-9FC1B174C12A}">
      <text>
        <t>[Threaded comment]
Your version of Excel allows you to read this threaded comment; however, any edits to it will get removed if the file is opened in a newer version of Excel. Learn more: https://go.microsoft.com/fwlink/?linkid=870924
Comment:
    Checked</t>
      </text>
    </comment>
    <comment ref="E665" authorId="25" shapeId="0" xr:uid="{1E81405B-C0E7-4538-8997-CC602067969E}">
      <text>
        <t>[Threaded comment]
Your version of Excel allows you to read this threaded comment; however, any edits to it will get removed if the file is opened in a newer version of Excel. Learn more: https://go.microsoft.com/fwlink/?linkid=870924
Comment:
    Stock</t>
      </text>
    </comment>
    <comment ref="E666" authorId="26" shapeId="0" xr:uid="{44830C20-96EC-4408-8584-8B969A22074B}">
      <text>
        <t>[Threaded comment]
Your version of Excel allows you to read this threaded comment; however, any edits to it will get removed if the file is opened in a newer version of Excel. Learn more: https://go.microsoft.com/fwlink/?linkid=870924
Comment:
    Stock</t>
      </text>
    </comment>
    <comment ref="G676" authorId="1" shapeId="0" xr:uid="{E78AE575-6C09-41F8-9459-135A1CF9F79D}">
      <text>
        <r>
          <rPr>
            <sz val="11"/>
            <color theme="1"/>
            <rFont val="Aptos Narrow"/>
            <family val="2"/>
            <scheme val="minor"/>
          </rPr>
          <t>Unknown User:
WATER SERVICE RECTIFICATION (EXPOSED)</t>
        </r>
      </text>
    </comment>
    <comment ref="Q676" authorId="1" shapeId="0" xr:uid="{17D88CE6-F9FF-471D-87BE-F04B31A5DA4A}">
      <text>
        <r>
          <rPr>
            <sz val="11"/>
            <color theme="1"/>
            <rFont val="Aptos Narrow"/>
            <family val="2"/>
            <scheme val="minor"/>
          </rPr>
          <t>Unknown User:
Final invoice not raised</t>
        </r>
      </text>
    </comment>
    <comment ref="G677" authorId="1" shapeId="0" xr:uid="{8A4A6B75-8EE1-4C81-B6BF-4EC75663D380}">
      <text>
        <r>
          <rPr>
            <sz val="11"/>
            <color theme="1"/>
            <rFont val="Aptos Narrow"/>
            <family val="2"/>
            <scheme val="minor"/>
          </rPr>
          <t>Unknown User:
HIGH POWERED JET BLAST &amp; CCTV DRAIN CAMERA INSPECTION (SEWER SERVICE)
10% Seniors &amp; Pensioners Discount</t>
        </r>
      </text>
    </comment>
    <comment ref="L677" authorId="1" shapeId="0" xr:uid="{B21B96E7-60F9-4C54-8A46-A091E852D37C}">
      <text>
        <r>
          <rPr>
            <sz val="11"/>
            <color theme="1"/>
            <rFont val="Aptos Narrow"/>
            <family val="2"/>
            <scheme val="minor"/>
          </rPr>
          <t>Unknown User:
CCTV pics/videos not uploaded.</t>
        </r>
      </text>
    </comment>
    <comment ref="R677" authorId="1" shapeId="0" xr:uid="{6F9562AC-647D-4935-92AC-30ACC95F2400}">
      <text>
        <r>
          <rPr>
            <sz val="11"/>
            <color theme="1"/>
            <rFont val="Aptos Narrow"/>
            <family val="2"/>
            <scheme val="minor"/>
          </rPr>
          <t>Unknown User:
Invoice not signed</t>
        </r>
      </text>
    </comment>
    <comment ref="S677" authorId="1" shapeId="0" xr:uid="{45CB89D2-E53F-4B4A-A17E-66A77F27BEB4}">
      <text>
        <r>
          <rPr>
            <sz val="11"/>
            <color theme="1"/>
            <rFont val="Aptos Narrow"/>
            <family val="2"/>
            <scheme val="minor"/>
          </rPr>
          <t>Unknown User:
Invoice emailed without sign</t>
        </r>
      </text>
    </comment>
    <comment ref="W677" authorId="1" shapeId="0" xr:uid="{E34F59D7-0C41-47C6-A9AD-F8A70B195282}">
      <text>
        <r>
          <rPr>
            <sz val="11"/>
            <color theme="1"/>
            <rFont val="Aptos Narrow"/>
            <family val="2"/>
            <scheme val="minor"/>
          </rPr>
          <t>Unknown User:
Cash denomination not available-Unable to figure out exact denomination</t>
        </r>
      </text>
    </comment>
    <comment ref="G678" authorId="1" shapeId="0" xr:uid="{044B02B2-90A6-46B8-8207-1AD60F9AB740}">
      <text>
        <r>
          <rPr>
            <sz val="11"/>
            <color theme="1"/>
            <rFont val="Aptos Narrow"/>
            <family val="2"/>
            <scheme val="minor"/>
          </rPr>
          <t>Unknown User:
HIGH POWERED SUCTION &amp; ACID TREATMENT</t>
        </r>
      </text>
    </comment>
    <comment ref="M678" authorId="1" shapeId="0" xr:uid="{1CF3B7DD-97B7-4B6C-AAEC-F820178BD338}">
      <text>
        <r>
          <rPr>
            <sz val="11"/>
            <color theme="1"/>
            <rFont val="Aptos Narrow"/>
            <family val="2"/>
            <scheme val="minor"/>
          </rPr>
          <t>Unknown User:
Smartpay receipt of $1251.80 not uploaded by plumber.
Uploaded by Modoras team.</t>
        </r>
      </text>
    </comment>
    <comment ref="S678" authorId="1" shapeId="0" xr:uid="{EF04002D-C998-4C98-B95C-A8D831E6F5B3}">
      <text>
        <r>
          <rPr>
            <sz val="11"/>
            <color theme="1"/>
            <rFont val="Aptos Narrow"/>
            <family val="2"/>
            <scheme val="minor"/>
          </rPr>
          <t>Unknown User:
Signed invoice not emailed</t>
        </r>
      </text>
    </comment>
    <comment ref="G679" authorId="1" shapeId="0" xr:uid="{20DBBBAF-52FE-4F8B-82FE-A7CB6FDDA530}">
      <text>
        <r>
          <rPr>
            <sz val="11"/>
            <color theme="1"/>
            <rFont val="Aptos Narrow"/>
            <family val="2"/>
            <scheme val="minor"/>
          </rPr>
          <t>Unknown User:
MIXER TAP - STANDARD</t>
        </r>
      </text>
    </comment>
    <comment ref="L679" authorId="1" shapeId="0" xr:uid="{804FF94A-082D-4E9D-A609-26CF76640850}">
      <text>
        <r>
          <rPr>
            <sz val="11"/>
            <color theme="1"/>
            <rFont val="Aptos Narrow"/>
            <family val="2"/>
            <scheme val="minor"/>
          </rPr>
          <t>Unknown User:
After pic not uploaded</t>
        </r>
      </text>
    </comment>
    <comment ref="M679" authorId="1" shapeId="0" xr:uid="{59A61C14-18AC-418A-B680-79D3E6CC119A}">
      <text>
        <r>
          <rPr>
            <sz val="11"/>
            <color theme="1"/>
            <rFont val="Aptos Narrow"/>
            <family val="2"/>
            <scheme val="minor"/>
          </rPr>
          <t>Unknown User:
Smartpay receipt of $1849.10 not uploaded by plumber.
Uploaded by Modoras team.</t>
        </r>
      </text>
    </comment>
    <comment ref="P679" authorId="1" shapeId="0" xr:uid="{DEF39DE1-3D26-43CC-B6D9-870B1F988C9C}">
      <text>
        <r>
          <rPr>
            <sz val="11"/>
            <color theme="1"/>
            <rFont val="Aptos Narrow"/>
            <family val="2"/>
            <scheme val="minor"/>
          </rPr>
          <t>Unknown User:
Quote not emailed</t>
        </r>
      </text>
    </comment>
    <comment ref="Q679" authorId="1" shapeId="0" xr:uid="{618B31D1-FCA5-4217-9F98-71CF5118EC27}">
      <text>
        <r>
          <rPr>
            <sz val="11"/>
            <color theme="1"/>
            <rFont val="Aptos Narrow"/>
            <family val="2"/>
            <scheme val="minor"/>
          </rPr>
          <t>Unknown User:
Final invoice not raised</t>
        </r>
      </text>
    </comment>
    <comment ref="G680" authorId="1" shapeId="0" xr:uid="{AD13A036-FC92-4AD2-B75E-BC6D1C970BFA}">
      <text>
        <r>
          <rPr>
            <sz val="11"/>
            <color theme="1"/>
            <rFont val="Aptos Narrow"/>
            <family val="2"/>
            <scheme val="minor"/>
          </rPr>
          <t>Unknown User:
DECOMMISSION 50MM WASTE SERVICE</t>
        </r>
      </text>
    </comment>
    <comment ref="L680" authorId="1" shapeId="0" xr:uid="{D96F9020-0681-4E7F-A0E8-7D13C12022BA}">
      <text>
        <r>
          <rPr>
            <sz val="11"/>
            <color theme="1"/>
            <rFont val="Aptos Narrow"/>
            <family val="2"/>
            <scheme val="minor"/>
          </rPr>
          <t>Unknown User:
Decommission of 50mm waste service pics are not uploaded.</t>
        </r>
      </text>
    </comment>
    <comment ref="R680" authorId="1" shapeId="0" xr:uid="{19D5D885-556D-47AE-B23E-DA42B3655895}">
      <text>
        <r>
          <rPr>
            <sz val="11"/>
            <color theme="1"/>
            <rFont val="Aptos Narrow"/>
            <family val="2"/>
            <scheme val="minor"/>
          </rPr>
          <t>Unknown User:
Sign not obtained</t>
        </r>
      </text>
    </comment>
    <comment ref="S680" authorId="1" shapeId="0" xr:uid="{84490202-89A8-4B65-A5F4-5E53BB900685}">
      <text>
        <r>
          <rPr>
            <sz val="11"/>
            <color theme="1"/>
            <rFont val="Aptos Narrow"/>
            <family val="2"/>
            <scheme val="minor"/>
          </rPr>
          <t>Unknown User:
Invoice emailed without sign.</t>
        </r>
      </text>
    </comment>
    <comment ref="G681" authorId="1" shapeId="0" xr:uid="{84DE6C49-56E7-4AED-9F91-B454D5D064FB}">
      <text>
        <r>
          <rPr>
            <sz val="11"/>
            <color theme="1"/>
            <rFont val="Aptos Narrow"/>
            <family val="2"/>
            <scheme val="minor"/>
          </rPr>
          <t>Unknown User:
SEARCH AND INVESTIGATION OF GAS INSTANTANEOUS HOT WATER SYSTEM</t>
        </r>
      </text>
    </comment>
    <comment ref="M681" authorId="1" shapeId="0" xr:uid="{A42C1C6F-030C-4570-8A61-2C28791D5F42}">
      <text>
        <r>
          <rPr>
            <sz val="11"/>
            <color theme="1"/>
            <rFont val="Aptos Narrow"/>
            <family val="2"/>
            <scheme val="minor"/>
          </rPr>
          <t>Unknown User:
Cash pic for $50 not uploaded</t>
        </r>
      </text>
    </comment>
    <comment ref="P681" authorId="1" shapeId="0" xr:uid="{6D99248D-A53F-46D6-9DD2-24940343CACE}">
      <text>
        <r>
          <rPr>
            <sz val="11"/>
            <color theme="1"/>
            <rFont val="Aptos Narrow"/>
            <family val="2"/>
            <scheme val="minor"/>
          </rPr>
          <t>Unknown User:
Quote not emailed</t>
        </r>
      </text>
    </comment>
    <comment ref="Q681" authorId="1" shapeId="0" xr:uid="{690F0701-BE89-4178-A6E5-BE7F2BE947CC}">
      <text>
        <r>
          <rPr>
            <sz val="11"/>
            <color theme="1"/>
            <rFont val="Aptos Narrow"/>
            <family val="2"/>
            <scheme val="minor"/>
          </rPr>
          <t>Unknown User:
Invoice not raised</t>
        </r>
      </text>
    </comment>
    <comment ref="W681" authorId="1" shapeId="0" xr:uid="{47CDC6A1-9EAE-4A1B-8E75-878B7B0ECAE3}">
      <text>
        <r>
          <rPr>
            <sz val="11"/>
            <color theme="1"/>
            <rFont val="Aptos Narrow"/>
            <family val="2"/>
            <scheme val="minor"/>
          </rPr>
          <t>Unknown User:
Cash pic/receipt for $50 not uploaded.</t>
        </r>
      </text>
    </comment>
    <comment ref="G682" authorId="1" shapeId="0" xr:uid="{234CFED3-DC8A-4063-A69D-F27B3B02A565}">
      <text>
        <r>
          <rPr>
            <sz val="11"/>
            <color theme="1"/>
            <rFont val="Aptos Narrow"/>
            <family val="2"/>
            <scheme val="minor"/>
          </rPr>
          <t>Unknown User:
SUPPLY &amp; INSTALLATION OF NEW INSTANTANEOUS GAS HOT WATER SYSTEM (EXTERNAL)</t>
        </r>
      </text>
    </comment>
    <comment ref="M682" authorId="1" shapeId="0" xr:uid="{42A66AC0-25DA-45DF-A8A6-00F61CB54644}">
      <text>
        <r>
          <rPr>
            <sz val="11"/>
            <color theme="1"/>
            <rFont val="Aptos Narrow"/>
            <family val="2"/>
            <scheme val="minor"/>
          </rPr>
          <t>Unknown User:
Smartpay receipt of $4859.86 uploaded by plumber after Modoras team uploaded.</t>
        </r>
      </text>
    </comment>
    <comment ref="R682" authorId="1" shapeId="0" xr:uid="{44CCB65D-81C5-4A4D-97B0-A7783DF4FCE9}">
      <text>
        <r>
          <rPr>
            <sz val="11"/>
            <color theme="1"/>
            <rFont val="Aptos Narrow"/>
            <family val="2"/>
            <scheme val="minor"/>
          </rPr>
          <t>Unknown User:
Sign not obtained</t>
        </r>
      </text>
    </comment>
    <comment ref="S682" authorId="1" shapeId="0" xr:uid="{E57E1FEE-E7B5-4AD7-9AB3-6D8EA37EF6D5}">
      <text>
        <r>
          <rPr>
            <sz val="11"/>
            <color theme="1"/>
            <rFont val="Aptos Narrow"/>
            <family val="2"/>
            <scheme val="minor"/>
          </rPr>
          <t>Unknown User:
Invoice emailed without sign</t>
        </r>
      </text>
    </comment>
    <comment ref="W682" authorId="1" shapeId="0" xr:uid="{9D3FAABC-3872-43A6-96E7-AA8BC838AD0B}">
      <text>
        <r>
          <rPr>
            <sz val="11"/>
            <color theme="1"/>
            <rFont val="Aptos Narrow"/>
            <family val="2"/>
            <scheme val="minor"/>
          </rPr>
          <t>Unknown User:
Cash denomination
$100*5=$500</t>
        </r>
      </text>
    </comment>
    <comment ref="G683" authorId="1" shapeId="0" xr:uid="{61C3B1C8-FDB6-4FBA-98C4-EA53429A8744}">
      <text>
        <r>
          <rPr>
            <sz val="11"/>
            <color theme="1"/>
            <rFont val="Aptos Narrow"/>
            <family val="2"/>
            <scheme val="minor"/>
          </rPr>
          <t>Unknown User:
HIGH POWERED JET BLAST &amp; CCTV DRAIN CAMERA INSPECTION (SEWER SERVICE)</t>
        </r>
      </text>
    </comment>
    <comment ref="R683" authorId="1" shapeId="0" xr:uid="{9565C418-214A-48AC-8DC4-68B974BAD1B2}">
      <text>
        <r>
          <rPr>
            <sz val="11"/>
            <color theme="1"/>
            <rFont val="Aptos Narrow"/>
            <family val="2"/>
            <scheme val="minor"/>
          </rPr>
          <t>Unknown User:
Sign not obtained</t>
        </r>
      </text>
    </comment>
    <comment ref="S683" authorId="1" shapeId="0" xr:uid="{169D122C-FB77-4D04-AE0F-820A4EF7F3FD}">
      <text>
        <r>
          <rPr>
            <sz val="11"/>
            <color theme="1"/>
            <rFont val="Aptos Narrow"/>
            <family val="2"/>
            <scheme val="minor"/>
          </rPr>
          <t>Unknown User:
Invoice emailed without sign</t>
        </r>
      </text>
    </comment>
    <comment ref="G684" authorId="1" shapeId="0" xr:uid="{FFA975EC-CD99-4127-8984-30AFB6F4073A}">
      <text>
        <r>
          <rPr>
            <sz val="11"/>
            <color theme="1"/>
            <rFont val="Aptos Narrow"/>
            <family val="2"/>
            <scheme val="minor"/>
          </rPr>
          <t>Unknown User:
WATER SERVICE RECTIFICATION (IN GROUND)</t>
        </r>
      </text>
    </comment>
    <comment ref="P684" authorId="1" shapeId="0" xr:uid="{4702AA3B-D0FD-4654-89EC-413EBC3D0C8B}">
      <text>
        <r>
          <rPr>
            <sz val="11"/>
            <color theme="1"/>
            <rFont val="Aptos Narrow"/>
            <family val="2"/>
            <scheme val="minor"/>
          </rPr>
          <t>Unknown User:
Quote not emailed</t>
        </r>
      </text>
    </comment>
    <comment ref="Q684" authorId="1" shapeId="0" xr:uid="{4274C43A-ED86-4D8B-BEFB-ADAFCA020AC1}">
      <text>
        <r>
          <rPr>
            <sz val="11"/>
            <color theme="1"/>
            <rFont val="Aptos Narrow"/>
            <family val="2"/>
            <scheme val="minor"/>
          </rPr>
          <t>Unknown User:
Invoice raised by plumber without applying the amount received.</t>
        </r>
      </text>
    </comment>
    <comment ref="U684" authorId="1" shapeId="0" xr:uid="{7CECAA3D-DF3D-4227-B861-ED26ABF2A612}">
      <text>
        <r>
          <rPr>
            <sz val="11"/>
            <color theme="1"/>
            <rFont val="Aptos Narrow"/>
            <family val="2"/>
            <scheme val="minor"/>
          </rPr>
          <t xml:space="preserve">Unknown User:
Estimate 1 was raised &amp; thereafter deleted by plumber. </t>
        </r>
      </text>
    </comment>
    <comment ref="G685" authorId="1" shapeId="0" xr:uid="{EF5F8B5D-71C8-427C-AA42-527E0B47624F}">
      <text>
        <r>
          <rPr>
            <sz val="11"/>
            <color theme="1"/>
            <rFont val="Aptos Narrow"/>
            <family val="2"/>
            <scheme val="minor"/>
          </rPr>
          <t>Unknown User:
INSTALLATION OF NATURAL GAS BBQ [SAME LOCATION] (CUSTOMER SUPPLIED)</t>
        </r>
      </text>
    </comment>
    <comment ref="P685" authorId="1" shapeId="0" xr:uid="{1EBBDAC2-C7A0-4C20-9414-F9FE5C245911}">
      <text>
        <r>
          <rPr>
            <sz val="11"/>
            <color theme="1"/>
            <rFont val="Aptos Narrow"/>
            <family val="2"/>
            <scheme val="minor"/>
          </rPr>
          <t>Unknown User:
Quote not emailed</t>
        </r>
      </text>
    </comment>
    <comment ref="S685" authorId="1" shapeId="0" xr:uid="{9DF8E071-DCF1-46B7-A8C5-D52A590ACAC3}">
      <text>
        <r>
          <rPr>
            <sz val="11"/>
            <color theme="1"/>
            <rFont val="Aptos Narrow"/>
            <family val="2"/>
            <scheme val="minor"/>
          </rPr>
          <t>Unknown User:
Invoice emailed without sign</t>
        </r>
      </text>
    </comment>
    <comment ref="T685" authorId="1" shapeId="0" xr:uid="{D8A3C48B-E7B8-4823-9DD3-DA4A3FC8488B}">
      <text>
        <r>
          <rPr>
            <sz val="11"/>
            <color theme="1"/>
            <rFont val="Aptos Narrow"/>
            <family val="2"/>
            <scheme val="minor"/>
          </rPr>
          <t>Unknown User:
1x Will Dower</t>
        </r>
      </text>
    </comment>
    <comment ref="G686" authorId="1" shapeId="0" xr:uid="{7B5ECA77-9EBE-4044-895E-407AD7CB0EF1}">
      <text>
        <r>
          <rPr>
            <sz val="11"/>
            <color theme="1"/>
            <rFont val="Aptos Narrow"/>
            <family val="2"/>
            <scheme val="minor"/>
          </rPr>
          <t>Unknown User:
SEARCH AND INVESTIGATION OF SOLAR SPLIT HOT WATER SYSTEM</t>
        </r>
      </text>
    </comment>
    <comment ref="Q686" authorId="1" shapeId="0" xr:uid="{62C99A17-4945-4847-AE66-4317A3A7DC50}">
      <text>
        <r>
          <rPr>
            <sz val="11"/>
            <color theme="1"/>
            <rFont val="Aptos Narrow"/>
            <family val="2"/>
            <scheme val="minor"/>
          </rPr>
          <t>Unknown User:
Invoice raised by plumber without applying the amount received.</t>
        </r>
      </text>
    </comment>
    <comment ref="G687" authorId="1" shapeId="0" xr:uid="{EA81DE72-9233-4D11-8E64-1A4A40BB9F8C}">
      <text>
        <r>
          <rPr>
            <sz val="11"/>
            <color theme="1"/>
            <rFont val="Aptos Narrow"/>
            <family val="2"/>
            <scheme val="minor"/>
          </rPr>
          <t>Unknown User:
SUPPLY &amp; INSTALLATION OF NEW PLASTIC TOILET CISTERN</t>
        </r>
      </text>
    </comment>
    <comment ref="P687" authorId="1" shapeId="0" xr:uid="{181F1E88-BA36-45E1-99D4-61C81978F8C7}">
      <text>
        <r>
          <rPr>
            <sz val="11"/>
            <color theme="1"/>
            <rFont val="Aptos Narrow"/>
            <family val="2"/>
            <scheme val="minor"/>
          </rPr>
          <t>Unknown User:
Quote not emailed</t>
        </r>
      </text>
    </comment>
    <comment ref="Q687" authorId="1" shapeId="0" xr:uid="{36D6DAA2-8025-4D91-8CB8-001874764472}">
      <text>
        <r>
          <rPr>
            <sz val="11"/>
            <color theme="1"/>
            <rFont val="Aptos Narrow"/>
            <family val="2"/>
            <scheme val="minor"/>
          </rPr>
          <t>Unknown User:
Invoice not raised</t>
        </r>
      </text>
    </comment>
    <comment ref="G692" authorId="1" shapeId="0" xr:uid="{0A42D383-0DB0-4B23-B41D-2E3EB4626AE3}">
      <text>
        <r>
          <rPr>
            <sz val="11"/>
            <color theme="1"/>
            <rFont val="Aptos Narrow"/>
            <family val="2"/>
            <scheme val="minor"/>
          </rPr>
          <t>Unknown User:
SUPPLY &amp; INSTALLATION OF GAS STORAGE HOT WATER SYSTEM (EXTERNAL)
HIGH POWERED JET BLAST &amp; CCTV DRAIN CAMERA INSPECTION (SEWER SERVICE)</t>
        </r>
      </text>
    </comment>
    <comment ref="U692" authorId="1" shapeId="0" xr:uid="{E91C0856-C707-4499-8C0D-936B47167ADD}">
      <text>
        <r>
          <rPr>
            <sz val="11"/>
            <color theme="1"/>
            <rFont val="Aptos Narrow"/>
            <family val="2"/>
            <scheme val="minor"/>
          </rPr>
          <t>Unknown User:
11/9-As per Joshua g's note "Callback from Lisa. Advised family member might be able to do job and was asking for refund of deposit. Advised Rhys would give her a call."
8/9-As per Kris's note "payment plan"
9/9-As per Joshua G's note "Call from Lisa, transferred by LM
Asked if she can pay $50 a week internally. (ZIP DECLINED)
Said I'd speak to accounts.
Asked us to email her son kienanremy2@gmail.com"</t>
        </r>
      </text>
    </comment>
    <comment ref="W692" authorId="1" shapeId="0" xr:uid="{7BDAB3AB-84D0-4A95-BC32-B16AC766537A}">
      <text>
        <r>
          <rPr>
            <sz val="11"/>
            <color theme="1"/>
            <rFont val="Aptos Narrow"/>
            <family val="2"/>
            <scheme val="minor"/>
          </rPr>
          <t>Unknown User:
Cash denomination
$50*7=$350
$10*1=$10
Total cash=$360</t>
        </r>
      </text>
    </comment>
    <comment ref="G696" authorId="1" shapeId="0" xr:uid="{2C5EDC7E-FC30-443B-81CA-C5A9FF5FDA9F}">
      <text>
        <r>
          <rPr>
            <sz val="11"/>
            <color theme="1"/>
            <rFont val="Aptos Narrow"/>
            <family val="2"/>
            <scheme val="minor"/>
          </rPr>
          <t>Unknown User:
SEWER SPOT DIG - IN GROUND</t>
        </r>
      </text>
    </comment>
    <comment ref="P696" authorId="1" shapeId="0" xr:uid="{2A3FC2F1-96E6-4144-A244-3187AE9242C7}">
      <text>
        <r>
          <rPr>
            <sz val="11"/>
            <color theme="1"/>
            <rFont val="Aptos Narrow"/>
            <family val="2"/>
            <scheme val="minor"/>
          </rPr>
          <t>Unknown User:
Quote not emailed</t>
        </r>
      </text>
    </comment>
    <comment ref="Q696" authorId="1" shapeId="0" xr:uid="{D7597BBE-5193-4DB4-985D-AE9A23AAEA60}">
      <text>
        <r>
          <rPr>
            <sz val="11"/>
            <color theme="1"/>
            <rFont val="Aptos Narrow"/>
            <family val="2"/>
            <scheme val="minor"/>
          </rPr>
          <t>Unknown User:
Invoice not raised by plumber</t>
        </r>
      </text>
    </comment>
    <comment ref="W696" authorId="1" shapeId="0" xr:uid="{F966A68D-1BD2-47FF-AC46-0E6B601172E1}">
      <text>
        <r>
          <rPr>
            <sz val="11"/>
            <color theme="1"/>
            <rFont val="Aptos Narrow"/>
            <family val="2"/>
            <scheme val="minor"/>
          </rPr>
          <t>Unknown User:
Cash denomination not available-Unable to figure out exact denomination</t>
        </r>
      </text>
    </comment>
    <comment ref="G697" authorId="1" shapeId="0" xr:uid="{C8DD6E27-4F22-4EDC-971C-E7376BC02ABE}">
      <text>
        <r>
          <rPr>
            <sz val="11"/>
            <color theme="1"/>
            <rFont val="Aptos Narrow"/>
            <family val="2"/>
            <scheme val="minor"/>
          </rPr>
          <t>Unknown User:
SEARCH AND INVESTIGATION OF SOLAR SPLIT HOT WATER SYSTEM</t>
        </r>
      </text>
    </comment>
    <comment ref="P697" authorId="1" shapeId="0" xr:uid="{72855A30-5A16-4A29-B43C-B59724B548D6}">
      <text>
        <r>
          <rPr>
            <sz val="11"/>
            <color theme="1"/>
            <rFont val="Aptos Narrow"/>
            <family val="2"/>
            <scheme val="minor"/>
          </rPr>
          <t>Unknown User:
Quote not emailed</t>
        </r>
      </text>
    </comment>
    <comment ref="Q697" authorId="1" shapeId="0" xr:uid="{4FFCF2C4-C079-4E6C-BF94-D6FDB826A4DA}">
      <text>
        <r>
          <rPr>
            <sz val="11"/>
            <color theme="1"/>
            <rFont val="Aptos Narrow"/>
            <family val="2"/>
            <scheme val="minor"/>
          </rPr>
          <t>Unknown User:
Progress payment not updated in invoice. Sign not obtained.</t>
        </r>
      </text>
    </comment>
    <comment ref="G701" authorId="1" shapeId="0" xr:uid="{A9FC41E3-D7EF-4952-943C-25374658E57B}">
      <text>
        <r>
          <rPr>
            <sz val="11"/>
            <color theme="1"/>
            <rFont val="Aptos Narrow"/>
            <family val="2"/>
            <scheme val="minor"/>
          </rPr>
          <t>Unknown User:
WATER SERVICE RECTIFICATION (UNDER PAVERS)
10% Seniors &amp; Pensioners Discount</t>
        </r>
      </text>
    </comment>
    <comment ref="M701" authorId="1" shapeId="0" xr:uid="{CD869ABD-5436-4B60-B96A-A38FE8F9077D}">
      <text>
        <r>
          <rPr>
            <sz val="11"/>
            <color theme="1"/>
            <rFont val="Aptos Narrow"/>
            <family val="2"/>
            <scheme val="minor"/>
          </rPr>
          <t>Unknown User:
Cash pic for $1460 is not uploaded by plumber</t>
        </r>
      </text>
    </comment>
    <comment ref="U701" authorId="1" shapeId="0" xr:uid="{8E2BE1E6-FE39-441F-B84B-0CC730B70851}">
      <text>
        <r>
          <rPr>
            <sz val="11"/>
            <color theme="1"/>
            <rFont val="Aptos Narrow"/>
            <family val="2"/>
            <scheme val="minor"/>
          </rPr>
          <t>Unknown User:
19/9-As per Joshua's note "Callback from Neil, refuses to pay invoice based on his assessment of being a scam/rip off.
explained we took a while to attend, was in a rush to have works completed due to booked holiday, says we took advantage of him.
Threatened vcat, ombudsman, aca.
I asked if he really wanted to go on the news and promote not paying your trades peeople
said his wife is calling around and they were keen to take it further."</t>
        </r>
      </text>
    </comment>
    <comment ref="W701" authorId="1" shapeId="0" xr:uid="{AA5371B7-ED66-44E4-9568-03AB62C9E53E}">
      <text>
        <r>
          <rPr>
            <sz val="11"/>
            <color theme="1"/>
            <rFont val="Aptos Narrow"/>
            <family val="2"/>
            <scheme val="minor"/>
          </rPr>
          <t>Unknown User:
Cash denomination not available. Unable to count cash</t>
        </r>
      </text>
    </comment>
    <comment ref="G705" authorId="1" shapeId="0" xr:uid="{020C0E7F-B1D2-40DB-B477-BEA7DB3AE1B8}">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L705" authorId="1" shapeId="0" xr:uid="{D8D7C784-5F1E-4BD1-8C7F-5AC6F4401CCF}">
      <text>
        <r>
          <rPr>
            <sz val="11"/>
            <color theme="1"/>
            <rFont val="Aptos Narrow"/>
            <family val="2"/>
            <scheme val="minor"/>
          </rPr>
          <t>Unknown User:
Temp check pending</t>
        </r>
      </text>
    </comment>
    <comment ref="P705" authorId="1" shapeId="0" xr:uid="{ED86F0B5-BDD8-4A69-B72E-416C08D898FF}">
      <text>
        <r>
          <rPr>
            <sz val="11"/>
            <color theme="1"/>
            <rFont val="Aptos Narrow"/>
            <family val="2"/>
            <scheme val="minor"/>
          </rPr>
          <t>Unknown User:
Quote not emailed</t>
        </r>
      </text>
    </comment>
    <comment ref="Q705" authorId="1" shapeId="0" xr:uid="{6083B012-4522-4363-9759-AA25785CDC3A}">
      <text>
        <r>
          <rPr>
            <sz val="11"/>
            <color theme="1"/>
            <rFont val="Aptos Narrow"/>
            <family val="2"/>
            <scheme val="minor"/>
          </rPr>
          <t>Unknown User:
Progress payment of $341.75 not updated in invoice (Signed but amount not recorded).</t>
        </r>
      </text>
    </comment>
    <comment ref="G706" authorId="1" shapeId="0" xr:uid="{94DA5801-8969-48AF-AC17-129F42259E08}">
      <text>
        <r>
          <rPr>
            <sz val="11"/>
            <color theme="1"/>
            <rFont val="Aptos Narrow"/>
            <family val="2"/>
            <scheme val="minor"/>
          </rPr>
          <t>Unknown User:
STORM WATER RECTIFICATION UP TO 30M
Obtain Service Location Diagram
Obtain Dial Before Dig
Obtain Storm Water Diagram – If Available
Set Up Safe Work Area
Set Up Builders Plastic
Set Up Barricades for Safety
Dig &amp; Excavate Ground Area Up to 30M
Expose Existing Section of Storm Water Service Up to 30M
Locate stormwater entering barrel drain
Expose Existing Storm Water Junctions 
Cut &amp; Remove Existing Section of Storm Water Service Up to 30M
Cut &amp; Remove Existing Storm Water Junctions 
Gain Access to Storm Water Service
Set Up High-Powered Jet Blaster
Set Up High-Powered Mini Reel
Set Up High-Powered Turbines
Re-Jetblast Storm Water Service
Re-Camera and Investigate Further
Supply &amp; Install New Section of Storm Water Service Up to 30M
Supply &amp; Install New Storm Water Junctions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Upsize existing 50mm down pipe to 90mm down pipe
Install new 90mm pop and down pipe to back of house
Connect new stormwater to existing down pipes on shed
Backfill Excavated Area
Test &amp; Commission Installation
Remove Trade Waste
Restore Work Area (Excludes Returfing)
PLEASE NOTE IF FURTHER WORK REQUIRED OTHER THEN QUOTED WORK FURTHER COST WILL APPLY</t>
        </r>
      </text>
    </comment>
    <comment ref="P706" authorId="1" shapeId="0" xr:uid="{66336D9D-014C-4AAF-80FE-4A27F0317874}">
      <text>
        <r>
          <rPr>
            <sz val="11"/>
            <color theme="1"/>
            <rFont val="Aptos Narrow"/>
            <family val="2"/>
            <scheme val="minor"/>
          </rPr>
          <t>Unknown User:
Quote not emailed</t>
        </r>
      </text>
    </comment>
    <comment ref="U706" authorId="1" shapeId="0" xr:uid="{E1DF51DE-A380-4EEA-BA9C-88F84B657D67}">
      <text>
        <r>
          <rPr>
            <sz val="11"/>
            <color theme="1"/>
            <rFont val="Aptos Narrow"/>
            <family val="2"/>
            <scheme val="minor"/>
          </rPr>
          <t>Unknown User:
31/7-As per Joshua's note "Callback from Prue and Mr Stone,
Complained about
-price of the job, wanted itemised invoice. they were under the assumption that this was a given.
-items on invoice not completed (not specified, said they could talk to Daniel or let me know).
-Humm misunderstanding, they dont trust HUMM even though they've used it in the past. I explained the general process and that we take a 10% deposit and put the customer on a plan for the rest. They werent happy with this, i did say 10% more would be required to clear the balance as limit is $25k.
-multiple trading names, explained this is for marketing purposes and we were in a transitional period.
Asked for them to suggest a resolution as they said they'd "take this further". Invited them to come back to me at any time."</t>
        </r>
      </text>
    </comment>
    <comment ref="G707" authorId="1" shapeId="0" xr:uid="{B1BC5E13-1641-4319-824D-B2806D7E9222}">
      <text>
        <r>
          <rPr>
            <sz val="11"/>
            <color theme="1"/>
            <rFont val="Aptos Narrow"/>
            <family val="2"/>
            <scheme val="minor"/>
          </rPr>
          <t>Unknown User:
SEARCH &amp; INVESTIGATION OF DOUBLE STOREY ROOF OF POTENTIAL LEAK</t>
        </r>
      </text>
    </comment>
    <comment ref="P707" authorId="1" shapeId="0" xr:uid="{3237DDA9-B547-40FB-8BF0-21ADC1DE5DE9}">
      <text>
        <r>
          <rPr>
            <sz val="11"/>
            <color theme="1"/>
            <rFont val="Aptos Narrow"/>
            <family val="2"/>
            <scheme val="minor"/>
          </rPr>
          <t>Unknown User:
Quote not emailed</t>
        </r>
      </text>
    </comment>
    <comment ref="U707" authorId="1" shapeId="0" xr:uid="{D2FEEA18-FDE2-4BB0-B6DE-2AE9875F0049}">
      <text>
        <r>
          <rPr>
            <sz val="11"/>
            <color theme="1"/>
            <rFont val="Aptos Narrow"/>
            <family val="2"/>
            <scheme val="minor"/>
          </rPr>
          <t>Unknown User:
4/8-As per Kylie's note "Spoke to Tara she has already left the property and is refusing to pay any more than 1K she states that we have not done the work to the scope which is correct as no height equipment has been used, nor has the plumber done a test and commission. States based on the 30 mins the plumber has been onsite she is not paying for the quoted amount. States she is now doing her due diligence and asking around and another plumber has told her it should have cost no more than $400. Claims she will pay 1K at the most"</t>
        </r>
      </text>
    </comment>
    <comment ref="G708" authorId="1" shapeId="0" xr:uid="{C962721A-3C5D-4907-A8AF-755935BD3916}">
      <text>
        <r>
          <rPr>
            <sz val="11"/>
            <color theme="1"/>
            <rFont val="Aptos Narrow"/>
            <family val="2"/>
            <scheme val="minor"/>
          </rPr>
          <t xml:space="preserve">Unknown User:
SUPPLY &amp; INSTALLATION OF NEW LINK SUITE
INSTALLATION OF FREESTANDING OVEN AND GAS COOKTOP [SAME LOCATION] (CUSTOMER SUPPLIED)
INSTALLATION OF NEW WASHING MACHINE (CUSTOMER SUPPLIED)
INSTALL NEW CUSTOMER SUPPLIED DISHWASHER IN NEW LOCATION
</t>
        </r>
      </text>
    </comment>
    <comment ref="P708" authorId="1" shapeId="0" xr:uid="{8FFAF2A5-D650-43C8-A080-3D11350FA511}">
      <text>
        <r>
          <rPr>
            <sz val="11"/>
            <color theme="1"/>
            <rFont val="Aptos Narrow"/>
            <family val="2"/>
            <scheme val="minor"/>
          </rPr>
          <t>Unknown User:
Quote not emailed</t>
        </r>
      </text>
    </comment>
    <comment ref="A709" authorId="27" shapeId="0" xr:uid="{29DE13FA-07D4-4E50-9CBB-B97C20ACE184}">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709" authorId="1" shapeId="0" xr:uid="{D59E51CD-7C5A-4818-802A-0CAEA9392B12}">
      <text>
        <r>
          <rPr>
            <sz val="11"/>
            <color theme="1"/>
            <rFont val="Aptos Narrow"/>
            <family val="2"/>
            <scheme val="minor"/>
          </rPr>
          <t>Unknown User:
SUPPLY AND INSTALLATION OF INSTANT HOT WATER UNIT</t>
        </r>
      </text>
    </comment>
    <comment ref="R709" authorId="1" shapeId="0" xr:uid="{0A9BFF9F-61B5-44F6-8E99-58D6F27792E1}">
      <text>
        <r>
          <rPr>
            <sz val="11"/>
            <color theme="1"/>
            <rFont val="Aptos Narrow"/>
            <family val="2"/>
            <scheme val="minor"/>
          </rPr>
          <t>Unknown User:
Invoice not signed</t>
        </r>
      </text>
    </comment>
    <comment ref="S709" authorId="1" shapeId="0" xr:uid="{30D6FDE2-AA42-49EC-9383-01FC53E23618}">
      <text>
        <r>
          <rPr>
            <sz val="11"/>
            <color theme="1"/>
            <rFont val="Aptos Narrow"/>
            <family val="2"/>
            <scheme val="minor"/>
          </rPr>
          <t>Unknown User:
Signed invoice not emailed</t>
        </r>
      </text>
    </comment>
    <comment ref="G710" authorId="1" shapeId="0" xr:uid="{0BCD8264-0E36-42A5-80AF-3C7CB88C76DA}">
      <text>
        <r>
          <rPr>
            <sz val="11"/>
            <color theme="1"/>
            <rFont val="Aptos Narrow"/>
            <family val="2"/>
            <scheme val="minor"/>
          </rPr>
          <t>Unknown User:
ROOF LEAK SEARCH &amp; INVESTIGATION
10% Seniors &amp; Pensioners Discount</t>
        </r>
      </text>
    </comment>
    <comment ref="R710" authorId="1" shapeId="0" xr:uid="{F9DD9E90-6685-4873-B5F5-196FBD618480}">
      <text>
        <r>
          <rPr>
            <sz val="11"/>
            <color theme="1"/>
            <rFont val="Aptos Narrow"/>
            <family val="2"/>
            <scheme val="minor"/>
          </rPr>
          <t>Unknown User:
Invoice not signed</t>
        </r>
      </text>
    </comment>
    <comment ref="S710" authorId="1" shapeId="0" xr:uid="{91B09718-2690-4561-B0A1-57AF3B95A16D}">
      <text>
        <r>
          <rPr>
            <sz val="11"/>
            <color theme="1"/>
            <rFont val="Aptos Narrow"/>
            <family val="2"/>
            <scheme val="minor"/>
          </rPr>
          <t>Unknown User:
Signed invoice not emailed</t>
        </r>
      </text>
    </comment>
    <comment ref="G711" authorId="1" shapeId="0" xr:uid="{0A096967-9867-45FF-A91B-DF5F001BF723}">
      <text>
        <r>
          <rPr>
            <sz val="11"/>
            <color theme="1"/>
            <rFont val="Aptos Narrow"/>
            <family val="2"/>
            <scheme val="minor"/>
          </rPr>
          <t xml:space="preserve">Unknown User:
CONVERT SOLAR SPLIT HOT WATER SYSTEM TO EXTERNAL GAS INSTANTANEOUS HOT WATER SYSTEM
SUPPLY AND INSTALLATION OF PRESSURE REGULATING DEVICE FITTED TO 20MM STRAIGHT PIPEWORK
10% Seniors &amp; Pensioners Discount
CREDIT OF SEARCH &amp; INVESTIGATION </t>
        </r>
      </text>
    </comment>
    <comment ref="L711" authorId="1" shapeId="0" xr:uid="{5ED54965-62E0-4F68-8F0D-82AA7BD546B9}">
      <text>
        <r>
          <rPr>
            <sz val="11"/>
            <color theme="1"/>
            <rFont val="Aptos Narrow"/>
            <family val="2"/>
            <scheme val="minor"/>
          </rPr>
          <t>Unknown User:
Temp check not performed</t>
        </r>
      </text>
    </comment>
    <comment ref="P711" authorId="1" shapeId="0" xr:uid="{46B74203-B09F-4D0D-A630-C4CC61CF99FB}">
      <text>
        <r>
          <rPr>
            <sz val="11"/>
            <color theme="1"/>
            <rFont val="Aptos Narrow"/>
            <family val="2"/>
            <scheme val="minor"/>
          </rPr>
          <t>Unknown User:
Quote not emailed</t>
        </r>
      </text>
    </comment>
    <comment ref="R711" authorId="1" shapeId="0" xr:uid="{2215B710-156B-4A7C-970C-AA174711EA32}">
      <text>
        <r>
          <rPr>
            <sz val="11"/>
            <color theme="1"/>
            <rFont val="Aptos Narrow"/>
            <family val="2"/>
            <scheme val="minor"/>
          </rPr>
          <t>Unknown User:
Invoice not signed</t>
        </r>
      </text>
    </comment>
    <comment ref="S711" authorId="1" shapeId="0" xr:uid="{D424B924-9686-4265-B1DD-1AB9C16DE73B}">
      <text>
        <r>
          <rPr>
            <sz val="11"/>
            <color theme="1"/>
            <rFont val="Aptos Narrow"/>
            <family val="2"/>
            <scheme val="minor"/>
          </rPr>
          <t>Unknown User:
Invoice emailed without sign.</t>
        </r>
      </text>
    </comment>
    <comment ref="T711" authorId="1" shapeId="0" xr:uid="{15E8FE9A-DDBD-48E8-8265-E36143E99624}">
      <text>
        <r>
          <rPr>
            <sz val="11"/>
            <color theme="1"/>
            <rFont val="Aptos Narrow"/>
            <family val="2"/>
            <scheme val="minor"/>
          </rPr>
          <t>Unknown User:
0.5x Tolga Bal
0.5x Rhys</t>
        </r>
      </text>
    </comment>
    <comment ref="A712" authorId="28" shapeId="0" xr:uid="{13F416E9-CF78-4AD9-9378-F238504AE9CC}">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712" authorId="1" shapeId="0" xr:uid="{5BAA2BB9-FFC2-44FC-8EB9-44C435ADCCE4}">
      <text>
        <r>
          <rPr>
            <sz val="11"/>
            <color theme="1"/>
            <rFont val="Aptos Narrow"/>
            <family val="2"/>
            <scheme val="minor"/>
          </rPr>
          <t>Unknown User:
REPLACEMENT OF PLUG &amp; WASTE - 40MM
MIXER TAP - GOOSE NECK
10% Good Will Discount 
CHEMICAL DRAIN CLEANING TREATMENT</t>
        </r>
      </text>
    </comment>
    <comment ref="V712" authorId="1" shapeId="0" xr:uid="{88E85ADF-8C0A-4369-BDD1-AF996676E264}">
      <text>
        <r>
          <rPr>
            <sz val="11"/>
            <color theme="1"/>
            <rFont val="Aptos Narrow"/>
            <family val="2"/>
            <scheme val="minor"/>
          </rPr>
          <t>Unknown User:
1/9-Received $707.60 by Smartpay</t>
        </r>
      </text>
    </comment>
    <comment ref="G713" authorId="1" shapeId="0" xr:uid="{2BA21742-4ABA-42BA-9F51-A5A6AB87D18E}">
      <text>
        <r>
          <rPr>
            <sz val="11"/>
            <color theme="1"/>
            <rFont val="Aptos Narrow"/>
            <family val="2"/>
            <scheme val="minor"/>
          </rPr>
          <t xml:space="preserve">Unknown User:
SUPPLY &amp; INSTALLATION OF NEW SHOWER WALL TOP TAPS
REPLACEMENT OF TAP TOPS
10% Good Will Discount </t>
        </r>
      </text>
    </comment>
    <comment ref="P713" authorId="1" shapeId="0" xr:uid="{88707030-F0E6-4D3F-A550-147F6F61A9EC}">
      <text>
        <r>
          <rPr>
            <sz val="11"/>
            <color theme="1"/>
            <rFont val="Aptos Narrow"/>
            <family val="2"/>
            <scheme val="minor"/>
          </rPr>
          <t>Unknown User:
Quote not emailed</t>
        </r>
      </text>
    </comment>
    <comment ref="G714" authorId="1" shapeId="0" xr:uid="{617C520E-E313-4524-BCD2-2F7FDF04332C}">
      <text>
        <r>
          <rPr>
            <sz val="11"/>
            <color theme="1"/>
            <rFont val="Aptos Narrow"/>
            <family val="2"/>
            <scheme val="minor"/>
          </rPr>
          <t xml:space="preserve">Unknown User:
SPECIALIST LEAK DETECTION (WATER SERVICE)
10% Seniors &amp; Pensioners Discount </t>
        </r>
      </text>
    </comment>
    <comment ref="M714" authorId="1" shapeId="0" xr:uid="{877D5B1B-EAD4-4933-B930-CC121FFFD353}">
      <text>
        <r>
          <rPr>
            <sz val="11"/>
            <color theme="1"/>
            <rFont val="Aptos Narrow"/>
            <family val="2"/>
            <scheme val="minor"/>
          </rPr>
          <t>Unknown User:
Cash pic/receipt not uploaded</t>
        </r>
      </text>
    </comment>
    <comment ref="Q714" authorId="1" shapeId="0" xr:uid="{13FB927C-418C-42F4-B285-F0784E7509AD}">
      <text>
        <r>
          <rPr>
            <sz val="11"/>
            <color theme="1"/>
            <rFont val="Aptos Narrow"/>
            <family val="2"/>
            <scheme val="minor"/>
          </rPr>
          <t>Unknown User:
Progress invoice not updated</t>
        </r>
      </text>
    </comment>
    <comment ref="R714" authorId="1" shapeId="0" xr:uid="{C9FA684D-B86A-4C52-9D50-99E9F089D43A}">
      <text>
        <r>
          <rPr>
            <sz val="11"/>
            <color theme="1"/>
            <rFont val="Aptos Narrow"/>
            <family val="2"/>
            <scheme val="minor"/>
          </rPr>
          <t>Unknown User:
Sign not obtained</t>
        </r>
      </text>
    </comment>
    <comment ref="S714" authorId="1" shapeId="0" xr:uid="{2BE36C08-00C6-46FA-A3B4-472A47D0578E}">
      <text>
        <r>
          <rPr>
            <sz val="11"/>
            <color theme="1"/>
            <rFont val="Aptos Narrow"/>
            <family val="2"/>
            <scheme val="minor"/>
          </rPr>
          <t>Unknown User:
Invoice emailed without sign</t>
        </r>
      </text>
    </comment>
    <comment ref="W714" authorId="1" shapeId="0" xr:uid="{0754647F-00CC-47E1-BF88-E35204D433DC}">
      <text>
        <r>
          <rPr>
            <sz val="11"/>
            <color theme="1"/>
            <rFont val="Aptos Narrow"/>
            <family val="2"/>
            <scheme val="minor"/>
          </rPr>
          <t>Unknown User:
Cash denomination not available as cash pic/receipt not uploaded.</t>
        </r>
      </text>
    </comment>
    <comment ref="G715" authorId="1" shapeId="0" xr:uid="{EC60BE9A-1A26-445C-8A37-9AF800FB3DEE}">
      <text>
        <r>
          <rPr>
            <sz val="11"/>
            <color theme="1"/>
            <rFont val="Aptos Narrow"/>
            <family val="2"/>
            <scheme val="minor"/>
          </rPr>
          <t>Unknown User:
HIGH POWERED SUCTION PUMP
Non-refundable call out fee</t>
        </r>
      </text>
    </comment>
    <comment ref="G719" authorId="1" shapeId="0" xr:uid="{DD478BAD-D6DC-4C4A-A6CE-D1EF66D1C9E1}">
      <text>
        <r>
          <rPr>
            <sz val="11"/>
            <color theme="1"/>
            <rFont val="Aptos Narrow"/>
            <family val="2"/>
            <scheme val="minor"/>
          </rPr>
          <t>Unknown User:
Install concrete slab
Adapt onto downpipe
Run downpipe to tank
Install hose bit
Test and commission
10% Good Will Discount</t>
        </r>
      </text>
    </comment>
    <comment ref="M719" authorId="1" shapeId="0" xr:uid="{E08EF899-C761-446B-9ACA-2543BD578352}">
      <text>
        <r>
          <rPr>
            <sz val="11"/>
            <color theme="1"/>
            <rFont val="Aptos Narrow"/>
            <family val="2"/>
            <scheme val="minor"/>
          </rPr>
          <t>Unknown User:
Cash pic for $200 not uploaded.</t>
        </r>
      </text>
    </comment>
    <comment ref="W719" authorId="1" shapeId="0" xr:uid="{B0976342-2CBB-44FD-8FC4-77D5ECAEE785}">
      <text>
        <r>
          <rPr>
            <sz val="11"/>
            <color theme="1"/>
            <rFont val="Aptos Narrow"/>
            <family val="2"/>
            <scheme val="minor"/>
          </rPr>
          <t>Unknown User:
Cash pic not uploaded</t>
        </r>
      </text>
    </comment>
    <comment ref="G720" authorId="1" shapeId="0" xr:uid="{1B42B168-1D2A-401A-A189-D2F963624D85}">
      <text>
        <r>
          <rPr>
            <sz val="11"/>
            <color theme="1"/>
            <rFont val="Aptos Narrow"/>
            <family val="2"/>
            <scheme val="minor"/>
          </rPr>
          <t xml:space="preserve">Unknown User:
SPECIALIST LEAK DETECTION (WATER SERVICE)
10% Seniors &amp; Pensioners Discount
</t>
        </r>
      </text>
    </comment>
    <comment ref="P720" authorId="1" shapeId="0" xr:uid="{98DFDE35-1644-4BEA-814E-1A1791C7D277}">
      <text>
        <r>
          <rPr>
            <sz val="11"/>
            <color theme="1"/>
            <rFont val="Aptos Narrow"/>
            <family val="2"/>
            <scheme val="minor"/>
          </rPr>
          <t>Unknown User:
Quote not emailed</t>
        </r>
      </text>
    </comment>
    <comment ref="U720" authorId="1" shapeId="0" xr:uid="{6359A0E2-2466-4299-A35E-DEB4BF20997C}">
      <text>
        <r>
          <rPr>
            <sz val="11"/>
            <color theme="1"/>
            <rFont val="Aptos Narrow"/>
            <family val="2"/>
            <scheme val="minor"/>
          </rPr>
          <t>Unknown User:
15/8-As per Rhys's note "HUMM messed around for like 2 hours
Client didn’t wanna do it anymore
Collected deposit come back next week"</t>
        </r>
      </text>
    </comment>
    <comment ref="G721" authorId="1" shapeId="0" xr:uid="{258CC0B2-CCB9-497D-8502-D0A317600C92}">
      <text>
        <r>
          <rPr>
            <sz val="11"/>
            <color theme="1"/>
            <rFont val="Aptos Narrow"/>
            <family val="2"/>
            <scheme val="minor"/>
          </rPr>
          <t xml:space="preserve">Unknown User:
ROOF MAINTENANCE </t>
        </r>
      </text>
    </comment>
    <comment ref="N721" authorId="1" shapeId="0" xr:uid="{C0358E58-D674-41B4-AC8F-C914A7EFBFDA}">
      <text>
        <r>
          <rPr>
            <sz val="11"/>
            <color theme="1"/>
            <rFont val="Aptos Narrow"/>
            <family val="2"/>
            <scheme val="minor"/>
          </rPr>
          <t>Unknown User:
Quote raised in Job #72515</t>
        </r>
      </text>
    </comment>
    <comment ref="V721" authorId="1" shapeId="0" xr:uid="{AB7558CA-EC75-4AE5-9DCB-85DF7E89A202}">
      <text>
        <r>
          <rPr>
            <sz val="11"/>
            <color theme="1"/>
            <rFont val="Aptos Narrow"/>
            <family val="2"/>
            <scheme val="minor"/>
          </rPr>
          <t>Unknown User:
10/9-EFT of $10000 received
18/9-EFT of $10000 received</t>
        </r>
      </text>
    </comment>
    <comment ref="G722" authorId="1" shapeId="0" xr:uid="{76609FEE-6507-402F-84C7-D8352C173A19}">
      <text>
        <r>
          <rPr>
            <sz val="11"/>
            <color theme="1"/>
            <rFont val="Aptos Narrow"/>
            <family val="2"/>
            <scheme val="minor"/>
          </rPr>
          <t>Unknown User:
SEWER SPOT DIG - IN GROUND</t>
        </r>
      </text>
    </comment>
    <comment ref="K722" authorId="1" shapeId="0" xr:uid="{00CDB121-BC3D-4AF4-AF1F-ED41B5F060AB}">
      <text>
        <r>
          <rPr>
            <sz val="11"/>
            <color theme="1"/>
            <rFont val="Aptos Narrow"/>
            <family val="2"/>
            <scheme val="minor"/>
          </rPr>
          <t xml:space="preserve">Unknown User:
Job #73032 pics uploaded </t>
        </r>
      </text>
    </comment>
    <comment ref="V722" authorId="1" shapeId="0" xr:uid="{AFDB5930-3C0B-4B5A-BC4C-25C50682641D}">
      <text>
        <r>
          <rPr>
            <sz val="11"/>
            <color theme="1"/>
            <rFont val="Aptos Narrow"/>
            <family val="2"/>
            <scheme val="minor"/>
          </rPr>
          <t>Unknown User:
15/9-EFT of $5000</t>
        </r>
      </text>
    </comment>
    <comment ref="G723" authorId="1" shapeId="0" xr:uid="{5D09D21E-FF02-4C08-9B7D-2B04A946BD55}">
      <text>
        <r>
          <rPr>
            <sz val="11"/>
            <color theme="1"/>
            <rFont val="Aptos Narrow"/>
            <family val="2"/>
            <scheme val="minor"/>
          </rPr>
          <t>Unknown User:
SUPPLY AND INSTALLATION OF NEW BOX GUTTER UP TO 2.5M
10% Seniors &amp; Pensioners Discount</t>
        </r>
      </text>
    </comment>
    <comment ref="K723" authorId="1" shapeId="0" xr:uid="{52187CB5-8A78-4E70-849A-F4D92AEB150D}">
      <text>
        <r>
          <rPr>
            <sz val="11"/>
            <color theme="1"/>
            <rFont val="Aptos Narrow"/>
            <family val="2"/>
            <scheme val="minor"/>
          </rPr>
          <t>Unknown User:
Previous job images considered</t>
        </r>
      </text>
    </comment>
    <comment ref="G727" authorId="1" shapeId="0" xr:uid="{5EB825C4-C57B-4E46-94E6-1BF2C7C2012D}">
      <text>
        <r>
          <rPr>
            <sz val="11"/>
            <color theme="1"/>
            <rFont val="Aptos Narrow"/>
            <family val="2"/>
            <scheme val="minor"/>
          </rPr>
          <t>Unknown User:
RELOCATION OF EXISTING 20MM WATER METER UP TO 1.5M FROM EXISTING LOCATION</t>
        </r>
      </text>
    </comment>
    <comment ref="G728" authorId="1" shapeId="0" xr:uid="{B944DD9A-53AF-47CA-950F-AEA27E8EA1C0}">
      <text>
        <r>
          <rPr>
            <sz val="11"/>
            <color theme="1"/>
            <rFont val="Aptos Narrow"/>
            <family val="2"/>
            <scheme val="minor"/>
          </rPr>
          <t xml:space="preserve">Unknown User:
WATER SERVICE RECTIFICATION (IN CONCRETE)
</t>
        </r>
      </text>
    </comment>
    <comment ref="G729" authorId="1" shapeId="0" xr:uid="{AD12FEA0-7391-4F63-A29E-7D00797B2062}">
      <text>
        <r>
          <rPr>
            <sz val="11"/>
            <color theme="1"/>
            <rFont val="Aptos Narrow"/>
            <family val="2"/>
            <scheme val="minor"/>
          </rPr>
          <t>Unknown User:
COMPLETE SERVICE OF WALL TOP TAPS ASSEMBLY
10% Good Will Discount</t>
        </r>
      </text>
    </comment>
    <comment ref="G730" authorId="1" shapeId="0" xr:uid="{57C5E237-9790-4B29-941D-AE5802677F10}">
      <text>
        <r>
          <rPr>
            <sz val="11"/>
            <color theme="1"/>
            <rFont val="Aptos Narrow"/>
            <family val="2"/>
            <scheme val="minor"/>
          </rPr>
          <t>Unknown User:
COMPLETE SERVICE OF IN WALL TOILET CISTERN</t>
        </r>
      </text>
    </comment>
    <comment ref="G731" authorId="1" shapeId="0" xr:uid="{F66CAB3A-93FA-41DB-8CB7-D05A925B1412}">
      <text>
        <r>
          <rPr>
            <sz val="11"/>
            <color theme="1"/>
            <rFont val="Aptos Narrow"/>
            <family val="2"/>
            <scheme val="minor"/>
          </rPr>
          <t xml:space="preserve">Unknown User:
REPLACEMENT OF HAND-HELD SHOWER ROSE (CUSTOMER SUPPLIED)
</t>
        </r>
      </text>
    </comment>
    <comment ref="G732" authorId="1" shapeId="0" xr:uid="{4B3421EC-59AF-4B5F-8D5B-565961A0C553}">
      <text>
        <r>
          <rPr>
            <sz val="11"/>
            <color theme="1"/>
            <rFont val="Aptos Narrow"/>
            <family val="2"/>
            <scheme val="minor"/>
          </rPr>
          <t>Unknown User:
Arrived on site and found the customer would like a laundry renovation.
Isolate water supply to property
Disconnect and remove existing tapware
Cut plaster for new water service
Relocate water points in laundry as per plan
Disconnect and remove section of existing water service
Clean and prepare work area
Clean and prepare pipework for new connections
Supply &amp; install new section of water service
Supply &amp; install new laundry mixer
Supply &amp; install B-Press fittings
Supply &amp; install new PVC fittings
Supply &amp; install new brass fittings
Use of hydraulic press tool
Fit off client-supplied laundry sink
Fit off client-supplied washing machine
Test &amp; commission installation on completion
Remove trade waste from site
Tidy work area
PLEASE NOTE: If further works are required outside of the above scope, additional costs will apply.</t>
        </r>
      </text>
    </comment>
    <comment ref="G733" authorId="1" shapeId="0" xr:uid="{54228E3B-EFDE-4B70-9B04-CFC8D9968DF2}">
      <text>
        <r>
          <rPr>
            <sz val="11"/>
            <color theme="1"/>
            <rFont val="Aptos Narrow"/>
            <family val="2"/>
            <scheme val="minor"/>
          </rPr>
          <t xml:space="preserve">Unknown User:
CONVERT SOLAR SPLIT HOT WATER SYSTEM TO EXTERNAL GAS INSTANTANEOUS HOT WATER SYSTEM
</t>
        </r>
      </text>
    </comment>
    <comment ref="K733" authorId="1" shapeId="0" xr:uid="{6CD77BF8-E26A-4C5E-B987-F0394B75E081}">
      <text>
        <r>
          <rPr>
            <sz val="11"/>
            <color theme="1"/>
            <rFont val="Aptos Narrow"/>
            <family val="2"/>
            <scheme val="minor"/>
          </rPr>
          <t>Unknown User:
Previous job #73288 pics considered</t>
        </r>
      </text>
    </comment>
    <comment ref="G734" authorId="1" shapeId="0" xr:uid="{BE88E6C3-ECDC-4F73-85A8-B73DCD4ED24C}">
      <text>
        <r>
          <rPr>
            <sz val="11"/>
            <color theme="1"/>
            <rFont val="Aptos Narrow"/>
            <family val="2"/>
            <scheme val="minor"/>
          </rPr>
          <t>Unknown User:
SUPPLY &amp; INSTALLATION OF NEW INSTANTANEOUS GAS HOT WATER SYSTEM (EXTERNAL)</t>
        </r>
      </text>
    </comment>
    <comment ref="G735" authorId="1" shapeId="0" xr:uid="{CA43CFEF-C7AD-463B-90B8-830DEB8930BE}">
      <text>
        <r>
          <rPr>
            <sz val="11"/>
            <color theme="1"/>
            <rFont val="Aptos Narrow"/>
            <family val="2"/>
            <scheme val="minor"/>
          </rPr>
          <t>Unknown User:
SEWER SPOT DIG (UNDER CONCRETE)</t>
        </r>
      </text>
    </comment>
    <comment ref="K735" authorId="1" shapeId="0" xr:uid="{AF6E8A00-04D8-4EAA-ABBB-E051FB48FD4C}">
      <text>
        <r>
          <rPr>
            <sz val="11"/>
            <color theme="1"/>
            <rFont val="Aptos Narrow"/>
            <family val="2"/>
            <scheme val="minor"/>
          </rPr>
          <t>Unknown User:
Previous job #73384 (initial) pics considered</t>
        </r>
      </text>
    </comment>
    <comment ref="G736" authorId="1" shapeId="0" xr:uid="{A6E35AE2-E260-4290-84AC-0823440075EE}">
      <text>
        <r>
          <rPr>
            <sz val="11"/>
            <color theme="1"/>
            <rFont val="Aptos Narrow"/>
            <family val="2"/>
            <scheme val="minor"/>
          </rPr>
          <t xml:space="preserve">Unknown User:
SUPPLY &amp; INSTALLATION OF NEW INSET BASIN
REPLACEMENT OF KITCHEN MIXER (CUSTOMER SUPPLIED)
</t>
        </r>
      </text>
    </comment>
    <comment ref="G739" authorId="1" shapeId="0" xr:uid="{A74802D7-C61A-4F9E-9BB6-A261FDEF7A8F}">
      <text>
        <r>
          <rPr>
            <sz val="11"/>
            <color theme="1"/>
            <rFont val="Aptos Narrow"/>
            <family val="2"/>
            <scheme val="minor"/>
          </rPr>
          <t>Unknown User:
WATER SERVICE RECTIFICATION (IN CONCRETE)</t>
        </r>
      </text>
    </comment>
    <comment ref="G741" authorId="1" shapeId="0" xr:uid="{164A35A4-35DD-4486-A0EE-EED2F192BF9B}">
      <text>
        <r>
          <rPr>
            <sz val="11"/>
            <color theme="1"/>
            <rFont val="Aptos Narrow"/>
            <family val="2"/>
            <scheme val="minor"/>
          </rPr>
          <t>Unknown User:
SPECIALIST LEAK DETECTION (WATER SERVICE)
10% Good Will Discount</t>
        </r>
      </text>
    </comment>
    <comment ref="G742" authorId="1" shapeId="0" xr:uid="{EFA09C66-0BCD-4386-B6F4-32E7B13C942F}">
      <text>
        <r>
          <rPr>
            <sz val="11"/>
            <color theme="1"/>
            <rFont val="Aptos Narrow"/>
            <family val="2"/>
            <scheme val="minor"/>
          </rPr>
          <t>Unknown User:
INSTALLATION OF FREESTANDING OVEN AND GAS COOKTOP [SAME LOCATION] (CUSTOMER SUPPLIED)
SUPPLY &amp; INSTALLATION OF NEW COPPER GAS SERVICE UP TO ____M (REPLACEMENT OF EXISTING GALVANISED GAS SERVICE)
10% Good Will Discount</t>
        </r>
      </text>
    </comment>
    <comment ref="G774" authorId="1" shapeId="0" xr:uid="{47F13699-B83C-4582-B02C-87C3291253C1}">
      <text>
        <r>
          <rPr>
            <sz val="11"/>
            <color theme="1"/>
            <rFont val="Aptos Narrow"/>
            <family val="2"/>
            <scheme val="minor"/>
          </rPr>
          <t>Unknown User:
HIGH POWERED JET BLAST &amp; CCTV DRAIN CAMERA INSPECTION (SEWER SERVICE)
Non-refundable call out fee</t>
        </r>
      </text>
    </comment>
    <comment ref="L774" authorId="1" shapeId="0" xr:uid="{5B74CA6C-8650-4D71-8001-F73FAEF15AF1}">
      <text>
        <r>
          <rPr>
            <sz val="11"/>
            <color theme="1"/>
            <rFont val="Aptos Narrow"/>
            <family val="2"/>
            <scheme val="minor"/>
          </rPr>
          <t>Unknown User:
CCTV pics/videos not uploaded</t>
        </r>
      </text>
    </comment>
    <comment ref="M774" authorId="1" shapeId="0" xr:uid="{41D25424-8879-4751-824E-428BC9B72E16}">
      <text>
        <r>
          <rPr>
            <sz val="11"/>
            <color theme="1"/>
            <rFont val="Aptos Narrow"/>
            <family val="2"/>
            <scheme val="minor"/>
          </rPr>
          <t>Unknown User:
Smartpay receipt of $2143.60 not uploaded by plumber.
Uploaded by Modoras team</t>
        </r>
      </text>
    </comment>
    <comment ref="P774" authorId="1" shapeId="0" xr:uid="{201920F9-8F15-4483-B2FE-77C95DFC0928}">
      <text>
        <r>
          <rPr>
            <sz val="11"/>
            <color theme="1"/>
            <rFont val="Aptos Narrow"/>
            <family val="2"/>
            <scheme val="minor"/>
          </rPr>
          <t>Unknown User:
Quote not emailed</t>
        </r>
      </text>
    </comment>
    <comment ref="Q774" authorId="1" shapeId="0" xr:uid="{1AFE07EB-B3DC-4983-99AF-261528B4FD8C}">
      <text>
        <r>
          <rPr>
            <sz val="11"/>
            <color theme="1"/>
            <rFont val="Aptos Narrow"/>
            <family val="2"/>
            <scheme val="minor"/>
          </rPr>
          <t>Unknown User:
Invoice not raised by plumber</t>
        </r>
      </text>
    </comment>
    <comment ref="G775" authorId="1" shapeId="0" xr:uid="{20DF3E4F-3D6E-435E-98E7-F7E4A1E60D11}">
      <text>
        <r>
          <rPr>
            <sz val="11"/>
            <color theme="1"/>
            <rFont val="Aptos Narrow"/>
            <family val="2"/>
            <scheme val="minor"/>
          </rPr>
          <t xml:space="preserve">Unknown User:
HIGH POWERED JET BLAST &amp; CCTV DRAIN CAMERA INSPECTION (SEWER SERVICE)
</t>
        </r>
      </text>
    </comment>
    <comment ref="L775" authorId="1" shapeId="0" xr:uid="{D06C9A8B-1AC1-4742-B76B-C1FF98C5289B}">
      <text>
        <r>
          <rPr>
            <sz val="11"/>
            <color theme="1"/>
            <rFont val="Aptos Narrow"/>
            <family val="2"/>
            <scheme val="minor"/>
          </rPr>
          <t>Unknown User:
CCTV pics/videos not uploaded</t>
        </r>
      </text>
    </comment>
    <comment ref="M775" authorId="1" shapeId="0" xr:uid="{A8447153-36D6-41F2-80C2-6CDF844AC0B0}">
      <text>
        <r>
          <rPr>
            <sz val="11"/>
            <color theme="1"/>
            <rFont val="Aptos Narrow"/>
            <family val="2"/>
            <scheme val="minor"/>
          </rPr>
          <t>Unknown User:
Smartpay receipt of $120 not uploaded by plumber.
Uploaded by Modoras team</t>
        </r>
      </text>
    </comment>
    <comment ref="Q775" authorId="1" shapeId="0" xr:uid="{A0BB4816-3DA6-4CE3-9E78-5CAFC1862B8D}">
      <text>
        <r>
          <rPr>
            <sz val="11"/>
            <color theme="1"/>
            <rFont val="Aptos Narrow"/>
            <family val="2"/>
            <scheme val="minor"/>
          </rPr>
          <t>Unknown User:
Invoice not raised &amp; updated with progress payments.</t>
        </r>
      </text>
    </comment>
    <comment ref="G776" authorId="1" shapeId="0" xr:uid="{AAF5E4D9-8383-4F96-8086-B0CD7CEDFC6B}">
      <text>
        <r>
          <rPr>
            <sz val="11"/>
            <color theme="1"/>
            <rFont val="Aptos Narrow"/>
            <family val="2"/>
            <scheme val="minor"/>
          </rPr>
          <t>Unknown User:
SUPPLY &amp; INSTALLATION OF NEW PLASTIC TOILET CISTERN
10% Seniors &amp; Pensioners Discount</t>
        </r>
      </text>
    </comment>
    <comment ref="G781" authorId="1" shapeId="0" xr:uid="{7FFF4B4A-D529-4C96-ADAF-D3A151404E6A}">
      <text>
        <r>
          <rPr>
            <sz val="11"/>
            <color theme="1"/>
            <rFont val="Aptos Narrow"/>
            <family val="2"/>
            <scheme val="minor"/>
          </rPr>
          <t xml:space="preserve">Unknown User:
HIGH POWERED JET BLAST &amp; CCTV CAMERA INSPECTION (GAIN ACCESS WITH REMOVAL OF TOILET)
</t>
        </r>
      </text>
    </comment>
    <comment ref="P781" authorId="1" shapeId="0" xr:uid="{B6AADE5D-6C06-4502-A32C-C5D83B46A9B6}">
      <text>
        <r>
          <rPr>
            <sz val="11"/>
            <color theme="1"/>
            <rFont val="Aptos Narrow"/>
            <family val="2"/>
            <scheme val="minor"/>
          </rPr>
          <t>Unknown User:
Quote not emailed</t>
        </r>
      </text>
    </comment>
    <comment ref="Q781" authorId="1" shapeId="0" xr:uid="{02C5E978-18C6-45B4-B135-B59B531DC75B}">
      <text>
        <r>
          <rPr>
            <sz val="11"/>
            <color theme="1"/>
            <rFont val="Aptos Narrow"/>
            <family val="2"/>
            <scheme val="minor"/>
          </rPr>
          <t>Unknown User:
Progress invoice not raised</t>
        </r>
      </text>
    </comment>
    <comment ref="G782" authorId="1" shapeId="0" xr:uid="{A1F91EAE-C424-4F1B-B090-5726DD4D81C5}">
      <text>
        <r>
          <rPr>
            <sz val="11"/>
            <color theme="1"/>
            <rFont val="Aptos Narrow"/>
            <family val="2"/>
            <scheme val="minor"/>
          </rPr>
          <t>Unknown User:
HIGH POWERED JET BLAST &amp; CCTV DRAIN CAMERA INSPECTION (SEWER SERVICE)</t>
        </r>
      </text>
    </comment>
    <comment ref="M782" authorId="1" shapeId="0" xr:uid="{C31607AD-F6B5-4697-9920-8573C0E59DA0}">
      <text>
        <r>
          <rPr>
            <sz val="11"/>
            <color theme="1"/>
            <rFont val="Aptos Narrow"/>
            <family val="2"/>
            <scheme val="minor"/>
          </rPr>
          <t>Unknown User:
Smartpay receipt of $120 not uploaded by plumber.
To be confirmed by office as there's only 1 Smartpay receipt for $120 available in Smartpay portal for the day &amp; it pertains to Job #73530</t>
        </r>
      </text>
    </comment>
    <comment ref="Q782" authorId="1" shapeId="0" xr:uid="{6CB9260B-9F2B-4479-86B5-D6301461ACCC}">
      <text>
        <r>
          <rPr>
            <sz val="11"/>
            <color theme="1"/>
            <rFont val="Aptos Narrow"/>
            <family val="2"/>
            <scheme val="minor"/>
          </rPr>
          <t>Unknown User:
Final zero due invoice not raised by plumber</t>
        </r>
      </text>
    </comment>
    <comment ref="G783" authorId="1" shapeId="0" xr:uid="{E6FD77D7-8859-4D30-8FE7-417FB0BEF494}">
      <text>
        <r>
          <rPr>
            <sz val="11"/>
            <color theme="1"/>
            <rFont val="Aptos Narrow"/>
            <family val="2"/>
            <scheme val="minor"/>
          </rPr>
          <t>Unknown User:
WATER SERVICE RECTIFICATION (IN WALL)
10% Seniors &amp; Pensioners Discount</t>
        </r>
      </text>
    </comment>
    <comment ref="Q783" authorId="1" shapeId="0" xr:uid="{942B384C-E681-4DFB-A69E-06C535E1C2FF}">
      <text>
        <r>
          <rPr>
            <sz val="11"/>
            <color theme="1"/>
            <rFont val="Aptos Narrow"/>
            <family val="2"/>
            <scheme val="minor"/>
          </rPr>
          <t>Unknown User:
Progress invoice for $1200 not raised</t>
        </r>
      </text>
    </comment>
    <comment ref="G784" authorId="1" shapeId="0" xr:uid="{2A195142-3C72-4B89-8145-0DE94BF5BB8A}">
      <text>
        <r>
          <rPr>
            <sz val="11"/>
            <color theme="1"/>
            <rFont val="Aptos Narrow"/>
            <family val="2"/>
            <scheme val="minor"/>
          </rPr>
          <t>Unknown User:
SUPPLY &amp; INSTALLATION OF GAS STORAGE HOT WATER SYSTEM (EXTERNAL)</t>
        </r>
      </text>
    </comment>
    <comment ref="P784" authorId="1" shapeId="0" xr:uid="{79498DBD-B669-4BE1-9B11-9227E452D25F}">
      <text>
        <r>
          <rPr>
            <sz val="11"/>
            <color theme="1"/>
            <rFont val="Aptos Narrow"/>
            <family val="2"/>
            <scheme val="minor"/>
          </rPr>
          <t>Unknown User:
Quote not emailed</t>
        </r>
      </text>
    </comment>
    <comment ref="Q784" authorId="1" shapeId="0" xr:uid="{D608BA3F-1136-488C-AEDD-6F76BDCF86B0}">
      <text>
        <r>
          <rPr>
            <sz val="11"/>
            <color theme="1"/>
            <rFont val="Aptos Narrow"/>
            <family val="2"/>
            <scheme val="minor"/>
          </rPr>
          <t>Unknown User:
Invoice not raised</t>
        </r>
      </text>
    </comment>
    <comment ref="W784" authorId="1" shapeId="0" xr:uid="{DA748153-DF5E-4BBC-BC65-8B53DDDF65E2}">
      <text>
        <r>
          <rPr>
            <sz val="11"/>
            <color theme="1"/>
            <rFont val="Aptos Narrow"/>
            <family val="2"/>
            <scheme val="minor"/>
          </rPr>
          <t>Unknown User:
Cash denomination
$50*14=$700</t>
        </r>
      </text>
    </comment>
    <comment ref="G785" authorId="1" shapeId="0" xr:uid="{FCFE0CEC-3F8D-4596-8908-C30C212EEECD}">
      <text>
        <r>
          <rPr>
            <sz val="11"/>
            <color theme="1"/>
            <rFont val="Aptos Narrow"/>
            <family val="2"/>
            <scheme val="minor"/>
          </rPr>
          <t>Unknown User:
HIGH POWERED JET BLAST &amp; CCTV DRAIN CAMERA INSPECTION (SEWER SERVICE)</t>
        </r>
      </text>
    </comment>
    <comment ref="R785" authorId="1" shapeId="0" xr:uid="{94662693-F922-4B53-AE3D-96F7A546E0AD}">
      <text>
        <r>
          <rPr>
            <sz val="11"/>
            <color theme="1"/>
            <rFont val="Aptos Narrow"/>
            <family val="2"/>
            <scheme val="minor"/>
          </rPr>
          <t>Unknown User:
Invoice not signed</t>
        </r>
      </text>
    </comment>
    <comment ref="S785" authorId="1" shapeId="0" xr:uid="{1AC5D180-3CF2-4642-9FEC-E28F3C310567}">
      <text>
        <r>
          <rPr>
            <sz val="11"/>
            <color theme="1"/>
            <rFont val="Aptos Narrow"/>
            <family val="2"/>
            <scheme val="minor"/>
          </rPr>
          <t>Unknown User:
Invoice emailed without sign</t>
        </r>
      </text>
    </comment>
    <comment ref="G786" authorId="1" shapeId="0" xr:uid="{E6F06EC0-BA7F-4293-9FF1-2B7B87460380}">
      <text>
        <r>
          <rPr>
            <sz val="11"/>
            <color theme="1"/>
            <rFont val="Aptos Narrow"/>
            <family val="2"/>
            <scheme val="minor"/>
          </rPr>
          <t>Unknown User:
SEARCH &amp; INVESTIGATION OF DISHWASHER</t>
        </r>
      </text>
    </comment>
    <comment ref="L786" authorId="1" shapeId="0" xr:uid="{8D7C4E17-4E4C-4750-9C72-97A60EA806FA}">
      <text>
        <r>
          <rPr>
            <sz val="11"/>
            <color theme="1"/>
            <rFont val="Aptos Narrow"/>
            <family val="2"/>
            <scheme val="minor"/>
          </rPr>
          <t>Unknown User:
Investigation pics not uploaded.</t>
        </r>
      </text>
    </comment>
    <comment ref="P786" authorId="1" shapeId="0" xr:uid="{DDC4FEAE-AE0F-48FC-BB7A-09A3EDDE5121}">
      <text>
        <r>
          <rPr>
            <sz val="11"/>
            <color theme="1"/>
            <rFont val="Aptos Narrow"/>
            <family val="2"/>
            <scheme val="minor"/>
          </rPr>
          <t>Unknown User:
Quote not emailed</t>
        </r>
      </text>
    </comment>
    <comment ref="G790" authorId="1" shapeId="0" xr:uid="{C54BD13D-55F6-45DD-8E67-534D23EDB62E}">
      <text>
        <r>
          <rPr>
            <sz val="11"/>
            <color theme="1"/>
            <rFont val="Aptos Narrow"/>
            <family val="2"/>
            <scheme val="minor"/>
          </rPr>
          <t>Unknown User:
STORM WATER SPOT RECTIFICATION IN GROUND</t>
        </r>
      </text>
    </comment>
    <comment ref="P790" authorId="1" shapeId="0" xr:uid="{A21BDEA6-C92A-43C3-B52A-63BAB01C1D00}">
      <text>
        <r>
          <rPr>
            <sz val="11"/>
            <color theme="1"/>
            <rFont val="Aptos Narrow"/>
            <family val="2"/>
            <scheme val="minor"/>
          </rPr>
          <t>Unknown User:
Quote not emailed</t>
        </r>
      </text>
    </comment>
    <comment ref="G791" authorId="1" shapeId="0" xr:uid="{F1B7DA26-BD1C-4C0F-BEE8-F164455574AF}">
      <text>
        <r>
          <rPr>
            <sz val="11"/>
            <color theme="1"/>
            <rFont val="Aptos Narrow"/>
            <family val="2"/>
            <scheme val="minor"/>
          </rPr>
          <t>Unknown User:
HIGH POWERED JET BLAST &amp; CCTV CAMERA INSPECTION (GAIN ACCESS WITH REMOVAL OF TOILET)</t>
        </r>
      </text>
    </comment>
    <comment ref="P791" authorId="1" shapeId="0" xr:uid="{B986FA10-8A1F-4E25-ACB5-8E06AAE903F3}">
      <text>
        <r>
          <rPr>
            <sz val="11"/>
            <color theme="1"/>
            <rFont val="Aptos Narrow"/>
            <family val="2"/>
            <scheme val="minor"/>
          </rPr>
          <t>Unknown User:
Quote not emailed</t>
        </r>
      </text>
    </comment>
    <comment ref="G792" authorId="1" shapeId="0" xr:uid="{9DD40793-DBA1-4BA9-8C6A-A3F64B21F671}">
      <text>
        <r>
          <rPr>
            <sz val="11"/>
            <color theme="1"/>
            <rFont val="Aptos Narrow"/>
            <family val="2"/>
            <scheme val="minor"/>
          </rPr>
          <t>Unknown User:
SEWER SPOT DIG - IN GROUND
SUPPLY &amp; INSTALLATION OF NEW LINK SUITE</t>
        </r>
      </text>
    </comment>
    <comment ref="P792" authorId="1" shapeId="0" xr:uid="{24059421-C206-427C-80D5-C9788A43B943}">
      <text>
        <r>
          <rPr>
            <sz val="11"/>
            <color theme="1"/>
            <rFont val="Aptos Narrow"/>
            <family val="2"/>
            <scheme val="minor"/>
          </rPr>
          <t>Unknown User:
Quote not emailed</t>
        </r>
      </text>
    </comment>
    <comment ref="G793" authorId="1" shapeId="0" xr:uid="{65373F00-0ED1-4BBF-B65A-D147AE4F27D3}">
      <text>
        <r>
          <rPr>
            <sz val="11"/>
            <color theme="1"/>
            <rFont val="Aptos Narrow"/>
            <family val="2"/>
            <scheme val="minor"/>
          </rPr>
          <t xml:space="preserve">Unknown User:
STORM WATER SPOT RECTIFICATION IN GROUND
</t>
        </r>
      </text>
    </comment>
    <comment ref="G794" authorId="1" shapeId="0" xr:uid="{89E7029E-9CFD-4D34-B196-BDC4B684926E}">
      <text>
        <r>
          <rPr>
            <sz val="11"/>
            <color theme="1"/>
            <rFont val="Aptos Narrow"/>
            <family val="2"/>
            <scheme val="minor"/>
          </rPr>
          <t>Unknown User:
SUPPLY &amp; INSTALLATION OF NEW SINGLE ELEMENT HOT WATER UNIT (250L &gt; 400L)</t>
        </r>
      </text>
    </comment>
    <comment ref="P794" authorId="1" shapeId="0" xr:uid="{3F5D2FF4-D218-4719-85FE-7E9B041D2FC3}">
      <text>
        <r>
          <rPr>
            <sz val="11"/>
            <color theme="1"/>
            <rFont val="Aptos Narrow"/>
            <family val="2"/>
            <scheme val="minor"/>
          </rPr>
          <t>Unknown User:
Quote not emailed</t>
        </r>
      </text>
    </comment>
    <comment ref="G798" authorId="1" shapeId="0" xr:uid="{FFEC7ECB-D9C1-4985-B4AF-472C714A9466}">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L798" authorId="1" shapeId="0" xr:uid="{1CAC1E66-571C-40E9-BC75-21F50F63A2AE}">
      <text>
        <r>
          <rPr>
            <sz val="11"/>
            <color theme="1"/>
            <rFont val="Aptos Narrow"/>
            <family val="2"/>
            <scheme val="minor"/>
          </rPr>
          <t>Unknown User:
Temp check pending</t>
        </r>
      </text>
    </comment>
    <comment ref="P798" authorId="1" shapeId="0" xr:uid="{09DC597A-11EC-4DDC-AFC4-1C793C50EEDE}">
      <text>
        <r>
          <rPr>
            <sz val="11"/>
            <color theme="1"/>
            <rFont val="Aptos Narrow"/>
            <family val="2"/>
            <scheme val="minor"/>
          </rPr>
          <t>Unknown User:
Quote not emailed</t>
        </r>
      </text>
    </comment>
    <comment ref="Q798" authorId="1" shapeId="0" xr:uid="{F0B14DD0-C0B8-4624-BB3A-E08216C8516C}">
      <text>
        <r>
          <rPr>
            <sz val="11"/>
            <color theme="1"/>
            <rFont val="Aptos Narrow"/>
            <family val="2"/>
            <scheme val="minor"/>
          </rPr>
          <t>Unknown User:
Progress payment of $341.75 not updated in invoice (Signed but amount not recorded).</t>
        </r>
      </text>
    </comment>
    <comment ref="G799" authorId="1" shapeId="0" xr:uid="{9FEEBC97-F964-40E8-AC93-485170A55EF4}">
      <text>
        <r>
          <rPr>
            <sz val="11"/>
            <color theme="1"/>
            <rFont val="Aptos Narrow"/>
            <family val="2"/>
            <scheme val="minor"/>
          </rPr>
          <t>Unknown User:
STORM WATER RECTIFICATION UP TO 30M
Obtain Service Location Diagram
Obtain Dial Before Dig
Obtain Storm Water Diagram – If Available
Set Up Safe Work Area
Set Up Builders Plastic
Set Up Barricades for Safety
Dig &amp; Excavate Ground Area Up to 30M
Expose Existing Section of Storm Water Service Up to 30M
Locate stormwater entering barrel drain
Expose Existing Storm Water Junctions 
Cut &amp; Remove Existing Section of Storm Water Service Up to 30M
Cut &amp; Remove Existing Storm Water Junctions 
Gain Access to Storm Water Service
Set Up High-Powered Jet Blaster
Set Up High-Powered Mini Reel
Set Up High-Powered Turbines
Re-Jetblast Storm Water Service
Re-Camera and Investigate Further
Supply &amp; Install New Section of Storm Water Service Up to 30M
Supply &amp; Install New Storm Water Junctions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Upsize existing 50mm down pipe to 90mm down pipe
Install new 90mm pop and down pipe to back of house
Connect new stormwater to existing down pipes on shed
Backfill Excavated Area
Test &amp; Commission Installation
Remove Trade Waste
Restore Work Area (Excludes Returfing)
PLEASE NOTE IF FURTHER WORK REQUIRED OTHER THEN QUOTED WORK FURTHER COST WILL APPLY</t>
        </r>
      </text>
    </comment>
    <comment ref="P799" authorId="1" shapeId="0" xr:uid="{3C9140D9-EF65-45F0-90A5-AEB6B2E2D197}">
      <text>
        <r>
          <rPr>
            <sz val="11"/>
            <color theme="1"/>
            <rFont val="Aptos Narrow"/>
            <family val="2"/>
            <scheme val="minor"/>
          </rPr>
          <t>Unknown User:
Quote not emailed</t>
        </r>
      </text>
    </comment>
    <comment ref="U799" authorId="1" shapeId="0" xr:uid="{39ABF85E-D4F2-48FC-84D8-3DFAD5DA4236}">
      <text>
        <r>
          <rPr>
            <sz val="11"/>
            <color theme="1"/>
            <rFont val="Aptos Narrow"/>
            <family val="2"/>
            <scheme val="minor"/>
          </rPr>
          <t>Unknown User:
31/7-As per Joshua's note "Callback from Prue and Mr Stone,
Complained about
-price of the job, wanted itemised invoice. they were under the assumption that this was a given.
-items on invoice not completed (not specified, said they could talk to Daniel or let me know).
-Humm misunderstanding, they dont trust HUMM even though they've used it in the past. I explained the general process and that we take a 10% deposit and put the customer on a plan for the rest. They werent happy with this, i did say 10% more would be required to clear the balance as limit is $25k.
-multiple trading names, explained this is for marketing purposes and we were in a transitional period.
Asked for them to suggest a resolution as they said they'd "take this further". Invited them to come back to me at any time."</t>
        </r>
      </text>
    </comment>
    <comment ref="G800" authorId="1" shapeId="0" xr:uid="{8E5BF24B-FBEB-4768-92D7-930A32C1FF86}">
      <text>
        <r>
          <rPr>
            <sz val="11"/>
            <color theme="1"/>
            <rFont val="Aptos Narrow"/>
            <family val="2"/>
            <scheme val="minor"/>
          </rPr>
          <t>Unknown User:
SEARCH &amp; INVESTIGATION OF DOUBLE STOREY ROOF OF POTENTIAL LEAK</t>
        </r>
      </text>
    </comment>
    <comment ref="P800" authorId="1" shapeId="0" xr:uid="{C7CE4982-23A3-4B54-A412-657FB42325F5}">
      <text>
        <r>
          <rPr>
            <sz val="11"/>
            <color theme="1"/>
            <rFont val="Aptos Narrow"/>
            <family val="2"/>
            <scheme val="minor"/>
          </rPr>
          <t>Unknown User:
Quote not emailed</t>
        </r>
      </text>
    </comment>
    <comment ref="U800" authorId="1" shapeId="0" xr:uid="{F171C1FE-A79B-48DB-BC8D-CC42E49FD7B6}">
      <text>
        <r>
          <rPr>
            <sz val="11"/>
            <color theme="1"/>
            <rFont val="Aptos Narrow"/>
            <family val="2"/>
            <scheme val="minor"/>
          </rPr>
          <t>Unknown User:
4/8-As per Kylie's note "Spoke to Tara she has already left the property and is refusing to pay any more than 1K she states that we have not done the work to the scope which is correct as no height equipment has been used, nor has the plumber done a test and commission. States based on the 30 mins the plumber has been onsite she is not paying for the quoted amount. States she is now doing her due diligence and asking around and another plumber has told her it should have cost no more than $400. Claims she will pay 1K at the most"</t>
        </r>
      </text>
    </comment>
    <comment ref="G801" authorId="1" shapeId="0" xr:uid="{4133A3EA-F82F-49AB-B18A-2A4B646DF274}">
      <text>
        <r>
          <rPr>
            <sz val="11"/>
            <color theme="1"/>
            <rFont val="Aptos Narrow"/>
            <family val="2"/>
            <scheme val="minor"/>
          </rPr>
          <t xml:space="preserve">Unknown User:
SUPPLY &amp; INSTALLATION OF NEW LINK SUITE
INSTALLATION OF FREESTANDING OVEN AND GAS COOKTOP [SAME LOCATION] (CUSTOMER SUPPLIED)
INSTALLATION OF NEW WASHING MACHINE (CUSTOMER SUPPLIED)
INSTALL NEW CUSTOMER SUPPLIED DISHWASHER IN NEW LOCATION
</t>
        </r>
      </text>
    </comment>
    <comment ref="P801" authorId="1" shapeId="0" xr:uid="{047C4571-3A43-41D7-B248-88D560C050C6}">
      <text>
        <r>
          <rPr>
            <sz val="11"/>
            <color theme="1"/>
            <rFont val="Aptos Narrow"/>
            <family val="2"/>
            <scheme val="minor"/>
          </rPr>
          <t>Unknown User:
Quote not emailed</t>
        </r>
      </text>
    </comment>
    <comment ref="A802" authorId="29" shapeId="0" xr:uid="{5F872D48-42BA-4E4D-A551-080FF1F210B2}">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802" authorId="1" shapeId="0" xr:uid="{4DE86EF5-989D-4D10-8CFB-A26782464063}">
      <text>
        <r>
          <rPr>
            <sz val="11"/>
            <color theme="1"/>
            <rFont val="Aptos Narrow"/>
            <family val="2"/>
            <scheme val="minor"/>
          </rPr>
          <t>Unknown User:
SUPPLY AND INSTALLATION OF INSTANT HOT WATER UNIT</t>
        </r>
      </text>
    </comment>
    <comment ref="R802" authorId="1" shapeId="0" xr:uid="{2905D725-EEE7-4097-9C4E-F615C0484416}">
      <text>
        <r>
          <rPr>
            <sz val="11"/>
            <color theme="1"/>
            <rFont val="Aptos Narrow"/>
            <family val="2"/>
            <scheme val="minor"/>
          </rPr>
          <t>Unknown User:
Invoice not signed</t>
        </r>
      </text>
    </comment>
    <comment ref="S802" authorId="1" shapeId="0" xr:uid="{2B1EBEC5-C784-4561-BC88-520B8FAFD8AF}">
      <text>
        <r>
          <rPr>
            <sz val="11"/>
            <color theme="1"/>
            <rFont val="Aptos Narrow"/>
            <family val="2"/>
            <scheme val="minor"/>
          </rPr>
          <t>Unknown User:
Signed invoice not emailed</t>
        </r>
      </text>
    </comment>
    <comment ref="G803" authorId="1" shapeId="0" xr:uid="{1160CC55-3B8B-4649-B14C-8668BE360D5A}">
      <text>
        <r>
          <rPr>
            <sz val="11"/>
            <color theme="1"/>
            <rFont val="Aptos Narrow"/>
            <family val="2"/>
            <scheme val="minor"/>
          </rPr>
          <t>Unknown User:
ROOF LEAK SEARCH &amp; INVESTIGATION
10% Seniors &amp; Pensioners Discount</t>
        </r>
      </text>
    </comment>
    <comment ref="R803" authorId="1" shapeId="0" xr:uid="{DF7A8E27-A8AB-4F37-B634-DD91F134DE92}">
      <text>
        <r>
          <rPr>
            <sz val="11"/>
            <color theme="1"/>
            <rFont val="Aptos Narrow"/>
            <family val="2"/>
            <scheme val="minor"/>
          </rPr>
          <t>Unknown User:
Invoice not signed</t>
        </r>
      </text>
    </comment>
    <comment ref="S803" authorId="1" shapeId="0" xr:uid="{C0BC2679-A700-4349-B2A9-EEC495C426A9}">
      <text>
        <r>
          <rPr>
            <sz val="11"/>
            <color theme="1"/>
            <rFont val="Aptos Narrow"/>
            <family val="2"/>
            <scheme val="minor"/>
          </rPr>
          <t>Unknown User:
Signed invoice not emailed</t>
        </r>
      </text>
    </comment>
    <comment ref="G804" authorId="1" shapeId="0" xr:uid="{2A7A1EB2-BA78-4D3B-852F-C45CB81473D3}">
      <text>
        <r>
          <rPr>
            <sz val="11"/>
            <color theme="1"/>
            <rFont val="Aptos Narrow"/>
            <family val="2"/>
            <scheme val="minor"/>
          </rPr>
          <t xml:space="preserve">Unknown User:
CONVERT SOLAR SPLIT HOT WATER SYSTEM TO EXTERNAL GAS INSTANTANEOUS HOT WATER SYSTEM
SUPPLY AND INSTALLATION OF PRESSURE REGULATING DEVICE FITTED TO 20MM STRAIGHT PIPEWORK
10% Seniors &amp; Pensioners Discount
CREDIT OF SEARCH &amp; INVESTIGATION </t>
        </r>
      </text>
    </comment>
    <comment ref="L804" authorId="1" shapeId="0" xr:uid="{B3E56EBA-952B-47A6-9D99-A9C48770C1B5}">
      <text>
        <r>
          <rPr>
            <sz val="11"/>
            <color theme="1"/>
            <rFont val="Aptos Narrow"/>
            <family val="2"/>
            <scheme val="minor"/>
          </rPr>
          <t>Unknown User:
Temp check not performed</t>
        </r>
      </text>
    </comment>
    <comment ref="P804" authorId="1" shapeId="0" xr:uid="{E0399463-3508-4703-A2E6-F7A21B394B88}">
      <text>
        <r>
          <rPr>
            <sz val="11"/>
            <color theme="1"/>
            <rFont val="Aptos Narrow"/>
            <family val="2"/>
            <scheme val="minor"/>
          </rPr>
          <t>Unknown User:
Quote not emailed</t>
        </r>
      </text>
    </comment>
    <comment ref="R804" authorId="1" shapeId="0" xr:uid="{CC5CC145-E7E9-4DEE-863A-AAA950C953B1}">
      <text>
        <r>
          <rPr>
            <sz val="11"/>
            <color theme="1"/>
            <rFont val="Aptos Narrow"/>
            <family val="2"/>
            <scheme val="minor"/>
          </rPr>
          <t>Unknown User:
Invoice not signed</t>
        </r>
      </text>
    </comment>
    <comment ref="S804" authorId="1" shapeId="0" xr:uid="{D1CADEFB-6F32-4966-9CE7-13C6A6DE492B}">
      <text>
        <r>
          <rPr>
            <sz val="11"/>
            <color theme="1"/>
            <rFont val="Aptos Narrow"/>
            <family val="2"/>
            <scheme val="minor"/>
          </rPr>
          <t>Unknown User:
Invoice emailed without sign.</t>
        </r>
      </text>
    </comment>
    <comment ref="T804" authorId="1" shapeId="0" xr:uid="{58E1007E-3A3C-44FC-B7CC-FD0A39E0796E}">
      <text>
        <r>
          <rPr>
            <sz val="11"/>
            <color theme="1"/>
            <rFont val="Aptos Narrow"/>
            <family val="2"/>
            <scheme val="minor"/>
          </rPr>
          <t>Unknown User:
0.5x Tolga Bal
0.5x Rhys</t>
        </r>
      </text>
    </comment>
    <comment ref="A805" authorId="30" shapeId="0" xr:uid="{5112B27A-EF56-415E-831C-C46847AC2D56}">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805" authorId="1" shapeId="0" xr:uid="{048B1D04-E3D4-4CCA-B444-0726A091053D}">
      <text>
        <r>
          <rPr>
            <sz val="11"/>
            <color theme="1"/>
            <rFont val="Aptos Narrow"/>
            <family val="2"/>
            <scheme val="minor"/>
          </rPr>
          <t>Unknown User:
REPLACEMENT OF PLUG &amp; WASTE - 40MM
MIXER TAP - GOOSE NECK
10% Good Will Discount 
CHEMICAL DRAIN CLEANING TREATMENT</t>
        </r>
      </text>
    </comment>
    <comment ref="V805" authorId="1" shapeId="0" xr:uid="{5A2601D0-495C-4B03-8EC2-8BE063D61379}">
      <text>
        <r>
          <rPr>
            <sz val="11"/>
            <color theme="1"/>
            <rFont val="Aptos Narrow"/>
            <family val="2"/>
            <scheme val="minor"/>
          </rPr>
          <t>Unknown User:
1/9-Received $707.60 by Smartpay</t>
        </r>
      </text>
    </comment>
    <comment ref="G806" authorId="1" shapeId="0" xr:uid="{0B46004C-0076-4069-B325-CF44C5B32A8D}">
      <text>
        <r>
          <rPr>
            <sz val="11"/>
            <color theme="1"/>
            <rFont val="Aptos Narrow"/>
            <family val="2"/>
            <scheme val="minor"/>
          </rPr>
          <t xml:space="preserve">Unknown User:
SUPPLY &amp; INSTALLATION OF NEW SHOWER WALL TOP TAPS
REPLACEMENT OF TAP TOPS
10% Good Will Discount </t>
        </r>
      </text>
    </comment>
    <comment ref="P806" authorId="1" shapeId="0" xr:uid="{8D188366-55FA-4BD1-8B96-7A89357BFADE}">
      <text>
        <r>
          <rPr>
            <sz val="11"/>
            <color theme="1"/>
            <rFont val="Aptos Narrow"/>
            <family val="2"/>
            <scheme val="minor"/>
          </rPr>
          <t>Unknown User:
Quote not emailed</t>
        </r>
      </text>
    </comment>
    <comment ref="G807" authorId="1" shapeId="0" xr:uid="{D9059CF5-D0BB-449C-886F-8B9A672C67C6}">
      <text>
        <r>
          <rPr>
            <sz val="11"/>
            <color theme="1"/>
            <rFont val="Aptos Narrow"/>
            <family val="2"/>
            <scheme val="minor"/>
          </rPr>
          <t xml:space="preserve">Unknown User:
SPECIALIST LEAK DETECTION (WATER SERVICE)
10% Seniors &amp; Pensioners Discount </t>
        </r>
      </text>
    </comment>
    <comment ref="M807" authorId="1" shapeId="0" xr:uid="{126DC9D3-EB55-46A6-8B9A-798C1A10905C}">
      <text>
        <r>
          <rPr>
            <sz val="11"/>
            <color theme="1"/>
            <rFont val="Aptos Narrow"/>
            <family val="2"/>
            <scheme val="minor"/>
          </rPr>
          <t>Unknown User:
Cash pic/receipt not uploaded</t>
        </r>
      </text>
    </comment>
    <comment ref="Q807" authorId="1" shapeId="0" xr:uid="{A7BEF282-0022-4486-AF4E-6345569F6435}">
      <text>
        <r>
          <rPr>
            <sz val="11"/>
            <color theme="1"/>
            <rFont val="Aptos Narrow"/>
            <family val="2"/>
            <scheme val="minor"/>
          </rPr>
          <t>Unknown User:
Progress invoice not updated</t>
        </r>
      </text>
    </comment>
    <comment ref="R807" authorId="1" shapeId="0" xr:uid="{661EF759-823D-4D61-A82D-38FD85D97E0A}">
      <text>
        <r>
          <rPr>
            <sz val="11"/>
            <color theme="1"/>
            <rFont val="Aptos Narrow"/>
            <family val="2"/>
            <scheme val="minor"/>
          </rPr>
          <t>Unknown User:
Sign not obtained</t>
        </r>
      </text>
    </comment>
    <comment ref="S807" authorId="1" shapeId="0" xr:uid="{8B25C5BA-B53A-4932-8D39-F3DA9527AF60}">
      <text>
        <r>
          <rPr>
            <sz val="11"/>
            <color theme="1"/>
            <rFont val="Aptos Narrow"/>
            <family val="2"/>
            <scheme val="minor"/>
          </rPr>
          <t>Unknown User:
Invoice emailed without sign</t>
        </r>
      </text>
    </comment>
    <comment ref="W807" authorId="1" shapeId="0" xr:uid="{D0A836CF-1C63-4EEA-9E79-F4C94D0F6348}">
      <text>
        <r>
          <rPr>
            <sz val="11"/>
            <color theme="1"/>
            <rFont val="Aptos Narrow"/>
            <family val="2"/>
            <scheme val="minor"/>
          </rPr>
          <t>Unknown User:
Cash denomination not available as cash pic/receipt not uploaded.</t>
        </r>
      </text>
    </comment>
    <comment ref="G808" authorId="1" shapeId="0" xr:uid="{D5069899-B74C-4DEA-9514-1BD549BE068E}">
      <text>
        <r>
          <rPr>
            <sz val="11"/>
            <color theme="1"/>
            <rFont val="Aptos Narrow"/>
            <family val="2"/>
            <scheme val="minor"/>
          </rPr>
          <t>Unknown User:
HIGH POWERED SUCTION PUMP
Non-refundable call out fee</t>
        </r>
      </text>
    </comment>
    <comment ref="G812" authorId="1" shapeId="0" xr:uid="{8FE189DA-1DDF-4A9D-811A-A343B2264E66}">
      <text>
        <r>
          <rPr>
            <sz val="11"/>
            <color theme="1"/>
            <rFont val="Aptos Narrow"/>
            <family val="2"/>
            <scheme val="minor"/>
          </rPr>
          <t>Unknown User:
Install concrete slab
Adapt onto downpipe
Run downpipe to tank
Install hose bit
Test and commission
10% Good Will Discount</t>
        </r>
      </text>
    </comment>
    <comment ref="M812" authorId="1" shapeId="0" xr:uid="{F7689F11-07B6-4798-BF9A-44053AC9EBFC}">
      <text>
        <r>
          <rPr>
            <sz val="11"/>
            <color theme="1"/>
            <rFont val="Aptos Narrow"/>
            <family val="2"/>
            <scheme val="minor"/>
          </rPr>
          <t>Unknown User:
Cash pic for $200 not uploaded.</t>
        </r>
      </text>
    </comment>
    <comment ref="W812" authorId="1" shapeId="0" xr:uid="{D0498E66-7CB0-45B3-ADF0-C1E69DD14DC0}">
      <text>
        <r>
          <rPr>
            <sz val="11"/>
            <color theme="1"/>
            <rFont val="Aptos Narrow"/>
            <family val="2"/>
            <scheme val="minor"/>
          </rPr>
          <t>Unknown User:
Cash pic not uploaded</t>
        </r>
      </text>
    </comment>
    <comment ref="G813" authorId="1" shapeId="0" xr:uid="{BF72F3E1-CC47-43FE-8468-F16F9B508FC8}">
      <text>
        <r>
          <rPr>
            <sz val="11"/>
            <color theme="1"/>
            <rFont val="Aptos Narrow"/>
            <family val="2"/>
            <scheme val="minor"/>
          </rPr>
          <t xml:space="preserve">Unknown User:
SPECIALIST LEAK DETECTION (WATER SERVICE)
10% Seniors &amp; Pensioners Discount
</t>
        </r>
      </text>
    </comment>
    <comment ref="P813" authorId="1" shapeId="0" xr:uid="{52CFE336-A8D8-45B1-B2FD-3D5F9D0DDEEA}">
      <text>
        <r>
          <rPr>
            <sz val="11"/>
            <color theme="1"/>
            <rFont val="Aptos Narrow"/>
            <family val="2"/>
            <scheme val="minor"/>
          </rPr>
          <t>Unknown User:
Quote not emailed</t>
        </r>
      </text>
    </comment>
    <comment ref="U813" authorId="1" shapeId="0" xr:uid="{1D6170C5-C5C1-495A-A987-A2A2B0E448E8}">
      <text>
        <r>
          <rPr>
            <sz val="11"/>
            <color theme="1"/>
            <rFont val="Aptos Narrow"/>
            <family val="2"/>
            <scheme val="minor"/>
          </rPr>
          <t>Unknown User:
15/8-As per Rhys's note "HUMM messed around for like 2 hours
Client didn’t wanna do it anymore
Collected deposit come back next week"</t>
        </r>
      </text>
    </comment>
    <comment ref="G814" authorId="1" shapeId="0" xr:uid="{2211C391-CFF5-4F49-8A9F-95B2A8BC5930}">
      <text>
        <r>
          <rPr>
            <sz val="11"/>
            <color theme="1"/>
            <rFont val="Aptos Narrow"/>
            <family val="2"/>
            <scheme val="minor"/>
          </rPr>
          <t xml:space="preserve">Unknown User:
ROOF MAINTENANCE </t>
        </r>
      </text>
    </comment>
    <comment ref="N814" authorId="1" shapeId="0" xr:uid="{5E87C63D-B6FE-43DC-B6AD-458CAC0A72BA}">
      <text>
        <r>
          <rPr>
            <sz val="11"/>
            <color theme="1"/>
            <rFont val="Aptos Narrow"/>
            <family val="2"/>
            <scheme val="minor"/>
          </rPr>
          <t>Unknown User:
Quote raised in Job #72515</t>
        </r>
      </text>
    </comment>
    <comment ref="V814" authorId="1" shapeId="0" xr:uid="{16E66343-C75F-4427-BA4B-7985C5B032EB}">
      <text>
        <r>
          <rPr>
            <sz val="11"/>
            <color theme="1"/>
            <rFont val="Aptos Narrow"/>
            <family val="2"/>
            <scheme val="minor"/>
          </rPr>
          <t>Unknown User:
10/9-EFT of $10000 received
18/9-EFT of $10000 received
25/9-Received cash bundles of $100-Denomination not asseessable.</t>
        </r>
      </text>
    </comment>
    <comment ref="G815" authorId="1" shapeId="0" xr:uid="{FE68DC95-D01F-4DBD-A77D-2D98E1782B6C}">
      <text>
        <r>
          <rPr>
            <sz val="11"/>
            <color theme="1"/>
            <rFont val="Aptos Narrow"/>
            <family val="2"/>
            <scheme val="minor"/>
          </rPr>
          <t>Unknown User:
SEWER SPOT DIG - IN GROUND</t>
        </r>
      </text>
    </comment>
    <comment ref="K815" authorId="1" shapeId="0" xr:uid="{5346E568-0559-41AA-A0EE-6F2EE81A82F1}">
      <text>
        <r>
          <rPr>
            <sz val="11"/>
            <color theme="1"/>
            <rFont val="Aptos Narrow"/>
            <family val="2"/>
            <scheme val="minor"/>
          </rPr>
          <t xml:space="preserve">Unknown User:
Job #73032 pics uploaded </t>
        </r>
      </text>
    </comment>
    <comment ref="V815" authorId="1" shapeId="0" xr:uid="{B6B946E7-629C-4461-B828-5B448468DFDA}">
      <text>
        <r>
          <rPr>
            <sz val="11"/>
            <color theme="1"/>
            <rFont val="Aptos Narrow"/>
            <family val="2"/>
            <scheme val="minor"/>
          </rPr>
          <t>Unknown User:
15/9-EFT of $5000</t>
        </r>
      </text>
    </comment>
    <comment ref="G816" authorId="1" shapeId="0" xr:uid="{1E64B96D-F1F3-4837-9048-93595C3F12EA}">
      <text>
        <r>
          <rPr>
            <sz val="11"/>
            <color theme="1"/>
            <rFont val="Aptos Narrow"/>
            <family val="2"/>
            <scheme val="minor"/>
          </rPr>
          <t>Unknown User:
SUPPLY AND INSTALLATION OF NEW BOX GUTTER UP TO 2.5M
10% Seniors &amp; Pensioners Discount</t>
        </r>
      </text>
    </comment>
    <comment ref="K816" authorId="1" shapeId="0" xr:uid="{CF3810E3-2E11-4B87-B961-57156E851FB6}">
      <text>
        <r>
          <rPr>
            <sz val="11"/>
            <color theme="1"/>
            <rFont val="Aptos Narrow"/>
            <family val="2"/>
            <scheme val="minor"/>
          </rPr>
          <t>Unknown User:
Previous job images considered</t>
        </r>
      </text>
    </comment>
    <comment ref="G817" authorId="1" shapeId="0" xr:uid="{D25D25CB-793A-4AA1-B961-7E192898EC2B}">
      <text>
        <r>
          <rPr>
            <sz val="11"/>
            <color theme="1"/>
            <rFont val="Aptos Narrow"/>
            <family val="2"/>
            <scheme val="minor"/>
          </rPr>
          <t>Unknown User:
SEWER SPOT DIG - IN GROUND</t>
        </r>
      </text>
    </comment>
    <comment ref="P817" authorId="1" shapeId="0" xr:uid="{8A370AC2-B81B-48AC-93ED-0D6BABE7043D}">
      <text>
        <r>
          <rPr>
            <sz val="11"/>
            <color theme="1"/>
            <rFont val="Aptos Narrow"/>
            <family val="2"/>
            <scheme val="minor"/>
          </rPr>
          <t>Unknown User:
Quote not emailed</t>
        </r>
      </text>
    </comment>
    <comment ref="Q817" authorId="1" shapeId="0" xr:uid="{943A8993-B596-4488-B73D-D5D4E6DA43F4}">
      <text>
        <r>
          <rPr>
            <sz val="11"/>
            <color theme="1"/>
            <rFont val="Aptos Narrow"/>
            <family val="2"/>
            <scheme val="minor"/>
          </rPr>
          <t>Unknown User:
Invoice not raised by plumber</t>
        </r>
      </text>
    </comment>
    <comment ref="W817" authorId="1" shapeId="0" xr:uid="{BAB55246-4F03-4E4C-A848-17B95C1166CC}">
      <text>
        <r>
          <rPr>
            <sz val="11"/>
            <color theme="1"/>
            <rFont val="Aptos Narrow"/>
            <family val="2"/>
            <scheme val="minor"/>
          </rPr>
          <t>Unknown User:
Cash denomination not available-Unable to figure out exact denomination</t>
        </r>
      </text>
    </comment>
    <comment ref="G822" authorId="1" shapeId="0" xr:uid="{A0AC8F5F-3F0A-47DC-9E31-E3AE7ADF51A1}">
      <text>
        <r>
          <rPr>
            <sz val="11"/>
            <color theme="1"/>
            <rFont val="Aptos Narrow"/>
            <family val="2"/>
            <scheme val="minor"/>
          </rPr>
          <t xml:space="preserve">Unknown User:
HIGH POWERED CHEMICAL TREATMENT OF GREASE RELEASE ON SEWER SERVICE
</t>
        </r>
      </text>
    </comment>
    <comment ref="K822" authorId="1" shapeId="0" xr:uid="{9A031DED-FAB8-4ED2-BCAB-732EE6F6C9B6}">
      <text>
        <r>
          <rPr>
            <sz val="11"/>
            <color theme="1"/>
            <rFont val="Aptos Narrow"/>
            <family val="2"/>
            <scheme val="minor"/>
          </rPr>
          <t>Unknown User:
Previous job #73496 pics considered</t>
        </r>
      </text>
    </comment>
    <comment ref="G823" authorId="1" shapeId="0" xr:uid="{285B40B9-C15A-44D7-A6B8-218F302B4DC5}">
      <text>
        <r>
          <rPr>
            <sz val="11"/>
            <color theme="1"/>
            <rFont val="Aptos Narrow"/>
            <family val="2"/>
            <scheme val="minor"/>
          </rPr>
          <t>Unknown User:
HIGH POWERED JET BLAST &amp; CCTV DRAIN CAMERA INSPECTION (SEWER SERVICE)
10% Good Will Discount</t>
        </r>
      </text>
    </comment>
    <comment ref="G824" authorId="1" shapeId="0" xr:uid="{6D8E995E-A77E-4F1B-B80C-5775E2DC9B87}">
      <text>
        <r>
          <rPr>
            <sz val="11"/>
            <color theme="1"/>
            <rFont val="Aptos Narrow"/>
            <family val="2"/>
            <scheme val="minor"/>
          </rPr>
          <t xml:space="preserve">Unknown User:
SUPPLY AND INSTALLATION OF TRAP TO SINK OR LAUNDRY TUB - WHITE PVC
</t>
        </r>
      </text>
    </comment>
    <comment ref="D825" authorId="1" shapeId="0" xr:uid="{95A67873-CCAB-4A97-9077-4FF6297A9BD1}">
      <text>
        <r>
          <rPr>
            <sz val="11"/>
            <color theme="1"/>
            <rFont val="Aptos Narrow"/>
            <family val="2"/>
            <scheme val="minor"/>
          </rPr>
          <t>Unknown User:
No notes regarding CB or job cancelled details available.
Also,no details available in "Opportunities &amp; Estimates"</t>
        </r>
      </text>
    </comment>
    <comment ref="G826" authorId="1" shapeId="0" xr:uid="{CADA8416-B894-49B5-AF74-48AA2A1D904C}">
      <text>
        <r>
          <rPr>
            <sz val="11"/>
            <color theme="1"/>
            <rFont val="Aptos Narrow"/>
            <family val="2"/>
            <scheme val="minor"/>
          </rPr>
          <t>Unknown User:
REPLACE EXISTING 15MM WATER CONNECTION WITH BRAIDED FLEXIBLE HOSE</t>
        </r>
      </text>
    </comment>
    <comment ref="G827" authorId="1" shapeId="0" xr:uid="{7CE1FCB0-F770-4FD0-9501-9E73442FB7A7}">
      <text>
        <r>
          <rPr>
            <sz val="11"/>
            <color theme="1"/>
            <rFont val="Aptos Narrow"/>
            <family val="2"/>
            <scheme val="minor"/>
          </rPr>
          <t>Unknown User:
SEWER SPOT DIG - IN GROUND</t>
        </r>
      </text>
    </comment>
    <comment ref="K827" authorId="1" shapeId="0" xr:uid="{6D850D0A-9CEB-4734-8CD4-9D561ED1A1E4}">
      <text>
        <r>
          <rPr>
            <sz val="11"/>
            <color theme="1"/>
            <rFont val="Aptos Narrow"/>
            <family val="2"/>
            <scheme val="minor"/>
          </rPr>
          <t>Unknown User:
Previous job #73538 pics considered</t>
        </r>
      </text>
    </comment>
    <comment ref="G828" authorId="1" shapeId="0" xr:uid="{9790A73F-1996-4437-9BAF-DE4F3C5C6160}">
      <text>
        <r>
          <rPr>
            <sz val="11"/>
            <color theme="1"/>
            <rFont val="Aptos Narrow"/>
            <family val="2"/>
            <scheme val="minor"/>
          </rPr>
          <t>Unknown User:
DIG UP OF STORM WATER SPOT (UNDER CONCRETE)
CREDIT HIGH POWERED JETBLAST &amp; CCTV CAMERA
10% Good Will Discount</t>
        </r>
      </text>
    </comment>
    <comment ref="G829" authorId="1" shapeId="0" xr:uid="{E0655BE8-5C82-48BC-A3DB-5D295CC89F39}">
      <text>
        <r>
          <rPr>
            <sz val="11"/>
            <color theme="1"/>
            <rFont val="Aptos Narrow"/>
            <family val="2"/>
            <scheme val="minor"/>
          </rPr>
          <t>Unknown User:
DIG UP OF STORM WATER SPOT UP TO ____M (UNDER PAVERS)</t>
        </r>
      </text>
    </comment>
    <comment ref="G830" authorId="1" shapeId="0" xr:uid="{C3F07FCD-ADC6-4F9C-BEAE-0BD10ED6755F}">
      <text>
        <r>
          <rPr>
            <sz val="11"/>
            <color theme="1"/>
            <rFont val="Aptos Narrow"/>
            <family val="2"/>
            <scheme val="minor"/>
          </rPr>
          <t>Unknown User:
DIG UP OF STORM WATER SPOT UP TO ____M (UNDER PAVERS)
10% Good Will Discount</t>
        </r>
      </text>
    </comment>
    <comment ref="G831" authorId="1" shapeId="0" xr:uid="{0AD5996E-2786-44DA-92E8-16EC15A99B4D}">
      <text>
        <r>
          <rPr>
            <sz val="11"/>
            <color theme="1"/>
            <rFont val="Aptos Narrow"/>
            <family val="2"/>
            <scheme val="minor"/>
          </rPr>
          <t xml:space="preserve">Unknown User:
CONVERT SOLAR SPLIT HOT WATER SYSTEM TO EXTERNAL GAS INSTANTANEOUS HOT WATER SYSTEM
</t>
        </r>
      </text>
    </comment>
    <comment ref="G832" authorId="1" shapeId="0" xr:uid="{D109A1A1-A87C-4010-94FF-53281059F0C5}">
      <text>
        <r>
          <rPr>
            <sz val="11"/>
            <color theme="1"/>
            <rFont val="Aptos Narrow"/>
            <family val="2"/>
            <scheme val="minor"/>
          </rPr>
          <t xml:space="preserve">Unknown User:
SUPPLY &amp; INSTALLATION OF GAS STORAGE HOT WATER SYSTEM (EXTERNAL)
</t>
        </r>
      </text>
    </comment>
    <comment ref="G833" authorId="1" shapeId="0" xr:uid="{C9F9399B-92F9-43FE-9B36-796DCF0EBD70}">
      <text>
        <r>
          <rPr>
            <sz val="11"/>
            <color theme="1"/>
            <rFont val="Aptos Narrow"/>
            <family val="2"/>
            <scheme val="minor"/>
          </rPr>
          <t xml:space="preserve">Unknown User:
Attended site and found external angles on the quad gutter to be leaking 
*Set up safe work area
*Gain access to gutter 
*Removal of existing external gutter 
*Clean gutter for new install
*Supply and install new external angles 
*Silicone external angles 
*Paint external angles
*Clean up work area 
*Test and commission works
*Removal of trade waste </t>
        </r>
      </text>
    </comment>
    <comment ref="E854" authorId="31" shapeId="0" xr:uid="{71C05909-E8BA-4CFE-92AB-C64EAEE775F1}">
      <text>
        <t>[Threaded comment]
Your version of Excel allows you to read this threaded comment; however, any edits to it will get removed if the file is opened in a newer version of Excel. Learn more: https://go.microsoft.com/fwlink/?linkid=870924
Comment:
    Checked</t>
      </text>
    </comment>
    <comment ref="E855" authorId="32" shapeId="0" xr:uid="{DAC56DA4-BB49-4C1A-B9C7-560E7F4C4A61}">
      <text>
        <t>[Threaded comment]
Your version of Excel allows you to read this threaded comment; however, any edits to it will get removed if the file is opened in a newer version of Excel. Learn more: https://go.microsoft.com/fwlink/?linkid=870924
Comment:
    Checked</t>
      </text>
    </comment>
    <comment ref="E856" authorId="33" shapeId="0" xr:uid="{CC79C42D-BC23-4587-A77C-8A30B45E3B8D}">
      <text>
        <t>[Threaded comment]
Your version of Excel allows you to read this threaded comment; however, any edits to it will get removed if the file is opened in a newer version of Excel. Learn more: https://go.microsoft.com/fwlink/?linkid=870924
Comment:
    Checked</t>
      </text>
    </comment>
    <comment ref="E857" authorId="34" shapeId="0" xr:uid="{9B06CA1C-2928-43AE-9EFE-42A928CB71DE}">
      <text>
        <t>[Threaded comment]
Your version of Excel allows you to read this threaded comment; however, any edits to it will get removed if the file is opened in a newer version of Excel. Learn more: https://go.microsoft.com/fwlink/?linkid=870924
Comment:
    Checked</t>
      </text>
    </comment>
    <comment ref="E858" authorId="35" shapeId="0" xr:uid="{C925109F-D83B-43C1-873B-BF92AED01DD0}">
      <text>
        <t>[Threaded comment]
Your version of Excel allows you to read this threaded comment; however, any edits to it will get removed if the file is opened in a newer version of Excel. Learn more: https://go.microsoft.com/fwlink/?linkid=870924
Comment:
    Stock</t>
      </text>
    </comment>
    <comment ref="E859" authorId="36" shapeId="0" xr:uid="{4F0686DC-BB15-4139-9134-68C7F3841FF0}">
      <text>
        <t>[Threaded comment]
Your version of Excel allows you to read this threaded comment; however, any edits to it will get removed if the file is opened in a newer version of Excel. Learn more: https://go.microsoft.com/fwlink/?linkid=870924
Comment:
    Checked</t>
      </text>
    </comment>
    <comment ref="G869" authorId="1" shapeId="0" xr:uid="{2C3A8B1C-200A-4525-A956-459409151E8B}">
      <text>
        <r>
          <rPr>
            <sz val="11"/>
            <color theme="1"/>
            <rFont val="Aptos Narrow"/>
            <family val="2"/>
            <scheme val="minor"/>
          </rPr>
          <t>Unknown User:
HIGH POWERED SUCTION &amp; ACID TREATMENT</t>
        </r>
      </text>
    </comment>
    <comment ref="S869" authorId="1" shapeId="0" xr:uid="{7BF4CCB0-40CF-4274-BE9E-07B170C2AFEB}">
      <text>
        <r>
          <rPr>
            <sz val="11"/>
            <color theme="1"/>
            <rFont val="Aptos Narrow"/>
            <family val="2"/>
            <scheme val="minor"/>
          </rPr>
          <t>Unknown User:
Signed invoice not emailed</t>
        </r>
      </text>
    </comment>
    <comment ref="G870" authorId="1" shapeId="0" xr:uid="{A87F7340-B263-4105-8BE4-C6C2954739EA}">
      <text>
        <r>
          <rPr>
            <sz val="11"/>
            <color theme="1"/>
            <rFont val="Aptos Narrow"/>
            <family val="2"/>
            <scheme val="minor"/>
          </rPr>
          <t>Unknown User:
SEARCH AND INVESTIGATION OF GAS INSTANTANEOUS HOT WATER SYSTEM</t>
        </r>
      </text>
    </comment>
    <comment ref="R870" authorId="1" shapeId="0" xr:uid="{E86099EC-4188-4F68-ADFC-580D5D3B4B7A}">
      <text>
        <r>
          <rPr>
            <sz val="11"/>
            <color theme="1"/>
            <rFont val="Aptos Narrow"/>
            <family val="2"/>
            <scheme val="minor"/>
          </rPr>
          <t>Unknown User:
Invoice not signed</t>
        </r>
      </text>
    </comment>
    <comment ref="S870" authorId="1" shapeId="0" xr:uid="{2D950448-5A13-4383-B6C1-E5B5B43C59F6}">
      <text>
        <r>
          <rPr>
            <sz val="11"/>
            <color theme="1"/>
            <rFont val="Aptos Narrow"/>
            <family val="2"/>
            <scheme val="minor"/>
          </rPr>
          <t>Unknown User:
Invoice emailed without sign</t>
        </r>
      </text>
    </comment>
    <comment ref="G871" authorId="1" shapeId="0" xr:uid="{A9C36A58-1FEB-464C-99E9-072919BE26CE}">
      <text>
        <r>
          <rPr>
            <sz val="11"/>
            <color theme="1"/>
            <rFont val="Aptos Narrow"/>
            <family val="2"/>
            <scheme val="minor"/>
          </rPr>
          <t>Unknown User:
SUPPLY &amp; INSTALLATION OF GAS STORAGE HOT WATER SYSTEM (EXTERNAL)</t>
        </r>
      </text>
    </comment>
    <comment ref="S871" authorId="1" shapeId="0" xr:uid="{364826E7-854A-4557-820A-563F72D95A9E}">
      <text>
        <r>
          <rPr>
            <sz val="11"/>
            <color theme="1"/>
            <rFont val="Aptos Narrow"/>
            <family val="2"/>
            <scheme val="minor"/>
          </rPr>
          <t>Unknown User:
Signed invoice not emailed</t>
        </r>
      </text>
    </comment>
    <comment ref="G872" authorId="1" shapeId="0" xr:uid="{40953C37-8374-4665-B975-365B9F842632}">
      <text>
        <r>
          <rPr>
            <sz val="11"/>
            <color theme="1"/>
            <rFont val="Aptos Narrow"/>
            <family val="2"/>
            <scheme val="minor"/>
          </rPr>
          <t>Unknown User:
SEARCH &amp; INVESTIGATION (GENERAL)</t>
        </r>
      </text>
    </comment>
    <comment ref="R872" authorId="1" shapeId="0" xr:uid="{14BC3425-763F-4F9D-BBB9-399DC5C538D2}">
      <text>
        <r>
          <rPr>
            <sz val="11"/>
            <color theme="1"/>
            <rFont val="Aptos Narrow"/>
            <family val="2"/>
            <scheme val="minor"/>
          </rPr>
          <t>Unknown User:
Invoice not signed</t>
        </r>
      </text>
    </comment>
    <comment ref="S872" authorId="1" shapeId="0" xr:uid="{F79EBB07-EF19-4200-A573-9C6823F5BD23}">
      <text>
        <r>
          <rPr>
            <sz val="11"/>
            <color theme="1"/>
            <rFont val="Aptos Narrow"/>
            <family val="2"/>
            <scheme val="minor"/>
          </rPr>
          <t>Unknown User:
Invoice emailed without sign</t>
        </r>
      </text>
    </comment>
    <comment ref="G873" authorId="1" shapeId="0" xr:uid="{0E6A8E8B-9451-4036-AD83-8B19F160EA7C}">
      <text>
        <r>
          <rPr>
            <sz val="11"/>
            <color theme="1"/>
            <rFont val="Aptos Narrow"/>
            <family val="2"/>
            <scheme val="minor"/>
          </rPr>
          <t xml:space="preserve">Unknown User:
WATER SERVICE RECTIFICATION (IN ROOF CAVITY)
</t>
        </r>
      </text>
    </comment>
    <comment ref="W873" authorId="1" shapeId="0" xr:uid="{84450CF0-7516-4B06-BC61-E89F1C130321}">
      <text>
        <r>
          <rPr>
            <sz val="11"/>
            <color theme="1"/>
            <rFont val="Aptos Narrow"/>
            <family val="2"/>
            <scheme val="minor"/>
          </rPr>
          <t>Unknown User:
Cash denomination
$50*4=$200</t>
        </r>
      </text>
    </comment>
    <comment ref="G874" authorId="1" shapeId="0" xr:uid="{C0DA671E-2E75-4AEA-AD45-66FC5744B734}">
      <text>
        <r>
          <rPr>
            <sz val="11"/>
            <color theme="1"/>
            <rFont val="Aptos Narrow"/>
            <family val="2"/>
            <scheme val="minor"/>
          </rPr>
          <t>Unknown User:
SUPPLY &amp; INSTALLATION OF GAS STORAGE HOT WATER SYSTEM (EXTERNAL)
10% Good Will Discount</t>
        </r>
      </text>
    </comment>
    <comment ref="S874" authorId="1" shapeId="0" xr:uid="{5AA06180-EF2E-4FF9-BCF7-1D4EA834091C}">
      <text>
        <r>
          <rPr>
            <sz val="11"/>
            <color theme="1"/>
            <rFont val="Aptos Narrow"/>
            <family val="2"/>
            <scheme val="minor"/>
          </rPr>
          <t>Unknown User:
Signed invoice not emailed</t>
        </r>
      </text>
    </comment>
    <comment ref="G875" authorId="1" shapeId="0" xr:uid="{239207CD-5695-4797-B9EF-DD2627203DD6}">
      <text>
        <r>
          <rPr>
            <sz val="11"/>
            <color theme="1"/>
            <rFont val="Aptos Narrow"/>
            <family val="2"/>
            <scheme val="minor"/>
          </rPr>
          <t>Unknown User:
WATER SERVICE RECTIFICATION (IN GROUND)</t>
        </r>
      </text>
    </comment>
    <comment ref="G876" authorId="1" shapeId="0" xr:uid="{6D5E2114-C1F7-4223-9256-6B68EFA959F7}">
      <text>
        <r>
          <rPr>
            <sz val="11"/>
            <color theme="1"/>
            <rFont val="Aptos Narrow"/>
            <family val="2"/>
            <scheme val="minor"/>
          </rPr>
          <t>Unknown User:
SUPPLY &amp; INSTALLATION OF GAS STORAGE HOT WATER SYSTEM (EXTERNAL)
$220 Cash Back
Customer Satisfaction Discount</t>
        </r>
      </text>
    </comment>
    <comment ref="S876" authorId="1" shapeId="0" xr:uid="{DA1E5426-F816-46CF-9EC9-327DD54CDA05}">
      <text>
        <r>
          <rPr>
            <sz val="11"/>
            <color theme="1"/>
            <rFont val="Aptos Narrow"/>
            <family val="2"/>
            <scheme val="minor"/>
          </rPr>
          <t>Unknown User:
Progress invoice not emailed</t>
        </r>
      </text>
    </comment>
    <comment ref="W876" authorId="1" shapeId="0" xr:uid="{2891212C-31EB-482F-982B-3898D21506FD}">
      <text>
        <r>
          <rPr>
            <sz val="11"/>
            <color theme="1"/>
            <rFont val="Aptos Narrow"/>
            <family val="2"/>
            <scheme val="minor"/>
          </rPr>
          <t>Unknown User:
Cash denomination
$50*13=$650</t>
        </r>
      </text>
    </comment>
    <comment ref="G877" authorId="1" shapeId="0" xr:uid="{B0A10481-ECEB-4594-9313-DD90BB6B0095}">
      <text>
        <r>
          <rPr>
            <sz val="11"/>
            <color theme="1"/>
            <rFont val="Aptos Narrow"/>
            <family val="2"/>
            <scheme val="minor"/>
          </rPr>
          <t>Unknown User:
SUPPLY &amp; INSTALLATION OF GAS STORAGE HOT WATER SYSTEM (EXTERNAL)</t>
        </r>
      </text>
    </comment>
    <comment ref="R877" authorId="1" shapeId="0" xr:uid="{A5B39BFE-6388-42A9-9530-EAC5D0179650}">
      <text>
        <r>
          <rPr>
            <sz val="11"/>
            <color theme="1"/>
            <rFont val="Aptos Narrow"/>
            <family val="2"/>
            <scheme val="minor"/>
          </rPr>
          <t>Unknown User:
Invoice not signed</t>
        </r>
      </text>
    </comment>
    <comment ref="S877" authorId="1" shapeId="0" xr:uid="{058FCE64-F569-440E-9D91-5979DA0BD2A7}">
      <text>
        <r>
          <rPr>
            <sz val="11"/>
            <color theme="1"/>
            <rFont val="Aptos Narrow"/>
            <family val="2"/>
            <scheme val="minor"/>
          </rPr>
          <t>Unknown User:
Invoice emailed without sign</t>
        </r>
      </text>
    </comment>
    <comment ref="G878" authorId="1" shapeId="0" xr:uid="{B5D93C76-45BD-4305-8926-C2217732798C}">
      <text>
        <r>
          <rPr>
            <sz val="11"/>
            <color theme="1"/>
            <rFont val="Aptos Narrow"/>
            <family val="2"/>
            <scheme val="minor"/>
          </rPr>
          <t>Unknown User:
SEARCH &amp; INVESTIGATION OF POTENTIAL GAS LEAK</t>
        </r>
      </text>
    </comment>
    <comment ref="Q878" authorId="1" shapeId="0" xr:uid="{BACF8705-6841-4F92-821F-DECC8217E830}">
      <text>
        <r>
          <rPr>
            <sz val="11"/>
            <color theme="1"/>
            <rFont val="Aptos Narrow"/>
            <family val="2"/>
            <scheme val="minor"/>
          </rPr>
          <t>Unknown User:
Final zero due invoice not raised</t>
        </r>
      </text>
    </comment>
    <comment ref="W878" authorId="1" shapeId="0" xr:uid="{44345E7B-793B-47A4-B665-E997EF69DA0E}">
      <text>
        <r>
          <rPr>
            <sz val="11"/>
            <color theme="1"/>
            <rFont val="Aptos Narrow"/>
            <family val="2"/>
            <scheme val="minor"/>
          </rPr>
          <t>Unknown User:
Cash denomination
$100*2=$200</t>
        </r>
      </text>
    </comment>
    <comment ref="G879" authorId="1" shapeId="0" xr:uid="{9719AF4E-3EB4-429B-BA07-3B37DD91EC36}">
      <text>
        <r>
          <rPr>
            <sz val="11"/>
            <color theme="1"/>
            <rFont val="Aptos Narrow"/>
            <family val="2"/>
            <scheme val="minor"/>
          </rPr>
          <t>Unknown User:
SUPPLY &amp; INSTALLATION OF COMPLETE VALVE KIT TO ELECTRIC STORAGE HOT WATER SYSTEM</t>
        </r>
      </text>
    </comment>
    <comment ref="G880" authorId="1" shapeId="0" xr:uid="{6B3FD31E-5CC9-4D29-9504-2E89E7BCFFBC}">
      <text>
        <r>
          <rPr>
            <sz val="11"/>
            <color theme="1"/>
            <rFont val="Aptos Narrow"/>
            <family val="2"/>
            <scheme val="minor"/>
          </rPr>
          <t>Unknown User:
CHEMICAL DRAIN CLEANING TREATMENT</t>
        </r>
      </text>
    </comment>
    <comment ref="Q880" authorId="1" shapeId="0" xr:uid="{79EC63E5-4A83-4939-A150-27874D50B27D}">
      <text>
        <r>
          <rPr>
            <sz val="11"/>
            <color theme="1"/>
            <rFont val="Aptos Narrow"/>
            <family val="2"/>
            <scheme val="minor"/>
          </rPr>
          <t>Unknown User:
Final zero due invoice not raised</t>
        </r>
      </text>
    </comment>
    <comment ref="G881" authorId="1" shapeId="0" xr:uid="{12CD87B9-B458-4B83-A51E-92DF78A18E93}">
      <text>
        <r>
          <rPr>
            <sz val="11"/>
            <color theme="1"/>
            <rFont val="Aptos Narrow"/>
            <family val="2"/>
            <scheme val="minor"/>
          </rPr>
          <t>Unknown User:
COMPLETE SERVICE OF TAP TOP ASSEMBLY
COMPLETE SERVICE OF WALL TOP TAPS ASSEMBLY
10% Seniors &amp; Pensioners Discount</t>
        </r>
      </text>
    </comment>
    <comment ref="L881" authorId="1" shapeId="0" xr:uid="{5243CC43-769F-45B7-9FDF-82E0B7134C3C}">
      <text>
        <r>
          <rPr>
            <sz val="11"/>
            <color theme="1"/>
            <rFont val="Aptos Narrow"/>
            <family val="2"/>
            <scheme val="minor"/>
          </rPr>
          <t>Unknown User:
After pic of wall tap top assembly (Fixed,tested) not uploaded.</t>
        </r>
      </text>
    </comment>
    <comment ref="Q881" authorId="1" shapeId="0" xr:uid="{2F18C26C-A874-422B-BC1D-43E965109BA8}">
      <text>
        <r>
          <rPr>
            <sz val="11"/>
            <color theme="1"/>
            <rFont val="Aptos Narrow"/>
            <family val="2"/>
            <scheme val="minor"/>
          </rPr>
          <t>Unknown User:
Final zero due invoice not raised</t>
        </r>
      </text>
    </comment>
    <comment ref="G882" authorId="1" shapeId="0" xr:uid="{2F7ECD79-CFD6-4C56-941D-E678706439FC}">
      <text>
        <r>
          <rPr>
            <sz val="11"/>
            <color theme="1"/>
            <rFont val="Aptos Narrow"/>
            <family val="2"/>
            <scheme val="minor"/>
          </rPr>
          <t>Unknown User:
SUPPLY AND INSTALLATION OF TRAP TO SINK OR LAUNDRY TUB - WHITE PVC</t>
        </r>
      </text>
    </comment>
    <comment ref="Q882" authorId="1" shapeId="0" xr:uid="{DFE8676F-239D-430B-8BE9-B1CABB2C4361}">
      <text>
        <r>
          <rPr>
            <sz val="11"/>
            <color theme="1"/>
            <rFont val="Aptos Narrow"/>
            <family val="2"/>
            <scheme val="minor"/>
          </rPr>
          <t>Unknown User:
Final zero due invoice not raised</t>
        </r>
      </text>
    </comment>
    <comment ref="G883" authorId="1" shapeId="0" xr:uid="{C01F12DB-9C39-4AAD-98D6-AD7BA67E17EB}">
      <text>
        <r>
          <rPr>
            <sz val="11"/>
            <color theme="1"/>
            <rFont val="Aptos Narrow"/>
            <family val="2"/>
            <scheme val="minor"/>
          </rPr>
          <t>Unknown User:
REPLACEMENT OF PLUG &amp; WASTE - 50MM</t>
        </r>
      </text>
    </comment>
    <comment ref="Q883" authorId="1" shapeId="0" xr:uid="{5CC42A77-B644-4469-BFCF-5C0C45DE6EA3}">
      <text>
        <r>
          <rPr>
            <sz val="11"/>
            <color theme="1"/>
            <rFont val="Aptos Narrow"/>
            <family val="2"/>
            <scheme val="minor"/>
          </rPr>
          <t>Unknown User:
Invoice not raised</t>
        </r>
      </text>
    </comment>
    <comment ref="G884" authorId="1" shapeId="0" xr:uid="{BA0A4356-96AA-4F12-8153-182381E3B293}">
      <text>
        <r>
          <rPr>
            <sz val="11"/>
            <color theme="1"/>
            <rFont val="Aptos Narrow"/>
            <family val="2"/>
            <scheme val="minor"/>
          </rPr>
          <t xml:space="preserve">Unknown User:
MIXER TAP - STANDARD
</t>
        </r>
      </text>
    </comment>
    <comment ref="P884" authorId="1" shapeId="0" xr:uid="{E66979CC-3661-46FC-BC1F-60C510C5A943}">
      <text>
        <r>
          <rPr>
            <sz val="11"/>
            <color theme="1"/>
            <rFont val="Aptos Narrow"/>
            <family val="2"/>
            <scheme val="minor"/>
          </rPr>
          <t>Unknown User:
Quote not emailed</t>
        </r>
      </text>
    </comment>
    <comment ref="Q884" authorId="1" shapeId="0" xr:uid="{0B8F1480-3139-4425-961C-8574302CA3D6}">
      <text>
        <r>
          <rPr>
            <sz val="11"/>
            <color theme="1"/>
            <rFont val="Aptos Narrow"/>
            <family val="2"/>
            <scheme val="minor"/>
          </rPr>
          <t>Unknown User:
Invoice not raised</t>
        </r>
      </text>
    </comment>
    <comment ref="G889" authorId="1" shapeId="0" xr:uid="{AC6AD6D9-6AAE-4DB4-A898-31B57339F17E}">
      <text>
        <r>
          <rPr>
            <sz val="11"/>
            <color theme="1"/>
            <rFont val="Aptos Narrow"/>
            <family val="2"/>
            <scheme val="minor"/>
          </rPr>
          <t xml:space="preserve">Unknown User:
SUPPLY &amp; INSTALLATION OF NEW LINK SUITE
INSTALLATION OF FREESTANDING OVEN AND GAS COOKTOP [SAME LOCATION] (CUSTOMER SUPPLIED)
INSTALLATION OF NEW WASHING MACHINE (CUSTOMER SUPPLIED)
INSTALL NEW CUSTOMER SUPPLIED DISHWASHER IN NEW LOCATION
</t>
        </r>
      </text>
    </comment>
    <comment ref="P889" authorId="1" shapeId="0" xr:uid="{CBB04273-2711-4535-B06F-3C278D6FD55D}">
      <text>
        <r>
          <rPr>
            <sz val="11"/>
            <color theme="1"/>
            <rFont val="Aptos Narrow"/>
            <family val="2"/>
            <scheme val="minor"/>
          </rPr>
          <t>Unknown User:
Quote not emailed</t>
        </r>
      </text>
    </comment>
    <comment ref="G890" authorId="1" shapeId="0" xr:uid="{934CDE0C-FC34-403F-AA9E-B1CB3DCB1F5C}">
      <text>
        <r>
          <rPr>
            <sz val="11"/>
            <color theme="1"/>
            <rFont val="Aptos Narrow"/>
            <family val="2"/>
            <scheme val="minor"/>
          </rPr>
          <t>Unknown User:
Install concrete slab
Adapt onto downpipe
Run downpipe to tank
Install hose bit
Test and commission
10% Good Will Discount</t>
        </r>
      </text>
    </comment>
    <comment ref="M890" authorId="1" shapeId="0" xr:uid="{D56D05BB-02EA-4A77-9A5F-849CE6DF7CAF}">
      <text>
        <r>
          <rPr>
            <sz val="11"/>
            <color theme="1"/>
            <rFont val="Aptos Narrow"/>
            <family val="2"/>
            <scheme val="minor"/>
          </rPr>
          <t>Unknown User:
Cash pic for $200 not uploaded.</t>
        </r>
      </text>
    </comment>
    <comment ref="W890" authorId="1" shapeId="0" xr:uid="{318D8BA8-B898-4CD8-994F-142E179AACA7}">
      <text>
        <r>
          <rPr>
            <sz val="11"/>
            <color theme="1"/>
            <rFont val="Aptos Narrow"/>
            <family val="2"/>
            <scheme val="minor"/>
          </rPr>
          <t>Unknown User:
Cash pic not uploaded</t>
        </r>
      </text>
    </comment>
    <comment ref="G891" authorId="1" shapeId="0" xr:uid="{AE285C04-504B-42C7-8FD5-DD8EA730B500}">
      <text>
        <r>
          <rPr>
            <sz val="11"/>
            <color theme="1"/>
            <rFont val="Aptos Narrow"/>
            <family val="2"/>
            <scheme val="minor"/>
          </rPr>
          <t>Unknown User:
STORM WATER SPOT RECTIFICATION IN GROUND</t>
        </r>
      </text>
    </comment>
    <comment ref="P891" authorId="1" shapeId="0" xr:uid="{F8824AAE-B7F6-4D3F-A2E9-BC04A351CCEE}">
      <text>
        <r>
          <rPr>
            <sz val="11"/>
            <color theme="1"/>
            <rFont val="Aptos Narrow"/>
            <family val="2"/>
            <scheme val="minor"/>
          </rPr>
          <t>Unknown User:
Quote not emailed</t>
        </r>
      </text>
    </comment>
    <comment ref="G896" authorId="1" shapeId="0" xr:uid="{B23CB942-B16E-4C95-A79F-93210598D022}">
      <text>
        <r>
          <rPr>
            <sz val="11"/>
            <color theme="1"/>
            <rFont val="Aptos Narrow"/>
            <family val="2"/>
            <scheme val="minor"/>
          </rPr>
          <t>Unknown User:
HIGH POWERED SUCTION &amp; ACID TREATMENT
15% Good Will Discount
$89 Blocked Drains Discount</t>
        </r>
      </text>
    </comment>
    <comment ref="G897" authorId="1" shapeId="0" xr:uid="{EABB1D34-5D77-4A48-B2A9-68F70135C14E}">
      <text>
        <r>
          <rPr>
            <sz val="11"/>
            <color theme="1"/>
            <rFont val="Aptos Narrow"/>
            <family val="2"/>
            <scheme val="minor"/>
          </rPr>
          <t>Unknown User:
COMPLETE SERVICE OF TAP TOP ASSEMBLY</t>
        </r>
      </text>
    </comment>
    <comment ref="W897" authorId="1" shapeId="0" xr:uid="{F67564E3-7A6D-40CE-A7B8-5DD47AE128A2}">
      <text>
        <r>
          <rPr>
            <sz val="11"/>
            <color theme="1"/>
            <rFont val="Aptos Narrow"/>
            <family val="2"/>
            <scheme val="minor"/>
          </rPr>
          <t>Unknown User:
Cash denomination
$50*7=$350</t>
        </r>
      </text>
    </comment>
    <comment ref="G898" authorId="1" shapeId="0" xr:uid="{4D9B8EF7-2F2D-4049-A03B-B331FBE32FD7}">
      <text>
        <r>
          <rPr>
            <sz val="11"/>
            <color theme="1"/>
            <rFont val="Aptos Narrow"/>
            <family val="2"/>
            <scheme val="minor"/>
          </rPr>
          <t>Unknown User:
SEARCH AND INVESTIGATION OF ELECTRIC STORAGE HOT WATER SYSTEM</t>
        </r>
      </text>
    </comment>
    <comment ref="R898" authorId="1" shapeId="0" xr:uid="{E9E1419C-29FC-4619-B68E-95CE02A9A2F0}">
      <text>
        <r>
          <rPr>
            <sz val="11"/>
            <color theme="1"/>
            <rFont val="Aptos Narrow"/>
            <family val="2"/>
            <scheme val="minor"/>
          </rPr>
          <t>Unknown User:
Invoice not signed</t>
        </r>
      </text>
    </comment>
    <comment ref="S898" authorId="1" shapeId="0" xr:uid="{4E7B9D65-AA47-403C-8444-5F038434BE6E}">
      <text>
        <r>
          <rPr>
            <sz val="11"/>
            <color theme="1"/>
            <rFont val="Aptos Narrow"/>
            <family val="2"/>
            <scheme val="minor"/>
          </rPr>
          <t>Unknown User:
Invoice emailed without sign</t>
        </r>
      </text>
    </comment>
    <comment ref="G899" authorId="1" shapeId="0" xr:uid="{329FE10E-0DE1-4007-AE18-D3789DC40436}">
      <text>
        <r>
          <rPr>
            <sz val="11"/>
            <color theme="1"/>
            <rFont val="Aptos Narrow"/>
            <family val="2"/>
            <scheme val="minor"/>
          </rPr>
          <t>Unknown User:
SUPPLY &amp; INSTALLATION OF NEW SINGLE ELEMENT HOT WATER UNIT – INTERNAL</t>
        </r>
      </text>
    </comment>
    <comment ref="Q899" authorId="1" shapeId="0" xr:uid="{C023EE77-83B8-45ED-B7C0-158352352934}">
      <text>
        <r>
          <rPr>
            <sz val="11"/>
            <color theme="1"/>
            <rFont val="Aptos Narrow"/>
            <family val="2"/>
            <scheme val="minor"/>
          </rPr>
          <t>Unknown User:
Progress invoice not raised</t>
        </r>
      </text>
    </comment>
    <comment ref="G903" authorId="1" shapeId="0" xr:uid="{BBE23EEC-552D-405C-B6E4-548BEA8B114B}">
      <text>
        <r>
          <rPr>
            <sz val="11"/>
            <color theme="1"/>
            <rFont val="Aptos Narrow"/>
            <family val="2"/>
            <scheme val="minor"/>
          </rPr>
          <t>Unknown User:
INSTALLATION OF MIXER CARTRIDGE (CUSTOMER SUPPLIED</t>
        </r>
      </text>
    </comment>
    <comment ref="P903" authorId="1" shapeId="0" xr:uid="{2A32A7A7-9C70-47B6-9A6E-2AD0CF3B1E87}">
      <text>
        <r>
          <rPr>
            <sz val="11"/>
            <color theme="1"/>
            <rFont val="Aptos Narrow"/>
            <family val="2"/>
            <scheme val="minor"/>
          </rPr>
          <t>Unknown User:
Quote not emailed</t>
        </r>
      </text>
    </comment>
    <comment ref="G907" authorId="1" shapeId="0" xr:uid="{E9E49033-95DF-4CD9-AD02-0F4E82D6BA6B}">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L907" authorId="1" shapeId="0" xr:uid="{10F3B7E8-AB5F-4512-87C2-018FAE1E682F}">
      <text>
        <r>
          <rPr>
            <sz val="11"/>
            <color theme="1"/>
            <rFont val="Aptos Narrow"/>
            <family val="2"/>
            <scheme val="minor"/>
          </rPr>
          <t>Unknown User:
Temp check pending</t>
        </r>
      </text>
    </comment>
    <comment ref="P907" authorId="1" shapeId="0" xr:uid="{107C354D-2F36-484E-BE01-D5B714E3BDBE}">
      <text>
        <r>
          <rPr>
            <sz val="11"/>
            <color theme="1"/>
            <rFont val="Aptos Narrow"/>
            <family val="2"/>
            <scheme val="minor"/>
          </rPr>
          <t>Unknown User:
Quote not emailed</t>
        </r>
      </text>
    </comment>
    <comment ref="Q907" authorId="1" shapeId="0" xr:uid="{5056DC66-FB27-435B-B107-AC1226ACBCB2}">
      <text>
        <r>
          <rPr>
            <sz val="11"/>
            <color theme="1"/>
            <rFont val="Aptos Narrow"/>
            <family val="2"/>
            <scheme val="minor"/>
          </rPr>
          <t>Unknown User:
Progress payment of $341.75 not updated in invoice (Signed but amount not recorded).</t>
        </r>
      </text>
    </comment>
    <comment ref="G908" authorId="1" shapeId="0" xr:uid="{B33A6FCB-660A-4649-B5D3-7570717EB7D4}">
      <text>
        <r>
          <rPr>
            <sz val="11"/>
            <color theme="1"/>
            <rFont val="Aptos Narrow"/>
            <family val="2"/>
            <scheme val="minor"/>
          </rPr>
          <t>Unknown User:
STORM WATER RECTIFICATION UP TO 30M
Obtain Service Location Diagram
Obtain Dial Before Dig
Obtain Storm Water Diagram – If Available
Set Up Safe Work Area
Set Up Builders Plastic
Set Up Barricades for Safety
Dig &amp; Excavate Ground Area Up to 30M
Expose Existing Section of Storm Water Service Up to 30M
Locate stormwater entering barrel drain
Expose Existing Storm Water Junctions 
Cut &amp; Remove Existing Section of Storm Water Service Up to 30M
Cut &amp; Remove Existing Storm Water Junctions 
Gain Access to Storm Water Service
Set Up High-Powered Jet Blaster
Set Up High-Powered Mini Reel
Set Up High-Powered Turbines
Re-Jetblast Storm Water Service
Re-Camera and Investigate Further
Supply &amp; Install New Section of Storm Water Service Up to 30M
Supply &amp; Install New Storm Water Junctions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Upsize existing 50mm down pipe to 90mm down pipe
Install new 90mm pop and down pipe to back of house
Connect new stormwater to existing down pipes on shed
Backfill Excavated Area
Test &amp; Commission Installation
Remove Trade Waste
Restore Work Area (Excludes Returfing)
PLEASE NOTE IF FURTHER WORK REQUIRED OTHER THEN QUOTED WORK FURTHER COST WILL APPLY</t>
        </r>
      </text>
    </comment>
    <comment ref="P908" authorId="1" shapeId="0" xr:uid="{12A11FFD-B45C-41DE-86E0-AC274B7AE15B}">
      <text>
        <r>
          <rPr>
            <sz val="11"/>
            <color theme="1"/>
            <rFont val="Aptos Narrow"/>
            <family val="2"/>
            <scheme val="minor"/>
          </rPr>
          <t>Unknown User:
Quote not emailed</t>
        </r>
      </text>
    </comment>
    <comment ref="U908" authorId="1" shapeId="0" xr:uid="{03DC5BC2-B48A-4521-BF69-160E7E2A685F}">
      <text>
        <r>
          <rPr>
            <sz val="11"/>
            <color theme="1"/>
            <rFont val="Aptos Narrow"/>
            <family val="2"/>
            <scheme val="minor"/>
          </rPr>
          <t>Unknown User:
31/7-As per Joshua's note "Callback from Prue and Mr Stone,
Complained about
-price of the job, wanted itemised invoice. they were under the assumption that this was a given.
-items on invoice not completed (not specified, said they could talk to Daniel or let me know).
-Humm misunderstanding, they dont trust HUMM even though they've used it in the past. I explained the general process and that we take a 10% deposit and put the customer on a plan for the rest. They werent happy with this, i did say 10% more would be required to clear the balance as limit is $25k.
-multiple trading names, explained this is for marketing purposes and we were in a transitional period.
Asked for them to suggest a resolution as they said they'd "take this further". Invited them to come back to me at any time."</t>
        </r>
      </text>
    </comment>
    <comment ref="G909" authorId="1" shapeId="0" xr:uid="{9C1A14F0-D2FE-4A63-B25C-81A564248DED}">
      <text>
        <r>
          <rPr>
            <sz val="11"/>
            <color theme="1"/>
            <rFont val="Aptos Narrow"/>
            <family val="2"/>
            <scheme val="minor"/>
          </rPr>
          <t>Unknown User:
SEARCH &amp; INVESTIGATION OF DOUBLE STOREY ROOF OF POTENTIAL LEAK</t>
        </r>
      </text>
    </comment>
    <comment ref="P909" authorId="1" shapeId="0" xr:uid="{C053FD64-CD8E-42A1-A21F-7D7D68C60CA9}">
      <text>
        <r>
          <rPr>
            <sz val="11"/>
            <color theme="1"/>
            <rFont val="Aptos Narrow"/>
            <family val="2"/>
            <scheme val="minor"/>
          </rPr>
          <t>Unknown User:
Quote not emailed</t>
        </r>
      </text>
    </comment>
    <comment ref="U909" authorId="1" shapeId="0" xr:uid="{1C0BF8AC-DCD8-4123-B8C5-2EFAC5DC94DF}">
      <text>
        <r>
          <rPr>
            <sz val="11"/>
            <color theme="1"/>
            <rFont val="Aptos Narrow"/>
            <family val="2"/>
            <scheme val="minor"/>
          </rPr>
          <t>Unknown User:
4/8-As per Kylie's note "Spoke to Tara she has already left the property and is refusing to pay any more than 1K she states that we have not done the work to the scope which is correct as no height equipment has been used, nor has the plumber done a test and commission. States based on the 30 mins the plumber has been onsite she is not paying for the quoted amount. States she is now doing her due diligence and asking around and another plumber has told her it should have cost no more than $400. Claims she will pay 1K at the most"</t>
        </r>
      </text>
    </comment>
    <comment ref="A910" authorId="37" shapeId="0" xr:uid="{B5DC0B3C-98ED-4942-AC2B-A4C5CF9C52C5}">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910" authorId="1" shapeId="0" xr:uid="{D491002F-8465-4D64-97E8-B406158B3645}">
      <text>
        <r>
          <rPr>
            <sz val="11"/>
            <color theme="1"/>
            <rFont val="Aptos Narrow"/>
            <family val="2"/>
            <scheme val="minor"/>
          </rPr>
          <t>Unknown User:
SUPPLY AND INSTALLATION OF INSTANT HOT WATER UNIT</t>
        </r>
      </text>
    </comment>
    <comment ref="R910" authorId="1" shapeId="0" xr:uid="{18129D61-BB3F-4F82-9DCA-980B69BA1832}">
      <text>
        <r>
          <rPr>
            <sz val="11"/>
            <color theme="1"/>
            <rFont val="Aptos Narrow"/>
            <family val="2"/>
            <scheme val="minor"/>
          </rPr>
          <t>Unknown User:
Invoice not signed</t>
        </r>
      </text>
    </comment>
    <comment ref="S910" authorId="1" shapeId="0" xr:uid="{332F37BD-F713-46DA-B09A-153450A2F67D}">
      <text>
        <r>
          <rPr>
            <sz val="11"/>
            <color theme="1"/>
            <rFont val="Aptos Narrow"/>
            <family val="2"/>
            <scheme val="minor"/>
          </rPr>
          <t>Unknown User:
Signed invoice not emailed</t>
        </r>
      </text>
    </comment>
    <comment ref="G911" authorId="1" shapeId="0" xr:uid="{A7F29C84-5EF2-4464-9733-C5F548EB45A3}">
      <text>
        <r>
          <rPr>
            <sz val="11"/>
            <color theme="1"/>
            <rFont val="Aptos Narrow"/>
            <family val="2"/>
            <scheme val="minor"/>
          </rPr>
          <t>Unknown User:
ROOF LEAK SEARCH &amp; INVESTIGATION
10% Seniors &amp; Pensioners Discount</t>
        </r>
      </text>
    </comment>
    <comment ref="R911" authorId="1" shapeId="0" xr:uid="{39BB94AE-0968-461F-AE98-BB8CD3365CE4}">
      <text>
        <r>
          <rPr>
            <sz val="11"/>
            <color theme="1"/>
            <rFont val="Aptos Narrow"/>
            <family val="2"/>
            <scheme val="minor"/>
          </rPr>
          <t>Unknown User:
Invoice not signed</t>
        </r>
      </text>
    </comment>
    <comment ref="S911" authorId="1" shapeId="0" xr:uid="{610369AD-3C99-4394-B149-0B97908B77D8}">
      <text>
        <r>
          <rPr>
            <sz val="11"/>
            <color theme="1"/>
            <rFont val="Aptos Narrow"/>
            <family val="2"/>
            <scheme val="minor"/>
          </rPr>
          <t>Unknown User:
Signed invoice not emailed</t>
        </r>
      </text>
    </comment>
    <comment ref="A912" authorId="38" shapeId="0" xr:uid="{FDD1EBC7-033E-47FC-9058-A3AFBC807AF1}">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912" authorId="1" shapeId="0" xr:uid="{7C23A6E1-2EFA-401A-8BD9-AC52112C790F}">
      <text>
        <r>
          <rPr>
            <sz val="11"/>
            <color theme="1"/>
            <rFont val="Aptos Narrow"/>
            <family val="2"/>
            <scheme val="minor"/>
          </rPr>
          <t xml:space="preserve">Unknown User:
CONVERT SOLAR SPLIT HOT WATER SYSTEM TO EXTERNAL GAS INSTANTANEOUS HOT WATER SYSTEM
SUPPLY AND INSTALLATION OF PRESSURE REGULATING DEVICE FITTED TO 20MM STRAIGHT PIPEWORK
10% Seniors &amp; Pensioners Discount
CREDIT OF SEARCH &amp; INVESTIGATION </t>
        </r>
      </text>
    </comment>
    <comment ref="L912" authorId="1" shapeId="0" xr:uid="{81E14755-DA3F-4E20-87F4-E716FFF57E01}">
      <text>
        <r>
          <rPr>
            <sz val="11"/>
            <color theme="1"/>
            <rFont val="Aptos Narrow"/>
            <family val="2"/>
            <scheme val="minor"/>
          </rPr>
          <t>Unknown User:
Temp check not performed</t>
        </r>
      </text>
    </comment>
    <comment ref="P912" authorId="1" shapeId="0" xr:uid="{394F806A-A4E6-4BC3-898B-64CE8C24B591}">
      <text>
        <r>
          <rPr>
            <sz val="11"/>
            <color theme="1"/>
            <rFont val="Aptos Narrow"/>
            <family val="2"/>
            <scheme val="minor"/>
          </rPr>
          <t>Unknown User:
Quote not emailed</t>
        </r>
      </text>
    </comment>
    <comment ref="R912" authorId="1" shapeId="0" xr:uid="{B3680BF0-ED6F-437A-8DE1-64D79D4A8D14}">
      <text>
        <r>
          <rPr>
            <sz val="11"/>
            <color theme="1"/>
            <rFont val="Aptos Narrow"/>
            <family val="2"/>
            <scheme val="minor"/>
          </rPr>
          <t>Unknown User:
Invoice not signed</t>
        </r>
      </text>
    </comment>
    <comment ref="S912" authorId="1" shapeId="0" xr:uid="{AF4E0557-D2E0-4FC9-8F9F-15B6DD5004ED}">
      <text>
        <r>
          <rPr>
            <sz val="11"/>
            <color theme="1"/>
            <rFont val="Aptos Narrow"/>
            <family val="2"/>
            <scheme val="minor"/>
          </rPr>
          <t>Unknown User:
Invoice emailed without sign.</t>
        </r>
      </text>
    </comment>
    <comment ref="T912" authorId="1" shapeId="0" xr:uid="{9E8F2595-9A87-4B25-B6DD-E358CE196595}">
      <text>
        <r>
          <rPr>
            <sz val="11"/>
            <color theme="1"/>
            <rFont val="Aptos Narrow"/>
            <family val="2"/>
            <scheme val="minor"/>
          </rPr>
          <t>Unknown User:
0.5x Tolga Bal
0.5x Rhys</t>
        </r>
      </text>
    </comment>
    <comment ref="A913" authorId="39" shapeId="0" xr:uid="{3A8D7475-95C8-4555-982A-DD25934E72BB}">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913" authorId="1" shapeId="0" xr:uid="{43484EFD-34C6-4EAF-9F63-DBD69E4FCF05}">
      <text>
        <r>
          <rPr>
            <sz val="11"/>
            <color theme="1"/>
            <rFont val="Aptos Narrow"/>
            <family val="2"/>
            <scheme val="minor"/>
          </rPr>
          <t>Unknown User:
REPLACEMENT OF PLUG &amp; WASTE - 40MM
MIXER TAP - GOOSE NECK
10% Good Will Discount 
CHEMICAL DRAIN CLEANING TREATMENT</t>
        </r>
      </text>
    </comment>
    <comment ref="V913" authorId="1" shapeId="0" xr:uid="{CEDB34FC-353E-473F-8F49-D46FD2587DA6}">
      <text>
        <r>
          <rPr>
            <sz val="11"/>
            <color theme="1"/>
            <rFont val="Aptos Narrow"/>
            <family val="2"/>
            <scheme val="minor"/>
          </rPr>
          <t>Unknown User:
1/9-Received $707.60 by Smartpay</t>
        </r>
      </text>
    </comment>
    <comment ref="G914" authorId="1" shapeId="0" xr:uid="{E878FA5B-3620-4F9A-BBF7-9778503CFA25}">
      <text>
        <r>
          <rPr>
            <sz val="11"/>
            <color theme="1"/>
            <rFont val="Aptos Narrow"/>
            <family val="2"/>
            <scheme val="minor"/>
          </rPr>
          <t xml:space="preserve">Unknown User:
SUPPLY &amp; INSTALLATION OF NEW SHOWER WALL TOP TAPS
REPLACEMENT OF TAP TOPS
10% Good Will Discount </t>
        </r>
      </text>
    </comment>
    <comment ref="P914" authorId="1" shapeId="0" xr:uid="{C3730BB2-96D7-442C-BB85-F79A38551E9F}">
      <text>
        <r>
          <rPr>
            <sz val="11"/>
            <color theme="1"/>
            <rFont val="Aptos Narrow"/>
            <family val="2"/>
            <scheme val="minor"/>
          </rPr>
          <t>Unknown User:
Quote not emailed</t>
        </r>
      </text>
    </comment>
    <comment ref="G915" authorId="1" shapeId="0" xr:uid="{18A72950-E332-483D-AD2E-6E52C5662D98}">
      <text>
        <r>
          <rPr>
            <sz val="11"/>
            <color theme="1"/>
            <rFont val="Aptos Narrow"/>
            <family val="2"/>
            <scheme val="minor"/>
          </rPr>
          <t xml:space="preserve">Unknown User:
SPECIALIST LEAK DETECTION (WATER SERVICE)
10% Seniors &amp; Pensioners Discount </t>
        </r>
      </text>
    </comment>
    <comment ref="M915" authorId="1" shapeId="0" xr:uid="{83D0A18C-A76A-4F09-93E9-3631E1CFBC2A}">
      <text>
        <r>
          <rPr>
            <sz val="11"/>
            <color theme="1"/>
            <rFont val="Aptos Narrow"/>
            <family val="2"/>
            <scheme val="minor"/>
          </rPr>
          <t>Unknown User:
Cash pic/receipt not uploaded</t>
        </r>
      </text>
    </comment>
    <comment ref="Q915" authorId="1" shapeId="0" xr:uid="{1C0FAC59-BE08-4A90-A15B-C25A8DD21CC4}">
      <text>
        <r>
          <rPr>
            <sz val="11"/>
            <color theme="1"/>
            <rFont val="Aptos Narrow"/>
            <family val="2"/>
            <scheme val="minor"/>
          </rPr>
          <t>Unknown User:
Progress invoice not updated</t>
        </r>
      </text>
    </comment>
    <comment ref="R915" authorId="1" shapeId="0" xr:uid="{BEE8DF62-91CE-48FC-87D1-D6723624588C}">
      <text>
        <r>
          <rPr>
            <sz val="11"/>
            <color theme="1"/>
            <rFont val="Aptos Narrow"/>
            <family val="2"/>
            <scheme val="minor"/>
          </rPr>
          <t>Unknown User:
Sign not obtained</t>
        </r>
      </text>
    </comment>
    <comment ref="S915" authorId="1" shapeId="0" xr:uid="{B4D50AF7-E832-4410-A7C9-5A247C36297B}">
      <text>
        <r>
          <rPr>
            <sz val="11"/>
            <color theme="1"/>
            <rFont val="Aptos Narrow"/>
            <family val="2"/>
            <scheme val="minor"/>
          </rPr>
          <t>Unknown User:
Invoice emailed without sign</t>
        </r>
      </text>
    </comment>
    <comment ref="W915" authorId="1" shapeId="0" xr:uid="{5B3996F2-6F10-4408-B46C-3E47C0F34F53}">
      <text>
        <r>
          <rPr>
            <sz val="11"/>
            <color theme="1"/>
            <rFont val="Aptos Narrow"/>
            <family val="2"/>
            <scheme val="minor"/>
          </rPr>
          <t>Unknown User:
Cash denomination not available as cash pic/receipt not uploaded.</t>
        </r>
      </text>
    </comment>
    <comment ref="G916" authorId="1" shapeId="0" xr:uid="{99685C4E-4139-4FFF-B09D-E6911019C8CC}">
      <text>
        <r>
          <rPr>
            <sz val="11"/>
            <color theme="1"/>
            <rFont val="Aptos Narrow"/>
            <family val="2"/>
            <scheme val="minor"/>
          </rPr>
          <t>Unknown User:
HIGH POWERED SUCTION PUMP
Non-refundable call out fee</t>
        </r>
      </text>
    </comment>
    <comment ref="G917" authorId="1" shapeId="0" xr:uid="{AC756D3E-51A2-4009-9ED0-1D0FFA61A336}">
      <text>
        <r>
          <rPr>
            <sz val="11"/>
            <color theme="1"/>
            <rFont val="Aptos Narrow"/>
            <family val="2"/>
            <scheme val="minor"/>
          </rPr>
          <t xml:space="preserve">Unknown User:
HIGH POWERED JET BLAST &amp; CCTV CAMERA INSPECTION (GAIN ACCESS WITH REMOVAL OF TOILET)
</t>
        </r>
      </text>
    </comment>
    <comment ref="P917" authorId="1" shapeId="0" xr:uid="{9298588B-4DE2-4318-B020-B171394AC564}">
      <text>
        <r>
          <rPr>
            <sz val="11"/>
            <color theme="1"/>
            <rFont val="Aptos Narrow"/>
            <family val="2"/>
            <scheme val="minor"/>
          </rPr>
          <t>Unknown User:
Quote not emailed</t>
        </r>
      </text>
    </comment>
    <comment ref="Q917" authorId="1" shapeId="0" xr:uid="{79106559-2251-412B-98C6-F9B08E46D4B9}">
      <text>
        <r>
          <rPr>
            <sz val="11"/>
            <color theme="1"/>
            <rFont val="Aptos Narrow"/>
            <family val="2"/>
            <scheme val="minor"/>
          </rPr>
          <t>Unknown User:
Progress invoice not raised</t>
        </r>
      </text>
    </comment>
    <comment ref="G918" authorId="1" shapeId="0" xr:uid="{D2136785-FAC3-4A32-BCA4-2381649B1162}">
      <text>
        <r>
          <rPr>
            <sz val="11"/>
            <color theme="1"/>
            <rFont val="Aptos Narrow"/>
            <family val="2"/>
            <scheme val="minor"/>
          </rPr>
          <t>Unknown User:
HIGH POWERED JET BLAST &amp; CCTV DRAIN CAMERA INSPECTION (SEWER SERVICE)</t>
        </r>
      </text>
    </comment>
    <comment ref="M918" authorId="1" shapeId="0" xr:uid="{2B82A92B-25F8-488F-86DF-5BE5BC88F1E6}">
      <text>
        <r>
          <rPr>
            <sz val="11"/>
            <color theme="1"/>
            <rFont val="Aptos Narrow"/>
            <family val="2"/>
            <scheme val="minor"/>
          </rPr>
          <t>Unknown User:
Smartpay receipt of $120 not uploaded by plumber.
To be confirmed by office as there's only 1 Smartpay receipt for $120 available in Smartpay portal for the day &amp; it pertains to Job #73530</t>
        </r>
      </text>
    </comment>
    <comment ref="Q918" authorId="1" shapeId="0" xr:uid="{514667D9-6CF8-4B4C-B59B-8289559FF5DE}">
      <text>
        <r>
          <rPr>
            <sz val="11"/>
            <color theme="1"/>
            <rFont val="Aptos Narrow"/>
            <family val="2"/>
            <scheme val="minor"/>
          </rPr>
          <t>Unknown User:
Final zero due invoice not raised by plumber</t>
        </r>
      </text>
    </comment>
    <comment ref="G919" authorId="1" shapeId="0" xr:uid="{DA483D7A-A8EA-4242-BB52-68D63F20C8BA}">
      <text>
        <r>
          <rPr>
            <sz val="11"/>
            <color theme="1"/>
            <rFont val="Aptos Narrow"/>
            <family val="2"/>
            <scheme val="minor"/>
          </rPr>
          <t>Unknown User:
WATER SERVICE RECTIFICATION (IN WALL)
10% Seniors &amp; Pensioners Discount</t>
        </r>
      </text>
    </comment>
    <comment ref="Q919" authorId="1" shapeId="0" xr:uid="{AAAA019C-A52B-4F39-AA0B-D247456B0BE9}">
      <text>
        <r>
          <rPr>
            <sz val="11"/>
            <color theme="1"/>
            <rFont val="Aptos Narrow"/>
            <family val="2"/>
            <scheme val="minor"/>
          </rPr>
          <t>Unknown User:
Progress invoice for $1200 not raised</t>
        </r>
      </text>
    </comment>
    <comment ref="A920" authorId="40" shapeId="0" xr:uid="{0ABAFDB7-FDA5-430E-A53A-F52B587BA117}">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920" authorId="1" shapeId="0" xr:uid="{072BAF52-79AE-463A-9310-2030437F9EB8}">
      <text>
        <r>
          <rPr>
            <sz val="11"/>
            <color theme="1"/>
            <rFont val="Aptos Narrow"/>
            <family val="2"/>
            <scheme val="minor"/>
          </rPr>
          <t>Unknown User:
SUPPLY &amp; INSTALLATION OF GAS STORAGE HOT WATER SYSTEM (EXTERNAL)</t>
        </r>
      </text>
    </comment>
    <comment ref="P920" authorId="1" shapeId="0" xr:uid="{B64E61C1-6849-48CC-BF5C-093F6935ECD3}">
      <text>
        <r>
          <rPr>
            <sz val="11"/>
            <color theme="1"/>
            <rFont val="Aptos Narrow"/>
            <family val="2"/>
            <scheme val="minor"/>
          </rPr>
          <t>Unknown User:
Quote not emailed</t>
        </r>
      </text>
    </comment>
    <comment ref="Q920" authorId="1" shapeId="0" xr:uid="{612B040A-FEBC-4473-A55A-5E70214CC986}">
      <text>
        <r>
          <rPr>
            <sz val="11"/>
            <color theme="1"/>
            <rFont val="Aptos Narrow"/>
            <family val="2"/>
            <scheme val="minor"/>
          </rPr>
          <t>Unknown User:
Invoice not raised</t>
        </r>
      </text>
    </comment>
    <comment ref="W920" authorId="1" shapeId="0" xr:uid="{D88BBC68-21F1-4A83-BA7D-B820BFE0CA4B}">
      <text>
        <r>
          <rPr>
            <sz val="11"/>
            <color theme="1"/>
            <rFont val="Aptos Narrow"/>
            <family val="2"/>
            <scheme val="minor"/>
          </rPr>
          <t>Unknown User:
Cash denomination
$50*14=$700</t>
        </r>
      </text>
    </comment>
    <comment ref="G921" authorId="1" shapeId="0" xr:uid="{914A54CA-54B2-412B-8D89-01836388553D}">
      <text>
        <r>
          <rPr>
            <sz val="11"/>
            <color theme="1"/>
            <rFont val="Aptos Narrow"/>
            <family val="2"/>
            <scheme val="minor"/>
          </rPr>
          <t>Unknown User:
HIGH POWERED JET BLAST &amp; CCTV DRAIN CAMERA INSPECTION (SEWER SERVICE)</t>
        </r>
      </text>
    </comment>
    <comment ref="R921" authorId="1" shapeId="0" xr:uid="{8915903C-C974-4D22-96FB-5AF1DAD2C04A}">
      <text>
        <r>
          <rPr>
            <sz val="11"/>
            <color theme="1"/>
            <rFont val="Aptos Narrow"/>
            <family val="2"/>
            <scheme val="minor"/>
          </rPr>
          <t>Unknown User:
Invoice not signed</t>
        </r>
      </text>
    </comment>
    <comment ref="S921" authorId="1" shapeId="0" xr:uid="{188142A5-DF5F-4942-90CE-F5993935CFE3}">
      <text>
        <r>
          <rPr>
            <sz val="11"/>
            <color theme="1"/>
            <rFont val="Aptos Narrow"/>
            <family val="2"/>
            <scheme val="minor"/>
          </rPr>
          <t>Unknown User:
Invoice emailed without sign</t>
        </r>
      </text>
    </comment>
    <comment ref="A922" authorId="41" shapeId="0" xr:uid="{0658689D-4FD0-46AE-96A8-5E9C076E711C}">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922" authorId="1" shapeId="0" xr:uid="{23A47630-58FD-4569-81D4-9BEEEC66DE5B}">
      <text>
        <r>
          <rPr>
            <sz val="11"/>
            <color theme="1"/>
            <rFont val="Aptos Narrow"/>
            <family val="2"/>
            <scheme val="minor"/>
          </rPr>
          <t xml:space="preserve">Unknown User:
STORM WATER SPOT RECTIFICATION IN GROUND
</t>
        </r>
      </text>
    </comment>
    <comment ref="G926" authorId="1" shapeId="0" xr:uid="{345CA1D6-6435-41AA-9340-404F0BE2EFD7}">
      <text>
        <r>
          <rPr>
            <sz val="11"/>
            <color theme="1"/>
            <rFont val="Aptos Narrow"/>
            <family val="2"/>
            <scheme val="minor"/>
          </rPr>
          <t xml:space="preserve">Unknown User:
SPECIALIST LEAK DETECTION (WATER SERVICE)
10% Seniors &amp; Pensioners Discount
</t>
        </r>
      </text>
    </comment>
    <comment ref="P926" authorId="1" shapeId="0" xr:uid="{870D2089-CDD2-4477-9E2D-3CC309EB838E}">
      <text>
        <r>
          <rPr>
            <sz val="11"/>
            <color theme="1"/>
            <rFont val="Aptos Narrow"/>
            <family val="2"/>
            <scheme val="minor"/>
          </rPr>
          <t>Unknown User:
Quote not emailed</t>
        </r>
      </text>
    </comment>
    <comment ref="U926" authorId="1" shapeId="0" xr:uid="{7D227549-7931-48BF-98C7-32374CCDC4C9}">
      <text>
        <r>
          <rPr>
            <sz val="11"/>
            <color theme="1"/>
            <rFont val="Aptos Narrow"/>
            <family val="2"/>
            <scheme val="minor"/>
          </rPr>
          <t>Unknown User:
15/8-As per Rhys's note "HUMM messed around for like 2 hours
Client didn’t wanna do it anymore
Collected deposit come back next week"</t>
        </r>
      </text>
    </comment>
    <comment ref="G927" authorId="1" shapeId="0" xr:uid="{FB387725-9143-477D-8F78-9390A00BEB4A}">
      <text>
        <r>
          <rPr>
            <sz val="11"/>
            <color theme="1"/>
            <rFont val="Aptos Narrow"/>
            <family val="2"/>
            <scheme val="minor"/>
          </rPr>
          <t xml:space="preserve">Unknown User:
ROOF MAINTENANCE </t>
        </r>
      </text>
    </comment>
    <comment ref="N927" authorId="1" shapeId="0" xr:uid="{9ACE4FB4-1848-4637-BA6F-2A7FABD1A3AF}">
      <text>
        <r>
          <rPr>
            <sz val="11"/>
            <color theme="1"/>
            <rFont val="Aptos Narrow"/>
            <family val="2"/>
            <scheme val="minor"/>
          </rPr>
          <t>Unknown User:
Quote raised in Job #72515</t>
        </r>
      </text>
    </comment>
    <comment ref="V927" authorId="1" shapeId="0" xr:uid="{7FD1B74A-F8CC-425F-BB2C-E712B4F0C6FD}">
      <text>
        <r>
          <rPr>
            <sz val="11"/>
            <color theme="1"/>
            <rFont val="Aptos Narrow"/>
            <family val="2"/>
            <scheme val="minor"/>
          </rPr>
          <t>Unknown User:
10/9-EFT of $10000 received
18/9-EFT of $10000 received
25/9-Received cash bundles of $100-Denomination not asseessable.</t>
        </r>
      </text>
    </comment>
    <comment ref="G928" authorId="1" shapeId="0" xr:uid="{DC9E273B-7BF5-4C93-B10E-83723EBC1BA6}">
      <text>
        <r>
          <rPr>
            <sz val="11"/>
            <color theme="1"/>
            <rFont val="Aptos Narrow"/>
            <family val="2"/>
            <scheme val="minor"/>
          </rPr>
          <t>Unknown User:
SEWER SPOT DIG - IN GROUND</t>
        </r>
      </text>
    </comment>
    <comment ref="K928" authorId="1" shapeId="0" xr:uid="{979C7B86-10F1-4264-93F3-70EEE61A7217}">
      <text>
        <r>
          <rPr>
            <sz val="11"/>
            <color theme="1"/>
            <rFont val="Aptos Narrow"/>
            <family val="2"/>
            <scheme val="minor"/>
          </rPr>
          <t xml:space="preserve">Unknown User:
Job #73032 pics uploaded </t>
        </r>
      </text>
    </comment>
    <comment ref="V928" authorId="1" shapeId="0" xr:uid="{18CBE6B3-23D2-4C42-89EA-E79E246718C1}">
      <text>
        <r>
          <rPr>
            <sz val="11"/>
            <color theme="1"/>
            <rFont val="Aptos Narrow"/>
            <family val="2"/>
            <scheme val="minor"/>
          </rPr>
          <t>Unknown User:
15/9-EFT of $5000</t>
        </r>
      </text>
    </comment>
    <comment ref="G929" authorId="1" shapeId="0" xr:uid="{2CC15756-A2A6-4A28-A1D5-62543C625227}">
      <text>
        <r>
          <rPr>
            <sz val="11"/>
            <color theme="1"/>
            <rFont val="Aptos Narrow"/>
            <family val="2"/>
            <scheme val="minor"/>
          </rPr>
          <t>Unknown User:
SUPPLY AND INSTALLATION OF NEW BOX GUTTER UP TO 2.5M
10% Seniors &amp; Pensioners Discount</t>
        </r>
      </text>
    </comment>
    <comment ref="K929" authorId="1" shapeId="0" xr:uid="{AA486F70-731D-423A-9CD9-83FDA1D5E487}">
      <text>
        <r>
          <rPr>
            <sz val="11"/>
            <color theme="1"/>
            <rFont val="Aptos Narrow"/>
            <family val="2"/>
            <scheme val="minor"/>
          </rPr>
          <t>Unknown User:
Previous job images considered</t>
        </r>
      </text>
    </comment>
    <comment ref="G930" authorId="1" shapeId="0" xr:uid="{76CC5306-C35A-4B6A-ABA5-83D67589F772}">
      <text>
        <r>
          <rPr>
            <sz val="11"/>
            <color theme="1"/>
            <rFont val="Aptos Narrow"/>
            <family val="2"/>
            <scheme val="minor"/>
          </rPr>
          <t>Unknown User:
SEWER SPOT DIG - IN GROUND</t>
        </r>
      </text>
    </comment>
    <comment ref="P930" authorId="1" shapeId="0" xr:uid="{3835AF65-1E43-4EF9-9FF5-868FDEF68E40}">
      <text>
        <r>
          <rPr>
            <sz val="11"/>
            <color theme="1"/>
            <rFont val="Aptos Narrow"/>
            <family val="2"/>
            <scheme val="minor"/>
          </rPr>
          <t>Unknown User:
Quote not emailed</t>
        </r>
      </text>
    </comment>
    <comment ref="Q930" authorId="1" shapeId="0" xr:uid="{7F99593F-0C9D-41EE-9D43-B32378B4A6FF}">
      <text>
        <r>
          <rPr>
            <sz val="11"/>
            <color theme="1"/>
            <rFont val="Aptos Narrow"/>
            <family val="2"/>
            <scheme val="minor"/>
          </rPr>
          <t>Unknown User:
Invoice not raised by plumber</t>
        </r>
      </text>
    </comment>
    <comment ref="W930" authorId="1" shapeId="0" xr:uid="{02C791C1-BE56-45CD-9C11-89BA421C88F0}">
      <text>
        <r>
          <rPr>
            <sz val="11"/>
            <color theme="1"/>
            <rFont val="Aptos Narrow"/>
            <family val="2"/>
            <scheme val="minor"/>
          </rPr>
          <t>Unknown User:
Cash denomination not available-Unable to figure out exact denomination</t>
        </r>
      </text>
    </comment>
    <comment ref="G931" authorId="1" shapeId="0" xr:uid="{49C299A3-00FB-45DA-B213-FD3EBDBB2109}">
      <text>
        <r>
          <rPr>
            <sz val="11"/>
            <color theme="1"/>
            <rFont val="Aptos Narrow"/>
            <family val="2"/>
            <scheme val="minor"/>
          </rPr>
          <t>Unknown User:
HIGH POWERED JET BLAST &amp; CCTV CAMERA INSPECTION (GAIN ACCESS WITH REMOVAL OF TOILET)</t>
        </r>
      </text>
    </comment>
    <comment ref="P931" authorId="1" shapeId="0" xr:uid="{3F2EAB5D-F7AD-4B63-9602-1716A5196DB2}">
      <text>
        <r>
          <rPr>
            <sz val="11"/>
            <color theme="1"/>
            <rFont val="Aptos Narrow"/>
            <family val="2"/>
            <scheme val="minor"/>
          </rPr>
          <t>Unknown User:
Quote not emailed</t>
        </r>
      </text>
    </comment>
    <comment ref="G932" authorId="1" shapeId="0" xr:uid="{360C6E83-D054-4597-A36F-7B5492FC142E}">
      <text>
        <r>
          <rPr>
            <sz val="11"/>
            <color theme="1"/>
            <rFont val="Aptos Narrow"/>
            <family val="2"/>
            <scheme val="minor"/>
          </rPr>
          <t>Unknown User:
SEWER SPOT DIG - IN GROUND
SUPPLY &amp; INSTALLATION OF NEW LINK SUITE</t>
        </r>
      </text>
    </comment>
    <comment ref="P932" authorId="1" shapeId="0" xr:uid="{878A5ECD-F7DA-404F-9EEF-4C68068772A5}">
      <text>
        <r>
          <rPr>
            <sz val="11"/>
            <color theme="1"/>
            <rFont val="Aptos Narrow"/>
            <family val="2"/>
            <scheme val="minor"/>
          </rPr>
          <t>Unknown User:
Quote not emailed</t>
        </r>
      </text>
    </comment>
    <comment ref="G936" authorId="1" shapeId="0" xr:uid="{B3819A38-2D26-42F9-B6BF-DE5D7AA90E08}">
      <text>
        <r>
          <rPr>
            <sz val="11"/>
            <color theme="1"/>
            <rFont val="Aptos Narrow"/>
            <family val="2"/>
            <scheme val="minor"/>
          </rPr>
          <t xml:space="preserve">Unknown User:
HIGH POWERED CHEMICAL TREATMENT OF GREASE RELEASE ON SEWER SERVICE
</t>
        </r>
      </text>
    </comment>
    <comment ref="K936" authorId="1" shapeId="0" xr:uid="{986162E8-08E1-4F3E-A8CB-6A131C9C7081}">
      <text>
        <r>
          <rPr>
            <sz val="11"/>
            <color theme="1"/>
            <rFont val="Aptos Narrow"/>
            <family val="2"/>
            <scheme val="minor"/>
          </rPr>
          <t>Unknown User:
Previous job #73686 images considered</t>
        </r>
      </text>
    </comment>
    <comment ref="G937" authorId="1" shapeId="0" xr:uid="{40303200-4A52-4232-984C-07B074D79D5B}">
      <text>
        <r>
          <rPr>
            <sz val="11"/>
            <color theme="1"/>
            <rFont val="Aptos Narrow"/>
            <family val="2"/>
            <scheme val="minor"/>
          </rPr>
          <t>Unknown User:
SUPPLY &amp; INSTALLATION OF NEW INSTANTANEOUS GAS HOT WATER SYSTEM (EXTERNAL)</t>
        </r>
      </text>
    </comment>
    <comment ref="K937" authorId="1" shapeId="0" xr:uid="{4E2CC596-5DBF-4FA2-8EC7-062CF8F5F31C}">
      <text>
        <r>
          <rPr>
            <sz val="11"/>
            <color theme="1"/>
            <rFont val="Aptos Narrow"/>
            <family val="2"/>
            <scheme val="minor"/>
          </rPr>
          <t>Unknown User:
Previous job #73717 images considered</t>
        </r>
      </text>
    </comment>
    <comment ref="G939" authorId="1" shapeId="0" xr:uid="{91833B51-7013-436A-AB59-4359FBC61CB8}">
      <text>
        <r>
          <rPr>
            <sz val="11"/>
            <color theme="1"/>
            <rFont val="Aptos Narrow"/>
            <family val="2"/>
            <scheme val="minor"/>
          </rPr>
          <t>Unknown User:
HIGH POWERED SUCTION &amp; ACID TREATMENT
10% Seniors &amp; Pensioners Discount</t>
        </r>
      </text>
    </comment>
    <comment ref="G940" authorId="1" shapeId="0" xr:uid="{65C744EF-2529-4BE3-A65E-B14C0FA641B7}">
      <text>
        <r>
          <rPr>
            <sz val="11"/>
            <color theme="1"/>
            <rFont val="Aptos Narrow"/>
            <family val="2"/>
            <scheme val="minor"/>
          </rPr>
          <t>Unknown User:
SUPPLY &amp; INSTALLATION OF GAS STORAGE HOT WATER SYSTEM (EXTERNAL)</t>
        </r>
      </text>
    </comment>
    <comment ref="G941" authorId="1" shapeId="0" xr:uid="{9D82359B-176E-4DA9-B01D-98A318D8DCB2}">
      <text>
        <r>
          <rPr>
            <sz val="11"/>
            <color theme="1"/>
            <rFont val="Aptos Narrow"/>
            <family val="2"/>
            <scheme val="minor"/>
          </rPr>
          <t>Unknown User:
CONVERT EXTERNAL GAS STORAGE HOT WATER SYSTEM TO EXTERNAL GAS INSTANTANEOUS HOT WATER SYSTEM</t>
        </r>
      </text>
    </comment>
    <comment ref="G942" authorId="1" shapeId="0" xr:uid="{59682851-185D-4106-91F0-24D10ECC6669}">
      <text>
        <r>
          <rPr>
            <sz val="11"/>
            <color theme="1"/>
            <rFont val="Aptos Narrow"/>
            <family val="2"/>
            <scheme val="minor"/>
          </rPr>
          <t xml:space="preserve">Unknown User:
CCTV DRAIN CAMERA INSPECTION OF SEWER SERVICE
10% Seniors &amp; Pensioners Discount
</t>
        </r>
      </text>
    </comment>
    <comment ref="G943" authorId="1" shapeId="0" xr:uid="{21F342DC-04ED-43D8-98C7-8707449AB748}">
      <text>
        <r>
          <rPr>
            <sz val="11"/>
            <color theme="1"/>
            <rFont val="Aptos Narrow"/>
            <family val="2"/>
            <scheme val="minor"/>
          </rPr>
          <t>Unknown User:
HIGH POWERED JET BLAST &amp; CCTV CAMERA INSPECTION (GAIN ACCESS WITH REMOVAL OF TOILET)</t>
        </r>
      </text>
    </comment>
    <comment ref="M943" authorId="1" shapeId="0" xr:uid="{6B754DDC-E9A8-461C-A9B7-A6910A9E7437}">
      <text>
        <r>
          <rPr>
            <sz val="11"/>
            <color theme="1"/>
            <rFont val="Aptos Narrow"/>
            <family val="2"/>
            <scheme val="minor"/>
          </rPr>
          <t>Unknown User:
Smartpay receipt of $280 not uploaded by plumber.
Uploaded by Modoras team</t>
        </r>
      </text>
    </comment>
    <comment ref="P943" authorId="1" shapeId="0" xr:uid="{DDCCE251-416B-4CCC-905F-61A1EC817B4C}">
      <text>
        <r>
          <rPr>
            <sz val="11"/>
            <color theme="1"/>
            <rFont val="Aptos Narrow"/>
            <family val="2"/>
            <scheme val="minor"/>
          </rPr>
          <t>Unknown User:
Quote not emailed</t>
        </r>
      </text>
    </comment>
    <comment ref="G944" authorId="1" shapeId="0" xr:uid="{B7BB0D0B-0AAC-40A2-B404-0947B511B8D4}">
      <text>
        <r>
          <rPr>
            <sz val="11"/>
            <color theme="1"/>
            <rFont val="Aptos Narrow"/>
            <family val="2"/>
            <scheme val="minor"/>
          </rPr>
          <t>Unknown User:
SEARCH &amp; INVESTIGATION OF MACERATOR PUMP</t>
        </r>
      </text>
    </comment>
    <comment ref="G945" authorId="1" shapeId="0" xr:uid="{51F66D36-462D-46D7-8020-D0131FFE3FC9}">
      <text>
        <r>
          <rPr>
            <sz val="11"/>
            <color theme="1"/>
            <rFont val="Aptos Narrow"/>
            <family val="2"/>
            <scheme val="minor"/>
          </rPr>
          <t>Unknown User:
COMPLETE SERVICE OF WALL TOP TAPS ASSEMBLY
REPLACEMENT OF SHOWER ARM &amp; ROSE
10% Good Will Discount</t>
        </r>
      </text>
    </comment>
    <comment ref="G946" authorId="1" shapeId="0" xr:uid="{11EA55DE-1BE9-467C-9DEA-429731D2DCB1}">
      <text>
        <r>
          <rPr>
            <sz val="11"/>
            <color theme="1"/>
            <rFont val="Aptos Narrow"/>
            <family val="2"/>
            <scheme val="minor"/>
          </rPr>
          <t>Unknown User:
SUPPLY &amp; INSTALLATION OF NEW COPPER GAS SERVICE UP TO 50M (REPLACEMENT OF EXISTING GALVANISED GAS SERVICE)</t>
        </r>
      </text>
    </comment>
    <comment ref="G947" authorId="1" shapeId="0" xr:uid="{13CC1D3E-E246-4CF3-8BB2-F850612DCF10}">
      <text>
        <r>
          <rPr>
            <sz val="11"/>
            <color theme="1"/>
            <rFont val="Aptos Narrow"/>
            <family val="2"/>
            <scheme val="minor"/>
          </rPr>
          <t>Unknown User:
INSTALLATION OF NEW TOILET SEAT (CUSTOMER SUPPLIED)
REPLACEMENT OF HAND-HELD SHOWER ROSE (CUSTOMER SUPPLIED)</t>
        </r>
      </text>
    </comment>
    <comment ref="G948" authorId="1" shapeId="0" xr:uid="{B7DEC068-D545-46F8-BDB0-F2B85B9CA061}">
      <text>
        <r>
          <rPr>
            <sz val="11"/>
            <color theme="1"/>
            <rFont val="Aptos Narrow"/>
            <family val="2"/>
            <scheme val="minor"/>
          </rPr>
          <t>Unknown User:
SEARCH &amp; INVESTIGATION OF GAS APPLIANCE
10% Seniors &amp; Pensioners Discount</t>
        </r>
      </text>
    </comment>
    <comment ref="G949" authorId="1" shapeId="0" xr:uid="{2CD310B8-5D15-46A9-8BE8-BA1ADE9A57E0}">
      <text>
        <r>
          <rPr>
            <sz val="11"/>
            <color theme="1"/>
            <rFont val="Aptos Narrow"/>
            <family val="2"/>
            <scheme val="minor"/>
          </rPr>
          <t>Unknown User:
INSTALLATION OF FREESTANDING OVEN AND GAS COOKTOP [SAME LOCATION] (CUSTOMER SUPPLIED)
10% Good Will Discount</t>
        </r>
      </text>
    </comment>
    <comment ref="G950" authorId="1" shapeId="0" xr:uid="{55FD22ED-A5D7-4621-A242-60F9C15C46DB}">
      <text>
        <r>
          <rPr>
            <sz val="11"/>
            <color theme="1"/>
            <rFont val="Aptos Narrow"/>
            <family val="2"/>
            <scheme val="minor"/>
          </rPr>
          <t xml:space="preserve">Unknown User:
INSTALL NEW CUSTOMER SUPPLIED UNDER SINK WATER FILTER 
</t>
        </r>
      </text>
    </comment>
    <comment ref="G951" authorId="1" shapeId="0" xr:uid="{4CAEA6F1-3A5D-49EE-9A7C-4D197CE4FBD5}">
      <text>
        <r>
          <rPr>
            <sz val="11"/>
            <color theme="1"/>
            <rFont val="Aptos Narrow"/>
            <family val="2"/>
            <scheme val="minor"/>
          </rPr>
          <t xml:space="preserve">Unknown User:
INSTALLATION OF MIXER CARTRIDGE (CUSTOMER SUPPLIED)
</t>
        </r>
      </text>
    </comment>
    <comment ref="G952" authorId="1" shapeId="0" xr:uid="{53E07530-8B67-4001-8AFF-32D56C088D0A}">
      <text>
        <r>
          <rPr>
            <sz val="11"/>
            <color theme="1"/>
            <rFont val="Aptos Narrow"/>
            <family val="2"/>
            <scheme val="minor"/>
          </rPr>
          <t>Unknown User:
SPECIALIST LEAK DETECTION (WATER SERVICE)</t>
        </r>
      </text>
    </comment>
    <comment ref="G984" authorId="1" shapeId="0" xr:uid="{A0AACD69-5E18-4BB8-B9FF-0DD2222E86E8}">
      <text>
        <r>
          <rPr>
            <sz val="11"/>
            <color theme="1"/>
            <rFont val="Aptos Narrow"/>
            <family val="2"/>
            <scheme val="minor"/>
          </rPr>
          <t>Unknown User:
SUPPLY &amp; INSTALLATION OF NEW LINK SUITE</t>
        </r>
      </text>
    </comment>
    <comment ref="P984" authorId="1" shapeId="0" xr:uid="{8D025C5B-D17F-4A9B-B82B-ECBFF7AF098E}">
      <text>
        <r>
          <rPr>
            <sz val="11"/>
            <color theme="1"/>
            <rFont val="Aptos Narrow"/>
            <family val="2"/>
            <scheme val="minor"/>
          </rPr>
          <t>Unknown User:
Quote not emailed</t>
        </r>
      </text>
    </comment>
    <comment ref="Q984" authorId="1" shapeId="0" xr:uid="{33813FA9-44B4-46B1-8BD4-711F16E8E892}">
      <text>
        <r>
          <rPr>
            <sz val="11"/>
            <color theme="1"/>
            <rFont val="Aptos Narrow"/>
            <family val="2"/>
            <scheme val="minor"/>
          </rPr>
          <t>Unknown User:
Invoice not raised by plumber</t>
        </r>
      </text>
    </comment>
    <comment ref="G985" authorId="1" shapeId="0" xr:uid="{F9777CA0-578F-4268-8406-767989DB2DAA}">
      <text>
        <r>
          <rPr>
            <sz val="11"/>
            <color theme="1"/>
            <rFont val="Aptos Narrow"/>
            <family val="2"/>
            <scheme val="minor"/>
          </rPr>
          <t xml:space="preserve">Unknown User:
SUPPLY &amp; INSTALLATION OF GAS STORAGE HOT WATER SYSTEM (EXTERNAL)
</t>
        </r>
      </text>
    </comment>
    <comment ref="P985" authorId="1" shapeId="0" xr:uid="{CFEDF74C-FA90-4819-8261-732E9ED44984}">
      <text>
        <r>
          <rPr>
            <sz val="11"/>
            <color theme="1"/>
            <rFont val="Aptos Narrow"/>
            <family val="2"/>
            <scheme val="minor"/>
          </rPr>
          <t>Unknown User:
Quote not emailed</t>
        </r>
      </text>
    </comment>
    <comment ref="S985" authorId="1" shapeId="0" xr:uid="{2E88D011-9424-426D-9DFF-E65B9C964CDC}">
      <text>
        <r>
          <rPr>
            <sz val="11"/>
            <color theme="1"/>
            <rFont val="Aptos Narrow"/>
            <family val="2"/>
            <scheme val="minor"/>
          </rPr>
          <t>Unknown User:
Signed invoice not emailed</t>
        </r>
      </text>
    </comment>
    <comment ref="G986" authorId="1" shapeId="0" xr:uid="{3840BCBF-4B87-4FDB-A7E3-B8F161DB721C}">
      <text>
        <r>
          <rPr>
            <sz val="11"/>
            <color theme="1"/>
            <rFont val="Aptos Narrow"/>
            <family val="2"/>
            <scheme val="minor"/>
          </rPr>
          <t>Unknown User:
SUPPLY &amp; INSTALLATION OF NEW LINK SUITE
10% Seniors &amp; Pensioners Discount</t>
        </r>
      </text>
    </comment>
    <comment ref="Q986" authorId="1" shapeId="0" xr:uid="{2A307EB7-C4FE-4B95-8857-16B344A93442}">
      <text>
        <r>
          <rPr>
            <sz val="11"/>
            <color theme="1"/>
            <rFont val="Aptos Narrow"/>
            <family val="2"/>
            <scheme val="minor"/>
          </rPr>
          <t>Unknown User:
Final invoice not raised</t>
        </r>
      </text>
    </comment>
    <comment ref="T986" authorId="1" shapeId="0" xr:uid="{6B1240E9-ACFC-459B-9539-608C13C44D59}">
      <text>
        <r>
          <rPr>
            <sz val="11"/>
            <color theme="1"/>
            <rFont val="Aptos Narrow"/>
            <family val="2"/>
            <scheme val="minor"/>
          </rPr>
          <t>Unknown User:
0.5x Daniel</t>
        </r>
      </text>
    </comment>
    <comment ref="W986" authorId="1" shapeId="0" xr:uid="{2F8FA3BB-06D2-4729-A264-7C1B8840B00C}">
      <text>
        <r>
          <rPr>
            <sz val="11"/>
            <color theme="1"/>
            <rFont val="Aptos Narrow"/>
            <family val="2"/>
            <scheme val="minor"/>
          </rPr>
          <t>Unknown User:
Cash denomination
$100*2=$200
$50*1=$50</t>
        </r>
      </text>
    </comment>
    <comment ref="G987" authorId="1" shapeId="0" xr:uid="{06713949-D883-4007-81E1-6DE3B6CDB1D0}">
      <text>
        <r>
          <rPr>
            <sz val="11"/>
            <color theme="1"/>
            <rFont val="Aptos Narrow"/>
            <family val="2"/>
            <scheme val="minor"/>
          </rPr>
          <t>Unknown User:
HIGH POWERED SUCTION &amp; ACID TREATMENT</t>
        </r>
      </text>
    </comment>
    <comment ref="Q987" authorId="1" shapeId="0" xr:uid="{25E1B96F-21E2-4AB2-BAE2-03CEA751CD0D}">
      <text>
        <r>
          <rPr>
            <sz val="11"/>
            <color theme="1"/>
            <rFont val="Aptos Narrow"/>
            <family val="2"/>
            <scheme val="minor"/>
          </rPr>
          <t>Unknown User:
Final invoice not raised</t>
        </r>
      </text>
    </comment>
    <comment ref="G988" authorId="1" shapeId="0" xr:uid="{D6CA7AA4-168C-416E-B6CB-A5AB8D7C7104}">
      <text>
        <r>
          <rPr>
            <sz val="11"/>
            <color theme="1"/>
            <rFont val="Aptos Narrow"/>
            <family val="2"/>
            <scheme val="minor"/>
          </rPr>
          <t>Unknown User:
SEARCH &amp; INVESTIGATION OF GAS APPLIANCE</t>
        </r>
      </text>
    </comment>
    <comment ref="P988" authorId="1" shapeId="0" xr:uid="{BDE884FA-1073-4906-B6AC-6B44DA7945C6}">
      <text>
        <r>
          <rPr>
            <sz val="11"/>
            <color theme="1"/>
            <rFont val="Aptos Narrow"/>
            <family val="2"/>
            <scheme val="minor"/>
          </rPr>
          <t>Unknown User:
Quote not emailed</t>
        </r>
      </text>
    </comment>
    <comment ref="Q988" authorId="1" shapeId="0" xr:uid="{8D1C3F47-EC60-4C28-B514-1637110CEFB4}">
      <text>
        <r>
          <rPr>
            <sz val="11"/>
            <color theme="1"/>
            <rFont val="Aptos Narrow"/>
            <family val="2"/>
            <scheme val="minor"/>
          </rPr>
          <t>Unknown User:
Invoice not raised</t>
        </r>
      </text>
    </comment>
    <comment ref="W988" authorId="1" shapeId="0" xr:uid="{A9B8E643-085F-4D12-8030-943FAD4A992F}">
      <text>
        <r>
          <rPr>
            <sz val="11"/>
            <color theme="1"/>
            <rFont val="Aptos Narrow"/>
            <family val="2"/>
            <scheme val="minor"/>
          </rPr>
          <t>Unknown User:
Cash denomination
$50*4=$200.</t>
        </r>
      </text>
    </comment>
    <comment ref="G989" authorId="1" shapeId="0" xr:uid="{4515633F-E6C2-434E-BE41-1DA80704F507}">
      <text>
        <r>
          <rPr>
            <sz val="11"/>
            <color theme="1"/>
            <rFont val="Aptos Narrow"/>
            <family val="2"/>
            <scheme val="minor"/>
          </rPr>
          <t>Unknown User:
ROOF LEAK SEARCH &amp; INVESTIGATION
$65 First Service Discount</t>
        </r>
      </text>
    </comment>
    <comment ref="Q989" authorId="1" shapeId="0" xr:uid="{C7B5C4DF-126C-42E1-86DB-734C638D76A3}">
      <text>
        <r>
          <rPr>
            <sz val="11"/>
            <color theme="1"/>
            <rFont val="Aptos Narrow"/>
            <family val="2"/>
            <scheme val="minor"/>
          </rPr>
          <t>Unknown User:
Invoice not raised</t>
        </r>
      </text>
    </comment>
    <comment ref="G990" authorId="1" shapeId="0" xr:uid="{689385FF-252D-4D5F-B0EA-AA3798DB6125}">
      <text>
        <r>
          <rPr>
            <sz val="11"/>
            <color theme="1"/>
            <rFont val="Aptos Narrow"/>
            <family val="2"/>
            <scheme val="minor"/>
          </rPr>
          <t>Unknown User:
COMPLETE SERVICE OF WALL TOP TAPS ASSEMBLY</t>
        </r>
      </text>
    </comment>
    <comment ref="M990" authorId="1" shapeId="0" xr:uid="{36FE36B9-4B75-4BEB-AEEB-DBCF3051EF92}">
      <text>
        <r>
          <rPr>
            <sz val="11"/>
            <color theme="1"/>
            <rFont val="Aptos Narrow"/>
            <family val="2"/>
            <scheme val="minor"/>
          </rPr>
          <t>Unknown User:
Smartpay receipt of $639.10 not uploaded by plumber.
Uploaded by office person.</t>
        </r>
      </text>
    </comment>
    <comment ref="R990" authorId="1" shapeId="0" xr:uid="{0D7C4B6E-27DC-4706-ADBA-E9FEEB3376BE}">
      <text>
        <r>
          <rPr>
            <sz val="11"/>
            <color theme="1"/>
            <rFont val="Aptos Narrow"/>
            <family val="2"/>
            <scheme val="minor"/>
          </rPr>
          <t>Unknown User:
Invoice not signed</t>
        </r>
      </text>
    </comment>
    <comment ref="S990" authorId="1" shapeId="0" xr:uid="{432ED498-F0F8-4046-AB80-7B76D1DC2C5E}">
      <text>
        <r>
          <rPr>
            <sz val="11"/>
            <color theme="1"/>
            <rFont val="Aptos Narrow"/>
            <family val="2"/>
            <scheme val="minor"/>
          </rPr>
          <t>Unknown User:
Invoice emailed without sign</t>
        </r>
      </text>
    </comment>
    <comment ref="D991" authorId="1" shapeId="0" xr:uid="{6EAD016C-FBA4-410E-A1B4-099B3EB53243}">
      <text>
        <r>
          <rPr>
            <sz val="11"/>
            <color theme="1"/>
            <rFont val="Aptos Narrow"/>
            <family val="2"/>
            <scheme val="minor"/>
          </rPr>
          <t>Unknown User:
Duplicate estimate created for same value &amp; description in the job.</t>
        </r>
      </text>
    </comment>
    <comment ref="G991" authorId="1" shapeId="0" xr:uid="{DE216F48-BA25-4E50-B53C-89EC19597E6C}">
      <text>
        <r>
          <rPr>
            <sz val="11"/>
            <color theme="1"/>
            <rFont val="Aptos Narrow"/>
            <family val="2"/>
            <scheme val="minor"/>
          </rPr>
          <t>Unknown User:
SEARCH &amp; INVESTIGATION (GENERAL)
10% Seniors &amp; Pensioners Discount</t>
        </r>
      </text>
    </comment>
    <comment ref="W991" authorId="1" shapeId="0" xr:uid="{1608B0B9-6606-4F07-B9B6-E97AC33866BC}">
      <text>
        <r>
          <rPr>
            <sz val="11"/>
            <color theme="1"/>
            <rFont val="Aptos Narrow"/>
            <family val="2"/>
            <scheme val="minor"/>
          </rPr>
          <t>Unknown User:
Cash denomination
$100*16=$1600
$50*1=$50
$10*1=$10
$5*1=$5
Total cash=$1665
Excess receipt by $0.90</t>
        </r>
      </text>
    </comment>
    <comment ref="G992" authorId="1" shapeId="0" xr:uid="{131B45B9-16BD-4A51-B9CC-1C735FD0B525}">
      <text>
        <r>
          <rPr>
            <sz val="11"/>
            <color theme="1"/>
            <rFont val="Aptos Narrow"/>
            <family val="2"/>
            <scheme val="minor"/>
          </rPr>
          <t>Unknown User:
HIGH POWERED JET BLAST &amp; CCTV CAMERA INSPECTION (GAIN ACCESS WITH REMOVAL OF TOILET)
10% Seniors &amp; Pensioners Discount</t>
        </r>
      </text>
    </comment>
    <comment ref="L992" authorId="1" shapeId="0" xr:uid="{73804FCD-E98C-47BC-A2A0-4693194C5B27}">
      <text>
        <r>
          <rPr>
            <sz val="11"/>
            <color theme="1"/>
            <rFont val="Aptos Narrow"/>
            <family val="2"/>
            <scheme val="minor"/>
          </rPr>
          <t>Unknown User:
CCTV pics/videos not uploaded</t>
        </r>
      </text>
    </comment>
    <comment ref="M992" authorId="1" shapeId="0" xr:uid="{3DE7605A-66FE-4487-AB32-EA1A91D0BA6D}">
      <text>
        <r>
          <rPr>
            <sz val="11"/>
            <color theme="1"/>
            <rFont val="Aptos Narrow"/>
            <family val="2"/>
            <scheme val="minor"/>
          </rPr>
          <t>Unknown User:
Smartpay receipt of $2463 not uploaded by plumber.
Uploaded by Modoras team.</t>
        </r>
      </text>
    </comment>
    <comment ref="Q992" authorId="1" shapeId="0" xr:uid="{D2CE3F32-1BCF-46D0-B7F6-31487CCFD250}">
      <text>
        <r>
          <rPr>
            <sz val="11"/>
            <color theme="1"/>
            <rFont val="Aptos Narrow"/>
            <family val="2"/>
            <scheme val="minor"/>
          </rPr>
          <t>Unknown User:
Invoice not raised with updated payments.</t>
        </r>
      </text>
    </comment>
    <comment ref="V992" authorId="1" shapeId="0" xr:uid="{70E3178D-F712-4341-8AB8-5AA6687A18E8}">
      <text>
        <r>
          <rPr>
            <sz val="11"/>
            <color theme="1"/>
            <rFont val="Aptos Narrow"/>
            <family val="2"/>
            <scheme val="minor"/>
          </rPr>
          <t>Unknown User:
Short receipt by $0.39</t>
        </r>
      </text>
    </comment>
    <comment ref="G997" authorId="1" shapeId="0" xr:uid="{2A000723-78BC-4838-8FC1-3EFB26BD4E31}">
      <text>
        <r>
          <rPr>
            <sz val="11"/>
            <color theme="1"/>
            <rFont val="Aptos Narrow"/>
            <family val="2"/>
            <scheme val="minor"/>
          </rPr>
          <t>Unknown User:
INSTALLATION OF NEW WASHING MACHINE (CUSTOMER SUPPLIED)</t>
        </r>
      </text>
    </comment>
    <comment ref="P997" authorId="1" shapeId="0" xr:uid="{B9DAE16E-2F67-4A27-A4C9-A3F84669812F}">
      <text>
        <r>
          <rPr>
            <sz val="11"/>
            <color theme="1"/>
            <rFont val="Aptos Narrow"/>
            <family val="2"/>
            <scheme val="minor"/>
          </rPr>
          <t>Unknown User:
Quote not emailed</t>
        </r>
      </text>
    </comment>
    <comment ref="Q997" authorId="1" shapeId="0" xr:uid="{0825A84B-A19E-47FD-B3B6-8DE88F78E59B}">
      <text>
        <r>
          <rPr>
            <sz val="11"/>
            <color theme="1"/>
            <rFont val="Aptos Narrow"/>
            <family val="2"/>
            <scheme val="minor"/>
          </rPr>
          <t>Unknown User:
Invoice not raised</t>
        </r>
      </text>
    </comment>
    <comment ref="G998" authorId="1" shapeId="0" xr:uid="{F5117FE4-CEE9-40F2-B373-82EE310A36B7}">
      <text>
        <r>
          <rPr>
            <sz val="11"/>
            <color theme="1"/>
            <rFont val="Aptos Narrow"/>
            <family val="2"/>
            <scheme val="minor"/>
          </rPr>
          <t>Unknown User:
SEARCH AND INVESTIGATION OF SOLAR SPLIT HOT WATER SYSTEM</t>
        </r>
      </text>
    </comment>
    <comment ref="P998" authorId="1" shapeId="0" xr:uid="{DC430214-5BDF-4FFA-B292-5B4D900F25F0}">
      <text>
        <r>
          <rPr>
            <sz val="11"/>
            <color theme="1"/>
            <rFont val="Aptos Narrow"/>
            <family val="2"/>
            <scheme val="minor"/>
          </rPr>
          <t>Unknown User:
Quote not emailed</t>
        </r>
      </text>
    </comment>
    <comment ref="Q998" authorId="1" shapeId="0" xr:uid="{EB388661-48AA-4FB6-967D-565DFAA0FFF3}">
      <text>
        <r>
          <rPr>
            <sz val="11"/>
            <color theme="1"/>
            <rFont val="Aptos Narrow"/>
            <family val="2"/>
            <scheme val="minor"/>
          </rPr>
          <t>Unknown User:
Invoice not raised</t>
        </r>
      </text>
    </comment>
    <comment ref="G1002" authorId="1" shapeId="0" xr:uid="{FEEA51BB-4EDB-4426-AEC2-8590B28CD3B2}">
      <text>
        <r>
          <rPr>
            <sz val="11"/>
            <color theme="1"/>
            <rFont val="Aptos Narrow"/>
            <family val="2"/>
            <scheme val="minor"/>
          </rPr>
          <t xml:space="preserve">Unknown User:
FLOOD, DYE, PRESSURE TEST (WET AREA)
</t>
        </r>
      </text>
    </comment>
    <comment ref="L1002" authorId="1" shapeId="0" xr:uid="{39F55BC6-8349-46E4-8EF8-C3D6A0BB18B6}">
      <text>
        <r>
          <rPr>
            <sz val="11"/>
            <color theme="1"/>
            <rFont val="Aptos Narrow"/>
            <family val="2"/>
            <scheme val="minor"/>
          </rPr>
          <t>Unknown User:
Pressure test pending</t>
        </r>
      </text>
    </comment>
    <comment ref="G1003" authorId="1" shapeId="0" xr:uid="{05925B22-6125-4F83-B2DF-C0CC16D28D3E}">
      <text>
        <r>
          <rPr>
            <sz val="11"/>
            <color theme="1"/>
            <rFont val="Aptos Narrow"/>
            <family val="2"/>
            <scheme val="minor"/>
          </rPr>
          <t xml:space="preserve">Unknown User:
RESEAL OF SHOWER
</t>
        </r>
      </text>
    </comment>
    <comment ref="G1004" authorId="1" shapeId="0" xr:uid="{88A70D91-0127-4379-B1B9-A4BB73866F0E}">
      <text>
        <r>
          <rPr>
            <sz val="11"/>
            <color theme="1"/>
            <rFont val="Aptos Narrow"/>
            <family val="2"/>
            <scheme val="minor"/>
          </rPr>
          <t>Unknown User:
WATER SERVICE RECTIFICATION (IN GROUND)</t>
        </r>
      </text>
    </comment>
    <comment ref="G1005" authorId="1" shapeId="0" xr:uid="{184A2CCC-23DD-4ED8-B36B-1A940B17F88B}">
      <text>
        <r>
          <rPr>
            <sz val="11"/>
            <color theme="1"/>
            <rFont val="Aptos Narrow"/>
            <family val="2"/>
            <scheme val="minor"/>
          </rPr>
          <t xml:space="preserve">Unknown User:
SUPPLY &amp; INSTALLATION OF NEW SOLAR SPLIT HOT WATER SYSTEM (REPLACEMENT OF EXISTING)
</t>
        </r>
      </text>
    </comment>
    <comment ref="G1006" authorId="1" shapeId="0" xr:uid="{55892158-EE25-40DE-8D7F-EB0C3CB466ED}">
      <text>
        <r>
          <rPr>
            <sz val="11"/>
            <color theme="1"/>
            <rFont val="Aptos Narrow"/>
            <family val="2"/>
            <scheme val="minor"/>
          </rPr>
          <t>Unknown User:
COMPLETE SERVICE OF WALL TOP TAPS ASSEMBLY
COMPLETE SERVICE OF TAP TOP ASSEMBLY
SEARCH &amp; INVESTIGATION OF WATER HAMMER
CHEMICAL DRAIN CLEANING TREATMENT</t>
        </r>
      </text>
    </comment>
    <comment ref="P1006" authorId="1" shapeId="0" xr:uid="{B3D33130-6493-4590-905D-4583BF0C3C02}">
      <text>
        <r>
          <rPr>
            <sz val="11"/>
            <color theme="1"/>
            <rFont val="Aptos Narrow"/>
            <family val="2"/>
            <scheme val="minor"/>
          </rPr>
          <t>Unknown User:
Quote not emailed</t>
        </r>
      </text>
    </comment>
    <comment ref="V1006" authorId="1" shapeId="0" xr:uid="{D2E8D559-69F8-4768-9DEA-7375A5122725}">
      <text>
        <r>
          <rPr>
            <sz val="11"/>
            <color theme="1"/>
            <rFont val="Aptos Narrow"/>
            <family val="2"/>
            <scheme val="minor"/>
          </rPr>
          <t>Unknown User:
13/10-Received $2950.89 by Smartpay</t>
        </r>
      </text>
    </comment>
    <comment ref="G1007" authorId="1" shapeId="0" xr:uid="{DCA6733A-E1B6-4B8E-87C8-74AAC0A1616F}">
      <text>
        <r>
          <rPr>
            <sz val="11"/>
            <color theme="1"/>
            <rFont val="Aptos Narrow"/>
            <family val="2"/>
            <scheme val="minor"/>
          </rPr>
          <t xml:space="preserve">Unknown User:
SEWER SPOT DIG - IN GROUND
</t>
        </r>
      </text>
    </comment>
    <comment ref="P1007" authorId="1" shapeId="0" xr:uid="{2907F5EB-C6A7-41EB-814C-3AB5D5BBD8C0}">
      <text>
        <r>
          <rPr>
            <sz val="11"/>
            <color theme="1"/>
            <rFont val="Aptos Narrow"/>
            <family val="2"/>
            <scheme val="minor"/>
          </rPr>
          <t>Unknown User:
Quote not emailed</t>
        </r>
      </text>
    </comment>
    <comment ref="G1011" authorId="1" shapeId="0" xr:uid="{D0F1D806-EF49-4858-A10C-7A45296BA58C}">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L1011" authorId="1" shapeId="0" xr:uid="{880243BC-5B4C-4FD3-9262-D8BC4B6E3CEE}">
      <text>
        <r>
          <rPr>
            <sz val="11"/>
            <color theme="1"/>
            <rFont val="Aptos Narrow"/>
            <family val="2"/>
            <scheme val="minor"/>
          </rPr>
          <t>Unknown User:
Temp check pending</t>
        </r>
      </text>
    </comment>
    <comment ref="P1011" authorId="1" shapeId="0" xr:uid="{85AF6AF3-9FF0-4FAB-9965-12B18AEC1FD3}">
      <text>
        <r>
          <rPr>
            <sz val="11"/>
            <color theme="1"/>
            <rFont val="Aptos Narrow"/>
            <family val="2"/>
            <scheme val="minor"/>
          </rPr>
          <t>Unknown User:
Quote not emailed</t>
        </r>
      </text>
    </comment>
    <comment ref="Q1011" authorId="1" shapeId="0" xr:uid="{992C2A0B-9A63-4A36-9D9B-1C7C4BE9915D}">
      <text>
        <r>
          <rPr>
            <sz val="11"/>
            <color theme="1"/>
            <rFont val="Aptos Narrow"/>
            <family val="2"/>
            <scheme val="minor"/>
          </rPr>
          <t>Unknown User:
Progress payment of $341.75 not updated in invoice (Signed but amount not recorded).</t>
        </r>
      </text>
    </comment>
    <comment ref="G1012" authorId="1" shapeId="0" xr:uid="{254D2EE1-DF23-4E40-A58A-4229210EE86B}">
      <text>
        <r>
          <rPr>
            <sz val="11"/>
            <color theme="1"/>
            <rFont val="Aptos Narrow"/>
            <family val="2"/>
            <scheme val="minor"/>
          </rPr>
          <t>Unknown User:
STORM WATER RECTIFICATION UP TO 30M
Obtain Service Location Diagram
Obtain Dial Before Dig
Obtain Storm Water Diagram – If Available
Set Up Safe Work Area
Set Up Builders Plastic
Set Up Barricades for Safety
Dig &amp; Excavate Ground Area Up to 30M
Expose Existing Section of Storm Water Service Up to 30M
Locate stormwater entering barrel drain
Expose Existing Storm Water Junctions 
Cut &amp; Remove Existing Section of Storm Water Service Up to 30M
Cut &amp; Remove Existing Storm Water Junctions 
Gain Access to Storm Water Service
Set Up High-Powered Jet Blaster
Set Up High-Powered Mini Reel
Set Up High-Powered Turbines
Re-Jetblast Storm Water Service
Re-Camera and Investigate Further
Supply &amp; Install New Section of Storm Water Service Up to 30M
Supply &amp; Install New Storm Water Junctions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Upsize existing 50mm down pipe to 90mm down pipe
Install new 90mm pop and down pipe to back of house
Connect new stormwater to existing down pipes on shed
Backfill Excavated Area
Test &amp; Commission Installation
Remove Trade Waste
Restore Work Area (Excludes Returfing)
PLEASE NOTE IF FURTHER WORK REQUIRED OTHER THEN QUOTED WORK FURTHER COST WILL APPLY</t>
        </r>
      </text>
    </comment>
    <comment ref="P1012" authorId="1" shapeId="0" xr:uid="{FFFFE825-5F91-49C5-82F1-0B1B7AEDAD55}">
      <text>
        <r>
          <rPr>
            <sz val="11"/>
            <color theme="1"/>
            <rFont val="Aptos Narrow"/>
            <family val="2"/>
            <scheme val="minor"/>
          </rPr>
          <t>Unknown User:
Quote not emailed</t>
        </r>
      </text>
    </comment>
    <comment ref="U1012" authorId="1" shapeId="0" xr:uid="{B42EA9C5-68A7-4AEA-A4FC-F41BCB7E8129}">
      <text>
        <r>
          <rPr>
            <sz val="11"/>
            <color theme="1"/>
            <rFont val="Aptos Narrow"/>
            <family val="2"/>
            <scheme val="minor"/>
          </rPr>
          <t>Unknown User:
31/7-As per Joshua's note "Callback from Prue and Mr Stone,
Complained about
-price of the job, wanted itemised invoice. they were under the assumption that this was a given.
-items on invoice not completed (not specified, said they could talk to Daniel or let me know).
-Humm misunderstanding, they dont trust HUMM even though they've used it in the past. I explained the general process and that we take a 10% deposit and put the customer on a plan for the rest. They werent happy with this, i did say 10% more would be required to clear the balance as limit is $25k.
-multiple trading names, explained this is for marketing purposes and we were in a transitional period.
Asked for them to suggest a resolution as they said they'd "take this further". Invited them to come back to me at any time."</t>
        </r>
      </text>
    </comment>
    <comment ref="G1013" authorId="1" shapeId="0" xr:uid="{92E37345-4CE8-430F-9F7E-C450D47F8B70}">
      <text>
        <r>
          <rPr>
            <sz val="11"/>
            <color theme="1"/>
            <rFont val="Aptos Narrow"/>
            <family val="2"/>
            <scheme val="minor"/>
          </rPr>
          <t>Unknown User:
SEARCH &amp; INVESTIGATION OF DOUBLE STOREY ROOF OF POTENTIAL LEAK</t>
        </r>
      </text>
    </comment>
    <comment ref="P1013" authorId="1" shapeId="0" xr:uid="{850954A4-7A7D-4C92-B3D0-ECD8593615AB}">
      <text>
        <r>
          <rPr>
            <sz val="11"/>
            <color theme="1"/>
            <rFont val="Aptos Narrow"/>
            <family val="2"/>
            <scheme val="minor"/>
          </rPr>
          <t>Unknown User:
Quote not emailed</t>
        </r>
      </text>
    </comment>
    <comment ref="U1013" authorId="1" shapeId="0" xr:uid="{C4EAAAB6-21F2-4C9F-8872-AEE406A87D0C}">
      <text>
        <r>
          <rPr>
            <sz val="11"/>
            <color theme="1"/>
            <rFont val="Aptos Narrow"/>
            <family val="2"/>
            <scheme val="minor"/>
          </rPr>
          <t>Unknown User:
4/8-As per Kylie's note "Spoke to Tara she has already left the property and is refusing to pay any more than 1K she states that we have not done the work to the scope which is correct as no height equipment has been used, nor has the plumber done a test and commission. States based on the 30 mins the plumber has been onsite she is not paying for the quoted amount. States she is now doing her due diligence and asking around and another plumber has told her it should have cost no more than $400. Claims she will pay 1K at the most"</t>
        </r>
      </text>
    </comment>
    <comment ref="A1014" authorId="42" shapeId="0" xr:uid="{32E740C6-166F-4574-8241-5EF1A232BEA3}">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1014" authorId="1" shapeId="0" xr:uid="{A3BFC2BB-1237-4CB4-B6F2-DB98A910337B}">
      <text>
        <r>
          <rPr>
            <sz val="11"/>
            <color theme="1"/>
            <rFont val="Aptos Narrow"/>
            <family val="2"/>
            <scheme val="minor"/>
          </rPr>
          <t>Unknown User:
SUPPLY AND INSTALLATION OF INSTANT HOT WATER UNIT</t>
        </r>
      </text>
    </comment>
    <comment ref="R1014" authorId="1" shapeId="0" xr:uid="{FB2BE86F-375F-411E-A81B-A6E05F209C98}">
      <text>
        <r>
          <rPr>
            <sz val="11"/>
            <color theme="1"/>
            <rFont val="Aptos Narrow"/>
            <family val="2"/>
            <scheme val="minor"/>
          </rPr>
          <t>Unknown User:
Invoice not signed</t>
        </r>
      </text>
    </comment>
    <comment ref="S1014" authorId="1" shapeId="0" xr:uid="{42CFB566-CD70-48DE-A05B-F338106C6B8F}">
      <text>
        <r>
          <rPr>
            <sz val="11"/>
            <color theme="1"/>
            <rFont val="Aptos Narrow"/>
            <family val="2"/>
            <scheme val="minor"/>
          </rPr>
          <t>Unknown User:
Signed invoice not emailed</t>
        </r>
      </text>
    </comment>
    <comment ref="G1015" authorId="1" shapeId="0" xr:uid="{D18C0A7D-4790-40B2-9380-BA04A88D2A99}">
      <text>
        <r>
          <rPr>
            <sz val="11"/>
            <color theme="1"/>
            <rFont val="Aptos Narrow"/>
            <family val="2"/>
            <scheme val="minor"/>
          </rPr>
          <t>Unknown User:
ROOF LEAK SEARCH &amp; INVESTIGATION
10% Seniors &amp; Pensioners Discount</t>
        </r>
      </text>
    </comment>
    <comment ref="R1015" authorId="1" shapeId="0" xr:uid="{84FAA531-B001-4F3B-BDF5-2006966D780E}">
      <text>
        <r>
          <rPr>
            <sz val="11"/>
            <color theme="1"/>
            <rFont val="Aptos Narrow"/>
            <family val="2"/>
            <scheme val="minor"/>
          </rPr>
          <t>Unknown User:
Invoice not signed</t>
        </r>
      </text>
    </comment>
    <comment ref="S1015" authorId="1" shapeId="0" xr:uid="{39151DEE-6404-49F6-9A74-DE038B615804}">
      <text>
        <r>
          <rPr>
            <sz val="11"/>
            <color theme="1"/>
            <rFont val="Aptos Narrow"/>
            <family val="2"/>
            <scheme val="minor"/>
          </rPr>
          <t>Unknown User:
Signed invoice not emailed</t>
        </r>
      </text>
    </comment>
    <comment ref="A1016" authorId="43" shapeId="0" xr:uid="{5B1113A8-D43C-420F-A46C-7D59D169B36C}">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1016" authorId="1" shapeId="0" xr:uid="{9956AE10-FF22-466E-8490-4BEABCADFCBC}">
      <text>
        <r>
          <rPr>
            <sz val="11"/>
            <color theme="1"/>
            <rFont val="Aptos Narrow"/>
            <family val="2"/>
            <scheme val="minor"/>
          </rPr>
          <t xml:space="preserve">Unknown User:
CONVERT SOLAR SPLIT HOT WATER SYSTEM TO EXTERNAL GAS INSTANTANEOUS HOT WATER SYSTEM
SUPPLY AND INSTALLATION OF PRESSURE REGULATING DEVICE FITTED TO 20MM STRAIGHT PIPEWORK
10% Seniors &amp; Pensioners Discount
CREDIT OF SEARCH &amp; INVESTIGATION </t>
        </r>
      </text>
    </comment>
    <comment ref="L1016" authorId="1" shapeId="0" xr:uid="{54BACAA3-7DD1-420E-9E52-99520707915E}">
      <text>
        <r>
          <rPr>
            <sz val="11"/>
            <color theme="1"/>
            <rFont val="Aptos Narrow"/>
            <family val="2"/>
            <scheme val="minor"/>
          </rPr>
          <t>Unknown User:
Temp check not performed</t>
        </r>
      </text>
    </comment>
    <comment ref="P1016" authorId="1" shapeId="0" xr:uid="{0508EAEB-C431-48E2-A902-5BA00CB2CB29}">
      <text>
        <r>
          <rPr>
            <sz val="11"/>
            <color theme="1"/>
            <rFont val="Aptos Narrow"/>
            <family val="2"/>
            <scheme val="minor"/>
          </rPr>
          <t>Unknown User:
Quote not emailed</t>
        </r>
      </text>
    </comment>
    <comment ref="R1016" authorId="1" shapeId="0" xr:uid="{B44265F7-6303-414F-A31B-F3E7B2193E63}">
      <text>
        <r>
          <rPr>
            <sz val="11"/>
            <color theme="1"/>
            <rFont val="Aptos Narrow"/>
            <family val="2"/>
            <scheme val="minor"/>
          </rPr>
          <t>Unknown User:
Invoice not signed</t>
        </r>
      </text>
    </comment>
    <comment ref="S1016" authorId="1" shapeId="0" xr:uid="{CA48FB54-00D3-49E2-9231-CD91A3753FBA}">
      <text>
        <r>
          <rPr>
            <sz val="11"/>
            <color theme="1"/>
            <rFont val="Aptos Narrow"/>
            <family val="2"/>
            <scheme val="minor"/>
          </rPr>
          <t>Unknown User:
Invoice emailed without sign.</t>
        </r>
      </text>
    </comment>
    <comment ref="T1016" authorId="1" shapeId="0" xr:uid="{68480F14-0249-4598-BE3E-0508C59AAD11}">
      <text>
        <r>
          <rPr>
            <sz val="11"/>
            <color theme="1"/>
            <rFont val="Aptos Narrow"/>
            <family val="2"/>
            <scheme val="minor"/>
          </rPr>
          <t>Unknown User:
0.5x Tolga Bal
0.5x Rhys</t>
        </r>
      </text>
    </comment>
    <comment ref="A1017" authorId="44" shapeId="0" xr:uid="{3898789A-B8B1-4C3F-BAC8-DD95CFCDA0CC}">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1017" authorId="1" shapeId="0" xr:uid="{505A0616-F0F6-4F94-ADD7-39C47DA6DC4D}">
      <text>
        <r>
          <rPr>
            <sz val="11"/>
            <color theme="1"/>
            <rFont val="Aptos Narrow"/>
            <family val="2"/>
            <scheme val="minor"/>
          </rPr>
          <t>Unknown User:
REPLACEMENT OF PLUG &amp; WASTE - 40MM
MIXER TAP - GOOSE NECK
10% Good Will Discount 
CHEMICAL DRAIN CLEANING TREATMENT</t>
        </r>
      </text>
    </comment>
    <comment ref="V1017" authorId="1" shapeId="0" xr:uid="{1EBB4E1A-F3F0-4BC4-9A3B-972862C28F15}">
      <text>
        <r>
          <rPr>
            <sz val="11"/>
            <color theme="1"/>
            <rFont val="Aptos Narrow"/>
            <family val="2"/>
            <scheme val="minor"/>
          </rPr>
          <t>Unknown User:
1/9-Received $707.60 by Smartpay</t>
        </r>
      </text>
    </comment>
    <comment ref="G1018" authorId="1" shapeId="0" xr:uid="{8436E131-E8AA-435C-B6ED-6E15EE87C6AA}">
      <text>
        <r>
          <rPr>
            <sz val="11"/>
            <color theme="1"/>
            <rFont val="Aptos Narrow"/>
            <family val="2"/>
            <scheme val="minor"/>
          </rPr>
          <t xml:space="preserve">Unknown User:
SUPPLY &amp; INSTALLATION OF NEW SHOWER WALL TOP TAPS
REPLACEMENT OF TAP TOPS
10% Good Will Discount </t>
        </r>
      </text>
    </comment>
    <comment ref="P1018" authorId="1" shapeId="0" xr:uid="{5DFA2645-3378-49A8-9908-F08F857389A0}">
      <text>
        <r>
          <rPr>
            <sz val="11"/>
            <color theme="1"/>
            <rFont val="Aptos Narrow"/>
            <family val="2"/>
            <scheme val="minor"/>
          </rPr>
          <t>Unknown User:
Quote not emailed</t>
        </r>
      </text>
    </comment>
    <comment ref="G1019" authorId="1" shapeId="0" xr:uid="{863A654B-DA59-4BF8-84F8-C32DB2D23D50}">
      <text>
        <r>
          <rPr>
            <sz val="11"/>
            <color theme="1"/>
            <rFont val="Aptos Narrow"/>
            <family val="2"/>
            <scheme val="minor"/>
          </rPr>
          <t xml:space="preserve">Unknown User:
SPECIALIST LEAK DETECTION (WATER SERVICE)
10% Seniors &amp; Pensioners Discount </t>
        </r>
      </text>
    </comment>
    <comment ref="M1019" authorId="1" shapeId="0" xr:uid="{231D6DCC-A6B0-47F7-BB56-40A2B885D2C1}">
      <text>
        <r>
          <rPr>
            <sz val="11"/>
            <color theme="1"/>
            <rFont val="Aptos Narrow"/>
            <family val="2"/>
            <scheme val="minor"/>
          </rPr>
          <t>Unknown User:
Cash pic/receipt not uploaded</t>
        </r>
      </text>
    </comment>
    <comment ref="Q1019" authorId="1" shapeId="0" xr:uid="{13D35DD7-F43D-4CA9-A247-E95D20DDB1CF}">
      <text>
        <r>
          <rPr>
            <sz val="11"/>
            <color theme="1"/>
            <rFont val="Aptos Narrow"/>
            <family val="2"/>
            <scheme val="minor"/>
          </rPr>
          <t>Unknown User:
Progress invoice not updated</t>
        </r>
      </text>
    </comment>
    <comment ref="R1019" authorId="1" shapeId="0" xr:uid="{39D5BB4C-DAC1-4F80-98B7-CCC4D4DD47A8}">
      <text>
        <r>
          <rPr>
            <sz val="11"/>
            <color theme="1"/>
            <rFont val="Aptos Narrow"/>
            <family val="2"/>
            <scheme val="minor"/>
          </rPr>
          <t>Unknown User:
Sign not obtained</t>
        </r>
      </text>
    </comment>
    <comment ref="S1019" authorId="1" shapeId="0" xr:uid="{03400FD0-A8B9-4BF4-A9E0-6848713FD176}">
      <text>
        <r>
          <rPr>
            <sz val="11"/>
            <color theme="1"/>
            <rFont val="Aptos Narrow"/>
            <family val="2"/>
            <scheme val="minor"/>
          </rPr>
          <t>Unknown User:
Invoice emailed without sign</t>
        </r>
      </text>
    </comment>
    <comment ref="W1019" authorId="1" shapeId="0" xr:uid="{BA542ABE-76BC-4E7F-A8BB-F000AADC5F03}">
      <text>
        <r>
          <rPr>
            <sz val="11"/>
            <color theme="1"/>
            <rFont val="Aptos Narrow"/>
            <family val="2"/>
            <scheme val="minor"/>
          </rPr>
          <t>Unknown User:
Cash denomination not available as cash pic/receipt not uploaded.</t>
        </r>
      </text>
    </comment>
    <comment ref="G1020" authorId="1" shapeId="0" xr:uid="{43C81705-2756-4636-8311-0404DF86B6B5}">
      <text>
        <r>
          <rPr>
            <sz val="11"/>
            <color theme="1"/>
            <rFont val="Aptos Narrow"/>
            <family val="2"/>
            <scheme val="minor"/>
          </rPr>
          <t>Unknown User:
HIGH POWERED SUCTION PUMP
Non-refundable call out fee</t>
        </r>
      </text>
    </comment>
    <comment ref="G1021" authorId="1" shapeId="0" xr:uid="{3B68E90A-E5F4-433E-A763-0E8BBBCC0FB7}">
      <text>
        <r>
          <rPr>
            <sz val="11"/>
            <color theme="1"/>
            <rFont val="Aptos Narrow"/>
            <family val="2"/>
            <scheme val="minor"/>
          </rPr>
          <t xml:space="preserve">Unknown User:
HIGH POWERED JET BLAST &amp; CCTV CAMERA INSPECTION (GAIN ACCESS WITH REMOVAL OF TOILET)
</t>
        </r>
      </text>
    </comment>
    <comment ref="P1021" authorId="1" shapeId="0" xr:uid="{33C7E427-7BC4-4606-90F8-8B91C5C325C8}">
      <text>
        <r>
          <rPr>
            <sz val="11"/>
            <color theme="1"/>
            <rFont val="Aptos Narrow"/>
            <family val="2"/>
            <scheme val="minor"/>
          </rPr>
          <t>Unknown User:
Quote not emailed</t>
        </r>
      </text>
    </comment>
    <comment ref="Q1021" authorId="1" shapeId="0" xr:uid="{5A1EB574-02B8-437B-A280-47E32945BF88}">
      <text>
        <r>
          <rPr>
            <sz val="11"/>
            <color theme="1"/>
            <rFont val="Aptos Narrow"/>
            <family val="2"/>
            <scheme val="minor"/>
          </rPr>
          <t>Unknown User:
Progress invoice not raised</t>
        </r>
      </text>
    </comment>
    <comment ref="G1022" authorId="1" shapeId="0" xr:uid="{1B7047D5-89E0-4A8F-8AE7-B3CA3CFE7DDD}">
      <text>
        <r>
          <rPr>
            <sz val="11"/>
            <color theme="1"/>
            <rFont val="Aptos Narrow"/>
            <family val="2"/>
            <scheme val="minor"/>
          </rPr>
          <t>Unknown User:
HIGH POWERED JET BLAST &amp; CCTV DRAIN CAMERA INSPECTION (SEWER SERVICE)</t>
        </r>
      </text>
    </comment>
    <comment ref="M1022" authorId="1" shapeId="0" xr:uid="{A6F3192A-37BC-4A4A-9D71-D43DD37BFD6E}">
      <text>
        <r>
          <rPr>
            <sz val="11"/>
            <color theme="1"/>
            <rFont val="Aptos Narrow"/>
            <family val="2"/>
            <scheme val="minor"/>
          </rPr>
          <t>Unknown User:
Smartpay receipt of $120 not uploaded by plumber.
To be confirmed by office as there's only 1 Smartpay receipt for $120 available in Smartpay portal for the day &amp; it pertains to Job #73530</t>
        </r>
      </text>
    </comment>
    <comment ref="Q1022" authorId="1" shapeId="0" xr:uid="{EEA62B7F-D27D-47AB-9AB5-4D73EE85ACE8}">
      <text>
        <r>
          <rPr>
            <sz val="11"/>
            <color theme="1"/>
            <rFont val="Aptos Narrow"/>
            <family val="2"/>
            <scheme val="minor"/>
          </rPr>
          <t>Unknown User:
Final zero due invoice not raised by plumber</t>
        </r>
      </text>
    </comment>
    <comment ref="G1023" authorId="1" shapeId="0" xr:uid="{5D729483-A045-48AF-8AF2-CEC10A6A59AB}">
      <text>
        <r>
          <rPr>
            <sz val="11"/>
            <color theme="1"/>
            <rFont val="Aptos Narrow"/>
            <family val="2"/>
            <scheme val="minor"/>
          </rPr>
          <t>Unknown User:
WATER SERVICE RECTIFICATION (IN WALL)
10% Seniors &amp; Pensioners Discount</t>
        </r>
      </text>
    </comment>
    <comment ref="Q1023" authorId="1" shapeId="0" xr:uid="{2CC62D5E-033A-406F-B7B5-C59772F51E37}">
      <text>
        <r>
          <rPr>
            <sz val="11"/>
            <color theme="1"/>
            <rFont val="Aptos Narrow"/>
            <family val="2"/>
            <scheme val="minor"/>
          </rPr>
          <t>Unknown User:
Progress invoice for $1200 not raised</t>
        </r>
      </text>
    </comment>
    <comment ref="A1024" authorId="45" shapeId="0" xr:uid="{C68CF26A-F50C-4429-A796-6E487D9D9CA9}">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1024" authorId="1" shapeId="0" xr:uid="{C907DD3F-5FB4-4240-9EBA-574D1CB186DB}">
      <text>
        <r>
          <rPr>
            <sz val="11"/>
            <color theme="1"/>
            <rFont val="Aptos Narrow"/>
            <family val="2"/>
            <scheme val="minor"/>
          </rPr>
          <t>Unknown User:
SUPPLY &amp; INSTALLATION OF GAS STORAGE HOT WATER SYSTEM (EXTERNAL)</t>
        </r>
      </text>
    </comment>
    <comment ref="P1024" authorId="1" shapeId="0" xr:uid="{1444C057-78BE-439D-8EEA-8A3F5C11A45C}">
      <text>
        <r>
          <rPr>
            <sz val="11"/>
            <color theme="1"/>
            <rFont val="Aptos Narrow"/>
            <family val="2"/>
            <scheme val="minor"/>
          </rPr>
          <t>Unknown User:
Quote not emailed</t>
        </r>
      </text>
    </comment>
    <comment ref="Q1024" authorId="1" shapeId="0" xr:uid="{65A7E3A6-BFD3-4BA7-98D6-2AB65ADF04A8}">
      <text>
        <r>
          <rPr>
            <sz val="11"/>
            <color theme="1"/>
            <rFont val="Aptos Narrow"/>
            <family val="2"/>
            <scheme val="minor"/>
          </rPr>
          <t>Unknown User:
Invoice not raised</t>
        </r>
      </text>
    </comment>
    <comment ref="W1024" authorId="1" shapeId="0" xr:uid="{BFBD7C50-9D15-45A0-8891-1424834C6F8D}">
      <text>
        <r>
          <rPr>
            <sz val="11"/>
            <color theme="1"/>
            <rFont val="Aptos Narrow"/>
            <family val="2"/>
            <scheme val="minor"/>
          </rPr>
          <t>Unknown User:
Cash denomination
$50*14=$700</t>
        </r>
      </text>
    </comment>
    <comment ref="G1025" authorId="1" shapeId="0" xr:uid="{F7078E6A-67A7-4846-9D45-85F5D44B3274}">
      <text>
        <r>
          <rPr>
            <sz val="11"/>
            <color theme="1"/>
            <rFont val="Aptos Narrow"/>
            <family val="2"/>
            <scheme val="minor"/>
          </rPr>
          <t>Unknown User:
HIGH POWERED JET BLAST &amp; CCTV DRAIN CAMERA INSPECTION (SEWER SERVICE)</t>
        </r>
      </text>
    </comment>
    <comment ref="R1025" authorId="1" shapeId="0" xr:uid="{D047AB4D-79FE-41E4-BE63-DA678D578025}">
      <text>
        <r>
          <rPr>
            <sz val="11"/>
            <color theme="1"/>
            <rFont val="Aptos Narrow"/>
            <family val="2"/>
            <scheme val="minor"/>
          </rPr>
          <t>Unknown User:
Invoice not signed</t>
        </r>
      </text>
    </comment>
    <comment ref="S1025" authorId="1" shapeId="0" xr:uid="{C95C6D50-A7C7-4885-85A4-4FBE49A69B78}">
      <text>
        <r>
          <rPr>
            <sz val="11"/>
            <color theme="1"/>
            <rFont val="Aptos Narrow"/>
            <family val="2"/>
            <scheme val="minor"/>
          </rPr>
          <t>Unknown User:
Invoice emailed without sign</t>
        </r>
      </text>
    </comment>
    <comment ref="A1026" authorId="46" shapeId="0" xr:uid="{A4F63830-E618-4DA6-AE22-75C5FE03B983}">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1026" authorId="1" shapeId="0" xr:uid="{021B5D7D-9FA8-4A75-B905-FF2E0B14AE24}">
      <text>
        <r>
          <rPr>
            <sz val="11"/>
            <color theme="1"/>
            <rFont val="Aptos Narrow"/>
            <family val="2"/>
            <scheme val="minor"/>
          </rPr>
          <t xml:space="preserve">Unknown User:
STORM WATER SPOT RECTIFICATION IN GROUND
</t>
        </r>
      </text>
    </comment>
    <comment ref="G1027" authorId="1" shapeId="0" xr:uid="{67AC7734-9330-4066-A113-5F3E4DB41230}">
      <text>
        <r>
          <rPr>
            <sz val="11"/>
            <color theme="1"/>
            <rFont val="Aptos Narrow"/>
            <family val="2"/>
            <scheme val="minor"/>
          </rPr>
          <t>Unknown User:
HIGH POWERED SUCTION &amp; ACID TREATMENT
15% Good Will Discount
$89 Blocked Drains Discount</t>
        </r>
      </text>
    </comment>
    <comment ref="G1028" authorId="1" shapeId="0" xr:uid="{5BB1403A-9E19-4C7B-8CBE-4A2C713DBCD2}">
      <text>
        <r>
          <rPr>
            <sz val="11"/>
            <color theme="1"/>
            <rFont val="Aptos Narrow"/>
            <family val="2"/>
            <scheme val="minor"/>
          </rPr>
          <t>Unknown User:
COMPLETE SERVICE OF TAP TOP ASSEMBLY</t>
        </r>
      </text>
    </comment>
    <comment ref="W1028" authorId="1" shapeId="0" xr:uid="{D16FDE71-4444-4D75-9A09-0AD190273B28}">
      <text>
        <r>
          <rPr>
            <sz val="11"/>
            <color theme="1"/>
            <rFont val="Aptos Narrow"/>
            <family val="2"/>
            <scheme val="minor"/>
          </rPr>
          <t>Unknown User:
Cash denomination
$50*7=$350</t>
        </r>
      </text>
    </comment>
    <comment ref="G1029" authorId="1" shapeId="0" xr:uid="{812D38BC-B2B8-443B-ABCA-0405DD3A8A36}">
      <text>
        <r>
          <rPr>
            <sz val="11"/>
            <color theme="1"/>
            <rFont val="Aptos Narrow"/>
            <family val="2"/>
            <scheme val="minor"/>
          </rPr>
          <t>Unknown User:
SEARCH AND INVESTIGATION OF ELECTRIC STORAGE HOT WATER SYSTEM</t>
        </r>
      </text>
    </comment>
    <comment ref="R1029" authorId="1" shapeId="0" xr:uid="{3ACE344F-56B4-42D8-91BE-0243F0FADD25}">
      <text>
        <r>
          <rPr>
            <sz val="11"/>
            <color theme="1"/>
            <rFont val="Aptos Narrow"/>
            <family val="2"/>
            <scheme val="minor"/>
          </rPr>
          <t>Unknown User:
Invoice not signed</t>
        </r>
      </text>
    </comment>
    <comment ref="S1029" authorId="1" shapeId="0" xr:uid="{AC9F9390-04EF-4EF7-9087-111C0E4DDE35}">
      <text>
        <r>
          <rPr>
            <sz val="11"/>
            <color theme="1"/>
            <rFont val="Aptos Narrow"/>
            <family val="2"/>
            <scheme val="minor"/>
          </rPr>
          <t>Unknown User:
Invoice emailed without sign</t>
        </r>
      </text>
    </comment>
    <comment ref="G1030" authorId="1" shapeId="0" xr:uid="{0F77166A-BF8D-4423-A851-A7410B1C1206}">
      <text>
        <r>
          <rPr>
            <sz val="11"/>
            <color theme="1"/>
            <rFont val="Aptos Narrow"/>
            <family val="2"/>
            <scheme val="minor"/>
          </rPr>
          <t>Unknown User:
SUPPLY &amp; INSTALLATION OF NEW SINGLE ELEMENT HOT WATER UNIT – INTERNAL</t>
        </r>
      </text>
    </comment>
    <comment ref="Q1030" authorId="1" shapeId="0" xr:uid="{049DF021-8465-4546-ACEF-D2EAC51E5AAE}">
      <text>
        <r>
          <rPr>
            <sz val="11"/>
            <color theme="1"/>
            <rFont val="Aptos Narrow"/>
            <family val="2"/>
            <scheme val="minor"/>
          </rPr>
          <t>Unknown User:
Progress invoice not raised</t>
        </r>
      </text>
    </comment>
    <comment ref="A1031" authorId="47" shapeId="0" xr:uid="{C5704E10-AAD2-46B7-B66E-875265D24665}">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1031" authorId="1" shapeId="0" xr:uid="{783B62F5-332F-4989-AEB9-283F57A55BD1}">
      <text>
        <r>
          <rPr>
            <sz val="11"/>
            <color theme="1"/>
            <rFont val="Aptos Narrow"/>
            <family val="2"/>
            <scheme val="minor"/>
          </rPr>
          <t>Unknown User:
INSTALLATION OF MIXER CARTRIDGE (CUSTOMER SUPPLIED</t>
        </r>
      </text>
    </comment>
    <comment ref="P1031" authorId="1" shapeId="0" xr:uid="{2DEF9B71-9145-4965-9867-A3B21F87B670}">
      <text>
        <r>
          <rPr>
            <sz val="11"/>
            <color theme="1"/>
            <rFont val="Aptos Narrow"/>
            <family val="2"/>
            <scheme val="minor"/>
          </rPr>
          <t>Unknown User:
Quote not emailed</t>
        </r>
      </text>
    </comment>
    <comment ref="G1035" authorId="1" shapeId="0" xr:uid="{62437F54-2CD5-4652-95ED-7E720C7BC8E4}">
      <text>
        <r>
          <rPr>
            <sz val="11"/>
            <color theme="1"/>
            <rFont val="Aptos Narrow"/>
            <family val="2"/>
            <scheme val="minor"/>
          </rPr>
          <t xml:space="preserve">Unknown User:
SPECIALIST LEAK DETECTION (WATER SERVICE)
10% Seniors &amp; Pensioners Discount
</t>
        </r>
      </text>
    </comment>
    <comment ref="P1035" authorId="1" shapeId="0" xr:uid="{7ECD27AF-0FF2-49F2-BF97-AF57AC29DECE}">
      <text>
        <r>
          <rPr>
            <sz val="11"/>
            <color theme="1"/>
            <rFont val="Aptos Narrow"/>
            <family val="2"/>
            <scheme val="minor"/>
          </rPr>
          <t>Unknown User:
Quote not emailed</t>
        </r>
      </text>
    </comment>
    <comment ref="U1035" authorId="1" shapeId="0" xr:uid="{66A8E756-5853-426D-8D42-18C8D5B2731D}">
      <text>
        <r>
          <rPr>
            <sz val="11"/>
            <color theme="1"/>
            <rFont val="Aptos Narrow"/>
            <family val="2"/>
            <scheme val="minor"/>
          </rPr>
          <t>Unknown User:
15/8-As per Rhys's note "HUMM messed around for like 2 hours
Client didn’t wanna do it anymore
Collected deposit come back next week"</t>
        </r>
      </text>
    </comment>
    <comment ref="G1036" authorId="1" shapeId="0" xr:uid="{5DB5CE7F-1356-4276-98A3-7334D97014BB}">
      <text>
        <r>
          <rPr>
            <sz val="11"/>
            <color theme="1"/>
            <rFont val="Aptos Narrow"/>
            <family val="2"/>
            <scheme val="minor"/>
          </rPr>
          <t xml:space="preserve">Unknown User:
ROOF MAINTENANCE </t>
        </r>
      </text>
    </comment>
    <comment ref="N1036" authorId="1" shapeId="0" xr:uid="{819C41A6-AB9C-4948-B8EF-00C0BFDB3C8F}">
      <text>
        <r>
          <rPr>
            <sz val="11"/>
            <color theme="1"/>
            <rFont val="Aptos Narrow"/>
            <family val="2"/>
            <scheme val="minor"/>
          </rPr>
          <t>Unknown User:
Quote raised in Job #72515</t>
        </r>
      </text>
    </comment>
    <comment ref="V1036" authorId="1" shapeId="0" xr:uid="{E630C9D7-9E87-49D4-8FA6-DA4ECCC2CD8C}">
      <text>
        <r>
          <rPr>
            <sz val="11"/>
            <color theme="1"/>
            <rFont val="Aptos Narrow"/>
            <family val="2"/>
            <scheme val="minor"/>
          </rPr>
          <t>Unknown User:
10/9-EFT of $10000 received
18/9-EFT of $10000 received
25/9-Received cash bundles of $100-Denomination not asseessable.</t>
        </r>
      </text>
    </comment>
    <comment ref="G1037" authorId="1" shapeId="0" xr:uid="{1EF05500-2D30-4860-B00E-42E2E6C6E572}">
      <text>
        <r>
          <rPr>
            <sz val="11"/>
            <color theme="1"/>
            <rFont val="Aptos Narrow"/>
            <family val="2"/>
            <scheme val="minor"/>
          </rPr>
          <t>Unknown User:
SEWER SPOT DIG - IN GROUND</t>
        </r>
      </text>
    </comment>
    <comment ref="K1037" authorId="1" shapeId="0" xr:uid="{56BD7331-7AB9-4B00-95B7-30FB01AA2C5E}">
      <text>
        <r>
          <rPr>
            <sz val="11"/>
            <color theme="1"/>
            <rFont val="Aptos Narrow"/>
            <family val="2"/>
            <scheme val="minor"/>
          </rPr>
          <t xml:space="preserve">Unknown User:
Job #73032 pics uploaded </t>
        </r>
      </text>
    </comment>
    <comment ref="V1037" authorId="1" shapeId="0" xr:uid="{D76DC04A-EA22-47D6-A6AA-5C4D2BEDCDD6}">
      <text>
        <r>
          <rPr>
            <sz val="11"/>
            <color theme="1"/>
            <rFont val="Aptos Narrow"/>
            <family val="2"/>
            <scheme val="minor"/>
          </rPr>
          <t>Unknown User:
15/9-EFT of $5000</t>
        </r>
      </text>
    </comment>
    <comment ref="G1038" authorId="1" shapeId="0" xr:uid="{B1C3ECA7-CEF0-4F04-B06C-DE9DB516A9E9}">
      <text>
        <r>
          <rPr>
            <sz val="11"/>
            <color theme="1"/>
            <rFont val="Aptos Narrow"/>
            <family val="2"/>
            <scheme val="minor"/>
          </rPr>
          <t>Unknown User:
SUPPLY AND INSTALLATION OF NEW BOX GUTTER UP TO 2.5M
10% Seniors &amp; Pensioners Discount</t>
        </r>
      </text>
    </comment>
    <comment ref="K1038" authorId="1" shapeId="0" xr:uid="{AB5E1139-2D41-4CE9-B040-CEEFB678A5FE}">
      <text>
        <r>
          <rPr>
            <sz val="11"/>
            <color theme="1"/>
            <rFont val="Aptos Narrow"/>
            <family val="2"/>
            <scheme val="minor"/>
          </rPr>
          <t>Unknown User:
Previous job images considered</t>
        </r>
      </text>
    </comment>
    <comment ref="G1039" authorId="1" shapeId="0" xr:uid="{CE57045A-E461-4DE8-8464-28A0FB7FFD61}">
      <text>
        <r>
          <rPr>
            <sz val="11"/>
            <color theme="1"/>
            <rFont val="Aptos Narrow"/>
            <family val="2"/>
            <scheme val="minor"/>
          </rPr>
          <t>Unknown User:
SEWER SPOT DIG - IN GROUND</t>
        </r>
      </text>
    </comment>
    <comment ref="P1039" authorId="1" shapeId="0" xr:uid="{465BD496-C77C-4A35-9BA3-DAE928868505}">
      <text>
        <r>
          <rPr>
            <sz val="11"/>
            <color theme="1"/>
            <rFont val="Aptos Narrow"/>
            <family val="2"/>
            <scheme val="minor"/>
          </rPr>
          <t>Unknown User:
Quote not emailed</t>
        </r>
      </text>
    </comment>
    <comment ref="Q1039" authorId="1" shapeId="0" xr:uid="{3CE21F54-821A-44A8-AB16-2E26A7B9A1C9}">
      <text>
        <r>
          <rPr>
            <sz val="11"/>
            <color theme="1"/>
            <rFont val="Aptos Narrow"/>
            <family val="2"/>
            <scheme val="minor"/>
          </rPr>
          <t>Unknown User:
Invoice not raised by plumber</t>
        </r>
      </text>
    </comment>
    <comment ref="W1039" authorId="1" shapeId="0" xr:uid="{DEF97971-BCE8-4EE2-9B0C-739ED70C8AB7}">
      <text>
        <r>
          <rPr>
            <sz val="11"/>
            <color theme="1"/>
            <rFont val="Aptos Narrow"/>
            <family val="2"/>
            <scheme val="minor"/>
          </rPr>
          <t>Unknown User:
Cash denomination not available-Unable to figure out exact denomination</t>
        </r>
      </text>
    </comment>
    <comment ref="G1040" authorId="1" shapeId="0" xr:uid="{02F1AFE7-A58F-4942-A129-F32B8E887E28}">
      <text>
        <r>
          <rPr>
            <sz val="11"/>
            <color theme="1"/>
            <rFont val="Aptos Narrow"/>
            <family val="2"/>
            <scheme val="minor"/>
          </rPr>
          <t>Unknown User:
HIGH POWERED JET BLAST &amp; CCTV CAMERA INSPECTION (GAIN ACCESS WITH REMOVAL OF TOILET)</t>
        </r>
      </text>
    </comment>
    <comment ref="P1040" authorId="1" shapeId="0" xr:uid="{1D61423E-F840-47FE-A323-884DEF76EBCA}">
      <text>
        <r>
          <rPr>
            <sz val="11"/>
            <color theme="1"/>
            <rFont val="Aptos Narrow"/>
            <family val="2"/>
            <scheme val="minor"/>
          </rPr>
          <t>Unknown User:
Quote not emailed</t>
        </r>
      </text>
    </comment>
    <comment ref="G1041" authorId="1" shapeId="0" xr:uid="{7E007AAB-EF55-44E5-82B7-BB3BB498A642}">
      <text>
        <r>
          <rPr>
            <sz val="11"/>
            <color theme="1"/>
            <rFont val="Aptos Narrow"/>
            <family val="2"/>
            <scheme val="minor"/>
          </rPr>
          <t>Unknown User:
SEWER SPOT DIG - IN GROUND
SUPPLY &amp; INSTALLATION OF NEW LINK SUITE</t>
        </r>
      </text>
    </comment>
    <comment ref="P1041" authorId="1" shapeId="0" xr:uid="{1649683C-F337-4B9D-9A55-5E2883E8645D}">
      <text>
        <r>
          <rPr>
            <sz val="11"/>
            <color theme="1"/>
            <rFont val="Aptos Narrow"/>
            <family val="2"/>
            <scheme val="minor"/>
          </rPr>
          <t>Unknown User:
Quote not emailed</t>
        </r>
      </text>
    </comment>
    <comment ref="G1045" authorId="1" shapeId="0" xr:uid="{60C83B92-1A95-41C3-A8E8-DD621FC8A8B2}">
      <text>
        <r>
          <rPr>
            <sz val="11"/>
            <color theme="1"/>
            <rFont val="Aptos Narrow"/>
            <family val="2"/>
            <scheme val="minor"/>
          </rPr>
          <t>Unknown User:
SUPPLY &amp; INSTALLATION OF NEW WALL FACED TOILET SUITE
REPLACEMENT OF SHOWER ON RAIL</t>
        </r>
      </text>
    </comment>
    <comment ref="G1046" authorId="1" shapeId="0" xr:uid="{BBEDD50C-AEC7-43BC-B6A7-4DC333C4BAB2}">
      <text>
        <r>
          <rPr>
            <sz val="11"/>
            <color theme="1"/>
            <rFont val="Aptos Narrow"/>
            <family val="2"/>
            <scheme val="minor"/>
          </rPr>
          <t>Unknown User:
WATER SERVICE RECTIFICATION (IN WALL)
10% Seniors &amp; Pensioners Discount</t>
        </r>
      </text>
    </comment>
    <comment ref="G1047" authorId="1" shapeId="0" xr:uid="{9D93918B-F921-4095-8AEA-C1E969DB7883}">
      <text>
        <r>
          <rPr>
            <sz val="11"/>
            <color theme="1"/>
            <rFont val="Aptos Narrow"/>
            <family val="2"/>
            <scheme val="minor"/>
          </rPr>
          <t>Unknown User:
WATER SERVICE RECTIFICATION (EXPOSED)</t>
        </r>
      </text>
    </comment>
    <comment ref="G1049" authorId="1" shapeId="0" xr:uid="{9AF0BF02-CCAA-4444-BBF4-64B170D23957}">
      <text>
        <r>
          <rPr>
            <sz val="11"/>
            <color theme="1"/>
            <rFont val="Aptos Narrow"/>
            <family val="2"/>
            <scheme val="minor"/>
          </rPr>
          <t>Unknown User:
SEARCH &amp; INVESTIGATION OF POTENTIAL GAS LEAK
15% Good Will Discount</t>
        </r>
      </text>
    </comment>
    <comment ref="G1050" authorId="1" shapeId="0" xr:uid="{A0545E1C-220F-4F74-A238-63E160D75D86}">
      <text>
        <r>
          <rPr>
            <sz val="11"/>
            <color theme="1"/>
            <rFont val="Aptos Narrow"/>
            <family val="2"/>
            <scheme val="minor"/>
          </rPr>
          <t>Unknown User:
SUPPLY &amp; INSTALLATION OF GAS STORAGE HOT WATER SYSTEM (EXTERNAL)</t>
        </r>
      </text>
    </comment>
    <comment ref="G1051" authorId="1" shapeId="0" xr:uid="{1873E624-8CA2-4DC4-9C00-3DA5C8481A13}">
      <text>
        <r>
          <rPr>
            <sz val="11"/>
            <color theme="1"/>
            <rFont val="Aptos Narrow"/>
            <family val="2"/>
            <scheme val="minor"/>
          </rPr>
          <t>Unknown User:
HIGH POWERED JET BLAST &amp; CCTV DRAIN CAMERA INSPECTION (STORM WATER SERVICE)
10% Seniors &amp; Pensioners Discount</t>
        </r>
      </text>
    </comment>
    <comment ref="G1052" authorId="1" shapeId="0" xr:uid="{1B4CD1AC-4409-47D7-8F5F-54D4AB7D3CF4}">
      <text>
        <r>
          <rPr>
            <sz val="11"/>
            <color theme="1"/>
            <rFont val="Aptos Narrow"/>
            <family val="2"/>
            <scheme val="minor"/>
          </rPr>
          <t xml:space="preserve">Unknown User:
SEARCH &amp; INVESTIGATION OF GAS APPLIANCE
</t>
        </r>
      </text>
    </comment>
    <comment ref="G1053" authorId="1" shapeId="0" xr:uid="{3079A9B5-9D02-4EE9-8C42-27DB65536DA1}">
      <text>
        <r>
          <rPr>
            <sz val="11"/>
            <color theme="1"/>
            <rFont val="Aptos Narrow"/>
            <family val="2"/>
            <scheme val="minor"/>
          </rPr>
          <t>Unknown User:
WATER SERVICE RECTIFICATION (EXPOSED)
10% Seniors &amp; Pensioners Discount</t>
        </r>
      </text>
    </comment>
    <comment ref="G1054" authorId="1" shapeId="0" xr:uid="{C71E73E0-9719-490B-A1D2-8CBECECA2C77}">
      <text>
        <r>
          <rPr>
            <sz val="11"/>
            <color theme="1"/>
            <rFont val="Aptos Narrow"/>
            <family val="2"/>
            <scheme val="minor"/>
          </rPr>
          <t>Unknown User:
SEARCH &amp; INVESTIGATION OF WATER HAMMER</t>
        </r>
      </text>
    </comment>
    <comment ref="G1055" authorId="1" shapeId="0" xr:uid="{D3F38471-B179-4171-8ABE-4D686B3BD49E}">
      <text>
        <r>
          <rPr>
            <sz val="11"/>
            <color theme="1"/>
            <rFont val="Aptos Narrow"/>
            <family val="2"/>
            <scheme val="minor"/>
          </rPr>
          <t xml:space="preserve">Unknown User:
SPECIALIST GAS LEAK DETECTION
</t>
        </r>
      </text>
    </comment>
    <comment ref="G1056" authorId="1" shapeId="0" xr:uid="{C35AAA45-540D-47E3-8F25-23ED08D85BD8}">
      <text>
        <r>
          <rPr>
            <sz val="11"/>
            <color theme="1"/>
            <rFont val="Aptos Narrow"/>
            <family val="2"/>
            <scheme val="minor"/>
          </rPr>
          <t>Unknown User:
HIGH POWERED JET BLAST &amp; CCTV DRAIN CAMERA INSPECTION (SEWER SERVICE)</t>
        </r>
      </text>
    </comment>
    <comment ref="G1057" authorId="1" shapeId="0" xr:uid="{25C1C3AF-0FE5-4A98-B785-8C382683B1A2}">
      <text>
        <r>
          <rPr>
            <sz val="11"/>
            <color theme="1"/>
            <rFont val="Aptos Narrow"/>
            <family val="2"/>
            <scheme val="minor"/>
          </rPr>
          <t>Unknown User:
SUPPLY &amp; INSTALLATION OF NEW COPPER GAS SERVICE UP TO 25M (REPLACEMENT OF EXISTING GALVANISED GAS SERVICE)
CREDIT OF SEARCH &amp; INVESTIGATION</t>
        </r>
      </text>
    </comment>
    <comment ref="G1058" authorId="1" shapeId="0" xr:uid="{4D9D548C-7861-4295-9354-61540C406877}">
      <text>
        <r>
          <rPr>
            <sz val="11"/>
            <color theme="1"/>
            <rFont val="Aptos Narrow"/>
            <family val="2"/>
            <scheme val="minor"/>
          </rPr>
          <t xml:space="preserve">Unknown User:
HIGH POWERED JET BLAST &amp; CCTV DRAIN CAMERA INSPECTION (STORM WATER SERVICE)
</t>
        </r>
      </text>
    </comment>
    <comment ref="G1059" authorId="1" shapeId="0" xr:uid="{328A4CE0-A457-4595-A7A3-5B5EFFA6F434}">
      <text>
        <r>
          <rPr>
            <sz val="11"/>
            <color theme="1"/>
            <rFont val="Aptos Narrow"/>
            <family val="2"/>
            <scheme val="minor"/>
          </rPr>
          <t xml:space="preserve">Unknown User:
CCTV DRAIN CAMERA INSPECTION OF STORM WATER SERVICE
</t>
        </r>
      </text>
    </comment>
    <comment ref="G1060" authorId="1" shapeId="0" xr:uid="{5B9B8BF1-FC1C-4168-9280-77D6DBCA7A6C}">
      <text>
        <r>
          <rPr>
            <sz val="11"/>
            <color theme="1"/>
            <rFont val="Aptos Narrow"/>
            <family val="2"/>
            <scheme val="minor"/>
          </rPr>
          <t>Unknown User:
SUPPLY &amp; INSTALLATION OF GAS STORAGE HOT WATER SYSTEM (EXTERNAL)</t>
        </r>
      </text>
    </comment>
    <comment ref="G1061" authorId="1" shapeId="0" xr:uid="{950B0B1F-2378-42D2-A1BD-7F3677696D6C}">
      <text>
        <r>
          <rPr>
            <sz val="11"/>
            <color theme="1"/>
            <rFont val="Aptos Narrow"/>
            <family val="2"/>
            <scheme val="minor"/>
          </rPr>
          <t>Unknown User:
CONVERT EXTERNAL GAS STORAGE HOT WATER SYSTEM TO EXTERNAL GAS INSTANTANEOUS HOT WATER SYSTEM</t>
        </r>
      </text>
    </comment>
    <comment ref="G1062" authorId="1" shapeId="0" xr:uid="{7B43D88A-0213-48D7-B47E-D8E32CEBE60B}">
      <text>
        <r>
          <rPr>
            <sz val="11"/>
            <color theme="1"/>
            <rFont val="Aptos Narrow"/>
            <family val="2"/>
            <scheme val="minor"/>
          </rPr>
          <t xml:space="preserve">Unknown User:
SEARCH &amp; INVESTIGATION (GENERAL)
</t>
        </r>
      </text>
    </comment>
    <comment ref="G1063" authorId="1" shapeId="0" xr:uid="{284F0C36-4A97-47F5-8E3D-677D9F8F0EE4}">
      <text>
        <r>
          <rPr>
            <sz val="11"/>
            <color theme="1"/>
            <rFont val="Aptos Narrow"/>
            <family val="2"/>
            <scheme val="minor"/>
          </rPr>
          <t xml:space="preserve">Unknown User:
*Isolate water to property 
*Set up safe work area 
*Supply and install cap in old toilet to 15mm pipe
*Supply and install 100mm cap to waste under concrete level
*Install Customer supplied mixer 
*Remove and cap off old bath mixer 
*Install tee into existing water service 
*Install lug and Connect water 
*Turn water on
*Test and commission works 
*Removal of trade waste 
</t>
        </r>
      </text>
    </comment>
    <comment ref="G1067" authorId="1" shapeId="0" xr:uid="{176174B0-1FAA-4A6B-B655-6106B2AB8C4D}">
      <text>
        <r>
          <rPr>
            <sz val="11"/>
            <color theme="1"/>
            <rFont val="Aptos Narrow"/>
            <family val="2"/>
            <scheme val="minor"/>
          </rPr>
          <t xml:space="preserve">Unknown User:
REPLACEMENT OF EXISTING 20MM WATER CONNECTION WITH BRAIDED FLEXIBLE HOSE
REPLACEMENT OF SHOWER HOSE
</t>
        </r>
      </text>
    </comment>
    <comment ref="G1068" authorId="1" shapeId="0" xr:uid="{927FDAB2-D340-423F-B647-B0214CAF7E0A}">
      <text>
        <r>
          <rPr>
            <sz val="11"/>
            <color theme="1"/>
            <rFont val="Aptos Narrow"/>
            <family val="2"/>
            <scheme val="minor"/>
          </rPr>
          <t xml:space="preserve">Unknown User:
SEARCH &amp; INVESTIGATION OF MACERATOR PUMP
</t>
        </r>
      </text>
    </comment>
    <comment ref="K1068" authorId="1" shapeId="0" xr:uid="{2F906287-B13D-40F6-8712-AEAD49C83478}">
      <text>
        <r>
          <rPr>
            <sz val="11"/>
            <color theme="1"/>
            <rFont val="Aptos Narrow"/>
            <family val="2"/>
            <scheme val="minor"/>
          </rPr>
          <t>Unknown User:
Previous job images considered.</t>
        </r>
      </text>
    </comment>
    <comment ref="E1090" authorId="48" shapeId="0" xr:uid="{212B5630-4D7C-4589-8765-5DADE65D0ABF}">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E1091" authorId="49" shapeId="0" xr:uid="{839CC970-3B00-4E38-AEC1-F039968F76A9}">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E1092" authorId="50" shapeId="0" xr:uid="{9D8E0D9D-2381-43CC-995A-9FB1EEFB1E3E}">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E1093" authorId="51" shapeId="0" xr:uid="{E313B96B-607C-4065-BBFC-B79882F5A8A1}">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E1094" authorId="52" shapeId="0" xr:uid="{C028B6AC-9979-4206-BCFA-B03BB8A008E1}">
      <text>
        <t>[Threaded comment]
Your version of Excel allows you to read this threaded comment; however, any edits to it will get removed if the file is opened in a newer version of Excel. Learn more: https://go.microsoft.com/fwlink/?linkid=870924
Comment:
    5% Comm'ns will be Paid Upon Achieving 5 x 5 Star Reviews</t>
      </text>
    </comment>
    <comment ref="G1103" authorId="1" shapeId="0" xr:uid="{266021FE-5178-4D9A-91C7-072FD7E2669F}">
      <text>
        <r>
          <rPr>
            <sz val="11"/>
            <color theme="1"/>
            <rFont val="Aptos Narrow"/>
            <family val="2"/>
            <scheme val="minor"/>
          </rPr>
          <t>Unknown User:
SUPPLY &amp; INSTALLATION OF GAS STORAGE HOT WATER SYSTEM (EXTERNAL)</t>
        </r>
      </text>
    </comment>
    <comment ref="P1103" authorId="1" shapeId="0" xr:uid="{2CAE1EB4-0390-4CC2-8876-16CE7085EBAC}">
      <text>
        <r>
          <rPr>
            <sz val="11"/>
            <color theme="1"/>
            <rFont val="Aptos Narrow"/>
            <family val="2"/>
            <scheme val="minor"/>
          </rPr>
          <t>Unknown User:
Quote not emailed</t>
        </r>
      </text>
    </comment>
    <comment ref="G1119" authorId="1" shapeId="0" xr:uid="{2F5B08E9-9E88-4E39-8095-F8E3C82C9D27}">
      <text>
        <r>
          <rPr>
            <sz val="11"/>
            <color theme="1"/>
            <rFont val="Aptos Narrow"/>
            <family val="2"/>
            <scheme val="minor"/>
          </rPr>
          <t>Unknown User:
SEARCH &amp; INVESTIGATION OF GAS STORAGE HOT WATER SYSTEM</t>
        </r>
      </text>
    </comment>
    <comment ref="R1119" authorId="1" shapeId="0" xr:uid="{7657EAE9-9EB9-48FA-B3F8-CECA75DCB1E1}">
      <text>
        <r>
          <rPr>
            <sz val="11"/>
            <color theme="1"/>
            <rFont val="Aptos Narrow"/>
            <family val="2"/>
            <scheme val="minor"/>
          </rPr>
          <t>Unknown User:
Sign not obtained for progress invoice</t>
        </r>
      </text>
    </comment>
    <comment ref="S1119" authorId="1" shapeId="0" xr:uid="{236DD1D1-0643-4483-BC3C-42F797FF50B3}">
      <text>
        <r>
          <rPr>
            <sz val="11"/>
            <color theme="1"/>
            <rFont val="Aptos Narrow"/>
            <family val="2"/>
            <scheme val="minor"/>
          </rPr>
          <t>Unknown User:
Invoice emailed without sign</t>
        </r>
      </text>
    </comment>
    <comment ref="G1123" authorId="1" shapeId="0" xr:uid="{DA41020C-82BE-49A4-A4F9-B680B391D4A9}">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L1123" authorId="1" shapeId="0" xr:uid="{12926B06-2356-41AE-B88E-BE98B95DCF53}">
      <text>
        <r>
          <rPr>
            <sz val="11"/>
            <color theme="1"/>
            <rFont val="Aptos Narrow"/>
            <family val="2"/>
            <scheme val="minor"/>
          </rPr>
          <t>Unknown User:
Temp check pending</t>
        </r>
      </text>
    </comment>
    <comment ref="P1123" authorId="1" shapeId="0" xr:uid="{DE33371A-F3D1-49B2-B908-B2F13587427F}">
      <text>
        <r>
          <rPr>
            <sz val="11"/>
            <color theme="1"/>
            <rFont val="Aptos Narrow"/>
            <family val="2"/>
            <scheme val="minor"/>
          </rPr>
          <t>Unknown User:
Quote not emailed</t>
        </r>
      </text>
    </comment>
    <comment ref="Q1123" authorId="1" shapeId="0" xr:uid="{3C965AC7-AF49-4FD6-B98E-86BB55BDD41B}">
      <text>
        <r>
          <rPr>
            <sz val="11"/>
            <color theme="1"/>
            <rFont val="Aptos Narrow"/>
            <family val="2"/>
            <scheme val="minor"/>
          </rPr>
          <t>Unknown User:
Progress payment of $341.75 not updated in invoice (Signed but amount not recorded).</t>
        </r>
      </text>
    </comment>
    <comment ref="G1124" authorId="1" shapeId="0" xr:uid="{8F42533C-C6D9-4984-BF3A-F1D6297903C4}">
      <text>
        <r>
          <rPr>
            <sz val="11"/>
            <color theme="1"/>
            <rFont val="Aptos Narrow"/>
            <family val="2"/>
            <scheme val="minor"/>
          </rPr>
          <t>Unknown User:
STORM WATER RECTIFICATION UP TO 30M
Obtain Service Location Diagram
Obtain Dial Before Dig
Obtain Storm Water Diagram – If Available
Set Up Safe Work Area
Set Up Builders Plastic
Set Up Barricades for Safety
Dig &amp; Excavate Ground Area Up to 30M
Expose Existing Section of Storm Water Service Up to 30M
Locate stormwater entering barrel drain
Expose Existing Storm Water Junctions 
Cut &amp; Remove Existing Section of Storm Water Service Up to 30M
Cut &amp; Remove Existing Storm Water Junctions 
Gain Access to Storm Water Service
Set Up High-Powered Jet Blaster
Set Up High-Powered Mini Reel
Set Up High-Powered Turbines
Re-Jetblast Storm Water Service
Re-Camera and Investigate Further
Supply &amp; Install New Section of Storm Water Service Up to 30M
Supply &amp; Install New Storm Water Junctions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Upsize existing 50mm down pipe to 90mm down pipe
Install new 90mm pop and down pipe to back of house
Connect new stormwater to existing down pipes on shed
Backfill Excavated Area
Test &amp; Commission Installation
Remove Trade Waste
Restore Work Area (Excludes Returfing)
PLEASE NOTE IF FURTHER WORK REQUIRED OTHER THEN QUOTED WORK FURTHER COST WILL APPLY</t>
        </r>
      </text>
    </comment>
    <comment ref="P1124" authorId="1" shapeId="0" xr:uid="{C6A534B2-46A9-40D1-82AA-57C77194B17C}">
      <text>
        <r>
          <rPr>
            <sz val="11"/>
            <color theme="1"/>
            <rFont val="Aptos Narrow"/>
            <family val="2"/>
            <scheme val="minor"/>
          </rPr>
          <t>Unknown User:
Quote not emailed</t>
        </r>
      </text>
    </comment>
    <comment ref="U1124" authorId="1" shapeId="0" xr:uid="{4F4925F8-EEFF-4040-8B11-73EA85F617A3}">
      <text>
        <r>
          <rPr>
            <sz val="11"/>
            <color theme="1"/>
            <rFont val="Aptos Narrow"/>
            <family val="2"/>
            <scheme val="minor"/>
          </rPr>
          <t>Unknown User:
31/7-As per Joshua's note "Callback from Prue and Mr Stone,
Complained about
-price of the job, wanted itemised invoice. they were under the assumption that this was a given.
-items on invoice not completed (not specified, said they could talk to Daniel or let me know).
-Humm misunderstanding, they dont trust HUMM even though they've used it in the past. I explained the general process and that we take a 10% deposit and put the customer on a plan for the rest. They werent happy with this, i did say 10% more would be required to clear the balance as limit is $25k.
-multiple trading names, explained this is for marketing purposes and we were in a transitional period.
Asked for them to suggest a resolution as they said they'd "take this further". Invited them to come back to me at any time."</t>
        </r>
      </text>
    </comment>
    <comment ref="G1125" authorId="1" shapeId="0" xr:uid="{CB69D522-9A2B-4AEC-BD8D-78F6B13B48D9}">
      <text>
        <r>
          <rPr>
            <sz val="11"/>
            <color theme="1"/>
            <rFont val="Aptos Narrow"/>
            <family val="2"/>
            <scheme val="minor"/>
          </rPr>
          <t>Unknown User:
SEARCH &amp; INVESTIGATION OF DOUBLE STOREY ROOF OF POTENTIAL LEAK</t>
        </r>
      </text>
    </comment>
    <comment ref="P1125" authorId="1" shapeId="0" xr:uid="{4FFB5154-4C93-45A4-9F76-6D51C4B4A574}">
      <text>
        <r>
          <rPr>
            <sz val="11"/>
            <color theme="1"/>
            <rFont val="Aptos Narrow"/>
            <family val="2"/>
            <scheme val="minor"/>
          </rPr>
          <t>Unknown User:
Quote not emailed</t>
        </r>
      </text>
    </comment>
    <comment ref="U1125" authorId="1" shapeId="0" xr:uid="{5EF11B60-4B46-4906-B4EC-E9DC487445FF}">
      <text>
        <r>
          <rPr>
            <sz val="11"/>
            <color theme="1"/>
            <rFont val="Aptos Narrow"/>
            <family val="2"/>
            <scheme val="minor"/>
          </rPr>
          <t>Unknown User:
4/8-As per Kylie's note "Spoke to Tara she has already left the property and is refusing to pay any more than 1K she states that we have not done the work to the scope which is correct as no height equipment has been used, nor has the plumber done a test and commission. States based on the 30 mins the plumber has been onsite she is not paying for the quoted amount. States she is now doing her due diligence and asking around and another plumber has told her it should have cost no more than $400. Claims she will pay 1K at the most"</t>
        </r>
      </text>
    </comment>
    <comment ref="A1126" authorId="53" shapeId="0" xr:uid="{2A6C4487-C694-402B-8CAF-579432A9ACE5}">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1126" authorId="1" shapeId="0" xr:uid="{73874BA3-D0CA-4812-86E2-DBE8AF4BAD3B}">
      <text>
        <r>
          <rPr>
            <sz val="11"/>
            <color theme="1"/>
            <rFont val="Aptos Narrow"/>
            <family val="2"/>
            <scheme val="minor"/>
          </rPr>
          <t>Unknown User:
SUPPLY AND INSTALLATION OF INSTANT HOT WATER UNIT</t>
        </r>
      </text>
    </comment>
    <comment ref="R1126" authorId="1" shapeId="0" xr:uid="{CC876D1E-A4FE-4A32-B89A-E109B6596C28}">
      <text>
        <r>
          <rPr>
            <sz val="11"/>
            <color theme="1"/>
            <rFont val="Aptos Narrow"/>
            <family val="2"/>
            <scheme val="minor"/>
          </rPr>
          <t>Unknown User:
Invoice not signed</t>
        </r>
      </text>
    </comment>
    <comment ref="S1126" authorId="1" shapeId="0" xr:uid="{00A3D095-1315-4F13-86E8-28CE3BDD8AF9}">
      <text>
        <r>
          <rPr>
            <sz val="11"/>
            <color theme="1"/>
            <rFont val="Aptos Narrow"/>
            <family val="2"/>
            <scheme val="minor"/>
          </rPr>
          <t>Unknown User:
Signed invoice not emailed</t>
        </r>
      </text>
    </comment>
    <comment ref="G1127" authorId="1" shapeId="0" xr:uid="{E0146004-6359-49AB-B09B-CF2812AB3E51}">
      <text>
        <r>
          <rPr>
            <sz val="11"/>
            <color theme="1"/>
            <rFont val="Aptos Narrow"/>
            <family val="2"/>
            <scheme val="minor"/>
          </rPr>
          <t>Unknown User:
ROOF LEAK SEARCH &amp; INVESTIGATION
10% Seniors &amp; Pensioners Discount</t>
        </r>
      </text>
    </comment>
    <comment ref="R1127" authorId="1" shapeId="0" xr:uid="{731E094A-DE78-497D-ACA2-06D2CF82876A}">
      <text>
        <r>
          <rPr>
            <sz val="11"/>
            <color theme="1"/>
            <rFont val="Aptos Narrow"/>
            <family val="2"/>
            <scheme val="minor"/>
          </rPr>
          <t>Unknown User:
Invoice not signed</t>
        </r>
      </text>
    </comment>
    <comment ref="S1127" authorId="1" shapeId="0" xr:uid="{0A1F33DE-FD75-4999-9E0C-237A93A05596}">
      <text>
        <r>
          <rPr>
            <sz val="11"/>
            <color theme="1"/>
            <rFont val="Aptos Narrow"/>
            <family val="2"/>
            <scheme val="minor"/>
          </rPr>
          <t>Unknown User:
Signed invoice not emailed</t>
        </r>
      </text>
    </comment>
    <comment ref="A1128" authorId="54" shapeId="0" xr:uid="{49410BD3-B6FF-4376-8356-85DD341B727E}">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1128" authorId="1" shapeId="0" xr:uid="{A13C7010-41D7-439E-B55E-2CC5CE8FFBB2}">
      <text>
        <r>
          <rPr>
            <sz val="11"/>
            <color theme="1"/>
            <rFont val="Aptos Narrow"/>
            <family val="2"/>
            <scheme val="minor"/>
          </rPr>
          <t xml:space="preserve">Unknown User:
CONVERT SOLAR SPLIT HOT WATER SYSTEM TO EXTERNAL GAS INSTANTANEOUS HOT WATER SYSTEM
SUPPLY AND INSTALLATION OF PRESSURE REGULATING DEVICE FITTED TO 20MM STRAIGHT PIPEWORK
10% Seniors &amp; Pensioners Discount
CREDIT OF SEARCH &amp; INVESTIGATION </t>
        </r>
      </text>
    </comment>
    <comment ref="L1128" authorId="1" shapeId="0" xr:uid="{4E7A7BC0-E41C-4252-97E9-37BC27EAC5E4}">
      <text>
        <r>
          <rPr>
            <sz val="11"/>
            <color theme="1"/>
            <rFont val="Aptos Narrow"/>
            <family val="2"/>
            <scheme val="minor"/>
          </rPr>
          <t>Unknown User:
Temp check not performed</t>
        </r>
      </text>
    </comment>
    <comment ref="P1128" authorId="1" shapeId="0" xr:uid="{AF7E7A60-7A91-409C-BD80-D3AFDFE36906}">
      <text>
        <r>
          <rPr>
            <sz val="11"/>
            <color theme="1"/>
            <rFont val="Aptos Narrow"/>
            <family val="2"/>
            <scheme val="minor"/>
          </rPr>
          <t>Unknown User:
Quote not emailed</t>
        </r>
      </text>
    </comment>
    <comment ref="R1128" authorId="1" shapeId="0" xr:uid="{DC91A883-7289-4503-9818-17C8613D4451}">
      <text>
        <r>
          <rPr>
            <sz val="11"/>
            <color theme="1"/>
            <rFont val="Aptos Narrow"/>
            <family val="2"/>
            <scheme val="minor"/>
          </rPr>
          <t>Unknown User:
Invoice not signed</t>
        </r>
      </text>
    </comment>
    <comment ref="S1128" authorId="1" shapeId="0" xr:uid="{4E3DC0C7-86F0-4112-A88E-BD0FB04E5C69}">
      <text>
        <r>
          <rPr>
            <sz val="11"/>
            <color theme="1"/>
            <rFont val="Aptos Narrow"/>
            <family val="2"/>
            <scheme val="minor"/>
          </rPr>
          <t>Unknown User:
Invoice emailed without sign.</t>
        </r>
      </text>
    </comment>
    <comment ref="T1128" authorId="1" shapeId="0" xr:uid="{21E29B9B-D7E9-437F-BE7C-F783044C3CA8}">
      <text>
        <r>
          <rPr>
            <sz val="11"/>
            <color theme="1"/>
            <rFont val="Aptos Narrow"/>
            <family val="2"/>
            <scheme val="minor"/>
          </rPr>
          <t>Unknown User:
0.5x Tolga Bal
0.5x Rhys</t>
        </r>
      </text>
    </comment>
    <comment ref="A1129" authorId="55" shapeId="0" xr:uid="{5C438A5F-E20A-4DA7-91E2-DCADC5569439}">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1129" authorId="1" shapeId="0" xr:uid="{2399BD4F-98F5-47A9-8333-087C447625C4}">
      <text>
        <r>
          <rPr>
            <sz val="11"/>
            <color theme="1"/>
            <rFont val="Aptos Narrow"/>
            <family val="2"/>
            <scheme val="minor"/>
          </rPr>
          <t>Unknown User:
REPLACEMENT OF PLUG &amp; WASTE - 40MM
MIXER TAP - GOOSE NECK
10% Good Will Discount 
CHEMICAL DRAIN CLEANING TREATMENT</t>
        </r>
      </text>
    </comment>
    <comment ref="V1129" authorId="1" shapeId="0" xr:uid="{4C27A3DF-184A-4E60-8000-443812E1891B}">
      <text>
        <r>
          <rPr>
            <sz val="11"/>
            <color theme="1"/>
            <rFont val="Aptos Narrow"/>
            <family val="2"/>
            <scheme val="minor"/>
          </rPr>
          <t>Unknown User:
1/9-Received $707.60 by Smartpay</t>
        </r>
      </text>
    </comment>
    <comment ref="G1130" authorId="1" shapeId="0" xr:uid="{B61C4CF1-4D1C-46DD-A2C3-F783E0667F80}">
      <text>
        <r>
          <rPr>
            <sz val="11"/>
            <color theme="1"/>
            <rFont val="Aptos Narrow"/>
            <family val="2"/>
            <scheme val="minor"/>
          </rPr>
          <t xml:space="preserve">Unknown User:
SUPPLY &amp; INSTALLATION OF NEW SHOWER WALL TOP TAPS
REPLACEMENT OF TAP TOPS
10% Good Will Discount </t>
        </r>
      </text>
    </comment>
    <comment ref="P1130" authorId="1" shapeId="0" xr:uid="{78512DC2-DD5C-465A-A631-4A6605067BAE}">
      <text>
        <r>
          <rPr>
            <sz val="11"/>
            <color theme="1"/>
            <rFont val="Aptos Narrow"/>
            <family val="2"/>
            <scheme val="minor"/>
          </rPr>
          <t>Unknown User:
Quote not emailed</t>
        </r>
      </text>
    </comment>
    <comment ref="G1131" authorId="1" shapeId="0" xr:uid="{7A98AEAC-3A81-4E99-9B88-23AE6B2BA12C}">
      <text>
        <r>
          <rPr>
            <sz val="11"/>
            <color theme="1"/>
            <rFont val="Aptos Narrow"/>
            <family val="2"/>
            <scheme val="minor"/>
          </rPr>
          <t xml:space="preserve">Unknown User:
SPECIALIST LEAK DETECTION (WATER SERVICE)
10% Seniors &amp; Pensioners Discount </t>
        </r>
      </text>
    </comment>
    <comment ref="M1131" authorId="1" shapeId="0" xr:uid="{A1680A5D-08CC-41B3-804B-03B4A6352989}">
      <text>
        <r>
          <rPr>
            <sz val="11"/>
            <color theme="1"/>
            <rFont val="Aptos Narrow"/>
            <family val="2"/>
            <scheme val="minor"/>
          </rPr>
          <t>Unknown User:
Cash pic/receipt not uploaded</t>
        </r>
      </text>
    </comment>
    <comment ref="Q1131" authorId="1" shapeId="0" xr:uid="{BAFB1F55-6B81-4834-86EE-BC4CB578B098}">
      <text>
        <r>
          <rPr>
            <sz val="11"/>
            <color theme="1"/>
            <rFont val="Aptos Narrow"/>
            <family val="2"/>
            <scheme val="minor"/>
          </rPr>
          <t>Unknown User:
Progress invoice not updated</t>
        </r>
      </text>
    </comment>
    <comment ref="R1131" authorId="1" shapeId="0" xr:uid="{6FA6DD1D-04F4-4186-8225-8C3F9F88A6C7}">
      <text>
        <r>
          <rPr>
            <sz val="11"/>
            <color theme="1"/>
            <rFont val="Aptos Narrow"/>
            <family val="2"/>
            <scheme val="minor"/>
          </rPr>
          <t>Unknown User:
Sign not obtained</t>
        </r>
      </text>
    </comment>
    <comment ref="S1131" authorId="1" shapeId="0" xr:uid="{B2372286-92F7-402A-8E5F-F1EC1411B67C}">
      <text>
        <r>
          <rPr>
            <sz val="11"/>
            <color theme="1"/>
            <rFont val="Aptos Narrow"/>
            <family val="2"/>
            <scheme val="minor"/>
          </rPr>
          <t>Unknown User:
Invoice emailed without sign</t>
        </r>
      </text>
    </comment>
    <comment ref="W1131" authorId="1" shapeId="0" xr:uid="{EBFC5491-29C8-4463-9668-F410525EEA94}">
      <text>
        <r>
          <rPr>
            <sz val="11"/>
            <color theme="1"/>
            <rFont val="Aptos Narrow"/>
            <family val="2"/>
            <scheme val="minor"/>
          </rPr>
          <t>Unknown User:
Cash denomination not available as cash pic/receipt not uploaded.</t>
        </r>
      </text>
    </comment>
    <comment ref="G1132" authorId="1" shapeId="0" xr:uid="{CA8871C1-8448-4142-B244-828498387B9E}">
      <text>
        <r>
          <rPr>
            <sz val="11"/>
            <color theme="1"/>
            <rFont val="Aptos Narrow"/>
            <family val="2"/>
            <scheme val="minor"/>
          </rPr>
          <t>Unknown User:
HIGH POWERED SUCTION PUMP
Non-refundable call out fee</t>
        </r>
      </text>
    </comment>
    <comment ref="G1133" authorId="1" shapeId="0" xr:uid="{8131C63C-607E-43B3-812D-1833260BB3D8}">
      <text>
        <r>
          <rPr>
            <sz val="11"/>
            <color theme="1"/>
            <rFont val="Aptos Narrow"/>
            <family val="2"/>
            <scheme val="minor"/>
          </rPr>
          <t xml:space="preserve">Unknown User:
HIGH POWERED JET BLAST &amp; CCTV CAMERA INSPECTION (GAIN ACCESS WITH REMOVAL OF TOILET)
</t>
        </r>
      </text>
    </comment>
    <comment ref="P1133" authorId="1" shapeId="0" xr:uid="{5A37E7D2-B0AB-4B3E-8BC1-5A8D92722FC0}">
      <text>
        <r>
          <rPr>
            <sz val="11"/>
            <color theme="1"/>
            <rFont val="Aptos Narrow"/>
            <family val="2"/>
            <scheme val="minor"/>
          </rPr>
          <t>Unknown User:
Quote not emailed</t>
        </r>
      </text>
    </comment>
    <comment ref="Q1133" authorId="1" shapeId="0" xr:uid="{91BD4A3B-E6D5-4356-ABF8-BE83C7CD2999}">
      <text>
        <r>
          <rPr>
            <sz val="11"/>
            <color theme="1"/>
            <rFont val="Aptos Narrow"/>
            <family val="2"/>
            <scheme val="minor"/>
          </rPr>
          <t>Unknown User:
Progress invoice not raised</t>
        </r>
      </text>
    </comment>
    <comment ref="G1134" authorId="1" shapeId="0" xr:uid="{BB1B49EA-6A7F-492A-904F-B62317A875F8}">
      <text>
        <r>
          <rPr>
            <sz val="11"/>
            <color theme="1"/>
            <rFont val="Aptos Narrow"/>
            <family val="2"/>
            <scheme val="minor"/>
          </rPr>
          <t>Unknown User:
HIGH POWERED JET BLAST &amp; CCTV DRAIN CAMERA INSPECTION (SEWER SERVICE)</t>
        </r>
      </text>
    </comment>
    <comment ref="M1134" authorId="1" shapeId="0" xr:uid="{E6D7E2B2-16B5-446B-B2E5-9BCD27088647}">
      <text>
        <r>
          <rPr>
            <sz val="11"/>
            <color theme="1"/>
            <rFont val="Aptos Narrow"/>
            <family val="2"/>
            <scheme val="minor"/>
          </rPr>
          <t>Unknown User:
Smartpay receipt of $120 not uploaded by plumber.
To be confirmed by office as there's only 1 Smartpay receipt for $120 available in Smartpay portal for the day &amp; it pertains to Job #73530</t>
        </r>
      </text>
    </comment>
    <comment ref="Q1134" authorId="1" shapeId="0" xr:uid="{BC71798A-DCA5-458C-8A54-106A1E69A880}">
      <text>
        <r>
          <rPr>
            <sz val="11"/>
            <color theme="1"/>
            <rFont val="Aptos Narrow"/>
            <family val="2"/>
            <scheme val="minor"/>
          </rPr>
          <t>Unknown User:
Final zero due invoice not raised by plumber</t>
        </r>
      </text>
    </comment>
    <comment ref="G1135" authorId="1" shapeId="0" xr:uid="{9FAF366B-52DD-4F3E-B342-CC011760A9A8}">
      <text>
        <r>
          <rPr>
            <sz val="11"/>
            <color theme="1"/>
            <rFont val="Aptos Narrow"/>
            <family val="2"/>
            <scheme val="minor"/>
          </rPr>
          <t>Unknown User:
WATER SERVICE RECTIFICATION (IN WALL)
10% Seniors &amp; Pensioners Discount</t>
        </r>
      </text>
    </comment>
    <comment ref="Q1135" authorId="1" shapeId="0" xr:uid="{C644BDBB-C8B2-4175-9EB4-6A7EC295671E}">
      <text>
        <r>
          <rPr>
            <sz val="11"/>
            <color theme="1"/>
            <rFont val="Aptos Narrow"/>
            <family val="2"/>
            <scheme val="minor"/>
          </rPr>
          <t>Unknown User:
Progress invoice for $1200 not raised</t>
        </r>
      </text>
    </comment>
    <comment ref="U1135" authorId="1" shapeId="0" xr:uid="{DE8B80A3-74CE-4D01-9FE4-79494BF854E7}">
      <text>
        <r>
          <rPr>
            <sz val="11"/>
            <color theme="1"/>
            <rFont val="Aptos Narrow"/>
            <family val="2"/>
            <scheme val="minor"/>
          </rPr>
          <t>Unknown User:
28/10-As per Jarrod's note "Walked down the communal drive way saw a lady and asked if she was Colleen she then proceeded to run Into the house, grabbing assume her daughter, they start swearing at me, screaming at me to get off the property, which I wasn’t even on. I was on the communal section of the subdivided houses. They started filming me saying we’ve already going to consumer affairs. You have no right to be here. You didn’t email us saying you were coming, threatening to get the neighbour to come over. They were asking for my ID and my family name. Clients were very aggressive I didn’t say they were calling the police and said we were Tress passing which we weren’t, but then went back to my car to call customer care and then she comes out filming my car. I’m trying to fill me. I took a photo of her and put it on the job."</t>
        </r>
      </text>
    </comment>
    <comment ref="A1136" authorId="56" shapeId="0" xr:uid="{10915EE4-5D17-4BED-9BBA-D4D35A03C036}">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1136" authorId="1" shapeId="0" xr:uid="{B4F0BEEE-6D65-41DE-9AD2-6AFC0D6B5BB1}">
      <text>
        <r>
          <rPr>
            <sz val="11"/>
            <color theme="1"/>
            <rFont val="Aptos Narrow"/>
            <family val="2"/>
            <scheme val="minor"/>
          </rPr>
          <t>Unknown User:
SUPPLY &amp; INSTALLATION OF GAS STORAGE HOT WATER SYSTEM (EXTERNAL)</t>
        </r>
      </text>
    </comment>
    <comment ref="P1136" authorId="1" shapeId="0" xr:uid="{73E758CC-F0A0-4928-9FFA-0AC7897F5997}">
      <text>
        <r>
          <rPr>
            <sz val="11"/>
            <color theme="1"/>
            <rFont val="Aptos Narrow"/>
            <family val="2"/>
            <scheme val="minor"/>
          </rPr>
          <t>Unknown User:
Quote not emailed</t>
        </r>
      </text>
    </comment>
    <comment ref="Q1136" authorId="1" shapeId="0" xr:uid="{08BCBE6A-DB27-4413-A98B-4264134B8578}">
      <text>
        <r>
          <rPr>
            <sz val="11"/>
            <color theme="1"/>
            <rFont val="Aptos Narrow"/>
            <family val="2"/>
            <scheme val="minor"/>
          </rPr>
          <t>Unknown User:
Invoice not raised</t>
        </r>
      </text>
    </comment>
    <comment ref="W1136" authorId="1" shapeId="0" xr:uid="{BFBEB7D2-F48C-4A01-961A-BCA1F284D2E9}">
      <text>
        <r>
          <rPr>
            <sz val="11"/>
            <color theme="1"/>
            <rFont val="Aptos Narrow"/>
            <family val="2"/>
            <scheme val="minor"/>
          </rPr>
          <t>Unknown User:
Cash denomination
$50*14=$700</t>
        </r>
      </text>
    </comment>
    <comment ref="G1137" authorId="1" shapeId="0" xr:uid="{F58D92AC-1C03-4E08-8BCB-7CF98B89312F}">
      <text>
        <r>
          <rPr>
            <sz val="11"/>
            <color theme="1"/>
            <rFont val="Aptos Narrow"/>
            <family val="2"/>
            <scheme val="minor"/>
          </rPr>
          <t>Unknown User:
HIGH POWERED JET BLAST &amp; CCTV DRAIN CAMERA INSPECTION (SEWER SERVICE)</t>
        </r>
      </text>
    </comment>
    <comment ref="R1137" authorId="1" shapeId="0" xr:uid="{19B26125-5B05-4E65-8A6E-9D02267EBAE6}">
      <text>
        <r>
          <rPr>
            <sz val="11"/>
            <color theme="1"/>
            <rFont val="Aptos Narrow"/>
            <family val="2"/>
            <scheme val="minor"/>
          </rPr>
          <t>Unknown User:
Invoice not signed</t>
        </r>
      </text>
    </comment>
    <comment ref="S1137" authorId="1" shapeId="0" xr:uid="{E58A5508-BE21-417D-AD25-48EE09BD67D4}">
      <text>
        <r>
          <rPr>
            <sz val="11"/>
            <color theme="1"/>
            <rFont val="Aptos Narrow"/>
            <family val="2"/>
            <scheme val="minor"/>
          </rPr>
          <t>Unknown User:
Invoice emailed without sign</t>
        </r>
      </text>
    </comment>
    <comment ref="A1138" authorId="57" shapeId="0" xr:uid="{515570DE-1F13-44AE-966D-0DD7123D2C9A}">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1138" authorId="1" shapeId="0" xr:uid="{A6E1D8E5-8369-4E23-882B-E35BF05B8880}">
      <text>
        <r>
          <rPr>
            <sz val="11"/>
            <color theme="1"/>
            <rFont val="Aptos Narrow"/>
            <family val="2"/>
            <scheme val="minor"/>
          </rPr>
          <t xml:space="preserve">Unknown User:
STORM WATER SPOT RECTIFICATION IN GROUND
</t>
        </r>
      </text>
    </comment>
    <comment ref="G1139" authorId="1" shapeId="0" xr:uid="{4E4E4235-B6FA-4682-9972-0237E66F2F69}">
      <text>
        <r>
          <rPr>
            <sz val="11"/>
            <color theme="1"/>
            <rFont val="Aptos Narrow"/>
            <family val="2"/>
            <scheme val="minor"/>
          </rPr>
          <t>Unknown User:
HIGH POWERED SUCTION &amp; ACID TREATMENT
15% Good Will Discount
$89 Blocked Drains Discount</t>
        </r>
      </text>
    </comment>
    <comment ref="G1140" authorId="1" shapeId="0" xr:uid="{2144D306-F83E-495B-896C-AFD47C4BBE55}">
      <text>
        <r>
          <rPr>
            <sz val="11"/>
            <color theme="1"/>
            <rFont val="Aptos Narrow"/>
            <family val="2"/>
            <scheme val="minor"/>
          </rPr>
          <t>Unknown User:
COMPLETE SERVICE OF TAP TOP ASSEMBLY</t>
        </r>
      </text>
    </comment>
    <comment ref="W1140" authorId="1" shapeId="0" xr:uid="{8BF98FEE-C0AF-47D7-96C4-448FDBF82553}">
      <text>
        <r>
          <rPr>
            <sz val="11"/>
            <color theme="1"/>
            <rFont val="Aptos Narrow"/>
            <family val="2"/>
            <scheme val="minor"/>
          </rPr>
          <t>Unknown User:
Cash denomination
$50*7=$350</t>
        </r>
      </text>
    </comment>
    <comment ref="G1141" authorId="1" shapeId="0" xr:uid="{BE7E5EF0-9B1F-4E14-AF9D-EA0F2F1187E8}">
      <text>
        <r>
          <rPr>
            <sz val="11"/>
            <color theme="1"/>
            <rFont val="Aptos Narrow"/>
            <family val="2"/>
            <scheme val="minor"/>
          </rPr>
          <t>Unknown User:
SEARCH AND INVESTIGATION OF ELECTRIC STORAGE HOT WATER SYSTEM</t>
        </r>
      </text>
    </comment>
    <comment ref="R1141" authorId="1" shapeId="0" xr:uid="{C3EF66AB-7821-496E-9DB7-ABCEA420C305}">
      <text>
        <r>
          <rPr>
            <sz val="11"/>
            <color theme="1"/>
            <rFont val="Aptos Narrow"/>
            <family val="2"/>
            <scheme val="minor"/>
          </rPr>
          <t>Unknown User:
Invoice not signed</t>
        </r>
      </text>
    </comment>
    <comment ref="S1141" authorId="1" shapeId="0" xr:uid="{D9B89DF4-495D-42D3-863D-4FC8457D9A88}">
      <text>
        <r>
          <rPr>
            <sz val="11"/>
            <color theme="1"/>
            <rFont val="Aptos Narrow"/>
            <family val="2"/>
            <scheme val="minor"/>
          </rPr>
          <t>Unknown User:
Invoice emailed without sign</t>
        </r>
      </text>
    </comment>
    <comment ref="G1142" authorId="1" shapeId="0" xr:uid="{5D601BE5-75B7-4183-89D0-8886EBD7FE1F}">
      <text>
        <r>
          <rPr>
            <sz val="11"/>
            <color theme="1"/>
            <rFont val="Aptos Narrow"/>
            <family val="2"/>
            <scheme val="minor"/>
          </rPr>
          <t>Unknown User:
SUPPLY &amp; INSTALLATION OF NEW SINGLE ELEMENT HOT WATER UNIT – INTERNAL</t>
        </r>
      </text>
    </comment>
    <comment ref="Q1142" authorId="1" shapeId="0" xr:uid="{48449BD2-D202-4220-B4A9-1EAE954FB732}">
      <text>
        <r>
          <rPr>
            <sz val="11"/>
            <color theme="1"/>
            <rFont val="Aptos Narrow"/>
            <family val="2"/>
            <scheme val="minor"/>
          </rPr>
          <t>Unknown User:
Progress invoice not raised</t>
        </r>
      </text>
    </comment>
    <comment ref="A1143" authorId="58" shapeId="0" xr:uid="{576B047A-AF7E-411B-9831-4322B7434A17}">
      <text>
        <t>[Threaded comment]
Your version of Excel allows you to read this threaded comment; however, any edits to it will get removed if the file is opened in a newer version of Excel. Learn more: https://go.microsoft.com/fwlink/?linkid=870924
Comment:
    5% Comm's to be Paid Upon Achieving 5 x 5 Star Reviews</t>
      </text>
    </comment>
    <comment ref="G1143" authorId="1" shapeId="0" xr:uid="{FF74F220-31FB-4DE2-A315-D3C45BC6C3D1}">
      <text>
        <r>
          <rPr>
            <sz val="11"/>
            <color theme="1"/>
            <rFont val="Aptos Narrow"/>
            <family val="2"/>
            <scheme val="minor"/>
          </rPr>
          <t>Unknown User:
INSTALLATION OF MIXER CARTRIDGE (CUSTOMER SUPPLIED</t>
        </r>
      </text>
    </comment>
    <comment ref="P1143" authorId="1" shapeId="0" xr:uid="{EB20FC5A-75E2-49D3-A187-2DA04EC1B852}">
      <text>
        <r>
          <rPr>
            <sz val="11"/>
            <color theme="1"/>
            <rFont val="Aptos Narrow"/>
            <family val="2"/>
            <scheme val="minor"/>
          </rPr>
          <t>Unknown User:
Quote not emailed</t>
        </r>
      </text>
    </comment>
    <comment ref="G1144" authorId="1" shapeId="0" xr:uid="{2D399CDF-48F6-4F3A-ACAB-193C161A5B48}">
      <text>
        <r>
          <rPr>
            <sz val="11"/>
            <color theme="1"/>
            <rFont val="Aptos Narrow"/>
            <family val="2"/>
            <scheme val="minor"/>
          </rPr>
          <t>Unknown User:
INSTALLATION OF NEW WASHING MACHINE (CUSTOMER SUPPLIED)</t>
        </r>
      </text>
    </comment>
    <comment ref="P1144" authorId="1" shapeId="0" xr:uid="{BF4A584D-3200-46B8-A090-11BBB67AB47D}">
      <text>
        <r>
          <rPr>
            <sz val="11"/>
            <color theme="1"/>
            <rFont val="Aptos Narrow"/>
            <family val="2"/>
            <scheme val="minor"/>
          </rPr>
          <t>Unknown User:
Quote not emailed</t>
        </r>
      </text>
    </comment>
    <comment ref="Q1144" authorId="1" shapeId="0" xr:uid="{0A4A6631-28E2-44F6-88AB-A45598668ABA}">
      <text>
        <r>
          <rPr>
            <sz val="11"/>
            <color theme="1"/>
            <rFont val="Aptos Narrow"/>
            <family val="2"/>
            <scheme val="minor"/>
          </rPr>
          <t>Unknown User:
Invoice not raised</t>
        </r>
      </text>
    </comment>
    <comment ref="G1145" authorId="1" shapeId="0" xr:uid="{526D996A-FFD6-48D8-BE1C-C826EFE4CD38}">
      <text>
        <r>
          <rPr>
            <sz val="11"/>
            <color theme="1"/>
            <rFont val="Aptos Narrow"/>
            <family val="2"/>
            <scheme val="minor"/>
          </rPr>
          <t>Unknown User:
SEARCH AND INVESTIGATION OF SOLAR SPLIT HOT WATER SYSTEM</t>
        </r>
      </text>
    </comment>
    <comment ref="P1145" authorId="1" shapeId="0" xr:uid="{9B30551A-E6FD-46E2-B79F-7CF2FB5705B4}">
      <text>
        <r>
          <rPr>
            <sz val="11"/>
            <color theme="1"/>
            <rFont val="Aptos Narrow"/>
            <family val="2"/>
            <scheme val="minor"/>
          </rPr>
          <t>Unknown User:
Quote not emailed</t>
        </r>
      </text>
    </comment>
    <comment ref="Q1145" authorId="1" shapeId="0" xr:uid="{944412C6-8BF4-43EF-9AF3-6D6F110E3D34}">
      <text>
        <r>
          <rPr>
            <sz val="11"/>
            <color theme="1"/>
            <rFont val="Aptos Narrow"/>
            <family val="2"/>
            <scheme val="minor"/>
          </rPr>
          <t>Unknown User:
Invoice not raised</t>
        </r>
      </text>
    </comment>
    <comment ref="G1149" authorId="1" shapeId="0" xr:uid="{8E53FD74-C317-4F6A-B906-20F2096C8280}">
      <text>
        <r>
          <rPr>
            <sz val="11"/>
            <color theme="1"/>
            <rFont val="Aptos Narrow"/>
            <family val="2"/>
            <scheme val="minor"/>
          </rPr>
          <t xml:space="preserve">Unknown User:
SPECIALIST LEAK DETECTION (WATER SERVICE)
10% Seniors &amp; Pensioners Discount
</t>
        </r>
      </text>
    </comment>
    <comment ref="P1149" authorId="1" shapeId="0" xr:uid="{F4DBC6AC-A3EB-4D16-84CA-F291DC669F58}">
      <text>
        <r>
          <rPr>
            <sz val="11"/>
            <color theme="1"/>
            <rFont val="Aptos Narrow"/>
            <family val="2"/>
            <scheme val="minor"/>
          </rPr>
          <t>Unknown User:
Quote not emailed</t>
        </r>
      </text>
    </comment>
    <comment ref="U1149" authorId="1" shapeId="0" xr:uid="{927323B7-25E2-4158-9DF4-0B45E23CB7A2}">
      <text>
        <r>
          <rPr>
            <sz val="11"/>
            <color theme="1"/>
            <rFont val="Aptos Narrow"/>
            <family val="2"/>
            <scheme val="minor"/>
          </rPr>
          <t>Unknown User:
15/8-As per Rhys's note "HUMM messed around for like 2 hours
Client didn’t wanna do it anymore
Collected deposit come back next week"</t>
        </r>
      </text>
    </comment>
    <comment ref="G1150" authorId="1" shapeId="0" xr:uid="{3ECE5FF1-828C-4EE0-93AB-CA9B7D9E5FA6}">
      <text>
        <r>
          <rPr>
            <sz val="11"/>
            <color theme="1"/>
            <rFont val="Aptos Narrow"/>
            <family val="2"/>
            <scheme val="minor"/>
          </rPr>
          <t xml:space="preserve">Unknown User:
ROOF MAINTENANCE </t>
        </r>
      </text>
    </comment>
    <comment ref="N1150" authorId="1" shapeId="0" xr:uid="{71AF6B3B-7BAD-4FA6-BA1D-1D9D9904DDB1}">
      <text>
        <r>
          <rPr>
            <sz val="11"/>
            <color theme="1"/>
            <rFont val="Aptos Narrow"/>
            <family val="2"/>
            <scheme val="minor"/>
          </rPr>
          <t>Unknown User:
Quote raised in Job #72515</t>
        </r>
      </text>
    </comment>
    <comment ref="V1150" authorId="1" shapeId="0" xr:uid="{87A9A0D7-9F81-4B4A-831A-E36A195C6429}">
      <text>
        <r>
          <rPr>
            <sz val="11"/>
            <color theme="1"/>
            <rFont val="Aptos Narrow"/>
            <family val="2"/>
            <scheme val="minor"/>
          </rPr>
          <t>Unknown User:
10/9-EFT of $10000 received
18/9-EFT of $10000 received
25/9-Received cash bundles of $100-Denomination not asseessable.
24/10-Cash of $20000 ($100*200) received by Aden</t>
        </r>
      </text>
    </comment>
    <comment ref="G1151" authorId="1" shapeId="0" xr:uid="{229DE027-C25D-45F1-B94C-903DF7B4B45D}">
      <text>
        <r>
          <rPr>
            <sz val="11"/>
            <color theme="1"/>
            <rFont val="Aptos Narrow"/>
            <family val="2"/>
            <scheme val="minor"/>
          </rPr>
          <t>Unknown User:
SEWER SPOT DIG - IN GROUND</t>
        </r>
      </text>
    </comment>
    <comment ref="K1151" authorId="1" shapeId="0" xr:uid="{79927FB8-4C42-41C1-A114-D3940603A090}">
      <text>
        <r>
          <rPr>
            <sz val="11"/>
            <color theme="1"/>
            <rFont val="Aptos Narrow"/>
            <family val="2"/>
            <scheme val="minor"/>
          </rPr>
          <t xml:space="preserve">Unknown User:
Job #73032 pics uploaded </t>
        </r>
      </text>
    </comment>
    <comment ref="V1151" authorId="1" shapeId="0" xr:uid="{1F222ACE-5D67-4D49-B11D-0D9DB5B60F60}">
      <text>
        <r>
          <rPr>
            <sz val="11"/>
            <color theme="1"/>
            <rFont val="Aptos Narrow"/>
            <family val="2"/>
            <scheme val="minor"/>
          </rPr>
          <t>Unknown User:
15/9-EFT of $5000</t>
        </r>
      </text>
    </comment>
    <comment ref="G1152" authorId="1" shapeId="0" xr:uid="{8B06B19A-38B0-4444-B480-96BBE7B6F027}">
      <text>
        <r>
          <rPr>
            <sz val="11"/>
            <color theme="1"/>
            <rFont val="Aptos Narrow"/>
            <family val="2"/>
            <scheme val="minor"/>
          </rPr>
          <t>Unknown User:
SUPPLY AND INSTALLATION OF NEW BOX GUTTER UP TO 2.5M
10% Seniors &amp; Pensioners Discount</t>
        </r>
      </text>
    </comment>
    <comment ref="K1152" authorId="1" shapeId="0" xr:uid="{08D4DAC5-E2B0-4C75-88EC-896CF103397F}">
      <text>
        <r>
          <rPr>
            <sz val="11"/>
            <color theme="1"/>
            <rFont val="Aptos Narrow"/>
            <family val="2"/>
            <scheme val="minor"/>
          </rPr>
          <t>Unknown User:
Previous job images considered</t>
        </r>
      </text>
    </comment>
    <comment ref="G1153" authorId="1" shapeId="0" xr:uid="{0511EA76-8B63-4F42-BDEA-FD23883260FE}">
      <text>
        <r>
          <rPr>
            <sz val="11"/>
            <color theme="1"/>
            <rFont val="Aptos Narrow"/>
            <family val="2"/>
            <scheme val="minor"/>
          </rPr>
          <t>Unknown User:
SEWER SPOT DIG - IN GROUND</t>
        </r>
      </text>
    </comment>
    <comment ref="P1153" authorId="1" shapeId="0" xr:uid="{F1E5BD0D-E1C1-41A0-87DC-1108CB4BE469}">
      <text>
        <r>
          <rPr>
            <sz val="11"/>
            <color theme="1"/>
            <rFont val="Aptos Narrow"/>
            <family val="2"/>
            <scheme val="minor"/>
          </rPr>
          <t>Unknown User:
Quote not emailed</t>
        </r>
      </text>
    </comment>
    <comment ref="Q1153" authorId="1" shapeId="0" xr:uid="{EFF8AEDA-862B-4442-B36E-A4C905FE03D9}">
      <text>
        <r>
          <rPr>
            <sz val="11"/>
            <color theme="1"/>
            <rFont val="Aptos Narrow"/>
            <family val="2"/>
            <scheme val="minor"/>
          </rPr>
          <t>Unknown User:
Invoice not raised by plumber</t>
        </r>
      </text>
    </comment>
    <comment ref="W1153" authorId="1" shapeId="0" xr:uid="{D889E1D6-EF8A-4B88-AF9F-5F77B16EFC78}">
      <text>
        <r>
          <rPr>
            <sz val="11"/>
            <color theme="1"/>
            <rFont val="Aptos Narrow"/>
            <family val="2"/>
            <scheme val="minor"/>
          </rPr>
          <t>Unknown User:
Cash denomination not available-Unable to figure out exact denomination</t>
        </r>
      </text>
    </comment>
    <comment ref="G1154" authorId="1" shapeId="0" xr:uid="{59DD0771-CAFA-4BB8-9375-982688A03AF5}">
      <text>
        <r>
          <rPr>
            <sz val="11"/>
            <color theme="1"/>
            <rFont val="Aptos Narrow"/>
            <family val="2"/>
            <scheme val="minor"/>
          </rPr>
          <t>Unknown User:
HIGH POWERED JET BLAST &amp; CCTV CAMERA INSPECTION (GAIN ACCESS WITH REMOVAL OF TOILET)</t>
        </r>
      </text>
    </comment>
    <comment ref="P1154" authorId="1" shapeId="0" xr:uid="{8BAB5246-A767-4465-9BA7-C215BDA720FF}">
      <text>
        <r>
          <rPr>
            <sz val="11"/>
            <color theme="1"/>
            <rFont val="Aptos Narrow"/>
            <family val="2"/>
            <scheme val="minor"/>
          </rPr>
          <t>Unknown User:
Quote not emailed</t>
        </r>
      </text>
    </comment>
    <comment ref="G1155" authorId="1" shapeId="0" xr:uid="{29E3DC4C-4DB0-41D8-BF0D-BF9168F4E651}">
      <text>
        <r>
          <rPr>
            <sz val="11"/>
            <color theme="1"/>
            <rFont val="Aptos Narrow"/>
            <family val="2"/>
            <scheme val="minor"/>
          </rPr>
          <t>Unknown User:
SEWER SPOT DIG - IN GROUND
SUPPLY &amp; INSTALLATION OF NEW LINK SUITE</t>
        </r>
      </text>
    </comment>
    <comment ref="P1155" authorId="1" shapeId="0" xr:uid="{91AC4C8B-0AB5-403F-9B0F-00B03229293F}">
      <text>
        <r>
          <rPr>
            <sz val="11"/>
            <color theme="1"/>
            <rFont val="Aptos Narrow"/>
            <family val="2"/>
            <scheme val="minor"/>
          </rPr>
          <t>Unknown User:
Quote not emailed</t>
        </r>
      </text>
    </comment>
    <comment ref="G1156" authorId="1" shapeId="0" xr:uid="{5CEACBD5-EC08-4C1B-AEA5-D5575407C759}">
      <text>
        <r>
          <rPr>
            <sz val="11"/>
            <color theme="1"/>
            <rFont val="Aptos Narrow"/>
            <family val="2"/>
            <scheme val="minor"/>
          </rPr>
          <t xml:space="preserve">Unknown User:
FLOOD, DYE, PRESSURE TEST (WET AREA)
</t>
        </r>
      </text>
    </comment>
    <comment ref="L1156" authorId="1" shapeId="0" xr:uid="{72214914-B96E-4D53-BDF8-02B3D80871DB}">
      <text>
        <r>
          <rPr>
            <sz val="11"/>
            <color theme="1"/>
            <rFont val="Aptos Narrow"/>
            <family val="2"/>
            <scheme val="minor"/>
          </rPr>
          <t>Unknown User:
Pressure test pending</t>
        </r>
      </text>
    </comment>
    <comment ref="G1157" authorId="1" shapeId="0" xr:uid="{576846D6-F818-46D5-AF2C-BBA6CA7DB547}">
      <text>
        <r>
          <rPr>
            <sz val="11"/>
            <color theme="1"/>
            <rFont val="Aptos Narrow"/>
            <family val="2"/>
            <scheme val="minor"/>
          </rPr>
          <t xml:space="preserve">Unknown User:
RESEAL OF SHOWER
</t>
        </r>
      </text>
    </comment>
    <comment ref="G1158" authorId="1" shapeId="0" xr:uid="{13D11800-2B19-4C07-AC28-09955C9B790A}">
      <text>
        <r>
          <rPr>
            <sz val="11"/>
            <color theme="1"/>
            <rFont val="Aptos Narrow"/>
            <family val="2"/>
            <scheme val="minor"/>
          </rPr>
          <t>Unknown User:
WATER SERVICE RECTIFICATION (IN GROUND)</t>
        </r>
      </text>
    </comment>
    <comment ref="G1159" authorId="1" shapeId="0" xr:uid="{780760C3-7207-4B4F-81FB-7BDB98E2CB2B}">
      <text>
        <r>
          <rPr>
            <sz val="11"/>
            <color theme="1"/>
            <rFont val="Aptos Narrow"/>
            <family val="2"/>
            <scheme val="minor"/>
          </rPr>
          <t xml:space="preserve">Unknown User:
SUPPLY &amp; INSTALLATION OF NEW SOLAR SPLIT HOT WATER SYSTEM (REPLACEMENT OF EXISTING)
</t>
        </r>
      </text>
    </comment>
    <comment ref="G1160" authorId="1" shapeId="0" xr:uid="{840AC6CE-B992-41E9-B3EE-2F7EB5AD0938}">
      <text>
        <r>
          <rPr>
            <sz val="11"/>
            <color theme="1"/>
            <rFont val="Aptos Narrow"/>
            <family val="2"/>
            <scheme val="minor"/>
          </rPr>
          <t>Unknown User:
COMPLETE SERVICE OF WALL TOP TAPS ASSEMBLY
COMPLETE SERVICE OF TAP TOP ASSEMBLY
SEARCH &amp; INVESTIGATION OF WATER HAMMER
CHEMICAL DRAIN CLEANING TREATMENT</t>
        </r>
      </text>
    </comment>
    <comment ref="P1160" authorId="1" shapeId="0" xr:uid="{9C74B19B-DEAD-45EA-B204-2A666A7945D4}">
      <text>
        <r>
          <rPr>
            <sz val="11"/>
            <color theme="1"/>
            <rFont val="Aptos Narrow"/>
            <family val="2"/>
            <scheme val="minor"/>
          </rPr>
          <t>Unknown User:
Quote not emailed</t>
        </r>
      </text>
    </comment>
    <comment ref="V1160" authorId="1" shapeId="0" xr:uid="{ECEE6833-A8A9-41D9-9EBF-3DE29CE4DD2D}">
      <text>
        <r>
          <rPr>
            <sz val="11"/>
            <color theme="1"/>
            <rFont val="Aptos Narrow"/>
            <family val="2"/>
            <scheme val="minor"/>
          </rPr>
          <t>Unknown User:
13/10-Received $2950.89 by Smartpay</t>
        </r>
      </text>
    </comment>
    <comment ref="G1161" authorId="1" shapeId="0" xr:uid="{F34447FE-950F-4D62-9D41-6C9D6435FDCD}">
      <text>
        <r>
          <rPr>
            <sz val="11"/>
            <color theme="1"/>
            <rFont val="Aptos Narrow"/>
            <family val="2"/>
            <scheme val="minor"/>
          </rPr>
          <t xml:space="preserve">Unknown User:
SEWER SPOT DIG - IN GROUND
</t>
        </r>
      </text>
    </comment>
    <comment ref="P1161" authorId="1" shapeId="0" xr:uid="{008E6870-71C8-4471-80B3-7B237F45633C}">
      <text>
        <r>
          <rPr>
            <sz val="11"/>
            <color theme="1"/>
            <rFont val="Aptos Narrow"/>
            <family val="2"/>
            <scheme val="minor"/>
          </rPr>
          <t>Unknown User:
Quote not emailed</t>
        </r>
      </text>
    </comment>
    <comment ref="G1165" authorId="1" shapeId="0" xr:uid="{65020D98-BA8E-48FC-A8A8-1979FE3DF3CB}">
      <text>
        <r>
          <rPr>
            <sz val="11"/>
            <color theme="1"/>
            <rFont val="Aptos Narrow"/>
            <family val="2"/>
            <scheme val="minor"/>
          </rPr>
          <t>Unknown User:
WATER SERVICE RECTIFICATION (IN WALL)</t>
        </r>
      </text>
    </comment>
    <comment ref="G1166" authorId="1" shapeId="0" xr:uid="{718CF63C-8064-47E6-8BAF-BF97A3E6B1F9}">
      <text>
        <r>
          <rPr>
            <sz val="11"/>
            <color theme="1"/>
            <rFont val="Aptos Narrow"/>
            <family val="2"/>
            <scheme val="minor"/>
          </rPr>
          <t>Unknown User:
WATER SERVICE RECTIFICATION (IN GROUND)
10% Seniors &amp; Pensioners Discount</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Accounts | Point Plumbing</author>
    <author>tc={F3CF4F59-8EF1-40FF-BB0E-B9DBE85B2B1A}</author>
    <author>Guest User</author>
    <author>tc={82A3DEC7-96F0-467F-973C-7F3C4D811D94}</author>
    <author>tc={65939B1A-E2E0-429B-82B5-28F117091063}</author>
    <author>tc={9F1DD4A6-760D-4270-8FE6-024807741D1F}</author>
    <author>tc={44E3EE43-7795-4DF2-ACE8-1347069653EA}</author>
    <author>tc={4CCA76DC-4445-41FF-9B3B-449A56DB6B7C}</author>
    <author>tc={39070CC3-BA68-4555-A570-3350B8A60A8D}</author>
    <author>tc={1F762E4D-0215-46DC-BA61-DBA8B901BE44}</author>
    <author>tc={5E3A3878-7325-43F1-A51F-63F4481997CA}</author>
    <author>tc={4C0C19DF-0033-48E4-BFEB-1E47DDCA104E}</author>
    <author>tc={162AEDE1-3D1C-4CB4-986D-B81DA8A8D610}</author>
    <author>tc={433AE38A-A999-44E2-9DA5-E4727C7394F4}</author>
    <author>tc={53AD1DC0-58F9-4532-9133-5274B99EE9E4}</author>
    <author>Accounts | Australia Trades</author>
  </authors>
  <commentList>
    <comment ref="E19" authorId="0" shapeId="0" xr:uid="{F8A30249-FEA1-488E-ABA6-3A138D6CAFD2}">
      <text>
        <r>
          <rPr>
            <sz val="11"/>
            <color theme="1"/>
            <rFont val="Aptos Narrow"/>
            <family val="2"/>
            <scheme val="minor"/>
          </rPr>
          <t>Accounts | Point Plumbing:
Accounts | Point Plumbing:
Job 700214/90848675 still Open W/O</t>
        </r>
      </text>
    </comment>
    <comment ref="E20" authorId="0" shapeId="0" xr:uid="{4F61F809-D6F2-44C3-B598-A35DB968AAB9}">
      <text>
        <r>
          <rPr>
            <sz val="11"/>
            <color theme="1"/>
            <rFont val="Aptos Narrow"/>
            <family val="2"/>
            <scheme val="minor"/>
          </rPr>
          <t>Accounts | Point Plumbing:
Job 700612 still Open W/O</t>
        </r>
      </text>
    </comment>
    <comment ref="E21" authorId="0" shapeId="0" xr:uid="{349D752E-C9C8-4A0E-9842-3AAB7C0FE364}">
      <text>
        <r>
          <rPr>
            <sz val="11"/>
            <color theme="1"/>
            <rFont val="Aptos Narrow"/>
            <family val="2"/>
            <scheme val="minor"/>
          </rPr>
          <t xml:space="preserve">Accounts | Point Plumbing:
Open Work Orders
#700912 - Possible Cancellation [?] @ 3rd Jul
#701029 - Still Open W/O @ 3rd Jul 2025
#701041 - Still Open W/O @ 3rd Jul 2025
No Leniency to be applied as per UM
</t>
        </r>
      </text>
    </comment>
    <comment ref="E107" authorId="0" shapeId="0" xr:uid="{2338B251-4E5E-4641-81AC-8255A491C3F2}">
      <text>
        <r>
          <rPr>
            <sz val="11"/>
            <color theme="1"/>
            <rFont val="Aptos Narrow"/>
            <family val="2"/>
            <scheme val="minor"/>
          </rPr>
          <t>Accounts | Point Plumbing:
Job 700214/90848675 still Open W/O
Completed &amp; Paid @ 15th Jul</t>
        </r>
      </text>
    </comment>
    <comment ref="E108" authorId="1" shapeId="0" xr:uid="{F3CF4F59-8EF1-40FF-BB0E-B9DBE85B2B1A}">
      <text>
        <t>[Threaded comment]
Your version of Excel allows you to read this threaded comment; however, any edits to it will get removed if the file is opened in a newer version of Excel. Learn more: https://go.microsoft.com/fwlink/?linkid=870924
Comment:
    Checked</t>
      </text>
    </comment>
    <comment ref="E109" authorId="2" shapeId="0" xr:uid="{132C13D7-FCAF-487E-9EFA-301A2A5CC633}">
      <text>
        <r>
          <rPr>
            <sz val="11"/>
            <color theme="1"/>
            <rFont val="Aptos Narrow"/>
            <family val="2"/>
            <scheme val="minor"/>
          </rPr>
          <t>Unknown User:
Material cost pertains to Aspire QLD job (Heath). 
Recorded in Service VIC as per AA's instruction.</t>
        </r>
      </text>
    </comment>
    <comment ref="E110" authorId="3" shapeId="0" xr:uid="{82A3DEC7-96F0-467F-973C-7F3C4D811D94}">
      <text>
        <t>[Threaded comment]
Your version of Excel allows you to read this threaded comment; however, any edits to it will get removed if the file is opened in a newer version of Excel. Learn more: https://go.microsoft.com/fwlink/?linkid=870924
Comment:
    Checked</t>
      </text>
    </comment>
    <comment ref="E111" authorId="4" shapeId="0" xr:uid="{65939B1A-E2E0-429B-82B5-28F117091063}">
      <text>
        <t>[Threaded comment]
Your version of Excel allows you to read this threaded comment; however, any edits to it will get removed if the file is opened in a newer version of Excel. Learn more: https://go.microsoft.com/fwlink/?linkid=870924
Comment:
    Stock</t>
      </text>
    </comment>
    <comment ref="G119" authorId="2" shapeId="0" xr:uid="{CF1B55E4-C1D2-4297-9210-7A7BB8E2196D}">
      <text>
        <r>
          <rPr>
            <sz val="11"/>
            <color theme="1"/>
            <rFont val="Aptos Narrow"/>
            <family val="2"/>
            <scheme val="minor"/>
          </rPr>
          <t>Unknown User:
COMPLETE SERVICE OF TAP TOP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using specialist tungsten re-seating tool
Flush out breach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Reinstall hot &amp; cold-water tapware
Reinstall hot &amp; cold-water locking nuts
Reinstate cold water supply to property
Reinstate hot water supply to property
Test &amp; commission installation
Removal of trade waste
PLEASE NOTE IF FURTHER WORK REQUIRED OUTSIDE OF QUOTED WORKS ADDITIONAL COSTS WILL APPLY. IF BREECH IS FOUND TO BE DAMAGED FURTHER COSTS WILL APPLY.
SUPPLY &amp; INSTALLATION OF NEW ARCO HOSE TAP – ¼ TURN HOSE TAPS TO REPLACE EXISTING HOSE TAP
Isolate main cold-water supply to property
Disconnect &amp; removal of existing garden hose tap
Disconnect &amp; removal of existing sealant
Clean internal No.19 thread
Dig trench to new tap location
Supply and install new copper pipework (up to 3M)
Supply and install new brass fittings
Supply and install new bpress fittings
Use oh hydraulic press tool
Supply &amp; install new sealant
Supply &amp; install new arco hose tap
Reinstate main water supply to property
Test &amp; commission installation
Removal of trade waste
PLEASE NOTE IF FURTHER WORK REQUIRED OTHER THEN QUOTED WORK FURTHER COST WILL APPLY</t>
        </r>
      </text>
    </comment>
    <comment ref="G120" authorId="2" shapeId="0" xr:uid="{55367D29-F48A-477A-A616-DE70D731B4A0}">
      <text>
        <r>
          <rPr>
            <sz val="11"/>
            <color theme="1"/>
            <rFont val="Aptos Narrow"/>
            <family val="2"/>
            <scheme val="minor"/>
          </rPr>
          <t>Unknown User:
REPLACEMENT OF CISTERN DUAL FLUSH VALVE WITH UNIVERSAL FLUSH VALVE (COMPLETE ASSEMBLY)
Isolate water supply to cistern
Drain cistern
Disconnect &amp; remove water inlet to cistern
Disconnect &amp; remove cistern locking bolts
Disconnect &amp; remove cistern from pan
Disconnect &amp; remove existing dual flush valve lock nuts
Disconnect &amp; remove existing dual flush valve
Disconnect &amp; remove existing concealed gaskets
Clean &amp; prepare worked area
Supply &amp; install new sealants
Supply &amp; install new concealed gaskets
Supply &amp; install new dual flush valve (universal) to cistern
Supply &amp; install new dual flush valve lock nuts
Reinstate cistern to pan
Reinstate cistern locking bolts
Reinstate water inlet to cistern
Reinstate water supply to cistern
Test &amp; commission installation
Set flush levels of new dual flush outlet valve
Removal of trade waste from site
PLEASE NOTE IF FURTHER WORK REQUIRED OUTSIDE OF QUOTED WORKS ADDITIONAL COSTS WILL APPLY</t>
        </r>
      </text>
    </comment>
    <comment ref="L120" authorId="2" shapeId="0" xr:uid="{45B7FED0-AEC2-4F8C-9EC8-07A10783C221}">
      <text>
        <r>
          <rPr>
            <sz val="11"/>
            <color theme="1"/>
            <rFont val="Aptos Narrow"/>
            <family val="2"/>
            <scheme val="minor"/>
          </rPr>
          <t>Unknown User:
No issues dual flush valve, whereas a little gap is observed above the cistern (Due to a different size).</t>
        </r>
      </text>
    </comment>
    <comment ref="S120" authorId="2" shapeId="0" xr:uid="{08A49CC0-1ADC-4387-93A5-04B4EC4A32B4}">
      <text>
        <r>
          <rPr>
            <sz val="11"/>
            <color theme="1"/>
            <rFont val="Aptos Narrow"/>
            <family val="2"/>
            <scheme val="minor"/>
          </rPr>
          <t>Unknown User:
Plumber hasn't emailed signed invoice copy.</t>
        </r>
      </text>
    </comment>
    <comment ref="U120" authorId="2" shapeId="0" xr:uid="{E71C8E3E-527B-4891-A439-853CD3C25C1D}">
      <text>
        <r>
          <rPr>
            <sz val="11"/>
            <color theme="1"/>
            <rFont val="Aptos Narrow"/>
            <family val="2"/>
            <scheme val="minor"/>
          </rPr>
          <t>Unknown User:
15 July-As per Joshua W's note "Customer called to see if we can quote for something else when we are next there with the right sized buttons, need a water fountain looked at"
15 July-As per Heath's note "Have to return to install flush buttons, buttons that came with outlet valve did not fit. Office to collect 90%"</t>
        </r>
      </text>
    </comment>
    <comment ref="G121" authorId="2" shapeId="0" xr:uid="{377CFBF7-8663-469B-9350-F2F74A66603C}">
      <text>
        <r>
          <rPr>
            <sz val="11"/>
            <color theme="1"/>
            <rFont val="Aptos Narrow"/>
            <family val="2"/>
            <scheme val="minor"/>
          </rPr>
          <t>Unknown User:
CCTV DRAIN CAMERA INSPECTION OF SEWER SERVICE
Obtain service location diagram
Obtain dial before dig
Obtain sewer diagram
Locate access point to sewer service
Removal of access point to sewer service
Gain access to sewer service
Set up CCTV drain camera
Set up locator
Conduct CCTV camera on sewer service
Use of specialist locator
Locate potential faults in sewer service
Mark out potential faults in sewer service if found
Provide additional quote for rectification work if faults found
Reinstall sewer access point
Test &amp; commission work completed
PLEASE NOTE IF FURTHER WORK REQUIRED OTHER THEN QUOTED WORK FURTHER COST WILL APPLY</t>
        </r>
      </text>
    </comment>
    <comment ref="G122" authorId="2" shapeId="0" xr:uid="{03A8B9C9-687F-414F-8119-4A257A54071C}">
      <text>
        <r>
          <rPr>
            <sz val="11"/>
            <color theme="1"/>
            <rFont val="Aptos Narrow"/>
            <family val="2"/>
            <scheme val="minor"/>
          </rPr>
          <t>Unknown User:
HIGH POWERED JET BLAST &amp; CCTV CAMERA INSPECTION (GAIN ACCESS WITH REMOVAL OF TOILET)
Isolate main water supply to toilet cistern
Disconnect &amp; removal of existing water supply to toilet cistern
Disconnect &amp; removal of existing toilet cistern
Disconnect &amp; removal of existing toilet pan
Disconnect &amp; removal of existing toilet pan collar
Gain access to sewer service
Set up high powered Jet blaster
Set up High powered mini-Reel
Set up specialist whip hose
Set up high powered Turbines
Set up specialist CCTV Camera
Set up Specialist locator
Gain access to sewer service
First attempt to clear blocked sewer service using high powered Jet blaster in conjunction with specialist whip hose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existing toilet pan collar
Reinstate existing toilet pan
Reinstate existing toilet cistern
Reinstate toilet pan to floor
Reinstate water supply to toilet cistern
Reinstate water supply to toilet cistern
Clean worked area
Test &amp; commission installation
PLEASE NOTE IF BLOCKAGE DOES NOT CLEAR FURTHER COST WILL APPLY. THIS IS A FIRST ATTEMPT.
PLEASE NOTE IF TOILET PAN BREAKS DURING THE REMOVAL OF TOILET SUITE FURTHER COST WILL APPLY TO REPLACE</t>
        </r>
      </text>
    </comment>
    <comment ref="G123" authorId="2" shapeId="0" xr:uid="{BB4A67F8-71D6-4CD0-B28B-EA9B7A370AFA}">
      <text>
        <r>
          <rPr>
            <sz val="11"/>
            <color theme="1"/>
            <rFont val="Aptos Narrow"/>
            <family val="2"/>
            <scheme val="minor"/>
          </rPr>
          <t>Unknown User:
PILLAR TAP - COMBO
Isolate the main water supply to the property
Disconnect the existing cold-water supply to pillar tap
Disconnect the existing hot water supply to pillar tap
Remove existing cold-water supply to the pillar tap
Remove existing hot water supply to the pillar tap
Disconnect &amp; remove the existing brass fittings
Disconnect &amp; remove the existing locking nuts
Disconnect &amp; remove the existing cold water pillar tap
Disconnect &amp; remove the existing hot water pillar tap
Clean and prepare the work area
Supply &amp; install new cold water emergency isolation valve
Supply &amp; install new hot water emergency isolation valve
Supply &amp; install new cold water pillar tap
Supply &amp; install new hot water pillar tap
Supply &amp; install a new locking nut
Secure new pillar taps 
Reconnect cold water supply to pillar tap
Reconnect hot water supply to pillar tap 
Reinstate main water supply to property
Test and commission installation
Removal of trade waste
PLEASE NOTE IF FURTHER WORK REQUIRED OTHER THEN QUOTED WORK FURTHER COST WILL APPLY</t>
        </r>
      </text>
    </comment>
    <comment ref="G124" authorId="2" shapeId="0" xr:uid="{5986F232-5BD8-4C9B-9A2B-5CB6A02F73FF}">
      <text>
        <r>
          <rPr>
            <sz val="11"/>
            <color theme="1"/>
            <rFont val="Aptos Narrow"/>
            <family val="2"/>
            <scheme val="minor"/>
          </rPr>
          <t>Unknown User:
SEARCH AND INVESTIGATION OF GAS INSTANTANEOUS HOT WATER SYSTEM
Gain access to roof
Gain access to gas instantaneous hot water system
Gain access to main gas isolation valve to property
Removal of main test point at main meter
Test main gas supply with specialist manometer device
Reinstall main test point at main meter
Gain access to instantaneous hot water system test point
Removal of test point on existing instantaneous hot water system
Conduct gas supply with specialist manometer device at instantaneous hot water system
Reinstall test point to gas instantaneous hot water system
Visually inspect gas supply and fittings to hot water system
Conduct soapy spray test on fittings and pipework (IF REQUIRED)
Check gas supply pressure to hot water system and control unit
Check integrity of gas isolation valve at hot water system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repair.</t>
        </r>
      </text>
    </comment>
    <comment ref="N124" authorId="2" shapeId="0" xr:uid="{775C0FE9-3BE2-48CF-988F-F5D8482F439E}">
      <text>
        <r>
          <rPr>
            <sz val="11"/>
            <color theme="1"/>
            <rFont val="Aptos Narrow"/>
            <family val="2"/>
            <scheme val="minor"/>
          </rPr>
          <t xml:space="preserve">Unknown User:
Quote not raised
</t>
        </r>
      </text>
    </comment>
    <comment ref="Q124" authorId="2" shapeId="0" xr:uid="{B513B1F2-9A4F-47FD-A126-45892194EC17}">
      <text>
        <r>
          <rPr>
            <sz val="11"/>
            <color theme="1"/>
            <rFont val="Aptos Narrow"/>
            <family val="2"/>
            <scheme val="minor"/>
          </rPr>
          <t>Unknown User:
Final invoice not raised</t>
        </r>
      </text>
    </comment>
    <comment ref="G125" authorId="2" shapeId="0" xr:uid="{D325E784-4C5E-4086-BE89-71FEFBACEEBB}">
      <text>
        <r>
          <rPr>
            <sz val="11"/>
            <color theme="1"/>
            <rFont val="Aptos Narrow"/>
            <family val="2"/>
            <scheme val="minor"/>
          </rPr>
          <t>Unknown User:
SUPPLY &amp; INSTALLATION OF (SOLAR RATED) TEMPERING VALVE
Isolate main cold water supply to property
Isolate main hot water supply to property
Isolate main power supply to existing hot water system
Gain access to existing tempering valve
Drain system
Disconnect &amp; removal of existing outlet service unions
Disconnect &amp; removal of existing hot water service unions
Disconnect &amp; removal of existing cold water service unions
Disconnect &amp; removal of existing tempering valve body
Disconnect &amp; removal of existing hot water non return valve
Disconnect &amp; removal of existing cold water non return valve
Disconnect &amp; removal of existing service adapters from hot water service
Disconnect &amp; removal of existing service adapters from cold water service
Clean &amp; prepare existing water services for new connections
Supply &amp; install new service adapters
Supply &amp; install new press fittings
Supply &amp; install new brass fittings supply
Supply &amp; install new hot water non return valve
Supply &amp; install new cold water non return valve
Supply &amp; install new tempering valve body
Supply &amp; install new gaskets
Supply &amp; install new sealants
Supply &amp; install new valve lagging
Reinstate hot water supply to property
Reinstate cold water supply to property
Reinstate power supply to existing hot water system
Bleed hot water service
Bleed cold water service
Commission tempering valve to ensure compliance with AS/3500
Conduct temperature check to ensure compliance with AS/3500
Clean worked area
Removal of trade waste
PLEASE NOTE IF FURTHER WORK REQUIRED OTHER THEN QUOTED WORK FURTHER COST WILL APPLY</t>
        </r>
      </text>
    </comment>
    <comment ref="N125" authorId="2" shapeId="0" xr:uid="{2048E1B2-FC59-4A4A-9DF9-52477B38109C}">
      <text>
        <r>
          <rPr>
            <sz val="11"/>
            <color theme="1"/>
            <rFont val="Aptos Narrow"/>
            <family val="2"/>
            <scheme val="minor"/>
          </rPr>
          <t>Unknown User:
Quote not raised</t>
        </r>
      </text>
    </comment>
    <comment ref="Q125" authorId="2" shapeId="0" xr:uid="{E8BB97D2-667D-4155-A0DC-1EB68D8B5320}">
      <text>
        <r>
          <rPr>
            <sz val="11"/>
            <color theme="1"/>
            <rFont val="Aptos Narrow"/>
            <family val="2"/>
            <scheme val="minor"/>
          </rPr>
          <t>Unknown User:
Final invoice not raised</t>
        </r>
      </text>
    </comment>
    <comment ref="G126" authorId="2" shapeId="0" xr:uid="{EA4FC1A6-561E-4B44-8534-E87CC0BB4E5C}">
      <text>
        <r>
          <rPr>
            <sz val="11"/>
            <color theme="1"/>
            <rFont val="Aptos Narrow"/>
            <family val="2"/>
            <scheme val="minor"/>
          </rPr>
          <t>Unknown User:
HIGH POWERED SUCTION PUMP
Gain access to sewer service
Gain access to sewer fixture
Set up high powered suction pump
First attempt to clear blocked sewer using high powered suction pump
Attempt to clear sewer service using high powered suction pump
Attempt to clear debris from sewer service
Attempt to flush out sewer service &amp; debris
Test &amp; commission work completed
Removal of trade waste
PLEASE NOTE IF BLOCKAGES DOES NOT CLEAR FURTHER COST WILL APPLY. THIS IS A FIRST ATTEMPT</t>
        </r>
      </text>
    </comment>
    <comment ref="G127" authorId="2" shapeId="0" xr:uid="{E0C1568A-F9AB-466F-BD71-2800BE860692}">
      <text>
        <r>
          <rPr>
            <sz val="11"/>
            <color theme="1"/>
            <rFont val="Aptos Narrow"/>
            <family val="2"/>
            <scheme val="minor"/>
          </rPr>
          <t xml:space="preserve">Unknown User:
SUPPLY &amp; INSTALLATION OF NEW ARCO HOSE TAP – ¼ TURN HOSE TAPS TO REPLACE EXISTING HOSE TAP
Isolate main cold-water supply to property
Disconnect &amp; removal of existing garden hose tap
Disconnect &amp; removal of existing sealant
Clean internal No.19 thread
Supply &amp; install new sealant
Supply &amp; install new arco hose tap
Reinstate main water supply to property
Test &amp; commission installation
Removal of trade waste
PLEASE NOTE IF FURTHER WORK REQUIRED OTHER THEN QUOTED WORK FURTHER COST WILL APPLY
</t>
        </r>
      </text>
    </comment>
    <comment ref="O127" authorId="2" shapeId="0" xr:uid="{A32265C0-6638-404B-87F9-4055883922D8}">
      <text>
        <r>
          <rPr>
            <sz val="11"/>
            <color theme="1"/>
            <rFont val="Aptos Narrow"/>
            <family val="2"/>
            <scheme val="minor"/>
          </rPr>
          <t>Unknown User:
Text approval</t>
        </r>
      </text>
    </comment>
    <comment ref="R127" authorId="2" shapeId="0" xr:uid="{B35FBBF0-C2DF-4BCD-96E9-F8944E233E78}">
      <text>
        <r>
          <rPr>
            <sz val="11"/>
            <color theme="1"/>
            <rFont val="Aptos Narrow"/>
            <family val="2"/>
            <scheme val="minor"/>
          </rPr>
          <t>Unknown User:
Customer not onsite</t>
        </r>
      </text>
    </comment>
    <comment ref="G128" authorId="2" shapeId="0" xr:uid="{1EDA1230-3ECE-4ACB-8628-F432252A4737}">
      <text>
        <r>
          <rPr>
            <sz val="11"/>
            <color theme="1"/>
            <rFont val="Aptos Narrow"/>
            <family val="2"/>
            <scheme val="minor"/>
          </rPr>
          <t>Unknown User:
SEARCH AND INVESTIGATION OF SOLAR SPLIT HOT WATER SYSTEM
Set up safe worked area
Gain access to solar hot water system
Gain access to solar panels
Gain access to main electrical supply
Check power supply at mains
Disconnect and remove hot water system electrical cover
Check power supply to solar hot water hot water unit
Check power supply to thermostat
Check power supply to element
Check water supply to isolation valve
Check hot water system for tempering valve
Check water supply pressure to property
Check hot water system flow rate
Check electrical cable connections on hot water unit
Visually inspect electrical cable for ruptures where able
Check relief valve operation and integrity
Check discharge from outlet of hot water system for any signs of rust and corrosion in hot water supply
Determine cause and include any repair to a loose pipe or loose wire connection
PLEASE NOTE IF FURTHER WORK IS REQUIRED ADDITIONAL COSTS WILL APPLY
Please note:
- We aim to detect all faults, however due to the differing nature of faults, we may only be able to find the primary fault. Secondary and other faults may only become apparent when the primary fault has been repaired.
- If a fault is found, then other exploratory methods will not be conducted if not required.
- Once fault is found further cost will apply to repair.</t>
        </r>
      </text>
    </comment>
    <comment ref="G133" authorId="2" shapeId="0" xr:uid="{E18CEAE4-4B45-454E-8BE3-171853A6BB77}">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P133" authorId="2" shapeId="0" xr:uid="{5FDC58A9-F933-4EC9-AD27-17F20B295D0A}">
      <text>
        <r>
          <rPr>
            <sz val="11"/>
            <color theme="1"/>
            <rFont val="Aptos Narrow"/>
            <family val="2"/>
            <scheme val="minor"/>
          </rPr>
          <t>Unknown User:
Quote not emailed</t>
        </r>
      </text>
    </comment>
    <comment ref="Q133" authorId="2" shapeId="0" xr:uid="{2C38081F-8933-472B-978B-1B03647ADD35}">
      <text>
        <r>
          <rPr>
            <sz val="11"/>
            <color theme="1"/>
            <rFont val="Aptos Narrow"/>
            <family val="2"/>
            <scheme val="minor"/>
          </rPr>
          <t>Unknown User:
Final invoice not raised</t>
        </r>
      </text>
    </comment>
    <comment ref="G137" authorId="2" shapeId="0" xr:uid="{4D75D0DA-86C0-4687-A6C7-92EFE2A5E355}">
      <text>
        <r>
          <rPr>
            <sz val="11"/>
            <color theme="1"/>
            <rFont val="Aptos Narrow"/>
            <family val="2"/>
            <scheme val="minor"/>
          </rPr>
          <t>Unknown User:
SEWER SPOT DIG UP TO 1.5M (UNDER CONCRETE)
Obtain sewer diagram
Obtain dial Before dig
Obtain service location diagram
Set up safe work area
Set up builders plastic
Set up barricades for safety
Concrete cut ground area
Jack hammer ground area
Removal of concrete in required location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t>
        </r>
      </text>
    </comment>
    <comment ref="U137" authorId="2" shapeId="0" xr:uid="{FD15511C-3F4C-4ECC-AFB4-2BE1B2664DA4}">
      <text>
        <r>
          <rPr>
            <sz val="11"/>
            <color theme="1"/>
            <rFont val="Aptos Narrow"/>
            <family val="2"/>
            <scheme val="minor"/>
          </rPr>
          <t>Unknown User:
21/7-OFFICE~ client isn’t here and wanted 2 weeks to pay the job, I told him we need payment on completion. He sorta cracked it, cracked it cos he has to pay monthly fees and a start up amount of humm. Said he’s gonna speak to his boss</t>
        </r>
      </text>
    </comment>
    <comment ref="G138" authorId="2" shapeId="0" xr:uid="{E8C6C4D7-06BA-4875-BBBA-24A80F244E4B}">
      <text>
        <r>
          <rPr>
            <sz val="11"/>
            <color theme="1"/>
            <rFont val="Aptos Narrow"/>
            <family val="2"/>
            <scheme val="minor"/>
          </rPr>
          <t>Unknown User:
CONVERT SOLAR SPLIT HOT WATER SYSTEM TO EXTERNAL GAS INSTANTANEOUS HOT WATER SYSTEM
Isolate main power supply to property
Isolate main water supply to property
Isolate main gas supply to property
Gain safe access to existing solar hot water system
Disconnect power supply to solar hot water system
Disconnect water supply to solar hot water system
Disconnect plumbing to solar panels
Disconnect &amp; removal of existing valves connecting to solar hot water system
Disconnect &amp; removal of existing brass fittings connecting to solar hot water system
Disconnect &amp; removal of existing cold-water supply connecting to solar hot water system
Disconnect &amp; removal of existing hot water return supply connecting to solar hot water system
Disconnect &amp; removal of existing plumbing connecting to solar panels
Decommission existing roof mounted solar panels
Drain tank
Removal of tank
Mark out new desired location for new gas instantaneous hot water system
Gain access to cold water supply
Gain access to hot water return supply
Gain access to existing gas supply
Redirect cold water supply in copper for new gas instantaneous hot water system
Redirect hot water supply in copper for new gas instantaneous hot water system
Redirect gas supply in copper for new gas instantaneous hot water system
Supply &amp; install new gas instantaneous hot water system in new desired location
Secure new gas instantaneous hot water system in new desired location
Supply &amp; install new gas emergency isolation valve
Supply &amp; install new cold water emergency isolation valve
Supply &amp; install new gas instantaneous hot water system valve kit
Supply &amp; install new brass fittings
Supply &amp; install new B-press fittings
Connect new cold-water service to new gas instantaneous hot water system
Connect new hot water service to new gas instantaneous hot water system
Connect new gas service to new gas instantaneous hot water system
Connect power supply to new gas instantaneous hot water system
Reinstate main water supply to property
Reinstate main power supply to property
Reinstate gas supply to property
Test &amp; commission installation
Removal of trade waste
**Please note solar panels will be left on roof to save cost**
IF FURTHER WORK REQUIRED OUTSIDE OF QUOTED WORKS ADDITIONAL COSTS WILL APPLY</t>
        </r>
      </text>
    </comment>
    <comment ref="G139" authorId="2" shapeId="0" xr:uid="{0ACFB182-0BAB-4EDD-B000-7966B023EBDC}">
      <text>
        <r>
          <rPr>
            <sz val="11"/>
            <color theme="1"/>
            <rFont val="Aptos Narrow"/>
            <family val="2"/>
            <scheme val="minor"/>
          </rPr>
          <t>Unknown User:
SUPPLY &amp; INSTALLATION OF NEW TOILET SEAT
Disconnect existing locking nuts
Disconnect existing toilet seat from pan
Removal of existing toilet seat from pan
Clean &amp; prepare worked area
Supply &amp; install new toilet seat
Supply &amp; install new locking nuts
Secure new toilet seat to existing toilet pan
Test &amp; commission installation
Removal of trade waste
PLEASE NOTE IF FURTHER WORK REQUIRED OUTSIDE OF QUOTED WORKS ADDITIONAL COSTS WILL APPLY</t>
        </r>
      </text>
    </comment>
    <comment ref="G158" authorId="2" shapeId="0" xr:uid="{3E4F3113-A53B-4DCA-B0C3-CB3C7AA15124}">
      <text>
        <r>
          <rPr>
            <sz val="11"/>
            <color theme="1"/>
            <rFont val="Aptos Narrow"/>
            <family val="2"/>
            <scheme val="minor"/>
          </rPr>
          <t>Unknown User:
REPLACEMENT OF SHOWER ARM &amp; ROSE
Isolate main water supply to property
Cut gyprock wall behind shower outlet
Expose shower outlet
Cut and remove existing timber noggin
Supply and install new timber noggin
Fix existing bp19 to timber noggin 
Disconnect existing shower rose and arm assembly
Disconnect and remove existing brass fittings
Disconnect and remove existing cover plate
Clean and prepare worked area and threaded outlets for new installation
Supply and install new cover plate for new shower rose
Supply and install new thread sealant
Supply and install new shower rose and new arm assembly
Secure new shower rose and arm
Reinstate main water supply to property
Test and commission installation
Removal of trade waste from site
PLEASE NOTE IF FURTHER WORK REQUIRED OTHER THEN QUOTED WORK FURTHER COST WILL APPLY QUOTE DOES NOT INCLUDE REINSTATEMENT OF GYPROCK WALL</t>
        </r>
      </text>
    </comment>
    <comment ref="G159" authorId="2" shapeId="0" xr:uid="{99EBD502-EDCE-4721-A110-1523346CBAFF}">
      <text>
        <r>
          <rPr>
            <sz val="11"/>
            <color theme="1"/>
            <rFont val="Aptos Narrow"/>
            <family val="2"/>
            <scheme val="minor"/>
          </rPr>
          <t>Unknown User:
INSTALLATION OF NEW WASHING MACHINE (CUSTOMER SUPPLIED)
Isolate main power supply to washing machine
Isolate cold water supply to washing machine
Isolate hot water supply to washing machine
Disconnect &amp; removal of existing power supply
Disconnect &amp; removal of existing cold-water supply to washing machine
Disconnect &amp; removal of existing hot water supply to washing machine
Disconnect &amp; removal of existing drainage supply to washing machine
Disconnect &amp; removal of existing washing machine
Clean &amp; prepare worked area
Prepare customer supplied washing machine for new installation
Install new customer supplied washing machine
Connect cold water inlet supply to washing machine
Connect hot water inlet supply to washing machine
Connect drainage outlet supply to washing machine
Connect drainage outlet supply to existing discharge point
Connect power supply to washing machine
Reinstate cold water supply
Reinstate hot water supply
Test &amp; commission installation
Removal of trade waste (Excludes removal of old appliance)
PLEASE NOTE IF FURTHER WORK REQUIRED OTHER THEN QUOTED WORK FURTHER COST WILL APPLY</t>
        </r>
      </text>
    </comment>
    <comment ref="G160" authorId="2" shapeId="0" xr:uid="{94DAA82D-A484-4EE4-8214-75FA80A1F831}">
      <text>
        <r>
          <rPr>
            <sz val="11"/>
            <color theme="1"/>
            <rFont val="Aptos Narrow"/>
            <family val="2"/>
            <scheme val="minor"/>
          </rPr>
          <t>Unknown User:
SEARCH AND INVESTIGATION OF ELECTRIC STORAGE HOT WATER SYSTEM
Gain access to hot water unit
Gain access to electrical supply
Check power supply at mains
Disconnect and remove hot water system electrical cover
Check power supply at hot water unit
Check power supply to thermostat
Check power supply to element
Check water supply to isolation valve
Check hot water system for tempering valve
Check water supply pressure to property
Check hot water system flow rate
Check electrical cable connections on hot water unit
Visually inspect electrical cable for ruptures where able
Check relive valve operation and integrity
Check discharge from outlet of hot water system for any signs of rust and corrosion in hot water supply
Determine cause and include any repair to a loose pipe or loose wire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repair.</t>
        </r>
      </text>
    </comment>
    <comment ref="G162" authorId="2" shapeId="0" xr:uid="{89BB3F63-A458-4A76-B4CE-5BD000C7BA24}">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G163" authorId="2" shapeId="0" xr:uid="{6BAF7D8B-7331-443F-B1EB-1945F9E2F09A}">
      <text>
        <r>
          <rPr>
            <sz val="11"/>
            <color theme="1"/>
            <rFont val="Aptos Narrow"/>
            <family val="2"/>
            <scheme val="minor"/>
          </rPr>
          <t>Unknown User:
DECOMMISSION HYDRONIC HEATING PANEL
- Isolate water to the property
- Isolate power to hydronic heating unit
- Disconnect and remove flow and return lines from hydronic heating panel
- Drain water from system
- Supply and install caps on flow and return lines 
- Disconnect and remove panel from wall and leave in safe place 
- Reinstate water to the property
- Check for leaks
- Reinstate power to the hydronic heating unit
- Remove all trade waste
PLEASE NOTE IF FURTHER WORK IS REQUIRED ADDITIONAL COSTS WILL APPLY</t>
        </r>
      </text>
    </comment>
    <comment ref="G164" authorId="2" shapeId="0" xr:uid="{B383706C-F023-47A2-BFB8-FEB615EDAF23}">
      <text>
        <r>
          <rPr>
            <sz val="11"/>
            <color theme="1"/>
            <rFont val="Aptos Narrow"/>
            <family val="2"/>
            <scheme val="minor"/>
          </rPr>
          <t>Unknown User:
SEARCH &amp; INVESTIGATION OF GAS APPLIANCE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Inspect gas hobs and clear any debris from gas ports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t>
        </r>
      </text>
    </comment>
    <comment ref="G165" authorId="2" shapeId="0" xr:uid="{E8C22A8E-81F1-4513-9957-653A80936B4C}">
      <text>
        <r>
          <rPr>
            <sz val="11"/>
            <color theme="1"/>
            <rFont val="Aptos Narrow"/>
            <family val="2"/>
            <scheme val="minor"/>
          </rPr>
          <t>Unknown User:
SUPPLY &amp; INSTALLATION OF NEW INSTANTANEOUS GAS HOT WATER SYSTEM (EXTERNAL)
Isolate main water supply to property
Isolate main gas supply to property
Disconnect main water supply to existing instantaneous hot water system
Disconnect main gas supply to existing instantaneous hot water system
Disconnect existing return supply to existing instantaneous hot water system
Disconnect and remove illegally installed gas pex service back to the meter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copper gas service (up to 14M)
Supply &amp; install new B-press fittings
Supply &amp; install new Brass fittings
Reconfigure cold water supply to suit new gas instantaneous hot water system
Reconfigure hot water return supply to suit new gas instantaneous hot water system
Reconnect cold water supply to new gas instantaneous hot water system
Reconnect hot water return supply to new gas instantaneous hot water system
Secure cold-water supply
Secure hot water supply
Secure gas supply
Perform gas pressure drop test to ensure no leaks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G166" authorId="2" shapeId="0" xr:uid="{E0211CD1-007C-4742-B8CA-BACA8B8F1FE7}">
      <text>
        <r>
          <rPr>
            <sz val="11"/>
            <color theme="1"/>
            <rFont val="Aptos Narrow"/>
            <family val="2"/>
            <scheme val="minor"/>
          </rPr>
          <t>Unknown User:
SHOWER DRAIN CONNECTION
-Gain access under the floor
-Crawl 10 metres towards shower waste
-Connect shower waste onto existing drainage
-Conduct a flood test on shower drainage
-Inspect for leaks
-Remove all trade waste 
PLEASE NOTE IF FURTHER WORK IS REQUIRED ADDITIONAL COSTS WILL APPLYc</t>
        </r>
      </text>
    </comment>
    <comment ref="G167" authorId="2" shapeId="0" xr:uid="{B84CBA48-252E-4006-8E2D-33BD14D963FD}">
      <text>
        <r>
          <rPr>
            <sz val="11"/>
            <color theme="1"/>
            <rFont val="Aptos Narrow"/>
            <family val="2"/>
            <scheme val="minor"/>
          </rPr>
          <t>Unknown User:
REPLACEMENT OF SOLAR FROST VALVE
Set up height access equipment
Gain access to roof
Isolate water supply to unit
Disconnect &amp; remove service union from frost valve
Disconnect &amp; remove frost valve
Clean and prepare threads
Supply &amp; install new sealant
Supply &amp; install new service union
Supply &amp; install new frost valve
Reinstate water supply to unit
Test &amp; commission installation
Pack down height equipment
Removal of trade waste from site
PLEASE NOTE IF FURTHER WORK REQUIRED OUTSIDE OF QUOTED WORKS ADDITIONAL COSTS WILL APPLY</t>
        </r>
      </text>
    </comment>
    <comment ref="G168" authorId="2" shapeId="0" xr:uid="{6B71B66D-5A17-4DFF-9FC2-0798EED317A7}">
      <text>
        <r>
          <rPr>
            <sz val="11"/>
            <color theme="1"/>
            <rFont val="Aptos Narrow"/>
            <family val="2"/>
            <scheme val="minor"/>
          </rPr>
          <t>Unknown User:
SEWER SPOT DIG UP TO 1.5M - IN GROUND
Obtain sewer diagram
Obtain dial Before dig
Obtain service location diagram
Set up safe work area
Set up builders plastic
Set up barricades for safety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Restoration of worked area
Test &amp; commission installation
Remove trade waste
PLEASE NOTE IF FURTHER WORK REQUIRED OTHER THEN QUOTED WORK FURTHER COST WILL APPLY</t>
        </r>
      </text>
    </comment>
    <comment ref="G169" authorId="2" shapeId="0" xr:uid="{35C0FC4B-611E-4785-A226-9DF7CBE7103A}">
      <text>
        <r>
          <rPr>
            <sz val="11"/>
            <color theme="1"/>
            <rFont val="Aptos Narrow"/>
            <family val="2"/>
            <scheme val="minor"/>
          </rPr>
          <t>Unknown User:
CONVERT SOLAR SPLIT HOT WATER SYSTEM TO EXTERNAL GAS INSTANTANEOUS HOT WATER SYSTEM
Isolate main power supply to property
Isolate main water supply to property
Isolate main gas supply to property
Gain safe access to existing solar hot water system
Disconnect power supply to solar hot water system
Disconnect water supply to solar hot water system
Disconnect plumbing to solar panels
Disconnect &amp; removal of existing valves connecting to solar hot water system
Disconnect &amp; removal of existing brass fittings connecting to solar hot water system
Disconnect &amp; removal of existing cold-water supply connecting to solar hot water system
Disconnect &amp; removal of existing hot water return supply connecting to solar hot water system
Disconnect &amp; removal of existing plumbing connecting to solar panels
Decommission existing roof mounted solar panels
Drain tank
Removal of tank
Mark out new desired location for new gas instantaneous hot water system
Gain access to cold water supply
Gain access to hot water return supply
Gain access to existing gas supply
Redirect cold water supply in copper for new gas instantaneous hot water system
Redirect hot water supply in copper for new gas instantaneous hot water system
Redirect gas supply in copper for new gas instantaneous hot water system
Supply &amp; install new gas instantaneous hot water system in new desired location
Secure new gas instantaneous hot water system in new desired location
Supply &amp; install new gas emergency isolation valve
Supply &amp; install new cold water emergency isolation valve
Supply &amp; install new gas instantaneous hot water system valve kit
Supply &amp; install new brass fittings
Supply &amp; install new B-press fittings
Connect new cold-water service to new gas instantaneous hot water system
Connect new hot water service to new gas instantaneous hot water system
Connect new gas service to new gas instantaneous hot water system
Connect power supply to new gas instantaneous hot water system
Reinstate main water supply to property
Reinstate main power supply to property
Reinstate gas supply to property
Test &amp; commission installation
Removal of trade waste
**Please note solar panels will be left on roof to save cost**
IF FURTHER WORK REQUIRED OUTSIDE OF QUOTED WORKS ADDITIONAL COSTS WILL APPLY</t>
        </r>
      </text>
    </comment>
    <comment ref="G170" authorId="2" shapeId="0" xr:uid="{9995675A-785B-4D1D-B8F2-D03A7BDB5C2C}">
      <text>
        <r>
          <rPr>
            <sz val="11"/>
            <color theme="1"/>
            <rFont val="Aptos Narrow"/>
            <family val="2"/>
            <scheme val="minor"/>
          </rPr>
          <t>Unknown User:
CONVERT SOLAR SPLIT HOT WATER SYSTEM TO EXTERNAL GAS INSTANTANEOUS HOT WATER SYSTEM
Isolate main power supply to property
Isolate main water supply to property
Isolate main gas supply to property
Gain safe access to existing solar hot water system
Disconnect power supply to solar hot water system
Disconnect water supply to solar hot water system
Disconnect plumbing to solar panels
Disconnect &amp; removal of existing valves connecting to solar hot water system
Disconnect &amp; removal of existing brass fittings connecting to solar hot water system
Disconnect &amp; removal of existing cold-water supply connecting to solar hot water system
Disconnect &amp; removal of existing hot water return supply connecting to solar hot water system
Disconnect &amp; removal of existing plumbing connecting to solar panels
Decommission existing roof mounted solar panels
Drain tank
Removal of tank
Mark out new desired location for new gas instantaneous hot water system
Gain access to cold water supply
Gain access to hot water return supply
Gain access to existing gas supply
Redirect cold water supply in copper for new gas instantaneous hot water system
Redirect hot water supply in copper for new gas instantaneous hot water system
Redirect gas supply in copper for new gas instantaneous hot water system
Supply &amp; install new gas instantaneous hot water system in new desired location
Secure new gas instantaneous hot water system in new desired location
Supply &amp; install new gas emergency isolation valve
Supply &amp; install new cold water emergency isolation valve
Supply &amp; install new gas instantaneous hot water system valve kit
Supply &amp; install new brass fittings
Supply &amp; install new B-press fittings
Connect new cold-water service to new gas instantaneous hot water system
Connect new hot water service to new gas instantaneous hot water system
Connect new gas service to new gas instantaneous hot water system
Connect power supply to new gas instantaneous hot water system
Reinstate main water supply to property
Reinstate main power supply to property
Reinstate gas supply to property
Test &amp; commission installation
Removal of trade waste
**Please note solar panels will be left on roof to save cost**
IF FURTHER WORK REQUIRED OUTSIDE OF QUOTED WORKS ADDITIONAL COSTS WILL APPLY</t>
        </r>
      </text>
    </comment>
    <comment ref="G202" authorId="2" shapeId="0" xr:uid="{E56AA7A0-45CC-4CDC-98A4-B38F85A3D3F9}">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203" authorId="2" shapeId="0" xr:uid="{4BD9B6C4-A662-42AC-94E1-53D11CE2592A}">
      <text>
        <r>
          <rPr>
            <sz val="11"/>
            <color theme="1"/>
            <rFont val="Aptos Narrow"/>
            <family val="2"/>
            <scheme val="minor"/>
          </rPr>
          <t>Unknown User:
SEARCH &amp; INVESTIGATION OF GAS APPLIANCE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and remove gas hobs
• Disconnect cooktop surface panel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t>
        </r>
      </text>
    </comment>
    <comment ref="G204" authorId="2" shapeId="0" xr:uid="{C25EED0A-FF29-45FD-B906-1E41694AD706}">
      <text>
        <r>
          <rPr>
            <sz val="11"/>
            <color theme="1"/>
            <rFont val="Aptos Narrow"/>
            <family val="2"/>
            <scheme val="minor"/>
          </rPr>
          <t>Unknown User:
CCTV DRAIN CAMERA INSPECTION OF STORM WATER SERVICE
Obtain service location diagram
Obtain dial before dig
Obtain storm water service diagram – If available
Locate storm water service access points
Removal of storm water access point
Gain access to storm water service
Set up CCTV drain camera
Set up locator
Conduct CCTV camera on storm water service
Use of specialist locator
Locate potential faults in storm water service
Mark out potential faults in storm water service if found
Provide additional quote for rectification work if faults found
Reinstall storm water access points
Test &amp; commission work completed
PLEASE NOTE IF FURTHER WORK REQUIRED OTHER THEN QUOTED WORK FURTHER COST WILL APPLY</t>
        </r>
      </text>
    </comment>
    <comment ref="G205" authorId="2" shapeId="0" xr:uid="{1A5454DA-5D5B-4F8D-9DEE-7675D60E4867}">
      <text>
        <r>
          <rPr>
            <sz val="11"/>
            <color theme="1"/>
            <rFont val="Aptos Narrow"/>
            <family val="2"/>
            <scheme val="minor"/>
          </rPr>
          <t>Unknown User:
INSTALLATION OF NEW WASHING MACHINE (CUSTOMER SUPPLIED)
Isolate main power supply to washing machine
Isolate cold water supply to washing machine
Disconnect &amp; removal of existing power supply
Disconnect &amp; removal of existing cold-water supply to washing machine
Disconnect &amp; removal of existing drainage supply to washing machine
Disconnect &amp; removal of existing customer supplied washing machine
Clean &amp; prepare worked area
Drill holes through cabinetry for drain hose (if required)
Reinstall customer supplied washing machine
Connect cold water inlet supply to washing machine
Connect drainage outlet supply to washing machine
Connect drainage outlet supply to existing discharge point
Supply &amp; install clips and supports for drainage
Connect power supply to washing machine
Reinstate cold water supply
Test &amp; commission installation
Removal of trade waste 
PLEASE NOTE IF FURTHER WORK REQUIRED OTHER THEN QUOTED WORK FURTHER COST WILL APPLY</t>
        </r>
      </text>
    </comment>
    <comment ref="T205" authorId="2" shapeId="0" xr:uid="{775DBC01-C181-4249-A0ED-5A725E3F7E29}">
      <text>
        <r>
          <rPr>
            <sz val="11"/>
            <color theme="1"/>
            <rFont val="Aptos Narrow"/>
            <family val="2"/>
            <scheme val="minor"/>
          </rPr>
          <t>Unknown User:
0.5X Heath
0.5X Elliot</t>
        </r>
      </text>
    </comment>
    <comment ref="G206" authorId="2" shapeId="0" xr:uid="{39CE6AF5-B4C4-4CD1-BDA7-A5A1E4385D7A}">
      <text>
        <r>
          <rPr>
            <sz val="11"/>
            <color theme="1"/>
            <rFont val="Aptos Narrow"/>
            <family val="2"/>
            <scheme val="minor"/>
          </rPr>
          <t>Unknown User:
HIGH POWERED JET BLAST &amp; CCTV CAMERA INSPECTION (GAIN ACCESS WITH REMOVAL OF TOILET)
Isolate main water supply to toilet cistern
Disconnect &amp; removal of existing water supply to toilet cistern
Disconnect &amp; removal of existing toilet cistern
Disconnect &amp; removal of existing toilet pan
Disconnect &amp; removal of existing toilet pan collar
Gain access to sewer service
Set up high powered Jet blaster
Set up High powered mini-Reel
Set up specialist whip hose
Set up high powered Turbines
Set up specialist CCTV Camera
Set up Specialist locator
Gain access to sewer service
First attempt to clear blocked sewer service using high powered Jet blaster in conjunction with specialist whip hose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existing toilet pan collar
Reinstate existing toilet pan
Reinstate existing toilet cistern
Reinstate toilet pan to floor
Reinstate water supply to toilet cistern
Reinstate water supply to toilet cistern
Clean worked area
Test &amp; commission installation
PLEASE NOTE IF BLOCKAGE DOES NOT CLEAR FURTHER COST WILL APPLY. THIS IS A FIRST ATTEMPT.
PLEASE NOTE IF TOILET PAN BREAKS DURING THE REMOVAL OF TOILET SUITE FURTHER COST WILL APPLY TO REPLACE</t>
        </r>
      </text>
    </comment>
    <comment ref="G207" authorId="2" shapeId="0" xr:uid="{89B40B3B-C46A-493D-BCB1-7280F1C965CF}">
      <text>
        <r>
          <rPr>
            <sz val="11"/>
            <color theme="1"/>
            <rFont val="Aptos Narrow"/>
            <family val="2"/>
            <scheme val="minor"/>
          </rPr>
          <t>Unknown User:
INSTALLATION OF NEW TOILET SEAT (CUSTOMER SUPPLIED)
Disconnect existing locking nuts
Disconnect existing toilet seat from pan
Removal of existing toilet seat from pan
Clean &amp; prepare worked area
Install new customer supplied toilet seat
Install new customer supplied locking nuts
Secure toilet seat to existing toilet pan
Test &amp; commission installation
Removal of trade waste
PLEASE NOTE IF FURTHER WORK REQUIRED OUTSIDE OF QUOTED WORKS ADDITIONAL COSTS WILL APPLY. NO WARRANTY ON CUSTOMER SUPPLIED ITEMS
10% Loyalty Discount</t>
        </r>
      </text>
    </comment>
    <comment ref="G208" authorId="2" shapeId="0" xr:uid="{23D926F4-C51D-4F47-B1C4-ED6C0CE36CDF}">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209" authorId="2" shapeId="0" xr:uid="{8CCF25BD-E84D-4693-9537-9999065C6478}">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U209" authorId="2" shapeId="0" xr:uid="{E5FFD1B1-D000-4CC2-BE3A-347F250EA655}">
      <text>
        <r>
          <rPr>
            <sz val="11"/>
            <color theme="1"/>
            <rFont val="Aptos Narrow"/>
            <family val="2"/>
            <scheme val="minor"/>
          </rPr>
          <t>Unknown User:
25/7-As per Christine's note "called cust in regard to the call made to Wil - he advised he thought the price was too high and he only expected to pay $500 - I explained if he raised this with the plumber we would have advised we could not do so for this price and left him to source a plumber to suit his budget- he then went on to say he will be placing a review - service fantastic and price too high - I advised we value him and advised customer satisfaction is something we do value from him and asked if he would like a refund - he agreed - placed on hold and then offered $89 - not happy - then raised to $120 (approx 5%) cust accepted and explained he still will review - I did mentioned the email and the confidentiality"</t>
        </r>
      </text>
    </comment>
    <comment ref="G210" authorId="2" shapeId="0" xr:uid="{6E448664-0F25-48F4-85A5-1E16C80F2127}">
      <text>
        <r>
          <rPr>
            <sz val="11"/>
            <color theme="1"/>
            <rFont val="Aptos Narrow"/>
            <family val="2"/>
            <scheme val="minor"/>
          </rPr>
          <t>Unknown User:
REPLACEMENT OF SHOWER HOSE
Disconnect existing water supply to shower hose
Disconnect and remove existing shower hose from shower rose and water outlet
Clean and prepare fittings and threaded outlets for new installation
Supply and install new thread sealant (if required)
Supply and install new shower hose
Secure new shower hose into position ensuring correct alignment and connection
Connect new shower hose to existing water outlet and existing shower rose
Reinstate main water supply to property
Test and commission installation
Removal of trade waste from site
PLEASE NOTE IF FURTHER WORK REQUIRED OTHER THEN QUOTED WORK FURTHER COST WILL APPLY</t>
        </r>
      </text>
    </comment>
    <comment ref="G211" authorId="2" shapeId="0" xr:uid="{38C0E6E1-B1C0-47AA-B371-2A427E3006AD}">
      <text>
        <r>
          <rPr>
            <sz val="11"/>
            <color theme="1"/>
            <rFont val="Aptos Narrow"/>
            <family val="2"/>
            <scheme val="minor"/>
          </rPr>
          <t>Unknown User:
WATER FOUNTAIN RELOCATION
- Isolate water supply to water fountain
- Isolate power supply to water fountain
- Disconnect and remove water service
- Drain residual water from system
- Cut into existing water supply
- Supply and install new service adaptors 
- Supply and install new copper water service up to 1M
- Supply and install new BP19
- Supply and install new emergency isolation valve
- Supply and install new pvc drainage up to 5M
- Supply and install new pvc fittings
- Supply and install new clips and supports
- Install water fountain into new location
- Connect water fountain onto cold water supply
- Reinstate cold water supply
- Reinstate power supply
- Test and commission installation  
- Remove all trade waste
PLEASE NOTE IF FUTHER WORK IS REQUIRED ADDITIONAL COSTS WILL APPLY</t>
        </r>
      </text>
    </comment>
    <comment ref="G212" authorId="2" shapeId="0" xr:uid="{F14BAD75-C757-4BF2-B482-65C7ECA2C1D8}">
      <text>
        <r>
          <rPr>
            <sz val="11"/>
            <color theme="1"/>
            <rFont val="Aptos Narrow"/>
            <family val="2"/>
            <scheme val="minor"/>
          </rPr>
          <t>Unknown User:
DOG BATH DRAINAGE RECTIFICATION 
- Gain access to the worked area
- Gain access to the dog bath
- Expose drainage underneath dog bath
- Disconnect and remove damaged drainage
- Clean and prepare pipework
- Supply and install new pressure pipework
- Supply and install new isolation valve
- Supply and install new service adaptors
- Supply and install new pressure pipe fittings
- Test and commission installation
- Remove all trade waste
PLEASE NOTE IF FURTHER WORK IS REQUIRED ADDITIONAL COSTS WILL APPLY
Non-refundable call out fee</t>
        </r>
      </text>
    </comment>
    <comment ref="G217" authorId="2" shapeId="0" xr:uid="{C8830796-5EDC-41B1-97D6-EDBC4BA22795}">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P217" authorId="2" shapeId="0" xr:uid="{8957A28F-EF6A-427E-A1C4-6ECAEE2C182E}">
      <text>
        <r>
          <rPr>
            <sz val="11"/>
            <color theme="1"/>
            <rFont val="Aptos Narrow"/>
            <family val="2"/>
            <scheme val="minor"/>
          </rPr>
          <t>Unknown User:
Quote not emailed</t>
        </r>
      </text>
    </comment>
    <comment ref="Q217" authorId="2" shapeId="0" xr:uid="{CF99F319-448B-4FB4-84A7-EA57D7D38701}">
      <text>
        <r>
          <rPr>
            <sz val="11"/>
            <color theme="1"/>
            <rFont val="Aptos Narrow"/>
            <family val="2"/>
            <scheme val="minor"/>
          </rPr>
          <t>Unknown User:
Final invoice not raised</t>
        </r>
      </text>
    </comment>
    <comment ref="G220" authorId="2" shapeId="0" xr:uid="{0960F0E8-ED79-427F-A8E4-04221B82E633}">
      <text>
        <r>
          <rPr>
            <sz val="11"/>
            <color theme="1"/>
            <rFont val="Aptos Narrow"/>
            <family val="2"/>
            <scheme val="minor"/>
          </rPr>
          <t>Unknown User:
SUPPLY &amp; INSTALLATION OF NEW TOILET SEAT
Disconnect existing locking nuts
Disconnect existing toilet seat from pan
Removal of existing toilet seat from pan
Clean &amp; prepare worked area
Supply &amp; install new toilet seat
Supply &amp; install new locking nuts
Secure new toilet seat to existing toilet pan
Test &amp; commission installation
Removal of trade waste
PLEASE NOTE IF FURTHER WORK REQUIRED OUTSIDE OF QUOTED WORKS ADDITIONAL COSTS WILL APPLY</t>
        </r>
      </text>
    </comment>
    <comment ref="G224" authorId="2" shapeId="0" xr:uid="{188122F4-8484-4A15-8F50-670078F201E8}">
      <text>
        <r>
          <rPr>
            <sz val="11"/>
            <color theme="1"/>
            <rFont val="Aptos Narrow"/>
            <family val="2"/>
            <scheme val="minor"/>
          </rPr>
          <t>Unknown User:
DIG UP OF STORM WATER SPOT UP TO 2.5M
15% GOOD WILL DISCOUNT
Obtain Service Location Diagram
Obtain Dial Before Dig
Obtain Storm Water Diagram – If Available
Set Up Safe Work Area
Set Up Builders Plastic
Set Up Barricades for Safety
Dig &amp; Excavate Ground Area Up to 2.5M
Expose Existing Section of Storm Water Service Up to 2.5M
Expose Existing Storm Water Junctions (If Required)
Cut &amp; Remove Existing Section of Storm Water Service Up to 2.5M
Cut &amp; Remove Existing Storm Water Junctions (If Required)
Gain Access to Storm Water Service
Set Up High-Powered Jet Blaster
Set Up High-Powered Mini Reel
Set Up High-Powered Turbines
Re-Jetblast Storm Water Service
Re-Camera and Investigate Further
Supply &amp; Install New Section of Storm Water Service Up to 2.5M
Supply &amp; Install New Storm Water Junctions (If Required)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Backfill Excavated Area
Test &amp; Commission Installation
Remove Trade Waste
Restore Work Area (Excludes Returfing)
PLEASE NOTE IF FURTHER WORK REQUIRED OTHER THEN QUOTED WORK FURTHER COST WILL APPLY
- JETBLAST &amp; CCTV CAMERA</t>
        </r>
      </text>
    </comment>
    <comment ref="U224" authorId="2" shapeId="0" xr:uid="{1074B236-C258-405B-82C7-B85CB0AC503B}">
      <text>
        <r>
          <rPr>
            <sz val="11"/>
            <color theme="1"/>
            <rFont val="Aptos Narrow"/>
            <family val="2"/>
            <scheme val="minor"/>
          </rPr>
          <t>Unknown User:
23/7-As per Heath's note "Notes for Kylie.
Was shocked about the cost of job as he and his wife accidentally hit pipe while gardening on Sunday. Not insinuating we’re charging too much but just wants to understand it more and digest it. Myself and Jason have gone over this with him on site today.
He would like to know what it would cost to cancel the job if he and his wife choose to go down that route. He’s not angry at all, just works in the financial sector judging from the way he talks. Mentioned payment plan option, he did say they would probably pay up front but I did mention there are no early exit fees so he could kick the van down the road and pay it later on.
Would like a call between 3:30-5 today if possible."</t>
        </r>
      </text>
    </comment>
    <comment ref="G225" authorId="2" shapeId="0" xr:uid="{99AFE7F5-9D2D-483C-9BB6-C785A31D6D4A}">
      <text>
        <r>
          <rPr>
            <sz val="11"/>
            <color theme="1"/>
            <rFont val="Aptos Narrow"/>
            <family val="2"/>
            <scheme val="minor"/>
          </rPr>
          <t>Unknown User:
REPLACEMENT OF BASIN MIXER
Isolate main water supply to property
Disconnect existing cold-water supply to basin mixer
Disconnect existing hot-water supply to basin mixer
Disconnect and remove existing locking nut
Disconnect and remove existing basin mixer
Clean and prepare work area for installation
Supply and install new cold-water emergency isolation valve
Supply and install new hot-water emergency isolation valve
Supply and install new basin mixer
Supply and install new cold-water stainless steel flexible hose
Supply and install new hot-water stainless steel flexible hose
Supply and install new locking nut
Secure new basin mixer in position
Connect cold-water supply to new emergency isolation valve
Connect hot-water supply to new emergency isolation valve
Reinstate main water supply to property
Test and commission installation
Removal of trade waste
PLEASE NOTE IF FURTHER WORK REQUIRED OTHER THEN QUOTED WORK FURTHER COST WILL APPLY</t>
        </r>
      </text>
    </comment>
    <comment ref="U225" authorId="2" shapeId="0" xr:uid="{13DF972A-F787-4ACC-8C31-BE6730A7A57F}">
      <text>
        <r>
          <rPr>
            <sz val="11"/>
            <color theme="1"/>
            <rFont val="Aptos Narrow"/>
            <family val="2"/>
            <scheme val="minor"/>
          </rPr>
          <t>Unknown User:
22 July-As per Harrison's note "Spoke to customer: wants to cancel, deposit has been paid so sent to dispatch for tech to contact"</t>
        </r>
      </text>
    </comment>
    <comment ref="G226" authorId="2" shapeId="0" xr:uid="{27E01CAC-90BA-486F-B1FE-617E6F8C94BA}">
      <text>
        <r>
          <rPr>
            <sz val="11"/>
            <color theme="1"/>
            <rFont val="Aptos Narrow"/>
            <family val="2"/>
            <scheme val="minor"/>
          </rPr>
          <t>Unknown User:
SUPPLY &amp; INSTALLATION OF NEW WATER SUPPLY TO WASHING MACHINE
Isolate main water supply to washing machine
Isolate main power supply to washing machine
Clean No.19 Thread
Install customer supplied water supply inlet to washing machine
Connect new hot-water inlet to existing washing machine isolation valve
Reinstate main water supply
Test &amp; commission installation
Removal of trade waste
PLEASE NOTE IF FURTHER WORK REQUIRED OTHER THEN QUOTED WORK FURTHER COST WILL APPLY</t>
        </r>
      </text>
    </comment>
    <comment ref="G227" authorId="2" shapeId="0" xr:uid="{CC6DBC6B-5BAD-45C1-BE32-3E729079296C}">
      <text>
        <r>
          <rPr>
            <sz val="11"/>
            <color theme="1"/>
            <rFont val="Aptos Narrow"/>
            <family val="2"/>
            <scheme val="minor"/>
          </rPr>
          <t>Unknown User:
SEWER SPOT DIG UP TO 1.5M - IN GROUND
Obtain sewer diagram
Obtain dial Before dig
Obtain service location diagram
Set up safe work area
Set up builders plastic
Set up barricades for safety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Restore worked area
Test &amp; commission installation
Remove trade waste
PLEASE NOTE IF FURTHER WORK REQUIRED OTHER THEN QUOTED WORK FURTHER COST WILL APPLY
CREDIT HIGH POWERED JETBLAST &amp; CCTV CAMERA</t>
        </r>
      </text>
    </comment>
    <comment ref="V227" authorId="2" shapeId="0" xr:uid="{39D4CC24-86D7-4106-BC6E-DB06D0A507A7}">
      <text>
        <r>
          <rPr>
            <sz val="11"/>
            <color theme="1"/>
            <rFont val="Aptos Narrow"/>
            <family val="2"/>
            <scheme val="minor"/>
          </rPr>
          <t xml:space="preserve">Unknown User:
28/07 Received $4500 Card
30/07 Received $4864.52 Card </t>
        </r>
      </text>
    </comment>
    <comment ref="G228" authorId="2" shapeId="0" xr:uid="{07A1E86E-416E-4F45-9560-8C50CF4BF4E0}">
      <text>
        <r>
          <rPr>
            <sz val="11"/>
            <color theme="1"/>
            <rFont val="Aptos Narrow"/>
            <family val="2"/>
            <scheme val="minor"/>
          </rPr>
          <t xml:space="preserve">Unknown User:
REPLACEMENT OF EXISTING GOOSE NECK KITCHEN MIXER (CUSTOMER SUPPLIED)
Isolate main water supply to property
Disconnect existing cold-water supply to mixer tap
Disconnect existing hot-water supply to mixer tap
Disconnect and remove existing locking nut
Disconnect &amp; remove existing mixer tap
Clean and prepare work area for new installation
Supply and install new cold water emergency isolation valve
Supply and install new hot water emergency isolation valve
Install new customer supplied goose neck mixer tap
Install new pullout hose
Install new cold-water stainless steel flexi hose
Install new hot-water stainless steel flexi hose
Install new locking nut
Secure new goose neck kitchen mixer tap
Connect cold-water flexible hose to new emergency isolation valve
Connect hot-water flexible hose to new emergency isolation valve
Reinstate main water supply to property.
Test and commission installation
Removal of trade waste
PLEASE NOTE IF FURTHER WORK REQUIRED OTHER THEN QUOTED WORK FURTHER COST WILL APPLY
REPLACEMENT OF SHOWER ON RAIL
Isolate main water supply to property
Disconnect and remove existing shower arm and shower head
Clean and prepare worked area for new shower head hose on rail installation
Supply and install new cover plate
Supply and install new thread sealant
Supply and install new shower hose outlet
Supply and install new twin shower rail
Supply and install new shower head and hose assembly
Secure new shower rail set and fittings into position
Connect new shower hose to existing water outlet
Reinstate main water supply to property
Test and commission installation to ensure correct operation and no leaks
Removal of trade waste from site
PLEASE NOTE IF FURTHER WORK REQUIRED OTHER THEN QUOTED WORK FURTHER COST WILL APPLY
GOOSENECK PULLOUT WALL SPOUT REPLACEMENT
- Isolate water to the property
- Disconnect and remove existing wall spout
- Clean and prepare No19 thread
- Supply and install thread sealant
- Supply and install new gooseneck pullout wall spout
- Reinstate water supply to property
- Test and commission installation
- Remove all trade waste
PLEASE NOTE IF FURTHER WORK IS REQUIRED ADDITIONAL COSTS WILL APPLY
</t>
        </r>
      </text>
    </comment>
    <comment ref="G242" authorId="2" shapeId="0" xr:uid="{72C63BEB-8850-437F-A18D-C3515D3E71A0}">
      <text>
        <r>
          <rPr>
            <sz val="11"/>
            <color theme="1"/>
            <rFont val="Aptos Narrow"/>
            <family val="2"/>
            <scheme val="minor"/>
          </rPr>
          <t>Unknown User:
CONVERT SOLAR SPLIT HOT WATER SYSTEM TO EXTERNAL GAS INSTANTANEOUS HOT WATER SYSTEM
Isolate main power supply to property
Isolate main water supply to property
Isolate main gas supply to property
Gain safe access to existing solar hot water system
Disconnect power supply to solar hot water system
Disconnect water supply to solar hot water system
Disconnect plumbing to solar panels
Disconnect &amp; removal of existing valves connecting to solar hot water system
Disconnect &amp; removal of existing brass fittings connecting to solar hot water system
Disconnect &amp; removal of existing cold-water supply connecting to solar hot water system
Disconnect &amp; removal of existing hot water return supply connecting to solar hot water system
Disconnect &amp; removal of existing plumbing connecting to solar panels
Decommission existing roof mounted solar panels
Drain tank
Removal of tank
Mark out new desired location for new gas instantaneous hot water system
Gain access to cold water supply
Gain access to hot water return supply
Gain access to existing gas supply
Redirect cold water supply in copper for new gas instantaneous hot water system
Redirect hot water supply in copper for new gas instantaneous hot water system
Redirect gas supply in copper for new gas instantaneous hot water system
Supply &amp; install new gas instantaneous hot water system in new desired location
Secure new gas instantaneous hot water system in new desired location
Supply &amp; install new gas emergency isolation valve
Supply &amp; install new cold water emergency isolation valve
Supply &amp; install new gas instantaneous hot water system valve kit
Supply &amp; install new brass fittings
Supply &amp; install new B-press fittings
Connect new cold-water service to new gas instantaneous hot water system
Connect new hot water service to new gas instantaneous hot water system
Connect new gas service to new gas instantaneous hot water system
Connect power supply to new gas instantaneous hot water system
Reinstate main water supply to property
Reinstate main power supply to property
Reinstate gas supply to property
Test &amp; commission installation
Removal of trade waste
**Please note solar panels will be left on roof to save cost**
IF FURTHER WORK REQUIRED OUTSIDE OF QUOTED WORKS ADDITIONAL COSTS WILL APPLY</t>
        </r>
      </text>
    </comment>
    <comment ref="G247" authorId="2" shapeId="0" xr:uid="{B1C8B4EA-020C-4C5D-AB6B-E11D0F4D63E1}">
      <text>
        <r>
          <rPr>
            <sz val="11"/>
            <color theme="1"/>
            <rFont val="Aptos Narrow"/>
            <family val="2"/>
            <scheme val="minor"/>
          </rPr>
          <t>Unknown User:
SEWER SPOT DIG UP TO 1.5M (UNDER CONCRETE)
Obtain sewer diagram
Obtain dial Before dig
Obtain service location diagram
Set up safe work area
Set up builders plastic
Set up barricades for safety
Concrete cut ground area
Jack hammer ground area
Removal of concrete in required location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t>
        </r>
      </text>
    </comment>
    <comment ref="G248" authorId="2" shapeId="0" xr:uid="{21143DF3-8392-4980-88AA-AA176385F0ED}">
      <text>
        <r>
          <rPr>
            <sz val="11"/>
            <color theme="1"/>
            <rFont val="Aptos Narrow"/>
            <family val="2"/>
            <scheme val="minor"/>
          </rPr>
          <t>Unknown User:
CONVERT EXTERNAL GAS STORAGE HOT WATER SYSTEM TO EXTERNAL GAS INSTANTANEOUS HOT WATER SYSTEM
Isolate main water supply to property
Isolate main gas supply to property
Disconnect plumbing to existing gas storage hot water system
Drain existing gas storage hot water system
Removal of existing valves connecting to gas storage hot water system
Removal of existing gas storage hot water system
Supply &amp; install new gas instantaneous hot water system
Secure new gas instantaneous hot water system to wall
Reconfigure existing cold-water supply to suit new gas instantaneous hot water system
Reconfigure hot water return supply to suit new gas instantaneous hot water system
Supply &amp; install new cold water emergency isolation valve for new instantaneous hot water system
Supply &amp; install new copper gas line (up to 10M)
Supply &amp; install new gas emergency isolation valve for new instantaneous hot water system
Supply &amp; install new B-press fittings
Supply &amp; install new brass fittings
Connect new cold water service to new gas instantaneous hot water system
Connect new hot water return supply to new gas instantaneous hot water system
Connect new gas supply to new instantaneous hot water system
Conduct gas pressure drop test to ensure no leaks
Secure new cold water service
Secure new hot water service
Secure new gas service
Reinstate water supply to property
Reinstate gas supply to property
Test &amp; commission installation
Removal of trade waste
PLEASE NOTE IF FURTHER WORK REQUIRED OUTSIDE OF QUOTED WORKS ADDITIONAL COSTS WILL APPLY</t>
        </r>
      </text>
    </comment>
    <comment ref="G249" authorId="2" shapeId="0" xr:uid="{24745396-A2E1-4F42-8988-4C88576F607B}">
      <text>
        <r>
          <rPr>
            <sz val="11"/>
            <color theme="1"/>
            <rFont val="Aptos Narrow"/>
            <family val="2"/>
            <scheme val="minor"/>
          </rPr>
          <t xml:space="preserve">Unknown User:
REPLACEMENT OF HAND-HELD SHOWER ROSE
Isolate main water supply to property
Disconnect existing water supply to hand-held shower hose and rose
Disconnect and remove existing hand-held shower hose
Disconnect and remove existing hand-held shower rose
Disconnect and remove existing wall bracket &amp; cradle
Clean and prepare worked area and threaded outlets for new installation
Supply and install new thread sealant
Supply and install new hand-held shower rose
Supply and install new hand-held shower hose
Supply and install new wall bracket and cradle for hand-held shower rose
Secure new hand-held shower rose and fittings into position
Connect new hand-held shower hose to existing water outlet
Reinstate main water supply to property
Test and commission installation to ensure correct operation and no leaks
Removal of trade waste from site
PLEASE NOTE IF FURTHER WORK REQUIRED OTHER THEN QUOTED WORK FURTHER COST WILL APPLY
MIXER TAP - GOOSE NECK
Isolate main cold-water supply to property
Isolate main hot water supply to property
Disconnect &amp; removal of cold-water supply to existing mixer
Disconnect &amp; removal of hot water supply to existing mixer
Disconnect &amp; removal of existing locking nut
Disconnect &amp; removal of existing mixer
Clean &amp; prepare worked area Supply &amp; install new mixer
Supply &amp; install new cold-water stainless-steel flexi hose
Supply &amp; install new hot water stainless steel flexi hose
Supply &amp; install new locking nut Secure new mixer
Reconnect cold water supply to new mixer
Reconnect hot water supply to new mixer
Reinstate cold water supply to new mixer
Reinstate hot water supply to new mixer
Reinstate cold water supply to property
Reinstate hot water supply to property
Test &amp; commission installation
Removal of trade waste
PLEASE NOTE IF FURTHER WORK REQUIRED OTHER THEN QUOTED WORK FURTHER COST WILL APPLY
</t>
        </r>
      </text>
    </comment>
    <comment ref="G250" authorId="2" shapeId="0" xr:uid="{6A8B0B52-00B1-4FBD-BC8D-8F07EAFAE4D7}">
      <text>
        <r>
          <rPr>
            <sz val="11"/>
            <color theme="1"/>
            <rFont val="Aptos Narrow"/>
            <family val="2"/>
            <scheme val="minor"/>
          </rPr>
          <t xml:space="preserve">Unknown User:
FLOOD, DYE, PRESSURE TEST (WET AREA)
</t>
        </r>
      </text>
    </comment>
    <comment ref="G251" authorId="2" shapeId="0" xr:uid="{9B08B1B7-4E7C-4210-8597-CEAC9F734611}">
      <text>
        <r>
          <rPr>
            <sz val="11"/>
            <color theme="1"/>
            <rFont val="Aptos Narrow"/>
            <family val="2"/>
            <scheme val="minor"/>
          </rPr>
          <t>Unknown User:
REPLACEMENT OF BASIN TAPS AND SPOUT (CUSTOMER SUPPLIED)
REPLACEMENT OF EXISTING GOOSE NECK KITCHEN MIXER (CUSTOMER SUPPLIED)
REPLACEMENT OF WALL TAP SET (CUSTOMER SUPPLIED)
COMPLETE SERVICE OF WALL TOP TAPS ASS
10% Seniors &amp; Pensioners Discount</t>
        </r>
      </text>
    </comment>
    <comment ref="G252" authorId="2" shapeId="0" xr:uid="{854C000B-379E-4FF7-B0BB-7F6125102895}">
      <text>
        <r>
          <rPr>
            <sz val="11"/>
            <color theme="1"/>
            <rFont val="Aptos Narrow"/>
            <family val="2"/>
            <scheme val="minor"/>
          </rPr>
          <t>Unknown User:
SEARCH AND INVESTIGATION OF GAS INSTANTANEOUS HOT WATER SYSTEM
Gain access to gas instantaneous hot water system
Gain access to main gas isolation valve to property
Removal of main test point at main meter
Test main gas supply with specialist manometer device
Reinstall main test point at main meter
Gain access to instantaneous hot water system test point
Removal of test point on existing instantaneous hot water system
Conduct gas supply with specialist manometer device at instantaneous hot water system
Reinstall test point to gas instantaneous hot water system
Visually inspect gas supply and fittings to hot water system
Conduct soapy spray test on fittings and pipework (IF REQUIRED)
Check gas supply pressure to hot water system and control unit
Check integrity of gas isolation valve at hot water system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repair.</t>
        </r>
      </text>
    </comment>
    <comment ref="G254" authorId="2" shapeId="0" xr:uid="{4552FB95-E78E-4879-BC01-626D011ADAB5}">
      <text>
        <r>
          <rPr>
            <sz val="11"/>
            <color theme="1"/>
            <rFont val="Aptos Narrow"/>
            <family val="2"/>
            <scheme val="minor"/>
          </rPr>
          <t>Unknown User:
INSTALLATION OF FRIDGE WITHIN 5M OF COLD WATER SUPPLY (CUSTOMER SUPPLIED) 
Isolate main water supply to property 
Gain access to cold water supply 
Expose main cold-water supply within 5M of fridge installation 
Cut holes through cabinetry for new water service
Supply &amp; install new brass fittings 
Supply &amp; install new B-press fittings 
Supply &amp; install new brass tee 
Supply &amp; install new cold-water supply for fridge up to 5M to new desired location
Supply &amp; install new No.19 
Supply &amp; install new cold water emergency isolation valve 
Secure new isolation valve in new desired location 
Secure new section of cold-water supply 
Install new customer supplied fridge in existing location
Connect cold water supply to fridge 
Connect power to existing power supply outlet 
Test &amp; commission installation 
Removal of trade waste 
 PLEASE NOTE IF FURTHER WORK REQUIRED OTHER THEN QUOTED WORK FURTHER COST WILL APPLY</t>
        </r>
      </text>
    </comment>
    <comment ref="G255" authorId="2" shapeId="0" xr:uid="{2ED46290-5E1B-4747-AB1D-0B4D107B71C7}">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U255" authorId="2" shapeId="0" xr:uid="{B5CF4E91-3EE6-4547-9FC7-B336C29A6874}">
      <text>
        <r>
          <rPr>
            <sz val="11"/>
            <color theme="1"/>
            <rFont val="Aptos Narrow"/>
            <family val="2"/>
            <scheme val="minor"/>
          </rPr>
          <t>Unknown User:
25/7-As per Lily's note "called to explain refund process, if she calls back can you let me know- thank you"</t>
        </r>
      </text>
    </comment>
    <comment ref="G256" authorId="2" shapeId="0" xr:uid="{DFDDF9AC-E68A-4C9C-97AA-D9C305B9C9AC}">
      <text>
        <r>
          <rPr>
            <sz val="11"/>
            <color theme="1"/>
            <rFont val="Aptos Narrow"/>
            <family val="2"/>
            <scheme val="minor"/>
          </rPr>
          <t>Unknown User:
RELINE OF SEWER SERVICE UP TO 1.5M
Obtain Dial Before Dig Service
Obtain Service Location Diagram
Obtain Sewer Service Diagram
Set Up Safe Work Area
Set Up Barricades for Safety
Gain Access to Sewer Service
Set Up CCTV Camera
Set Up High-Powered Jet Blaster
Set Up Commercial Warthog Turbine &amp; Mini Reel
Conduct CCTV Inspection of Sewer Service &amp; Prepare for Reline
Perform High-Powered Jet Blast on Sewer Service Using Specialist Warthog
Use Commercial Warthog to Flush and Polish Affected Sewer
Prepare Affected Sewer Service for Reline Installation
Set Up Reline Equipment on Site
Set Up Air Compressor on Site
Set Up Air Rods on Site
Set Up Sewer Reline Bladder on Site
Measure &amp; Cut Reline to Size on Site
Mix Two-Part Epoxy Resin on Site
Wet Out Sewer Reline with Epoxy Resin
Insert Reline into Sewer Service in the Affected Area
Use High-Powered Air Compressor to Inflate New Sewer Reline
Run High-Powered Air Compressor for 2 Hours to Allow Reline to Set
Remove Sewer Reline Equipment from Sewer Service
Remove Air Rods from Sewer Service
Use High-Powered Jet Blaster to Flush Out Sewer Service After Reline Installation
Conduct CCTV Inspection to Ensure Correct Installation of Sewer Reline
Test and Commission Installation
Remove Trade Waste
Restoration of Worked Area
PLEASE NOTE IF FURTHER WORK REQUIRED OTHER THEN QUOTED WORK FURTHER COST WILL APPLY</t>
        </r>
      </text>
    </comment>
    <comment ref="G257" authorId="2" shapeId="0" xr:uid="{7ADA4104-D5F8-441D-B669-33E1607F9F83}">
      <text>
        <r>
          <rPr>
            <sz val="11"/>
            <color theme="1"/>
            <rFont val="Aptos Narrow"/>
            <family val="2"/>
            <scheme val="minor"/>
          </rPr>
          <t>Unknown User:
RELINE OF SEWER SERVICE UP TO 1.5M
Obtain Dial Before Dig Service
Obtain Service Location Diagram
Obtain Sewer Service Diagram
Set Up Safe Work Area
Set Up Barricades for Safety
Gain Access to Sewer Service
Set Up CCTV Camera
Set Up High-Powered Jet Blaster
Set Up Commercial Warthog Turbine &amp; Mini Reel
Conduct CCTV Inspection of Sewer Service &amp; Prepare for Reline
Perform High-Powered Jet Blast on Sewer Service Using Specialist Warthog
Use Commercial Warthog to Flush and Polish Affected Sewer
Prepare Affected Sewer Service for Reline Installation
Set Up Reline Equipment on Site
Set Up Air Compressor on Site
Set Up Air Rods on Site
Set Up Sewer Reline Bladder on Site
Measure &amp; Cut Reline to Size on Site
Mix Two-Part Epoxy Resin on Site
Wet Out Sewer Reline with Epoxy Resin
Insert Reline into Sewer Service in the Affected Area
Use High-Powered Air Compressor to Inflate New Sewer Reline
Run High-Powered Air Compressor for 2 Hours to Allow Reline to Set
Remove Sewer Reline Equipment from Sewer Service
Remove Air Rods from Sewer Service
Use High-Powered Jet Blaster to Flush Out Sewer Service After Reline Installation
Conduct CCTV Inspection to Ensure Correct Installation of Sewer Reline
Test and Commission Installation
Remove Trade Waste
Restoration of Worked Area
PLEASE NOTE IF FURTHER WORK REQUIRED OTHER THEN QUOTED WORK FURTHER COST WILL APPLY</t>
        </r>
      </text>
    </comment>
    <comment ref="G258" authorId="2" shapeId="0" xr:uid="{E81937AA-66C9-44CD-84DE-80B03C71469A}">
      <text>
        <r>
          <rPr>
            <sz val="11"/>
            <color theme="1"/>
            <rFont val="Aptos Narrow"/>
            <family val="2"/>
            <scheme val="minor"/>
          </rPr>
          <t>Unknown User:
SUPPLY &amp; INSTALLATION OF NEW SINGLE ELEMENT HOT WATER UNIT – INTERNAL
Isolate main water supply to property
Isolate main electrical supply to property
Disconnect cold water supply to existing hot water unit
Disconnect power supply to existing hot water unit
Drain existing hot water unit
Disconnect &amp; removal of existing valves
Disconnect &amp; removal of existing brass fittings
Disconnect &amp; removal of existing section of cold-water service connecting to hot water unit
Disconnect &amp; removal of existing section of hot water service connecting to hot water unit
Clean &amp; prepare worked area
Supply &amp; install new internal safe waste tray
Supply &amp; install new Duo valve
Supply &amp; install new Pressure limiting valve
Supply &amp; install new Mildred emergency shut off valve
Supply &amp; install new tempering valve
Supply &amp; install new pressure relief valve
Supply &amp; install new single element hot water
Supply &amp; install new section of copper cold water service connecting to new hot water unit
Supply &amp; install new section of copper hot water service connecting to new hot water unit
Supply &amp; install new pressure relief drain service in copper &amp; ensure compliance with AS3500
Supply &amp; install new B-press fittings
Supply &amp; install new Brass fittings
Reconnect cold water service to new hot water unit
Reconnect hot water service to new hot water unit
Reconnect electrical supply to new hot water unit
Reinstate water supply to new hot water unit
Test &amp; commission installation
Removal of trade waste
PLEASE NOTE IF FURTHER WORK REQUIRED OUTSIDE OF QUOTED WORKS ADDITIONAL COSTS WILL APPLY
FLOOD, DYE, PRESSURE TEST (WET AREA)
Isolate main water supply to property
Removal of existing wall mounted spout
Gain access to cold water supply
Gain access to hot water supply
Set up specialist pressure testing equipment
Conduct pressure test on cold water service
Conduct pressure test on hot water service
Connect specialist pressure gauge to wet area outlet
Conduct pressure test on internal breach / body
Conduct flood test on walls
Conduct flood test on floors
Conduct specialist dye test on wet area
Test water proofing integrity
Removal of floor grate
Visually inspect drainage for potential faults or defects
Conduct dye test on drainage
Test drainage for potential faults or leaks
Conduct search &amp; investigation on wet area
Locate &amp; identify potential faults
Provide additional quote for rectification work
*Please note if a specialist leak detection is required further cost will apply*
PLEASE NOTE IF FURTHER WORK REQUIRED OTHER THEN QUOTED WORK FURTHER COST WILL APPLY</t>
        </r>
      </text>
    </comment>
    <comment ref="G260" authorId="2" shapeId="0" xr:uid="{AED3254A-032B-4F32-93F5-CC09354C24CC}">
      <text>
        <r>
          <rPr>
            <sz val="11"/>
            <color theme="1"/>
            <rFont val="Aptos Narrow"/>
            <family val="2"/>
            <scheme val="minor"/>
          </rPr>
          <t>Unknown User:
MIXER TAP - STANDARD
Isolate main cold-water supply to property
Isolate main hot water supply to property
Disconnect &amp; removal of cold-water supply to existing mixer
Disconnect &amp; removal of hot water supply to existing mixer
Disconnect &amp; removal of existing locking nut
Disconnect &amp; removal of existing mixer
Clean &amp; prepare worked area
Supply &amp; install new mixer
Supply &amp; install new cold-water stainless-steel flexi hose
Supply &amp; install new hot water stainless steel flexi hose
Supply &amp; install new locking nut
Secure new mixer
Reconnect cold water supply to new mixer
Reconnect hot water supply to new mixer
Reinstate cold water supply to new mixer
Reinstate hot water supply to new mixer
Reinstate cold water supply to property
Reinstate hot water supply to property
Test &amp; commission installation
Removal of trade waste
PLEASE NOTE IF FURTHER WORK REQUIRED OTHER THEN QUOTED WORK FURTHER COST WILL APPLY</t>
        </r>
      </text>
    </comment>
    <comment ref="E281" authorId="5" shapeId="0" xr:uid="{9F1DD4A6-760D-4270-8FE6-024807741D1F}">
      <text>
        <t>[Threaded comment]
Your version of Excel allows you to read this threaded comment; however, any edits to it will get removed if the file is opened in a newer version of Excel. Learn more: https://go.microsoft.com/fwlink/?linkid=870924
Comment:
    Stock</t>
      </text>
    </comment>
    <comment ref="G293" authorId="2" shapeId="0" xr:uid="{6CEF2C6B-9418-43D5-A86A-E483FF07C164}">
      <text>
        <r>
          <rPr>
            <sz val="11"/>
            <color theme="1"/>
            <rFont val="Aptos Narrow"/>
            <family val="2"/>
            <scheme val="minor"/>
          </rPr>
          <t>Unknown User:
SUPPLY &amp; INSTALLATION OF NEW ARCO HOSE TAP – ¼ TURN HOSE TAPS TO REPLACE EXISTING HOSE TAP
Isolate main cold-water supply to property
Disconnect &amp; removal of existing garden hose tap
Disconnect &amp; removal of existing sealant
Clean internal No.19 thread
Supply &amp; install new sealant
Supply &amp; install new arco hose tap
Reinstate main water supply to property
Test &amp; commission installation
Removal of trade waste
PLEASE NOTE IF FURTHER WORK REQUIRED OTHER THEN QUOTED WORK FURTHER COST WILL APPLY</t>
        </r>
      </text>
    </comment>
    <comment ref="U293" authorId="2" shapeId="0" xr:uid="{83830BAE-D8F0-4278-B738-6D2AD92D6A94}">
      <text>
        <r>
          <rPr>
            <sz val="11"/>
            <color theme="1"/>
            <rFont val="Aptos Narrow"/>
            <family val="2"/>
            <scheme val="minor"/>
          </rPr>
          <t xml:space="preserve">Unknown User:
31/07-Customer gave a reply in "Product review" regarding price. </t>
        </r>
      </text>
    </comment>
    <comment ref="G294" authorId="2" shapeId="0" xr:uid="{CEFE7A92-1440-413F-958D-F3A6DFF6E726}">
      <text>
        <r>
          <rPr>
            <sz val="11"/>
            <color theme="1"/>
            <rFont val="Aptos Narrow"/>
            <family val="2"/>
            <scheme val="minor"/>
          </rPr>
          <t xml:space="preserve">Unknown User:
FILTER TAP RECTIFICATION
- Gain access to the worked area
- Isolate water to the filter tap
- Disconnect and remove damaged 1/4 inch water service feeding filter tap
- Clean and prepare the worked area
- Supply and install new 1/4 inch water service feeding filter tap
- Reinstate water supply
- Test and commission installation
- Remove all trade waste
PLEASE NOTE IF FURTHER WORK IS REQUIRED ADDITIONAL COSTS WILL APPLY 
</t>
        </r>
      </text>
    </comment>
    <comment ref="G295" authorId="2" shapeId="0" xr:uid="{26F261C3-0C1D-473B-B863-025444DE8777}">
      <text>
        <r>
          <rPr>
            <sz val="11"/>
            <color theme="1"/>
            <rFont val="Aptos Narrow"/>
            <family val="2"/>
            <scheme val="minor"/>
          </rPr>
          <t>Unknown User:
SEARCH &amp; INVESTIGATION OF GAS APPLIANCE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appliance cover plates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t>
        </r>
      </text>
    </comment>
    <comment ref="Q295" authorId="2" shapeId="0" xr:uid="{5F1DF9FE-3ED5-4B2D-9DD2-7B2D378FB047}">
      <text>
        <r>
          <rPr>
            <sz val="11"/>
            <color theme="1"/>
            <rFont val="Aptos Narrow"/>
            <family val="2"/>
            <scheme val="minor"/>
          </rPr>
          <t>Unknown User:
Final invoice combined &amp; raised for 2 estimates</t>
        </r>
      </text>
    </comment>
    <comment ref="G296" authorId="2" shapeId="0" xr:uid="{57295CFA-B42A-441F-8085-6B5AA3F568CA}">
      <text>
        <r>
          <rPr>
            <sz val="11"/>
            <color theme="1"/>
            <rFont val="Aptos Narrow"/>
            <family val="2"/>
            <scheme val="minor"/>
          </rPr>
          <t>Unknown User:
SUPPLY &amp; INSTALL NEW GAS DUCTED HEATER 
 • Gain clear and safe access to the designated work area 
 • Isolate main gas supply to the property 
 • Isolate main power supply to the property at the switchboard to ensure safe disconnection 
 • Disconnect &amp; remove existing section of copper gas service connecting to the existing ducted heater 
 • Disconnect &amp; remove existing gas isolation valve 
 • Disconnect &amp; remove existing brass fittings connecting to existing ducted unit
 • Disconnect &amp; remove brass gas unions from heater inlet 
 • Disconnect &amp; safely isolate all associated electrical wiring and control cabling
 • Disconnect &amp; remove ducted air vents as required to free the existing unit
 • Disconnect &amp; remove the existing gas ducted heater 
 • Disconnect &amp; remove existing drop box / return-air plenum 
 • Remove &amp; dispose of the existing gas heater and all redundant components off-site 
 • Clean &amp; prepare the worked area, ensuring a level and stable base for new unit 
 • Supply &amp; install new gas isolation valve, positioned for safe access and serviceability 
 • Supply &amp; install new section of copper gas service service, sized to suit appliance load 
 • Supply &amp; install new B-Press gas-rated crimp fittings 
 • Supply &amp; install new brass compression fittings and unions as required 
 • Supply &amp; install new drop box / return air plenum to suit new unit configuration 
 • Supply &amp; install new gas ducted air heater, fixed in position per manufacturer specifications 
 • Supply &amp; install new wall-mounted or digital control unit, wired to new heater
 • Modify existing gas ductwork to suit connection points of new heater unit
 • Install new electrical wiring from power source to heater, including control wiring
• Reinstate gas supply 
 • Reinstate power supply and confirm correct voltage to unit 
 • Test &amp; commission installation, including burner ignition, airflow and thermostat control 
 • Removal of all trade waste, packaging, and debris from site and leave area clean
• Conduct gas test upon completion to ensure full compliance with AS/NZS 5601
PLEASE NOTE IF FURTHER WORK REQUIRED OTHER THEN QUOTED WORK FURTHER COST WILL APPLY</t>
        </r>
      </text>
    </comment>
    <comment ref="G297" authorId="2" shapeId="0" xr:uid="{3534B69F-D2C2-487E-91E4-5C03DBEFBE14}">
      <text>
        <r>
          <rPr>
            <sz val="11"/>
            <color theme="1"/>
            <rFont val="Aptos Narrow"/>
            <family val="2"/>
            <scheme val="minor"/>
          </rPr>
          <t xml:space="preserve">Unknown User:
INSTALLATION OF FREESTANDING OVEN AND GAS COOKTOP [SAME LOCATION] (CUSTOMER SUPPLIED)
INSTALLATION OF DISHWASHER [SAME LOCATION] (CUSTOMER SUPPLIED)
INSTALLATION OF NEW SINGLE BOWL KITCHEN SINK (CUSTOMER SUPPLIED)
</t>
        </r>
      </text>
    </comment>
    <comment ref="G298" authorId="2" shapeId="0" xr:uid="{30D43E24-3162-42EC-93FE-8E33C6245156}">
      <text>
        <r>
          <rPr>
            <sz val="11"/>
            <color theme="1"/>
            <rFont val="Aptos Narrow"/>
            <family val="2"/>
            <scheme val="minor"/>
          </rPr>
          <t>Unknown User:
SEARCH AND INVESTIGATION OF GAS INSTANTANEOUS HOT WATER SYSTEM
Gain access to gas instantaneous hot water system
Gain access to main gas isolation valve to property
Removal of main test point at main meter
Test main gas supply with specialist manometer device
Reinstall main test point at main meter
Gain access to instantaneous hot water system test point
Removal of test point on existing instantaneous hot water system
Conduct gas supply with specialist manometer device at instantaneous hot water system
Reinstall test point to gas instantaneous hot water system
Visually inspect gas supply and fittings to hot water system
Conduct soapy spray test on fittings and pipework (IF REQUIRED)
Check gas supply pressure to hot water system and control unit
Check integrity of gas isolation valve at hot water system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repair.</t>
        </r>
      </text>
    </comment>
    <comment ref="G299" authorId="2" shapeId="0" xr:uid="{10B1C1BB-2E03-464F-9FC8-FFF9DA511DC6}">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 ADDITIONAL COSTS WILL APPLY</t>
        </r>
      </text>
    </comment>
    <comment ref="P299" authorId="2" shapeId="0" xr:uid="{168FCDC1-ABEB-48F7-B824-0DB41B270BC9}">
      <text>
        <r>
          <rPr>
            <sz val="11"/>
            <color theme="1"/>
            <rFont val="Aptos Narrow"/>
            <family val="2"/>
            <scheme val="minor"/>
          </rPr>
          <t>Unknown User:
Quote not emailed</t>
        </r>
      </text>
    </comment>
    <comment ref="G300" authorId="2" shapeId="0" xr:uid="{10E417EC-1E58-4B26-A37A-28D7BB07F092}">
      <text>
        <r>
          <rPr>
            <sz val="11"/>
            <color theme="1"/>
            <rFont val="Aptos Narrow"/>
            <family val="2"/>
            <scheme val="minor"/>
          </rPr>
          <t>Unknown User:
SEARCH AND INVESTIGATION OF SOLAR SPLIT HOT WATER SYSTEM
Set up safe worked area
Gain access to solar hot water system
Gain access to solar panels
Gain access to main electrical supply
Check power supply at mains
Disconnect and remove hot water system electrical cover
Check power supply to solar hot water hot water unit
Check power supply to thermostat
Check power supply to element
Check water supply to isolation valve
Check hot water system for tempering valve
Check water supply pressure to property
Check hot water system flow rate
Check electrical cable connections on hot water unit
Visually inspect electrical cable for ruptures where able
Check relief valve operation and integrity
Check discharge from outlet of hot water system for any signs of rust and corrosion in hot water supply
Determine cause and include any repair to a loose pipe or loose wire connection
PLEASE NOTE IF FURTHER WORK IS REQUIRED ADDITIONAL COSTS WILL APPLY
Please note:
- We aim to detect all faults, however due to the differing nature of faults, we may only be able to find the primary fault. Secondary and other faults may only become apparent when the primary fault has been repaired.
- If a fault is found, then other exploratory methods will not be conducted if not required.
- Once fault is found further cost will apply to repair.</t>
        </r>
      </text>
    </comment>
    <comment ref="G301" authorId="2" shapeId="0" xr:uid="{B6AFFBE3-14A4-4359-9ED6-D4DBDA0D3F3D}">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W301" authorId="2" shapeId="0" xr:uid="{B539B634-9276-4747-8F87-1602EBC7AF33}">
      <text>
        <r>
          <rPr>
            <sz val="11"/>
            <color theme="1"/>
            <rFont val="Aptos Narrow"/>
            <family val="2"/>
            <scheme val="minor"/>
          </rPr>
          <t>Unknown User:
Cash denomination 
$50*1 = $50
$20*3 = $60
  Total - $110
$50*20 = $1000
$20*1 = $20
Unable to count the coin
   Total - $1020</t>
        </r>
      </text>
    </comment>
    <comment ref="G302" authorId="2" shapeId="0" xr:uid="{E53151F7-A8EA-4E5E-926F-6F8332D4420A}">
      <text>
        <r>
          <rPr>
            <sz val="11"/>
            <color theme="1"/>
            <rFont val="Aptos Narrow"/>
            <family val="2"/>
            <scheme val="minor"/>
          </rPr>
          <t>Unknown User:
SEARCH &amp; INVESTIGATION OF GAS STORAGE HOT WATER SYSTEM</t>
        </r>
      </text>
    </comment>
    <comment ref="G303" authorId="2" shapeId="0" xr:uid="{C2D7E30A-72B4-4353-993B-5F4712A2F441}">
      <text>
        <r>
          <rPr>
            <sz val="11"/>
            <color theme="1"/>
            <rFont val="Aptos Narrow"/>
            <family val="2"/>
            <scheme val="minor"/>
          </rPr>
          <t>Unknown User:
HIGH POWERED SUCTION &amp; ACID TREATMENT</t>
        </r>
      </text>
    </comment>
    <comment ref="G304" authorId="2" shapeId="0" xr:uid="{503F69CF-3C77-469D-A6DE-5FAE9694B509}">
      <text>
        <r>
          <rPr>
            <sz val="11"/>
            <color theme="1"/>
            <rFont val="Aptos Narrow"/>
            <family val="2"/>
            <scheme val="minor"/>
          </rPr>
          <t>Unknown User:
REPLACEMENT OF BATH TAPS &amp; SPOUT
REPLACEMENT OF SHOWER TAP TOPS AND ROSE</t>
        </r>
      </text>
    </comment>
    <comment ref="G305" authorId="2" shapeId="0" xr:uid="{BD7378F2-342B-4B6D-82DB-CB3805903C23}">
      <text>
        <r>
          <rPr>
            <sz val="11"/>
            <color theme="1"/>
            <rFont val="Aptos Narrow"/>
            <family val="2"/>
            <scheme val="minor"/>
          </rPr>
          <t>Unknown User:
SEARCH &amp; INVESTIGATION OF GAS STORAGE HOT WATER SYSTEM</t>
        </r>
      </text>
    </comment>
    <comment ref="G311" authorId="2" shapeId="0" xr:uid="{2B73008E-BCA2-4516-B0E6-05B44CC11BF8}">
      <text>
        <r>
          <rPr>
            <sz val="11"/>
            <color theme="1"/>
            <rFont val="Aptos Narrow"/>
            <family val="2"/>
            <scheme val="minor"/>
          </rPr>
          <t>Unknown User:
DIG UP OF STORM WATER SPOT UP TO 2.5M
15% GOOD WILL DISCOUNT
Obtain Service Location Diagram
Obtain Dial Before Dig
Obtain Storm Water Diagram – If Available
Set Up Safe Work Area
Set Up Builders Plastic
Set Up Barricades for Safety
Dig &amp; Excavate Ground Area Up to 2.5M
Expose Existing Section of Storm Water Service Up to 2.5M
Expose Existing Storm Water Junctions (If Required)
Cut &amp; Remove Existing Section of Storm Water Service Up to 2.5M
Cut &amp; Remove Existing Storm Water Junctions (If Required)
Gain Access to Storm Water Service
Set Up High-Powered Jet Blaster
Set Up High-Powered Mini Reel
Set Up High-Powered Turbines
Re-Jetblast Storm Water Service
Re-Camera and Investigate Further
Supply &amp; Install New Section of Storm Water Service Up to 2.5M
Supply &amp; Install New Storm Water Junctions (If Required)
Supply &amp; Install New I/O Inspection Point
Supply &amp; Install New BTS and Raise to Ground Level
Supply &amp; Install New PVC Fittings
Connect New Section of Storm Water Service to Existing Storm Water Service
Concrete Encase New Connections to Existing Storm Water Service
Encase New Section of Storm Water Service with Blue Metal
Backfill Excavated Area
Test &amp; Commission Installation
Remove Trade Waste
Restore Work Area (Excludes Returfing)
PLEASE NOTE IF FURTHER WORK REQUIRED OTHER THEN QUOTED WORK FURTHER COST WILL APPLY
- JETBLAST &amp; CCTV CAMERA</t>
        </r>
      </text>
    </comment>
    <comment ref="U311" authorId="2" shapeId="0" xr:uid="{EC4E8202-1BE7-412C-B07E-043659EB6A86}">
      <text>
        <r>
          <rPr>
            <sz val="11"/>
            <color theme="1"/>
            <rFont val="Aptos Narrow"/>
            <family val="2"/>
            <scheme val="minor"/>
          </rPr>
          <t>Unknown User:
23/7-As per Heath's note "Notes for Kylie.
Was shocked about the cost of job as he and his wife accidentally hit pipe while gardening on Sunday. Not insinuating we’re charging too much but just wants to understand it more and digest it. Myself and Jason have gone over this with him on site today.
He would like to know what it would cost to cancel the job if he and his wife choose to go down that route. He’s not angry at all, just works in the financial sector judging from the way he talks. Mentioned payment plan option, he did say they would probably pay up front but I did mention there are no early exit fees so he could kick the van down the road and pay it later on.
Would like a call between 3:30-5 today if possible."</t>
        </r>
      </text>
    </comment>
    <comment ref="G315" authorId="2" shapeId="0" xr:uid="{22CA574B-0AFD-4BD2-84C0-08A4F3F8D3AA}">
      <text>
        <r>
          <rPr>
            <sz val="11"/>
            <color theme="1"/>
            <rFont val="Aptos Narrow"/>
            <family val="2"/>
            <scheme val="minor"/>
          </rPr>
          <t>Unknown User:
SUPPLY &amp; INSTALLATION OF GAS STORAGE HOT WATER SYSTEM (EXTERNAL)
CREDIT OF SEARCH &amp; INVESTIGATION</t>
        </r>
      </text>
    </comment>
    <comment ref="G323" authorId="2" shapeId="0" xr:uid="{4ED6320F-7057-4A24-801F-9FAA942FF276}">
      <text>
        <r>
          <rPr>
            <sz val="11"/>
            <color theme="1"/>
            <rFont val="Aptos Narrow"/>
            <family val="2"/>
            <scheme val="minor"/>
          </rPr>
          <t>Unknown User:
SUPPLY &amp; INSTALLATION OF NEW WATER SUPPLY TO WASHING MACHINE
Isolate main water supply to washing machine
Isolate main power supply to washing machine
Clean No.19 Thread
Install customer supplied water supply inlet to washing machine
Connect new hot-water inlet to existing washing machine isolation valve
Reinstate main water supply
Test &amp; commission installation
Removal of trade waste
PLEASE NOTE IF FURTHER WORK REQUIRED OTHER THEN QUOTED WORK FURTHER COST WILL APPLY</t>
        </r>
      </text>
    </comment>
    <comment ref="G329" authorId="2" shapeId="0" xr:uid="{E7C65F5A-67FD-4FA9-85B5-E1E48E918641}">
      <text>
        <r>
          <rPr>
            <sz val="11"/>
            <color theme="1"/>
            <rFont val="Aptos Narrow"/>
            <family val="2"/>
            <scheme val="minor"/>
          </rPr>
          <t>Unknown User:
CONVERT SOLAR SPLIT HOT WATER SYSTEM TO EXTERNAL GAS INSTANTANEOUS HOT WATER SYSTEM
Isolate main power supply to property
Isolate main water supply to property
Isolate main gas supply to property
Gain safe access to existing solar hot water system
Disconnect power supply to solar hot water system
Disconnect water supply to solar hot water system
Disconnect plumbing to solar panels
Disconnect &amp; removal of existing valves connecting to solar hot water system
Disconnect &amp; removal of existing brass fittings connecting to solar hot water system
Disconnect &amp; removal of existing cold-water supply connecting to solar hot water system
Disconnect &amp; removal of existing hot water return supply connecting to solar hot water system
Disconnect &amp; removal of existing plumbing connecting to solar panels
Decommission existing roof mounted solar panels
Drain tank
Removal of tank
Mark out new desired location for new gas instantaneous hot water system
Gain access to cold water supply
Gain access to hot water return supply
Gain access to existing gas supply
Redirect cold water supply in copper for new gas instantaneous hot water system
Redirect hot water supply in copper for new gas instantaneous hot water system
Redirect gas supply in copper for new gas instantaneous hot water system
Supply &amp; install new gas instantaneous hot water system in new desired location
Secure new gas instantaneous hot water system in new desired location
Supply &amp; install new gas emergency isolation valve
Supply &amp; install new cold water emergency isolation valve
Supply &amp; install new gas instantaneous hot water system valve kit
Supply &amp; install new brass fittings
Supply &amp; install new B-press fittings
Connect new cold-water service to new gas instantaneous hot water system
Connect new hot water service to new gas instantaneous hot water system
Connect new gas service to new gas instantaneous hot water system
Connect power supply to new gas instantaneous hot water system
Reinstate main water supply to property
Reinstate main power supply to property
Reinstate gas supply to property
Test &amp; commission installation
Removal of trade waste
**Please note solar panels will be left on roof to save cost**
IF FURTHER WORK REQUIRED OUTSIDE OF QUOTED WORKS ADDITIONAL COSTS WILL APPLY</t>
        </r>
      </text>
    </comment>
    <comment ref="G330" authorId="2" shapeId="0" xr:uid="{8BB08405-FF19-48FB-B478-AC8D3C1D39D1}">
      <text>
        <r>
          <rPr>
            <sz val="11"/>
            <color theme="1"/>
            <rFont val="Aptos Narrow"/>
            <family val="2"/>
            <scheme val="minor"/>
          </rPr>
          <t>Unknown User:
REPLACEMENT OF BASIN MIXER
Isolate main water supply to property
Disconnect existing cold-water supply to basin mixer
Disconnect existing hot-water supply to basin mixer
Disconnect and remove existing locking nut
Disconnect and remove existing basin mixer
Clean and prepare work area for installation
Supply and install new cold-water emergency isolation valve
Supply and install new hot-water emergency isolation valve
Supply and install new basin mixer
Supply and install new cold-water stainless steel flexible hose
Supply and install new hot-water stainless steel flexible hose
Supply and install new locking nut
Secure new basin mixer in position
Connect cold-water supply to new emergency isolation valve
Connect hot-water supply to new emergency isolation valve
Reinstate main water supply to property
Test and commission installation
Removal of trade waste
PLEASE NOTE IF FURTHER WORK REQUIRED OTHER THEN QUOTED WORK FURTHER COST WILL APPLY</t>
        </r>
      </text>
    </comment>
    <comment ref="U330" authorId="2" shapeId="0" xr:uid="{3FFBF55C-FAF1-44C3-9287-9DE830D84BAB}">
      <text>
        <r>
          <rPr>
            <sz val="11"/>
            <color theme="1"/>
            <rFont val="Aptos Narrow"/>
            <family val="2"/>
            <scheme val="minor"/>
          </rPr>
          <t>Unknown User:
22 July-As per Harrison's note "Spoke to customer: wants to cancel, deposit has been paid so sent to dispatch for tech to contact"</t>
        </r>
      </text>
    </comment>
    <comment ref="G334" authorId="2" shapeId="0" xr:uid="{A9D5CEEC-776D-441F-9A96-CC831B5B7059}">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M334" authorId="2" shapeId="0" xr:uid="{545BD823-5F0C-439E-94BA-61CFD3D7496D}">
      <text>
        <r>
          <rPr>
            <sz val="11"/>
            <color theme="1"/>
            <rFont val="Aptos Narrow"/>
            <family val="2"/>
            <scheme val="minor"/>
          </rPr>
          <t>Unknown User:
Receipt for $125.18 not uploaded by plumber, now uploaded by Modoras Team</t>
        </r>
      </text>
    </comment>
    <comment ref="G336" authorId="2" shapeId="0" xr:uid="{741F13EE-B578-4806-A21D-FCCA9A23FBCB}">
      <text>
        <r>
          <rPr>
            <sz val="11"/>
            <color theme="1"/>
            <rFont val="Aptos Narrow"/>
            <family val="2"/>
            <scheme val="minor"/>
          </rPr>
          <t xml:space="preserve">Unknown User:
CONVERT SOLAR SPLIT HOT WATER SYSTEM TO EXTERNAL GAS INSTANTANEOUS HOT WATER SYSTEM
CREDIT OF SEARCH &amp; INVESTIGATION
</t>
        </r>
      </text>
    </comment>
    <comment ref="G337" authorId="2" shapeId="0" xr:uid="{239A2A9C-2E77-4194-A11D-7BF3F93AE0E0}">
      <text>
        <r>
          <rPr>
            <sz val="11"/>
            <color theme="1"/>
            <rFont val="Aptos Narrow"/>
            <family val="2"/>
            <scheme val="minor"/>
          </rPr>
          <t xml:space="preserve">Unknown User:
SEWER SPOT DIG UP TO 1.5M (UNDER CONCRETE)
</t>
        </r>
      </text>
    </comment>
    <comment ref="G338" authorId="2" shapeId="0" xr:uid="{F93F6921-14C9-43FD-8DFE-1C1F27EACDA0}">
      <text>
        <r>
          <rPr>
            <sz val="11"/>
            <color theme="1"/>
            <rFont val="Aptos Narrow"/>
            <family val="2"/>
            <scheme val="minor"/>
          </rPr>
          <t>Unknown User:
FLOOD, DYE, PRESSURE TEST (WET AREA)</t>
        </r>
      </text>
    </comment>
    <comment ref="G339" authorId="2" shapeId="0" xr:uid="{AFBFAFDA-08E2-4B00-AA43-D3F194E8503A}">
      <text>
        <r>
          <rPr>
            <sz val="11"/>
            <color theme="1"/>
            <rFont val="Aptos Narrow"/>
            <family val="2"/>
            <scheme val="minor"/>
          </rPr>
          <t>Unknown User:
HIGH POWERED SUCTION &amp; ACID TREATMENT
$89 Blocked Drains Discount</t>
        </r>
      </text>
    </comment>
    <comment ref="G340" authorId="2" shapeId="0" xr:uid="{11BD0DFD-5E58-44D9-9825-80D3A612D3A7}">
      <text>
        <r>
          <rPr>
            <sz val="11"/>
            <color theme="1"/>
            <rFont val="Aptos Narrow"/>
            <family val="2"/>
            <scheme val="minor"/>
          </rPr>
          <t>Unknown User:
SUPPLY &amp; INSTALLATION OF 15MM RPZ VALVE IN WATER SUPPLY (ADJACENT TO EQUIPMENT TO BE PROTECTED)
Isolate water service to property
Set up safe work area
Cut out brickwork and access copper water service
Mark out new valve location
Cut and removal of existing copper water service
Clean &amp; prepare copper water service
Supply &amp; install new service adapters
Supply &amp; install new press fittings
Supply &amp; install new brass fittings
Supply &amp; install new service unions
Supply &amp; install new downstream emergency isolation valve
Supply &amp; install new upstream emergency isolation valve
Supply &amp; install new line strainer
Supply &amp; install new RPZ valve body
Supply &amp; install new test points
Supply &amp; install new copper water service to suit new installation
Supply &amp; install new valve brackets
Supply &amp; install new service clips &amp; supports
Supply &amp; install new relief drain to suitable discharge point (if required)
Supply &amp; install new pipe service identification markings (non potable water)
Reinstate water service to property
Complete testing procedure of new RPZ as per AS3500.1 &amp; AS2845
Provide documentation
Removal of trade waste from site
PLEASE NOTE IF FURTHER WORK REQUIRED OUTSIDE OF QUOTED WORKS ADDITIONAL COSTS WILL APPLY</t>
        </r>
      </text>
    </comment>
    <comment ref="G341" authorId="2" shapeId="0" xr:uid="{767BCE78-16BF-4208-AB7A-B7CC30A7CA98}">
      <text>
        <r>
          <rPr>
            <sz val="11"/>
            <color theme="1"/>
            <rFont val="Aptos Narrow"/>
            <family val="2"/>
            <scheme val="minor"/>
          </rPr>
          <t>Unknown User:
REPLACEMENT OF EMERGENCY STOP VALVE
Isolate main water supply to property
Disconnect water supply to existing emergency isolation valve
Disconnect &amp; removal of existing emergency isolation valve
Clean No.19 thread
Supply &amp; install new emergency isolation valve
Reconnect existing water supply to new emergency isolation valve
Reinstate main water supply to property
Test &amp; commission installation
Removal of trade waste
PLEASE NOTE IF FURTHER WORK REQUIRED OTHER THAN QUOTED WORK FURTHER COST WILL APPLY.</t>
        </r>
      </text>
    </comment>
    <comment ref="G342" authorId="2" shapeId="0" xr:uid="{0ED687F8-F6E1-431A-ACFF-3E9F64079B5D}">
      <text>
        <r>
          <rPr>
            <sz val="11"/>
            <color theme="1"/>
            <rFont val="Aptos Narrow"/>
            <family val="2"/>
            <scheme val="minor"/>
          </rPr>
          <t>Unknown User:
INSTALLATION OF DISHWASHER [SAME LOCATION] (CUSTOMER SUPPLIED)</t>
        </r>
      </text>
    </comment>
    <comment ref="G343" authorId="2" shapeId="0" xr:uid="{A8E0D086-6AD5-4312-B1C5-ADBE90A99BF6}">
      <text>
        <r>
          <rPr>
            <sz val="11"/>
            <color theme="1"/>
            <rFont val="Aptos Narrow"/>
            <family val="2"/>
            <scheme val="minor"/>
          </rPr>
          <t>Unknown User:
SUPPLY &amp; INSTALLATION OF COMPLETE VALVE KIT TO ELECTRIC STORAGE HOT WATER SYSTEM</t>
        </r>
      </text>
    </comment>
    <comment ref="G344" authorId="2" shapeId="0" xr:uid="{35B83685-82E2-4D79-AC3D-2A1F6B34D901}">
      <text>
        <r>
          <rPr>
            <sz val="11"/>
            <color theme="1"/>
            <rFont val="Aptos Narrow"/>
            <family val="2"/>
            <scheme val="minor"/>
          </rPr>
          <t>Unknown User:
SUPPLY &amp; INSTALLATION OF GAS COOKTOP</t>
        </r>
      </text>
    </comment>
    <comment ref="G348" authorId="2" shapeId="0" xr:uid="{C899C7A3-4B75-4DDA-904A-A541A59AFBAD}">
      <text>
        <r>
          <rPr>
            <sz val="11"/>
            <color theme="1"/>
            <rFont val="Aptos Narrow"/>
            <family val="2"/>
            <scheme val="minor"/>
          </rPr>
          <t>Unknown User:
SEARCH &amp; INVESTIGATION OF GAS STORAGE HOT WATER SYSTEM</t>
        </r>
      </text>
    </comment>
    <comment ref="G352" authorId="2" shapeId="0" xr:uid="{8E0AC345-1BAB-4FCD-855A-85930CD40BE8}">
      <text>
        <r>
          <rPr>
            <sz val="11"/>
            <color theme="1"/>
            <rFont val="Aptos Narrow"/>
            <family val="2"/>
            <scheme val="minor"/>
          </rPr>
          <t>Unknown User:
SUPPLY &amp; INSTALLATION OF GAS STORAGE HOT WATER SYSTEM (EXTERNAL)
CREDIT OF SEARCH &amp; INVESTIGATION</t>
        </r>
      </text>
    </comment>
    <comment ref="G353" authorId="2" shapeId="0" xr:uid="{654C5990-FA39-43BE-B4AE-F20D9AAF10AE}">
      <text>
        <r>
          <rPr>
            <sz val="11"/>
            <color theme="1"/>
            <rFont val="Aptos Narrow"/>
            <family val="2"/>
            <scheme val="minor"/>
          </rPr>
          <t>Unknown User:
SUPPLY &amp; INSTALLATION OF COMPLETE VALVE KIT TO GAS STORAGE HOT WATER SYSTEM</t>
        </r>
      </text>
    </comment>
    <comment ref="E375" authorId="6" shapeId="0" xr:uid="{44E3EE43-7795-4DF2-ACE8-1347069653EA}">
      <text>
        <t>[Threaded comment]
Your version of Excel allows you to read this threaded comment; however, any edits to it will get removed if the file is opened in a newer version of Excel. Learn more: https://go.microsoft.com/fwlink/?linkid=870924
Comment:
    Checked</t>
      </text>
    </comment>
    <comment ref="E376" authorId="7" shapeId="0" xr:uid="{4CCA76DC-4445-41FF-9B3B-449A56DB6B7C}">
      <text>
        <t>[Threaded comment]
Your version of Excel allows you to read this threaded comment; however, any edits to it will get removed if the file is opened in a newer version of Excel. Learn more: https://go.microsoft.com/fwlink/?linkid=870924
Comment:
    Checked</t>
      </text>
    </comment>
    <comment ref="E377" authorId="8" shapeId="0" xr:uid="{39070CC3-BA68-4555-A570-3350B8A60A8D}">
      <text>
        <t>[Threaded comment]
Your version of Excel allows you to read this threaded comment; however, any edits to it will get removed if the file is opened in a newer version of Excel. Learn more: https://go.microsoft.com/fwlink/?linkid=870924
Comment:
    Checked</t>
      </text>
    </comment>
    <comment ref="E378" authorId="9" shapeId="0" xr:uid="{1F762E4D-0215-46DC-BA61-DBA8B901BE44}">
      <text>
        <t>[Threaded comment]
Your version of Excel allows you to read this threaded comment; however, any edits to it will get removed if the file is opened in a newer version of Excel. Learn more: https://go.microsoft.com/fwlink/?linkid=870924
Comment:
    CB - Joshua Attended Sun 10th Aug 2025</t>
      </text>
    </comment>
    <comment ref="G387" authorId="2" shapeId="0" xr:uid="{8D25AA46-ADC0-42D5-AB37-FF0EC8DD6069}">
      <text>
        <r>
          <rPr>
            <sz val="11"/>
            <color theme="1"/>
            <rFont val="Aptos Narrow"/>
            <family val="2"/>
            <scheme val="minor"/>
          </rPr>
          <t>Unknown User:
REPLACEMENT OF PLUG &amp; WASTE - 50MM</t>
        </r>
      </text>
    </comment>
    <comment ref="G388" authorId="2" shapeId="0" xr:uid="{BA22FE40-5756-4E8F-B5E6-3B9711DB4905}">
      <text>
        <r>
          <rPr>
            <sz val="11"/>
            <color theme="1"/>
            <rFont val="Aptos Narrow"/>
            <family val="2"/>
            <scheme val="minor"/>
          </rPr>
          <t>Unknown User:
WATER SERVICE RECTIFICATION (UNDER PAVERS)</t>
        </r>
      </text>
    </comment>
    <comment ref="M388" authorId="2" shapeId="0" xr:uid="{B38A2A26-D27B-4200-BF6C-238453DE84CF}">
      <text>
        <r>
          <rPr>
            <sz val="11"/>
            <color theme="1"/>
            <rFont val="Aptos Narrow"/>
            <family val="2"/>
            <scheme val="minor"/>
          </rPr>
          <t>Unknown User:
Smartpay receipt of $309.54 not uploaded by plumber.
Uploaded by Modoras team.</t>
        </r>
      </text>
    </comment>
    <comment ref="P388" authorId="2" shapeId="0" xr:uid="{68403EA0-53AA-49A2-8AD4-FDA5CC4F900C}">
      <text>
        <r>
          <rPr>
            <sz val="11"/>
            <color theme="1"/>
            <rFont val="Aptos Narrow"/>
            <family val="2"/>
            <scheme val="minor"/>
          </rPr>
          <t>Unknown User:
Quote not emailed</t>
        </r>
      </text>
    </comment>
    <comment ref="S388" authorId="2" shapeId="0" xr:uid="{C8606403-D32E-4A81-9765-1A7C24723276}">
      <text>
        <r>
          <rPr>
            <sz val="11"/>
            <color theme="1"/>
            <rFont val="Aptos Narrow"/>
            <family val="2"/>
            <scheme val="minor"/>
          </rPr>
          <t>Unknown User:
Signed invoice not emailed</t>
        </r>
      </text>
    </comment>
    <comment ref="G389" authorId="2" shapeId="0" xr:uid="{264323E3-830D-4969-B2C5-F7F610E34B8C}">
      <text>
        <r>
          <rPr>
            <sz val="11"/>
            <color theme="1"/>
            <rFont val="Aptos Narrow"/>
            <family val="2"/>
            <scheme val="minor"/>
          </rPr>
          <t xml:space="preserve">Unknown User:
INSTALLATION OF NEW FREE-STANDING VANITY 600MM (CUSTOMER SUPPLIED)
</t>
        </r>
      </text>
    </comment>
    <comment ref="T389" authorId="2" shapeId="0" xr:uid="{008300A7-E0C0-47F0-A079-74FAC70ECCC0}">
      <text>
        <r>
          <rPr>
            <sz val="11"/>
            <color theme="1"/>
            <rFont val="Aptos Narrow"/>
            <family val="2"/>
            <scheme val="minor"/>
          </rPr>
          <t>Unknown User:
0.5 X Aden
0.5 X Daniel B</t>
        </r>
      </text>
    </comment>
    <comment ref="G390" authorId="2" shapeId="0" xr:uid="{085B07EC-3D0A-4C0A-B254-6852EA5434A4}">
      <text>
        <r>
          <rPr>
            <sz val="11"/>
            <color theme="1"/>
            <rFont val="Aptos Narrow"/>
            <family val="2"/>
            <scheme val="minor"/>
          </rPr>
          <t xml:space="preserve">Unknown User:
REPLACEMENT OF WALL TOP TAPWARE
</t>
        </r>
      </text>
    </comment>
    <comment ref="S390" authorId="2" shapeId="0" xr:uid="{D8BA45F0-8B91-4E82-99BA-F334D6CCDA99}">
      <text>
        <r>
          <rPr>
            <sz val="11"/>
            <color theme="1"/>
            <rFont val="Aptos Narrow"/>
            <family val="2"/>
            <scheme val="minor"/>
          </rPr>
          <t>Unknown User:
Signed progress invoice not emailed.</t>
        </r>
      </text>
    </comment>
    <comment ref="G391" authorId="2" shapeId="0" xr:uid="{2B9CA55D-31FC-4277-9B45-F70CCA193480}">
      <text>
        <r>
          <rPr>
            <sz val="11"/>
            <color theme="1"/>
            <rFont val="Aptos Narrow"/>
            <family val="2"/>
            <scheme val="minor"/>
          </rPr>
          <t xml:space="preserve">Unknown User:
HIGH POWERED JET BLAST &amp; CCTV DRAIN CAMERA INSPECTION (SEWER SERVICE)
</t>
        </r>
      </text>
    </comment>
    <comment ref="L391" authorId="2" shapeId="0" xr:uid="{D3C4A587-1D91-4011-BB3B-E4974D7FB951}">
      <text>
        <r>
          <rPr>
            <sz val="11"/>
            <color theme="1"/>
            <rFont val="Aptos Narrow"/>
            <family val="2"/>
            <scheme val="minor"/>
          </rPr>
          <t>Unknown User:
Jetblast &amp; CCTV drain pics are not uploaded</t>
        </r>
      </text>
    </comment>
    <comment ref="O391" authorId="2" shapeId="0" xr:uid="{73F9444C-AFE9-46B6-BD61-ED3455FD8341}">
      <text>
        <r>
          <rPr>
            <sz val="11"/>
            <color theme="1"/>
            <rFont val="Aptos Narrow"/>
            <family val="2"/>
            <scheme val="minor"/>
          </rPr>
          <t>Unknown User:
SMS approval</t>
        </r>
      </text>
    </comment>
    <comment ref="G392" authorId="2" shapeId="0" xr:uid="{FED607D4-34B3-413A-83C5-3F66E84304D9}">
      <text>
        <r>
          <rPr>
            <sz val="11"/>
            <color theme="1"/>
            <rFont val="Aptos Narrow"/>
            <family val="2"/>
            <scheme val="minor"/>
          </rPr>
          <t>Unknown User:
REPLACEMENT OF EXISTING PULL-OUT KITCHEN MIXER (CUSTOMER SUPPLIED)</t>
        </r>
      </text>
    </comment>
    <comment ref="W392" authorId="2" shapeId="0" xr:uid="{88C7840C-009E-4B81-95C8-817657868A55}">
      <text>
        <r>
          <rPr>
            <sz val="11"/>
            <color theme="1"/>
            <rFont val="Aptos Narrow"/>
            <family val="2"/>
            <scheme val="minor"/>
          </rPr>
          <t>Unknown User:
Cash denomination
$50*6=$300</t>
        </r>
      </text>
    </comment>
    <comment ref="G393" authorId="2" shapeId="0" xr:uid="{93162E07-2D81-4C92-B91E-A94C5B7FD4D4}">
      <text>
        <r>
          <rPr>
            <sz val="11"/>
            <color theme="1"/>
            <rFont val="Aptos Narrow"/>
            <family val="2"/>
            <scheme val="minor"/>
          </rPr>
          <t>Unknown User:
Call out fee applied</t>
        </r>
      </text>
    </comment>
    <comment ref="G394" authorId="2" shapeId="0" xr:uid="{F32D5B29-48C0-4FC4-AD63-ABA3FC1C62DF}">
      <text>
        <r>
          <rPr>
            <sz val="11"/>
            <color theme="1"/>
            <rFont val="Aptos Narrow"/>
            <family val="2"/>
            <scheme val="minor"/>
          </rPr>
          <t>Unknown User:
EMERGENCY ISOLATION VALVE - COMBO</t>
        </r>
      </text>
    </comment>
    <comment ref="G395" authorId="2" shapeId="0" xr:uid="{70611E0F-0CD8-4F37-9EAF-29842AB043E7}">
      <text>
        <r>
          <rPr>
            <sz val="11"/>
            <color theme="1"/>
            <rFont val="Aptos Narrow"/>
            <family val="2"/>
            <scheme val="minor"/>
          </rPr>
          <t>Unknown User:
CCTV DRAIN CAMERA INSPECTION OF SEWER SERVICE</t>
        </r>
      </text>
    </comment>
    <comment ref="L395" authorId="2" shapeId="0" xr:uid="{F8DC2C97-BB8B-4E47-8C13-FC26A6493051}">
      <text>
        <r>
          <rPr>
            <sz val="11"/>
            <color theme="1"/>
            <rFont val="Aptos Narrow"/>
            <family val="2"/>
            <scheme val="minor"/>
          </rPr>
          <t>Unknown User:
More CCTV drain pics/videos to be uploaded.</t>
        </r>
      </text>
    </comment>
    <comment ref="G396" authorId="2" shapeId="0" xr:uid="{759F46C4-2227-4ED6-A9BE-34DAEAF4E4A0}">
      <text>
        <r>
          <rPr>
            <sz val="11"/>
            <color theme="1"/>
            <rFont val="Aptos Narrow"/>
            <family val="2"/>
            <scheme val="minor"/>
          </rPr>
          <t>Unknown User:
DECOMMISSION DOUBLE BOWL KITCHEN SINK
Gain access to main gas meter</t>
        </r>
      </text>
    </comment>
    <comment ref="G397" authorId="2" shapeId="0" xr:uid="{D461DCB4-DC66-46DB-9FEE-276FA3135A97}">
      <text>
        <r>
          <rPr>
            <sz val="11"/>
            <color theme="1"/>
            <rFont val="Aptos Narrow"/>
            <family val="2"/>
            <scheme val="minor"/>
          </rPr>
          <t>Unknown User:
HIGH POWERED JET BLAST &amp; CCTV CAMERA INSPECTION (GAIN ACCESS WITH REMOVAL OF TOILET)</t>
        </r>
      </text>
    </comment>
    <comment ref="G398" authorId="2" shapeId="0" xr:uid="{EF38698C-2385-4C4A-9CA1-0C6C6DD7D5E0}">
      <text>
        <r>
          <rPr>
            <sz val="11"/>
            <color theme="1"/>
            <rFont val="Aptos Narrow"/>
            <family val="2"/>
            <scheme val="minor"/>
          </rPr>
          <t>Unknown User:
CONVERT SOLAR SPLIT HOT WATER SYSTEM TO EXTERNAL GAS INSTANTANEOUS HOT WATER SYSTEM
10% Seniors &amp; Pensioners Discount</t>
        </r>
      </text>
    </comment>
    <comment ref="U398" authorId="2" shapeId="0" xr:uid="{198536BF-F845-401E-96FE-90F73C94DF8F}">
      <text>
        <r>
          <rPr>
            <sz val="11"/>
            <color theme="1"/>
            <rFont val="Aptos Narrow"/>
            <family val="2"/>
            <scheme val="minor"/>
          </rPr>
          <t>Unknown User:
8/8-As per Heath's note "Gas regulator for house was seized. Advised customer to get replaced, if hot water unit has issues once regulator is changed we can return to commission again if need be"</t>
        </r>
      </text>
    </comment>
    <comment ref="G399" authorId="2" shapeId="0" xr:uid="{77A63F6E-B8D6-4C69-A609-657034A56BCD}">
      <text>
        <r>
          <rPr>
            <sz val="11"/>
            <color theme="1"/>
            <rFont val="Aptos Narrow"/>
            <family val="2"/>
            <scheme val="minor"/>
          </rPr>
          <t>Unknown User:
HIGH POWERED JET BLAST &amp; CCTV DRAIN CAMERA INSPECTION (SEWER SERVICE)
10% Seniors &amp; Pensioners Discount</t>
        </r>
      </text>
    </comment>
    <comment ref="L399" authorId="2" shapeId="0" xr:uid="{A2B8BDAC-CF76-4D03-92B6-F312ABBC46CF}">
      <text>
        <r>
          <rPr>
            <sz val="11"/>
            <color theme="1"/>
            <rFont val="Aptos Narrow"/>
            <family val="2"/>
            <scheme val="minor"/>
          </rPr>
          <t>Unknown User:
CCTV pics/videos are not uploaded.</t>
        </r>
      </text>
    </comment>
    <comment ref="G405" authorId="2" shapeId="0" xr:uid="{3F47860C-8CA3-436A-8D9A-A0F84597C9E3}">
      <text>
        <r>
          <rPr>
            <sz val="11"/>
            <color theme="1"/>
            <rFont val="Aptos Narrow"/>
            <family val="2"/>
            <scheme val="minor"/>
          </rPr>
          <t>Unknown User:
REPLACEMENT OF BASIN MIXER
Isolate main water supply to property
Disconnect existing cold-water supply to basin mixer
Disconnect existing hot-water supply to basin mixer
Disconnect and remove existing locking nut
Disconnect and remove existing basin mixer
Clean and prepare work area for installation
Supply and install new cold-water emergency isolation valve
Supply and install new hot-water emergency isolation valve
Supply and install new basin mixer
Supply and install new cold-water stainless steel flexible hose
Supply and install new hot-water stainless steel flexible hose
Supply and install new locking nut
Secure new basin mixer in position
Connect cold-water supply to new emergency isolation valve
Connect hot-water supply to new emergency isolation valve
Reinstate main water supply to property
Test and commission installation
Removal of trade waste
PLEASE NOTE IF FURTHER WORK REQUIRED OTHER THEN QUOTED WORK FURTHER COST WILL APPLY</t>
        </r>
      </text>
    </comment>
    <comment ref="U405" authorId="2" shapeId="0" xr:uid="{F3D08993-CC71-4526-8C89-1763CD4BA731}">
      <text>
        <r>
          <rPr>
            <sz val="11"/>
            <color theme="1"/>
            <rFont val="Aptos Narrow"/>
            <family val="2"/>
            <scheme val="minor"/>
          </rPr>
          <t>Unknown User:
22 July-As per Harrison's note "Spoke to customer: wants to cancel, deposit has been paid so sent to dispatch for tech to contact"</t>
        </r>
      </text>
    </comment>
    <comment ref="G409" authorId="2" shapeId="0" xr:uid="{F97A160E-B19D-462A-8350-7E93D23EBAE2}">
      <text>
        <r>
          <rPr>
            <sz val="11"/>
            <color theme="1"/>
            <rFont val="Aptos Narrow"/>
            <family val="2"/>
            <scheme val="minor"/>
          </rPr>
          <t>Unknown User:
SEWER SPOT DIG UP TO 2.5M - IN GROUND</t>
        </r>
      </text>
    </comment>
    <comment ref="M409" authorId="2" shapeId="0" xr:uid="{B3B0EBEE-5E72-46C8-AC89-4CB9E3D85979}">
      <text>
        <r>
          <rPr>
            <sz val="11"/>
            <color theme="1"/>
            <rFont val="Aptos Narrow"/>
            <family val="2"/>
            <scheme val="minor"/>
          </rPr>
          <t>Unknown User:
Smartpay receipt for $3000 dt.7/8 is not uploaded by plumber.
Uploaded by Modoras team.</t>
        </r>
      </text>
    </comment>
    <comment ref="G410" authorId="2" shapeId="0" xr:uid="{7FFCBB65-BEB1-41D5-98D7-F0B3A4028BD6}">
      <text>
        <r>
          <rPr>
            <sz val="11"/>
            <color theme="1"/>
            <rFont val="Aptos Narrow"/>
            <family val="2"/>
            <scheme val="minor"/>
          </rPr>
          <t xml:space="preserve">Unknown User:
INSTALLATION OF NEW LINK SUITE (CUSTOMER SUPPLIED)
MIXER TAP - STANDARD
REPLACEMENT OF WALL SINK SPOUT
COMPLETE SERVICE OF WALL TOP TAPS ASSEMBLY
</t>
        </r>
      </text>
    </comment>
    <comment ref="G411" authorId="2" shapeId="0" xr:uid="{FC6FE834-0C03-44D4-9B7B-6C8FB212D1DF}">
      <text>
        <r>
          <rPr>
            <sz val="11"/>
            <color theme="1"/>
            <rFont val="Aptos Narrow"/>
            <family val="2"/>
            <scheme val="minor"/>
          </rPr>
          <t>Unknown User:
SEWER SPOT DIG UP TO 2.5M (UNDER PAVERS)</t>
        </r>
      </text>
    </comment>
    <comment ref="V411" authorId="2" shapeId="0" xr:uid="{93CFB374-AA03-40C4-82FE-673732F6DD84}">
      <text>
        <r>
          <rPr>
            <sz val="11"/>
            <color theme="1"/>
            <rFont val="Aptos Narrow"/>
            <family val="2"/>
            <scheme val="minor"/>
          </rPr>
          <t>Unknown User:
12/08 Received $2000 EFT
20/08 Received $10000 EFT 
22/08 Received $2051.86 Card</t>
        </r>
      </text>
    </comment>
    <comment ref="G412" authorId="2" shapeId="0" xr:uid="{549A104A-BA1C-40CD-B554-99EA3FE3E88B}">
      <text>
        <r>
          <rPr>
            <sz val="11"/>
            <color theme="1"/>
            <rFont val="Aptos Narrow"/>
            <family val="2"/>
            <scheme val="minor"/>
          </rPr>
          <t>Unknown User:
SUPPLY &amp; INSTALLATION OF MACERATOR PUMP
10% Good Will Discount
Non-refundable call out fee</t>
        </r>
      </text>
    </comment>
    <comment ref="O412" authorId="2" shapeId="0" xr:uid="{0FC29B58-DBEF-4C38-B704-39A934072BD6}">
      <text>
        <r>
          <rPr>
            <sz val="11"/>
            <color theme="1"/>
            <rFont val="Aptos Narrow"/>
            <family val="2"/>
            <scheme val="minor"/>
          </rPr>
          <t>Unknown User:
SMS approval</t>
        </r>
      </text>
    </comment>
    <comment ref="U412" authorId="2" shapeId="0" xr:uid="{0B1332EF-8427-415D-A3FE-F355FEFAED19}">
      <text>
        <r>
          <rPr>
            <sz val="11"/>
            <color theme="1"/>
            <rFont val="Aptos Narrow"/>
            <family val="2"/>
            <scheme val="minor"/>
          </rPr>
          <t>Unknown User:
7/8-As per Solomon's note "Final Job to turn on the pump, Elliot said that was the last thing to do. and collect the remainder of the payment"</t>
        </r>
      </text>
    </comment>
    <comment ref="G419" authorId="2" shapeId="0" xr:uid="{937BE28F-D93B-4940-99B0-6EA0005CCA9F}">
      <text>
        <r>
          <rPr>
            <sz val="11"/>
            <color theme="1"/>
            <rFont val="Aptos Narrow"/>
            <family val="2"/>
            <scheme val="minor"/>
          </rPr>
          <t>Unknown User:
SUPPLY &amp; INSTALLATION OF NEW WATER SUPPLY TO WASHING MACHINE
Isolate main water supply to washing machine
Isolate main power supply to washing machine
Clean No.19 Thread
Install customer supplied water supply inlet to washing machine
Connect new hot-water inlet to existing washing machine isolation valve
Reinstate main water supply
Test &amp; commission installation
Removal of trade waste
PLEASE NOTE IF FURTHER WORK REQUIRED OTHER THEN QUOTED WORK FURTHER COST WILL APPLY</t>
        </r>
      </text>
    </comment>
    <comment ref="G425" authorId="2" shapeId="0" xr:uid="{12C6E6E6-57A0-40F1-887B-0082C40CD6D2}">
      <text>
        <r>
          <rPr>
            <sz val="11"/>
            <color theme="1"/>
            <rFont val="Aptos Narrow"/>
            <family val="2"/>
            <scheme val="minor"/>
          </rPr>
          <t>Unknown User:
CONVERT SOLAR SPLIT HOT WATER SYSTEM TO EXTERNAL GAS INSTANTANEOUS HOT WATER SYSTEM
Isolate main power supply to property
Isolate main water supply to property
Isolate main gas supply to property
Gain safe access to existing solar hot water system
Disconnect power supply to solar hot water system
Disconnect water supply to solar hot water system
Disconnect plumbing to solar panels
Disconnect &amp; removal of existing valves connecting to solar hot water system
Disconnect &amp; removal of existing brass fittings connecting to solar hot water system
Disconnect &amp; removal of existing cold-water supply connecting to solar hot water system
Disconnect &amp; removal of existing hot water return supply connecting to solar hot water system
Disconnect &amp; removal of existing plumbing connecting to solar panels
Decommission existing roof mounted solar panels
Drain tank
Removal of tank
Mark out new desired location for new gas instantaneous hot water system
Gain access to cold water supply
Gain access to hot water return supply
Gain access to existing gas supply
Redirect cold water supply in copper for new gas instantaneous hot water system
Redirect hot water supply in copper for new gas instantaneous hot water system
Redirect gas supply in copper for new gas instantaneous hot water system
Supply &amp; install new gas instantaneous hot water system in new desired location
Secure new gas instantaneous hot water system in new desired location
Supply &amp; install new gas emergency isolation valve
Supply &amp; install new cold water emergency isolation valve
Supply &amp; install new gas instantaneous hot water system valve kit
Supply &amp; install new brass fittings
Supply &amp; install new B-press fittings
Connect new cold-water service to new gas instantaneous hot water system
Connect new hot water service to new gas instantaneous hot water system
Connect new gas service to new gas instantaneous hot water system
Connect power supply to new gas instantaneous hot water system
Reinstate main water supply to property
Reinstate main power supply to property
Reinstate gas supply to property
Test &amp; commission installation
Removal of trade waste
**Please note solar panels will be left on roof to save cost**
IF FURTHER WORK REQUIRED OUTSIDE OF QUOTED WORKS ADDITIONAL COSTS WILL APPLY</t>
        </r>
      </text>
    </comment>
    <comment ref="G426" authorId="2" shapeId="0" xr:uid="{22AC9222-A03F-4119-A0EE-BAAF7CC4B718}">
      <text>
        <r>
          <rPr>
            <sz val="11"/>
            <color theme="1"/>
            <rFont val="Aptos Narrow"/>
            <family val="2"/>
            <scheme val="minor"/>
          </rPr>
          <t>Unknown User:
SUPPLY &amp; INSTALLATION OF GAS STORAGE HOT WATER SYSTEM (EXTERNAL)
CREDIT OF SEARCH &amp; INVESTIGATION</t>
        </r>
      </text>
    </comment>
    <comment ref="G431" authorId="2" shapeId="0" xr:uid="{562054BB-3014-48C6-84C6-FCCA53B21CB3}">
      <text>
        <r>
          <rPr>
            <sz val="11"/>
            <color theme="1"/>
            <rFont val="Aptos Narrow"/>
            <family val="2"/>
            <scheme val="minor"/>
          </rPr>
          <t>Unknown User:
REMOVAL OF TOILET PAN AND RESEAL WITH NEW PAN COLLAR
REPLACEMENT OF PAIR EMERGENCY STOP VALVES
10% Loyalty Discount</t>
        </r>
      </text>
    </comment>
    <comment ref="G433" authorId="2" shapeId="0" xr:uid="{62FD5707-62C7-42AB-82A6-D485E5C00E70}">
      <text>
        <r>
          <rPr>
            <sz val="11"/>
            <color theme="1"/>
            <rFont val="Aptos Narrow"/>
            <family val="2"/>
            <scheme val="minor"/>
          </rPr>
          <t>Unknown User:
HIGH POWERED JET BLAST &amp; CCTV CAMERA INSPECTION (GAIN ACCESS WITH REMOVAL OF TOILET)</t>
        </r>
      </text>
    </comment>
    <comment ref="G435" authorId="2" shapeId="0" xr:uid="{E02F4D83-6BD9-4202-B05F-9FB8F79AC813}">
      <text>
        <r>
          <rPr>
            <sz val="11"/>
            <color theme="1"/>
            <rFont val="Aptos Narrow"/>
            <family val="2"/>
            <scheme val="minor"/>
          </rPr>
          <t>Unknown User:
HIGH POWERED JET BLAST &amp; CCTV DRAIN CAMERA INSPECTION (SEWER SERVICE)</t>
        </r>
      </text>
    </comment>
    <comment ref="G437" authorId="2" shapeId="0" xr:uid="{25330451-E5B2-4B84-BC47-53AE6B2E22C3}">
      <text>
        <r>
          <rPr>
            <sz val="11"/>
            <color theme="1"/>
            <rFont val="Aptos Narrow"/>
            <family val="2"/>
            <scheme val="minor"/>
          </rPr>
          <t>Unknown User:
CONVERT SOLAR CLOSE COUPLED HOT WATER SYSTEM TO EXTERNAL GAS INSTANTANEOUS HOT WATER SYSTEM</t>
        </r>
      </text>
    </comment>
    <comment ref="G438" authorId="2" shapeId="0" xr:uid="{D7493334-D4D7-4EE4-9AFB-07A07FAB8ACC}">
      <text>
        <r>
          <rPr>
            <sz val="11"/>
            <color theme="1"/>
            <rFont val="Aptos Narrow"/>
            <family val="2"/>
            <scheme val="minor"/>
          </rPr>
          <t>Unknown User:
SEWER SPOT DIG UP TO 1.5M - IN GROUND
CREDIT HIGH POWERED JETBLAST &amp; CCTV CAMERA</t>
        </r>
      </text>
    </comment>
    <comment ref="K438" authorId="2" shapeId="0" xr:uid="{AF6043E4-BA5E-47EB-B7B4-7628CE93B726}">
      <text>
        <r>
          <rPr>
            <sz val="11"/>
            <color theme="1"/>
            <rFont val="Aptos Narrow"/>
            <family val="2"/>
            <scheme val="minor"/>
          </rPr>
          <t>Unknown User:
Previous job images uploaded</t>
        </r>
      </text>
    </comment>
    <comment ref="G440" authorId="2" shapeId="0" xr:uid="{B116A9FF-DFE0-49CA-98D7-01915EDDD352}">
      <text>
        <r>
          <rPr>
            <sz val="11"/>
            <color theme="1"/>
            <rFont val="Aptos Narrow"/>
            <family val="2"/>
            <scheme val="minor"/>
          </rPr>
          <t>Unknown User:
REPLACEMENT OF PAIR EMERGENCY STOP VALVES</t>
        </r>
      </text>
    </comment>
    <comment ref="G441" authorId="2" shapeId="0" xr:uid="{44F14D39-B50F-493F-82B0-7FC0C7119587}">
      <text>
        <r>
          <rPr>
            <sz val="11"/>
            <color theme="1"/>
            <rFont val="Aptos Narrow"/>
            <family val="2"/>
            <scheme val="minor"/>
          </rPr>
          <t>Unknown User:
SUPPLY &amp; INSTALLATION OF MACERATOR PUMP</t>
        </r>
      </text>
    </comment>
    <comment ref="G442" authorId="2" shapeId="0" xr:uid="{3578D1F9-E00C-444C-A162-A3650C15595B}">
      <text>
        <r>
          <rPr>
            <sz val="11"/>
            <color theme="1"/>
            <rFont val="Aptos Narrow"/>
            <family val="2"/>
            <scheme val="minor"/>
          </rPr>
          <t>Unknown User:
REPLACEMENT OF EXISTING OVERFLOW GULLY &amp; UP TO ____M OF MAIN SEWER SERVICE (UNDER CONCRETE)</t>
        </r>
      </text>
    </comment>
    <comment ref="G445" authorId="2" shapeId="0" xr:uid="{A46EEB18-0133-409C-9E61-9EAAC714D1DB}">
      <text>
        <r>
          <rPr>
            <sz val="11"/>
            <color theme="1"/>
            <rFont val="Aptos Narrow"/>
            <family val="2"/>
            <scheme val="minor"/>
          </rPr>
          <t xml:space="preserve">Unknown User:
SEWER SPOT DIG UP TO 1.5M (UNDER PAVERS)
</t>
        </r>
      </text>
    </comment>
    <comment ref="G447" authorId="2" shapeId="0" xr:uid="{E5717F96-4E86-4244-BDC6-A6CA370EA386}">
      <text>
        <r>
          <rPr>
            <sz val="11"/>
            <color theme="1"/>
            <rFont val="Aptos Narrow"/>
            <family val="2"/>
            <scheme val="minor"/>
          </rPr>
          <t xml:space="preserve">Unknown User:
SUPPLY &amp; INSTALLATION OF NEW DISHWASHER IN REPLACEMENT OF EXISTING
</t>
        </r>
      </text>
    </comment>
    <comment ref="G448" authorId="2" shapeId="0" xr:uid="{02643706-D7B5-4ABA-ABB1-2713F4D61F60}">
      <text>
        <r>
          <rPr>
            <sz val="11"/>
            <color theme="1"/>
            <rFont val="Aptos Narrow"/>
            <family val="2"/>
            <scheme val="minor"/>
          </rPr>
          <t>Unknown User:
REPLACEMENT OF SEWER BOUNDARY TRAP UP TO 1.5M
10% Seniors &amp; Pensioners Discount</t>
        </r>
      </text>
    </comment>
    <comment ref="E470" authorId="10" shapeId="0" xr:uid="{5E3A3878-7325-43F1-A51F-63F4481997CA}">
      <text>
        <t>[Threaded comment]
Your version of Excel allows you to read this threaded comment; however, any edits to it will get removed if the file is opened in a newer version of Excel. Learn more: https://go.microsoft.com/fwlink/?linkid=870924
Comment:
    #71622 - 15th Aug - Job Cancelled</t>
      </text>
    </comment>
    <comment ref="E471" authorId="11" shapeId="0" xr:uid="{4C0C19DF-0033-48E4-BFEB-1E47DDCA104E}">
      <text>
        <t>[Threaded comment]
Your version of Excel allows you to read this threaded comment; however, any edits to it will get removed if the file is opened in a newer version of Excel. Learn more: https://go.microsoft.com/fwlink/?linkid=870924
Comment:
    Unsuccessful</t>
      </text>
    </comment>
    <comment ref="E472" authorId="12" shapeId="0" xr:uid="{162AEDE1-3D1C-4CB4-986D-B81DA8A8D610}">
      <text>
        <t>[Threaded comment]
Your version of Excel allows you to read this threaded comment; however, any edits to it will get removed if the file is opened in a newer version of Excel. Learn more: https://go.microsoft.com/fwlink/?linkid=870924
Comment:
    Unsuccessful</t>
      </text>
    </comment>
    <comment ref="E473" authorId="13" shapeId="0" xr:uid="{433AE38A-A999-44E2-9DA5-E4727C7394F4}">
      <text>
        <t>[Threaded comment]
Your version of Excel allows you to read this threaded comment; however, any edits to it will get removed if the file is opened in a newer version of Excel. Learn more: https://go.microsoft.com/fwlink/?linkid=870924
Comment:
    Unsuccessful</t>
      </text>
    </comment>
    <comment ref="E474" authorId="14" shapeId="0" xr:uid="{53AD1DC0-58F9-4532-9133-5274B99EE9E4}">
      <text>
        <t>[Threaded comment]
Your version of Excel allows you to read this threaded comment; however, any edits to it will get removed if the file is opened in a newer version of Excel. Learn more: https://go.microsoft.com/fwlink/?linkid=870924
Comment:
    Unsuccessful</t>
      </text>
    </comment>
    <comment ref="G485" authorId="2" shapeId="0" xr:uid="{930A4760-870F-46E1-8F26-FBA5FC4945C2}">
      <text>
        <r>
          <rPr>
            <sz val="11"/>
            <color theme="1"/>
            <rFont val="Aptos Narrow"/>
            <family val="2"/>
            <scheme val="minor"/>
          </rPr>
          <t>Unknown User:
SUPPLY &amp; INSTALLATION OF PRESSURE RELIEF VALVE</t>
        </r>
      </text>
    </comment>
    <comment ref="S485" authorId="2" shapeId="0" xr:uid="{DF0B547E-7A77-4643-85E3-57B19E722F93}">
      <text>
        <r>
          <rPr>
            <sz val="11"/>
            <color theme="1"/>
            <rFont val="Aptos Narrow"/>
            <family val="2"/>
            <scheme val="minor"/>
          </rPr>
          <t>Unknown User:
Signed invoice not emailed</t>
        </r>
      </text>
    </comment>
    <comment ref="G486" authorId="2" shapeId="0" xr:uid="{0FA68306-576E-4891-8255-403427E71D2C}">
      <text>
        <r>
          <rPr>
            <sz val="11"/>
            <color theme="1"/>
            <rFont val="Aptos Narrow"/>
            <family val="2"/>
            <scheme val="minor"/>
          </rPr>
          <t>Unknown User:
SUPPLY &amp; INSTALLATION OF NEW COPPER GAS SERVICE UP TO ____M (REPLACEMENT OF EXISTING GALVANISED GAS SERVICE)</t>
        </r>
      </text>
    </comment>
    <comment ref="G487" authorId="2" shapeId="0" xr:uid="{24055745-2A83-43D7-890F-60CA908BAE84}">
      <text>
        <r>
          <rPr>
            <sz val="11"/>
            <color theme="1"/>
            <rFont val="Aptos Narrow"/>
            <family val="2"/>
            <scheme val="minor"/>
          </rPr>
          <t xml:space="preserve">Unknown User:
REMOVAL OF TOILET PAN AND RESEAL WITH NEW PAN COLLAR
10% Seniors &amp; Pensioners Discount </t>
        </r>
      </text>
    </comment>
    <comment ref="M487" authorId="2" shapeId="0" xr:uid="{7A039665-6591-4C1D-BA84-41D3298F9472}">
      <text>
        <r>
          <rPr>
            <sz val="11"/>
            <color theme="1"/>
            <rFont val="Aptos Narrow"/>
            <family val="2"/>
            <scheme val="minor"/>
          </rPr>
          <t>Unknown User:
Cash pic not uploaded</t>
        </r>
      </text>
    </comment>
    <comment ref="W487" authorId="2" shapeId="0" xr:uid="{14BB30A1-9102-4172-B2C2-C14FDE800B3D}">
      <text>
        <r>
          <rPr>
            <sz val="11"/>
            <color theme="1"/>
            <rFont val="Aptos Narrow"/>
            <family val="2"/>
            <scheme val="minor"/>
          </rPr>
          <t>Unknown User:
Cash pic not uploaded.
Denomination not available</t>
        </r>
      </text>
    </comment>
    <comment ref="G488" authorId="2" shapeId="0" xr:uid="{DF1B6BCD-09BD-4631-8E02-BC423DB80A2B}">
      <text>
        <r>
          <rPr>
            <sz val="11"/>
            <color theme="1"/>
            <rFont val="Aptos Narrow"/>
            <family val="2"/>
            <scheme val="minor"/>
          </rPr>
          <t>Unknown User:
HIGH POWERED SUCTION &amp; ACID TREATMENT</t>
        </r>
      </text>
    </comment>
    <comment ref="O488" authorId="2" shapeId="0" xr:uid="{EF47ACAC-A78A-41D5-B677-4D2BFC1C7889}">
      <text>
        <r>
          <rPr>
            <sz val="11"/>
            <color theme="1"/>
            <rFont val="Aptos Narrow"/>
            <family val="2"/>
            <scheme val="minor"/>
          </rPr>
          <t>Unknown User:
SMS approval</t>
        </r>
      </text>
    </comment>
    <comment ref="G489" authorId="2" shapeId="0" xr:uid="{A0EDE2D4-DAAF-4224-A56A-5BA62CB796F5}">
      <text>
        <r>
          <rPr>
            <sz val="11"/>
            <color theme="1"/>
            <rFont val="Aptos Narrow"/>
            <family val="2"/>
            <scheme val="minor"/>
          </rPr>
          <t>Unknown User:
HIGH POWERED JET BLAST &amp; CCTV DRAIN CAMERA INSPECTION (SEWER SERVICE)</t>
        </r>
      </text>
    </comment>
    <comment ref="G490" authorId="2" shapeId="0" xr:uid="{4DF6150F-019A-4A0E-8D95-AE0743E56A25}">
      <text>
        <r>
          <rPr>
            <sz val="11"/>
            <color theme="1"/>
            <rFont val="Aptos Narrow"/>
            <family val="2"/>
            <scheme val="minor"/>
          </rPr>
          <t>Unknown User:
SUPPLY &amp; INSTALLATION OF NEW HOT &amp; COLD STAINLESS STEEL FLEXI HOSE (COMBO)</t>
        </r>
      </text>
    </comment>
    <comment ref="G491" authorId="2" shapeId="0" xr:uid="{1035B8AD-3503-4C28-9605-D4E07AC6E65F}">
      <text>
        <r>
          <rPr>
            <sz val="11"/>
            <color theme="1"/>
            <rFont val="Aptos Narrow"/>
            <family val="2"/>
            <scheme val="minor"/>
          </rPr>
          <t>Unknown User:
SEARCH AND INVESTIGATION OF GAS INSTANTANEOUS HOT WATER SYSTEM</t>
        </r>
      </text>
    </comment>
    <comment ref="G492" authorId="2" shapeId="0" xr:uid="{B9922196-EB33-47B4-B83D-4E0720A9C016}">
      <text>
        <r>
          <rPr>
            <sz val="11"/>
            <color theme="1"/>
            <rFont val="Aptos Narrow"/>
            <family val="2"/>
            <scheme val="minor"/>
          </rPr>
          <t>Unknown User:
DECOMMISSION LAUNDRY SINK
SUPPLY &amp; INSTALLATION OF NEW ARCO HOSE TAP – ¼ TURN HOSE TAPS TO REPLACE EXISTING HOSE TAP
Gain access to main gas meter
EMERGENCY ISOLATION VALVE - COMBO</t>
        </r>
      </text>
    </comment>
    <comment ref="Q492" authorId="2" shapeId="0" xr:uid="{0C07E1F7-0094-46D9-B4A0-265868BB9776}">
      <text>
        <r>
          <rPr>
            <sz val="11"/>
            <color theme="1"/>
            <rFont val="Aptos Narrow"/>
            <family val="2"/>
            <scheme val="minor"/>
          </rPr>
          <t>Unknown User:
Final invoice not raised</t>
        </r>
      </text>
    </comment>
    <comment ref="G493" authorId="2" shapeId="0" xr:uid="{750E0A65-4ADA-4EFF-982E-AF322A823515}">
      <text>
        <r>
          <rPr>
            <sz val="11"/>
            <color theme="1"/>
            <rFont val="Aptos Narrow"/>
            <family val="2"/>
            <scheme val="minor"/>
          </rPr>
          <t>Unknown User:
HIGH POWERED JET BLAST &amp; CCTV CAMERA INSPECTION (GAIN ACCESS WITH REMOVAL OF TOILET)</t>
        </r>
      </text>
    </comment>
    <comment ref="G494" authorId="2" shapeId="0" xr:uid="{E814B88B-6D34-4A21-A20D-921CD5987358}">
      <text>
        <r>
          <rPr>
            <sz val="11"/>
            <color theme="1"/>
            <rFont val="Aptos Narrow"/>
            <family val="2"/>
            <scheme val="minor"/>
          </rPr>
          <t>Unknown User:
COMPLETE SERVICE OF TOILET CISTERN</t>
        </r>
      </text>
    </comment>
    <comment ref="G495" authorId="2" shapeId="0" xr:uid="{98752E1F-0216-4DF8-9D77-ECAE3ACC47C1}">
      <text>
        <r>
          <rPr>
            <sz val="11"/>
            <color theme="1"/>
            <rFont val="Aptos Narrow"/>
            <family val="2"/>
            <scheme val="minor"/>
          </rPr>
          <t>Unknown User:
EMERGENCY ISOLATION VALVE - COMBO</t>
        </r>
      </text>
    </comment>
    <comment ref="G496" authorId="2" shapeId="0" xr:uid="{A1A711EC-F6FE-48C4-A717-9938483C890E}">
      <text>
        <r>
          <rPr>
            <sz val="11"/>
            <color theme="1"/>
            <rFont val="Aptos Narrow"/>
            <family val="2"/>
            <scheme val="minor"/>
          </rPr>
          <t xml:space="preserve">Unknown User:
HIGH POWERED SUCTION &amp; ACID TREATMENT
</t>
        </r>
      </text>
    </comment>
    <comment ref="G497" authorId="2" shapeId="0" xr:uid="{9D88A831-55CC-45D4-A28C-9C475F1A845B}">
      <text>
        <r>
          <rPr>
            <sz val="11"/>
            <color theme="1"/>
            <rFont val="Aptos Narrow"/>
            <family val="2"/>
            <scheme val="minor"/>
          </rPr>
          <t xml:space="preserve">Unknown User:
FLOOD, DYE, PRESSURE TEST (WET AREA)
</t>
        </r>
      </text>
    </comment>
    <comment ref="G498" authorId="2" shapeId="0" xr:uid="{EC88E1DF-4340-4CDC-BAF0-918A9C702419}">
      <text>
        <r>
          <rPr>
            <sz val="11"/>
            <color theme="1"/>
            <rFont val="Aptos Narrow"/>
            <family val="2"/>
            <scheme val="minor"/>
          </rPr>
          <t>Unknown User:
SEARCH AND INVESTIGATION OF ELECTRIC INSTANTANEOUS HOT WATER SYSTEM</t>
        </r>
      </text>
    </comment>
    <comment ref="G499" authorId="2" shapeId="0" xr:uid="{A2168BC9-5CD5-48DD-8957-05CAF5CF36CA}">
      <text>
        <r>
          <rPr>
            <sz val="11"/>
            <color theme="1"/>
            <rFont val="Aptos Narrow"/>
            <family val="2"/>
            <scheme val="minor"/>
          </rPr>
          <t>Unknown User:
SEARCH &amp; INVESTIGATE - IN WALL CISTERN</t>
        </r>
      </text>
    </comment>
    <comment ref="G500" authorId="2" shapeId="0" xr:uid="{E8C0D8F2-3DD1-4CA2-9034-CE4EDC0EED9D}">
      <text>
        <r>
          <rPr>
            <sz val="11"/>
            <color theme="1"/>
            <rFont val="Aptos Narrow"/>
            <family val="2"/>
            <scheme val="minor"/>
          </rPr>
          <t>Unknown User:
COMPLETE SERVICE OF IN WALL TOILET CISTERN</t>
        </r>
      </text>
    </comment>
    <comment ref="G505" authorId="2" shapeId="0" xr:uid="{BE6ECC60-1157-47AE-918A-46180912B840}">
      <text>
        <r>
          <rPr>
            <sz val="11"/>
            <color theme="1"/>
            <rFont val="Aptos Narrow"/>
            <family val="2"/>
            <scheme val="minor"/>
          </rPr>
          <t>Unknown User:
SEWER SPOT DIG - IN GROUND</t>
        </r>
      </text>
    </comment>
    <comment ref="U505" authorId="2" shapeId="0" xr:uid="{C2E5613E-CCF8-480A-87B6-63F384C90A5D}">
      <text>
        <r>
          <rPr>
            <sz val="11"/>
            <color theme="1"/>
            <rFont val="Aptos Narrow"/>
            <family val="2"/>
            <scheme val="minor"/>
          </rPr>
          <t>Unknown User:
18/8-As per Kylie's note "Graham called and he advised his solicitor is checking if the conflict lays with them maybe representing the company so she is checking all business names. I advised it is highly unlikely they have represented the company. Asked if he is pursuing the cancellation he advised he is. I asked has he sent anything in writing which has not been done to date. Sending an email to info"</t>
        </r>
      </text>
    </comment>
    <comment ref="A506" authorId="15" shapeId="0" xr:uid="{3AC522C4-2DAB-471F-9554-EDDA188874F6}">
      <text>
        <r>
          <rPr>
            <sz val="11"/>
            <color theme="1"/>
            <rFont val="Aptos Narrow"/>
            <family val="2"/>
            <scheme val="minor"/>
          </rPr>
          <t>Accounts | Australia Trades:
Tiling Invoice</t>
        </r>
      </text>
    </comment>
    <comment ref="G506" authorId="2" shapeId="0" xr:uid="{4B9E7C41-A666-4AB3-8CCA-349C221D6346}">
      <text>
        <r>
          <rPr>
            <sz val="11"/>
            <color theme="1"/>
            <rFont val="Aptos Narrow"/>
            <family val="2"/>
            <scheme val="minor"/>
          </rPr>
          <t xml:space="preserve">Unknown User:
REPLACEMENT OF IN WALL MIXER
</t>
        </r>
      </text>
    </comment>
    <comment ref="K506" authorId="2" shapeId="0" xr:uid="{127EC13C-FCB3-4CE9-8F6B-8D10158F211D}">
      <text>
        <r>
          <rPr>
            <sz val="11"/>
            <color theme="1"/>
            <rFont val="Aptos Narrow"/>
            <family val="2"/>
            <scheme val="minor"/>
          </rPr>
          <t>Unknown User:
Before photos uploaded in Job #72200</t>
        </r>
      </text>
    </comment>
    <comment ref="G513" authorId="2" shapeId="0" xr:uid="{7495B605-9C61-4F3C-BD0B-FA3487567545}">
      <text>
        <r>
          <rPr>
            <sz val="11"/>
            <color theme="1"/>
            <rFont val="Aptos Narrow"/>
            <family val="2"/>
            <scheme val="minor"/>
          </rPr>
          <t>Unknown User:
SUPPLY &amp; INSTALLATION OF NEW WATER SUPPLY TO WASHING MACHINE
Isolate main water supply to washing machine
Isolate main power supply to washing machine
Clean No.19 Thread
Install customer supplied water supply inlet to washing machine
Connect new hot-water inlet to existing washing machine isolation valve
Reinstate main water supply
Test &amp; commission installation
Removal of trade waste
PLEASE NOTE IF FURTHER WORK REQUIRED OTHER THEN QUOTED WORK FURTHER COST WILL APPLY</t>
        </r>
      </text>
    </comment>
    <comment ref="G519" authorId="2" shapeId="0" xr:uid="{585FB399-B30C-4926-B310-C0722F0876E4}">
      <text>
        <r>
          <rPr>
            <sz val="11"/>
            <color theme="1"/>
            <rFont val="Aptos Narrow"/>
            <family val="2"/>
            <scheme val="minor"/>
          </rPr>
          <t>Unknown User:
CONVERT SOLAR SPLIT HOT WATER SYSTEM TO EXTERNAL GAS INSTANTANEOUS HOT WATER SYSTEM
Isolate main power supply to property
Isolate main water supply to property
Isolate main gas supply to property
Gain safe access to existing solar hot water system
Disconnect power supply to solar hot water system
Disconnect water supply to solar hot water system
Disconnect plumbing to solar panels
Disconnect &amp; removal of existing valves connecting to solar hot water system
Disconnect &amp; removal of existing brass fittings connecting to solar hot water system
Disconnect &amp; removal of existing cold-water supply connecting to solar hot water system
Disconnect &amp; removal of existing hot water return supply connecting to solar hot water system
Disconnect &amp; removal of existing plumbing connecting to solar panels
Decommission existing roof mounted solar panels
Drain tank
Removal of tank
Mark out new desired location for new gas instantaneous hot water system
Gain access to cold water supply
Gain access to hot water return supply
Gain access to existing gas supply
Redirect cold water supply in copper for new gas instantaneous hot water system
Redirect hot water supply in copper for new gas instantaneous hot water system
Redirect gas supply in copper for new gas instantaneous hot water system
Supply &amp; install new gas instantaneous hot water system in new desired location
Secure new gas instantaneous hot water system in new desired location
Supply &amp; install new gas emergency isolation valve
Supply &amp; install new cold water emergency isolation valve
Supply &amp; install new gas instantaneous hot water system valve kit
Supply &amp; install new brass fittings
Supply &amp; install new B-press fittings
Connect new cold-water service to new gas instantaneous hot water system
Connect new hot water service to new gas instantaneous hot water system
Connect new gas service to new gas instantaneous hot water system
Connect power supply to new gas instantaneous hot water system
Reinstate main water supply to property
Reinstate main power supply to property
Reinstate gas supply to property
Test &amp; commission installation
Removal of trade waste
**Please note solar panels will be left on roof to save cost**
IF FURTHER WORK REQUIRED OUTSIDE OF QUOTED WORKS ADDITIONAL COSTS WILL APPLY</t>
        </r>
      </text>
    </comment>
    <comment ref="G520" authorId="2" shapeId="0" xr:uid="{97063377-52C7-4092-8E57-2825ED5C22A3}">
      <text>
        <r>
          <rPr>
            <sz val="11"/>
            <color theme="1"/>
            <rFont val="Aptos Narrow"/>
            <family val="2"/>
            <scheme val="minor"/>
          </rPr>
          <t>Unknown User:
SUPPLY &amp; INSTALLATION OF GAS STORAGE HOT WATER SYSTEM (EXTERNAL)
CREDIT OF SEARCH &amp; INVESTIGATION</t>
        </r>
      </text>
    </comment>
    <comment ref="G521" authorId="2" shapeId="0" xr:uid="{B9552A4A-1D61-4565-B687-4A7FBC4A8F20}">
      <text>
        <r>
          <rPr>
            <sz val="11"/>
            <color theme="1"/>
            <rFont val="Aptos Narrow"/>
            <family val="2"/>
            <scheme val="minor"/>
          </rPr>
          <t>Unknown User:
SEWER SPOT DIG UP TO 2.5M - IN GROUND</t>
        </r>
      </text>
    </comment>
    <comment ref="M521" authorId="2" shapeId="0" xr:uid="{0362B234-D92C-43FB-8DD7-03B8439E8529}">
      <text>
        <r>
          <rPr>
            <sz val="11"/>
            <color theme="1"/>
            <rFont val="Aptos Narrow"/>
            <family val="2"/>
            <scheme val="minor"/>
          </rPr>
          <t>Unknown User:
Smartpay receipt for $3000 dt.7/8 is not uploaded by plumber.
Uploaded by Modoras team.</t>
        </r>
      </text>
    </comment>
    <comment ref="G522" authorId="2" shapeId="0" xr:uid="{5F0BD9D2-32DF-4FD9-9D51-DAC90CDFF9BA}">
      <text>
        <r>
          <rPr>
            <sz val="11"/>
            <color theme="1"/>
            <rFont val="Aptos Narrow"/>
            <family val="2"/>
            <scheme val="minor"/>
          </rPr>
          <t xml:space="preserve">Unknown User:
INSTALLATION OF NEW LINK SUITE (CUSTOMER SUPPLIED)
MIXER TAP - STANDARD
REPLACEMENT OF WALL SINK SPOUT
COMPLETE SERVICE OF WALL TOP TAPS ASSEMBLY
</t>
        </r>
      </text>
    </comment>
    <comment ref="V522" authorId="2" shapeId="0" xr:uid="{DC4AD83C-CE71-41D5-A89A-7CB05012CF1D}">
      <text>
        <r>
          <rPr>
            <sz val="11"/>
            <color theme="1"/>
            <rFont val="Aptos Narrow"/>
            <family val="2"/>
            <scheme val="minor"/>
          </rPr>
          <t>Unknown User:
12/08 Received $2580.31 Card</t>
        </r>
      </text>
    </comment>
    <comment ref="G526" authorId="2" shapeId="0" xr:uid="{E50129E5-CFC2-4962-8ABF-029B1D3FA9AD}">
      <text>
        <r>
          <rPr>
            <sz val="11"/>
            <color theme="1"/>
            <rFont val="Aptos Narrow"/>
            <family val="2"/>
            <scheme val="minor"/>
          </rPr>
          <t xml:space="preserve">Unknown User:
Call out fee applied to dispatch technician during standard business hours. </t>
        </r>
      </text>
    </comment>
    <comment ref="G527" authorId="2" shapeId="0" xr:uid="{2D427724-EE97-4027-842B-030C807C1B97}">
      <text>
        <r>
          <rPr>
            <sz val="11"/>
            <color theme="1"/>
            <rFont val="Aptos Narrow"/>
            <family val="2"/>
            <scheme val="minor"/>
          </rPr>
          <t>Unknown User:
SUPPLY &amp; INSTALLATION OF NEW SINGLE ELEMENT HOT WATER UNIT – EXTERNAL</t>
        </r>
      </text>
    </comment>
    <comment ref="G528" authorId="2" shapeId="0" xr:uid="{B95FDB35-C5C0-49C8-BCD7-947FA85566BC}">
      <text>
        <r>
          <rPr>
            <sz val="11"/>
            <color theme="1"/>
            <rFont val="Aptos Narrow"/>
            <family val="2"/>
            <scheme val="minor"/>
          </rPr>
          <t xml:space="preserve">Unknown User:
HIGH POWERED SUCTION &amp; ACID TREATMENT
</t>
        </r>
      </text>
    </comment>
    <comment ref="G529" authorId="2" shapeId="0" xr:uid="{32617B0E-3D28-4111-AD58-DB0384B3E0EE}">
      <text>
        <r>
          <rPr>
            <sz val="11"/>
            <color theme="1"/>
            <rFont val="Aptos Narrow"/>
            <family val="2"/>
            <scheme val="minor"/>
          </rPr>
          <t>Unknown User:
SEWER SPOT DIG UP TO 2.5M - IN GROUND
10% Seniors &amp; Pensioners Discount</t>
        </r>
      </text>
    </comment>
    <comment ref="G530" authorId="2" shapeId="0" xr:uid="{723698E7-5BB6-4194-A406-905B54B04CDE}">
      <text>
        <r>
          <rPr>
            <sz val="11"/>
            <color theme="1"/>
            <rFont val="Aptos Narrow"/>
            <family val="2"/>
            <scheme val="minor"/>
          </rPr>
          <t xml:space="preserve">Unknown User:
SUPPLY &amp; INSTALLATION OF NEW INSTANTANEOUS GAS HOT WATER SYSTEM (EXTERNAL)
</t>
        </r>
      </text>
    </comment>
    <comment ref="D531" authorId="2" shapeId="0" xr:uid="{B0484AB3-2BAD-4D29-BB86-9348BBED5ECD}">
      <text>
        <r>
          <rPr>
            <sz val="11"/>
            <color theme="1"/>
            <rFont val="Aptos Narrow"/>
            <family val="2"/>
            <scheme val="minor"/>
          </rPr>
          <t>Unknown User:
CB warranty for Job #V-54367 (Availabe in FY2024-25 sheet) is now
entered under "Unsuccessful" as 5 star review is obtained by Heath &amp; Elliot-For commission purpose</t>
        </r>
      </text>
    </comment>
    <comment ref="T531" authorId="2" shapeId="0" xr:uid="{147E6E3C-5CDF-4AAE-AFFA-8BD66B35FB69}">
      <text>
        <r>
          <rPr>
            <sz val="11"/>
            <color theme="1"/>
            <rFont val="Aptos Narrow"/>
            <family val="2"/>
            <scheme val="minor"/>
          </rPr>
          <t>Unknown User:
0.5x Elliot &amp; 0.5x Heath</t>
        </r>
      </text>
    </comment>
    <comment ref="G532" authorId="2" shapeId="0" xr:uid="{81840F92-89DC-46A3-86EE-16302E86A18D}">
      <text>
        <r>
          <rPr>
            <sz val="11"/>
            <color theme="1"/>
            <rFont val="Aptos Narrow"/>
            <family val="2"/>
            <scheme val="minor"/>
          </rPr>
          <t xml:space="preserve">Unknown User:
SUPPLY AND INSTALLATION OF WHITE PVC P TRAP TO WALL BASIN
</t>
        </r>
      </text>
    </comment>
    <comment ref="G533" authorId="2" shapeId="0" xr:uid="{C1C0DAF0-D0EE-4DA9-9219-6CCE872C19F1}">
      <text>
        <r>
          <rPr>
            <sz val="11"/>
            <color theme="1"/>
            <rFont val="Aptos Narrow"/>
            <family val="2"/>
            <scheme val="minor"/>
          </rPr>
          <t>Unknown User:
WATER SERVICE RECTIFICATION (EXPOSED)</t>
        </r>
      </text>
    </comment>
    <comment ref="G534" authorId="2" shapeId="0" xr:uid="{355C912C-2485-4819-BA41-93E4746772B8}">
      <text>
        <r>
          <rPr>
            <sz val="11"/>
            <color theme="1"/>
            <rFont val="Aptos Narrow"/>
            <family val="2"/>
            <scheme val="minor"/>
          </rPr>
          <t>Unknown User:
SUPPLY &amp; INSTALLATION OF NEW COPPER GAS SERVICE UP TO 26M (REPLACEMENT OF EXISTING GALVANISED GAS SERVICE)</t>
        </r>
      </text>
    </comment>
    <comment ref="G535" authorId="2" shapeId="0" xr:uid="{11ABF2FD-0300-4B6D-A553-C391A3206BC6}">
      <text>
        <r>
          <rPr>
            <sz val="11"/>
            <color theme="1"/>
            <rFont val="Aptos Narrow"/>
            <family val="2"/>
            <scheme val="minor"/>
          </rPr>
          <t>Unknown User:
HIGH POWERED JET BLAST &amp; CCTV CAMERA INSPECTION (GAIN ACCESS WITH REMOVAL OF TOILET)</t>
        </r>
      </text>
    </comment>
    <comment ref="G536" authorId="2" shapeId="0" xr:uid="{BC1730DE-6A9D-4E72-91D8-D84AF0B9C658}">
      <text>
        <r>
          <rPr>
            <sz val="11"/>
            <color theme="1"/>
            <rFont val="Aptos Narrow"/>
            <family val="2"/>
            <scheme val="minor"/>
          </rPr>
          <t xml:space="preserve">Unknown User:
ROOF LEAK RECTIFICATION
</t>
        </r>
      </text>
    </comment>
    <comment ref="E557" authorId="0" shapeId="0" xr:uid="{152F6091-3DF3-4048-B3C1-8D4831716898}">
      <text>
        <r>
          <rPr>
            <sz val="11"/>
            <color theme="1"/>
            <rFont val="Aptos Narrow"/>
            <family val="2"/>
            <scheme val="minor"/>
          </rPr>
          <t>Accounts | Point Plumbing:
Job 700612 still Open W/O @ 25th Aug 2025</t>
        </r>
      </text>
    </comment>
    <comment ref="E558" authorId="0" shapeId="0" xr:uid="{75FE6561-6E17-4CD1-B0F1-2EC4FC4FC366}">
      <text>
        <r>
          <rPr>
            <sz val="11"/>
            <color theme="1"/>
            <rFont val="Aptos Narrow"/>
            <family val="2"/>
            <scheme val="minor"/>
          </rPr>
          <t xml:space="preserve">Accounts | Point Plumbing:
Open Work Orders
#700912 - Possible Cancellation [?] @ 25th Aug 2025
#701029 - Still Open W/O @ 25th Aug 2025
#701041 - Still Open W/O @ 25th Aug 2025
No Leniency to be applied as per UM
</t>
        </r>
      </text>
    </comment>
    <comment ref="E559" authorId="0" shapeId="0" xr:uid="{06F65599-4EBC-4FEF-A0A3-5D302DA015BE}">
      <text>
        <r>
          <rPr>
            <sz val="11"/>
            <color theme="1"/>
            <rFont val="Aptos Narrow"/>
            <family val="2"/>
            <scheme val="minor"/>
          </rPr>
          <t>Accounts | Point Plumbing:
Completed
#71510 @ 25th Aug  2025/Awaiting Payment</t>
        </r>
      </text>
    </comment>
    <comment ref="E560" authorId="0" shapeId="0" xr:uid="{29FF8FA4-5B00-4FD9-B2EA-ED1338191D93}">
      <text>
        <r>
          <rPr>
            <sz val="11"/>
            <color theme="1"/>
            <rFont val="Aptos Narrow"/>
            <family val="2"/>
            <scheme val="minor"/>
          </rPr>
          <t xml:space="preserve">Accounts | Point Plumbing:
Pending W/Os @ 25th Aug
#72103
#72109 - Completed &amp; Awaiting Pmt @ 25th Aug
</t>
        </r>
      </text>
    </comment>
    <comment ref="G570" authorId="2" shapeId="0" xr:uid="{21487A38-F066-4E5F-A600-74C0A1CB9A15}">
      <text>
        <r>
          <rPr>
            <sz val="11"/>
            <color theme="1"/>
            <rFont val="Aptos Narrow"/>
            <family val="2"/>
            <scheme val="minor"/>
          </rPr>
          <t>Unknown User:
INSTALLATION OF NEW WALL FACED TOILET SUITE (CUSTOMER SUPPLIED)
INSTALLATION OF BASIN MIXER WITH NEW MIXER (CUSTOMER SUPPLIED)
COMPLIMENTARY</t>
        </r>
      </text>
    </comment>
    <comment ref="W570" authorId="2" shapeId="0" xr:uid="{CB015280-C213-40D3-AF1D-27379063F15A}">
      <text>
        <r>
          <rPr>
            <sz val="11"/>
            <color theme="1"/>
            <rFont val="Aptos Narrow"/>
            <family val="2"/>
            <scheme val="minor"/>
          </rPr>
          <t>Unknown User:
Cash denomination
$50*3=$150
$50*25 = $1250
Total = $1400
Cash excess by $9.60</t>
        </r>
      </text>
    </comment>
    <comment ref="G571" authorId="2" shapeId="0" xr:uid="{FF509E45-9428-466F-A4C3-D781CACC63C2}">
      <text>
        <r>
          <rPr>
            <sz val="11"/>
            <color theme="1"/>
            <rFont val="Aptos Narrow"/>
            <family val="2"/>
            <scheme val="minor"/>
          </rPr>
          <t>Unknown User:
INSTALLATION OF CUSTOMER SUPPLIED GAS STORAGE HOT WATER SYSTEM (EXTERNAL)
10% Seniors &amp; Pensioners Discount</t>
        </r>
      </text>
    </comment>
    <comment ref="G572" authorId="2" shapeId="0" xr:uid="{B19EBDF7-C68B-4C2C-92F3-BB62B755952D}">
      <text>
        <r>
          <rPr>
            <sz val="11"/>
            <color theme="1"/>
            <rFont val="Aptos Narrow"/>
            <family val="2"/>
            <scheme val="minor"/>
          </rPr>
          <t>Unknown User:
COMPLETE SERVICE OF TOILET CISTERN</t>
        </r>
      </text>
    </comment>
    <comment ref="G577" authorId="2" shapeId="0" xr:uid="{4364A30E-7BA7-4917-8A85-7EE287E97380}">
      <text>
        <r>
          <rPr>
            <sz val="11"/>
            <color theme="1"/>
            <rFont val="Aptos Narrow"/>
            <family val="2"/>
            <scheme val="minor"/>
          </rPr>
          <t>Unknown User:
SUPPLY &amp; INSTALLATION OF NEW WATER SUPPLY TO WASHING MACHINE
Isolate main water supply to washing machine
Isolate main power supply to washing machine
Clean No.19 Thread
Install customer supplied water supply inlet to washing machine
Connect new hot-water inlet to existing washing machine isolation valve
Reinstate main water supply
Test &amp; commission installation
Removal of trade waste
PLEASE NOTE IF FURTHER WORK REQUIRED OTHER THEN QUOTED WORK FURTHER COST WILL APPLY</t>
        </r>
      </text>
    </comment>
    <comment ref="G578" authorId="2" shapeId="0" xr:uid="{82ED4715-3DDA-47E0-8778-BD17D390E198}">
      <text>
        <r>
          <rPr>
            <sz val="11"/>
            <color theme="1"/>
            <rFont val="Aptos Narrow"/>
            <family val="2"/>
            <scheme val="minor"/>
          </rPr>
          <t>Unknown User:
SEWER SPOT DIG UP TO 2.5M - IN GROUND</t>
        </r>
      </text>
    </comment>
    <comment ref="M578" authorId="2" shapeId="0" xr:uid="{A9F28023-D4DB-4B80-B65C-A3833710B98A}">
      <text>
        <r>
          <rPr>
            <sz val="11"/>
            <color theme="1"/>
            <rFont val="Aptos Narrow"/>
            <family val="2"/>
            <scheme val="minor"/>
          </rPr>
          <t>Unknown User:
Smartpay receipt for $3000 dt.7/8 is not uploaded by plumber.
Uploaded by Modoras team.</t>
        </r>
      </text>
    </comment>
    <comment ref="V578" authorId="2" shapeId="0" xr:uid="{7AC737CB-BCC6-4070-B5F1-EF53B74A07D9}">
      <text>
        <r>
          <rPr>
            <sz val="11"/>
            <color theme="1"/>
            <rFont val="Aptos Narrow"/>
            <family val="2"/>
            <scheme val="minor"/>
          </rPr>
          <t>Unknown User:
20/08 Received $3250 Card
22/08 Received $3250 Card</t>
        </r>
      </text>
    </comment>
    <comment ref="A579" authorId="15" shapeId="0" xr:uid="{6F8BE3AD-6A24-4ADD-B9E2-E539828C391A}">
      <text>
        <r>
          <rPr>
            <sz val="11"/>
            <color theme="1"/>
            <rFont val="Aptos Narrow"/>
            <family val="2"/>
            <scheme val="minor"/>
          </rPr>
          <t>Accounts | Australia Trades:
Tiling Invoice</t>
        </r>
      </text>
    </comment>
    <comment ref="G579" authorId="2" shapeId="0" xr:uid="{FD43905F-CBB9-4336-995F-CA748F29C3F4}">
      <text>
        <r>
          <rPr>
            <sz val="11"/>
            <color theme="1"/>
            <rFont val="Aptos Narrow"/>
            <family val="2"/>
            <scheme val="minor"/>
          </rPr>
          <t xml:space="preserve">Unknown User:
REPLACEMENT OF IN WALL MIXER
</t>
        </r>
      </text>
    </comment>
    <comment ref="K579" authorId="2" shapeId="0" xr:uid="{5A11BA49-8D2E-416C-BBA4-993768A2742D}">
      <text>
        <r>
          <rPr>
            <sz val="11"/>
            <color theme="1"/>
            <rFont val="Aptos Narrow"/>
            <family val="2"/>
            <scheme val="minor"/>
          </rPr>
          <t>Unknown User:
Before photos uploaded in Job #72200</t>
        </r>
      </text>
    </comment>
    <comment ref="G591" authorId="2" shapeId="0" xr:uid="{B9B55B2B-787A-430C-9DAE-5AB206801B82}">
      <text>
        <r>
          <rPr>
            <sz val="11"/>
            <color theme="1"/>
            <rFont val="Aptos Narrow"/>
            <family val="2"/>
            <scheme val="minor"/>
          </rPr>
          <t>Unknown User:
CONVERT SOLAR SPLIT HOT WATER SYSTEM TO EXTERNAL GAS INSTANTANEOUS HOT WATER SYSTEM
Isolate main power supply to property
Isolate main water supply to property
Isolate main gas supply to property
Gain safe access to existing solar hot water system
Disconnect power supply to solar hot water system
Disconnect water supply to solar hot water system
Disconnect plumbing to solar panels
Disconnect &amp; removal of existing valves connecting to solar hot water system
Disconnect &amp; removal of existing brass fittings connecting to solar hot water system
Disconnect &amp; removal of existing cold-water supply connecting to solar hot water system
Disconnect &amp; removal of existing hot water return supply connecting to solar hot water system
Disconnect &amp; removal of existing plumbing connecting to solar panels
Decommission existing roof mounted solar panels
Drain tank
Removal of tank
Mark out new desired location for new gas instantaneous hot water system
Gain access to cold water supply
Gain access to hot water return supply
Gain access to existing gas supply
Redirect cold water supply in copper for new gas instantaneous hot water system
Redirect hot water supply in copper for new gas instantaneous hot water system
Redirect gas supply in copper for new gas instantaneous hot water system
Supply &amp; install new gas instantaneous hot water system in new desired location
Secure new gas instantaneous hot water system in new desired location
Supply &amp; install new gas emergency isolation valve
Supply &amp; install new cold water emergency isolation valve
Supply &amp; install new gas instantaneous hot water system valve kit
Supply &amp; install new brass fittings
Supply &amp; install new B-press fittings
Connect new cold-water service to new gas instantaneous hot water system
Connect new hot water service to new gas instantaneous hot water system
Connect new gas service to new gas instantaneous hot water system
Connect power supply to new gas instantaneous hot water system
Reinstate main water supply to property
Reinstate main power supply to property
Reinstate gas supply to property
Test &amp; commission installation
Removal of trade waste
**Please note solar panels will be left on roof to save cost**
IF FURTHER WORK REQUIRED OUTSIDE OF QUOTED WORKS ADDITIONAL COSTS WILL APPLY</t>
        </r>
      </text>
    </comment>
    <comment ref="G592" authorId="2" shapeId="0" xr:uid="{CEA37D29-0F1E-4957-818B-07248249C73E}">
      <text>
        <r>
          <rPr>
            <sz val="11"/>
            <color theme="1"/>
            <rFont val="Aptos Narrow"/>
            <family val="2"/>
            <scheme val="minor"/>
          </rPr>
          <t>Unknown User:
SUPPLY &amp; INSTALLATION OF GAS STORAGE HOT WATER SYSTEM (EXTERNAL)
CREDIT OF SEARCH &amp; INVESTIGATION</t>
        </r>
      </text>
    </comment>
    <comment ref="G593" authorId="2" shapeId="0" xr:uid="{BEBA541B-AA9E-4095-93B3-BA7F30F5969F}">
      <text>
        <r>
          <rPr>
            <sz val="11"/>
            <color theme="1"/>
            <rFont val="Aptos Narrow"/>
            <family val="2"/>
            <scheme val="minor"/>
          </rPr>
          <t xml:space="preserve">Unknown User:
INSTALLATION OF NEW LINK SUITE (CUSTOMER SUPPLIED)
MIXER TAP - STANDARD
REPLACEMENT OF WALL SINK SPOUT
COMPLETE SERVICE OF WALL TOP TAPS ASSEMBLY
</t>
        </r>
      </text>
    </comment>
    <comment ref="V593" authorId="2" shapeId="0" xr:uid="{4B546E48-50FB-4975-94D3-67C534746DDE}">
      <text>
        <r>
          <rPr>
            <sz val="11"/>
            <color theme="1"/>
            <rFont val="Aptos Narrow"/>
            <family val="2"/>
            <scheme val="minor"/>
          </rPr>
          <t>Unknown User:
12/08 Received $2580.31 Card</t>
        </r>
      </text>
    </comment>
    <comment ref="G594" authorId="2" shapeId="0" xr:uid="{712D812D-7600-4207-A655-CBD4079068B8}">
      <text>
        <r>
          <rPr>
            <sz val="11"/>
            <color theme="1"/>
            <rFont val="Aptos Narrow"/>
            <family val="2"/>
            <scheme val="minor"/>
          </rPr>
          <t>Unknown User:
SEWER SPOT DIG - IN GROUND</t>
        </r>
      </text>
    </comment>
    <comment ref="U594" authorId="2" shapeId="0" xr:uid="{15D81F04-4EFC-4275-BB91-F9323F669D5A}">
      <text>
        <r>
          <rPr>
            <sz val="11"/>
            <color theme="1"/>
            <rFont val="Aptos Narrow"/>
            <family val="2"/>
            <scheme val="minor"/>
          </rPr>
          <t>Unknown User:
18/8-As per Kylie's note "Graham called and he advised his solicitor is checking if the conflict lays with them maybe representing the company so she is checking all business names. I advised it is highly unlikely they have represented the company. Asked if he is pursuing the cancellation he advised he is. I asked has he sent anything in writing which has not been done to date. Sending an email to info"</t>
        </r>
      </text>
    </comment>
    <comment ref="G598" authorId="2" shapeId="0" xr:uid="{2D452639-9A4A-4EB2-8F35-08436FEAE933}">
      <text>
        <r>
          <rPr>
            <sz val="11"/>
            <color theme="1"/>
            <rFont val="Aptos Narrow"/>
            <family val="2"/>
            <scheme val="minor"/>
          </rPr>
          <t xml:space="preserve">Unknown User:
REPLACEMENT OF PAIR EMERGENCY STOP VALVES
</t>
        </r>
      </text>
    </comment>
    <comment ref="G599" authorId="2" shapeId="0" xr:uid="{C74D1CCD-C0EF-458C-B957-2D01134A2002}">
      <text>
        <r>
          <rPr>
            <sz val="11"/>
            <color theme="1"/>
            <rFont val="Aptos Narrow"/>
            <family val="2"/>
            <scheme val="minor"/>
          </rPr>
          <t xml:space="preserve">Unknown User:
WATER SERVICE RECTIFICATION (EXPOSED)
</t>
        </r>
      </text>
    </comment>
    <comment ref="G600" authorId="2" shapeId="0" xr:uid="{5C414CEA-091F-462A-BDE1-5126B6B901E0}">
      <text>
        <r>
          <rPr>
            <sz val="11"/>
            <color theme="1"/>
            <rFont val="Aptos Narrow"/>
            <family val="2"/>
            <scheme val="minor"/>
          </rPr>
          <t xml:space="preserve">Unknown User:
CONVERT SOLAR SPLIT HOT WATER SYSTEM TO EXTERNAL GAS INSTANTANEOUS HOT WATER SYSTEM
</t>
        </r>
      </text>
    </comment>
    <comment ref="G601" authorId="2" shapeId="0" xr:uid="{D99E42F5-E69B-4F48-AD73-888E31B050A8}">
      <text>
        <r>
          <rPr>
            <sz val="11"/>
            <color theme="1"/>
            <rFont val="Aptos Narrow"/>
            <family val="2"/>
            <scheme val="minor"/>
          </rPr>
          <t>Unknown User:
SUPPLY &amp; INSTALLATION OF NEW HEAT PUMP (CONVERSION FROM SOLAR SPLIT SYSTEM)</t>
        </r>
      </text>
    </comment>
    <comment ref="G603" authorId="2" shapeId="0" xr:uid="{DA5E0A75-DE83-438D-BDDE-A1D59F1786D6}">
      <text>
        <r>
          <rPr>
            <sz val="11"/>
            <color theme="1"/>
            <rFont val="Aptos Narrow"/>
            <family val="2"/>
            <scheme val="minor"/>
          </rPr>
          <t xml:space="preserve">Unknown User:
HIGH POWERED JET BLAST &amp; CCTV DRAIN CAMERA INSPECTION (SEWER SERVICE)
</t>
        </r>
      </text>
    </comment>
    <comment ref="G604" authorId="2" shapeId="0" xr:uid="{9248C78B-24A0-468D-ADB8-F5CB4B1C1F59}">
      <text>
        <r>
          <rPr>
            <sz val="11"/>
            <color theme="1"/>
            <rFont val="Aptos Narrow"/>
            <family val="2"/>
            <scheme val="minor"/>
          </rPr>
          <t>Unknown User:
SUPPLY &amp; INSTALLATION OF NEW SINGLE ELEMENT HOT WATER UNIT – INTERNAL</t>
        </r>
      </text>
    </comment>
    <comment ref="G606" authorId="2" shapeId="0" xr:uid="{3216482C-96D6-463A-AEA7-46AB0E97E83E}">
      <text>
        <r>
          <rPr>
            <sz val="11"/>
            <color theme="1"/>
            <rFont val="Aptos Narrow"/>
            <family val="2"/>
            <scheme val="minor"/>
          </rPr>
          <t>Unknown User:
FLOOD, DYE, PRESSURE TEST (WET AREA)</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G34" authorId="0" shapeId="0" xr:uid="{2FB7B50D-E076-4A4D-80EC-F858BE31ECB7}">
      <text>
        <r>
          <rPr>
            <sz val="11"/>
            <color theme="1"/>
            <rFont val="Aptos Narrow"/>
            <family val="2"/>
            <scheme val="minor"/>
          </rPr>
          <t>Unknown User:
REPLACEMENT OF KITCHEN MIXER
10% Seniors &amp; Pensioners Discount</t>
        </r>
      </text>
    </comment>
    <comment ref="P34" authorId="0" shapeId="0" xr:uid="{5EA51C8F-F644-4F26-88EC-141A2C3C7E9C}">
      <text>
        <r>
          <rPr>
            <sz val="11"/>
            <color theme="1"/>
            <rFont val="Aptos Narrow"/>
            <family val="2"/>
            <scheme val="minor"/>
          </rPr>
          <t>Unknown User:
Quote not emailed</t>
        </r>
      </text>
    </comment>
    <comment ref="Q34" authorId="0" shapeId="0" xr:uid="{2A6EE4A7-DF6D-4121-AE11-6233167F6B7E}">
      <text>
        <r>
          <rPr>
            <sz val="11"/>
            <color theme="1"/>
            <rFont val="Aptos Narrow"/>
            <family val="2"/>
            <scheme val="minor"/>
          </rPr>
          <t>Unknown User:
Final invoice combined &amp; raised for 2 estimates</t>
        </r>
      </text>
    </comment>
    <comment ref="S34" authorId="0" shapeId="0" xr:uid="{E381A2FB-DACC-487C-8E5E-B933D4F76FCE}">
      <text>
        <r>
          <rPr>
            <sz val="11"/>
            <color theme="1"/>
            <rFont val="Aptos Narrow"/>
            <family val="2"/>
            <scheme val="minor"/>
          </rPr>
          <t>Unknown User:
Final invoice not emailed</t>
        </r>
      </text>
    </comment>
    <comment ref="V34" authorId="0" shapeId="0" xr:uid="{C2FDA3A1-FD65-4A0A-B8AC-080EA24C2F3C}">
      <text>
        <r>
          <rPr>
            <sz val="11"/>
            <color theme="1"/>
            <rFont val="Aptos Narrow"/>
            <family val="2"/>
            <scheme val="minor"/>
          </rPr>
          <t>Unknown User:
Received $3905.88 for 2 estimates
$2647.19 for Job #71892/86393906 
 $1268.19 for upsell job #71892/86394528</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Guest User</author>
    <author>tc={3E14BABA-DA33-4CC5-8DF0-4ABC3F635E81}</author>
    <author>tc={425ACBDE-232F-444D-96FC-933DCD01EB2C}</author>
    <author>tc={C8DA95FF-4022-41F5-81FD-BDA6F9248E40}</author>
    <author>tc={020C1716-00EA-4F5B-9384-AD4171F46AB9}</author>
    <author>tc={7CE38F8D-6991-4805-A296-22584CCFDFDE}</author>
    <author>tc={AEDE94A1-71BD-4CB1-8D73-C86483C68BDB}</author>
    <author>tc={3EDF37FF-3F38-4912-A624-9E4B8F3B5D1E}</author>
    <author>Accounts | Point Plumbing</author>
  </authors>
  <commentList>
    <comment ref="U34" authorId="0" shapeId="0" xr:uid="{EF5CEF73-4C08-47B9-B0B1-1BE6636C7C69}">
      <text>
        <r>
          <rPr>
            <sz val="11"/>
            <color theme="1"/>
            <rFont val="Aptos Narrow"/>
            <family val="2"/>
            <scheme val="minor"/>
          </rPr>
          <t>Unknown User:
14/07-As per Luke's note from customer "Customer called back - We had Matthew come to our home at 6 Blanche Street, St Kilda on 23/06 to service our gas fire place. It was working when he left but since then have had numerous instances of the gas fire going out. We’re disappointed because the service cost almost $800 but seems there is still an issue. Could I please request someone comes out to our property to try and find the issue?"</t>
        </r>
      </text>
    </comment>
    <comment ref="G146" authorId="0" shapeId="0" xr:uid="{613533D7-6957-4DFD-80CA-10E03C26C660}">
      <text>
        <r>
          <rPr>
            <sz val="11"/>
            <color theme="1"/>
            <rFont val="Aptos Narrow"/>
            <family val="2"/>
            <scheme val="minor"/>
          </rPr>
          <t>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flood and dye testing
Conduct specialist leak detection on property
Identify &amp; locate potential leak
Provide additional quote for rectification work
PLEASE NOTE IF FURTHER WORK REQUIRED OTHER THEN QUOTED
WORK FURTHER COST WILL APPLY</t>
        </r>
      </text>
    </comment>
    <comment ref="Q146" authorId="0" shapeId="0" xr:uid="{32EC701A-52CC-4ECE-BC8C-08B48097ABCF}">
      <text>
        <r>
          <rPr>
            <sz val="11"/>
            <color theme="1"/>
            <rFont val="Aptos Narrow"/>
            <family val="2"/>
            <scheme val="minor"/>
          </rPr>
          <t xml:space="preserve">Unknown User:
Final invoice raised
</t>
        </r>
      </text>
    </comment>
    <comment ref="D147" authorId="0" shapeId="0" xr:uid="{E9B5C08C-DCD9-4E74-9FAD-9259429D8D28}">
      <text>
        <r>
          <rPr>
            <sz val="11"/>
            <color theme="1"/>
            <rFont val="Aptos Narrow"/>
            <family val="2"/>
            <scheme val="minor"/>
          </rPr>
          <t>Unknown User:
GST @10% is not added to inoice</t>
        </r>
      </text>
    </comment>
    <comment ref="G147" authorId="0" shapeId="0" xr:uid="{6BF47C3E-69D3-4DCA-8538-9B96A3F40716}">
      <text>
        <r>
          <rPr>
            <sz val="11"/>
            <color theme="1"/>
            <rFont val="Aptos Narrow"/>
            <family val="2"/>
            <scheme val="minor"/>
          </rPr>
          <t>Unknown User:
SEARCH &amp; INVESTIGATION OF GAS APPLIANCE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appliance cover plates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t>
        </r>
      </text>
    </comment>
    <comment ref="O147" authorId="0" shapeId="0" xr:uid="{4F237F80-7612-4CD6-BAC2-73A7EBD93A77}">
      <text>
        <r>
          <rPr>
            <sz val="11"/>
            <color theme="1"/>
            <rFont val="Aptos Narrow"/>
            <family val="2"/>
            <scheme val="minor"/>
          </rPr>
          <t>Unknown User:
Quote Accepted via text</t>
        </r>
      </text>
    </comment>
    <comment ref="S147" authorId="0" shapeId="0" xr:uid="{707C90D6-A8F0-4EA5-8C69-FA0B98119B98}">
      <text>
        <r>
          <rPr>
            <sz val="11"/>
            <color theme="1"/>
            <rFont val="Aptos Narrow"/>
            <family val="2"/>
            <scheme val="minor"/>
          </rPr>
          <t>Unknown User:
Invoice not Emailed</t>
        </r>
      </text>
    </comment>
    <comment ref="G148" authorId="0" shapeId="0" xr:uid="{70D932EA-050F-4943-A408-2AA936518D7F}">
      <text>
        <r>
          <rPr>
            <sz val="11"/>
            <color theme="1"/>
            <rFont val="Aptos Narrow"/>
            <family val="2"/>
            <scheme val="minor"/>
          </rPr>
          <t>Unknown User:
CONVERT EXTERNAL GAS STORAGE HOT WATER SYSTEM TO EXTERNAL GAS INSTANTANEOUS
HOT WATER SYSTEM
Isolate main water supply to property
Isolate main gas supply to property
Disconnect and removal of gas meter
Disconnect and removal of section of gas line
Disconnect plumbing to existing gas storage hot water system
Disconnect gas supply to existing gas storage hot water system
Drain existing gas storage hot water system
Core hole penetrate through timber fencing to suit new gas line installation
Removal of existing valves connecting to gas storage hot water system
Removal of existing gas storage hot water system
Supply &amp; install new gas instantaneous hot water system
Secure new gas instantaneous hot water system to wall
Reconfigure existing cold-water supply to suit new gas instantaneous hot water system
Supply and install new section of gas line up to 2.5M
Reconfigure hot water return supply to suit new gas instantaneous hot water system
Supply &amp; install new cold water emergency isolation valve for new instantaneous hot water system
Supply &amp; install new gas emergency isolation valve for new instantaneous hot water system
Supply &amp; install new B-press fittings
Supply &amp; install new brass fittings
Connect new cold water service to new gas instantaneous hot water system
Connect new hot water return supply to new gas instantaneous hot water system
Connect new gas supply to new instantaneous hot water system
Secure new cold water service
Secure new hot water service
Secure new gas service
Reinstate water supply to property
Reinstate gas supply to property
Test &amp; commission installation
Removal of trade waste</t>
        </r>
      </text>
    </comment>
    <comment ref="O148" authorId="0" shapeId="0" xr:uid="{2BAC8789-709E-4A05-8809-927B01479A29}">
      <text>
        <r>
          <rPr>
            <sz val="11"/>
            <color theme="1"/>
            <rFont val="Aptos Narrow"/>
            <family val="2"/>
            <scheme val="minor"/>
          </rPr>
          <t>Unknown User:
Quote Accepted via text</t>
        </r>
      </text>
    </comment>
    <comment ref="Q148" authorId="0" shapeId="0" xr:uid="{5E94BD39-6C9C-4AB2-9686-CCC32B2542DF}">
      <text>
        <r>
          <rPr>
            <sz val="11"/>
            <color theme="1"/>
            <rFont val="Aptos Narrow"/>
            <family val="2"/>
            <scheme val="minor"/>
          </rPr>
          <t>Unknown User:
No invoice raised by plumber</t>
        </r>
      </text>
    </comment>
    <comment ref="G149" authorId="0" shapeId="0" xr:uid="{5E69410E-1F07-450D-8890-BAB07CFF4DE9}">
      <text>
        <r>
          <rPr>
            <sz val="11"/>
            <color theme="1"/>
            <rFont val="Aptos Narrow"/>
            <family val="2"/>
            <scheme val="minor"/>
          </rPr>
          <t xml:space="preserve">Unknown User:
WATER SERVICE RECTIFICATION (EXPOSED)
Isolate water supply to property
Gain access to damaged water service
Cut &amp; removal of existing damaged water service
Clean existing water service
Prepare existing water service for new connections
Flush out water service free of potential debris
Supply &amp; install new section of new water service up to 1M
Supply &amp; install new Press fittings
Connect new section of water service to existing water service
Use of specialist hydraulic crimping tool
Crimp new section of water service
Reinstate water supply
Conduct pressure test on water service to ensure no further
leaks
Removal of trade waste
Test &amp; commission installation
PLEASE NOTE IF FURTHER WORK REQUIRED OTHER THEN QUOTED
WORK FURTHER COST WILL APPLY
</t>
        </r>
      </text>
    </comment>
    <comment ref="Q149" authorId="0" shapeId="0" xr:uid="{A74AB937-960A-44E7-8ED3-DC54E6211E45}">
      <text>
        <r>
          <rPr>
            <sz val="11"/>
            <color theme="1"/>
            <rFont val="Aptos Narrow"/>
            <family val="2"/>
            <scheme val="minor"/>
          </rPr>
          <t>Unknown User:
Final invoice not Raised</t>
        </r>
      </text>
    </comment>
    <comment ref="G150" authorId="0" shapeId="0" xr:uid="{74CD4D30-7922-4D29-B0AB-A4E8C04089D0}">
      <text>
        <r>
          <rPr>
            <sz val="11"/>
            <color theme="1"/>
            <rFont val="Aptos Narrow"/>
            <family val="2"/>
            <scheme val="minor"/>
          </rPr>
          <t>Unknown User:
 REPLACEMENT OF EMERGENCY STOP VALVE 
Non-refundable call out fee
Isolate main water supply to property
 Disconnect water supply to existing emergency isolation valve
 Disconnect &amp; removal of existing emergency isolation valve
 Clean No.19 thread
 Supply &amp; install new emergency isolation valve
 Reconnect existing water supply to new emergency isolation valve
 Reinstate main water supply to property
 Test &amp; commission installation
 Removal of trade waste
 PLEASE NOTE IF FURTHER WORK REQUIRED OTHER THAN QUOTED WORK
 FURTHER COST WILL APPLY</t>
        </r>
      </text>
    </comment>
    <comment ref="G151" authorId="0" shapeId="0" xr:uid="{7C1423BA-691D-4155-8591-841B2A57C20E}">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Q151" authorId="0" shapeId="0" xr:uid="{D3D12BB9-092E-48F6-9486-CA161C30117D}">
      <text>
        <r>
          <rPr>
            <sz val="11"/>
            <color theme="1"/>
            <rFont val="Aptos Narrow"/>
            <family val="2"/>
            <scheme val="minor"/>
          </rPr>
          <t>Unknown User:
Final invoice not raised</t>
        </r>
      </text>
    </comment>
    <comment ref="G152" authorId="0" shapeId="0" xr:uid="{9F52480C-FC5F-4C22-B1D9-F3C76DC29222}">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Q152" authorId="0" shapeId="0" xr:uid="{B6484629-4D7E-454D-90D3-A27E53518820}">
      <text>
        <r>
          <rPr>
            <sz val="11"/>
            <color theme="1"/>
            <rFont val="Aptos Narrow"/>
            <family val="2"/>
            <scheme val="minor"/>
          </rPr>
          <t>Unknown User:
Final invoice not raised</t>
        </r>
      </text>
    </comment>
    <comment ref="G153" authorId="0" shapeId="0" xr:uid="{15DC861F-1E77-45A5-8B5C-3B5FC3BBA533}">
      <text>
        <r>
          <rPr>
            <sz val="11"/>
            <color theme="1"/>
            <rFont val="Aptos Narrow"/>
            <family val="2"/>
            <scheme val="minor"/>
          </rPr>
          <t>Unknown User:
 SUPPLY &amp; INSTALLATION OF NEW WALL FACED TOILET SUITE 
Isolate main water supply to property
 Disconnect cold water supply to existing toilet cistern
 Removal of existing cold-water supply to toilet cistern
 Disconnect &amp; removal of existing emergency isolation valve
 Disconnect &amp; removal of existing toilet cistern
 Disconnect &amp; removal of existing toilet seat
 Disconnect &amp; removal of existing toilet pan
 Disconnect &amp; removal of existing toilet pan collar
 Disconnect &amp; removal of existing bedding / sealant
 Clean &amp; prepare worked area
 Supply &amp; install new customer supplied toilet pan collar
 Supply &amp; install new customer supplied toilet pan
 Supply &amp; install new toilet cistern
 Supply &amp; install supplied toilet seat
 Secure new toilet seat to new toilet pan
 Supply &amp; install new cold-water stainless-steel flexi hose
 Supply &amp; install new cold water emergency isolation valve
 Connect new cold-water stainless-steel flexi hose to new toilet cistern
 Connect new cold-water supply to emergency isolation valve
 Seal &amp; secure new toilet suite pan to floor
 Reinstate water supply to property
 Test &amp; commission installation
 Removal of trade waste
 PLEASE NOTE IF FURTHER WORK REQUIRED OUTSIDE OF QUOTED WORKS ADDITIONAL COSTS WILL APPLY</t>
        </r>
      </text>
    </comment>
    <comment ref="V153" authorId="0" shapeId="0" xr:uid="{80A8022F-2CB8-43E5-B977-9F579650A7D4}">
      <text>
        <r>
          <rPr>
            <sz val="11"/>
            <color theme="1"/>
            <rFont val="Aptos Narrow"/>
            <family val="2"/>
            <scheme val="minor"/>
          </rPr>
          <t>Unknown User:
02/07 - $1786.3 EFT Received</t>
        </r>
      </text>
    </comment>
    <comment ref="W153" authorId="0" shapeId="0" xr:uid="{44BB6452-BF26-4EF3-A3F0-E96B658C1B22}">
      <text>
        <r>
          <rPr>
            <sz val="11"/>
            <color theme="1"/>
            <rFont val="Aptos Narrow"/>
            <family val="2"/>
            <scheme val="minor"/>
          </rPr>
          <t>Unknown User:
Cash denomination
$50*5=$500</t>
        </r>
      </text>
    </comment>
    <comment ref="G154" authorId="0" shapeId="0" xr:uid="{2F990211-75D6-4482-B564-46D3B7272699}">
      <text>
        <r>
          <rPr>
            <sz val="11"/>
            <color theme="1"/>
            <rFont val="Aptos Narrow"/>
            <family val="2"/>
            <scheme val="minor"/>
          </rPr>
          <t>Unknown User:
SUPPLY &amp; INSTALLATION OF NEW CLOSE COUPLED TOILET SUITE
Isolate main water supply to property
Disconnect cold water supply to existing toilet cistern
Removal of existing cold-water supply to toilet cistern
Disconnect &amp; removal of existing emergency isolation valve
Disconnect &amp; removal of existing toilet cistern
Disconnect &amp; removal of existing toilet seat
Disconnect &amp; removal of existing toilet pan
Disconnect &amp; removal of existing toilet pan collar
Disconnect &amp; removal of existing bedding / sealant
Clean &amp; prepare worked area
Supply &amp; install new toilet pan collar
Supply &amp; install new toilet pan
Supply &amp; install new toilet cistern
Supply &amp; install new toilet seat
Secure new toilet seat to new toilet pan
Supply &amp; install new cold-water stainless-steel flexi hose
Connect new cold-water stainless-steel flexi hose to new toilet cistern
Seal &amp; secure new toilet suite pan to floor
Reinstate water supply to property
Test &amp; commission installation
Removal of trade waste
PLEASE NOTE IF FURTHER WORK REQUIRED OUTSIDE OF QUOTED WORKS ADDITIONAL COSTS WILL APPLY</t>
        </r>
      </text>
    </comment>
    <comment ref="Q154" authorId="0" shapeId="0" xr:uid="{F03B6AE7-B423-4942-8259-0E8541B7A985}">
      <text>
        <r>
          <rPr>
            <sz val="11"/>
            <color theme="1"/>
            <rFont val="Aptos Narrow"/>
            <family val="2"/>
            <scheme val="minor"/>
          </rPr>
          <t>Unknown User:
Final invoice not raised</t>
        </r>
      </text>
    </comment>
    <comment ref="G155" authorId="0" shapeId="0" xr:uid="{078E80BC-FB6F-4889-B687-C5698DBC8353}">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Q155" authorId="0" shapeId="0" xr:uid="{366ADFE0-EE14-4BDA-B7DB-AB49C8221A3B}">
      <text>
        <r>
          <rPr>
            <sz val="11"/>
            <color theme="1"/>
            <rFont val="Aptos Narrow"/>
            <family val="2"/>
            <scheme val="minor"/>
          </rPr>
          <t>Unknown User:
Final invoice raised by plumber</t>
        </r>
      </text>
    </comment>
    <comment ref="G156" authorId="0" shapeId="0" xr:uid="{32E26EDB-C457-4045-9E81-E5DD725C54D0}">
      <text>
        <r>
          <rPr>
            <sz val="11"/>
            <color theme="1"/>
            <rFont val="Aptos Narrow"/>
            <family val="2"/>
            <scheme val="minor"/>
          </rPr>
          <t>Unknown User:
FLOOD, DYE, PRESSURE TEST (WET AREA)
Isolate main water supply to property
Removal of existing wall mounted spout
Gain access to cold water supply
Gain access to hot water supply
Set up specialist pressure testing equipment
Conduct pressure test on cold water service
Conduct pressure test on hot water service
Connect specialist pressure gauge to wet area outlet
Conduct pressure test on internal breach / body
Conduct flood test on walls
Conduct flood test on floors
Conduct specialist dye test on wet area
Test water proofing integrity
Removal of floor grate
Visually inspect drainage for potential faults or defects
Conduct dye test on drainage
Test drainage for potential faults or leaks
Conduct search &amp; investigation on wet area
Locate &amp; identify potential faults
Provide additional quote for rectification work
*Please note if a specialist leak detection is required further cost will apply*</t>
        </r>
      </text>
    </comment>
    <comment ref="V156" authorId="0" shapeId="0" xr:uid="{0D1DEC4C-1D99-4645-AAC9-FBC5B32E0C38}">
      <text>
        <r>
          <rPr>
            <sz val="11"/>
            <color theme="1"/>
            <rFont val="Aptos Narrow"/>
            <family val="2"/>
            <scheme val="minor"/>
          </rPr>
          <t>Unknown User:
2/7- $1251.8 EFT Received</t>
        </r>
      </text>
    </comment>
    <comment ref="G157" authorId="0" shapeId="0" xr:uid="{A20E0A8D-D78D-4AC8-AEED-74E30ADFE804}">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Q157" authorId="0" shapeId="0" xr:uid="{B5D7DDFF-AA0E-4DD1-9126-264C4E1F0F26}">
      <text>
        <r>
          <rPr>
            <sz val="11"/>
            <color theme="1"/>
            <rFont val="Aptos Narrow"/>
            <family val="2"/>
            <scheme val="minor"/>
          </rPr>
          <t>Unknown User:
Invoice Combined and Raised for 2 Estimates</t>
        </r>
      </text>
    </comment>
    <comment ref="G158" authorId="0" shapeId="0" xr:uid="{732BB5FE-37F0-4017-9465-FF666E8BE86D}">
      <text>
        <r>
          <rPr>
            <sz val="11"/>
            <color theme="1"/>
            <rFont val="Aptos Narrow"/>
            <family val="2"/>
            <scheme val="minor"/>
          </rPr>
          <t>Unknown User:
COMMERCIAL HIGH POWERED JETBLAST &amp; CCTV DRAIN CAMERA INSPECTION
Set up high commercial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Q158" authorId="0" shapeId="0" xr:uid="{B170ADF1-A608-43F7-A8B1-FC08E6CCA2CA}">
      <text>
        <r>
          <rPr>
            <sz val="11"/>
            <color theme="1"/>
            <rFont val="Aptos Narrow"/>
            <family val="2"/>
            <scheme val="minor"/>
          </rPr>
          <t>Unknown User:
Invoice Combined and Raised for 2 Estimates</t>
        </r>
      </text>
    </comment>
    <comment ref="G159" authorId="0" shapeId="0" xr:uid="{A77863FA-3E57-4F51-9C8B-2A90AA815EA4}">
      <text>
        <r>
          <rPr>
            <sz val="11"/>
            <color theme="1"/>
            <rFont val="Aptos Narrow"/>
            <family val="2"/>
            <scheme val="minor"/>
          </rPr>
          <t xml:space="preserve">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
</t>
        </r>
      </text>
    </comment>
    <comment ref="G160" authorId="0" shapeId="0" xr:uid="{DDC670D1-8E9B-4192-BA7B-2182275166E6}">
      <text>
        <r>
          <rPr>
            <sz val="11"/>
            <color theme="1"/>
            <rFont val="Aptos Narrow"/>
            <family val="2"/>
            <scheme val="minor"/>
          </rPr>
          <t xml:space="preserve">Unknown User:
INSTALLATION OF CUSTOMER SUPPLIED FRIDGE TO WATER SERVICE (REPLACE
EXISTING)
Isolate main water supply to property
Isolate power supply to fridge
Disconnect power supply to fridge
Removal of existing fittings
Disconnect and removal of the fridge
Supply &amp; install new brass fittings
Clean &amp; prepare worked area for installation of new fridge
Prepare new customer supplied fridge for installation
Install new customer supplied fridge to existing location
Connect cold water supply to fridge
Connect power supply
Reinstate water supply to property
Test &amp; commission installation
Removal of trade waste - Excludes old appliance
PLEASE NOTE IF FURTHER WORK REQUIRED OTHER THEN QUOTED WORK
FURTHER COST WILL APPLY
</t>
        </r>
      </text>
    </comment>
    <comment ref="W160" authorId="0" shapeId="0" xr:uid="{F37E3089-8FE8-42A7-8223-4B30562C5387}">
      <text>
        <r>
          <rPr>
            <sz val="11"/>
            <color theme="1"/>
            <rFont val="Aptos Narrow"/>
            <family val="2"/>
            <scheme val="minor"/>
          </rPr>
          <t xml:space="preserve">Unknown User:
Cash denomination 
$50*15 = $750
</t>
        </r>
      </text>
    </comment>
    <comment ref="G161" authorId="0" shapeId="0" xr:uid="{1FEA9B1D-DE36-49BD-A395-A2DCC56E73C8}">
      <text>
        <r>
          <rPr>
            <sz val="11"/>
            <color theme="1"/>
            <rFont val="Aptos Narrow"/>
            <family val="2"/>
            <scheme val="minor"/>
          </rPr>
          <t>Unknown User:
SEARCH &amp; INVESTIGATION OF GAS STORAGE HOT WATER SYSTEM
Gain access to gas hot water system
Gain access to main gas isolation valve to property
Test gas supply with specialist manometer device
Visually inspect gas supply and fittings to hot water system
Use soapy spray on fittings and pipework
Check gas supply pressure to hot water system and control unit
Check integrity of gas isolation valve at hot water system
Check power supply to hot water system using testing pen
Check electrical box (IF REQUIRED)
Check circuit switch (IF REQUIRED)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will apply.</t>
        </r>
      </text>
    </comment>
    <comment ref="G162" authorId="0" shapeId="0" xr:uid="{A3398FF0-2C60-4BF3-9590-B8D6AA2795F1}">
      <text>
        <r>
          <rPr>
            <sz val="11"/>
            <color theme="1"/>
            <rFont val="Aptos Narrow"/>
            <family val="2"/>
            <scheme val="minor"/>
          </rPr>
          <t xml:space="preserve">Unknown User:
SUPPLY &amp; INSTALLATION OF NEW PLASTIC TOILET CISTERN
Isolate main water supply to property
Disconnect &amp; removal of cold-water supply to existing toilet
cistern
Disconnect &amp; removal of existing emergency isolation valve
Drain water supply from toilet cistern
Disconnect &amp; removal of existing toilet cistern
Disconnect &amp; removal of existing flush cone
Disconnect &amp; removal of existing key seal
Disconnect &amp; removal of existing seat
Clean &amp; prepare worked area
Supply &amp; install new toilet seat
Supply &amp; install new toilet pan key seal
Supply &amp; install new toilet cistern flush pipe
Supply &amp; install new plastic toilet cistern
Secure new toilet cistern to wall
Supply &amp; install new cistern link connector plate
Supply &amp; install new emergency isolation valve
Supply &amp; install new cold-water stainless-steel flexi hose
Connect cold water supply to new toilet cistern
Reinstate water supply
Test &amp; commission installation
Removal of trade waste
PLEASE NOTE IF FURTHER WORK REQUIRED OUTSIDE OF QUOTED
WORKS ADDITIONAL COSTS WILL APPLY
</t>
        </r>
      </text>
    </comment>
    <comment ref="Q162" authorId="0" shapeId="0" xr:uid="{3E4F135C-3342-41B0-959C-13150ED14BA0}">
      <text>
        <r>
          <rPr>
            <sz val="11"/>
            <color theme="1"/>
            <rFont val="Aptos Narrow"/>
            <family val="2"/>
            <scheme val="minor"/>
          </rPr>
          <t>Unknown User:
Final invoice not raised</t>
        </r>
      </text>
    </comment>
    <comment ref="G163" authorId="0" shapeId="0" xr:uid="{20DF07D3-E6D5-41E5-A8AC-150CCC2E9489}">
      <text>
        <r>
          <rPr>
            <sz val="11"/>
            <color theme="1"/>
            <rFont val="Aptos Narrow"/>
            <family val="2"/>
            <scheme val="minor"/>
          </rPr>
          <t xml:space="preserve">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
</t>
        </r>
      </text>
    </comment>
    <comment ref="Q163" authorId="0" shapeId="0" xr:uid="{14E8EACB-B900-4273-9DC8-AF2489AB5D94}">
      <text>
        <r>
          <rPr>
            <sz val="11"/>
            <color theme="1"/>
            <rFont val="Aptos Narrow"/>
            <family val="2"/>
            <scheme val="minor"/>
          </rPr>
          <t>Unknown User:
Final invoice not raised</t>
        </r>
      </text>
    </comment>
    <comment ref="G164" authorId="0" shapeId="0" xr:uid="{7D1B4DCB-A9C3-45EA-9E1F-B656F7ABA278}">
      <text>
        <r>
          <rPr>
            <sz val="11"/>
            <color theme="1"/>
            <rFont val="Aptos Narrow"/>
            <family val="2"/>
            <scheme val="minor"/>
          </rPr>
          <t>Unknown User:
SEARCH AND INVESTIGATION OF ELECTRIC STORAGE HOT WATER
SYSTEM
Gain access to hot water unit
Gain access to electrical supply
Check power supply at mains
Disconnect and remove hot water system electrical cover
Check power supply at hot water unit
Check power supply to thermostat
Check power supply to element
Check water supply to isolation valve
Check hot water system for tempering valve
Check water supply pressure to property
Check hot water system flow rate
Check electrical cable connections on hot water unit
Visually inspect electrical cable for ruptures where able
Check relive valve operation and integrity
Check discharge from outlet of hot water system for any signs
of rust and corrosion in hot water supply
Determine cause and include any repair to a loose pipe or loose
wire connection
PLEASE NOTE IF FURTHER WORK IS REQUIRED ADDITIONAL COSTS
WILL APPLY
Please note:
We aim to detect all faults, however due to the differing nature
of faults, we may only be able to find the primary fault.
Secondary and other faults may only become apparent when</t>
        </r>
      </text>
    </comment>
    <comment ref="Q164" authorId="0" shapeId="0" xr:uid="{2B43DA94-E202-42BB-B55D-11E5C9CF2CF6}">
      <text>
        <r>
          <rPr>
            <sz val="11"/>
            <color theme="1"/>
            <rFont val="Aptos Narrow"/>
            <family val="2"/>
            <scheme val="minor"/>
          </rPr>
          <t>Unknown User:
Invoice not Raised</t>
        </r>
      </text>
    </comment>
    <comment ref="G165" authorId="0" shapeId="0" xr:uid="{0C195003-4A07-412F-8F51-FD8E0C372BBA}">
      <text>
        <r>
          <rPr>
            <sz val="11"/>
            <color theme="1"/>
            <rFont val="Aptos Narrow"/>
            <family val="2"/>
            <scheme val="minor"/>
          </rPr>
          <t xml:space="preserve">Unknown User:
SUPPLY &amp; INSTALLATION OF TEMPERING VALVE
Isolate main cold water supply to property
Isolate main hot water supply to property
Isolate main power supply to existing hot water system
Gain access to existing tempering valve
Drain system
Disconnect &amp; removal of existing outlet service unions
Disconnect &amp; removal of existing hot water service unions
Disconnect &amp; removal of existing cold water service unions
Disconnect &amp; removal of existing tempering valve body
Disconnect &amp; removal of existing hot water non return valve
Disconnect &amp; removal of existing cold water non return valve
Disconnect &amp; removal of existing service adapters from hot
water service
Disconnect &amp; removal of existing service adapters from cold
water service
Clean &amp; prepare existing water services for new connections
Supply &amp; install new service adapters
Supply &amp; install new press fittings
Supply &amp; install new brass fittings supply
Supply &amp; install new hot water non return valve
Supply &amp; install new cold water non return valve
Supply &amp; install new tempering valve body
Supply &amp; install new gaskets
Supply &amp; install new sealants
Reinstate hot water supply to property
Reinstate cold water supply to property
Reinstate power supply to existing hot water system
Bleed hot water service
Bleed cold water service
Commission tempering valve to ensure compliance with
AS/3500
Conduct temperature check to ensure compliance with AS/3500
Clean worked area
Removal of trade waste
PLEASE NOTE IF FURTHER WORK REQUIRED OTHER THEN QUOTED
WORK FURTHER COST WILL APPLY
</t>
        </r>
      </text>
    </comment>
    <comment ref="Q165" authorId="0" shapeId="0" xr:uid="{89F3C707-C6DB-4819-BB9C-9C664E9A774F}">
      <text>
        <r>
          <rPr>
            <sz val="11"/>
            <color theme="1"/>
            <rFont val="Aptos Narrow"/>
            <family val="2"/>
            <scheme val="minor"/>
          </rPr>
          <t>Unknown User:
Invoice not Raised</t>
        </r>
      </text>
    </comment>
    <comment ref="G175" authorId="0" shapeId="0" xr:uid="{4C25181D-44CF-4A52-8BBE-7385B7F56CBB}">
      <text>
        <r>
          <rPr>
            <sz val="11"/>
            <color theme="1"/>
            <rFont val="Aptos Narrow"/>
            <family val="2"/>
            <scheme val="minor"/>
          </rPr>
          <t>Unknown User:
 SEARCH &amp; INVESTIGATION OF GAS APPLIANCES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appliance cover plates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Check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t>
        </r>
      </text>
    </comment>
    <comment ref="O175" authorId="0" shapeId="0" xr:uid="{F8B59CB6-C098-45AE-BB8F-824375377075}">
      <text>
        <r>
          <rPr>
            <sz val="11"/>
            <color theme="1"/>
            <rFont val="Aptos Narrow"/>
            <family val="2"/>
            <scheme val="minor"/>
          </rPr>
          <t>Unknown User:
SMS approval</t>
        </r>
      </text>
    </comment>
    <comment ref="Q175" authorId="0" shapeId="0" xr:uid="{303BFCDF-5AF3-44F6-8FAD-BCAE40232214}">
      <text>
        <r>
          <rPr>
            <sz val="11"/>
            <color theme="1"/>
            <rFont val="Aptos Narrow"/>
            <family val="2"/>
            <scheme val="minor"/>
          </rPr>
          <t xml:space="preserve">Unknown User:
Invoice not raised
</t>
        </r>
      </text>
    </comment>
    <comment ref="G176" authorId="0" shapeId="0" xr:uid="{237EC57F-36A9-4F12-B218-587CAFB31C97}">
      <text>
        <r>
          <rPr>
            <sz val="11"/>
            <color theme="1"/>
            <rFont val="Aptos Narrow"/>
            <family val="2"/>
            <scheme val="minor"/>
          </rPr>
          <t>Unknown User:
MIXER TAP - GOOSE NECK
Isolate main cold-water supply to property
Isolate main hot water supply to property
Disconnect &amp; removal of cold-water supply to existing mixer
Disconnect &amp; removal of hot water supply to existing mixer
Disconnect &amp; removal of existing locking nut
Disconnect &amp; removal of existing mixer
Clean &amp; prepare worked area Supply &amp; install new mixer
Supply &amp; install new cold-water stainless-steel flexi hose
Supply &amp; install new hot water stainless steel flexi hose
Supply &amp; install new locking nut Secure new mixer
Reconnect cold water supply to new mixer
Reconnect hot water supply to new mixer
Reinstate cold water supply to new mixer
Reinstate hot water supply to new mixer
Reinstate cold water supply to property
Reinstate hot water supply to property
Test &amp; commission installation
Removal of trade waste
PLEASE NOTE IF FURTHER WORK REQUIRED OTHER THEN QUOTED WORK
FURTHER COST WILL APPLY</t>
        </r>
      </text>
    </comment>
    <comment ref="G180" authorId="0" shapeId="0" xr:uid="{937C3C92-E2DE-4CC8-8D02-83C7EE49A312}">
      <text>
        <r>
          <rPr>
            <sz val="11"/>
            <color theme="1"/>
            <rFont val="Aptos Narrow"/>
            <family val="2"/>
            <scheme val="minor"/>
          </rPr>
          <t>Unknown User:
SEWER SPOT DIG UP TO 2.5M - IN GROUND
Obtain sewer diagram
Obtain dial Before dig
Obtain service location diagram
Supply and install portable toilet to site
Set up safe work area
Set up builders plastic
Set up barricades for safety
Removal of concrete in required location
Dig &amp; Excavate Ground Area Up to 2.5M
Expose existing section of sewer service up to 2.5M
Expose existing sewer junctions (If Required)
Cut &amp; remove existing section of sewer service up to 2.5M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2.5M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Standard finish only
Wash down worked area
Test &amp; commission installation
Remove trade waste
PLEASE NOTE IF FURTHER WORK REQUIRED OTHER THEN QUOTED WORK FURTHER COST WILL APPLY</t>
        </r>
      </text>
    </comment>
    <comment ref="G201" authorId="0" shapeId="0" xr:uid="{DF66703B-A756-459A-AF93-AFCE8EA6FBFC}">
      <text>
        <r>
          <rPr>
            <sz val="11"/>
            <color theme="1"/>
            <rFont val="Aptos Narrow"/>
            <family val="2"/>
            <scheme val="minor"/>
          </rPr>
          <t>Unknown User:
SUPPLY &amp; INSTALLATION OF GAS LOG HEATER  CANCELLED
* Gain access to main gas meter
* Isolate main gas supply to property
* Disconnect main meter test point
* Set up specialist manometer gas testing equipment
* Connect specialist manometer testing equipment to main gas service
* Conduct a pressure test on the existing gas service &amp; test for leaks prior to commencing work
* Gain access to existing gas services connected to gas log heater
* Disconnect existing gas service connected to gas log heater
* Disconnect existing brass fittings connected to gas space heater
* Disconnect existing emergency isolation valve
* Disconnect existing gas bayonet connect to gas space heater
* Disconnect &amp; remove existing floor fixings
* Disconnect &amp; remove the existing gas space heater
* Clean &amp; prepare the work area for the installation of the new gas log heater
* Supply &amp; install new floor fixings
* Supply &amp; install new brass fittings
* Supply &amp; install new press fittings
*  *Supply and install new gas emergency isolation valve *Prepare new gas log heater for installation
* Supply &amp; install new gas log heater
* Supply &amp; install new gas stainelss steel braided hose to new gas space heater
* Reinstate main gas supply to the property
* Conduct a manometer test on the main gas service upon completion of the installation to ensure there are no leaks
* Test &amp; commission existing appliances
* Test &amp; commission installation
* Removal of all trade waste
PLEASE NOTE IF FURTHER WORK REQUIRED OTHER THEN QUOTED</t>
        </r>
      </text>
    </comment>
    <comment ref="U201" authorId="0" shapeId="0" xr:uid="{762CE876-6987-471D-A7B9-E3F3897DC42E}">
      <text>
        <r>
          <rPr>
            <sz val="11"/>
            <color theme="1"/>
            <rFont val="Aptos Narrow"/>
            <family val="2"/>
            <scheme val="minor"/>
          </rPr>
          <t xml:space="preserve">Unknown User:
Cancellation of Job
As discussed, the work scheduled to be completed on Invoice #71117 has been cancelled as per your request.   
As the company has amended the contract without charging any administration fees, we request that you and associated parties do not engage in conduct which would, or which reasonably could be interpreted as, disparaging or tainting the reputation of all parties or their associates. As a resolution has been sought for customer satisfaction, we will consider your enquiry resolved internally and externally and both parties agree this is the full and final settlement. The parties agree to treat the terms and conditions and all discussions and negotiations leading to the settlement, confidentially. However, should you have any further questions you are more than welcome to contact us. </t>
        </r>
      </text>
    </comment>
    <comment ref="G204" authorId="0" shapeId="0" xr:uid="{7FA74558-2BCE-46C5-9070-39325E9BE11B}">
      <text>
        <r>
          <rPr>
            <sz val="11"/>
            <color theme="1"/>
            <rFont val="Aptos Narrow"/>
            <family val="2"/>
            <scheme val="minor"/>
          </rPr>
          <t>Unknown User:
SUPPLY &amp; INSTALLATION OF NEW MIXER CARTRIDGE
Isolate main water supply to property
Disconnect &amp; remove mixer grub screw
Disconnect &amp; remove existing handle
Disconnect &amp; remove mixer cover plate
Disconnect &amp; remove mixer locking nut
Disconnect &amp; remove existing mixer cartridge
Disconnect &amp; remove existing mixer cartridge gasket
Visual inspect mixer body for damaged
Clean mixer body
Supply new mixer cartridge gasket
Supply new mixer cartridge to suit existing mixer
Install new mixer cartridge gasket to existing mixer body
Install new mixer cartridge to existing mixer body
Secure new mixer cartridge to mixer body
Reinstall mixer cartridge locking nut
Reinstall mixer cover plate
Reinstall mixer handle
Reinstall mixer grub screw
Reinstate water supply
Test &amp; commission installation
Removal of trade waste
PLEASE NOTE IF FURTHER WORK REQUIRED OUTSIDE OF QUOTED WORKS ADDITIONAL COSTS WILL APPLY.</t>
        </r>
      </text>
    </comment>
    <comment ref="L204" authorId="0" shapeId="0" xr:uid="{D7812191-B467-4F64-89FF-F84EE390F1F7}">
      <text>
        <r>
          <rPr>
            <sz val="11"/>
            <color theme="1"/>
            <rFont val="Aptos Narrow"/>
            <family val="2"/>
            <scheme val="minor"/>
          </rPr>
          <t>Unknown User:
After pics not available</t>
        </r>
      </text>
    </comment>
    <comment ref="G205" authorId="0" shapeId="0" xr:uid="{4ED62BDC-1565-4930-9151-C01444CC9C76}">
      <text>
        <r>
          <rPr>
            <sz val="11"/>
            <color theme="1"/>
            <rFont val="Aptos Narrow"/>
            <family val="2"/>
            <scheme val="minor"/>
          </rPr>
          <t>Unknown User:
REPLACEMENT OF IN WALL MIXER
Isolate main water supply to property
Set up safe work area
Disconnect and remove existing mixer handle
Disconnect and remove existing mixer cover plate
Diamond cut tiles – In required location
Remove required section of wall tiles
Gain access to wall cavity
Expose existing cold-water service
Expose existing hot-water service
Expose existing mixer outlet
Expose existing in-wall mixer assembly
Cut and remove section of cold-water service
Cut and remove section of hot-water service
Cut and remove section of mixer outlet
Cut and remove existing in-wall mixer
Clean and prepare work area for new installation
Supply and install new in-wall mixer
Supply and install new section of cold-water service
Supply and install new section of hot-water service
Supply and install new section of copper service for mixer outlet
Supply and install new hydraulic press fittings
Supply and install new brass fittings
Secure new in wall mixer assembly
Secure cold-water service connection to new mixer
Secure hot-water service connection to new mixer
Secure mixer outlet connection to new mixer
Crimp new sections of water service using specialist hydraulic crimping tool
Reinstate main water supply to property
Conduct pressure test on all connections to ensure no leaks
Prepare work area for restoration
Re-sheet section of wall
Re-seal section of wall – In worked area
Re-tile section of wall - (please note shower tiles may not be an exact match; closest available match will be used
Re-grout re-tiled section of wall.
Supply and install new mixer cover plate
Supply and install new mixer handle
Test and commission installation to ensure correct operation
Restoration of worked area
Removal of all trade waste from site
PLEASE NOTE IF FURTHER WORK REQUIRED OTHER THEN QUOTED WORK FURTHER COST WILL APPLY</t>
        </r>
      </text>
    </comment>
    <comment ref="G208" authorId="0" shapeId="0" xr:uid="{56C8E596-69F7-4698-BA94-86113F211A9E}">
      <text>
        <r>
          <rPr>
            <sz val="11"/>
            <color theme="1"/>
            <rFont val="Aptos Narrow"/>
            <family val="2"/>
            <scheme val="minor"/>
          </rPr>
          <t>Unknown User:
SUPPLY &amp; INSTALLATION OF NEW COPPER GAS SERVICE UP TO 20M (REPLACEMENT OF EXISTING GALVANISED GAS SERVICE)
Obtain service location diagram
Obtain dial before dig
Set up safe work area
Isolate main gas supply to property
Disconnect existing main meter unions
Disconnect &amp; remove existing main gas meter regulator
Disconnect &amp; remove existing brass fittings
Disconnect &amp; remove existing section of gas service connecting to main meter
Disconnect &amp; removal of existing gas support brackets &amp; clips
Disconnect &amp; removal of existing gas service in ground up to 10M
Disconnect &amp; removal of existing gas service up to 10M – Exposed
Disconnect &amp; removal of existing gas service connecting to gas hot water system
Disconnect &amp; removal of existing gas service connecting to gas cooktop &amp; oven
Disconnect &amp; removal of existing gas service connecting to gas fireplace
Disconnect &amp; removal of existing gas emergency isolation valve
Disconnect &amp; removal of existing brass fittings
Clean &amp; prepare work area
Prepare property for installation of new gas service in copper up to 20M
Supply &amp; install new gas service connecting to gas hot water system 
Supply &amp; install new gas service connecting to gas cooktop &amp; oven
Supply &amp; install new gas service connecting to gas fireplace
Supply &amp; install new main gas service in copper up to 20M – Exposed
Supply &amp; install new brass fittings
Supply &amp; install new B-press fittings
Supply &amp; install new emergency isolation valves
Supply &amp; install new brackets, clips &amp; supports
Secure new gas service
Supply &amp; install main gas meter union kit
Supply &amp; install new main gas meter regulator
Supply &amp; install new main gas meter gasket kit
Reinstall existing main gas meter
Connect new gas service to main gas meter
Restoration of work area
Removal of trade waste
Test &amp; commission installation
Provide new certificate of compliance
PLEASE NOTE IF FURTHER WORK REQUIRED OTHER THEN QUOTED WORK FURTHER COST WILL APPLY</t>
        </r>
      </text>
    </comment>
    <comment ref="G209" authorId="0" shapeId="0" xr:uid="{F357230C-6EB1-4E96-909F-E7C4D6CAA281}">
      <text>
        <r>
          <rPr>
            <sz val="11"/>
            <color theme="1"/>
            <rFont val="Aptos Narrow"/>
            <family val="2"/>
            <scheme val="minor"/>
          </rPr>
          <t>Unknown User:
REPLACEMENT OF SEWER BOUNDARY TRAP UP TO 3M
Obtain Dial Before Dig
Obtain Service Location Diagram
Set Up Safe Work Area
Set Up Builders Plastic
Set Up Barricades for Safety
Dig &amp; Excavate Ground Area Up to 3M
Expose Existing Section of Sewer Service Up to 3M
Expose Existing Sewer Shaft
Expose Existing Boundary Trap
Expose Existing 88 Square Junction
Expose Existing Sewer Junctions
Cut &amp; Remove Existing Section of Sewer Service Up to 3M
Cut &amp; Remove Existing Section of Sewer Shaft
Cut &amp; Remove Existing Sewer Boundary Trap
Cut &amp; Remove Existing 88 Square Junction
Cut &amp; Remove Existing Sewer Junctions
Gain Access to Sewer Service
Set Up High-Powered Jet Blaster
Set Up High-Powered Mini Reel
Set Up High-Powered Turbines
Re-Jetblast Sewer Service
Re-Camera &amp; Investigate Further
Supply &amp; Install New Section of Sewer Service Up to 3M
Supply &amp; Install New Sewer Shaft
Supply &amp; Install New Sewer Boundary Trap
Supply &amp; install New 88 Square Junction
Supply &amp; Install New Sewer Junctions
Supply &amp; Install New I/O Inspection Point
Supply &amp; Install New BTS and Raise to Ground Level
Supply &amp; Install New PVC Fittings
Connect New Sewer Boundary Shaft to Main Sewer Discharge Point
Connect New Section of main Sewer Service to Existing Sewer Service
Concrete Encase New Connections to Existing Sewer Service
Encase New Section of Sewer Service with Blue Metal
Backfill Excavated Area
Restoration of Work Area - (Excluded Re-Turfing)
Test and Commission Installation
Remove Trade Waste
PLEASE NOTE IF FURTHER WORK REQUIRED OTHER THEN QUOTED WORK FURTHER COST WILL APPLY</t>
        </r>
      </text>
    </comment>
    <comment ref="G210" authorId="0" shapeId="0" xr:uid="{7D20D0C6-1B0A-4868-8C7D-597493C390B5}">
      <text>
        <r>
          <rPr>
            <sz val="11"/>
            <color theme="1"/>
            <rFont val="Aptos Narrow"/>
            <family val="2"/>
            <scheme val="minor"/>
          </rPr>
          <t>Unknown User:
REPLACEMENT OF SEWER SHAFT UP TO 2M
Obtain Dial Before Dig
Obtain Service Location Diagram
Set Up Safe Work Area
Set Up Builders Plastic
Set Up Barricades for Safety
Deliver portable toilet to site 
Dig &amp; Excavate Ground Area Up to 2M
Expose Existing Section of Sewer Service Up to 2M
Expose Existing Sewer Shaft
Expose Existing 88 Square Junction
Expose Existing Sewer Junctions
Cut &amp; Remove Existing Section of Sewer Service Up to 2M
Cut &amp; Remove Existing Section of Sewer Shaft
Cut &amp; Remove Existing 88 Square Junction
Cut &amp; Remove Existing Sewer Junctions
Gain Access to Sewer Service
Set Up High-Powered Jet Blaster
Set Up High-Powered Mini Reel
Set Up High-Powered Turbines
Re-Jetblast Sewer Service
Re-Camera &amp; Investigate Further
Supply &amp; Install New Section of Sewer Service Up to 2M
Supply &amp; install New Sewer Shaft
Supply &amp; install New 88 Square Junction
Supply &amp; Install New Sewer Junctions
Supply &amp; Install New I/O Inspection Point
Supply &amp; Install New BTS and Raise to Ground Level
Supply &amp; Install New PVC Fittings
Connect New Sewer Shaft to Main Sewer Discharge Point
Connect New Section of main Sewer Service to Existing Sewer Service
Concrete Encase New Connections to Existing Sewer Service
Encase New Section of Sewer Service with Blue Metal
Backfill Excavated Area
Restoration of Work Area - (Excludes Returfing)
Test and Commission Installation
Remove Trade Waste
PLEASE NOTE IF FURTHER WORK REQUIRED OTHER THEN QUOTED WORK FURTHER COST WILL APPLY</t>
        </r>
      </text>
    </comment>
    <comment ref="G212" authorId="0" shapeId="0" xr:uid="{55A5DA52-E3AF-44CD-AF91-66B2D8D876F3}">
      <text>
        <r>
          <rPr>
            <sz val="11"/>
            <color theme="1"/>
            <rFont val="Aptos Narrow"/>
            <family val="2"/>
            <scheme val="minor"/>
          </rPr>
          <t>Unknown User:
SEWER SPOT DIG UP TO 1M - IN GROUND
Obtain sewer diagram
Obtain dial Before dig
Obtain service location diagram
Set up safe work area
Set up builders plastic
Set up barricades for safety
Dig &amp; Excavate Ground Area Up to 1M
Expose existing section of sewer service up to 1M
Expose existing sewer junctions (If Required)
Cut &amp; remove existing section of sewer service up to 1M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Standard finish only
Wash down worked area
Test &amp; commission installation
Remove trade waste
PLEASE NOTE IF FURTHER WORK REQUIRED OTHER THEN QUOTED WORK FURTHER COST WILL APPLY</t>
        </r>
      </text>
    </comment>
    <comment ref="G216" authorId="0" shapeId="0" xr:uid="{F3BBBC1F-9C82-460D-AFE1-122138613F98}">
      <text>
        <r>
          <rPr>
            <sz val="11"/>
            <color theme="1"/>
            <rFont val="Aptos Narrow"/>
            <family val="2"/>
            <scheme val="minor"/>
          </rPr>
          <t xml:space="preserve">Unknown User:
DRAINAGE RECTIFICATION (CEILING)
*Obtain service location diagram
*Isolate the water supply to the property
*Gain access to worked area
*Install drop sheets as required
*Set up height safety equipment
*Mark out ceiling in proposed location
*Disconnect and removal of plaster
*Gain access to sewer service
*Disconnect and removal of sewer service up to 1.5M
*Disconnect and removal of sewer junctions
*Clean and prepare sewer service for new installation
*Supply and install new section of sewer up to 1.5M
*Supply and install new service adaptors
*Supply and install new sewer junctions
*Supply and install new PVC fittings
*Supply and install new pipe clips and supports
*Test and commission installation
*Removal of trade waste
*Tidy working areas
PLEASE NOTE IF FURTHER WORKS ARE REQUIRED ADDITIONAL COSTS WILL APPLY
PLEASE NOTE QUOTE DOES MOT INCLUDE ANY REINSTATEMENT OF PLASTER OR PAINT </t>
        </r>
      </text>
    </comment>
    <comment ref="G217" authorId="0" shapeId="0" xr:uid="{A1311F66-522D-43DB-B602-E0462D75B736}">
      <text>
        <r>
          <rPr>
            <sz val="11"/>
            <color theme="1"/>
            <rFont val="Aptos Narrow"/>
            <family val="2"/>
            <scheme val="minor"/>
          </rPr>
          <t>Unknown User:
SEWER SPOT DIG UP TO 1M (UNDER CONCRETE)
Obtain sewer diagram
Obtain dial Before dig
Obtain service location diagram
Set up safe work area
Set up builders plastic
Set up barricades for safety
Concrete cut ground area
Jack hammer ground area
Removal of concrete in required location
Dig &amp; Excavate Ground Area Up to 1M
Expose existing section of sewer service up to 1M
Expose existing sewer junctions (If Required)
Cut &amp; remove existing section of sewer service up to 1M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t>
        </r>
      </text>
    </comment>
    <comment ref="G218" authorId="0" shapeId="0" xr:uid="{C0D23B67-7366-4221-9FAB-E7325FE7BF78}">
      <text>
        <r>
          <rPr>
            <sz val="11"/>
            <color theme="1"/>
            <rFont val="Aptos Narrow"/>
            <family val="2"/>
            <scheme val="minor"/>
          </rPr>
          <t>Unknown User:
SUPPLY &amp; INSTALLATION OF NEW COPPER GAS SERVICE UP TO 10M (REPLACEMENT OF EXISTING GALVANISED GAS SERVICE)
Obtain service location diagram
Obtain dial before dig
Set up safe work area
Isolate main gas supply to property
Disconnect existing main meter unions
Disconnect &amp; remove existing main gas meter regulator
Disconnect &amp; remove existing brass fittings
Disconnect &amp; remove existing section of gas service connecting to main meter
Disconnect &amp; removal of existing gas support brackets &amp; clips
Disconnect &amp; removal of existing gas service up to 10M – Exposed (If Applicable)
Disconnect &amp; removal of existing gas service connecting to gas hot water system
Disconnect &amp; removal of existing gas service connecting to gas cooktop
Disconnect &amp; removal of existing gas emergency isolation valve
Disconnect &amp; removal of existing brass fittings
Clean &amp; prepare work area
Prepare property for installation of new gas service in copper up to 10M
Supply &amp; install new gas service connecting to gas hot water system
Supply &amp; install new gas service connecting to gas cooktop
Supply &amp; install new main gas service in copper up to 10M – Exposed
Supply &amp; install new brass fittings
Supply &amp; install new B-press fittings
Supply &amp; install new emergency isolation valves
Supply &amp; install new brackets, clips &amp; supports
Secure new gas service
Supply &amp; install main gas meter union kit
Supply &amp; install new main gas meter regulator
Supply &amp; install new main gas meter gasket kit
Reinstall existing main gas meter
Connect new gas service to main gas meter
Restoration of work area
Removal of trade waste
Test &amp; commission installation
Provide new certificate of compliance
PLEASE NOTE IF FURTHER WORK REQUIRED OTHER THEN QUOTED WORK FURTHER COST WILL APPLY</t>
        </r>
      </text>
    </comment>
    <comment ref="G219" authorId="0" shapeId="0" xr:uid="{E3751FBC-7A34-4667-8E3C-59AF8DF343D4}">
      <text>
        <r>
          <rPr>
            <sz val="11"/>
            <color theme="1"/>
            <rFont val="Aptos Narrow"/>
            <family val="2"/>
            <scheme val="minor"/>
          </rPr>
          <t>Unknown User:
SUPPLY AND INSTALLATION OF STANDARD 15MM TEMPERING VALVE
Isolate main cold water supply to property
Isolate main hot water supply to property
Isolate main power supply to existing hot water system
Gain access to existing tempering valve
Drain system
Disconnect &amp; removal of existing outlet service unions
Disconnect &amp; removal of existing hot water service unions
Disconnect &amp; removal of existing cold water service unions
Disconnect &amp; removal of existing tempering valve body
Disconnect &amp; removal of existing hot water non return valve
Disconnect &amp; removal of existing cold water non return valve
Disconnect &amp; removal of existing service adapters from hot water service
Disconnect &amp; removal of existing service adapters from cold water service
Clean &amp; prepare existing water services for new connections
Supply &amp; install new service adapters
Supply &amp; install new press fittings
Supply &amp; install new brass fittings supply
Supply and install new hot and cold water service lines to suit new configuration
Supply &amp; install new hot water non return valve
Supply &amp; install new cold water non return valve
Supply &amp; install new tempering valve body
Supply &amp; install new gaskets
Supply &amp; install new sealants
Supply &amp; install new valve lagging
Reinstate hot water supply to property
Reinstate cold water supply to property
Reinstate power supply to existing hot water system
Bleed hot water service
Bleed cold water service
Commission tempering valve to ensure compliance with AS/3500
Conduct temperature check to ensure compliance with AS/3500
Clean worked area
Removal of trade waste
PLEASE NOTE IF FURTHER WORK REQUIRED OTHER THEN QUOTED WORK FURTHER COST WILL APPLY</t>
        </r>
      </text>
    </comment>
    <comment ref="G220" authorId="0" shapeId="0" xr:uid="{31CDBBDC-B89C-4A39-A8A6-EC4DF0B2A631}">
      <text>
        <r>
          <rPr>
            <sz val="11"/>
            <color theme="1"/>
            <rFont val="Aptos Narrow"/>
            <family val="2"/>
            <scheme val="minor"/>
          </rPr>
          <t>Unknown User:
SUPPLY &amp; INSTALLATION OF NEW SINGLE ELEMENT 25L HOT WATER UNIT – INTERNAL
Isolate main water supply to property
Isolate main electrical supply to property
Disconnect cold water supply to existing hot water unit
Disconnect power supply to existing hot water unit
Drain existing hot water unit
Disconnect &amp; removal of existing valves
Disconnect &amp; removal of existing brass fittings
Disconnect &amp; removal of existing section of cold-water service connecting to hot water unit
Disconnect &amp; removal of existing section of hot water service connecting to hot water unit
Clean &amp; prepare worked area
Supply &amp; install new internal safe waste tray
Supply &amp; install new Duo valve
Supply &amp; install new Pressure limiting valve
Supply &amp; install new Mildred emergency shut off valve
Supply &amp; install new tempering valve
Supply &amp; install new pressure relief valve
Supply &amp; install new single element hot water
Supply &amp; install new section of copper cold water service connecting to new hot water unit
Supply &amp; install new section of copper hot water service connecting to new hot water unit
Supply &amp; install new pressure relief drain service in copper &amp; ensure compliance with AS3500
Supply &amp; install new B-press fittings
Supply &amp; install new Brass fittings
Reconnect cold water service to new hot water unit
Reconnect hot water service to new hot water unit
Reconnect electrical supply to new hot water unit
Reinstate water supply to new hot water unit
Test &amp; commission installation
Removal of trade waste
PLEASE NOTE IF FURTHER WORK REQUIRED OUTSIDE OF QUOTED WORKS ADDITIONAL COSTS WILL APPLY</t>
        </r>
      </text>
    </comment>
    <comment ref="G255" authorId="0" shapeId="0" xr:uid="{3B877AA5-CEE4-41ED-90AE-949A05F495E2}">
      <text>
        <r>
          <rPr>
            <sz val="11"/>
            <color theme="1"/>
            <rFont val="Aptos Narrow"/>
            <family val="2"/>
            <scheme val="minor"/>
          </rPr>
          <t>Unknown User:
HIGH POWERED SUCTION PUMP
Gain access to sewer service
Gain access to sewer fixture
Set up high powered suction pump
First attempt to clear blocked sewer using high powered suction
pump
Attempt to clear sewer service using high powered suction
pump
Attempt to clear debris from sewer service
Attempt to flush out sewer service &amp; debris
Test &amp; commission work completed
Removal of trade waste
PLEASE NOTE IF BLOCKAGES DOES NOT CLEAR FURTHER COST WILL
APPLY. THIS IS A FIRST ATTEMPT</t>
        </r>
      </text>
    </comment>
    <comment ref="Q255" authorId="0" shapeId="0" xr:uid="{9698CCCB-4250-4E74-94EF-B1BC035EB8F1}">
      <text>
        <r>
          <rPr>
            <sz val="11"/>
            <color theme="1"/>
            <rFont val="Aptos Narrow"/>
            <family val="2"/>
            <scheme val="minor"/>
          </rPr>
          <t xml:space="preserve">Unknown User:
Final invoice not Raised
</t>
        </r>
      </text>
    </comment>
    <comment ref="G256" authorId="0" shapeId="0" xr:uid="{6C74928B-7655-4B01-915A-996EDD4BA707}">
      <text>
        <r>
          <rPr>
            <sz val="11"/>
            <color theme="1"/>
            <rFont val="Aptos Narrow"/>
            <family val="2"/>
            <scheme val="minor"/>
          </rPr>
          <t>Unknown User:
SUPPLY &amp; INSTALLATION OF NEW MIXER CARTRIDGE
Isolate main water supply to property
Disconnect &amp; remove mixer grub screw
Disconnect &amp; remove existing handle
Disconnect &amp; remove mixer cover plate
Disconnect &amp; remove mixer locking nut
Disconnect &amp; remove existing mixer cartridge
Disconnect &amp; remove existing mixer cartridge gasket
Visual inspect mixer body for damaged
Clean mixer body
Supply new mixer cartridge gasket
Supply new mixer cartridge to suit existing mixer
Install new mixer cartridge gasket to existing mixer body
Install new mixer cartridge to existing mixer body
Secure new mixer cartridge to mixer body
Reinstall mixer cartridge locking nut
Reinstall mixer cover plate
Reinstall mixer handle
Reinstall mixer grub screw
Reinstate water supply
Test &amp; commission installation
Removal of trade waste
PLEASE NOTE IF FURTHER WORK REQUIRED OUTSIDE OF QUOTED WORKS
ADDITIONAL COSTS WILL APPLY.</t>
        </r>
      </text>
    </comment>
    <comment ref="G257" authorId="0" shapeId="0" xr:uid="{C72BE5BD-ABAB-46B1-A34C-BE4F378AE49E}">
      <text>
        <r>
          <rPr>
            <sz val="11"/>
            <color theme="1"/>
            <rFont val="Aptos Narrow"/>
            <family val="2"/>
            <scheme val="minor"/>
          </rPr>
          <t>Unknown User:
FLOOD, DYE, PRESSURE TEST (WET AREA)
Isolate main water supply to property
Removal of existing wall mounted spout
Gain access to cold water supply
Gain access to hot water supply
Set up specialist pressure testing equipment
Conduct pressure test on cold water service
Conduct pressure test on hot water service
Connect specialist pressure gauge to wet area outlet
Conduct pressure test on internal breach / body
Conduct flood test on walls
Conduct flood test on floors
Conduct specialist dye test on wet area
Test water proofing integrity
Removal of floor grate
Visually inspect drainage for potential faults or defects
Conduct dye test on drainage
Test drainage for potential faults or leaks
Conduct search &amp; investigation on wet area
Locate &amp; identify potential faults
Provide additional quote for rectification work
*Please note if a specialist leak detection is required further cost will apply*
PLEASE NOTE IF FURTHER WORK REQUIRED OTHER THEN QUOTED WORK FURTHER COST WILL APPLY</t>
        </r>
      </text>
    </comment>
    <comment ref="G258" authorId="0" shapeId="0" xr:uid="{5890CAE7-1DA0-48CF-A3DA-F2CE39E56657}">
      <text>
        <r>
          <rPr>
            <sz val="11"/>
            <color theme="1"/>
            <rFont val="Aptos Narrow"/>
            <family val="2"/>
            <scheme val="minor"/>
          </rPr>
          <t>Unknown User:
FLOOD, DYE, PRESSURE TEST (WET AREA)
Isolate main water supply to property
Removal of existing wall mounted spout
Gain access to cold water supply
Gain access to hot water supply
Set up specialist pressure testing equipment
Conduct pressure test on cold water service
Conduct pressure test on hot water service
Connect specialist pressure gauge to wet area outlet
Conduct pressure test on internal breach / body
Conduct flood test on walls
Conduct flood test on floors
Conduct specialist dye test on wet area
Test water proofing integrity
Removal of floor grate
Visually inspect drainage for potential faults or defects
Conduct dye test on drainage
Test drainage for potential faults or leaks
Conduct search &amp; investigation on wet area
Locate &amp; identify potential faults
Provide additional quote for rectification work
*Please note if a specialist leak detection is required further cost will apply*
PLEASE NOTE IF FURTHER WORK REQUIRED OTHER THEN QUOTED WORK FURTHER COST WILL APPLY</t>
        </r>
      </text>
    </comment>
    <comment ref="G259" authorId="0" shapeId="0" xr:uid="{1189E34C-A944-484E-B3BF-970C745197EB}">
      <text>
        <r>
          <rPr>
            <sz val="11"/>
            <color theme="1"/>
            <rFont val="Aptos Narrow"/>
            <family val="2"/>
            <scheme val="minor"/>
          </rPr>
          <t>Unknown User:
SERVICE OF OUTLET VALVE - ALL TYPICAL SINGLE AND DUAL FLUSH MODELS
Gain access to toilet cistern
Isolate water service to cistern
Disconnect existing toilet cistern outlet valve
Removal of existing toilet cistern outlet valve
Disconnect &amp; removal of existing toilet cistern outlet valve drop washer
Clean existing toilet cistern outlet valve housing
Flush out toilet cistern free from all debris
Supply &amp; install new outlet valve drop washer
Reinstall existing toilet cistern outlet valve
Reinstate main water supply to toilet cistern
Adjust inlet valve &amp; outlet valve to ensure optimal flush
Test &amp; commission installation
Removal of trade waste
PLEASE NOTE IF FURTHER WORK REQUIRED OUTSIDE OF QUOTED WORKS
ADDITIONAL COSTS WILL APPLY</t>
        </r>
      </text>
    </comment>
    <comment ref="Q259" authorId="0" shapeId="0" xr:uid="{F11673B9-5895-4B4C-BC72-87AB2BB16D6C}">
      <text>
        <r>
          <rPr>
            <sz val="11"/>
            <color theme="1"/>
            <rFont val="Aptos Narrow"/>
            <family val="2"/>
            <scheme val="minor"/>
          </rPr>
          <t>Unknown User:
Final invoice not raised</t>
        </r>
      </text>
    </comment>
    <comment ref="G260" authorId="0" shapeId="0" xr:uid="{06F19E60-5CDF-4CDB-8964-A47FC8DFE0E3}">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261" authorId="0" shapeId="0" xr:uid="{EDF4D0C9-DAA9-4F90-B990-5EBEFB829CA4}">
      <text>
        <r>
          <rPr>
            <sz val="11"/>
            <color theme="1"/>
            <rFont val="Aptos Narrow"/>
            <family val="2"/>
            <scheme val="minor"/>
          </rPr>
          <t xml:space="preserve">Unknown User:
HIGH POWERED SUCTION PUMP
Gain access to sewer service
Gain access to sewer fixture
Set up high powered suction pump
First attempt to clear blocked sewer using high powered suction pump
Attempt to clear sewer service using high powered suction pump
Attempt to clear debris from sewer service
Attempt to flush out sewer service &amp; debris
Test &amp; commission work completed
Removal of trade waste
PLEASE NOTE IF BLOCKAGES DOES NOT CLEAR FURTHER COST WILL APPLY. THIS
IS A FIRST ATTEMPT
</t>
        </r>
      </text>
    </comment>
    <comment ref="G262" authorId="0" shapeId="0" xr:uid="{454AD9FA-FD9D-4121-94C0-274861F0D713}">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Q262" authorId="0" shapeId="0" xr:uid="{1F9D40BF-8578-4978-A289-88C698481C7B}">
      <text>
        <r>
          <rPr>
            <sz val="11"/>
            <color theme="1"/>
            <rFont val="Aptos Narrow"/>
            <family val="2"/>
            <scheme val="minor"/>
          </rPr>
          <t>Unknown User:
Final invoice not Raised</t>
        </r>
      </text>
    </comment>
    <comment ref="G263" authorId="0" shapeId="0" xr:uid="{1D03589B-813F-4F2D-80DB-4A134DBB7C9A}">
      <text>
        <r>
          <rPr>
            <sz val="11"/>
            <color theme="1"/>
            <rFont val="Aptos Narrow"/>
            <family val="2"/>
            <scheme val="minor"/>
          </rPr>
          <t>Unknown User:
COMMERCIAL HIGH POWERED JETBLAST
Set up high commercial powered Jet blaster
Set up High powered mini-Reel
Set up high powered Turbines
Gain access to sewer service
First attempt to clear blocked sewer service using high powered Jet blaster
Attempt to clear &amp; flush out sewer service using high powered Jet Blaster
Tidy working areas 
Removal of trade waste 
PLEASE NOTE IF BLOCKAGE DOES NOT CLEAR FURTHER COST WILL APPLY. THIS IS A FIRST ATTEMPT.</t>
        </r>
      </text>
    </comment>
    <comment ref="Q263" authorId="0" shapeId="0" xr:uid="{CF185571-7B63-4BA7-BF90-1C92B55842FF}">
      <text>
        <r>
          <rPr>
            <sz val="11"/>
            <color theme="1"/>
            <rFont val="Aptos Narrow"/>
            <family val="2"/>
            <scheme val="minor"/>
          </rPr>
          <t>Unknown User:
Final zero due invoice raised.</t>
        </r>
      </text>
    </comment>
    <comment ref="G264" authorId="0" shapeId="0" xr:uid="{D14C8972-6726-4056-BBF9-3F140E6E74BD}">
      <text>
        <r>
          <rPr>
            <sz val="11"/>
            <color theme="1"/>
            <rFont val="Aptos Narrow"/>
            <family val="2"/>
            <scheme val="minor"/>
          </rPr>
          <t xml:space="preserve">Unknown User:
SEARCH &amp; INVESTIGATION OF DISHWASHER
Isolate the main water supply to the appliance
Disconnect &amp; remove the cold-water supply
Disconnect &amp; remove the drainage line
Disconnect &amp; remove the power supply
Visually inspect the dishwasher and hoses for any breaks or faults
Check for any blockages and clear them if possible
Inspect the dishwasher for leaks
Clean and flush the filters
Reinstate the main water supply
Reconnect the main drainage hose
Perform testing and commission the installation
Identify the cause of the issue
Provide an additional quote for any further repairs (if required)
PLEASE NOTE IF FURTHER WORK REQUIRED OTHER THEN QUOTED WORK
FURTHER COST WILL APPLY
HIGH POWERED SUCTION PUMP
Gain access to sewer service
Gain access to sewer fixture
Set up high powered suction pump
First attempt to clear blocked sewer using high powered suction pump
Attempt to clear sewer service using high powered suction pump
Attempt to clear debris from sewer service
Attempt to flush out sewer service &amp; debris
Test &amp; commission work completed
Removal of trade waste
PLEASE NOTE IF BLOCKAGES DOES NOT CLEAR FURTHER COST WILL APPLY. THIS
IS A FIRST ATTEMPT
</t>
        </r>
      </text>
    </comment>
    <comment ref="L264" authorId="0" shapeId="0" xr:uid="{C2134FFB-70DE-4ED0-B3A2-B3A6888CD401}">
      <text>
        <r>
          <rPr>
            <sz val="11"/>
            <color theme="1"/>
            <rFont val="Aptos Narrow"/>
            <family val="2"/>
            <scheme val="minor"/>
          </rPr>
          <t>Unknown User:
Search &amp; Investigation pics are not satisfactory.</t>
        </r>
      </text>
    </comment>
    <comment ref="G265" authorId="0" shapeId="0" xr:uid="{ED5064A8-6ECC-46A6-B0F8-A07696686BD9}">
      <text>
        <r>
          <rPr>
            <sz val="11"/>
            <color theme="1"/>
            <rFont val="Aptos Narrow"/>
            <family val="2"/>
            <scheme val="minor"/>
          </rPr>
          <t>Unknown User:
SEARCH &amp; INVESTIGATION OF GAS STORAGE HOT WATER SYSTEM
Gain access to gas hot water system
Gain access to main gas isolation valve to property
Test gas supply with specialist manometer device
Visually inspect gas supply and fittings to hot water system
Use soapy spray on fittings and pipework
Check gas supply pressure to hot water system and control unit
Check integrity of gas isolation valve at hot water system
Check power supply to hot water system using testing pen
Check electrical box (IF REQUIRED)
Check circuit switch (IF REQUIRED)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will apply.</t>
        </r>
      </text>
    </comment>
    <comment ref="Q265" authorId="0" shapeId="0" xr:uid="{727FC037-99F8-469A-BA53-A8D7410C5BDF}">
      <text>
        <r>
          <rPr>
            <sz val="11"/>
            <color theme="1"/>
            <rFont val="Aptos Narrow"/>
            <family val="2"/>
            <scheme val="minor"/>
          </rPr>
          <t xml:space="preserve">Unknown User:
Final invoice not raised
</t>
        </r>
      </text>
    </comment>
    <comment ref="G266" authorId="0" shapeId="0" xr:uid="{1FBB2286-BF0E-4FCE-A89F-34917DA8C236}">
      <text>
        <r>
          <rPr>
            <sz val="11"/>
            <color theme="1"/>
            <rFont val="Aptos Narrow"/>
            <family val="2"/>
            <scheme val="minor"/>
          </rPr>
          <t>Unknown User:
CONVERT EXTERNAL GAS STORAGE HOT WATER SYSTEM TO EXTERNAL GAS INSTANTANEOUS HOT WATER SYSTEM
Isolate main water supply to property
Isolate main gas supply to property
Disconnect plumbing to existing gas storage hot water system
Disconnect gas supply to existing gas storage hot water system
Drain existing gas storage hot water system
Removal of existing valves connecting to gas storage hot water system
Removal of existing gas storage hot water system
Supply &amp; install new gas instantaneous hot water system
Secure new gas instantaneous hot water system to wall
Reconfigure existing cold-water supply to suit new gas instantaneous hot water system
Reconfigure existing gas supply to suit new gas instantaneous hot water system
Reconfigure hot water return supply to suit new gas instantaneous hot water system
Supply &amp; install new cold water emergency isolation valve for new instantaneous hot water system
Supply &amp; install new gas emergency isolation valve for new instantaneous hot water system
Supply &amp; install new B-press fittings
Supply &amp; install new brass fittings
Supply and install new electrical GPO
Connect new cold water service to new gas instantaneous hot water system
Connect new hot water return supply to new gas instantaneous hot water system
Connect new gas supply to new instantaneous hot water system
Secure new cold water service
Secure new hot water service
Secure new gas service
Reinstate water supply to property
Reinstate gas supply to property
Test &amp; commission installation
Removal of trade waste
PLEASE NOTE IF FURTHER WORK REQUIRED OUTSIDE OF QUOTED WORKS ADDITIONAL COSTS WILL APPLY</t>
        </r>
      </text>
    </comment>
    <comment ref="Q266" authorId="0" shapeId="0" xr:uid="{2F66DD96-F91C-469C-A4F1-AB93A711CC13}">
      <text>
        <r>
          <rPr>
            <sz val="11"/>
            <color theme="1"/>
            <rFont val="Aptos Narrow"/>
            <family val="2"/>
            <scheme val="minor"/>
          </rPr>
          <t>Unknown User:
Final invoice not Raised</t>
        </r>
      </text>
    </comment>
    <comment ref="G267" authorId="0" shapeId="0" xr:uid="{F37E37EE-5161-4B80-9490-ECE4A146A805}">
      <text>
        <r>
          <rPr>
            <sz val="11"/>
            <color theme="1"/>
            <rFont val="Aptos Narrow"/>
            <family val="2"/>
            <scheme val="minor"/>
          </rPr>
          <t xml:space="preserve">Unknown User:
SUPPLY &amp; INSTALLATION OF NEW RAIN SHOWER HEAD
• Disconnect existing shower head
• Disconnect existing cover plate
• Remove existing shower head
• Remove existing cover plate
• Remove existing sealant
• Clean No.19 thread
• Supply &amp; install new sealant
• Supply &amp; install new cover plate
• Supply &amp; install new shower head
• Secure new shower head
• Test and commission installation
• Remove trade waste
PLEASE NOTE IF FURTHER WORK REQUIRED OTHER THEN QUOTED WORK
FURTHER COST WILL APPLY
</t>
        </r>
      </text>
    </comment>
    <comment ref="M267" authorId="0" shapeId="0" xr:uid="{9478284D-4FC5-43FF-8B60-0E9777398CCA}">
      <text>
        <r>
          <rPr>
            <sz val="11"/>
            <color theme="1"/>
            <rFont val="Aptos Narrow"/>
            <family val="2"/>
            <scheme val="minor"/>
          </rPr>
          <t>Unknown User:
Receipt of $162.47 is not uploaded by plumber now uploaded by Modoras team</t>
        </r>
      </text>
    </comment>
    <comment ref="Q267" authorId="0" shapeId="0" xr:uid="{AA070691-6DFE-4405-B423-C58127B82538}">
      <text>
        <r>
          <rPr>
            <sz val="11"/>
            <color theme="1"/>
            <rFont val="Aptos Narrow"/>
            <family val="2"/>
            <scheme val="minor"/>
          </rPr>
          <t>Unknown User:
Final invoice not raised</t>
        </r>
      </text>
    </comment>
    <comment ref="G268" authorId="0" shapeId="0" xr:uid="{9610C4BA-1202-46D0-A4EA-00563929F6D9}">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Q268" authorId="0" shapeId="0" xr:uid="{23B3E172-58B0-47A0-B248-68AF03056351}">
      <text>
        <r>
          <rPr>
            <sz val="11"/>
            <color theme="1"/>
            <rFont val="Aptos Narrow"/>
            <family val="2"/>
            <scheme val="minor"/>
          </rPr>
          <t>Unknown User:
Final invoice not raised</t>
        </r>
      </text>
    </comment>
    <comment ref="G269" authorId="0" shapeId="0" xr:uid="{C403F311-5C52-426D-BFDE-2DFD8CD9FBBA}">
      <text>
        <r>
          <rPr>
            <sz val="11"/>
            <color theme="1"/>
            <rFont val="Aptos Narrow"/>
            <family val="2"/>
            <scheme val="minor"/>
          </rPr>
          <t>Unknown User:
SEARCH &amp; INVESTIGATION OF GAS STORAGE HOT WATER SYSTEM
Gain access to gas hot water system
Gain access to main gas isolation valve to property
Test gas supply with specialist manometer device
Visually inspect gas supply and fittings to hot water system
Use soapy spray on fittings and pipework
Check gas supply pressure to hot water system and control unit
Check integrity of gas isolation valve at hot water system
Check power supply to hot water system using testing pen
Check electrical box (IF REQUIRED)
Check circuit switch (IF REQUIRED)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t>
        </r>
      </text>
    </comment>
    <comment ref="Q269" authorId="0" shapeId="0" xr:uid="{A1B20D04-856F-4B79-90C9-CAA52AF8A09E}">
      <text>
        <r>
          <rPr>
            <sz val="11"/>
            <color theme="1"/>
            <rFont val="Aptos Narrow"/>
            <family val="2"/>
            <scheme val="minor"/>
          </rPr>
          <t>Unknown User:
Final invoice not raised</t>
        </r>
      </text>
    </comment>
    <comment ref="G270" authorId="0" shapeId="0" xr:uid="{5E0BD7C8-E562-427E-9166-72AF7D5402B9}">
      <text>
        <r>
          <rPr>
            <sz val="11"/>
            <color theme="1"/>
            <rFont val="Aptos Narrow"/>
            <family val="2"/>
            <scheme val="minor"/>
          </rPr>
          <t>Unknown User:
REPLACEMENT OF WALL TOP TAPWARE
Isolate main water supply to property
Disconnect &amp; removal of existing cold water wall top tapware
Disconnect &amp; removal of existing hot water wall top tapware
Disconnect &amp; removal of existing jumper valves
Disconnect &amp; removal of existing fiber washers
Machine breech
Flush out breech free from debris
Supply &amp; install new jumper valves
Supply &amp; install new fiber washers
Supply &amp; install new cold water wall top tapware
Supply &amp; install new hot water wall top tapware
Reinstate main water supply to property
Test &amp; commission installation
Removal of trade waste
PLEASE NOTE IF FURTHER WORK REQUIRED OTHER THEN QUOTED WORK
FURTHER COST WILL APPLY</t>
        </r>
      </text>
    </comment>
    <comment ref="U275" authorId="0" shapeId="0" xr:uid="{AB7B56DF-FDC4-4F83-9DAE-028AB7BF34F4}">
      <text>
        <r>
          <rPr>
            <sz val="11"/>
            <color theme="1"/>
            <rFont val="Aptos Narrow"/>
            <family val="2"/>
            <scheme val="minor"/>
          </rPr>
          <t>Unknown User:
10 July-As per Zachias's note "Stuart gave permission for Manager Angie to speak on his behalf. She said the same problem is happing again, approved for a booking time of Friday 4-6pm."</t>
        </r>
      </text>
    </comment>
    <comment ref="G276" authorId="0" shapeId="0" xr:uid="{7F15FA4B-16F9-424F-83F8-10106421373B}">
      <text>
        <r>
          <rPr>
            <sz val="11"/>
            <color theme="1"/>
            <rFont val="Aptos Narrow"/>
            <family val="2"/>
            <scheme val="minor"/>
          </rPr>
          <t>Unknown User:
MIXER TAP - GOOSE NECK
Isolate main cold-water supply to property
Isolate main hot water supply to property
Disconnect &amp; removal of cold-water supply to existing mixer
Disconnect &amp; removal of hot water supply to existing mixer
Disconnect &amp; removal of existing locking nut
Disconnect &amp; removal of existing mixer
Clean &amp; prepare worked area Supply &amp; install new mixer
Supply &amp; install new cold-water stainless-steel flexi hose
Supply &amp; install new hot water stainless steel flexi hose
Supply &amp; install new locking nut Secure new mixer
Reconnect cold water supply to new mixer
Reconnect hot water supply to new mixer
Reinstate cold water supply to new mixer
Reinstate hot water supply to new mixer
Reinstate cold water supply to property
Reinstate hot water supply to property
Test &amp; commission installation
Removal of trade waste
PLEASE NOTE IF FURTHER WORK REQUIRED OTHER THEN QUOTED WORK
FURTHER COST WILL APPLY</t>
        </r>
      </text>
    </comment>
    <comment ref="G277" authorId="0" shapeId="0" xr:uid="{405E91A1-0BC6-4C16-B6CD-3A1034DAC9EF}">
      <text>
        <r>
          <rPr>
            <sz val="11"/>
            <color theme="1"/>
            <rFont val="Aptos Narrow"/>
            <family val="2"/>
            <scheme val="minor"/>
          </rPr>
          <t>Unknown User:
SEWER SPOT DIG UP TO 2.5M - IN GROUND
Obtain sewer diagram
Obtain dial Before dig
Obtain service location diagram
Supply and install portable toilet to site
Set up safe work area
Set up builders plastic
Set up barricades for safety
Removal of concrete in required location
Dig &amp; Excavate Ground Area Up to 2.5M
Expose existing section of sewer service up to 2.5M
Expose existing sewer junctions (If Required)
Cut &amp; remove existing section of sewer service up to 2.5M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2.5M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Standard finish only
Wash down worked area
Test &amp; commission installation
Remove trade waste
PLEASE NOTE IF FURTHER WORK REQUIRED OTHER THEN QUOTED WORK FURTHER COST WILL APPLY</t>
        </r>
      </text>
    </comment>
    <comment ref="V277" authorId="0" shapeId="0" xr:uid="{E32A3844-D142-420E-A58D-26AD3CD4F1AE}">
      <text>
        <r>
          <rPr>
            <sz val="11"/>
            <color theme="1"/>
            <rFont val="Aptos Narrow"/>
            <family val="2"/>
            <scheme val="minor"/>
          </rPr>
          <t>Unknown User:
08/07 Received $1500 Card 
09/07 Received $13425.24 EFT</t>
        </r>
      </text>
    </comment>
    <comment ref="G281" authorId="0" shapeId="0" xr:uid="{27E24F24-318A-437D-81A6-77A095C9BCDD}">
      <text>
        <r>
          <rPr>
            <sz val="11"/>
            <color theme="1"/>
            <rFont val="Aptos Narrow"/>
            <family val="2"/>
            <scheme val="minor"/>
          </rPr>
          <t>Unknown User:
WATER SERVICE RECTIFICATION (IN CONCRETE)
Isolate water supply to property
Set up safe working area
Mark out required location
Diamond cut ground area
Use of jack hammer
Gain access to damaged water service in concrete
Expose existing section of damaged water service in concrete
Cut &amp; removal of existing damaged water service
Clean existing water service
Prepare existing water service for new connections
Flush out water service free of potential debris
Supply &amp; install new section of new water service up to 1M
Supply &amp; install new Press fittings
Connect new section of water service to existing water service
Use of specialist hydraulic crimping tool
Crimp new section of water service
Reinstate water supply
Conduct pressure test on water service to ensure no further leaks
Removal of trade waste
Test &amp; commission installation
*Please note – No restoration of worked area included in quote*</t>
        </r>
      </text>
    </comment>
    <comment ref="U281" authorId="0" shapeId="0" xr:uid="{F37BADCD-60BA-4C9D-A3B7-BC65DC7B58CB}">
      <text>
        <r>
          <rPr>
            <sz val="11"/>
            <color theme="1"/>
            <rFont val="Aptos Narrow"/>
            <family val="2"/>
            <scheme val="minor"/>
          </rPr>
          <t>Unknown User:
As per Wil Thomas's note-
Internal payment plan set up</t>
        </r>
      </text>
    </comment>
    <comment ref="G282" authorId="0" shapeId="0" xr:uid="{18F44787-DE8E-43C2-B063-95539DADE82B}">
      <text>
        <r>
          <rPr>
            <sz val="11"/>
            <color theme="1"/>
            <rFont val="Aptos Narrow"/>
            <family val="2"/>
            <scheme val="minor"/>
          </rPr>
          <t>Unknown User:
RESEAL OF SHOWER
Gain access to shower Removal of floor grout
Removal of wall grout Removal of floor sealant
Removal of wall sealant
Removal of existing shower floor waste grate
Removal of shower head
Removal of shower tapware cover plates
Seal shower head Seal shower tapware
Supply &amp; install new floor grout
Supply &amp; install new wall grout
Supply &amp; install new floor sealant
Supply &amp; install new wall sealant
Apply Liquid shower plug
Test &amp; commission installation
Removal of trade waste
PLEASE NOTE IF FURTHER WORK REQUIRED OUTSIDE OF QUOTED WORKS ADDITIONAL COSTS WILL APPLY</t>
        </r>
      </text>
    </comment>
    <comment ref="U282" authorId="0" shapeId="0" xr:uid="{1DD10CDA-2BCB-4357-BF5D-EE5069B328EC}">
      <text>
        <r>
          <rPr>
            <sz val="11"/>
            <color theme="1"/>
            <rFont val="Aptos Narrow"/>
            <family val="2"/>
            <scheme val="minor"/>
          </rPr>
          <t>Unknown User:
24/9-As per Dragon's note "Customer agreed to settle balance once he confirms there are no leaks, has made progress payments so far. Added to invoice."
17/9-As per Bradley's note "Called Andy twice, didn’t answer, arrived on site, he was home spoke to Andy, he advised that Edward the tiler had completed some works yesterday afternoon and won’t pay any money tonight until he knows the leak is fixed. Asked for some payment tonight, got hostile, calmed him down but still refused to pay until tomorrow."</t>
        </r>
      </text>
    </comment>
    <comment ref="V282" authorId="0" shapeId="0" xr:uid="{BE7070F4-1750-4625-8F32-D24D58B8475A}">
      <text>
        <r>
          <rPr>
            <sz val="11"/>
            <color theme="1"/>
            <rFont val="Aptos Narrow"/>
            <family val="2"/>
            <scheme val="minor"/>
          </rPr>
          <t>Unknown User:
23/9-EFT of $2500 paid</t>
        </r>
      </text>
    </comment>
    <comment ref="G286" authorId="0" shapeId="0" xr:uid="{F0CDB081-D945-486B-87FF-4E8C4EE2D525}">
      <text>
        <r>
          <rPr>
            <sz val="11"/>
            <color theme="1"/>
            <rFont val="Aptos Narrow"/>
            <family val="2"/>
            <scheme val="minor"/>
          </rPr>
          <t xml:space="preserve">Unknown User:
SEARCH &amp; INVESTIGATION OF GAS APPLIANCE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appliance cover plates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 Fault find any potential faults or defects affecting appliance performance *conduct carbon
monoxide testing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
</t>
        </r>
      </text>
    </comment>
    <comment ref="W286" authorId="0" shapeId="0" xr:uid="{83D84BE6-949C-461A-8A07-C03211F0357A}">
      <text>
        <r>
          <rPr>
            <sz val="11"/>
            <color theme="1"/>
            <rFont val="Aptos Narrow"/>
            <family val="2"/>
            <scheme val="minor"/>
          </rPr>
          <t>Unknown User:
$100*7= $700
$50*2 $100
Total $800</t>
        </r>
      </text>
    </comment>
    <comment ref="G287" authorId="0" shapeId="0" xr:uid="{3E064B81-DB6E-45DA-9A87-83C8DC8C187B}">
      <text>
        <r>
          <rPr>
            <sz val="11"/>
            <color theme="1"/>
            <rFont val="Aptos Narrow"/>
            <family val="2"/>
            <scheme val="minor"/>
          </rPr>
          <t>Unknown User:
REPLACEMENT OF IN WALL KITCHEN BREACH
Isolate cold water supply to property
Isolate hot water supply to property
Disconnect &amp; removal of hot water tapware
Disconnect &amp; removal of cold-water tapware
Disconnect &amp; removal of existing basin spout
Dimond cut tiles in required location
Removal of tiles in required location
Cut out section of wall
Gain access to in wall
Expose section of section cold water service in wall
Expose section of hot water service in wall
Expose existing Basin breach in wall
Cut &amp; removal of section of cold-water service in wall
Cut &amp; removal of section of hot water service in wall
Cut &amp; removal of existing basin breech in wall
Clean existing hot &amp; cold-water services
Prepare existing hot &amp; cold-water services in wall for installation of new breech
Supply &amp; install new basin breech in wall
Supply &amp; install new section of cold-water service in wall
Supply &amp; install new section of hot water service in wall
Supply &amp; install new B-press fittings
Supply &amp; install new brass fittings
Secure new in wall breech
Use of specialist hydraulic crimping tool
Crimp new press fittings in wall
Reinstate cold water supply
Reinstate hot water supply
Conduct pressure test to ensure no further leaks
Restoration of worked area
Re-install cold water tapware
Re-install hot water tapware
Reinstall basin spout
Test &amp; commission installation
Removal of trade waste
Please note tile match will not be exact but will endeavour to locate closest suitable match.
PLEASE NOTE IF FURTHER WORK REQUIRED OUTSIDE OF QUOTED WORKS ADDITIONAL COSTS WILL APPLY</t>
        </r>
      </text>
    </comment>
    <comment ref="V287" authorId="0" shapeId="0" xr:uid="{DE7E76E2-7380-4CE7-8C80-28DF877920DD}">
      <text>
        <r>
          <rPr>
            <sz val="11"/>
            <color theme="1"/>
            <rFont val="Aptos Narrow"/>
            <family val="2"/>
            <scheme val="minor"/>
          </rPr>
          <t>Unknown User:
12/07 -Received $1000 Cash</t>
        </r>
      </text>
    </comment>
    <comment ref="G299" authorId="0" shapeId="0" xr:uid="{70390701-4100-4BD1-BFC2-26AB1DA42224}">
      <text>
        <r>
          <rPr>
            <sz val="11"/>
            <color theme="1"/>
            <rFont val="Aptos Narrow"/>
            <family val="2"/>
            <scheme val="minor"/>
          </rPr>
          <t>Unknown User:
 SEARCH &amp; INVESTIGATION OF GAS APPLIANCES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appliance cover plates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Check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t>
        </r>
      </text>
    </comment>
    <comment ref="O299" authorId="0" shapeId="0" xr:uid="{9B920FBE-16BB-4729-9DA2-BF82CA792799}">
      <text>
        <r>
          <rPr>
            <sz val="11"/>
            <color theme="1"/>
            <rFont val="Aptos Narrow"/>
            <family val="2"/>
            <scheme val="minor"/>
          </rPr>
          <t>Unknown User:
SMS approval</t>
        </r>
      </text>
    </comment>
    <comment ref="Q299" authorId="0" shapeId="0" xr:uid="{F2F7F985-6762-48E8-AD03-B138DFD41593}">
      <text>
        <r>
          <rPr>
            <sz val="11"/>
            <color theme="1"/>
            <rFont val="Aptos Narrow"/>
            <family val="2"/>
            <scheme val="minor"/>
          </rPr>
          <t xml:space="preserve">Unknown User:
Invoice not raised
</t>
        </r>
      </text>
    </comment>
    <comment ref="G308" authorId="0" shapeId="0" xr:uid="{44920EBA-C3E7-4C91-BFA3-54147EDADB54}">
      <text>
        <r>
          <rPr>
            <sz val="11"/>
            <color theme="1"/>
            <rFont val="Aptos Narrow"/>
            <family val="2"/>
            <scheme val="minor"/>
          </rPr>
          <t>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leak detection on property
Identify &amp; locate potential leak
Provide additional quote for rectification work
PLEASE NOTE IF FURTHER WORK REQUIRED OTHER THEN QUOTED WORK FURTHER COST WILL APPLY</t>
        </r>
      </text>
    </comment>
    <comment ref="G313" authorId="0" shapeId="0" xr:uid="{F0EF72D0-5021-47BA-8D76-EE3673EDE80F}">
      <text>
        <r>
          <rPr>
            <sz val="11"/>
            <color theme="1"/>
            <rFont val="Aptos Narrow"/>
            <family val="2"/>
            <scheme val="minor"/>
          </rPr>
          <t>Unknown User:
CONVERT SOLAR SPLIT HOT WATER SYSTEM TO EXTERNAL GAS INSTANTANEOUS HOT WATER SYSTEM (CUSTOMER SUPPLIED)
Isolate main power supply to property
Isolate main water supply to property
Isolate main gas supply to property
Conduct gas test on main gas service to ensure no leaks
Gain safe access to existing solar hot water system
Disconnect power supply to solar hot water system
Disconnect water supply to solar hot water system
Disconnect plumbing to solar panels
Disconnect &amp; removal of existing valves connecting to solar hot water system
Disconnect &amp; removal of existing brass fittings connecting to solar hot water system
Disconnect &amp; removal of existing cold-water supply connecting to solar hot water system
Disconnect &amp; removal of existing hot water return supply connecting to solar hot water system
Disconnect &amp; removal of existing plumbing connecting to solar panels
Decommission existing roof mounted solar panels
Drain tank
Removal of tank
Mark out new desired location for new gas instantaneous hot water system
Gain access to cold water supply
Gain access to hot water return supply
Gain access to existing gas supply
Redirect cold water supply in copper for new gas instantaneous hot water system
Redirect hot water supply in copper for new gas instantaneous hot water system
Redirect gas supply in copper for new gas instantaneous hot water system
Install customer supplied new gas instantaneous hot water system in new desired location
Secure new gas instantaneous hot water system in new desired location
Supply &amp; install new gas emergency isolation valve
Supply &amp; install new cold water emergency isolation valve
Supply &amp; install new gas instantaneous hot water system valve kit
Supply &amp; install new brass fittings
Supply &amp; install new B-press fittings
Connect new cold-water service to new gas instantaneous hot water system
Connect new hot water service to new gas instantaneous hot water system
Connect new gas service to new gas instantaneous hot water system
Connect power supply to new gas instantaneous hot water system
Reinstate main water supply to property
Reinstate main power supply to property
Reinstate gas supply to property
Test &amp; commission installation
Removal of trade waste
**Please note solar panels will be left on roof to save cost**
IF FURTHER WORK REQUIRED OUTSIDE OF QUOTED WORKS ADDITIONAL COSTS WILL APPLY</t>
        </r>
      </text>
    </comment>
    <comment ref="G314" authorId="0" shapeId="0" xr:uid="{41435F5C-4452-43FE-AAFE-0BBB45F32906}">
      <text>
        <r>
          <rPr>
            <sz val="11"/>
            <color theme="1"/>
            <rFont val="Aptos Narrow"/>
            <family val="2"/>
            <scheme val="minor"/>
          </rPr>
          <t>Unknown User:
COMPLETE STORM WATER GUTTER CLEAN - STORM WATER SERVICE DOWN PIPES &amp; MAIN STORM WATER SERVICE
Obtain service location diagram
Set up safe work area
Set up working-at-height equipment
Set up high-powered jet blaster
Set up CCTV drain camera
Set up specialist locator
Set up specialist whip hose
Gain access to roof
Conduct complete gutter clean on roof
Remove debris from gutter
Conduct high-pressure wash of gutters
Gain access to storm water service downpipes connected to roof gutter
Conduct high-powered jet blast on storm water service downpipes
Gain access to main storm water service in ground
Gain access to storm water service pits
Conduct high-powered jet blast on storm water service
Conduct high-powered jet blast on storm water pits
Remove debris from storm water pits
Conduct CCTV inspection of main storm water service
Use specialist locator to locate potential faults and defects
Inspect storm water pits and ensure correct operation
Conduct flood test on storm water gutters to ensure correct operation
Conduct flood test on main storm water service to ensure correct operation
Conduct flood test on storm water pits to ensure correct operation
Advise of potential faults/rectification work that may be required
Test and commission installation
Removal of trade waste
PLEASE NOTE IF FURTHER WORK REQUIRED OTHER THEN QUOTED WORK FURTHER COST WILL APPLY</t>
        </r>
      </text>
    </comment>
    <comment ref="G320" authorId="0" shapeId="0" xr:uid="{E15E405C-9DEF-448A-BBE0-BC8F483C3FD6}">
      <text>
        <r>
          <rPr>
            <sz val="11"/>
            <color theme="1"/>
            <rFont val="Aptos Narrow"/>
            <family val="2"/>
            <scheme val="minor"/>
          </rPr>
          <t>Unknown User:
RESEAL OF SHOWER
Gain access to shower Removal of floor grout
Removal of wall grout Removal of floor sealant
Removal of wall sealant
Removal of existing shower floor waste grate
Removal of shower head
Removal of shower tapware cover plates
Seal shower head Seal shower tapware
Supply &amp; install new floor grout
Supply &amp; install new wall grout
Supply &amp; install new floor sealant
Supply &amp; install new wall sealant
Apply Liquid shower plug
Test &amp; commission installation
Removal of trade waste
PLEASE NOTE IF FURTHER WORK REQUIRED OUTSIDE OF QUOTED WORKS ADDITIONAL COSTS WILL APPLY</t>
        </r>
      </text>
    </comment>
    <comment ref="G321" authorId="0" shapeId="0" xr:uid="{6DF1938A-328A-4E38-92EB-AD2537C71F35}">
      <text>
        <r>
          <rPr>
            <sz val="11"/>
            <color theme="1"/>
            <rFont val="Aptos Narrow"/>
            <family val="2"/>
            <scheme val="minor"/>
          </rPr>
          <t>Unknown User:
SEWER SPOT DIG UP TO 2M (UNDER CONCRETE)
Obtain sewer diagram
Obtain dial Before dig
Obtain service location diagram
Set up safe work area
Set up builders plastic
Set up barricades for safety
Concrete cut ground area
Jack hammer ground area
Removal of concrete in required location
Dig &amp; Excavate Ground Area Up to 2M
Expose existing section of sewer service up to 2M
Expose existing sewer junctions (If Required)
Cut &amp; remove existing section of sewer service up to 2M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2M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t>
        </r>
      </text>
    </comment>
    <comment ref="G324" authorId="0" shapeId="0" xr:uid="{2564858B-945B-4597-B340-B4DF43F3B9F6}">
      <text>
        <r>
          <rPr>
            <sz val="11"/>
            <color theme="1"/>
            <rFont val="Aptos Narrow"/>
            <family val="2"/>
            <scheme val="minor"/>
          </rPr>
          <t>Unknown User:
REPLACEMENT OF BASIN MIXER
Isolate main water supply to property
Disconnect existing cold-water supply to basin mixer
Disconnect existing hot-water supply to basin mixer
Disconnect and remove existing locking nut
Disconnect and remove existing basin mixer
Clean and prepare work area for installation
Supply and install new cold-water emergency isolation valve
Supply and install new hot-water emergency isolation valve
Supply and install new basin mixer
Supply and install new cold-water stainless steel flexible hose
Supply and install new hot-water stainless steel flexible hose
Supply and install new locking nut
Secure new basin mixer in position
Connect cold-water supply to new emergency isolation valve
Connect hot-water supply to new emergency isolation valve
Reinstate main water supply to property
Test and commission installation
Removal of trade waste
PLEASE NOTE IF FURTHER WORK REQUIRED OTHER THEN QUOTED WORK FURTHER COST WILL APPLY</t>
        </r>
      </text>
    </comment>
    <comment ref="G327" authorId="0" shapeId="0" xr:uid="{8ED8F3A7-7F59-4205-BAB2-3692D15AB3DF}">
      <text>
        <r>
          <rPr>
            <sz val="11"/>
            <color theme="1"/>
            <rFont val="Aptos Narrow"/>
            <family val="2"/>
            <scheme val="minor"/>
          </rPr>
          <t>Unknown User:
CONVERT EXTERNAL GAS STORAGE HOT WATER SYSTEM TO EXTERNAL GAS INSTANTANEOUS HOT WATER SYSTEM
Isolate main water supply to property
Isolate main gas supply to property
Disconnect plumbing to existing gas storage hot water system
Disconnect gas supply to existing gas storage hot water system
Drain existing gas storage hot water system
Removal of existing valves connecting to gas storage hot water system
Removal of existing gas storage hot water system
Supply &amp; install new gas instantaneous hot water system
Secure new gas instantaneous hot water system to wall
Reconfigure existing cold-water supply to suit new gas instantaneous hot water system
Reconfigure existing gas supply to suit new gas instantaneous hot water system
Reconfigure hot water return supply to suit new gas instantaneous hot water system
Supply &amp; install new cold water emergency isolation valve for new instantaneous hot water system
Supply &amp; install new gas emergency isolation valve for new instantaneous hot water system
Supply &amp; install new B-press fittings
Supply &amp; install new brass fittings
Connect new cold water service to new gas instantaneous hot water system
Connect new hot water return supply to new gas instantaneous hot water system
Connect new gas supply to new instantaneous hot water system
Secure new cold water service
Secure new hot water service
Secure new gas service
Reinstate water supply to property
Reinstate gas supply to property
Test &amp; commission installation
Removal of trade waste
PLEASE NOTE IF FURTHER WORK REQUIRED OUTSIDE OF QUOTED WORKS ADDITIONAL COSTS WILL APPLY</t>
        </r>
      </text>
    </comment>
    <comment ref="G328" authorId="0" shapeId="0" xr:uid="{8D2BEF41-4D57-4311-BD3C-90F4215B0859}">
      <text>
        <r>
          <rPr>
            <sz val="11"/>
            <color theme="1"/>
            <rFont val="Aptos Narrow"/>
            <family val="2"/>
            <scheme val="minor"/>
          </rPr>
          <t>Unknown User:
SEWER SPOT DIG UP TO 1M - IN GROUND</t>
        </r>
      </text>
    </comment>
    <comment ref="G329" authorId="0" shapeId="0" xr:uid="{EBD3FEED-F257-450B-862F-301C173B60DD}">
      <text>
        <r>
          <rPr>
            <sz val="11"/>
            <color theme="1"/>
            <rFont val="Aptos Narrow"/>
            <family val="2"/>
            <scheme val="minor"/>
          </rPr>
          <t>Unknown User:
SEARCH &amp; INVESTIGATION OF WASHING MACHINE
• Isolate main water supply to washing machine
• Isolate main power supply to washing machine
• Disconnect &amp; remove cold-water inlet hose from tap and appliance
• Disconnect &amp; remove drainage hose from discharge point
• Visually inspect the washing machine, inlet hoses, outlet hoses, and housing for signs of damage or wear
• Check for any blockages in the drain hose, filter, or pump and clear if accessible
• Inspect appliance and surrounding connections for evidence of water leaks or backflow
• Clean and flush internal filters (if accessible) and inspect for sediment or debris
• Reconnect cold water inlet hose and check fittings for integrity
• Reconnect drainage hose
• Reinstate main water supply &amp; power supply to the appliance
• Perform test cycle to commission installation and monitor for any operational faults
• Identify potential faults
• Provide an additional quote for any further repairs or replacement parts if required
PLEASE NOTE IF FURTHER WORK REQUIRED OTHERTHEN QUOTED WORK FURTHER COST WILL APPLY</t>
        </r>
      </text>
    </comment>
    <comment ref="G331" authorId="0" shapeId="0" xr:uid="{9F952661-4F9F-4DA6-BC49-8821330D00AB}">
      <text>
        <r>
          <rPr>
            <sz val="11"/>
            <color theme="1"/>
            <rFont val="Aptos Narrow"/>
            <family val="2"/>
            <scheme val="minor"/>
          </rPr>
          <t>Unknown User:
REPLACEMENT OF SEWER BOUNDARY TRAP UP TO 3M
Obtain Dial Before Dig
Obtain Service Location Diagram
Supply and install portable toile
Set Up Safe Work Area
Set Up Builders Plastic
Set Up Barricades for Safety
Dig &amp; Excavate Ground Area Up to 3M
Expose Existing Section of Sewer Service Up to 3M
Expose Existing Sewer Shaft
Expose Existing Boundary Trap
Expose Existing 88 Square Junction
Expose Existing Sewer Junctions
Cut &amp; Remove Existing Section of Sewer Service Up to 3M
Cut &amp; Remove Existing Section of Sewer Shaft
Cut &amp; Remove Existing Sewer Boundary Trap
Cut &amp; Remove Existing 88 Square Junction
Cut &amp; Remove Existing Sewer Junctions
Gain Access to Sewer Service
Set Up High-Powered Jet Blaster
Set Up High-Powered Mini Reel
Set Up High-Powered Turbines
Re-Jetblast Sewer Service
Re-Camera &amp; Investigate Further
Supply &amp; Install New Section of Sewer Service Up to 3M
Supply &amp; Install New Sewer Shaft
Supply &amp; Install New Sewer Boundary Trap
Supply &amp; install New 88 Square Junction
Supply &amp; Install New Sewer Junctions
Supply &amp; Install New I/O Inspection Point
Supply &amp; Install New BTS and Raise to Ground Level
Supply &amp; Install New PVC Fittings
Connect New Sewer Boundary Shaft to Main Sewer Discharge Point
Connect New Section of main Sewer Service to Existing Sewer Service
Concrete Encase New Connections to Existing Sewer Service
Encase New Section of Sewer Service with Blue Metal
Backfill Excavated Area
Restoration of Work Area - (Excluded Re-Turfing)
Test and Commission Installation
Remove Trade Waste
PLEASE NOTE IF FURTHER WORK REQUIRED OTHER THEN QUOTED WORK FURTHER COST WILL APPLY</t>
        </r>
      </text>
    </comment>
    <comment ref="G333" authorId="0" shapeId="0" xr:uid="{6D9470A8-8FF9-49F5-8F75-87D49B5C3029}">
      <text>
        <r>
          <rPr>
            <sz val="11"/>
            <color theme="1"/>
            <rFont val="Aptos Narrow"/>
            <family val="2"/>
            <scheme val="minor"/>
          </rPr>
          <t>Unknown User:
RECTIFICATION OF WATER METER (IN GROUND)
Obtain service location diagram
Obtain dial before dig
Set up safe working area
Dig &amp; excavate ground area
Expose main water service inlet connecting to main water meter
Expose main water service outlet connecting to property
Disconnect main meter unions
Disconnect &amp; removal of main water meter
Disconnect &amp; removal of existing main water meter unions
Disconnect &amp; removal of existing brass fittings
Disconnect &amp; removal of main water meter isolation valve
Cut &amp; removal of existing section of main water service inlet under live pressure
Cut &amp; removal of existing section of main water service outlet
Clean existing water service live under pressure
Prepare main water service inlet for new live connection
Prepare main water service outlet for new connection
Supply &amp; install section of new copper water service to main water meter inlet
Supply &amp; install section of new copper water service to main meter outlet
Supply &amp; install new brass fittings
Supply &amp; install new B-press fittings
Supply &amp; install new main meter union kit
Supply &amp; install new main meter gasket kit
Reinstall main water meter
Use of specialist crimping tool
Crimp new water service
Reinstate water supply to property
Conduct pressure test on service to ensure no further leaks
Test &amp; commission installation
Back fill worked area
Removal of trade waste
PLEASE NOTE IF FURTHER WORK REQUIRED OTHER THEN QUOTED WORK FURTHER COST WILL APPLY</t>
        </r>
      </text>
    </comment>
    <comment ref="G334" authorId="0" shapeId="0" xr:uid="{12E92BB1-85E3-4D9B-BBBB-C1F62C293B5C}">
      <text>
        <r>
          <rPr>
            <sz val="11"/>
            <color theme="1"/>
            <rFont val="Aptos Narrow"/>
            <family val="2"/>
            <scheme val="minor"/>
          </rPr>
          <t>Unknown User:
SUPPLY &amp; INSTALLATION OF NEW COPPER GAS SERVICE UP TO 30M (REPLACEMENT OF EXISTING GALVANISED GAS SERVICE)
Obtain service location diagram
Obtain dial before dig
Set up safe work area
Isolate main gas supply to property
Disconnect existing main meter unions
Disconnect &amp; remove existing main gas meter regulator
Disconnect &amp; remove existing brass fittings
Disconnect &amp; remove existing section of gas service connecting to main meter
Disconnect &amp; removal of existing gas support brackets &amp; clips
Disconnect &amp; removal of existing gas service up to 30M – Exposed (If Applicable)
Disconnect &amp; removal of existing gas service connecting to gas hot water system
Disconnect &amp; removal of existing gas service connecting to gas heater
Disconnect &amp; removal of existing gas service connecting to 
Disconnect &amp; removal of existing gas emergency isolation valve
Disconnect &amp; removal of existing brass fittings
Core hole penetrate through eaves 
Clean &amp; prepare work area
Prepare property for installation of new gas service in copper up to 30M
Supply &amp; install new gas service connecting to gas hot water system
Supply &amp; install new gas service connecting to gas space heater
Supply &amp; install new main gas service in copper up to 30M – Exposed
Supply &amp; install new brass fittings
Supply &amp; install new B-press fittings
Supply &amp; install new emergency isolation valves
Supply &amp; install new brackets, clips &amp; supports
Secure new gas service
Supply &amp; install main gas meter union kit
Supply &amp; install new main gas meter regulator
Supply &amp; install new main gas meter gasket kit
Reinstall existing main gas meter
Connect new gas service to main gas meter
Restoration of work area
Removal of trade waste
Test &amp; commission installation
Provide new certificate of compliance
PLEASE NOTE IF FURTHER WORK REQUIRED OTHER THEN QUOTED WORK FURTHER COST WILL APPLY</t>
        </r>
      </text>
    </comment>
    <comment ref="G335" authorId="0" shapeId="0" xr:uid="{C5386D77-7206-4A09-B60C-EAA6785053A7}">
      <text>
        <r>
          <rPr>
            <sz val="11"/>
            <color theme="1"/>
            <rFont val="Aptos Narrow"/>
            <family val="2"/>
            <scheme val="minor"/>
          </rPr>
          <t>Unknown User:
SUPPLY &amp; INSTALLATION OF GAS STORAGE HOT WATER SYSTEM (EXTERNAL)
Isolate main water supply to property
Isolate main gas supply to property
Disconnect main gas supply to existing hot water system
Disconnect main cold-water supply to existing gas hot water system
Disconnect main hot water supply to existing gas hot water system
Disconnect existing plumbing connecting to existing gas hot water system
Drain existing gas hot water system
Removal of existing gas hot water system
Removal of existing brass fittings
Disconnect &amp; removal existing section of gas service connecting to existing internal hot water system
Disconnect &amp; removal of existing section of cold-water supply connecting to existing gas hot water system
Disconnect &amp; removal of existing section of hot supply connecting to existing section of gas hot water system
Clean &amp; prepare worked area
Supply &amp; install new external gas storage hot water system
Supply &amp; install new gas emergency isolation valve
Supply &amp; install new duo valve
Supply &amp; install new pressure limiting valve
Supply &amp; install tempering valve
Supply &amp; install new pressure relief valve
Supply &amp; install new B-press fittings
Supply &amp; install new Brass fittings
Supply &amp; install new section of copper gas service &amp; connect to new gas storage hot water system
Supply &amp; install new section of cold-water service &amp; connect to new gas storage hot water system
Supply &amp; install new section of hot water copper service &amp; connect to new gas storage hot water system
Supply &amp; install new pressure relief valve drain service in copper in accordance with AS3500
Reinstate main water supply to property
Reinstate main gas supply to property
Test &amp; commission installation
Removal of trade waste
PLEASE NOTE IF FURTHER WORK REQUIRED OUTSIDE OF QUOTED WORKS ADDITIONAL COSTS WILL APPLY</t>
        </r>
      </text>
    </comment>
    <comment ref="G339" authorId="0" shapeId="0" xr:uid="{242C9262-C771-4E3F-B4A7-606FC3B1DBCE}">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E360" authorId="1" shapeId="0" xr:uid="{3E14BABA-DA33-4CC5-8DF0-4ABC3F635E81}">
      <text>
        <t>[Threaded comment]
Your version of Excel allows you to read this threaded comment; however, any edits to it will get removed if the file is opened in a newer version of Excel. Learn more: https://go.microsoft.com/fwlink/?linkid=870924
Comment:
    Checked</t>
      </text>
    </comment>
    <comment ref="E361" authorId="2" shapeId="0" xr:uid="{425ACBDE-232F-444D-96FC-933DCD01EB2C}">
      <text>
        <t>[Threaded comment]
Your version of Excel allows you to read this threaded comment; however, any edits to it will get removed if the file is opened in a newer version of Excel. Learn more: https://go.microsoft.com/fwlink/?linkid=870924
Comment:
    Stock</t>
      </text>
    </comment>
    <comment ref="E362" authorId="3" shapeId="0" xr:uid="{C8DA95FF-4022-41F5-81FD-BDA6F9248E40}">
      <text>
        <t>[Threaded comment]
Your version of Excel allows you to read this threaded comment; however, any edits to it will get removed if the file is opened in a newer version of Excel. Learn more: https://go.microsoft.com/fwlink/?linkid=870924
Comment:
    Stock</t>
      </text>
    </comment>
    <comment ref="E363" authorId="4" shapeId="0" xr:uid="{020C1716-00EA-4F5B-9384-AD4171F46AB9}">
      <text>
        <t>[Threaded comment]
Your version of Excel allows you to read this threaded comment; however, any edits to it will get removed if the file is opened in a newer version of Excel. Learn more: https://go.microsoft.com/fwlink/?linkid=870924
Comment:
    Checked</t>
      </text>
    </comment>
    <comment ref="E364" authorId="5" shapeId="0" xr:uid="{7CE38F8D-6991-4805-A296-22584CCFDFDE}">
      <text>
        <t>[Threaded comment]
Your version of Excel allows you to read this threaded comment; however, any edits to it will get removed if the file is opened in a newer version of Excel. Learn more: https://go.microsoft.com/fwlink/?linkid=870924
Comment:
    Checked</t>
      </text>
    </comment>
    <comment ref="G372" authorId="0" shapeId="0" xr:uid="{DAE14939-F951-482B-AD49-D8BCB3BAB7F6}">
      <text>
        <r>
          <rPr>
            <sz val="11"/>
            <color theme="1"/>
            <rFont val="Aptos Narrow"/>
            <family val="2"/>
            <scheme val="minor"/>
          </rPr>
          <t>Unknown User:
HIGH POWERED SUCTION PUMP
Gain access to sewer service
Gain access to sewer fixture
Set up high powered suction pump
First attempt to clear blocked sewer using high powered suction pump
Attempt to clear sewer service using high powered suction pump
Attempt to clear debris from sewer service
Attempt to flush out sewer service &amp; debris
Test &amp; commission work completed
Removal of trade waste
PLEASE NOTE IF BLOCKAGES DOES NOT CLEAR FURTHER COST WILL APPLY. THIS IS A FIRST ATTEMPT</t>
        </r>
      </text>
    </comment>
    <comment ref="G373" authorId="0" shapeId="0" xr:uid="{DF2EBCA5-BBB7-48F3-A674-33F0EAD69385}">
      <text>
        <r>
          <rPr>
            <sz val="11"/>
            <color theme="1"/>
            <rFont val="Aptos Narrow"/>
            <family val="2"/>
            <scheme val="minor"/>
          </rPr>
          <t>Unknown User:
 Arrive on-site and found customer to have heard banging in the house. In order to identify we recommend the following:
FULL PROPERTY SEARCH AND INVESTIGATION
*Gain access to worked area
*Isolate the water supply to the property
*Conduct pressure test on main water service
*Ensure property has compliant property pressure
*Gain access to gas meter
*Disconnect and removal of gas meter unions
*Conduct specialist manometer test on gas service to ensure no leaks or irregular pressure
*Gain access to beneath the house
*Conduct a full property search and investigation
*Cut and removal of gyprock if required
*Provide additional quote for rectification work if required
PLEASE NOTE IF FURTHER WORKS ARE REQUIRED ADDITIONAL COSTS</t>
        </r>
      </text>
    </comment>
    <comment ref="Q373" authorId="0" shapeId="0" xr:uid="{7E9030D4-517A-4C52-A299-DA91C46B9313}">
      <text>
        <r>
          <rPr>
            <sz val="11"/>
            <color theme="1"/>
            <rFont val="Aptos Narrow"/>
            <family val="2"/>
            <scheme val="minor"/>
          </rPr>
          <t>Unknown User:
Final invoice combined &amp; raised for 2 estimates</t>
        </r>
      </text>
    </comment>
    <comment ref="G374" authorId="0" shapeId="0" xr:uid="{623EC389-2BD0-4E14-B6CF-8150ED9BAAE2}">
      <text>
        <r>
          <rPr>
            <sz val="11"/>
            <color theme="1"/>
            <rFont val="Aptos Narrow"/>
            <family val="2"/>
            <scheme val="minor"/>
          </rPr>
          <t>Unknown User:
RECTIFICATION OF WATER METER (IN GROUND)
Obtain service location diagram
Obtain dial before dig
Set up safe working area
Dig &amp; excavate ground area
Expose main water service inlet connecting to main water meter
Expose main water service outlet connecting to property
Disconnect main meter unions
Disconnect &amp; removal of main water meter
Disconnect &amp; removal of existing main water meter unions
Disconnect &amp; removal of existing brass fittings
Cut &amp; removal of existing section of main water service outlet
Clean existing water service live under pressure
Prepare main water service outlet for new connection
Supply &amp; install section of new copper water service to main meter outlet
Supply and install new tap stand
Supply and install new tap bracket 
Supply &amp; install new brass fittings
Supply &amp; install new B-press fittings
Supply and install new pressure reduction valve
Supply and install new garden tap
Supply &amp; install new main meter union kit
Supply &amp; install new main meter gasket kit
Reinstall main water meter
Use of specialist crimping tool
Crimp new water service
Concrete newly install tap bracket in place 
Reinstate water supply to property
Conduct pressure test on service to ensure no further leaks
Test &amp; commission installation
Back fill worked area
Removal of trade waste
PLEASE NOTE IF FURTHER WORK REQUIRED OTHER THEN QUOTED WORK FURTHER COST WILL APPLY
10% Seniors &amp; Pensioners Discount</t>
        </r>
      </text>
    </comment>
    <comment ref="G375" authorId="0" shapeId="0" xr:uid="{6756845D-FEB5-442F-8778-AC516E3EDA90}">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
COMPLETE SERVICE OF TAP TOP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using specialist tungsten re-seating tool
Flush out breach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Reinstall hot &amp; cold-water tapware
Reinstall hot &amp; cold-water locking nuts
Reinstate cold water supply to property
Reinstate hot water supply to property
Test &amp; commission installation
Removal of trade waste
PLEASE NOTE IF FURTHER WORK REQUIRED OUTSIDE OF QUOTED WORKS ADDITIONAL COSTS WILL APPLY. IF BREECH IS FOUND TO BE DAMAGED FURTHER COSTS WILL APPLY.</t>
        </r>
      </text>
    </comment>
    <comment ref="L375" authorId="0" shapeId="0" xr:uid="{AA1521F0-B7E8-4FBC-9800-67E43B02C304}">
      <text>
        <r>
          <rPr>
            <sz val="11"/>
            <color theme="1"/>
            <rFont val="Aptos Narrow"/>
            <family val="2"/>
            <scheme val="minor"/>
          </rPr>
          <t>Unknown User:
CCTV pics not uploaded</t>
        </r>
      </text>
    </comment>
    <comment ref="G376" authorId="0" shapeId="0" xr:uid="{9661A689-94B9-465C-89A1-A2E1F7050622}">
      <text>
        <r>
          <rPr>
            <sz val="11"/>
            <color theme="1"/>
            <rFont val="Aptos Narrow"/>
            <family val="2"/>
            <scheme val="minor"/>
          </rPr>
          <t>Unknown User:
SEWER SPOT DIG UP TO 1.5M (UNDER PAVERS)
Obtain Sewer Diagram
Obtain Dial Before Dig
Obtain Service Location Diagram
Set Up Safe Work Area
Set Up Builders Plastic
Set Up Barricades for Safety
Removal of pavers – In Required location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Re-Jetblast Sewer Service
Re-Camera and Investigate Further
Supply &amp; Install New Section of Sewer Service Up to 1.5M
Supply &amp; Install New Sewer Junctions (If Required)
Supply &amp; Install New I/O Inspection Point
Supply &amp; Install New BTS and Raise to Ground Level
Supply &amp; Install New PVC Fittings
Connect New Section of Sewer Service to Existing Sewer Service
Concrete Encase New Connections to Existing Sewer Service
Encase New Section of Sewer Service with Blue Metal
Backfill Excavated Area
Compact ground area for Reinstallation of pavers
Prepare worked area for Re-Installation of pavers
Prepare Worked Area for Re-Paving
Re-Install pavers in worked area
Restoration of worked area
Test &amp; Commission Installation
Remove Trade Waste
PLEASE NOTE IF FURTHER WORK REQUIRED OTHER THEN QUOTED WORK FURTHER COST WILL APPLY
CREDIT HIGH POWERED JETBLAST &amp; CCTV CAMERA</t>
        </r>
      </text>
    </comment>
    <comment ref="N376" authorId="0" shapeId="0" xr:uid="{B029B653-628F-4481-9E3B-6FD15F2E222A}">
      <text>
        <r>
          <rPr>
            <sz val="11"/>
            <color theme="1"/>
            <rFont val="Aptos Narrow"/>
            <family val="2"/>
            <scheme val="minor"/>
          </rPr>
          <t xml:space="preserve">Unknown User:
Quote raised in job #71420
</t>
        </r>
      </text>
    </comment>
    <comment ref="Q376" authorId="0" shapeId="0" xr:uid="{231498F4-E91C-428D-B47B-1E8EB88CF72A}">
      <text>
        <r>
          <rPr>
            <sz val="11"/>
            <color theme="1"/>
            <rFont val="Aptos Narrow"/>
            <family val="2"/>
            <scheme val="minor"/>
          </rPr>
          <t>Unknown User:
Invoice not raised until 17/07-6:30pm (AEST)</t>
        </r>
      </text>
    </comment>
    <comment ref="G377" authorId="0" shapeId="0" xr:uid="{9A8CB197-5684-499B-A8F1-CFB43AF6E4A7}">
      <text>
        <r>
          <rPr>
            <sz val="11"/>
            <color theme="1"/>
            <rFont val="Aptos Narrow"/>
            <family val="2"/>
            <scheme val="minor"/>
          </rPr>
          <t>Unknown User:
SUPPLY &amp; INSTALLATION OF ELECTRIC INSTANTANEOUS HOT WATER SYSTEM (SINGLE PHASE)
Isolate main water supply to property
Isolate main electrical supply to property
Disconnect electrical supply instant hot water system
Disconnect existing cold-water supply
Disconnect existing hot-water supply
Disconnect &amp; removal of existing single phase instant hot water system
Disconnect &amp; removal of existing brass fittings
Disconnect &amp; removal of existing valves
Clean &amp; prepare worked area
Supply &amp; install new Single Phase instant hot water system
Supply &amp; install new brass fittings
Supply &amp; install new section of cold-water supply
Supply &amp; install new section of hot water supply
Supply &amp; install new valve kit
Connect cold water supply to new instant hot water system
Connect hot water supply to new instant hot water system
Connect power supply to new instant hot water system
Reinstate main water supply
Reinstate main power supply
Test &amp; commission installation
Removal of trade waste
PLEASE NOTE IF FURTHER WORK REQUIRED OUTSIDE OF QUOTED WORKS ADDITIONAL COSTS WILL APPLY</t>
        </r>
      </text>
    </comment>
    <comment ref="U377" authorId="0" shapeId="0" xr:uid="{559BAF0B-B4A9-4740-AC56-88C2E809F47C}">
      <text>
        <r>
          <rPr>
            <sz val="11"/>
            <color theme="1"/>
            <rFont val="Aptos Narrow"/>
            <family val="2"/>
            <scheme val="minor"/>
          </rPr>
          <t>Unknown User:
15/07-As per Harrison's note - "Notes on the conversation w customer:
We did a supply/install of a HW system and the new one we installed isn't as hot as the old one used to get prior to it breaking and the pressure is off. He doesn't want anyone coming out to trouble shoot the issue. We installed a 18kw instead of a 27kw unit."</t>
        </r>
      </text>
    </comment>
    <comment ref="G378" authorId="0" shapeId="0" xr:uid="{1AF4F6CC-5C48-41B4-8039-A325817B86A4}">
      <text>
        <r>
          <rPr>
            <sz val="11"/>
            <color theme="1"/>
            <rFont val="Aptos Narrow"/>
            <family val="2"/>
            <scheme val="minor"/>
          </rPr>
          <t>Unknown User:
COMPLETE SERVICE OF TAP TOP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using specialist tungsten re-seating tool
Flush out breach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Reinstall hot &amp; cold-water tapware
Reinstall hot &amp; cold-water locking nuts
Reinstate cold water supply to property
Reinstate hot water supply to property
Test &amp; commission installation
Removal of trade waste
PLEASE NOTE IF FURTHER WORK REQUIRED OUTSIDE OF QUOTED WORKS ADDITIONAL COSTS WILL APPLY. IF BREECH IS FOUND TO BE DAMAGED FURTHER COSTS WILL APPLY.
SEARCH AND INVESTIGATION OF GAS INSTANTANEOUS HOT WATER SYSTEM
Gain access to gas instantaneous hot water system
Gain access to main gas isolation valve to property
Removal of main test point at main meter
Test main gas supply with specialist manometer device
Reinstall main test point at main meter
Gain access to instantaneous hot water system test point
Removal of test point on existing instantaneous hot water system
Conduct gas supply with specialist manometer device at instantaneous hot water system
Reinstall test point to gas instantaneous hot water system
Visually inspect gas supply and fittings to hot water system
Conduct soapy spray test on fittings and pipework (IF REQUIRED)
Check gas supply pressure to hot water system and control unit
Check integrity of gas isolation valve at hot water system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repair.</t>
        </r>
      </text>
    </comment>
    <comment ref="G379" authorId="0" shapeId="0" xr:uid="{D20A5A08-40D1-4D3C-91D8-1974B1644C0E}">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
$89 Blocked Drains Discount</t>
        </r>
      </text>
    </comment>
    <comment ref="G380" authorId="0" shapeId="0" xr:uid="{5D3AE73F-003A-47AC-9125-912E80628305}">
      <text>
        <r>
          <rPr>
            <sz val="11"/>
            <color theme="1"/>
            <rFont val="Aptos Narrow"/>
            <family val="2"/>
            <scheme val="minor"/>
          </rPr>
          <t xml:space="preserve">Unknown User:
SUPPLY &amp; INSTALLATION OF NEW EMERGENCY ISOLATION VALVES &amp; STAINLESS STEEL FLEXIBLE CONNECTION KIT ON BASIN OR SINK
Isolate main water supply to property
Disconnect &amp; remove existing cold-water supply
Disconnect &amp; remove existing hot water supply
Disconnect &amp; remove existing fittings
Clean No.19 threads
Supply &amp; install new cold water emergency isolation valve
Supply &amp; install new hot water emergency isolation valve
Supply &amp; install cold-water stainless-steel flexi hose
Supply &amp; install hot water stainless steel flexi hose
Reconnect cold water supply to new emergency isolation valve
Reconnect hot water supply to new emergency isolation valve
Reinstate main water supply to property
Test &amp; commission installation
Removal of trade waste
PLEASE NOTE IF FURTHER WORK REQUIRED OTHER THAN QUOTED WORK FURTHER COST WILL APPLY.
$85 Off First Service
15% Good Will Discount
</t>
        </r>
      </text>
    </comment>
    <comment ref="G381" authorId="0" shapeId="0" xr:uid="{8260D6AB-5933-48FB-8FEC-B21420FE822C}">
      <text>
        <r>
          <rPr>
            <sz val="11"/>
            <color theme="1"/>
            <rFont val="Aptos Narrow"/>
            <family val="2"/>
            <scheme val="minor"/>
          </rPr>
          <t>Unknown User:
WATER SERVICE RECTIFICATION (EXPOSED)
Isolate water supply to property
Gain access to damaged water service
Cut &amp; removal of existing damaged water service
Clean existing water service
Prepare existing water service for new connections
Flush out water service free of potential debris
Supply &amp; install new section of new water service up to 0.5M
Supply &amp; install new Press fittings
Connect new section of water service to existing water service
Use of specialist hydraulic crimping tool
Crimp new section of water service
Reinstate water supply
Conduct pressure test on water service to ensure no further leaks
Removal of trade waste
Test &amp; commission installation
PLEASE NOTE IF FURTHER WORK REQUIRED OTHER THEN QUOTED WORK FURTHER COST WILL APPLY
10% Seniors &amp; Pensioners Discount</t>
        </r>
      </text>
    </comment>
    <comment ref="W381" authorId="0" shapeId="0" xr:uid="{ED853BCF-380A-4D53-9311-281DDE3E2073}">
      <text>
        <r>
          <rPr>
            <sz val="11"/>
            <color theme="1"/>
            <rFont val="Aptos Narrow"/>
            <family val="2"/>
            <scheme val="minor"/>
          </rPr>
          <t>Unknown User:
Cash denomination
$50*33 = $1650
$5*1 = $5
$2*4 = $8
$1*1 = $1
$0.20*1 = $0.20
$0.10*1 = $0.10
  Total - $1664.30</t>
        </r>
      </text>
    </comment>
    <comment ref="G382" authorId="0" shapeId="0" xr:uid="{1256062C-C175-48D8-9A1B-55BEB10B94D3}">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M382" authorId="0" shapeId="0" xr:uid="{D0EA32E3-9B30-4278-AFAF-2CB5DFE569A7}">
      <text>
        <r>
          <rPr>
            <sz val="11"/>
            <color theme="1"/>
            <rFont val="Aptos Narrow"/>
            <family val="2"/>
            <scheme val="minor"/>
          </rPr>
          <t>Unknown User:
Receipt for $1251.80 not uploaded by plumber, now uploaded Modoras team</t>
        </r>
      </text>
    </comment>
    <comment ref="G383" authorId="0" shapeId="0" xr:uid="{1A067A69-863A-4C30-BBF1-F1C2E9E349CA}">
      <text>
        <r>
          <rPr>
            <sz val="11"/>
            <color theme="1"/>
            <rFont val="Aptos Narrow"/>
            <family val="2"/>
            <scheme val="minor"/>
          </rPr>
          <t xml:space="preserve">Unknown User:
COMMERCIAL HIGH POWERED JETBLAST &amp; CCTV DRAIN CAMERA INSPECTION
Set up high commercial powered Jet blaster
Set up High powered mini-Reel
Set up high powered Turbines
Set up specialist CCTV Camera
Set up Specialist locator
Disconnect and removal of toilet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Reinstate toilet 
Reseal toilet pan 
Removal of trade waste 
Tidy all working areas 
PLEASE NOTE IF BLOCKAGE DOES NOT CLEAR FURTHER COST WILL APPLY. THIS IS A FIRST ATTEMPT.
10% Seniors &amp; Pensioners Discount
</t>
        </r>
      </text>
    </comment>
    <comment ref="M383" authorId="0" shapeId="0" xr:uid="{7D60BBA2-4873-4575-B388-7CA3A722478B}">
      <text>
        <r>
          <rPr>
            <sz val="11"/>
            <color theme="1"/>
            <rFont val="Aptos Narrow"/>
            <family val="2"/>
            <scheme val="minor"/>
          </rPr>
          <t>Unknown User:
Receipt for $441.65 not uploaded by plumber, now uploaded by Modoras Team</t>
        </r>
      </text>
    </comment>
    <comment ref="N383" authorId="0" shapeId="0" xr:uid="{43E6360A-4687-4F12-B02D-ED5EED905FD5}">
      <text>
        <r>
          <rPr>
            <sz val="11"/>
            <color theme="1"/>
            <rFont val="Aptos Narrow"/>
            <family val="2"/>
            <scheme val="minor"/>
          </rPr>
          <t>Unknown User:
Quote raised in Job #71502</t>
        </r>
      </text>
    </comment>
    <comment ref="Q383" authorId="0" shapeId="0" xr:uid="{5F372BFC-FAD1-439D-9EAB-0C89FD3ECF7A}">
      <text>
        <r>
          <rPr>
            <sz val="11"/>
            <color theme="1"/>
            <rFont val="Aptos Narrow"/>
            <family val="2"/>
            <scheme val="minor"/>
          </rPr>
          <t>Unknown User:
Final invoice not raised</t>
        </r>
      </text>
    </comment>
    <comment ref="G384" authorId="0" shapeId="0" xr:uid="{C009AF92-3DBF-4158-8EF4-31F1DB527371}">
      <text>
        <r>
          <rPr>
            <sz val="11"/>
            <color theme="1"/>
            <rFont val="Aptos Narrow"/>
            <family val="2"/>
            <scheme val="minor"/>
          </rPr>
          <t>Unknown User:
SPECIALIST LEAK DETECTION (WATER SERVICE)
Obtain service location diagram
Obtain dial before dig
Isolate main water supply to property
Disconnect main meter
Conduct pressure test on cold water service
Conduct pressure test on hot water service
Trace cold water service
Trace hot water service
Use specialist thermal imaging camera
Use specialist acoustic leak detection equipment
Use specialist acoustic sounder
Conduct specialist dye testing on areas of concern
Conduct specialist leak detection on property
Plug balcony drainage and conduct flood testing 
Identify &amp; locate potential leak
Provide additional quote for rectification work
PLEASE NOTE IF FURTHER WORK REQUIRED OTHER THEN QUOTED WORK FURTHER COST WILL APPLY</t>
        </r>
      </text>
    </comment>
    <comment ref="N384" authorId="0" shapeId="0" xr:uid="{79C3E789-5A82-48DF-9B81-CCECB98A7951}">
      <text>
        <r>
          <rPr>
            <sz val="11"/>
            <color theme="1"/>
            <rFont val="Aptos Narrow"/>
            <family val="2"/>
            <scheme val="minor"/>
          </rPr>
          <t>Unknown User:
Quote not raised</t>
        </r>
      </text>
    </comment>
    <comment ref="G385" authorId="0" shapeId="0" xr:uid="{F9868550-B007-409B-BD77-0A0141C4C2B7}">
      <text>
        <r>
          <rPr>
            <sz val="11"/>
            <color theme="1"/>
            <rFont val="Aptos Narrow"/>
            <family val="2"/>
            <scheme val="minor"/>
          </rPr>
          <t>Unknown User:
SEARCH &amp; INVESTIGATION (GENERAL)
Set up safe worked area Isolate main water supply to property
Gain access to cold water supply
Gain access to hot water supply
Set up specialist pressure testing equipment
Conduct pressure test on cold water service
Conduct pressure test on hot water service
Conduct search &amp; investigation on property in attempt to locate leak
Conduct flood testing in kitchen area
Cut &amp; removal of gyprock (If required)
Provide additional quote for rectification work
Removal of any trade waste
Please note, if unable to find leak additional cost will apply for a specialist leak detection
PLEASE NOTE IF FURTHER WORK REQUIRED OTHER THEN QUOTED WORK FURTHER COST WILL APPLY</t>
        </r>
      </text>
    </comment>
    <comment ref="N385" authorId="0" shapeId="0" xr:uid="{5BE8C9E1-93F4-48E1-B34A-761F83DF8C83}">
      <text>
        <r>
          <rPr>
            <sz val="11"/>
            <color theme="1"/>
            <rFont val="Aptos Narrow"/>
            <family val="2"/>
            <scheme val="minor"/>
          </rPr>
          <t>Unknown User:
Quote not raised</t>
        </r>
      </text>
    </comment>
    <comment ref="Q385" authorId="0" shapeId="0" xr:uid="{E3119A36-D285-4DD6-828D-5532CE40AD65}">
      <text>
        <r>
          <rPr>
            <sz val="11"/>
            <color theme="1"/>
            <rFont val="Aptos Narrow"/>
            <family val="2"/>
            <scheme val="minor"/>
          </rPr>
          <t>Unknown User:
Final invoice not raised</t>
        </r>
      </text>
    </comment>
    <comment ref="W385" authorId="0" shapeId="0" xr:uid="{9396049F-8537-4A94-ADD1-11EFCDA5CE41}">
      <text>
        <r>
          <rPr>
            <sz val="11"/>
            <color theme="1"/>
            <rFont val="Aptos Narrow"/>
            <family val="2"/>
            <scheme val="minor"/>
          </rPr>
          <t xml:space="preserve">Unknown User:
Cash Denomination
$100*6 = $600
$50*20 = $1000
$5*1 = $5
$2*1 = $2
$0.10*1 = $0.10
 Total - $1607.10
</t>
        </r>
      </text>
    </comment>
    <comment ref="G386" authorId="0" shapeId="0" xr:uid="{CAED0796-8E25-49D1-8C9B-AC17981F3D9F}">
      <text>
        <r>
          <rPr>
            <sz val="11"/>
            <color theme="1"/>
            <rFont val="Aptos Narrow"/>
            <family val="2"/>
            <scheme val="minor"/>
          </rPr>
          <t>Unknown User:
SEARCH &amp; INVESTIGATION OF GAS APPLIANCE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appliance cover plates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t>
        </r>
      </text>
    </comment>
    <comment ref="G387" authorId="0" shapeId="0" xr:uid="{7D5871FA-A58F-44CC-A273-8BBA51F53D8A}">
      <text>
        <r>
          <rPr>
            <sz val="11"/>
            <color theme="1"/>
            <rFont val="Aptos Narrow"/>
            <family val="2"/>
            <scheme val="minor"/>
          </rPr>
          <t>Unknown User:
SEARCH &amp; INVESTIGATION OF GAS STORAGE HOT WATER SYSTEM
Gain access to gas hot water system
Gain access to main gas isolation valve to property
Test gas supply with specialist manometer device
Visually inspect gas supply and fittings to hot water system
Use soapy spray on fittings and pipework
Check gas supply pressure to hot water system and control unit
Check integrity of gas isolation valve at hot water system
Check power supply to hot water system using testing pen
Check electrical box (IF REQUIRED)
Check circuit switch (IF REQUIRED)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will apply.</t>
        </r>
      </text>
    </comment>
    <comment ref="G388" authorId="0" shapeId="0" xr:uid="{2F2E863B-25EF-4B06-951F-40079169573C}">
      <text>
        <r>
          <rPr>
            <sz val="11"/>
            <color theme="1"/>
            <rFont val="Aptos Narrow"/>
            <family val="2"/>
            <scheme val="minor"/>
          </rPr>
          <t>Unknown User:
HIGH POWERED SUCTION PUMP
Gain access to sewer service
Gain access to sewer fixture
Set up high powered suction pump
First attempt to clear blocked sewer using high powered suction pump
Attempt to clear sewer service using high powered suction pump
Attempt to clear debris from sewer service
Attempt to flush out sewer service &amp; debris
Test &amp; commission work completed
Removal of trade waste
PLEASE NOTE IF BLOCKAGES DOES NOT CLEAR FURTHER COST WILL APPLY. THIS IS A FIRST ATTEMPT</t>
        </r>
      </text>
    </comment>
    <comment ref="G389" authorId="0" shapeId="0" xr:uid="{CE7F2664-9A22-4BD0-B3FB-8F2E812602A4}">
      <text>
        <r>
          <rPr>
            <sz val="11"/>
            <color theme="1"/>
            <rFont val="Aptos Narrow"/>
            <family val="2"/>
            <scheme val="minor"/>
          </rPr>
          <t>Unknown User:
SEARCH &amp; INVESTIGATION OF GAS APPLIANCE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appliance cover plates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t>
        </r>
      </text>
    </comment>
    <comment ref="G390" authorId="0" shapeId="0" xr:uid="{6F50ED42-23F7-4326-A6CB-3E846C17DF86}">
      <text>
        <r>
          <rPr>
            <sz val="11"/>
            <color theme="1"/>
            <rFont val="Aptos Narrow"/>
            <family val="2"/>
            <scheme val="minor"/>
          </rPr>
          <t>Unknown User:
SUPPLY &amp; INSTALLATION OF NEW BRASS HOSE TAP
Isolate main cold-water supply to property
Disconnect &amp; removal of existing garden hose tap
Disconnect &amp; removal of existing sealant
Clean internal No.19 thread
Supply &amp; install new sealant
Supply &amp; install new brass hose tap
Reinstate main water supply to property
Test &amp; commission installation
Removal of trade waste
PLEASE NOTE IF FURTHER WORK REQUIRED OTHER THEN QUOTED WORK FURTHER COST WILL APPLY</t>
        </r>
      </text>
    </comment>
    <comment ref="V390" authorId="0" shapeId="0" xr:uid="{18E9E4D4-7920-44D6-AB11-AD23335B1D3B}">
      <text>
        <r>
          <rPr>
            <sz val="11"/>
            <color theme="1"/>
            <rFont val="Aptos Narrow"/>
            <family val="2"/>
            <scheme val="minor"/>
          </rPr>
          <t xml:space="preserve">Unknown User:
18/07 Received totally for 2 estimates 
$639.10 for #86211506
$2786.30 for #86212320
</t>
        </r>
      </text>
    </comment>
    <comment ref="G391" authorId="0" shapeId="0" xr:uid="{DC0195D6-5836-4526-B44B-F52572793FFD}">
      <text>
        <r>
          <rPr>
            <sz val="11"/>
            <color theme="1"/>
            <rFont val="Aptos Narrow"/>
            <family val="2"/>
            <scheme val="minor"/>
          </rPr>
          <t>Unknown User:
WATER SERVICE RECTIFICATION (IN GROUND)
Obtain service location diagram
Obtain dial before dig
Isolate water supply to property
Set up safe working area
Mark out ground area in required location
Dig &amp; excavate ground area
Expose existing section of damaged water service
Cut &amp; removal of existing damaged water service
Clean existing water service
Prepare existing water service for new connections
Flush out water service free of potential debris
Supply &amp; install new section of new water service up to 1M
Supply &amp; install new Press fittings
Connect new section of water service to existing water service
Use of specialist hydraulic crimping tool
Crimp new section of water service
Reinstate water supply
Conduct pressure test on water service to ensure no further leaks
Back fill worked area
Removal of trade waste
Test &amp; commission installation
PLEASE NOTE IF FURTHER WORK REQUIRED OTHER THEN QUOTED WORK FURTHER COST WILL APPLY</t>
        </r>
      </text>
    </comment>
    <comment ref="V391" authorId="0" shapeId="0" xr:uid="{1C553D9D-3675-4C0A-9AF0-996CFFF4F946}">
      <text>
        <r>
          <rPr>
            <sz val="11"/>
            <color theme="1"/>
            <rFont val="Aptos Narrow"/>
            <family val="2"/>
            <scheme val="minor"/>
          </rPr>
          <t xml:space="preserve">Unknown User:
18/07 Received totally for 2 estimates 
$639.10 for #86211506
$2786.30 for #86212320
</t>
        </r>
      </text>
    </comment>
    <comment ref="G396" authorId="0" shapeId="0" xr:uid="{8F7315A9-F40A-4B16-8C74-C1A957432C10}">
      <text>
        <r>
          <rPr>
            <sz val="11"/>
            <color theme="1"/>
            <rFont val="Aptos Narrow"/>
            <family val="2"/>
            <scheme val="minor"/>
          </rPr>
          <t>Unknown User:
SUPPLY &amp; INSTALLATION OF NEW LINK SUITE
Isolate main water supply to property
Disconnect cold water supply to existing toilet cistern
Removal of existing cold-water supply to toilet cistern
Disconnect &amp; removal of existing emergency isolation valve
Disconnect &amp; removal of existing toilet cistern
Disconnect &amp; removal of existing toilet seat
Disconnect &amp; removal of existing toilet pan
Disconnect &amp; removal of existing toilet pan collar
Disconnect &amp; removal of existing bedding / sealant
Clean &amp; prepare worked area
Supply &amp; install new toilet pan collar
Supply &amp; install new toilet pan
Supply &amp; install new toilet cistern
Supply &amp; install new toilet seat
Secure new toilet seat to new toilet pan
Supply &amp; install new cold-water stainless-steel flexi hose
Connect new cold-water stainless-steel flexi hose to new toilet cistern
Seal &amp; secure new toilet suite pan to floor
Reinstate water supply to property
Test &amp; commission installation
Removal of trade waste
PLEASE NOTE IF FURTHER WORK REQUIRED OUTSIDE OF QUOTED WORKS ADDITIONAL COSTS WILL APPLY
$65 First Service Discount</t>
        </r>
      </text>
    </comment>
    <comment ref="U396" authorId="0" shapeId="0" xr:uid="{0D559B46-57AF-4C34-86AB-125B46D2DBD3}">
      <text>
        <r>
          <rPr>
            <sz val="11"/>
            <color theme="1"/>
            <rFont val="Aptos Narrow"/>
            <family val="2"/>
            <scheme val="minor"/>
          </rPr>
          <t>Unknown User:
15 July-As per Jack M's note " Tested toilet upon complete. tested all good. Showed client to make sure they were happy. They were thrilled with the new toilet. As they are in a payment plan I haven’t collected anything today.</t>
        </r>
      </text>
    </comment>
    <comment ref="G397" authorId="0" shapeId="0" xr:uid="{20B75E64-1ABE-411C-A2BE-42E9EDC63631}">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G401" authorId="0" shapeId="0" xr:uid="{24346B13-D47A-4B11-B89B-9DC64D34110F}">
      <text>
        <r>
          <rPr>
            <sz val="11"/>
            <color theme="1"/>
            <rFont val="Aptos Narrow"/>
            <family val="2"/>
            <scheme val="minor"/>
          </rPr>
          <t>Unknown User:
CONVERT GAS INSTANTANEOUS HOT WATER UNIT TO ELECTRIC STORAGE TANK MADE BY RHEEM (50L)
Isolate main water supply to property
Isolate main gas supply to property
Isolate main power supply to gas instantaneous hot water system
Disconnect main cold-water supply to gas instantaneous hot water system
Disconnect main gas supply to gas instantaneous hot water system
Disconnect hot water return supply to existing gas instantaneous hot water system
Disconnect and remove existing instantaneous hot water system
Disconnect and remove existing gas emergency isolation valve
Disconnect and remove existing cold water isolation valve
Decommission and make safe the existing gas supply to the existing gas instantaneous hot water system
Reconfigure cold-water supply to suit new electric storage hot water system
Reconfigure hot-water supply to suit new electric storage hot water system
Clean and prepare worked area Supply &amp; install new prefabricated concrete slab on the ground in the desired location
Supply &amp; install a new section of cold-water service in the desired location
Supply &amp; install a new section of hot-water service in the desired location
Supply &amp; install new Duo valve
Supply &amp; install new Pressure limiting valve
Supply &amp; install new tempering valve
Supply &amp; install new pressure relief valve
Supply &amp; install new single element hot water system
Supply &amp; install new pressure relief drain service in copper, ensuring compliance with AS3500
Supply &amp; install new B-press fittings
Supply &amp; install new brass fittings
Reconnect cold water service to the new hot water unit
Reconnect hot water service to the new hot water unit
Reinstate water supply to the new hot water unit
Test and commission installation
Remove trade waste
Please Note: No Electrical included in this quote, Further cost will apply if further work required
DECOMMISSION OF EXISTING FREE STANDING OVEN AND GAS COOKTOP &amp; MAKE SAFE
Gain access to main gas meter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Gain access to existing gas service connecting to free standing oven and gas cooktop
Disconnect existing gas service connected to free standing oven and gas cooktop
Disconnect existing brass fittings connected free standing oven and gas cooktop
Disconnect existing gas appliance regulator
Disconnect &amp; remove the existing free-standing oven and gas cooktop
Supply &amp; install new brass cap to existing gas connection point to free standing oven and gas cooktop
Decommission existing gas free standing oven and gas cooktop
Make safe
Reinstate main gas supply to the property
Conduct a manometer test on the main gas service upon completion of the installation to ensure there are no leaks
Test &amp; commission the installation
Removal of all trade waste
PLEASE NOTE IF FURTHER WORK REQUIRED OTHER THEN QUOTED WORK FURTHER COST WILL APPLY</t>
        </r>
      </text>
    </comment>
    <comment ref="N401" authorId="0" shapeId="0" xr:uid="{14A5908A-0518-43E8-AF3B-B47D983C7BFC}">
      <text>
        <r>
          <rPr>
            <sz val="11"/>
            <color theme="1"/>
            <rFont val="Aptos Narrow"/>
            <family val="2"/>
            <scheme val="minor"/>
          </rPr>
          <t>Unknown User:
Quote raised in job #71449</t>
        </r>
      </text>
    </comment>
    <comment ref="G413" authorId="0" shapeId="0" xr:uid="{367775D1-9C00-4B8E-9B0B-E915BD919E3F}">
      <text>
        <r>
          <rPr>
            <sz val="11"/>
            <color theme="1"/>
            <rFont val="Aptos Narrow"/>
            <family val="2"/>
            <scheme val="minor"/>
          </rPr>
          <t>Unknown User:
 SEARCH &amp; INVESTIGATION OF GAS APPLIANCES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appliance cover plates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Check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t>
        </r>
      </text>
    </comment>
    <comment ref="O413" authorId="0" shapeId="0" xr:uid="{6FF7A06A-F5A1-46E8-8935-8B263BAECDA7}">
      <text>
        <r>
          <rPr>
            <sz val="11"/>
            <color theme="1"/>
            <rFont val="Aptos Narrow"/>
            <family val="2"/>
            <scheme val="minor"/>
          </rPr>
          <t>Unknown User:
SMS approval</t>
        </r>
      </text>
    </comment>
    <comment ref="Q413" authorId="0" shapeId="0" xr:uid="{4D6F79D1-6C04-4CAC-B094-50EC361DFFA3}">
      <text>
        <r>
          <rPr>
            <sz val="11"/>
            <color theme="1"/>
            <rFont val="Aptos Narrow"/>
            <family val="2"/>
            <scheme val="minor"/>
          </rPr>
          <t xml:space="preserve">Unknown User:
Invoice not raised
</t>
        </r>
      </text>
    </comment>
    <comment ref="G419" authorId="0" shapeId="0" xr:uid="{940CAAC7-F154-4625-B157-7712F55835D1}">
      <text>
        <r>
          <rPr>
            <sz val="11"/>
            <color theme="1"/>
            <rFont val="Aptos Narrow"/>
            <family val="2"/>
            <scheme val="minor"/>
          </rPr>
          <t>Unknown User:
REPLACEMENT OF IN WALL KITCHEN BREACH
Isolate cold water supply to property
Isolate hot water supply to property
Disconnect &amp; removal of hot water tapware
Disconnect &amp; removal of cold-water tapware
Disconnect &amp; removal of existing basin spout
Dimond cut tiles in required location
Removal of tiles in required location
Cut out section of wall
Gain access to in wall
Expose section of section cold water service in wall
Expose section of hot water service in wall
Expose existing Basin breach in wall
Cut &amp; removal of section of cold-water service in wall
Cut &amp; removal of section of hot water service in wall
Cut &amp; removal of existing basin breech in wall
Clean existing hot &amp; cold-water services
Prepare existing hot &amp; cold-water services in wall for installation of new breech
Supply &amp; install new basin breech in wall
Supply &amp; install new section of cold-water service in wall
Supply &amp; install new section of hot water service in wall
Supply &amp; install new B-press fittings
Supply &amp; install new brass fittings
Secure new in wall breech
Use of specialist hydraulic crimping tool
Crimp new press fittings in wall
Reinstate cold water supply
Reinstate hot water supply
Conduct pressure test to ensure no further leaks
Restoration of worked area
Re-install cold water tapware
Re-install hot water tapware
Reinstall basin spout
Test &amp; commission installation
Removal of trade waste
Please note tile match will not be exact but will endeavour to locate closest suitable match.
PLEASE NOTE IF FURTHER WORK REQUIRED OUTSIDE OF QUOTED WORKS ADDITIONAL COSTS WILL APPLY</t>
        </r>
      </text>
    </comment>
    <comment ref="V419" authorId="0" shapeId="0" xr:uid="{3997F5C8-E32A-4FD8-A70D-03C7EA9AA708}">
      <text>
        <r>
          <rPr>
            <sz val="11"/>
            <color theme="1"/>
            <rFont val="Aptos Narrow"/>
            <family val="2"/>
            <scheme val="minor"/>
          </rPr>
          <t>Unknown User:
12/07 Received $1000 Card</t>
        </r>
      </text>
    </comment>
    <comment ref="G423" authorId="0" shapeId="0" xr:uid="{44B897FF-7288-41AE-8B72-9D2ED26163EF}">
      <text>
        <r>
          <rPr>
            <sz val="11"/>
            <color theme="1"/>
            <rFont val="Aptos Narrow"/>
            <family val="2"/>
            <scheme val="minor"/>
          </rPr>
          <t xml:space="preserve">Unknown User:
After conducting a jet blast and cctv we have found the sewer service to be damaged and in need of replacement. In order to rectify we recommend the following:
DRAINAGE RECTIFICATION UP TO 10M
*Obtain service location diagram
*Gain access to worked area
*Disconnect and remove p trap
*Disconnect and remove section of drainage inside cabinetry
*Core hole penetrate through cabinetry
*Core hole penetrate through brick work to allow for new section of drainage
.*Clean and prepare worked area
*Supply and install new section of drainage up to 10M
*Supply and install new IO
*Supply and install new PVC fittings
*Supply and install new clips/supports
*Secure newly installed drainage service
*Connect newly installed drainage service to existing
*Test and commission installation
*Removal of trade waste
*Tidy all working areas
PLEASE NOTE IF FURTHER WORKS ARE REQUIRED ADDITIONAL COSTS WILL APPLY </t>
        </r>
      </text>
    </comment>
    <comment ref="G424" authorId="0" shapeId="0" xr:uid="{26040E33-D2B9-4B25-B338-6D14C8FBB99F}">
      <text>
        <r>
          <rPr>
            <sz val="11"/>
            <color theme="1"/>
            <rFont val="Aptos Narrow"/>
            <family val="2"/>
            <scheme val="minor"/>
          </rPr>
          <t>Unknown User:
SUPPLY &amp; INSTALLATION OF NEW CLOSE COUPLED TOILET SUITE
Isolate main water supply to property
Disconnect cold water supply to existing toilet cistern
Removal of existing cold-water supply to toilet cistern
Disconnect &amp; removal of existing emergency isolation valve
Disconnect &amp; removal of existing toilet cistern
Disconnect &amp; removal of existing toilet seat
Disconnect &amp; removal of existing toilet pan
Disconnect &amp; removal of existing toilet pan collar
Disconnect &amp; removal of existing bedding / sealant
Clean &amp; prepare worked area
Supply &amp; install new toilet pan collar
Supply &amp; install new toilet pan
Supply &amp; install new toilet cistern
Supply &amp; install new toilet seat
Secure new toilet seat to new toilet pan
Supply &amp; install new cold-water stainless-steel flexi hose
Connect new cold-water stainless-steel flexi hose to new toilet cistern
Seal &amp; secure new toilet suite pan to floor
Reinstate water supply to property
Test &amp; commission installation
Removal of trade waste
PLEASE NOTE IF FURTHER WORK REQUIRED OUTSIDE OF QUOTED WORKS ADDITIONAL COSTS WILL APPLY</t>
        </r>
      </text>
    </comment>
    <comment ref="G425" authorId="0" shapeId="0" xr:uid="{C73F15B6-47E5-4347-AFA4-8FAF3F9B1E7E}">
      <text>
        <r>
          <rPr>
            <sz val="11"/>
            <color theme="1"/>
            <rFont val="Aptos Narrow"/>
            <family val="2"/>
            <scheme val="minor"/>
          </rPr>
          <t>Unknown User:
HIGH POWERED JET BLAST &amp; CCTV DRAIN CAMERA INSPECTION (STORM WATER SERVICE)
Set up high powered Jet blaster
Set up High powered mini-Reel
Set up high powered Turbines
Set up specialist CCTV Camera
Set up Specialist locator
Gain access to storm water service
First attempt to clear blocked storm water service using high powered Jet blaster
Attempt to clear &amp; flush out storm water service using high powered Jet Blaster
Conduct specialist CCTV drain camera to inspect storm water service
Use of CCTV camera on storm water service to identify potential faults &amp; cause of blockage
If faults found use off specialist locator to pinpoint exact location of fault
PLEASE NOTE IF BLOCKAGE DOES NOT CLEAR FURTHER COST WILL APPLY. THIS IS A FIRST ATTEMPT.</t>
        </r>
      </text>
    </comment>
    <comment ref="G428" authorId="0" shapeId="0" xr:uid="{5C32760E-37A3-4778-B713-D83CE1A66854}">
      <text>
        <r>
          <rPr>
            <sz val="11"/>
            <color theme="1"/>
            <rFont val="Aptos Narrow"/>
            <family val="2"/>
            <scheme val="minor"/>
          </rPr>
          <t>Unknown User:
SEARCH &amp; INVESTIGATION OF DOUBLE STOREY ROOF OF POTENTIAL LEAK
Set up ladders
Set up working-at-height equipment
Gain safe access to the roof
Visually inspect the roof above the areas of damage
Check the condition of roof sheets or tiles
Remove roof sheets or tiles in the required location (if required)
Visually inspect underneath roof sheets or tiles for any water damage to timbers or plaster (if required)
Inspect the condition of roof penetration flashings
Inspect the condition of skylight flashing
Inspect the condition and installation of guttering
Inspect the condition of roof flashings
Inspect the condition of box gutter joins
Inspect the condition of box gutter overflows
Inspect the condition of sumps
Inspect for sufficient overflow to the roof guttering
Flood test potential defected areas on the roof
Locate water ingress from below and identify the cause of water ingress
Carry out any minor repairs (e.g., deteriorated sealant or loose roofing screws)
Reinstate roof sheets or tiles in worked area (only)
Test and commission work completed
Remove all trade waste
PLEASE NOTE IF FURTHER WORK REQUIRED OTHER THEN QUOTED WORK FURTHER COST WILL APPLY</t>
        </r>
      </text>
    </comment>
    <comment ref="G429" authorId="0" shapeId="0" xr:uid="{9ABA4B06-F834-401C-8B1E-93E29E6EED6F}">
      <text>
        <r>
          <rPr>
            <sz val="11"/>
            <color theme="1"/>
            <rFont val="Aptos Narrow"/>
            <family val="2"/>
            <scheme val="minor"/>
          </rPr>
          <t>Unknown User:
COMMERCIAL HIGH POWERED JETBLAST &amp; CCTV DRAIN CAMERA INSPECTION
Set up high commercial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
CREDIT OF SEARCH &amp; INVESTIGATION</t>
        </r>
      </text>
    </comment>
    <comment ref="G430" authorId="0" shapeId="0" xr:uid="{0DAC0789-C765-4B08-968F-295AA329045E}">
      <text>
        <r>
          <rPr>
            <sz val="11"/>
            <color theme="1"/>
            <rFont val="Aptos Narrow"/>
            <family val="2"/>
            <scheme val="minor"/>
          </rPr>
          <t xml:space="preserve">Unknown User:
SEARCH &amp; INVESTIGATION (GENERAL)
Set up safe worked area Isolate main water supply to property
Gain access to cold water supply
Gain access to hot water supply
Set up specialist pressure testing equipment
Conduct pressure test on cold water service
Conduct pressure test on hot water service
Conduct search &amp; investigation on property in attempt to locate the reason for no cold water in shower mixer
Cut &amp; removal of gyprock (If required)
Gain access to mixer cartridge and check for any signs of a blockage
Provide additional quote for rectification work
Removal of any trade waste
Please note, if unable to find leak additional cost will apply for a specialist leak detection
PLEASE NOTE IF FURTHER WORK REQUIRED OTHER THEN QUOTED WORK FURTHER COST WILL APPLY
</t>
        </r>
      </text>
    </comment>
    <comment ref="G431" authorId="0" shapeId="0" xr:uid="{143BDC93-BDFD-4303-B683-90A2B0E356AF}">
      <text>
        <r>
          <rPr>
            <sz val="11"/>
            <color theme="1"/>
            <rFont val="Aptos Narrow"/>
            <family val="2"/>
            <scheme val="minor"/>
          </rPr>
          <t>Unknown User:
SUPPLY &amp; INSTALLATION OF ELECTRIC INSTANTANEOUS HOT WATER SYSTEM (SINGLE PHASE)
Isolate main water supply to property
Isolate main electrical supply to property
Disconnect and removal of cabinet shelf
Disconnect and removal of isolation valves
Disconnect &amp; removal of existing brass fittings
Disconnect &amp; removal of existing valves
Clean &amp; prepare worked area
Supply &amp; install new Single Phase instant hot water system
Supply &amp; install new brass fittings
Supply and install new isolation valves 
Supply &amp; install new section of cold-water supply
Supply &amp; install new section of hot water supply
Supply &amp; install new valve kit
Connect cold water supply to new instant hot water system
Connect hot water supply to new instant hot water system
Connect power supply to new instant hot water system
Reinstate main water supply
Reinstate main power supply
Test &amp; commission installation
Removal of trade waste
PLEASE NOTE IF FURTHER WORK REQUIRED OUTSIDE OF QUOTED WORKS ADDITIONAL COSTS WILL APPLY</t>
        </r>
      </text>
    </comment>
    <comment ref="G432" authorId="0" shapeId="0" xr:uid="{81E4129D-1ECD-46F9-93E8-2556292FB6AC}">
      <text>
        <r>
          <rPr>
            <sz val="11"/>
            <color theme="1"/>
            <rFont val="Aptos Narrow"/>
            <family val="2"/>
            <scheme val="minor"/>
          </rPr>
          <t>Unknown User:
SEWER SPOT DIG UP TO 2M - IN GROUND</t>
        </r>
      </text>
    </comment>
    <comment ref="K432" authorId="0" shapeId="0" xr:uid="{6D458E39-C1E2-4D90-AE1A-DBA2073C6326}">
      <text>
        <r>
          <rPr>
            <sz val="11"/>
            <color theme="1"/>
            <rFont val="Aptos Narrow"/>
            <family val="2"/>
            <scheme val="minor"/>
          </rPr>
          <t>Unknown User:
Previous job pics uploaded</t>
        </r>
      </text>
    </comment>
    <comment ref="G433" authorId="0" shapeId="0" xr:uid="{B2952AE5-64D9-46D4-8C75-AF351DBC9419}">
      <text>
        <r>
          <rPr>
            <sz val="11"/>
            <color theme="1"/>
            <rFont val="Aptos Narrow"/>
            <family val="2"/>
            <scheme val="minor"/>
          </rPr>
          <t>Unknown User:
SEARCH &amp; INVESTIGATION OF GAS APPLIANCE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appliance cover plates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*Conduct carbon monoxide testing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t>
        </r>
      </text>
    </comment>
    <comment ref="G434" authorId="0" shapeId="0" xr:uid="{66D800B6-74EE-4C51-947A-2DEBEC3A3BE1}">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436" authorId="0" shapeId="0" xr:uid="{D15E2D38-8B29-40E5-BD64-73C6A0E552E9}">
      <text>
        <r>
          <rPr>
            <sz val="11"/>
            <color theme="1"/>
            <rFont val="Aptos Narrow"/>
            <family val="2"/>
            <scheme val="minor"/>
          </rPr>
          <t>Unknown User:
After conducting leak detection we have found the balcony water proofing to have failed in order to rectify this we recommend the following 
1. Site Preparation &amp; Access&lt;o:p&gt;&lt;/o:p&gt;
Arrange
safe and unobstructed access to the balcony area for personnel, tools, and
materials.&lt;o:p&gt;&lt;/o:p&gt;
Set
up appropriate drop sheets, dust control, and containment to protect
adjacent finishes and internal areas.&lt;o:p&gt;&lt;/o:p&gt;
Isolate
and protect nearby drainage, electrical, and structural elements as
required.&lt;o:p&gt;&lt;/o:p&gt;
2. Demolition &amp; Removal&lt;o:p&gt;&lt;/o:p&gt;
Carefully
remove the existing floor waste grate, ensuring no damage to the
surrounding tiles or drainage system.&lt;o:p&gt;&lt;/o:p&gt;
Mechanically
remove all existing grout lines from tiled floor areas using
oscillating tools or diamond grout saws.&lt;o:p&gt;&lt;/o:p&gt;
Remove
all existing perimeter sealant, including expansion joint silicone
and any failed polyurethane sealants from wall/floor junctions,
penetrations, and balcony edges.&lt;o:p&gt;&lt;/o:p&gt;
Collect
and bag all removed materials and debris for off-site disposal.&lt;o:p&gt;&lt;/o:p&gt;
3. Surface Cleaning &amp; Preparation&lt;o:p&gt;&lt;/o:p&gt;
Thoroughly
clean all tile and joint surfaces to remove dust, debris, mold, and
contaminants using industry-approved alkaline and acid washes.&lt;o:p&gt;&lt;/o:p&gt;
Conduct
detailed inspection for any hairline cracks, hollow tiles, or damaged
areas – to be documented for client review if additional works are
required.&lt;o:p&gt;&lt;/o:p&gt;
Ensure
surfaces are completely dry before proceeding to waterproofing and
resealing stages.&lt;o:p&gt;&lt;/o:p&gt;
4. Waterproofing &amp; Sealing&lt;o:p&gt;&lt;/o:p&gt;
Supply
and apply high-grade external tile grout, matched to existing where
possible, using flexible, mould-resistant polymer-modified grout suitable
for wet and exposed areas.&lt;o:p&gt;&lt;/o:p&gt;
Install
new perimeter and expansion joint sealant using a high-performance,
UV-resistant, flexible silicone or polyurethane product (e.g. Sika,
Bostik, or equivalent).&lt;o:p&gt;&lt;/o:p&gt;
Apply
liquid waterproofing membrane over the balcony floor surface, ensuring
full coverage including floor/wall junctions, grout lines, and around
penetrations.&lt;o:p&gt;&lt;/o:p&gt;
Membrane
applied in multiple coats as per manufacturer’s specifications, allowing
appropriate drying time between applications.&lt;o:p&gt;&lt;/o:p&gt;
Inspect
for uniformity and thickness of sealant application across entire balcony
floor area.&lt;o:p&gt;&lt;/o:p&gt;
5. Finishing &amp; Commissioning&lt;o:p&gt;&lt;/o:p&gt;
Reinstall
new or existing floor waste grate securely.&lt;o:p&gt;&lt;/o:p&gt;
Conduct
a water test / flood test to ensure waterproofing integrity and
check for any signs of leaks or failures.&lt;o:p&gt;&lt;/o:p&gt;
Perform
final quality check and sign-off, including photographic documentation (if
required).&lt;o:p&gt;&lt;/o:p&gt;
Clean
the entire area of dust, residue, and sealant overspray.&lt;o:p&gt;&lt;/o:p&gt;
Remove
all trade waste, packaging, and protective materials from site.&lt;o:p&gt;&lt;/o:p&gt;</t>
        </r>
      </text>
    </comment>
    <comment ref="E459" authorId="6" shapeId="0" xr:uid="{AEDE94A1-71BD-4CB1-8D73-C86483C68BDB}">
      <text>
        <t>[Threaded comment]
Your version of Excel allows you to read this threaded comment; however, any edits to it will get removed if the file is opened in a newer version of Excel. Learn more: https://go.microsoft.com/fwlink/?linkid=870924
Comment:
    Stock</t>
      </text>
    </comment>
    <comment ref="E460" authorId="7" shapeId="0" xr:uid="{3EDF37FF-3F38-4912-A624-9E4B8F3B5D1E}">
      <text>
        <t>[Threaded comment]
Your version of Excel allows you to read this threaded comment; however, any edits to it will get removed if the file is opened in a newer version of Excel. Learn more: https://go.microsoft.com/fwlink/?linkid=870924
Comment:
    Checked</t>
      </text>
    </comment>
    <comment ref="G470" authorId="0" shapeId="0" xr:uid="{DF488311-3820-4CEC-9B24-B226577785B3}">
      <text>
        <r>
          <rPr>
            <sz val="11"/>
            <color theme="1"/>
            <rFont val="Aptos Narrow"/>
            <family val="2"/>
            <scheme val="minor"/>
          </rPr>
          <t>Unknown User:
SEARCH &amp; INVESTIGATION OF POTENTIAL GAS LEAK
Gain access to main gas meter
Isolate the main gas supply to the property
Disconnect and removal of section of gas line 
Make alterations to the gas line to be able to get each service line
Set up specialist manometer testing equipment for main gas service
Pressurize main gas service
Conduct a pressure test on the main gas service Using Specialist manometer
Use of specialist manometer to detect potential leaks on main gas service
Trace gas service
Perform soap spray test on exposed gas service to locate potential faults
Conduct a thorough search and investigation of the gas service to identify potential faults
Reinstate the main test point to the main gas meter
Advise of potential rectification work &amp; provide additional quote to repair
PLEASE NOTE IF FURTHER WORK REQUIRED OTHER THEN QUOTED WORK FURTHER COST WILL APPLY</t>
        </r>
      </text>
    </comment>
    <comment ref="Q470" authorId="0" shapeId="0" xr:uid="{9FAB61A3-9EAA-4673-9B51-166B6676B214}">
      <text>
        <r>
          <rPr>
            <sz val="11"/>
            <color theme="1"/>
            <rFont val="Aptos Narrow"/>
            <family val="2"/>
            <scheme val="minor"/>
          </rPr>
          <t>Unknown User:
Final invoice combined &amp; raised for 2 estimates</t>
        </r>
      </text>
    </comment>
    <comment ref="G471" authorId="0" shapeId="0" xr:uid="{7F177B2F-6FC5-4091-9B6D-4E21A1F640D9}">
      <text>
        <r>
          <rPr>
            <sz val="11"/>
            <color theme="1"/>
            <rFont val="Aptos Narrow"/>
            <family val="2"/>
            <scheme val="minor"/>
          </rPr>
          <t>Unknown User:
RECTIFICATION OF GAS SERVICE (EXPOSED)
Isolate main gas supply to property
Make safe to property
Gain access section of gas service
Complete make safe on disconnected gas line 
Cut &amp; remove existing damaged gas service up to 1M
Supply &amp; install new gas section of gas service up to 1M
Supply &amp; install new press fittings
Supply &amp; install new brass fittings
Connect new section of gas service to existing gas service
Use of specialist hydraulic crimping tool
Crimp new section of gas service using specialist crimping tool
Reinstate main gas supply to the property
Set up specialist manometer gas testing equipment
Connect specialist manometer testing equipment to main gas service
Conduct specialist manometer test on the main gas service upon completion of the installation to ensure there are no leaks
Test &amp; commission the installation
Ensure each gas appliance is operational
Removal of all trade waste
Provide certificate of compliance (If gas service is compliant &amp; no leaks)
PLEASE NOTE IF FURTHER WORK REQUIRED OTHER THEN QUOTED WORK FURTHER COST WILL APPLY</t>
        </r>
      </text>
    </comment>
    <comment ref="M471" authorId="0" shapeId="0" xr:uid="{F8C127E5-5051-4269-913F-D34EFFF0CAD1}">
      <text>
        <r>
          <rPr>
            <sz val="11"/>
            <color theme="1"/>
            <rFont val="Aptos Narrow"/>
            <family val="2"/>
            <scheme val="minor"/>
          </rPr>
          <t xml:space="preserve">Unknown User:
Receipt of $353.54 is not uploaded by plumber now uploaded by Modoras team </t>
        </r>
      </text>
    </comment>
    <comment ref="Q471" authorId="0" shapeId="0" xr:uid="{186A0B2B-D4C9-4326-A806-A18B79C042D0}">
      <text>
        <r>
          <rPr>
            <sz val="11"/>
            <color theme="1"/>
            <rFont val="Aptos Narrow"/>
            <family val="2"/>
            <scheme val="minor"/>
          </rPr>
          <t>Unknown User:
Final invoice combined &amp; raised for 2 estimates</t>
        </r>
      </text>
    </comment>
    <comment ref="G472" authorId="0" shapeId="0" xr:uid="{EEDBB568-E554-41B1-9D75-B193AE129721}">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Q472" authorId="0" shapeId="0" xr:uid="{C0B5C7DC-FABB-410C-A7E6-21F226E43460}">
      <text>
        <r>
          <rPr>
            <sz val="11"/>
            <color theme="1"/>
            <rFont val="Aptos Narrow"/>
            <family val="2"/>
            <scheme val="minor"/>
          </rPr>
          <t>Unknown User:
Final invoice not Raised</t>
        </r>
      </text>
    </comment>
    <comment ref="G473" authorId="0" shapeId="0" xr:uid="{D67C641B-A57D-48A8-A06B-F609D99E64A0}">
      <text>
        <r>
          <rPr>
            <sz val="11"/>
            <color theme="1"/>
            <rFont val="Aptos Narrow"/>
            <family val="2"/>
            <scheme val="minor"/>
          </rPr>
          <t>Unknown User:
SEARCH AND INVESTIGATION OF GAS INSTANTANEOUS HOT WATER SYSTEM
Gain access to gas instantaneous hot water system
Gain access to main gas isolation valve to property
Removal of main test point at main meter
Test main gas supply with specialist manometer device
Reinstall main test point at main meter
Gain access to instantaneous hot water system test point
Removal of test point on existing instantaneous hot water system
Conduct gas supply with specialist manometer device at instantaneous hot water
system
Reinstall test point to gas instantaneous hot water system
Visually inspect gas supply and fittings to hot water system
Conduct soapy spray test on fittings and pipework (IF REQUIRED)
Check gas supply pressure to hot water system and control unit
Check integrity of gas isolation valve at hot water system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t>
        </r>
      </text>
    </comment>
    <comment ref="W473" authorId="0" shapeId="0" xr:uid="{2A4A961E-09BE-4D4C-B65E-E4D38E2DDDC8}">
      <text>
        <r>
          <rPr>
            <sz val="11"/>
            <color theme="1"/>
            <rFont val="Aptos Narrow"/>
            <family val="2"/>
            <scheme val="minor"/>
          </rPr>
          <t>Unknown User:
Cash Denomination 
$50*10 = $500
$20*2 =$40
$5*1 = $5
Coins not identifiable</t>
        </r>
      </text>
    </comment>
    <comment ref="G474" authorId="0" shapeId="0" xr:uid="{08573489-060D-4617-BFF7-B3807D63DC48}">
      <text>
        <r>
          <rPr>
            <sz val="11"/>
            <color theme="1"/>
            <rFont val="Aptos Narrow"/>
            <family val="2"/>
            <scheme val="minor"/>
          </rPr>
          <t>Unknown User:
SUPPLY &amp; INSTALLATION OF NEW INSTANTANEOUS GAS HOT WATER SYSTEM
(EXTERNAL)
Isolate main water supply to property
Isolate main gas supply to property
Isolate power supply to existing gas instantaneous hot water system
Disconnect power supply to existing gas instantaneous hot water system
Disconnect main water supply to existing instantaneous hot water system
Disconnect main gas supply to existing instantaneous hot water system
Disconnect existing return supply to existing instantaneous hot water system
Disconnect &amp; removal of existing cold water isolation valve
Disconnect &amp; removal of existing gas isolation valve
Disconnect &amp; removal of existing brass fittings
Removal of existing gas instantaneous hot water system
Removal of wall mounted brackets
Clean &amp; prepare worked area for new installation of new gas instantaneous hot water
system
Supply &amp; install new gas instantaneous hot water system
Supply and install new electrical GPO
Secure new gas instantaneous hot water system to wall
Supply &amp; install new cold water emergency isolation valve
Supply &amp; install new gas emergency isolation valve
Supply &amp; install new B-press fittings
Supply &amp; install new Brass fittings
Reconfigure cold water supply to suit new gas instantaneous hot water system
Reconfigure hot water return supply to suit new gas instantaneous hot water system
Reconfigure gas supply to suit new gas instantaneous hot water system
Reconnect cold water supply to new gas instantaneous hot water system
Reconnect hot water return supply to new gas instantaneous hot water system
Secure cold-water supply
Secure hot water supply
Secure gas supply
Reinstate main water supply to property
Reinstate main gas supply to property
Reconnect power supply to new gas instantaneous hot water system
Test &amp; commission installation
Removal of trade waste
PLEASE NOTE IF FURTHER WORK REQUIRED OUTSIDE OF QUOTED WORKS</t>
        </r>
      </text>
    </comment>
    <comment ref="W474" authorId="0" shapeId="0" xr:uid="{970D24E3-1BB2-4591-A167-DDE71CEBC143}">
      <text>
        <r>
          <rPr>
            <sz val="11"/>
            <color theme="1"/>
            <rFont val="Aptos Narrow"/>
            <family val="2"/>
            <scheme val="minor"/>
          </rPr>
          <t xml:space="preserve">Unknown User:
Cash Denomination
$50*30 = $1500
  Total - $1500
</t>
        </r>
      </text>
    </comment>
    <comment ref="G475" authorId="0" shapeId="0" xr:uid="{6D8D4BC7-7E94-4EDF-9927-7EF2193581E4}">
      <text>
        <r>
          <rPr>
            <sz val="11"/>
            <color theme="1"/>
            <rFont val="Aptos Narrow"/>
            <family val="2"/>
            <scheme val="minor"/>
          </rPr>
          <t>Unknown User:
HIGH POWERED JET BLAST &amp; CCTV DRAIN CAMERA INSPECTION (STORM WATER SERVICE)
Non-refundable call out fee</t>
        </r>
      </text>
    </comment>
    <comment ref="G476" authorId="0" shapeId="0" xr:uid="{597A7282-E03A-4004-A905-01B03CE86CBF}">
      <text>
        <r>
          <rPr>
            <sz val="11"/>
            <color theme="1"/>
            <rFont val="Aptos Narrow"/>
            <family val="2"/>
            <scheme val="minor"/>
          </rPr>
          <t xml:space="preserve">Unknown User:
HIGH POWERED JET BLAST &amp; CCTV DRAIN CAMERA INSPECTION (SEWER SERVICE)
$89 Blocked Drains Discount </t>
        </r>
      </text>
    </comment>
    <comment ref="G477" authorId="0" shapeId="0" xr:uid="{2B45C023-8D32-4ACB-8CE2-4BCFE8864921}">
      <text>
        <r>
          <rPr>
            <sz val="11"/>
            <color theme="1"/>
            <rFont val="Aptos Narrow"/>
            <family val="2"/>
            <scheme val="minor"/>
          </rPr>
          <t>Unknown User:
REPLACEMENT OF SIDE INLET CISTERN FILLING VALVE
Isolate water supply to the property 
Drain cistern
Disconnect &amp; remove side inlet valve locking nut
Disconnect &amp; remove side inlet valve from cistern
Disconnect and removal of isolation valve 
Disconnect and removal of flexible water hosing
Clean &amp; prepare worked area
Supply &amp; install new side inlet valve
Supply &amp; install new side inlet valve locking nut
Supply and install new isolation valve 
Supply and install new flexible hosing 
Reinstate water supply to cistern
Test &amp; commission installation
Set fill levels
Removal of trade waste from site
PLEASE NOTE IF FURTHER WORK REQUIRED OUTSIDE OF QUOTED WORKS ADDITIONAL COSTS WILL APPLY</t>
        </r>
      </text>
    </comment>
    <comment ref="G478" authorId="0" shapeId="0" xr:uid="{7E186DE9-9D9D-4ECD-9ABE-FA565CF749AE}">
      <text>
        <r>
          <rPr>
            <sz val="11"/>
            <color theme="1"/>
            <rFont val="Aptos Narrow"/>
            <family val="2"/>
            <scheme val="minor"/>
          </rPr>
          <t>Unknown User:
SEARCH &amp; INVESTIGATION (GENERAL)
Set up safe worked area Isolate main water supply to property
Gain access to cold water supply
Gain access to hot water supply
Set up specialist pressure testing equipment
Conduct pressure test on cold water service
Conduct pressure test on hot water service
Conduct search &amp; investigation on property in attempt to locate leak
Cut &amp; removal of gyprock (If required)
Provide additional quote for rectification work
Removal of any trade waste
Please note, if unable to find leak additional cost will apply for a specialist leak detection
PLEASE NOTE IF FURTHER WORK REQUIRED OTHER THEN QUOTED WORK FURTHER COST WILL APPLY</t>
        </r>
      </text>
    </comment>
    <comment ref="Q478" authorId="0" shapeId="0" xr:uid="{92A7C8A8-A281-446A-B91B-69C0BBDB75D3}">
      <text>
        <r>
          <rPr>
            <sz val="11"/>
            <color theme="1"/>
            <rFont val="Aptos Narrow"/>
            <family val="2"/>
            <scheme val="minor"/>
          </rPr>
          <t>Unknown User:
Final invoice combined &amp; raised for 2 estimates</t>
        </r>
      </text>
    </comment>
    <comment ref="V478" authorId="0" shapeId="0" xr:uid="{9CC0C119-E08F-4E85-939B-58268C290091}">
      <text>
        <r>
          <rPr>
            <sz val="11"/>
            <color theme="1"/>
            <rFont val="Aptos Narrow"/>
            <family val="2"/>
            <scheme val="minor"/>
          </rPr>
          <t>Unknown User:
23/07 Received $2000 totally for 2 estimates
$1664.30 for #86251238
$355.70 for #86251356</t>
        </r>
      </text>
    </comment>
    <comment ref="G479" authorId="0" shapeId="0" xr:uid="{2AABE5FD-BBE1-43EA-8297-82034B280A79}">
      <text>
        <r>
          <rPr>
            <sz val="11"/>
            <color theme="1"/>
            <rFont val="Aptos Narrow"/>
            <family val="2"/>
            <scheme val="minor"/>
          </rPr>
          <t>Unknown User:
WATER SERVICE RECTIFICATION (IN WALL)
Isolate water supply to property
Set up safe working area
Mark out required location
Gain access to damaged water service in wall
Expose existing section of damaged water service in wall
Cut &amp; removal of existing damaged water service
Clean existing water service
Prepare existing water service for new connections
Flush out water service free of potential debris
Supply &amp; install new section of new water service up to 1M
Supply &amp; install new Press fittings
Connect new section of water service to existing water service
Use of specialist hydraulic crimping tool
Crimp new section of water service
Reinstate water supply
Conduct pressure test on water service to ensure no further leaks
Removal of trade waste
Test &amp; commission installation
*Please note – No restoration of worked area included in quote*</t>
        </r>
      </text>
    </comment>
    <comment ref="Q479" authorId="0" shapeId="0" xr:uid="{746D1AD4-F772-4735-8927-54751FA7DF8C}">
      <text>
        <r>
          <rPr>
            <sz val="11"/>
            <color theme="1"/>
            <rFont val="Aptos Narrow"/>
            <family val="2"/>
            <scheme val="minor"/>
          </rPr>
          <t>Unknown User:
Final invoice combined &amp; raised for 2 estimates</t>
        </r>
      </text>
    </comment>
    <comment ref="V479" authorId="0" shapeId="0" xr:uid="{668BC3D9-5545-407F-95C1-1DF8A035A55C}">
      <text>
        <r>
          <rPr>
            <sz val="11"/>
            <color theme="1"/>
            <rFont val="Aptos Narrow"/>
            <family val="2"/>
            <scheme val="minor"/>
          </rPr>
          <t>Unknown User:
23/07 Received $2000 totally for 2 estimates
$1664.30 for #86251238
$355.70 for #86251356
Excess receipt of $0.08 is observed.</t>
        </r>
      </text>
    </comment>
    <comment ref="G480" authorId="0" shapeId="0" xr:uid="{A05BAC4F-9524-48CB-AA7B-B30F1D09EA58}">
      <text>
        <r>
          <rPr>
            <sz val="11"/>
            <color theme="1"/>
            <rFont val="Aptos Narrow"/>
            <family val="2"/>
            <scheme val="minor"/>
          </rPr>
          <t>Unknown User:
SEARCH &amp; INVESTIGATION OF GAS STORAGE HOT WATER SYSTEM
Gain access to gas hot water system
Gain access to main gas isolation valve to property
Test gas supply with specialist manometer device
Visually inspect gas supply and fittings to hot water system
Use soapy spray on fittings and pipework
Check gas supply pressure to hot water system and control unit
Check integrity of gas isolation valve at hot water system
Check power supply to hot water system using testing pen
Check electrical box (IF REQUIRED)
Check circuit switch (IF REQUIRED)
Check main gas regulator pressure and integrity
Check main gas meter pressure and integrity
Purge gas supply at hot water system
Check water pressure to property
Check water supply pressure at hot water unit
Check hot water outlet from hot water unit
Visually inspect all fittings and services where able
Attempt to restart hot water system
Determine cause and include any repair to a loose pipe or loose-fitting connection
PLEASE NOTE IF FURTHER WORK IS REQUIRED ADDITIONAL COSTS WILL APPLY
Please note:
We aim to detect all faults, however due to the differing nature of faults, we may only be able to find the primary fault. Secondary and other faults may only become apparent when the primary fault has been repaired.
If a fault is found, then other exploratory methods will not be conducted if not required.
Once fault is found further cost will apply to will apply.</t>
        </r>
      </text>
    </comment>
    <comment ref="G481" authorId="0" shapeId="0" xr:uid="{DE70B88F-E744-4F9F-8E6E-7E4CEB8A5845}">
      <text>
        <r>
          <rPr>
            <sz val="11"/>
            <color theme="1"/>
            <rFont val="Aptos Narrow"/>
            <family val="2"/>
            <scheme val="minor"/>
          </rPr>
          <t>Unknown User:
SEARCH &amp; INVESTIGATION OF GAS APPLIANCE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appliance cover plates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t>
        </r>
      </text>
    </comment>
    <comment ref="G482" authorId="0" shapeId="0" xr:uid="{6A7EDB17-CFCE-4DDC-87CF-827FCD689198}">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483" authorId="0" shapeId="0" xr:uid="{7AC3013C-F916-44BD-AEB1-0D4792EC0346}">
      <text>
        <r>
          <rPr>
            <sz val="11"/>
            <color theme="1"/>
            <rFont val="Aptos Narrow"/>
            <family val="2"/>
            <scheme val="minor"/>
          </rPr>
          <t>Unknown User:
HIGH POWERED JET BLAST &amp; CCTV DRAIN CAMERA INSPECTION (SEWER SERVICE)
10% Seniors &amp; Pensioners Discount</t>
        </r>
      </text>
    </comment>
    <comment ref="G484" authorId="0" shapeId="0" xr:uid="{DC6323C9-98B5-47B1-9F56-282F12A1254C}">
      <text>
        <r>
          <rPr>
            <sz val="11"/>
            <color theme="1"/>
            <rFont val="Aptos Narrow"/>
            <family val="2"/>
            <scheme val="minor"/>
          </rPr>
          <t>Unknown User:
SUPPLY &amp; INSTALLATION OF FLUSH PIPE CONE OR 50MM KEESEAL</t>
        </r>
      </text>
    </comment>
    <comment ref="O484" authorId="0" shapeId="0" xr:uid="{FE67BBB9-5A79-4A62-B9CB-FD5A7C4A9994}">
      <text>
        <r>
          <rPr>
            <sz val="11"/>
            <color theme="1"/>
            <rFont val="Aptos Narrow"/>
            <family val="2"/>
            <scheme val="minor"/>
          </rPr>
          <t>Unknown User:
SMS approval</t>
        </r>
      </text>
    </comment>
    <comment ref="Q484" authorId="0" shapeId="0" xr:uid="{ADEEE8EF-7E5B-4017-94B1-81DD6CBACAE1}">
      <text>
        <r>
          <rPr>
            <sz val="11"/>
            <color theme="1"/>
            <rFont val="Aptos Narrow"/>
            <family val="2"/>
            <scheme val="minor"/>
          </rPr>
          <t>Unknown User:
Invoice not raised by plumber</t>
        </r>
      </text>
    </comment>
    <comment ref="G485" authorId="0" shapeId="0" xr:uid="{54601634-AAB3-4688-80C0-78804E322E17}">
      <text>
        <r>
          <rPr>
            <sz val="11"/>
            <color theme="1"/>
            <rFont val="Aptos Narrow"/>
            <family val="2"/>
            <scheme val="minor"/>
          </rPr>
          <t>Unknown User:
SUPPLY AND INSTALLATION OF TRAP TO SINK OR LAUNDRY TUB - WHITE PVC</t>
        </r>
      </text>
    </comment>
    <comment ref="W485" authorId="0" shapeId="0" xr:uid="{86EA45C2-DF46-47A4-A1D7-11391A96BA1D}">
      <text>
        <r>
          <rPr>
            <sz val="11"/>
            <color theme="1"/>
            <rFont val="Aptos Narrow"/>
            <family val="2"/>
            <scheme val="minor"/>
          </rPr>
          <t>Unknown User:
Cash denomination
$50*15=$750</t>
        </r>
      </text>
    </comment>
    <comment ref="G486" authorId="0" shapeId="0" xr:uid="{0F96FF5B-5E75-44A4-81FB-B82F19AE0649}">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487" authorId="0" shapeId="0" xr:uid="{2F3CE1EC-C58D-4115-80E0-30C2E42EC594}">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G488" authorId="0" shapeId="0" xr:uid="{29C7D235-B5DA-47A4-96A5-C8113CE92ABC}">
      <text>
        <r>
          <rPr>
            <sz val="11"/>
            <color theme="1"/>
            <rFont val="Aptos Narrow"/>
            <family val="2"/>
            <scheme val="minor"/>
          </rPr>
          <t>Unknown User:
HIGH POWERED SUCTION PUMP
Gain access to sewer service
Gain access to sewer fixture
Set up high powered suction pump
First attempt to clear blocked sewer using high powered suction pump
Attempt to clear sewer service using high powered suction pump
Attempt to clear debris from sewer service
Attempt to flush out sewer service &amp; debris
Test &amp; commission work completed
Removal of trade waste
PLEASE NOTE IF BLOCKAGES DOES NOT CLEAR FURTHER COST WILL APPLY. THIS IS A FIRST ATTEMPT
$65 First Service Discount</t>
        </r>
      </text>
    </comment>
    <comment ref="G494" authorId="0" shapeId="0" xr:uid="{413E6AFA-3808-4F0F-877C-03633937999C}">
      <text>
        <r>
          <rPr>
            <sz val="11"/>
            <color theme="1"/>
            <rFont val="Aptos Narrow"/>
            <family val="2"/>
            <scheme val="minor"/>
          </rPr>
          <t>Unknown User:
SUPPLY &amp; INSTALLATION OF NEW LINK SUITE
Isolate main water supply to property
Disconnect cold water supply to existing toilet cistern
Removal of existing cold-water supply to toilet cistern
Disconnect &amp; removal of existing emergency isolation valve
Disconnect &amp; removal of existing toilet cistern
Disconnect &amp; removal of existing toilet seat
Disconnect &amp; removal of existing toilet pan
Disconnect &amp; removal of existing toilet pan collar
Disconnect &amp; removal of existing bedding / sealant
Clean &amp; prepare worked area
Supply &amp; install new toilet pan collar
Supply &amp; install new toilet pan
Supply &amp; install new toilet cistern
Supply &amp; install new toilet seat
Secure new toilet seat to new toilet pan
Supply &amp; install new cold-water stainless-steel flexi hose
Connect new cold-water stainless-steel flexi hose to new toilet cistern
Seal &amp; secure new toilet suite pan to floor
Reinstate water supply to property
Test &amp; commission installation
Removal of trade waste
PLEASE NOTE IF FURTHER WORK REQUIRED OUTSIDE OF QUOTED WORKS ADDITIONAL COSTS WILL APPLY
$65 First Service Discount</t>
        </r>
      </text>
    </comment>
    <comment ref="U494" authorId="0" shapeId="0" xr:uid="{67163DFE-3591-45BE-ABEC-66F410ACE2A4}">
      <text>
        <r>
          <rPr>
            <sz val="11"/>
            <color theme="1"/>
            <rFont val="Aptos Narrow"/>
            <family val="2"/>
            <scheme val="minor"/>
          </rPr>
          <t>Unknown User:
15 July-As per Jack M's note " Tested toilet upon complete. tested all good. Showed client to make sure they were happy. They were thrilled with the new toilet. As they are in a payment plan I haven’t collected anything today.</t>
        </r>
      </text>
    </comment>
    <comment ref="G495" authorId="0" shapeId="0" xr:uid="{CCADB01A-E93C-4CF0-94F2-83EAE02BBF6E}">
      <text>
        <r>
          <rPr>
            <sz val="11"/>
            <color theme="1"/>
            <rFont val="Aptos Narrow"/>
            <family val="2"/>
            <scheme val="minor"/>
          </rPr>
          <t>Unknown User:
CONVERT GAS INSTANTANEOUS HOT WATER UNIT TO ELECTRIC STORAGE TANK MADE BY RHEEM (50L)
Isolate main water supply to property
Isolate main gas supply to property
Isolate main power supply to gas instantaneous hot water system
Disconnect main cold-water supply to gas instantaneous hot water system
Disconnect main gas supply to gas instantaneous hot water system
Disconnect hot water return supply to existing gas instantaneous hot water system
Disconnect and remove existing instantaneous hot water system
Disconnect and remove existing gas emergency isolation valve
Disconnect and remove existing cold water isolation valve
Decommission and make safe the existing gas supply to the existing gas instantaneous hot water system
Reconfigure cold-water supply to suit new electric storage hot water system
Reconfigure hot-water supply to suit new electric storage hot water system
Clean and prepare worked area Supply &amp; install new prefabricated concrete slab on the ground in the desired location
Supply &amp; install a new section of cold-water service in the desired location
Supply &amp; install a new section of hot-water service in the desired location
Supply &amp; install new Duo valve
Supply &amp; install new Pressure limiting valve
Supply &amp; install new tempering valve
Supply &amp; install new pressure relief valve
Supply &amp; install new single element hot water system
Supply &amp; install new pressure relief drain service in copper, ensuring compliance with AS3500
Supply &amp; install new B-press fittings
Supply &amp; install new brass fittings
Reconnect cold water service to the new hot water unit
Reconnect hot water service to the new hot water unit
Reinstate water supply to the new hot water unit
Test and commission installation
Remove trade waste
Please Note: No Electrical included in this quote, Further cost will apply if further work required
DECOMMISSION OF EXISTING FREE STANDING OVEN AND GAS COOKTOP &amp; MAKE SAFE
Gain access to main gas meter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Gain access to existing gas service connecting to free standing oven and gas cooktop
Disconnect existing gas service connected to free standing oven and gas cooktop
Disconnect existing brass fittings connected free standing oven and gas cooktop
Disconnect existing gas appliance regulator
Disconnect &amp; remove the existing free-standing oven and gas cooktop
Supply &amp; install new brass cap to existing gas connection point to free standing oven and gas cooktop
Decommission existing gas free standing oven and gas cooktop
Make safe
Reinstate main gas supply to the property
Conduct a manometer test on the main gas service upon completion of the installation to ensure there are no leaks
Test &amp; commission the installation
Removal of all trade waste
PLEASE NOTE IF FURTHER WORK REQUIRED OTHER THEN QUOTED WORK FURTHER COST WILL APPLY</t>
        </r>
      </text>
    </comment>
    <comment ref="N495" authorId="0" shapeId="0" xr:uid="{1316AFA5-7F99-4439-AFC4-138002826EB2}">
      <text>
        <r>
          <rPr>
            <sz val="11"/>
            <color theme="1"/>
            <rFont val="Aptos Narrow"/>
            <family val="2"/>
            <scheme val="minor"/>
          </rPr>
          <t>Unknown User:
Quote raised in job #71449</t>
        </r>
      </text>
    </comment>
    <comment ref="G499" authorId="0" shapeId="0" xr:uid="{2852CFEA-EB44-494E-8B27-379B87F9FAF2}">
      <text>
        <r>
          <rPr>
            <sz val="11"/>
            <color theme="1"/>
            <rFont val="Aptos Narrow"/>
            <family val="2"/>
            <scheme val="minor"/>
          </rPr>
          <t xml:space="preserve">Unknown User:
SUPPLY &amp; INSTALL NEW GAS DUCTED HEATER
• Gain clear and safe access to the designated work area
• Isolate main gas supply to the property
• Isolate main power supply to the property at the switchboard to ensure safe disconnection
• Disconnect &amp; remove existing section of copper gas service connecting to the existing ducted heater
• Disconnect &amp; remove existing gas isolation valve
• Disconnect &amp; remove existing brass fittings connecting to existing ducted unit
• Disconnect &amp; remove brass gas unions from heater inlet
• Disconnect &amp; safely isolate all associated electrical wiring and control cabling
• Disconnect &amp; remove ducted air vents as required to free the existing unit
• Disconnect &amp; remove the existing gas ducted heater
• Disconnect &amp; remove existing drop box / return-air plenum
• Remove &amp; dispose of the existing gas heater and all redundant components off-site
• Clean &amp; prepare the worked area, ensuring a level and stable base for new unit
• Supply &amp; install new gas isolation valve, positioned for safe access and serviceability
• Supply &amp; install new section of copper gas service service, sized to suit appliance load
• Supply &amp; install new B-Press gas-rated crimp fittings
• Supply &amp; install new brass compression fittings and unions as required
• Supply &amp; install new drop box / return air plenum to suit new unit configuration
• Supply &amp; install new gas ducted air heater, fixed in position per manufacturer specifications
• Supply &amp; install new wall-mounted or digital control unit, wired to new heater
• Modify existing gas ductwork to suit connection points of new heater unit
• Install new electrical wiring from power source to heater, including control wiring
• Reinstate gas supply
• Reinstate power supply and confirm correct voltage to unit
• Test &amp; commission installation, including burner ignition, airflow and thermostat control
• Removal of all trade waste, packaging, and debris from site and leave area clean
• Conduct gas test upon completion to ensure full compliance with AS/NZS 5601
PLEASE NOTE IF FURTHER WORK REQUIRED OTHER THEN QUOTED WORK FURTHER COST WILL APPLY
CREDIT OF SEARCH &amp; INVESTIGATION
</t>
        </r>
      </text>
    </comment>
    <comment ref="O499" authorId="0" shapeId="0" xr:uid="{8E15B833-FD41-4370-9D6C-F8412FEC6F4D}">
      <text>
        <r>
          <rPr>
            <sz val="11"/>
            <color theme="1"/>
            <rFont val="Aptos Narrow"/>
            <family val="2"/>
            <scheme val="minor"/>
          </rPr>
          <t>Unknown User:
Quote accepted via SMS</t>
        </r>
      </text>
    </comment>
    <comment ref="G500" authorId="0" shapeId="0" xr:uid="{DA78149B-FE79-45E0-BAE6-0F55B628FC7A}">
      <text>
        <r>
          <rPr>
            <sz val="11"/>
            <color theme="1"/>
            <rFont val="Aptos Narrow"/>
            <family val="2"/>
            <scheme val="minor"/>
          </rPr>
          <t xml:space="preserve">Unknown User:
SUPPLY &amp; INSTALLATION OF GAS STORAGE HOT WATER SYSTEM (EXTERNAL)
10% Seniors &amp; Pensioners Discount </t>
        </r>
      </text>
    </comment>
    <comment ref="G504" authorId="0" shapeId="0" xr:uid="{8A33D54E-5ABA-4C12-8F32-E90F2B9DDDC6}">
      <text>
        <r>
          <rPr>
            <sz val="11"/>
            <color theme="1"/>
            <rFont val="Aptos Narrow"/>
            <family val="2"/>
            <scheme val="minor"/>
          </rPr>
          <t>Unknown User:
REPLACEMENT OF SEWER SHAFT UP TO 1.5M (UNDER PAVERS)
Obtain Dial Before Dig
Obtain Service Location Diagram
Set Up Safe Work Area
Set Up Builders Plastic
Set Up Barricades for Safety
Removal Of Pavers in Required Location
Dig &amp; Excavate Ground Area Up to 1.5M
Expose Existing Section of Sewer Service Up to 1.5M
Expose Existing Sewer Shaft
Expose Existing Boundary Trap
Expose Existing 88 Square Junction
Expose Existing Sewer Junctions
Cut &amp; Remove Existing Section of Sewer Service Up to 1.5M
Cut &amp; Remove Existing Section of Sewer Shaft
Cut &amp; Remove Existing Sewer Boundary Trap
Cut &amp; Remove Existing 88 Square Junction
Cut &amp; Remove Existing Sewer Junctions
Gain Access to Sewer Service
Set Up High-Powered Jet Blaster
Set Up High-Powered Mini Reel
Set Up High-Powered Turbines
Re-Jetblast Sewer Service
Re-Camera &amp; Investigate Further
Supply &amp; Install New Section of Sewer Service Up to 1.5M
Supply &amp; Install New Sewer Shaft
Supply &amp; Install New Sewer Boundary Trap
Supply &amp; install New 88 Square Junction
Supply &amp; Install New Sewer Junctions
Supply &amp; Install New I/O Inspection Point
Supply &amp; Install New BTS and Raise to Ground Level
Supply &amp; Install New PVC Fittings
Connect New Sewer Boundary Shaft to Main Sewer Discharge Point
Connect New Section of main Sewer Service to Existing Sewer Service
Concrete Encase New Connections to Existing Sewer Service
Encase New Section of Sewer Service with Blue Metal
Backfill Excavated Area
Compact Ground Area for Re-Installation of Pavers
Prepare Worked Area for Re-Paving
Re-Install Pavers in worked area
Restoration of Work Area
Test and Commission Installation
Remove Trade Waste
PLEASE NOTE IF FURTHER WORK REQUIRED OTHER THEN QUOTED WORK FURTHER COST WILL APPLY
CREDIT HIGH POWERED JETBLAST &amp; CCTV CAMERA</t>
        </r>
      </text>
    </comment>
    <comment ref="G505" authorId="0" shapeId="0" xr:uid="{DA1FF4B7-EFBE-4053-AA0A-154AFE0092BC}">
      <text>
        <r>
          <rPr>
            <sz val="11"/>
            <color theme="1"/>
            <rFont val="Aptos Narrow"/>
            <family val="2"/>
            <scheme val="minor"/>
          </rPr>
          <t>Unknown User:
SEWER SPOT DIG UP TO 1.5M (UNDER PAVERS)</t>
        </r>
      </text>
    </comment>
    <comment ref="G506" authorId="0" shapeId="0" xr:uid="{01399711-AF94-4DD9-8FC8-5E136EB138ED}">
      <text>
        <r>
          <rPr>
            <sz val="11"/>
            <color theme="1"/>
            <rFont val="Aptos Narrow"/>
            <family val="2"/>
            <scheme val="minor"/>
          </rPr>
          <t>Unknown User:
SUPPLY &amp; INSTALLATION OF GAS STORAGE HOT WATER SYSTEM (EXTERNAL)</t>
        </r>
      </text>
    </comment>
    <comment ref="G507" authorId="0" shapeId="0" xr:uid="{12CBB088-4BE3-429D-8343-ADCE12D2B2B2}">
      <text>
        <r>
          <rPr>
            <sz val="11"/>
            <color theme="1"/>
            <rFont val="Aptos Narrow"/>
            <family val="2"/>
            <scheme val="minor"/>
          </rPr>
          <t>Unknown User:
REPLACEMENT OF SEWER SHAFT UP TO 3M (UNDER CONCRETE)
Obtain Dial Before Dig
Obtain Service Location Diagram
Set Up Safe Work Area
Set Up Builders Plastic
Set Up Barricades for Safety
Concrete Cut Ground Area – In Required Location
Jack Hammer Ground Area – In Required Location
Removal of Concrete – In Required Location
Dig &amp; Excavate Ground Area Up to3M
Expose Existing Section of Sewer Service Up to 3M
Expose Existing Sewer Shaft
Expose Existing 88 Square Junction
Expose Existing Sewer Junctions
Cut &amp; Remove Existing Section of Sewer Service Up to 3M
Cut &amp; Remove Existing Section of Sewer Shaft
Cut &amp; Remove Existing 88 Square Junction
Cut &amp; Remove Existing Sewer Junctions
Gain Access to Sewer Service
Set Up High-Powered Jet Blaster
Set Up High-Powered Mini Reel
Set Up High-Powered Turbines
Re-Jetblast Sewer Service
Re-Camera &amp; Investigate Further
Supply &amp; Install New Section of Sewer Service Up to 3M
Supply &amp; install New Sewer Shaft
Supply &amp; install New 88 Square Junction
Supply &amp; Install New Sewer Junctions
Supply &amp; Install New I/O Inspection Point
Supply &amp; Install New BTS and Raise to Ground Level
Supply &amp; Install New PVC Fittings
Connect New Sewer Shaft to Main Sewer Discharge Point
Connect New Section of main Sewer Service to Existing Sewer Service
Concrete Encase New Connections to Existing Sewer Service
Encase New Section of Sewer Service with Blue Metal
Backfill Excavated Area
Prepare Worked Area for Re-Concrete
Re-Concrete Worked Area – Standard Concrete Finish
Restoration of Work Area
Test and Commission Installation
Remove Trade Waste
PLEASE NOTE IF FURTHER WORK REQUIRED OTHER THEN QUOTED WORK FURTHER COST WILL APPLY</t>
        </r>
      </text>
    </comment>
    <comment ref="G508" authorId="0" shapeId="0" xr:uid="{AF55F65A-B32E-4E8C-A2BF-FA3E129799A1}">
      <text>
        <r>
          <rPr>
            <sz val="11"/>
            <color theme="1"/>
            <rFont val="Aptos Narrow"/>
            <family val="2"/>
            <scheme val="minor"/>
          </rPr>
          <t>Unknown User:
SEWER SPOT DIG UP TO 35M - IN GROUND
Obtain sewer diagram
Obtain dial Before dig
Obtain service location diagram
Set up safe work area
Set up builders plastic
Set up barricades for safety
Removal of pavers
Concrete cut ground area
Jack hammer ground area
Removal of concrete in required location
Dig &amp; Excavate Ground Area Up to 35M
Expose existing section of sewer service up to 35M
Expose existing sewer junctions (If Required)
Cut &amp; remove existing section of sewer service up to 35M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35M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t>
        </r>
      </text>
    </comment>
    <comment ref="G519" authorId="0" shapeId="0" xr:uid="{54B34650-39E6-41BF-BC1F-6426246622FD}">
      <text>
        <r>
          <rPr>
            <sz val="11"/>
            <color theme="1"/>
            <rFont val="Aptos Narrow"/>
            <family val="2"/>
            <scheme val="minor"/>
          </rPr>
          <t>Unknown User:
 SEARCH &amp; INVESTIGATION OF GAS APPLIANCES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appliance cover plates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Check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t>
        </r>
      </text>
    </comment>
    <comment ref="O519" authorId="0" shapeId="0" xr:uid="{D09DF38F-B028-46BA-B888-BFD9A61DABAC}">
      <text>
        <r>
          <rPr>
            <sz val="11"/>
            <color theme="1"/>
            <rFont val="Aptos Narrow"/>
            <family val="2"/>
            <scheme val="minor"/>
          </rPr>
          <t>Unknown User:
SMS approval</t>
        </r>
      </text>
    </comment>
    <comment ref="Q519" authorId="0" shapeId="0" xr:uid="{9D2D293B-FBAC-407B-A5AC-96EE800EA3A7}">
      <text>
        <r>
          <rPr>
            <sz val="11"/>
            <color theme="1"/>
            <rFont val="Aptos Narrow"/>
            <family val="2"/>
            <scheme val="minor"/>
          </rPr>
          <t xml:space="preserve">Unknown User:
Invoice not raised
</t>
        </r>
      </text>
    </comment>
    <comment ref="G520" authorId="0" shapeId="0" xr:uid="{F5C836A7-B012-44CA-A795-5659CBF027DD}">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G526" authorId="0" shapeId="0" xr:uid="{7A36D1C5-B17E-4A83-8139-2EF6F70437F4}">
      <text>
        <r>
          <rPr>
            <sz val="11"/>
            <color theme="1"/>
            <rFont val="Aptos Narrow"/>
            <family val="2"/>
            <scheme val="minor"/>
          </rPr>
          <t>Unknown User:
REPLACEMENT OF IN WALL KITCHEN BREACH
Isolate cold water supply to property
Isolate hot water supply to property
Disconnect &amp; removal of hot water tapware
Disconnect &amp; removal of cold-water tapware
Disconnect &amp; removal of existing basin spout
Dimond cut tiles in required location
Removal of tiles in required location
Cut out section of wall
Gain access to in wall
Expose section of section cold water service in wall
Expose section of hot water service in wall
Expose existing Basin breach in wall
Cut &amp; removal of section of cold-water service in wall
Cut &amp; removal of section of hot water service in wall
Cut &amp; removal of existing basin breech in wall
Clean existing hot &amp; cold-water services
Prepare existing hot &amp; cold-water services in wall for installation of new breech
Supply &amp; install new basin breech in wall
Supply &amp; install new section of cold-water service in wall
Supply &amp; install new section of hot water service in wall
Supply &amp; install new B-press fittings
Supply &amp; install new brass fittings
Secure new in wall breech
Use of specialist hydraulic crimping tool
Crimp new press fittings in wall
Reinstate cold water supply
Reinstate hot water supply
Conduct pressure test to ensure no further leaks
Restoration of worked area
Re-install cold water tapware
Re-install hot water tapware
Reinstall basin spout
Test &amp; commission installation
Removal of trade waste
Please note tile match will not be exact but will endeavour to locate closest suitable match.
PLEASE NOTE IF FURTHER WORK REQUIRED OUTSIDE OF QUOTED WORKS ADDITIONAL COSTS WILL APPLY</t>
        </r>
      </text>
    </comment>
    <comment ref="V526" authorId="0" shapeId="0" xr:uid="{B0A79819-6728-404D-9365-ACDF44E2D4D3}">
      <text>
        <r>
          <rPr>
            <sz val="11"/>
            <color theme="1"/>
            <rFont val="Aptos Narrow"/>
            <family val="2"/>
            <scheme val="minor"/>
          </rPr>
          <t>Unknown User:
12/07 Received $1000 Card</t>
        </r>
      </text>
    </comment>
    <comment ref="G530" authorId="0" shapeId="0" xr:uid="{6B51F9BF-B80B-4773-AE04-933FE7EAEDFA}">
      <text>
        <r>
          <rPr>
            <sz val="11"/>
            <color theme="1"/>
            <rFont val="Aptos Narrow"/>
            <family val="2"/>
            <scheme val="minor"/>
          </rPr>
          <t xml:space="preserve">Unknown User:
SUPPLY &amp; INSTALLATION OF FLUSH PIPE CONE OR 50MM KEESEAL
Isolate water supply to cistern
Drain cistern
Disconnect &amp; remove flush pipe lock nut from cistern
Disconnect &amp; remove cistern flush pipe
Disconnect &amp; remove existing flush cone
Clean &amp; prepare worked area
Supply &amp; install new flush cone to flush pipe
Reinstate existing flush pipe
Reinstate existing flush pipe lock nut to cistern
Reinstate water supply to cistern
Test &amp; commission installation
Removal of trade waste from site
PLEASE NOTE IF FURTHER WORK REQUIRED OUTSIDE OF QUOTED WORKS ADDITIONAL COSTS WILL APPLY
COMPLETE SERVICE OF WALL TOP TAPS ASSEMBLY
Isolate main hot water supply to property
Isolate main cold-water supply to property
Disconnect &amp; removal of existing hot &amp; cold-water locking nuts
Disconnect &amp; removal of existing hot &amp; cold-water tapware / cover plates
Disconnect &amp; removal of hot &amp; cold-water spindles
Disconnect &amp; removal of existing hot &amp; cold-water jumper valves
Disconnect &amp; removal of existing hot &amp; cold-water brass bodies from spindles
Disconnect &amp; removal of existing hot &amp; cold-water fibre washers
Disconnect &amp; removal of existing hot &amp; cold-water O-rings
Re-grease hot &amp; cold-water spindles
Machine breech in wall using specialist tungsten re-seating tool
Flush out breach in wall free from all debris
Supply &amp; install new hot &amp; cold-water jumper valves
Supply &amp; install new hot &amp; cold-water Orings
Supply &amp; install new hot &amp; cold-water fibre washers
Reinstall hot &amp; cold-water brass bodies to hot &amp; cold spindles
Reinstall hot &amp; cold spindles to breach in wall
Reinstall hot &amp; cold-water tapware
Reinstall hot &amp; cold-water locking nuts
Reinstate cold water supply to property
Reinstate hot water supply to property
Test &amp; commission installation
Removal of trade waste
PLEASE NOTE IF FURTHER WORK REQUIRED OUTSIDE OF QUOTED WORKS ADDITIONAL COSTS WILL APPLY. IF BREECH IS FOUND TO BE DAMAGED FUTHER COSTS WILL APPLY.
</t>
        </r>
      </text>
    </comment>
    <comment ref="G531" authorId="0" shapeId="0" xr:uid="{4C92F2A0-7C03-4CEF-B59D-FD5DD875EA5B}">
      <text>
        <r>
          <rPr>
            <sz val="11"/>
            <color theme="1"/>
            <rFont val="Aptos Narrow"/>
            <family val="2"/>
            <scheme val="minor"/>
          </rPr>
          <t>Unknown User:
SEWER SPOT DIG UP TO 1.5M (UNDER CONCRETE)
Obtain sewer diagram
Obtain dial Before dig
Obtain service location diagram
Set up safe work area
Set up builders plastic
Set up barricades for safety
Concrete cut ground area
Jack hammer ground area
Removal of concrete in required location
Dig &amp; Excavate Ground Area Up to 1.5M
Expose existing section of sewer service up to 1.5M
Expose existing sewer junctions (If Required)
Cut &amp; remove existing section of sewer service up to 1.5M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1.5M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t>
        </r>
      </text>
    </comment>
    <comment ref="G532" authorId="0" shapeId="0" xr:uid="{F696A03A-5BBF-4A74-95D3-B00749BA4E3E}">
      <text>
        <r>
          <rPr>
            <sz val="11"/>
            <color theme="1"/>
            <rFont val="Aptos Narrow"/>
            <family val="2"/>
            <scheme val="minor"/>
          </rPr>
          <t>Unknown User:
HIGH POWERED JET BLAST &amp; CCTV DRAIN CAMERA INSPECTION (SEWER SERVICE)
Set up high powered Jet blaster
Set up High powered mini-Reel
Set up high powered Turbines
Set up specialist CCTV Camera
Set up Specialist locator
Gain access to sewer service
First attempt to clear blocked sewer service using high powered Jet blaster
Attempt to clear &amp; flush out sewer service using high powered Jet Blaster
Conduct specialist CCTV drain camera to inspect sewer service
Use of CCTV camera on sewer service to identify potential faults &amp; cause of blockage
If faults found use off specialist locator to pinpoint exact location of fault
PLEASE NOTE IF BLOCKAGE DOES NOT CLEAR FURTHER COST WILL APPLY. THIS IS A FIRST ATTEMPT.</t>
        </r>
      </text>
    </comment>
    <comment ref="G533" authorId="0" shapeId="0" xr:uid="{4C7554C3-A6CD-43EE-B760-A3588F8AD20F}">
      <text>
        <r>
          <rPr>
            <sz val="11"/>
            <color theme="1"/>
            <rFont val="Aptos Narrow"/>
            <family val="2"/>
            <scheme val="minor"/>
          </rPr>
          <t>Unknown User:
SUPPLY &amp; INSTALLATION OF GAS STORAGE HOT WATER SYSTEM (INTERNAL)
Isolate main water supply to property
Isolate main gas supply to property
Disconnect main gas supply to existing hot water system
Disconnect main cold-water supply to existing gas hot water system
Disconnect main hot water supply to existing gas hot water system
Disconnect existing internal flue connecting to existing gas hot water system
Disconnect existing plumbing connecting to existing gas hot water system
Drain existing gas hot water system
Removal of existing gas hot water system
Removal of existing brass fittings
Disconnect &amp; removal existing section of gas service connecting to existing internal hot water system
Disconnect &amp; removal of existing section of cold-water supply connecting to existing gas hot water system
Disconnect &amp; removal of existing section of hot supply connecting to existing section of gas hot water system
Clean &amp; prepare worked area
Supply &amp; install new internal safe waste tray
Supply &amp; install new internal gas storage hot water system
Supply &amp; install new gas emergency isolation valve
Supply &amp; install new duo valve
Supply &amp; install new Mildred emergency shut off valve
Supply &amp; install new pressure limiting valve
Supply &amp; install tempering valve
Supply &amp; install new pressure relief valve
Supply &amp; install new B-press fittings
Supply &amp; install new Brass fittings
Supply &amp; install new section of copper gas service &amp; connect to new gas storage hot water system
Supply &amp; install new section of cold-water service &amp; connect to new gas storage hot water system
Supply &amp; install new section of hot water copper service &amp; connect to new gas storage hot water system
Supply &amp; install new pressure relief valve drain service in copper in accordance with AS3500
Reconnect existing gas flue to new gas storage hot water system
Reinstate main water supply to property
Reinstate main gas supply to property
Test &amp; commission installation
Removal of trade waste
PLEASE NOTE IF FURTHER WORK REQUIRED OTHER THAN QUOTED WORKS FURTHER COSTS WILL APPLY</t>
        </r>
      </text>
    </comment>
    <comment ref="G534" authorId="0" shapeId="0" xr:uid="{A10AB214-0561-4747-AA19-0585891DB56A}">
      <text>
        <r>
          <rPr>
            <sz val="11"/>
            <color theme="1"/>
            <rFont val="Aptos Narrow"/>
            <family val="2"/>
            <scheme val="minor"/>
          </rPr>
          <t>Unknown User:
SEARCH &amp; INVESTIGATION OF GAS APPLIANCE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appliance cover plates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t>
        </r>
      </text>
    </comment>
    <comment ref="G535" authorId="0" shapeId="0" xr:uid="{CE0282D0-B21A-4D4D-9342-7A6A1EBADAFC}">
      <text>
        <r>
          <rPr>
            <sz val="11"/>
            <color theme="1"/>
            <rFont val="Aptos Narrow"/>
            <family val="2"/>
            <scheme val="minor"/>
          </rPr>
          <t>Unknown User:
HIGH POWERED JET BLAST &amp; CCTV DRAIN CAMERA INSPECTION (SEWER SERVICE)
$85 Off First Service</t>
        </r>
      </text>
    </comment>
    <comment ref="G536" authorId="0" shapeId="0" xr:uid="{ACE7BEB9-E96D-465C-AEB3-7CBDBAD9A66E}">
      <text>
        <r>
          <rPr>
            <sz val="11"/>
            <color theme="1"/>
            <rFont val="Aptos Narrow"/>
            <family val="2"/>
            <scheme val="minor"/>
          </rPr>
          <t xml:space="preserve">Unknown User:
SEWER SPOT DIG UP TO 1.5M (UNDER PAVERS)
</t>
        </r>
      </text>
    </comment>
    <comment ref="G537" authorId="0" shapeId="0" xr:uid="{946E3FDE-4EE2-4339-BB2D-24BDF8C7472F}">
      <text>
        <r>
          <rPr>
            <sz val="11"/>
            <color theme="1"/>
            <rFont val="Aptos Narrow"/>
            <family val="2"/>
            <scheme val="minor"/>
          </rPr>
          <t xml:space="preserve">Unknown User:
SUPPLY &amp; INSTALLATION OF NEW COPPER GAS SERVICE UP TO 15M (REPLACEMENT OF EXISTING GALVANISED GAS SERVICE)
Obtain service location diagram
Obtain dial before dig
Set up safe work area
Isolate main gas supply to property
Disconnect existing main meter unions
Disconnect &amp; remove existing main gas meter regulator
Disconnect &amp; remove existing brass fittings
Disconnect &amp; remove existing section of gas service connecting to main meter
Disconnect &amp; removal of existing gas support brackets &amp; clips
Disconnect &amp; removal of existing gas service up to 15M – Exposed (If Applicable)
Disconnect &amp; removal of existing gas service connecting to gas hot water system
Disconnect &amp; removal of existing gas service connecting to gas cooktop 
Disconnect &amp; removal of existing gas emergency isolation valve
Disconnect &amp; removal of existing brass fittings
Core hole penetrate through brickwork
Clean &amp; prepare work area
Prepare property for installation of new gas service in copper up to 15M
Supply &amp; install new gas service connecting to gas hot water system
Supply &amp; install new gas service connecting to gas cooktop 
Supply &amp; install new gas service connecting to gas fireplace
Supply &amp; install new main gas service in copper up to 15M – Exposed
Supply &amp; install new brass fittings
Supply &amp; install new B-press fittings
Supply &amp; install new emergency isolation valves
Supply &amp; install new brackets, clips &amp; supports
Secure new gas service
Supply &amp; install main gas meter union kit
Supply &amp; install new main gas meter regulator
Supply &amp; install new main gas meter gasket kit
Reinstall existing main gas meter
Connect new gas service to main gas meter
Backfill work area (If Applicable)
Restoration of work area
Removal of trade waste
Test &amp; commission installation
Provide new certificate of compliance
PLEASE NOTE IF FURTHER WORK REQUIRED OTHER THEN QUOTED WORK FURTHER COST WILL APPLY
SUPPLY AND INSTALLATION OF STANDARD 15MM TEMPERING VALVE
Isolate main cold water supply to property
Isolate main hot water supply to property
Isolate main power supply to existing hot water system
Gain access to existing tempering valve
Drain system
Disconnect &amp; removal of existing outlet service unions
Disconnect &amp; removal of existing hot water service unions
Disconnect &amp; removal of existing cold water service unions
Disconnect &amp; removal of existing tempering valve body
Disconnect &amp; removal of existing hot water non return valve
Disconnect &amp; removal of existing cold water non return valve
Disconnect &amp; removal of existing service adapters from hot water service
Disconnect &amp; removal of existing service adapters from cold water service
Clean &amp; prepare existing water services for new connections
Supply &amp; install new service adapters
Supply &amp; install new press fittings
Supply &amp; install new brass fittings supply
Supply &amp; install new hot water non return valve
Supply &amp; install new cold water non return valve
Supply &amp; install new tempering valve body
Supply &amp; install new gaskets
Supply &amp; install new sealants
Supply &amp; install new valve lagging
Reinstate hot water supply to property
Reinstate cold water supply to property
Reinstate power supply to existing hot water system
Bleed hot water service
Bleed cold water service
Commission tempering valve to ensure compliance with AS/3500
Conduct temperature check to ensure compliance with AS/3500
Clean worked area
Removal of trade waste
PLEASE NOTE IF FURTHER WORK REQUIRED OTHER THEN QUOTED WORK FURTHER COST WILL APPLY
10% Loyalty Discount
</t>
        </r>
      </text>
    </comment>
    <comment ref="G538" authorId="0" shapeId="0" xr:uid="{12D34B59-EDF8-4616-88CA-8C754EE9F0FA}">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G539" authorId="0" shapeId="0" xr:uid="{A61562F1-9B70-429A-BE6B-66B221D40A7B}">
      <text>
        <r>
          <rPr>
            <sz val="11"/>
            <color theme="1"/>
            <rFont val="Aptos Narrow"/>
            <family val="2"/>
            <scheme val="minor"/>
          </rPr>
          <t>Unknown User:
SPECIALIST LEAK DETECTION (WATER SERVICE)</t>
        </r>
      </text>
    </comment>
    <comment ref="G540" authorId="0" shapeId="0" xr:uid="{E9B594E7-AACB-4B58-ACE4-091E0A4D7491}">
      <text>
        <r>
          <rPr>
            <sz val="11"/>
            <color theme="1"/>
            <rFont val="Aptos Narrow"/>
            <family val="2"/>
            <scheme val="minor"/>
          </rPr>
          <t>Unknown User:
CONVERSION OF LPG APPLIANCE TO NATURAL GAS
Gain access to LPG gas service
Isolate main gas supply to property
Disconnect main meter test point
Set up specialist manometer gas testing equipment
Connect specialist manometer testing equipment to main gas service
Conduct a pressure test on the existing gas service &amp; test for leaks prior to commencing work
Access the gas service to appliance
Disconnect the existing gas service to the appliance
Disconnect required brass fittings connected gas appliance
Disconnect existing LPG gas appliance regulator
Disconnect &amp; remove existing LPG gas appliance injectors
Install new customer supplied new Natural gas appliance injectors
Install customer supplied  new Natural gas appliance regulator
Supply &amp; install new brass fittings
Reconnect gas service to appliance
Reinstate main gas supply to the property
Conduct a manometer test on the main gas service upon completion of the installation to ensure there are no leaks
Test &amp; commission the installation
Removal of all trade waste
PLEASE NOTE IF FURTHER WORK REQUIRED OTHER THEN QUOTED WORK FURTHER COST WILL APPLY</t>
        </r>
      </text>
    </comment>
    <comment ref="D541" authorId="0" shapeId="0" xr:uid="{EF532061-EED9-422A-9A44-D8EB412B8866}">
      <text>
        <r>
          <rPr>
            <sz val="11"/>
            <color theme="1"/>
            <rFont val="Aptos Narrow"/>
            <family val="2"/>
            <scheme val="minor"/>
          </rPr>
          <t>Unknown User:
25/07 - Job was in quote
28/07 - Quote raised, WIP &amp; completed by Shaun</t>
        </r>
      </text>
    </comment>
    <comment ref="E562" authorId="8" shapeId="0" xr:uid="{6283D121-6ECD-4D92-BE73-012D64CD7AFF}">
      <text>
        <r>
          <rPr>
            <sz val="11"/>
            <color theme="1"/>
            <rFont val="Aptos Narrow"/>
            <family val="2"/>
            <scheme val="minor"/>
          </rPr>
          <t>Accounts | Point Plumbing:
Pending W/O 
- 70214/61984833
- 70214/61984874
@ 29th Jul 2025</t>
        </r>
      </text>
    </comment>
    <comment ref="E563" authorId="8" shapeId="0" xr:uid="{EE0D3041-5D3F-4020-AA34-62AF6D4B2BCF}">
      <text>
        <r>
          <rPr>
            <sz val="11"/>
            <color theme="1"/>
            <rFont val="Aptos Narrow"/>
            <family val="2"/>
            <scheme val="minor"/>
          </rPr>
          <t>Accounts | Point Plumbing:
Pending W/O; 
Job 70108 - Awaiting Payment
@ 29th Jul 2025/Job Status @ 89%</t>
        </r>
      </text>
    </comment>
    <comment ref="E564" authorId="8" shapeId="0" xr:uid="{74FCFCB1-0C6F-4468-8C82-2D4B03727959}">
      <text>
        <r>
          <rPr>
            <sz val="11"/>
            <color theme="1"/>
            <rFont val="Aptos Narrow"/>
            <family val="2"/>
            <scheme val="minor"/>
          </rPr>
          <t xml:space="preserve">Accounts | Point Plumbing:
#71278 - Completed &amp; Awaiting pmt @ 29th Jul
#71377 - Completed &amp; Awaiting pmt @ 29th Jul
Pending W/O
#71384 @ 29th Jul
</t>
        </r>
      </text>
    </comment>
    <comment ref="G574" authorId="0" shapeId="0" xr:uid="{7C96C1E2-B2F5-4512-90C0-E52C5F28A8C8}">
      <text>
        <r>
          <rPr>
            <sz val="11"/>
            <color theme="1"/>
            <rFont val="Aptos Narrow"/>
            <family val="2"/>
            <scheme val="minor"/>
          </rPr>
          <t>Unknown User:
SUPPLY AND INSTALLATION OF BRASS HOSE TAPS TO REPLACE EXISTING HOSE TAP</t>
        </r>
      </text>
    </comment>
    <comment ref="P574" authorId="0" shapeId="0" xr:uid="{27CA723D-FA08-4F63-B416-D93BF06CAE60}">
      <text>
        <r>
          <rPr>
            <sz val="11"/>
            <color theme="1"/>
            <rFont val="Aptos Narrow"/>
            <family val="2"/>
            <scheme val="minor"/>
          </rPr>
          <t>Unknown User:
Quote not emailed</t>
        </r>
      </text>
    </comment>
    <comment ref="G579" authorId="0" shapeId="0" xr:uid="{EE3CCB5E-796B-40F2-816F-C2C8FCD8358F}">
      <text>
        <r>
          <rPr>
            <sz val="11"/>
            <color theme="1"/>
            <rFont val="Aptos Narrow"/>
            <family val="2"/>
            <scheme val="minor"/>
          </rPr>
          <t>Unknown User:
SEWER SPOT DIG UP TO 1.5M (UNDER PAVERS)</t>
        </r>
      </text>
    </comment>
    <comment ref="V579" authorId="0" shapeId="0" xr:uid="{2D360F84-8E21-4F0E-B20C-441374033D37}">
      <text>
        <r>
          <rPr>
            <sz val="11"/>
            <color theme="1"/>
            <rFont val="Aptos Narrow"/>
            <family val="2"/>
            <scheme val="minor"/>
          </rPr>
          <t>Unknown User:
25/07 Received $5000 EFT</t>
        </r>
      </text>
    </comment>
    <comment ref="G590" authorId="0" shapeId="0" xr:uid="{704C6A29-6B38-4921-9ED8-6012C54F7096}">
      <text>
        <r>
          <rPr>
            <sz val="11"/>
            <color theme="1"/>
            <rFont val="Aptos Narrow"/>
            <family val="2"/>
            <scheme val="minor"/>
          </rPr>
          <t>Unknown User:
 SEARCH &amp; INVESTIGATION OF GAS APPLIANCES • Gain access to worked area 
• Isolate gas supply to ensure safe working conditions 
• Conduct specialist manometer gas test on the property gas line to check for pressure drops or leaks 
• Conduct digital gas pressure test directly on the appliance to confirm operating performance 
• Test incoming gas pressure to the property 
• Test gas pressure directly at the appliance inlet 
• Disconnect appliance cover plates to access internal components 
• Conduct spray leak test on all visible gas pipework, valves, and fittings 
• Inspect appliance injector(s) for blockages, wear or carbon build-up 
• Inspect gas regulator to ensure correct adjustment and operating pressure 
• Check ignition and burner pressure for consistency and safety
 Check  • Fault find any potential faults or defects affecting appliance performance 
• Reinstate gas supply once all safety checks have been completed 
• Attempt to restart appliance and observe ignition and flame characteristics 
• Test and commission all work completed to ensure safe operation 
PLEASE NOTE IF FURTHER WORK REQUIRED OTHER THEN QUOTED WORK FURTHER COST WILL
 APPLY</t>
        </r>
      </text>
    </comment>
    <comment ref="O590" authorId="0" shapeId="0" xr:uid="{A3C21581-0056-44FD-97D0-237D2EFF2029}">
      <text>
        <r>
          <rPr>
            <sz val="11"/>
            <color theme="1"/>
            <rFont val="Aptos Narrow"/>
            <family val="2"/>
            <scheme val="minor"/>
          </rPr>
          <t>Unknown User:
SMS approval</t>
        </r>
      </text>
    </comment>
    <comment ref="Q590" authorId="0" shapeId="0" xr:uid="{B98CDDC8-576D-4B02-B6B5-91ACDB8F098C}">
      <text>
        <r>
          <rPr>
            <sz val="11"/>
            <color theme="1"/>
            <rFont val="Aptos Narrow"/>
            <family val="2"/>
            <scheme val="minor"/>
          </rPr>
          <t xml:space="preserve">Unknown User:
Invoice not raised
</t>
        </r>
      </text>
    </comment>
    <comment ref="G591" authorId="0" shapeId="0" xr:uid="{694A7D43-D7A9-47CC-99C7-E9F72140A733}">
      <text>
        <r>
          <rPr>
            <sz val="11"/>
            <color theme="1"/>
            <rFont val="Aptos Narrow"/>
            <family val="2"/>
            <scheme val="minor"/>
          </rPr>
          <t>Unknown User:
HIGH POWERED SUCTION &amp; ACID TREATMENT
Gain access to sewer service
Gain access to sewer fixture
Set up high powered suction pump
First attempt to clear blocked sewer using high powered suction pump
Attempt to clear sewer service
Use of high-powered acid treatment in sewer service
Allow high powered acid treatment to attempt to break down organic material in drain
Attempt to clear debris from sewer service
Attempt to flush out sewer service &amp; debris
Test &amp; commission work completed
Removal of trade waste
PLEASE NOTE IF BLOCKAGES DOES NOT CLEAR FURTHER COST WILL APPLY. THIS IS A FIRST ATTEMPT</t>
        </r>
      </text>
    </comment>
    <comment ref="G592" authorId="0" shapeId="0" xr:uid="{156E8E55-D643-44D9-B739-F0064521E189}">
      <text>
        <r>
          <rPr>
            <sz val="11"/>
            <color theme="1"/>
            <rFont val="Aptos Narrow"/>
            <family val="2"/>
            <scheme val="minor"/>
          </rPr>
          <t xml:space="preserve">Unknown User:
SUPPLY &amp; INSTALL NEW GAS DUCTED HEATER
• Gain clear and safe access to the designated work area
• Isolate main gas supply to the property
• Isolate main power supply to the property at the switchboard to ensure safe disconnection
• Disconnect &amp; remove existing section of copper gas service connecting to the existing ducted heater
• Disconnect &amp; remove existing gas isolation valve
• Disconnect &amp; remove existing brass fittings connecting to existing ducted unit
• Disconnect &amp; remove brass gas unions from heater inlet
• Disconnect &amp; safely isolate all associated electrical wiring and control cabling
• Disconnect &amp; remove ducted air vents as required to free the existing unit
• Disconnect &amp; remove the existing gas ducted heater
• Disconnect &amp; remove existing drop box / return-air plenum
• Remove &amp; dispose of the existing gas heater and all redundant components off-site
• Clean &amp; prepare the worked area, ensuring a level and stable base for new unit
• Supply &amp; install new gas isolation valve, positioned for safe access and serviceability
• Supply &amp; install new section of copper gas service service, sized to suit appliance load
• Supply &amp; install new B-Press gas-rated crimp fittings
• Supply &amp; install new brass compression fittings and unions as required
• Supply &amp; install new drop box / return air plenum to suit new unit configuration
• Supply &amp; install new gas ducted air heater, fixed in position per manufacturer specifications
• Supply &amp; install new wall-mounted or digital control unit, wired to new heater
• Modify existing gas ductwork to suit connection points of new heater unit
• Install new electrical wiring from power source to heater, including control wiring
• Reinstate gas supply
• Reinstate power supply and confirm correct voltage to unit
• Test &amp; commission installation, including burner ignition, airflow and thermostat control
• Removal of all trade waste, packaging, and debris from site and leave area clean
• Conduct gas test upon completion to ensure full compliance with AS/NZS 5601
PLEASE NOTE IF FURTHER WORK REQUIRED OTHER THEN QUOTED WORK FURTHER COST WILL APPLY
CREDIT OF SEARCH &amp; INVESTIGATION
</t>
        </r>
      </text>
    </comment>
    <comment ref="O592" authorId="0" shapeId="0" xr:uid="{FA8AD823-BC36-4257-9C84-2476AE58789D}">
      <text>
        <r>
          <rPr>
            <sz val="11"/>
            <color theme="1"/>
            <rFont val="Aptos Narrow"/>
            <family val="2"/>
            <scheme val="minor"/>
          </rPr>
          <t>Unknown User:
Quote accepted via SMS</t>
        </r>
      </text>
    </comment>
    <comment ref="G593" authorId="0" shapeId="0" xr:uid="{509E85E9-FE5D-46E4-B568-CDF88E2325DD}">
      <text>
        <r>
          <rPr>
            <sz val="11"/>
            <color theme="1"/>
            <rFont val="Aptos Narrow"/>
            <family val="2"/>
            <scheme val="minor"/>
          </rPr>
          <t xml:space="preserve">Unknown User:
SUPPLY &amp; INSTALLATION OF GAS STORAGE HOT WATER SYSTEM (EXTERNAL)
10% Seniors &amp; Pensioners Discount </t>
        </r>
      </text>
    </comment>
    <comment ref="G599" authorId="0" shapeId="0" xr:uid="{F8E7B25E-2DA9-4028-9722-7FCA9DC19920}">
      <text>
        <r>
          <rPr>
            <sz val="11"/>
            <color theme="1"/>
            <rFont val="Aptos Narrow"/>
            <family val="2"/>
            <scheme val="minor"/>
          </rPr>
          <t>Unknown User:
REPLACEMENT OF IN WALL KITCHEN BREACH
Isolate cold water supply to property
Isolate hot water supply to property
Disconnect &amp; removal of hot water tapware
Disconnect &amp; removal of cold-water tapware
Disconnect &amp; removal of existing basin spout
Dimond cut tiles in required location
Removal of tiles in required location
Cut out section of wall
Gain access to in wall
Expose section of section cold water service in wall
Expose section of hot water service in wall
Expose existing Basin breach in wall
Cut &amp; removal of section of cold-water service in wall
Cut &amp; removal of section of hot water service in wall
Cut &amp; removal of existing basin breech in wall
Clean existing hot &amp; cold-water services
Prepare existing hot &amp; cold-water services in wall for installation of new breech
Supply &amp; install new basin breech in wall
Supply &amp; install new section of cold-water service in wall
Supply &amp; install new section of hot water service in wall
Supply &amp; install new B-press fittings
Supply &amp; install new brass fittings
Secure new in wall breech
Use of specialist hydraulic crimping tool
Crimp new press fittings in wall
Reinstate cold water supply
Reinstate hot water supply
Conduct pressure test to ensure no further leaks
Restoration of worked area
Re-install cold water tapware
Re-install hot water tapware
Reinstall basin spout
Test &amp; commission installation
Removal of trade waste
Please note tile match will not be exact but will endeavour to locate closest suitable match.
PLEASE NOTE IF FURTHER WORK REQUIRED OUTSIDE OF QUOTED WORKS ADDITIONAL COSTS WILL APPLY</t>
        </r>
      </text>
    </comment>
    <comment ref="V599" authorId="0" shapeId="0" xr:uid="{4EA9834A-CDC2-49E8-AD06-A64B8F9150DB}">
      <text>
        <r>
          <rPr>
            <sz val="11"/>
            <color theme="1"/>
            <rFont val="Aptos Narrow"/>
            <family val="2"/>
            <scheme val="minor"/>
          </rPr>
          <t>Unknown User:
12/07 Received $1000 Card</t>
        </r>
      </text>
    </comment>
    <comment ref="G600" authorId="0" shapeId="0" xr:uid="{28ECAB45-82A5-4664-B5C5-C1DCE3630C2B}">
      <text>
        <r>
          <rPr>
            <sz val="11"/>
            <color theme="1"/>
            <rFont val="Aptos Narrow"/>
            <family val="2"/>
            <scheme val="minor"/>
          </rPr>
          <t>Unknown User:
REPLACEMENT OF SEWER SHAFT UP TO 1.5M (UNDER PAVERS)
Obtain Dial Before Dig
Obtain Service Location Diagram
Set Up Safe Work Area
Set Up Builders Plastic
Set Up Barricades for Safety
Removal Of Pavers in Required Location
Dig &amp; Excavate Ground Area Up to 1.5M
Expose Existing Section of Sewer Service Up to 1.5M
Expose Existing Sewer Shaft
Expose Existing Boundary Trap
Expose Existing 88 Square Junction
Expose Existing Sewer Junctions
Cut &amp; Remove Existing Section of Sewer Service Up to 1.5M
Cut &amp; Remove Existing Section of Sewer Shaft
Cut &amp; Remove Existing Sewer Boundary Trap
Cut &amp; Remove Existing 88 Square Junction
Cut &amp; Remove Existing Sewer Junctions
Gain Access to Sewer Service
Set Up High-Powered Jet Blaster
Set Up High-Powered Mini Reel
Set Up High-Powered Turbines
Re-Jetblast Sewer Service
Re-Camera &amp; Investigate Further
Supply &amp; Install New Section of Sewer Service Up to 1.5M
Supply &amp; Install New Sewer Shaft
Supply &amp; Install New Sewer Boundary Trap
Supply &amp; install New 88 Square Junction
Supply &amp; Install New Sewer Junctions
Supply &amp; Install New I/O Inspection Point
Supply &amp; Install New BTS and Raise to Ground Level
Supply &amp; Install New PVC Fittings
Connect New Sewer Boundary Shaft to Main Sewer Discharge Point
Connect New Section of main Sewer Service to Existing Sewer Service
Concrete Encase New Connections to Existing Sewer Service
Encase New Section of Sewer Service with Blue Metal
Backfill Excavated Area
Compact Ground Area for Re-Installation of Pavers
Prepare Worked Area for Re-Paving
Re-Install Pavers in worked area
Restoration of Work Area
Test and Commission Installation
Remove Trade Waste
PLEASE NOTE IF FURTHER WORK REQUIRED OTHER THEN QUOTED WORK FURTHER COST WILL APPLY
CREDIT HIGH POWERED JETBLAST &amp; CCTV CAMERA</t>
        </r>
      </text>
    </comment>
    <comment ref="V600" authorId="0" shapeId="0" xr:uid="{061009F8-3A6D-42D7-837E-185D4359EF8A}">
      <text>
        <r>
          <rPr>
            <sz val="11"/>
            <color theme="1"/>
            <rFont val="Aptos Narrow"/>
            <family val="2"/>
            <scheme val="minor"/>
          </rPr>
          <t xml:space="preserve">Unknown User:
30/7 Received $5779.62 EFT </t>
        </r>
      </text>
    </comment>
    <comment ref="G601" authorId="0" shapeId="0" xr:uid="{DA24DEC9-768E-4B69-8B0E-73D80285B471}">
      <text>
        <r>
          <rPr>
            <sz val="11"/>
            <color theme="1"/>
            <rFont val="Aptos Narrow"/>
            <family val="2"/>
            <scheme val="minor"/>
          </rPr>
          <t>Unknown User:
SUPPLY &amp; INSTALLATION OF GAS STORAGE HOT WATER SYSTEM (EXTERNAL)</t>
        </r>
      </text>
    </comment>
    <comment ref="G602" authorId="0" shapeId="0" xr:uid="{C95013DA-B312-48E6-99F2-FB33D621E150}">
      <text>
        <r>
          <rPr>
            <sz val="11"/>
            <color theme="1"/>
            <rFont val="Aptos Narrow"/>
            <family val="2"/>
            <scheme val="minor"/>
          </rPr>
          <t>Unknown User:
REPLACEMENT OF SEWER SHAFT UP TO 3M (UNDER CONCRETE)
Obtain Dial Before Dig
Obtain Service Location Diagram
Set Up Safe Work Area
Set Up Builders Plastic
Set Up Barricades for Safety
Concrete Cut Ground Area – In Required Location
Jack Hammer Ground Area – In Required Location
Removal of Concrete – In Required Location
Dig &amp; Excavate Ground Area Up to3M
Expose Existing Section of Sewer Service Up to 3M
Expose Existing Sewer Shaft
Expose Existing 88 Square Junction
Expose Existing Sewer Junctions
Cut &amp; Remove Existing Section of Sewer Service Up to 3M
Cut &amp; Remove Existing Section of Sewer Shaft
Cut &amp; Remove Existing 88 Square Junction
Cut &amp; Remove Existing Sewer Junctions
Gain Access to Sewer Service
Set Up High-Powered Jet Blaster
Set Up High-Powered Mini Reel
Set Up High-Powered Turbines
Re-Jetblast Sewer Service
Re-Camera &amp; Investigate Further
Supply &amp; Install New Section of Sewer Service Up to 3M
Supply &amp; install New Sewer Shaft
Supply &amp; install New 88 Square Junction
Supply &amp; Install New Sewer Junctions
Supply &amp; Install New I/O Inspection Point
Supply &amp; Install New BTS and Raise to Ground Level
Supply &amp; Install New PVC Fittings
Connect New Sewer Shaft to Main Sewer Discharge Point
Connect New Section of main Sewer Service to Existing Sewer Service
Concrete Encase New Connections to Existing Sewer Service
Encase New Section of Sewer Service with Blue Metal
Backfill Excavated Area
Prepare Worked Area for Re-Concrete
Re-Concrete Worked Area – Standard Concrete Finish
Restoration of Work Area
Test and Commission Installation
Remove Trade Waste
PLEASE NOTE IF FURTHER WORK REQUIRED OTHER THEN QUOTED WORK FURTHER COST WILL APPLY</t>
        </r>
      </text>
    </comment>
    <comment ref="V602" authorId="0" shapeId="0" xr:uid="{6BA15EED-3E32-4DF4-9821-F3DDF2F55B7E}">
      <text>
        <r>
          <rPr>
            <sz val="11"/>
            <color theme="1"/>
            <rFont val="Aptos Narrow"/>
            <family val="2"/>
            <scheme val="minor"/>
          </rPr>
          <t xml:space="preserve">Unknown User:
25/7 Received $3000 EFT
31/7 Received $3800 EFT 
</t>
        </r>
      </text>
    </comment>
    <comment ref="G603" authorId="0" shapeId="0" xr:uid="{96BAAF55-A274-4DE2-9E21-B3C57969A24C}">
      <text>
        <r>
          <rPr>
            <sz val="11"/>
            <color theme="1"/>
            <rFont val="Aptos Narrow"/>
            <family val="2"/>
            <scheme val="minor"/>
          </rPr>
          <t>Unknown User:
SEWER SPOT DIG UP TO 35M - IN GROUND
Obtain sewer diagram
Obtain dial Before dig
Obtain service location diagram
Set up safe work area
Set up builders plastic
Set up barricades for safety
Removal of pavers
Concrete cut ground area
Jack hammer ground area
Removal of concrete in required location
Dig &amp; Excavate Ground Area Up to 35M
Expose existing section of sewer service up to 35M
Expose existing sewer junctions (If Required)
Cut &amp; remove existing section of sewer service up to 35M
Cut &amp; remove existing sewer junctions (if required)
Gain access to sewer service
Set up high-powered Jet Blaster
Set up high-powered mini reel
Set up high-powered Turbines
Re-Jet Blast sewer service
Re-camera and investigate further
Supply &amp; installation of new
Section of sewer service up to 35M
Supply &amp; installation of new sewer junctions (if required)
Supply &amp; installation of new I/O inspection point
Supply &amp; installation of new BTS and raise to ground level
Supply &amp; installation of new PVC fittings
Connect new section of sewer service to existing sewer service
Concrete encase new connections to existing sewer service
Encase new section of sewer service with blue metal
Backfill excavated area
Prepare worked area for re-concrete
Re-concrete worked area
Standard finish only
Wash down worked area
Test &amp; commission installation
Remove trade waste
PLEASE NOTE IF FURTHER WORK REQUIRED OTHER THEN QUOTED WORK FURTHER COST WILL APPLY</t>
        </r>
      </text>
    </comment>
    <comment ref="V603" authorId="0" shapeId="0" xr:uid="{799F2352-55DD-4D21-ACE0-FD9FEE21998A}">
      <text>
        <r>
          <rPr>
            <sz val="11"/>
            <color theme="1"/>
            <rFont val="Aptos Narrow"/>
            <family val="2"/>
            <scheme val="minor"/>
          </rPr>
          <t xml:space="preserve">Unknown User:
04/08 Received $6000 EFT 
06/08 Received $5000 EFT
12/08 Received $339.04 EFT
13/08 Received $10,000 EFT
14/08 Received $10,000 EFT
19/08 Received $3000 EFT
20/08 Received $2000 EFT
26/08 Received $4000 EFT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<sst xmlns="http://schemas.openxmlformats.org/spreadsheetml/2006/main" count="36060" uniqueCount="3607">
  <si>
    <t>HYBRID OR INSTALLER PLUMBER COMMISSION TEMPLATE</t>
  </si>
  <si>
    <t xml:space="preserve"> WEEKLY COMMISSION </t>
  </si>
  <si>
    <t>WEEK ENDING</t>
  </si>
  <si>
    <t>PHOTOS</t>
  </si>
  <si>
    <t>QUOTE</t>
  </si>
  <si>
    <t>INVOICE</t>
  </si>
  <si>
    <t>BOOKED JOBS</t>
  </si>
  <si>
    <t>WEEKLY TARGET</t>
  </si>
  <si>
    <t>BEFORE</t>
  </si>
  <si>
    <t>AFTER</t>
  </si>
  <si>
    <t>RECEIPT</t>
  </si>
  <si>
    <t>DESCRIPTION</t>
  </si>
  <si>
    <t>SIGNED</t>
  </si>
  <si>
    <t>EMAILED</t>
  </si>
  <si>
    <t>5 Star Review</t>
  </si>
  <si>
    <t>SUCCESSFUL</t>
  </si>
  <si>
    <t>Tier 1</t>
  </si>
  <si>
    <t>TAKEN</t>
  </si>
  <si>
    <t>UNSUCCESSFUL</t>
  </si>
  <si>
    <t> %</t>
  </si>
  <si>
    <t>M8 Notes</t>
  </si>
  <si>
    <t>SUCESSFUL (%)</t>
  </si>
  <si>
    <t>ACTUAL</t>
  </si>
  <si>
    <t>POTENTIAL</t>
  </si>
  <si>
    <t>Exc. SUPER</t>
  </si>
  <si>
    <t>AVERAGE SALE</t>
  </si>
  <si>
    <t>NET PROFIT</t>
  </si>
  <si>
    <t xml:space="preserve"> DAILY NET PROFIT</t>
  </si>
  <si>
    <t>WEEKDAY</t>
  </si>
  <si>
    <t>WEEKEND</t>
  </si>
  <si>
    <t>UNLOCKED</t>
  </si>
  <si>
    <t>MON</t>
  </si>
  <si>
    <t>TUE</t>
  </si>
  <si>
    <t>WED</t>
  </si>
  <si>
    <t>THU</t>
  </si>
  <si>
    <t>FRI</t>
  </si>
  <si>
    <t>Total</t>
  </si>
  <si>
    <t>SAT</t>
  </si>
  <si>
    <t>Awaiting Payment</t>
  </si>
  <si>
    <t>COMMISSION - PAY OUT</t>
  </si>
  <si>
    <t xml:space="preserve"> $-   </t>
  </si>
  <si>
    <t>EMERGENCY</t>
  </si>
  <si>
    <t>Successful</t>
  </si>
  <si>
    <t>EMERGENCY - PAY OUT</t>
  </si>
  <si>
    <t>Unsuccessful</t>
  </si>
  <si>
    <t>PREV. WEEK</t>
  </si>
  <si>
    <t>Success rate</t>
  </si>
  <si>
    <t>PREV. WEEK - PAY OUT</t>
  </si>
  <si>
    <t>Avg sale</t>
  </si>
  <si>
    <t>5 Star Notes</t>
  </si>
  <si>
    <t>Managment Summary - SALES ONLY - COLUMN F</t>
  </si>
  <si>
    <t>JOB  DETAILS</t>
  </si>
  <si>
    <t>JOB AMOUNT</t>
  </si>
  <si>
    <t>NOTES</t>
  </si>
  <si>
    <t>JOB STATUS</t>
  </si>
  <si>
    <t>DATE</t>
  </si>
  <si>
    <t>JOB #</t>
  </si>
  <si>
    <t>SUBURB</t>
  </si>
  <si>
    <t>AMOUNT EXC. GST</t>
  </si>
  <si>
    <t>MATERIALS</t>
  </si>
  <si>
    <t>Merchant Fees</t>
  </si>
  <si>
    <t>PAID</t>
  </si>
  <si>
    <t>EFTPOS</t>
  </si>
  <si>
    <t>CASH</t>
  </si>
  <si>
    <t>Payment Plan</t>
  </si>
  <si>
    <t>COMPLETED &amp; PAID JOBS</t>
  </si>
  <si>
    <t>WEEKEND COMPLETED &amp; PAID JOBS</t>
  </si>
  <si>
    <t>PREVIOUS JOBS COMPLETED &amp; PAID (COMMISSION) - Modoras Team Please do ADD to THIS SECTION or AMEND/TOUCH</t>
  </si>
  <si>
    <t>CURRENT JOBS COMPLETED (AWAITING PAYMENT)</t>
  </si>
  <si>
    <t>WEEKEND CURRENT JOBS COMPLETED (AWAITING PAYMENT)</t>
  </si>
  <si>
    <t>CURRENT WORK ORDERS (AWAITING PAYMENT)</t>
  </si>
  <si>
    <t>WEEKEND WORK ORDERS (AWAITING PAYMENT)</t>
  </si>
  <si>
    <t>UNSUCCESSFUL JOBS</t>
  </si>
  <si>
    <t>WEEKEND UNSUCCESSFUL JOBS</t>
  </si>
  <si>
    <t>SALES</t>
  </si>
  <si>
    <t>HYBRID</t>
  </si>
  <si>
    <t>ONLY USE FOR:</t>
  </si>
  <si>
    <t>Shaun Nowicki</t>
  </si>
  <si>
    <t>&lt;$25000</t>
  </si>
  <si>
    <t>Jarrod Tymms</t>
  </si>
  <si>
    <t>Tier 2</t>
  </si>
  <si>
    <t>&gt;= $25000</t>
  </si>
  <si>
    <t>Matthew Hatzistavrou</t>
  </si>
  <si>
    <t>Eric Suntovski</t>
  </si>
  <si>
    <t>Ben Taylor</t>
  </si>
  <si>
    <t>Z</t>
  </si>
  <si>
    <t>WEEKLY COMMISSION SUMMARY TEMPLATE</t>
  </si>
  <si>
    <t>WEEKLY TOTALS</t>
  </si>
  <si>
    <t>WEEKLY</t>
  </si>
  <si>
    <t>COMMISSION</t>
  </si>
  <si>
    <t>No. of 5 Star Reviews</t>
  </si>
  <si>
    <t>MONDAY</t>
  </si>
  <si>
    <t> TUESDAY </t>
  </si>
  <si>
    <t>WEDNESDAY</t>
  </si>
  <si>
    <t> THURSDAY </t>
  </si>
  <si>
    <t>FRIDAY</t>
  </si>
  <si>
    <t>ACTUAL TOTAL</t>
  </si>
  <si>
    <t>TARGETS[S]</t>
  </si>
  <si>
    <t>RUNNING BAL</t>
  </si>
  <si>
    <t>AWAITING PAYMENT</t>
  </si>
  <si>
    <t>COMPLETED &amp; PAID</t>
  </si>
  <si>
    <t xml:space="preserve">Success rate </t>
  </si>
  <si>
    <t>TOTAL</t>
  </si>
  <si>
    <t>*Pending Materials Costs &amp; Merchant Fees</t>
  </si>
  <si>
    <r>
      <rPr>
        <b/>
        <u/>
        <sz val="11"/>
        <color rgb="FF000000"/>
        <rFont val="Calibri"/>
      </rPr>
      <t xml:space="preserve">WEEKLY TOTALS </t>
    </r>
    <r>
      <rPr>
        <b/>
        <u/>
        <sz val="11"/>
        <color rgb="FFFF0000"/>
        <rFont val="Calibri"/>
      </rPr>
      <t>- 6th July 2025</t>
    </r>
  </si>
  <si>
    <t>Mathew B</t>
  </si>
  <si>
    <t>Ben</t>
  </si>
  <si>
    <t>Shaun</t>
  </si>
  <si>
    <t>Jack M</t>
  </si>
  <si>
    <t>Liam</t>
  </si>
  <si>
    <t>Rhys C</t>
  </si>
  <si>
    <r>
      <rPr>
        <b/>
        <u/>
        <sz val="11"/>
        <color rgb="FF000000"/>
        <rFont val="Calibri"/>
      </rPr>
      <t xml:space="preserve">WEEKLY TOTALS </t>
    </r>
    <r>
      <rPr>
        <b/>
        <u/>
        <sz val="11"/>
        <color rgb="FFFF0000"/>
        <rFont val="Calibri"/>
      </rPr>
      <t>- 13th July 2025</t>
    </r>
  </si>
  <si>
    <t>Jarrod</t>
  </si>
  <si>
    <t xml:space="preserve">Ben </t>
  </si>
  <si>
    <t>Heath</t>
  </si>
  <si>
    <t>Mathew H</t>
  </si>
  <si>
    <t>Elliot</t>
  </si>
  <si>
    <t>Rhys</t>
  </si>
  <si>
    <t>Francesco</t>
  </si>
  <si>
    <t xml:space="preserve">WEEKLY TOTALS </t>
  </si>
  <si>
    <t>Aden</t>
  </si>
  <si>
    <t>Bradley</t>
  </si>
  <si>
    <t>Junior</t>
  </si>
  <si>
    <t>5th Oct 2025</t>
  </si>
  <si>
    <t>Nicholas</t>
  </si>
  <si>
    <t>Matthew H</t>
  </si>
  <si>
    <t>Otheniel Junior</t>
  </si>
  <si>
    <t>VIC Total</t>
  </si>
  <si>
    <t>No of Weeks</t>
  </si>
  <si>
    <t>Average</t>
  </si>
  <si>
    <t>6th Jul 2025</t>
  </si>
  <si>
    <t>13th Jul 2025</t>
  </si>
  <si>
    <t>20th Jul 2025</t>
  </si>
  <si>
    <t>27th Jul 2025</t>
  </si>
  <si>
    <t>3rd Aug 2025</t>
  </si>
  <si>
    <t>10th Aug 2025</t>
  </si>
  <si>
    <t>17th Aug 2025</t>
  </si>
  <si>
    <t>24th Aug 2025</t>
  </si>
  <si>
    <t>31st Aug 2025</t>
  </si>
  <si>
    <t>7th Sept 2025</t>
  </si>
  <si>
    <t>14th Sept 2025</t>
  </si>
  <si>
    <t>21st Sept 2025</t>
  </si>
  <si>
    <t>28th Sept 2025</t>
  </si>
  <si>
    <t>FRIDAY/Public Holiday</t>
  </si>
  <si>
    <t>12th Oct 2025</t>
  </si>
  <si>
    <t>19th Oct 2025</t>
  </si>
  <si>
    <t>26th Oct 2025</t>
  </si>
  <si>
    <t>2nd Nov 2025</t>
  </si>
  <si>
    <t>9th Nov 2025</t>
  </si>
  <si>
    <t>Dandenong North</t>
  </si>
  <si>
    <t>Cash</t>
  </si>
  <si>
    <t>18/8-WIP by Rhys</t>
  </si>
  <si>
    <t>PREVIOUS JOBS COMPLETED (AWAITING PAYMENT) - Modoras Team Please do ADD to THIS SECTION or AMEND/TOUCH</t>
  </si>
  <si>
    <t>16 Jun - Water Leak - Job #70792</t>
  </si>
  <si>
    <t>70938/85882114</t>
  </si>
  <si>
    <t>Reservoir</t>
  </si>
  <si>
    <t>Card</t>
  </si>
  <si>
    <t xml:space="preserve">23/06 - WIP&amp;Completed  By Tolga , Ben </t>
  </si>
  <si>
    <t>Coburg</t>
  </si>
  <si>
    <t>North Melbourne</t>
  </si>
  <si>
    <t xml:space="preserve">25/06 - WIP&amp;Completed by Daniel C ; 24/06 - WIP by Daniel C , Ben </t>
  </si>
  <si>
    <t>70918/858910127</t>
  </si>
  <si>
    <t>Doncaster</t>
  </si>
  <si>
    <t>26/06 - WIP&amp;Completed by Alex ;25/06 - WIP by Jarrod , Ben ,Alex</t>
  </si>
  <si>
    <t>09/07 CB09/07</t>
  </si>
  <si>
    <t>70990/71313</t>
  </si>
  <si>
    <t>Mavleod</t>
  </si>
  <si>
    <t xml:space="preserve">09/07 CB - Attended by Daniel B </t>
  </si>
  <si>
    <t>Preston</t>
  </si>
  <si>
    <t>Elsternwick</t>
  </si>
  <si>
    <t>27 Jun - Paying 1hr O/T</t>
  </si>
  <si>
    <t>71086/85951516</t>
  </si>
  <si>
    <t>Richmond</t>
  </si>
  <si>
    <t>27 Jun - Paying 1.25hrs O/T</t>
  </si>
  <si>
    <t>26/06 CB26/06</t>
  </si>
  <si>
    <t>70938/85882653</t>
  </si>
  <si>
    <t xml:space="preserve">26/06  CB - Attended   by Matthew H  ISSUE -  No water pressure ; 24/06 - WIP&amp;Completed by Tolga; 23/06 - WIP By Tolga , Ben </t>
  </si>
  <si>
    <t>70976/85898894</t>
  </si>
  <si>
    <t>Carlton</t>
  </si>
  <si>
    <t>Payment update not Available in invoice Tab</t>
  </si>
  <si>
    <t>70976/85899215</t>
  </si>
  <si>
    <t>24 Jun - Deduct 30mins O/T; 30/06 - WIP&amp;Completed by Tolga ; 25/06 - WIP by Tolga   Temp check by monday</t>
  </si>
  <si>
    <t>70918/85908669</t>
  </si>
  <si>
    <t>26/06 - WIP&amp;Completed by Alex ; 25/06 - WIP&amp; Completed by Jarrod , Ben , Alex; Payment update not Available in invoice Tab</t>
  </si>
  <si>
    <t xml:space="preserve">Thornbury </t>
  </si>
  <si>
    <t>Card/PP</t>
  </si>
  <si>
    <t>25 Jun - Deduct 2.5hrs O/T; 25/06 - As per Ben's note - Humm payment approved , no pics uploaded for approved</t>
  </si>
  <si>
    <t>Ringwood</t>
  </si>
  <si>
    <t>70849/85931834</t>
  </si>
  <si>
    <t>Fairfield</t>
  </si>
  <si>
    <t xml:space="preserve">30/06 - Scheduled for Liam </t>
  </si>
  <si>
    <t>Ashwood</t>
  </si>
  <si>
    <t>Card /EFT</t>
  </si>
  <si>
    <t>23/05- EFT Processed $1780.90</t>
  </si>
  <si>
    <t xml:space="preserve">5% - NGP </t>
  </si>
  <si>
    <t>70409/85622509</t>
  </si>
  <si>
    <t>Maribyrnong</t>
  </si>
  <si>
    <t>NGP</t>
  </si>
  <si>
    <t>NGP 13/06.  28/05- Humm PP Approved</t>
  </si>
  <si>
    <t>70409/85623460</t>
  </si>
  <si>
    <t>NGP27/06.  NGP 13/06.  02/06-WIP&amp;Completedby Alex,Tolga29/04- WIP by Liam &amp; Ben ; 28/05- Humm PP Approved</t>
  </si>
  <si>
    <t xml:space="preserve">20/06 - Unable to add the payment in the invoice tab </t>
  </si>
  <si>
    <t>PREVIOUS WORK ORDERS (AWAITING PAYMENT) - Modoras Team Please do ADD to THIS SECTION or AMEND/TOUCH</t>
  </si>
  <si>
    <t>Yarraville</t>
  </si>
  <si>
    <t>Burnswick</t>
  </si>
  <si>
    <t>N/A</t>
  </si>
  <si>
    <t>Fawkner</t>
  </si>
  <si>
    <t>Burnswick West</t>
  </si>
  <si>
    <t>24/06 - As per Ben's note - Client cannot get approval through humm due to being a business owner</t>
  </si>
  <si>
    <t>Ivanhoe</t>
  </si>
  <si>
    <t>Greensborough</t>
  </si>
  <si>
    <t>South Yarra</t>
  </si>
  <si>
    <t>Burnwood</t>
  </si>
  <si>
    <t>Prahran</t>
  </si>
  <si>
    <t>Burnwood East</t>
  </si>
  <si>
    <t>9 Jul - Refund - $491; 27/06 - WIP by Ben  Customer Cancelled the job  Refund initiated</t>
  </si>
  <si>
    <t>Camberwell</t>
  </si>
  <si>
    <t>71086/85951305</t>
  </si>
  <si>
    <t>Hampton</t>
  </si>
  <si>
    <t>Quote</t>
  </si>
  <si>
    <t>O/T = 8.75hrs</t>
  </si>
  <si>
    <t>2/7- Reece - 1013955863 - FES83E</t>
  </si>
  <si>
    <t>04/07 Bunnings - 6310/01643619 - Job FES83E</t>
  </si>
  <si>
    <t>7 Jul - Bunnings - STOCK ReImb</t>
  </si>
  <si>
    <t>05/07 Reece - 1014063807 - Job 000000</t>
  </si>
  <si>
    <t>Northcote</t>
  </si>
  <si>
    <t>71102/85964217</t>
  </si>
  <si>
    <t>Jacana</t>
  </si>
  <si>
    <t>Card/EFT</t>
  </si>
  <si>
    <t>30/06 - WIP byTolga, Ben</t>
  </si>
  <si>
    <t>Paid Dispute</t>
  </si>
  <si>
    <t>71095/85966107</t>
  </si>
  <si>
    <t>71095/85966017</t>
  </si>
  <si>
    <t>71121/85974391</t>
  </si>
  <si>
    <t>03/07 CB03/07</t>
  </si>
  <si>
    <t>71100/71188</t>
  </si>
  <si>
    <t>Card/Cash</t>
  </si>
  <si>
    <t>03/07 - CB  Attended by Jack "blockage had cleared overnight" - ISSUE - Toilet blocked -  Cash Deposit snip uploaded</t>
  </si>
  <si>
    <t>71039/86006408</t>
  </si>
  <si>
    <t>Heidelberg West</t>
  </si>
  <si>
    <t>03/7 CB03/07</t>
  </si>
  <si>
    <t>3 Jul - Paying 45mins O/T; 03/07 - Excess receipt of 20 cent is abserved -  CB - Attended by Ben "Original Flexi hose connected to inlet valve had a slight leak on bottom, Completely disconnected and changed it up to inlet valve from bottom"</t>
  </si>
  <si>
    <t>04/07 - Offered 10% Discount</t>
  </si>
  <si>
    <t>15 Jul - Refund - $89; 04/07 - EFT Received $1250.40</t>
  </si>
  <si>
    <t>Burnswick East</t>
  </si>
  <si>
    <t>Tullamarine</t>
  </si>
  <si>
    <t>Maidstone</t>
  </si>
  <si>
    <t>Brrighton</t>
  </si>
  <si>
    <t>27 Jun - 26/06 CB26/06</t>
  </si>
  <si>
    <t>5% - No Comm'ns</t>
  </si>
  <si>
    <t>04/07 - Scheduled for Rhys ; 24 Jun - Deduct 30mins O/T; 30/06 - WIP&amp;Completed by Tolga ; 25/06 - WIP by Tolga   Temp check by monday</t>
  </si>
  <si>
    <t>5% - 2nd Jul</t>
  </si>
  <si>
    <t>71020/85931776</t>
  </si>
  <si>
    <t>Kingsville</t>
  </si>
  <si>
    <t>1 Jul - Job Completed by Daniel B; 30/06 - WIP by Daniel B ; 27/06 - Scheduled for Jarrod,  Mathew B,  Matthew H ; 26/06 - WIP by Tolga , Alex , Liam</t>
  </si>
  <si>
    <t>71020/85936778</t>
  </si>
  <si>
    <t>1 Jul - Job Completed by Daniel B; 30/06 - WIP by Daniel B ; 27/06 - Scheduled for Jarrod, Mathew B, Matthew H; 26/06 - WIP by Tolga , Alex , Liam</t>
  </si>
  <si>
    <t>71102/85963202</t>
  </si>
  <si>
    <t>30/06 - WIP&amp;Completed byTolga, Ben</t>
  </si>
  <si>
    <t>No Comm'ns</t>
  </si>
  <si>
    <t>Campbellfield</t>
  </si>
  <si>
    <t xml:space="preserve">04/07 - Scheduled to Ben </t>
  </si>
  <si>
    <t>Wollert</t>
  </si>
  <si>
    <t>7/7-Job completed by Matthew Hatzistavrou-HUMM application approved ; 04/07-Scheduled to 7th July</t>
  </si>
  <si>
    <t>71192/71039/86008797</t>
  </si>
  <si>
    <t>04/07 - WIP by Tolga ; 03/07 - WIP by Ben ,Tolga; 02/07-Payment approved</t>
  </si>
  <si>
    <t xml:space="preserve">4 July-Emailed &amp; requested bank details for refund of $160.90 to customer;01/07 - HUMM not Approved ; 30/06 - Scheduled for Liam </t>
  </si>
  <si>
    <t>30/06 - WIP by Liam ,  Daniel B ; 27 Jun - Deduct 1.25hrs O/T; 30/06 - WIP &amp; Completed  by  Daniel B , Liam  ; 27/06 - WIP by Matthew H ,Liam</t>
  </si>
  <si>
    <t>Macleod</t>
  </si>
  <si>
    <t>30/06 - Job status changed to unsucessfull marked by plumber</t>
  </si>
  <si>
    <t>Rosanna</t>
  </si>
  <si>
    <t>Saint Albans</t>
  </si>
  <si>
    <t>Heidelberg Heights</t>
  </si>
  <si>
    <t>Eltham North</t>
  </si>
  <si>
    <t>Viewbank</t>
  </si>
  <si>
    <t>Couburg</t>
  </si>
  <si>
    <t xml:space="preserve">07/07 - Attended by Ben </t>
  </si>
  <si>
    <t xml:space="preserve">05/07 Attended by Ben </t>
  </si>
  <si>
    <t>Docklands</t>
  </si>
  <si>
    <t>07/07 - Processed EFT  $93.50</t>
  </si>
  <si>
    <t>O/T=6hrs</t>
  </si>
  <si>
    <t>10/07 - Bunnings - 6450/01133688 - 83E STOCK</t>
  </si>
  <si>
    <t>10/07 - Bunnings -  6042/01756628 - Job 71336</t>
  </si>
  <si>
    <t xml:space="preserve">10/07 - Reece - 1014184208 - Job 000000 </t>
  </si>
  <si>
    <t>15 Jul - Refund - Job #71212</t>
  </si>
  <si>
    <t>On-Call</t>
  </si>
  <si>
    <t>Clifton Hill</t>
  </si>
  <si>
    <t xml:space="preserve">09/08 - Uploaded Customer review </t>
  </si>
  <si>
    <t>7 Jul - 1.5hrs O/T More Than Comm'ns</t>
  </si>
  <si>
    <t>SouthBank</t>
  </si>
  <si>
    <t>09/08 - Uploaded Customer review And parking snip</t>
  </si>
  <si>
    <t>Pascoe Vale South</t>
  </si>
  <si>
    <t>Footscray</t>
  </si>
  <si>
    <t>9 Jul - Deduct 15mins O/T</t>
  </si>
  <si>
    <t>Melbourne</t>
  </si>
  <si>
    <t>11 Jul - Deduct 30mins O/T</t>
  </si>
  <si>
    <t>Fitzroy</t>
  </si>
  <si>
    <t>11/07 - Uploaded  customer feedback</t>
  </si>
  <si>
    <t>71172/86122241</t>
  </si>
  <si>
    <t>Ascot Vale</t>
  </si>
  <si>
    <t>11/07 - WIP &amp; completed by Jack , Ben</t>
  </si>
  <si>
    <t>71172/86122327</t>
  </si>
  <si>
    <t>Newport</t>
  </si>
  <si>
    <t>11 Jul - Deduct 45mins O/T</t>
  </si>
  <si>
    <t>Middle Park</t>
  </si>
  <si>
    <t>Caulfield</t>
  </si>
  <si>
    <t>Glen Waverley</t>
  </si>
  <si>
    <t>11 Jul - 5%</t>
  </si>
  <si>
    <t>11 Jul - Refund - $93.50; 23/05- EFT Processed $1780.90</t>
  </si>
  <si>
    <t>5% - 26 Jun</t>
  </si>
  <si>
    <t>5% - 9 Jul</t>
  </si>
  <si>
    <t>71172/86124520</t>
  </si>
  <si>
    <t>11/07 - WIP &amp; completed by Jack , Ben  Invoice tab not updated</t>
  </si>
  <si>
    <t>PP</t>
  </si>
  <si>
    <t>07/07 - WIP &amp; Completed by Matthew H - HUMM application approved  ; 04/07-Scheduled to 7th July</t>
  </si>
  <si>
    <t>10/07 - WIP by Matthew H ; 09/07 - WIP by Tolga , uploaded Westpac receipt for  $62.00 ; 08/07 - WIP by Tolga ;  07/07 - WIP by Tolga ; 04/07 - WIP by Tolga ; 03/07 - WIP by Ben ,Tolga; 02/07-Payment approved</t>
  </si>
  <si>
    <t>71283/86055929</t>
  </si>
  <si>
    <t>St Kilda</t>
  </si>
  <si>
    <t>Canceled</t>
  </si>
  <si>
    <t>Epping</t>
  </si>
  <si>
    <t>71293/86080498</t>
  </si>
  <si>
    <t>71260/86091256</t>
  </si>
  <si>
    <t>Moonee Ponds</t>
  </si>
  <si>
    <t>09/07 - Ben's note - Job has been completed bye another plumber at 9am</t>
  </si>
  <si>
    <t>71334/86092323</t>
  </si>
  <si>
    <t>Broadmeadows</t>
  </si>
  <si>
    <t>71334/86092372</t>
  </si>
  <si>
    <t>Point Cook</t>
  </si>
  <si>
    <t>71390/86113916</t>
  </si>
  <si>
    <t>Altona Meadows</t>
  </si>
  <si>
    <t>Sunshine West</t>
  </si>
  <si>
    <t>71372/86130468</t>
  </si>
  <si>
    <t>Check Tomorrow</t>
  </si>
  <si>
    <t>Ringwood North</t>
  </si>
  <si>
    <t>Pascoe Vale</t>
  </si>
  <si>
    <t>16/7-Reece-Inv #1014349803-Job #000000</t>
  </si>
  <si>
    <t>17/7-Reece-Inv #1014413548-Job #000000</t>
  </si>
  <si>
    <t>21 Jul - Refund - Job #70614</t>
  </si>
  <si>
    <t>Aberfeldie</t>
  </si>
  <si>
    <t>16/07-Customer requires a report on job performed;15/07-Scheduled for Ben to collect the full payment; 14/07-Job completed by Francesco, Ben</t>
  </si>
  <si>
    <t>71412/86150466</t>
  </si>
  <si>
    <t>71412/86151749</t>
  </si>
  <si>
    <t>14 Jul - Deduct 1.25hrs O/T; 15/07-WIP by Francesco;14/07-WIP by Daniel B &amp; Ben Taylor</t>
  </si>
  <si>
    <t>17 Jul - Paid Dispute</t>
  </si>
  <si>
    <t>West Footscray</t>
  </si>
  <si>
    <t>17 Jul - Refund $1,476.96; 15/07-As per Lily's note "maria thinks shes been charged twice for the cof- emailed her back her invoice and explained how she hasnt"</t>
  </si>
  <si>
    <t>Spotswood</t>
  </si>
  <si>
    <t>15/07-As per Ben's note "Client has accepted the quote over the phone, sending the email to approve"</t>
  </si>
  <si>
    <t>Keilor Downs</t>
  </si>
  <si>
    <t>Glenroy</t>
  </si>
  <si>
    <t>16 Jul - Deduct 1hr O/T</t>
  </si>
  <si>
    <t>71504/86179218</t>
  </si>
  <si>
    <t>Airport West</t>
  </si>
  <si>
    <t>16 Jul - 1.5hrs O/T More Than Comm'ns</t>
  </si>
  <si>
    <t>Brunswick</t>
  </si>
  <si>
    <t>West Melbourne</t>
  </si>
  <si>
    <t>5% - 11 Jul</t>
  </si>
  <si>
    <t>71516/71504/86179148</t>
  </si>
  <si>
    <t>18/08-WIP &amp; Completed by Jack M,Ben &amp; Tolga Bal;17/07-WIP by Jack M-As per Ben's note "Job saved with a Credit from search and investigation"-Customer emailed to cancel the job &amp; speak with Michael Asciak regarding the job.</t>
  </si>
  <si>
    <t>15/07-Job completed by Francesco;14/07-WIP by Elliot S</t>
  </si>
  <si>
    <t>71417/86149039</t>
  </si>
  <si>
    <t>71458/86157132</t>
  </si>
  <si>
    <t>71440/86162481</t>
  </si>
  <si>
    <t>Wyndham Vale</t>
  </si>
  <si>
    <t>71463/86167632</t>
  </si>
  <si>
    <t>West Footscary</t>
  </si>
  <si>
    <t>Sunbury</t>
  </si>
  <si>
    <t>Attwood</t>
  </si>
  <si>
    <t>71527/86194370</t>
  </si>
  <si>
    <t>Keilor East</t>
  </si>
  <si>
    <t>Coburg North</t>
  </si>
  <si>
    <t>23/7-Reece-Inv #1014546502-Job #050002</t>
  </si>
  <si>
    <t>23/7-Reece-Inv #1014584972-Job #000000</t>
  </si>
  <si>
    <t>23/07-Refund to be initiated for $65</t>
  </si>
  <si>
    <t>EFT</t>
  </si>
  <si>
    <t>24/07-Job completed by Alex P &amp; Ben</t>
  </si>
  <si>
    <t>Derrimut</t>
  </si>
  <si>
    <t>Altona North</t>
  </si>
  <si>
    <t>25 Jul - Deduct 15mins O/T</t>
  </si>
  <si>
    <t>5% - 26 Jul</t>
  </si>
  <si>
    <t>5% - 19 Jul</t>
  </si>
  <si>
    <t>Braybrook</t>
  </si>
  <si>
    <t>Port Melbourne</t>
  </si>
  <si>
    <t>Dispute</t>
  </si>
  <si>
    <t>Altona</t>
  </si>
  <si>
    <t xml:space="preserve">Job marked as unsuccessful to be confirmed tomorrow - Invoice tab not updated </t>
  </si>
  <si>
    <t>Sunshine North</t>
  </si>
  <si>
    <t>13/8-Attended by Ben-Client not going ahead ; 30/07-Attended by Ben - "Booking confirmation was never sent to the client to finalise booking time with both parties".</t>
  </si>
  <si>
    <t>Bundoora</t>
  </si>
  <si>
    <t>0.5x Tolga &amp; Riley</t>
  </si>
  <si>
    <t>30/07 Reece - 1014742976 - Job 00000</t>
  </si>
  <si>
    <t>31/07-Reece -1014785267- Job 000000</t>
  </si>
  <si>
    <t>4/8 - Bunnings -  6194/01245625 - Job Fes83e</t>
  </si>
  <si>
    <t>31/07-As per Oscars note "tried to call back after a recent email - i have authority to go up to 15% from KW - please transfer to me if call back";30/07-Christine emailed that $150 refund will be offered whereas the customer wants $1000 refund.</t>
  </si>
  <si>
    <t>71831/86323634</t>
  </si>
  <si>
    <t>Kensington</t>
  </si>
  <si>
    <t>30/07-WIP &amp; Completed by Ben</t>
  </si>
  <si>
    <t>30/07-WIP &amp; Completed by Ben &amp; Tolga;29/07-WIP by Alex, Ben &amp; Riley</t>
  </si>
  <si>
    <t>Kings Park</t>
  </si>
  <si>
    <t>4/8-As per Ben's note "Water drip on connection, very slow drip";30/07-Ben made a note stating that "Deposit of $150 cash has been returned to Anjali.Due being paid in full through bank transfer". Sign obtained from customer as acknowledgement of the notes.-Mentioned "5 star review" in the note whereas proof pic not uploaded.</t>
  </si>
  <si>
    <t>71811/86361260</t>
  </si>
  <si>
    <t>Avondale Heights</t>
  </si>
  <si>
    <t>5% - 29 Jul</t>
  </si>
  <si>
    <t>29 Jul - Humm P/P; 10/07 - WIP by Matthew H ; 09/07 - WIP by Tolga , uploaded Westpac receipt for  $62.00 ; 08/07 - WIP by Tolga ;  07/07 - WIP by Tolga ; 04/07 - WIP by Tolga ; 03/07 - WIP by Ben ,Tolga; 02/07-Payment approved</t>
  </si>
  <si>
    <t>5% - 30 Jul</t>
  </si>
  <si>
    <t>71854/71831/86324387</t>
  </si>
  <si>
    <t>30/07-WIP by Ben;29/07-WIP by Alex P-HUMM application approved</t>
  </si>
  <si>
    <t>Essendon North</t>
  </si>
  <si>
    <t>71861/86351891</t>
  </si>
  <si>
    <t>Delahey</t>
  </si>
  <si>
    <t>71861/86351959</t>
  </si>
  <si>
    <t>71811/86364172</t>
  </si>
  <si>
    <t>71936/86375428</t>
  </si>
  <si>
    <t>71936/86375565</t>
  </si>
  <si>
    <t>1x Riley</t>
  </si>
  <si>
    <t>13 Aug - 5% will be paid out upon Achieving 5 x 5 Star Reviews</t>
  </si>
  <si>
    <t>5% Comm'ns Paid - 10 Sept</t>
  </si>
  <si>
    <t>O/T=7hrs</t>
  </si>
  <si>
    <t>8 Aug - Refund - Job #70698</t>
  </si>
  <si>
    <t>11/08 Reece - 1015051513 - Job 000000</t>
  </si>
  <si>
    <t>12/08 Bunnings - 6426/00241140 - Job STOCK</t>
  </si>
  <si>
    <t>12/08 Reece - 1015092964-Job 72237 (V-55024)</t>
  </si>
  <si>
    <t>71989/86398689</t>
  </si>
  <si>
    <t>72007/86403099</t>
  </si>
  <si>
    <t>4 Aug - Deduct 30mins O/T</t>
  </si>
  <si>
    <t>72020/86405183</t>
  </si>
  <si>
    <t>Lalor</t>
  </si>
  <si>
    <t>4 Aug - Deduct 1.25hrs O/T;  4/8-Job completed by Riley</t>
  </si>
  <si>
    <t>Tarneit</t>
  </si>
  <si>
    <t>COF not collected</t>
  </si>
  <si>
    <t>Sunshine</t>
  </si>
  <si>
    <t>72081/86435398</t>
  </si>
  <si>
    <t>72100/86438415</t>
  </si>
  <si>
    <t>6 Aug - Deduct 15mins</t>
  </si>
  <si>
    <t>Client was over the moon with the job, couldn’t provide a 5 star due to tech reason</t>
  </si>
  <si>
    <t>6 Aug - Deduct 45mins</t>
  </si>
  <si>
    <t>CB12/08</t>
  </si>
  <si>
    <t>72127/72243</t>
  </si>
  <si>
    <t>Client was happy but repeated 4 time that “it was quick” didn’t push for 5 star review</t>
  </si>
  <si>
    <t>12/08-CB attended by Daniel C-CB Issue:Tap leaking-CB Outcome:Customer wants to reschedule</t>
  </si>
  <si>
    <t>72131/86451400</t>
  </si>
  <si>
    <t>72154/86459958</t>
  </si>
  <si>
    <t>7 Aug - Deduct 30mins O/T</t>
  </si>
  <si>
    <t>72139/86462206</t>
  </si>
  <si>
    <t>Essendon</t>
  </si>
  <si>
    <t>72188/87077010</t>
  </si>
  <si>
    <t>Seaford</t>
  </si>
  <si>
    <t>Chelsea</t>
  </si>
  <si>
    <t>72026/72007/86405160</t>
  </si>
  <si>
    <t>8 Aug - Deduct 1hr O/T; 4 Aug - Deduct 15mins O/T; 11/8-Scheduled to Tolga ;8/8-Ben trying to collect payment;7/8-WIP by Tolga ; 6/8-WIP by Jayden B &amp; Alex ;5/8-WIP by Alex - EFT Processed for $2000 ; 4/8-WIP by Ben,Jack M,Francesco &amp; Riley</t>
  </si>
  <si>
    <t>72199/72188/87077010</t>
  </si>
  <si>
    <t>11/08-WIP by Jayden ; 09/08-WIP by Daniel B, Aden ; 8/8-WIP by Tolga</t>
  </si>
  <si>
    <t>71989/86400066</t>
  </si>
  <si>
    <t>72020/86405769</t>
  </si>
  <si>
    <t>72081/86435951</t>
  </si>
  <si>
    <t>72100/86440158</t>
  </si>
  <si>
    <t>Brunswick East</t>
  </si>
  <si>
    <t xml:space="preserve">72131/86453057 </t>
  </si>
  <si>
    <t>Flemington</t>
  </si>
  <si>
    <t>72154/86460210</t>
  </si>
  <si>
    <t>72139/86465303</t>
  </si>
  <si>
    <t>72007/87081150</t>
  </si>
  <si>
    <t>Meadow Heights</t>
  </si>
  <si>
    <t>Mill Park</t>
  </si>
  <si>
    <t>Toorak</t>
  </si>
  <si>
    <t>Waived</t>
  </si>
  <si>
    <t>0.5x Riley</t>
  </si>
  <si>
    <t>20 Aug - 5% will be paid out upon Achieving 5 x 5 Star Reviews</t>
  </si>
  <si>
    <t>15/08 Reece - 1015233550-Job 72237 (V-55024)</t>
  </si>
  <si>
    <t>16/08 Bunnings- 6411/01571109-Job -NA</t>
  </si>
  <si>
    <t>72216/87096538</t>
  </si>
  <si>
    <t>Deer Park</t>
  </si>
  <si>
    <t>72246/87116812</t>
  </si>
  <si>
    <t>71898/87126815</t>
  </si>
  <si>
    <t>Doreen</t>
  </si>
  <si>
    <t>72292/87131373</t>
  </si>
  <si>
    <t>13 Aug - Deduct 2hrs O/T</t>
  </si>
  <si>
    <t>72323/87142064</t>
  </si>
  <si>
    <t>72323/87142486</t>
  </si>
  <si>
    <t>14 Aug - Deduct 30mins O/T</t>
  </si>
  <si>
    <t>72281/72246/87116812</t>
  </si>
  <si>
    <t>12 Aug - Deduct 3.5hrs O/T; 21/8-Scheduled to Ben;14/8 - Ben on site &amp; mentioned a note as"Set tiler up on site" Customer emailed asking for lifetime warranty for the job;12/8-WIP by Ben</t>
  </si>
  <si>
    <t>11 Aug - Deduct 1hr O/T; 11/8-Ben to collect payment;30/06 - WIP&amp;Completed byTolga, Ben</t>
  </si>
  <si>
    <t>5% - 12 Aug</t>
  </si>
  <si>
    <t>12/08 - Attended by Liam - Received $295.40 SQ ; 30/06 - WIP by Liam ,  Daniel B ; 27 Jun - Deduct 1.25hrs O/T; 30/06 - WIP &amp; Completed  by  Daniel B , Liam  ; 27/06 - WIP by Matthew H ,Liam</t>
  </si>
  <si>
    <t>11/08-WIP &amp; Completed by Tolga; 8 Aug - Deduct 1hr O/T; 4 Aug - Deduct 15mins O/T; 11/8-Scheduled to Tolga ;8/8-Ben trying to collect payment;7/8-WIP by Tolga ; 6/8-WIP by Jayden B &amp; Alex ;5/8-WIP by Alex - EFT Processed for $2000 ; 4/8-WIP by Ben,Jack M,Francesco &amp; Riley</t>
  </si>
  <si>
    <t>16/8-Rhys to collect payment;15/8-WIP by Daniel B ; 14/8-WIP by Jayden ; 13/8-WIP by Ben,Daniel B &amp; Aden ; 12/08-WIP by Jayden-Inspection booked for Wednesday;11/08-WIP by Jayden; 09/08-WIP by Daniel B, Aden ; 8/8-WIP by Tolga</t>
  </si>
  <si>
    <t>72216/87097763</t>
  </si>
  <si>
    <t>22 Aug - Refund - $75; 14/8-Contract cancelled-Refund of $75 initiated;11/8-Reschedule to Thursday morning for Riley</t>
  </si>
  <si>
    <t>Westmeadows</t>
  </si>
  <si>
    <t>71898/87126740</t>
  </si>
  <si>
    <t>13/8-Rescheduled for tomorrow</t>
  </si>
  <si>
    <t>72292/87132839</t>
  </si>
  <si>
    <t>27 Aug - 5% will be paid out upon Achieving 5 x 5 Star Reviews</t>
  </si>
  <si>
    <t>5% Comm'ns Paid - 17 Sept</t>
  </si>
  <si>
    <t>72280/87178421</t>
  </si>
  <si>
    <t>72278/87186552</t>
  </si>
  <si>
    <t>Keilor</t>
  </si>
  <si>
    <t>18/8-WIP by Ben &amp; Job completed by Liam</t>
  </si>
  <si>
    <t>72409/87196082</t>
  </si>
  <si>
    <t>72426/87215983</t>
  </si>
  <si>
    <t>72426/87216059</t>
  </si>
  <si>
    <t>Pascoe</t>
  </si>
  <si>
    <t>21 Aug - Deduct 30mins O/T</t>
  </si>
  <si>
    <t>11/8-Ben to collect payment;30/06 - WIP&amp;Completed byTolga, Ben</t>
  </si>
  <si>
    <t>21/08-Scheduled to Ben for courtesy call ; 12 Aug - Deduct 3.5hrs O/T; 21/8-Scheduled to Ben;14/8 - Ben on site &amp; mentioned a note as"Set tiler up on site" Customer emailed asking for lifetime warranty for the job;12/8-WIP by Ben</t>
  </si>
  <si>
    <t>72280/87180649</t>
  </si>
  <si>
    <t>Caroline Springs</t>
  </si>
  <si>
    <t>Parkville</t>
  </si>
  <si>
    <t>Fitzroy North</t>
  </si>
  <si>
    <t>72409/87197241</t>
  </si>
  <si>
    <t xml:space="preserve">Brunswick </t>
  </si>
  <si>
    <t>Brunswick West</t>
  </si>
  <si>
    <t>Oak Park</t>
  </si>
  <si>
    <t>Acondale Heights</t>
  </si>
  <si>
    <t>Strathmore</t>
  </si>
  <si>
    <t xml:space="preserve">Deer Park </t>
  </si>
  <si>
    <t>72553/87246103</t>
  </si>
  <si>
    <t>3 Sept - 5% will be paid out upon Achieving 5 x 5 Star Reviews</t>
  </si>
  <si>
    <t>27/8 - Bunnings - 6042/00143336 - Job-NA (FES83E)</t>
  </si>
  <si>
    <t>27/8 - Bunnings - 6042/01340770 - Job-NA (FES83E)</t>
  </si>
  <si>
    <t>27/8 - Bunnings -CN 6042/00143336 - Job-NA (FES83E)</t>
  </si>
  <si>
    <t>30/8 - Bunnings - 6428/01531676 - Job UTE Stock</t>
  </si>
  <si>
    <t>Cairnlea</t>
  </si>
  <si>
    <t>Niddrie</t>
  </si>
  <si>
    <t>29 Aug - Deduct 1hr O/T</t>
  </si>
  <si>
    <t>29 Aug - Deduct 0.75hrs O/T</t>
  </si>
  <si>
    <t>72677/72600</t>
  </si>
  <si>
    <t>30/8-WIP by Riley;29/8-WIP by Riley;28/8-WIP by Riley &amp; Jack M;27/8-WIP by Ben &amp; Riley-Ben noted as "Setting up client on zip pay"</t>
  </si>
  <si>
    <t>72737/72720</t>
  </si>
  <si>
    <t>29/8-WIP by Mathew H &amp; Tolga-EFT of $7000 initiated ;28/8-WIP by Ben &amp; Tolga</t>
  </si>
  <si>
    <t>25/8-Jarrod at site &amp; took pic of $3690.46 by EFT which was made on 21/8 by customer;16/8-Rhys to collect payment;15/8-WIP by Daniel B ; 14/8-WIP by Jayden ; 13/8-WIP by Ben,Daniel B &amp; Aden ; 12/08-WIP by Jayden-Inspection booked for Wednesday;11/08-WIP by Jayden; 09/08-WIP by Daniel B, Aden ; 8/8-WIP by Tolga</t>
  </si>
  <si>
    <t>1.5x Riley</t>
  </si>
  <si>
    <t>5% Comm'ns - W/E 10th Aug 2025</t>
  </si>
  <si>
    <t>5% Comm'ns - W/E 17th Aug 2025</t>
  </si>
  <si>
    <t>4/9 - Reece - 1015773546 - Job 000000</t>
  </si>
  <si>
    <t>5/9 - Reece - 1015789059 - Job 000000</t>
  </si>
  <si>
    <t>9/9 - Reece - 1015869858 - Job 000000</t>
  </si>
  <si>
    <t>Bonnie Brook</t>
  </si>
  <si>
    <t>2 Sept - Deduct 45mins O/T</t>
  </si>
  <si>
    <t>Keilor Park</t>
  </si>
  <si>
    <t>CB22/9 17/9  CB17/9 8/9 CB4/9</t>
  </si>
  <si>
    <t>72922/72890/87396751</t>
  </si>
  <si>
    <t>19/9-CB by Ben-CB reason-Leak in the Macerator-CB outcome-Daniel at site-Pics uploaded,no notes provided regarding outcome;17/9-CB by Ben-CB pics uploaded-CB outcome not available;4/9-CB by Tolga-CB reason-Pool of water around the pipe where the toilet was installed-CB outcomeFlush tested toilet several times to recreate issue. Found pump to be in correct working order. Have uploaded a video of operation into service titan. Advised the client that if it happens again then we’ll come out and have another look however the pump is working correctly.;3/9-Job completed by Ben &amp; WIP by Riley</t>
  </si>
  <si>
    <t>5/9-Job completed by Ben &amp; Riley</t>
  </si>
  <si>
    <t>73013/87428680</t>
  </si>
  <si>
    <t>73013/87428779</t>
  </si>
  <si>
    <t>4 Sept - Paying 1.25hrs O/T</t>
  </si>
  <si>
    <t>5% - 9 Sept</t>
  </si>
  <si>
    <t>73012/72947/87423109</t>
  </si>
  <si>
    <t>8/9-Temp check scheduled;5/9-EFT of $4000 initiated-As per Tolga's note "The rest to be collected at temp check amd to be booked at 8 am monday";4/9-WIP by Ben</t>
  </si>
  <si>
    <t>5% - 28 Aug</t>
  </si>
  <si>
    <t>5% - 21 Aug</t>
  </si>
  <si>
    <t>8/9-5 star rating obtained by Ben &amp; EFT of $9000 &amp; $358.56 initiated;3/9-Job completed by Riley;2/9-WIP by Riley &amp; Ben;30/8-WIP by Riley;29/8-WIP by Riley;28/8-WIP by Riley &amp; Jack M;27/8-WIP by Ben &amp; Riley-Ben noted as "Setting up client on zip pay"</t>
  </si>
  <si>
    <t>5% - 3 Sept</t>
  </si>
  <si>
    <t>2/9-Job completed by Ben &amp; Alex &amp; received $4446.86 by Smartpay-5 star rating received for Ben,Alex,Tolga &amp; Mathew;29/8-WIP by Mathew H &amp; Tolga-EFT of $7000 initiated ;28/8-WIP by Ben &amp; Tolga-EFT of $1000 initiateed</t>
  </si>
  <si>
    <t>Syndenham</t>
  </si>
  <si>
    <t>2/9-Scheduled to Bradley;1/9-Attended by Ben</t>
  </si>
  <si>
    <t>Williamstown North</t>
  </si>
  <si>
    <t>72833/87382705</t>
  </si>
  <si>
    <t>1.5x Nichoas</t>
  </si>
  <si>
    <t>5% Comm'ns - W/E 24th Aug 2025</t>
  </si>
  <si>
    <t>5% Comm'ns - W/E 31st Aug 2025</t>
  </si>
  <si>
    <t>Hoppers Crossing</t>
  </si>
  <si>
    <t xml:space="preserve">8/9-Job completed by Jayden &amp; Ben-EFT of $3638.20 initiated </t>
  </si>
  <si>
    <t>Mickleham</t>
  </si>
  <si>
    <t>8 Sept - Deduct 15mins O/T</t>
  </si>
  <si>
    <t>9/9-Job completed by Ben &amp; Nicholas</t>
  </si>
  <si>
    <t>9 Sept - 1hr O/T More Than Comm'ns</t>
  </si>
  <si>
    <t>Seaholme</t>
  </si>
  <si>
    <t>10 Sept - Deduct 30mins O/T</t>
  </si>
  <si>
    <t>Sydenham</t>
  </si>
  <si>
    <t>Thornbury</t>
  </si>
  <si>
    <t>11 Sept - Deduct 45mins O/T</t>
  </si>
  <si>
    <t>15/9-Alice was informed there was warranty on the work we did however it was only a search that we carried out. She wasn’t happy that we didn’t give her a quote for replacement;13/9-Jayden-rainwater pump was recommended to be serviced not replaced, unit is now not working</t>
  </si>
  <si>
    <t>16/9-Ben uploaded pics to the job</t>
  </si>
  <si>
    <t>11/9-Rylee to collect payment;9/9-Scheduled to Jayden to collect payment-EFT of $1478.30 initiated;8/9-Temp check scheduled;5/9-EFT of $4000 initiated-As per Tolga's note "The rest to be collected at temp check amd to be booked at 8 am monday";4/9-WIP by Ben</t>
  </si>
  <si>
    <t>Briar Hill</t>
  </si>
  <si>
    <t>73055/87446152</t>
  </si>
  <si>
    <t>Keilor North</t>
  </si>
  <si>
    <t>73140/87465595</t>
  </si>
  <si>
    <t>Melton</t>
  </si>
  <si>
    <t>0.5x Nicholas</t>
  </si>
  <si>
    <t>24 Sept - 5% will be paid out upon Achieving 5 x 5 Star Reviews</t>
  </si>
  <si>
    <t>5% Comm'ns Paid - 15 Oct</t>
  </si>
  <si>
    <t>O/T=8.5hrs</t>
  </si>
  <si>
    <t>17/9 - Reece - 1016122829 - Job 72922</t>
  </si>
  <si>
    <t>17/9- Reece - 1016117682 - Job 000000 (Fsq31w)</t>
  </si>
  <si>
    <t>18/9- Bunnings - 6042/002660072 - Job 000000 (Fsq31w)</t>
  </si>
  <si>
    <t>22/9 - Reece - 1016254588 - Job 72922</t>
  </si>
  <si>
    <t>22/9 - Reece - 1016247183 - Job 72922</t>
  </si>
  <si>
    <t>22/9 - Reece - 1016227459 - Job 000000</t>
  </si>
  <si>
    <t>18 Sept - Paying 1.5hrs O/T; 18/9-Job completed by Ben &amp; Nicholas</t>
  </si>
  <si>
    <t>16 Sept - Deduct 1hr O/T</t>
  </si>
  <si>
    <t>19 Sept - Deduct 30mins O/T</t>
  </si>
  <si>
    <t>73489/87607045</t>
  </si>
  <si>
    <t>Cremorne</t>
  </si>
  <si>
    <t>73489/87606710</t>
  </si>
  <si>
    <t>5% - 16 Sept</t>
  </si>
  <si>
    <t xml:space="preserve">16 Sept - Job Waived; 20/06 - Unable to add the payment in the invoice tab </t>
  </si>
  <si>
    <t xml:space="preserve">16 Sept - Job Waived; 4 July-Emailed &amp; requested bank details for refund of $160.90 to customer;01/07 - HUMM not Approved ; 30/06 - Scheduled for Liam </t>
  </si>
  <si>
    <t>Taylors Lakes</t>
  </si>
  <si>
    <t>22/9-Job status updated to "Unsuccessful" by Maddison Thomas;19/9-Ben made a note as "Need to order in filter from supplier"</t>
  </si>
  <si>
    <t>73284/87592757</t>
  </si>
  <si>
    <t>Bentleigh East</t>
  </si>
  <si>
    <t>1x Will Dower;0.5x for Nicholas,Alex and Eric</t>
  </si>
  <si>
    <t>24/9 - Reece - 1016312571 - Job 000000</t>
  </si>
  <si>
    <t>25/9 - Reece - 1016346999 - Job 000000</t>
  </si>
  <si>
    <t>29/9 - Reece - 1016418933 - Job 000000</t>
  </si>
  <si>
    <t>Albanvale</t>
  </si>
  <si>
    <t>Gowanbrae</t>
  </si>
  <si>
    <t>73608/73554/87636761</t>
  </si>
  <si>
    <t>23 Sept - Deduct 45mins O/T; 23/9-WIP by Ben,Nicholas &amp; Rylee</t>
  </si>
  <si>
    <t>23 Sept - Paying 1hr O/T</t>
  </si>
  <si>
    <t>25/9-Job completed by Ben &amp; WIP by Nicholas</t>
  </si>
  <si>
    <t>73700/73682/87677479</t>
  </si>
  <si>
    <t>26/9-Temp check performed &amp; job completed by Ben;25/9-WIP by Ben,Nicholas,Riley &amp; Alex</t>
  </si>
  <si>
    <t>25 Sept - Paying 15mins O/T; 29 Sept - Refund Initiated for $264.55</t>
  </si>
  <si>
    <t>23/9-Job completed by Ben</t>
  </si>
  <si>
    <t>5% - Dispute</t>
  </si>
  <si>
    <t>73588/73515/87626904</t>
  </si>
  <si>
    <t>25/9-Orla asked whether customer would like to opt for a payment plan;24/9-Customer asked for rebate or PP;23/9-Job completed by Will Dower &amp; WIP by Ben &amp; Nicholas</t>
  </si>
  <si>
    <t>73525/73501/87614668</t>
  </si>
  <si>
    <t>29 Sept - Job Completed by Ben; 25/9-WIP by Ben,Nicholas,Riley &amp; Eric;24/9-WIP by Jayden-Job pics not uploaded23/9-WIP by Matthew;22/9-WIP by Alex,Ben &amp; Nicholas</t>
  </si>
  <si>
    <t>8 Oct - 5% will be paid out upon Achieving 5 x 5 Star Reviews</t>
  </si>
  <si>
    <t>3/10 - Reece - 1016587657 - Job 000000</t>
  </si>
  <si>
    <t>3/10 - Reece - 1016579154 - Job 000000</t>
  </si>
  <si>
    <t>7/10 - Reece - 1016659009 - Job 050002</t>
  </si>
  <si>
    <t>29/9-Job completed by Nicholas &amp; Ben</t>
  </si>
  <si>
    <t>30/9-Job completed by Nicholas &amp; WIP by Ben</t>
  </si>
  <si>
    <t>5% - 2 Oct 2025</t>
  </si>
  <si>
    <t>73839/73601/87724924</t>
  </si>
  <si>
    <t>1/10-Job completed by Ben</t>
  </si>
  <si>
    <t>30 Sept - Deduct 1hr O/T</t>
  </si>
  <si>
    <t>30 Sept - Paying 45mins O/T</t>
  </si>
  <si>
    <t>Taylors Hill</t>
  </si>
  <si>
    <t>9 Oct - Ben Claiming rec'd review for same customer - Only ONE review uploaded &amp; posted for Job 73896</t>
  </si>
  <si>
    <t>73896/73834/87728797</t>
  </si>
  <si>
    <t>1 Oct - Deduct 1hr O/T</t>
  </si>
  <si>
    <t>1/10-Bradley to collect remainging payment;8/9-5 star rating obtained by Ben &amp; EFT of $9000 &amp; $358.56 initiated;3/9-Job completed by Riley;2/9-WIP by Riley &amp; Ben;30/8-WIP by Riley;29/8-WIP by Riley;28/8-WIP by Riley &amp; Jack M;27/8-WIP by Ben &amp; Riley-Ben noted as "Setting up client on zip pay"</t>
  </si>
  <si>
    <t>5% - 2 Oct</t>
  </si>
  <si>
    <t>5% - 24 Sept</t>
  </si>
  <si>
    <t>3/10-Customer wants to cancel the job &amp; refund deposit;1/10-Job put on hold</t>
  </si>
  <si>
    <t>Truganina</t>
  </si>
  <si>
    <t>73814/87736744</t>
  </si>
  <si>
    <t>Commision Scheme Variation - 6th Oct 2025</t>
  </si>
  <si>
    <t>15 Oct - 10% will be paid out upon Completion of Job #74091 &amp; Achieving 5 x 5 Star Reviews</t>
  </si>
  <si>
    <t>O/T=10hrs</t>
  </si>
  <si>
    <t>5% Comm'ns - W/E 21st Sept 2025</t>
  </si>
  <si>
    <t>5% Comm'ns - W/E 5th Oct 2025</t>
  </si>
  <si>
    <t>14/10 - Bunnings - 6395/01627211 - Job FSQ21W</t>
  </si>
  <si>
    <t>7/10-Job completed by Riley;6/10-WIP by Daniel,Ben &amp; Nicholas</t>
  </si>
  <si>
    <t>8/10-Temp check performed &amp; job completed by Ben;7/10-WIP by Aden</t>
  </si>
  <si>
    <t>Hillside</t>
  </si>
  <si>
    <t>Deanside</t>
  </si>
  <si>
    <t>10/10-Leak rebooked-Job completed by Ben</t>
  </si>
  <si>
    <t>9/10-Customer wants report</t>
  </si>
  <si>
    <t>74328/87924072</t>
  </si>
  <si>
    <t>74328/87924486</t>
  </si>
  <si>
    <t>South Melbourne</t>
  </si>
  <si>
    <t>13/10-Received $6071.16 by EFT;11/10-WIP by Ben</t>
  </si>
  <si>
    <t>74091/74054/87827934</t>
  </si>
  <si>
    <t>14/10-Job completed by Eric &amp; received payment of $4645.80;13/10-WIP by Jack;10/9-WIP by Ben &amp; Riley;9/10-WIP by Riley;8/10-WIP by Riley &amp; Eric;7/10-WIP by Riley &amp; Ben;6/10-WIP by Ben &amp; Nicholas</t>
  </si>
  <si>
    <t>74119/74052/87835509</t>
  </si>
  <si>
    <t>13/10-WIP by Alex &amp; Ben;10/10-WIP by Alex;9/10-WIP by Alex,Jack &amp; Nicholas;8/10-WIP by Alex,Jack &amp; Nicholas;7/10-WIP by Ben &amp; Alex</t>
  </si>
  <si>
    <t>74174/74159/87854611</t>
  </si>
  <si>
    <t>13/10-WIP by Riley &amp; Ben;10/10-WIP by Rylee;9/10-WIP by Rylee &amp; Tolga;8/10-WIP by Rylee &amp; Tolga</t>
  </si>
  <si>
    <t>74310/74190/87864996</t>
  </si>
  <si>
    <t>13/10-WIP by Riley;11/10-WIP by Will Dower-No pics uploaded;10/10-WIP by Ben &amp; Tolga</t>
  </si>
  <si>
    <t>10/10-Junior to collect payment;1/10-Bradley to collect remaining payment;8/9-5 star rating obtained by Ben &amp; EFT of $9000 &amp; $358.56 initiated;3/9-Job completed by Riley;2/9-WIP by Riley &amp; Ben;30/8-WIP by Riley;29/8-WIP by Riley;28/8-WIP by Riley &amp; Jack M;27/8-WIP by Ben &amp; Riley-Ben noted as "Setting up client on zip pay"</t>
  </si>
  <si>
    <t>74093/87848083</t>
  </si>
  <si>
    <t>Diamond Creek</t>
  </si>
  <si>
    <t>Werribee</t>
  </si>
  <si>
    <t>Hampton Park</t>
  </si>
  <si>
    <t>Bentliegh East</t>
  </si>
  <si>
    <t>22 Oct - 10% will be paid out upon Completion of Job #74577 &amp; Achieving 5 x 5 Star Reviews</t>
  </si>
  <si>
    <t>10% Comm'ns Paid - 29 Oct</t>
  </si>
  <si>
    <t>74397/74210/87948771</t>
  </si>
  <si>
    <t>15/10-Job completed by Aden</t>
  </si>
  <si>
    <t>17/10 CB17/10</t>
  </si>
  <si>
    <t>17/10-CB by Ben-CB reason-Sprinkler was leaking water-CB outcome-Client is happy and apologise for stuffing her around and said her husband must’ve not turned it on all the way</t>
  </si>
  <si>
    <t>Southbank</t>
  </si>
  <si>
    <t>Fraser Rise</t>
  </si>
  <si>
    <t>10% - Dispute</t>
  </si>
  <si>
    <t>20/10-Customer emailed that the bank details weren't taken by the team;16/10-Customer wants report on Job findings.</t>
  </si>
  <si>
    <t>74493/87996509</t>
  </si>
  <si>
    <t>19/10-Inspection booked for 21/10</t>
  </si>
  <si>
    <t>17/10-Customer made payment-Acknowledgement snip not uploaded</t>
  </si>
  <si>
    <t>74577/74493/87997048</t>
  </si>
  <si>
    <t>23/10-Job completed by Riley and Nicholas &amp; received $3302 by cash;21/10-WIP by Riley &amp; Nicholas;20/10-WIP by Riley &amp; Nicholas-Cash deposit of $3500 made;16/10-WIP by Riley &amp; Jack;15/10-WIP by Ben &amp; Nicholas</t>
  </si>
  <si>
    <t>10% - 15 Oct</t>
  </si>
  <si>
    <t>15/10-Received $11559.20 by EFT &amp; Ben to pick jackhammer &amp; give it to Kennards;14/10-WIP by Alex &amp; Ben;13/10-WIP by Alex &amp; Ben;10/10-WIP by Alex;9/10-WIP by Alex,Jack &amp; Nicholas;8/10-WIP by Alex,Jack &amp; Nicholas;7/10-WIP by Ben &amp; Alex</t>
  </si>
  <si>
    <t>10% - 17 Oct</t>
  </si>
  <si>
    <t>16 Oct - Job Completed by Nicholas; 13/10-WIP by Riley;11/10-WIP by Will Dower-No pics uploaded;10/10-WIP by Ben &amp; Tolga</t>
  </si>
  <si>
    <t>74338/87952782</t>
  </si>
  <si>
    <t>74406/74443/87991134</t>
  </si>
  <si>
    <t>74420/87995236</t>
  </si>
  <si>
    <t>PREV. WEEK - 5% Comm'ns</t>
  </si>
  <si>
    <t>Plus Job 74814</t>
  </si>
  <si>
    <t>PREV. WEEK - 10% Comm'ns</t>
  </si>
  <si>
    <t>10% Comm'ns - W/E - 19th Oct 2025</t>
  </si>
  <si>
    <t>22/10 - Reece - 1017113125 - Job 000000 (Fes31w)</t>
  </si>
  <si>
    <t>24/10 - Reece - 1017174638 - Job 000000 (Fes31w)</t>
  </si>
  <si>
    <t>24/10 - Reece - CN 834026453 - Job 74510</t>
  </si>
  <si>
    <t>25 Oct - POS Receipt - Job #74814</t>
  </si>
  <si>
    <t>74701/74653/88936089</t>
  </si>
  <si>
    <t>Laverton North</t>
  </si>
  <si>
    <t>22/10-Job completed by Jack</t>
  </si>
  <si>
    <t>74708/88958542</t>
  </si>
  <si>
    <t>74708/88959285</t>
  </si>
  <si>
    <t>74810/74805/88977215</t>
  </si>
  <si>
    <t>24/10-Job completed by Daniel;23/10-WIP by Ben</t>
  </si>
  <si>
    <t>74710/88986615</t>
  </si>
  <si>
    <t>74710/88989669</t>
  </si>
  <si>
    <t>74747/88992417</t>
  </si>
  <si>
    <t>Black Rock</t>
  </si>
  <si>
    <t>74747/88991701</t>
  </si>
  <si>
    <t>5% - Cancelled</t>
  </si>
  <si>
    <t>10% - 22 Oct</t>
  </si>
  <si>
    <t>16 Oct - Completed by Daniel B; 13/10-WIP by Riley &amp; Ben;10/10-WIP by Rylee;9/10-WIP by Rylee &amp; Tolga;8/10-WIP by Rylee &amp; Tolga</t>
  </si>
  <si>
    <t>74604/88916148</t>
  </si>
  <si>
    <t>23/10-Refund of $430.22 provided to customer.Customer cancelled the job.</t>
  </si>
  <si>
    <t>74761/74708/88959750</t>
  </si>
  <si>
    <t>22/10-Job cancelled &amp; refund of $1783.54 provided to customer</t>
  </si>
  <si>
    <t>74723/88976876</t>
  </si>
  <si>
    <t>Cheltenham</t>
  </si>
  <si>
    <t>74747/88994187</t>
  </si>
  <si>
    <t>27 Oct - Cancelled</t>
  </si>
  <si>
    <t>Elwood</t>
  </si>
  <si>
    <t>27/10-Job cancelled</t>
  </si>
  <si>
    <t>0.5x Kyle</t>
  </si>
  <si>
    <t>10% Comm'ns - W/E - 12th Oct 2025</t>
  </si>
  <si>
    <t>29/10 - Reece - 1017338352 - Job 000000</t>
  </si>
  <si>
    <t>30/10 - Reece - 1017344861 - Job 000000</t>
  </si>
  <si>
    <t>31/10 - Reece - 1017389567 - Job 000000 (Fsq31w)</t>
  </si>
  <si>
    <t>27/10-Job completed by Daniel &amp; WIP by Kyle &amp; Ben</t>
  </si>
  <si>
    <t>27/10-Job completed by Ben &amp; Kyle</t>
  </si>
  <si>
    <t>Abbotsford</t>
  </si>
  <si>
    <t>Called back - he said 5 stars :)</t>
  </si>
  <si>
    <t>Malvern</t>
  </si>
  <si>
    <t>75065/75007/89125383</t>
  </si>
  <si>
    <t>3/11-Job completed by Riley &amp; Campbell with Ben-Received Smartpay of $1389.50 &amp; Podium receipt of $7000 collected.</t>
  </si>
  <si>
    <t>29/10-Leak detection ccompleted by Ben &amp; received $2507.27</t>
  </si>
  <si>
    <t>74865/89041410</t>
  </si>
  <si>
    <t>29/10-Job cancelled &amp; refund of $249 provided to customer;28/10-WIP by Ben &amp; Kyle</t>
  </si>
  <si>
    <t>74814/89059213</t>
  </si>
  <si>
    <t>Carnegie</t>
  </si>
  <si>
    <t>74944/89066041</t>
  </si>
  <si>
    <t>74960/89081840</t>
  </si>
  <si>
    <t>31/10-Customer cancelled the job</t>
  </si>
  <si>
    <t>Albion</t>
  </si>
  <si>
    <t>Carlton North</t>
  </si>
  <si>
    <t>Saint Kilda East</t>
  </si>
  <si>
    <t>75017/89121824</t>
  </si>
  <si>
    <t>3/11-As per Ben's note "Complementary CCTV camera was done for the client from the laundry down to the I.S. shaft"</t>
  </si>
  <si>
    <t>5 star review</t>
  </si>
  <si>
    <t>75092/89157583</t>
  </si>
  <si>
    <t>27 Aug - 5% will be paid out upon Achieving 5 Star Reviews</t>
  </si>
  <si>
    <t>21 Aug - 1hr O/T More Than Comm'ns</t>
  </si>
  <si>
    <t>72546/72507</t>
  </si>
  <si>
    <t>21 Aug - Deduct 1hr O/T; 22/8-WIP by Matthew</t>
  </si>
  <si>
    <t>Burwood</t>
  </si>
  <si>
    <t>22/08 - As per Bradley's note - "Job was a call back, other toilet is fine." - No initial jobs were found for this same customer</t>
  </si>
  <si>
    <t>27/8 - Bunnings -  6249/01317463 - Job-NA (1112)</t>
  </si>
  <si>
    <t>Abbotford</t>
  </si>
  <si>
    <t>25 Aug - Deduct 1hr O/T</t>
  </si>
  <si>
    <t>25 Aug - 1.25hrs O/T More Than Comm'ns</t>
  </si>
  <si>
    <t>72713/72685/87297551</t>
  </si>
  <si>
    <t>28/7-Job completed by Tolga by performing temp check;27/8-WIP by Bradley &amp; Mathew H</t>
  </si>
  <si>
    <t>Hawthorn</t>
  </si>
  <si>
    <t>28 Aug - Deduct 15mins O/T</t>
  </si>
  <si>
    <t>28 Aug - Deduct 45mins O/T; 29/8-Customer satisfaction discount of $1564.82 provided-Job completed by Jack M &amp; WIP by Bradley and Riley</t>
  </si>
  <si>
    <t>72799/72792/87341628</t>
  </si>
  <si>
    <t>26 Aug - Refund - $203.50</t>
  </si>
  <si>
    <t>72623/87268732</t>
  </si>
  <si>
    <t>72623/87268668</t>
  </si>
  <si>
    <t>72669/87295090</t>
  </si>
  <si>
    <t>27/8-WIP by Mathew H &amp; Bradley</t>
  </si>
  <si>
    <t>Malvern East</t>
  </si>
  <si>
    <t>1/9-Refunded $235 to customer &amp; retained COF-Customer wants to cancel</t>
  </si>
  <si>
    <t>Doncaster East</t>
  </si>
  <si>
    <t>2/9-Temp check &amp; job completed by Liam;1/9-WIP by Riley &amp; Bradley</t>
  </si>
  <si>
    <t>1 Sept - Paying 1hr O/T</t>
  </si>
  <si>
    <t>15/9 CB11/9</t>
  </si>
  <si>
    <t>15/9-CB by Daniel B-CB reason-HWS No longer working-CB outcome-;13/9-Customer called again that there's no hot water;11/9-Customer called, has lost hot water, will let DSR know to tell plumber.;;3/9-Temp check completed by Alex P-Flashings ordered</t>
  </si>
  <si>
    <t>6/9-Elliot patched plaster,pics not available;5/9-Job completed by Bradley &amp; WIP by Jayden</t>
  </si>
  <si>
    <t>Thomastown</t>
  </si>
  <si>
    <t>South Kingsville</t>
  </si>
  <si>
    <t>Burnside</t>
  </si>
  <si>
    <t>72984/87421804</t>
  </si>
  <si>
    <t>72984/87421876</t>
  </si>
  <si>
    <t>15/9 - Reece - 1016047363 - Job 72876</t>
  </si>
  <si>
    <t>15/9 - Reece - 1016030821 - Job 72876</t>
  </si>
  <si>
    <t>15/9 - Bunnings - 6037/00958599 - Job 72876</t>
  </si>
  <si>
    <t>15/9 - Bunnings - 6037/01157029 - Job 72876</t>
  </si>
  <si>
    <t>Laverton</t>
  </si>
  <si>
    <t>9 Sept - 1.75hrs O/T More Than Comm'ns; 9/9-Job completed by Ben</t>
  </si>
  <si>
    <t>10 Sept - Deduct 1hr O/T</t>
  </si>
  <si>
    <t>Armadale</t>
  </si>
  <si>
    <t>16/9 CB16/9</t>
  </si>
  <si>
    <t>73212/73299</t>
  </si>
  <si>
    <t>16/9-CB by Bradley-CB reason-Toilet Stopped Working x1-CB outcome-Readjusted inlet valve, max wants to see how long it’ll last before replacing as they are selling the unit.</t>
  </si>
  <si>
    <t>11 Sept - Deduct 1.75hrs O/T</t>
  </si>
  <si>
    <t>11 Sept - 2hrs O/T More Than Comm'ns</t>
  </si>
  <si>
    <t>Paid Dispute - 12 Sept</t>
  </si>
  <si>
    <t>12/9-WIP by Bradley &amp; Daniel B</t>
  </si>
  <si>
    <t>10/9-Camera by Jarrod whereas pics not uploaded;8/9-WIP by Jarrod</t>
  </si>
  <si>
    <t>73223/73196/87488464</t>
  </si>
  <si>
    <t>15/9-WIP by Riley &amp; Nicholas;12/9-WIP by Matthew &amp; $4000 EFT initiated;11/9-WIP by Bradley,Tolga &amp; Rylee</t>
  </si>
  <si>
    <t>Kew</t>
  </si>
  <si>
    <t>Cancelled</t>
  </si>
  <si>
    <t>Windsor</t>
  </si>
  <si>
    <t>73203/87482333</t>
  </si>
  <si>
    <t>Seddon</t>
  </si>
  <si>
    <t>5% Comm'ns Paid - 1 Oct 2025</t>
  </si>
  <si>
    <t>16 Sept - Deduct 15mins O/T; 17/9-Job completed by Jayden;16/9-WIP by Bradley</t>
  </si>
  <si>
    <t>73392/73377/87576320</t>
  </si>
  <si>
    <t>Cash/EFT</t>
  </si>
  <si>
    <t>18/9-Job completed by Bradley &amp; Matthew-EFT of $4000 initiated</t>
  </si>
  <si>
    <t>73477/73464/87599114</t>
  </si>
  <si>
    <t xml:space="preserve">24/9-Scheduled to Daniel;19/9-WIP by Daniel;18/9-WIP by Daniel </t>
  </si>
  <si>
    <t>5% - 18 Sept</t>
  </si>
  <si>
    <t>17 Sept - Deduct 30mins O/T; 18/9-Job completed by Bradley with 5 star rating;17/9-WIP by Riley,Mathew &amp; Bradley;16/9-WIP by Riley &amp; Daniel and EFT of $5000 initiated;15/9-WIP by Riley &amp; Nicholas;12/9-WIP by Matthew &amp; $4000 EFT initiated;11/9-WIP by Bradley,Tolga &amp; Rylee</t>
  </si>
  <si>
    <t xml:space="preserve">25/9 - Reece - 437879741 - Job 000000 (Job 73379) </t>
  </si>
  <si>
    <t>25/9 CB25/9</t>
  </si>
  <si>
    <t>73502/73670</t>
  </si>
  <si>
    <t>25/9-CB by Bradley-CB reaosn-TAPS DRIPPING-CB outcome-Tap lube didn’t work on service. Removed and relubed works way better, got Russell to test it, he’s happy</t>
  </si>
  <si>
    <t>73557/73491/87618259</t>
  </si>
  <si>
    <t>232 Sept - 1.5hrs O/T More Than Comm'ns</t>
  </si>
  <si>
    <t>73623/73553/87636740</t>
  </si>
  <si>
    <t>24 Sept - Deduct 45mins O/T</t>
  </si>
  <si>
    <t>18/9-Job completed by Bradley with 5 star rating;17/9-WIP by Riley,Mathew &amp; Bradley;16/9-WIP by Riley &amp; Daniel and EFT of $5000 initiated;15/9-WIP by Riley &amp; Nicholas;12/9-WIP by Matthew &amp; $4000 EFT initiated;11/9-WIP by Bradley,Tolga &amp; Rylee</t>
  </si>
  <si>
    <t xml:space="preserve">25/9-WIP by Alex;24/9-Scheduled to Daniel;19/9-WIP by Daniel;18/9-WIP by Daniel </t>
  </si>
  <si>
    <t>Saint Kilda West</t>
  </si>
  <si>
    <t>73603/87649885</t>
  </si>
  <si>
    <t>Brooklyn</t>
  </si>
  <si>
    <t>73603/87649084</t>
  </si>
  <si>
    <t>Greenvale</t>
  </si>
  <si>
    <t>5% Comm'ns Paid - 29 Oct 2025</t>
  </si>
  <si>
    <t>2/10 - Bunnings -  6196/01329209 - Job NA</t>
  </si>
  <si>
    <t>Highton</t>
  </si>
  <si>
    <t>29 Sept - Deduct 15mins O/T; 30/9-Plumber's findings forwarded by email</t>
  </si>
  <si>
    <t>Armstrong Creek</t>
  </si>
  <si>
    <t>Marshall</t>
  </si>
  <si>
    <t>3 Oct - Deduct 15mins O/T; 7/10-Leak detection completed;3/10-Job scheduled to next week</t>
  </si>
  <si>
    <t>Charlemont</t>
  </si>
  <si>
    <t>Geelong West</t>
  </si>
  <si>
    <t>Leopald</t>
  </si>
  <si>
    <t>Mambourin</t>
  </si>
  <si>
    <t>Torquay</t>
  </si>
  <si>
    <t>Werribee South</t>
  </si>
  <si>
    <t>15 Oct - 5% will be paid out upon Achieving 5 x 5 Star Reviews</t>
  </si>
  <si>
    <t>8/10 - Reece - 1016705795 - Job #050002</t>
  </si>
  <si>
    <t>Gnarwarre</t>
  </si>
  <si>
    <t>Corio</t>
  </si>
  <si>
    <t>74122/74105/87837624</t>
  </si>
  <si>
    <t>7/10-Job completed by Bradley</t>
  </si>
  <si>
    <t>31/10 CB31/10</t>
  </si>
  <si>
    <t>74183/74976</t>
  </si>
  <si>
    <t>Lara</t>
  </si>
  <si>
    <t>31/10-CB by Bradley-CB reason-The customer had a plumber attend a couple of weeks ago to unclog a drain, but a gurgling sound has now re-emerged. -CB outcome-No pics &amp; notes updated regarding CB</t>
  </si>
  <si>
    <t>Jan Juc</t>
  </si>
  <si>
    <t>Drysdale</t>
  </si>
  <si>
    <t>74085/74057/87829856</t>
  </si>
  <si>
    <t>6 Oct - Deduct 30mins O/T</t>
  </si>
  <si>
    <t>Norlane</t>
  </si>
  <si>
    <t>74264/87892861</t>
  </si>
  <si>
    <t>13/10-Received $4537.5 by Bradley as cash &amp; split as $1390.40 &amp; as $3147.10 for upsell job.</t>
  </si>
  <si>
    <t>74264/87894459</t>
  </si>
  <si>
    <t>13/10-Received $4537.5 by Bradley as cash &amp; split as $1390.40 &amp; as $3147.10 for upsell job.;10/10-Bradley to collect payment</t>
  </si>
  <si>
    <t>74325/74303/87918100</t>
  </si>
  <si>
    <t>10 Oct - Deduct 30mins O/T</t>
  </si>
  <si>
    <t>10/10-Customer emailed to review the charges &amp; thinks he is overpriced</t>
  </si>
  <si>
    <t>9/10-Job completed by Bradley with 5 star rating;7/10-Leak detection completed;3/10-Job scheduled to next week</t>
  </si>
  <si>
    <t>East Geelong</t>
  </si>
  <si>
    <t>Breakwater</t>
  </si>
  <si>
    <t>Newcomb</t>
  </si>
  <si>
    <t>Belmont</t>
  </si>
  <si>
    <t>74148/87860312</t>
  </si>
  <si>
    <t>Ocean Grove</t>
  </si>
  <si>
    <t>74148/87861168</t>
  </si>
  <si>
    <t>Geelong</t>
  </si>
  <si>
    <t>74231/87878517</t>
  </si>
  <si>
    <t>Wanda Heights</t>
  </si>
  <si>
    <t>74034/87888358</t>
  </si>
  <si>
    <t>22 Oct - 10% will be paid out upon Achieving 5 x 5 Star Reviews</t>
  </si>
  <si>
    <t>Newtown</t>
  </si>
  <si>
    <t>Mount Duneed</t>
  </si>
  <si>
    <t>15/10-Customer wants itemized invoice</t>
  </si>
  <si>
    <t>Leaving a 5 star on dans plumbing.</t>
  </si>
  <si>
    <t>Handed magnet.5 star</t>
  </si>
  <si>
    <t>74390/74373/87945886</t>
  </si>
  <si>
    <t>14/10-Job completed by Nicholas;13/10-WIP by Bradley &amp; Nicholas</t>
  </si>
  <si>
    <t>13/10-Job completed by Bradley &amp; WIP by Nicholas</t>
  </si>
  <si>
    <t>20/10-As per Dragon's note "Customer to pay via EFT at end of day, if not received will follow up 21/10."</t>
  </si>
  <si>
    <t>5% - 14 Oct</t>
  </si>
  <si>
    <t>14/10-Temp check performed &amp; job completed by Bradley</t>
  </si>
  <si>
    <t>74072/87950569</t>
  </si>
  <si>
    <t>74459/74439/87966338</t>
  </si>
  <si>
    <t>18/10-Job cancelled by customer;15/10-WIP by Nicholas;14/10-WIP by Bradley &amp; Eric</t>
  </si>
  <si>
    <t>Grovedale</t>
  </si>
  <si>
    <t>Portarlington</t>
  </si>
  <si>
    <t>74498/87993581</t>
  </si>
  <si>
    <t>74498/87993167</t>
  </si>
  <si>
    <t>Leopold</t>
  </si>
  <si>
    <t>Got 5 x 5 Star Reviews - Just did not upload Pic to Jobs - Releasing Comm'ns</t>
  </si>
  <si>
    <t>5% Comm'ns - W/E 12th Oct 2025</t>
  </si>
  <si>
    <t>5% Comm'ns - W/E 19th Oct 2025</t>
  </si>
  <si>
    <t>25 Oct - Refund - Job 73212</t>
  </si>
  <si>
    <t>28/10 - Reece - CN 825311205 - Job 74656</t>
  </si>
  <si>
    <t>28/10 - Reece - CN 825311200 - Job 74656</t>
  </si>
  <si>
    <t>74645/88934607</t>
  </si>
  <si>
    <t>21/10 CB21/10</t>
  </si>
  <si>
    <t>74645/88935169</t>
  </si>
  <si>
    <t>21/10-CB by Bradley-CB reason-cust called to say shower is leaking worse since we have been out. warranty job booked.-CB outcome-Re-greased spindles again and replaced washers again. Have video of shower not leaking. The tap didn’t seem to be turned all the way either.</t>
  </si>
  <si>
    <t>24 Oct - Refund Initiated $2,054; 21/10-WIP by Bradley &amp; Job completed by Nicholas</t>
  </si>
  <si>
    <t>Clifton Springs</t>
  </si>
  <si>
    <t>22/10-Complimentary CCTV performed by Bradley</t>
  </si>
  <si>
    <t>74740/74696/88953283</t>
  </si>
  <si>
    <t>23/10-Job completed by Bradley &amp; William;22/10-WIP by Bradley &amp; William</t>
  </si>
  <si>
    <t>Whittington</t>
  </si>
  <si>
    <t>Freshwater Creek</t>
  </si>
  <si>
    <t>Hamlyn Heights</t>
  </si>
  <si>
    <t>Barwon Heads</t>
  </si>
  <si>
    <t>24 Oct - Paying 45mins O/T</t>
  </si>
  <si>
    <t>23 Oct - Paying 45mins O/T</t>
  </si>
  <si>
    <t>5% - 27 Oct</t>
  </si>
  <si>
    <t>27/10-WIP by Brad-Rebooking due to Brad request</t>
  </si>
  <si>
    <t>74619/88959994</t>
  </si>
  <si>
    <t>74728/88961741</t>
  </si>
  <si>
    <t>Waurn Ponds</t>
  </si>
  <si>
    <t>74728/88962081</t>
  </si>
  <si>
    <t>St Leonards</t>
  </si>
  <si>
    <t>24/10-As per Caitlin's note "Going to proceed with insurance, so want to cancel";23/10-WIP by Bradley &amp; William</t>
  </si>
  <si>
    <t>Little River</t>
  </si>
  <si>
    <t>74825/74813/88987696</t>
  </si>
  <si>
    <t>24/10-Refund of $1000 provided to customer</t>
  </si>
  <si>
    <t>29/10 - Bunnings - 6185/01392027 - Job 00000</t>
  </si>
  <si>
    <t>28/10-Leak detection</t>
  </si>
  <si>
    <t>Lovely Banks</t>
  </si>
  <si>
    <t>31/10-CB by Bradley,William &amp; Jack-CB reason-Steve called to say that he can smell gas in the cupboard-CB outcome-Compression nut came slightly loose when oven got pushed back, soapy test all fittings, pulled oven out and check fittings behind all okay.</t>
  </si>
  <si>
    <t>74965/74916</t>
  </si>
  <si>
    <t>31/10-CB by Jake-CB reason-Fix leaking pipe - pressure issue today-CB outcome-We didn’t turn the water back on when repair was done and the customer only turned it on a little bit. I turned it on fully and customer is happy</t>
  </si>
  <si>
    <t>3/11 CB3/11</t>
  </si>
  <si>
    <t>75030/75060</t>
  </si>
  <si>
    <t>3/11-CB by William-CB reason-Shower still leaking.CB outcome-Redo silicone around spindle taps and outlet</t>
  </si>
  <si>
    <t>3/11-Kathy Gray mentioned that no details uploaded for payment plan-Only notes are available;1/11-Job completed by Will Dower</t>
  </si>
  <si>
    <t>30/10-Customer requested plumber's job findings</t>
  </si>
  <si>
    <t>5/11-Job scheduled</t>
  </si>
  <si>
    <t>3/11-Scheduled to William</t>
  </si>
  <si>
    <t>74866/89022967</t>
  </si>
  <si>
    <t>74962/89073764</t>
  </si>
  <si>
    <t>Manifold Heights</t>
  </si>
  <si>
    <t>74962/89074153</t>
  </si>
  <si>
    <t>74962/89073797</t>
  </si>
  <si>
    <t>74921/8986173</t>
  </si>
  <si>
    <t>74976/89115234</t>
  </si>
  <si>
    <t>75027/89116971</t>
  </si>
  <si>
    <t>75027/89117031</t>
  </si>
  <si>
    <t>75005/89118540</t>
  </si>
  <si>
    <t>75076/75061/89143037</t>
  </si>
  <si>
    <t>3/11-Job completed by William &amp; WIP by Bradley</t>
  </si>
  <si>
    <t>75116/75066/89148852</t>
  </si>
  <si>
    <t>3/11-WIP by Bradley &amp; William</t>
  </si>
  <si>
    <t>Duneed</t>
  </si>
  <si>
    <t>3/11-Rebooked for Wednesday or Thursday this week</t>
  </si>
  <si>
    <t>1X Heath</t>
  </si>
  <si>
    <t>17/07-WIP &amp; Completed by Elliot, Heath</t>
  </si>
  <si>
    <t>O/T=10.75hrs</t>
  </si>
  <si>
    <t>21 Jul - Deduct 30mins O/T</t>
  </si>
  <si>
    <t>71781/86302383</t>
  </si>
  <si>
    <t>29/07-Customer wants finding on CCTV</t>
  </si>
  <si>
    <t>71781/86305033</t>
  </si>
  <si>
    <t>Ferntree Gully</t>
  </si>
  <si>
    <t>71785/86305840</t>
  </si>
  <si>
    <t>71511/86302305</t>
  </si>
  <si>
    <t>Canterburry</t>
  </si>
  <si>
    <t>71511/86302183</t>
  </si>
  <si>
    <t>71949/71781/86299286</t>
  </si>
  <si>
    <t>Eltham</t>
  </si>
  <si>
    <t>71783/86305807</t>
  </si>
  <si>
    <t>71785/86305874</t>
  </si>
  <si>
    <t>1 Aug - Refund - $1,409.50; 26/07-Customer cancelled the job - Refund processed for $1409.5</t>
  </si>
  <si>
    <t>1/8 - Reece - 1014842672 - Job 71949</t>
  </si>
  <si>
    <t>1/8 - Reece - 1014824226 - Job 71949</t>
  </si>
  <si>
    <t>1/8 - Reece - CN-52125768- Job 71949</t>
  </si>
  <si>
    <t>5% 27/8  CB27/8</t>
  </si>
  <si>
    <t>27/8-CB by Mathew H-CB reason-Ed noticed that the hot water is struggling upstairs but is piping hot downstairs and has reason to believe it was to do with work completed in regards to the sewer. Possibly not a warranty job but a re-quote;1/8-WIP by Heath &amp; Riley, Tolga &amp; Received $950.51 &amp; $7800 by Smartpay</t>
  </si>
  <si>
    <t>1 Aug - Deduct 15mins O/T</t>
  </si>
  <si>
    <t>1 Aug - Deduct 15mins O/T; 4/8-Cash receipt of $1446.39 obtained by Daniel B &amp; Job completed by Daniel B</t>
  </si>
  <si>
    <t>72162/86456263</t>
  </si>
  <si>
    <t>Heathmont</t>
  </si>
  <si>
    <t>8 Aug - Refund - $140.91; 1 Aug - Deduct 15mins O/T</t>
  </si>
  <si>
    <t>5% - 4 Aug</t>
  </si>
  <si>
    <t>4 Aug - Job Completed by Daniel Briefty; 1 Aug - Deduct 15mins O/T; 4/8-Cash receipt of $1446.39 obtained by Daniel B &amp; Job completed by Daniel B</t>
  </si>
  <si>
    <t>05/08-Recamera completed by Jarrod - Received $754.59 Card ; 4/8-Rebooked for 5/8;1/8-WIP by Heath &amp; Riley, Tolga &amp; Received $950.51 &amp; $7800 by Smartpay</t>
  </si>
  <si>
    <t>72162/86465222</t>
  </si>
  <si>
    <t>1x Heath</t>
  </si>
  <si>
    <t>Mulgrave</t>
  </si>
  <si>
    <t>Montmorency</t>
  </si>
  <si>
    <t>13 Aug - 1.5hrs O/T More Than Comm'ns</t>
  </si>
  <si>
    <t>72359/87166974</t>
  </si>
  <si>
    <t>Hughesdale</t>
  </si>
  <si>
    <t>15 Aug - Deduct 1.25hrs O/T; 15/8-EFT of $314.17 &amp; $2560.69 initiated</t>
  </si>
  <si>
    <t>Brunwick East</t>
  </si>
  <si>
    <t>72367/72359</t>
  </si>
  <si>
    <t>15/8-Sent amessage to reschedule tomorrow</t>
  </si>
  <si>
    <t>72386/87185284</t>
  </si>
  <si>
    <t>Boronia</t>
  </si>
  <si>
    <t>18 Aug - Deduct 1.25hrs O/T; 2/9-Temp check by Elliot;20/8-Appointment scheduled on Friday;18/8-WIP by Elliot-Booked for Wednesday</t>
  </si>
  <si>
    <t>Wantirna</t>
  </si>
  <si>
    <t>18 Aug - Deduct 45mins O/T; 18/8-WIP by Elliot &amp; Job completed by Heath</t>
  </si>
  <si>
    <t>Mooroolbank</t>
  </si>
  <si>
    <t>Box Hill South</t>
  </si>
  <si>
    <t>19 Aug - Deduct 30mins O/T</t>
  </si>
  <si>
    <t>Essendon West</t>
  </si>
  <si>
    <t>21 Aug - 45mins O/T More Than Comm'ns - Bank receipt of cash deposit uploaded by office person  for $1127</t>
  </si>
  <si>
    <t>Croydon South</t>
  </si>
  <si>
    <t>18 Aug - Deduct 0.25hrs O/T; 19/8-As per Charles's note "Customer Louise called and said she would like to cancel. Told her that the plumber will give her a call.";18/8-WIP by Elliot</t>
  </si>
  <si>
    <t xml:space="preserve">18/8-Basin install by Heath - AS per Madison's note - "Customer tried to cancel, Heath has tried calling- no answer" </t>
  </si>
  <si>
    <t>72386/87185549</t>
  </si>
  <si>
    <t>Job Cancelled</t>
  </si>
  <si>
    <t>72403/72386/87190505</t>
  </si>
  <si>
    <t>72447/72412/87197035</t>
  </si>
  <si>
    <t>72447/72412/87196628</t>
  </si>
  <si>
    <t>72545/72533</t>
  </si>
  <si>
    <t xml:space="preserve">25/08 - Customer cancel the job ; 22/08 - WIP by Daniel B </t>
  </si>
  <si>
    <t>Mugrave</t>
  </si>
  <si>
    <t>Carrum Downs</t>
  </si>
  <si>
    <t>O/T=3hrs</t>
  </si>
  <si>
    <t>Mount Waverley</t>
  </si>
  <si>
    <t>Springvale</t>
  </si>
  <si>
    <t>29 Aug - Dispute</t>
  </si>
  <si>
    <t>25 Aug - Paying 30mins O/T; 29 Aug - Refund - $200</t>
  </si>
  <si>
    <t>Dandenong</t>
  </si>
  <si>
    <t>25 Aug - 45mins O/T More Than Comm'ns</t>
  </si>
  <si>
    <t>Kilsyth</t>
  </si>
  <si>
    <t>Chirnside Park</t>
  </si>
  <si>
    <t>27/8-Customer wants the invoice copy;26/8-WIP by Elliot &amp; Jayden</t>
  </si>
  <si>
    <t>72647/87288046</t>
  </si>
  <si>
    <t>26 Aug - Paying 1.5hrs O/T More Than Comm'ns;  26/8-As per Elliot's note "Couldn’t clear toilet with suction pump, quoted for removal of toilet to jet blast and cctv and didn’t want to go ahead"</t>
  </si>
  <si>
    <t>28/8-EFT of $4907.10 initiated;27/8-Job completed by Elliot &amp; Tolga</t>
  </si>
  <si>
    <t>Brighton East</t>
  </si>
  <si>
    <t>Ripponlea</t>
  </si>
  <si>
    <t>27 Aug - Paying 1.5hrs O/T More Than Comm'ns</t>
  </si>
  <si>
    <t>Dandenong South</t>
  </si>
  <si>
    <t>Dingley Village</t>
  </si>
  <si>
    <t>Noble Park</t>
  </si>
  <si>
    <t>28 Aug - Deduct 45mins O/T</t>
  </si>
  <si>
    <t>29/8-Job completed by Jack M &amp; Elliot</t>
  </si>
  <si>
    <t>29/8-Ben made a note "Tenants are not home office to reschedule"</t>
  </si>
  <si>
    <t>72769/72695</t>
  </si>
  <si>
    <t>29/8-WIP by Elliot,Riley&amp; Jack M</t>
  </si>
  <si>
    <t>72591/87258669</t>
  </si>
  <si>
    <t>72595/87261697</t>
  </si>
  <si>
    <t>Moorabbin</t>
  </si>
  <si>
    <t>72595/87261717</t>
  </si>
  <si>
    <t>72632/72624</t>
  </si>
  <si>
    <t>Mentone</t>
  </si>
  <si>
    <t>72647/87288026</t>
  </si>
  <si>
    <t>72647/87287672</t>
  </si>
  <si>
    <t>29 Aug - Refund - $204.71; 27/8-Refund of $204.71 initiated</t>
  </si>
  <si>
    <t>Rowville</t>
  </si>
  <si>
    <t>72683/87304971</t>
  </si>
  <si>
    <t>Lysterfield</t>
  </si>
  <si>
    <t>72683/87305004</t>
  </si>
  <si>
    <t>72683/87306091</t>
  </si>
  <si>
    <t>Glen Huntly</t>
  </si>
  <si>
    <t>29 Aug - Cancelled</t>
  </si>
  <si>
    <t>72741/72724</t>
  </si>
  <si>
    <t>29 Aug - Refund - $553.58; 28/8-Customer wants to cancel the job &amp; need deposit refund.</t>
  </si>
  <si>
    <t>72725/87322584</t>
  </si>
  <si>
    <t>Keysborough</t>
  </si>
  <si>
    <t>Bentleigh</t>
  </si>
  <si>
    <t>1/9-Attended by Jarrod</t>
  </si>
  <si>
    <t>O/T=6.5hrs</t>
  </si>
  <si>
    <t>Narre Warren</t>
  </si>
  <si>
    <t>Crabourne East</t>
  </si>
  <si>
    <t>Parkdale</t>
  </si>
  <si>
    <t>Caulfield South</t>
  </si>
  <si>
    <t>Brighton</t>
  </si>
  <si>
    <t>3 Sept - Deduct 1.5hrs O/T</t>
  </si>
  <si>
    <t>Springvale South</t>
  </si>
  <si>
    <t>4 Sept - Deduct 1hr O/T</t>
  </si>
  <si>
    <t>9/9  CB9/9</t>
  </si>
  <si>
    <t>Glen Iris</t>
  </si>
  <si>
    <t>9/9-CB by Elliot-CB reason-WANTS BIGGER FLUSH-CB outcome-No notes provided</t>
  </si>
  <si>
    <t>5/9-Job completed by Elliot &amp; WIP by Jarrod</t>
  </si>
  <si>
    <t>Berwick</t>
  </si>
  <si>
    <t>5% - 3 Sept - Cancelled</t>
  </si>
  <si>
    <t>3/9-Daniel B &amp; Mathew H at site-Customer disputed that he'll move to consumer affairs;29/8-WIP by Elliot,Riley&amp; Jack M</t>
  </si>
  <si>
    <t>Upper Ferntree Gully</t>
  </si>
  <si>
    <t>5% - 8 Sept</t>
  </si>
  <si>
    <t>8/9-WIP by Matthew &amp; EFT of $7663.86 initiated;5/9-Inspection scheduled at 8/9;4/9-WIP by Elliot &amp; Tolga-Scheduled to Rylee,Rilee &amp; Daniel;3/9-WIP by Elliot &amp; Daniel B</t>
  </si>
  <si>
    <t>8/9-Confirmed appointment for gas leak for Wednesday;4/9-Job put on hold</t>
  </si>
  <si>
    <t>73045/73042</t>
  </si>
  <si>
    <t>8/9-Job completed by Jayden-EFT of $7853.67 initiated</t>
  </si>
  <si>
    <t>72852/72813</t>
  </si>
  <si>
    <t>Cranbourne East</t>
  </si>
  <si>
    <t>72860/72837</t>
  </si>
  <si>
    <t>Noble Park North</t>
  </si>
  <si>
    <t>1/9-As per Elliot's note "Leak detection sold, need office to collect 10% payment so I can get it booked in"-Special instruction mentioned as "REATTEND TO SIGN WAIVER / TS AND CS"</t>
  </si>
  <si>
    <t>McKinnon</t>
  </si>
  <si>
    <t>Ashburton</t>
  </si>
  <si>
    <t xml:space="preserve">Brighton </t>
  </si>
  <si>
    <t>Clayton South</t>
  </si>
  <si>
    <t>Huntingdale</t>
  </si>
  <si>
    <t>5/9-As per Elliot's note "Customer would like to cancel, paid 10%. No work was carried out"</t>
  </si>
  <si>
    <t>73008/87436242</t>
  </si>
  <si>
    <t>73008/87436665</t>
  </si>
  <si>
    <t>73043/87439361</t>
  </si>
  <si>
    <t>Forest Hill</t>
  </si>
  <si>
    <t>73043/87439371</t>
  </si>
  <si>
    <t>73080/73053/87446112</t>
  </si>
  <si>
    <t>9/9-Temp check performed &amp; job completed by Jayden;8/9-WIP by Matthew H</t>
  </si>
  <si>
    <t>Endeavour Hills</t>
  </si>
  <si>
    <t>8 Sept - 45mins O/T More Than Comm'ns</t>
  </si>
  <si>
    <t>Doveton</t>
  </si>
  <si>
    <t>73148/73086/87464319</t>
  </si>
  <si>
    <t>9 Sept - Paying 15mins O/T; 11/9-Customer gave 1 star rating after job completion</t>
  </si>
  <si>
    <t>Cheltanham</t>
  </si>
  <si>
    <t>10 Sept - Deduct 15mins O/T</t>
  </si>
  <si>
    <t>12 Sept - Deduct 30mins O/T</t>
  </si>
  <si>
    <t>8 Sept - Waived - $5,180.27; 18 Aug - Deduct 0.25hrs O/T; 19/8-As per Charles's note "Customer Louise called and said she would like to cancel. Told her that the plumber will give her a call.";18/8-WIP by Elliot</t>
  </si>
  <si>
    <t>5% 8 Sept</t>
  </si>
  <si>
    <t>9/9-PP of $1446.39 settled (ZIP)- $71.93 fee</t>
  </si>
  <si>
    <t>5% - 10 Sept</t>
  </si>
  <si>
    <t xml:space="preserve">10 Sept - Wavied - $1664.1918/8-Basin install by Heath - AS per Madison's note - "Customer tried to cancel, Heath has tried calling- no answer" </t>
  </si>
  <si>
    <t>11 Sept - Deduct 1.5hrs O/T</t>
  </si>
  <si>
    <t>73135/73094/87459494</t>
  </si>
  <si>
    <t>15/9-Scheduled to Nicholas;12/9-WIP by Jayden;11/9-WIP by Elliot &amp; Jayden;10/9-WIP by Jayden;9/9-WIP by Elliot &amp; Jayden</t>
  </si>
  <si>
    <t>10/9-Gas leak appointment scheduled for today;8/9-Confirmed appointment for gas leak for Wednesday;4/9-Job put on hold</t>
  </si>
  <si>
    <t>Oakleigh South</t>
  </si>
  <si>
    <t>73103/73063/87452687</t>
  </si>
  <si>
    <t>9/9-Deposit of $785 refunded to customer;8/9-WIP by Elliot</t>
  </si>
  <si>
    <t>10/10-WIP by Elliot</t>
  </si>
  <si>
    <t>Mordialloc</t>
  </si>
  <si>
    <t>Lysterfield South</t>
  </si>
  <si>
    <t>11/9-Customer cancelled the job. Refunded $623.04 minus COF.</t>
  </si>
  <si>
    <t>73253/73246/87495928</t>
  </si>
  <si>
    <t>73200/87500637</t>
  </si>
  <si>
    <t>North Warrandyte</t>
  </si>
  <si>
    <t>73269/73260/87514010</t>
  </si>
  <si>
    <t>Surrey Hills</t>
  </si>
  <si>
    <t>18/9 - Bunnings - 6439/01221903 - Job 000000</t>
  </si>
  <si>
    <t>18/9 - Bunnings - 6075/01307666 - Job 000000</t>
  </si>
  <si>
    <t>15 Sept - Paying 2.75hrs O/T</t>
  </si>
  <si>
    <t>16 Sept - Paying 1hr O/T</t>
  </si>
  <si>
    <t>Kooyong</t>
  </si>
  <si>
    <t>73401/73389/87579195</t>
  </si>
  <si>
    <t>Box Hill</t>
  </si>
  <si>
    <t>17 Sept - Paying 30mins O/T</t>
  </si>
  <si>
    <t>19/9-Job completed by Will Dower &amp; received $646.66 by Smartpay;15/9-Scheduled to Nicholas;12/9-WIP by Jayden;11/9-WIP by Elliot &amp; Jayden;10/9-WIP by Jayden;9/9-WIP by Elliot &amp; Jayden</t>
  </si>
  <si>
    <t>73480/73465/87599936</t>
  </si>
  <si>
    <t>22/9-Temp check-Job completed by Elliot &amp; 5 star rating obtained;19/9-WIP by Elliot &amp; Daniel</t>
  </si>
  <si>
    <t>Box Hill North</t>
  </si>
  <si>
    <t>Wantirna South</t>
  </si>
  <si>
    <t>73329/73296/87547958</t>
  </si>
  <si>
    <t>73232/87550639</t>
  </si>
  <si>
    <t>Ringwood East</t>
  </si>
  <si>
    <t>73232/87550672</t>
  </si>
  <si>
    <t>73335/73327/87552763</t>
  </si>
  <si>
    <t>16/9-Job cancelled.Customer asked for refund of $1511.15</t>
  </si>
  <si>
    <t>17/9-As per Ayesha's note "getting elliot to call in regards to getting deposit back";16/9-Payment plan @$150 for 12 months</t>
  </si>
  <si>
    <t>73365/73344/87564854</t>
  </si>
  <si>
    <t>73369/73359/87566351</t>
  </si>
  <si>
    <t>17/9-Job cancelled and deposit of $639.54 refunded</t>
  </si>
  <si>
    <t>Beaconsfield</t>
  </si>
  <si>
    <t>18/9-Customer called to cancel the job</t>
  </si>
  <si>
    <t>Cranbourne West</t>
  </si>
  <si>
    <t>73468/73453/87597286</t>
  </si>
  <si>
    <t>Burnley</t>
  </si>
  <si>
    <t>23/9-Temp check performed &amp; Job completed by Jayden;22/9-WIP by Elliot &amp; Jayden</t>
  </si>
  <si>
    <t>Hawthorn East</t>
  </si>
  <si>
    <t>22 Sept - Paying 45mins O/T - More Than Comm'ns</t>
  </si>
  <si>
    <t>Caulfield North</t>
  </si>
  <si>
    <t>24/9-Customer satisfaction discount of $374.55 provided</t>
  </si>
  <si>
    <t>24/9-Job completed by Riley &amp; WIP by Elliot</t>
  </si>
  <si>
    <t xml:space="preserve">Dandenong </t>
  </si>
  <si>
    <t>24 Sept - Deduct 15mins O/T</t>
  </si>
  <si>
    <t>Beighton</t>
  </si>
  <si>
    <t>24 Sept - Paying 1.5hrs O/T</t>
  </si>
  <si>
    <t>5% - 5 Aug</t>
  </si>
  <si>
    <t>5% - Paid Dispute</t>
  </si>
  <si>
    <t>5% - No Comm'ns - IPP</t>
  </si>
  <si>
    <t>23 Sept - Paying 3.25hrs O/T; 10/10-Elliot to discuss PP with customer;24/9-Job completed by Alex by performing temp check;23/9-WIP by Elliot</t>
  </si>
  <si>
    <t>Highett</t>
  </si>
  <si>
    <t>29/9-Scheduled to Elliot</t>
  </si>
  <si>
    <t>73680/73657/87667379</t>
  </si>
  <si>
    <t>29/9-WIP by Jayden-Received by $7000;27/9-WIP by Alex;25/9-WIP by Elliot &amp; Jayden</t>
  </si>
  <si>
    <t>73568/73548/87622817</t>
  </si>
  <si>
    <t>73543/87623716</t>
  </si>
  <si>
    <t>73543/87623613</t>
  </si>
  <si>
    <t>73574/73507/87618698</t>
  </si>
  <si>
    <t>73625/73600/87646593</t>
  </si>
  <si>
    <t>73661/73612/87653088</t>
  </si>
  <si>
    <t>Braeside</t>
  </si>
  <si>
    <t>3/10-Job completed by Elliot</t>
  </si>
  <si>
    <t>29/9-Customer wants plumber's findings</t>
  </si>
  <si>
    <t>29 Sept - Deduct 30mins O/T; 30/9-Job completed by Matthew;29/9-Booked for Thursday</t>
  </si>
  <si>
    <t>Canterbury</t>
  </si>
  <si>
    <t>Murrumbeena</t>
  </si>
  <si>
    <t>1 Oct - Deduct 1.75hrs O/T</t>
  </si>
  <si>
    <t>3/11-CB by Will Dower-CB reason-Leak behind toilet-CB outcome-WIP;2/10-Job completed by Jayden &amp; WIP by Elliot</t>
  </si>
  <si>
    <t>Chadstone</t>
  </si>
  <si>
    <t>5% - 6 Oct</t>
  </si>
  <si>
    <t>6/10-Received $471.80 by Podium;3/10-Job completed by Daniel &amp; WIP by Riley &amp; Elliot</t>
  </si>
  <si>
    <t>73732/73721/87707881</t>
  </si>
  <si>
    <t xml:space="preserve">Caulfield </t>
  </si>
  <si>
    <t>73785/73748/87715841</t>
  </si>
  <si>
    <t>Heatherton</t>
  </si>
  <si>
    <t>Clayton</t>
  </si>
  <si>
    <t>73981/73939/87784616</t>
  </si>
  <si>
    <t>3/10-Refund of $674 to be provided to customer.2/10-Customer wants to cancel.</t>
  </si>
  <si>
    <t>73986/73254/87584919</t>
  </si>
  <si>
    <t>Notting Hill</t>
  </si>
  <si>
    <t xml:space="preserve">2/10-WIP by Elliot-Upsell job paused </t>
  </si>
  <si>
    <t>Wheelers Hill</t>
  </si>
  <si>
    <t>73945/87789238</t>
  </si>
  <si>
    <t>73945/87789845</t>
  </si>
  <si>
    <t>73978/87797762</t>
  </si>
  <si>
    <t>73978/87797385</t>
  </si>
  <si>
    <t xml:space="preserve">Bentleigh </t>
  </si>
  <si>
    <t>1x Matthew H</t>
  </si>
  <si>
    <t>10/10 - Reece - 1016784489 - Job 73974</t>
  </si>
  <si>
    <t>Blackburn South</t>
  </si>
  <si>
    <t>74071/74051/87827957</t>
  </si>
  <si>
    <t>Ormond</t>
  </si>
  <si>
    <t>7/10-Temp check performed &amp; Job completed by Daniel;6/10-WIP by Elliot &amp; Daniel</t>
  </si>
  <si>
    <t>74117/74073/87832846</t>
  </si>
  <si>
    <t>7/10-Job completed by Daniel;6/10-WIP by Matthew</t>
  </si>
  <si>
    <t>Sandringham</t>
  </si>
  <si>
    <t>6 Oct - Deduct 1hr o/T; 7/10-Job completed by Will Dower by performing temp check;6/10-WIP by Elliot</t>
  </si>
  <si>
    <t>6 Oct - Deduct 30mins O/T; 10/10-Temp check performed &amp; Job completed by Matthew;6/10-WIP by Elliot</t>
  </si>
  <si>
    <t>7 Oct - Paying 1hr O/T</t>
  </si>
  <si>
    <t>16/10 CB16/10</t>
  </si>
  <si>
    <t>16/10-CB by Elliot-CB reason-CUSTOMER HAD TO TIGHTEN SHOWER TAPS AND WATER PRESSURE HAS GONE-CB outcome-Tightened the tap too tight, so I changed washer and showed her how to use</t>
  </si>
  <si>
    <t>8 Oct - Paying 30mins O/T</t>
  </si>
  <si>
    <t>9 Oct - Paying 1.5hrs O/T</t>
  </si>
  <si>
    <t>30/10-Temp check performed &amp; insulated PRV by Daniel;6/10-Received $471.80 by Podium;3/10-Job completed by Daniel &amp; WIP by Riley &amp; Elliot</t>
  </si>
  <si>
    <t>74173/74142/87856156</t>
  </si>
  <si>
    <t>74287/74275/87900914</t>
  </si>
  <si>
    <t>5% - 10 Oct</t>
  </si>
  <si>
    <t>10/10-Job completed by Elliot;9/10-WIP by Daniel &amp; Matthew and received $477.10 by Podium;8/10-WIP by Daniel &amp; received $7000 by cash;7/10-WIP by Aden;30/9-WIP by Jayden;29/9-WIP by Jayden-Received by $7000;27/9-WIP by Alex;25/9-WIP by Elliot &amp; Jayden</t>
  </si>
  <si>
    <t>74117/74073/87836115</t>
  </si>
  <si>
    <t>74118/74079/87837104</t>
  </si>
  <si>
    <t>74134/87850183</t>
  </si>
  <si>
    <t>74134/87850638</t>
  </si>
  <si>
    <t>Kew East</t>
  </si>
  <si>
    <t>Balwyn North</t>
  </si>
  <si>
    <t>74292/74270/87909790</t>
  </si>
  <si>
    <t>74292/74270/87909810</t>
  </si>
  <si>
    <t>1x Nicholas</t>
  </si>
  <si>
    <t>O/T=7.5hrs</t>
  </si>
  <si>
    <t>20/10 - Bunnings - 6427/00111522 - Job 000000</t>
  </si>
  <si>
    <t>14/10-Job completed by Nicholas;13/10-WIP by Elliot &amp; Alex</t>
  </si>
  <si>
    <t>Mornington</t>
  </si>
  <si>
    <t>17 Oct - Deduct 45mins O/T</t>
  </si>
  <si>
    <t>18/10-Job completed by Riley &amp; Elliot</t>
  </si>
  <si>
    <t>5% - 15 Oct</t>
  </si>
  <si>
    <t>Mount Martha</t>
  </si>
  <si>
    <t>15/10-As per Elliot's note "Need to rebook once they have a new tap or the hole cut out, put isolation valves on and reinstalled original tap"</t>
  </si>
  <si>
    <t>74479/74434/87979143</t>
  </si>
  <si>
    <t>14 Oct - Deduct 1.5hrs O/T; 20/10-WIP by Elliot &amp; Matthew;16/10-WIP by Matthew-Pics not uploaded;15/10-WIP by Elliot,Aden &amp; Matthew</t>
  </si>
  <si>
    <t>74585/74383/880275202</t>
  </si>
  <si>
    <t>20/10-WIP by Daniel &amp; Matthew &amp; 5 star rating for Matthew-Received $14000 by Smartpay;17/10-WIP by Elliot &amp; Nicholas</t>
  </si>
  <si>
    <t>74609/74543/88036433</t>
  </si>
  <si>
    <t>20/10-WIP by Jack,Riley &amp; Nicholas;17/10-WIP by Elliot &amp; Daniel</t>
  </si>
  <si>
    <t>74611/74610/88915303</t>
  </si>
  <si>
    <t>18/10-WIP by Elliot</t>
  </si>
  <si>
    <t>74388/74352/87946286</t>
  </si>
  <si>
    <t>74453/87976266</t>
  </si>
  <si>
    <t>Edithvale</t>
  </si>
  <si>
    <t>Clyde North</t>
  </si>
  <si>
    <t>74497/88008865</t>
  </si>
  <si>
    <t>Fitztory</t>
  </si>
  <si>
    <t>27/10 - Reece - 1017231103 - Job 74363</t>
  </si>
  <si>
    <t>27/10 - Reece - 1017223345 - Job 74363</t>
  </si>
  <si>
    <t>22nd Oct - POS Receipt - Job 74694</t>
  </si>
  <si>
    <t>23rd Oct - POS Receipt - Job 7475</t>
  </si>
  <si>
    <t>CB21/10</t>
  </si>
  <si>
    <t>21/10-CB by Daniel-CB reason-Shower head still leaking-CB outcome-</t>
  </si>
  <si>
    <t>27 Oct - Refund Initiated for $996.90</t>
  </si>
  <si>
    <t>Narre Warren South</t>
  </si>
  <si>
    <t>Cranbourne</t>
  </si>
  <si>
    <t>74748/74687/88956007</t>
  </si>
  <si>
    <t>23/10-Job completed by Elliot</t>
  </si>
  <si>
    <t>Bittern</t>
  </si>
  <si>
    <t>Mont Albert</t>
  </si>
  <si>
    <t>24/10-Job completed by Riley &amp; WIP by Elliot</t>
  </si>
  <si>
    <t>24 Oct - Deduct 1.5hrs O/T</t>
  </si>
  <si>
    <t>Eumemmerring</t>
  </si>
  <si>
    <t>5% - 24 Oct - Cancelled</t>
  </si>
  <si>
    <t>5% - 21 Oct</t>
  </si>
  <si>
    <t>21/10-Job completed by Daniel;20/10-WIP by Daniel &amp; Matthew &amp; 5 star rating for Matthew-Received $14000 by Smartpay;17/10-WIP by Elliot &amp; Nicholas</t>
  </si>
  <si>
    <t>5% - 22 Oct 2025</t>
  </si>
  <si>
    <t>22 Oct - Job Completed by Daniel - 21/10-WIP by Daniel;18/10-WIP by Elliot</t>
  </si>
  <si>
    <t>23/10-Leak detection booked for 29th October (Wednesday);21/10-As per Elliot's note "Booking leak detection for either next Wednesday or Thursday"</t>
  </si>
  <si>
    <t>22 Oct - Deduct 15mins O/T; 22/10-As per Elliot's note "Book installer tomorrow"</t>
  </si>
  <si>
    <t>74775/74752/88969480</t>
  </si>
  <si>
    <t>28/10-WIP by Aden,Will Dower,Jack &amp; Tolga;23/10-WIP by Aden,Jack &amp; Elliot</t>
  </si>
  <si>
    <t>27/10-Customer would like to cancel the contract-Plumber/office to confirm cancellation</t>
  </si>
  <si>
    <t>27 Oct - Job Completed by Riley; 24/10-Job completed by Matthew &amp; WIP by Nicholas &amp; Riley-EFT of $7000 received;23/10-WIP by Matthew;22/10-WIP by Matthew &amp; Daniel;21/10-WIP by Matthew;20/10-WIP by Elliot &amp; Matthew;16/10-WIP by Matthew-Pics not uploaded;15/10-WIP by Elliot,Aden &amp; Matthew</t>
  </si>
  <si>
    <t>27/10-Job completed by Elliot-Camera done;24/10-WIP by Will Dower;23/10-WIP by Daniel &amp; Will Dower-Received $10000 by EFT;21/10-WIP by Jack;20/10-WIP by Jack,Riley &amp; Nicholas;17/10-WIP by Elliot &amp; Daniel</t>
  </si>
  <si>
    <t>74621/88930186</t>
  </si>
  <si>
    <t>74666/88941064</t>
  </si>
  <si>
    <t>74685/88954922</t>
  </si>
  <si>
    <t>74685/88955362</t>
  </si>
  <si>
    <t>74694/88959774</t>
  </si>
  <si>
    <t>74726/88975660</t>
  </si>
  <si>
    <t>74753/88972658</t>
  </si>
  <si>
    <t>24/10-Refunded $534.71 to customer</t>
  </si>
  <si>
    <t>74797/88990998</t>
  </si>
  <si>
    <t>Mitcham</t>
  </si>
  <si>
    <t>74797/88990406</t>
  </si>
  <si>
    <t>30/10 - Reece - 1017359514 - Job 74014</t>
  </si>
  <si>
    <t>30/10 - Reece - 1017349820 - Job Stock (Job 74014)</t>
  </si>
  <si>
    <t>31/10 - Reece - 1017383485 - Job 00000 (Job 74014)</t>
  </si>
  <si>
    <t>28/10-Job completed by Junior &amp; WIP by Elliot</t>
  </si>
  <si>
    <t>Somerville</t>
  </si>
  <si>
    <t>30/10-Leak detection scheduled for Elliot;23/10-Leak detection booked for 29th October (Wednesday);21/10-As per Elliot's note "Booking leak detection for either next Wednesday or Thursday"</t>
  </si>
  <si>
    <t>30/10-Job completed by Aden &amp; WIP by Matthew,Will &amp; Riley and received $7672.59 by Podium;29/10-WIP by Aden &amp; Jack and received $7000 by Podium;28/10-WIP by Aden,Will Dower,Jack &amp; Tolga;23/10-WIP by Aden,Jack &amp; Elliot</t>
  </si>
  <si>
    <t>74838/89016402</t>
  </si>
  <si>
    <t>27/10-Customer gave 1 star rating</t>
  </si>
  <si>
    <t>74857/89024236</t>
  </si>
  <si>
    <t>74857/89025063</t>
  </si>
  <si>
    <t>74902/89037369</t>
  </si>
  <si>
    <t>74902/89037884</t>
  </si>
  <si>
    <t>74885/89042780</t>
  </si>
  <si>
    <t>75019/89119506</t>
  </si>
  <si>
    <t>75029/89121952</t>
  </si>
  <si>
    <t>75029/89121964</t>
  </si>
  <si>
    <t>5/11-Leak detection booked</t>
  </si>
  <si>
    <t>7/11-Leak detection booked</t>
  </si>
  <si>
    <t>74991/89142760</t>
  </si>
  <si>
    <t>74991/89142703</t>
  </si>
  <si>
    <t>75071/89147487</t>
  </si>
  <si>
    <t>75048/89154423</t>
  </si>
  <si>
    <t>Mount Eliza</t>
  </si>
  <si>
    <t>75048/89153497</t>
  </si>
  <si>
    <t>75111/89157062</t>
  </si>
  <si>
    <t>75111/89157077</t>
  </si>
  <si>
    <t xml:space="preserve">Burnswick </t>
  </si>
  <si>
    <t>24/06 - EFT received  $10.6</t>
  </si>
  <si>
    <t>9 Jul - Refund - $89</t>
  </si>
  <si>
    <t>Vermont South</t>
  </si>
  <si>
    <t>26 Jun - Deduct 1.25hrs O/T</t>
  </si>
  <si>
    <t>27/06 - EFT Received  $1390.40</t>
  </si>
  <si>
    <t>Gladstone Park</t>
  </si>
  <si>
    <t>71061/85948517</t>
  </si>
  <si>
    <t>27/06 - EFT Received  $1010.90</t>
  </si>
  <si>
    <t>27/06 - EFT Received  $1446.50</t>
  </si>
  <si>
    <t>5% - 24 Jun</t>
  </si>
  <si>
    <t>11/06 EFT processed for $3147.10</t>
  </si>
  <si>
    <t>25 Jun - Deduct 1hr O/T</t>
  </si>
  <si>
    <t>23 Jun - Dedcut 45mins O/T</t>
  </si>
  <si>
    <t xml:space="preserve">19 Jun - Deduct 2hrs O/T; 20/06 - WIP by  Matthew H </t>
  </si>
  <si>
    <t>26/06 - WIP by Daniel B ; 25/06 - WIP by Daniel B, Rhys Clark ; 24/06 - WIP by  Alex , Daniel -  Received $2500 Card; 23/06 - WIP by Daniel B - Received $10000 EFT;  20/06 - WIP by Tolga , Daniel B;  19/06 - WIP by Tolga ; 18/06 WIP by Tolga , Jack M ; 17/06 WIP by Tolga ;  16/06 - WIP By Tolga, Jarrod Card payment received $2000 ;11/06 - Scheduled for Tolga ;10/06 - WIP by Tolga; 2 Jun - Deduct 1.5hrs O/T; 02/06- WIP by Jack&amp;Tolga</t>
  </si>
  <si>
    <t>70916/85880436</t>
  </si>
  <si>
    <t>70876/85881669</t>
  </si>
  <si>
    <t xml:space="preserve">Essendon </t>
  </si>
  <si>
    <t>70876/85882143</t>
  </si>
  <si>
    <t>70945/85884871</t>
  </si>
  <si>
    <t>='Ben'!P311+'Ben'!P311+'Jack M'!P266+</t>
  </si>
  <si>
    <t xml:space="preserve">Quote </t>
  </si>
  <si>
    <t>Heidelberg</t>
  </si>
  <si>
    <t>St kilda</t>
  </si>
  <si>
    <t>71022/85922172</t>
  </si>
  <si>
    <t>71022/85922414</t>
  </si>
  <si>
    <t>Hamton Park</t>
  </si>
  <si>
    <t>71043/85939171</t>
  </si>
  <si>
    <t>71043/85938834</t>
  </si>
  <si>
    <t>Fitzroy Norh</t>
  </si>
  <si>
    <t>71061/85949063</t>
  </si>
  <si>
    <t>9 Jul - Refund - Job 71011</t>
  </si>
  <si>
    <t>71107/85964535</t>
  </si>
  <si>
    <t>30/06 - WIP&amp;Completed by Tolga, Shaun</t>
  </si>
  <si>
    <t>71107/85965329</t>
  </si>
  <si>
    <t>30/06 - WIP&amp;Completed by Tolga, Shaun - EFT  Received $4060.10</t>
  </si>
  <si>
    <t>30 Jun - Deduct 1hr O/T</t>
  </si>
  <si>
    <t>71187/86008904</t>
  </si>
  <si>
    <t>2 Jul - Paying 45mins O/T; 2/7 -WIP by Daniel B &amp; $1607.10 EFT Received</t>
  </si>
  <si>
    <t>71235/86044146</t>
  </si>
  <si>
    <t>4 Jul - Deduct 30mins O/T</t>
  </si>
  <si>
    <t>5% - 25 Jun</t>
  </si>
  <si>
    <t>5% - 3 Jul</t>
  </si>
  <si>
    <t>EFT/Card</t>
  </si>
  <si>
    <t>03/07 - WIP&amp;Completed by Ben - Card payment collected $560.90 ;  26/06 - WIP by Daniel B ; 25/06 - WIP by Daniel B, Rhys Clark ; 24/06 - WIP by  Alex , Daniel -  Received $2500 Card; 23/06 - WIP by Daniel B - Received $10000 EFT;  20/06 - WIP by Tolga , Daniel B;  19/06 - WIP by Tolga ; 18/06 WIP by Tolga , Jack M ; 17/06 WIP by Tolga ;  16/06 - WIP By Tolga, Jarrod Card payment received $2000 ;11/06 - Scheduled for Tolga ;10/06 - WIP by Tolga; 2 Jun - Deduct 1.5hrs O/T; 02/06- WIP by Jack&amp;Tolga</t>
  </si>
  <si>
    <t>71163/86000958</t>
  </si>
  <si>
    <t xml:space="preserve"> 2/7-  WIP By Daniel &amp; Alex </t>
  </si>
  <si>
    <t>71235/86042800</t>
  </si>
  <si>
    <t>East Melbourne</t>
  </si>
  <si>
    <t>Paying 2hrs O/T</t>
  </si>
  <si>
    <t>71163/85998145</t>
  </si>
  <si>
    <t>07/07 WIP by Alex  ; 04/07 - WIP by Alex Received EFT of $4000  ; 03/07 - WIP by Alex ;  2/7-  WIP By Daniel, Tolga &amp; Alex and $2000 EFT Received</t>
  </si>
  <si>
    <t>71245/71226</t>
  </si>
  <si>
    <t xml:space="preserve">05/07 - Scheduled for Ryhs </t>
  </si>
  <si>
    <t>2/07 EFT Processed - $1251.80</t>
  </si>
  <si>
    <t>71168/86000145</t>
  </si>
  <si>
    <t>71168/86000160</t>
  </si>
  <si>
    <t>71187/86009829</t>
  </si>
  <si>
    <t>Blackburn</t>
  </si>
  <si>
    <t>71256/86046525</t>
  </si>
  <si>
    <t xml:space="preserve">10/07 Reece - 1014188704 - Job 70659 </t>
  </si>
  <si>
    <t>07/07 - EFT Received $2832.50</t>
  </si>
  <si>
    <t>09/07 - Refund initiated for $89 ; 08/07 - EFT Received $1251.80</t>
  </si>
  <si>
    <t xml:space="preserve">5% - 10 Jul </t>
  </si>
  <si>
    <t>10 Jul - Completed by Alex; 10/07 - WIP by Alex - EFT processed For $4584.50 Uploaded receipt for $178.17  ; 09/07 - WIP by Alex ; 08/07 - WIP by  Alex - Received EFT $8000 ;  07/07 WIP by Alex EFT processed for $8000 ; 04/07 - WIP by Alex Received EFT of $4000  ; 03/07 - WIP by Alex ;  2/7-  WIP By Daniel, Tolga &amp; Alex and $2000 EFT Received</t>
  </si>
  <si>
    <t>5% - 5 Jul - Cancelled</t>
  </si>
  <si>
    <t>71291/86055868</t>
  </si>
  <si>
    <t>Eaglemont</t>
  </si>
  <si>
    <t>71291/86055993</t>
  </si>
  <si>
    <t>71176/86056468</t>
  </si>
  <si>
    <t>71176/86056383</t>
  </si>
  <si>
    <t>71311/86067668</t>
  </si>
  <si>
    <t>17 Jul - The Pothole Man - Job #70518</t>
  </si>
  <si>
    <t xml:space="preserve">24/06 Reece - 1013735027 - Job 70993 </t>
  </si>
  <si>
    <t xml:space="preserve">St Kilda </t>
  </si>
  <si>
    <t>MODORAS DO NOTE DELETE AS THIS IS THE WORKSHEET FOR W/E 13TH JULY 2025</t>
  </si>
  <si>
    <t xml:space="preserve">Hampton park </t>
  </si>
  <si>
    <t>09/07 - As per Kris's note - FIRST JOB WAIVED TO WIN DIG.</t>
  </si>
  <si>
    <t>10 Jul - Paying 2hrs O/T</t>
  </si>
  <si>
    <t>5% - 10 Jul</t>
  </si>
  <si>
    <t>5% - 31/10 CB31/10</t>
  </si>
  <si>
    <t>71349/71308/75003</t>
  </si>
  <si>
    <t>31/10-CB by Daniel-CB by reason-Customer had noticed that her drain was not draining away quickly-CB outcome-I Opened up inspection covers ,
that we had installed prior.
Once inspected ,
I noticed that the water was able to get away .
I had a talk with the customer about a tree that was growing over the main run of the sewer drain running to back of her property.
I asked the lady if she would like us to look in to it more ,
She was happy to just wait and see if the drain blocks up again .
Jarrod might want to call her and see if he can a up sell.;12/7-Job completed by Alex;11/07 - WIP by Jarrod ; 10/07 - WIP by Daniel B, Rhys ; 09/07 - WIP by Daniel B HUMM app approved</t>
  </si>
  <si>
    <t>71370/86122172</t>
  </si>
  <si>
    <t>14/07 - Uploaded the email to Customer ;   11/07 - POS Receipt for $93.5, $325 not available in SQ portal</t>
  </si>
  <si>
    <t>5% - 15 Jul</t>
  </si>
  <si>
    <t>71370/86122374</t>
  </si>
  <si>
    <t>15 Jul - Refund O/Pmt - $177.90</t>
  </si>
  <si>
    <t>71399/71383/86112328</t>
  </si>
  <si>
    <t xml:space="preserve">14/7-WIP by Tolga &amp; Rhys;13/ 07 WIP by Daniel B ; 11/07 - WIP by Daniel B </t>
  </si>
  <si>
    <t>71403/71370/86124652</t>
  </si>
  <si>
    <t>11/07 Marked as completed no pics available</t>
  </si>
  <si>
    <t>71319/86090797</t>
  </si>
  <si>
    <t>71319/86090804</t>
  </si>
  <si>
    <t>71319/86091128</t>
  </si>
  <si>
    <t>09/07 Attended by Liam , Jarrod</t>
  </si>
  <si>
    <t>Beaumaris</t>
  </si>
  <si>
    <t>Mc Kinnon</t>
  </si>
  <si>
    <t>Benleigh</t>
  </si>
  <si>
    <t>71401/86146574</t>
  </si>
  <si>
    <t>Skye</t>
  </si>
  <si>
    <t>71401/86146689</t>
  </si>
  <si>
    <t>Frankston</t>
  </si>
  <si>
    <t>15/07-Job completed by Daniel B;14/07 - WIP&amp;Completed by Jack M, Jarrod EFT processed for $5755.40</t>
  </si>
  <si>
    <t>Lyndhurst</t>
  </si>
  <si>
    <t>14 Jul - Deduct 0.25hrs</t>
  </si>
  <si>
    <t>15 Jul - Paying 1hr O/T; 17/07-Customer satifaction of $1162.50 provided;16/07-Job completed by Jack M &amp; Mathew H;15/07-WIP by Jack M &amp; noted as "Need to return for a temp check and collect final signature"</t>
  </si>
  <si>
    <t>5% - 16 Jul</t>
  </si>
  <si>
    <t>71435/71401/86147214</t>
  </si>
  <si>
    <t xml:space="preserve">21/07-As per Jarrod's note "Inspector hasn’t shown up, been whew since 7 waiting it’s been 45 minuets
Job is fully complete and had final cctv inspection done";18/07-Sewer inspection booked for Monday;As per Jarrod's note "Blocked mains on the council side south east water is coming out now to rectify";15/07-Job completed by Jarrod,Rhys &amp; Daniel B-$4471.48 to be updated;14/07 WIP by Tolga , Rhys &amp; received $1850 &amp; $4398.9 by Smartpay </t>
  </si>
  <si>
    <t>71410/86158968/71464</t>
  </si>
  <si>
    <t>15/07-Job completed by Jack M</t>
  </si>
  <si>
    <t>71410/86155707</t>
  </si>
  <si>
    <t>16/07-EFT of $549.10 made by customer &amp; office confirmation to be uploaded.</t>
  </si>
  <si>
    <t>15 Jul - 1hr O/T More Than Comm'ns</t>
  </si>
  <si>
    <t>Chelsea Heights</t>
  </si>
  <si>
    <t>4/8 CB4/8</t>
  </si>
  <si>
    <t>71489/86175705/71513</t>
  </si>
  <si>
    <t>4/8-CB by Rhys;16/07-Job completed by Jarrod &amp; Tolga Bol</t>
  </si>
  <si>
    <t>16 Jul - Deduct 1hr O/T; 16/07-Job completed by  Jarrod</t>
  </si>
  <si>
    <t>71541/86208953</t>
  </si>
  <si>
    <t>16 Jul - Refund - $177.90</t>
  </si>
  <si>
    <t>5% - 17 Jul</t>
  </si>
  <si>
    <t xml:space="preserve">15/07-Job completed by Jarrod- &amp; Daniel B-Camera inspection performed;14/7-WIP by Tolga &amp; Rhys;13/ 07 WIP by Daniel B ; 11/07 - WIP by Daniel B </t>
  </si>
  <si>
    <t>5% - 17 Jul - Cancelled</t>
  </si>
  <si>
    <t>5% - 18 Jul</t>
  </si>
  <si>
    <t>18/07-Job completed by Francesco &amp; received final amount of $2659.10 by Smartpay</t>
  </si>
  <si>
    <t>5% 12/9 CB12/9</t>
  </si>
  <si>
    <t>12/9-CB by Jarrod &amp; Liam-CB reason-Garage roof needs flushing
-CB outcome-Spoke to Jarrod customer was requesting a breakdown, claims there is still a leak. Assessing and provided a 5% discount on the invoice;17/07-Job completed by Francesco &amp; Jarrod</t>
  </si>
  <si>
    <t>71349/71308</t>
  </si>
  <si>
    <t>12/7-Job completed by Alex;11/07 - WIP by Jarrod ; 10/07 - WIP by Daniel B, Rhys ; 09/07 - WIP by Daniel B HUMM app approved</t>
  </si>
  <si>
    <t>71424/86151958</t>
  </si>
  <si>
    <t>71424/86152049</t>
  </si>
  <si>
    <t>Aspendale</t>
  </si>
  <si>
    <t>25/07-Quote sent again;17/07-As per Kris's note "QUOTE SHOULD NOT OF BEEN SENT. NO WAIVER SIGNED. NO ONE ON SITE. HAVE SPOKEN TO JARROD"</t>
  </si>
  <si>
    <t>71505/86197550</t>
  </si>
  <si>
    <t>71505/86197587</t>
  </si>
  <si>
    <t>71505/86197594</t>
  </si>
  <si>
    <t>71505/86197994</t>
  </si>
  <si>
    <t>21/07 - Job Cancelled - Refund processed for $200</t>
  </si>
  <si>
    <t>24/7-Bunnings-Inv #6240/01260257-Job #050002</t>
  </si>
  <si>
    <t>24/7-Reece-Inv #1014581204-Job #050002</t>
  </si>
  <si>
    <t>25 Jul - PPC Flashings - Job #71760</t>
  </si>
  <si>
    <t>25/7-Bunnings-Inv #6427/01497127-Job #050002</t>
  </si>
  <si>
    <t>26/7-Reece-Credit note #825310842-Job #71435</t>
  </si>
  <si>
    <t>28/07 Bunnings - 6201/01303745 - Job STOCK</t>
  </si>
  <si>
    <t>29/7-Reece-Inv #1014732159-Job #71760 (00000-Stock)</t>
  </si>
  <si>
    <t>21 Jul - Deduct 30mins O/Y</t>
  </si>
  <si>
    <t>22/07-Job completed by Rhys Clark</t>
  </si>
  <si>
    <t>71639/86242871</t>
  </si>
  <si>
    <t>29/07-Tech findings sent.</t>
  </si>
  <si>
    <t>Cranbourne North</t>
  </si>
  <si>
    <t xml:space="preserve">Cranbourne </t>
  </si>
  <si>
    <t>12/8-Pressur test done by Rhys;25/7-Job completed by Rhys &amp; Jarrod</t>
  </si>
  <si>
    <t>71768/86293398</t>
  </si>
  <si>
    <t>5% CB9/9</t>
  </si>
  <si>
    <t>71672/72543/71639/86243016</t>
  </si>
  <si>
    <t>9/9-CB by Rhys-CB reason-customer said its still blocking up and that he got another plumber to come take alot and said its because the pipes are jamming together-CB outcome-No notes provided &amp; pics uploaded by plumber;28/07-Lily uploaded email snip of rectifications officer towards non-compliant plumbing work ;25/07-Scheduled to Daniel B;24/07-Scheduled - Rhys, Daniel B ; 23/07-WIP by Rhys, Daniel B-As per Charlie Alha's note "INSPECTION BOOKED FOR FRIDAY 25/07 @ 7AM"</t>
  </si>
  <si>
    <t>28/07-As per Daniel B's note "Reason: Needs more work required";25/07-WIP by Rhys &amp; Jarrod</t>
  </si>
  <si>
    <t>17/07-Job completed by Francesco &amp; Jarrod</t>
  </si>
  <si>
    <t>Officer</t>
  </si>
  <si>
    <t>71708/71586</t>
  </si>
  <si>
    <t>71713/86257653</t>
  </si>
  <si>
    <t>71691/86258055</t>
  </si>
  <si>
    <t>71691/86257986</t>
  </si>
  <si>
    <t>Waterways</t>
  </si>
  <si>
    <t>Clyde</t>
  </si>
  <si>
    <t>71768/86287774</t>
  </si>
  <si>
    <t>31/07 Bunnings - 6042/01624968 - Job 050002</t>
  </si>
  <si>
    <t>31/07-As per Joshua G's note "AFTERCARE - wasn't happy with price, was happy with discount she got from us. Said plumbers were good "</t>
  </si>
  <si>
    <t>30/07-WIP by Jarrod &amp; Alex</t>
  </si>
  <si>
    <t>5/5, nice work all.</t>
  </si>
  <si>
    <t>29 Aug - Refund - $89</t>
  </si>
  <si>
    <t>71964/71953</t>
  </si>
  <si>
    <t>01/08 - WIP &amp; Completed by Tolga, Jarrod</t>
  </si>
  <si>
    <t>30/9-Scheduled to Jarrod;29/9-Scheduled to Jarrod</t>
  </si>
  <si>
    <t>5% - 31 Jul</t>
  </si>
  <si>
    <t>31/07-WIP &amp; Completed by Alex - Received $7941.56 Card ; 30/07-WIP by Alex &amp; Jayden;29/07-WIP by Tolga Bal;28/07-As per Daniel B's note "Reason: Needs more work required";25/07-WIP by Rhys &amp; Jarrod</t>
  </si>
  <si>
    <t>PREVIOUS WORK ORDERS (AWAITING PAYMENT)</t>
  </si>
  <si>
    <t>71672/71639/86243016</t>
  </si>
  <si>
    <t>4/8-Job completed by Ryhs -Recamera work;29/07-WIP by Daniel B;28/07-Lily uploaded email snip of rectifications officer towards non-compliant plumbing work ;25/07-Scheduled to Daniel B;24/07-Scheduled - Rhys, Daniel B ; 23/07-WIP by Rhys, Daniel B-As per Charlie Alha's note "INSPECTION BOOKED FOR FRIDAY 25/07 @ 7AM"</t>
  </si>
  <si>
    <t>01/08-Attended by Jarrod</t>
  </si>
  <si>
    <t>South Yara</t>
  </si>
  <si>
    <t>71934/86377234</t>
  </si>
  <si>
    <t>71934/86377260</t>
  </si>
  <si>
    <t>71946/86388239</t>
  </si>
  <si>
    <t>71946/86388259</t>
  </si>
  <si>
    <t>Blackburn North</t>
  </si>
  <si>
    <t>5% Comm'ns Paid - 3 Sept</t>
  </si>
  <si>
    <t>71996/71986/86397268</t>
  </si>
  <si>
    <t>05/08-Temp check &amp; Job Completed by Mathew H - EFT Processed $13802.76 ; 4/8-WIP by Alex &amp; Jarrod</t>
  </si>
  <si>
    <t>29/8 CB29/8</t>
  </si>
  <si>
    <t>72060/72774</t>
  </si>
  <si>
    <t>29/8-CB by Jarrod-CB reason-Bad smell still in kitchen and a bit of brown water comes out of kitchen taps just after they turn on.-CB outcome-The smell from the house is just a musty smell and it doesn’t have anything to do with out installation. And no signs of brown water when checking fixtures.</t>
  </si>
  <si>
    <t>6 Aug - Paying 1.75hrs O/T</t>
  </si>
  <si>
    <t>Bonbeach</t>
  </si>
  <si>
    <t>7 Aug - Deduct 45mins O/T</t>
  </si>
  <si>
    <t>5 Aug -Deduct 15mins O/T</t>
  </si>
  <si>
    <t>72101/86442105</t>
  </si>
  <si>
    <t>6 Aug - Deduct 15mins O/T</t>
  </si>
  <si>
    <t>72101/86442112</t>
  </si>
  <si>
    <t>7/8-WIP by Jarrod</t>
  </si>
  <si>
    <t>Card/IPP</t>
  </si>
  <si>
    <t>4 Aug - 2hrs O/T More Than Comm'ns; 4/8-As per Jarrod's note "Deposit taken of $300 - setting up payment plan now"-Internal payment plan</t>
  </si>
  <si>
    <t>72098/72060</t>
  </si>
  <si>
    <t>11/8-WIP by Daniel B;8/8-WIP by Alex, Jayden;7/8-WIP by Alex &amp; Jayden;6/08-WIP by Bradley, Jarrod</t>
  </si>
  <si>
    <t>72129/72068</t>
  </si>
  <si>
    <t>07/08-WIP by Alex</t>
  </si>
  <si>
    <t>7 Aug - Deduct 15mins O/T</t>
  </si>
  <si>
    <t>11/08-WIP by Jarrod, Bradley; 09/08-WIP by Jarrod ; 8/8-WIP by Jarrod,Bradley,Daniel B &amp; Aden</t>
  </si>
  <si>
    <t>06/08-WIP by Daniel B, Aden clue ; 4/8-Job completed by Ryhs -Recamera work;29/07-WIP by Daniel B;28/07-Lily uploaded email snip of rectifications officer towards non-compliant plumbing work ;25/07-Scheduled to Daniel B;24/07-Scheduled - Rhys, Daniel B ; 23/07-WIP by Rhys, Daniel B-As per Charlie Alha's note "INSPECTION BOOKED FOR FRIDAY 25/07 @ 7AM"</t>
  </si>
  <si>
    <t>72031/86424799</t>
  </si>
  <si>
    <t>72031/86424821</t>
  </si>
  <si>
    <t>72031/86423744</t>
  </si>
  <si>
    <t>72073/72051</t>
  </si>
  <si>
    <t>11 Aug - Dispute</t>
  </si>
  <si>
    <t>72074/72064</t>
  </si>
  <si>
    <t>11 Aug - Refund - $2003.54; 7/8-Refunded $2003.54 to customer;6/8-Attended by Jarrod, Mathew H, Tolga - Customer asked for refund as he is not going forward with the job.</t>
  </si>
  <si>
    <t>Frankston North</t>
  </si>
  <si>
    <t>1.5x Bradley</t>
  </si>
  <si>
    <t>14/08 Reece - 1015178401 - Job 050002</t>
  </si>
  <si>
    <t>15/8-WIP &amp; Completed by Jarrod ; 12/8-Leak detection confirmed on 13/8</t>
  </si>
  <si>
    <t>72233/87105378</t>
  </si>
  <si>
    <t>11 Aug - 2hrs O/T More Than Comm'ns</t>
  </si>
  <si>
    <t>14/08 CB14/08</t>
  </si>
  <si>
    <t>14/8-CB attended by Jarrod - CB Issue:Sewage smell occuring - CB Outcome:Installed Aav to basin ; 12/08-WIP &amp; Completed by Jarrod, Bradley</t>
  </si>
  <si>
    <t>13 Aug - Deduct 30mins O/T</t>
  </si>
  <si>
    <t>28/8 CB28/8 16/8 CB16/8-Dispute</t>
  </si>
  <si>
    <t>72336/72361</t>
  </si>
  <si>
    <t>28/8-CB by Liam-CB reason-Called in to say still having same issue-CB outcome-Liam attended - adv issue sorted but customer still wants refund ;16/8-CB by Rhys-CB reason-Sewerage smell coming from bathroom, inside the cupboard where the HWS is in the bathroom.-CB outcome-Customer is pissed.Probably shouldn’t have quoted a ptr.It’s a clear venting issue traps are getting siphoned,Needs an Aav.</t>
  </si>
  <si>
    <t>14 Aug - 45mins O/T More Than Comm'ns; 15/8-WIP &amp; Completed by Jarrod &amp; Bradley - EFT processed for $1775.60</t>
  </si>
  <si>
    <t>No Comn'ns - 5% - Dispute</t>
  </si>
  <si>
    <t>72244/72233/87106177</t>
  </si>
  <si>
    <t>18/08-WIP by Mathew H;16/08-WIP by Alex, Jayden ; 15/8-WIP by Tolga &amp; Bradley ; 14/8-WIP by Tolga;13/8-WIP by Tolga; 12/8-WIP by Aden Clue &amp; Daniel B</t>
  </si>
  <si>
    <t>19/8-Scheduled to Jarrod;14/8-As per Jarrod's note "Materials haven’t been paid for, cannot start job. Payment getting made now over the phone. Material should arrive tomorrow"</t>
  </si>
  <si>
    <t>18/8-Scheduled to Jarrod;15/8-Scheduled for Aden ; 7/8-WIP by Jarrod</t>
  </si>
  <si>
    <t>14/8-WIP by Aden ; 13/8-WIP by Rhys;06/08-WIP by Daniel B, Aden clue ; 4/8-Job completed by Ryhs -Recamera work;29/07-WIP by Daniel B;28/07-Lily uploaded email snip of rectifications officer towards non-compliant plumbing work ;25/07-Scheduled to Daniel B;24/07-Scheduled - Rhys, Daniel B ; 23/07-WIP by Rhys, Daniel B-As per Charlie Alha's note "INSPECTION BOOKED FOR FRIDAY 25/07 @ 7AM"</t>
  </si>
  <si>
    <t>14/8-Scheduled for Jarrod &amp; Bradley ; 13/8-Scheduled for Jarrod &amp; Bradley ; 11/08-WIP by Jarrod, Bradley; 09/08-WIP by Jarrod ; 8/8-WIP by Jarrod,Bradley,Daniel B &amp; Aden</t>
  </si>
  <si>
    <t>15/8-WIP by Matthew ; 12/08-WIP by Jayden;11/08-WIP by Daniel B, Aden; 8/8-WIP by Alex, Jayden;7/8-WIP by Alex &amp; Jayden;6/08-WIP by Bradley, Jarrod</t>
  </si>
  <si>
    <t>18/8-WIP by Alex;14/8-WIP by Aden ; 13/08-WIP by Jayden ; 11/08 -Received $6695.40 EFT ;08/08 - WIP by Daniel B ; 7 Aug - Deduct 15mins O/T</t>
  </si>
  <si>
    <t>Chrirnside Park</t>
  </si>
  <si>
    <t>Balaclava</t>
  </si>
  <si>
    <t>72261/87114922</t>
  </si>
  <si>
    <t>22 Aug - Refund - $93.50</t>
  </si>
  <si>
    <t>Port Melboune</t>
  </si>
  <si>
    <t>72253/87122904</t>
  </si>
  <si>
    <t>72253/87126119</t>
  </si>
  <si>
    <t>Ferny Creek</t>
  </si>
  <si>
    <t>5% Comm'ns Paid - 15 Sept 2025</t>
  </si>
  <si>
    <t>Price Dispute</t>
  </si>
  <si>
    <t>18 Aug - 1.5hrs O/T More Than Comm'ns</t>
  </si>
  <si>
    <t>19 Aug - 1.25hrs O/T More Than Comm'ns</t>
  </si>
  <si>
    <t>20 Aug - Deduct 45mins O/T</t>
  </si>
  <si>
    <t>21/08 - COF collected exculding GST</t>
  </si>
  <si>
    <t>20/8-Received $150 by EFT &amp; job scheduled to Jarrod;19/8-Scheduled to Jarrod;18/8-Scheduled to Jarrod;15/8-Scheduled for Aden ; 7/8-WIP by Jarrod</t>
  </si>
  <si>
    <t>23/08-WIP&amp;Completed by Daniel B ; 18/8-Scheduled for Friday</t>
  </si>
  <si>
    <t>25/8-WIP by Daniel B ;  23/08-WIP by Jack, Jayden ; 22/8-WIP by Jack ; 21/8-WIP by Bradley; 20/8-WIP by Jarrod</t>
  </si>
  <si>
    <t>20 Aug - Deduct 30mins O/T; 22/8-WIP by Alex21/8-WIP by Tolga</t>
  </si>
  <si>
    <t>21/08-Attended by Elliot, Bradley ; 20/8-WIP by Mathew H &amp; Bradley;19 Aug -WIP by Liam; 19/8-Scheduled to Jarrod;14/8-As per Jarrod's note "Materials haven’t been paid for, cannot start job. Payment getting made now over the phone. Material should arrive tomorrow"</t>
  </si>
  <si>
    <t>19/8-WIP by Alex &amp; received $3000 by EFT;18/8-WIP by Alex;14/8-WIP by Aden ; 13/08-WIP by Jayden ; 11/08 -Received $6695.40 EFT ;08/08 - WIP by Daniel B ; 7 Aug - Deduct 15mins O/T</t>
  </si>
  <si>
    <t>22/08-WIP by Jarrod - EFT received of $17575.40  ; 21/8-WIP by Jack &amp; Jayden;20/08-WIP by Mathew H;19/08-WIP by Mathew H;18/08-WIP by Mathew H;16/08-WIP by Alex, Jayden ; 15/8-WIP by Tolga &amp; Bradley ; 14/8-WIP by Tolga;13/8-WIP by Tolga; 12/8-WIP by Aden Clue &amp; Daniel B</t>
  </si>
  <si>
    <t>23/08-WIP by Daniel B ; 21/8-Recamera scheduled for Jarrod - WIP by Jayden;20/8-WIP by Tolga;19/8-WIP by Tolga;15/8-WIP by Matthew ; 12/08-WIP by Jayden;11/08-WIP by Daniel B, Aden; 8/8-WIP by Alex, Jayden;7/8-WIP by Alex &amp; Jayden;6/08-WIP by Bradley, Jarrod</t>
  </si>
  <si>
    <t>Balwyn</t>
  </si>
  <si>
    <t>72445/87233941</t>
  </si>
  <si>
    <t>72445/87233970</t>
  </si>
  <si>
    <t>72517/87235746</t>
  </si>
  <si>
    <t>72517/87235764</t>
  </si>
  <si>
    <t>29 Aug - 21 Aug - Cancelled</t>
  </si>
  <si>
    <t>Oakleigh East</t>
  </si>
  <si>
    <t>29 Aug - Refund - $250</t>
  </si>
  <si>
    <t>29 Aug - Refund - $300</t>
  </si>
  <si>
    <t>27/8-Job completed by Mathew H;26/8-WIP by Jarrod &amp; Alex</t>
  </si>
  <si>
    <t>28/8-Job completed by Mathew H;27/8-WIP by Jarrod</t>
  </si>
  <si>
    <t>5 Sept - Refund - $74.1; 1/9-Refund of $74.91 provided to customer;28/8-Customer asked for 10% pensioner discount.</t>
  </si>
  <si>
    <t>CB28/8</t>
  </si>
  <si>
    <t>72722/72764</t>
  </si>
  <si>
    <t>28/8-Job completed by Aden-Aden to re-attend as sink is still leaking</t>
  </si>
  <si>
    <t>15/10 CB15/10 10/9 CB10/9</t>
  </si>
  <si>
    <t>15/10-CB by Riley-CB reason-Still leaking-CB outcome-Replaced isolation valves as customer request and tighten up all joins;10/9-CB by Bradley-CB reason- Customer said the pipe underneath basin is still leaking.-CB outcome-Faulty mixer, replaced with new one</t>
  </si>
  <si>
    <t>28 Aug - Paying 30mins O/T</t>
  </si>
  <si>
    <t>Gardenvale</t>
  </si>
  <si>
    <t xml:space="preserve">1/9-Temp check scheduled;28/8-Tolga at site.No answer from customer;27/8-Temp check rebooked for 28/8;26/8-Temp check rebooked for Wednesday;25/8-WIP by Jarrod,Tolga &amp; Aden </t>
  </si>
  <si>
    <t>26 Aug - Deduct 45mins O/T; 27/8-Leak detection scheduled for 9/9</t>
  </si>
  <si>
    <t>5% 18/9 CB18/9</t>
  </si>
  <si>
    <t>18/9-CB by Ben-CB reason-Laundry sink flexi hose leaking-CB outcome-retighten fitting;1/9-WIP by Alex &amp; Riley</t>
  </si>
  <si>
    <t>28/8-Job report sent to customer;27/8-Customer needs job report</t>
  </si>
  <si>
    <t>26/8-WIP by Jarrod;21/08-Attended by Elliot, Bradley ; 20/8-WIP by Mathew H &amp; Bradley;19 Aug -WIP by Liam; 19/8-Scheduled to Jarrod;14/8-As per Jarrod's note "Materials haven’t been paid for, cannot start job. Payment getting made now over the phone. Material should arrive tomorrow"</t>
  </si>
  <si>
    <t>5% - 25 Aug</t>
  </si>
  <si>
    <t>25/8-Job completed by Daniel B &amp; received $1500 by EFT;19/8-WIP by Alex &amp; received $3000 by EFT;18/8-WIP by Alex;14/8-WIP by Aden ; 13/08-WIP by Jayden ; 11/08 -Received $6695.40 EFT ;08/08 - WIP by Daniel B ; 7 Aug - Deduct 15mins O/T</t>
  </si>
  <si>
    <t>27/8-Job completed by Tolga;26/8-WIP by Tolga &amp; Alex;25/8-WIP by Jarrod;23/08-WIP by Daniel B ; 21/8-Recamera scheduled for Jarrod - WIP by Jayden;20/8-WIP by Tolga;19/8-WIP by Tolga;15/8-WIP by Matthew ; 12/08-WIP by Jayden;11/08-WIP by Daniel B, Aden; 8/8-WIP by Alex, Jayden;7/8-WIP by Alex &amp; Jayden;6/08-WIP by Bradley, Jarrod</t>
  </si>
  <si>
    <t>5% - 29 Aug</t>
  </si>
  <si>
    <t>29/8-Job completed by Jarrod &amp; received $1747.10 by SMartpay</t>
  </si>
  <si>
    <t>20 Aug - Deduct 30mins O/T; 25/8-WIP by Tolga-Email received to stop the works from Law firm;22/8-WIP by Alex21/8-WIP by Tolga</t>
  </si>
  <si>
    <t>1/9-WIP by Tolga;28/8-WIP by Tolga;27/8-WIP by Riley &amp; Jayden;26/8-WIP by Daniel B &amp; received $5000 by Smartpay ;25/8-WIP by Daniel B ;  23/08-WIP by Jack, Jayden ; 22/8-WIP by Jack ; 21/8-WIP by Bradley; 20/8-WIP by Jarrod</t>
  </si>
  <si>
    <t>29 Aug - Refund - $600; 27/8-Refunded $600 to customer;26/8-As per Caitlin's note "requested to cancel as believes she's been overcharged"-WIP by Jarrod &amp; Jack M</t>
  </si>
  <si>
    <t>72643/87294273</t>
  </si>
  <si>
    <t>72643/87294489</t>
  </si>
  <si>
    <t>72666/87294656</t>
  </si>
  <si>
    <t>72666/87294663</t>
  </si>
  <si>
    <t>3/9 - Reece - 1015731726 - Job 050002 (70580)</t>
  </si>
  <si>
    <t>22/9 CB22/9</t>
  </si>
  <si>
    <t>22/9-CB by Jayden-CB reason-tap is wiggling around not secured properly-CB outcome-Issue fixed</t>
  </si>
  <si>
    <t>72849/87375039</t>
  </si>
  <si>
    <t>5/9-Search &amp; Investigation job waived &amp; form uploaded</t>
  </si>
  <si>
    <t>72849/87374962</t>
  </si>
  <si>
    <t>2/9-Job completed by Tolga &amp; WIP by Rylee Wilson</t>
  </si>
  <si>
    <t>72886/87391776</t>
  </si>
  <si>
    <t>72886/87392395</t>
  </si>
  <si>
    <t>2 Sept - Deduct 30mins</t>
  </si>
  <si>
    <t>4/9-GST to be added to sub-total value &amp; balance $168.10 to be collected.</t>
  </si>
  <si>
    <t>3 Sept - Deduct 45mins O/T;10/-Scheduled to Jarrod; 5/9-Job completed by Jayden &amp; received $6601.90 by EFT-Customer requested for Job findings;4/9-WIP by Alex &amp; Jayden;3/9-WIP by Jarrod</t>
  </si>
  <si>
    <t>5/9-Job completed but status not updated by plumber/installer.-As per Zachias's note "Customer called, asking what the weekly payment rate for his zip plan is, will talk with accounts and call back Monday"</t>
  </si>
  <si>
    <t>8/9-Job completed by Jarrod &amp; Harrison-Received $1797.10 by Podium;4/9-Leak detection scheduled for 8/9</t>
  </si>
  <si>
    <t>5/9-Scheduled to Jarrod on 9/9</t>
  </si>
  <si>
    <t>73038/73036</t>
  </si>
  <si>
    <t>8/9-Job completed by Tolga by performing temp check &amp; picking old HWS;5/9-WIP by Tolga &amp; Rylee</t>
  </si>
  <si>
    <t>5/9-Jarrod at customer's home.No answer from customer;17/07-Job completed by Francesco &amp; Jarrod</t>
  </si>
  <si>
    <t>3/9-Job completed by Alex &amp; received $200 by Smartpay;2/9-WIP by Aden &amp; Mathew H-EFT of $6645.4 initiated;1/9-WIP by Alex &amp; Riley</t>
  </si>
  <si>
    <t>8/9-Scheduled to Jayden;3/9-Job completed by Jayden;2/9-WIP by Jayden;1/9-WIP by Tolga;28/8-WIP by Tolga;27/8-WIP by Riley &amp; Jayden;26/8-WIP by Daniel B &amp; received $5000 by Smartpay ;25/8-WIP by Daniel B ;  23/08-WIP by Jack, Jayden ; 22/8-WIP by Jack ; 21/8-WIP by Bradley; 20/8-WIP by Jarrod</t>
  </si>
  <si>
    <t>5 Sept - Refund - $435; 2/9-COF retained &amp; balance of $435 refunded to customer due to job cancelled</t>
  </si>
  <si>
    <t>72862/72861</t>
  </si>
  <si>
    <t>2/9-Refunded $2158 to customer</t>
  </si>
  <si>
    <t>72808/87409623</t>
  </si>
  <si>
    <t>Templestowe Lower</t>
  </si>
  <si>
    <t>72808/87412717</t>
  </si>
  <si>
    <t>Lilydale</t>
  </si>
  <si>
    <t>5/9-Customer called to cancel the job-Refunding $7150.40 to customer</t>
  </si>
  <si>
    <t>0.5x Harrison;1x Elliot</t>
  </si>
  <si>
    <t>10/9 - Bunnings - 6299/00750363 - Job 050002</t>
  </si>
  <si>
    <t>12/9 - Bunnings - 6042/01655453 - Job 050002</t>
  </si>
  <si>
    <t>15 Sept - JLS - Job #72950</t>
  </si>
  <si>
    <t>73121/73119/87457742</t>
  </si>
  <si>
    <t>18/9-Temp check done &amp; Job completed by Jarrod-2x 5 star rating from Trust Pliot &amp; Product review received by Jarrod;10 Sept - Zip P/P; 12/9-Temp check scheduled for Jarrod;11/9-WIP by Mathew H;10/9-WIP by Mathew H-ZIP payment disbursed-PP settled</t>
  </si>
  <si>
    <t>73120/73675</t>
  </si>
  <si>
    <t>25/9-CB by Jayden-CB reason-water is once again pooling on the top of ground in front yard-CB outcome-Did a pressure test on the water line no leak, customers not home need to inform them its residual water or more than likely water from the rain we had in vic yesterday;10/9-Job completed by Alex</t>
  </si>
  <si>
    <t>Oakleigh</t>
  </si>
  <si>
    <t>11/9-Job completed by Elliot by performing temp check;10/9-WIP by Tolga-EFT of $5205.86 initiated</t>
  </si>
  <si>
    <t>73221/73191/87489105</t>
  </si>
  <si>
    <t>12/9-Job completed by Jarrod-Temp check performed;11/9-WIP by Jarrod &amp; Matthew H &amp; EFT of $5755.86 initiated</t>
  </si>
  <si>
    <t>5% - 12 Sept</t>
  </si>
  <si>
    <t>12/9-Received $1926.47 by Smartpay;5/9-Jarrod at customer's home.No answer from customer;17/07-Job completed by Francesco &amp; Jarrod</t>
  </si>
  <si>
    <t>9 Sept - Zip P/P; 8/9-Job completed by Tolga by performing temp check &amp; picking old HWS-PP of $6920.58 settled (ZIP);5/9-WIP by Tolga &amp; Rylee</t>
  </si>
  <si>
    <t>9/9-Received $1797.10 by Smartpay-Job completed by Jarrod</t>
  </si>
  <si>
    <t>9/9-Received $1337.10 by Smartpay by Jarrod;5/9-Scheduled to Jarrod on 9/9</t>
  </si>
  <si>
    <t>10% - Dispute-19/9 CB19/9</t>
  </si>
  <si>
    <t>19/9-CB by Elliot-CB reason-System feel out of the wall when she flushed the toilet -wants to replace the toilet-CB outcome-CB completed;8/9-Job completed by Jarrod &amp; Harrison &amp; WIP by Tolga,Jack &amp; Rylee</t>
  </si>
  <si>
    <t>9/9-WIP by Jarrod &amp; Matthew</t>
  </si>
  <si>
    <t>15/9-WIP by Will D;12/9-WIP by Bradley &amp; Jayden;10/9-Received $14187.86 by EFT;8/9-Scheduled to Jayden;3/9-Job completed by Jayden;2/9-WIP by Jayden;1/9-WIP by Tolga;28/8-WIP by Tolga;27/8-WIP by Riley &amp; Jayden;26/8-WIP by Daniel B &amp; received $5000 by Smartpay ;25/8-WIP by Daniel B ;  23/08-WIP by Jack, Jayden ; 22/8-WIP by Jack ; 21/8-WIP by Bradley; 20/8-WIP by Jarrod</t>
  </si>
  <si>
    <t>26 Aug - Deduct 45mins O/T; 10/9-Scheduled to Jarrod for Leak tech;27/8-Leak detection scheduled for 9/9</t>
  </si>
  <si>
    <t>73100/73082/87449862</t>
  </si>
  <si>
    <t>9/9-Customer signed T &amp; C's;8/9-Customer called to cancel the job-WIP by Jarrod,Harrison &amp; Alex</t>
  </si>
  <si>
    <t>73221/87497373</t>
  </si>
  <si>
    <t>Beaconsfield Upper</t>
  </si>
  <si>
    <t>18/9 - Reece - 1016156692 - Job #00000</t>
  </si>
  <si>
    <t>73309/73263/87544778</t>
  </si>
  <si>
    <t>19/9-Job completed by performing temp check. Pic uploaded by office person Ghadeer Khalil;16/9-WIP by Jarrod,Rylee &amp; Daniel M</t>
  </si>
  <si>
    <t>73325/73585</t>
  </si>
  <si>
    <t>25/9-CB by Riley-CB reason-toilet seat wasnt reattached 
-CB outcome-Toilet seat left loose and ordered new one required new seat
Mounts for seat are wrong and Reece or Bunnings don’t have ones that fit
Told client still able to use</t>
  </si>
  <si>
    <t>24/9 CB24/9</t>
  </si>
  <si>
    <t>73411/73569</t>
  </si>
  <si>
    <t>24/9-CB by Will Dower-Cb reason-gas isnt working after our call out-CB outcome-Not a warranty call, just moved in and gas cock under be ch was isolated. Nothing to do with previous work.;19/9-5 star rating-2 nos obtained-Trust pilot &amp; Product review.-Review pic uploaded on 22/9</t>
  </si>
  <si>
    <t>73381/73363/87575109</t>
  </si>
  <si>
    <t>18/9-Matthew to collect payment;17/9-WIP by Matthew &amp; Jarrod</t>
  </si>
  <si>
    <t>5% - 22 Sept</t>
  </si>
  <si>
    <t>73457/73411/87596170</t>
  </si>
  <si>
    <t>22/9-Temp check &amp; job completed by Will Dower-Balance $200 received by Smartpay;19/9-WIP by Jarrod &amp; Will Dower</t>
  </si>
  <si>
    <t>16/9-WIP by Daniel B;15/9-WIP by Daniel B</t>
  </si>
  <si>
    <t>8/9-Job completed by Jarrod &amp; Harrison &amp; WIP by Tolga,Jack &amp; Rylee</t>
  </si>
  <si>
    <t>73443/73435/87592675</t>
  </si>
  <si>
    <t>73461/73457/87597438</t>
  </si>
  <si>
    <t>1 Oct - 5% will be paid out upon Completion of Job 73527 &amp;  Achieving 5 x 5 Star Reviews</t>
  </si>
  <si>
    <t>10% Comm'ns Paid - 22 Oct 2025</t>
  </si>
  <si>
    <t>24/9 - Bunnings - 6411/01293702  - Job 73585 (Job 73325)</t>
  </si>
  <si>
    <t>22/9-Job completed by Riley &amp; Eric and WIP by Jarrod</t>
  </si>
  <si>
    <t>23/9-Job completed by Rylee &amp; WIP by Jarrod</t>
  </si>
  <si>
    <t>23/9-Job completed by Bradley &amp; WIP by Jarrod</t>
  </si>
  <si>
    <t>24/9-Job completed by Matthew &amp; WIP by Jarrod</t>
  </si>
  <si>
    <t>1/10-Received $3017.70 by Podium;24/9-Job completed by Will Dower;23/9-WIP by Jarrod;22/9-WIP by Jarrod &amp; Will Dower</t>
  </si>
  <si>
    <t>5% - 23 Sept</t>
  </si>
  <si>
    <t>25/9-Scheduled to Bradley to collect payment;26/8-WIP by Jarrod;21/08-Attended by Elliot, Bradley ; 20/8-WIP by Mathew H &amp; Bradley;19 Aug -WIP by Liam; 19/8-Scheduled to Jarrod;14/8-As per Jarrod's note "Materials haven’t been paid for, cannot start job. Payment getting made now over the phone. Material should arrive tomorrow"</t>
  </si>
  <si>
    <t>5% - 25 Sept</t>
  </si>
  <si>
    <t>25/9-WIP by Jayden;23/9-WIP by Daniel,Riley &amp; Eric;15/9-WIP by Will D;12/9-WIP by Bradley &amp; Jayden;10/9-Received $14187.86 by EFT;8/9-Scheduled to Jayden;3/9-Job completed by Jayden;2/9-WIP by Jayden;1/9-WIP by Tolga;28/8-WIP by Tolga;27/8-WIP by Riley &amp; Jayden;26/8-WIP by Daniel B &amp; received $5000 by Smartpay ;25/8-WIP by Daniel B ;  23/08-WIP by Jack, Jayden ; 22/8-WIP by Jack ; 21/8-WIP by Bradley; 20/8-WIP by Jarrod</t>
  </si>
  <si>
    <t>73628/73509/87646600</t>
  </si>
  <si>
    <t>9 Oct - 10% will be paid out when Cash is Banked</t>
  </si>
  <si>
    <t>10% Comm'ns Paid - 15 Oct</t>
  </si>
  <si>
    <t>2/10 - Reece - 1016555200 - Job 050002</t>
  </si>
  <si>
    <t>7/10 - Reece - 1016646135 - Job 000000</t>
  </si>
  <si>
    <t>7/10-Scheduled to Jarrod to forward findings;3/10-Customer emailed again requesting for any update in root plumbing inspection report.</t>
  </si>
  <si>
    <t>Hampton East</t>
  </si>
  <si>
    <t>Aftercare call 5 stars</t>
  </si>
  <si>
    <t>1/10-Job completed by Aden &amp; WIP by Jack;30/9-WIP by Aden &amp; Jarrod</t>
  </si>
  <si>
    <t>30/10-Elliot called customer.No response;29/10-Elliot at site-Called 3x-No response from customer;14/10-Customer gave 1 star rating</t>
  </si>
  <si>
    <t>6/10-5 star rating obtained by Jarrod</t>
  </si>
  <si>
    <t>9/10 CB9/10 7/10 CB7/10</t>
  </si>
  <si>
    <t>9/10-CB by Matthew-CB reason-Trap has a minor leak-CB outcome-Tightened it everywhere and tested it. She was happy and pleasant;7/10-CB by Matthew-CB reason-Tap still leaking-CB outcome-Fixed leak tested and uploaded video, she was happy tried to get a review but the code wouldn’t come up in her email;3/10-Job completed by Jayden;2/10-Scheduled to 6/10</t>
  </si>
  <si>
    <t>2/10-Job completed by Alex &amp; WIP by Jarrod</t>
  </si>
  <si>
    <t>7/10-5 star rating obtained by Jarrod-6/10-Scheduled to Jarrod</t>
  </si>
  <si>
    <t>6/10-Scheduled to Jarrod;3/10-Job completed by Matthew &amp; Jarrod</t>
  </si>
  <si>
    <t>6 Oct - Poor Workmanship's as per Ghadeer's Notations - Not Paying Commissions; 22/10-1 star review-Jarrod cleared the issue-Customer wants $4000 refund-Raised dispute again;10/10-Matthew at site;7/10-Refund of $111.79 provided to customer;6/10-Temp check performed &amp; Job completed by Matthew;3/10-WIP by Aden,Matthew &amp; Jarrod</t>
  </si>
  <si>
    <t>CURRENT JOB COMPLETED (AWAITING PAYMENT)</t>
  </si>
  <si>
    <t>1/10-Scheduled to Rhys to collect payment;14/8-WIP by Aden ; 13/8-WIP by Rhys;06/08-WIP by Daniel B, Aden clue ; 4/8-Job completed by Ryhs -Recamera work;29/07-WIP by Daniel B;28/07-Lily uploaded email snip of rectifications officer towards non-compliant plumbing work ;25/07-Scheduled to Daniel B;24/07-Scheduled - Rhys, Daniel B ; 23/07-WIP by Rhys, Daniel B-As per Charlie Alha's note "INSPECTION BOOKED FOR FRIDAY 25/07 @ 7AM"</t>
  </si>
  <si>
    <t>5% - 29 Sept</t>
  </si>
  <si>
    <t xml:space="preserve">3/10-Jarrod to collect payment;1/9-Temp check scheduled;28/8-Tolga at site.No answer from customer;27/8-Temp check rebooked for 28/8;26/8-Temp check rebooked for Wednesday;25/8-WIP by Jarrod,Tolga &amp; Aden </t>
  </si>
  <si>
    <t>73750/73726/87709639</t>
  </si>
  <si>
    <t>73916/73868/87759456</t>
  </si>
  <si>
    <t>73928/73870/87763939</t>
  </si>
  <si>
    <t>73948/87787706</t>
  </si>
  <si>
    <t>3/10-Refunded $239.50 to customer-Customer called to cancel job</t>
  </si>
  <si>
    <t>1x Will Dower</t>
  </si>
  <si>
    <t>15 Oct - 10% will be paid out upon Completion of Job #74323</t>
  </si>
  <si>
    <t>8/10 - Reece - 1016675771 - Job 050002</t>
  </si>
  <si>
    <t>13/10 - Reece - 1016820504- Job 000000</t>
  </si>
  <si>
    <t>14/10 - Reece - 1016843281 - Job 000000 (Stock)</t>
  </si>
  <si>
    <t>8/10-Job completed by Jarrod</t>
  </si>
  <si>
    <t>Albert Park</t>
  </si>
  <si>
    <t>74285/74274/87900267</t>
  </si>
  <si>
    <t>5% - 5 Sept - Paid Dispute</t>
  </si>
  <si>
    <t>74139/74056/87846385</t>
  </si>
  <si>
    <t>7/10-Waiting for Tiler</t>
  </si>
  <si>
    <t>18/10-Tiler booked for midday</t>
  </si>
  <si>
    <t>29/10-Job completed by Daniel &amp; EFT of $1128.25 initiated;28/10-WIP by Jarrod;27/10-WIP by Daniel-EFT of $3000 received;25/10-WIP by Daniel;22/10-Scheduled for Jarrod;16/10-WIP by Alex;15/10-WIP by Aden;14/10-WIP by Aden &amp; Eric;13/10-WIP by Aden;11/10-WIP by Will Dower;10/10-WIP by Jarrod &amp; Eric</t>
  </si>
  <si>
    <t xml:space="preserve">13/10-WIP by Rylee;10/10-WIP by Jarrod </t>
  </si>
  <si>
    <t>74291/87926091</t>
  </si>
  <si>
    <t>11/10-Customer not going ahead with job</t>
  </si>
  <si>
    <t>74291/87926257</t>
  </si>
  <si>
    <t>10% Comm'ns W/E - 28th Sept</t>
  </si>
  <si>
    <t>17/10 - Reece - 1016967596 - Job 050002</t>
  </si>
  <si>
    <t>13/10-WIP by Jarrod &amp; Daniel</t>
  </si>
  <si>
    <t>13/10-WIP by Jarrod-Need to come back-Scheduled to Rhys</t>
  </si>
  <si>
    <t>Carrum</t>
  </si>
  <si>
    <t>Baxter</t>
  </si>
  <si>
    <t>74567/74517/88010527</t>
  </si>
  <si>
    <t>17/10-Job completed by Daniel;16/10-WIP by Aden &amp; Jarrod</t>
  </si>
  <si>
    <t>74563/88035733</t>
  </si>
  <si>
    <t>17/10-Job completed by Tolga &amp; Elliot</t>
  </si>
  <si>
    <t>74563/88035993</t>
  </si>
  <si>
    <t>74563/88035769</t>
  </si>
  <si>
    <t>10% - 13 Oct</t>
  </si>
  <si>
    <t xml:space="preserve">13 Oct - Job Completed by Rylee; 13/10-WIP by Rylee;10/10-WIP by Jarrod </t>
  </si>
  <si>
    <t>10% - 14 Oct</t>
  </si>
  <si>
    <t>14 Nov - Job Completed by Nicholas</t>
  </si>
  <si>
    <t>74428/74349/87949999</t>
  </si>
  <si>
    <t>16/10-Job completed by Tolga;15/10-WIP by Jarrod &amp; Tolga;14/10-WIP by Jarrod &amp; Tolga;13/10-WIP by Jarrod</t>
  </si>
  <si>
    <t>14/10-Job completed by Daniel &amp; WIP by Jarrod</t>
  </si>
  <si>
    <t>74429/74346/87946252</t>
  </si>
  <si>
    <t>15/10-WIP by Alex;14/10-WIP by Matthew</t>
  </si>
  <si>
    <t>74380/74468/87968264</t>
  </si>
  <si>
    <t>24/10-Shower reseal booked for contractor;14/10-WIP by Jarrod</t>
  </si>
  <si>
    <t>20/10-WIP by Tolga &amp; Aden;18/10-WIP by Elliot;17/10-WIP by Tolga;16/10-WIP by Tolga;15/10-WIP by Jarrod</t>
  </si>
  <si>
    <t>15/10-Refund of $170 provided to customer</t>
  </si>
  <si>
    <t>74465/87990011</t>
  </si>
  <si>
    <t>74465/87983399</t>
  </si>
  <si>
    <t>29 Oct - 10% will be paid out upon Completion of Jobs #74781 #74780 &amp; Achieving 5 x 5 Star Reviews</t>
  </si>
  <si>
    <t>22/10 - Reece - 1017097833 - Job 050002</t>
  </si>
  <si>
    <t>28/10 - Bunnings - 6042/01687314 - Job 050002</t>
  </si>
  <si>
    <t>74683/74605/88934965</t>
  </si>
  <si>
    <t>21/10-Job completed by Tolga</t>
  </si>
  <si>
    <t>27/10-As per Jarrod's note "Spoke to supervisor not sending quote over";21/10-Job completed by Aden &amp; WIP by Jarrod</t>
  </si>
  <si>
    <t>27/10 CB27/10</t>
  </si>
  <si>
    <t>74555/74785</t>
  </si>
  <si>
    <t>27/10-CB by Riley-CB reason-mixer is spurting water like washer is loose-CB outcome-Come for warranty call back grub screw in kitchen mixer was loose causing water to spray out back
Also flexy hoses were inverted hot was on cold causing no hot water to come through
She also asked about low shower head pressure and provided complimentary clean of the inside and removed water saver;22/10-Job completed by Eric &amp; WIP by Tolga,Nicholas &amp; Jarrod</t>
  </si>
  <si>
    <t>74781/74742/88971010</t>
  </si>
  <si>
    <t>23/10-Job completed by Jack &amp; WIP by Jarrod &amp; Tolga</t>
  </si>
  <si>
    <t>23/10-Job completed by Jarrod &amp; Tolga</t>
  </si>
  <si>
    <t>10% - 21 Oct</t>
  </si>
  <si>
    <t>21/10-Job completed by Tolga &amp; received $1231.86 by Smartpay;20/10-WIP by Matthew &amp; received $4000 by Smartpay;;15/10-WIP by Alex;14/10-WIP by Matthew</t>
  </si>
  <si>
    <t>74600/88924469</t>
  </si>
  <si>
    <t>74600/88924356</t>
  </si>
  <si>
    <t>74663/74617/88926230</t>
  </si>
  <si>
    <t>24/10-Job tagged as "Unsuccessful" by Maddison Thomas;22/10-Waiting for confirmation from client</t>
  </si>
  <si>
    <t>74503/88937292</t>
  </si>
  <si>
    <t>74503/88937227</t>
  </si>
  <si>
    <t>74676/88942511</t>
  </si>
  <si>
    <t>23/10-Leaktech booked</t>
  </si>
  <si>
    <t>23/10-Refund of $200 provided to customer</t>
  </si>
  <si>
    <t>74731/88969398</t>
  </si>
  <si>
    <t>74731/88969545</t>
  </si>
  <si>
    <t>74808/74789/88974970</t>
  </si>
  <si>
    <t>24/10-Customer wants to cancel the job;23/10-WIP by Nicholas;22/10-WIP by Nicholas</t>
  </si>
  <si>
    <t>Beaconsfiels</t>
  </si>
  <si>
    <t>27/10-As per Peter's note "Cust called to say issue has been sorted so we no longer need to go out. Advised i will let plumber know.";24/10-As per Amalia Dos's note "Cust called wanting to cancel job because the problem had resolved itself, advised to keep booking in case problem would return
Advised plumber will call her regarding cancelation"</t>
  </si>
  <si>
    <t>74829/88992610</t>
  </si>
  <si>
    <t>74829/88992398</t>
  </si>
  <si>
    <t>0.5x Aden &amp; Will Dower</t>
  </si>
  <si>
    <t>10% Comm'ns W/E - 12th Oct</t>
  </si>
  <si>
    <t>5% Comm'ns W/E - 26th Oct</t>
  </si>
  <si>
    <t>29/10 - Reece - 1017305104 - Job 050002</t>
  </si>
  <si>
    <t>1/11 - Reece - CN 825311219 - Job 72473</t>
  </si>
  <si>
    <t>3/11 - Reece - 1017453226 - Job 050002</t>
  </si>
  <si>
    <t>30/10-Leak detection booked</t>
  </si>
  <si>
    <t>30/10-Job completed by Jarrod;29/10-WIP by Aden,Will Dower &amp; Jarrod</t>
  </si>
  <si>
    <t>29/10-Job completed by Rylee &amp; WIP by Tolga &amp; Jarrod</t>
  </si>
  <si>
    <t>Croydon</t>
  </si>
  <si>
    <t>74949/74890/89057531</t>
  </si>
  <si>
    <t>30/10-Temp check performed &amp; job completed by Will Dower;29/10-WIP by Daniel &amp; Jarrod</t>
  </si>
  <si>
    <t>29/10-Job completed by Jarrod &amp; WIP by Jack</t>
  </si>
  <si>
    <t>30/10-Job completed by Tolga,Rylee &amp; Jack and WIP by Jarrod-EFT of $8555.10 initiated-Office to upload acknowledgement snip</t>
  </si>
  <si>
    <t>5%-Fully paid</t>
  </si>
  <si>
    <t>31/10-EFT of $4889 initiated;30/10-Scheduled for 6th November;27/10-WIP by Jarrod,Junior &amp; Tolga-As per Maddison's note "SINK ORDERED- ETA TUESDAY 4TH NOV"</t>
  </si>
  <si>
    <t>74878/89041576</t>
  </si>
  <si>
    <t>74988/74926/89061750</t>
  </si>
  <si>
    <t>31/10-Customer wants to cancel the job-wants $1016.50 refund;30/10-Customer gave approval to go ahead with works-WIP by Jarrod</t>
  </si>
  <si>
    <t>74883/89089350</t>
  </si>
  <si>
    <t>75024/89121808</t>
  </si>
  <si>
    <t>75108/75070/89146119</t>
  </si>
  <si>
    <t>3/11-WIP by Rylee &amp; Tolga</t>
  </si>
  <si>
    <t>26 Jun - Fresh Screens - Job 70764</t>
  </si>
  <si>
    <t>30 Jun - Job 71051</t>
  </si>
  <si>
    <t>25/06 - WIP &amp; Completed by Jack M;  24/06 - EFT processed for $400</t>
  </si>
  <si>
    <t>24 Jun - Paying 30mins O/T</t>
  </si>
  <si>
    <t>24 Jun - Paying 1.25hr O/T</t>
  </si>
  <si>
    <t>01/07 - Scheduled to Liam ; 30/06 - Schuduled for Shaun ; 25/06 - EFT Received  $529.10</t>
  </si>
  <si>
    <t>26/06 - WIP&amp;Completed by Liam ,Matthew H, EFT  Received  $240,$2247.10</t>
  </si>
  <si>
    <t>26 Jun - Paying 30mins O/T; 26/06 - EFT Received $529.10</t>
  </si>
  <si>
    <t>27/06 - WIP&amp;Completed by Liam, Matthew H - EFT processed for $2789.10</t>
  </si>
  <si>
    <t>5% - 24 June</t>
  </si>
  <si>
    <t>70798/85819651</t>
  </si>
  <si>
    <t>23 Jun - Completed by Jarrod , Liam ; 20/06 - WIP by Jarrod ; 19/06 - WIP by Jarrod, Alex;   18/06 - WIP by Jarrod , Shaun , 17/06 - WIP by Alex ; 16/06 WIP by Alex,Liam</t>
  </si>
  <si>
    <t>5% - 30 Jun - Cancelled</t>
  </si>
  <si>
    <t>70839/85864870</t>
  </si>
  <si>
    <t>Hadfield</t>
  </si>
  <si>
    <t xml:space="preserve">21/06 - WIP&amp;Completed by Daniel B ; 20/06 - WIP by Alex , Liam  </t>
  </si>
  <si>
    <t>07/07 - Cash Deposit Receipt uploaded for $600 ;  27 Jun - Deduct 1.25hrs O/T; 30/06 - WIP &amp; Completed  by  Daniel B , Liam  ; 27/06 - WIP by Matthew H ,Liam</t>
  </si>
  <si>
    <t>70547/85680627</t>
  </si>
  <si>
    <t>20/06 - WIP by Alex, Daniel B ; 19/06 - WIP by Daniel B ; 17/06 - WIP by Daniel B;   16/06 - WIP by Daniel B , Alex;  13/06 - WIP by Daniel; 12/06 - WIP by Daniel B. EFT processed for $3000; 11/06 - WIP by Daniel B; 10/06 - WIP by Daniel B, Matthew . EFT Amount recevied $3000; 06/06 - WIP by DanielB, Alex; 05/06 - WIP by Tolga, DanielB , Alex,Liam; 04/06-WIP by Liam,Ben,Jarrod,Tolga,Alex. Card payment recieved $1800</t>
  </si>
  <si>
    <t>70547/85703766</t>
  </si>
  <si>
    <t>20/06 - WIP by Alex, Daniel B ; 19/06 - WIP by Daniel B ; 17/06 - WIP by Daniel B  EFT processed for $5000 ; 16/06 - WIP by Daniel B , Alex EFT processed for $3000; 13/06 - WIP by Daniel; 12/06 - WIP by Daniel B; 11/06 - WIP by Daniel B; 10/06 - WIP by Daniel B, Matthew; 06/06 - WIP by DanielB, Alex; 05/06 - WIP by Tolga, DanielB , Alex,Liam</t>
  </si>
  <si>
    <t>70685/85790827</t>
  </si>
  <si>
    <t>25 Jun Refunded $610.  23/06 -  Cash of $2000 Deposited By Liam ; 19/06-Attended by Liam - Received $610 Cash</t>
  </si>
  <si>
    <t>Templestove  Lower</t>
  </si>
  <si>
    <t>24/06 - COF collected Not avilable in Invoice tab</t>
  </si>
  <si>
    <t>70981/85896172</t>
  </si>
  <si>
    <t>70983/85898866</t>
  </si>
  <si>
    <t>Waverley</t>
  </si>
  <si>
    <t>70978/85900928</t>
  </si>
  <si>
    <t>71046/85945280</t>
  </si>
  <si>
    <t>71046/85946904</t>
  </si>
  <si>
    <t>71072/85947863</t>
  </si>
  <si>
    <t>71072/85948524</t>
  </si>
  <si>
    <t>Customer tested and happy job complete didn't have time for a review</t>
  </si>
  <si>
    <t>01/07 Reimbursed $44.00 EFT receipt uploaded ; .30/06 - WIP by Tolga , Liam</t>
  </si>
  <si>
    <t>Check for Refund</t>
  </si>
  <si>
    <t>1/7 - WIP by Tolga</t>
  </si>
  <si>
    <t>Collingwood</t>
  </si>
  <si>
    <t>1/7- $2595.10 EFT Received $2595.10 , WIP By Daniel B</t>
  </si>
  <si>
    <t>71160/85992824</t>
  </si>
  <si>
    <t>71161/86000907</t>
  </si>
  <si>
    <t xml:space="preserve">09/07 - Scheduled for Liam ; 04/07 WIP by Liam </t>
  </si>
  <si>
    <t>Buleen</t>
  </si>
  <si>
    <t>3 Jul - Paying 2hrs O/T</t>
  </si>
  <si>
    <t>4 Jul - 45mins O/T More Than Comm'ns</t>
  </si>
  <si>
    <t>71161/86001269</t>
  </si>
  <si>
    <t>03/07 - WIP&amp;Completed by Daniel B - Received $600 Card</t>
  </si>
  <si>
    <t>71173/86008349</t>
  </si>
  <si>
    <t>2/7- $1849.10 EFT Processed</t>
  </si>
  <si>
    <t>71190/71173/86009329</t>
  </si>
  <si>
    <t xml:space="preserve">07/07 - WIP by Jarrod  ; 04/07 - WIP by Jarrod ; 03/07 - WIP by Jarrod  2/7- $1600 , $1849.10 EFT Received </t>
  </si>
  <si>
    <t>02/07- WIP By Alex &amp; Daniel B; 20/06 - WIP by Alex, Daniel B ; 19/06 - WIP by Daniel B ; 17/06 - WIP by Daniel B;   16/06 - WIP by Daniel B , Alex;  13/06 - WIP by Daniel; 12/06 - WIP by Daniel B. EFT processed for $3000; 11/06 - WIP by Daniel B; 10/06 - WIP by Daniel B, Matthew . EFT Amount recevied $3000; 06/06 - WIP by DanielB, Alex; 05/06 - WIP by Tolga, DanielB , Alex,Liam; 04/06-WIP by Liam,Ben,Jarrod,Tolga,Alex. Card payment recieved $1800</t>
  </si>
  <si>
    <t>02/07- WIP By Alex &amp; Daniel B;20/06 - WIP by Alex, Daniel B ; 19/06 - WIP by Daniel B ; 17/06 - WIP by Daniel B  EFT processed for $5000 ; 16/06 - WIP by Daniel B , Alex EFT processed for $3000; 13/06 - WIP by Daniel; 12/06 - WIP by Daniel B; 11/06 - WIP by Daniel B; 10/06 - WIP by Daniel B, Matthew; 06/06 - WIP by DanielB, Alex; 05/06 - WIP by Tolga, DanielB , Alex,Liam</t>
  </si>
  <si>
    <t>71093/85965291</t>
  </si>
  <si>
    <t>Williamstown</t>
  </si>
  <si>
    <t>71160/85995803</t>
  </si>
  <si>
    <t>71182/86041120</t>
  </si>
  <si>
    <t>Saint Kilda</t>
  </si>
  <si>
    <t>4 Jul - Cancelled</t>
  </si>
  <si>
    <t>71225/71213</t>
  </si>
  <si>
    <t xml:space="preserve">4 Jul - Refund $1700 - Job Cancelled </t>
  </si>
  <si>
    <t>Bullen</t>
  </si>
  <si>
    <t>04/07 - Refund of 101.75 Initiated</t>
  </si>
  <si>
    <t>71211/86044406</t>
  </si>
  <si>
    <t>71244/86045551</t>
  </si>
  <si>
    <t>71246/86046733</t>
  </si>
  <si>
    <t>10/07 - Bunnings -  6448/09343680 - Job 7871 STOCK</t>
  </si>
  <si>
    <t>71201/86050477</t>
  </si>
  <si>
    <t xml:space="preserve">09/07 - Uploaded customer review </t>
  </si>
  <si>
    <t>71266/86052758</t>
  </si>
  <si>
    <t>07/07 - Invoice Payment tab not updated</t>
  </si>
  <si>
    <t>71266/86052800</t>
  </si>
  <si>
    <t>71332/86082824</t>
  </si>
  <si>
    <t>11/07 -Customer feedback uploaded</t>
  </si>
  <si>
    <t>Roxburgh Park</t>
  </si>
  <si>
    <t>10/07-Job completed by Jack M &amp; Liam</t>
  </si>
  <si>
    <t>71367/86115330</t>
  </si>
  <si>
    <t>10 Jul - Deduct 45mins O/T</t>
  </si>
  <si>
    <t>71284/86125143</t>
  </si>
  <si>
    <t>71404/71284/86128677</t>
  </si>
  <si>
    <t>11/07 - Excess payment received abserved</t>
  </si>
  <si>
    <t>5% - 3 Jul - Paid Dispute</t>
  </si>
  <si>
    <t>71314/71201/86051736</t>
  </si>
  <si>
    <t>71332/86082134</t>
  </si>
  <si>
    <t>11/07 - Customer feedback uploaded;  10/07 - WIP&amp;Completed by Alex ; 09/07 - WIP by Liam , Alex</t>
  </si>
  <si>
    <t>5% - 14 Jul</t>
  </si>
  <si>
    <t>71400/71367/86114906</t>
  </si>
  <si>
    <t>14/07 - WIP&amp;Completed by Mathew B , received $1126.80 Card - Mathew's note - Completed the jet and cctv, Unable to clear blockage ; 11/07 - Scheduled for liam</t>
  </si>
  <si>
    <t>11/07 Invoice tob not updated</t>
  </si>
  <si>
    <t xml:space="preserve">14/07-Job completed by Jack M &amp; Elliot;11/07 WIP by Jack M ; 10/07 - WIP by Jack M ; 09/07 - WIP by Jack M ; 08/07 - WIP by  Jarrod EFT received $5000 ; 07/07 - WIP by Jarrod  ; 04/07 - WIP by Jarrod ; 03/07 - WIP by Jarrod  2/7- $1600 , $1849.10 EFT Received </t>
  </si>
  <si>
    <t>71314/86062345</t>
  </si>
  <si>
    <t>11 Jul - Refund - $93.50; 09/07 - Refund form uploaded for $93.50 ; 08/07 - Uploaded Bank details</t>
  </si>
  <si>
    <t>08/07 - Scheduled to Liam</t>
  </si>
  <si>
    <t>Donnybrook</t>
  </si>
  <si>
    <t>71352/86104426</t>
  </si>
  <si>
    <t>71361/86111329</t>
  </si>
  <si>
    <t>71361/86111638</t>
  </si>
  <si>
    <t>71382/86122089</t>
  </si>
  <si>
    <t>71382/86122208</t>
  </si>
  <si>
    <t>16/7-Bunnings-Inv #6411/01334457-Job # N/A</t>
  </si>
  <si>
    <t>71486/86172278</t>
  </si>
  <si>
    <t>71503/86177662</t>
  </si>
  <si>
    <t>71503/86178286/71515</t>
  </si>
  <si>
    <t>17/07-Job completed by Mathew H;16/07-WIP by Daniel B</t>
  </si>
  <si>
    <t>71503/86178127</t>
  </si>
  <si>
    <t>16 Jul - Deduct 1hr O/T; 16/07-Job completed by Laim</t>
  </si>
  <si>
    <t>71492/86183144</t>
  </si>
  <si>
    <t>17/07-As per Liam's note "Minor leak on cold line. I can’t find it, checked all the fixtures need to quote for specialist leak detection"</t>
  </si>
  <si>
    <t>17 Jul - Deduct 1hr O/T</t>
  </si>
  <si>
    <t>26 Jul - Refund - $374.55; 18/07-Refund of $120 provided for customer satisfaction</t>
  </si>
  <si>
    <t xml:space="preserve">15/07-Received final payment of $2626.30 by EFT;14/07-Job completed by Jack M &amp; Elliot;11/07 WIP by Jack M ; 10/07 - WIP by Jack M ; 09/07 - WIP by Jack M ; 08/07 - WIP by  Jarrod EFT received $5000 ; 07/07 - WIP by Jarrod  ; 04/07 - WIP by Jarrod ; 03/07 - WIP by Jarrod  2/7- $1600 , $1849.10 EFT Received </t>
  </si>
  <si>
    <t>16/07-WIP by Liam-As per his note Adrian going to rebook when he gets the right shower head"</t>
  </si>
  <si>
    <t>71532/86192508</t>
  </si>
  <si>
    <t>71582/71546/86211271/71582</t>
  </si>
  <si>
    <t>21/07 - WIP by Mathew H - Received $5000 Card; 19/07-WIP by Tolga, Jarrod, Rhys; 18/07-WIP by Jack M &amp; Liam</t>
  </si>
  <si>
    <t>71568/86214293</t>
  </si>
  <si>
    <t>71486/86172454</t>
  </si>
  <si>
    <t>71486/86172359</t>
  </si>
  <si>
    <t>71486/86175616</t>
  </si>
  <si>
    <t>71492/86183225</t>
  </si>
  <si>
    <t>71492/86183257</t>
  </si>
  <si>
    <t>71525/86188270</t>
  </si>
  <si>
    <t>71525/86190852</t>
  </si>
  <si>
    <t>18/07-Jarrod attended site</t>
  </si>
  <si>
    <t>71518/86204064</t>
  </si>
  <si>
    <t>70522/86204101</t>
  </si>
  <si>
    <t>70522/86206256</t>
  </si>
  <si>
    <t>22 Jul - Refund - $272; 18/07-Customer called to cancel job and refund of $272 provided to customer.</t>
  </si>
  <si>
    <t>71571/86212435</t>
  </si>
  <si>
    <t>24/7-Bunnings-Inv # 6390/01361354-Job #Vehicle Stock</t>
  </si>
  <si>
    <t>26/7-Reece-Credit note #825310842-Job #71332</t>
  </si>
  <si>
    <t>26/7-Reece-Credit note #825310842-Job #71125</t>
  </si>
  <si>
    <t>1 Aug - Refund - $374.55; 21/7-Refund of $374.55 provided to customer</t>
  </si>
  <si>
    <t>71587/86222809</t>
  </si>
  <si>
    <t>26 Jul - Refund - $340.50; 24/7-Job report  (findings)sent by Joshua G;23/7-Refund of $340.50 provided to customer.</t>
  </si>
  <si>
    <t>23/7-Customer emailed CC regarding the work done;21/7-As per Caitlin's note "called to complain about price, said she thought it was $200 not $2.5K. Nothing I can do as its 6pm everybody's gone so will pick up tomorrow with her"</t>
  </si>
  <si>
    <t>22 Jul - Deduct - 30mins</t>
  </si>
  <si>
    <t>23/07-As per Tyler Potter's note "No Aftercare needed - cancelled job"</t>
  </si>
  <si>
    <t>23/07 - As per Liam notes, " All done need to refund her 3.80 sorry I didn’t have any coins in my car".</t>
  </si>
  <si>
    <t>71690/86261553</t>
  </si>
  <si>
    <t>Kalkallo</t>
  </si>
  <si>
    <t>25/07-Customer called asking plumber's findings.</t>
  </si>
  <si>
    <t>71748/86285867</t>
  </si>
  <si>
    <t>5% - 23 Jul</t>
  </si>
  <si>
    <t>23/07-WIP &amp; Completed by Mathew H - Received $495.40 Card; 16/07-WIP by Liam-As per his note Adrian going to rebook when he gets the right shower head"</t>
  </si>
  <si>
    <t>23/07-WIP by Jack M &amp; Francesco and received $4214.40 by Smartpay;21/07 - WIP by Mathew H - Received $5000 Card; 19/07-WIP by Tolga, Jarrod, Rhys; 18/08-WIP by Jack M &amp; Liam</t>
  </si>
  <si>
    <t>71630//71561/86224937</t>
  </si>
  <si>
    <t>21/7-WIP by Tolga &amp; Liam</t>
  </si>
  <si>
    <t>71712/71681</t>
  </si>
  <si>
    <t>23/07-WIP by Alex</t>
  </si>
  <si>
    <t>21/07-As per Liam's note "Still waiting for deposit payment from building OCC so going to move on. Tolga is here on another job in the same building so if it gets paid he can do the Job otherwise will book for another day. Building manager signed"</t>
  </si>
  <si>
    <t>71679/71663</t>
  </si>
  <si>
    <t>25/07-As per Harrison's note "Customer is using Humm Loans to pay.";24/07-WIP by Liam &amp; noted as "Doing a complimentary cctv";23/07-WIP by Tolga, Alex</t>
  </si>
  <si>
    <t>24/07-As per Liam's note "Need to order in all the parts for this specific cistern. Mid next week so rebook for Thursday."</t>
  </si>
  <si>
    <t>22/07-Job Completed by Liam - no pics uploaded</t>
  </si>
  <si>
    <t>71587/86223365</t>
  </si>
  <si>
    <t>71593/86237837</t>
  </si>
  <si>
    <t>71660/86237844</t>
  </si>
  <si>
    <t>South Morang</t>
  </si>
  <si>
    <t>23/07- As per Liam - note, "Sunil has rescheduled to next Friday".</t>
  </si>
  <si>
    <t>71690/86266725</t>
  </si>
  <si>
    <t>71690/86265943</t>
  </si>
  <si>
    <t>71748/86285725</t>
  </si>
  <si>
    <t>71748/86285755</t>
  </si>
  <si>
    <t>Warrandyte</t>
  </si>
  <si>
    <t>71797/86312992</t>
  </si>
  <si>
    <t>71810/82318259</t>
  </si>
  <si>
    <t>29/07-As per Orla's note "Customer called to cancel app for tomorrow, they are not happy with the works done and are requesting a 100% refund for what has been paid - advised I will get the customer care to contact them when they can to discuss"</t>
  </si>
  <si>
    <t>71825/86322660</t>
  </si>
  <si>
    <t>1/8-As per Oscar's note "complaint uploaded to monday."-"customer emailed recons liam knocked the toilet cause a new toilet - i called liam to ask what happened - didnt answer me"</t>
  </si>
  <si>
    <t>30/07-As per Liam's note "Toilets installed, there was a build up of water underneath the tiles, she is getting tiles replaced and wants us to come back at a later date to take toilet out and Reinstall. Shes aware there will be extra charges for that. This is the only toilet in the house.'</t>
  </si>
  <si>
    <t>71892/86360096</t>
  </si>
  <si>
    <t>71921/86373762</t>
  </si>
  <si>
    <t>71917/86376595</t>
  </si>
  <si>
    <t>5% - 22 Jul</t>
  </si>
  <si>
    <t>22 Jul - Humm P/P; 21/7-WIP by Tolga &amp; Liam</t>
  </si>
  <si>
    <t>5% - 1 Aug</t>
  </si>
  <si>
    <t>Cash/Card</t>
  </si>
  <si>
    <t>5% - 24 Jul</t>
  </si>
  <si>
    <t>24 Jul - Humm P/P; 4/8-Daniel B installed wall taps as tiles are installed;25/07-As per Harrison's note "Customer is using Humm Loans to pay.";24/07-WIP by Liam &amp; noted as "Doing a complimentary cctv";23/07-WIP by Tolga, Alex</t>
  </si>
  <si>
    <t>71825/86322224</t>
  </si>
  <si>
    <t xml:space="preserve">1/8-Customer emailed about a leak in the rubber seal </t>
  </si>
  <si>
    <t>71797/86313901</t>
  </si>
  <si>
    <t>71810/82321068</t>
  </si>
  <si>
    <t>71834/71825/86323574</t>
  </si>
  <si>
    <t>71892/86362895</t>
  </si>
  <si>
    <t>71921/86373777</t>
  </si>
  <si>
    <t>71921/86375480</t>
  </si>
  <si>
    <t>71917/86377282</t>
  </si>
  <si>
    <t>5% Comm'ns Paid - 27 Aug</t>
  </si>
  <si>
    <t xml:space="preserve">12/08 Bunnings - 6443/00588161 - Job NIL </t>
  </si>
  <si>
    <t>Watsonia North</t>
  </si>
  <si>
    <t>72011/71988</t>
  </si>
  <si>
    <t xml:space="preserve">5/8-Job completed by Jack McGregor by performing Co2 test.;4/8-WIP by Tolga </t>
  </si>
  <si>
    <t>72050/71962</t>
  </si>
  <si>
    <t>7/8-Job completed by Ben by performing temp check;6/08- Tolga at site for temp check-No answer;5/08-WIP by Liam, Mathew H, Tolga</t>
  </si>
  <si>
    <t>5 Aug - Deduct 1hr O/T</t>
  </si>
  <si>
    <t>5 Aug - Deduct - 30mins O/T; 6/8-WIP &amp; Completed by Tolga; 05/08 - As per Liam's note - "Need to return tomorrow with a black gooseneck mixer as Reece is closed now".</t>
  </si>
  <si>
    <t>8/8-As per Wil's note "Customer asked for a quote, I spoke to Liam and he said to tell them to delete it. She said that both Liam and the 'manager' told her directly that they can send it and she started threatening VCAT. J told me to tell them we will resend the quote, and Liam will give them a call on Monday."</t>
  </si>
  <si>
    <t>Dispute ; 8/8 CB8/8</t>
  </si>
  <si>
    <t>72141/72180</t>
  </si>
  <si>
    <t>7 Aug - Deduct 45mins O/T; 8/8-CB by Ben-CB reason-Problem still happening with washing machine but worse-CB outcome-Plumber raised a quote-Unsuccessful</t>
  </si>
  <si>
    <t>8/8 - WIP &amp; Completed by Jack, Liam, Francesco</t>
  </si>
  <si>
    <t>05/08-WIP &amp; Completed by Tolga - Received $1843.10 Card ; 24/07-As per Liam's note "Need to order in all the parts for this specific cistern. Mid next week so rebook for Thursday."</t>
  </si>
  <si>
    <t>8 Aug - Refund - $622.50; /8-Refunded $622.50;4/8-Refund of $622.50 provided to customer</t>
  </si>
  <si>
    <t>72070/86432426</t>
  </si>
  <si>
    <t>72083/86437516</t>
  </si>
  <si>
    <t>72083/86483109</t>
  </si>
  <si>
    <t>72083/86437556</t>
  </si>
  <si>
    <t>72118/86443498</t>
  </si>
  <si>
    <t>72116/86450713</t>
  </si>
  <si>
    <t>72133/86451391</t>
  </si>
  <si>
    <t>Mont Albert North</t>
  </si>
  <si>
    <t>72133/86450776</t>
  </si>
  <si>
    <t>11 Aug - Refund - $146; 8/8-Refunded $146</t>
  </si>
  <si>
    <t>72156/86465215</t>
  </si>
  <si>
    <t>Ascot  Vale</t>
  </si>
  <si>
    <t>72191/87077950</t>
  </si>
  <si>
    <t xml:space="preserve">Doreen </t>
  </si>
  <si>
    <t>72223/87098874</t>
  </si>
  <si>
    <t>Yallambie</t>
  </si>
  <si>
    <t>72263/72245</t>
  </si>
  <si>
    <t>14/8-Shaun at site-Customer asked to canel appointment;13/8-Temp check done by Mathew H-Pic not uploaded;12/8-WIP by Daniel B &amp; Liam</t>
  </si>
  <si>
    <t>11/08-Scheduled to Liam to collect the payment ; 11/07 Invoice tob not updated</t>
  </si>
  <si>
    <t>Donvale</t>
  </si>
  <si>
    <t>72378/87183186</t>
  </si>
  <si>
    <t>72378/87185276</t>
  </si>
  <si>
    <t>5 star review obtained but he couldn’t log into his email. He’s going to call office to find away to post it</t>
  </si>
  <si>
    <t>72432/73112</t>
  </si>
  <si>
    <t xml:space="preserve">9/9-CB scheduled to Jack M-CB reason-laundry tap install off but contently dripping, </t>
  </si>
  <si>
    <t>19 Aug - Paying 1hr O/T More Than Comm'ns</t>
  </si>
  <si>
    <t>Alphington</t>
  </si>
  <si>
    <t>72450/72431</t>
  </si>
  <si>
    <t>25/08-WIP by Aden, Riley - EFT processed for $7000 ; 20/8-WIP by Tolga</t>
  </si>
  <si>
    <t>72478/72457</t>
  </si>
  <si>
    <t>22/08-WIP by Shaun</t>
  </si>
  <si>
    <t>5% - 4/9 CB4/9 26 Aug-27/8 CB26/8</t>
  </si>
  <si>
    <t>4/9-CB by Tolga-CB reason-Leaking tap in kitchen-CB outcome-Closed properly and tested on and off no leaked showed the worker Oliver;27/8-CB by Liam-CB reason-Leaking Tap in kitchen-CB outcome-Mentioned by Liam as "All sorted"-No CB pics uploaded for verification;21/08-WIP by Shaun, Liam</t>
  </si>
  <si>
    <t>18/8-Liam to attend site to collect payment;14/8-Shaun at site-Customer asked to canel appointment;13/8-Temp check done by Mathew H-Pic not uploaded;12/8-WIP by Daniel B &amp; Liam</t>
  </si>
  <si>
    <t>72388/87187320</t>
  </si>
  <si>
    <t>72388/87187335</t>
  </si>
  <si>
    <t>18/08- Job Cancelled</t>
  </si>
  <si>
    <t>72408/87189725/72278</t>
  </si>
  <si>
    <t>19/08-Customer wants to cancel the job ; 18/8-As per Liam's note "Book in for 26th. No deposit taken as per Jason’s orders."</t>
  </si>
  <si>
    <t>72457/87212665</t>
  </si>
  <si>
    <t>27/8 - Bunnings - 6443/00598346 - Job-NA (FGY18U)</t>
  </si>
  <si>
    <t>72601/87260817</t>
  </si>
  <si>
    <t>27/10 CB27/10 26/08/2025</t>
  </si>
  <si>
    <t>72626/87262861/72601/74880</t>
  </si>
  <si>
    <t>27/10-CB by Riley-CB reason-Making a noise when turning on the tap, sound in the unit. Vibrating the walls-CB outcome-Did a check on HWS checked gas inlet pressure and filter for water
Ran water multiple times checked if secured properly
And informed client that thermal would be in contact;26/8-Temp check completed by Liam-EFT of $5181.30 initiated;25/8-WIP by Daniel B &amp; Liam</t>
  </si>
  <si>
    <t>72663/72644/87284745</t>
  </si>
  <si>
    <t>26/8-Job completed by Riley</t>
  </si>
  <si>
    <t>27/8-WIP by Liam &amp; Job completed by Riley</t>
  </si>
  <si>
    <t>29/8-As per Liam's nonote "There is still a very minor leak the custermer is aware and doesn’t want mind"</t>
  </si>
  <si>
    <t>5% - 26 Aug</t>
  </si>
  <si>
    <t>21/08-WIP by Shaun, Liam</t>
  </si>
  <si>
    <t>5% - 29 Aug - Cancelled</t>
  </si>
  <si>
    <t>5% - 27 Aug</t>
  </si>
  <si>
    <t>27/8-Job completed by Liam &amp; Aden-Collected $2000 by EFT ;26/8-WIP by Aden &amp; Riley;25/08-WIP by Aden, Riley - EFT processed for $7000 ; 20/8-WIP by Tolga</t>
  </si>
  <si>
    <t>5% - 1st Sept - Dispute</t>
  </si>
  <si>
    <t>28/8-Liam noted that customer wants to cancel;27/8-Customer wants to speak with Liam about the job;22/08-WIP by Shaun</t>
  </si>
  <si>
    <t>72600/87282964</t>
  </si>
  <si>
    <t>27/8-Scheduled to Ben</t>
  </si>
  <si>
    <t>72610/87284716</t>
  </si>
  <si>
    <t>72610/87283913</t>
  </si>
  <si>
    <t>72743/87324636</t>
  </si>
  <si>
    <t>72743/87325236</t>
  </si>
  <si>
    <t>72766/87337950</t>
  </si>
  <si>
    <t>72768/87340317</t>
  </si>
  <si>
    <t>72793/87342530</t>
  </si>
  <si>
    <t>5 Sept - Refund - $203.50; 1/9-COF refund of $203.50 provided to customer to avoid bad review</t>
  </si>
  <si>
    <t>1x Ben,0.5x Tolga,0.5x Rylee W</t>
  </si>
  <si>
    <t>10 Sept - 5% will be paid out upon Achieving 5 x 5 Star Reviews</t>
  </si>
  <si>
    <t>10% Comm's Paid - 24 Sept</t>
  </si>
  <si>
    <t>2/9-Job completed by Ben</t>
  </si>
  <si>
    <t>5/9 CB5/9</t>
  </si>
  <si>
    <t>5/9-CB by Alex-CB reason-leaking from hot water connection-CB outcome-Came back for a warranty call back for a loose flexi .... No leaks now</t>
  </si>
  <si>
    <t>12/9 CB12/9</t>
  </si>
  <si>
    <t xml:space="preserve">12/9-CB by Ben &amp; Ncholaas-CB reason-Gas in now working intermittently.  Currently not working at all for the stove cook top-CB outcome-Upon arrival diagnose gas was isolated, bleed the serivce an tested 2 x gas cook tops
Completed a final gas test </t>
  </si>
  <si>
    <t>5% - 5 Sept</t>
  </si>
  <si>
    <t>5 Sept - Refund - $749; 28/8-Liam noted that customer wants to cancel;27/8-Customer wants to speak with Liam about the job;22/08-WIP by Shaun</t>
  </si>
  <si>
    <t>72913/72903/87395464</t>
  </si>
  <si>
    <t>4/9-Temp check &amp; job completed by Liam;3/9-WIP by Liam &amp; Tolga-Payment of $608 initiated by EFT</t>
  </si>
  <si>
    <t>Research</t>
  </si>
  <si>
    <t>73021/73005</t>
  </si>
  <si>
    <t>9 Sept - Recamera by Shaun; 8/9-WIP by Alex P &amp; received $3035.40 by Smartpay-Inspection booked for 9/9;6/9-WIP by Tolga;5/9-WIP by Liam &amp; Alex</t>
  </si>
  <si>
    <t>72822/87364406</t>
  </si>
  <si>
    <t>Bellfield</t>
  </si>
  <si>
    <t>4/9-COF of $203.50 refunded</t>
  </si>
  <si>
    <t>72821/87367118</t>
  </si>
  <si>
    <t>Kingsbury</t>
  </si>
  <si>
    <t>72821/87367645</t>
  </si>
  <si>
    <t>72821/87367773</t>
  </si>
  <si>
    <t>72825/87370340</t>
  </si>
  <si>
    <t>72866/87389161</t>
  </si>
  <si>
    <t>72881/87390674</t>
  </si>
  <si>
    <t>72881/87391208</t>
  </si>
  <si>
    <t>72955/87417936</t>
  </si>
  <si>
    <t>72955/87417943</t>
  </si>
  <si>
    <t>5/9-Job cancelled &amp; $73 to be refunded</t>
  </si>
  <si>
    <t>Reservoiir</t>
  </si>
  <si>
    <t>17 Sept - 5% will be paid out upon Achieving 5 x 5 Star Reviews</t>
  </si>
  <si>
    <t>O/T=5.5hrs</t>
  </si>
  <si>
    <t>The Leak Detector - Job #71532</t>
  </si>
  <si>
    <t>The Leak Detector - Job #1201</t>
  </si>
  <si>
    <t>9/9 - Bunnings - 6390/01326499 - Job NA</t>
  </si>
  <si>
    <t>8/9-Job completed by Jarrod &amp; WIP by Liam and Harrison</t>
  </si>
  <si>
    <t>9/9-Job completed by Ben &amp; WIP by Liam</t>
  </si>
  <si>
    <t>10/9-As per Liam's note "Complimentary drainage hose"</t>
  </si>
  <si>
    <t>1/10 CB30/9 22/9 CB22/9</t>
  </si>
  <si>
    <t>30/9-CB by Shaun;22/9-CB by Liam-CB reason-Main water has been turned off and water is spraying out from underneath kitchen sink, has flooded the kitchen, customer has turned main water off.-CB outcome-No notes provided</t>
  </si>
  <si>
    <t>12/9-Job completed by Alex &amp; WIP by Elliot;11/9-WIP by Alex;10/9-WIP by Liam &amp; Rylee</t>
  </si>
  <si>
    <t>12/9-CB by Ben-CB reason-Kitchen has flooded and leak is coming from what the plumber replaced.  Now its leaking without even a tap been turned on.-CB outcome-Arrived on site, flexi hoses were consistently dripping. Re tightened flexi hoses.</t>
  </si>
  <si>
    <t>73252/87532959</t>
  </si>
  <si>
    <t>Mickelham</t>
  </si>
  <si>
    <t>13 Sept - Paying 1.75hrs O/T</t>
  </si>
  <si>
    <t>5% - No Comm'ns - Dispute</t>
  </si>
  <si>
    <t>11/9-As per Liam's note "She didn't have enough money to get job paid today, returning on Wednesday afternoon to start Job, deposit taken"</t>
  </si>
  <si>
    <t>5% - 2 Sept</t>
  </si>
  <si>
    <t>9/9-Scheduled to Liam;9/9-Scheduled to Liam</t>
  </si>
  <si>
    <t>4 Sept - Zip P/P; 4/9-Temp check &amp; job completed by Liam;3/9-WIP by Liam &amp; Tolga-Payment of $608 initiated by EFT-3/9-PP (ZIP) settlement made for 5478.30</t>
  </si>
  <si>
    <t>9 Sept - Recamera by Shaun-WIP by Tolga,Will Dower &amp; Ryle and received $7000 by Smartpay ; 8/9-WIP by Alex P &amp; received $3035.40 by Smartpay-Inspection booked for 9/9;6/9-WIP by Tolga;5/9-WIP by Liam &amp; Alex</t>
  </si>
  <si>
    <t>Watsonia</t>
  </si>
  <si>
    <t>73062/87493480</t>
  </si>
  <si>
    <t>17/9-Pics uploaded by Jarrod-t site</t>
  </si>
  <si>
    <t>73252/87532950</t>
  </si>
  <si>
    <t>73252/87533630</t>
  </si>
  <si>
    <t>5% Comm'ns W/E - 7th Sept</t>
  </si>
  <si>
    <t>5% Comm'ns W/E - 14th Sept</t>
  </si>
  <si>
    <t>17/9 - Reece - 466314461 - Job 73166</t>
  </si>
  <si>
    <t>18/9 CB18/9</t>
  </si>
  <si>
    <t>18/9-CB by Liam-CB reason-Gas pipe is there too much he cant get electric oven in-CB outcome-No notes provided</t>
  </si>
  <si>
    <t>22/10 CB22/10 17/10 CB17/10 23/9 CB23/9</t>
  </si>
  <si>
    <t>22/10-CB by Tolga-CB reason-2 star,Shelf to be replaced-CB outcome-poke to David who said he was fairly happy
He changed his review from 2 to 3 stars, still ripping on the original plumber but praising customer care
I asked what we could do and he said he just wanted it to be honest. Said we had some worse reviews and his were nice, didnt want to be pressured
i apologised and said we wanted to make him feel like a 5 star customer AGAIN
no dice, said i wouldnt bother him again.;17/9-CB by Junior-CB reason-SHELF WATER DAMAGE. 2 star review.-CB outcome-Advised customer that we are only changing the shelf;23/9-CB by Liam-CB reason-Flooding of water where taps were replaced-CB outcome-Flooding of water where taps were replaced</t>
  </si>
  <si>
    <t>17 Sept - Deduct 1.25hrs O/T</t>
  </si>
  <si>
    <t>18 Sept - Paying 30mins O/T</t>
  </si>
  <si>
    <t>24/10 CB24/10</t>
  </si>
  <si>
    <t>73472/74788</t>
  </si>
  <si>
    <t>24/10-CB by Tolga-CB reason-bolt has come loose from prev job-CB outcome-No notes available</t>
  </si>
  <si>
    <t>15/9-Scheduled to Tolga;9 Sept - Recamera by Shaun-WIP by Tolga,Will Dower &amp; Ryle and received $7000 by Smartpay ; 8/9-WIP by Alex P &amp; received $3035.40 by Smartpay-Inspection booked for 9/9;6/9-WIP by Tolga;5/9-WIP by Liam &amp; Alex</t>
  </si>
  <si>
    <t>73463/73204/87595640</t>
  </si>
  <si>
    <t>22/9-WIP by Matthew &amp; Liam;20/9-WIP by Matthew;19/9-WIP by Matthew &amp; Liam</t>
  </si>
  <si>
    <t>19/9-WIP by Liam &amp; Junior;18/8-Liam to attend site to collect payment;14/8-Shaun at site-Customer asked to canel appointment;13/8-Temp check done by Mathew H-Pic not uploaded;12/8-WIP by Daniel B &amp; Liam</t>
  </si>
  <si>
    <t>15/9-Scheduled to Liam;9/9-Scheduled to Liam;9/9-Scheduled to Liam</t>
  </si>
  <si>
    <t>73302/87547453</t>
  </si>
  <si>
    <t>73323/87549601</t>
  </si>
  <si>
    <t>73341/87562830</t>
  </si>
  <si>
    <t>73320/87563184</t>
  </si>
  <si>
    <t xml:space="preserve">19/9-As per James Richmond's note "No Aftercare needed - cancelled job";17/9-WIP by Daniel &amp; Liam-Customer wants to cancel </t>
  </si>
  <si>
    <t>73399/73331/87578123</t>
  </si>
  <si>
    <t>18/9-As per James Richmond's note "customer would like to get a refund for the the deposit , advised him we would look into it for him and we would get back to him"</t>
  </si>
  <si>
    <t>73237/87583995</t>
  </si>
  <si>
    <t>0.5x Junior</t>
  </si>
  <si>
    <t>25/9 - Bunnings - 6126/00200393 - Job NA</t>
  </si>
  <si>
    <t>22/9-Job completed by Riley &amp; Eric and WIP by Liam &amp; Junior</t>
  </si>
  <si>
    <t>73512/87616651</t>
  </si>
  <si>
    <t>73512/87616723</t>
  </si>
  <si>
    <t>73494/87622145</t>
  </si>
  <si>
    <t>23/9-Customer wants report on plumber's findings</t>
  </si>
  <si>
    <t>73494/87622782</t>
  </si>
  <si>
    <t>22 Sept - Deduct 1.75hrs O/T</t>
  </si>
  <si>
    <t>73589/73584/87629456</t>
  </si>
  <si>
    <t>23 Sept - Deduct 1hr O/T</t>
  </si>
  <si>
    <t>26/9-Invoice tab updated as "Waived job/Unsuccessful", whereas job completed &amp; payment received</t>
  </si>
  <si>
    <t>Paid Dispute-1/10 CB1/10</t>
  </si>
  <si>
    <t>73695/73701</t>
  </si>
  <si>
    <t xml:space="preserve">1/10-CB by Rylee &amp; Tolga-CB reason-Leak in the laundry, tap itself is leaking.CB outcome-mixer tap was slightly off centre, loosened it and installed it to correct position, showed customer the finished product and he was happy with it, he also asked about the $89 refund, we called the office and they are sorting it out </t>
  </si>
  <si>
    <t>5% - IPP</t>
  </si>
  <si>
    <t>73556/73511/87618691</t>
  </si>
  <si>
    <t>26/9-Customer emailed regarding discount as he's a pensioner-Updated invoice made;23/9-Temp check performed &amp; Job completed by Riley;22/9-WIP by Daniel,Liam &amp; Junior</t>
  </si>
  <si>
    <t>5% - 27 Sept - Paid Dispute</t>
  </si>
  <si>
    <t>25/9-CB by Matthew-CB outcome-After fixing her issue which was tightening the factory tight nuts underneath the cistern, she</t>
  </si>
  <si>
    <t>73580/73357/87328535</t>
  </si>
  <si>
    <t>22/9-Scheduled to Liam to collect payment;23/07-WIP by Alex</t>
  </si>
  <si>
    <t>25/9-WIP by Mathew;24/9-WIP by Jayden &amp; Matthew;22/9-WIP by Matthew &amp; Liam;20/9-WIP by Matthew;19/9-WIP by Matthew &amp; Liam</t>
  </si>
  <si>
    <t>73494/87623465</t>
  </si>
  <si>
    <t>73520/87674617</t>
  </si>
  <si>
    <t>30/9 - Reece - CN 834427607 - Job 71045</t>
  </si>
  <si>
    <t>73821/87733658</t>
  </si>
  <si>
    <t>1/10-Job completed by Liam &amp; WIP by Tolga</t>
  </si>
  <si>
    <t>2/10-Job completed by Riley &amp; WIP by Liam</t>
  </si>
  <si>
    <t>2 Oct - Paid Overtime</t>
  </si>
  <si>
    <t>74017/73988/87790188</t>
  </si>
  <si>
    <t>6/10-EFT receipt of $12495.40 uploaded by Modoras team;3/10-WIP by Liam,Tolga,Rylee &amp; Jack</t>
  </si>
  <si>
    <t>73821/87733592</t>
  </si>
  <si>
    <t>8/10-Junior to collect payment;7/10-Scheduled to Liam</t>
  </si>
  <si>
    <t>2/10-Job completed by Jack</t>
  </si>
  <si>
    <t>2/10-Job completed by Riley &amp; WIP by Liam-EFT of $2338.30 initiated</t>
  </si>
  <si>
    <t>5% - 9 Oct</t>
  </si>
  <si>
    <t>74003/73987/87795211</t>
  </si>
  <si>
    <t>9/10-Job completed by Liam &amp; received $3201.40 by Smartpay;6/10-WIP by Matthew &amp; Alex;4/10-WIP by Will Dower;3/10-WIP by Liam,Alex &amp; Will Dower</t>
  </si>
  <si>
    <t>30/9-Liam at site;29/9-Customer gave 1 star review-Scheduled for Liam;26/9-Ben at site-No response from customer;4 Sept - Zip P/P; 4/9-Temp check &amp; job completed by Liam;3/9-WIP by Liam &amp; Tolga-Payment of $608 initiated by EFT-3/9-PP (ZIP) settlement made for 5478.30</t>
  </si>
  <si>
    <t>30/9-Job completed by Liam;29/9-WIP by Riley;25/9-WIP by Mathew;24/9-WIP by Jayden &amp; Matthew;22/9-WIP by Matthew &amp; Liam;20/9-WIP by Matthew;19/9-WIP by Matthew &amp; Liam</t>
  </si>
  <si>
    <t>73821/87732530</t>
  </si>
  <si>
    <t>73876/73821/87733592</t>
  </si>
  <si>
    <t>1/10-Refund of $1400 provided as job is cancelled by customer</t>
  </si>
  <si>
    <t>73824/87738901</t>
  </si>
  <si>
    <t>73824/87739135</t>
  </si>
  <si>
    <t>73858/87751697</t>
  </si>
  <si>
    <t>73845/87782740</t>
  </si>
  <si>
    <t>17/10-Junior at site;9/10-Job completed by Nicholas &amp; WIP by Liam</t>
  </si>
  <si>
    <t>74307/74289/87914101</t>
  </si>
  <si>
    <t>10/10-WIP by Liam &amp; Rylee</t>
  </si>
  <si>
    <t>10/10-WIP by Liam-Scheduled on 15/10</t>
  </si>
  <si>
    <t>13/10-Job completed by Liam &amp; received $1843.10 by Smartpay</t>
  </si>
  <si>
    <t>22 Oct - 5% will be paid out upon Achieving 5 x 5 Star Reviews</t>
  </si>
  <si>
    <t>14/10-Job completed by Liam &amp; Riley</t>
  </si>
  <si>
    <t>14/10-Job completed by Liam, Shaun &amp; Riley</t>
  </si>
  <si>
    <t>9/10-Job completed by Nicholas &amp; WIP by Liam</t>
  </si>
  <si>
    <t>15/10-Job completed by Junior;10/10-WIP by Liam-Scheduled on 15/10</t>
  </si>
  <si>
    <t>Bulleen</t>
  </si>
  <si>
    <t>22/10 - Bunnings - 6448/01132458 - Job 73320</t>
  </si>
  <si>
    <t>24 Oct - Kennards - Job #74788</t>
  </si>
  <si>
    <t>1/11 - Reece - 1017424503 - Job 000000 (Fgy18u)</t>
  </si>
  <si>
    <t>27/10-Job completed by Nicholas &amp; Liam</t>
  </si>
  <si>
    <t>74822/89020536</t>
  </si>
  <si>
    <t>74822/89020934</t>
  </si>
  <si>
    <t>30/10-Refunded $1863.70 to customer;28/10-Kylie emailed customer for refunding $1863.70,wheras as per note she has mentioned "Spoke to Alex he is updating to a 4 star refunding all but $300"-Customer gave 1 star review-Liam at site-No answer from customer;27/10-Job completed by Nicholas &amp; Liam</t>
  </si>
  <si>
    <t>30/10-Refunded $1863.70 to customer;27/10-Job completed by Nicholas &amp; Liam</t>
  </si>
  <si>
    <t>29/10-Job completed by Liam &amp; Nicholas-Recamera work;28/10-WIP by Liam,Riley &amp; Rylee-WIP marked as done for Campbell,Matthew &amp; Nicholas.</t>
  </si>
  <si>
    <t>29/10-Job completed by Liam &amp; Nicholas</t>
  </si>
  <si>
    <t>30/10-Smartpay of $184 received-Added to upsell job as full amount received for initial job</t>
  </si>
  <si>
    <t>1/11-Job completed by Liam &amp; WIP by Will Dower</t>
  </si>
  <si>
    <t>Aftercare -positive feedback no rating he was busy</t>
  </si>
  <si>
    <t>3/11-Podium receipt of $140 collected;28/10-Job completed by Junior &amp; WIP by Liam &amp; Nicholas</t>
  </si>
  <si>
    <t>74940/74927/89054811</t>
  </si>
  <si>
    <t>3/11-Job completed by Liam-Re-camera work;29/10-WIP by Campbell &amp; WIP by Riley</t>
  </si>
  <si>
    <t>75015/74955/89088889</t>
  </si>
  <si>
    <t>31/10-Customer emailed to cancel job-WIP by Will Dower,Tolga,Nicholas &amp; Rylee;30/10-WIP by Liam</t>
  </si>
  <si>
    <t>75059/75053/89133706</t>
  </si>
  <si>
    <t>3/11-WIP by Matthew,Tolga &amp; Daniel ;1/11-WIP by Will Dower &amp; Liam</t>
  </si>
  <si>
    <t>30/10-Scheduled to Junior;29/10-Junior attended the site &amp; noted as "Attended site and customer was not home. she’s free thursday or friday. We gonna need a handyman aswell to do paint and for the bigger job
29/10/2025 8:17 AM AEDT";19/9-WIP by Liam &amp; Junior;18/8-Liam to attend site to collect payment;14/8-Shaun at site-Customer asked to canel appointment;13/8-Temp check done by Mathew H-Pic not uploaded;12/8-WIP by Daniel B &amp; Liam</t>
  </si>
  <si>
    <t>74795/89017335</t>
  </si>
  <si>
    <t>74869/89025996</t>
  </si>
  <si>
    <t>74859/89027156</t>
  </si>
  <si>
    <t>74873/89060945</t>
  </si>
  <si>
    <t>30/10-Leaktech detection appointment cancelled-Customer cancelled job</t>
  </si>
  <si>
    <t>74951/89084439</t>
  </si>
  <si>
    <t>31/10-Job cancelled-Refund of $200 provided to customer</t>
  </si>
  <si>
    <t>75041/89123287</t>
  </si>
  <si>
    <t>75046/89126926</t>
  </si>
  <si>
    <t>3/11-WIP by Liam</t>
  </si>
  <si>
    <t>75057/89145261</t>
  </si>
  <si>
    <t>75074/89150760</t>
  </si>
  <si>
    <t>75074/89150784</t>
  </si>
  <si>
    <t>71353/86092933</t>
  </si>
  <si>
    <t>11 Jul - Cancelled</t>
  </si>
  <si>
    <t xml:space="preserve">09/07 - WIP by Matthew H </t>
  </si>
  <si>
    <t>71515/86190731</t>
  </si>
  <si>
    <t>17/07-WIP by Matthew H &amp; Rhys</t>
  </si>
  <si>
    <t>71515/86194280</t>
  </si>
  <si>
    <t>18/07-WIP by Matthew H &amp; Tolga Bal;17/07-WIP by Matthew H &amp; Rhys</t>
  </si>
  <si>
    <t>3 Sept - 5% will be paid out upon Achieving 1 x 5 Star Reviews</t>
  </si>
  <si>
    <t xml:space="preserve">5% Comm'ns Paid - 15 Oct </t>
  </si>
  <si>
    <t>72665/71949</t>
  </si>
  <si>
    <t>19/9-Liam &amp; Junior to collect payment;18/07-WIP by Matthew H &amp; Tolga Bal;17/07-WIP by Matthew H &amp; Rhys</t>
  </si>
  <si>
    <t>6/10-Job completed by Matthew &amp; WIP by Elliot</t>
  </si>
  <si>
    <t>7/10 - Bunnings - 6386/01341872 - Job Stock</t>
  </si>
  <si>
    <t>73959/87790588</t>
  </si>
  <si>
    <t>2 Oct - 2.75hrs O/T More Than Comm'ns</t>
  </si>
  <si>
    <t>3/10-Refund of $139.6 provided to customer for overcharged amount</t>
  </si>
  <si>
    <t>Nick called to adv received 5 star review</t>
  </si>
  <si>
    <t>7/10-Refund of $102 provided to customer due to overpament</t>
  </si>
  <si>
    <t>74009/73959/87791711</t>
  </si>
  <si>
    <t>5% - 7 Oct</t>
  </si>
  <si>
    <t>73852/87785779</t>
  </si>
  <si>
    <t>73984/87802876</t>
  </si>
  <si>
    <t>73984/87802927</t>
  </si>
  <si>
    <t>5% Comm'ns Paid - 22 Oct 2025</t>
  </si>
  <si>
    <t>11/10 - Bunnings - 6386/00168659 - Job Stock</t>
  </si>
  <si>
    <t>24 Oct - Refund Initiated of $288.75</t>
  </si>
  <si>
    <t>7/10-Received $398 by EFT &amp; Job completed by Nicholas</t>
  </si>
  <si>
    <t>5% Comm'ns - W/E 12th Oct</t>
  </si>
  <si>
    <t>26/06 Reece -  1013805332- Job 70103</t>
  </si>
  <si>
    <t>26/06 Reece -  1013789762 - Job 70103</t>
  </si>
  <si>
    <t>23 Jun - Deduct 30mins O/T</t>
  </si>
  <si>
    <t xml:space="preserve">25/06 - WIP &amp; Completed by Shaun </t>
  </si>
  <si>
    <t>South Yaara</t>
  </si>
  <si>
    <t xml:space="preserve">24/06 -WIP&amp;Completed by Tolga,  Shaun </t>
  </si>
  <si>
    <t>25/06 - WIP by Tolga ; 24/06 - EFT processed for $180</t>
  </si>
  <si>
    <t>24 Jun - Deduct 2.5hrs O.T</t>
  </si>
  <si>
    <t>5% - 23 Jun</t>
  </si>
  <si>
    <t>25/06 - Scheduled for Jack M ; 23/06 Received $3229.10 EFT WIP&amp;Completed by Matthew H, Tolga - EFT processed $3229.10</t>
  </si>
  <si>
    <t>5% - 19 Jun</t>
  </si>
  <si>
    <t>70829/70791/85820923</t>
  </si>
  <si>
    <t>Warverly</t>
  </si>
  <si>
    <t>19/06 - Material purchased by Daniel B ; 18 Jun - Final Gas Test Completed by Mathew Brooks; 18/06 - WIP&amp;Completed by Mathew B ; 17/06 WIP by Shaun &amp; Daniel B</t>
  </si>
  <si>
    <t>5%-CB18/8</t>
  </si>
  <si>
    <t>71012/72319</t>
  </si>
  <si>
    <t xml:space="preserve">18/8-CB by Jarrod-Refusing to pay the rest of the bill in person, wants to pay over the phone with the office. was complaining about the price. Slammed the door in our face.;25/06 - WIP&amp;Completed by Tolga ,Shaun </t>
  </si>
  <si>
    <t>70014/61925361</t>
  </si>
  <si>
    <t xml:space="preserve">23/05- WIP by Shaun &amp; Matthew H ; 22/05- WIP by Tolga ; 21/05- WIP by Tolga ; 19/05- WIP by Daniel B  ; 16/05- WIP by Daniel B, 15/03- WIP by Daniel B; 13 May - WIP By Jack; 14 May - WIP By Daniel B; 15 May - WIP By Daniel B; 16 May - WIP By Daniel B; 19 May WIP By Daniel B; </t>
  </si>
  <si>
    <t>70291/85562160</t>
  </si>
  <si>
    <t>5% - 4 Jul</t>
  </si>
  <si>
    <t>4 Jul - Refund - $241.56 - Cancelled</t>
  </si>
  <si>
    <t>70852/70838</t>
  </si>
  <si>
    <t xml:space="preserve">Pascoe Vale South </t>
  </si>
  <si>
    <t>18 Jun - Deduct 15mins O/T; 20/06 - Wip by Shaun Received Card payment $11770  ; 19/06 - WIP by Alex</t>
  </si>
  <si>
    <t xml:space="preserve"> </t>
  </si>
  <si>
    <t>Knoxfield</t>
  </si>
  <si>
    <t>70948/85886105</t>
  </si>
  <si>
    <t>24/06 - As per Shaun's Note - Half way through deposit and building manager interrupts to say we charge too much….</t>
  </si>
  <si>
    <t>71028/85919623</t>
  </si>
  <si>
    <t xml:space="preserve">03/07 Reece - 1014007709 - Job 050002 </t>
  </si>
  <si>
    <t>8 Jul - Refund - Job #70300</t>
  </si>
  <si>
    <t>08/07 Reece - 1014118876 Job 050002 STOCK</t>
  </si>
  <si>
    <t>08/07 Reece - 1014116940 Job 000000 STOCK</t>
  </si>
  <si>
    <t>01/07 - WIP&amp;Completed by Tolga , Matthew H ; 30/06 - WIP by Matthew ,Shaun</t>
  </si>
  <si>
    <t>09/07 - Scheduled for Daniel B ; 30 Jun - Deduct 30mins O/T</t>
  </si>
  <si>
    <t>71134/85984768</t>
  </si>
  <si>
    <t>Hawthron EAst</t>
  </si>
  <si>
    <t>03/07 - WIP &amp;Completed by  Rhys -  $2382.88 EFT received ;  02/07 WIP by Ryhs &amp; 4912 EFT Received ; 1/7- WIP by Rhys Clark</t>
  </si>
  <si>
    <t xml:space="preserve">Hawthron  </t>
  </si>
  <si>
    <t>2 Jul - Paying 1hr O/T; 03/07 Refund of $100 initiated</t>
  </si>
  <si>
    <t>Armmadale</t>
  </si>
  <si>
    <t>3 Jul - Deduct 45mins O/T</t>
  </si>
  <si>
    <t>Midle park</t>
  </si>
  <si>
    <t>5% - 4 Jul - Cancelled</t>
  </si>
  <si>
    <t>4/8 CB48/ -11/7CB11/07 - 5% - 7 Jul</t>
  </si>
  <si>
    <t>71195/71185/71895</t>
  </si>
  <si>
    <t>4/8-CB by Heath &amp; Mathew H-CB reason-drains are building up - Toilet flushes and the drain in the sink makes a garggling noise -CB outcome-Attended site, spoke to Alex gave me a rundown of where to jet, opened IO and jetted, tested, spoke to customer and let him know someone will be back to Camera the drain.;11/07 CB - Attended by Rhys ; 07/07 WIP &amp; Completed by Shaun; 04 /07 WIP  by Daniel B Received $5000 EFT  ; 03/07 - WIP by Daniel B , Shaun</t>
  </si>
  <si>
    <t xml:space="preserve">25/06 - WIP&amp;Completed by Tolga ,Shaun </t>
  </si>
  <si>
    <t>71081/85965027</t>
  </si>
  <si>
    <t>Templestowe</t>
  </si>
  <si>
    <t>South Bank</t>
  </si>
  <si>
    <t>Nunawading</t>
  </si>
  <si>
    <t>Langwarrin</t>
  </si>
  <si>
    <t>71219/86027745</t>
  </si>
  <si>
    <t>71222/86043374</t>
  </si>
  <si>
    <t>71239/86044520</t>
  </si>
  <si>
    <t>Elsterwick</t>
  </si>
  <si>
    <t>08/07 - WIP&amp;Completed  by  Matthew H ; 07/07 - WIP by Shaun, Matthew H</t>
  </si>
  <si>
    <t>09/07 - Customer feedback form uploaded</t>
  </si>
  <si>
    <t>7 Jul - Deduct 1.25hrs O/T; 08/07 WIP&amp;Completed by Daniel B EFT received $3095.40</t>
  </si>
  <si>
    <t>08/07 - EFT received $7495.40</t>
  </si>
  <si>
    <t>8 Jul - Deduct 30mins O/T</t>
  </si>
  <si>
    <t xml:space="preserve">4/8 CB31/7-14/7 CB14/7 ;  5% - 7 Jul- </t>
  </si>
  <si>
    <t>71195/71185/71402/71895</t>
  </si>
  <si>
    <t>13/8-Attended &amp; Completed by Shaun - "Going back to complete final jet blast for sewer rectification" ; 4/8-CB by Heath &amp; Mathew H;01/08- CB WIP by Alex, Jayden - "Will need to go back here and cut the junction on the toilet branch and re run since the is and vent are back falling." ; 31/07-CB by Heath &amp; Alex P-CB reason-drains are building up - Toilet flushes and the drain in the sink makes a garggling noise-CB outcome-Leafed line with Jetta so customer can use fixtures until we get back later today. Whoever comes back needs to take photos of whole drain showing we have correct fall.;14/07-CB by Jack M-CB reason-continued smell from the area where the works were don-CB outcome-Installed vent and spoke with customer. Taking cap off over the weekend stopped the smells. Installing new vent will rectify all issue. Client is now happy with works complete;07/07 WIP &amp; Completed by Shaun Received EFT of $7685.90 ; 04 /07 WIP  by Daniel B Received $5000 EFT  ; 03/07 - WIP by Daniel B , Shaun</t>
  </si>
  <si>
    <t>71290/86055008</t>
  </si>
  <si>
    <t>71338/71320</t>
  </si>
  <si>
    <t xml:space="preserve">11 Jul - Refund - $1040; 09/07 - Job cancelled, refund has been initiated of $1040 ; 08/07 - Upsell Job Status as open </t>
  </si>
  <si>
    <t>On Annual Leave Until 18th Jul 2025</t>
  </si>
  <si>
    <t>26/7-Reece-Credit note #825310842-Job #71402</t>
  </si>
  <si>
    <t>MODORAS DO NOTE DELETE AS THIS IS THE WORKSHEET FOR W/E 27TH JULY 2025</t>
  </si>
  <si>
    <t>23/07-Temp check &amp; Job Completed by Mathew H; 22/07-WIP by Mathew H,Francesco &amp; Shaun</t>
  </si>
  <si>
    <t>22 Jul - Deduct 45mins O/T</t>
  </si>
  <si>
    <t>23/07-WIP &amp; Completed by Heath, Shaun</t>
  </si>
  <si>
    <t>71607/86266757</t>
  </si>
  <si>
    <t xml:space="preserve">Malvern </t>
  </si>
  <si>
    <t>71735/71607/86268905</t>
  </si>
  <si>
    <t>25/7-Job completed by Shaun; 24/7-As per Shaun's note "Need specialist leak detection, after cutting wall open it is bricked as an old extension, water meter moving slightly, seems to be behind shower breeches"</t>
  </si>
  <si>
    <t>01/08 CB31/07</t>
  </si>
  <si>
    <t>71767/71920</t>
  </si>
  <si>
    <t>01/08-CB Completed by Mathew H - "Plunged toilet again, do not have a camera unfortunately, opened it and no immediate blockage is visible" ; 31/07-CB scheduled to Shaun-CB reason-toilet not flushing properly again</t>
  </si>
  <si>
    <t>5% - 28 Jul - Dispute</t>
  </si>
  <si>
    <t>23/7-As per Shaun's note "Booking leak detect, trying for tomorrow or Monday, cannot do Thursday."</t>
  </si>
  <si>
    <t>71778/71735/71607/86285635</t>
  </si>
  <si>
    <t>28/07-WIP by Alex, Daniel B</t>
  </si>
  <si>
    <t>71643/86243102</t>
  </si>
  <si>
    <t>30/07-Reece - 1014745585 -  Job 050002</t>
  </si>
  <si>
    <t>31/07-Reece - 1014808315 -  Job 71895</t>
  </si>
  <si>
    <t>31/07-Reece - 1014806622 -  Job 71895</t>
  </si>
  <si>
    <t>31/07 Bunnings - 6201/01308168 - Job 70760</t>
  </si>
  <si>
    <t>1/8- Reece - 1014836246- Job 71895</t>
  </si>
  <si>
    <t>4/8 - Reece - 1014856962- Job 050002</t>
  </si>
  <si>
    <t>4/8 - Reece -CN  810346886- Job 71895</t>
  </si>
  <si>
    <t>29 Aug - Paid Dispute</t>
  </si>
  <si>
    <t>71790/86308788</t>
  </si>
  <si>
    <t>29 Aug - Refund - $220; 29/07-As per Joshua G's note "Spoke to Mack for aftercare - they advised no report/photos would be sent as per plumber's comment to Lilly. He was concerned about price and price of larger job.
Advised if any further issues occured to let us know and apologised for no report for this S&amp;I / restart job."</t>
  </si>
  <si>
    <t>11/8 CB11/8</t>
  </si>
  <si>
    <t>11/8-CB by Shaun-CB outcome-Grub screw snapped off, unsure if misuse or faulty, got a new one and installed, all is good</t>
  </si>
  <si>
    <t>all went well. 5/5</t>
  </si>
  <si>
    <t>Kilsyth South</t>
  </si>
  <si>
    <t>72232/71817/86321086</t>
  </si>
  <si>
    <t>11/08-Attended by Liam - "Coming back out free on charge to re camera and quote upsell as we don't have footage or quote"</t>
  </si>
  <si>
    <t>71835/86324321</t>
  </si>
  <si>
    <t>Mooroolbark</t>
  </si>
  <si>
    <t>71851/71835/86324648</t>
  </si>
  <si>
    <t>29/07-WIP &amp; Completed by Liam, Shaun</t>
  </si>
  <si>
    <t>4/9 CB 4/9 30/8 CB 30/8 28/8 CB28/8</t>
  </si>
  <si>
    <t>71863/72681/72818/72907</t>
  </si>
  <si>
    <t>4/9-CB by Riley-CB reason-Tap leaking underneath -CB outcome-Advised customer not to move the spout;30/8-CB by Riley-CB reason-Tap leaking underneath -CB outcome-Installed one on hot tap and leak was fixed;28/8-CB by Tolga-CB reason-Wants to flip the taps and fix them-CB outcome-Customer dodnt like handles turning clock wise Wanted tap handles turning other way;30/07-Job completed by Tolga Bal</t>
  </si>
  <si>
    <t>30/07-WIP by Shaun</t>
  </si>
  <si>
    <t>Princes Hill</t>
  </si>
  <si>
    <t>31/07-As per Joshua G's note "Called through for aftercare, Joel was a bit grumpy about the price. Had a little chat about what we can offer him, lifetime guarantee and 10% discount. He said there was someting up with the pipes, invited him to call us back if need be."</t>
  </si>
  <si>
    <t>71939/86379868</t>
  </si>
  <si>
    <t>Dallas</t>
  </si>
  <si>
    <t>71961/86388102</t>
  </si>
  <si>
    <t>31/07-WIP &amp; Completed by Liam ; 30/07-WIP by Shaun</t>
  </si>
  <si>
    <t>71790/86310644</t>
  </si>
  <si>
    <t>Templstowe</t>
  </si>
  <si>
    <t>71817/86327384</t>
  </si>
  <si>
    <t>4 Aug - Refund - $897; 1/8-Refund of $835.60 provided to customer;31/07-Customer wants to cancel the job;30/07-WIP by Shaun</t>
  </si>
  <si>
    <t>Burwood East</t>
  </si>
  <si>
    <t>31/07-Attended by Shaun</t>
  </si>
  <si>
    <t>71961/86388115</t>
  </si>
  <si>
    <t>5% Comm'ns Paid - 20th Aug 2025</t>
  </si>
  <si>
    <t>11/08 Reece - 1015052579 - Job 72190(CB 70087)</t>
  </si>
  <si>
    <t>7/8 CB7/8</t>
  </si>
  <si>
    <t>72006/72135</t>
  </si>
  <si>
    <t>7/8-CB by Heath-CB reason-shower head leaking again-CB outcome-Taps seem to be working fine. Told customer if it keeps happening or gets worse, call us back and we’ll service tapware or just replace if need be. She’s happy with that and appreciates us coming out so quickly</t>
  </si>
  <si>
    <t>Park Orchards</t>
  </si>
  <si>
    <t>72022/86416648</t>
  </si>
  <si>
    <t>72036/86427116</t>
  </si>
  <si>
    <t>5 AUg - Deduct 15mins O/T; 06/08-WIP &amp; Completed by Mathew H</t>
  </si>
  <si>
    <t>28/8 CB28/8</t>
  </si>
  <si>
    <t>72090/72730</t>
  </si>
  <si>
    <t>28/8-CB by Jarrod-CB reason-thinks she has a gas leak, said he bill is really high.-CB outcome-needs to call gas authority to get a new meter installed. She was happy;6/8-Shaun made a note as "Customer paid via EFT and left review", whereas no review pic/notes available.</t>
  </si>
  <si>
    <t>72142/87072914</t>
  </si>
  <si>
    <t>4/8-As per Shaun's note "12th sept 2025 return for both toilet reseal."</t>
  </si>
  <si>
    <t>72022/86418937</t>
  </si>
  <si>
    <t>72075/72036/86428803</t>
  </si>
  <si>
    <t>6/8-WIP by Mathew H;5/8-As per Shaun's note "Hose stuck, customer trying to cancel, attending tomorrow to try and save"</t>
  </si>
  <si>
    <t>8/8-Customer cancelled and needs full refund (maybe charge a lil cancellation fee);6/8-As per Shaun's note "Booked in with a us leak detect, waiting for time and date to return for testing"</t>
  </si>
  <si>
    <t>72142/87072981</t>
  </si>
  <si>
    <t>Vermount South</t>
  </si>
  <si>
    <t>15/8-Refund of $203.50 initiated ; 13/8-WIP by Shaun &amp; Jayden - EFT of $7585.10 initiated</t>
  </si>
  <si>
    <t>13 Aug - 45mins O/T More Than Comm's</t>
  </si>
  <si>
    <t>13 Aug - 1hr O/T More Than Comm'ns</t>
  </si>
  <si>
    <t>13 Aug - Deduct 30mins O/T; 14/8-Job completed by Mathew H by perforing temp check</t>
  </si>
  <si>
    <t>14 Aug - Deduct 0.25hrs O/T</t>
  </si>
  <si>
    <t>15/8-EFT of $749.10 initiated</t>
  </si>
  <si>
    <t>15/8-EFT of $1251.80 initiated</t>
  </si>
  <si>
    <t>5% - 13 Aug</t>
  </si>
  <si>
    <t>13/08 - WIP &amp; Completed by Jack Mc - EFT processed for $2298.39</t>
  </si>
  <si>
    <t>72203/87098972</t>
  </si>
  <si>
    <t>11/8-As per Shaun's note "Commercial jet sold and booking for Wednesday 13th August, calling Lenard’s to organise equipment now"</t>
  </si>
  <si>
    <t>13/8-WIP by Shaun &amp; Daniel B</t>
  </si>
  <si>
    <t>15/8-WIP &amp; Completed by Matthew</t>
  </si>
  <si>
    <t>72366/72321</t>
  </si>
  <si>
    <t>18/8-WIP by Tolga;15/8-EFT of $3000 initiated</t>
  </si>
  <si>
    <t>72203/87100282</t>
  </si>
  <si>
    <t>72240/87100316</t>
  </si>
  <si>
    <t>Ferntee Gully</t>
  </si>
  <si>
    <t xml:space="preserve">Preston </t>
  </si>
  <si>
    <t>1x Jayden,</t>
  </si>
  <si>
    <t>19 Aug - JLS Electrical - Job #72302</t>
  </si>
  <si>
    <t>72299/87145949</t>
  </si>
  <si>
    <t>19/8-EFT of $2949.10 initiated;18/8-WIP by Jayden &amp; Shaun</t>
  </si>
  <si>
    <t>19/8-WIP by Jayden;18/8-WIP by Shaun</t>
  </si>
  <si>
    <t>22/08 CB22/08</t>
  </si>
  <si>
    <t>72381/72523</t>
  </si>
  <si>
    <t>22/08-CB WIP &amp; Completed by Heath - "Just replaced other water connection. Customer happy" - ISSUE: "Leaking in Washing machine taps"</t>
  </si>
  <si>
    <t>18 Aug - Deduct 30mins</t>
  </si>
  <si>
    <t>72404/87194461</t>
  </si>
  <si>
    <t xml:space="preserve">1/9 CB1/9 20/08/2025 </t>
  </si>
  <si>
    <t>72398/72783</t>
  </si>
  <si>
    <t>19 Aug - Deduct - 1.25hrs; 1/9-CB by Jayden-CB reason- Customer now has a leak on the roof, as after last rain the bedroom ceiling has started to stain.-CB outcome-;19/8-WIP &amp; Job completed by Jayden &amp; Shaun</t>
  </si>
  <si>
    <t>30/10 CB29/10</t>
  </si>
  <si>
    <t>72464/72497/73583/74904</t>
  </si>
  <si>
    <t>29/10-CB by Matthew-CB reason-Water keeps running from toilet, won't flush properly-CB outcome-;24/9-CB reason-Toilet wont stop flushing</t>
  </si>
  <si>
    <t>25/8 CB25/8</t>
  </si>
  <si>
    <t>25/8-CB by Elliot-CB reason-Attended site for low pressure from tap-CB outcome-Removed flexi hoses to check pressure</t>
  </si>
  <si>
    <t>21/8-Job Completed by Shaun &amp; Aden</t>
  </si>
  <si>
    <t>21 Aug - Paying 1.25hrs O/T</t>
  </si>
  <si>
    <t>72531/72432</t>
  </si>
  <si>
    <t>29 Aug - Refund - $65; 25/8-Refund of $65 initiated for customer satisfaction ; 22/8-EFT of $1126.62 initiated</t>
  </si>
  <si>
    <t>25/08-Temp check completed by Daniel B ; 23/08-WIP by Shaun, Jayden</t>
  </si>
  <si>
    <t>21/8-WIP by Matthew; 20/8-WIP by Daniel B;19/8-WIP by Aden &amp; received $7000 by EFT and $4000 by Smartpay;18/8-WIP by Tolga;15/8-EFT of $3000 initiated</t>
  </si>
  <si>
    <t>5% - 25 Aug - Cancelled</t>
  </si>
  <si>
    <t>5% - 25 Aug Cancelled - Dispute</t>
  </si>
  <si>
    <t>29 Aug - Refund - $240; 23/7-As per Shaun's note "Booking leak detect, trying for tomorrow or Monday, cannot do Thursday."</t>
  </si>
  <si>
    <t>72544/72518</t>
  </si>
  <si>
    <t>25/8-Refund of $614.10 initiated for customer satisfaction and overpayment ; 22/8-WIP by Matthew</t>
  </si>
  <si>
    <t>20/8-Job completed by Alex &amp; collected payment of $5055.43 by Smartpay;13/8-WIP by Shaun &amp; Daniel B</t>
  </si>
  <si>
    <t>20/8-Ben completed the job by performing temp check;15/8-WIP by Matthew</t>
  </si>
  <si>
    <t>72299/87180753</t>
  </si>
  <si>
    <t>72404/87195375</t>
  </si>
  <si>
    <t>29 Aug - Refund - $507; 25/8-Refund of $507 initiated ; 21/8-Job Cancelled - Scheduled for Mathew H-Replace both toilets</t>
  </si>
  <si>
    <t>72505/87232431</t>
  </si>
  <si>
    <t>72505/87233251</t>
  </si>
  <si>
    <t>Mount Evelyn</t>
  </si>
  <si>
    <t xml:space="preserve">Brunswick West </t>
  </si>
  <si>
    <t>72563/72552</t>
  </si>
  <si>
    <t>72569/87251393</t>
  </si>
  <si>
    <t>25 Aug - Cancelled</t>
  </si>
  <si>
    <t>72570/72565</t>
  </si>
  <si>
    <t>27/8-As per Shaun's note "Attended to get signatures for invoicing and close job, no one answering door despite the 4 cars parked onsite….";25/8-Job cancelled-As per Shaun's note "Payment plan canceled, need to return for signature on invoice and two pics of meter testing" ;24/08 - Scheduled for Mathew H, Jayden ; 23/08-WIP by Jayden, Shaun</t>
  </si>
  <si>
    <t>0.5x for Tolga,Jayden &amp; Alex</t>
  </si>
  <si>
    <t>27/8 - Reece - 1015526287 - Job 050002</t>
  </si>
  <si>
    <t>1/9 - Bunnings - 6363/01156666 - Job 72783</t>
  </si>
  <si>
    <t>72562/87255406/73604</t>
  </si>
  <si>
    <t>24/9-CB by Shaun-CB reason-Shower is trickling and draining poorly - kitchen did the same on the day but got fixed immediately but shower needs to be fixed-CB outcome-Poured acid down the drain and fixed the issue, resolved and no further problems on site, customers EXTREMELY happy with us</t>
  </si>
  <si>
    <t>72664/72650/87285262</t>
  </si>
  <si>
    <t>27/8-Job completed by Alex &amp; WIP by Shaun &amp; Tolga</t>
  </si>
  <si>
    <t>19/9 CB19/9</t>
  </si>
  <si>
    <t>19/9-CB by Shaun-CB reason-One of the installed toilets is now leaking-CB outcome-Inland valve, adjusted slightly higher than overflow of outlet flush valve. Adjusted inlet valve to now fill 15 mil lower than the flush valve.;29/8-Job completed by Jayden</t>
  </si>
  <si>
    <t xml:space="preserve">Balwyn </t>
  </si>
  <si>
    <t>5% - 20 Aug</t>
  </si>
  <si>
    <t>29 Aug - Refund - $614.10; 25/8-Refund of $614.10 initiated for customer satisfaction and overpayment ; 22/8-WIP by Matthew</t>
  </si>
  <si>
    <t>72584/72562/87255406</t>
  </si>
  <si>
    <t>1/9-WIP by Jayden;28/8-WIP by Alex,Jayden &amp; Shaun;27/8-Inspection booked for 28/8;26/8-WIP by Mathew H &amp; Jayden;25/8-WIP by Jayden</t>
  </si>
  <si>
    <t>5% - 1 Sept</t>
  </si>
  <si>
    <t>72607/87283037</t>
  </si>
  <si>
    <t>72550/87294451</t>
  </si>
  <si>
    <t>29/8-Refunded $144 to customer-WIP by Jayden</t>
  </si>
  <si>
    <t>1.5x for Will Dower</t>
  </si>
  <si>
    <t>28 Aug - Ailbaba - Job 72290</t>
  </si>
  <si>
    <t>72859/72835/87367891</t>
  </si>
  <si>
    <t>2/9-Job completed by Shaun &amp; Will Dower ;1/9-WIP by Jayden &amp; Shaun</t>
  </si>
  <si>
    <t>72856/87370433</t>
  </si>
  <si>
    <t>72856/87371415</t>
  </si>
  <si>
    <t>1 Sept - Paying 2.25hrs O/T</t>
  </si>
  <si>
    <t xml:space="preserve">Doncaster </t>
  </si>
  <si>
    <t>17/9-Special instruction mentioned as "Previous quote and works";3/9-Job completed by Shaun &amp; Will;2/9-Leak detection booked for 3/9</t>
  </si>
  <si>
    <t xml:space="preserve">Templestowe </t>
  </si>
  <si>
    <t>2/9-Job completed by Tolga &amp; Shaun</t>
  </si>
  <si>
    <t>3/9-Job completed by Shaun &amp; Will</t>
  </si>
  <si>
    <t xml:space="preserve">Kew </t>
  </si>
  <si>
    <t xml:space="preserve"> CB8/9-Dispute</t>
  </si>
  <si>
    <t>72942/73019/72920</t>
  </si>
  <si>
    <t>30/9-Refunded $2000 to customer due to complaint;8/9-CB by Shaun &amp; Will Dower-CB reason-fixed water pressure issue but now its worse then it was before-CB outcome-Customer wants refund;3/9-Job completed by Shaun &amp; Will</t>
  </si>
  <si>
    <t>5/9-Job completed by Mathew H;4/9-WIP by Mathew H</t>
  </si>
  <si>
    <t xml:space="preserve">Hawthorn </t>
  </si>
  <si>
    <t>5/9-As per Shaun's note "Free drain inspection, all clear and brand new PVC recently smoked by metro so didn’t want any further works"</t>
  </si>
  <si>
    <t>73031/73010/87429066</t>
  </si>
  <si>
    <t>6/9-Job completed by Elliot</t>
  </si>
  <si>
    <t>5/9-Job completed by Shaun;4/9-Quote under Jarrod</t>
  </si>
  <si>
    <t>5% - No Comm'ns  - Dispute</t>
  </si>
  <si>
    <t>2/10-Junior to collect payment</t>
  </si>
  <si>
    <t>21 Aug - Humm P/P; 20/8-Ben completed the job by performing temp check;15/8-WIP by Matthew</t>
  </si>
  <si>
    <t>73006/87423611</t>
  </si>
  <si>
    <t>8/9-Job completed with 5 star rating obtained by Shaun &amp; received $2239.10 by Smartpay;4/9-Need to rebook leak detection</t>
  </si>
  <si>
    <t>72856/87373054</t>
  </si>
  <si>
    <t>2 Sept - Refund Offered of $2,158</t>
  </si>
  <si>
    <t>72898/87395652</t>
  </si>
  <si>
    <t>72846/87397739</t>
  </si>
  <si>
    <t>72957/87412680</t>
  </si>
  <si>
    <t>0.5x Will Dower</t>
  </si>
  <si>
    <t>73074/87445360/73006</t>
  </si>
  <si>
    <t>8/9-Job completed by Shaun &amp; Tolga</t>
  </si>
  <si>
    <t>73150/73137/87464242</t>
  </si>
  <si>
    <t>9/9-Job completed by Daniel B &amp; WIP by Shaun &amp; Will Dower</t>
  </si>
  <si>
    <t>Wonga Park</t>
  </si>
  <si>
    <t>73160/87467527</t>
  </si>
  <si>
    <t>10% - 15 Sept</t>
  </si>
  <si>
    <t>15/9-WIP by Rylee &amp; amount of $7875.40 received by SMartpay;12/9-Job completed by Rylee;11/9-WIP by Shaun,Will Dower, Tolga &amp; Rylee;10/9-WIP by Tolga &amp; Rylee-Inspection booked at 11/9 (Thursday);9/9-WIP by Shaun,Will D,Tolga &amp; Rylee</t>
  </si>
  <si>
    <t>11/9-As per Dragon's note "No answer, unable to leave vm."</t>
  </si>
  <si>
    <t>10% - IPP</t>
  </si>
  <si>
    <t>11/9-As per Shaun's note "Customer paying privately in instalments over next 2.5 months"</t>
  </si>
  <si>
    <t>73232/73222/87492708</t>
  </si>
  <si>
    <t>15/9-Job completed by Elliot &amp; received $1665.10 by Smartpay</t>
  </si>
  <si>
    <t>73255/73115/87456816</t>
  </si>
  <si>
    <t>15/9-WIP by Tolga &amp; Rylee;13/9-WIP by Jayden;12/9-WIP by Jack</t>
  </si>
  <si>
    <t>15/9-Job completed by doing temp check by Elliot;12/9-WIP by Shaun &amp; Rylee</t>
  </si>
  <si>
    <t>73074/87448045/73006</t>
  </si>
  <si>
    <t>73182/87477236</t>
  </si>
  <si>
    <t>73182/87473419</t>
  </si>
  <si>
    <t>73225/73210/87488389</t>
  </si>
  <si>
    <t>16/9-Scheduled to Shaun;11/8-Rebooked for Wednesday-WIP by Shaun &amp; Will</t>
  </si>
  <si>
    <t>5% Comm'ns Paid - 1 Oct</t>
  </si>
  <si>
    <t>18/9 -  Reece - 1016149537 - Job 050002 (Stock)</t>
  </si>
  <si>
    <t xml:space="preserve">18/9-Job completed by Daniel by performing temp check;17/9-WIP by Shaun &amp; Daniel </t>
  </si>
  <si>
    <t>19/9-Job completed by Shaun &amp; WIP by Matthew</t>
  </si>
  <si>
    <t>10% - 16 Sept</t>
  </si>
  <si>
    <t>22/9-WIP by Tolga &amp; Alex;19/9-WIP by Rylee &amp; Tolga;18/9-WIP by Rylee,Tolga &amp; Jack &amp; received $2000 by Smartpay;16/9-WIP by Tolga;15/9-WIP by Tolga &amp; Rylee;13/9-WIP by Jayden;12/9-WIP by Jack</t>
  </si>
  <si>
    <t>Vermont</t>
  </si>
  <si>
    <t>5% Comm'ns W/E - 21st Sept</t>
  </si>
  <si>
    <t>25/9 - Reece - 1016346825 - Job 050002</t>
  </si>
  <si>
    <t>29/9 -  Reece - CN -840615628 - Job 73434</t>
  </si>
  <si>
    <t>24/9-Temp check performed &amp; job completed by Riley;22/9-WIP by Shaun &amp; Matthew</t>
  </si>
  <si>
    <t>23/9-Job completed by Will Dower &amp; Shaun-Madison Thomas noted as "Will received 5 stars" whereas pic uploaded by Shaun &amp; customer has made 5 star rating only for Shaun. AA to confirm whether 5 star rating to be split.</t>
  </si>
  <si>
    <t xml:space="preserve">CB24/924/9 </t>
  </si>
  <si>
    <t>24/9-CB by Riley &amp; Eric-CB reason-plumber played around with it to leaking tap in the bathroom-CB outcome-Spindle was damaged beyond repair and required replacement of spindle did as a customer satisfaction</t>
  </si>
  <si>
    <t>24/9-Temp check performed &amp; Job completed by Will Dower;23/9-WIP by Shaun</t>
  </si>
  <si>
    <t>24/9-Job complered by Riley &amp; Shaun</t>
  </si>
  <si>
    <t>73641/87654765</t>
  </si>
  <si>
    <t>Deepdene</t>
  </si>
  <si>
    <t>25/9-WIP by Shaun</t>
  </si>
  <si>
    <t>25/9-WIP by Tolga &amp; Rylee;24/9-WIP by Tolga,Rylee &amp; Jayden;23/9-WIP by Jayden &amp; Alex;22/9-WIP by Tolga,Rylee,Eric &amp; Alex;19/9-WIP by Rylee &amp; Tolga;18/9-WIP by Rylee,Tolga &amp; Jack &amp; received $2000 by Smartpay;16/9-WIP by Tolga;15/9-WIP by Tolga &amp; Rylee;13/9-WIP by Jayden;12/9-WIP by Jack</t>
  </si>
  <si>
    <t>Bayswater North</t>
  </si>
  <si>
    <t>73594/87638662</t>
  </si>
  <si>
    <t>73610/87649973</t>
  </si>
  <si>
    <t>73641/87653964</t>
  </si>
  <si>
    <t>73641/87655906</t>
  </si>
  <si>
    <t xml:space="preserve">Ringwood </t>
  </si>
  <si>
    <t>O/T=4.5hrs</t>
  </si>
  <si>
    <t>29 Sept - WIP &amp; Completed by Alex</t>
  </si>
  <si>
    <t>2/10-Job completed by Alex;29/9-Scheduled for 2nd Oct</t>
  </si>
  <si>
    <t>10% - 3 Oct</t>
  </si>
  <si>
    <t>2/10-Mentioned as job completed by Rylee-Job pics not uploaded</t>
  </si>
  <si>
    <t>2/10-Job completed by Riley</t>
  </si>
  <si>
    <t>PREVIOUS JOBS COMPLETED &amp; PAID (COMMISSION) - Modoras Team Please do ADD to THIS SECTION or AMEND/TOUCH - 5% Comm'ns</t>
  </si>
  <si>
    <t>PREVIOUS JOBS COMPLETED &amp; PAID (COMMISSION) - Modoras Team Please do ADD to THIS SECTION or AMEND/TOUCH - 10% Comm'ns</t>
  </si>
  <si>
    <t>10% - 2 Oct</t>
  </si>
  <si>
    <t>3/10-Job completed by Tolga,WIP by Rylee &amp; Shaun;2/10-WIP by Tolga,Jayden,Alex and Rylee &amp; received $4078.39 by Smartpay;30/9-WIP by Tolga &amp; Rylee;25/9-WIP by Tolga &amp; Rylee;24/9-WIP by Tolga,Rylee &amp; Jayden;23/9-WIP by Jayden &amp; Alex;22/9-WIP by Tolga,Rylee,Eric &amp; Alex;19/9-WIP by Rylee &amp; Tolga;18/9-WIP by Rylee,Tolga &amp; Jack &amp; received $2000 by Smartpay;16/9-WIP by Tolga;15/9-WIP by Tolga &amp; Rylee;13/9-WIP by Jayden;12/9-WIP by Jack</t>
  </si>
  <si>
    <t>10% - No Comm'ns - Dispute</t>
  </si>
  <si>
    <t>10% - 6 Oct - Dispute</t>
  </si>
  <si>
    <t>74031/73961/87810443</t>
  </si>
  <si>
    <t>3/10-Temp check performed &amp; job completed by Jack and WIP by Shaun-Customer gave 1 star rating.</t>
  </si>
  <si>
    <t>73887/73863/87747286</t>
  </si>
  <si>
    <t>2/10-WIP by Tolga &amp; Rylee-Pics not uploaded;1/10-WIP by Jayden,Matthew &amp; Shaun</t>
  </si>
  <si>
    <t>3/10-Junior to collect payment;11/8-As per Shaun's note "Commercial jet sold and booking for Wednesday 13th August, calling Lenard’s to organise equipment now"</t>
  </si>
  <si>
    <t>Warranwood</t>
  </si>
  <si>
    <t>15 Oct - 10% will be paid out upon Completion of Job #74278 &amp; Achieving 5 x 5 Star Reviews</t>
  </si>
  <si>
    <t>8/10 - Reece - Inv #1016692523 - Job 73610</t>
  </si>
  <si>
    <t>9/10-Job completed by Aden &amp; WIP by Wiill Dower</t>
  </si>
  <si>
    <t>Croydon North</t>
  </si>
  <si>
    <t>15/10-Shaun forwarded job findings</t>
  </si>
  <si>
    <t xml:space="preserve">Croydon </t>
  </si>
  <si>
    <t>74250/74237/87878968</t>
  </si>
  <si>
    <t>10/10-Job completed by Tolga;9/10-WIP by Shaun &amp; Tolga</t>
  </si>
  <si>
    <t>74265/74249/87884524</t>
  </si>
  <si>
    <t>13/10-WIP by Matthew ;11/10-WIP by Will Dower;10/10-WIP by Daniel,Tolga &amp; Matthew;9/10-WIP by Shaun,Daniel &amp; Eric</t>
  </si>
  <si>
    <t>10% - 16 Oct</t>
  </si>
  <si>
    <t>74278/74242/87894814</t>
  </si>
  <si>
    <t>16 Oct - Completed by Daniel; 13/10-Scheduled to Riley;10/10-WIP by Jack &amp; Nicholas</t>
  </si>
  <si>
    <t>74324/74276/87917346</t>
  </si>
  <si>
    <t>10/10-WIP by Shaun &amp; Nicholas</t>
  </si>
  <si>
    <t>13/10-5 star rating obtained by Shaun-Job completed by Shaun &amp; Eric-Rceived balance amount of $1842.39 by Podium</t>
  </si>
  <si>
    <t>Croydon Hills</t>
  </si>
  <si>
    <t>Coldstream</t>
  </si>
  <si>
    <t>74308/87924785</t>
  </si>
  <si>
    <t>After Hrs/SAT</t>
  </si>
  <si>
    <t>10% Comm'ns - W/E 12th Oct 2025</t>
  </si>
  <si>
    <t>15/10 - Reece - 1016901455 - Job 050002</t>
  </si>
  <si>
    <t>21/10 - Reece - 1017073503 - Job 050002 Stock</t>
  </si>
  <si>
    <t>13/10-Job completed by Shaun &amp; Eric</t>
  </si>
  <si>
    <t>74417/74347/87951608</t>
  </si>
  <si>
    <t>13/10-WIP by Shaun &amp; Eric</t>
  </si>
  <si>
    <t>After Hrs</t>
  </si>
  <si>
    <t>74430/74422/87954725</t>
  </si>
  <si>
    <t xml:space="preserve">13/10-Job completed by Will Dower &amp; WIP by Shaun </t>
  </si>
  <si>
    <t>15 Oct - Paid Dispute</t>
  </si>
  <si>
    <t>74450/74375/87963016</t>
  </si>
  <si>
    <t>25/10-Ben at site;22/10-Customer gave 1 star rating;15/10-Job completed by Jack;14/10-WIP by Alex,Jack &amp; Shaun</t>
  </si>
  <si>
    <t>14/10-Customer wants job findings</t>
  </si>
  <si>
    <t>74502/74490/87990058</t>
  </si>
  <si>
    <t>74608/74586/88036224</t>
  </si>
  <si>
    <t>15/10-Shaun to do recamera;14/10-Customer tp pay after seeing the proof of work done</t>
  </si>
  <si>
    <t>14/10-Job completed by Matthew &amp; to collect payment &amp; WIP by Tolga;13/10-WIP by Matthew ;11/10-WIP by Will Dower;10/10-WIP by Daniel,Tolga &amp; Matthew;9/10-WIP by Shaun,Daniel &amp; Eric</t>
  </si>
  <si>
    <t>74329/87948250</t>
  </si>
  <si>
    <t>74476/74418/87966167</t>
  </si>
  <si>
    <t>74549/88009506</t>
  </si>
  <si>
    <t>74544/88015485</t>
  </si>
  <si>
    <t>29 Oct - 10% will be paid out upon Completion of Job #74652 &amp; Achieving 5 x 5 Star Reviews</t>
  </si>
  <si>
    <t>23/10 - Reece - CN 844014392 - Job 74278</t>
  </si>
  <si>
    <t>28/10 - Reece - CN 825311203 - Job 74278</t>
  </si>
  <si>
    <t>1/11 - Reece - CN 825311219 - Job 74278</t>
  </si>
  <si>
    <t>74623/74580/88922687</t>
  </si>
  <si>
    <t>22/10-Job completed by Shaun;20/10-WIP by Shaun &amp; Eric</t>
  </si>
  <si>
    <t>74716/74679/88940558</t>
  </si>
  <si>
    <t>74669/75013</t>
  </si>
  <si>
    <t>31/10-CB by Jack-CB reason-Cistern for toilet valve is leaking -CB outcome-Found inlet valve to be set practically at the bottom of the cistern and barely any water filling the cistern. Have adjusted the inlet valve correctly so that it can reach a full flush. Have tested several times and found to be operating correctly. Client is now happier.</t>
  </si>
  <si>
    <t>10% - No Comm'ns</t>
  </si>
  <si>
    <t>27/10-As per Jason's note "Call went to vm, sent inv via eml"</t>
  </si>
  <si>
    <t>10% - 27 Oct</t>
  </si>
  <si>
    <t>27/10-Job completed by Riley;21/10-Job scheduled for 27/10</t>
  </si>
  <si>
    <t>74625/88929420</t>
  </si>
  <si>
    <t>74783/74721/88972321</t>
  </si>
  <si>
    <t>23/10-Customer wants to cancel appointment</t>
  </si>
  <si>
    <t>74799/74763/88975206</t>
  </si>
  <si>
    <t>23/10-Customer cancelled the job-WIP by Will Dower &amp; Shaun</t>
  </si>
  <si>
    <t>0.5x Will Dower,0.5x Matthew,0.5x Junior</t>
  </si>
  <si>
    <t>10% Comm'ns - W/E - 26th Oct 2025</t>
  </si>
  <si>
    <t>29/10 - Reece - 1017327921 - Job 050002</t>
  </si>
  <si>
    <t>29/10 - Reece - 1017309577 - Job 74904</t>
  </si>
  <si>
    <t>3/11 - Reece - 1017429612 - Job 050002 (STOCK)</t>
  </si>
  <si>
    <t>27/10-Job completed by Will Dower &amp; WIP by Shaun</t>
  </si>
  <si>
    <t>28/10-Job completed by Will Dower;27/10-WIP by by Will Dower &amp; Shaun</t>
  </si>
  <si>
    <t>74929/74843/89026024</t>
  </si>
  <si>
    <t>29/10-Job completed by Junior &amp; Matthew and WIP by Rylee,Daniel  &amp; Tolga</t>
  </si>
  <si>
    <t>75020/74956/89108436</t>
  </si>
  <si>
    <t>31/10-Job completed by Tolga &amp; WIP by Shaun,George &amp; Nicholas</t>
  </si>
  <si>
    <t>75045/75025/89124438</t>
  </si>
  <si>
    <t>75000/74958/89081583</t>
  </si>
  <si>
    <t>3/11-WIP by Shaun &amp; George;30/10-WIP by Shaun &amp; George</t>
  </si>
  <si>
    <t>5/11-Temp check scheduled;31/10-WIP by Shaun,Matthew &amp; Will Dower</t>
  </si>
  <si>
    <t>74839/89016330</t>
  </si>
  <si>
    <t>74872/89020774</t>
  </si>
  <si>
    <t>74843/89037800</t>
  </si>
  <si>
    <t>74896/89042219</t>
  </si>
  <si>
    <t>30/10-Customer cancelled job;29/10-WIP by Shaun &amp; WIP by George</t>
  </si>
  <si>
    <t>75001/89122730</t>
  </si>
  <si>
    <t>3/11-Job completed by Daniel C &amp; WIP by Nicholas,Shaun &amp; George</t>
  </si>
  <si>
    <t>3/11-WIP by Shaun,Campbell,George &amp; Riley</t>
  </si>
  <si>
    <t>75072/89145271</t>
  </si>
  <si>
    <t>70765/85802398</t>
  </si>
  <si>
    <t>13/06 - WIP&amp;Completed by Tolga</t>
  </si>
  <si>
    <t>24 Jun  - A2Z Traffice - Job 70015</t>
  </si>
  <si>
    <t>01 Jul - Reece - 1013915748 - Stock</t>
  </si>
  <si>
    <t>14/07-Bunnings-Inv # 6403/01166728-Job #000000</t>
  </si>
  <si>
    <t>O/T=9.25hrs</t>
  </si>
  <si>
    <t>73710/87705990</t>
  </si>
  <si>
    <t>Manor Lakes</t>
  </si>
  <si>
    <t>73716/87709355</t>
  </si>
  <si>
    <t>29/9-Job completed by Junior</t>
  </si>
  <si>
    <t>30 Sept - Deduct 1.25hrs O/T</t>
  </si>
  <si>
    <t>1 Oct - Deduct 1.25hrs</t>
  </si>
  <si>
    <t>73925/87780421</t>
  </si>
  <si>
    <t>73925/87780443</t>
  </si>
  <si>
    <t>2 Oct - Paying 45mins O/T</t>
  </si>
  <si>
    <t>73911/73790/87751514</t>
  </si>
  <si>
    <t>3/10-Job completed by Junior;2/10-Scheduled to Jayden &amp; Alex;1/10-WIP by Alex</t>
  </si>
  <si>
    <t>73766/73716/87712175</t>
  </si>
  <si>
    <t>6/10-WIP by Rylee,Elliot &amp; Tolga;30/9-WIP by Riley &amp; Eric;29/9-WIP by Will Dower</t>
  </si>
  <si>
    <t>73775/73716/87713434</t>
  </si>
  <si>
    <t>3/10-WIP by Aden</t>
  </si>
  <si>
    <t>73854/73819/87730868</t>
  </si>
  <si>
    <t>6/10-Customer wants to put the job on hold;2/10-Shower reseal scheduled to Junior</t>
  </si>
  <si>
    <t>73630/87708181</t>
  </si>
  <si>
    <t>73872/87748709</t>
  </si>
  <si>
    <t>73872/87748890</t>
  </si>
  <si>
    <t>73903/87764924</t>
  </si>
  <si>
    <t>74201/74076/87863064</t>
  </si>
  <si>
    <t>9/10-WIP by Nicholas &amp; received $11102.50 by EFT;8/10-WIP by Jack &amp; Nicholas;7/10-WIP by Matthew;6/10-WIP by Rylee,Elliot &amp; Tolga-EFT of $9000 received;30/9-WIP by Riley &amp; Eric;29/9-WIP by Will Dower</t>
  </si>
  <si>
    <t>5% - 13 Oct</t>
  </si>
  <si>
    <t>5% - 7 Oct - Cancelled</t>
  </si>
  <si>
    <t>13/10-Job completed by Junior &amp; received $1038.90 by Smartpay</t>
  </si>
  <si>
    <t>74083/87840736</t>
  </si>
  <si>
    <t>74083/87841386</t>
  </si>
  <si>
    <t>Burnside Heights</t>
  </si>
  <si>
    <t>Mount Albert North</t>
  </si>
  <si>
    <t>16 Oct - Paying a Further 2hrs O/T; 14 Oct - Paying 45mins O/T</t>
  </si>
  <si>
    <t>16/10-Job completed by Junior</t>
  </si>
  <si>
    <t>15 Oct - Paying 2.25hrs O/T</t>
  </si>
  <si>
    <t>15 Oct - Paying 30mins O/T</t>
  </si>
  <si>
    <t>74538/74482/87992378</t>
  </si>
  <si>
    <t>16 Oct - Deduct 15mins O/T</t>
  </si>
  <si>
    <t>17 Oct - Paying 1hr O/T</t>
  </si>
  <si>
    <t>13 Oct - Paying 1.75hrs O/T</t>
  </si>
  <si>
    <t>74589/74574/88023459</t>
  </si>
  <si>
    <t>17/10-Customer asked to put job on hold</t>
  </si>
  <si>
    <t>17/10-As per Junior's note "Could not find a bbq conversion kit for this because it’s commercial unit. Will try contact commercial places asap to find out"</t>
  </si>
  <si>
    <t>74147/74387/87963477</t>
  </si>
  <si>
    <t>74457/87973775</t>
  </si>
  <si>
    <t>74457/87973804</t>
  </si>
  <si>
    <t>14/10-Refunded COF of $203.50 to customer</t>
  </si>
  <si>
    <t>74389/8776163</t>
  </si>
  <si>
    <t>74507/87995250</t>
  </si>
  <si>
    <t>74499/87997977</t>
  </si>
  <si>
    <t>74536/88012051</t>
  </si>
  <si>
    <t>74606/88041288</t>
  </si>
  <si>
    <t>29 Oct - 10% will be paid out upon Achieving 5 x 5 Star Reviews</t>
  </si>
  <si>
    <t>28/10 - Bunnings - 6042/00132499 - Job 000000</t>
  </si>
  <si>
    <t>1/11 - Reece - CN 825311219 - Job 73766</t>
  </si>
  <si>
    <t>74673/74647/88929315</t>
  </si>
  <si>
    <t>20 Oct - Paying 1.75hrs O/T</t>
  </si>
  <si>
    <t>74691/74658/88935286</t>
  </si>
  <si>
    <t>21/10-WIP by Junior &amp; Tolga</t>
  </si>
  <si>
    <t>21 Oct - Paying 1.25hrs O/T</t>
  </si>
  <si>
    <t>21 Oct - Paying 2hrs O/T</t>
  </si>
  <si>
    <t>74734/88970277</t>
  </si>
  <si>
    <t>74734/88970975</t>
  </si>
  <si>
    <t>23 Oct - Deduct 15mins O/T</t>
  </si>
  <si>
    <t>74779/88989228</t>
  </si>
  <si>
    <t>74779/88991068</t>
  </si>
  <si>
    <t>5% - Dispute - No Comm'ns</t>
  </si>
  <si>
    <t>22/10-As per Zachia's note "Customer called and stated that the upsell job 74691 amount + a deposit for 74658 was all the customer needed to pay. Have Teams DSR asking for plumber to confirm this."</t>
  </si>
  <si>
    <t>74709/74591/88939315</t>
  </si>
  <si>
    <t>30/10-Job completed by Junior</t>
  </si>
  <si>
    <t>74711/88946175</t>
  </si>
  <si>
    <t>74681/88933420</t>
  </si>
  <si>
    <t>74792/88979731</t>
  </si>
  <si>
    <t>5% Comm'ns - W/E - 19th Oct 2025</t>
  </si>
  <si>
    <t>5% Comm'ns - W/E - 26th Oct 2025</t>
  </si>
  <si>
    <t xml:space="preserve">Ringwood East </t>
  </si>
  <si>
    <t>71459/86222368</t>
  </si>
  <si>
    <t>05/07 Bunnings - 6438/01519546 -Job STOCK</t>
  </si>
  <si>
    <t>71134/86004382</t>
  </si>
  <si>
    <t>Hawthron East</t>
  </si>
  <si>
    <t xml:space="preserve">3 Jul - Deduct 1.25hrs O/T; 03/07 WIP&amp;Completed by Rhys ; 02/07 WIP by Ryhs &amp; Tolga &amp; 4912 EFT </t>
  </si>
  <si>
    <t>0.5x Mathew B</t>
  </si>
  <si>
    <t>O/T=9hrs</t>
  </si>
  <si>
    <t>71824/86322760</t>
  </si>
  <si>
    <t>29/07-EFT processed for $1251.80</t>
  </si>
  <si>
    <t>5/5 stars</t>
  </si>
  <si>
    <t>1/8-As per Oscar's note "called sue back to discuss our co plaint/invoice - i have approval to give max $150 back but will try for less"</t>
  </si>
  <si>
    <t>71918/86373857</t>
  </si>
  <si>
    <t>71963/86390646</t>
  </si>
  <si>
    <t>02/08-Temp Check &amp; Job Completed by Francesco; 1/8-WIP by Rhys &amp; Mathew H</t>
  </si>
  <si>
    <t>02/08-WIP &amp; Completed by Francesco, Rhys</t>
  </si>
  <si>
    <t>71982/86393906</t>
  </si>
  <si>
    <t>Safety Beach</t>
  </si>
  <si>
    <t>4/8-As per Kylie's note "Payment owing to date 60% have paid 10% need to collect a further $14,163.93 and call Kylie so invoice can be updated";1/8-WIP by Mathew B, Daniel B, Mathew H ;31/07-Scheduled to Daniel B; 30/07-WIP by Daniel B;29/07-WIP by Daniel B;28/07 - WIP by Rhys, Daniel B - EFT delayed for $3147.54</t>
  </si>
  <si>
    <t>29 Jul - Paying 2.5hrs O/T; 1/08- Attended by Daniel to collect EFT POS ; 31/07-Scheduled for Daniel B</t>
  </si>
  <si>
    <t>Job cancelled</t>
  </si>
  <si>
    <t>Hallam</t>
  </si>
  <si>
    <t>71824/86323012</t>
  </si>
  <si>
    <t>Botanic Ridge</t>
  </si>
  <si>
    <t>31/07-As per Rhys note "Fitting wasn’t pushed in correctly.Got review to push pipe in"</t>
  </si>
  <si>
    <t>71918/86373937</t>
  </si>
  <si>
    <t>71963/86390573</t>
  </si>
  <si>
    <t>1/8-Quote duplicated.</t>
  </si>
  <si>
    <t>8 AUg - Refund - $93.50</t>
  </si>
  <si>
    <t>8 Aug - Refund - $93.50; 6/8-Refunded $93.50 to customer</t>
  </si>
  <si>
    <t>8/8 - Bunnings -  6240/09159173 - Job-UTE STOCK</t>
  </si>
  <si>
    <t>11/08 Reece - 1015056120 - Job 000000</t>
  </si>
  <si>
    <t>6/8-Job completed by Daniel B;5/8-WIP by Rhys-Scheduled for leak check on 6/8 to Daniel B</t>
  </si>
  <si>
    <t>72023/86432158</t>
  </si>
  <si>
    <t xml:space="preserve">Clyde </t>
  </si>
  <si>
    <t>72040/86435482</t>
  </si>
  <si>
    <t>8/8-Approved waiver-Waived remaining balance</t>
  </si>
  <si>
    <t>72105/72040/86436391</t>
  </si>
  <si>
    <t>6 Aug - Deduct 1hr O/T; 11 Aug - Refund - $515; 7/8-Refunded $515 to customer;6/8-WIP by Rhys-Customer asked to cancel the job &amp; wants refund</t>
  </si>
  <si>
    <t>72094/72023/86432966</t>
  </si>
  <si>
    <t>6/8-WIP by Mathew H &amp; Heath</t>
  </si>
  <si>
    <t xml:space="preserve"> CB11/8</t>
  </si>
  <si>
    <t>72189/72210</t>
  </si>
  <si>
    <t>11/8-CB by Rhys-CB reason-Blockage persists - Still sand in the line-CB outcome-Customer called to say plumber is unable to complete the job he was quoted for, said he is away there now then will call back</t>
  </si>
  <si>
    <t>8 Aug - Deduct 15mins O/T</t>
  </si>
  <si>
    <t>4/8-Job completed by Rhys &amp; Mathew H;EFT of $250 initiated</t>
  </si>
  <si>
    <t>8/8-Scheduled to Rhys;4/8-As per Kylie's note "Payment owing to date 60% have paid 10% need to collect a further $14,163.93 and call Kylie so invoice can be updated";1/8-WIP by Mathew B, Daniel B, Mathew H ;31/07-Scheduled to Daniel B; 30/07-WIP by Daniel B;29/07-WIP by Daniel B;28/07 - WIP by Rhys, Daniel B - EFT delayed for $3147.54</t>
  </si>
  <si>
    <t>4/8-Refund of $239.50 provided to customer towards his job cancellation of job.</t>
  </si>
  <si>
    <t>Pearcedale</t>
  </si>
  <si>
    <t>Cannons Creek</t>
  </si>
  <si>
    <t>0.5x Jayden</t>
  </si>
  <si>
    <t>13/8 Bunnings - 6400/01527395 - Job STOCK</t>
  </si>
  <si>
    <t>13/8-Temp check &amp; Job completed by Rhys;12/8-WIP by Jayden &amp; rhys</t>
  </si>
  <si>
    <t>18/9-CB by Will Dower-CB reason-Water is pooling up in the same spot again outside near the hot water system.-CB outcome-No notes provided;13/08-WIP &amp; Completed by Rhys, Daniel B, Aden</t>
  </si>
  <si>
    <t>13 Aug - Deduct 1.25hrs O/T</t>
  </si>
  <si>
    <t>4/9 CB4/9 23/08 CB23/08  ;  16/08/2025</t>
  </si>
  <si>
    <t>72303/72561</t>
  </si>
  <si>
    <t>4/9-CB by Daniel B-CB reason-Back fill and a wooden up stand for the front tap job completed-CB outcome-Completed by Daniel B;23/08 - CB Attended &amp; Completed by Daniel B - ISSUE: '" pipe still leaking " ; 16/8-Job completed by Daniel B;14/8-WIP by Daniel B;13/8-WIP by Rhys &amp; Daniel B</t>
  </si>
  <si>
    <t>Did a suction pump for free to get a review and at the end she said she wasn’t happy with me and wasn’t going to do a review</t>
  </si>
  <si>
    <t>15 Aug - Paid Dispute-15/10 CB15/10</t>
  </si>
  <si>
    <t>72357/72326</t>
  </si>
  <si>
    <t>29 Aug - Refund - $339.15; 14 Aug - Paying 1.25hrs O/T; 15/10-CB by Matthew-CB reason-Leak happening again around stop valve.-CB outcome-As per Matthew's note provided in S;19/8-valve we installed a week ago leaking;14/08-WIP &amp; Completed by Aden, Rhys</t>
  </si>
  <si>
    <t>15 Aug - Paying 45mins O/T</t>
  </si>
  <si>
    <t>-</t>
  </si>
  <si>
    <t>14 Aug - Paying 1hr O/T; 15/8-WIP &amp; Completed by Rhys</t>
  </si>
  <si>
    <t>16/8-Rescheduled to Monday;11/8-Scheduled to Daniel B &amp; Aden</t>
  </si>
  <si>
    <t>12 Deduct - 1.5hrs O/T; 13/8-WIP by Rhys-Customer emailed to cancel the works</t>
  </si>
  <si>
    <t>13/8-Rhys to collect payment;12/8-Rhys to collect payment</t>
  </si>
  <si>
    <t>14/08-Attenede by Rhys</t>
  </si>
  <si>
    <t>72268/87117102</t>
  </si>
  <si>
    <t>72268/87118223</t>
  </si>
  <si>
    <t>72293/87139535</t>
  </si>
  <si>
    <t>Changed a single tap washer outside for a review</t>
  </si>
  <si>
    <t>14/08 - Attended by Rhys - As per Kris's note "Tap washer was changed for free, with no approval, no photos were uploaded &amp; no notes, invoices to protect the company</t>
  </si>
  <si>
    <t>72349/87153432</t>
  </si>
  <si>
    <t>72349/87156959</t>
  </si>
  <si>
    <t>20/8 - Reece - 1015354088 - Job 72293</t>
  </si>
  <si>
    <t>20/8 - Bunnings - 6180/01563446 - Job UTE STOCK</t>
  </si>
  <si>
    <t>22/08 Reece - 1015403844 - Job 000000</t>
  </si>
  <si>
    <t>26/8 - Reece - 1015503810 - Job 000000- UTE Stock</t>
  </si>
  <si>
    <t>19/8-WIP &amp; completed by Rhys &amp; Alex</t>
  </si>
  <si>
    <t>72433/72423</t>
  </si>
  <si>
    <t>19/8-As per Kris's note "BROKE THE FLUSH ASSEMBLY. NO BEFORE OR AFTER PHOTOS"-Job completed by Alex &amp; Rhys</t>
  </si>
  <si>
    <t>21 Aug - Paid Dispute</t>
  </si>
  <si>
    <t>72356/87217409</t>
  </si>
  <si>
    <t>21/8-WIP&amp;Completed by Daniel B</t>
  </si>
  <si>
    <t>29/8-Rhys to edit invoice;27/8-As per Oscar's note "called emma who was rude af - she doesnt really have anything to do with the job - ross booked and paid - said she was going to leave a bad review"</t>
  </si>
  <si>
    <t>29/8 CB29/8 5%</t>
  </si>
  <si>
    <t>29/8-CB by Mathew H &amp; Tolga-CB reason-Hot water system is leaking down the bottom, underneath skin keeps getting wet.-CB outcome-They had a leak from a flexi hose, fixed it, they are also concerned about the very low hot water pressure as shown in photos, I tried taking off the plv and using a new one it was exactly the same, I even directly connected it without a plv and it was still exactly the same pressure wise.;22/8-WIP&amp;Completed by Daniel B</t>
  </si>
  <si>
    <t>21/08- EFT received for $280</t>
  </si>
  <si>
    <t>Crabourne West</t>
  </si>
  <si>
    <t>19 Aug - Deduct 1.25hrs O/T; 20/8-WIP by Alex</t>
  </si>
  <si>
    <t>21/08- Attended by Rhys - Customer wants to cancel the job &amp; request for refund th deposit</t>
  </si>
  <si>
    <t>72547/72515</t>
  </si>
  <si>
    <t>23/08 - Scheduled for Rhys ; 22/8-WIP by Rhys &amp; Jayden</t>
  </si>
  <si>
    <t>20/8-Rhys to collect payment;18/8-Rhys to collect payment;13/8-Rhys to collect payment;12/8-Rhys to collect payment</t>
  </si>
  <si>
    <t>20/8-Rescheduled to Jack M;16/8-Rescheduled to Monday;11/8-Scheduled to Daniel B &amp; Aden</t>
  </si>
  <si>
    <t>72353/87182356</t>
  </si>
  <si>
    <t>72368/87183556</t>
  </si>
  <si>
    <t>72368/87184744</t>
  </si>
  <si>
    <t>18/8-Customer emailed to cancel the job &amp; refund the deposit.</t>
  </si>
  <si>
    <t>72443/87215976</t>
  </si>
  <si>
    <t>72443/87215405</t>
  </si>
  <si>
    <t>72441/87220587</t>
  </si>
  <si>
    <t>0.5x Tolga Bal</t>
  </si>
  <si>
    <t>27/8 - Reece - 450830833 - Job 72356</t>
  </si>
  <si>
    <t>18 Aug - Water Leak - Job #72214</t>
  </si>
  <si>
    <t>25 Aug - Paying 30mins O/T</t>
  </si>
  <si>
    <t>2/9 CB2/9</t>
  </si>
  <si>
    <t>2/9-CB by Rhys-CB reason-Two toilets need fixing both flushes went last night.-CB outcome-Fixed everything;27/8-Job completed by Daniel B</t>
  </si>
  <si>
    <t>72629/87284403</t>
  </si>
  <si>
    <t>29 Aug - Refund - $120; 27/8-Refund of $120 provided to customer</t>
  </si>
  <si>
    <t>26 Aug - Deduct 1hr O/T</t>
  </si>
  <si>
    <t>Crabourne South</t>
  </si>
  <si>
    <t>28 Aug - 2hrs O/T More Than Comm'ns</t>
  </si>
  <si>
    <t>29/8-Job completed by Alex &amp; Aden</t>
  </si>
  <si>
    <t>3/9 CB1/9</t>
  </si>
  <si>
    <t>3/9-CB by Alex-CB reason-No hot water-CB outcome-;1/9-Job completed by Tolga by performing temp check</t>
  </si>
  <si>
    <t>19 Aug - Deduct 1.25hrs O/T; 28/8-Temp check completed by Aden;20/8-WIP by Alex</t>
  </si>
  <si>
    <t>29 Aug - Refund - $150; 21/08- Attended by Rhys - Customer wants to cancel the job &amp; request for refund th deposit</t>
  </si>
  <si>
    <t>72703/72676/87303685</t>
  </si>
  <si>
    <t>27/8-Job completed by Tolga &amp; WIP by Rhys</t>
  </si>
  <si>
    <t>27 Aug - Deduct 1.25hrs O/T</t>
  </si>
  <si>
    <t>1/9-Job completed by Mathew H &amp; received $707.60 by Smartpay;29/8-WIP by Tolga</t>
  </si>
  <si>
    <t>30/8-Rhys to collect payment;20/8-Rhys to collect payment;18/8-Rhys to collect payment;13/8-Rhys to collect payment;12/8-Rhys to collect payment</t>
  </si>
  <si>
    <t>22/8-WIP&amp;Completed by Daniel B</t>
  </si>
  <si>
    <t>1/9-WIP by Aden,Jack M &amp; Mathew H;29/8-WIP by Aden &amp; Alex;27/8-WIP by Aden &amp; Daniel B;23/08 - Scheduled for Rhys ; 22/8-WIP by Rhys &amp; Jayden</t>
  </si>
  <si>
    <t>72571/87260248</t>
  </si>
  <si>
    <t>72621/87264103</t>
  </si>
  <si>
    <t>Lynbrook</t>
  </si>
  <si>
    <t>72415/87278637</t>
  </si>
  <si>
    <t>72634/87279928</t>
  </si>
  <si>
    <t>72629/87283280</t>
  </si>
  <si>
    <t>72629/87284361</t>
  </si>
  <si>
    <t>72668/87301356</t>
  </si>
  <si>
    <t>72668/87301746</t>
  </si>
  <si>
    <t>72729/87321656</t>
  </si>
  <si>
    <t>72712/87326668</t>
  </si>
  <si>
    <t>Moorooduc</t>
  </si>
  <si>
    <t>72817/87355887</t>
  </si>
  <si>
    <t>3/9 - Reece - CN 52125937 - Job 71963</t>
  </si>
  <si>
    <t>4/9 - Bunnings -  6461/00845167- Job 72303</t>
  </si>
  <si>
    <t>5/9 - Reece - 1015802265 - Job 000000 (UTE STOCK)</t>
  </si>
  <si>
    <t>3/9-Job completed by Jayden &amp; WIP by Rhys</t>
  </si>
  <si>
    <t>3 Sept - Job Complete by Matthew H</t>
  </si>
  <si>
    <t>5/9-Job completed by Mathew H,Daniel B &amp; WIP by Rhys</t>
  </si>
  <si>
    <t>5/9-Job completed by Mathew H &amp; WIP by Rhys-EFT of $5795.4 initiated</t>
  </si>
  <si>
    <t>72943/87421846</t>
  </si>
  <si>
    <t>4 Sept - Paying 2hrs O/T; 5/9-No response from customer for the call.</t>
  </si>
  <si>
    <t>12/9-An amount of $1849.10 received through Podium;5 Sept - Obvoius that this Job was not project managed, no B4 Pics, no Deposit/Pmt, No Estimate Emailed; 5/9-Job completed by Daniel B-WIP by Rhys-Before pics not uploaded</t>
  </si>
  <si>
    <t>5 Sept - Paying 2hrs O/T</t>
  </si>
  <si>
    <t>73041/73032/87435448</t>
  </si>
  <si>
    <t>9 Sept - WIP by Matthew H; 8/9-WIP by Daniel B</t>
  </si>
  <si>
    <t>8/9-WIP by Aden,Jack M,Rhys &amp; Jayden;5/9-WIP by Aden,Jack M &amp; Jayden;4/9-WIP by Aden &amp; Jack M;3/9-WIP by Aden &amp; Mathew H-Scheduled to Tolga,Rylee,Daniel B &amp; Jack M;2/9-WIP by Aden &amp; Jack M;1/9-WIP by Aden,Jack M &amp; Mathew H;29/8-WIP by Aden &amp; Alex;27/8-WIP by Aden &amp; Daniel B;23/08 - Scheduled for Rhys ; 22/8-WIP by Rhys &amp; Jayden</t>
  </si>
  <si>
    <t>72899/87392690</t>
  </si>
  <si>
    <t>72899/87392717</t>
  </si>
  <si>
    <t>72899/87393621</t>
  </si>
  <si>
    <t>72918/87398355</t>
  </si>
  <si>
    <t>72918/87398362</t>
  </si>
  <si>
    <t>72967/87419506</t>
  </si>
  <si>
    <t>72943/87423156</t>
  </si>
  <si>
    <t>72943/87423671</t>
  </si>
  <si>
    <t>72986/87428600</t>
  </si>
  <si>
    <t>16/9 - Reece - 1016095352 - Job 000000 (Stock)</t>
  </si>
  <si>
    <t>Dingley Vilalge</t>
  </si>
  <si>
    <t>9/9-Refund of $65 provided for customer satisfaction</t>
  </si>
  <si>
    <t>8 Sept - Paying 2hrs O/T</t>
  </si>
  <si>
    <t>8 Sept - Paying 1.75hrs O/T</t>
  </si>
  <si>
    <t>11/9-Job completed by Rhys &amp; WIP by Elliot</t>
  </si>
  <si>
    <t>11 Sept - Paying 30mins O/T</t>
  </si>
  <si>
    <t>73227/73234/87493875</t>
  </si>
  <si>
    <t>5% - Cancellation [?]</t>
  </si>
  <si>
    <t>Cash/PP</t>
  </si>
  <si>
    <t>10/9-As per Joshua G's note "vm left with Lisa re payment plan"</t>
  </si>
  <si>
    <t>10 Sept - Deduct 30mins O/T; 15/9-Scheduled to Aden;11/9-Scheduled to Jack;10/9-EFT of $1500 initiated</t>
  </si>
  <si>
    <t>12/9-WIP by Will,Liam &amp; scheduled to Jack;11/9-WIP by Aden;10/9-WIP by Aden,Harrison,Will &amp; Rhys-EFT of $10000 initiated;9/9-WIP by Aden,Jack &amp; Alex;8/9-WIP by Aden,Jack M,Rhys &amp; Jayden;5/9-WIP by Aden,Jack M &amp; Jayden;4/9-WIP by Aden &amp; Jack M;3/9-WIP by Aden &amp; Mathew H-Scheduled to Tolga,Rylee,Daniel B &amp; Jack M;2/9-WIP by Aden &amp; Jack M;1/9-WIP by Aden,Jack M &amp; Mathew H;29/8-WIP by Aden &amp; Alex;27/8-WIP by Aden &amp; Daniel B;23/08 - Scheduled for Rhys ; 22/8-WIP by Rhys &amp; Jayden</t>
  </si>
  <si>
    <t>11/9-WIP by Daniel B;10/9-WIP by Rhys &amp; Daniel B-Inspection booked for Thursday (11/9);9 Sept - WIP by Matthew H &amp; Daniel B; 8/9-WIP by Daniel B</t>
  </si>
  <si>
    <t>73056/87449129</t>
  </si>
  <si>
    <t>73092/87449893</t>
  </si>
  <si>
    <t>73058/87450449</t>
  </si>
  <si>
    <t>73064/87452198</t>
  </si>
  <si>
    <t>Crib Point</t>
  </si>
  <si>
    <t>73117/87465677</t>
  </si>
  <si>
    <t>73117/87466490</t>
  </si>
  <si>
    <t>73205/87479760</t>
  </si>
  <si>
    <t>Blind Bight</t>
  </si>
  <si>
    <t>73248/73234/87493875</t>
  </si>
  <si>
    <t>18/9 - Bunnings - 6427/01518911 - Job 72289</t>
  </si>
  <si>
    <t>19/9 - Reece - 1016211950- Job 000000- UTE Stock</t>
  </si>
  <si>
    <t>23/9 - Reece - 1016267225 - Job 00000 Stock</t>
  </si>
  <si>
    <t>15 Sept - Deduct 45mins O/T</t>
  </si>
  <si>
    <t>18/9-CB by Elliot-No notes provided regarding solution;17/9-CB by Rhys-CB reason-Still leaking-CB outcome-No notes provided regarding the problem.</t>
  </si>
  <si>
    <t>11/10 CB11/10</t>
  </si>
  <si>
    <t>11/10-CB by Rhys-CB reason-Leaking again-CB outcome-No notes provided by plumber</t>
  </si>
  <si>
    <t>2/10 CB2/10 25/9 CB22/9</t>
  </si>
  <si>
    <t>73385/73375/87576378</t>
  </si>
  <si>
    <t>2/10-CB by Matthe-;25/9-CB by Daniel-CB reason-HWS rattling-CB outcome-Need to call manufacturer about instantaneous hot water service.;22 Sept - CB "tony is now having issue with the hot water system, the pipe are rattling when he turns on the hot water"; 18/9-Job completed by Rylee by peforming temp check-Scheduled for Daniel;17/9-WIP by Rhys &amp; Rylee</t>
  </si>
  <si>
    <t>17 Sept - Paying 45mins O/T; 18/9-Job completed by Daniel;17/9-WIP by Rhys</t>
  </si>
  <si>
    <t>19/09/2025-20/10 CB20/10</t>
  </si>
  <si>
    <t>20/10-CB by Daniel-CB reason-Far right burner does not ignite-CB outcome-BBQ has sufficient amounts of gas going in to cook tops.
One cook top just cannot ignite .
Customer is going to talk to the company where he had purchased the BbQ .;22/9-Scheduled to Will Dower to pick up old BBQ;19/9-Job completed by Will Dower;18/9-WIP by Rhys</t>
  </si>
  <si>
    <t>18 Sept - Paying 45mins O/T</t>
  </si>
  <si>
    <t>5% - 19 Sept - Cancellation [?]</t>
  </si>
  <si>
    <t>19 Sept - Cancelled/Waived; 10/9-As per Joshua G's note "vm left with Lisa re payment plan"</t>
  </si>
  <si>
    <t>73330/73304/87547946</t>
  </si>
  <si>
    <t>18/9-Job completed by Will Dower &amp; WIP by Rhys-Scheduled to Elliot;17/9-WIP by Will Dower,Jarrod,Daniel &amp; Jayden;16/9-WIP by Daniel &amp; Will Dower;15/9-WIP by Rhys &amp; Will Dower</t>
  </si>
  <si>
    <t>No Comm'ns - Dispute</t>
  </si>
  <si>
    <t>18/9-WIP by Daniel</t>
  </si>
  <si>
    <t>10 Sept - Deduct 30mins O/T;18/9-WIP by Rhys-Scheduled to Elliot</t>
  </si>
  <si>
    <t>19/9-WIP by Aden &amp; Jack-Pics not uploaded &amp; received $10000 by EFT;18/9-WIP by Aden &amp; Jack-Pics not uploaded;17/9-WIP by Aden &amp; Jack;16/9-WIP by Aden &amp; Jack-pics not uploaded;15/9-WIP by Aden &amp; Jack-pics not uploaded;12/9-WIP by Will,Liam &amp; scheduled to Jack;11/9-WIP by Aden;10/9-WIP by Aden,Harrison,Will &amp; Rhys-EFT of $10000 initiated;9/9-WIP by Aden,Jack &amp; Alex;8/9-WIP by Aden,Jack M,Rhys &amp; Jayden;5/9-WIP by Aden,Jack M &amp; Jayden;4/9-WIP by Aden &amp; Jack M;3/9-WIP by Aden &amp; Mathew H-Scheduled to Tolga,Rylee,Daniel B &amp; Jack M;2/9-WIP by Aden &amp; Jack M;1/9-WIP by Aden,Jack M &amp; Mathew H;29/8-WIP by Aden &amp; Alex;27/8-WIP by Aden &amp; Daniel B;23/08 - Scheduled for Rhys ; 22/8-WIP by Rhys &amp; Jayden</t>
  </si>
  <si>
    <t>15/9-Final re-camera by Rhys &amp; EFT of $5000 of initiated;11/9-WIP by Daniel B;10/9-WIP by Rhys &amp; Daniel B-Inspection booked for Thursday (11/9);9 Sept - WIP by Matthew H &amp; Daniel B; 8/9-WIP by Daniel B</t>
  </si>
  <si>
    <t>Rosebud</t>
  </si>
  <si>
    <t>73376/73288/87571508</t>
  </si>
  <si>
    <t>73375/87576378</t>
  </si>
  <si>
    <t>73384/87580617</t>
  </si>
  <si>
    <t>73446/73438/87593429</t>
  </si>
  <si>
    <t>1 Oct - 5% will be paid out upon Achieving 5 x 5 Star Reviews</t>
  </si>
  <si>
    <t>23 Sept - Deduct 1.25hrs O/T</t>
  </si>
  <si>
    <t>23/9-Job completed by Elliot</t>
  </si>
  <si>
    <t>22 Sept - Deduct 30mins O/T; 24/9-WIP by Rhys;22/9-WIP by Rhys</t>
  </si>
  <si>
    <t>IPP</t>
  </si>
  <si>
    <t>24/9-As per Kylie's note "$1019.39 final payment 9/10, $1600 today 25/9 $800 27/7 $700";23/9-WIP by Rhys &amp; Daniel</t>
  </si>
  <si>
    <t>24/9-Temp check performed &amp; job completed by Aden;23/9-WIP by Rhys,Eric &amp; Riley</t>
  </si>
  <si>
    <t>24/9-WIP by Daniel &amp; Rhys</t>
  </si>
  <si>
    <t>25/9-WIP by Daniel;24/9-WIP by Daniel;23/9-WIP by Rhys &amp; Daniel</t>
  </si>
  <si>
    <t>24/9-Job  hold</t>
  </si>
  <si>
    <t>73668/73656/87652664</t>
  </si>
  <si>
    <t>24 Sept - Deduct 1.5hrs O/T; 29/9-Scheduled to Rhys &amp; Will Dower;25/9-WIP by Rhys &amp; Will Dower;24/9-WIP by Daniel &amp; Rhys</t>
  </si>
  <si>
    <t>73636/73565/87634812</t>
  </si>
  <si>
    <t>25/9-WIP by Rhys &amp; Daniel</t>
  </si>
  <si>
    <t>25 Sept - 4hrs O/T More Than Comm'ns; 30/9-As per Kylie's note "Advised to waive GST to get the job paid and resolved customer was threatening reviews and stated we can just rip it out";25/9-WIP by Daniel</t>
  </si>
  <si>
    <t>25/9-WIP by Aden &amp; Duncan-Cash receipt in $100 bills received-Denomination not assessable;24/9-WIP by Alex,Aden,Jack &amp; Duncan;23/9-WIP by Aden,Jack &amp; Duncan;22/9-WIP by Aden,Jack &amp; Duncan;19/9-WIP by Aden &amp; Jack-Pics not uploaded &amp; received $10000 by EFT;18/9-WIP by Aden &amp; Jack-Pics not uploaded;17/9-WIP by Aden &amp; Jack;16/9-WIP by Aden &amp; Jack-pics not uploaded;15/9-WIP by Aden &amp; Jack-pics not uploaded;12/9-WIP by Will,Liam &amp; scheduled to Jack;11/9-WIP by Aden;10/9-WIP by Aden,Harrison,Will &amp; Rhys-EFT of $10000 initiated;9/9-WIP by Aden,Jack &amp; Alex;8/9-WIP by Aden,Jack M,Rhys &amp; Jayden;5/9-WIP by Aden,Jack M &amp; Jayden;4/9-WIP by Aden &amp; Jack M;3/9-WIP by Aden &amp; Mathew H-Scheduled to Tolga,Rylee,Daniel B &amp; Jack M;2/9-WIP by Aden &amp; Jack M;1/9-WIP by Aden,Jack M &amp; Mathew H;29/8-WIP by Aden &amp; Alex;27/8-WIP by Aden &amp; Daniel B;23/08 - Scheduled for Rhys ; 22/8-WIP by Rhys &amp; Jayden</t>
  </si>
  <si>
    <t>73533/73496/87612737</t>
  </si>
  <si>
    <t>73620/73538/87640644</t>
  </si>
  <si>
    <t>73530/87650142</t>
  </si>
  <si>
    <t>73642/73530/87648676</t>
  </si>
  <si>
    <t>9 Oct - 5% will be paid out when Cash is Banked</t>
  </si>
  <si>
    <t>1/10 - Reece - 1016530857 - Job 73385</t>
  </si>
  <si>
    <t>2/10 - Bunnings - 6427/01526637 - Job 73385</t>
  </si>
  <si>
    <t>2/10 - Reece - 1016537420 - Job 73385</t>
  </si>
  <si>
    <t>1/10 - Bunnings -  6221/01425068 - Job 73385</t>
  </si>
  <si>
    <t>3/10 - Reece - 1016583775 - Job 000000 (Stock)</t>
  </si>
  <si>
    <t>7/10 - Reece - CN 810347532 - jOB 73385</t>
  </si>
  <si>
    <t>29 Sept - Deduct 30mins O/T; 30/9-Temp check performed &amp; job completed by Aden;29/9-WIP by Rhys &amp; Jack</t>
  </si>
  <si>
    <t>73830/73805/87729702</t>
  </si>
  <si>
    <t>30/9-Job completed by Matthew &amp; WIP by Rhys</t>
  </si>
  <si>
    <t>1/10-Temp check performed &amp; job completed by Aden;30/9-WIP by Rhys &amp; Alex</t>
  </si>
  <si>
    <t>6/10-Will Dower at site;3/10-Rhys took pics of lagging-To collect payment;2/10-Temp check performed &amp; Job completed by Matthew;1/10-WIP by Daniel &amp; Rhys</t>
  </si>
  <si>
    <t>2/10-Temp check performed &amp; Job completed by Aden;1/10-WIP by Daniel &amp; Rhys</t>
  </si>
  <si>
    <t>1 Oct - Paying 2hrs O/T</t>
  </si>
  <si>
    <t>3/10/2025-16/10 CB16/10</t>
  </si>
  <si>
    <t>16/10-CB by Daniel-CB reason-Washing machine tap is leaking -CB outcome-Installed new trap,Re run 40mm pipe with tun dish for the PTR valve,And silicone around the spill tray. .;3/10-Temp check performed &amp; job completed by Aden;2/10-WIP by Rhys &amp; Will Dower</t>
  </si>
  <si>
    <t>7/10-Customer raised price dispute</t>
  </si>
  <si>
    <t>74022/87812178</t>
  </si>
  <si>
    <t>7/10-Rhys to explain quote to customer</t>
  </si>
  <si>
    <t>5% - Cancelled/Refunded - Dispute</t>
  </si>
  <si>
    <t>5% - Cancelled/Refunded</t>
  </si>
  <si>
    <t>5% - Cancelled - 6 Oct</t>
  </si>
  <si>
    <t>73949/73923/87773585</t>
  </si>
  <si>
    <t>3/10-Temp check performed &amp; Job completed by Daniel;2/10-WIP by Rhys &amp; Matthew</t>
  </si>
  <si>
    <t>74022/87812146</t>
  </si>
  <si>
    <t xml:space="preserve">6/10-No notes/job update provided </t>
  </si>
  <si>
    <t>5% - 1 Oct</t>
  </si>
  <si>
    <t>30/9-$1500 retained &amp; balance amount refunded to customer as goodwill;24/9-Job  hold</t>
  </si>
  <si>
    <t>24 Sept - Deduct 1.5hrs O/T; 1/10-WIP by Jack;30/9-WIP by Jack &amp; Aden;25/9-WIP by Rhys &amp; Will Dower;24/9-WIP by Daniel &amp; Rhys</t>
  </si>
  <si>
    <t>73734/73686/87706532</t>
  </si>
  <si>
    <t>73759/73717/87711581</t>
  </si>
  <si>
    <t>Hastings</t>
  </si>
  <si>
    <t>73800/87737809</t>
  </si>
  <si>
    <t>Frankston South</t>
  </si>
  <si>
    <t>73800/87737885</t>
  </si>
  <si>
    <t>Junction Village</t>
  </si>
  <si>
    <t>73894/87764168</t>
  </si>
  <si>
    <t>0.5x Daniel</t>
  </si>
  <si>
    <t>UM has advised no Comm'ns to be paid @ 14th Oct 2025</t>
  </si>
  <si>
    <t>6/10-Job completed by Will Dower &amp; WIP by Rhys</t>
  </si>
  <si>
    <t>7/10-Job completed by Daniel;6/10-WIP by Rhys &amp; Will Dower</t>
  </si>
  <si>
    <t>7/10-Job completed by Daniel &amp; WIP by Rhys</t>
  </si>
  <si>
    <t>7/10-Scheduled for saturday</t>
  </si>
  <si>
    <t>74317/87924299</t>
  </si>
  <si>
    <t>13/10-Customer wants damage report</t>
  </si>
  <si>
    <t>74114/74104/87834695</t>
  </si>
  <si>
    <t>8/10-Resealer booked for 11/10</t>
  </si>
  <si>
    <t>13/10-WIP by Daniel &amp; Will Dower;10/10-WIP by Rhys,Daniel &amp; Will Dower;9/10-WIP by Rhys &amp; Will Dower</t>
  </si>
  <si>
    <t>74302/74295/87911173</t>
  </si>
  <si>
    <t>10/10-WIP by Rhys &amp; Daniel</t>
  </si>
  <si>
    <t>13/10-Job completed by Will Dower &amp; received $2950.89 by Smartpay</t>
  </si>
  <si>
    <t>74317/87926447</t>
  </si>
  <si>
    <t>13/10-Customer wants to put job on hold;11/10-WIP by Rylee;10/10-WIP by Rhys &amp; Rylee</t>
  </si>
  <si>
    <t>5% - 8 Oct</t>
  </si>
  <si>
    <t>74180/74108/87855463</t>
  </si>
  <si>
    <t>74219/87877664</t>
  </si>
  <si>
    <t>74219/87877873</t>
  </si>
  <si>
    <t>74226/87878007</t>
  </si>
  <si>
    <t>74226/87878219</t>
  </si>
  <si>
    <t>73324/87937267</t>
  </si>
  <si>
    <t>5% Comm'ns W/E - 5th Oct</t>
  </si>
  <si>
    <t>15/10 - Reece - 1016921582 - Job 72357</t>
  </si>
  <si>
    <t>16/10 - Reece - 1016957907 - Job 73904</t>
  </si>
  <si>
    <t>17/10 - Reece - 1016973013 - Job 72547</t>
  </si>
  <si>
    <t>74398/74361/87948799</t>
  </si>
  <si>
    <t>14/10-Temp check performed &amp; job completed by Aden;13/10-WIP by Rhys &amp; Matthew</t>
  </si>
  <si>
    <t>15/10-As per Dragon's note "No answer, left vm. Sent podium link for outstanding payment."</t>
  </si>
  <si>
    <t>28/10-Jarrod at site for 1 star followup with customer;27/10-Scheduled for Elliot-Elliot following up;23/10-Elliot at customer's site;21/10-Customer gave 1 star rating-Jarrod to collect payment;24/9-As per Kylie's note "$1019.39 final payment 9/10, $1600 today 25/9 $800 27/7 $700";23/9-WIP by Rhys &amp; Daniel</t>
  </si>
  <si>
    <t>27/10-WIP by Aden;24/10-WIP by Aden,Jack &amp; Will Dower-Cash of $20000 ($100*200) received by Aden;23/10-WIP by Aden &amp; Jack;20/10-WIP by Aden;17/10-WIP by Aden &amp; Jack;16/10-WIP by Aden,Will &amp; Jack;9/10-WIP by Aden &amp; Will Dower;8/10-WIP by Aden,Will Dower &amp; Tolga;30/9-WIP by Aden &amp; Jack;29/9-WIP by Aden,Jack &amp; Duncan;25/9-WIP by Aden &amp; Duncan-Cash receipt in $100 bills received-Denomination not assessable;24/9-WIP by Alex,Aden,Jack &amp; Duncan;23/9-WIP by Aden,Jack &amp; Duncan;22/9-WIP by Aden,Jack &amp; Duncan;19/9-WIP by Aden &amp; Jack-Pics not uploaded &amp; received $10000 by EFT;18/9-WIP by Aden &amp; Jack-Pics not uploaded;17/9-WIP by Aden &amp; Jack;16/9-WIP by Aden &amp; Jack-pics not uploaded;15/9-WIP by Aden &amp; Jack-pics not uploaded;12/9-WIP by Will,Liam &amp; scheduled to Jack;11/9-WIP by Aden;10/9-WIP by Aden,Harrison,Will &amp; Rhys-EFT of $10000 initiated;9/9-WIP by Aden,Jack &amp; Alex;8/9-WIP by Aden,Jack M,Rhys &amp; Jayden;5/9-WIP by Aden,Jack M &amp; Jayden;4/9-WIP by Aden &amp; Jack M;3/9-WIP by Aden &amp; Mathew H-Scheduled to Tolga,Rylee,Daniel B &amp; Jack M;2/9-WIP by Aden &amp; Jack M;1/9-WIP by Aden,Jack M &amp; Mathew H;29/8-WIP by Aden &amp; Alex;27/8-WIP by Aden &amp; Daniel B;23/08 - Scheduled for Rhys ; 22/8-WIP by Rhys &amp; Jayden</t>
  </si>
  <si>
    <t>31/10-Job completed by Elliot-Gave discount in invoice;15/9-Final re-camera by Rhys &amp; EFT of $5000 of initiated;11/9-WIP by Daniel B;10/9-WIP by Rhys &amp; Daniel B-Inspection booked for Thursday (11/9);9 Sept - WIP by Matthew H &amp; Daniel B; 8/9-WIP by Daniel B</t>
  </si>
  <si>
    <t>20/10-Test leak has been fixed by Jarrod;8/10-Resealer booked for 11/10</t>
  </si>
  <si>
    <t>15/10-Job #74484 cancelled;13/10-Customer wants to put job on hold;11/10-WIP by Rylee;10/10-WIP by Rhys &amp; Rylee</t>
  </si>
  <si>
    <t>23/10 - Bunnings -  6400/01526946 - Job 72547</t>
  </si>
  <si>
    <t>26/10 - Bunnings -  6390/01556582 - Job 72547</t>
  </si>
  <si>
    <t>28/10 - Reece - CN 825311205 - Job 74089</t>
  </si>
  <si>
    <t>1/11 - Reece - CN 825311219 - Job 72547</t>
  </si>
  <si>
    <t>10% Comm'n W/E - 18th May 2025</t>
  </si>
  <si>
    <t>10% Comm'n W/E - 25th May 2025</t>
  </si>
  <si>
    <t>10% Comm- W/E 1st Jun 2025</t>
  </si>
  <si>
    <t>26/6-Reece-Credit note #843119730-Job #626565</t>
  </si>
  <si>
    <t>Redbank Plains</t>
  </si>
  <si>
    <t>Rochedale South</t>
  </si>
  <si>
    <t>23 June-Job completed by Lochlann &amp; Heath-As per Lochlan's note "I have taken photos of pensioner and senior cards as discount wasn’t added when taking full payment. The owners are going to be calling the office tomorrow about getting the discount and refund ("</t>
  </si>
  <si>
    <t>Moggill</t>
  </si>
  <si>
    <t>23 Jun - Deduct 45mins O/T; 23 June-As per Heath's note "Called Tom who said to give them 2-4pm window, and to use heath miller and that that would guarantee service for today. Upstairs informed me regular $55 callout is fine."</t>
  </si>
  <si>
    <t>Ashgrove</t>
  </si>
  <si>
    <t xml:space="preserve">23 Jun - Deduct - 1hr O/T; </t>
  </si>
  <si>
    <t>Everton Park</t>
  </si>
  <si>
    <t>28 Jun Refuned - $85.30.</t>
  </si>
  <si>
    <t>Coorparoo</t>
  </si>
  <si>
    <t>27 June-Job completed by Sian;24 June-WIP by Heath</t>
  </si>
  <si>
    <t>Auchenflower</t>
  </si>
  <si>
    <t>24 Jun - Deduct 1hr O/T</t>
  </si>
  <si>
    <t>Bardon</t>
  </si>
  <si>
    <t>Jindalee</t>
  </si>
  <si>
    <t>25 June-As per Heath's note "When returning for temp check, bring one length of eflex and chuck on the hot line"-Scheduled to Daniel C on 2nd July 2025</t>
  </si>
  <si>
    <t>Paddington</t>
  </si>
  <si>
    <t>26 June-Job completed by Zachary &amp; Heath</t>
  </si>
  <si>
    <t>701978/115248804</t>
  </si>
  <si>
    <t>Saint Lucia</t>
  </si>
  <si>
    <t>701978/115250601</t>
  </si>
  <si>
    <t>30 June-Job completed;26 June-WIP by Heath &amp; Rhye Zasiadczyk</t>
  </si>
  <si>
    <t>701979/115258472</t>
  </si>
  <si>
    <t>Sherwood</t>
  </si>
  <si>
    <t>Mount Gravatt</t>
  </si>
  <si>
    <t>27 June-Job completed by Sian -Temp check performed;26 June-WIP by Sian &amp; Heath</t>
  </si>
  <si>
    <t>Tingalpa</t>
  </si>
  <si>
    <t>5% - 13 May</t>
  </si>
  <si>
    <t>Alexandra Hills</t>
  </si>
  <si>
    <t>P/P 13/05. 24 Feb - Job Completed by Sian; 24/2-WIP &amp; Completed by Sian; 20/2-WIP by Jacob; 19/2-WIP by Sian; 18/2-WIP by Sian; 17/2-HUMM application approved, As per Brittoney's note - " No proof uploaded for cash"</t>
  </si>
  <si>
    <t>10% - 28/06 Cancelled</t>
  </si>
  <si>
    <t>701731/115157557</t>
  </si>
  <si>
    <t>New Farm</t>
  </si>
  <si>
    <t>28 Jun Refuned - $428.80.  20 June-As per Shafkat's note "Customer called &gt; mentioned that he needs to get a second opinion on the current matter &gt; Thinks the price is too high &gt; He wants to cancel and get the refund for the deposit he paid
";19 June-As per Heath's note "Wants to talk to wife about it. Book for 7am next Tuesday"</t>
  </si>
  <si>
    <t>Toowong</t>
  </si>
  <si>
    <t>23 June-As per Will's note "Client (Site builder Rodney) called and complained about the price, had to go but told us to call back when we had the 'right' price. Was clearly unhappy with invoice sent. Told me figure he had was $8000 but invoice total says a higher figure."-Rescheduled fo5th July</t>
  </si>
  <si>
    <t>700490/90926319</t>
  </si>
  <si>
    <t>South Brisbane</t>
  </si>
  <si>
    <t>Aspley</t>
  </si>
  <si>
    <t>Hamilton</t>
  </si>
  <si>
    <t>Bray Park</t>
  </si>
  <si>
    <t>19 June-Job completed by doing temp check by Zachary;17 June-WIP by Heath &amp; Sian-HUMM application approved.</t>
  </si>
  <si>
    <t>Yeronga</t>
  </si>
  <si>
    <t>8 Feb-As per Abby's note "Something has come up and she can't do next week now. Will call during the week to reschedule"</t>
  </si>
  <si>
    <t>700490/90926693</t>
  </si>
  <si>
    <t>22 May-WIP by Heath</t>
  </si>
  <si>
    <t>Teneriffe</t>
  </si>
  <si>
    <t>20 June-Requested on admin line as a reminder to contact this client and provide another quote</t>
  </si>
  <si>
    <t>Brisbane City</t>
  </si>
  <si>
    <t>20 June-As per Tom Tomias's note "Ryan wants to cancel as he actually found the leak himself - Called Heath and advised the situation. Job to be cancelled however there is a pending payment which needs to be refunded. Heath advised to do it out of goodwill because that was the 10% deposit. Follow up sent to Christine."</t>
  </si>
  <si>
    <t>Sinnamon Park</t>
  </si>
  <si>
    <t>Greenbank</t>
  </si>
  <si>
    <t>Karalee</t>
  </si>
  <si>
    <t>Newstead</t>
  </si>
  <si>
    <t>Bellbowrie</t>
  </si>
  <si>
    <t>Fortitude Valley</t>
  </si>
  <si>
    <t>28 Jun Refunded - $93.50.  25 June-COF of $93.50 refund provided to customer.</t>
  </si>
  <si>
    <t>1 Jul - Cancelled</t>
  </si>
  <si>
    <t>Tarragindi</t>
  </si>
  <si>
    <t>701979/115260898</t>
  </si>
  <si>
    <t>701979/115260910</t>
  </si>
  <si>
    <t>On Annual Leave Until 11th Jul 2025</t>
  </si>
  <si>
    <t>Matthew Brooks</t>
  </si>
  <si>
    <t>Heath Miller</t>
  </si>
  <si>
    <t>23 Jul - 10% will be paid out on Completion of Job #71510 &amp; 5 x 5 Star Reviews</t>
  </si>
  <si>
    <t>3 Jul - Bris Power - Job #6188886</t>
  </si>
  <si>
    <t>3 Jul - Reece #1014013435- Job #701914</t>
  </si>
  <si>
    <t>7 Jul - Refund - Job 701744</t>
  </si>
  <si>
    <t>22/7-Reece-Inv #1014517223-Job #00000-UTE Stock</t>
  </si>
  <si>
    <t>15/07-WIP &amp; Completed by Heath, Elliot</t>
  </si>
  <si>
    <t>25/07-Attended by Heath</t>
  </si>
  <si>
    <t>71501/86172402</t>
  </si>
  <si>
    <t>Alrbert Park</t>
  </si>
  <si>
    <t>71526/71512/86187819</t>
  </si>
  <si>
    <t>23/07 CB23/07</t>
  </si>
  <si>
    <t>71519/71687</t>
  </si>
  <si>
    <t>23/07-CB WIP &amp; Completed by Heath - ISSUE: "Toilet blocked again". Heath noted, "I will clear for free if it blocks up within a couple weeks which it has. Will most likely be called back again next week and will upsell then."</t>
  </si>
  <si>
    <t>71563/86212389</t>
  </si>
  <si>
    <t>18/07-WIP &amp; Completed by Elliot, Heath</t>
  </si>
  <si>
    <t>71555/86211213</t>
  </si>
  <si>
    <t>71501/86169629</t>
  </si>
  <si>
    <t>71510/71501/86176353</t>
  </si>
  <si>
    <t>14/10-Elliot to collect payment;19/9-Bradley to collect payment-Director emailed &amp; advised Vishal to confirm what is his need;15/8-Scheduled for Heath ; 08/08-Job Completed by Liam; 07/08- Recamera by Liam - No pics uploaded ; 22/7-Rhys noted as "Conc looking wet still, come back this arvo to wash down"-Daniel B at site;21/7-Job completed by Mathew H,Daniel B &amp; Rhys Clark;18/07- WIP by Daniel B, Heath-Scheduled to Elliot &amp; Rhys; 17/07-WIP by Daniel B &amp; Rhys Clark; 16/7-WIP by Daniel B, Heath &amp; Rhys</t>
  </si>
  <si>
    <t>71580/71555/86211264</t>
  </si>
  <si>
    <t>18/07-WIP by Elliot, Heath, Francesco</t>
  </si>
  <si>
    <t>18 Jul - Refund - $125.18; 16/07- Job Cancelled</t>
  </si>
  <si>
    <t>16/07-To be updated on tomorrow</t>
  </si>
  <si>
    <t>71519/86194772</t>
  </si>
  <si>
    <t>Sout Yara</t>
  </si>
  <si>
    <t>71580/86211286</t>
  </si>
  <si>
    <t>71563/86213645</t>
  </si>
  <si>
    <t>71429/86214343</t>
  </si>
  <si>
    <t>Nortcote</t>
  </si>
  <si>
    <t>71429/86214632</t>
  </si>
  <si>
    <t>0.5X Elliot</t>
  </si>
  <si>
    <t>23 Jul - 10% will be paid out on Completion of Jobs #71754 &amp; #71622</t>
  </si>
  <si>
    <t>10% Comm'ns Paid - 20th Aug 2025</t>
  </si>
  <si>
    <t>71455/86218327</t>
  </si>
  <si>
    <t>21/07-WIP &amp; Completed by Elliot, Heath</t>
  </si>
  <si>
    <t>71592/86226231</t>
  </si>
  <si>
    <t>23/07-WIP &amp; Completed by Elliot, Heath</t>
  </si>
  <si>
    <t>71601/86265847</t>
  </si>
  <si>
    <t>71731/86272525</t>
  </si>
  <si>
    <t>24/07-EFT processed for $1126.62</t>
  </si>
  <si>
    <t>26 Jul - Refund - $500; 25/07-Refund of $120 provided to customer-Elliot at site;24/07-EFT processed for $1932.48 - Refund initiated for $120</t>
  </si>
  <si>
    <t>71770/71442/86286134</t>
  </si>
  <si>
    <t>25 Jul - Deduct 2hrs O/T; 25/07-WIP by Elliot, Heath</t>
  </si>
  <si>
    <t>10% - 29 Jul</t>
  </si>
  <si>
    <t>23/9-Elliot to write plumber's findings;22/9-Scheduled to Elliot</t>
  </si>
  <si>
    <t>10% - 26 Jul</t>
  </si>
  <si>
    <t>26 Jul - Refund - $358.71; 20 June-Requested on admin line as a reminder to contact this client and provide another quote</t>
  </si>
  <si>
    <t>22 Jul - Cancelled - 10%</t>
  </si>
  <si>
    <t>26 Jul - Refund - $2.76; 22 Jul - Refund - $65</t>
  </si>
  <si>
    <t>10% - 28 Jul</t>
  </si>
  <si>
    <t>71636/71592/86227977</t>
  </si>
  <si>
    <t>28/07-WIP by Alex &amp; Heath - EFT processed for $2319.75 ; 25/07-WIP by Alex;24/07-As per Kathy's note "Spoke to Heat further discount has been applied. If they cancel we will need to refund some money";23/07-Customer wants to cancel the job due to the price; 22/07-Tolga Bol noted "Courtesy call given and Martin said he wants a second set of eyes to check over the job and what it should actually cost seems unhappy" - Attended by Elliot, Heat - No pics uploaded for WIP; 21/07-WIP by Alex, Francesco</t>
  </si>
  <si>
    <t>21 Jul - Deduct - 30mins O/T; 25/07-Job is put on hold-No progress/refund notes available;22/07-Customer wants to cancel the job - Scheduled for Heath</t>
  </si>
  <si>
    <t>10% - 30 Jul</t>
  </si>
  <si>
    <t>71754/71731/86275504</t>
  </si>
  <si>
    <t>30/07-Recamera scheduled for Elliot, Heath - Received $4864.52 Card ; 29/07-WIP by Mathew H &amp; Charbel Alha made a note as "INSPECTION BOOKED FOR TUESDAY 29/07/25 @ 7AM";28/07-WIP by Mathew H &amp; Elliot- Received $4500 Card - As per Charbel Alha's note "INSPECTION BOOKED FOR TUESDAY 29/07/25 @ 7AM";25/07-WIP by Jack M;24/07-WIP by Mathew H, Heath - EFT processed for $1409.54</t>
  </si>
  <si>
    <t>South Melbournwe</t>
  </si>
  <si>
    <t>21/7-Job completed by Tolga;18/07-WIP by Elliot, Heath, Francesco</t>
  </si>
  <si>
    <t>71455/86218290</t>
  </si>
  <si>
    <t>71590/71455/86222303</t>
  </si>
  <si>
    <t>1 Aug - Refund - $468.71; 25/7-Refund of $468.71 prvided to customer;23/07-Customer wants to cancel the job due the price.</t>
  </si>
  <si>
    <t>25/07-Customer emailed to cancel the job &amp; refund the ddposit.</t>
  </si>
  <si>
    <t>71601/86266913</t>
  </si>
  <si>
    <t>71723/71601/86266834</t>
  </si>
  <si>
    <t>West Melbournwe</t>
  </si>
  <si>
    <t>Melbournwe</t>
  </si>
  <si>
    <t>30/07-Reece -1014743833- Job 00000-UTE Stock</t>
  </si>
  <si>
    <t>29/07-As per Joshua G's note "Customer was very complimentary of our team, said plumber was very professional and efficient. Was also a bit cheesed about the price, said she would call us back for a free inspection on the tap in a few months time to get their moneys worth"</t>
  </si>
  <si>
    <t>28 Jul - Deduct 30mins O/T</t>
  </si>
  <si>
    <t>71794/86314783</t>
  </si>
  <si>
    <t>71833/71794/86315051</t>
  </si>
  <si>
    <t>30 Jul - Deduct - 45mins O/T; 31/07-Job completed by Heath;30/07-WIP by Mathew H, Heath ; 29/07-WIP by Mathew H</t>
  </si>
  <si>
    <t>1/8-Job completed by Mathew H;30/07-Scheduled to Mathew H;29/07-WIP &amp; Completed by Tolga, Heath</t>
  </si>
  <si>
    <t>71821/86322163</t>
  </si>
  <si>
    <t>30/07-Caitlin has mentioned "Client review:Yes" in DOC check (Notes) whereas no review notes/pic uploaded for confirmation.</t>
  </si>
  <si>
    <t>71832/71821/86322257</t>
  </si>
  <si>
    <t>29/07-WIP &amp; Completed by Mathew H</t>
  </si>
  <si>
    <t>71812/86323666</t>
  </si>
  <si>
    <t>29/07-WIP &amp; Completed by Elliot, Heath</t>
  </si>
  <si>
    <t>71841/86325703</t>
  </si>
  <si>
    <t>30/07-Customer asked for CCTV drain inspection findings;29/07-WIP &amp; Completed by Elliot, Heath</t>
  </si>
  <si>
    <t>71867/86346748</t>
  </si>
  <si>
    <t>10% - 23 Jul</t>
  </si>
  <si>
    <t>23 Jul - Humm P/P' 19 June-Job completed by doing temp check by Zachary;17 June-WIP by Heath &amp; Sian-HUMM application approved.</t>
  </si>
  <si>
    <t>71881/71867/86347248</t>
  </si>
  <si>
    <t>1 Aug - Refund - $125.18; 28/07-Refund form submitted for $125.18 - Job cancelled, Payment plan not approved. Office to process full refund.</t>
  </si>
  <si>
    <t>Melboune</t>
  </si>
  <si>
    <t>71847/71812/86324904</t>
  </si>
  <si>
    <t>1 Aug - Refund - $758.37; 30/07-Refunded $758.37-Job cancelled</t>
  </si>
  <si>
    <t>71864/71841/86326723</t>
  </si>
  <si>
    <t>Job cancelled, due to the price</t>
  </si>
  <si>
    <t>To be updated on tomorrow - Job cancelled</t>
  </si>
  <si>
    <t>1 Aug - Refund - $63.91; 31/07-Job cancelled &amp; refund of $63.91 provided.</t>
  </si>
  <si>
    <t>Crabourne North</t>
  </si>
  <si>
    <t>71977/86389129</t>
  </si>
  <si>
    <t>1/8-As per Luke's note "Received a call from Jamie - who wishes to cancel - Passed on the info to Maddi requesting Heath give the customer a call"</t>
  </si>
  <si>
    <t>71977/86390653</t>
  </si>
  <si>
    <t>0.5 X Aden, 0.5 X Daniel B</t>
  </si>
  <si>
    <t>14 Aug - 10% will be paid out upon Completion of Jobs #72103 #72109</t>
  </si>
  <si>
    <t>7/8 - Reece - 1014970505 - Job 703605</t>
  </si>
  <si>
    <t>11/08 Reece - 1015071046 - Job 701041</t>
  </si>
  <si>
    <t>11/08 Reece - 1015067254 - Job 701041</t>
  </si>
  <si>
    <t>10 Aug - CB = 4x$150 - Job 701380</t>
  </si>
  <si>
    <t>8 Aug - Job Completed by Tolga; 5/8-WIP by Daniel B &amp; Aden;4/8-WIP by Heath,Elliot &amp; Daniel B</t>
  </si>
  <si>
    <t>19/8-Job reworked by Elliot;15/8-Scheduled for Aden C ; 14/8-Scheduled for Daniel B ; 9 Aug - Completed by Aden/Daniel; 09/08-WIP by Daniel B &amp; Aden; 07/08 - Attended by Daniel B &amp; Aden ; 6/8-WIP by Daniel B;5/08-WIP by Daniel B</t>
  </si>
  <si>
    <t>5 Aug - 1.5hrs O/T More Than Comm'ns</t>
  </si>
  <si>
    <t>29/10 CB29/10</t>
  </si>
  <si>
    <t>72093/74932</t>
  </si>
  <si>
    <t>29/10-CB by Tolga-CB reason-Nuts on trap were loose when put back together-CB outcome-Tightened all joins and tested with no leaks</t>
  </si>
  <si>
    <t>7 Aug - Deduct 2.5hrs O/T</t>
  </si>
  <si>
    <t>72182/87081176</t>
  </si>
  <si>
    <t>8 Aug - 1.5hrs O/T More Than Comm'ns</t>
  </si>
  <si>
    <t>5% - Comm'ns</t>
  </si>
  <si>
    <t>10% - 11 Aug - Cancelled</t>
  </si>
  <si>
    <t>11/08-WIP by Mathew H; 09/08-WIP by Mathew H ; 8/8-WIP by Mathew H ;7/8-WIP by Mathew H ; 6/8-WIP by Heath &amp; Tolga</t>
  </si>
  <si>
    <t>11/8-WIP by Heath;8/8-WIP by Mathew H;6/8-WIP by Heath,Elliot &amp; Alex</t>
  </si>
  <si>
    <t>28/8-Scheduled for Elliot;22/08-WIP by Elliot, Heath - Received $2051.86 Card ; 21/08-WIP by Elliot, Jayden ; 20/8-WIP by Jayden - Received $10000 EFT ;12/08-WIP by Riley-Received $2000 EFT ; 11/8-Attended for Inspection for Tolga;7/8-WIP by Daniel B &amp; Aden;06/08-WIP by Alex, Heath</t>
  </si>
  <si>
    <t>Scoresby</t>
  </si>
  <si>
    <t>15/8-Scheduled for Heath ; 12/8-Job completed by Heath;11/8-Heath went to site to have a look at the pump;8/8-As per Heath's note "Invoice paid for, pump not working so installer to come back on Monday to fix";7/8-WIP by Heath &amp; Elliot</t>
  </si>
  <si>
    <t>7/8-HUMM application declined email received ;21/7-Job completed by Tolga;18/07-WIP by Elliot, Heath, Francesco</t>
  </si>
  <si>
    <t>15 Aug - Refund - $689.04; 5/8-As per Zachias's note "Customer called to cancel job and ask for refund. Will get DSR to let plumber know to give him a call"</t>
  </si>
  <si>
    <t>Geln Waverley</t>
  </si>
  <si>
    <t>11 Aug - Refund - $1783.54; 8/8-Refund of $1783.54 provided to customer</t>
  </si>
  <si>
    <t>72182/87083101</t>
  </si>
  <si>
    <t>0.5x Elliot</t>
  </si>
  <si>
    <t>10% Comm- W/E 27th Jul 2025</t>
  </si>
  <si>
    <t>13/8 - Reece - 1015147551- Job 72301</t>
  </si>
  <si>
    <t>13/8 - Reece - 1015130943- Job 72109</t>
  </si>
  <si>
    <t>15/8 - Reece - 1015201925- Job 72301</t>
  </si>
  <si>
    <t>15/8 - Reece - 458537069- Job 72301</t>
  </si>
  <si>
    <t>72221/87097022</t>
  </si>
  <si>
    <t xml:space="preserve"> 11/8-Job completed by Elliot &amp; Heath</t>
  </si>
  <si>
    <t>72234/72221/87097022</t>
  </si>
  <si>
    <t>12/8-Job completed by Mathew H</t>
  </si>
  <si>
    <t>11 Aug - Deduct 45mins O/T;  Refund - $1783.54; 8/8-Refund of $1783.54 provided to customer</t>
  </si>
  <si>
    <t>12 Aug - Deduct 45mins O/T</t>
  </si>
  <si>
    <t>14/8-Job completed by Jayden;13/8-WIP by Jayden,Elliot &amp; Heath</t>
  </si>
  <si>
    <t>13 Aug - Paying 2.25hrs O/T</t>
  </si>
  <si>
    <t>Chirinside Park</t>
  </si>
  <si>
    <t>26/8 CB26/8</t>
  </si>
  <si>
    <t>26/8-CB by Shaun-CB reason-Complete blockage on kitchen sink, when you turn the incinerator on both sinks fill up.-CB outcome-Use the suction pump there was no issue to begin with. When I arrive. There is no issue after I’ve left zinc is running perfectly fine in the future. No warranty callbacks for blockages.</t>
  </si>
  <si>
    <t>72365/72355</t>
  </si>
  <si>
    <t>Dispute/Cancellation</t>
  </si>
  <si>
    <t>72320/72294</t>
  </si>
  <si>
    <t>15 Aug - Deduct 1hr O/T; 18/8-WIP by Daniel B-Customer texted that he's gonna terminate the contract;16/8-WIP by Daniel B;15/8-WIP by Jayden ; 14/8-WIP by Heath &amp; Elliot</t>
  </si>
  <si>
    <t>72358/72200</t>
  </si>
  <si>
    <t>18/8-WIP by Aden C;14/8-WIP by Matthew H ; 13/08- WIP by Matthew H; 12/08-Scheduled for Jayden; 11/08-WIP by Mathew H; 09/08-WIP by Mathew H ; 8/8-WIP by Mathew H ;7/8-WIP by Mathew H ; 6/8-WIP by Heath &amp; Tolga</t>
  </si>
  <si>
    <t>12/08-WIP &amp; Completed by Riley-Received $2580.31 Card ;11/8-WIP by Heath;8/8-WIP by Mathew H;6/8-WIP by Heath,Elliot &amp; Alex</t>
  </si>
  <si>
    <t>Fertntree Gully</t>
  </si>
  <si>
    <t>Moorrabbin</t>
  </si>
  <si>
    <t>Clarinda</t>
  </si>
  <si>
    <t>12/8 CB12/8</t>
  </si>
  <si>
    <t>12/8-CB by Heath &amp; Elliot-CB reason-shower leaking again-CB outcome-Breech wasn’t reseated properly,</t>
  </si>
  <si>
    <t>72301/72192</t>
  </si>
  <si>
    <t>9/9-Scheduled to Elliot;8/9-Scheduled to Elliot;13/8-Customer wants to put the job on hold whereas Heath has marked this job as "Unsuccessful" - Attended by Jayden, Daniel B</t>
  </si>
  <si>
    <t>10% Comm- W/E 20th Jul 2025</t>
  </si>
  <si>
    <t>10% Comm- W/E 10th Aug 2025</t>
  </si>
  <si>
    <t>20/8-Job Completed by Heath &amp; Elliot</t>
  </si>
  <si>
    <t>10% - 1 Aug</t>
  </si>
  <si>
    <t>10% - 22 Aug</t>
  </si>
  <si>
    <t xml:space="preserve"> 22/08- Job Completed &amp; 5 star review acquired by Heath - Received $3250 Card ; 21/8-Scheduled for Aden; 20/8-WIP by Aden &amp; received $3250 by Smartpay;19/8-WIP by Heath;18/8-WIP by Aden C;14/8-WIP by Matthew H ; 13/08- WIP by Matthew H; 12/08-Scheduled for Jayden; 11/08-WIP by Mathew H; 09/08-WIP by Mathew H ; 8/8-WIP by Mathew H ;7/8-WIP by Mathew H ; 6/8-WIP by Heath &amp; Tolga</t>
  </si>
  <si>
    <t>29 Aug - 10% - 22 Aug - Cancelled</t>
  </si>
  <si>
    <t>29 Aug - Refund - $903.54</t>
  </si>
  <si>
    <t>3/10-Shaun for payment followup;7/8-HUMM application declined email received ;21/7-Job completed by Tolga;18/07-WIP by Elliot, Heath, Francesco</t>
  </si>
  <si>
    <t>10% - Dispute/Cancellation</t>
  </si>
  <si>
    <t>19/8-Scheduled to Riley Strange;18/8-WIP by Heath, Elliot, Daniel B-Customer texted that he's gonna terminate the contract;16/8-WIP by Daniel B;15/8-WIP by Jayden ; 14/8-WIP by Heath &amp; Elliot</t>
  </si>
  <si>
    <t>5% - 21 Aug - Cancelled</t>
  </si>
  <si>
    <t>22/08 - WIP by Aden ; 20/8-Attended by Aden</t>
  </si>
  <si>
    <t>72335/87207908</t>
  </si>
  <si>
    <t>72335/87207917</t>
  </si>
  <si>
    <t>29 Aug - Refund - $683.54; 21/8-As per Ayesha's note "wants to cancel because he got a quote from another plumber for $400 and our quote was $7000";20/8-As per Ayesha's note "customer called wants to cancel and get a refund"</t>
  </si>
  <si>
    <t>72449/87246202</t>
  </si>
  <si>
    <t>6/8 CB6/8</t>
  </si>
  <si>
    <t>71982/86394528/72062</t>
  </si>
  <si>
    <t>6/8-CB by Ben-CB reason-leak under the sink when the dishwasher went on, warranty from saturday-CB outcome-upon arrival diagnosed was a 500KPA PLV installed underneath sink for dishwasher completed pressure test on property to confirm inlet pressure noted it was 450 KPA
Installed 350 KPA PLV under sink and installed isolation valve for dishwasher;Job SOLD by Francesco</t>
  </si>
  <si>
    <t>0.5x Tolga, 0.5x Mathew</t>
  </si>
  <si>
    <t>O/T = 8hrs</t>
  </si>
  <si>
    <t>Job 70970</t>
  </si>
  <si>
    <t>70922/85879799</t>
  </si>
  <si>
    <t>ST Kilda</t>
  </si>
  <si>
    <t>CB26/06</t>
  </si>
  <si>
    <t>70922/85879875</t>
  </si>
  <si>
    <t>27/06 - WIP by  Daniel B ; 26/06 - CB - WIP by Daniel B - ISSUE: "The Acid from Monday has left a mark on his floor"; 23/06 - WIP&amp;Completed by Matthew H , Mathew B - EFT processed for $1918.40</t>
  </si>
  <si>
    <t>31/07 CB17/07</t>
  </si>
  <si>
    <t>31/07-CB Attended by Jarrod - " Greg was happy after the visit today" - ISSUE: Hotbox gas heater not working ; 17/07-Mathew H called customer for CB, but no answer from customer</t>
  </si>
  <si>
    <t>14/7 CB14/7</t>
  </si>
  <si>
    <t>70924/71416</t>
  </si>
  <si>
    <t>14/07-CB by Jack M-CB reason-reoccurring tap issue, no pressure-CB outcome-Found issue to be from the shower hose. Found water saver to be stuck and unable to get free. Client is going to arrange their own shower hose to fix the issue permanently. She is happy at the moment.</t>
  </si>
  <si>
    <t xml:space="preserve">23 Jun - Deduct 45mins O/T; 26/06 - WIP&amp;Completed by Tolga 24/06 - WIP &amp;Completed by Jarrod, Matthew H </t>
  </si>
  <si>
    <t>30/06 - Scheduled for Matthew H ; 25/06 -WIP&amp;Completed by Matthew H ;  24/06 - WIP by Matthew H , Mathew B - EFT Received $5755.86</t>
  </si>
  <si>
    <t>24 Jun - Deduct 15mins O/T</t>
  </si>
  <si>
    <t>71032/85922029</t>
  </si>
  <si>
    <t>25/06 - WIP&amp;Completed by Daniel B , Mathew B</t>
  </si>
  <si>
    <t>71032/85922205</t>
  </si>
  <si>
    <t xml:space="preserve"> 11 Jul - Refund O/Pmt - $903.54; Over Payment ; 27/06 - WIP&amp;Completed by Jarrod, Mathew B  EFT processed for $903.54, $9035.40 </t>
  </si>
  <si>
    <t>71035/85950464</t>
  </si>
  <si>
    <t>27 Jun - Deduct 1.25hrs O/T</t>
  </si>
  <si>
    <t>Ivanhoe East</t>
  </si>
  <si>
    <t>11 Mar - Deduct 15mins O/T14/03 - Completed and payment on receipt of report.  11/03 - Need to return with a 2 storey ladder</t>
  </si>
  <si>
    <t>10% - 4 Jun - Paid Dispute</t>
  </si>
  <si>
    <t>70506/85664103</t>
  </si>
  <si>
    <t>03/06 WIP by Alex,Jarrod; 02/06-WIP By Mathew,Liam,Tolga,Alex.</t>
  </si>
  <si>
    <t>10% - 24 Jun</t>
  </si>
  <si>
    <t>10/06 - Schduled for 10th june</t>
  </si>
  <si>
    <t xml:space="preserve">28/04- WIP by Matthew H ; 24/04 - Humm PP </t>
  </si>
  <si>
    <t>21/7 CB21/7 - 10% - 30 Jun</t>
  </si>
  <si>
    <t>71456/70090</t>
  </si>
  <si>
    <t>21/7-CB by Tolga Bol-CB reason- Nails are sticking out of the cabinetry after a job we did.-CB outcome-Customer was happy I pulled out the nails job complete;30/06 WIP&amp;Completed by Matthew H - Received Card payment $1710.69 ;  23/06 - WIP by Matthew H ; 15/05- WIP by Mathew B</t>
  </si>
  <si>
    <t>25/06 - WIP&amp;Completed by Matthew H</t>
  </si>
  <si>
    <t>10% - Paid Dispute</t>
  </si>
  <si>
    <t>71063/71113</t>
  </si>
  <si>
    <t xml:space="preserve">28/06 WIP&amp;Completed by Jarrod ; 27/06 - WIP by Mathew B, Alex </t>
  </si>
  <si>
    <t>21 Jul - Cancelled - 10%</t>
  </si>
  <si>
    <t xml:space="preserve">28/06 WIP&amp;Completed by Mathew  B ; 27/06- Scheduled for Liam </t>
  </si>
  <si>
    <t>10% - 30 Jun</t>
  </si>
  <si>
    <t>30/06 - WIP&amp;Completed by Tolga - Received $476.19 Card</t>
  </si>
  <si>
    <t>71035/85950639</t>
  </si>
  <si>
    <t xml:space="preserve">1/7- Completed by Jarrod &amp; Alex perry &amp; $4000.00 smart ay received ;30/06 - WIP by Jarrod ; 28/06 - WIP by Jarrod </t>
  </si>
  <si>
    <t>22/05-Note by Mathew B "Customer unaware we were coming today, Spoke to ebony from Alexander Nelson real estate to get access, says issue is fixed now" ; 16/05- WIP by Ben</t>
  </si>
  <si>
    <t>2 Jun - Paying 1.5hrs O/T; 04/06-WIP&amp;Completed by Daniel.B - EFT recieved 2151.86; 03/06-WIP by Daniel, Jarrod; 02/06-WIP By Mathew,Liam.</t>
  </si>
  <si>
    <t>70746/85815526</t>
  </si>
  <si>
    <t>25/06 - Scheduled for Daniel &amp; Rhys-COLLECTING REMAINING BALANCE</t>
  </si>
  <si>
    <t>70746/85815634</t>
  </si>
  <si>
    <t xml:space="preserve">19/06 - WIP by Daniel B; 18/06 WIP by Alex </t>
  </si>
  <si>
    <t>CB11/07 - 10%</t>
  </si>
  <si>
    <t>70897/85869828</t>
  </si>
  <si>
    <t>Armdale</t>
  </si>
  <si>
    <t>11/07 CB Scheduled to Alex ; 21/06 - WIP&amp;Completed by Daniel B;  20/06-WIP by Mathew.B</t>
  </si>
  <si>
    <t>70033/61922727</t>
  </si>
  <si>
    <t>15/05- WIP by Nick ; 14/05- WIP by Tolga</t>
  </si>
  <si>
    <t>70980/85896942</t>
  </si>
  <si>
    <t>24/06- Scheduled to Mathew B</t>
  </si>
  <si>
    <t>25/06 - Quote Details removed from Customer details</t>
  </si>
  <si>
    <t>71091/85951751</t>
  </si>
  <si>
    <t>71069/85955496</t>
  </si>
  <si>
    <t>COF has been Waived and COF has been collected</t>
  </si>
  <si>
    <t>71070/85961728</t>
  </si>
  <si>
    <t>02/07 - Completed by Jarrod , Mathew B</t>
  </si>
  <si>
    <t>01/06 - EFT received $8035.40, $1000 ; 30/06 - WIP by rhys ,Mathew</t>
  </si>
  <si>
    <t>Deveton</t>
  </si>
  <si>
    <t>30 Jun - Deduct 1.5hrs O/T; 02/07 - WIP &amp; Completed by Daniel B Received card payment $953.60 ;  01/07 - WIP by Matthew H &amp; Daniel B</t>
  </si>
  <si>
    <t>71145/85984775</t>
  </si>
  <si>
    <t>71154/85985335</t>
  </si>
  <si>
    <t>Hawthron</t>
  </si>
  <si>
    <t xml:space="preserve">Brighton  </t>
  </si>
  <si>
    <t>Cash/Card/EFT</t>
  </si>
  <si>
    <t>1 Jul - Deduct 1.25hrs O/T; 02/07 - Completed by Matthew H  &amp; $1786.3 EFT Received</t>
  </si>
  <si>
    <t>71070/85999844</t>
  </si>
  <si>
    <t>71126/86000869</t>
  </si>
  <si>
    <t>14 Jul - Paid Dispute</t>
  </si>
  <si>
    <t>Aspendale Gardens</t>
  </si>
  <si>
    <t>14  Jul - Refund - $800; 2/7- $1251.8 EFT Received</t>
  </si>
  <si>
    <t>71170/86014079</t>
  </si>
  <si>
    <t>71170/86014108</t>
  </si>
  <si>
    <t>28 Jul - Refund - $374.55; 3 Jul - Paying 1.5hrs O/T; 4 Jul - Refund Offered - $374.55</t>
  </si>
  <si>
    <t>71234/86040752</t>
  </si>
  <si>
    <t>71238/86045992</t>
  </si>
  <si>
    <t>71238/86046464</t>
  </si>
  <si>
    <t>card</t>
  </si>
  <si>
    <t xml:space="preserve">4 Jul - Deduct - 1.75hrs O/T; 5/07 - Completed by Ryhs </t>
  </si>
  <si>
    <t>10% - 2 Jul</t>
  </si>
  <si>
    <t xml:space="preserve">30/06 - WIP by Jarrod ; 28/06 - WIP by Jarrod </t>
  </si>
  <si>
    <t>71047/85976046</t>
  </si>
  <si>
    <t>24/07 CB24/07 ; 10%</t>
  </si>
  <si>
    <t xml:space="preserve">24/07-CB WIP &amp; Completed by Alex - ISSUE: "Leaking Taps" ; 04/07 - As per Matthew's Note - HUMM payment plan complete </t>
  </si>
  <si>
    <t>71234/86041593</t>
  </si>
  <si>
    <t xml:space="preserve">11/7-WIP by Alex Perry;07/07 - WIP by Rhys ;  04/07 - WIP by Daniel B , Mathew B </t>
  </si>
  <si>
    <t>21/06 - WIP&amp;Completed by Daniel B;  20/06-WIP by Mathew.B</t>
  </si>
  <si>
    <t>21 Jul - Refund - $180.51</t>
  </si>
  <si>
    <t>71001/85963101</t>
  </si>
  <si>
    <t>30/06 - Job cancelled</t>
  </si>
  <si>
    <t>Upsell Check Eod 30/06 - Scheduled for Ryhs , Matthew</t>
  </si>
  <si>
    <t>8 Jul - Cancelled</t>
  </si>
  <si>
    <t>4 July-No notes regarding refund of deposit is made by office.</t>
  </si>
  <si>
    <t>71124/85971546</t>
  </si>
  <si>
    <t>71047/85980975</t>
  </si>
  <si>
    <t>71145/85984816</t>
  </si>
  <si>
    <t>71154/85983452</t>
  </si>
  <si>
    <t>71126/86000848</t>
  </si>
  <si>
    <t>71170/86015959</t>
  </si>
  <si>
    <t>71194/86019798</t>
  </si>
  <si>
    <t>71204/86026923</t>
  </si>
  <si>
    <t>COF Waived Form   Emailed</t>
  </si>
  <si>
    <t>16 Jul - 10% will be paid out on Completion of Jobs #71278 #71384 #71377</t>
  </si>
  <si>
    <t>15/7-Reece-Credit note #800827531-Job #71234</t>
  </si>
  <si>
    <t>17/9 CB17/9</t>
  </si>
  <si>
    <t>71325/86082781</t>
  </si>
  <si>
    <t>Saint kilda</t>
  </si>
  <si>
    <t>17/9-CB by Bradley;09/07 - WIP&amp;Completed by Elliot , Mathew</t>
  </si>
  <si>
    <t>Glen waverley</t>
  </si>
  <si>
    <t xml:space="preserve">10/07 Uploaded customer feedback </t>
  </si>
  <si>
    <t>9 Jul - Deduct 1hr O/T</t>
  </si>
  <si>
    <t>71356/86099774</t>
  </si>
  <si>
    <t>71356/86103523</t>
  </si>
  <si>
    <t xml:space="preserve">11/07 - WIP by Mathew </t>
  </si>
  <si>
    <t>Frentree Gully</t>
  </si>
  <si>
    <t>10/7-As per Matthew's note "Did a suction pump whilst onsite to clear the shower because I wanted a 5 star review"</t>
  </si>
  <si>
    <t>71368/86114636</t>
  </si>
  <si>
    <t>21 Jul - Refund - $551.70</t>
  </si>
  <si>
    <t>71368/86115314</t>
  </si>
  <si>
    <t xml:space="preserve">10 Jul - Deduct 2.25hrs O/T; 11/07 WIP&amp;Completed  by Ryhs </t>
  </si>
  <si>
    <t>11 Jul - Paying 1.25hrs O/T</t>
  </si>
  <si>
    <t>22/07 CB22/07 ; 10% - 11 Jul</t>
  </si>
  <si>
    <t>70897/85869828/71474</t>
  </si>
  <si>
    <t>22/7-CB Completed by Heath &amp; Mathew H-CB reason-Sink/Toilet blocked-CB outcome-Drain ok;11/07-Received $11192.47 by EFT;21/06 - WIP&amp;Completed by Daniel B;  20/06-WIP by Mathew.B</t>
  </si>
  <si>
    <t>10% - 8 Jul</t>
  </si>
  <si>
    <t xml:space="preserve">04/07 - As per Matthew's Note - HUMM payment plan complete </t>
  </si>
  <si>
    <t>10% - 9 Jul</t>
  </si>
  <si>
    <t xml:space="preserve">16/07-Recamera &amp; Job completed by Mathew B; 15/07-Attended by Elliot; 14/07-WIP by Daniel B, Mathew H &amp; Francesco; 11/07 - WIP by Alex ; 10/07 - Scheduled for Mathew , Elliot ; 09/07 - WIP by Ryhs EFT Received $13425.24 ; 08/07 WIP by Rhys Received $1500 Card  ; 07/07 - WIP by Rhys ;  04/07 - WIP by Daniel B , Mathew B </t>
  </si>
  <si>
    <t>08/07 - EFT received $100 Internal payment plan</t>
  </si>
  <si>
    <t>71325/86082127/73110</t>
  </si>
  <si>
    <t>23/9-Scheduled to Bradley to collect payment-Customer paid $2500 by EFT;18/9-Bradley to collect payment;17/9-Bradley attended site;06/08- Attended by Mathew H ; 11/07 - Completed by Matthew H ; 10/07 - Before after pics uploded by Kathy ; 09/07 - WIP&amp;Completed by Elliot , Mathew</t>
  </si>
  <si>
    <t>Vermont south</t>
  </si>
  <si>
    <t>14/7-As per Tolga's note "Customer denied access for co2 test she wanted nothing to do with us said she went with someone else and said if you have anything to say talk to her husband steve.Notified salesperson and was told to move on"</t>
  </si>
  <si>
    <t>71384/86132332</t>
  </si>
  <si>
    <t>12/07 - Received  $1000 Cash ;  12 July-WIP by Alex;11 July-HUMM approved-WIP by Elliot,Mathew.</t>
  </si>
  <si>
    <t>Mount Waverly</t>
  </si>
  <si>
    <t>Petterson Lakes</t>
  </si>
  <si>
    <t>COF Refund Agreement Emailed</t>
  </si>
  <si>
    <t>07/07 - Scheduled for Liam</t>
  </si>
  <si>
    <t>07/07 Scheduled for Mathew</t>
  </si>
  <si>
    <t>Heighett</t>
  </si>
  <si>
    <t>71331/86082019</t>
  </si>
  <si>
    <t>71327/86090422</t>
  </si>
  <si>
    <t>COF waive form uploaded</t>
  </si>
  <si>
    <t>71342/86092271</t>
  </si>
  <si>
    <t>17/07-Scheduled for Mathew B; Job canceled</t>
  </si>
  <si>
    <t>71342/86091982</t>
  </si>
  <si>
    <t>71234/86111418</t>
  </si>
  <si>
    <t>CHECK EOD</t>
  </si>
  <si>
    <t>71385/86123435</t>
  </si>
  <si>
    <t>Scheduled for 17th July</t>
  </si>
  <si>
    <t>71377/86131041</t>
  </si>
  <si>
    <t>71393/86131658</t>
  </si>
  <si>
    <t>71400/86144870</t>
  </si>
  <si>
    <t>Job not available in Plumber's time line (Sunday) in ST</t>
  </si>
  <si>
    <t>16/7-Reece-Inv #1014341701-Job #600003</t>
  </si>
  <si>
    <t>17/7-Reece-Inv #1014402220-Job #050003</t>
  </si>
  <si>
    <t>18 Jul - JLS Electrical - Job #71368</t>
  </si>
  <si>
    <t>21 Jul - Refund - Job #71368</t>
  </si>
  <si>
    <t>71451/71428</t>
  </si>
  <si>
    <t>14/07-WIP &amp; Completed by Francesco, Mathew B</t>
  </si>
  <si>
    <t>71454/71420</t>
  </si>
  <si>
    <t>17/07-Job completed by Mathew B &amp; Tolga Bal-Scheduled to Francesco &amp; Bradley;16/07-WIP by Matthew H &amp; Francesco;15/07-WIP by Matthew H &amp; Francesco</t>
  </si>
  <si>
    <t>05/08 CB05/08 ; 16/07/2025</t>
  </si>
  <si>
    <t>71414/72024</t>
  </si>
  <si>
    <t>05/08-CB Completed by Mathew H: "hws tested and comissioned, temp check done aswell, customer was happy" - ISSUE: "Hot water pressure dropped after installing tap." ; 14 Jul - Deduct 1hr O/T; 16/07-Temp check completed by Mathew B; 15/07-Job completed by Tolga Bal</t>
  </si>
  <si>
    <t>71450/86163475</t>
  </si>
  <si>
    <t>18 Jul - Refund - $1747.46</t>
  </si>
  <si>
    <t>POS receipt - COF $203.50 not available in SQ portal</t>
  </si>
  <si>
    <t>71514/71502</t>
  </si>
  <si>
    <t>16 Jul - Deduct 3hrs O/T; 16/07-WIP by Rhys Clark</t>
  </si>
  <si>
    <t>18/07-Job completed by Rhys Clark</t>
  </si>
  <si>
    <t>26 Aug - Refund - $250</t>
  </si>
  <si>
    <t>18/07-Job completed by Mathew B &amp; Francesco</t>
  </si>
  <si>
    <t>71577/86211506</t>
  </si>
  <si>
    <t>71577/86212320</t>
  </si>
  <si>
    <t>15/07-WIP &amp; Completed by Jack, Mathew B - "Humm waiting to be approved"</t>
  </si>
  <si>
    <t>18/07-HUMM payment plan approved</t>
  </si>
  <si>
    <t>71465/71449</t>
  </si>
  <si>
    <t>16/07-As per Emily's note "left booking confirmation on podium";15/07-WIP by Tolga, Mathew B</t>
  </si>
  <si>
    <t>15/07-Scheduled for Mathew B; 12/07 - Received  $1000 Card ;  12 July-WIP by Alex;11 July-HUMM approved-WIP by Elliot,Mathew.</t>
  </si>
  <si>
    <t>71367/86147996</t>
  </si>
  <si>
    <t>To be updated on tmrw</t>
  </si>
  <si>
    <t>18 Jul - Cancelled</t>
  </si>
  <si>
    <t>71450/86163679</t>
  </si>
  <si>
    <t>71531/71454/86190313</t>
  </si>
  <si>
    <t>Blackburm North</t>
  </si>
  <si>
    <t>71539/86196545</t>
  </si>
  <si>
    <t>71470/8621486</t>
  </si>
  <si>
    <t>Abbostsford</t>
  </si>
  <si>
    <t>No details provided as CB</t>
  </si>
  <si>
    <t>22 Jul - Refund - $93.50</t>
  </si>
  <si>
    <t>26/07 Reece - 1014652326 - Job 050002</t>
  </si>
  <si>
    <t>28 Jul - Refund - Job #71204</t>
  </si>
  <si>
    <t>71575/86222327</t>
  </si>
  <si>
    <t>71575/86223487</t>
  </si>
  <si>
    <t>71637/71565</t>
  </si>
  <si>
    <t>22/07-Job completed by Tolga Bol-scheduled to Alex; 21/07 - WIP by Matthew B , Rhys</t>
  </si>
  <si>
    <t>71678/86251238</t>
  </si>
  <si>
    <t>71678/86251356</t>
  </si>
  <si>
    <t>22 Aug - Refund - $120</t>
  </si>
  <si>
    <t>24/07-Payment collected by Jack M</t>
  </si>
  <si>
    <t xml:space="preserve">23 Jul - Deduct 45mins O/T; 23/07-EFT Processed for $1251.80 </t>
  </si>
  <si>
    <t>24 Jul - Deduct 30mins O/T</t>
  </si>
  <si>
    <t>25 Jul - Deduct 30mins O/T</t>
  </si>
  <si>
    <t>Tecoma</t>
  </si>
  <si>
    <t>25 Jul - Deduct 45mins O/T</t>
  </si>
  <si>
    <t>10% - 18 Jul Cancelled</t>
  </si>
  <si>
    <t>10% - 16 Jul</t>
  </si>
  <si>
    <t>10% - 25 Jul</t>
  </si>
  <si>
    <t>25/07-Received final payment of $8022.50 by EFT;16/07-As per Emily's note "left booking confirmation on podium";15/07-WIP by Tolga, Mathew B</t>
  </si>
  <si>
    <t>71710/71621</t>
  </si>
  <si>
    <t>24/07-WIP by Jack M-HUMM PP set up;23/07-WIP by Mathew, Jack-Scheduled to Francesco</t>
  </si>
  <si>
    <t>24/07-WIP by Alex P &amp; Mathew B-HUMM set up</t>
  </si>
  <si>
    <t>71715/71685</t>
  </si>
  <si>
    <t>23 Jul - Deduct 45mins O/T; 28/07 - WIP by Jack; 26/07-WIP by Daniel B; 25/07-WIP by Daniel B &amp; Tolga;24/07-WIP by Tolga &amp; Mathew H;23/07-EFT Processed for $1284.36</t>
  </si>
  <si>
    <t>71730/71705</t>
  </si>
  <si>
    <t>25/07-WIP by Mathew H ; 24/07-WIP by Rhys,Daniel B &amp; Mathew B</t>
  </si>
  <si>
    <t>28/07-Job completed by Jack M by performing temp check;25/07-WIP by Daniel B</t>
  </si>
  <si>
    <t>71766/71753</t>
  </si>
  <si>
    <t>28/07/-WIP by Jack, Francesco</t>
  </si>
  <si>
    <t>71780/71730/71705</t>
  </si>
  <si>
    <t>21/07-WIP by Francesco &amp; received $2900 by Smartpay;15/07-Scheduled for Mathew B; 12/07 - Received  $1000 Card ;  12 July-WIP by Alex;11 July-HUMM approved-WIP by Elliot,Mathew.</t>
  </si>
  <si>
    <t>71635/71600</t>
  </si>
  <si>
    <t>Surry Hills</t>
  </si>
  <si>
    <t>71661/71649</t>
  </si>
  <si>
    <t>71702/71689</t>
  </si>
  <si>
    <t>28/07-Quote raised by Shaun;Need to rebook for Monday arvo please</t>
  </si>
  <si>
    <t>10% Comm's W/E - 25th May 2025</t>
  </si>
  <si>
    <t>10% Comm's W/E - 15th Jun 2025</t>
  </si>
  <si>
    <t>10% Comm's W/E - 13th Jul 2025</t>
  </si>
  <si>
    <t>12/8-Reece-1015111197-Job 71780</t>
  </si>
  <si>
    <t>12/08 Reece- 1015097669 - Job 72019</t>
  </si>
  <si>
    <t>12/08 Reece- CN-837715470 - Job 72019</t>
  </si>
  <si>
    <t>30/07-WIP by Francesco; 25/07-WIP by Mathew H &amp; received $5000 by EFT ; 24/07-WIP by Rhys,Daniel B &amp; Mathew B</t>
  </si>
  <si>
    <t>19/8-Tolga to collect payment-Customer not onsite;15/8-Scheduled for Matthew;14/8-Scheduled for Matthew ; 15/05- WIP by Nick ; 14/05- WIP by Tolga</t>
  </si>
  <si>
    <t>11/08-Attended by Tolga to collect the final payment - EFT processed for $1082.36; 4/8-Tolga to collect payment;21/07-WIP by Francesco &amp; received $2900 by Smartpay;15/07-Scheduled for Mathew B; 12/07 - Received  $1000 Card ;  12 July-WIP by Alex;11 July-HUMM approved-WIP by Elliot,Mathew.</t>
  </si>
  <si>
    <t>10/10-Hose reconnected by Alex;24/9-Job completed by Alex;20/8-Scheduled to Alex to collect payment;19/8-Scheduled to Alex to collect payment;18/8-WIP by Alex;16/08-Jayden to collect payment;1/08 - WIP &amp; completed by Alex, Jayden - Receipt for City of Monash $86.17 uploaded ; 31/07-WIP by Tolga; 30/7-Received $5779.62 EFT ; 23 Jul - Deduct 45mins O/T; 30/07-WIP by Tolga Bal;29/07-WIP by Liam &amp; Alex; 28/07 - WIP by Jack; 26/07-WIP by Daniel B; 25/07-WIP by Daniel B &amp; Tolga;24/07-WIP by Tolga &amp; Mathew H;23/07-EFT Processed for $1284.36</t>
  </si>
  <si>
    <t>1/8-Scheduled to Mathew B;28/07-Job completed by Jack M by performing temp check;25/07-WIP by Daniel B</t>
  </si>
  <si>
    <t>01/08-Heath did re-camera &amp; collected payment of $10000+$10000 by EFT;31/07-WIP by Mathew H; 30/07-WIP by Jack - Received $5500 EFT ; 29/07/-WIP by Jack, Francesco;28/07/-WIP by Jack, Francesco</t>
  </si>
  <si>
    <t>27/8-WIP by Alex &amp; Jack M;26/8-WIP by Jack M;25/8-WIP by Alex &amp; Mathew H and EFT of $4000 initiated;22/08-WIP by Alex, Bradley - EFT processed for $2000 ; 21/8-WIP by Alex;20/8-WIP by Jack M;19/8-WIP by Bradley;18/8-WIP by Alex;15/8-WIP by Jack ; 14/8-WIP by Jack ; 13/08-WIP by Jack Mc; 12/08-WIP by Tolga - Received $339.04 EFT ; 11/08-WIP by Jack;08/08 - WIP by Jack, Francesco; 07/08-WIP by Francesco, Jack ; 06/08 - WIP by Jack, Francesco, Mathew H, Tolga-Received $5000 EFT ; 05/08-WIP by Jack - Received $3000 EFT ; 4/8-WIP by Francesco &amp; Alex - Received $6000 EFT ;1/08 Attended by Riely, Jack, Francesco; 31/07-WIP by Jack M - Recamera by Mathew B - Received $3800 EFT ; 30/07-WIP by Francesco, Mathew B; 25/07--EFT of $3000 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</si>
</sst>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164" formatCode="&quot;$&quot;#,##0.00;[Red]\-&quot;$&quot;#,##0.00"/>
    <numFmt numFmtId="165" formatCode="_([$$-409]* #,##0.00_);_([$$-409]* \(#,##0.00\);_([$$-409]* &quot;-&quot;??_);_(@_)"/>
    <numFmt numFmtId="166" formatCode="&quot;$&quot;#,##0.00"/>
    <numFmt numFmtId="167" formatCode="_-[$$-409]* #,##0.00_ ;_-[$$-409]* \-#,##0.00\ ;_-[$$-409]* &quot;-&quot;??_ ;_-@_ "/>
    <numFmt numFmtId="168" formatCode="d/mm/yyyy;@"/>
    <numFmt numFmtId="169" formatCode="[$-409]dd\-mmm\-yy;@"/>
    <numFmt numFmtId="170" formatCode="[$-409]d\-mmm\-yy;@"/>
    <numFmt numFmtId="171" formatCode="dd/mm/yyyy;@"/>
  </numFmts>
  <fonts count="39">
    <font>
      <sz val="11"/>
      <color theme="1"/>
      <name val="Aptos Narrow"/>
      <family val="2"/>
      <scheme val="minor"/>
    </font>
    <font>
      <b/>
      <i/>
      <u/>
      <sz val="11"/>
      <color rgb="FF7030A0"/>
      <name val="Calibri"/>
    </font>
    <font>
      <sz val="11"/>
      <color theme="1"/>
      <name val="Calibri"/>
    </font>
    <font>
      <sz val="10"/>
      <color theme="1"/>
      <name val="Calibri"/>
    </font>
    <font>
      <b/>
      <u/>
      <sz val="10"/>
      <color rgb="FF000000"/>
      <name val="Calibri"/>
    </font>
    <font>
      <sz val="10"/>
      <color rgb="FF000000"/>
      <name val="Calibri"/>
    </font>
    <font>
      <b/>
      <sz val="10"/>
      <color rgb="FFFF0000"/>
      <name val="Calibri"/>
    </font>
    <font>
      <b/>
      <sz val="10"/>
      <color rgb="FF000000"/>
      <name val="Calibri"/>
    </font>
    <font>
      <b/>
      <sz val="10"/>
      <color rgb="FF00B050"/>
      <name val="Calibri"/>
    </font>
    <font>
      <sz val="10"/>
      <color rgb="FFFF0000"/>
      <name val="Calibri"/>
    </font>
    <font>
      <b/>
      <u/>
      <sz val="10"/>
      <color rgb="FF00B050"/>
      <name val="Calibri"/>
    </font>
    <font>
      <sz val="10"/>
      <color rgb="FF00B050"/>
      <name val="Calibri"/>
    </font>
    <font>
      <sz val="11"/>
      <color rgb="FF00B050"/>
      <name val="Calibri"/>
    </font>
    <font>
      <b/>
      <sz val="11"/>
      <color rgb="FF000000"/>
      <name val="Calibri"/>
    </font>
    <font>
      <sz val="11"/>
      <color rgb="FF000000"/>
      <name val="Calibri"/>
    </font>
    <font>
      <b/>
      <sz val="11"/>
      <color theme="1"/>
      <name val="Calibri"/>
    </font>
    <font>
      <b/>
      <u/>
      <sz val="11"/>
      <color rgb="FF000000"/>
      <name val="Calibri"/>
    </font>
    <font>
      <b/>
      <sz val="11"/>
      <color rgb="FFFF0000"/>
      <name val="Calibri"/>
    </font>
    <font>
      <b/>
      <sz val="11"/>
      <color rgb="FF00B050"/>
      <name val="Calibri"/>
    </font>
    <font>
      <b/>
      <sz val="11"/>
      <color rgb="FF0070C0"/>
      <name val="Calibri"/>
    </font>
    <font>
      <sz val="11"/>
      <color rgb="FFFF0000"/>
      <name val="Calibri"/>
    </font>
    <font>
      <sz val="11"/>
      <color rgb="FF0070C0"/>
      <name val="Calibri"/>
    </font>
    <font>
      <b/>
      <sz val="11"/>
      <color theme="1"/>
      <name val="Aptos Narrow"/>
      <family val="2"/>
      <scheme val="minor"/>
    </font>
    <font>
      <sz val="11"/>
      <color rgb="FF000000"/>
      <name val="Aptos Narrow"/>
      <family val="2"/>
      <scheme val="minor"/>
    </font>
    <font>
      <sz val="10"/>
      <color rgb="FF00B0F0"/>
      <name val="Calibri"/>
    </font>
    <font>
      <b/>
      <u/>
      <sz val="11"/>
      <color rgb="FFFF0000"/>
      <name val="Calibri"/>
    </font>
    <font>
      <sz val="10"/>
      <color rgb="FF242424"/>
      <name val="Calibri"/>
    </font>
    <font>
      <sz val="11"/>
      <color rgb="FF00B050"/>
      <name val="Aptos Narrow"/>
      <family val="2"/>
      <scheme val="minor"/>
    </font>
    <font>
      <sz val="10"/>
      <color rgb="FF00B050"/>
      <name val="Calibri"/>
      <charset val="1"/>
    </font>
    <font>
      <sz val="11"/>
      <color rgb="FFFF0000"/>
      <name val="Aptos Narrow"/>
      <family val="2"/>
      <scheme val="minor"/>
    </font>
    <font>
      <sz val="10"/>
      <color rgb="FF000000"/>
      <name val="Aptos Narrow"/>
      <family val="2"/>
      <scheme val="minor"/>
    </font>
    <font>
      <sz val="10"/>
      <color rgb="FFFF0000"/>
      <name val="Calibri"/>
      <charset val="1"/>
    </font>
    <font>
      <sz val="10"/>
      <color rgb="FF000000"/>
      <name val="Calibri"/>
      <charset val="1"/>
    </font>
    <font>
      <sz val="10"/>
      <color rgb="FF00B050"/>
      <name val="Aptos Narrow"/>
      <family val="2"/>
      <scheme val="minor"/>
    </font>
    <font>
      <sz val="10"/>
      <color rgb="FFFF0000"/>
      <name val="Aptos Narrow"/>
      <family val="2"/>
      <scheme val="minor"/>
    </font>
    <font>
      <sz val="10"/>
      <color rgb="FF333333"/>
      <name val="Calibri"/>
    </font>
    <font>
      <b/>
      <sz val="10"/>
      <color theme="1"/>
      <name val="Calibri"/>
    </font>
    <font>
      <sz val="10"/>
      <color theme="3"/>
      <name val="Calibri"/>
    </font>
    <font>
      <b/>
      <u/>
      <sz val="10"/>
      <color rgb="FFFF0000"/>
      <name val="Calibri"/>
    </font>
  </fonts>
  <fills count="16">
    <fill>
      <patternFill patternType="none"/>
    </fill>
    <fill>
      <patternFill patternType="gray125"/>
    </fill>
    <fill>
      <patternFill patternType="solid">
        <fgColor rgb="FFD9D9D9"/>
        <bgColor rgb="FF000000"/>
      </patternFill>
    </fill>
    <fill>
      <patternFill patternType="solid">
        <fgColor rgb="FF00B0F0"/>
        <bgColor indexed="64"/>
      </patternFill>
    </fill>
    <fill>
      <patternFill patternType="solid">
        <fgColor rgb="FFFFFF00"/>
        <bgColor indexed="64"/>
      </patternFill>
    </fill>
    <fill>
      <patternFill patternType="solid">
        <fgColor rgb="FFD9D9D9"/>
        <bgColor indexed="64"/>
      </patternFill>
    </fill>
    <fill>
      <patternFill patternType="solid">
        <fgColor rgb="FF8EA9DB"/>
        <bgColor rgb="FF000000"/>
      </patternFill>
    </fill>
    <fill>
      <patternFill patternType="solid">
        <fgColor rgb="FFD9E1F2"/>
        <bgColor rgb="FF000000"/>
      </patternFill>
    </fill>
    <fill>
      <patternFill patternType="solid">
        <fgColor theme="0" tint="-0.249977111117893"/>
        <bgColor indexed="64"/>
      </patternFill>
    </fill>
    <fill>
      <patternFill patternType="solid">
        <fgColor theme="5" tint="0.79998168889431442"/>
        <bgColor indexed="64"/>
      </patternFill>
    </fill>
    <fill>
      <patternFill patternType="solid">
        <fgColor rgb="FF7030A0"/>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2" tint="-0.249977111117893"/>
        <bgColor indexed="64"/>
      </patternFill>
    </fill>
  </fills>
  <borders count="5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bottom/>
      <diagonal/>
    </border>
    <border>
      <left/>
      <right style="thin">
        <color rgb="FF000000"/>
      </right>
      <top/>
      <bottom/>
      <diagonal/>
    </border>
    <border>
      <left/>
      <right/>
      <top style="thin">
        <color rgb="FF000000"/>
      </top>
      <bottom style="double">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medium">
        <color rgb="FF000000"/>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s>
  <cellStyleXfs count="1">
    <xf numFmtId="0" fontId="0" fillId="0" borderId="0"/>
  </cellStyleXfs>
  <cellXfs count="772">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0" fontId="4" fillId="0" borderId="2" xfId="0" applyFont="1" applyBorder="1"/>
    <xf numFmtId="0" fontId="5" fillId="0" borderId="2" xfId="0" applyFont="1" applyBorder="1"/>
    <xf numFmtId="0" fontId="6" fillId="0" borderId="2" xfId="0" applyFont="1" applyBorder="1"/>
    <xf numFmtId="14" fontId="6" fillId="0" borderId="2" xfId="0" applyNumberFormat="1" applyFont="1" applyBorder="1" applyAlignment="1">
      <alignment horizontal="right"/>
    </xf>
    <xf numFmtId="0" fontId="5" fillId="0" borderId="3" xfId="0" applyFont="1" applyBorder="1"/>
    <xf numFmtId="0" fontId="5" fillId="0" borderId="0" xfId="0" applyFont="1"/>
    <xf numFmtId="0" fontId="5" fillId="0" borderId="4" xfId="0" applyFont="1" applyBorder="1"/>
    <xf numFmtId="0" fontId="6" fillId="0" borderId="0" xfId="0" applyFont="1"/>
    <xf numFmtId="0" fontId="7"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5" xfId="0" applyFont="1" applyBorder="1" applyAlignment="1">
      <alignment horizontal="center"/>
    </xf>
    <xf numFmtId="0" fontId="5" fillId="0" borderId="6" xfId="0" applyFont="1" applyBorder="1"/>
    <xf numFmtId="0" fontId="7" fillId="0" borderId="1" xfId="0" applyFont="1" applyBorder="1"/>
    <xf numFmtId="0" fontId="7" fillId="0" borderId="3" xfId="0" applyFont="1" applyBorder="1"/>
    <xf numFmtId="0" fontId="7" fillId="0" borderId="4"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4" xfId="0" applyFont="1" applyBorder="1"/>
    <xf numFmtId="0" fontId="7" fillId="0" borderId="6" xfId="0" applyFont="1" applyBorder="1"/>
    <xf numFmtId="0" fontId="5" fillId="0" borderId="8" xfId="0" applyFont="1" applyBorder="1"/>
    <xf numFmtId="9" fontId="5" fillId="0" borderId="9" xfId="0" applyNumberFormat="1" applyFont="1" applyBorder="1"/>
    <xf numFmtId="0" fontId="5" fillId="0" borderId="10" xfId="0" applyFont="1" applyBorder="1"/>
    <xf numFmtId="0" fontId="5" fillId="0" borderId="1" xfId="0" applyFont="1" applyBorder="1" applyAlignment="1">
      <alignment horizontal="center"/>
    </xf>
    <xf numFmtId="0" fontId="7" fillId="0" borderId="11" xfId="0" applyFont="1" applyBorder="1" applyAlignment="1">
      <alignment horizontal="center"/>
    </xf>
    <xf numFmtId="9" fontId="5" fillId="0" borderId="0" xfId="0" applyNumberFormat="1" applyFont="1"/>
    <xf numFmtId="0" fontId="7" fillId="0" borderId="8" xfId="0" applyFont="1" applyBorder="1"/>
    <xf numFmtId="9" fontId="5" fillId="0" borderId="8" xfId="0" applyNumberFormat="1" applyFont="1" applyBorder="1" applyAlignment="1">
      <alignment horizontal="center"/>
    </xf>
    <xf numFmtId="9" fontId="7" fillId="0" borderId="6" xfId="0" applyNumberFormat="1" applyFont="1" applyBorder="1"/>
    <xf numFmtId="0" fontId="8" fillId="0" borderId="0" xfId="0" applyFont="1"/>
    <xf numFmtId="14" fontId="5" fillId="0" borderId="0" xfId="0" applyNumberFormat="1" applyFont="1"/>
    <xf numFmtId="165" fontId="7" fillId="0" borderId="10" xfId="0" applyNumberFormat="1" applyFont="1" applyBorder="1"/>
    <xf numFmtId="165" fontId="5" fillId="0" borderId="1" xfId="0" applyNumberFormat="1" applyFont="1" applyBorder="1"/>
    <xf numFmtId="165" fontId="5" fillId="0" borderId="3" xfId="0" applyNumberFormat="1" applyFont="1" applyBorder="1"/>
    <xf numFmtId="0" fontId="9" fillId="0" borderId="4" xfId="0" applyFont="1" applyBorder="1" applyAlignment="1">
      <alignment wrapText="1"/>
    </xf>
    <xf numFmtId="0" fontId="9" fillId="0" borderId="0" xfId="0" applyFont="1" applyAlignment="1">
      <alignment wrapText="1"/>
    </xf>
    <xf numFmtId="0" fontId="9" fillId="0" borderId="0" xfId="0" applyFont="1"/>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6" fillId="0" borderId="15" xfId="0" applyFont="1" applyBorder="1" applyAlignment="1">
      <alignment horizontal="center"/>
    </xf>
    <xf numFmtId="0" fontId="6" fillId="0" borderId="14" xfId="0" applyFont="1" applyBorder="1" applyAlignment="1">
      <alignment horizontal="center"/>
    </xf>
    <xf numFmtId="9" fontId="5" fillId="0" borderId="4" xfId="0" applyNumberFormat="1" applyFont="1" applyBorder="1"/>
    <xf numFmtId="0" fontId="8" fillId="0" borderId="11" xfId="0" applyFont="1" applyBorder="1" applyAlignment="1">
      <alignment horizontal="center"/>
    </xf>
    <xf numFmtId="0" fontId="6" fillId="0" borderId="3" xfId="0" applyFont="1" applyBorder="1"/>
    <xf numFmtId="0" fontId="7" fillId="2" borderId="4" xfId="0" applyFont="1" applyFill="1" applyBorder="1"/>
    <xf numFmtId="165" fontId="5" fillId="2" borderId="4" xfId="0" applyNumberFormat="1" applyFont="1" applyFill="1" applyBorder="1"/>
    <xf numFmtId="165" fontId="5" fillId="2" borderId="6" xfId="0" applyNumberFormat="1" applyFont="1" applyFill="1" applyBorder="1"/>
    <xf numFmtId="165" fontId="8" fillId="0" borderId="0" xfId="0" applyNumberFormat="1" applyFont="1" applyAlignment="1">
      <alignment wrapText="1"/>
    </xf>
    <xf numFmtId="165" fontId="9" fillId="0" borderId="0" xfId="0" applyNumberFormat="1" applyFont="1" applyAlignment="1">
      <alignment wrapText="1"/>
    </xf>
    <xf numFmtId="165" fontId="7" fillId="0" borderId="8" xfId="0" applyNumberFormat="1" applyFont="1" applyBorder="1" applyAlignment="1">
      <alignment horizontal="center"/>
    </xf>
    <xf numFmtId="165" fontId="7" fillId="0" borderId="9" xfId="0" applyNumberFormat="1" applyFont="1" applyBorder="1" applyAlignment="1">
      <alignment horizontal="center"/>
    </xf>
    <xf numFmtId="165" fontId="8" fillId="0" borderId="7" xfId="0" applyNumberFormat="1" applyFont="1" applyBorder="1" applyAlignment="1">
      <alignment horizontal="center"/>
    </xf>
    <xf numFmtId="165" fontId="6" fillId="0" borderId="10" xfId="0" applyNumberFormat="1" applyFont="1" applyBorder="1" applyAlignment="1">
      <alignment horizontal="center"/>
    </xf>
    <xf numFmtId="165" fontId="5" fillId="0" borderId="4" xfId="0" applyNumberFormat="1" applyFont="1" applyBorder="1"/>
    <xf numFmtId="165" fontId="5" fillId="0" borderId="6" xfId="0" applyNumberFormat="1" applyFont="1" applyBorder="1"/>
    <xf numFmtId="165" fontId="5" fillId="0" borderId="0" xfId="0" applyNumberFormat="1" applyFont="1"/>
    <xf numFmtId="0" fontId="5" fillId="0" borderId="0" xfId="0" applyFont="1" applyAlignment="1">
      <alignment horizontal="center"/>
    </xf>
    <xf numFmtId="0" fontId="8" fillId="0" borderId="0" xfId="0" applyFont="1" applyAlignment="1">
      <alignment horizontal="center"/>
    </xf>
    <xf numFmtId="165" fontId="5" fillId="2" borderId="10" xfId="0" applyNumberFormat="1" applyFont="1" applyFill="1" applyBorder="1"/>
    <xf numFmtId="165" fontId="5" fillId="0" borderId="0" xfId="0" applyNumberFormat="1" applyFont="1" applyAlignment="1">
      <alignment horizontal="center"/>
    </xf>
    <xf numFmtId="0" fontId="8" fillId="0" borderId="1" xfId="0" applyFont="1" applyBorder="1"/>
    <xf numFmtId="165" fontId="8" fillId="0" borderId="5" xfId="0" applyNumberFormat="1" applyFont="1" applyBorder="1"/>
    <xf numFmtId="1" fontId="8" fillId="0" borderId="5" xfId="0" applyNumberFormat="1" applyFont="1" applyBorder="1"/>
    <xf numFmtId="0" fontId="6" fillId="3" borderId="15" xfId="0" applyFont="1" applyFill="1" applyBorder="1" applyAlignment="1">
      <alignment horizontal="center"/>
    </xf>
    <xf numFmtId="0" fontId="6" fillId="3" borderId="14" xfId="0" applyFont="1" applyFill="1" applyBorder="1" applyAlignment="1">
      <alignment horizontal="center"/>
    </xf>
    <xf numFmtId="0" fontId="6" fillId="0" borderId="1" xfId="0" applyFont="1" applyBorder="1"/>
    <xf numFmtId="165" fontId="6" fillId="0" borderId="5" xfId="0" applyNumberFormat="1" applyFont="1" applyBorder="1"/>
    <xf numFmtId="0" fontId="6" fillId="0" borderId="12" xfId="0" applyFont="1" applyBorder="1"/>
    <xf numFmtId="165" fontId="6" fillId="0" borderId="15" xfId="0" applyNumberFormat="1" applyFont="1" applyBorder="1"/>
    <xf numFmtId="165" fontId="6" fillId="0" borderId="0" xfId="0" applyNumberFormat="1" applyFont="1"/>
    <xf numFmtId="0" fontId="5" fillId="0" borderId="0" xfId="0" applyFont="1" applyAlignment="1">
      <alignment horizontal="right"/>
    </xf>
    <xf numFmtId="0" fontId="7" fillId="0" borderId="11" xfId="0" applyFont="1" applyBorder="1"/>
    <xf numFmtId="0" fontId="7" fillId="0" borderId="16" xfId="0" applyFont="1" applyBorder="1" applyAlignment="1">
      <alignment horizontal="left"/>
    </xf>
    <xf numFmtId="0" fontId="7" fillId="0" borderId="17" xfId="0" applyFont="1" applyBorder="1" applyAlignment="1">
      <alignment horizontal="left"/>
    </xf>
    <xf numFmtId="0" fontId="7" fillId="0" borderId="18" xfId="0" applyFont="1" applyBorder="1" applyAlignment="1">
      <alignment horizontal="left"/>
    </xf>
    <xf numFmtId="0" fontId="5" fillId="0" borderId="2" xfId="0" applyFont="1" applyBorder="1" applyAlignment="1">
      <alignment horizontal="right"/>
    </xf>
    <xf numFmtId="0" fontId="5" fillId="0" borderId="2" xfId="0" applyFont="1" applyBorder="1" applyAlignment="1">
      <alignment horizontal="center"/>
    </xf>
    <xf numFmtId="165" fontId="7" fillId="0" borderId="19" xfId="0" applyNumberFormat="1" applyFont="1" applyBorder="1" applyAlignment="1">
      <alignment horizontal="right"/>
    </xf>
    <xf numFmtId="165" fontId="7" fillId="0" borderId="20" xfId="0" applyNumberFormat="1" applyFont="1" applyBorder="1" applyAlignment="1">
      <alignment horizontal="right"/>
    </xf>
    <xf numFmtId="165" fontId="7" fillId="0" borderId="21" xfId="0" applyNumberFormat="1" applyFont="1" applyBorder="1" applyAlignment="1">
      <alignment horizontal="right"/>
    </xf>
    <xf numFmtId="0" fontId="5" fillId="0" borderId="4" xfId="0" applyFont="1" applyBorder="1" applyAlignment="1">
      <alignment horizontal="center"/>
    </xf>
    <xf numFmtId="165" fontId="7" fillId="0" borderId="0" xfId="0" applyNumberFormat="1" applyFont="1"/>
    <xf numFmtId="165" fontId="5" fillId="0" borderId="0" xfId="0" applyNumberFormat="1" applyFont="1" applyAlignment="1">
      <alignment horizontal="right"/>
    </xf>
    <xf numFmtId="165" fontId="7" fillId="0" borderId="22" xfId="0" applyNumberFormat="1" applyFont="1" applyBorder="1" applyAlignment="1">
      <alignment horizontal="right"/>
    </xf>
    <xf numFmtId="165" fontId="7" fillId="0" borderId="23" xfId="0" applyNumberFormat="1" applyFont="1" applyBorder="1" applyAlignment="1">
      <alignment horizontal="right"/>
    </xf>
    <xf numFmtId="165" fontId="7" fillId="0" borderId="24" xfId="0" applyNumberFormat="1" applyFont="1" applyBorder="1" applyAlignment="1">
      <alignment horizontal="right"/>
    </xf>
    <xf numFmtId="16" fontId="3" fillId="0" borderId="0" xfId="0" applyNumberFormat="1" applyFont="1"/>
    <xf numFmtId="0" fontId="5" fillId="0" borderId="0" xfId="0" applyFont="1" applyAlignment="1">
      <alignment horizontal="left"/>
    </xf>
    <xf numFmtId="165" fontId="5" fillId="0" borderId="0" xfId="0" applyNumberFormat="1" applyFont="1" applyAlignment="1">
      <alignment wrapText="1"/>
    </xf>
    <xf numFmtId="165" fontId="7" fillId="0" borderId="25" xfId="0" applyNumberFormat="1" applyFont="1" applyBorder="1" applyAlignment="1">
      <alignment horizontal="right"/>
    </xf>
    <xf numFmtId="165" fontId="7" fillId="0" borderId="26" xfId="0" applyNumberFormat="1" applyFont="1" applyBorder="1"/>
    <xf numFmtId="165" fontId="7" fillId="0" borderId="26" xfId="0" applyNumberFormat="1" applyFont="1" applyBorder="1" applyAlignment="1">
      <alignment horizontal="right"/>
    </xf>
    <xf numFmtId="165" fontId="7" fillId="0" borderId="0" xfId="0" applyNumberFormat="1" applyFont="1" applyAlignment="1">
      <alignment horizontal="right"/>
    </xf>
    <xf numFmtId="0" fontId="4" fillId="0" borderId="4" xfId="0" applyFont="1" applyBorder="1"/>
    <xf numFmtId="8" fontId="5" fillId="0" borderId="0" xfId="0" applyNumberFormat="1" applyFont="1"/>
    <xf numFmtId="0" fontId="4" fillId="4" borderId="4" xfId="0" applyFont="1" applyFill="1" applyBorder="1"/>
    <xf numFmtId="14" fontId="5" fillId="4" borderId="0" xfId="0" applyNumberFormat="1" applyFont="1" applyFill="1"/>
    <xf numFmtId="0" fontId="5" fillId="4" borderId="0" xfId="0" applyFont="1" applyFill="1"/>
    <xf numFmtId="165" fontId="7" fillId="4" borderId="0" xfId="0" applyNumberFormat="1" applyFont="1" applyFill="1"/>
    <xf numFmtId="165" fontId="5" fillId="4" borderId="0" xfId="0" applyNumberFormat="1" applyFont="1" applyFill="1"/>
    <xf numFmtId="165" fontId="7" fillId="4" borderId="0" xfId="0" applyNumberFormat="1" applyFont="1" applyFill="1" applyAlignment="1">
      <alignment horizontal="right"/>
    </xf>
    <xf numFmtId="0" fontId="5" fillId="4" borderId="0" xfId="0" applyFont="1" applyFill="1" applyAlignment="1">
      <alignment horizontal="center"/>
    </xf>
    <xf numFmtId="0" fontId="2" fillId="4" borderId="0" xfId="0" applyFont="1" applyFill="1"/>
    <xf numFmtId="0" fontId="5" fillId="4" borderId="0" xfId="0" applyFont="1" applyFill="1" applyAlignment="1">
      <alignment horizontal="left"/>
    </xf>
    <xf numFmtId="165" fontId="7" fillId="4" borderId="22" xfId="0" applyNumberFormat="1" applyFont="1" applyFill="1" applyBorder="1" applyAlignment="1">
      <alignment horizontal="right"/>
    </xf>
    <xf numFmtId="165" fontId="7" fillId="4" borderId="23" xfId="0" applyNumberFormat="1" applyFont="1" applyFill="1" applyBorder="1" applyAlignment="1">
      <alignment horizontal="right"/>
    </xf>
    <xf numFmtId="165" fontId="7" fillId="4" borderId="24" xfId="0" applyNumberFormat="1" applyFont="1" applyFill="1" applyBorder="1" applyAlignment="1">
      <alignment horizontal="right"/>
    </xf>
    <xf numFmtId="0" fontId="5" fillId="4" borderId="4" xfId="0" applyFont="1" applyFill="1" applyBorder="1" applyAlignment="1">
      <alignment horizontal="center"/>
    </xf>
    <xf numFmtId="8" fontId="5" fillId="4" borderId="0" xfId="0" applyNumberFormat="1" applyFont="1" applyFill="1"/>
    <xf numFmtId="165" fontId="5" fillId="4" borderId="0" xfId="0" applyNumberFormat="1" applyFont="1" applyFill="1" applyAlignment="1">
      <alignment horizontal="right"/>
    </xf>
    <xf numFmtId="0" fontId="5" fillId="4" borderId="4" xfId="0" applyFont="1" applyFill="1" applyBorder="1"/>
    <xf numFmtId="165" fontId="7" fillId="4" borderId="26" xfId="0" applyNumberFormat="1" applyFont="1" applyFill="1" applyBorder="1"/>
    <xf numFmtId="165" fontId="7" fillId="4" borderId="26" xfId="0" applyNumberFormat="1" applyFont="1" applyFill="1" applyBorder="1" applyAlignment="1">
      <alignment horizontal="right"/>
    </xf>
    <xf numFmtId="0" fontId="7" fillId="4" borderId="0" xfId="0" applyFont="1" applyFill="1" applyAlignment="1">
      <alignment horizontal="center"/>
    </xf>
    <xf numFmtId="0" fontId="10" fillId="0" borderId="4" xfId="0" applyFont="1" applyBorder="1"/>
    <xf numFmtId="14" fontId="11" fillId="0" borderId="0" xfId="0" applyNumberFormat="1" applyFont="1"/>
    <xf numFmtId="0" fontId="11" fillId="0" borderId="0" xfId="0" applyFont="1"/>
    <xf numFmtId="165" fontId="8" fillId="0" borderId="0" xfId="0" applyNumberFormat="1" applyFont="1"/>
    <xf numFmtId="165" fontId="11" fillId="0" borderId="0" xfId="0" applyNumberFormat="1" applyFont="1"/>
    <xf numFmtId="165" fontId="8" fillId="0" borderId="0" xfId="0" applyNumberFormat="1" applyFont="1" applyAlignment="1">
      <alignment horizontal="right"/>
    </xf>
    <xf numFmtId="0" fontId="11" fillId="0" borderId="0" xfId="0" applyFont="1" applyAlignment="1">
      <alignment horizontal="center"/>
    </xf>
    <xf numFmtId="0" fontId="12" fillId="0" borderId="0" xfId="0" applyFont="1"/>
    <xf numFmtId="165" fontId="8" fillId="0" borderId="22" xfId="0" applyNumberFormat="1" applyFont="1" applyBorder="1" applyAlignment="1">
      <alignment horizontal="right"/>
    </xf>
    <xf numFmtId="165" fontId="8" fillId="0" borderId="23" xfId="0" applyNumberFormat="1" applyFont="1" applyBorder="1" applyAlignment="1">
      <alignment horizontal="right"/>
    </xf>
    <xf numFmtId="165" fontId="8" fillId="0" borderId="24" xfId="0" applyNumberFormat="1" applyFont="1" applyBorder="1" applyAlignment="1">
      <alignment horizontal="right"/>
    </xf>
    <xf numFmtId="0" fontId="11" fillId="0" borderId="4" xfId="0" applyFont="1" applyBorder="1"/>
    <xf numFmtId="165" fontId="8" fillId="0" borderId="26" xfId="0" applyNumberFormat="1" applyFont="1" applyBorder="1"/>
    <xf numFmtId="165" fontId="8" fillId="0" borderId="26" xfId="0" applyNumberFormat="1" applyFont="1" applyBorder="1" applyAlignment="1">
      <alignment horizontal="right"/>
    </xf>
    <xf numFmtId="0" fontId="11" fillId="0" borderId="0" xfId="0" applyFont="1" applyAlignment="1">
      <alignment horizontal="left"/>
    </xf>
    <xf numFmtId="165" fontId="7" fillId="0" borderId="27" xfId="0" applyNumberFormat="1" applyFont="1" applyBorder="1" applyAlignment="1">
      <alignment horizontal="right"/>
    </xf>
    <xf numFmtId="165" fontId="7" fillId="0" borderId="28" xfId="0" applyNumberFormat="1" applyFont="1" applyBorder="1" applyAlignment="1">
      <alignment horizontal="right"/>
    </xf>
    <xf numFmtId="165" fontId="7" fillId="0" borderId="29" xfId="0" applyNumberFormat="1" applyFont="1" applyBorder="1" applyAlignment="1">
      <alignment horizontal="right"/>
    </xf>
    <xf numFmtId="0" fontId="2" fillId="0" borderId="0" xfId="0" applyFont="1" applyAlignment="1">
      <alignment horizontal="left"/>
    </xf>
    <xf numFmtId="14" fontId="5" fillId="0" borderId="9" xfId="0" applyNumberFormat="1" applyFont="1" applyBorder="1"/>
    <xf numFmtId="0" fontId="5" fillId="0" borderId="9" xfId="0" applyFont="1" applyBorder="1"/>
    <xf numFmtId="0" fontId="7" fillId="0" borderId="9" xfId="0" applyFont="1" applyBorder="1"/>
    <xf numFmtId="0" fontId="7" fillId="0" borderId="9" xfId="0" applyFont="1" applyBorder="1" applyAlignment="1">
      <alignment horizontal="center"/>
    </xf>
    <xf numFmtId="165" fontId="7" fillId="0" borderId="30" xfId="0" applyNumberFormat="1" applyFont="1" applyBorder="1" applyAlignment="1">
      <alignment horizontal="right"/>
    </xf>
    <xf numFmtId="165" fontId="7" fillId="0" borderId="31" xfId="0" applyNumberFormat="1" applyFont="1" applyBorder="1" applyAlignment="1">
      <alignment horizontal="right"/>
    </xf>
    <xf numFmtId="165" fontId="7" fillId="0" borderId="14" xfId="0" applyNumberFormat="1" applyFont="1" applyBorder="1" applyAlignment="1">
      <alignment horizontal="right"/>
    </xf>
    <xf numFmtId="0" fontId="7" fillId="0" borderId="0" xfId="0" applyFont="1"/>
    <xf numFmtId="0" fontId="7" fillId="3" borderId="0" xfId="0" applyFont="1" applyFill="1"/>
    <xf numFmtId="0" fontId="5" fillId="0" borderId="3" xfId="0" applyFont="1" applyBorder="1" applyAlignment="1">
      <alignment horizontal="left"/>
    </xf>
    <xf numFmtId="0" fontId="13" fillId="3" borderId="0" xfId="0" applyFont="1" applyFill="1"/>
    <xf numFmtId="0" fontId="5" fillId="0" borderId="6" xfId="0" applyFont="1" applyBorder="1" applyAlignment="1">
      <alignment horizontal="left"/>
    </xf>
    <xf numFmtId="0" fontId="14" fillId="3" borderId="0" xfId="0" applyFont="1" applyFill="1"/>
    <xf numFmtId="9" fontId="5" fillId="0" borderId="6" xfId="0" applyNumberFormat="1" applyFont="1" applyBorder="1"/>
    <xf numFmtId="9" fontId="5" fillId="0" borderId="10" xfId="0" applyNumberFormat="1" applyFont="1" applyBorder="1"/>
    <xf numFmtId="0" fontId="8" fillId="0" borderId="12" xfId="0" applyFont="1" applyBorder="1"/>
    <xf numFmtId="165" fontId="8" fillId="0" borderId="15" xfId="0" applyNumberFormat="1" applyFont="1" applyBorder="1"/>
    <xf numFmtId="0" fontId="11" fillId="0" borderId="6" xfId="0" applyFont="1" applyBorder="1" applyAlignment="1">
      <alignment horizontal="left"/>
    </xf>
    <xf numFmtId="0" fontId="8" fillId="0" borderId="8" xfId="0" applyFont="1" applyBorder="1"/>
    <xf numFmtId="1" fontId="8" fillId="0" borderId="7" xfId="0" applyNumberFormat="1" applyFont="1" applyBorder="1"/>
    <xf numFmtId="166" fontId="6" fillId="0" borderId="0" xfId="0" applyNumberFormat="1" applyFont="1"/>
    <xf numFmtId="0" fontId="7" fillId="0" borderId="5" xfId="0" applyFont="1" applyBorder="1" applyAlignment="1">
      <alignment horizontal="left"/>
    </xf>
    <xf numFmtId="0" fontId="7" fillId="0" borderId="11" xfId="0" applyFont="1" applyBorder="1" applyAlignment="1">
      <alignment horizontal="left"/>
    </xf>
    <xf numFmtId="0" fontId="5" fillId="0" borderId="2" xfId="0" applyFont="1" applyBorder="1" applyAlignment="1">
      <alignment horizontal="left"/>
    </xf>
    <xf numFmtId="0" fontId="3" fillId="0" borderId="0" xfId="0" applyFont="1" applyAlignment="1">
      <alignment horizontal="left"/>
    </xf>
    <xf numFmtId="165" fontId="7" fillId="0" borderId="32" xfId="0" applyNumberFormat="1" applyFont="1" applyBorder="1" applyAlignment="1">
      <alignment horizontal="right"/>
    </xf>
    <xf numFmtId="165" fontId="7" fillId="0" borderId="33" xfId="0" applyNumberFormat="1" applyFont="1" applyBorder="1" applyAlignment="1">
      <alignment horizontal="right"/>
    </xf>
    <xf numFmtId="165" fontId="7" fillId="0" borderId="6" xfId="0" applyNumberFormat="1" applyFont="1" applyBorder="1" applyAlignment="1">
      <alignment horizontal="right"/>
    </xf>
    <xf numFmtId="0" fontId="5" fillId="0" borderId="9" xfId="0" applyFont="1" applyBorder="1" applyAlignment="1">
      <alignment horizontal="left"/>
    </xf>
    <xf numFmtId="0" fontId="15" fillId="0" borderId="0" xfId="0" applyFont="1" applyAlignment="1">
      <alignment horizontal="center"/>
    </xf>
    <xf numFmtId="0" fontId="16" fillId="0" borderId="0" xfId="0" applyFont="1"/>
    <xf numFmtId="0" fontId="16" fillId="0" borderId="12" xfId="0" applyFont="1" applyBorder="1"/>
    <xf numFmtId="14" fontId="17" fillId="0" borderId="2" xfId="0" applyNumberFormat="1" applyFont="1" applyBorder="1"/>
    <xf numFmtId="0" fontId="18" fillId="0" borderId="2" xfId="0" applyFont="1" applyBorder="1"/>
    <xf numFmtId="0" fontId="13" fillId="0" borderId="5" xfId="0" applyFont="1" applyBorder="1"/>
    <xf numFmtId="165" fontId="13" fillId="0" borderId="14" xfId="0" applyNumberFormat="1" applyFont="1" applyBorder="1"/>
    <xf numFmtId="0" fontId="18" fillId="0" borderId="5" xfId="0" applyFont="1" applyBorder="1"/>
    <xf numFmtId="165" fontId="19" fillId="0" borderId="14" xfId="0" applyNumberFormat="1" applyFont="1" applyBorder="1"/>
    <xf numFmtId="165" fontId="17" fillId="5" borderId="13" xfId="0" applyNumberFormat="1" applyFont="1" applyFill="1" applyBorder="1"/>
    <xf numFmtId="165" fontId="18" fillId="5" borderId="15" xfId="0" applyNumberFormat="1" applyFont="1" applyFill="1" applyBorder="1"/>
    <xf numFmtId="165" fontId="17" fillId="5" borderId="15" xfId="0" applyNumberFormat="1" applyFont="1" applyFill="1" applyBorder="1"/>
    <xf numFmtId="0" fontId="14" fillId="0" borderId="0" xfId="0" applyFont="1"/>
    <xf numFmtId="0" fontId="13" fillId="0" borderId="0" xfId="0" applyFont="1"/>
    <xf numFmtId="0" fontId="13" fillId="6" borderId="4" xfId="0" applyFont="1" applyFill="1" applyBorder="1"/>
    <xf numFmtId="0" fontId="13" fillId="6" borderId="1" xfId="0" applyFont="1" applyFill="1" applyBorder="1"/>
    <xf numFmtId="0" fontId="13" fillId="6" borderId="2" xfId="0" applyFont="1" applyFill="1" applyBorder="1"/>
    <xf numFmtId="0" fontId="13" fillId="7" borderId="5" xfId="0" applyFont="1" applyFill="1" applyBorder="1"/>
    <xf numFmtId="165" fontId="13" fillId="0" borderId="6" xfId="0" applyNumberFormat="1" applyFont="1" applyBorder="1"/>
    <xf numFmtId="0" fontId="18" fillId="7" borderId="5" xfId="0" applyFont="1" applyFill="1" applyBorder="1"/>
    <xf numFmtId="165" fontId="19" fillId="0" borderId="6" xfId="0" applyNumberFormat="1" applyFont="1" applyBorder="1"/>
    <xf numFmtId="165" fontId="17" fillId="5" borderId="9" xfId="0" applyNumberFormat="1" applyFont="1" applyFill="1" applyBorder="1"/>
    <xf numFmtId="165" fontId="18" fillId="5" borderId="11" xfId="0" applyNumberFormat="1" applyFont="1" applyFill="1" applyBorder="1"/>
    <xf numFmtId="165" fontId="17" fillId="5" borderId="7" xfId="0" applyNumberFormat="1" applyFont="1" applyFill="1" applyBorder="1"/>
    <xf numFmtId="165" fontId="14" fillId="0" borderId="0" xfId="0" applyNumberFormat="1" applyFont="1"/>
    <xf numFmtId="0" fontId="19" fillId="0" borderId="0" xfId="0" applyFont="1"/>
    <xf numFmtId="0" fontId="19" fillId="0" borderId="1" xfId="0" applyFont="1" applyBorder="1"/>
    <xf numFmtId="165" fontId="19" fillId="0" borderId="1" xfId="0" applyNumberFormat="1" applyFont="1" applyBorder="1"/>
    <xf numFmtId="164" fontId="13" fillId="0" borderId="5" xfId="0" applyNumberFormat="1" applyFont="1" applyBorder="1"/>
    <xf numFmtId="164" fontId="13" fillId="0" borderId="3" xfId="0" applyNumberFormat="1" applyFont="1" applyBorder="1"/>
    <xf numFmtId="165" fontId="18" fillId="0" borderId="5" xfId="0" applyNumberFormat="1" applyFont="1" applyBorder="1"/>
    <xf numFmtId="165" fontId="19" fillId="0" borderId="3" xfId="0" applyNumberFormat="1" applyFont="1" applyBorder="1"/>
    <xf numFmtId="165" fontId="17" fillId="5" borderId="0" xfId="0" applyNumberFormat="1" applyFont="1" applyFill="1"/>
    <xf numFmtId="165" fontId="18" fillId="5" borderId="5" xfId="0" applyNumberFormat="1" applyFont="1" applyFill="1" applyBorder="1"/>
    <xf numFmtId="165" fontId="17" fillId="5" borderId="6" xfId="0" applyNumberFormat="1" applyFont="1" applyFill="1" applyBorder="1"/>
    <xf numFmtId="0" fontId="13" fillId="0" borderId="4" xfId="0" applyFont="1" applyBorder="1"/>
    <xf numFmtId="9" fontId="13" fillId="0" borderId="4" xfId="0" applyNumberFormat="1" applyFont="1" applyBorder="1"/>
    <xf numFmtId="164" fontId="13" fillId="0" borderId="11" xfId="0" applyNumberFormat="1" applyFont="1" applyBorder="1"/>
    <xf numFmtId="164" fontId="13" fillId="0" borderId="6" xfId="0" applyNumberFormat="1" applyFont="1" applyBorder="1"/>
    <xf numFmtId="9" fontId="18" fillId="0" borderId="11" xfId="0" applyNumberFormat="1" applyFont="1" applyBorder="1"/>
    <xf numFmtId="165" fontId="13" fillId="0" borderId="4" xfId="0" applyNumberFormat="1" applyFont="1" applyBorder="1"/>
    <xf numFmtId="164" fontId="13" fillId="0" borderId="7" xfId="0" applyNumberFormat="1" applyFont="1" applyBorder="1"/>
    <xf numFmtId="164" fontId="13" fillId="0" borderId="10" xfId="0" applyNumberFormat="1" applyFont="1" applyBorder="1"/>
    <xf numFmtId="165" fontId="18" fillId="0" borderId="11" xfId="0" applyNumberFormat="1" applyFont="1" applyBorder="1"/>
    <xf numFmtId="165" fontId="19" fillId="0" borderId="10" xfId="0" applyNumberFormat="1" applyFont="1" applyBorder="1"/>
    <xf numFmtId="165" fontId="18" fillId="5" borderId="7" xfId="0" applyNumberFormat="1" applyFont="1" applyFill="1" applyBorder="1"/>
    <xf numFmtId="165" fontId="19" fillId="0" borderId="2" xfId="0" applyNumberFormat="1" applyFont="1" applyBorder="1"/>
    <xf numFmtId="165" fontId="17" fillId="5" borderId="5" xfId="0" applyNumberFormat="1" applyFont="1" applyFill="1" applyBorder="1"/>
    <xf numFmtId="165" fontId="18" fillId="5" borderId="2" xfId="0" applyNumberFormat="1" applyFont="1" applyFill="1" applyBorder="1"/>
    <xf numFmtId="164" fontId="13" fillId="0" borderId="0" xfId="0" applyNumberFormat="1" applyFont="1"/>
    <xf numFmtId="165" fontId="19" fillId="0" borderId="0" xfId="0" applyNumberFormat="1" applyFont="1"/>
    <xf numFmtId="165" fontId="17" fillId="5" borderId="11" xfId="0" applyNumberFormat="1" applyFont="1" applyFill="1" applyBorder="1"/>
    <xf numFmtId="165" fontId="18" fillId="5" borderId="0" xfId="0" applyNumberFormat="1" applyFont="1" applyFill="1"/>
    <xf numFmtId="164" fontId="13" fillId="0" borderId="9" xfId="0" applyNumberFormat="1" applyFont="1" applyBorder="1"/>
    <xf numFmtId="165" fontId="19" fillId="0" borderId="9" xfId="0" applyNumberFormat="1" applyFont="1" applyBorder="1"/>
    <xf numFmtId="165" fontId="18" fillId="5" borderId="9" xfId="0" applyNumberFormat="1" applyFont="1" applyFill="1" applyBorder="1"/>
    <xf numFmtId="165" fontId="17" fillId="5" borderId="2" xfId="0" applyNumberFormat="1" applyFont="1" applyFill="1" applyBorder="1"/>
    <xf numFmtId="0" fontId="13" fillId="0" borderId="8" xfId="0" applyFont="1" applyBorder="1"/>
    <xf numFmtId="165" fontId="13" fillId="0" borderId="8" xfId="0" applyNumberFormat="1" applyFont="1" applyBorder="1"/>
    <xf numFmtId="165" fontId="18" fillId="0" borderId="7" xfId="0" applyNumberFormat="1" applyFont="1" applyBorder="1"/>
    <xf numFmtId="0" fontId="13" fillId="0" borderId="0" xfId="0" applyFont="1" applyAlignment="1">
      <alignment horizontal="center"/>
    </xf>
    <xf numFmtId="165" fontId="17" fillId="5" borderId="3" xfId="0" applyNumberFormat="1" applyFont="1" applyFill="1" applyBorder="1"/>
    <xf numFmtId="9" fontId="13" fillId="0" borderId="11" xfId="0" applyNumberFormat="1" applyFont="1" applyBorder="1"/>
    <xf numFmtId="165" fontId="13" fillId="0" borderId="7" xfId="0" applyNumberFormat="1" applyFont="1" applyBorder="1"/>
    <xf numFmtId="165" fontId="17" fillId="5" borderId="10" xfId="0" applyNumberFormat="1" applyFont="1" applyFill="1" applyBorder="1"/>
    <xf numFmtId="165" fontId="18" fillId="5" borderId="4" xfId="0" applyNumberFormat="1" applyFont="1" applyFill="1" applyBorder="1"/>
    <xf numFmtId="165" fontId="18" fillId="5" borderId="8" xfId="0" applyNumberFormat="1" applyFont="1" applyFill="1" applyBorder="1"/>
    <xf numFmtId="0" fontId="13" fillId="0" borderId="34" xfId="0" applyFont="1" applyBorder="1" applyAlignment="1">
      <alignment horizontal="center"/>
    </xf>
    <xf numFmtId="0" fontId="13" fillId="0" borderId="12" xfId="0" applyFont="1" applyBorder="1"/>
    <xf numFmtId="165" fontId="13" fillId="0" borderId="15" xfId="0" applyNumberFormat="1" applyFont="1" applyBorder="1" applyAlignment="1">
      <alignment horizontal="right"/>
    </xf>
    <xf numFmtId="165" fontId="19" fillId="0" borderId="15" xfId="0" applyNumberFormat="1" applyFont="1" applyBorder="1" applyAlignment="1">
      <alignment horizontal="right"/>
    </xf>
    <xf numFmtId="165" fontId="17" fillId="0" borderId="15" xfId="0" applyNumberFormat="1" applyFont="1" applyBorder="1" applyAlignment="1">
      <alignment horizontal="right"/>
    </xf>
    <xf numFmtId="165" fontId="18" fillId="0" borderId="15" xfId="0" applyNumberFormat="1" applyFont="1" applyBorder="1" applyAlignment="1">
      <alignment horizontal="right"/>
    </xf>
    <xf numFmtId="166" fontId="14" fillId="0" borderId="0" xfId="0" applyNumberFormat="1" applyFont="1"/>
    <xf numFmtId="0" fontId="17" fillId="0" borderId="0" xfId="0" applyFont="1" applyAlignment="1">
      <alignment horizontal="center"/>
    </xf>
    <xf numFmtId="0" fontId="20" fillId="5" borderId="0" xfId="0" applyFont="1" applyFill="1"/>
    <xf numFmtId="165" fontId="19" fillId="4" borderId="0" xfId="0" applyNumberFormat="1" applyFont="1" applyFill="1"/>
    <xf numFmtId="164" fontId="13" fillId="8" borderId="0" xfId="0" applyNumberFormat="1" applyFont="1" applyFill="1"/>
    <xf numFmtId="165" fontId="14" fillId="5" borderId="0" xfId="0" applyNumberFormat="1" applyFont="1" applyFill="1"/>
    <xf numFmtId="0" fontId="12" fillId="5" borderId="0" xfId="0" applyFont="1" applyFill="1"/>
    <xf numFmtId="165" fontId="21" fillId="5" borderId="0" xfId="0" applyNumberFormat="1" applyFont="1" applyFill="1"/>
    <xf numFmtId="165" fontId="20" fillId="5" borderId="0" xfId="0" applyNumberFormat="1" applyFont="1" applyFill="1"/>
    <xf numFmtId="165" fontId="12" fillId="5" borderId="0" xfId="0" applyNumberFormat="1" applyFont="1" applyFill="1"/>
    <xf numFmtId="0" fontId="0" fillId="0" borderId="0" xfId="0" applyAlignment="1">
      <alignment horizontal="center" vertical="center"/>
    </xf>
    <xf numFmtId="0" fontId="22" fillId="9" borderId="19" xfId="0" applyFont="1" applyFill="1" applyBorder="1"/>
    <xf numFmtId="0" fontId="22" fillId="9" borderId="20" xfId="0" applyFont="1" applyFill="1" applyBorder="1"/>
    <xf numFmtId="0" fontId="22" fillId="9" borderId="21" xfId="0" applyFont="1" applyFill="1" applyBorder="1"/>
    <xf numFmtId="0" fontId="22" fillId="9" borderId="36" xfId="0" applyFont="1" applyFill="1" applyBorder="1"/>
    <xf numFmtId="164" fontId="22" fillId="9" borderId="37" xfId="0" applyNumberFormat="1" applyFont="1" applyFill="1" applyBorder="1"/>
    <xf numFmtId="0" fontId="0" fillId="10" borderId="0" xfId="0" applyFill="1"/>
    <xf numFmtId="0" fontId="0" fillId="10" borderId="0" xfId="0" applyFill="1" applyAlignment="1">
      <alignment horizontal="center" vertical="center"/>
    </xf>
    <xf numFmtId="0" fontId="23" fillId="0" borderId="0" xfId="0" applyFont="1"/>
    <xf numFmtId="9" fontId="14" fillId="0" borderId="0" xfId="0" applyNumberFormat="1" applyFont="1"/>
    <xf numFmtId="14" fontId="5" fillId="0" borderId="38" xfId="0" applyNumberFormat="1" applyFont="1" applyBorder="1"/>
    <xf numFmtId="0" fontId="24" fillId="0" borderId="39" xfId="0" applyFont="1" applyBorder="1"/>
    <xf numFmtId="8" fontId="5" fillId="0" borderId="39" xfId="0" applyNumberFormat="1" applyFont="1" applyBorder="1"/>
    <xf numFmtId="165" fontId="5" fillId="0" borderId="39" xfId="0" applyNumberFormat="1" applyFont="1" applyBorder="1"/>
    <xf numFmtId="165" fontId="5" fillId="11" borderId="39" xfId="0" applyNumberFormat="1" applyFont="1" applyFill="1" applyBorder="1" applyAlignment="1">
      <alignment horizontal="right"/>
    </xf>
    <xf numFmtId="0" fontId="5" fillId="0" borderId="39" xfId="0" applyFont="1" applyBorder="1" applyAlignment="1">
      <alignment horizontal="center"/>
    </xf>
    <xf numFmtId="0" fontId="23" fillId="0" borderId="39" xfId="0" applyFont="1" applyBorder="1" applyAlignment="1">
      <alignment horizontal="center"/>
    </xf>
    <xf numFmtId="0" fontId="5" fillId="0" borderId="25" xfId="0" applyFont="1" applyBorder="1" applyAlignment="1">
      <alignment horizontal="center"/>
    </xf>
    <xf numFmtId="14" fontId="5" fillId="0" borderId="0" xfId="0" applyNumberFormat="1" applyFont="1" applyAlignment="1">
      <alignment horizontal="right"/>
    </xf>
    <xf numFmtId="0" fontId="5" fillId="0" borderId="39" xfId="0" applyFont="1" applyBorder="1"/>
    <xf numFmtId="165" fontId="5" fillId="0" borderId="39" xfId="0" applyNumberFormat="1" applyFont="1" applyBorder="1" applyAlignment="1">
      <alignment horizontal="right"/>
    </xf>
    <xf numFmtId="0" fontId="5" fillId="0" borderId="39" xfId="0" applyFont="1" applyBorder="1" applyAlignment="1">
      <alignment horizontal="right"/>
    </xf>
    <xf numFmtId="14" fontId="5" fillId="0" borderId="40" xfId="0" applyNumberFormat="1" applyFont="1" applyBorder="1"/>
    <xf numFmtId="0" fontId="5" fillId="0" borderId="41" xfId="0" applyFont="1" applyBorder="1" applyAlignment="1">
      <alignment horizontal="right"/>
    </xf>
    <xf numFmtId="0" fontId="5" fillId="0" borderId="41" xfId="0" applyFont="1" applyBorder="1"/>
    <xf numFmtId="165" fontId="5" fillId="0" borderId="41" xfId="0" applyNumberFormat="1" applyFont="1" applyBorder="1"/>
    <xf numFmtId="165" fontId="5" fillId="0" borderId="41" xfId="0" applyNumberFormat="1" applyFont="1" applyBorder="1" applyAlignment="1">
      <alignment horizontal="right"/>
    </xf>
    <xf numFmtId="0" fontId="5" fillId="0" borderId="41" xfId="0" applyFont="1" applyBorder="1" applyAlignment="1">
      <alignment horizontal="center"/>
    </xf>
    <xf numFmtId="0" fontId="5" fillId="0" borderId="42" xfId="0" applyFont="1" applyBorder="1" applyAlignment="1">
      <alignment horizontal="center"/>
    </xf>
    <xf numFmtId="8" fontId="5" fillId="0" borderId="41" xfId="0" applyNumberFormat="1" applyFont="1" applyBorder="1"/>
    <xf numFmtId="14" fontId="5" fillId="0" borderId="43" xfId="0" applyNumberFormat="1" applyFont="1" applyBorder="1"/>
    <xf numFmtId="0" fontId="5" fillId="0" borderId="44" xfId="0" applyFont="1" applyBorder="1"/>
    <xf numFmtId="165" fontId="5" fillId="0" borderId="44" xfId="0" applyNumberFormat="1" applyFont="1" applyBorder="1"/>
    <xf numFmtId="165" fontId="5" fillId="0" borderId="44" xfId="0" applyNumberFormat="1" applyFont="1" applyBorder="1" applyAlignment="1">
      <alignment horizontal="right"/>
    </xf>
    <xf numFmtId="0" fontId="5" fillId="0" borderId="44" xfId="0" applyFont="1" applyBorder="1" applyAlignment="1">
      <alignment horizontal="center"/>
    </xf>
    <xf numFmtId="0" fontId="5" fillId="0" borderId="45" xfId="0" applyFont="1" applyBorder="1" applyAlignment="1">
      <alignment horizontal="center"/>
    </xf>
    <xf numFmtId="0" fontId="13" fillId="6" borderId="12" xfId="0" applyFont="1" applyFill="1" applyBorder="1" applyAlignment="1">
      <alignment horizontal="center"/>
    </xf>
    <xf numFmtId="0" fontId="13" fillId="6" borderId="13" xfId="0" applyFont="1" applyFill="1" applyBorder="1" applyAlignment="1">
      <alignment horizontal="center"/>
    </xf>
    <xf numFmtId="0" fontId="13" fillId="6" borderId="14" xfId="0" applyFont="1" applyFill="1" applyBorder="1" applyAlignment="1">
      <alignment horizontal="center"/>
    </xf>
    <xf numFmtId="0" fontId="13" fillId="6" borderId="14" xfId="0" applyFont="1" applyFill="1" applyBorder="1"/>
    <xf numFmtId="0" fontId="13" fillId="7" borderId="3" xfId="0" applyFont="1" applyFill="1" applyBorder="1"/>
    <xf numFmtId="165" fontId="19" fillId="0" borderId="4" xfId="0" applyNumberFormat="1" applyFont="1" applyBorder="1"/>
    <xf numFmtId="167" fontId="0" fillId="0" borderId="0" xfId="0" applyNumberFormat="1"/>
    <xf numFmtId="14" fontId="5" fillId="0" borderId="46" xfId="0" applyNumberFormat="1" applyFont="1" applyBorder="1"/>
    <xf numFmtId="0" fontId="5" fillId="0" borderId="33" xfId="0" applyFont="1" applyBorder="1" applyAlignment="1">
      <alignment horizontal="center"/>
    </xf>
    <xf numFmtId="165" fontId="7" fillId="0" borderId="41" xfId="0" applyNumberFormat="1" applyFont="1" applyBorder="1"/>
    <xf numFmtId="0" fontId="26" fillId="0" borderId="0" xfId="0" applyFont="1"/>
    <xf numFmtId="168" fontId="5" fillId="0" borderId="0" xfId="0" applyNumberFormat="1" applyFont="1" applyAlignment="1">
      <alignment horizontal="right"/>
    </xf>
    <xf numFmtId="165" fontId="5" fillId="11" borderId="44" xfId="0" applyNumberFormat="1" applyFont="1" applyFill="1" applyBorder="1" applyAlignment="1">
      <alignment horizontal="right"/>
    </xf>
    <xf numFmtId="16" fontId="5" fillId="0" borderId="0" xfId="0" applyNumberFormat="1" applyFont="1"/>
    <xf numFmtId="0" fontId="5" fillId="0" borderId="44" xfId="0" applyFont="1" applyBorder="1" applyAlignment="1">
      <alignment horizontal="right"/>
    </xf>
    <xf numFmtId="0" fontId="6" fillId="4" borderId="1" xfId="0" applyFont="1" applyFill="1" applyBorder="1"/>
    <xf numFmtId="165" fontId="6" fillId="4" borderId="5" xfId="0" applyNumberFormat="1" applyFont="1" applyFill="1" applyBorder="1"/>
    <xf numFmtId="0" fontId="9" fillId="4" borderId="0" xfId="0" applyFont="1" applyFill="1"/>
    <xf numFmtId="165" fontId="6" fillId="4" borderId="0" xfId="0" applyNumberFormat="1" applyFont="1" applyFill="1" applyAlignment="1">
      <alignment wrapText="1"/>
    </xf>
    <xf numFmtId="0" fontId="6" fillId="4" borderId="12" xfId="0" applyFont="1" applyFill="1" applyBorder="1"/>
    <xf numFmtId="165" fontId="6" fillId="4" borderId="15" xfId="0" applyNumberFormat="1" applyFont="1" applyFill="1" applyBorder="1"/>
    <xf numFmtId="0" fontId="5" fillId="0" borderId="39" xfId="0" applyFont="1" applyBorder="1" applyAlignment="1">
      <alignment horizontal="left"/>
    </xf>
    <xf numFmtId="0" fontId="23" fillId="0" borderId="41" xfId="0" applyFont="1" applyBorder="1"/>
    <xf numFmtId="0" fontId="23" fillId="0" borderId="44" xfId="0" applyFont="1" applyBorder="1"/>
    <xf numFmtId="9" fontId="14" fillId="0" borderId="0" xfId="0" applyNumberFormat="1" applyFont="1" applyAlignment="1">
      <alignment wrapText="1"/>
    </xf>
    <xf numFmtId="165" fontId="5" fillId="0" borderId="28" xfId="0" applyNumberFormat="1" applyFont="1" applyBorder="1" applyAlignment="1">
      <alignment horizontal="right"/>
    </xf>
    <xf numFmtId="0" fontId="9" fillId="0" borderId="39" xfId="0" applyFont="1" applyBorder="1" applyAlignment="1">
      <alignment horizontal="center"/>
    </xf>
    <xf numFmtId="165" fontId="7" fillId="0" borderId="44" xfId="0" applyNumberFormat="1" applyFont="1" applyBorder="1"/>
    <xf numFmtId="166" fontId="0" fillId="0" borderId="0" xfId="0" applyNumberFormat="1"/>
    <xf numFmtId="165" fontId="22" fillId="9" borderId="35" xfId="0" applyNumberFormat="1" applyFont="1" applyFill="1" applyBorder="1"/>
    <xf numFmtId="0" fontId="19" fillId="0" borderId="0" xfId="0" applyFont="1" applyAlignment="1">
      <alignment horizontal="center"/>
    </xf>
    <xf numFmtId="8" fontId="5" fillId="0" borderId="44" xfId="0" applyNumberFormat="1" applyFont="1" applyBorder="1"/>
    <xf numFmtId="0" fontId="24" fillId="0" borderId="41" xfId="0" applyFont="1" applyBorder="1" applyAlignment="1">
      <alignment horizontal="right"/>
    </xf>
    <xf numFmtId="165" fontId="5" fillId="11" borderId="41" xfId="0" applyNumberFormat="1" applyFont="1" applyFill="1" applyBorder="1" applyAlignment="1">
      <alignment horizontal="right"/>
    </xf>
    <xf numFmtId="0" fontId="9" fillId="0" borderId="41" xfId="0" applyFont="1" applyBorder="1" applyAlignment="1">
      <alignment horizontal="center"/>
    </xf>
    <xf numFmtId="0" fontId="24" fillId="0" borderId="0" xfId="0" applyFont="1"/>
    <xf numFmtId="165" fontId="5" fillId="11" borderId="0" xfId="0" applyNumberFormat="1" applyFont="1" applyFill="1" applyAlignment="1">
      <alignment horizontal="right"/>
    </xf>
    <xf numFmtId="0" fontId="9" fillId="0" borderId="0" xfId="0" applyFont="1" applyAlignment="1">
      <alignment horizontal="center"/>
    </xf>
    <xf numFmtId="0" fontId="9" fillId="0" borderId="33" xfId="0" applyFont="1" applyBorder="1" applyAlignment="1">
      <alignment horizontal="center"/>
    </xf>
    <xf numFmtId="0" fontId="24" fillId="0" borderId="41" xfId="0" applyFont="1" applyBorder="1"/>
    <xf numFmtId="0" fontId="9" fillId="0" borderId="42" xfId="0" applyFont="1" applyBorder="1" applyAlignment="1">
      <alignment horizontal="center"/>
    </xf>
    <xf numFmtId="165" fontId="5" fillId="13" borderId="41" xfId="0" applyNumberFormat="1" applyFont="1" applyFill="1" applyBorder="1" applyAlignment="1">
      <alignment horizontal="right"/>
    </xf>
    <xf numFmtId="0" fontId="24" fillId="0" borderId="44" xfId="0" applyFont="1" applyBorder="1" applyAlignment="1">
      <alignment horizontal="right"/>
    </xf>
    <xf numFmtId="165" fontId="5" fillId="13" borderId="44" xfId="0" applyNumberFormat="1" applyFont="1" applyFill="1" applyBorder="1" applyAlignment="1">
      <alignment horizontal="right"/>
    </xf>
    <xf numFmtId="0" fontId="9" fillId="0" borderId="44" xfId="0" applyFont="1" applyBorder="1" applyAlignment="1">
      <alignment horizontal="center"/>
    </xf>
    <xf numFmtId="0" fontId="11" fillId="0" borderId="4" xfId="0" applyFont="1" applyBorder="1" applyAlignment="1">
      <alignment horizontal="center"/>
    </xf>
    <xf numFmtId="14" fontId="11" fillId="0" borderId="40" xfId="0" applyNumberFormat="1" applyFont="1" applyBorder="1"/>
    <xf numFmtId="0" fontId="11" fillId="0" borderId="41" xfId="0" applyFont="1" applyBorder="1"/>
    <xf numFmtId="165" fontId="11" fillId="0" borderId="41" xfId="0" applyNumberFormat="1" applyFont="1" applyBorder="1"/>
    <xf numFmtId="165" fontId="11" fillId="13" borderId="41" xfId="0" applyNumberFormat="1" applyFont="1" applyFill="1" applyBorder="1" applyAlignment="1">
      <alignment horizontal="right"/>
    </xf>
    <xf numFmtId="0" fontId="11" fillId="0" borderId="41" xfId="0" applyFont="1" applyBorder="1" applyAlignment="1">
      <alignment horizontal="center"/>
    </xf>
    <xf numFmtId="0" fontId="11" fillId="0" borderId="42" xfId="0" applyFont="1" applyBorder="1" applyAlignment="1">
      <alignment horizontal="center"/>
    </xf>
    <xf numFmtId="165" fontId="8" fillId="0" borderId="27" xfId="0" applyNumberFormat="1" applyFont="1" applyBorder="1" applyAlignment="1">
      <alignment horizontal="right"/>
    </xf>
    <xf numFmtId="165" fontId="8" fillId="0" borderId="28" xfId="0" applyNumberFormat="1" applyFont="1" applyBorder="1" applyAlignment="1">
      <alignment horizontal="right"/>
    </xf>
    <xf numFmtId="0" fontId="27" fillId="0" borderId="0" xfId="0" applyFont="1"/>
    <xf numFmtId="16" fontId="11" fillId="0" borderId="0" xfId="0" applyNumberFormat="1" applyFont="1"/>
    <xf numFmtId="0" fontId="28" fillId="0" borderId="0" xfId="0" applyFont="1"/>
    <xf numFmtId="14" fontId="11" fillId="0" borderId="46" xfId="0" applyNumberFormat="1" applyFont="1" applyBorder="1"/>
    <xf numFmtId="0" fontId="24" fillId="0" borderId="0" xfId="0" applyFont="1" applyAlignment="1">
      <alignment horizontal="right"/>
    </xf>
    <xf numFmtId="165" fontId="11" fillId="13" borderId="0" xfId="0" applyNumberFormat="1" applyFont="1" applyFill="1" applyAlignment="1">
      <alignment horizontal="right"/>
    </xf>
    <xf numFmtId="8" fontId="11" fillId="0" borderId="0" xfId="0" applyNumberFormat="1" applyFont="1"/>
    <xf numFmtId="0" fontId="11" fillId="0" borderId="33" xfId="0" applyFont="1" applyBorder="1" applyAlignment="1">
      <alignment horizontal="center"/>
    </xf>
    <xf numFmtId="14" fontId="11" fillId="0" borderId="38" xfId="0" applyNumberFormat="1" applyFont="1" applyBorder="1"/>
    <xf numFmtId="8" fontId="11" fillId="0" borderId="39" xfId="0" applyNumberFormat="1" applyFont="1" applyBorder="1"/>
    <xf numFmtId="165" fontId="11" fillId="0" borderId="39" xfId="0" applyNumberFormat="1" applyFont="1" applyBorder="1"/>
    <xf numFmtId="165" fontId="11" fillId="13" borderId="39" xfId="0" applyNumberFormat="1" applyFont="1" applyFill="1" applyBorder="1" applyAlignment="1">
      <alignment horizontal="right"/>
    </xf>
    <xf numFmtId="0" fontId="11" fillId="0" borderId="39" xfId="0" applyFont="1" applyBorder="1" applyAlignment="1">
      <alignment horizontal="center"/>
    </xf>
    <xf numFmtId="0" fontId="11" fillId="0" borderId="25" xfId="0" applyFont="1" applyBorder="1" applyAlignment="1">
      <alignment horizontal="center"/>
    </xf>
    <xf numFmtId="9" fontId="12" fillId="0" borderId="0" xfId="0" applyNumberFormat="1" applyFont="1"/>
    <xf numFmtId="0" fontId="24" fillId="0" borderId="39" xfId="0" applyFont="1" applyBorder="1" applyAlignment="1">
      <alignment horizontal="right"/>
    </xf>
    <xf numFmtId="0" fontId="11" fillId="0" borderId="39" xfId="0" applyFont="1" applyBorder="1"/>
    <xf numFmtId="0" fontId="5" fillId="10" borderId="0" xfId="0" applyFont="1" applyFill="1"/>
    <xf numFmtId="14" fontId="5" fillId="10" borderId="0" xfId="0" applyNumberFormat="1" applyFont="1" applyFill="1"/>
    <xf numFmtId="0" fontId="7" fillId="10" borderId="0" xfId="0" applyFont="1" applyFill="1"/>
    <xf numFmtId="0" fontId="7" fillId="10" borderId="0" xfId="0" applyFont="1" applyFill="1" applyAlignment="1">
      <alignment horizontal="center"/>
    </xf>
    <xf numFmtId="165" fontId="7" fillId="10" borderId="0" xfId="0" applyNumberFormat="1" applyFont="1" applyFill="1" applyAlignment="1">
      <alignment horizontal="right"/>
    </xf>
    <xf numFmtId="1" fontId="8" fillId="0" borderId="15" xfId="0" applyNumberFormat="1" applyFont="1" applyBorder="1"/>
    <xf numFmtId="165" fontId="7" fillId="0" borderId="39" xfId="0" applyNumberFormat="1" applyFont="1" applyBorder="1"/>
    <xf numFmtId="0" fontId="9" fillId="0" borderId="25" xfId="0" applyFont="1" applyBorder="1" applyAlignment="1">
      <alignment horizontal="center"/>
    </xf>
    <xf numFmtId="165" fontId="7" fillId="12" borderId="23" xfId="0" applyNumberFormat="1" applyFont="1" applyFill="1" applyBorder="1" applyAlignment="1">
      <alignment horizontal="right"/>
    </xf>
    <xf numFmtId="0" fontId="24" fillId="0" borderId="44" xfId="0" applyFont="1" applyBorder="1"/>
    <xf numFmtId="165" fontId="5" fillId="13" borderId="0" xfId="0" applyNumberFormat="1" applyFont="1" applyFill="1" applyAlignment="1">
      <alignment horizontal="right"/>
    </xf>
    <xf numFmtId="0" fontId="9" fillId="0" borderId="45" xfId="0" applyFont="1" applyBorder="1" applyAlignment="1">
      <alignment horizontal="center"/>
    </xf>
    <xf numFmtId="9" fontId="20" fillId="0" borderId="0" xfId="0" applyNumberFormat="1" applyFont="1"/>
    <xf numFmtId="0" fontId="9" fillId="0" borderId="4" xfId="0" applyFont="1" applyBorder="1" applyAlignment="1">
      <alignment horizontal="center"/>
    </xf>
    <xf numFmtId="14" fontId="9" fillId="0" borderId="38" xfId="0" applyNumberFormat="1" applyFont="1" applyBorder="1"/>
    <xf numFmtId="8" fontId="9" fillId="0" borderId="39" xfId="0" applyNumberFormat="1" applyFont="1" applyBorder="1"/>
    <xf numFmtId="165" fontId="9" fillId="0" borderId="39" xfId="0" applyNumberFormat="1" applyFont="1" applyBorder="1"/>
    <xf numFmtId="165" fontId="5" fillId="13" borderId="39" xfId="0" applyNumberFormat="1" applyFont="1" applyFill="1" applyBorder="1" applyAlignment="1">
      <alignment horizontal="right"/>
    </xf>
    <xf numFmtId="165" fontId="6" fillId="0" borderId="22" xfId="0" applyNumberFormat="1" applyFont="1" applyBorder="1" applyAlignment="1">
      <alignment horizontal="right"/>
    </xf>
    <xf numFmtId="165" fontId="6" fillId="0" borderId="23" xfId="0" applyNumberFormat="1" applyFont="1" applyBorder="1" applyAlignment="1">
      <alignment horizontal="right"/>
    </xf>
    <xf numFmtId="165" fontId="6" fillId="0" borderId="28" xfId="0" applyNumberFormat="1" applyFont="1" applyBorder="1" applyAlignment="1">
      <alignment horizontal="right"/>
    </xf>
    <xf numFmtId="0" fontId="20" fillId="0" borderId="0" xfId="0" applyFont="1"/>
    <xf numFmtId="0" fontId="29" fillId="0" borderId="0" xfId="0" applyFont="1"/>
    <xf numFmtId="165" fontId="8" fillId="12" borderId="27" xfId="0" applyNumberFormat="1" applyFont="1" applyFill="1" applyBorder="1" applyAlignment="1">
      <alignment horizontal="right"/>
    </xf>
    <xf numFmtId="0" fontId="5" fillId="0" borderId="6" xfId="0" applyFont="1" applyBorder="1" applyAlignment="1">
      <alignment horizontal="right"/>
    </xf>
    <xf numFmtId="165" fontId="6" fillId="14" borderId="0" xfId="0" applyNumberFormat="1" applyFont="1" applyFill="1"/>
    <xf numFmtId="166" fontId="6" fillId="14" borderId="0" xfId="0" applyNumberFormat="1" applyFont="1" applyFill="1"/>
    <xf numFmtId="0" fontId="8" fillId="14" borderId="0" xfId="0" applyFont="1" applyFill="1"/>
    <xf numFmtId="167" fontId="8" fillId="14" borderId="0" xfId="0" applyNumberFormat="1" applyFont="1" applyFill="1"/>
    <xf numFmtId="16" fontId="2" fillId="0" borderId="0" xfId="0" applyNumberFormat="1" applyFont="1"/>
    <xf numFmtId="16" fontId="5" fillId="0" borderId="0" xfId="0" applyNumberFormat="1" applyFont="1" applyAlignment="1">
      <alignment horizontal="left"/>
    </xf>
    <xf numFmtId="14" fontId="9" fillId="0" borderId="38" xfId="0" applyNumberFormat="1" applyFont="1" applyBorder="1" applyAlignment="1">
      <alignment horizontal="right"/>
    </xf>
    <xf numFmtId="0" fontId="9" fillId="0" borderId="39" xfId="0" applyFont="1" applyBorder="1"/>
    <xf numFmtId="165" fontId="6" fillId="0" borderId="27" xfId="0" applyNumberFormat="1" applyFont="1" applyBorder="1" applyAlignment="1">
      <alignment horizontal="right"/>
    </xf>
    <xf numFmtId="165" fontId="6" fillId="0" borderId="24" xfId="0" applyNumberFormat="1" applyFont="1" applyBorder="1" applyAlignment="1">
      <alignment horizontal="right"/>
    </xf>
    <xf numFmtId="8" fontId="11" fillId="0" borderId="41" xfId="0" applyNumberFormat="1" applyFont="1" applyBorder="1"/>
    <xf numFmtId="14" fontId="11" fillId="0" borderId="43" xfId="0" applyNumberFormat="1" applyFont="1" applyBorder="1"/>
    <xf numFmtId="0" fontId="11" fillId="0" borderId="44" xfId="0" applyFont="1" applyBorder="1"/>
    <xf numFmtId="165" fontId="11" fillId="0" borderId="44" xfId="0" applyNumberFormat="1" applyFont="1" applyBorder="1"/>
    <xf numFmtId="165" fontId="11" fillId="13" borderId="44" xfId="0" applyNumberFormat="1" applyFont="1" applyFill="1" applyBorder="1" applyAlignment="1">
      <alignment horizontal="right"/>
    </xf>
    <xf numFmtId="0" fontId="11" fillId="0" borderId="44" xfId="0" applyFont="1" applyBorder="1" applyAlignment="1">
      <alignment horizontal="center"/>
    </xf>
    <xf numFmtId="0" fontId="11" fillId="0" borderId="45" xfId="0" applyFont="1" applyBorder="1" applyAlignment="1">
      <alignment horizontal="center"/>
    </xf>
    <xf numFmtId="16" fontId="6" fillId="14" borderId="12" xfId="0" applyNumberFormat="1" applyFont="1" applyFill="1" applyBorder="1"/>
    <xf numFmtId="165" fontId="6" fillId="14" borderId="5" xfId="0" applyNumberFormat="1" applyFont="1" applyFill="1" applyBorder="1"/>
    <xf numFmtId="165" fontId="6" fillId="14" borderId="15" xfId="0" applyNumberFormat="1" applyFont="1" applyFill="1" applyBorder="1"/>
    <xf numFmtId="0" fontId="5" fillId="0" borderId="41" xfId="0" applyFont="1" applyBorder="1" applyAlignment="1">
      <alignment horizontal="left"/>
    </xf>
    <xf numFmtId="0" fontId="4" fillId="0" borderId="2" xfId="0" applyFont="1" applyBorder="1" applyAlignment="1">
      <alignment horizontal="left"/>
    </xf>
    <xf numFmtId="0" fontId="7" fillId="0" borderId="3" xfId="0" applyFont="1" applyBorder="1" applyAlignment="1">
      <alignment horizontal="right"/>
    </xf>
    <xf numFmtId="0" fontId="7" fillId="0" borderId="6" xfId="0" applyFont="1" applyBorder="1" applyAlignment="1">
      <alignment horizontal="right"/>
    </xf>
    <xf numFmtId="9" fontId="7" fillId="0" borderId="6" xfId="0" applyNumberFormat="1" applyFont="1" applyBorder="1" applyAlignment="1">
      <alignment horizontal="right"/>
    </xf>
    <xf numFmtId="165" fontId="7" fillId="0" borderId="10" xfId="0" applyNumberFormat="1" applyFont="1" applyBorder="1" applyAlignment="1">
      <alignment horizontal="right"/>
    </xf>
    <xf numFmtId="167" fontId="9" fillId="0" borderId="4" xfId="0" applyNumberFormat="1" applyFont="1" applyBorder="1"/>
    <xf numFmtId="167" fontId="9" fillId="0" borderId="0" xfId="0" applyNumberFormat="1" applyFont="1"/>
    <xf numFmtId="167" fontId="9" fillId="0" borderId="6" xfId="0" applyNumberFormat="1" applyFont="1" applyBorder="1"/>
    <xf numFmtId="0" fontId="7" fillId="0" borderId="12" xfId="0" applyFont="1" applyBorder="1" applyAlignment="1">
      <alignment horizontal="left"/>
    </xf>
    <xf numFmtId="0" fontId="11" fillId="0" borderId="0" xfId="0" applyFont="1" applyAlignment="1">
      <alignment horizontal="right"/>
    </xf>
    <xf numFmtId="0" fontId="11" fillId="4" borderId="0" xfId="0" applyFont="1" applyFill="1"/>
    <xf numFmtId="0" fontId="6" fillId="15" borderId="12" xfId="0" applyFont="1" applyFill="1" applyBorder="1"/>
    <xf numFmtId="165" fontId="6" fillId="15" borderId="15" xfId="0" applyNumberFormat="1" applyFont="1" applyFill="1" applyBorder="1"/>
    <xf numFmtId="0" fontId="7" fillId="0" borderId="2" xfId="0" applyFont="1" applyBorder="1" applyAlignment="1">
      <alignment horizontal="right"/>
    </xf>
    <xf numFmtId="0" fontId="7" fillId="0" borderId="0" xfId="0" applyFont="1" applyAlignment="1">
      <alignment horizontal="left"/>
    </xf>
    <xf numFmtId="14" fontId="5" fillId="0" borderId="40" xfId="0" applyNumberFormat="1" applyFont="1" applyBorder="1" applyAlignment="1">
      <alignment horizontal="right"/>
    </xf>
    <xf numFmtId="14" fontId="5" fillId="0" borderId="46" xfId="0" applyNumberFormat="1" applyFont="1" applyBorder="1" applyAlignment="1">
      <alignment horizontal="right"/>
    </xf>
    <xf numFmtId="14" fontId="5" fillId="0" borderId="43" xfId="0" applyNumberFormat="1" applyFont="1" applyBorder="1" applyAlignment="1">
      <alignment horizontal="right"/>
    </xf>
    <xf numFmtId="165" fontId="5" fillId="0" borderId="44" xfId="0" applyNumberFormat="1" applyFont="1" applyBorder="1" applyAlignment="1">
      <alignment wrapText="1"/>
    </xf>
    <xf numFmtId="9" fontId="30" fillId="0" borderId="0" xfId="0" applyNumberFormat="1" applyFont="1"/>
    <xf numFmtId="168" fontId="5" fillId="0" borderId="38" xfId="0" applyNumberFormat="1" applyFont="1" applyBorder="1" applyAlignment="1">
      <alignment horizontal="right"/>
    </xf>
    <xf numFmtId="14" fontId="9" fillId="0" borderId="43" xfId="0" applyNumberFormat="1" applyFont="1" applyBorder="1" applyAlignment="1">
      <alignment horizontal="right"/>
    </xf>
    <xf numFmtId="0" fontId="9" fillId="0" borderId="44" xfId="0" applyFont="1" applyBorder="1"/>
    <xf numFmtId="165" fontId="9" fillId="0" borderId="44" xfId="0" applyNumberFormat="1" applyFont="1" applyBorder="1"/>
    <xf numFmtId="165" fontId="9" fillId="0" borderId="44" xfId="0" applyNumberFormat="1" applyFont="1" applyBorder="1" applyAlignment="1">
      <alignment horizontal="right"/>
    </xf>
    <xf numFmtId="0" fontId="9" fillId="0" borderId="0" xfId="0" applyFont="1" applyAlignment="1">
      <alignment horizontal="left"/>
    </xf>
    <xf numFmtId="14" fontId="11" fillId="0" borderId="0" xfId="0" applyNumberFormat="1" applyFont="1" applyAlignment="1">
      <alignment horizontal="right"/>
    </xf>
    <xf numFmtId="14" fontId="11" fillId="0" borderId="38" xfId="0" applyNumberFormat="1" applyFont="1" applyBorder="1" applyAlignment="1">
      <alignment horizontal="right"/>
    </xf>
    <xf numFmtId="14" fontId="5" fillId="0" borderId="38" xfId="0" applyNumberFormat="1" applyFont="1" applyBorder="1" applyAlignment="1">
      <alignment horizontal="right"/>
    </xf>
    <xf numFmtId="0" fontId="30" fillId="0" borderId="0" xfId="0" applyFont="1"/>
    <xf numFmtId="168" fontId="5" fillId="0" borderId="0" xfId="0" applyNumberFormat="1" applyFont="1" applyAlignment="1">
      <alignment horizontal="center"/>
    </xf>
    <xf numFmtId="168" fontId="5" fillId="0" borderId="40" xfId="0" applyNumberFormat="1" applyFont="1" applyBorder="1" applyAlignment="1">
      <alignment horizontal="center"/>
    </xf>
    <xf numFmtId="14" fontId="5" fillId="0" borderId="9" xfId="0" applyNumberFormat="1" applyFont="1" applyBorder="1" applyAlignment="1">
      <alignment horizontal="right"/>
    </xf>
    <xf numFmtId="0" fontId="5" fillId="0" borderId="9" xfId="0" applyFont="1" applyBorder="1" applyAlignment="1">
      <alignment horizontal="right"/>
    </xf>
    <xf numFmtId="0" fontId="6" fillId="4" borderId="0" xfId="0" applyFont="1" applyFill="1"/>
    <xf numFmtId="165" fontId="7" fillId="13" borderId="23" xfId="0" applyNumberFormat="1" applyFont="1" applyFill="1" applyBorder="1" applyAlignment="1">
      <alignment horizontal="right"/>
    </xf>
    <xf numFmtId="0" fontId="5" fillId="0" borderId="44" xfId="0" applyFont="1" applyBorder="1" applyAlignment="1">
      <alignment horizontal="left"/>
    </xf>
    <xf numFmtId="14" fontId="9" fillId="0" borderId="40" xfId="0" applyNumberFormat="1" applyFont="1" applyBorder="1"/>
    <xf numFmtId="0" fontId="9" fillId="0" borderId="41" xfId="0" applyFont="1" applyBorder="1" applyAlignment="1">
      <alignment horizontal="right"/>
    </xf>
    <xf numFmtId="0" fontId="9" fillId="0" borderId="41" xfId="0" applyFont="1" applyBorder="1"/>
    <xf numFmtId="165" fontId="9" fillId="0" borderId="41" xfId="0" applyNumberFormat="1" applyFont="1" applyBorder="1"/>
    <xf numFmtId="165" fontId="9" fillId="0" borderId="41" xfId="0" applyNumberFormat="1" applyFont="1" applyBorder="1" applyAlignment="1">
      <alignment horizontal="right"/>
    </xf>
    <xf numFmtId="165" fontId="5" fillId="0" borderId="41" xfId="0" applyNumberFormat="1" applyFont="1" applyBorder="1" applyAlignment="1">
      <alignment wrapText="1"/>
    </xf>
    <xf numFmtId="9" fontId="9" fillId="0" borderId="0" xfId="0" applyNumberFormat="1" applyFont="1"/>
    <xf numFmtId="0" fontId="31" fillId="0" borderId="0" xfId="0" applyFont="1"/>
    <xf numFmtId="14" fontId="9" fillId="0" borderId="46" xfId="0" applyNumberFormat="1" applyFont="1" applyBorder="1"/>
    <xf numFmtId="165" fontId="9" fillId="0" borderId="0" xfId="0" applyNumberFormat="1" applyFont="1"/>
    <xf numFmtId="0" fontId="24" fillId="0" borderId="44" xfId="0" applyFont="1" applyBorder="1" applyAlignment="1">
      <alignment horizontal="left"/>
    </xf>
    <xf numFmtId="14" fontId="9" fillId="0" borderId="43" xfId="0" applyNumberFormat="1" applyFont="1" applyBorder="1"/>
    <xf numFmtId="8" fontId="11" fillId="0" borderId="44" xfId="0" applyNumberFormat="1" applyFont="1" applyBorder="1"/>
    <xf numFmtId="16" fontId="6" fillId="0" borderId="12" xfId="0" applyNumberFormat="1" applyFont="1" applyBorder="1"/>
    <xf numFmtId="165" fontId="7" fillId="13" borderId="27" xfId="0" applyNumberFormat="1" applyFont="1" applyFill="1" applyBorder="1" applyAlignment="1">
      <alignment horizontal="right"/>
    </xf>
    <xf numFmtId="16" fontId="12" fillId="0" borderId="0" xfId="0" applyNumberFormat="1" applyFont="1"/>
    <xf numFmtId="0" fontId="9" fillId="0" borderId="38" xfId="0" applyFont="1" applyBorder="1" applyAlignment="1">
      <alignment horizontal="center"/>
    </xf>
    <xf numFmtId="165" fontId="9" fillId="0" borderId="39" xfId="0" applyNumberFormat="1" applyFont="1" applyBorder="1" applyAlignment="1">
      <alignment horizontal="right"/>
    </xf>
    <xf numFmtId="0" fontId="3" fillId="0" borderId="41" xfId="0" applyFont="1" applyBorder="1" applyAlignment="1">
      <alignment horizontal="right"/>
    </xf>
    <xf numFmtId="0" fontId="3" fillId="0" borderId="44" xfId="0" applyFont="1" applyBorder="1" applyAlignment="1">
      <alignment horizontal="right"/>
    </xf>
    <xf numFmtId="0" fontId="32" fillId="0" borderId="0" xfId="0" applyFont="1"/>
    <xf numFmtId="16" fontId="14" fillId="0" borderId="0" xfId="0" applyNumberFormat="1" applyFont="1"/>
    <xf numFmtId="16" fontId="0" fillId="0" borderId="0" xfId="0" applyNumberFormat="1"/>
    <xf numFmtId="165" fontId="7" fillId="12" borderId="27" xfId="0" applyNumberFormat="1" applyFont="1" applyFill="1" applyBorder="1" applyAlignment="1">
      <alignment horizontal="right"/>
    </xf>
    <xf numFmtId="0" fontId="33" fillId="0" borderId="0" xfId="0" applyFont="1"/>
    <xf numFmtId="0" fontId="5" fillId="12" borderId="4" xfId="0" applyFont="1" applyFill="1" applyBorder="1" applyAlignment="1">
      <alignment horizontal="center"/>
    </xf>
    <xf numFmtId="14" fontId="5" fillId="12" borderId="40" xfId="0" applyNumberFormat="1" applyFont="1" applyFill="1" applyBorder="1"/>
    <xf numFmtId="0" fontId="5" fillId="12" borderId="41" xfId="0" applyFont="1" applyFill="1" applyBorder="1"/>
    <xf numFmtId="8" fontId="5" fillId="12" borderId="41" xfId="0" applyNumberFormat="1" applyFont="1" applyFill="1" applyBorder="1"/>
    <xf numFmtId="165" fontId="5" fillId="12" borderId="41" xfId="0" applyNumberFormat="1" applyFont="1" applyFill="1" applyBorder="1"/>
    <xf numFmtId="0" fontId="5" fillId="12" borderId="41" xfId="0" applyFont="1" applyFill="1" applyBorder="1" applyAlignment="1">
      <alignment horizontal="center"/>
    </xf>
    <xf numFmtId="0" fontId="5" fillId="12" borderId="42" xfId="0" applyFont="1" applyFill="1" applyBorder="1" applyAlignment="1">
      <alignment horizontal="center"/>
    </xf>
    <xf numFmtId="0" fontId="5" fillId="12" borderId="0" xfId="0" applyFont="1" applyFill="1" applyAlignment="1">
      <alignment horizontal="center"/>
    </xf>
    <xf numFmtId="0" fontId="5" fillId="12" borderId="0" xfId="0" applyFont="1" applyFill="1" applyAlignment="1">
      <alignment horizontal="left"/>
    </xf>
    <xf numFmtId="165" fontId="7" fillId="12" borderId="22" xfId="0" applyNumberFormat="1" applyFont="1" applyFill="1" applyBorder="1" applyAlignment="1">
      <alignment horizontal="right"/>
    </xf>
    <xf numFmtId="165" fontId="7" fillId="12" borderId="24" xfId="0" applyNumberFormat="1" applyFont="1" applyFill="1" applyBorder="1" applyAlignment="1">
      <alignment horizontal="right"/>
    </xf>
    <xf numFmtId="14" fontId="5" fillId="12" borderId="38" xfId="0" applyNumberFormat="1" applyFont="1" applyFill="1" applyBorder="1"/>
    <xf numFmtId="0" fontId="5" fillId="12" borderId="39" xfId="0" applyFont="1" applyFill="1" applyBorder="1" applyAlignment="1">
      <alignment horizontal="left"/>
    </xf>
    <xf numFmtId="165" fontId="5" fillId="12" borderId="39" xfId="0" applyNumberFormat="1" applyFont="1" applyFill="1" applyBorder="1"/>
    <xf numFmtId="0" fontId="5" fillId="12" borderId="39" xfId="0" applyFont="1" applyFill="1" applyBorder="1" applyAlignment="1">
      <alignment horizontal="center"/>
    </xf>
    <xf numFmtId="0" fontId="5" fillId="12" borderId="25" xfId="0" applyFont="1" applyFill="1" applyBorder="1" applyAlignment="1">
      <alignment horizontal="center"/>
    </xf>
    <xf numFmtId="165" fontId="7" fillId="12" borderId="28" xfId="0" applyNumberFormat="1" applyFont="1" applyFill="1" applyBorder="1" applyAlignment="1">
      <alignment horizontal="right"/>
    </xf>
    <xf numFmtId="165" fontId="6" fillId="0" borderId="0" xfId="0" applyNumberFormat="1" applyFont="1" applyAlignment="1">
      <alignment wrapText="1"/>
    </xf>
    <xf numFmtId="0" fontId="6" fillId="14" borderId="12" xfId="0" applyFont="1" applyFill="1" applyBorder="1"/>
    <xf numFmtId="165" fontId="8" fillId="0" borderId="39" xfId="0" applyNumberFormat="1" applyFont="1" applyBorder="1"/>
    <xf numFmtId="0" fontId="16" fillId="0" borderId="0" xfId="0" applyFont="1" applyAlignment="1">
      <alignment horizontal="center"/>
    </xf>
    <xf numFmtId="0" fontId="20" fillId="5" borderId="0" xfId="0" applyFont="1" applyFill="1" applyAlignment="1">
      <alignment horizontal="center"/>
    </xf>
    <xf numFmtId="0" fontId="0" fillId="0" borderId="0" xfId="0" applyAlignment="1">
      <alignment horizontal="center"/>
    </xf>
    <xf numFmtId="0" fontId="24" fillId="0" borderId="39" xfId="0" applyFont="1" applyBorder="1" applyAlignment="1">
      <alignment horizontal="left"/>
    </xf>
    <xf numFmtId="9" fontId="11" fillId="0" borderId="0" xfId="0" applyNumberFormat="1" applyFont="1"/>
    <xf numFmtId="9" fontId="27" fillId="0" borderId="0" xfId="0" applyNumberFormat="1" applyFont="1"/>
    <xf numFmtId="9" fontId="29" fillId="0" borderId="0" xfId="0" applyNumberFormat="1" applyFont="1"/>
    <xf numFmtId="9" fontId="23" fillId="0" borderId="0" xfId="0" applyNumberFormat="1" applyFont="1"/>
    <xf numFmtId="0" fontId="24" fillId="12" borderId="41" xfId="0" applyFont="1" applyFill="1" applyBorder="1"/>
    <xf numFmtId="0" fontId="24" fillId="12" borderId="39" xfId="0" applyFont="1" applyFill="1" applyBorder="1" applyAlignment="1">
      <alignment horizontal="right"/>
    </xf>
    <xf numFmtId="165" fontId="12" fillId="5" borderId="7" xfId="0" applyNumberFormat="1" applyFont="1" applyFill="1" applyBorder="1"/>
    <xf numFmtId="0" fontId="11" fillId="0" borderId="39" xfId="0" applyFont="1" applyBorder="1" applyAlignment="1">
      <alignment horizontal="left"/>
    </xf>
    <xf numFmtId="0" fontId="5" fillId="12" borderId="41" xfId="0" applyFont="1" applyFill="1" applyBorder="1" applyAlignment="1">
      <alignment horizontal="left"/>
    </xf>
    <xf numFmtId="165" fontId="7" fillId="12" borderId="41" xfId="0" applyNumberFormat="1" applyFont="1" applyFill="1" applyBorder="1"/>
    <xf numFmtId="167" fontId="5" fillId="12" borderId="41" xfId="0" applyNumberFormat="1" applyFont="1" applyFill="1" applyBorder="1" applyAlignment="1">
      <alignment horizontal="center"/>
    </xf>
    <xf numFmtId="165" fontId="8" fillId="0" borderId="41" xfId="0" applyNumberFormat="1" applyFont="1" applyBorder="1"/>
    <xf numFmtId="0" fontId="34" fillId="0" borderId="0" xfId="0" applyFont="1"/>
    <xf numFmtId="165" fontId="9" fillId="13" borderId="39" xfId="0" applyNumberFormat="1" applyFont="1" applyFill="1" applyBorder="1" applyAlignment="1">
      <alignment horizontal="right"/>
    </xf>
    <xf numFmtId="16" fontId="9" fillId="0" borderId="0" xfId="0" applyNumberFormat="1" applyFont="1"/>
    <xf numFmtId="0" fontId="24" fillId="0" borderId="0" xfId="0" applyFont="1" applyAlignment="1">
      <alignment horizontal="left"/>
    </xf>
    <xf numFmtId="9" fontId="2" fillId="0" borderId="0" xfId="0" applyNumberFormat="1" applyFont="1"/>
    <xf numFmtId="165" fontId="7" fillId="13" borderId="22" xfId="0" applyNumberFormat="1" applyFont="1" applyFill="1" applyBorder="1" applyAlignment="1">
      <alignment horizontal="right"/>
    </xf>
    <xf numFmtId="0" fontId="3" fillId="0" borderId="41" xfId="0" applyFont="1" applyBorder="1"/>
    <xf numFmtId="167" fontId="5" fillId="0" borderId="0" xfId="0" applyNumberFormat="1" applyFont="1" applyAlignment="1">
      <alignment horizontal="center"/>
    </xf>
    <xf numFmtId="0" fontId="0" fillId="0" borderId="41" xfId="0" applyBorder="1"/>
    <xf numFmtId="0" fontId="35" fillId="0" borderId="0" xfId="0" applyFont="1"/>
    <xf numFmtId="14" fontId="9" fillId="0" borderId="40" xfId="0" applyNumberFormat="1" applyFont="1" applyBorder="1" applyAlignment="1">
      <alignment horizontal="right"/>
    </xf>
    <xf numFmtId="0" fontId="6" fillId="0" borderId="15" xfId="0" applyFont="1" applyBorder="1"/>
    <xf numFmtId="167" fontId="7" fillId="0" borderId="0" xfId="0" applyNumberFormat="1" applyFont="1" applyAlignment="1">
      <alignment horizontal="center"/>
    </xf>
    <xf numFmtId="167" fontId="5" fillId="0" borderId="0" xfId="0" applyNumberFormat="1" applyFont="1" applyAlignment="1">
      <alignment horizontal="left"/>
    </xf>
    <xf numFmtId="0" fontId="6" fillId="0" borderId="14" xfId="0" applyFont="1" applyBorder="1"/>
    <xf numFmtId="167" fontId="6" fillId="0" borderId="0" xfId="0" applyNumberFormat="1" applyFont="1"/>
    <xf numFmtId="165" fontId="11" fillId="0" borderId="44" xfId="0" applyNumberFormat="1" applyFont="1" applyBorder="1" applyAlignment="1">
      <alignment wrapText="1"/>
    </xf>
    <xf numFmtId="165" fontId="11" fillId="0" borderId="41" xfId="0" applyNumberFormat="1" applyFont="1" applyBorder="1" applyAlignment="1">
      <alignment wrapText="1"/>
    </xf>
    <xf numFmtId="0" fontId="5" fillId="12" borderId="39" xfId="0" applyFont="1" applyFill="1" applyBorder="1"/>
    <xf numFmtId="0" fontId="9" fillId="12" borderId="41" xfId="0" applyFont="1" applyFill="1" applyBorder="1" applyAlignment="1">
      <alignment horizontal="center"/>
    </xf>
    <xf numFmtId="0" fontId="9" fillId="12" borderId="42" xfId="0" applyFont="1" applyFill="1" applyBorder="1" applyAlignment="1">
      <alignment horizontal="center"/>
    </xf>
    <xf numFmtId="0" fontId="9" fillId="0" borderId="39" xfId="0" applyFont="1" applyBorder="1" applyAlignment="1">
      <alignment horizontal="left"/>
    </xf>
    <xf numFmtId="0" fontId="9" fillId="0" borderId="41" xfId="0" applyFont="1" applyBorder="1" applyAlignment="1">
      <alignment horizontal="left"/>
    </xf>
    <xf numFmtId="0" fontId="24" fillId="0" borderId="41" xfId="0" applyFont="1" applyBorder="1" applyAlignment="1">
      <alignment horizontal="left"/>
    </xf>
    <xf numFmtId="0" fontId="24" fillId="12" borderId="39" xfId="0" applyFont="1" applyFill="1" applyBorder="1"/>
    <xf numFmtId="0" fontId="6" fillId="14" borderId="1" xfId="0" applyFont="1" applyFill="1" applyBorder="1"/>
    <xf numFmtId="165" fontId="6" fillId="14" borderId="0" xfId="0" applyNumberFormat="1" applyFont="1" applyFill="1" applyAlignment="1">
      <alignment wrapText="1"/>
    </xf>
    <xf numFmtId="16" fontId="23" fillId="0" borderId="0" xfId="0" applyNumberFormat="1" applyFont="1"/>
    <xf numFmtId="9" fontId="13" fillId="0" borderId="4" xfId="0" applyNumberFormat="1" applyFont="1" applyBorder="1" applyAlignment="1">
      <alignment horizontal="right"/>
    </xf>
    <xf numFmtId="165" fontId="13" fillId="0" borderId="4" xfId="0" applyNumberFormat="1" applyFont="1" applyBorder="1" applyAlignment="1">
      <alignment horizontal="right"/>
    </xf>
    <xf numFmtId="165" fontId="13" fillId="0" borderId="8" xfId="0" applyNumberFormat="1" applyFont="1" applyBorder="1" applyAlignment="1">
      <alignment horizontal="right"/>
    </xf>
    <xf numFmtId="0" fontId="13" fillId="0" borderId="39" xfId="0" applyFont="1" applyBorder="1"/>
    <xf numFmtId="9" fontId="13" fillId="0" borderId="11" xfId="0" applyNumberFormat="1" applyFont="1" applyBorder="1" applyAlignment="1">
      <alignment horizontal="right"/>
    </xf>
    <xf numFmtId="165" fontId="13" fillId="0" borderId="7" xfId="0" applyNumberFormat="1" applyFont="1" applyBorder="1" applyAlignment="1">
      <alignment horizontal="right"/>
    </xf>
    <xf numFmtId="0" fontId="3" fillId="0" borderId="0" xfId="0" applyFont="1" applyAlignment="1">
      <alignment horizontal="center"/>
    </xf>
    <xf numFmtId="0" fontId="3" fillId="0" borderId="33" xfId="0" applyFont="1" applyBorder="1" applyAlignment="1">
      <alignment horizontal="center"/>
    </xf>
    <xf numFmtId="0" fontId="3" fillId="0" borderId="0" xfId="0" applyFont="1" applyAlignment="1">
      <alignment horizontal="right"/>
    </xf>
    <xf numFmtId="165" fontId="18" fillId="5" borderId="6" xfId="0" applyNumberFormat="1" applyFont="1" applyFill="1" applyBorder="1"/>
    <xf numFmtId="165" fontId="18" fillId="0" borderId="5" xfId="0" applyNumberFormat="1" applyFont="1" applyBorder="1" applyAlignment="1">
      <alignment horizontal="right"/>
    </xf>
    <xf numFmtId="9" fontId="18" fillId="0" borderId="11" xfId="0" applyNumberFormat="1" applyFont="1" applyBorder="1" applyAlignment="1">
      <alignment horizontal="right"/>
    </xf>
    <xf numFmtId="165" fontId="18" fillId="0" borderId="7" xfId="0" applyNumberFormat="1" applyFont="1" applyBorder="1" applyAlignment="1">
      <alignment horizontal="right"/>
    </xf>
    <xf numFmtId="0" fontId="13" fillId="6" borderId="1" xfId="0" applyFont="1" applyFill="1" applyBorder="1" applyAlignment="1">
      <alignment horizontal="center"/>
    </xf>
    <xf numFmtId="0" fontId="13" fillId="6" borderId="2" xfId="0" applyFont="1" applyFill="1" applyBorder="1" applyAlignment="1">
      <alignment horizontal="center"/>
    </xf>
    <xf numFmtId="14" fontId="5" fillId="12" borderId="46" xfId="0" applyNumberFormat="1" applyFont="1" applyFill="1" applyBorder="1"/>
    <xf numFmtId="0" fontId="5" fillId="12" borderId="0" xfId="0" applyFont="1" applyFill="1"/>
    <xf numFmtId="165" fontId="5" fillId="12" borderId="0" xfId="0" applyNumberFormat="1" applyFont="1" applyFill="1"/>
    <xf numFmtId="0" fontId="5" fillId="12" borderId="33" xfId="0" applyFont="1" applyFill="1" applyBorder="1" applyAlignment="1">
      <alignment horizontal="center"/>
    </xf>
    <xf numFmtId="0" fontId="11" fillId="0" borderId="41" xfId="0" applyFont="1" applyBorder="1" applyAlignment="1">
      <alignment horizontal="left"/>
    </xf>
    <xf numFmtId="165" fontId="36" fillId="0" borderId="22" xfId="0" applyNumberFormat="1" applyFont="1" applyBorder="1" applyAlignment="1">
      <alignment horizontal="right"/>
    </xf>
    <xf numFmtId="165" fontId="36" fillId="0" borderId="27" xfId="0" applyNumberFormat="1" applyFont="1" applyBorder="1" applyAlignment="1">
      <alignment horizontal="right"/>
    </xf>
    <xf numFmtId="165" fontId="36" fillId="0" borderId="28" xfId="0" applyNumberFormat="1" applyFont="1" applyBorder="1" applyAlignment="1">
      <alignment horizontal="right"/>
    </xf>
    <xf numFmtId="14" fontId="3" fillId="0" borderId="43" xfId="0" applyNumberFormat="1" applyFont="1" applyBorder="1"/>
    <xf numFmtId="0" fontId="3" fillId="0" borderId="44" xfId="0" applyFont="1" applyBorder="1"/>
    <xf numFmtId="165" fontId="3" fillId="0" borderId="44" xfId="0" applyNumberFormat="1" applyFont="1" applyBorder="1"/>
    <xf numFmtId="165" fontId="3" fillId="0" borderId="44" xfId="0" applyNumberFormat="1" applyFont="1" applyBorder="1" applyAlignment="1">
      <alignment horizontal="right"/>
    </xf>
    <xf numFmtId="0" fontId="3" fillId="0" borderId="44" xfId="0" applyFont="1" applyBorder="1" applyAlignment="1">
      <alignment horizontal="center"/>
    </xf>
    <xf numFmtId="0" fontId="3" fillId="0" borderId="45" xfId="0" applyFont="1" applyBorder="1" applyAlignment="1">
      <alignment horizontal="center"/>
    </xf>
    <xf numFmtId="165" fontId="5" fillId="0" borderId="39" xfId="0" applyNumberFormat="1" applyFont="1" applyBorder="1" applyAlignment="1">
      <alignment wrapText="1"/>
    </xf>
    <xf numFmtId="165" fontId="18" fillId="0" borderId="11" xfId="0" applyNumberFormat="1" applyFont="1" applyBorder="1" applyAlignment="1">
      <alignment horizontal="right"/>
    </xf>
    <xf numFmtId="165" fontId="3" fillId="13" borderId="44" xfId="0" applyNumberFormat="1" applyFont="1" applyFill="1" applyBorder="1" applyAlignment="1">
      <alignment horizontal="right"/>
    </xf>
    <xf numFmtId="0" fontId="24" fillId="12" borderId="0" xfId="0" applyFont="1" applyFill="1" applyAlignment="1">
      <alignment horizontal="right"/>
    </xf>
    <xf numFmtId="0" fontId="13" fillId="0" borderId="38" xfId="0" applyFont="1" applyBorder="1"/>
    <xf numFmtId="0" fontId="13" fillId="0" borderId="25" xfId="0" applyFont="1" applyBorder="1"/>
    <xf numFmtId="0" fontId="13" fillId="6" borderId="0" xfId="0" applyFont="1" applyFill="1"/>
    <xf numFmtId="165" fontId="19" fillId="0" borderId="1" xfId="0" applyNumberFormat="1" applyFont="1" applyBorder="1" applyAlignment="1">
      <alignment horizontal="right"/>
    </xf>
    <xf numFmtId="0" fontId="8" fillId="0" borderId="4" xfId="0" applyFont="1" applyBorder="1"/>
    <xf numFmtId="1" fontId="8" fillId="0" borderId="11" xfId="0" applyNumberFormat="1" applyFont="1" applyBorder="1"/>
    <xf numFmtId="165" fontId="8" fillId="4" borderId="0" xfId="0" applyNumberFormat="1" applyFont="1" applyFill="1"/>
    <xf numFmtId="0" fontId="6" fillId="0" borderId="47" xfId="0" applyFont="1" applyBorder="1"/>
    <xf numFmtId="16" fontId="27" fillId="0" borderId="0" xfId="0" applyNumberFormat="1" applyFont="1"/>
    <xf numFmtId="8" fontId="3" fillId="0" borderId="44" xfId="0" applyNumberFormat="1" applyFont="1" applyBorder="1"/>
    <xf numFmtId="14" fontId="3" fillId="0" borderId="40" xfId="0" applyNumberFormat="1" applyFont="1" applyBorder="1"/>
    <xf numFmtId="165" fontId="3" fillId="0" borderId="41" xfId="0" applyNumberFormat="1" applyFont="1" applyBorder="1"/>
    <xf numFmtId="0" fontId="3" fillId="0" borderId="41" xfId="0" applyFont="1" applyBorder="1" applyAlignment="1">
      <alignment horizontal="center"/>
    </xf>
    <xf numFmtId="0" fontId="3" fillId="0" borderId="4" xfId="0" applyFont="1" applyBorder="1" applyAlignment="1">
      <alignment horizontal="center"/>
    </xf>
    <xf numFmtId="165" fontId="7" fillId="0" borderId="48" xfId="0" applyNumberFormat="1" applyFont="1" applyBorder="1" applyAlignment="1">
      <alignment horizontal="right"/>
    </xf>
    <xf numFmtId="165" fontId="7" fillId="0" borderId="49" xfId="0" applyNumberFormat="1" applyFont="1" applyBorder="1" applyAlignment="1">
      <alignment horizontal="right"/>
    </xf>
    <xf numFmtId="0" fontId="36" fillId="0" borderId="0" xfId="0" applyFont="1" applyAlignment="1">
      <alignment horizontal="center"/>
    </xf>
    <xf numFmtId="165" fontId="36" fillId="0" borderId="23" xfId="0" applyNumberFormat="1" applyFont="1" applyBorder="1" applyAlignment="1">
      <alignment horizontal="right"/>
    </xf>
    <xf numFmtId="165" fontId="36" fillId="0" borderId="24" xfId="0" applyNumberFormat="1" applyFont="1" applyBorder="1" applyAlignment="1">
      <alignment horizontal="right"/>
    </xf>
    <xf numFmtId="165" fontId="3" fillId="11" borderId="44" xfId="0" applyNumberFormat="1" applyFont="1" applyFill="1" applyBorder="1" applyAlignment="1">
      <alignment horizontal="right"/>
    </xf>
    <xf numFmtId="165" fontId="8" fillId="14" borderId="0" xfId="0" applyNumberFormat="1" applyFont="1" applyFill="1"/>
    <xf numFmtId="165" fontId="3" fillId="0" borderId="0" xfId="0" applyNumberFormat="1" applyFont="1"/>
    <xf numFmtId="14" fontId="3" fillId="0" borderId="46" xfId="0" applyNumberFormat="1" applyFont="1" applyBorder="1"/>
    <xf numFmtId="165" fontId="3" fillId="11" borderId="0" xfId="0" applyNumberFormat="1" applyFont="1" applyFill="1" applyAlignment="1">
      <alignment horizontal="right"/>
    </xf>
    <xf numFmtId="165" fontId="3" fillId="11" borderId="41" xfId="0" applyNumberFormat="1" applyFont="1" applyFill="1" applyBorder="1" applyAlignment="1">
      <alignment horizontal="right"/>
    </xf>
    <xf numFmtId="165" fontId="37" fillId="13" borderId="39" xfId="0" applyNumberFormat="1" applyFont="1" applyFill="1" applyBorder="1" applyAlignment="1">
      <alignment horizontal="right"/>
    </xf>
    <xf numFmtId="169" fontId="6" fillId="0" borderId="2" xfId="0" applyNumberFormat="1" applyFont="1" applyBorder="1" applyAlignment="1">
      <alignment horizontal="right"/>
    </xf>
    <xf numFmtId="165" fontId="8" fillId="0" borderId="44" xfId="0" applyNumberFormat="1" applyFont="1" applyBorder="1"/>
    <xf numFmtId="165" fontId="3" fillId="13" borderId="0" xfId="0" applyNumberFormat="1" applyFont="1" applyFill="1" applyAlignment="1">
      <alignment horizontal="right"/>
    </xf>
    <xf numFmtId="0" fontId="3" fillId="0" borderId="41" xfId="0" applyFont="1" applyBorder="1" applyAlignment="1">
      <alignment horizontal="left"/>
    </xf>
    <xf numFmtId="165" fontId="3" fillId="13" borderId="41" xfId="0" applyNumberFormat="1" applyFont="1" applyFill="1" applyBorder="1" applyAlignment="1">
      <alignment horizontal="right"/>
    </xf>
    <xf numFmtId="0" fontId="3" fillId="0" borderId="42" xfId="0" applyFont="1" applyBorder="1" applyAlignment="1">
      <alignment horizontal="center"/>
    </xf>
    <xf numFmtId="165" fontId="3" fillId="0" borderId="41" xfId="0" applyNumberFormat="1" applyFont="1" applyBorder="1" applyAlignment="1">
      <alignment horizontal="right"/>
    </xf>
    <xf numFmtId="8" fontId="3" fillId="0" borderId="41" xfId="0" applyNumberFormat="1" applyFont="1" applyBorder="1"/>
    <xf numFmtId="0" fontId="6" fillId="15" borderId="1" xfId="0" applyFont="1" applyFill="1" applyBorder="1"/>
    <xf numFmtId="165" fontId="6" fillId="15" borderId="5" xfId="0" applyNumberFormat="1" applyFont="1" applyFill="1" applyBorder="1"/>
    <xf numFmtId="0" fontId="11" fillId="15" borderId="0" xfId="0" applyFont="1" applyFill="1"/>
    <xf numFmtId="165" fontId="6" fillId="15" borderId="0" xfId="0" applyNumberFormat="1" applyFont="1" applyFill="1" applyAlignment="1">
      <alignment wrapText="1"/>
    </xf>
    <xf numFmtId="165" fontId="3" fillId="0" borderId="0" xfId="0" applyNumberFormat="1" applyFont="1" applyAlignment="1">
      <alignment horizontal="right"/>
    </xf>
    <xf numFmtId="167" fontId="5" fillId="0" borderId="0" xfId="0" applyNumberFormat="1" applyFont="1"/>
    <xf numFmtId="0" fontId="14" fillId="0" borderId="0" xfId="0" applyFont="1" applyAlignment="1">
      <alignment horizontal="left"/>
    </xf>
    <xf numFmtId="0" fontId="0" fillId="0" borderId="33" xfId="0" applyBorder="1"/>
    <xf numFmtId="14" fontId="17" fillId="0" borderId="2" xfId="0" applyNumberFormat="1" applyFont="1" applyBorder="1" applyAlignment="1">
      <alignment wrapText="1"/>
    </xf>
    <xf numFmtId="0" fontId="16" fillId="0" borderId="12" xfId="0" applyFont="1" applyBorder="1" applyAlignment="1">
      <alignment wrapText="1"/>
    </xf>
    <xf numFmtId="170" fontId="6" fillId="0" borderId="2" xfId="0" applyNumberFormat="1" applyFont="1" applyBorder="1" applyAlignment="1">
      <alignment horizontal="right"/>
    </xf>
    <xf numFmtId="170" fontId="5" fillId="0" borderId="0" xfId="0" applyNumberFormat="1" applyFont="1"/>
    <xf numFmtId="170" fontId="5" fillId="4" borderId="0" xfId="0" applyNumberFormat="1" applyFont="1" applyFill="1"/>
    <xf numFmtId="170" fontId="11" fillId="0" borderId="0" xfId="0" applyNumberFormat="1" applyFont="1"/>
    <xf numFmtId="170" fontId="5" fillId="0" borderId="9" xfId="0" applyNumberFormat="1" applyFont="1" applyBorder="1"/>
    <xf numFmtId="170" fontId="3" fillId="0" borderId="0" xfId="0" applyNumberFormat="1" applyFont="1"/>
    <xf numFmtId="170" fontId="2" fillId="0" borderId="0" xfId="0" applyNumberFormat="1" applyFont="1"/>
    <xf numFmtId="170" fontId="12" fillId="0" borderId="0" xfId="0" applyNumberFormat="1" applyFont="1"/>
    <xf numFmtId="170" fontId="7" fillId="3" borderId="0" xfId="0" applyNumberFormat="1" applyFont="1" applyFill="1"/>
    <xf numFmtId="170" fontId="13" fillId="3" borderId="0" xfId="0" applyNumberFormat="1" applyFont="1" applyFill="1"/>
    <xf numFmtId="171" fontId="6" fillId="0" borderId="2" xfId="0" applyNumberFormat="1" applyFont="1" applyBorder="1" applyAlignment="1">
      <alignment horizontal="right"/>
    </xf>
    <xf numFmtId="171" fontId="0" fillId="0" borderId="0" xfId="0" applyNumberFormat="1"/>
    <xf numFmtId="171" fontId="4" fillId="0" borderId="2" xfId="0" applyNumberFormat="1" applyFont="1" applyBorder="1"/>
    <xf numFmtId="171" fontId="5" fillId="0" borderId="0" xfId="0" applyNumberFormat="1" applyFont="1"/>
    <xf numFmtId="171" fontId="7" fillId="0" borderId="2" xfId="0" applyNumberFormat="1" applyFont="1" applyBorder="1" applyAlignment="1">
      <alignment horizontal="center"/>
    </xf>
    <xf numFmtId="171" fontId="7" fillId="0" borderId="0" xfId="0" applyNumberFormat="1" applyFont="1" applyAlignment="1">
      <alignment horizontal="center"/>
    </xf>
    <xf numFmtId="171" fontId="5" fillId="0" borderId="2" xfId="0" applyNumberFormat="1" applyFont="1" applyBorder="1"/>
    <xf numFmtId="171" fontId="11" fillId="0" borderId="0" xfId="0" applyNumberFormat="1" applyFont="1"/>
    <xf numFmtId="171" fontId="5" fillId="0" borderId="9" xfId="0" applyNumberFormat="1" applyFont="1" applyBorder="1"/>
    <xf numFmtId="0" fontId="8" fillId="0" borderId="15" xfId="0" applyFont="1" applyBorder="1"/>
    <xf numFmtId="1" fontId="8" fillId="0" borderId="14" xfId="0" applyNumberFormat="1" applyFont="1" applyBorder="1"/>
    <xf numFmtId="165" fontId="6" fillId="0" borderId="14" xfId="0" applyNumberFormat="1" applyFont="1" applyBorder="1"/>
    <xf numFmtId="0" fontId="13" fillId="6" borderId="4" xfId="0" applyFont="1" applyFill="1" applyBorder="1" applyAlignment="1">
      <alignment horizontal="center"/>
    </xf>
    <xf numFmtId="0" fontId="13" fillId="7" borderId="3" xfId="0" applyFont="1" applyFill="1" applyBorder="1" applyAlignment="1">
      <alignment horizontal="center"/>
    </xf>
    <xf numFmtId="165" fontId="13" fillId="0" borderId="6" xfId="0" applyNumberFormat="1" applyFont="1" applyBorder="1" applyAlignment="1">
      <alignment horizontal="center"/>
    </xf>
    <xf numFmtId="0" fontId="18" fillId="7" borderId="5" xfId="0" applyFont="1" applyFill="1" applyBorder="1" applyAlignment="1">
      <alignment horizontal="center"/>
    </xf>
    <xf numFmtId="165" fontId="19" fillId="0" borderId="6" xfId="0" applyNumberFormat="1" applyFont="1" applyBorder="1" applyAlignment="1">
      <alignment horizontal="center"/>
    </xf>
    <xf numFmtId="165" fontId="17" fillId="5" borderId="9" xfId="0" applyNumberFormat="1" applyFont="1" applyFill="1" applyBorder="1" applyAlignment="1">
      <alignment horizontal="center"/>
    </xf>
    <xf numFmtId="165" fontId="18" fillId="5" borderId="11" xfId="0" applyNumberFormat="1" applyFont="1" applyFill="1" applyBorder="1" applyAlignment="1">
      <alignment horizontal="center"/>
    </xf>
    <xf numFmtId="165" fontId="17" fillId="5" borderId="7" xfId="0" applyNumberFormat="1" applyFont="1" applyFill="1" applyBorder="1" applyAlignment="1">
      <alignment horizontal="center"/>
    </xf>
    <xf numFmtId="171" fontId="5" fillId="0" borderId="40" xfId="0" applyNumberFormat="1" applyFont="1" applyBorder="1"/>
    <xf numFmtId="171" fontId="5" fillId="0" borderId="46" xfId="0" applyNumberFormat="1" applyFont="1" applyBorder="1"/>
    <xf numFmtId="171" fontId="5" fillId="0" borderId="43" xfId="0" applyNumberFormat="1" applyFont="1" applyBorder="1"/>
    <xf numFmtId="171" fontId="5" fillId="0" borderId="38" xfId="0" applyNumberFormat="1" applyFont="1" applyBorder="1"/>
    <xf numFmtId="0" fontId="3" fillId="0" borderId="39" xfId="0" applyFont="1" applyBorder="1"/>
    <xf numFmtId="0" fontId="6" fillId="14" borderId="0" xfId="0" applyFont="1" applyFill="1"/>
    <xf numFmtId="167" fontId="6" fillId="14" borderId="0" xfId="0" applyNumberFormat="1" applyFont="1" applyFill="1"/>
    <xf numFmtId="14" fontId="3" fillId="0" borderId="38" xfId="0" applyNumberFormat="1" applyFont="1" applyBorder="1"/>
    <xf numFmtId="165" fontId="3" fillId="0" borderId="39" xfId="0" applyNumberFormat="1" applyFont="1" applyBorder="1"/>
    <xf numFmtId="0" fontId="3" fillId="0" borderId="39" xfId="0" applyFont="1" applyBorder="1" applyAlignment="1">
      <alignment horizontal="center"/>
    </xf>
    <xf numFmtId="0" fontId="3" fillId="0" borderId="25" xfId="0" applyFont="1" applyBorder="1" applyAlignment="1">
      <alignment horizontal="center"/>
    </xf>
    <xf numFmtId="165" fontId="3" fillId="11" borderId="39" xfId="0" applyNumberFormat="1" applyFont="1" applyFill="1" applyBorder="1" applyAlignment="1">
      <alignment horizontal="right"/>
    </xf>
    <xf numFmtId="0" fontId="5" fillId="11" borderId="41" xfId="0" applyFont="1" applyFill="1" applyBorder="1" applyAlignment="1">
      <alignment horizontal="center"/>
    </xf>
    <xf numFmtId="165" fontId="19" fillId="0" borderId="4" xfId="0" applyNumberFormat="1" applyFont="1" applyBorder="1" applyAlignment="1">
      <alignment horizontal="right"/>
    </xf>
    <xf numFmtId="170" fontId="14" fillId="3" borderId="0" xfId="0" applyNumberFormat="1" applyFont="1" applyFill="1"/>
    <xf numFmtId="171" fontId="11" fillId="0" borderId="40" xfId="0" applyNumberFormat="1" applyFont="1" applyBorder="1"/>
    <xf numFmtId="171" fontId="11" fillId="0" borderId="46" xfId="0" applyNumberFormat="1" applyFont="1" applyBorder="1"/>
    <xf numFmtId="171" fontId="11" fillId="0" borderId="43" xfId="0" applyNumberFormat="1" applyFont="1" applyBorder="1"/>
    <xf numFmtId="165" fontId="18" fillId="5" borderId="4" xfId="0" applyNumberFormat="1" applyFont="1" applyFill="1" applyBorder="1" applyAlignment="1">
      <alignment horizontal="center"/>
    </xf>
    <xf numFmtId="165" fontId="17" fillId="5" borderId="23" xfId="0" applyNumberFormat="1" applyFont="1" applyFill="1" applyBorder="1" applyAlignment="1">
      <alignment horizontal="center"/>
    </xf>
    <xf numFmtId="165" fontId="19" fillId="0" borderId="3" xfId="0" applyNumberFormat="1" applyFont="1" applyBorder="1" applyAlignment="1">
      <alignment horizontal="right"/>
    </xf>
    <xf numFmtId="165" fontId="17" fillId="5" borderId="0" xfId="0" applyNumberFormat="1" applyFont="1" applyFill="1" applyAlignment="1">
      <alignment horizontal="right"/>
    </xf>
    <xf numFmtId="165" fontId="18" fillId="5" borderId="5" xfId="0" applyNumberFormat="1" applyFont="1" applyFill="1" applyBorder="1" applyAlignment="1">
      <alignment horizontal="right"/>
    </xf>
    <xf numFmtId="165" fontId="17" fillId="5" borderId="6" xfId="0" applyNumberFormat="1" applyFont="1" applyFill="1" applyBorder="1" applyAlignment="1">
      <alignment horizontal="right"/>
    </xf>
    <xf numFmtId="165" fontId="19" fillId="0" borderId="6" xfId="0" applyNumberFormat="1" applyFont="1" applyBorder="1" applyAlignment="1">
      <alignment horizontal="right"/>
    </xf>
    <xf numFmtId="165" fontId="18" fillId="5" borderId="11" xfId="0" applyNumberFormat="1" applyFont="1" applyFill="1" applyBorder="1" applyAlignment="1">
      <alignment horizontal="right"/>
    </xf>
    <xf numFmtId="165" fontId="19" fillId="0" borderId="10" xfId="0" applyNumberFormat="1" applyFont="1" applyBorder="1" applyAlignment="1">
      <alignment horizontal="right"/>
    </xf>
    <xf numFmtId="165" fontId="18" fillId="5" borderId="7" xfId="0" applyNumberFormat="1" applyFont="1" applyFill="1" applyBorder="1" applyAlignment="1">
      <alignment horizontal="right"/>
    </xf>
    <xf numFmtId="165" fontId="19" fillId="0" borderId="2" xfId="0" applyNumberFormat="1" applyFont="1" applyBorder="1" applyAlignment="1">
      <alignment horizontal="right"/>
    </xf>
    <xf numFmtId="165" fontId="17" fillId="5" borderId="5" xfId="0" applyNumberFormat="1" applyFont="1" applyFill="1" applyBorder="1" applyAlignment="1">
      <alignment horizontal="right"/>
    </xf>
    <xf numFmtId="165" fontId="18" fillId="5" borderId="2" xfId="0" applyNumberFormat="1" applyFont="1" applyFill="1" applyBorder="1" applyAlignment="1">
      <alignment horizontal="right"/>
    </xf>
    <xf numFmtId="165" fontId="19" fillId="0" borderId="0" xfId="0" applyNumberFormat="1" applyFont="1" applyAlignment="1">
      <alignment horizontal="right"/>
    </xf>
    <xf numFmtId="165" fontId="17" fillId="5" borderId="11" xfId="0" applyNumberFormat="1" applyFont="1" applyFill="1" applyBorder="1" applyAlignment="1">
      <alignment horizontal="right"/>
    </xf>
    <xf numFmtId="165" fontId="18" fillId="5" borderId="0" xfId="0" applyNumberFormat="1" applyFont="1" applyFill="1" applyAlignment="1">
      <alignment horizontal="right"/>
    </xf>
    <xf numFmtId="165" fontId="19" fillId="0" borderId="9" xfId="0" applyNumberFormat="1" applyFont="1" applyBorder="1" applyAlignment="1">
      <alignment horizontal="right"/>
    </xf>
    <xf numFmtId="165" fontId="17" fillId="5" borderId="7" xfId="0" applyNumberFormat="1" applyFont="1" applyFill="1" applyBorder="1" applyAlignment="1">
      <alignment horizontal="right"/>
    </xf>
    <xf numFmtId="165" fontId="18" fillId="5" borderId="9" xfId="0" applyNumberFormat="1" applyFont="1" applyFill="1" applyBorder="1" applyAlignment="1">
      <alignment horizontal="right"/>
    </xf>
    <xf numFmtId="165" fontId="17" fillId="5" borderId="2" xfId="0" applyNumberFormat="1" applyFont="1" applyFill="1" applyBorder="1" applyAlignment="1">
      <alignment horizontal="right"/>
    </xf>
    <xf numFmtId="165" fontId="17" fillId="5" borderId="3" xfId="0" applyNumberFormat="1" applyFont="1" applyFill="1" applyBorder="1" applyAlignment="1">
      <alignment horizontal="right"/>
    </xf>
    <xf numFmtId="165" fontId="17" fillId="5" borderId="9" xfId="0" applyNumberFormat="1" applyFont="1" applyFill="1" applyBorder="1" applyAlignment="1">
      <alignment horizontal="right"/>
    </xf>
    <xf numFmtId="165" fontId="17" fillId="5" borderId="10" xfId="0" applyNumberFormat="1" applyFont="1" applyFill="1" applyBorder="1" applyAlignment="1">
      <alignment horizontal="right"/>
    </xf>
    <xf numFmtId="165" fontId="18" fillId="5" borderId="4" xfId="0" applyNumberFormat="1" applyFont="1" applyFill="1" applyBorder="1" applyAlignment="1">
      <alignment horizontal="right"/>
    </xf>
    <xf numFmtId="165" fontId="18" fillId="5" borderId="8" xfId="0" applyNumberFormat="1" applyFont="1" applyFill="1" applyBorder="1" applyAlignment="1">
      <alignment horizontal="right"/>
    </xf>
    <xf numFmtId="164" fontId="13" fillId="0" borderId="5" xfId="0" applyNumberFormat="1" applyFont="1" applyBorder="1" applyAlignment="1">
      <alignment horizontal="right"/>
    </xf>
    <xf numFmtId="164" fontId="13" fillId="0" borderId="3" xfId="0" applyNumberFormat="1" applyFont="1" applyBorder="1" applyAlignment="1">
      <alignment horizontal="right"/>
    </xf>
    <xf numFmtId="164" fontId="13" fillId="0" borderId="11" xfId="0" applyNumberFormat="1" applyFont="1" applyBorder="1" applyAlignment="1">
      <alignment horizontal="right"/>
    </xf>
    <xf numFmtId="164" fontId="13" fillId="0" borderId="6" xfId="0" applyNumberFormat="1" applyFont="1" applyBorder="1" applyAlignment="1">
      <alignment horizontal="right"/>
    </xf>
    <xf numFmtId="164" fontId="13" fillId="0" borderId="7" xfId="0" applyNumberFormat="1" applyFont="1" applyBorder="1" applyAlignment="1">
      <alignment horizontal="right"/>
    </xf>
    <xf numFmtId="164" fontId="13" fillId="0" borderId="10" xfId="0" applyNumberFormat="1" applyFont="1" applyBorder="1" applyAlignment="1">
      <alignment horizontal="right"/>
    </xf>
    <xf numFmtId="165" fontId="12" fillId="5" borderId="7" xfId="0" applyNumberFormat="1" applyFont="1" applyFill="1" applyBorder="1" applyAlignment="1">
      <alignment horizontal="right"/>
    </xf>
    <xf numFmtId="165" fontId="12" fillId="5" borderId="0" xfId="0" applyNumberFormat="1" applyFont="1" applyFill="1" applyAlignment="1">
      <alignment horizontal="right"/>
    </xf>
    <xf numFmtId="165" fontId="18" fillId="5" borderId="6" xfId="0" applyNumberFormat="1" applyFont="1" applyFill="1" applyBorder="1" applyAlignment="1">
      <alignment horizontal="right"/>
    </xf>
    <xf numFmtId="0" fontId="38" fillId="0" borderId="4" xfId="0" applyFont="1" applyBorder="1"/>
    <xf numFmtId="171" fontId="9" fillId="0" borderId="0" xfId="0" applyNumberFormat="1" applyFont="1"/>
    <xf numFmtId="165" fontId="6" fillId="0" borderId="0" xfId="0" applyNumberFormat="1" applyFont="1" applyAlignment="1">
      <alignment horizontal="right"/>
    </xf>
    <xf numFmtId="171" fontId="9" fillId="0" borderId="38" xfId="0" applyNumberFormat="1" applyFont="1" applyBorder="1"/>
    <xf numFmtId="0" fontId="9" fillId="0" borderId="4" xfId="0" applyFont="1" applyBorder="1"/>
    <xf numFmtId="165" fontId="6" fillId="0" borderId="26" xfId="0" applyNumberFormat="1" applyFont="1" applyBorder="1" applyAlignment="1">
      <alignment horizontal="right"/>
    </xf>
    <xf numFmtId="0" fontId="6" fillId="0" borderId="0" xfId="0" applyFont="1" applyAlignment="1">
      <alignment horizontal="center"/>
    </xf>
    <xf numFmtId="165" fontId="7" fillId="13" borderId="25" xfId="0" applyNumberFormat="1" applyFont="1" applyFill="1" applyBorder="1" applyAlignment="1">
      <alignment horizontal="right"/>
    </xf>
    <xf numFmtId="165" fontId="3" fillId="0" borderId="39" xfId="0" applyNumberFormat="1" applyFont="1" applyBorder="1" applyAlignment="1">
      <alignment horizontal="right"/>
    </xf>
    <xf numFmtId="8" fontId="9" fillId="0" borderId="41" xfId="0" applyNumberFormat="1" applyFont="1" applyBorder="1"/>
    <xf numFmtId="8" fontId="9" fillId="0" borderId="44" xfId="0" applyNumberFormat="1" applyFont="1" applyBorder="1"/>
    <xf numFmtId="0" fontId="11" fillId="0" borderId="39" xfId="0" applyFont="1" applyBorder="1" applyAlignment="1">
      <alignment horizontal="right"/>
    </xf>
    <xf numFmtId="171" fontId="27" fillId="0" borderId="0" xfId="0" applyNumberFormat="1" applyFont="1"/>
    <xf numFmtId="171" fontId="11" fillId="0" borderId="38" xfId="0" applyNumberFormat="1" applyFont="1" applyBorder="1"/>
    <xf numFmtId="170" fontId="14" fillId="0" borderId="0" xfId="0" applyNumberFormat="1" applyFont="1"/>
    <xf numFmtId="9" fontId="0" fillId="0" borderId="0" xfId="0" applyNumberFormat="1"/>
    <xf numFmtId="165" fontId="3" fillId="13" borderId="39" xfId="0" applyNumberFormat="1" applyFont="1" applyFill="1" applyBorder="1" applyAlignment="1">
      <alignment horizontal="right"/>
    </xf>
    <xf numFmtId="171" fontId="9" fillId="0" borderId="43" xfId="0" applyNumberFormat="1" applyFont="1" applyBorder="1"/>
    <xf numFmtId="165" fontId="17" fillId="5" borderId="50" xfId="0" applyNumberFormat="1" applyFont="1" applyFill="1" applyBorder="1" applyAlignment="1">
      <alignment horizontal="center"/>
    </xf>
    <xf numFmtId="167" fontId="11" fillId="0" borderId="0" xfId="0" applyNumberFormat="1" applyFont="1" applyAlignment="1">
      <alignment horizontal="center"/>
    </xf>
    <xf numFmtId="165" fontId="8" fillId="13" borderId="23" xfId="0" applyNumberFormat="1" applyFont="1" applyFill="1" applyBorder="1" applyAlignment="1">
      <alignment horizontal="right"/>
    </xf>
    <xf numFmtId="165" fontId="8" fillId="13" borderId="27" xfId="0" applyNumberFormat="1" applyFont="1" applyFill="1" applyBorder="1" applyAlignment="1">
      <alignment horizontal="right"/>
    </xf>
    <xf numFmtId="170" fontId="5" fillId="0" borderId="38" xfId="0" applyNumberFormat="1" applyFont="1" applyBorder="1"/>
    <xf numFmtId="170" fontId="20" fillId="0" borderId="0" xfId="0" applyNumberFormat="1" applyFont="1"/>
    <xf numFmtId="14" fontId="9" fillId="0" borderId="0" xfId="0" applyNumberFormat="1" applyFont="1"/>
    <xf numFmtId="165" fontId="8" fillId="0" borderId="25" xfId="0" applyNumberFormat="1" applyFont="1" applyBorder="1" applyAlignment="1">
      <alignment horizontal="right"/>
    </xf>
    <xf numFmtId="165" fontId="8" fillId="0" borderId="29" xfId="0" applyNumberFormat="1" applyFont="1" applyBorder="1" applyAlignment="1">
      <alignment horizontal="right"/>
    </xf>
    <xf numFmtId="165" fontId="8" fillId="0" borderId="51" xfId="0" applyNumberFormat="1" applyFont="1" applyBorder="1" applyAlignment="1">
      <alignment horizontal="right"/>
    </xf>
    <xf numFmtId="165" fontId="19" fillId="14" borderId="1" xfId="0" applyNumberFormat="1" applyFont="1" applyFill="1" applyBorder="1" applyAlignment="1">
      <alignment horizontal="right"/>
    </xf>
    <xf numFmtId="9" fontId="13" fillId="14" borderId="4" xfId="0" applyNumberFormat="1" applyFont="1" applyFill="1" applyBorder="1" applyAlignment="1">
      <alignment horizontal="right"/>
    </xf>
    <xf numFmtId="165" fontId="13" fillId="14" borderId="4" xfId="0" applyNumberFormat="1" applyFont="1" applyFill="1" applyBorder="1" applyAlignment="1">
      <alignment horizontal="right"/>
    </xf>
    <xf numFmtId="165" fontId="13" fillId="14" borderId="8" xfId="0" applyNumberFormat="1" applyFont="1" applyFill="1" applyBorder="1" applyAlignment="1">
      <alignment horizontal="right"/>
    </xf>
    <xf numFmtId="9" fontId="13" fillId="14" borderId="11" xfId="0" applyNumberFormat="1" applyFont="1" applyFill="1" applyBorder="1" applyAlignment="1">
      <alignment horizontal="right"/>
    </xf>
    <xf numFmtId="165" fontId="13" fillId="14" borderId="7" xfId="0" applyNumberFormat="1" applyFont="1" applyFill="1" applyBorder="1" applyAlignment="1">
      <alignment horizontal="right"/>
    </xf>
    <xf numFmtId="165" fontId="7" fillId="0" borderId="51" xfId="0" applyNumberFormat="1" applyFont="1" applyBorder="1" applyAlignment="1">
      <alignment horizontal="right"/>
    </xf>
    <xf numFmtId="0" fontId="5" fillId="0" borderId="33" xfId="0" applyFont="1" applyBorder="1"/>
    <xf numFmtId="0" fontId="9" fillId="12" borderId="39" xfId="0" applyFont="1" applyFill="1" applyBorder="1" applyAlignment="1">
      <alignment horizontal="center"/>
    </xf>
    <xf numFmtId="0" fontId="9" fillId="12" borderId="25" xfId="0" applyFont="1" applyFill="1" applyBorder="1" applyAlignment="1">
      <alignment horizontal="center"/>
    </xf>
    <xf numFmtId="165" fontId="7" fillId="0" borderId="52" xfId="0" applyNumberFormat="1" applyFont="1" applyBorder="1" applyAlignment="1">
      <alignment horizontal="right"/>
    </xf>
    <xf numFmtId="165" fontId="7" fillId="0" borderId="53" xfId="0" applyNumberFormat="1" applyFont="1" applyBorder="1" applyAlignment="1">
      <alignment horizontal="right"/>
    </xf>
    <xf numFmtId="0" fontId="19" fillId="0" borderId="4" xfId="0" applyFont="1" applyBorder="1"/>
    <xf numFmtId="0" fontId="7" fillId="2" borderId="8" xfId="0" applyFont="1" applyFill="1" applyBorder="1"/>
    <xf numFmtId="165" fontId="5" fillId="2" borderId="8" xfId="0" applyNumberFormat="1" applyFont="1" applyFill="1" applyBorder="1"/>
    <xf numFmtId="165" fontId="8" fillId="0" borderId="7" xfId="0" applyNumberFormat="1" applyFont="1" applyBorder="1"/>
    <xf numFmtId="16" fontId="5" fillId="0" borderId="6" xfId="0" applyNumberFormat="1" applyFont="1" applyBorder="1"/>
    <xf numFmtId="0" fontId="24" fillId="4" borderId="41" xfId="0" applyFont="1" applyFill="1" applyBorder="1"/>
    <xf numFmtId="0" fontId="24" fillId="4" borderId="0" xfId="0" applyFont="1" applyFill="1"/>
    <xf numFmtId="171" fontId="5" fillId="12" borderId="40" xfId="0" applyNumberFormat="1" applyFont="1" applyFill="1" applyBorder="1"/>
    <xf numFmtId="0" fontId="7" fillId="12" borderId="0" xfId="0" applyFont="1" applyFill="1" applyAlignment="1">
      <alignment horizontal="center"/>
    </xf>
    <xf numFmtId="165" fontId="6" fillId="0" borderId="26" xfId="0" applyNumberFormat="1" applyFont="1" applyBorder="1"/>
    <xf numFmtId="9" fontId="11" fillId="0" borderId="6" xfId="0" applyNumberFormat="1" applyFont="1" applyBorder="1"/>
    <xf numFmtId="167" fontId="9" fillId="0" borderId="0" xfId="0" applyNumberFormat="1" applyFont="1" applyAlignment="1">
      <alignment horizontal="center"/>
    </xf>
    <xf numFmtId="0" fontId="9" fillId="12" borderId="0" xfId="0" applyFont="1" applyFill="1" applyAlignment="1">
      <alignment horizontal="center"/>
    </xf>
    <xf numFmtId="0" fontId="9" fillId="12" borderId="33" xfId="0" applyFont="1" applyFill="1" applyBorder="1" applyAlignment="1">
      <alignment horizontal="center"/>
    </xf>
    <xf numFmtId="0" fontId="24" fillId="12" borderId="0" xfId="0" applyFont="1" applyFill="1"/>
    <xf numFmtId="165" fontId="11" fillId="11" borderId="0" xfId="0" applyNumberFormat="1" applyFont="1" applyFill="1" applyAlignment="1">
      <alignment horizontal="right"/>
    </xf>
    <xf numFmtId="165" fontId="11" fillId="0" borderId="0" xfId="0" applyNumberFormat="1" applyFont="1" applyAlignment="1">
      <alignment horizontal="right"/>
    </xf>
    <xf numFmtId="8" fontId="5" fillId="12" borderId="39" xfId="0" applyNumberFormat="1" applyFont="1" applyFill="1" applyBorder="1"/>
    <xf numFmtId="0" fontId="3" fillId="0" borderId="39" xfId="0" applyFont="1" applyBorder="1" applyAlignment="1">
      <alignment horizontal="right"/>
    </xf>
    <xf numFmtId="167" fontId="11" fillId="0" borderId="0" xfId="0" applyNumberFormat="1" applyFont="1" applyAlignment="1">
      <alignment horizontal="left"/>
    </xf>
    <xf numFmtId="0" fontId="5" fillId="4" borderId="39" xfId="0" applyFont="1" applyFill="1" applyBorder="1"/>
    <xf numFmtId="0" fontId="11" fillId="4" borderId="39" xfId="0" applyFont="1" applyFill="1" applyBorder="1"/>
    <xf numFmtId="0" fontId="3" fillId="4" borderId="0" xfId="0" applyFont="1" applyFill="1"/>
    <xf numFmtId="0" fontId="4" fillId="0" borderId="0" xfId="0" applyFont="1"/>
    <xf numFmtId="167" fontId="8" fillId="0" borderId="0" xfId="0" applyNumberFormat="1" applyFont="1"/>
    <xf numFmtId="165" fontId="36" fillId="0" borderId="26" xfId="0" applyNumberFormat="1" applyFont="1" applyBorder="1"/>
    <xf numFmtId="165" fontId="36" fillId="0" borderId="26" xfId="0" applyNumberFormat="1" applyFont="1" applyBorder="1" applyAlignment="1">
      <alignment horizontal="right"/>
    </xf>
    <xf numFmtId="9" fontId="5" fillId="0" borderId="0" xfId="0" applyNumberFormat="1" applyFont="1" applyAlignment="1">
      <alignment horizontal="right"/>
    </xf>
    <xf numFmtId="170" fontId="9" fillId="0" borderId="0" xfId="0" applyNumberFormat="1" applyFont="1"/>
    <xf numFmtId="171" fontId="9" fillId="0" borderId="40" xfId="0" applyNumberFormat="1" applyFont="1" applyBorder="1"/>
    <xf numFmtId="165" fontId="7" fillId="12" borderId="25" xfId="0" applyNumberFormat="1" applyFont="1" applyFill="1" applyBorder="1" applyAlignment="1">
      <alignment horizontal="right"/>
    </xf>
    <xf numFmtId="171" fontId="5" fillId="12" borderId="38" xfId="0" applyNumberFormat="1" applyFont="1" applyFill="1" applyBorder="1"/>
    <xf numFmtId="166" fontId="6" fillId="0" borderId="14" xfId="0" applyNumberFormat="1" applyFont="1" applyBorder="1"/>
    <xf numFmtId="0" fontId="6" fillId="0" borderId="30" xfId="0" applyFont="1" applyBorder="1"/>
    <xf numFmtId="0" fontId="7" fillId="3" borderId="12" xfId="0" applyFont="1" applyFill="1" applyBorder="1" applyAlignment="1">
      <alignment horizontal="left" wrapText="1"/>
    </xf>
    <xf numFmtId="0" fontId="7" fillId="3" borderId="13" xfId="0" applyFont="1" applyFill="1" applyBorder="1" applyAlignment="1">
      <alignment horizontal="left" wrapText="1"/>
    </xf>
    <xf numFmtId="0" fontId="7" fillId="3" borderId="14" xfId="0" applyFont="1" applyFill="1" applyBorder="1" applyAlignment="1">
      <alignment horizontal="left" wrapText="1"/>
    </xf>
    <xf numFmtId="167" fontId="9" fillId="4" borderId="4" xfId="0" applyNumberFormat="1" applyFont="1" applyFill="1" applyBorder="1" applyAlignment="1">
      <alignment horizontal="center" wrapText="1"/>
    </xf>
    <xf numFmtId="0" fontId="11" fillId="0" borderId="4" xfId="0" applyFont="1" applyBorder="1" applyAlignment="1">
      <alignment horizontal="center" wrapText="1"/>
    </xf>
    <xf numFmtId="0" fontId="11" fillId="0" borderId="0" xfId="0" applyFont="1" applyAlignment="1">
      <alignment horizontal="center" wrapText="1"/>
    </xf>
    <xf numFmtId="0" fontId="11" fillId="0" borderId="6" xfId="0" applyFont="1" applyBorder="1" applyAlignment="1">
      <alignment horizontal="center" wrapText="1"/>
    </xf>
    <xf numFmtId="167" fontId="9" fillId="0" borderId="4" xfId="0" applyNumberFormat="1" applyFont="1" applyBorder="1" applyAlignment="1">
      <alignment horizont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6</xdr:row>
      <xdr:rowOff>0</xdr:rowOff>
    </xdr:from>
    <xdr:to>
      <xdr:col>23</xdr:col>
      <xdr:colOff>19050</xdr:colOff>
      <xdr:row>11</xdr:row>
      <xdr:rowOff>47625</xdr:rowOff>
    </xdr:to>
    <xdr:pic>
      <xdr:nvPicPr>
        <xdr:cNvPr id="2" name="Picture 1">
          <a:extLst>
            <a:ext uri="{FF2B5EF4-FFF2-40B4-BE49-F238E27FC236}">
              <a16:creationId xmlns:a16="http://schemas.microsoft.com/office/drawing/2014/main" id="{84CFFB58-74AF-0C4A-7377-4BBC7F499283}"/>
            </a:ext>
          </a:extLst>
        </xdr:cNvPr>
        <xdr:cNvPicPr>
          <a:picLocks noChangeAspect="1"/>
        </xdr:cNvPicPr>
      </xdr:nvPicPr>
      <xdr:blipFill>
        <a:blip xmlns:r="http://schemas.openxmlformats.org/officeDocument/2006/relationships" r:embed="rId1"/>
        <a:stretch>
          <a:fillRect/>
        </a:stretch>
      </xdr:blipFill>
      <xdr:spPr>
        <a:xfrm>
          <a:off x="14325600" y="1143000"/>
          <a:ext cx="4572000" cy="1000125"/>
        </a:xfrm>
        <a:prstGeom prst="rect">
          <a:avLst/>
        </a:prstGeom>
      </xdr:spPr>
    </xdr:pic>
    <xdr:clientData/>
  </xdr:twoCellAnchor>
  <xdr:twoCellAnchor editAs="oneCell">
    <xdr:from>
      <xdr:col>17</xdr:col>
      <xdr:colOff>0</xdr:colOff>
      <xdr:row>30</xdr:row>
      <xdr:rowOff>0</xdr:rowOff>
    </xdr:from>
    <xdr:to>
      <xdr:col>23</xdr:col>
      <xdr:colOff>19050</xdr:colOff>
      <xdr:row>36</xdr:row>
      <xdr:rowOff>38100</xdr:rowOff>
    </xdr:to>
    <xdr:pic>
      <xdr:nvPicPr>
        <xdr:cNvPr id="3" name="Picture 2">
          <a:extLst>
            <a:ext uri="{FF2B5EF4-FFF2-40B4-BE49-F238E27FC236}">
              <a16:creationId xmlns:a16="http://schemas.microsoft.com/office/drawing/2014/main" id="{026854ED-C0F0-BC04-F57B-BE8A98CE1AB1}"/>
            </a:ext>
            <a:ext uri="{147F2762-F138-4A5C-976F-8EAC2B608ADB}">
              <a16:predDERef xmlns:a16="http://schemas.microsoft.com/office/drawing/2014/main" pred="{84CFFB58-74AF-0C4A-7377-4BBC7F499283}"/>
            </a:ext>
          </a:extLst>
        </xdr:cNvPr>
        <xdr:cNvPicPr>
          <a:picLocks noChangeAspect="1"/>
        </xdr:cNvPicPr>
      </xdr:nvPicPr>
      <xdr:blipFill>
        <a:blip xmlns:r="http://schemas.openxmlformats.org/officeDocument/2006/relationships" r:embed="rId2"/>
        <a:stretch>
          <a:fillRect/>
        </a:stretch>
      </xdr:blipFill>
      <xdr:spPr>
        <a:xfrm>
          <a:off x="14325600" y="5715000"/>
          <a:ext cx="4572000" cy="1181100"/>
        </a:xfrm>
        <a:prstGeom prst="rect">
          <a:avLst/>
        </a:prstGeom>
      </xdr:spPr>
    </xdr:pic>
    <xdr:clientData/>
  </xdr:twoCellAnchor>
  <xdr:twoCellAnchor editAs="oneCell">
    <xdr:from>
      <xdr:col>18</xdr:col>
      <xdr:colOff>0</xdr:colOff>
      <xdr:row>54</xdr:row>
      <xdr:rowOff>0</xdr:rowOff>
    </xdr:from>
    <xdr:to>
      <xdr:col>24</xdr:col>
      <xdr:colOff>66675</xdr:colOff>
      <xdr:row>59</xdr:row>
      <xdr:rowOff>123825</xdr:rowOff>
    </xdr:to>
    <xdr:pic>
      <xdr:nvPicPr>
        <xdr:cNvPr id="4" name="Picture 3">
          <a:extLst>
            <a:ext uri="{FF2B5EF4-FFF2-40B4-BE49-F238E27FC236}">
              <a16:creationId xmlns:a16="http://schemas.microsoft.com/office/drawing/2014/main" id="{D7B10A8E-B0CF-AAC6-CE3F-F036DF1BC3A5}"/>
            </a:ext>
            <a:ext uri="{147F2762-F138-4A5C-976F-8EAC2B608ADB}">
              <a16:predDERef xmlns:a16="http://schemas.microsoft.com/office/drawing/2014/main" pred="{026854ED-C0F0-BC04-F57B-BE8A98CE1AB1}"/>
            </a:ext>
          </a:extLst>
        </xdr:cNvPr>
        <xdr:cNvPicPr>
          <a:picLocks noChangeAspect="1"/>
        </xdr:cNvPicPr>
      </xdr:nvPicPr>
      <xdr:blipFill>
        <a:blip xmlns:r="http://schemas.openxmlformats.org/officeDocument/2006/relationships" r:embed="rId3"/>
        <a:stretch>
          <a:fillRect/>
        </a:stretch>
      </xdr:blipFill>
      <xdr:spPr>
        <a:xfrm>
          <a:off x="15506700" y="10287000"/>
          <a:ext cx="4572000" cy="1076325"/>
        </a:xfrm>
        <a:prstGeom prst="rect">
          <a:avLst/>
        </a:prstGeom>
      </xdr:spPr>
    </xdr:pic>
    <xdr:clientData/>
  </xdr:twoCellAnchor>
  <xdr:twoCellAnchor editAs="oneCell">
    <xdr:from>
      <xdr:col>18</xdr:col>
      <xdr:colOff>0</xdr:colOff>
      <xdr:row>109</xdr:row>
      <xdr:rowOff>0</xdr:rowOff>
    </xdr:from>
    <xdr:to>
      <xdr:col>24</xdr:col>
      <xdr:colOff>66675</xdr:colOff>
      <xdr:row>116</xdr:row>
      <xdr:rowOff>19050</xdr:rowOff>
    </xdr:to>
    <xdr:pic>
      <xdr:nvPicPr>
        <xdr:cNvPr id="5" name="Picture 4">
          <a:extLst>
            <a:ext uri="{FF2B5EF4-FFF2-40B4-BE49-F238E27FC236}">
              <a16:creationId xmlns:a16="http://schemas.microsoft.com/office/drawing/2014/main" id="{DEE91E87-C658-8D74-053D-E879923D977B}"/>
            </a:ext>
            <a:ext uri="{147F2762-F138-4A5C-976F-8EAC2B608ADB}">
              <a16:predDERef xmlns:a16="http://schemas.microsoft.com/office/drawing/2014/main" pred="{D7B10A8E-B0CF-AAC6-CE3F-F036DF1BC3A5}"/>
            </a:ext>
          </a:extLst>
        </xdr:cNvPr>
        <xdr:cNvPicPr>
          <a:picLocks noChangeAspect="1"/>
        </xdr:cNvPicPr>
      </xdr:nvPicPr>
      <xdr:blipFill>
        <a:blip xmlns:r="http://schemas.openxmlformats.org/officeDocument/2006/relationships" r:embed="rId4"/>
        <a:stretch>
          <a:fillRect/>
        </a:stretch>
      </xdr:blipFill>
      <xdr:spPr>
        <a:xfrm>
          <a:off x="15697200" y="20764500"/>
          <a:ext cx="4572000" cy="1352550"/>
        </a:xfrm>
        <a:prstGeom prst="rect">
          <a:avLst/>
        </a:prstGeom>
      </xdr:spPr>
    </xdr:pic>
    <xdr:clientData/>
  </xdr:twoCellAnchor>
  <xdr:twoCellAnchor editAs="oneCell">
    <xdr:from>
      <xdr:col>17</xdr:col>
      <xdr:colOff>981075</xdr:colOff>
      <xdr:row>68</xdr:row>
      <xdr:rowOff>66675</xdr:rowOff>
    </xdr:from>
    <xdr:to>
      <xdr:col>24</xdr:col>
      <xdr:colOff>47625</xdr:colOff>
      <xdr:row>78</xdr:row>
      <xdr:rowOff>0</xdr:rowOff>
    </xdr:to>
    <xdr:pic>
      <xdr:nvPicPr>
        <xdr:cNvPr id="7" name="shape">
          <a:extLst>
            <a:ext uri="{FF2B5EF4-FFF2-40B4-BE49-F238E27FC236}">
              <a16:creationId xmlns:a16="http://schemas.microsoft.com/office/drawing/2014/main" id="{D8AA349B-81E2-D2DE-FADE-4486FD18C9A0}"/>
            </a:ext>
            <a:ext uri="{147F2762-F138-4A5C-976F-8EAC2B608ADB}">
              <a16:predDERef xmlns:a16="http://schemas.microsoft.com/office/drawing/2014/main" pred="{DEE91E87-C658-8D74-053D-E879923D977B}"/>
            </a:ext>
          </a:extLst>
        </xdr:cNvPr>
        <xdr:cNvPicPr>
          <a:picLocks noChangeAspect="1"/>
        </xdr:cNvPicPr>
      </xdr:nvPicPr>
      <xdr:blipFill>
        <a:blip xmlns:r="http://schemas.openxmlformats.org/officeDocument/2006/relationships" r:embed="rId5"/>
        <a:stretch>
          <a:fillRect/>
        </a:stretch>
      </xdr:blipFill>
      <xdr:spPr>
        <a:xfrm>
          <a:off x="15678150" y="13020675"/>
          <a:ext cx="4572000" cy="1838325"/>
        </a:xfrm>
        <a:prstGeom prst="rect">
          <a:avLst/>
        </a:prstGeom>
      </xdr:spPr>
    </xdr:pic>
    <xdr:clientData/>
  </xdr:twoCellAnchor>
  <xdr:twoCellAnchor editAs="oneCell">
    <xdr:from>
      <xdr:col>18</xdr:col>
      <xdr:colOff>0</xdr:colOff>
      <xdr:row>143</xdr:row>
      <xdr:rowOff>0</xdr:rowOff>
    </xdr:from>
    <xdr:to>
      <xdr:col>24</xdr:col>
      <xdr:colOff>66675</xdr:colOff>
      <xdr:row>149</xdr:row>
      <xdr:rowOff>95250</xdr:rowOff>
    </xdr:to>
    <xdr:pic>
      <xdr:nvPicPr>
        <xdr:cNvPr id="6" name="Picture 5">
          <a:extLst>
            <a:ext uri="{FF2B5EF4-FFF2-40B4-BE49-F238E27FC236}">
              <a16:creationId xmlns:a16="http://schemas.microsoft.com/office/drawing/2014/main" id="{4B4FCD77-AE1E-3A11-0EB2-968554DB13CB}"/>
            </a:ext>
            <a:ext uri="{147F2762-F138-4A5C-976F-8EAC2B608ADB}">
              <a16:predDERef xmlns:a16="http://schemas.microsoft.com/office/drawing/2014/main" pred="{D8AA349B-81E2-D2DE-FADE-4486FD18C9A0}"/>
            </a:ext>
          </a:extLst>
        </xdr:cNvPr>
        <xdr:cNvPicPr>
          <a:picLocks noChangeAspect="1"/>
        </xdr:cNvPicPr>
      </xdr:nvPicPr>
      <xdr:blipFill>
        <a:blip xmlns:r="http://schemas.openxmlformats.org/officeDocument/2006/relationships" r:embed="rId6"/>
        <a:stretch>
          <a:fillRect/>
        </a:stretch>
      </xdr:blipFill>
      <xdr:spPr>
        <a:xfrm>
          <a:off x="15821025" y="27241500"/>
          <a:ext cx="4572000" cy="1238250"/>
        </a:xfrm>
        <a:prstGeom prst="rect">
          <a:avLst/>
        </a:prstGeom>
      </xdr:spPr>
    </xdr:pic>
    <xdr:clientData/>
  </xdr:twoCellAnchor>
  <xdr:twoCellAnchor editAs="oneCell">
    <xdr:from>
      <xdr:col>18</xdr:col>
      <xdr:colOff>571500</xdr:colOff>
      <xdr:row>169</xdr:row>
      <xdr:rowOff>123825</xdr:rowOff>
    </xdr:from>
    <xdr:to>
      <xdr:col>24</xdr:col>
      <xdr:colOff>638175</xdr:colOff>
      <xdr:row>178</xdr:row>
      <xdr:rowOff>133350</xdr:rowOff>
    </xdr:to>
    <xdr:pic>
      <xdr:nvPicPr>
        <xdr:cNvPr id="8" name="Picture 7">
          <a:extLst>
            <a:ext uri="{FF2B5EF4-FFF2-40B4-BE49-F238E27FC236}">
              <a16:creationId xmlns:a16="http://schemas.microsoft.com/office/drawing/2014/main" id="{6F4A4A01-AA40-F54D-CB7C-093AE2AF101F}"/>
            </a:ext>
            <a:ext uri="{147F2762-F138-4A5C-976F-8EAC2B608ADB}">
              <a16:predDERef xmlns:a16="http://schemas.microsoft.com/office/drawing/2014/main" pred="{4B4FCD77-AE1E-3A11-0EB2-968554DB13CB}"/>
            </a:ext>
          </a:extLst>
        </xdr:cNvPr>
        <xdr:cNvPicPr>
          <a:picLocks noChangeAspect="1"/>
        </xdr:cNvPicPr>
      </xdr:nvPicPr>
      <xdr:blipFill>
        <a:blip xmlns:r="http://schemas.openxmlformats.org/officeDocument/2006/relationships" r:embed="rId7"/>
        <a:stretch>
          <a:fillRect/>
        </a:stretch>
      </xdr:blipFill>
      <xdr:spPr>
        <a:xfrm>
          <a:off x="16392525" y="32318325"/>
          <a:ext cx="4572000" cy="1724025"/>
        </a:xfrm>
        <a:prstGeom prst="rect">
          <a:avLst/>
        </a:prstGeom>
      </xdr:spPr>
    </xdr:pic>
    <xdr:clientData/>
  </xdr:twoCellAnchor>
  <xdr:twoCellAnchor editAs="oneCell">
    <xdr:from>
      <xdr:col>18</xdr:col>
      <xdr:colOff>0</xdr:colOff>
      <xdr:row>202</xdr:row>
      <xdr:rowOff>0</xdr:rowOff>
    </xdr:from>
    <xdr:to>
      <xdr:col>24</xdr:col>
      <xdr:colOff>66675</xdr:colOff>
      <xdr:row>211</xdr:row>
      <xdr:rowOff>85725</xdr:rowOff>
    </xdr:to>
    <xdr:pic>
      <xdr:nvPicPr>
        <xdr:cNvPr id="9" name="Picture 8">
          <a:extLst>
            <a:ext uri="{FF2B5EF4-FFF2-40B4-BE49-F238E27FC236}">
              <a16:creationId xmlns:a16="http://schemas.microsoft.com/office/drawing/2014/main" id="{7F0B1643-C111-7C63-085B-A126BE2CEBCD}"/>
            </a:ext>
            <a:ext uri="{147F2762-F138-4A5C-976F-8EAC2B608ADB}">
              <a16:predDERef xmlns:a16="http://schemas.microsoft.com/office/drawing/2014/main" pred="{6F4A4A01-AA40-F54D-CB7C-093AE2AF101F}"/>
            </a:ext>
          </a:extLst>
        </xdr:cNvPr>
        <xdr:cNvPicPr>
          <a:picLocks noChangeAspect="1"/>
        </xdr:cNvPicPr>
      </xdr:nvPicPr>
      <xdr:blipFill>
        <a:blip xmlns:r="http://schemas.openxmlformats.org/officeDocument/2006/relationships" r:embed="rId8"/>
        <a:stretch>
          <a:fillRect/>
        </a:stretch>
      </xdr:blipFill>
      <xdr:spPr>
        <a:xfrm>
          <a:off x="15935325" y="38481000"/>
          <a:ext cx="4572000" cy="1800225"/>
        </a:xfrm>
        <a:prstGeom prst="rect">
          <a:avLst/>
        </a:prstGeom>
      </xdr:spPr>
    </xdr:pic>
    <xdr:clientData/>
  </xdr:twoCellAnchor>
  <xdr:twoCellAnchor editAs="oneCell">
    <xdr:from>
      <xdr:col>18</xdr:col>
      <xdr:colOff>0</xdr:colOff>
      <xdr:row>230</xdr:row>
      <xdr:rowOff>0</xdr:rowOff>
    </xdr:from>
    <xdr:to>
      <xdr:col>24</xdr:col>
      <xdr:colOff>66675</xdr:colOff>
      <xdr:row>245</xdr:row>
      <xdr:rowOff>171450</xdr:rowOff>
    </xdr:to>
    <xdr:pic>
      <xdr:nvPicPr>
        <xdr:cNvPr id="10" name="Picture 9">
          <a:extLst>
            <a:ext uri="{FF2B5EF4-FFF2-40B4-BE49-F238E27FC236}">
              <a16:creationId xmlns:a16="http://schemas.microsoft.com/office/drawing/2014/main" id="{6E018A2B-4CD8-E61F-B8E8-71F4EDA60135}"/>
            </a:ext>
            <a:ext uri="{147F2762-F138-4A5C-976F-8EAC2B608ADB}">
              <a16:predDERef xmlns:a16="http://schemas.microsoft.com/office/drawing/2014/main" pred="{7F0B1643-C111-7C63-085B-A126BE2CEBCD}"/>
            </a:ext>
          </a:extLst>
        </xdr:cNvPr>
        <xdr:cNvPicPr>
          <a:picLocks noChangeAspect="1"/>
        </xdr:cNvPicPr>
      </xdr:nvPicPr>
      <xdr:blipFill>
        <a:blip xmlns:r="http://schemas.openxmlformats.org/officeDocument/2006/relationships" r:embed="rId9"/>
        <a:stretch>
          <a:fillRect/>
        </a:stretch>
      </xdr:blipFill>
      <xdr:spPr>
        <a:xfrm>
          <a:off x="15935325" y="43815000"/>
          <a:ext cx="4572000" cy="3028950"/>
        </a:xfrm>
        <a:prstGeom prst="rect">
          <a:avLst/>
        </a:prstGeom>
      </xdr:spPr>
    </xdr:pic>
    <xdr:clientData/>
  </xdr:twoCellAnchor>
  <xdr:twoCellAnchor editAs="oneCell">
    <xdr:from>
      <xdr:col>18</xdr:col>
      <xdr:colOff>0</xdr:colOff>
      <xdr:row>260</xdr:row>
      <xdr:rowOff>0</xdr:rowOff>
    </xdr:from>
    <xdr:to>
      <xdr:col>24</xdr:col>
      <xdr:colOff>66675</xdr:colOff>
      <xdr:row>270</xdr:row>
      <xdr:rowOff>0</xdr:rowOff>
    </xdr:to>
    <xdr:pic>
      <xdr:nvPicPr>
        <xdr:cNvPr id="11" name="Picture 10">
          <a:extLst>
            <a:ext uri="{FF2B5EF4-FFF2-40B4-BE49-F238E27FC236}">
              <a16:creationId xmlns:a16="http://schemas.microsoft.com/office/drawing/2014/main" id="{08A633B9-48A7-63CA-D327-CE376C42E695}"/>
            </a:ext>
            <a:ext uri="{147F2762-F138-4A5C-976F-8EAC2B608ADB}">
              <a16:predDERef xmlns:a16="http://schemas.microsoft.com/office/drawing/2014/main" pred="{6E018A2B-4CD8-E61F-B8E8-71F4EDA60135}"/>
            </a:ext>
          </a:extLst>
        </xdr:cNvPr>
        <xdr:cNvPicPr>
          <a:picLocks noChangeAspect="1"/>
        </xdr:cNvPicPr>
      </xdr:nvPicPr>
      <xdr:blipFill>
        <a:blip xmlns:r="http://schemas.openxmlformats.org/officeDocument/2006/relationships" r:embed="rId10"/>
        <a:stretch>
          <a:fillRect/>
        </a:stretch>
      </xdr:blipFill>
      <xdr:spPr>
        <a:xfrm>
          <a:off x="15935325" y="49530000"/>
          <a:ext cx="4572000" cy="1924050"/>
        </a:xfrm>
        <a:prstGeom prst="rect">
          <a:avLst/>
        </a:prstGeom>
      </xdr:spPr>
    </xdr:pic>
    <xdr:clientData/>
  </xdr:twoCellAnchor>
  <xdr:twoCellAnchor editAs="oneCell">
    <xdr:from>
      <xdr:col>18</xdr:col>
      <xdr:colOff>0</xdr:colOff>
      <xdr:row>376</xdr:row>
      <xdr:rowOff>0</xdr:rowOff>
    </xdr:from>
    <xdr:to>
      <xdr:col>24</xdr:col>
      <xdr:colOff>66675</xdr:colOff>
      <xdr:row>387</xdr:row>
      <xdr:rowOff>9525</xdr:rowOff>
    </xdr:to>
    <xdr:pic>
      <xdr:nvPicPr>
        <xdr:cNvPr id="12" name="Picture 11">
          <a:extLst>
            <a:ext uri="{FF2B5EF4-FFF2-40B4-BE49-F238E27FC236}">
              <a16:creationId xmlns:a16="http://schemas.microsoft.com/office/drawing/2014/main" id="{4DFBA4E6-DE3E-098B-1C83-4037BCF57CF5}"/>
            </a:ext>
            <a:ext uri="{147F2762-F138-4A5C-976F-8EAC2B608ADB}">
              <a16:predDERef xmlns:a16="http://schemas.microsoft.com/office/drawing/2014/main" pred="{08A633B9-48A7-63CA-D327-CE376C42E695}"/>
            </a:ext>
          </a:extLst>
        </xdr:cNvPr>
        <xdr:cNvPicPr>
          <a:picLocks noChangeAspect="1"/>
        </xdr:cNvPicPr>
      </xdr:nvPicPr>
      <xdr:blipFill>
        <a:blip xmlns:r="http://schemas.openxmlformats.org/officeDocument/2006/relationships" r:embed="rId11"/>
        <a:stretch>
          <a:fillRect/>
        </a:stretch>
      </xdr:blipFill>
      <xdr:spPr>
        <a:xfrm>
          <a:off x="15982950" y="71675625"/>
          <a:ext cx="4572000" cy="2105025"/>
        </a:xfrm>
        <a:prstGeom prst="rect">
          <a:avLst/>
        </a:prstGeom>
      </xdr:spPr>
    </xdr:pic>
    <xdr:clientData/>
  </xdr:twoCellAnchor>
  <xdr:twoCellAnchor editAs="oneCell">
    <xdr:from>
      <xdr:col>18</xdr:col>
      <xdr:colOff>0</xdr:colOff>
      <xdr:row>409</xdr:row>
      <xdr:rowOff>0</xdr:rowOff>
    </xdr:from>
    <xdr:to>
      <xdr:col>24</xdr:col>
      <xdr:colOff>66675</xdr:colOff>
      <xdr:row>420</xdr:row>
      <xdr:rowOff>180975</xdr:rowOff>
    </xdr:to>
    <xdr:pic>
      <xdr:nvPicPr>
        <xdr:cNvPr id="13" name="Picture 12">
          <a:extLst>
            <a:ext uri="{FF2B5EF4-FFF2-40B4-BE49-F238E27FC236}">
              <a16:creationId xmlns:a16="http://schemas.microsoft.com/office/drawing/2014/main" id="{2614A569-1380-17A4-0E11-D406907B4C06}"/>
            </a:ext>
            <a:ext uri="{147F2762-F138-4A5C-976F-8EAC2B608ADB}">
              <a16:predDERef xmlns:a16="http://schemas.microsoft.com/office/drawing/2014/main" pred="{4DFBA4E6-DE3E-098B-1C83-4037BCF57CF5}"/>
            </a:ext>
          </a:extLst>
        </xdr:cNvPr>
        <xdr:cNvPicPr>
          <a:picLocks noChangeAspect="1"/>
        </xdr:cNvPicPr>
      </xdr:nvPicPr>
      <xdr:blipFill>
        <a:blip xmlns:r="http://schemas.openxmlformats.org/officeDocument/2006/relationships" r:embed="rId12"/>
        <a:stretch>
          <a:fillRect/>
        </a:stretch>
      </xdr:blipFill>
      <xdr:spPr>
        <a:xfrm>
          <a:off x="15982950" y="77962125"/>
          <a:ext cx="4572000" cy="2276475"/>
        </a:xfrm>
        <a:prstGeom prst="rect">
          <a:avLst/>
        </a:prstGeom>
      </xdr:spPr>
    </xdr:pic>
    <xdr:clientData/>
  </xdr:twoCellAnchor>
  <xdr:twoCellAnchor editAs="oneCell">
    <xdr:from>
      <xdr:col>18</xdr:col>
      <xdr:colOff>0</xdr:colOff>
      <xdr:row>446</xdr:row>
      <xdr:rowOff>0</xdr:rowOff>
    </xdr:from>
    <xdr:to>
      <xdr:col>24</xdr:col>
      <xdr:colOff>66675</xdr:colOff>
      <xdr:row>456</xdr:row>
      <xdr:rowOff>38100</xdr:rowOff>
    </xdr:to>
    <xdr:pic>
      <xdr:nvPicPr>
        <xdr:cNvPr id="16" name="Picture 15">
          <a:extLst>
            <a:ext uri="{FF2B5EF4-FFF2-40B4-BE49-F238E27FC236}">
              <a16:creationId xmlns:a16="http://schemas.microsoft.com/office/drawing/2014/main" id="{E7C727DC-D5E5-EAAC-D829-9FBA4334E9EC}"/>
            </a:ext>
            <a:ext uri="{147F2762-F138-4A5C-976F-8EAC2B608ADB}">
              <a16:predDERef xmlns:a16="http://schemas.microsoft.com/office/drawing/2014/main" pred="{2614A569-1380-17A4-0E11-D406907B4C06}"/>
            </a:ext>
          </a:extLst>
        </xdr:cNvPr>
        <xdr:cNvPicPr>
          <a:picLocks noChangeAspect="1"/>
        </xdr:cNvPicPr>
      </xdr:nvPicPr>
      <xdr:blipFill>
        <a:blip xmlns:r="http://schemas.openxmlformats.org/officeDocument/2006/relationships" r:embed="rId13"/>
        <a:stretch>
          <a:fillRect/>
        </a:stretch>
      </xdr:blipFill>
      <xdr:spPr>
        <a:xfrm>
          <a:off x="15982950" y="85010625"/>
          <a:ext cx="4572000" cy="1943100"/>
        </a:xfrm>
        <a:prstGeom prst="rect">
          <a:avLst/>
        </a:prstGeom>
      </xdr:spPr>
    </xdr:pic>
    <xdr:clientData/>
  </xdr:twoCellAnchor>
  <xdr:twoCellAnchor editAs="oneCell">
    <xdr:from>
      <xdr:col>18</xdr:col>
      <xdr:colOff>0</xdr:colOff>
      <xdr:row>477</xdr:row>
      <xdr:rowOff>0</xdr:rowOff>
    </xdr:from>
    <xdr:to>
      <xdr:col>24</xdr:col>
      <xdr:colOff>66675</xdr:colOff>
      <xdr:row>488</xdr:row>
      <xdr:rowOff>9525</xdr:rowOff>
    </xdr:to>
    <xdr:pic>
      <xdr:nvPicPr>
        <xdr:cNvPr id="14" name="Picture 13">
          <a:extLst>
            <a:ext uri="{FF2B5EF4-FFF2-40B4-BE49-F238E27FC236}">
              <a16:creationId xmlns:a16="http://schemas.microsoft.com/office/drawing/2014/main" id="{1D0A67CA-2C90-CA99-0B26-7CD59120F696}"/>
            </a:ext>
            <a:ext uri="{147F2762-F138-4A5C-976F-8EAC2B608ADB}">
              <a16:predDERef xmlns:a16="http://schemas.microsoft.com/office/drawing/2014/main" pred="{E7C727DC-D5E5-EAAC-D829-9FBA4334E9EC}"/>
            </a:ext>
          </a:extLst>
        </xdr:cNvPr>
        <xdr:cNvPicPr>
          <a:picLocks noChangeAspect="1"/>
        </xdr:cNvPicPr>
      </xdr:nvPicPr>
      <xdr:blipFill>
        <a:blip xmlns:r="http://schemas.openxmlformats.org/officeDocument/2006/relationships" r:embed="rId14"/>
        <a:stretch>
          <a:fillRect/>
        </a:stretch>
      </xdr:blipFill>
      <xdr:spPr>
        <a:xfrm>
          <a:off x="15982950" y="90916125"/>
          <a:ext cx="4572000" cy="2105025"/>
        </a:xfrm>
        <a:prstGeom prst="rect">
          <a:avLst/>
        </a:prstGeom>
      </xdr:spPr>
    </xdr:pic>
    <xdr:clientData/>
  </xdr:twoCellAnchor>
  <xdr:twoCellAnchor editAs="oneCell">
    <xdr:from>
      <xdr:col>18</xdr:col>
      <xdr:colOff>0</xdr:colOff>
      <xdr:row>502</xdr:row>
      <xdr:rowOff>0</xdr:rowOff>
    </xdr:from>
    <xdr:to>
      <xdr:col>25</xdr:col>
      <xdr:colOff>523875</xdr:colOff>
      <xdr:row>512</xdr:row>
      <xdr:rowOff>9525</xdr:rowOff>
    </xdr:to>
    <xdr:pic>
      <xdr:nvPicPr>
        <xdr:cNvPr id="15" name="Picture 14">
          <a:extLst>
            <a:ext uri="{FF2B5EF4-FFF2-40B4-BE49-F238E27FC236}">
              <a16:creationId xmlns:a16="http://schemas.microsoft.com/office/drawing/2014/main" id="{239E6FBB-6CE0-B93B-4660-042D88AD70E0}"/>
            </a:ext>
            <a:ext uri="{147F2762-F138-4A5C-976F-8EAC2B608ADB}">
              <a16:predDERef xmlns:a16="http://schemas.microsoft.com/office/drawing/2014/main" pred="{1D0A67CA-2C90-CA99-0B26-7CD59120F696}"/>
            </a:ext>
          </a:extLst>
        </xdr:cNvPr>
        <xdr:cNvPicPr>
          <a:picLocks noChangeAspect="1"/>
        </xdr:cNvPicPr>
      </xdr:nvPicPr>
      <xdr:blipFill>
        <a:blip xmlns:r="http://schemas.openxmlformats.org/officeDocument/2006/relationships" r:embed="rId15"/>
        <a:stretch>
          <a:fillRect/>
        </a:stretch>
      </xdr:blipFill>
      <xdr:spPr>
        <a:xfrm>
          <a:off x="15982950" y="95678625"/>
          <a:ext cx="6038850" cy="1914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390525</xdr:colOff>
      <xdr:row>481</xdr:row>
      <xdr:rowOff>180975</xdr:rowOff>
    </xdr:from>
    <xdr:to>
      <xdr:col>8</xdr:col>
      <xdr:colOff>38100</xdr:colOff>
      <xdr:row>485</xdr:row>
      <xdr:rowOff>171450</xdr:rowOff>
    </xdr:to>
    <xdr:sp macro="" textlink="">
      <xdr:nvSpPr>
        <xdr:cNvPr id="12289" name="Text Box 1" hidden="1">
          <a:extLst>
            <a:ext uri="{FF2B5EF4-FFF2-40B4-BE49-F238E27FC236}">
              <a16:creationId xmlns:a16="http://schemas.microsoft.com/office/drawing/2014/main" id="{AD560576-42D5-2CBB-FF5B-EAB90063FD5C}"/>
            </a:ext>
          </a:extLst>
        </xdr:cNvPr>
        <xdr:cNvSpPr txBox="1">
          <a:spLocks noChangeArrowheads="1"/>
        </xdr:cNvSpPr>
      </xdr:nvSpPr>
      <xdr:spPr bwMode="auto">
        <a:xfrm>
          <a:off x="6657975" y="91925775"/>
          <a:ext cx="1371600" cy="752475"/>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Accounts | Point Plumbing" id="{17076DA2-ED25-44EB-8064-7286FAB2C075}" userId="S::accounts@pointplumbing.com.au::b3d3d4fe-a9b5-4fc7-bfd9-012850312db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71" dT="2025-08-25T03:39:03.24" personId="{17076DA2-ED25-44EB-8064-7286FAB2C075}" id="{A7A2B1CC-6BE0-4236-827D-0345C2F1C44A}">
    <text>5% Comm'ns will be Paid Upon Achieving 1 x 5 Star Review</text>
  </threadedComment>
  <threadedComment ref="A108" dT="2025-08-25T03:39:03.24" personId="{17076DA2-ED25-44EB-8064-7286FAB2C075}" id="{2B8642B5-FBBD-4890-BC13-972E944AE51B}">
    <text>5% Comm'ns will be Paid Upon Achieving 1 x 5 Star Review</text>
  </threadedComment>
  <threadedComment ref="A145" dT="2025-08-25T03:39:03.24" personId="{17076DA2-ED25-44EB-8064-7286FAB2C075}" id="{8839E6DB-319C-44E6-9DCC-2FA3B3593C0E}">
    <text>5% Comm'ns will be Paid Upon Achieving 1 x 5 Star Review</text>
  </threadedComment>
</ThreadedComments>
</file>

<file path=xl/threadedComments/threadedComment2.xml><?xml version="1.0" encoding="utf-8"?>
<ThreadedComments xmlns="http://schemas.microsoft.com/office/spreadsheetml/2018/threadedcomments" xmlns:x="http://schemas.openxmlformats.org/spreadsheetml/2006/main">
  <threadedComment ref="E100" dT="2025-07-04T05:13:06.95" personId="{17076DA2-ED25-44EB-8064-7286FAB2C075}" id="{8E4CE7E1-9658-4A49-B84A-0DC045655901}">
    <text>Stock</text>
  </threadedComment>
  <threadedComment ref="E101" dT="2025-07-06T02:25:16.90" personId="{17076DA2-ED25-44EB-8064-7286FAB2C075}" id="{5AC5DCD8-56BE-43FF-98A7-ACA93440E9C5}">
    <text>Stock</text>
  </threadedComment>
  <threadedComment ref="E102" dT="2025-07-06T02:25:16.90" personId="{17076DA2-ED25-44EB-8064-7286FAB2C075}" id="{38181725-AF3D-4337-B92F-0F2AA1174FFC}">
    <text>Stock</text>
  </threadedComment>
  <threadedComment ref="E103" dT="2025-07-07T23:52:44.79" personId="{17076DA2-ED25-44EB-8064-7286FAB2C075}" id="{5A09E947-E726-4621-89C5-BEF237A79047}">
    <text>Stock</text>
  </threadedComment>
  <threadedComment ref="E202" dT="2025-07-11T06:24:53.73" personId="{17076DA2-ED25-44EB-8064-7286FAB2C075}" id="{CBFE5E57-749B-4024-8AE1-65DCC8A28D40}">
    <text>Stock</text>
  </threadedComment>
  <threadedComment ref="E203" dT="2025-07-11T06:25:19.65" personId="{17076DA2-ED25-44EB-8064-7286FAB2C075}" id="{DF06B6A1-54AD-46CF-86AF-2C7D6AC08B55}">
    <text>Unsuccessful Job</text>
  </threadedComment>
  <threadedComment ref="E204" dT="2025-07-11T06:25:32.23" personId="{17076DA2-ED25-44EB-8064-7286FAB2C075}" id="{46016688-55DE-41BA-868E-B9E54196D780}">
    <text>Stock</text>
  </threadedComment>
  <threadedComment ref="E205" dT="2025-07-11T06:25:32.23" personId="{17076DA2-ED25-44EB-8064-7286FAB2C075}" id="{976D6D49-CBFF-4E88-8A80-51554FF7487C}">
    <text>Checked</text>
  </threadedComment>
  <threadedComment ref="E310" dT="2025-07-16T23:46:21.41" personId="{17076DA2-ED25-44EB-8064-7286FAB2C075}" id="{9A4FBAF4-EA00-45E1-99A6-9DED79EE2887}">
    <text>Stock</text>
  </threadedComment>
  <threadedComment ref="E311" dT="2025-07-17T23:05:51.56" personId="{17076DA2-ED25-44EB-8064-7286FAB2C075}" id="{CE2AA2F6-0D50-43D1-BD4E-F25CB1F3A694}">
    <text>Stock</text>
  </threadedComment>
  <threadedComment ref="E312" dT="2025-07-21T05:19:25.96" personId="{17076DA2-ED25-44EB-8064-7286FAB2C075}" id="{2FE613BB-6D85-4155-A4D0-E796B9948C90}">
    <text>Checked</text>
  </threadedComment>
  <threadedComment ref="E397" dT="2025-07-23T23:05:20.79" personId="{17076DA2-ED25-44EB-8064-7286FAB2C075}" id="{AC0621FE-EBEB-44E7-9704-58B6AFFFD90D}">
    <text>Stock</text>
  </threadedComment>
  <threadedComment ref="E398" dT="2025-07-25T05:57:18.57" personId="{17076DA2-ED25-44EB-8064-7286FAB2C075}" id="{63E1D396-CFFA-4A6E-987A-7BFCC430128A}">
    <text>Stock</text>
  </threadedComment>
  <threadedComment ref="E472" dT="2025-07-30T21:37:19.80" personId="{17076DA2-ED25-44EB-8064-7286FAB2C075}" id="{5D4E7509-D202-42A5-97CA-9DEA1E961AB9}">
    <text>Stock</text>
  </threadedComment>
  <threadedComment ref="E473" dT="2025-08-01T00:30:59.96" personId="{17076DA2-ED25-44EB-8064-7286FAB2C075}" id="{C24CC012-2266-4C36-88E7-798676DDAFB7}">
    <text>Stock</text>
  </threadedComment>
  <threadedComment ref="E474" dT="2025-08-04T22:41:38.94" personId="{17076DA2-ED25-44EB-8064-7286FAB2C075}" id="{B447AD5C-095A-4794-BEA2-A63E34F5841B}">
    <text>Stock</text>
  </threadedComment>
  <threadedComment ref="E547" dT="2025-08-08T03:00:27.74" personId="{17076DA2-ED25-44EB-8064-7286FAB2C075}" id="{273E820C-40EA-42D2-B37C-D87A52B2B671}">
    <text>Checked</text>
  </threadedComment>
  <threadedComment ref="E548" dT="2025-08-11T22:24:04.88" personId="{17076DA2-ED25-44EB-8064-7286FAB2C075}" id="{6CCB0C55-A107-4FE3-A0D8-C961426E7F2D}">
    <text>Stock</text>
  </threadedComment>
  <threadedComment ref="E549" dT="2025-08-12T21:19:58.43" personId="{17076DA2-ED25-44EB-8064-7286FAB2C075}" id="{DEA5B9A6-9FB9-49D1-A859-25E89F224721}">
    <text>Stock</text>
  </threadedComment>
  <threadedComment ref="E550" dT="2025-08-12T21:21:16.51" personId="{17076DA2-ED25-44EB-8064-7286FAB2C075}" id="{FBEAA3CA-BFE9-4AFB-AB00-9BD4784C906B}">
    <text>Checked</text>
  </threadedComment>
  <threadedComment ref="G577" dT="2025-08-11T01:59:47.89" personId="{17076DA2-ED25-44EB-8064-7286FAB2C075}" id="{68BCF3A7-DF7D-46C7-B0A6-4ECBB1829968}">
    <text>SEARCH &amp; INVESTIGATION OF POTENTIAL GAS LEAK </text>
  </threadedComment>
  <threadedComment ref="G578" dT="2025-08-11T02:02:15.08" personId="{17076DA2-ED25-44EB-8064-7286FAB2C075}" id="{F59953B7-AFF7-40E3-8DB2-68A465B296E9}">
    <text>HIGH POWERED SUCTION PUMP &amp; ACID TREATMENT WITH CCTV DRAIN CAMERA INSPECTION</text>
  </threadedComment>
  <threadedComment ref="M578" dT="2025-08-11T02:04:44.48" personId="{17076DA2-ED25-44EB-8064-7286FAB2C075}" id="{8D88FAB7-552A-454B-9BE3-AC470655B998}">
    <text>Modoras Team to Upload POS Receipt for $205</text>
  </threadedComment>
  <threadedComment ref="G579" dT="2025-08-11T02:08:50.75" personId="{17076DA2-ED25-44EB-8064-7286FAB2C075}" id="{E62E6E9E-93F2-452D-B805-964D22DF0DF9}">
    <text>HIGH POWERED SUCTION &amp; ACID TREATMENT</text>
  </threadedComment>
  <threadedComment ref="M579" dT="2025-08-11T02:04:44.48" personId="{17076DA2-ED25-44EB-8064-7286FAB2C075}" id="{53B4FFC5-A97B-4DBF-98D9-0A9BFD3ABB7B}">
    <text>Modoras Team to Upload POS Receipt for $139</text>
  </threadedComment>
  <threadedComment ref="E645" dT="2025-08-17T02:39:10.59" personId="{17076DA2-ED25-44EB-8064-7286FAB2C075}" id="{D879292E-38E1-43DC-8904-1DC3B050577D}">
    <text>Checked</text>
  </threadedComment>
  <threadedComment ref="E646" dT="2025-08-18T04:28:01.68" personId="{17076DA2-ED25-44EB-8064-7286FAB2C075}" id="{3E7EF3C9-7E93-4B41-BB91-1783ECD96222}">
    <text>Stock</text>
  </threadedComment>
  <threadedComment ref="A677" dT="2025-08-18T05:19:41.39" personId="{17076DA2-ED25-44EB-8064-7286FAB2C075}" id="{E683C7B9-C72A-4AEA-B2DD-ECEFD78A8919}">
    <text>5% Comm'ns to be Paid Upon Achieving 5 x 5 Star Reviews</text>
  </threadedComment>
  <threadedComment ref="A747" dT="2025-08-18T05:19:41.39" personId="{17076DA2-ED25-44EB-8064-7286FAB2C075}" id="{76F2D728-7F82-4800-8C44-3EC51AA056FF}">
    <text>5% Comm'ns to be Paid Upon Achieving 5 x 5 Star Reviews</text>
  </threadedComment>
  <threadedComment ref="E805" dT="2025-08-27T21:14:53.21" personId="{17076DA2-ED25-44EB-8064-7286FAB2C075}" id="{00EE1AB2-D8C3-4D90-AAD9-6B6142E44098}">
    <text>Stock</text>
  </threadedComment>
  <threadedComment ref="E806" dT="2025-08-27T21:15:00.13" personId="{17076DA2-ED25-44EB-8064-7286FAB2C075}" id="{6454AB60-2133-4351-82C7-D8412951370D}">
    <text>Stock</text>
  </threadedComment>
  <threadedComment ref="E807" dT="2025-08-27T21:15:09.51" personId="{17076DA2-ED25-44EB-8064-7286FAB2C075}" id="{C5A75C61-D5A8-4E79-A612-0F4FBE7FF87A}">
    <text>Stock</text>
  </threadedComment>
  <threadedComment ref="E808" dT="2025-09-01T05:36:05.73" personId="{17076DA2-ED25-44EB-8064-7286FAB2C075}" id="{A18F2146-B8CD-47FB-BC65-F13775796A4F}">
    <text>Stock</text>
  </threadedComment>
  <threadedComment ref="A836" dT="2025-08-18T05:19:41.39" personId="{17076DA2-ED25-44EB-8064-7286FAB2C075}" id="{CF00CDE1-3789-436D-B406-4945514505C9}">
    <text>5% Comm'ns to be Paid Upon Achieving 5 x 5 Star Reviews</text>
  </threadedComment>
  <threadedComment ref="E873" dT="2025-08-14T00:50:07.06" personId="{17076DA2-ED25-44EB-8064-7286FAB2C075}" id="{593665AB-4F14-4DE2-8521-13ACB7428C26}">
    <text>5% Comm'ns to be Paid Upon Achieving 5 x 5 Star</text>
  </threadedComment>
  <threadedComment ref="E874" dT="2025-08-14T00:50:07.06" personId="{17076DA2-ED25-44EB-8064-7286FAB2C075}" id="{590871B3-E2DE-46BC-BB25-934C503F9806}">
    <text>5% Comm'ns to be Paid Upon Achieving 5 x 5 Star</text>
  </threadedComment>
  <threadedComment ref="E875" dT="2025-09-05T00:01:09.77" personId="{17076DA2-ED25-44EB-8064-7286FAB2C075}" id="{838CE3FB-69EF-404F-BEDE-C9DCBB2E07C6}">
    <text>Stock</text>
  </threadedComment>
  <threadedComment ref="E876" dT="2025-09-08T05:59:32.24" personId="{17076DA2-ED25-44EB-8064-7286FAB2C075}" id="{1C662504-2101-4E86-8B33-A68412191D98}">
    <text>Stock</text>
  </threadedComment>
  <threadedComment ref="E877" dT="2025-09-09T22:22:12.33" personId="{17076DA2-ED25-44EB-8064-7286FAB2C075}" id="{3994CF75-E292-45BE-90F7-B6E4BB9CD1F2}">
    <text>Stock</text>
  </threadedComment>
  <threadedComment ref="G891" dT="2025-09-09T03:19:53.30" personId="{17076DA2-ED25-44EB-8064-7286FAB2C075}" id="{F755DE35-3DFA-4EB4-80C2-3DC02140FF89}">
    <text>INSTALLATION OF NEW BIDET TOILET SEAT (CUSTOMER SUPPLIED</text>
  </threadedComment>
  <threadedComment ref="A913" dT="2025-09-09T02:14:19.50" personId="{17076DA2-ED25-44EB-8064-7286FAB2C075}" id="{572E9F36-BE05-47CB-BAD1-BB71D7027823}">
    <text>5% Comm'ns to be Paid Upon Achieving 5 x 5 Star Reviews</text>
  </threadedComment>
  <threadedComment ref="A914" dT="2025-08-18T05:19:41.39" personId="{17076DA2-ED25-44EB-8064-7286FAB2C075}" id="{BF7BB616-E19F-4491-8061-CDF4D30E4A16}">
    <text>5% Comm'ns to be Paid Upon Achieving 5 x 5 Star Reviews</text>
  </threadedComment>
  <threadedComment ref="A916" dT="2025-09-09T02:14:19.50" personId="{17076DA2-ED25-44EB-8064-7286FAB2C075}" id="{0311537A-9F02-44AD-9CA4-F226606385DD}">
    <text>5% Comm'ns to be Paid Upon Achieving 5 x 5 Star Reviews</text>
  </threadedComment>
  <threadedComment ref="A918" dT="2025-09-09T02:30:23.13" personId="{17076DA2-ED25-44EB-8064-7286FAB2C075}" id="{6072931B-3F68-41F4-95BE-6D5350029D6E}">
    <text>5% Comm'ns to be Paid Upon Achieving 5 x 5 Star Reviews</text>
  </threadedComment>
  <threadedComment ref="E960" dT="2025-08-25T04:40:00.34" personId="{17076DA2-ED25-44EB-8064-7286FAB2C075}" id="{8E91C694-A3BA-44B4-86D6-4015AB3F24CB}">
    <text>5% Comm'ns to be Paid Upon Achieving 5 x 5 Star</text>
  </threadedComment>
  <threadedComment ref="E961" dT="2025-09-01T05:48:13.60" personId="{17076DA2-ED25-44EB-8064-7286FAB2C075}" id="{3FCE686E-F6BF-40DD-B26D-647194CED1F2}">
    <text>5% Comm'ns to be Paid Upon Achieving 5 x 5 Star</text>
  </threadedComment>
  <threadedComment ref="A987" dT="2025-09-09T02:14:19.50" personId="{17076DA2-ED25-44EB-8064-7286FAB2C075}" id="{F3F81626-2E9F-4540-AC42-15676B40E369}">
    <text>5% Comm'ns to be Paid Upon Achieving 5 x 5 Star Reviews</text>
  </threadedComment>
  <threadedComment ref="A988" dT="2025-08-18T05:19:41.39" personId="{17076DA2-ED25-44EB-8064-7286FAB2C075}" id="{DBAFC465-572C-4FF1-A4EA-0B99BD9EADDA}">
    <text>5% Comm'ns to be Paid Upon Achieving 5 x 5 Star Reviews</text>
  </threadedComment>
  <threadedComment ref="A989" dT="2025-09-09T02:14:19.50" personId="{17076DA2-ED25-44EB-8064-7286FAB2C075}" id="{6F75A3FE-AFC7-45D7-8680-5975417F93A2}">
    <text>5% Comm'ns to be Paid Upon Achieving 5 x 5 Star Reviews</text>
  </threadedComment>
  <threadedComment ref="A990" dT="2025-09-09T02:30:23.13" personId="{17076DA2-ED25-44EB-8064-7286FAB2C075}" id="{26E35355-DA4E-4DC8-AD0D-BCDDB6A87894}">
    <text>5% Comm'ns to be Paid Upon Achieving 5 x 5 Star Reviews</text>
  </threadedComment>
  <threadedComment ref="E1043" dT="2025-09-17T22:09:19.16" personId="{17076DA2-ED25-44EB-8064-7286FAB2C075}" id="{B6DAEEC1-0D52-4C34-B433-0E0F06BE4444}">
    <text>Checked</text>
  </threadedComment>
  <threadedComment ref="E1044" dT="2025-09-17T22:09:25.91" personId="{17076DA2-ED25-44EB-8064-7286FAB2C075}" id="{D66C4C6B-FD99-442C-AE2E-E7D2F1A976F4}">
    <text>Checked</text>
  </threadedComment>
  <threadedComment ref="E1045" dT="2025-09-19T01:41:37.95" personId="{17076DA2-ED25-44EB-8064-7286FAB2C075}" id="{D8A1FDB4-D8C0-4BB8-AC21-4E0AFACCF73E}">
    <text>Stock</text>
  </threadedComment>
  <threadedComment ref="E1046" dT="2025-09-22T22:48:49.76" personId="{17076DA2-ED25-44EB-8064-7286FAB2C075}" id="{D1EF8B66-0DB2-426F-B98C-C3ED7ABF27F1}">
    <text>Checked</text>
  </threadedComment>
  <threadedComment ref="E1047" dT="2025-09-22T22:48:55.40" personId="{17076DA2-ED25-44EB-8064-7286FAB2C075}" id="{6008B61A-00F7-45F4-8479-E1980A6C45DD}">
    <text>Checked</text>
  </threadedComment>
  <threadedComment ref="E1048" dT="2025-09-22T22:49:02.15" personId="{17076DA2-ED25-44EB-8064-7286FAB2C075}" id="{BD3752A7-B9CB-40C9-899E-7F682AF6A5A8}">
    <text>Stock</text>
  </threadedComment>
  <threadedComment ref="E1125" dT="2025-09-24T21:23:39.61" personId="{17076DA2-ED25-44EB-8064-7286FAB2C075}" id="{2C681668-D0D9-4F70-9464-52C5601721B0}">
    <text>Stock</text>
  </threadedComment>
  <threadedComment ref="E1126" dT="2025-09-25T23:36:11.78" personId="{17076DA2-ED25-44EB-8064-7286FAB2C075}" id="{988869E8-F480-4ED7-B192-321D14DA61D3}">
    <text>Stock</text>
  </threadedComment>
  <threadedComment ref="E1127" dT="2025-09-29T23:46:46.26" personId="{17076DA2-ED25-44EB-8064-7286FAB2C075}" id="{E132ED7F-651C-41DF-90E7-350BA50B1B18}">
    <text>Stock</text>
  </threadedComment>
  <threadedComment ref="E1193" dT="2025-10-07T03:05:25.39" personId="{17076DA2-ED25-44EB-8064-7286FAB2C075}" id="{AC6DF1CE-7898-47A5-BE03-11C8734FFCF1}">
    <text>Stock</text>
  </threadedComment>
  <threadedComment ref="E1194" dT="2025-10-07T03:05:30.14" personId="{17076DA2-ED25-44EB-8064-7286FAB2C075}" id="{4698990F-5F54-410A-8BD3-0BCC363EAF97}">
    <text>Stock</text>
  </threadedComment>
  <threadedComment ref="E1195" dT="2025-10-07T20:36:42.91" personId="{17076DA2-ED25-44EB-8064-7286FAB2C075}" id="{CFECF196-1155-4F89-BE18-B0EC6B837BBB}">
    <text>Stock</text>
  </threadedComment>
  <threadedComment ref="A1223" dT="2025-10-08T05:00:36.54" personId="{17076DA2-ED25-44EB-8064-7286FAB2C075}" id="{0BB7DB69-117D-4354-A906-46AED791C576}">
    <text>5% Comm'ns to be paid upon Achieving 5 x 5 Star Reviews</text>
  </threadedComment>
  <threadedComment ref="A1224" dT="2025-10-08T05:01:10.31" personId="{17076DA2-ED25-44EB-8064-7286FAB2C075}" id="{4C2C03E6-D299-41ED-8650-3B553FE755F4}">
    <text>5% Comm'ns to be paid upon Achieving 5 x 5 Star Reviews</text>
  </threadedComment>
  <threadedComment ref="E1253" dT="2025-09-23T02:19:18.67" personId="{17076DA2-ED25-44EB-8064-7286FAB2C075}" id="{27BA06EB-43B1-4F7A-8B20-A9D421713E1F}">
    <text>5% Comm'ns to be paid upon achieving 5 x 5  Star Reviews</text>
  </threadedComment>
  <threadedComment ref="E1254" dT="2025-10-07T06:22:57.42" personId="{17076DA2-ED25-44EB-8064-7286FAB2C075}" id="{A1DD4268-73A2-49E1-B55A-08665301044D}">
    <text>5% Comm'ns to be paid upon achieving 5 x 5  Star Reviews</text>
  </threadedComment>
  <threadedComment ref="E1255" dT="2025-10-14T20:07:22.95" personId="{17076DA2-ED25-44EB-8064-7286FAB2C075}" id="{72C68B1C-69AC-4B25-B7AD-73A27919CBD3}">
    <text>Stock</text>
  </threadedComment>
  <threadedComment ref="A1288" dT="2025-10-13T06:28:19.00" personId="{17076DA2-ED25-44EB-8064-7286FAB2C075}" id="{8AC4592A-740E-47DF-AC77-6245AFAB75C2}">
    <text>5% Comm'ns to be paid upon Achieving 5 x 5 Star Reviews</text>
  </threadedComment>
  <threadedComment ref="A1289" dT="2025-10-08T05:00:36.54" personId="{17076DA2-ED25-44EB-8064-7286FAB2C075}" id="{E47A60B3-2438-4A3A-8F77-7EBD8EF509DD}">
    <text>5% Comm'ns to be paid upon Achieving 5 x 5 Star Reviews</text>
  </threadedComment>
  <threadedComment ref="A1290" dT="2025-10-08T05:01:10.31" personId="{17076DA2-ED25-44EB-8064-7286FAB2C075}" id="{B2858411-E11D-4034-8868-3880087FE2FE}">
    <text>5% Comm'ns to be paid upon Achieving 5 x 5 Star Reviews</text>
  </threadedComment>
  <threadedComment ref="A1393" dT="2025-10-21T04:00:53.61" personId="{17076DA2-ED25-44EB-8064-7286FAB2C075}" id="{5876FBD7-3592-4EFD-A3D5-1F6C53520D96}">
    <text>5% Comm'ns to be paid upon achieving 5 x 5 Star Reviews</text>
  </threadedComment>
  <threadedComment ref="A1396" dT="2025-10-21T04:01:59.74" personId="{17076DA2-ED25-44EB-8064-7286FAB2C075}" id="{AD3A20B9-9941-43FD-A472-FAB5A7924297}">
    <text>5% Comm'ns to be paid upon achieving 5 x 5 Star Reviews</text>
  </threadedComment>
  <threadedComment ref="A1397" dT="2025-10-21T04:05:31.93" personId="{17076DA2-ED25-44EB-8064-7286FAB2C075}" id="{C3130A65-145C-4C4B-B94D-E7A4DCBC351F}">
    <text>5% Comm'ns to be paid upon achieving 5 x 5 Star Reviews</text>
  </threadedComment>
  <threadedComment ref="E1442" dT="2025-10-24T03:12:48.75" personId="{17076DA2-ED25-44EB-8064-7286FAB2C075}" id="{3CE42443-DBF3-4A4C-8798-509EDE16D6E1}">
    <text>Stock</text>
  </threadedComment>
  <threadedComment ref="E1443" dT="2025-10-27T01:40:02.30" personId="{17076DA2-ED25-44EB-8064-7286FAB2C075}" id="{8D415C25-9392-41EE-8BF6-5014DAC4ADEE}">
    <text>Stock</text>
  </threadedComment>
  <threadedComment ref="E1444" dT="2025-10-27T01:40:18.63" personId="{17076DA2-ED25-44EB-8064-7286FAB2C075}" id="{EE1A5374-2F06-402B-8977-176310F52C69}">
    <text>Checked</text>
  </threadedComment>
  <threadedComment ref="A1482" dT="2025-10-21T04:00:53.61" personId="{17076DA2-ED25-44EB-8064-7286FAB2C075}" id="{7F0BF887-79D0-4E73-A125-7DDD3AFEEED3}">
    <text>5% Comm'ns to be paid upon achieving 5 x 5 Star Reviews</text>
  </threadedComment>
  <threadedComment ref="A1487" dT="2025-10-21T04:01:59.74" personId="{17076DA2-ED25-44EB-8064-7286FAB2C075}" id="{B5DF5AB8-D803-4BD9-87E5-58AE2FACD65B}">
    <text>5% Comm'ns to be paid upon achieving 5 x 5 Star Reviews</text>
  </threadedComment>
  <threadedComment ref="A1488" dT="2025-10-21T04:05:31.93" personId="{17076DA2-ED25-44EB-8064-7286FAB2C075}" id="{268A8B4D-9A91-420C-B024-AED2622BBDA7}">
    <text>5% Comm'ns to be paid upon achieving 5 x 5 Star Reviews</text>
  </threadedComment>
  <threadedComment ref="E1545" dT="2025-10-30T00:58:34.38" personId="{17076DA2-ED25-44EB-8064-7286FAB2C075}" id="{3D357D5B-0EF8-424E-8868-BEF4A6732E1F}">
    <text>Stock</text>
  </threadedComment>
  <threadedComment ref="E1546" dT="2025-10-30T20:07:32.90" personId="{17076DA2-ED25-44EB-8064-7286FAB2C075}" id="{7FA76D87-1AE9-43B8-89FE-68329A83B482}">
    <text>Stock</text>
  </threadedComment>
  <threadedComment ref="E1547" dT="2025-11-02T21:09:02.95" personId="{17076DA2-ED25-44EB-8064-7286FAB2C075}" id="{C89B83B1-FF0D-4493-BF9F-B5AEF4A239C3}">
    <text>Stock</text>
  </threadedComment>
</ThreadedComments>
</file>

<file path=xl/threadedComments/threadedComment3.xml><?xml version="1.0" encoding="utf-8"?>
<ThreadedComments xmlns="http://schemas.microsoft.com/office/spreadsheetml/2018/threadedcomments" xmlns:x="http://schemas.openxmlformats.org/spreadsheetml/2006/main">
  <threadedComment ref="E65" dT="2025-08-27T21:15:24.91" personId="{17076DA2-ED25-44EB-8064-7286FAB2C075}" id="{759CE3BE-A0F5-463D-933A-033E69CC4FF9}">
    <text>Stock</text>
  </threadedComment>
  <threadedComment ref="E199" dT="2025-09-16T00:24:55.93" personId="{17076DA2-ED25-44EB-8064-7286FAB2C075}" id="{ACF2D24F-71B5-4E06-9847-7F0774A4A321}">
    <text>Checked</text>
  </threadedComment>
  <threadedComment ref="E200" dT="2025-09-16T00:25:02.06" personId="{17076DA2-ED25-44EB-8064-7286FAB2C075}" id="{467B0F27-13A6-47D9-B675-7BB983967F65}">
    <text>Checked</text>
  </threadedComment>
  <threadedComment ref="E201" dT="2025-09-16T00:25:07.39" personId="{17076DA2-ED25-44EB-8064-7286FAB2C075}" id="{A34B658C-FF04-4815-8D72-8092CF7B3791}">
    <text>Checked</text>
  </threadedComment>
  <threadedComment ref="E202" dT="2025-09-16T00:25:13.59" personId="{17076DA2-ED25-44EB-8064-7286FAB2C075}" id="{A2B9BC00-539D-4EB1-9E36-140DCD5099A5}">
    <text xml:space="preserve">Checked
</text>
  </threadedComment>
  <threadedComment ref="E342" dT="2025-09-23T02:19:18.67" personId="{17076DA2-ED25-44EB-8064-7286FAB2C075}" id="{4B912284-70FB-4622-AAFB-B6EB96F5F2B2}">
    <text>5% Comm'ns to be paid upon achieving 5 x 5  Star Reviews</text>
  </threadedComment>
  <threadedComment ref="E418" dT="2025-10-03T00:42:17.12" personId="{17076DA2-ED25-44EB-8064-7286FAB2C075}" id="{B328BEFD-86EF-4DDC-A98A-456E5BD29CAF}">
    <text>Stock</text>
  </threadedComment>
  <threadedComment ref="E506" dT="2025-10-08T21:21:02.54" personId="{17076DA2-ED25-44EB-8064-7286FAB2C075}" id="{CC03C487-4993-4120-90D2-8402807F0067}">
    <text>Stock</text>
  </threadedComment>
  <threadedComment ref="A626" dT="2025-10-21T04:13:29.48" personId="{17076DA2-ED25-44EB-8064-7286FAB2C075}" id="{8EA4C64E-860C-4026-A315-32F01F63BF89}">
    <text>5% Deposit to be paid upon achieving 5 x 5 Star Reviews</text>
  </threadedComment>
  <threadedComment ref="A627" dT="2025-10-21T04:13:29.48" personId="{17076DA2-ED25-44EB-8064-7286FAB2C075}" id="{3DD0B6A0-53B0-43AC-8B88-CAD040719837}">
    <text>5% Deposit to be paid upon achieving 5 x 5 Star Reviews</text>
  </threadedComment>
  <threadedComment ref="A628" dT="2025-10-21T04:15:22.22" personId="{17076DA2-ED25-44EB-8064-7286FAB2C075}" id="{9B4EFE29-F9C1-4E1B-837C-FDCEC21FFD91}">
    <text>5% Deposit to be paid upon achieving 5 x 5 Star Reviews</text>
  </threadedComment>
  <threadedComment ref="E677" dT="2025-10-07T06:22:57.42" personId="{17076DA2-ED25-44EB-8064-7286FAB2C075}" id="{B9F5131C-3A90-48CC-B3B3-5625FA0050B3}">
    <text>5% Comm'ns to be paid upon achieving 5 x 5  Star Reviews</text>
  </threadedComment>
  <threadedComment ref="E678" dT="2025-10-07T06:22:57.42" personId="{17076DA2-ED25-44EB-8064-7286FAB2C075}" id="{019DC3FB-4EF9-46AD-8AEA-BEE484E6EC59}">
    <text>5% Comm'ns to be paid upon achieving 5 x 5  Star Reviews</text>
  </threadedComment>
  <threadedComment ref="E679" dT="2025-10-07T06:22:57.42" personId="{17076DA2-ED25-44EB-8064-7286FAB2C075}" id="{470DCC9E-5D1D-4F4E-A3BC-369C84582FA8}">
    <text>5% Comm'ns to be paid upon achieving 5 x 5  Star Reviews</text>
  </threadedComment>
  <threadedComment ref="E680" dT="2025-10-26T23:25:53.21" personId="{17076DA2-ED25-44EB-8064-7286FAB2C075}" id="{AC4C610D-564F-4D0C-A3D5-515027B2C2E4}">
    <text>Checked</text>
  </threadedComment>
  <threadedComment ref="A718" dT="2025-10-21T04:13:29.48" personId="{17076DA2-ED25-44EB-8064-7286FAB2C075}" id="{FB67454A-826F-4821-A9CA-289AFEBC7412}">
    <text>5% Deposit to be paid upon achieving 5 x 5 Star Reviews</text>
  </threadedComment>
  <threadedComment ref="A719" dT="2025-10-21T04:13:29.48" personId="{17076DA2-ED25-44EB-8064-7286FAB2C075}" id="{301411F5-EFD2-464C-9DE8-7B1C68A464E7}">
    <text>5% Deposit to be paid upon achieving 5 x 5 Star Reviews</text>
  </threadedComment>
  <threadedComment ref="A720" dT="2025-10-21T04:15:22.22" personId="{17076DA2-ED25-44EB-8064-7286FAB2C075}" id="{A73870BF-6C56-4348-905E-294C9E49F85B}">
    <text>5% Deposit to be paid upon achieving 5 x 5 Star Reviews</text>
  </threadedComment>
  <threadedComment ref="E765" dT="2025-10-30T00:58:44.02" personId="{17076DA2-ED25-44EB-8064-7286FAB2C075}" id="{78A8A8DB-2C2C-4074-B91E-A8568CC06052}">
    <text>Stock</text>
  </threadedComment>
  <threadedComment ref="A824" dT="2025-10-21T04:13:29.48" personId="{17076DA2-ED25-44EB-8064-7286FAB2C075}" id="{A63AD134-AE3A-47BD-A231-62CADD5939B1}">
    <text>5% Deposit to be paid upon achieving 5 x 5 Star Reviews</text>
  </threadedComment>
  <threadedComment ref="A825" dT="2025-10-21T04:13:29.48" personId="{17076DA2-ED25-44EB-8064-7286FAB2C075}" id="{A2FD9001-F45A-4E86-B6E9-D5C1E6032DFC}">
    <text>5% Deposit to be paid upon achieving 5 x 5 Star Reviews</text>
  </threadedComment>
  <threadedComment ref="A826" dT="2025-10-21T04:15:22.22" personId="{17076DA2-ED25-44EB-8064-7286FAB2C075}" id="{63E5BD48-E915-4680-B6CD-9D7E48C9F1C6}">
    <text>5% Deposit to be paid upon achieving 5 x 5 Star Reviews</text>
  </threadedComment>
</ThreadedComments>
</file>

<file path=xl/threadedComments/threadedComment4.xml><?xml version="1.0" encoding="utf-8"?>
<ThreadedComments xmlns="http://schemas.microsoft.com/office/spreadsheetml/2018/threadedcomments" xmlns:x="http://schemas.openxmlformats.org/spreadsheetml/2006/main">
  <threadedComment ref="A518" dT="2025-09-09T07:10:42.39" personId="{17076DA2-ED25-44EB-8064-7286FAB2C075}" id="{D6AB7C2D-7554-4DDA-803A-7D82FB1B1582}">
    <text>5% Comm'ns to be paid upon Achieving 5 x 5 Star Reviews</text>
  </threadedComment>
  <threadedComment ref="A519" dT="2025-09-09T07:10:42.39" personId="{17076DA2-ED25-44EB-8064-7286FAB2C075}" id="{1F4CED11-15C5-4588-BC52-F49701E335E3}">
    <text>5% Comm'ns to be paid upon Achieving 5 x 5 Star Reviews</text>
  </threadedComment>
  <threadedComment ref="E586" dT="2025-09-19T01:44:11.70" personId="{17076DA2-ED25-44EB-8064-7286FAB2C075}" id="{E157193A-50CD-4EDA-AD51-762C66EBD133}">
    <text>Stock</text>
  </threadedComment>
  <threadedComment ref="E587" dT="2025-09-19T01:44:17.23" personId="{17076DA2-ED25-44EB-8064-7286FAB2C075}" id="{E977AAC3-CB40-4EA6-953F-CE299362DB30}">
    <text>Stock</text>
  </threadedComment>
  <threadedComment ref="E841" dT="2025-10-13T05:33:02.13" personId="{17076DA2-ED25-44EB-8064-7286FAB2C075}" id="{541C069B-60E2-4D3A-8F0E-470A3A4BEA42}">
    <text>Checked</text>
  </threadedComment>
  <threadedComment ref="E940" dT="2025-10-20T20:06:54.10" personId="{17076DA2-ED25-44EB-8064-7286FAB2C075}" id="{2F8F827B-E2F9-4ED3-AC14-291D931D4908}">
    <text>Stock</text>
  </threadedComment>
  <threadedComment ref="E1050" dT="2025-10-27T20:50:04.84" personId="{17076DA2-ED25-44EB-8064-7286FAB2C075}" id="{767D73B7-A38C-4B05-86A6-9BBF3B637D67}">
    <text>Checked</text>
  </threadedComment>
  <threadedComment ref="E1051" dT="2025-10-27T20:50:09.33" personId="{17076DA2-ED25-44EB-8064-7286FAB2C075}" id="{BD073164-E4B8-4C25-85EA-01FB02763C40}">
    <text>Checked</text>
  </threadedComment>
  <threadedComment ref="E1150" dT="2025-10-30T20:07:17.18" personId="{17076DA2-ED25-44EB-8064-7286FAB2C075}" id="{1F6E26F1-4290-4E9D-9891-EDDA444EEF74}">
    <text>Checked</text>
  </threadedComment>
  <threadedComment ref="E1151" dT="2025-10-30T20:07:21.81" personId="{17076DA2-ED25-44EB-8064-7286FAB2C075}" id="{42A12AB7-51CD-43CA-AB97-D67E9F1CD040}">
    <text>Checked</text>
  </threadedComment>
  <threadedComment ref="E1152" dT="2025-11-02T21:12:57.30" personId="{17076DA2-ED25-44EB-8064-7286FAB2C075}" id="{7D162E78-CDC5-4B1D-A064-F3B1CB41CADF}">
    <text>Checked</text>
  </threadedComment>
</ThreadedComments>
</file>

<file path=xl/threadedComments/threadedComment5.xml><?xml version="1.0" encoding="utf-8"?>
<ThreadedComments xmlns="http://schemas.microsoft.com/office/spreadsheetml/2018/threadedcomments" xmlns:x="http://schemas.openxmlformats.org/spreadsheetml/2006/main">
  <threadedComment ref="E112" dT="2025-07-08T23:30:37.14" personId="{17076DA2-ED25-44EB-8064-7286FAB2C075}" id="{02AA0FA5-9CE9-4777-B94B-E4EDD5BDAE32}">
    <text>Checked</text>
  </threadedComment>
  <threadedComment ref="E292" dT="2025-07-18T00:00:19.76" personId="{17076DA2-ED25-44EB-8064-7286FAB2C075}" id="{9C0239E6-641D-4827-A2FE-B2EB3E8C522C}">
    <text>Checked</text>
  </threadedComment>
</ThreadedComments>
</file>

<file path=xl/threadedComments/threadedComment6.xml><?xml version="1.0" encoding="utf-8"?>
<ThreadedComments xmlns="http://schemas.microsoft.com/office/spreadsheetml/2018/threadedcomments" xmlns:x="http://schemas.openxmlformats.org/spreadsheetml/2006/main">
  <threadedComment ref="E57" dT="2025-06-28T23:52:04.40" personId="{17076DA2-ED25-44EB-8064-7286FAB2C075}" id="{5BC19DA8-A6C4-43AB-B31B-742A438AF566}">
    <text>Checked</text>
  </threadedComment>
  <threadedComment ref="E218" dT="2025-07-25T01:02:41.41" personId="{17076DA2-ED25-44EB-8064-7286FAB2C075}" id="{7491292F-FBF5-462C-8FE4-DE96A7661582}">
    <text>Stock</text>
  </threadedComment>
  <threadedComment ref="E219" dT="2025-07-25T01:02:48.30" personId="{17076DA2-ED25-44EB-8064-7286FAB2C075}" id="{8CF88051-7FB0-4BE6-8124-385521006B97}">
    <text>Stock</text>
  </threadedComment>
  <threadedComment ref="E220" dT="2025-07-25T01:03:31.13" personId="{17076DA2-ED25-44EB-8064-7286FAB2C075}" id="{EEBB0B9E-08B1-4A4B-BC48-3246BE49A3C7}">
    <text>Stock</text>
  </threadedComment>
  <threadedComment ref="E221" dT="2025-07-28T03:55:52.14" personId="{17076DA2-ED25-44EB-8064-7286FAB2C075}" id="{80DA764F-1C30-486C-BC92-72D021416F09}">
    <text>Stock</text>
  </threadedComment>
  <threadedComment ref="E222" dT="2025-07-29T02:02:27.13" personId="{17076DA2-ED25-44EB-8064-7286FAB2C075}" id="{5AD9EEF0-DE63-4930-858A-A267D206B4FC}">
    <text>Checked</text>
  </threadedComment>
  <threadedComment ref="E223" dT="2025-07-29T02:02:51.38" personId="{17076DA2-ED25-44EB-8064-7286FAB2C075}" id="{EB33A5AB-5142-4F01-BBCC-A84F776A7AB5}">
    <text>Checked</text>
  </threadedComment>
  <threadedComment ref="E224" dT="2025-07-30T05:44:35.67" personId="{17076DA2-ED25-44EB-8064-7286FAB2C075}" id="{551A29D9-09CC-4C0F-8DE0-C5B23C442228}">
    <text>Stock</text>
  </threadedComment>
  <threadedComment ref="E303" dT="2025-08-01T00:32:19.43" personId="{17076DA2-ED25-44EB-8064-7286FAB2C075}" id="{8F003FA2-7C3D-4490-BBA5-B455C4A64AFF}">
    <text>Stock</text>
  </threadedComment>
  <threadedComment ref="E456" dT="2025-08-14T23:11:59.72" personId="{17076DA2-ED25-44EB-8064-7286FAB2C075}" id="{472623D5-B745-4F72-A5A2-74FE0E12762B}">
    <text>Stock</text>
  </threadedComment>
  <threadedComment ref="E632" dT="2025-08-14T00:50:24.06" personId="{17076DA2-ED25-44EB-8064-7286FAB2C075}" id="{D523FCF2-ED9B-4C3F-9EC8-ED04067C49FA}">
    <text>5% Comm'ns to be Paid Upon Achieving 5 x 5 Star</text>
  </threadedComment>
  <threadedComment ref="A677" dT="2025-09-02T03:51:59.09" personId="{17076DA2-ED25-44EB-8064-7286FAB2C075}" id="{EA63E0D5-F071-4217-9C28-337FF213A433}">
    <text>5% Comm'n to be paid Upon Achieving 5 x 5 Star Reviews</text>
  </threadedComment>
  <threadedComment ref="A679" dT="2025-09-02T03:54:38.09" personId="{17076DA2-ED25-44EB-8064-7286FAB2C075}" id="{BC21F751-4A95-4C8A-B611-0096F53948BD}">
    <text>5% Comm'n to be paid Upon Achieving 5 x 5 Star Reviews</text>
  </threadedComment>
  <threadedComment ref="A680" dT="2025-09-02T03:57:25.73" personId="{17076DA2-ED25-44EB-8064-7286FAB2C075}" id="{EF7107B1-D9E2-4B89-8680-131854717085}">
    <text>5% Comm'n to be paid Upon Achieving 5 x 5 Star Review</text>
  </threadedComment>
  <threadedComment ref="A681" dT="2025-09-02T03:58:56.80" personId="{17076DA2-ED25-44EB-8064-7286FAB2C075}" id="{8390F1B5-16A1-4D59-AB6C-D80B3BEE851A}">
    <text>5% Comm'n to be paid Upon Achieving 5 x 5 Star Review</text>
  </threadedComment>
  <threadedComment ref="E729" dT="2025-08-19T05:38:53.02" personId="{17076DA2-ED25-44EB-8064-7286FAB2C075}" id="{942C55B1-F670-48E8-A3ED-512F5FDDAA03}">
    <text>5% Comm'ns to be Paid Upon Achieving 5 x 5 Star</text>
  </threadedComment>
  <threadedComment ref="E730" dT="2025-09-03T21:45:04.78" personId="{17076DA2-ED25-44EB-8064-7286FAB2C075}" id="{267D911A-BD3F-4C80-9EBA-3B02E7D3EF70}">
    <text>Stock</text>
  </threadedComment>
  <threadedComment ref="A756" dT="2025-09-02T03:51:59.09" personId="{17076DA2-ED25-44EB-8064-7286FAB2C075}" id="{7104424C-950A-48DE-9571-0A2E3A275457}">
    <text>5% Comm'n to be paid Upon Achieving 5 x 5 Star Reviews</text>
  </threadedComment>
  <threadedComment ref="A757" dT="2025-09-02T03:54:38.09" personId="{17076DA2-ED25-44EB-8064-7286FAB2C075}" id="{7A6AF6C8-8B9D-4776-A52A-7FCB486FD484}">
    <text>5% Comm'n to be paid Upon Achieving 5 x 5 Star Reviews</text>
  </threadedComment>
  <threadedComment ref="A758" dT="2025-09-02T03:57:25.73" personId="{17076DA2-ED25-44EB-8064-7286FAB2C075}" id="{D621AC86-5409-49FB-8B1A-5E775A88182C}">
    <text>5% Comm'n to be paid Upon Achieving 5 x 5 Star Review</text>
  </threadedComment>
  <threadedComment ref="A781" dT="2025-09-02T03:58:56.80" personId="{17076DA2-ED25-44EB-8064-7286FAB2C075}" id="{9B1A3113-1DA6-46AA-AFAA-D6F5BC369D0A}">
    <text>5% Comm'n to be paid Upon Achieving 5 x 5 Star Review</text>
  </threadedComment>
  <threadedComment ref="A784" dT="2025-09-08T07:32:40.73" personId="{17076DA2-ED25-44EB-8064-7286FAB2C075}" id="{50C04530-4FD9-406A-A0A5-2E3AF3F991D6}">
    <text>5% Comm'n to be paid Upon Achieving 5 x 5 Star Review</text>
  </threadedComment>
  <threadedComment ref="E825" dT="2025-08-25T06:09:02.03" personId="{17076DA2-ED25-44EB-8064-7286FAB2C075}" id="{74EDE568-E489-4A95-A1A1-C67F77C181F4}">
    <text>5% Comm'ns to be Paid Upon Achieving 5 x 5 Star</text>
  </threadedComment>
  <threadedComment ref="E826" dT="2025-09-10T22:24:56.74" personId="{17076DA2-ED25-44EB-8064-7286FAB2C075}" id="{9F015041-C276-4781-91F3-ACC2B84555A9}">
    <text>Stock</text>
  </threadedComment>
  <threadedComment ref="E827" dT="2025-09-14T21:56:43.33" personId="{17076DA2-ED25-44EB-8064-7286FAB2C075}" id="{87514D06-0F30-4F89-99C5-304C81123EEB}">
    <text>Stock</text>
  </threadedComment>
  <threadedComment ref="E828" dT="2025-09-15T21:06:41.60" personId="{17076DA2-ED25-44EB-8064-7286FAB2C075}" id="{D3E72D0A-6144-4A63-8D11-6DB71C36716F}">
    <text>Checked</text>
  </threadedComment>
  <threadedComment ref="A852" dT="2025-09-02T03:58:56.80" personId="{17076DA2-ED25-44EB-8064-7286FAB2C075}" id="{C04FC87C-CD11-4FFA-A711-81E4BF6E06C4}">
    <text>5% Comm'n to be paid Upon Achieving 5 x 5 Star Review</text>
  </threadedComment>
  <threadedComment ref="A853" dT="2025-09-08T07:32:40.73" personId="{17076DA2-ED25-44EB-8064-7286FAB2C075}" id="{B761AA10-3870-4CF4-94D8-59F3C76321FB}">
    <text>5% Comm'n to be paid Upon Achieving 5 x 5 Star Review</text>
  </threadedComment>
  <threadedComment ref="E915" dT="2025-09-19T01:45:20.83" personId="{17076DA2-ED25-44EB-8064-7286FAB2C075}" id="{D43AF4FE-7543-42A8-A5F3-9E591A9562A3}">
    <text>Stock</text>
  </threadedComment>
  <threadedComment ref="E1006" dT="2025-09-24T21:25:32.67" personId="{17076DA2-ED25-44EB-8064-7286FAB2C075}" id="{C167E409-548C-415F-9280-BED3D7D6EC47}">
    <text>Checked</text>
  </threadedComment>
  <threadedComment ref="A1034" dT="2025-09-26T02:01:38.42" personId="{17076DA2-ED25-44EB-8064-7286FAB2C075}" id="{EB54CCA6-E4E9-4B8B-9956-F7535289DBD6}">
    <text>5% Comm'ns to be Paid Upon Achieving 5 x 5 Star Reviews</text>
  </threadedComment>
  <threadedComment ref="A1046" dT="2025-09-26T02:07:04.79" personId="{17076DA2-ED25-44EB-8064-7286FAB2C075}" id="{9E1B1DEA-D477-41F7-9D18-2B1F473D6383}">
    <text>5% Comm'ns to be Paid Upon Achieving 5 x 5 Star Reviews</text>
  </threadedComment>
  <threadedComment ref="A1047" dT="2025-09-26T02:07:24.66" personId="{17076DA2-ED25-44EB-8064-7286FAB2C075}" id="{BD5BE7C7-A6A5-41DD-A18D-DF7DDF3F5AB9}">
    <text>5% Comm'ns to be Paid Upon Achieving 5 x 5 Star Reviews</text>
  </threadedComment>
  <threadedComment ref="E1081" dT="2025-10-03T00:45:14.01" personId="{17076DA2-ED25-44EB-8064-7286FAB2C075}" id="{0F397FB4-4614-499E-AA86-1EB8C882F268}">
    <text>Stock</text>
  </threadedComment>
  <threadedComment ref="E1082" dT="2025-10-07T21:13:00.98" personId="{17076DA2-ED25-44EB-8064-7286FAB2C075}" id="{5248493A-8D0A-4793-9C2E-6E2B30455E2B}">
    <text>Stock</text>
  </threadedComment>
  <threadedComment ref="A1116" dT="2025-09-26T02:01:38.42" personId="{17076DA2-ED25-44EB-8064-7286FAB2C075}" id="{6F64A9B8-8621-4B7A-9DCB-FBA657299045}">
    <text>5% Comm'ns to be Paid Upon Achieving 5 x 5 Star Reviews</text>
  </threadedComment>
  <threadedComment ref="A1121" dT="2025-10-08T06:16:49.40" personId="{17076DA2-ED25-44EB-8064-7286FAB2C075}" id="{6527F29D-1900-4F4E-B8A8-F34CF2AAB3F4}">
    <text>5% Comm'ns will be paid upon Achieving 5 x 5 Star Reviews</text>
  </threadedComment>
  <threadedComment ref="A1123" dT="2025-10-08T06:17:43.63" personId="{17076DA2-ED25-44EB-8064-7286FAB2C075}" id="{D2C44EDA-55F0-48BB-B208-34C91ADD80DD}">
    <text>5% Comm'ns will be paid upon Achieving 5 x 5 Star Reviews</text>
  </threadedComment>
  <threadedComment ref="A1128" dT="2025-09-26T02:07:04.79" personId="{17076DA2-ED25-44EB-8064-7286FAB2C075}" id="{F713523B-BAAA-4BFB-8768-E20653A30F28}">
    <text>5% Comm'ns to be Paid Upon Achieving 5 x 5 Star Reviews</text>
  </threadedComment>
  <threadedComment ref="A1129" dT="2025-09-26T02:07:24.66" personId="{17076DA2-ED25-44EB-8064-7286FAB2C075}" id="{C9E88143-9168-40EF-A3AB-567544C04A7A}">
    <text>5% Comm'ns to be Paid Upon Achieving 5 x 5 Star Reviews</text>
  </threadedComment>
  <threadedComment ref="E1180" dT="2025-10-07T06:22:57.42" personId="{17076DA2-ED25-44EB-8064-7286FAB2C075}" id="{9C8F40BF-00EA-40BB-BDCE-AC99C07CF1CC}">
    <text>5% Comm'ns to be paid upon achieving 5 x 5  Star Reviews</text>
  </threadedComment>
  <threadedComment ref="E1180" dT="2025-10-07T06:26:19.46" personId="{17076DA2-ED25-44EB-8064-7286FAB2C075}" id="{E9433964-943F-49D8-BCFC-E26E7BDEFC86}" parentId="{9C8F40BF-00EA-40BB-BDCE-AC99C07CF1CC}">
    <text>And Banking Cash Money being Held!</text>
  </threadedComment>
  <threadedComment ref="E1181" dT="2025-10-08T21:22:41.06" personId="{17076DA2-ED25-44EB-8064-7286FAB2C075}" id="{14CE200B-22E8-47F2-9965-E65346572785}">
    <text>Stock</text>
  </threadedComment>
  <threadedComment ref="E1182" dT="2025-10-13T21:54:26.77" personId="{17076DA2-ED25-44EB-8064-7286FAB2C075}" id="{A6FE2D61-B9DD-4078-BB03-6FBC3C13A718}">
    <text>Stock</text>
  </threadedComment>
  <threadedComment ref="E1183" dT="2025-10-14T20:12:05.52" personId="{17076DA2-ED25-44EB-8064-7286FAB2C075}" id="{B1E685BE-5706-42DD-9243-B9ED73CEC403}">
    <text>Stock</text>
  </threadedComment>
  <threadedComment ref="A1206" dT="2025-09-26T02:01:38.42" personId="{17076DA2-ED25-44EB-8064-7286FAB2C075}" id="{3453507A-8910-423C-9048-C628B92DC9D7}">
    <text>5% Comm'ns to be Paid Upon Achieving 5 x 5 Star Reviews</text>
  </threadedComment>
  <threadedComment ref="A1207" dT="2025-10-08T06:16:49.40" personId="{17076DA2-ED25-44EB-8064-7286FAB2C075}" id="{33CBA187-2A16-4FC2-A750-86BE7C5CC434}">
    <text>5% Comm'ns will be paid upon Achieving 5 x 5 Star Reviews</text>
  </threadedComment>
  <threadedComment ref="A1209" dT="2025-10-08T06:17:43.63" personId="{17076DA2-ED25-44EB-8064-7286FAB2C075}" id="{709BC07A-0DA0-472E-ACDD-8136E256ADA4}">
    <text>5% Comm'ns will be paid upon Achieving 5 x 5 Star Reviews</text>
  </threadedComment>
  <threadedComment ref="A1210" dT="2025-09-26T02:07:04.79" personId="{17076DA2-ED25-44EB-8064-7286FAB2C075}" id="{A595264D-3B81-4851-9AAD-015F499F27D3}">
    <text>5% Comm'ns to be Paid Upon Achieving 5 x 5 Star Reviews</text>
  </threadedComment>
  <threadedComment ref="A1211" dT="2025-09-26T02:07:24.66" personId="{17076DA2-ED25-44EB-8064-7286FAB2C075}" id="{9E21E38E-5F7A-46CB-9F50-6F98EAEEC285}">
    <text>5% Comm'ns to be Paid Upon Achieving 5 x 5 Star Reviews</text>
  </threadedComment>
  <threadedComment ref="E1274" dT="2025-10-19T20:17:48.57" personId="{17076DA2-ED25-44EB-8064-7286FAB2C075}" id="{55A20AD6-E0FB-4B27-A992-765E0F04AF7C}">
    <text>Stock</text>
  </threadedComment>
  <threadedComment ref="E1369" dT="2025-10-24T03:14:22.62" personId="{17076DA2-ED25-44EB-8064-7286FAB2C075}" id="{B36F79AF-34CD-472F-B693-D40F4A764914}">
    <text>Stock</text>
  </threadedComment>
  <threadedComment ref="E1370" dT="2025-10-29T01:48:26.38" personId="{17076DA2-ED25-44EB-8064-7286FAB2C075}" id="{DDAE96AB-0FB5-4E68-98B0-4D51DA5E887A}">
    <text>Stock</text>
  </threadedComment>
  <threadedComment ref="A1405" dT="2025-10-28T03:11:59.10" personId="{17076DA2-ED25-44EB-8064-7286FAB2C075}" id="{A8D4FFFD-6060-4859-B069-F5489698AB7B}">
    <text>10% Comm'ns will be paid upon Achieving 5 x 5 Star Reviews</text>
  </threadedComment>
  <threadedComment ref="E1463" dT="2025-10-28T03:28:48.83" personId="{17076DA2-ED25-44EB-8064-7286FAB2C075}" id="{491C659F-85D0-4B77-8DA9-F31E8740E2C1}">
    <text>5% Comm'ns will be paid upon Achieving 5 x 5 Star Reviews</text>
  </threadedComment>
  <threadedComment ref="E1464" dT="2025-10-30T00:58:54.55" personId="{17076DA2-ED25-44EB-8064-7286FAB2C075}" id="{CE4B0944-10C1-4713-976F-F5ED5DF3C7F2}">
    <text>Stock</text>
  </threadedComment>
  <threadedComment ref="E1466" dT="2025-11-03T21:49:05.71" personId="{17076DA2-ED25-44EB-8064-7286FAB2C075}" id="{DC730CA9-F500-4D37-A5C2-5FCBBE1B17FF}">
    <text>Stock</text>
  </threadedComment>
  <threadedComment ref="A1521" dT="2025-10-28T03:11:59.10" personId="{17076DA2-ED25-44EB-8064-7286FAB2C075}" id="{B9832915-1006-4A12-B694-B92B66F3CD75}">
    <text>10% Comm'ns will be paid upon Achieving 5 x 5 Star Reviews</text>
  </threadedComment>
</ThreadedComments>
</file>

<file path=xl/threadedComments/threadedComment7.xml><?xml version="1.0" encoding="utf-8"?>
<ThreadedComments xmlns="http://schemas.microsoft.com/office/spreadsheetml/2018/threadedcomments" xmlns:x="http://schemas.openxmlformats.org/spreadsheetml/2006/main">
  <threadedComment ref="E187" dT="2025-07-11T06:29:10.12" personId="{17076DA2-ED25-44EB-8064-7286FAB2C075}" id="{7257E468-8B49-4A6A-AAC0-1FA0D1FC956B}">
    <text>Stock</text>
  </threadedComment>
  <threadedComment ref="E277" dT="2025-07-16T23:46:45.49" personId="{17076DA2-ED25-44EB-8064-7286FAB2C075}" id="{B5CE5474-53AF-44BC-B507-0F321F24F29E}">
    <text>Stock</text>
  </threadedComment>
  <threadedComment ref="E363" dT="2025-07-25T05:58:08.15" personId="{17076DA2-ED25-44EB-8064-7286FAB2C075}" id="{317C1329-EE42-4C94-B6C6-D7D2908597F0}">
    <text>STOCK</text>
  </threadedComment>
  <threadedComment ref="H684" dT="2025-08-24T21:53:18.00" personId="{17076DA2-ED25-44EB-8064-7286FAB2C075}" id="{A766BAA7-3E33-4C88-82B2-520F236CFB80}">
    <text>Have Told Liam he is to get 7 5 x Star Reviews for W/E 31 Aug 2025 &amp; Comm'ns will be Released on this Proviso</text>
  </threadedComment>
  <threadedComment ref="E691" dT="2025-08-14T00:50:29.44" personId="{17076DA2-ED25-44EB-8064-7286FAB2C075}" id="{082BD52C-E949-4DFA-8B2C-303BB5C28447}">
    <text>5% Comm'ns to be Paid Upon Achieving 5 x 5 Star</text>
  </threadedComment>
  <threadedComment ref="E692" dT="2025-08-18T06:18:12.11" personId="{17076DA2-ED25-44EB-8064-7286FAB2C075}" id="{BD095F2E-F627-41DB-8A08-CAA139B27556}">
    <text>5% Comm'ns to be Paid Upon Achieving 5 x 5 Star</text>
  </threadedComment>
  <threadedComment ref="E767" dT="2025-08-27T21:18:11.28" personId="{17076DA2-ED25-44EB-8064-7286FAB2C075}" id="{76CD614B-BD4E-4939-A125-B912654A4116}">
    <text>Stock</text>
  </threadedComment>
  <threadedComment ref="A795" dT="2025-08-26T01:24:47.50" personId="{17076DA2-ED25-44EB-8064-7286FAB2C075}" id="{71A8F6B9-2E19-4EBC-821A-2DB2E1816F1F}">
    <text>5% Comm'ns to be paid upon Achieving 5 x 5 Star Reviews</text>
  </threadedComment>
  <threadedComment ref="A808" dT="2025-09-02T04:30:27.57" personId="{17076DA2-ED25-44EB-8064-7286FAB2C075}" id="{DE9AAA83-FDA3-4ADB-8115-0660BBA97C2A}">
    <text>5% Comm'ns to be paid upon Achieving 5 x 5 Star Reviews</text>
  </threadedComment>
  <threadedComment ref="A900" dT="2025-09-02T04:30:27.57" personId="{17076DA2-ED25-44EB-8064-7286FAB2C075}" id="{201FB57F-20A0-4D2F-BFC4-5E8876074492}">
    <text>5% Comm'ns to be paid upon Achieving 5 x 5 Star Reviews</text>
  </threadedComment>
  <threadedComment ref="E954" dT="2025-09-11T03:21:56.08" personId="{17076DA2-ED25-44EB-8064-7286FAB2C075}" id="{062CC28D-669E-4D98-8A2E-4267C9A159CC}">
    <text>Checked</text>
  </threadedComment>
  <threadedComment ref="E955" dT="2025-09-11T03:21:56.08" personId="{17076DA2-ED25-44EB-8064-7286FAB2C075}" id="{D1164F87-6F82-4529-B88D-F24AA9ECFBB1}">
    <text>Checked</text>
  </threadedComment>
  <threadedComment ref="E956" dT="2025-09-11T07:02:45.32" personId="{17076DA2-ED25-44EB-8064-7286FAB2C075}" id="{FE615132-D170-4C4A-9D56-AA11918405E3}">
    <text>No Job Nominated</text>
  </threadedComment>
  <threadedComment ref="A988" dT="2025-09-15T06:56:20.03" personId="{17076DA2-ED25-44EB-8064-7286FAB2C075}" id="{97E83E6B-D31D-45C3-95C7-9D3CA78C65BB}">
    <text>5% Comm'ns to be Paid Upon Achieving 5 x 5 Star Reviews</text>
  </threadedComment>
  <threadedComment ref="A996" dT="2025-09-15T07:02:14.60" personId="{17076DA2-ED25-44EB-8064-7286FAB2C075}" id="{A08F8FB8-23DE-4E78-8583-0B0FF0CFE73F}">
    <text>5% Comm'ns to be Paid Upon Achieving 5 x 5 Star Reviews</text>
  </threadedComment>
  <threadedComment ref="E1042" dT="2025-09-09T04:33:05.80" personId="{17076DA2-ED25-44EB-8064-7286FAB2C075}" id="{B3B29987-D7A3-4385-A154-29355DDA261A}">
    <text>5% Comm'ns will be paid upon Achieving 5 x 5 Star Reviews</text>
  </threadedComment>
  <threadedComment ref="E1043" dT="2025-09-15T06:55:08.69" personId="{17076DA2-ED25-44EB-8064-7286FAB2C075}" id="{483DEFD3-3B9E-4077-8032-F743715FF7AA}">
    <text>5% Comm'ns will be paid upon Achieving 5 x 5 Star Reviews</text>
  </threadedComment>
  <threadedComment ref="E1044" dT="2025-09-17T22:11:05.60" personId="{17076DA2-ED25-44EB-8064-7286FAB2C075}" id="{790251BD-517C-4872-AEB0-41B54E3BCBA8}">
    <text>Checked</text>
  </threadedComment>
  <threadedComment ref="A1068" dT="2025-09-15T06:56:20.03" personId="{17076DA2-ED25-44EB-8064-7286FAB2C075}" id="{791BB4D4-CFC3-426D-9624-1B905BB7714D}">
    <text>5% Comm'ns to be Paid Upon Achieving 5 x 5 Star Reviews</text>
  </threadedComment>
  <threadedComment ref="A1069" dT="2025-09-15T07:02:14.60" personId="{17076DA2-ED25-44EB-8064-7286FAB2C075}" id="{B1EA40F0-F934-49EC-B643-24D5E6125A22}">
    <text>5% Comm'ns to be Paid Upon Achieving 5 x 5 Star Reviews</text>
  </threadedComment>
  <threadedComment ref="E1130" dT="2025-09-25T23:45:39.47" personId="{17076DA2-ED25-44EB-8064-7286FAB2C075}" id="{5C2C6B5B-57B8-423A-A09D-A371D308A4BB}">
    <text>Stock</text>
  </threadedComment>
  <threadedComment ref="G1147" dT="2025-09-26T01:38:12.09" personId="{17076DA2-ED25-44EB-8064-7286FAB2C075}" id="{18CB4983-6CB4-4F82-BDFE-31DB1FB367D9}">
    <text>HIGH POWERED SUCTION &amp; ACID TREATMENT</text>
  </threadedComment>
  <threadedComment ref="E1532" dT="2025-10-07T06:22:57.42" personId="{17076DA2-ED25-44EB-8064-7286FAB2C075}" id="{16A905CF-0845-40C6-A251-A25C38C584C0}">
    <text>5% Comm'ns to be paid upon achieving 5 x 5  Star Reviews</text>
  </threadedComment>
  <threadedComment ref="E1533" dT="2025-10-07T06:22:57.42" personId="{17076DA2-ED25-44EB-8064-7286FAB2C075}" id="{33235ED0-77DE-475B-975A-7C68AACA0FDF}">
    <text>5% Comm'ns to be paid upon achieving 5 x 5  Star Reviews</text>
  </threadedComment>
  <threadedComment ref="E1534" dT="2025-10-21T05:31:51.49" personId="{17076DA2-ED25-44EB-8064-7286FAB2C075}" id="{02997EC2-97AB-4B2E-AEF1-13CDE471C762}">
    <text>5% Comm'ns to be paid upon achieving 5 x 5  Star Reviews</text>
  </threadedComment>
  <threadedComment ref="E1535" dT="2025-10-24T03:15:03.77" personId="{17076DA2-ED25-44EB-8064-7286FAB2C075}" id="{747C8862-4A67-41C9-AC6D-AFA37B811297}">
    <text>Checked</text>
  </threadedComment>
  <threadedComment ref="E1536" dT="2025-10-24T03:15:03.77" personId="{17076DA2-ED25-44EB-8064-7286FAB2C075}" id="{234F6F44-D07B-4836-A3E4-965BE8A6B82B}">
    <text>Checked</text>
  </threadedComment>
</ThreadedComments>
</file>

<file path=xl/threadedComments/threadedComment8.xml><?xml version="1.0" encoding="utf-8"?>
<ThreadedComments xmlns="http://schemas.microsoft.com/office/spreadsheetml/2018/threadedcomments" xmlns:x="http://schemas.openxmlformats.org/spreadsheetml/2006/main">
  <threadedComment ref="E395" dT="2025-09-01T05:48:13.60" personId="{17076DA2-ED25-44EB-8064-7286FAB2C075}" id="{6B606BB2-4893-46A6-BD65-9097A16670DF}">
    <text>5% Comm'ns to be Paid Upon Achieving 1 x 5 Star</text>
  </threadedComment>
</ThreadedComments>
</file>

<file path=xl/threadedComments/threadedComment9.xml><?xml version="1.0" encoding="utf-8"?>
<ThreadedComments xmlns="http://schemas.microsoft.com/office/spreadsheetml/2018/threadedcomments" xmlns:x="http://schemas.openxmlformats.org/spreadsheetml/2006/main">
  <threadedComment ref="E18" dT="2025-10-07T21:13:58.48" personId="{17076DA2-ED25-44EB-8064-7286FAB2C075}" id="{5CA3F603-90F3-4667-AB6B-94F4C841A8E2}">
    <text>Stock</text>
  </threadedComment>
  <threadedComment ref="E75" dT="2025-10-13T05:36:56.90" personId="{17076DA2-ED25-44EB-8064-7286FAB2C075}" id="{3ED4BCC6-BA2E-496D-92C5-3E366D6722B7}">
    <text>Stock</text>
  </threadedComment>
  <threadedComment ref="E119" dT="2025-10-14T04:50:19.68" personId="{17076DA2-ED25-44EB-8064-7286FAB2C075}" id="{C78FA506-9648-48EF-B9E3-AE61696D4DFB}">
    <text>5% Comm'ns will be Paid Upon Achieving 5 x 5 Star Reviews</text>
  </threadedComment>
  <threadedComment ref="A135" dT="2025-10-19T20:22:27.75" personId="{17076DA2-ED25-44EB-8064-7286FAB2C075}" id="{B7250293-B238-45D6-B854-6EF197D52981}">
    <text>5% Comm's will be paid upon achieving 5 Star Reviews</text>
  </threadedComment>
</ThreadedComments>
</file>

<file path=xl/threadedComments/threadedComment10.xml><?xml version="1.0" encoding="utf-8"?>
<ThreadedComments xmlns="http://schemas.microsoft.com/office/spreadsheetml/2018/threadedcomments" xmlns:x="http://schemas.openxmlformats.org/spreadsheetml/2006/main">
  <threadedComment ref="E96" dT="2025-07-04T05:17:06.09" personId="{17076DA2-ED25-44EB-8064-7286FAB2C075}" id="{3D4854C4-D522-4A7B-B852-3115E3D111FF}">
    <text>Stock</text>
  </threadedComment>
  <threadedComment ref="E97" dT="2025-07-08T01:59:37.46" personId="{17076DA2-ED25-44EB-8064-7286FAB2C075}" id="{F3B76E19-3F6A-4F0D-BE23-3CA86F8A9B19}">
    <text>Checked</text>
  </threadedComment>
  <threadedComment ref="E98" dT="2025-07-08T22:53:29.09" personId="{17076DA2-ED25-44EB-8064-7286FAB2C075}" id="{A988E045-D85D-4503-A819-0BFA5C10A335}">
    <text>Stock</text>
  </threadedComment>
  <threadedComment ref="E99" dT="2025-07-08T22:53:35.49" personId="{17076DA2-ED25-44EB-8064-7286FAB2C075}" id="{66F3EBF9-4F25-49B9-B0F0-9826F1EEEC8C}">
    <text>Stock</text>
  </threadedComment>
  <threadedComment ref="E329" dT="2025-07-30T21:39:54.96" personId="{17076DA2-ED25-44EB-8064-7286FAB2C075}" id="{7C58B9C8-5B92-4794-B1C8-CE895865E50C}">
    <text>Stock</text>
  </threadedComment>
  <threadedComment ref="E330" dT="2025-08-01T00:39:29.10" personId="{17076DA2-ED25-44EB-8064-7286FAB2C075}" id="{8CB205A6-DB90-4BEB-BB44-C41F2B11E5C6}">
    <text>Checked</text>
  </threadedComment>
  <threadedComment ref="E331" dT="2025-08-01T00:39:35.10" personId="{17076DA2-ED25-44EB-8064-7286FAB2C075}" id="{D1B9419D-7413-4750-A9FD-04DEC887617D}">
    <text>Checked</text>
  </threadedComment>
  <threadedComment ref="E332" dT="2025-08-01T00:35:04.75" personId="{17076DA2-ED25-44EB-8064-7286FAB2C075}" id="{A08D861F-7BBD-42AF-9D49-CBDD6DE4C054}">
    <text>Checked</text>
  </threadedComment>
  <threadedComment ref="E333" dT="2025-08-03T03:50:09.17" personId="{17076DA2-ED25-44EB-8064-7286FAB2C075}" id="{4330D97B-C1CC-42ED-B830-8107BED0F215}">
    <text>Checked</text>
  </threadedComment>
  <threadedComment ref="E334" dT="2025-08-04T22:47:10.90" personId="{17076DA2-ED25-44EB-8064-7286FAB2C075}" id="{3E353FF9-ED16-4383-AB2B-994ED61E4A30}">
    <text>Stock</text>
  </threadedComment>
  <threadedComment ref="E335" dT="2025-08-04T22:48:12.13" personId="{17076DA2-ED25-44EB-8064-7286FAB2C075}" id="{77CE217A-AD69-439D-B280-FD4B82F17C58}">
    <text>Checked</text>
  </threadedComment>
  <threadedComment ref="E416" dT="2025-08-11T23:15:39.34" personId="{17076DA2-ED25-44EB-8064-7286FAB2C075}" id="{A3AD89CC-F4FE-4DC1-9885-EB7E8CD86516}">
    <text>Checked</text>
  </threadedComment>
  <threadedComment ref="E500" dT="2025-08-14T01:20:08.15" personId="{17076DA2-ED25-44EB-8064-7286FAB2C075}" id="{0A7597E2-E13F-4C21-87BB-D4EA02373EF3}">
    <text>5% Comm'ns to be Paid Upon Achieving 5 x 5 Star</text>
  </threadedComment>
  <threadedComment ref="E590" dT="2025-08-22T05:42:58.81" personId="{17076DA2-ED25-44EB-8064-7286FAB2C075}" id="{02B85A1E-84A7-4B3D-8445-8662D48C4CBF}">
    <text>Checked</text>
  </threadedComment>
  <threadedComment ref="E697" dT="2025-08-27T21:19:23.30" personId="{17076DA2-ED25-44EB-8064-7286FAB2C075}" id="{77502BAF-4725-4AA1-92F8-C094226BCF00}">
    <text>Checked</text>
  </threadedComment>
  <threadedComment ref="E698" dT="2025-09-03T03:41:22.51" personId="{17076DA2-ED25-44EB-8064-7286FAB2C075}" id="{141D7476-5802-4E75-B41B-C3CC547C03D7}">
    <text>Checked</text>
  </threadedComment>
  <threadedComment ref="A737" dT="2025-09-02T05:58:31.07" personId="{17076DA2-ED25-44EB-8064-7286FAB2C075}" id="{15611C7D-535C-4A07-83E4-064CD9FC24AC}">
    <text>5% Comm'ns will be paid upon achieving 5 x 5 Star Reviews</text>
  </threadedComment>
  <threadedComment ref="E784" dT="2025-09-04T21:48:29.82" personId="{17076DA2-ED25-44EB-8064-7286FAB2C075}" id="{0A5D99DB-6FF4-4ABE-A528-9B5E1C94419F}">
    <text>Checked</text>
  </threadedComment>
  <threadedComment ref="A825" dT="2025-09-02T05:58:31.07" personId="{17076DA2-ED25-44EB-8064-7286FAB2C075}" id="{7C9B753E-2489-4044-BCA7-CF1DFBB012D7}">
    <text>5% Comm'ns will be paid upon achieving 5 x 5 Star Reviews</text>
  </threadedComment>
  <threadedComment ref="A911" dT="2025-09-08T23:58:14.09" personId="{17076DA2-ED25-44EB-8064-7286FAB2C075}" id="{6DB84E2A-58CF-486D-96F2-EBBE7FFE1790}">
    <text>5% Comm'ns to be paid upon achieving 5 x 5 Star Reviews</text>
  </threadedComment>
  <threadedComment ref="E973" dT="2025-09-19T03:15:56.09" personId="{17076DA2-ED25-44EB-8064-7286FAB2C075}" id="{30756C35-5073-4614-85E1-FF4A03035A8B}">
    <text>Stock</text>
  </threadedComment>
  <threadedComment ref="E1046" dT="2025-09-15T07:03:31.55" personId="{17076DA2-ED25-44EB-8064-7286FAB2C075}" id="{732BA121-AF6A-4498-BABE-D58AC9110C99}">
    <text>5% Comm'ns will be paid upon Achieving 5 x 5 Star Reviews</text>
  </threadedComment>
  <threadedComment ref="E1047" dT="2025-09-25T23:54:00.11" personId="{17076DA2-ED25-44EB-8064-7286FAB2C075}" id="{B417C7CB-72B2-4EEE-806F-0A0D6983668D}">
    <text>Stock</text>
  </threadedComment>
  <threadedComment ref="E1048" dT="2025-09-29T23:54:18.79" personId="{17076DA2-ED25-44EB-8064-7286FAB2C075}" id="{8D7A2FD4-2064-4128-94E7-964A20A6C1A1}">
    <text>Checked</text>
  </threadedComment>
  <threadedComment ref="E1238" dT="2025-10-08T21:23:54.23" personId="{17076DA2-ED25-44EB-8064-7286FAB2C075}" id="{E39DFE82-B58F-49E4-8BD1-4F1480492F00}">
    <text>Checked</text>
  </threadedComment>
  <threadedComment ref="E1325" dT="2025-10-15T21:14:16.52" personId="{17076DA2-ED25-44EB-8064-7286FAB2C075}" id="{32A94893-4438-4911-8F17-66129901A5AD}">
    <text>Stock</text>
  </threadedComment>
  <threadedComment ref="E1326" dT="2025-10-21T21:54:39.48" personId="{17076DA2-ED25-44EB-8064-7286FAB2C075}" id="{D68A50BC-E85F-498E-97BC-356228DA4543}">
    <text>Stock</text>
  </threadedComment>
  <threadedComment ref="E1500" dT="2025-10-21T06:03:54.96" personId="{17076DA2-ED25-44EB-8064-7286FAB2C075}" id="{83B18C06-F292-4698-903A-CEE36DEF1579}">
    <text>10% Comm'ns will be paid upon Achieving 5 x 5 Star Reviews</text>
  </threadedComment>
  <threadedComment ref="E1501" dT="2025-10-30T05:44:16.00" personId="{17076DA2-ED25-44EB-8064-7286FAB2C075}" id="{84B6F84C-94BA-4A4E-AF2E-F54E2551D593}">
    <text>Stock</text>
  </threadedComment>
  <threadedComment ref="E1502" dT="2025-10-30T05:44:29.53" personId="{17076DA2-ED25-44EB-8064-7286FAB2C075}" id="{E7383256-485F-4199-AFA6-7B01A1039647}">
    <text>Checked</text>
  </threadedComment>
  <threadedComment ref="E1503" dT="2025-11-03T21:52:43.26" personId="{17076DA2-ED25-44EB-8064-7286FAB2C075}" id="{05FF033C-E7D9-406E-8B9F-BFF4333182DB}">
    <text>Stock</text>
  </threadedComment>
</ThreadedComments>
</file>

<file path=xl/threadedComments/threadedComment11.xml><?xml version="1.0" encoding="utf-8"?>
<ThreadedComments xmlns="http://schemas.microsoft.com/office/spreadsheetml/2018/threadedcomments" xmlns:x="http://schemas.openxmlformats.org/spreadsheetml/2006/main">
  <threadedComment ref="E57" dT="2025-06-27T06:16:15.08" personId="{17076DA2-ED25-44EB-8064-7286FAB2C075}" id="{F8E071B4-F9F9-4DB6-8C77-1896CB8552B1}">
    <text>Checked</text>
  </threadedComment>
  <threadedComment ref="E58" dT="2025-07-01T22:54:40.80" personId="{17076DA2-ED25-44EB-8064-7286FAB2C075}" id="{D8B18294-9732-4776-9425-D03709F078EA}">
    <text>Stock</text>
  </threadedComment>
  <threadedComment ref="E59" dT="2025-07-15T01:37:19.15" personId="{17076DA2-ED25-44EB-8064-7286FAB2C075}" id="{4F113600-75DE-4E30-913B-98A6D2650318}">
    <text>Stock</text>
  </threadedComment>
</ThreadedComments>
</file>

<file path=xl/threadedComments/threadedComment12.xml><?xml version="1.0" encoding="utf-8"?>
<ThreadedComments xmlns="http://schemas.microsoft.com/office/spreadsheetml/2018/threadedcomments" xmlns:x="http://schemas.openxmlformats.org/spreadsheetml/2006/main">
  <threadedComment ref="E310" dT="2025-10-29T01:49:16.18" personId="{17076DA2-ED25-44EB-8064-7286FAB2C075}" id="{8B73CA7F-2500-4ABB-BF7D-2F2B10FFF969}">
    <text>Stock</text>
  </threadedComment>
  <threadedComment ref="E388" dT="2025-10-21T06:03:54.96" personId="{17076DA2-ED25-44EB-8064-7286FAB2C075}" id="{CB7396FD-BA4B-4BF9-B13B-B49BA9A47E7C}">
    <text>5% Comm'ns will be paid upon Achieving 5 x 5 Star Reviews</text>
  </threadedComment>
  <threadedComment ref="E389" dT="2025-10-21T06:03:54.96" personId="{17076DA2-ED25-44EB-8064-7286FAB2C075}" id="{C0B9FCC1-BD8C-4AE1-892B-97AEEFD02A09}">
    <text>5% Comm'ns will be paid upon Achieving 5 x 5 Star Reviews</text>
  </threadedComment>
</ThreadedComments>
</file>

<file path=xl/threadedComments/threadedComment13.xml><?xml version="1.0" encoding="utf-8"?>
<ThreadedComments xmlns="http://schemas.microsoft.com/office/spreadsheetml/2018/threadedcomments" xmlns:x="http://schemas.openxmlformats.org/spreadsheetml/2006/main">
  <threadedComment ref="E18" dT="2025-07-08T22:53:06.40" personId="{17076DA2-ED25-44EB-8064-7286FAB2C075}" id="{6CE52523-104B-475F-880E-7366BA5C9CF5}">
    <text>Stock</text>
  </threadedComment>
  <threadedComment ref="E137" dT="2025-08-10T04:29:50.27" personId="{17076DA2-ED25-44EB-8064-7286FAB2C075}" id="{D1145516-7717-4658-B5FC-46F230C7EE22}">
    <text>Stock</text>
  </threadedComment>
  <threadedComment ref="E138" dT="2025-08-11T23:14:58.60" personId="{17076DA2-ED25-44EB-8064-7286FAB2C075}" id="{EE29717A-D797-4C11-AEF5-C1B72B4EB066}">
    <text>Checked</text>
  </threadedComment>
  <threadedComment ref="E139" dT="2025-08-12T21:36:08.70" personId="{17076DA2-ED25-44EB-8064-7286FAB2C075}" id="{A83FC59B-B569-45AD-A5A6-03858ED53777}">
    <text>Checked</text>
  </threadedComment>
  <threadedComment ref="E203" dT="2025-08-18T06:21:43.87" personId="{17076DA2-ED25-44EB-8064-7286FAB2C075}" id="{AF17EE2D-B162-41AC-9EBE-BA4391A5EF69}">
    <text>5% Comm'ns will be paid upon Achieving 5 x 5 Star Reviews</text>
  </threadedComment>
  <threadedComment ref="E204" dT="2025-08-14T00:50:43.33" personId="{17076DA2-ED25-44EB-8064-7286FAB2C075}" id="{1CA3693F-220B-4263-B19D-3E98E7617EAD}">
    <text>Stock</text>
  </threadedComment>
  <threadedComment ref="E284" dT="2025-08-20T23:19:59.28" personId="{17076DA2-ED25-44EB-8064-7286FAB2C075}" id="{FA7CA6DC-7BDC-4CE1-828D-0878C9A0801F}">
    <text>Checked</text>
  </threadedComment>
  <threadedComment ref="E285" dT="2025-08-20T23:20:28.65" personId="{17076DA2-ED25-44EB-8064-7286FAB2C075}" id="{30F743E6-61BC-4B7A-879E-FC2BE6A4D6C3}">
    <text>Stock</text>
  </threadedComment>
  <threadedComment ref="E286" dT="2025-08-26T22:53:40.55" personId="{17076DA2-ED25-44EB-8064-7286FAB2C075}" id="{B03A5533-26DD-4589-815E-EDE071E22AC6}">
    <text>Stock</text>
  </threadedComment>
  <threadedComment ref="E287" dT="2025-08-26T22:53:45.98" personId="{17076DA2-ED25-44EB-8064-7286FAB2C075}" id="{DDA9E68E-C81F-43D1-BB22-00E133CFB6A3}">
    <text>Stock</text>
  </threadedComment>
  <threadedComment ref="E366" dT="2025-08-25T06:09:02.03" personId="{17076DA2-ED25-44EB-8064-7286FAB2C075}" id="{F713A2B0-1EC4-433A-B615-35D0B67EB6E8}">
    <text>5% Comm'ns to be Paid Upon Achieving 5 x 5 Star</text>
  </threadedComment>
  <threadedComment ref="E367" dT="2025-08-27T21:18:46.70" personId="{17076DA2-ED25-44EB-8064-7286FAB2C075}" id="{6CA14D57-48D3-4061-878D-8E7DEAF11C58}">
    <text>Checked</text>
  </threadedComment>
  <threadedComment ref="E368" dT="2025-08-29T06:24:04.29" personId="{17076DA2-ED25-44EB-8064-7286FAB2C075}" id="{CC9AAD3B-AC37-4A50-9CF1-0EB7273F3965}">
    <text>Checked</text>
  </threadedComment>
  <threadedComment ref="A419" dT="2025-09-02T05:10:10.21" personId="{17076DA2-ED25-44EB-8064-7286FAB2C075}" id="{B420EA88-3459-4F24-92C6-54553D47B3C5}">
    <text>5% Comm's to be Paid Upon Achieving 5 x 5 Star Reviews</text>
  </threadedComment>
  <threadedComment ref="E478" dT="2025-09-05T00:02:17.75" personId="{17076DA2-ED25-44EB-8064-7286FAB2C075}" id="{1ECDAC09-3725-4405-A1F6-B8929C640B35}">
    <text>Checked</text>
  </threadedComment>
  <threadedComment ref="E479" dT="2025-09-08T06:00:54.63" personId="{17076DA2-ED25-44EB-8064-7286FAB2C075}" id="{EE6BC42F-95E7-4B53-8783-060341CF3B12}">
    <text>Stock</text>
  </threadedComment>
  <threadedComment ref="A516" dT="2025-09-02T05:10:10.21" personId="{17076DA2-ED25-44EB-8064-7286FAB2C075}" id="{9F5CB259-700E-4262-A751-DC5B2017FBDC}">
    <text>5% Comm's to be Paid Upon Achieving 5 x 5 Star Reviews</text>
  </threadedComment>
  <threadedComment ref="A519" dT="2025-09-02T05:40:51.66" personId="{17076DA2-ED25-44EB-8064-7286FAB2C075}" id="{DE8627A2-D90E-4D15-A5C7-BF521344CD1B}">
    <text>5% Comm's to be Paid Upon Achieving 5 x 5 Star Reviews</text>
  </threadedComment>
  <threadedComment ref="E569" dT="2025-09-16T21:19:10.98" personId="{17076DA2-ED25-44EB-8064-7286FAB2C075}" id="{AAD642A7-AED7-4E4B-B4BB-77BA86862F81}">
    <text>Stock</text>
  </threadedComment>
  <threadedComment ref="A607" dT="2025-09-02T05:10:10.21" personId="{17076DA2-ED25-44EB-8064-7286FAB2C075}" id="{2E7B4210-D41D-4603-96EF-CF957A444143}">
    <text>5% Comm's to be Paid Upon Achieving 5 x 5 Star Reviews</text>
  </threadedComment>
  <threadedComment ref="A610" dT="2025-09-02T05:40:51.66" personId="{17076DA2-ED25-44EB-8064-7286FAB2C075}" id="{D2E2D43F-255B-4C85-965B-D2328FC1E3D9}">
    <text>5% Comm's to be Paid Upon Achieving 5 x 5 Star Reviews</text>
  </threadedComment>
  <threadedComment ref="T623" dT="2025-09-15T02:52:40.47" personId="{17076DA2-ED25-44EB-8064-7286FAB2C075}" id="{CDC1AC9D-CBB9-475A-87EF-E96BE4CBA674}">
    <text>Claiming 5 Star Review no Pic Uploaded</text>
  </threadedComment>
  <threadedComment ref="T636" dT="2025-09-15T02:52:40.47" personId="{17076DA2-ED25-44EB-8064-7286FAB2C075}" id="{EFB9F918-3807-4230-8A5F-37B0BEEAE0A3}">
    <text>Claiming 5 Star Review no Pic Uploaded</text>
  </threadedComment>
  <threadedComment ref="E664" dT="2025-09-19T01:47:47.27" personId="{17076DA2-ED25-44EB-8064-7286FAB2C075}" id="{59B4FFDE-7CF0-4248-9FDD-9FC1B174C12A}">
    <text>Checked</text>
  </threadedComment>
  <threadedComment ref="E665" dT="2025-09-22T07:23:53.10" personId="{17076DA2-ED25-44EB-8064-7286FAB2C075}" id="{1E81405B-C0E7-4538-8997-CC602067969E}">
    <text>Stock</text>
  </threadedComment>
  <threadedComment ref="E666" dT="2025-09-23T21:01:20.27" personId="{17076DA2-ED25-44EB-8064-7286FAB2C075}" id="{44830C20-96EC-4408-8584-8B969A22074B}">
    <text>Stock</text>
  </threadedComment>
  <threadedComment ref="A709" dT="2025-09-02T05:10:10.21" personId="{17076DA2-ED25-44EB-8064-7286FAB2C075}" id="{29DE13FA-07D4-4E50-9CBB-B97C20ACE184}">
    <text>5% Comm's to be Paid Upon Achieving 5 x 5 Star Reviews</text>
  </threadedComment>
  <threadedComment ref="A712" dT="2025-09-02T05:40:51.66" personId="{17076DA2-ED25-44EB-8064-7286FAB2C075}" id="{13F416E9-CF78-4AD9-9378-F238504AE9CC}">
    <text>5% Comm's to be Paid Upon Achieving 5 x 5 Star Reviews</text>
  </threadedComment>
  <threadedComment ref="A802" dT="2025-09-02T05:10:10.21" personId="{17076DA2-ED25-44EB-8064-7286FAB2C075}" id="{5F872D48-42BA-4E4D-A551-080FF1F210B2}">
    <text>5% Comm's to be Paid Upon Achieving 5 x 5 Star Reviews</text>
  </threadedComment>
  <threadedComment ref="A805" dT="2025-09-02T05:40:51.66" personId="{17076DA2-ED25-44EB-8064-7286FAB2C075}" id="{5112B27A-EF56-415E-831C-C46847AC2D56}">
    <text>5% Comm's to be Paid Upon Achieving 5 x 5 Star Reviews</text>
  </threadedComment>
  <threadedComment ref="E854" dT="2025-10-01T22:13:04.95" personId="{17076DA2-ED25-44EB-8064-7286FAB2C075}" id="{71C05909-E8BA-4CFE-92AB-C64EAEE775F1}">
    <text>Checked</text>
  </threadedComment>
  <threadedComment ref="E855" dT="2025-10-03T00:55:03.13" personId="{17076DA2-ED25-44EB-8064-7286FAB2C075}" id="{DAC56DA4-BB49-4C1A-B9C7-560E7F4C4A61}">
    <text>Checked</text>
  </threadedComment>
  <threadedComment ref="E856" dT="2025-10-03T00:55:08.01" personId="{17076DA2-ED25-44EB-8064-7286FAB2C075}" id="{CC79C42D-BC23-4587-A77C-8A30B45E3B8D}">
    <text>Checked</text>
  </threadedComment>
  <threadedComment ref="E857" dT="2025-10-07T03:15:18.86" personId="{17076DA2-ED25-44EB-8064-7286FAB2C075}" id="{9B06CA1C-2928-43AE-9EFE-42A928CB71DE}">
    <text>Checked</text>
  </threadedComment>
  <threadedComment ref="E858" dT="2025-10-07T03:15:25.89" personId="{17076DA2-ED25-44EB-8064-7286FAB2C075}" id="{C925109F-D83B-43C1-873B-BF92AED01DD0}">
    <text>Stock</text>
  </threadedComment>
  <threadedComment ref="E859" dT="2025-10-07T21:25:13.89" personId="{17076DA2-ED25-44EB-8064-7286FAB2C075}" id="{4F0686DC-BB15-4139-9134-68C7F3841FF0}">
    <text>Checked</text>
  </threadedComment>
  <threadedComment ref="A910" dT="2025-09-02T05:10:10.21" personId="{17076DA2-ED25-44EB-8064-7286FAB2C075}" id="{B5DC0B3C-98ED-4942-AC2B-A4C5CF9C52C5}">
    <text>5% Comm's to be Paid Upon Achieving 5 x 5 Star Reviews</text>
  </threadedComment>
  <threadedComment ref="A912" dT="2025-10-08T05:35:29.58" personId="{17076DA2-ED25-44EB-8064-7286FAB2C075}" id="{FDD1EBC7-033E-47FC-9058-A3AFBC807AF1}">
    <text>5% Comm's to be Paid Upon Achieving 5 x 5 Star Reviews</text>
  </threadedComment>
  <threadedComment ref="A913" dT="2025-09-02T05:40:51.66" personId="{17076DA2-ED25-44EB-8064-7286FAB2C075}" id="{3A8D7475-95C8-4555-982A-DD25934E72BB}">
    <text>5% Comm's to be Paid Upon Achieving 5 x 5 Star Reviews</text>
  </threadedComment>
  <threadedComment ref="A920" dT="2025-10-08T05:37:04.77" personId="{17076DA2-ED25-44EB-8064-7286FAB2C075}" id="{0ABAFDB7-FDA5-430E-A53A-F52B587BA117}">
    <text>5% Comm's to be Paid Upon Achieving 5 x 5 Star Reviews</text>
  </threadedComment>
  <threadedComment ref="A922" dT="2025-10-08T05:49:16.13" personId="{17076DA2-ED25-44EB-8064-7286FAB2C075}" id="{0658689D-4FD0-46AE-96A8-5E9C076E711C}">
    <text>5% Comm's to be Paid Upon Achieving 5 x 5 Star Reviews</text>
  </threadedComment>
  <threadedComment ref="A1014" dT="2025-09-02T05:10:10.21" personId="{17076DA2-ED25-44EB-8064-7286FAB2C075}" id="{32E740C6-166F-4574-8241-5EF1A232BEA3}">
    <text>5% Comm's to be Paid Upon Achieving 5 x 5 Star Reviews</text>
  </threadedComment>
  <threadedComment ref="A1016" dT="2025-10-08T05:35:29.58" personId="{17076DA2-ED25-44EB-8064-7286FAB2C075}" id="{5B1113A8-D43C-420F-A46C-7D59D169B36C}">
    <text>5% Comm's to be Paid Upon Achieving 5 x 5 Star Reviews</text>
  </threadedComment>
  <threadedComment ref="A1017" dT="2025-09-02T05:40:51.66" personId="{17076DA2-ED25-44EB-8064-7286FAB2C075}" id="{3898789A-B8B1-4C3F-BAC8-DD95CFCDA0CC}">
    <text>5% Comm's to be Paid Upon Achieving 5 x 5 Star Reviews</text>
  </threadedComment>
  <threadedComment ref="A1024" dT="2025-10-08T05:37:04.77" personId="{17076DA2-ED25-44EB-8064-7286FAB2C075}" id="{C68CF26A-F50C-4429-A796-6E487D9D9CA9}">
    <text>5% Comm's to be Paid Upon Achieving 5 x 5 Star Reviews</text>
  </threadedComment>
  <threadedComment ref="A1026" dT="2025-10-08T05:49:16.13" personId="{17076DA2-ED25-44EB-8064-7286FAB2C075}" id="{A4F63830-E618-4DA6-AE22-75C5FE03B983}">
    <text>5% Comm's to be Paid Upon Achieving 5 x 5 Star Reviews</text>
  </threadedComment>
  <threadedComment ref="A1031" dT="2025-10-14T05:30:54.33" personId="{17076DA2-ED25-44EB-8064-7286FAB2C075}" id="{C5704E10-AAD2-46B7-B66E-875265D24665}">
    <text>5% Comm's to be Paid Upon Achieving 5 x 5 Star Reviews</text>
  </threadedComment>
  <threadedComment ref="E1090" dT="2025-09-09T04:33:05.80" personId="{17076DA2-ED25-44EB-8064-7286FAB2C075}" id="{212B5630-4D7C-4589-8765-5DADE65D0ABF}">
    <text>5% Comm'ns will be paid upon Achieving 5 x 5 Star Reviews</text>
  </threadedComment>
  <threadedComment ref="E1091" dT="2025-09-15T07:03:31.55" personId="{17076DA2-ED25-44EB-8064-7286FAB2C075}" id="{839CC970-3B00-4E38-AEC1-F039968F76A9}">
    <text>5% Comm'ns will be paid upon Achieving 5 x 5 Star Reviews</text>
  </threadedComment>
  <threadedComment ref="E1092" dT="2025-09-15T07:03:31.55" personId="{17076DA2-ED25-44EB-8064-7286FAB2C075}" id="{9D8E0D9D-2381-43CC-995A-9FB1EEFB1E3E}">
    <text>5% Comm'ns will be paid upon Achieving 5 x 5 Star Reviews</text>
  </threadedComment>
  <threadedComment ref="E1093" dT="2025-09-26T02:19:40.26" personId="{17076DA2-ED25-44EB-8064-7286FAB2C075}" id="{E313B96B-607C-4065-BBFC-B79882F5A8A1}">
    <text>5% Comm'ns will be paid upon Achieving 5 x 5 Star Reviews</text>
  </threadedComment>
  <threadedComment ref="E1094" dT="2025-10-14T04:50:19.68" personId="{17076DA2-ED25-44EB-8064-7286FAB2C075}" id="{C028B6AC-9979-4206-BCFA-B03BB8A008E1}">
    <text>5% Comm'ns will be Paid Upon Achieving 5 x 5 Star Reviews</text>
  </threadedComment>
  <threadedComment ref="A1126" dT="2025-09-02T05:10:10.21" personId="{17076DA2-ED25-44EB-8064-7286FAB2C075}" id="{2A6C4487-C694-402B-8CAF-579432A9ACE5}">
    <text>5% Comm's to be Paid Upon Achieving 5 x 5 Star Reviews</text>
  </threadedComment>
  <threadedComment ref="A1128" dT="2025-10-08T05:35:29.58" personId="{17076DA2-ED25-44EB-8064-7286FAB2C075}" id="{49410BD3-B6FF-4376-8356-85DD341B727E}">
    <text>5% Comm's to be Paid Upon Achieving 5 x 5 Star Reviews</text>
  </threadedComment>
  <threadedComment ref="A1129" dT="2025-09-02T05:40:51.66" personId="{17076DA2-ED25-44EB-8064-7286FAB2C075}" id="{5C438A5F-E20A-4DA7-91E2-DCADC5569439}">
    <text>5% Comm's to be Paid Upon Achieving 5 x 5 Star Reviews</text>
  </threadedComment>
  <threadedComment ref="A1136" dT="2025-10-08T05:37:04.77" personId="{17076DA2-ED25-44EB-8064-7286FAB2C075}" id="{10915EE4-5D17-4BED-9BBA-D4D35A03C036}">
    <text>5% Comm's to be Paid Upon Achieving 5 x 5 Star Reviews</text>
  </threadedComment>
  <threadedComment ref="A1138" dT="2025-10-08T05:49:16.13" personId="{17076DA2-ED25-44EB-8064-7286FAB2C075}" id="{515570DE-1F13-44AE-966D-0DD7123D2C9A}">
    <text>5% Comm's to be Paid Upon Achieving 5 x 5 Star Reviews</text>
  </threadedComment>
  <threadedComment ref="A1143" dT="2025-10-14T05:30:54.33" personId="{17076DA2-ED25-44EB-8064-7286FAB2C075}" id="{576B047A-AF7E-411B-9831-4322B7434A17}">
    <text>5% Comm's to be Paid Upon Achieving 5 x 5 Star Reviews</text>
  </threadedComment>
</ThreadedComments>
</file>

<file path=xl/threadedComments/threadedComment14.xml><?xml version="1.0" encoding="utf-8"?>
<ThreadedComments xmlns="http://schemas.microsoft.com/office/spreadsheetml/2018/threadedcomments" xmlns:x="http://schemas.openxmlformats.org/spreadsheetml/2006/main">
  <threadedComment ref="E108" dT="2025-07-04T01:33:36.59" personId="{17076DA2-ED25-44EB-8064-7286FAB2C075}" id="{F3CF4F59-8EF1-40FF-BB0E-B9DBE85B2B1A}">
    <text>Checked</text>
  </threadedComment>
  <threadedComment ref="E110" dT="2025-07-07T05:37:42.67" personId="{17076DA2-ED25-44EB-8064-7286FAB2C075}" id="{82A3DEC7-96F0-467F-973C-7F3C4D811D94}">
    <text>Checked</text>
  </threadedComment>
  <threadedComment ref="E111" dT="2025-07-22T22:35:09.97" personId="{17076DA2-ED25-44EB-8064-7286FAB2C075}" id="{65939B1A-E2E0-429B-82B5-28F117091063}">
    <text>Stock</text>
  </threadedComment>
  <threadedComment ref="E281" dT="2025-07-30T21:37:52.50" personId="{17076DA2-ED25-44EB-8064-7286FAB2C075}" id="{9F1DD4A6-760D-4270-8FE6-024807741D1F}">
    <text>Stock</text>
  </threadedComment>
  <threadedComment ref="E375" dT="2025-08-11T06:01:29.10" personId="{17076DA2-ED25-44EB-8064-7286FAB2C075}" id="{44E3EE43-7795-4DF2-ACE8-1347069653EA}">
    <text>Checked</text>
  </threadedComment>
  <threadedComment ref="E376" dT="2025-08-11T22:29:22.01" personId="{17076DA2-ED25-44EB-8064-7286FAB2C075}" id="{4CCA76DC-4445-41FF-9B3B-449A56DB6B7C}">
    <text>Checked</text>
  </threadedComment>
  <threadedComment ref="E377" dT="2025-08-11T22:29:26.69" personId="{17076DA2-ED25-44EB-8064-7286FAB2C075}" id="{39070CC3-BA68-4555-A570-3350B8A60A8D}">
    <text>Checked</text>
  </threadedComment>
  <threadedComment ref="E378" dT="2025-08-12T05:33:21.01" personId="{17076DA2-ED25-44EB-8064-7286FAB2C075}" id="{1F762E4D-0215-46DC-BA61-DBA8B901BE44}">
    <text>CB - Joshua Attended Sun 10th Aug 2025</text>
  </threadedComment>
  <threadedComment ref="E470" dT="2025-08-19T04:05:13.54" personId="{17076DA2-ED25-44EB-8064-7286FAB2C075}" id="{5E3A3878-7325-43F1-A51F-63F4481997CA}">
    <text>#71622 - 15th Aug - Job Cancelled</text>
  </threadedComment>
  <threadedComment ref="E471" dT="2025-08-14T00:47:43.92" personId="{17076DA2-ED25-44EB-8064-7286FAB2C075}" id="{4C0C19DF-0033-48E4-BFEB-1E47DDCA104E}">
    <text>Unsuccessful</text>
  </threadedComment>
  <threadedComment ref="E472" dT="2025-08-14T00:48:21.17" personId="{17076DA2-ED25-44EB-8064-7286FAB2C075}" id="{162AEDE1-3D1C-4CB4-986D-B81DA8A8D610}">
    <text>Unsuccessful</text>
  </threadedComment>
  <threadedComment ref="E473" dT="2025-08-17T02:40:04.78" personId="{17076DA2-ED25-44EB-8064-7286FAB2C075}" id="{433AE38A-A999-44E2-9DA5-E4727C7394F4}">
    <text>Unsuccessful</text>
  </threadedComment>
  <threadedComment ref="E474" dT="2025-08-17T02:40:08.84" personId="{17076DA2-ED25-44EB-8064-7286FAB2C075}" id="{53AD1DC0-58F9-4532-9133-5274B99EE9E4}">
    <text>Unsuccessful</text>
  </threadedComment>
</ThreadedComments>
</file>

<file path=xl/threadedComments/threadedComment15.xml><?xml version="1.0" encoding="utf-8"?>
<ThreadedComments xmlns="http://schemas.microsoft.com/office/spreadsheetml/2018/threadedcomments" xmlns:x="http://schemas.openxmlformats.org/spreadsheetml/2006/main">
  <threadedComment ref="E360" dT="2025-07-16T23:47:12.94" personId="{17076DA2-ED25-44EB-8064-7286FAB2C075}" id="{3E14BABA-DA33-4CC5-8DF0-4ABC3F635E81}">
    <text>Checked</text>
  </threadedComment>
  <threadedComment ref="E361" dT="2025-07-16T23:47:18.72" personId="{17076DA2-ED25-44EB-8064-7286FAB2C075}" id="{425ACBDE-232F-444D-96FC-933DCD01EB2C}">
    <text>Stock</text>
  </threadedComment>
  <threadedComment ref="E362" dT="2025-07-17T23:04:09.98" personId="{17076DA2-ED25-44EB-8064-7286FAB2C075}" id="{C8DA95FF-4022-41F5-81FD-BDA6F9248E40}">
    <text>Stock</text>
  </threadedComment>
  <threadedComment ref="E363" dT="2025-07-17T23:04:09.98" personId="{17076DA2-ED25-44EB-8064-7286FAB2C075}" id="{020C1716-00EA-4F5B-9384-AD4171F46AB9}">
    <text>Checked</text>
  </threadedComment>
  <threadedComment ref="E364" dT="2025-07-21T05:29:35.79" personId="{17076DA2-ED25-44EB-8064-7286FAB2C075}" id="{7CE38F8D-6991-4805-A296-22584CCFDFDE}">
    <text>Checked</text>
  </threadedComment>
  <threadedComment ref="E459" dT="2025-07-29T04:00:33.60" personId="{17076DA2-ED25-44EB-8064-7286FAB2C075}" id="{AEDE94A1-71BD-4CB1-8D73-C86483C68BDB}">
    <text>Stock</text>
  </threadedComment>
  <threadedComment ref="E460" dT="2025-07-21T05:29:35.79" personId="{17076DA2-ED25-44EB-8064-7286FAB2C075}" id="{3EDF37FF-3F38-4912-A624-9E4B8F3B5D1E}">
    <text>Checked</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2.xml"/><Relationship Id="rId4" Type="http://schemas.microsoft.com/office/2017/10/relationships/threadedComment" Target="../threadedComments/threadedComment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D0B7D-BBAF-4CD9-A89A-04FE41414CD1}">
  <dimension ref="A1:AE316"/>
  <sheetViews>
    <sheetView topLeftCell="A274" workbookViewId="0">
      <selection activeCell="A292" sqref="A292:Q317"/>
    </sheetView>
  </sheetViews>
  <sheetFormatPr defaultRowHeight="15"/>
  <cols>
    <col min="1" max="1" width="11.85546875" style="2" customWidth="1"/>
    <col min="2" max="4" width="9.140625" style="2"/>
    <col min="5" max="5" width="23.28515625" style="2" customWidth="1"/>
    <col min="6" max="6" width="14.85546875" style="2" customWidth="1"/>
    <col min="7" max="7" width="13.85546875" style="2" customWidth="1"/>
    <col min="8" max="8" width="9.140625" style="2"/>
    <col min="9" max="9" width="14.42578125" style="2" customWidth="1"/>
    <col min="10" max="10" width="13" style="2" customWidth="1"/>
    <col min="11" max="11" width="13.5703125" style="2" bestFit="1" customWidth="1"/>
    <col min="12" max="16384" width="9.140625" style="2"/>
  </cols>
  <sheetData>
    <row r="1" spans="1:24">
      <c r="A1" s="1" t="s">
        <v>0</v>
      </c>
    </row>
    <row r="2" spans="1:24">
      <c r="A2" s="613"/>
      <c r="B2" s="4" t="s">
        <v>1</v>
      </c>
      <c r="C2" s="5"/>
      <c r="D2" s="6"/>
      <c r="E2" s="6"/>
      <c r="F2" s="7" t="s">
        <v>2</v>
      </c>
      <c r="G2" s="608"/>
      <c r="H2" s="7"/>
      <c r="I2" s="6"/>
      <c r="J2" s="6"/>
      <c r="K2" s="6"/>
      <c r="L2" s="6"/>
      <c r="M2" s="6"/>
      <c r="N2" s="6"/>
      <c r="O2" s="6"/>
      <c r="P2" s="6"/>
      <c r="Q2" s="6"/>
      <c r="R2" s="6"/>
      <c r="S2" s="6"/>
      <c r="T2" s="6"/>
      <c r="U2" s="9"/>
      <c r="V2" s="10"/>
      <c r="W2" s="10"/>
      <c r="X2" s="10"/>
    </row>
    <row r="3" spans="1:24">
      <c r="A3" s="614"/>
      <c r="B3" s="11"/>
      <c r="C3" s="10"/>
      <c r="D3" s="10"/>
      <c r="E3" s="10"/>
      <c r="F3" s="10"/>
      <c r="G3" s="7"/>
      <c r="H3" s="12"/>
      <c r="I3" s="10"/>
      <c r="J3" s="10"/>
      <c r="K3" s="13" t="s">
        <v>3</v>
      </c>
      <c r="L3" s="14"/>
      <c r="M3" s="15"/>
      <c r="N3" s="13" t="s">
        <v>4</v>
      </c>
      <c r="O3" s="14"/>
      <c r="P3" s="15"/>
      <c r="Q3" s="13" t="s">
        <v>5</v>
      </c>
      <c r="R3" s="14"/>
      <c r="S3" s="15"/>
      <c r="T3" s="16"/>
      <c r="U3" s="17"/>
      <c r="V3" s="10"/>
      <c r="W3" s="10"/>
      <c r="X3" s="10"/>
    </row>
    <row r="4" spans="1:24">
      <c r="A4" s="614"/>
      <c r="B4" s="18" t="s">
        <v>6</v>
      </c>
      <c r="C4" s="19">
        <f>C5+C6</f>
        <v>0</v>
      </c>
      <c r="D4" s="10"/>
      <c r="E4" s="18" t="s">
        <v>7</v>
      </c>
      <c r="F4" s="6"/>
      <c r="G4" s="9"/>
      <c r="H4" s="10"/>
      <c r="I4" s="10"/>
      <c r="J4" s="10"/>
      <c r="K4" s="20" t="s">
        <v>8</v>
      </c>
      <c r="L4" s="21" t="s">
        <v>9</v>
      </c>
      <c r="M4" s="21" t="s">
        <v>10</v>
      </c>
      <c r="N4" s="20" t="s">
        <v>11</v>
      </c>
      <c r="O4" s="21" t="s">
        <v>12</v>
      </c>
      <c r="P4" s="22" t="s">
        <v>13</v>
      </c>
      <c r="Q4" s="21" t="s">
        <v>11</v>
      </c>
      <c r="R4" s="21" t="s">
        <v>12</v>
      </c>
      <c r="S4" s="22" t="s">
        <v>13</v>
      </c>
      <c r="T4" s="23" t="s">
        <v>14</v>
      </c>
      <c r="U4" s="17"/>
      <c r="V4" s="10"/>
      <c r="W4" s="10"/>
      <c r="X4" s="10"/>
    </row>
    <row r="5" spans="1:24">
      <c r="A5" s="614"/>
      <c r="B5" s="24" t="s">
        <v>15</v>
      </c>
      <c r="C5" s="25">
        <f>P12</f>
        <v>0</v>
      </c>
      <c r="D5" s="10"/>
      <c r="E5" s="26" t="s">
        <v>16</v>
      </c>
      <c r="F5" s="27">
        <v>0.05</v>
      </c>
      <c r="G5" s="28"/>
      <c r="H5" s="10"/>
      <c r="I5" s="10"/>
      <c r="J5" s="18" t="s">
        <v>17</v>
      </c>
      <c r="K5" s="29">
        <f>K46</f>
        <v>0</v>
      </c>
      <c r="L5" s="29">
        <f t="shared" ref="L5:S5" si="0">L46</f>
        <v>0</v>
      </c>
      <c r="M5" s="29">
        <f t="shared" si="0"/>
        <v>0</v>
      </c>
      <c r="N5" s="29">
        <f t="shared" si="0"/>
        <v>0</v>
      </c>
      <c r="O5" s="29">
        <f t="shared" si="0"/>
        <v>0</v>
      </c>
      <c r="P5" s="29">
        <f t="shared" si="0"/>
        <v>0</v>
      </c>
      <c r="Q5" s="29">
        <f t="shared" si="0"/>
        <v>0</v>
      </c>
      <c r="R5" s="29">
        <f t="shared" si="0"/>
        <v>0</v>
      </c>
      <c r="S5" s="29">
        <f t="shared" si="0"/>
        <v>0</v>
      </c>
      <c r="T5" s="30">
        <f>T143</f>
        <v>0</v>
      </c>
      <c r="U5" s="17"/>
      <c r="V5" s="10"/>
      <c r="W5" s="10"/>
      <c r="X5" s="10"/>
    </row>
    <row r="6" spans="1:24">
      <c r="A6" s="614"/>
      <c r="B6" s="24" t="s">
        <v>18</v>
      </c>
      <c r="C6" s="25">
        <f>P13</f>
        <v>0</v>
      </c>
      <c r="D6" s="10"/>
      <c r="E6" s="10"/>
      <c r="F6" s="10"/>
      <c r="G6" s="31"/>
      <c r="H6" s="10"/>
      <c r="I6" s="10"/>
      <c r="J6" s="32" t="s">
        <v>19</v>
      </c>
      <c r="K6" s="33" t="e">
        <f>K46/K45</f>
        <v>#DIV/0!</v>
      </c>
      <c r="L6" s="33" t="e">
        <f t="shared" ref="L6:S6" si="1">L46/L45</f>
        <v>#DIV/0!</v>
      </c>
      <c r="M6" s="33" t="e">
        <f t="shared" si="1"/>
        <v>#DIV/0!</v>
      </c>
      <c r="N6" s="33" t="e">
        <f t="shared" si="1"/>
        <v>#DIV/0!</v>
      </c>
      <c r="O6" s="33" t="e">
        <f t="shared" si="1"/>
        <v>#DIV/0!</v>
      </c>
      <c r="P6" s="33" t="e">
        <f t="shared" si="1"/>
        <v>#DIV/0!</v>
      </c>
      <c r="Q6" s="33" t="e">
        <f t="shared" si="1"/>
        <v>#DIV/0!</v>
      </c>
      <c r="R6" s="33" t="e">
        <f t="shared" si="1"/>
        <v>#DIV/0!</v>
      </c>
      <c r="S6" s="33" t="e">
        <f t="shared" si="1"/>
        <v>#DIV/0!</v>
      </c>
      <c r="T6" s="23"/>
      <c r="U6" s="17" t="s">
        <v>20</v>
      </c>
      <c r="V6" s="10"/>
      <c r="W6" s="10"/>
      <c r="X6" s="10"/>
    </row>
    <row r="7" spans="1:24">
      <c r="A7" s="614"/>
      <c r="B7" s="24" t="s">
        <v>21</v>
      </c>
      <c r="C7" s="34" t="e">
        <f>P14</f>
        <v>#DIV/0!</v>
      </c>
      <c r="D7" s="10"/>
      <c r="E7" s="10"/>
      <c r="F7" s="10"/>
      <c r="G7" s="10"/>
      <c r="H7" s="10"/>
      <c r="I7" s="10"/>
      <c r="J7" s="10"/>
      <c r="K7" s="10"/>
      <c r="L7" s="10"/>
      <c r="M7" s="10"/>
      <c r="N7" s="10"/>
      <c r="O7" s="10"/>
      <c r="P7" s="10"/>
      <c r="Q7" s="10"/>
      <c r="R7" s="10"/>
      <c r="S7" s="10"/>
      <c r="T7" s="10"/>
      <c r="U7" s="17"/>
      <c r="V7" s="10"/>
      <c r="W7" s="10"/>
      <c r="X7" s="10"/>
    </row>
    <row r="8" spans="1:24">
      <c r="A8" s="614"/>
      <c r="B8" s="24"/>
      <c r="C8" s="25"/>
      <c r="D8" s="10"/>
      <c r="E8" s="10"/>
      <c r="F8" s="18" t="s">
        <v>22</v>
      </c>
      <c r="G8" s="19" t="s">
        <v>23</v>
      </c>
      <c r="H8" s="35" t="s">
        <v>24</v>
      </c>
      <c r="I8" s="10"/>
      <c r="J8" s="10"/>
      <c r="K8" s="36"/>
      <c r="L8" s="36"/>
      <c r="M8" s="36"/>
      <c r="N8" s="36"/>
      <c r="O8" s="36"/>
      <c r="P8" s="36"/>
      <c r="Q8" s="36"/>
      <c r="R8" s="10"/>
      <c r="S8" s="10"/>
      <c r="T8" s="10"/>
      <c r="U8" s="17"/>
      <c r="V8" s="10"/>
      <c r="W8" s="10"/>
      <c r="X8" s="10"/>
    </row>
    <row r="9" spans="1:24">
      <c r="A9" s="614"/>
      <c r="B9" s="32" t="s">
        <v>25</v>
      </c>
      <c r="C9" s="37" t="e">
        <f>P15</f>
        <v>#DIV/0!</v>
      </c>
      <c r="D9" s="10"/>
      <c r="E9" s="18" t="s">
        <v>26</v>
      </c>
      <c r="F9" s="38">
        <f>P11</f>
        <v>0</v>
      </c>
      <c r="G9" s="39">
        <f>I45+I79+I101</f>
        <v>0</v>
      </c>
      <c r="H9" s="40"/>
      <c r="I9" s="41"/>
      <c r="J9" s="42"/>
      <c r="K9" s="43" t="s">
        <v>27</v>
      </c>
      <c r="L9" s="44"/>
      <c r="M9" s="44"/>
      <c r="N9" s="44"/>
      <c r="O9" s="44"/>
      <c r="P9" s="44"/>
      <c r="Q9" s="45"/>
      <c r="R9" s="46" t="s">
        <v>28</v>
      </c>
      <c r="S9" s="47" t="s">
        <v>29</v>
      </c>
      <c r="T9" s="10"/>
      <c r="U9" s="17"/>
      <c r="V9" s="10"/>
      <c r="W9" s="10"/>
      <c r="X9" s="10"/>
    </row>
    <row r="10" spans="1:24">
      <c r="A10" s="614"/>
      <c r="B10" s="11"/>
      <c r="C10" s="10"/>
      <c r="D10" s="10"/>
      <c r="E10" s="24" t="s">
        <v>30</v>
      </c>
      <c r="F10" s="48">
        <f>F5</f>
        <v>0.05</v>
      </c>
      <c r="G10" s="17"/>
      <c r="H10" s="40"/>
      <c r="I10" s="41"/>
      <c r="J10" s="42"/>
      <c r="K10" s="20" t="s">
        <v>31</v>
      </c>
      <c r="L10" s="21" t="s">
        <v>32</v>
      </c>
      <c r="M10" s="21" t="s">
        <v>33</v>
      </c>
      <c r="N10" s="21" t="s">
        <v>34</v>
      </c>
      <c r="O10" s="21" t="s">
        <v>35</v>
      </c>
      <c r="P10" s="21" t="s">
        <v>36</v>
      </c>
      <c r="Q10" s="49" t="s">
        <v>37</v>
      </c>
      <c r="R10" s="50" t="s">
        <v>38</v>
      </c>
      <c r="S10" s="50" t="s">
        <v>38</v>
      </c>
      <c r="T10" s="10"/>
      <c r="U10" s="17"/>
      <c r="V10" s="10"/>
      <c r="W10" s="10"/>
      <c r="X10" s="10"/>
    </row>
    <row r="11" spans="1:24">
      <c r="A11" s="614"/>
      <c r="B11" s="11"/>
      <c r="C11" s="10"/>
      <c r="D11" s="10"/>
      <c r="E11" s="51" t="s">
        <v>39</v>
      </c>
      <c r="F11" s="52">
        <f>F9*F10</f>
        <v>0</v>
      </c>
      <c r="G11" s="53" t="s">
        <v>40</v>
      </c>
      <c r="H11" s="54">
        <f>F11/1.12</f>
        <v>0</v>
      </c>
      <c r="I11" s="55"/>
      <c r="J11" s="42"/>
      <c r="K11" s="56"/>
      <c r="L11" s="57"/>
      <c r="M11" s="57"/>
      <c r="N11" s="57"/>
      <c r="O11" s="57"/>
      <c r="P11" s="57">
        <f>SUM(K11:O11)</f>
        <v>0</v>
      </c>
      <c r="Q11" s="58">
        <v>0</v>
      </c>
      <c r="R11" s="59">
        <f>I79+I101</f>
        <v>0</v>
      </c>
      <c r="S11" s="59">
        <f>I90+I112</f>
        <v>0</v>
      </c>
      <c r="T11" s="10"/>
      <c r="U11" s="17"/>
      <c r="V11" s="10"/>
      <c r="W11" s="10"/>
      <c r="X11" s="10"/>
    </row>
    <row r="12" spans="1:24">
      <c r="A12" s="614"/>
      <c r="B12" s="11"/>
      <c r="C12" s="10"/>
      <c r="D12" s="10"/>
      <c r="E12" s="24" t="s">
        <v>41</v>
      </c>
      <c r="F12" s="60">
        <f>Q11</f>
        <v>0</v>
      </c>
      <c r="G12" s="61" t="s">
        <v>40</v>
      </c>
      <c r="H12" s="62"/>
      <c r="I12" s="62"/>
      <c r="J12" s="10" t="s">
        <v>42</v>
      </c>
      <c r="K12" s="63"/>
      <c r="L12" s="63"/>
      <c r="M12" s="63"/>
      <c r="N12" s="63"/>
      <c r="O12" s="63"/>
      <c r="P12" s="21">
        <f>SUM(K12:O12)</f>
        <v>0</v>
      </c>
      <c r="Q12" s="64"/>
      <c r="R12" s="63"/>
      <c r="S12" s="10"/>
      <c r="T12" s="10"/>
      <c r="U12" s="17"/>
      <c r="V12" s="10"/>
      <c r="W12" s="10"/>
      <c r="X12" s="10"/>
    </row>
    <row r="13" spans="1:24">
      <c r="A13" s="614"/>
      <c r="B13" s="11"/>
      <c r="C13" s="10"/>
      <c r="D13" s="10"/>
      <c r="E13" s="51" t="s">
        <v>43</v>
      </c>
      <c r="F13" s="52">
        <f>F12*0.25</f>
        <v>0</v>
      </c>
      <c r="G13" s="53" t="s">
        <v>40</v>
      </c>
      <c r="H13" s="54">
        <f>F13/1.12</f>
        <v>0</v>
      </c>
      <c r="I13" s="10"/>
      <c r="J13" s="10" t="s">
        <v>44</v>
      </c>
      <c r="K13" s="63"/>
      <c r="L13" s="63"/>
      <c r="M13" s="63"/>
      <c r="N13" s="63"/>
      <c r="O13" s="63"/>
      <c r="P13" s="21">
        <f>SUM(K13:O13)</f>
        <v>0</v>
      </c>
      <c r="Q13" s="64"/>
      <c r="R13" s="63"/>
      <c r="S13" s="10"/>
      <c r="T13" s="10"/>
      <c r="U13" s="17"/>
      <c r="V13" s="10"/>
      <c r="W13" s="10"/>
      <c r="X13" s="10"/>
    </row>
    <row r="14" spans="1:24">
      <c r="A14" s="614"/>
      <c r="B14" s="11"/>
      <c r="C14" s="10"/>
      <c r="D14" s="10"/>
      <c r="E14" s="24" t="s">
        <v>45</v>
      </c>
      <c r="F14" s="60"/>
      <c r="G14" s="61" t="s">
        <v>40</v>
      </c>
      <c r="H14" s="62"/>
      <c r="I14" s="10"/>
      <c r="J14" s="10" t="s">
        <v>46</v>
      </c>
      <c r="K14" s="31" t="e">
        <f t="shared" ref="K14:Q14" si="2">K12/(K12+K13)</f>
        <v>#DIV/0!</v>
      </c>
      <c r="L14" s="31" t="e">
        <f t="shared" si="2"/>
        <v>#DIV/0!</v>
      </c>
      <c r="M14" s="31" t="e">
        <f t="shared" si="2"/>
        <v>#DIV/0!</v>
      </c>
      <c r="N14" s="31" t="e">
        <f t="shared" si="2"/>
        <v>#DIV/0!</v>
      </c>
      <c r="O14" s="31" t="e">
        <f t="shared" si="2"/>
        <v>#DIV/0!</v>
      </c>
      <c r="P14" s="31" t="e">
        <f t="shared" si="2"/>
        <v>#DIV/0!</v>
      </c>
      <c r="Q14" s="31" t="e">
        <f t="shared" si="2"/>
        <v>#DIV/0!</v>
      </c>
      <c r="R14" s="63"/>
      <c r="S14" s="10"/>
      <c r="T14" s="10"/>
      <c r="U14" s="17"/>
      <c r="V14" s="10"/>
      <c r="W14" s="10"/>
      <c r="X14" s="10"/>
    </row>
    <row r="15" spans="1:24">
      <c r="A15" s="614"/>
      <c r="B15" s="11"/>
      <c r="C15" s="10"/>
      <c r="D15" s="10"/>
      <c r="E15" s="51" t="s">
        <v>47</v>
      </c>
      <c r="F15" s="52">
        <f>F14*0.05</f>
        <v>0</v>
      </c>
      <c r="G15" s="65" t="s">
        <v>40</v>
      </c>
      <c r="H15" s="54">
        <f>F15/1.12</f>
        <v>0</v>
      </c>
      <c r="I15" s="42"/>
      <c r="J15" s="10" t="s">
        <v>48</v>
      </c>
      <c r="K15" s="66" t="e">
        <f>K11/K12</f>
        <v>#DIV/0!</v>
      </c>
      <c r="L15" s="66" t="e">
        <f t="shared" ref="L15:Q15" si="3">L11/L12</f>
        <v>#DIV/0!</v>
      </c>
      <c r="M15" s="66" t="e">
        <f t="shared" si="3"/>
        <v>#DIV/0!</v>
      </c>
      <c r="N15" s="66" t="e">
        <f t="shared" si="3"/>
        <v>#DIV/0!</v>
      </c>
      <c r="O15" s="66" t="e">
        <f t="shared" si="3"/>
        <v>#DIV/0!</v>
      </c>
      <c r="P15" s="66" t="e">
        <f t="shared" si="3"/>
        <v>#DIV/0!</v>
      </c>
      <c r="Q15" s="66" t="e">
        <f t="shared" si="3"/>
        <v>#DIV/0!</v>
      </c>
      <c r="R15" s="63"/>
      <c r="S15" s="10"/>
      <c r="T15" s="10"/>
      <c r="U15" s="17"/>
      <c r="V15" s="10"/>
      <c r="W15" s="10"/>
      <c r="X15" s="10"/>
    </row>
    <row r="16" spans="1:24">
      <c r="A16" s="614"/>
      <c r="B16" s="11"/>
      <c r="C16" s="10"/>
      <c r="D16" s="10"/>
      <c r="E16" s="67" t="s">
        <v>14</v>
      </c>
      <c r="F16" s="68"/>
      <c r="G16" s="10"/>
      <c r="H16" s="54">
        <f>F16/1.12</f>
        <v>0</v>
      </c>
      <c r="I16" s="10"/>
      <c r="J16" s="10"/>
      <c r="K16" s="10"/>
      <c r="L16" s="10"/>
      <c r="M16" s="10"/>
      <c r="N16" s="10"/>
      <c r="O16" s="10"/>
      <c r="P16" s="10"/>
      <c r="Q16" s="10"/>
      <c r="R16" s="10"/>
      <c r="S16" s="10"/>
      <c r="T16" s="10"/>
      <c r="U16" s="17"/>
      <c r="V16" s="10"/>
      <c r="W16" s="10"/>
      <c r="X16" s="10"/>
    </row>
    <row r="17" spans="1:24">
      <c r="A17" s="614"/>
      <c r="B17" s="11"/>
      <c r="C17" s="10"/>
      <c r="D17" s="10"/>
      <c r="E17" s="67" t="s">
        <v>49</v>
      </c>
      <c r="F17" s="69">
        <f>T6</f>
        <v>0</v>
      </c>
      <c r="G17" s="10"/>
      <c r="H17" s="54"/>
      <c r="I17" s="55"/>
      <c r="J17" s="42"/>
      <c r="K17" s="764" t="s">
        <v>50</v>
      </c>
      <c r="L17" s="765"/>
      <c r="M17" s="765"/>
      <c r="N17" s="765"/>
      <c r="O17" s="765"/>
      <c r="P17" s="765"/>
      <c r="Q17" s="766"/>
      <c r="R17" s="70" t="s">
        <v>28</v>
      </c>
      <c r="S17" s="71" t="s">
        <v>29</v>
      </c>
      <c r="T17" s="10"/>
      <c r="U17" s="17"/>
      <c r="V17" s="10"/>
      <c r="W17" s="10"/>
      <c r="X17" s="10"/>
    </row>
    <row r="18" spans="1:24">
      <c r="A18" s="614"/>
      <c r="B18" s="11"/>
      <c r="C18" s="10"/>
      <c r="D18" s="10"/>
      <c r="E18" s="72"/>
      <c r="F18" s="73"/>
      <c r="G18" s="10"/>
      <c r="H18" s="10"/>
      <c r="I18" s="10"/>
      <c r="J18" s="42"/>
      <c r="K18" s="20" t="s">
        <v>31</v>
      </c>
      <c r="L18" s="21" t="s">
        <v>32</v>
      </c>
      <c r="M18" s="21" t="s">
        <v>33</v>
      </c>
      <c r="N18" s="21" t="s">
        <v>34</v>
      </c>
      <c r="O18" s="21" t="s">
        <v>35</v>
      </c>
      <c r="P18" s="21" t="s">
        <v>36</v>
      </c>
      <c r="Q18" s="49" t="s">
        <v>37</v>
      </c>
      <c r="R18" s="50" t="s">
        <v>38</v>
      </c>
      <c r="S18" s="50" t="s">
        <v>38</v>
      </c>
      <c r="T18" s="10"/>
      <c r="U18" s="17"/>
      <c r="V18" s="10"/>
      <c r="W18" s="10"/>
      <c r="X18" s="10"/>
    </row>
    <row r="19" spans="1:24">
      <c r="A19" s="614"/>
      <c r="B19" s="11"/>
      <c r="C19" s="10"/>
      <c r="D19" s="10"/>
      <c r="E19" s="72"/>
      <c r="F19" s="73"/>
      <c r="G19" s="10"/>
      <c r="H19" s="10"/>
      <c r="I19" s="10"/>
      <c r="J19" s="42"/>
      <c r="K19" s="56"/>
      <c r="L19" s="57"/>
      <c r="M19" s="57"/>
      <c r="N19" s="57"/>
      <c r="O19" s="57"/>
      <c r="P19" s="57"/>
      <c r="Q19" s="58">
        <v>0</v>
      </c>
      <c r="R19" s="59">
        <f>F79+F101</f>
        <v>0</v>
      </c>
      <c r="S19" s="59">
        <f>F90+F112</f>
        <v>0</v>
      </c>
      <c r="T19" s="10"/>
      <c r="U19" s="17"/>
      <c r="V19" s="10"/>
      <c r="W19" s="10"/>
      <c r="X19" s="10"/>
    </row>
    <row r="20" spans="1:24">
      <c r="A20" s="614"/>
      <c r="B20" s="11"/>
      <c r="C20" s="10"/>
      <c r="D20" s="10"/>
      <c r="E20" s="72"/>
      <c r="F20" s="73"/>
      <c r="G20" s="10"/>
      <c r="H20" s="10"/>
      <c r="I20" s="10"/>
      <c r="J20" s="10" t="s">
        <v>42</v>
      </c>
      <c r="K20" s="63">
        <f>K12</f>
        <v>0</v>
      </c>
      <c r="L20" s="63">
        <f t="shared" ref="L20:Q21" si="4">L12</f>
        <v>0</v>
      </c>
      <c r="M20" s="63">
        <f t="shared" si="4"/>
        <v>0</v>
      </c>
      <c r="N20" s="63">
        <f t="shared" si="4"/>
        <v>0</v>
      </c>
      <c r="O20" s="63">
        <f t="shared" si="4"/>
        <v>0</v>
      </c>
      <c r="P20" s="63">
        <f t="shared" si="4"/>
        <v>0</v>
      </c>
      <c r="Q20" s="63">
        <f t="shared" si="4"/>
        <v>0</v>
      </c>
      <c r="R20" s="63"/>
      <c r="S20" s="10"/>
      <c r="T20" s="10"/>
      <c r="U20" s="17"/>
      <c r="V20" s="10"/>
      <c r="W20" s="10"/>
      <c r="X20" s="10"/>
    </row>
    <row r="21" spans="1:24">
      <c r="A21" s="614"/>
      <c r="B21" s="11"/>
      <c r="C21" s="10"/>
      <c r="D21" s="10"/>
      <c r="E21" s="74"/>
      <c r="F21" s="75"/>
      <c r="G21" s="10"/>
      <c r="H21" s="10"/>
      <c r="I21" s="10"/>
      <c r="J21" s="10" t="s">
        <v>44</v>
      </c>
      <c r="K21" s="63">
        <f>K13</f>
        <v>0</v>
      </c>
      <c r="L21" s="63">
        <f t="shared" si="4"/>
        <v>0</v>
      </c>
      <c r="M21" s="63">
        <f t="shared" si="4"/>
        <v>0</v>
      </c>
      <c r="N21" s="63">
        <f t="shared" si="4"/>
        <v>0</v>
      </c>
      <c r="O21" s="63">
        <f t="shared" si="4"/>
        <v>0</v>
      </c>
      <c r="P21" s="63">
        <f t="shared" si="4"/>
        <v>0</v>
      </c>
      <c r="Q21" s="63">
        <f t="shared" si="4"/>
        <v>0</v>
      </c>
      <c r="R21" s="63"/>
      <c r="S21" s="10"/>
      <c r="T21" s="10"/>
      <c r="U21" s="17"/>
      <c r="V21" s="10"/>
      <c r="W21" s="10"/>
      <c r="X21" s="10"/>
    </row>
    <row r="22" spans="1:24">
      <c r="A22" s="614"/>
      <c r="B22" s="11"/>
      <c r="C22" s="10"/>
      <c r="D22" s="10"/>
      <c r="E22" s="12"/>
      <c r="F22" s="76"/>
      <c r="G22" s="10"/>
      <c r="H22" s="10"/>
      <c r="I22" s="10"/>
      <c r="J22" s="10" t="s">
        <v>46</v>
      </c>
      <c r="K22" s="31" t="e">
        <f t="shared" ref="K22:Q22" si="5">K20/(K20+K21)</f>
        <v>#DIV/0!</v>
      </c>
      <c r="L22" s="31" t="e">
        <f t="shared" si="5"/>
        <v>#DIV/0!</v>
      </c>
      <c r="M22" s="31" t="e">
        <f t="shared" si="5"/>
        <v>#DIV/0!</v>
      </c>
      <c r="N22" s="31" t="e">
        <f t="shared" si="5"/>
        <v>#DIV/0!</v>
      </c>
      <c r="O22" s="31" t="e">
        <f t="shared" si="5"/>
        <v>#DIV/0!</v>
      </c>
      <c r="P22" s="31" t="e">
        <f t="shared" si="5"/>
        <v>#DIV/0!</v>
      </c>
      <c r="Q22" s="31" t="e">
        <f t="shared" si="5"/>
        <v>#DIV/0!</v>
      </c>
      <c r="R22" s="63"/>
      <c r="S22" s="10"/>
      <c r="T22" s="10"/>
      <c r="U22" s="17"/>
      <c r="V22" s="10"/>
      <c r="W22" s="10"/>
      <c r="X22" s="10"/>
    </row>
    <row r="23" spans="1:24">
      <c r="A23" s="614"/>
      <c r="B23" s="11"/>
      <c r="C23" s="10"/>
      <c r="D23" s="10"/>
      <c r="E23" s="10"/>
      <c r="F23" s="10"/>
      <c r="G23" s="10"/>
      <c r="H23" s="10"/>
      <c r="I23" s="10"/>
      <c r="J23" s="10" t="s">
        <v>48</v>
      </c>
      <c r="K23" s="66" t="e">
        <f t="shared" ref="K23:Q23" si="6">K19/K20</f>
        <v>#DIV/0!</v>
      </c>
      <c r="L23" s="66" t="e">
        <f t="shared" si="6"/>
        <v>#DIV/0!</v>
      </c>
      <c r="M23" s="66" t="e">
        <f t="shared" si="6"/>
        <v>#DIV/0!</v>
      </c>
      <c r="N23" s="66" t="e">
        <f t="shared" si="6"/>
        <v>#DIV/0!</v>
      </c>
      <c r="O23" s="66" t="e">
        <f t="shared" si="6"/>
        <v>#DIV/0!</v>
      </c>
      <c r="P23" s="66" t="e">
        <f t="shared" si="6"/>
        <v>#DIV/0!</v>
      </c>
      <c r="Q23" s="66" t="e">
        <f t="shared" si="6"/>
        <v>#DIV/0!</v>
      </c>
      <c r="R23" s="63"/>
      <c r="S23" s="10"/>
      <c r="T23" s="10"/>
      <c r="U23" s="17"/>
      <c r="V23" s="10"/>
      <c r="W23" s="10"/>
      <c r="X23" s="10"/>
    </row>
    <row r="24" spans="1:24">
      <c r="A24" s="614"/>
      <c r="B24" s="11"/>
      <c r="C24" s="10"/>
      <c r="D24" s="10"/>
      <c r="E24" s="10"/>
      <c r="F24" s="10"/>
      <c r="G24" s="10"/>
      <c r="H24" s="10"/>
      <c r="I24" s="10"/>
      <c r="J24" s="10"/>
      <c r="K24" s="10"/>
      <c r="L24" s="10"/>
      <c r="M24" s="10"/>
      <c r="N24" s="10"/>
      <c r="O24" s="10"/>
      <c r="P24" s="10"/>
      <c r="Q24" s="10"/>
      <c r="R24" s="10"/>
      <c r="S24" s="10"/>
      <c r="T24" s="10"/>
      <c r="U24" s="17"/>
      <c r="V24" s="10"/>
      <c r="W24" s="10"/>
      <c r="X24" s="10"/>
    </row>
    <row r="25" spans="1:24">
      <c r="A25" s="614"/>
      <c r="B25" s="11"/>
      <c r="C25" s="10"/>
      <c r="D25" s="10"/>
      <c r="E25" s="10"/>
      <c r="F25" s="10"/>
      <c r="G25" s="10"/>
      <c r="H25" s="10"/>
      <c r="I25" s="10"/>
      <c r="J25" s="10"/>
      <c r="K25" s="10"/>
      <c r="L25" s="10"/>
      <c r="M25" s="10"/>
      <c r="N25" s="10"/>
      <c r="O25" s="10"/>
      <c r="P25" s="10"/>
      <c r="Q25" s="10"/>
      <c r="R25" s="10"/>
      <c r="S25" s="10"/>
      <c r="T25" s="10"/>
      <c r="U25" s="17"/>
      <c r="V25" s="10"/>
      <c r="W25" s="10"/>
      <c r="X25" s="10"/>
    </row>
    <row r="26" spans="1:24">
      <c r="A26" s="614"/>
      <c r="B26" s="18" t="s">
        <v>51</v>
      </c>
      <c r="C26" s="14"/>
      <c r="D26" s="14"/>
      <c r="E26" s="14"/>
      <c r="F26" s="13" t="s">
        <v>52</v>
      </c>
      <c r="G26" s="14"/>
      <c r="H26" s="14"/>
      <c r="I26" s="14"/>
      <c r="J26" s="14"/>
      <c r="K26" s="13" t="s">
        <v>3</v>
      </c>
      <c r="L26" s="14"/>
      <c r="M26" s="14"/>
      <c r="N26" s="13" t="s">
        <v>4</v>
      </c>
      <c r="O26" s="14"/>
      <c r="P26" s="14"/>
      <c r="Q26" s="13" t="s">
        <v>5</v>
      </c>
      <c r="R26" s="14"/>
      <c r="S26" s="14"/>
      <c r="T26" s="18"/>
      <c r="U26" s="16" t="s">
        <v>53</v>
      </c>
      <c r="V26" s="77"/>
      <c r="W26" s="77"/>
      <c r="X26" s="77"/>
    </row>
    <row r="27" spans="1:24">
      <c r="A27" s="614"/>
      <c r="B27" s="24" t="s">
        <v>54</v>
      </c>
      <c r="C27" s="21" t="s">
        <v>55</v>
      </c>
      <c r="D27" s="21" t="s">
        <v>56</v>
      </c>
      <c r="E27" s="21" t="s">
        <v>57</v>
      </c>
      <c r="F27" s="20" t="s">
        <v>58</v>
      </c>
      <c r="G27" s="21" t="s">
        <v>59</v>
      </c>
      <c r="H27" s="21" t="s">
        <v>60</v>
      </c>
      <c r="I27" s="21" t="s">
        <v>26</v>
      </c>
      <c r="J27" s="22" t="s">
        <v>61</v>
      </c>
      <c r="K27" s="21" t="s">
        <v>8</v>
      </c>
      <c r="L27" s="21" t="s">
        <v>9</v>
      </c>
      <c r="M27" s="21" t="s">
        <v>10</v>
      </c>
      <c r="N27" s="20" t="s">
        <v>11</v>
      </c>
      <c r="O27" s="21" t="s">
        <v>12</v>
      </c>
      <c r="P27" s="22" t="s">
        <v>13</v>
      </c>
      <c r="Q27" s="21" t="s">
        <v>11</v>
      </c>
      <c r="R27" s="21" t="s">
        <v>12</v>
      </c>
      <c r="S27" s="21" t="s">
        <v>13</v>
      </c>
      <c r="T27" s="78" t="s">
        <v>14</v>
      </c>
      <c r="U27" s="30"/>
      <c r="V27" s="79" t="s">
        <v>62</v>
      </c>
      <c r="W27" s="80" t="s">
        <v>63</v>
      </c>
      <c r="X27" s="81" t="s">
        <v>64</v>
      </c>
    </row>
    <row r="28" spans="1:24">
      <c r="A28" s="614"/>
      <c r="B28" s="4" t="s">
        <v>65</v>
      </c>
      <c r="C28" s="6"/>
      <c r="D28" s="6"/>
      <c r="E28" s="6"/>
      <c r="F28" s="6"/>
      <c r="G28" s="6"/>
      <c r="H28" s="6"/>
      <c r="I28" s="82"/>
      <c r="J28" s="6"/>
      <c r="K28" s="6"/>
      <c r="L28" s="6"/>
      <c r="M28" s="6"/>
      <c r="N28" s="6"/>
      <c r="O28" s="6"/>
      <c r="P28" s="6"/>
      <c r="Q28" s="6"/>
      <c r="R28" s="6"/>
      <c r="S28" s="6"/>
      <c r="T28" s="83"/>
      <c r="U28" s="6"/>
      <c r="V28" s="84"/>
      <c r="W28" s="85"/>
      <c r="X28" s="86"/>
    </row>
    <row r="29" spans="1:24">
      <c r="A29" s="614"/>
      <c r="B29" s="87">
        <v>1</v>
      </c>
      <c r="C29" s="609"/>
      <c r="D29" s="10"/>
      <c r="E29" s="10"/>
      <c r="F29" s="62"/>
      <c r="G29" s="62"/>
      <c r="H29" s="88"/>
      <c r="I29" s="89">
        <f t="shared" ref="I29:I44" si="7">F29-G29-H29</f>
        <v>0</v>
      </c>
      <c r="J29" s="63"/>
      <c r="K29" s="63"/>
      <c r="L29" s="63"/>
      <c r="M29" s="63"/>
      <c r="N29" s="63"/>
      <c r="O29" s="63"/>
      <c r="P29" s="63"/>
      <c r="Q29" s="63"/>
      <c r="R29" s="63"/>
      <c r="S29" s="63"/>
      <c r="T29" s="63"/>
      <c r="U29" s="10"/>
      <c r="V29" s="90"/>
      <c r="W29" s="91"/>
      <c r="X29" s="92"/>
    </row>
    <row r="30" spans="1:24">
      <c r="A30" s="614"/>
      <c r="B30" s="87">
        <f t="shared" ref="B30:B44" si="8">B29+1</f>
        <v>2</v>
      </c>
      <c r="C30" s="609"/>
      <c r="D30" s="10"/>
      <c r="E30" s="10"/>
      <c r="F30" s="62"/>
      <c r="G30" s="62"/>
      <c r="H30" s="62"/>
      <c r="I30" s="89">
        <f t="shared" si="7"/>
        <v>0</v>
      </c>
      <c r="J30" s="63"/>
      <c r="K30" s="63"/>
      <c r="L30" s="63"/>
      <c r="M30" s="63"/>
      <c r="N30" s="63"/>
      <c r="O30" s="63"/>
      <c r="P30" s="63"/>
      <c r="Q30" s="63"/>
      <c r="R30" s="63"/>
      <c r="S30" s="63"/>
      <c r="T30" s="63"/>
      <c r="U30" s="10"/>
      <c r="V30" s="90"/>
      <c r="W30" s="91"/>
      <c r="X30" s="92"/>
    </row>
    <row r="31" spans="1:24">
      <c r="A31" s="613"/>
      <c r="B31" s="87">
        <f t="shared" si="8"/>
        <v>3</v>
      </c>
      <c r="C31" s="609"/>
      <c r="D31" s="3"/>
      <c r="E31" s="10"/>
      <c r="F31" s="62"/>
      <c r="G31" s="62"/>
      <c r="H31" s="62"/>
      <c r="I31" s="89">
        <f t="shared" si="7"/>
        <v>0</v>
      </c>
      <c r="J31" s="63"/>
      <c r="K31" s="63"/>
      <c r="L31" s="63"/>
      <c r="M31" s="63"/>
      <c r="N31" s="63"/>
      <c r="O31" s="63"/>
      <c r="P31" s="63"/>
      <c r="Q31" s="63"/>
      <c r="R31" s="63"/>
      <c r="S31" s="63"/>
      <c r="T31" s="63"/>
      <c r="U31" s="10"/>
      <c r="V31" s="90"/>
      <c r="W31" s="91"/>
      <c r="X31" s="92"/>
    </row>
    <row r="32" spans="1:24">
      <c r="A32" s="614"/>
      <c r="B32" s="87">
        <f t="shared" si="8"/>
        <v>4</v>
      </c>
      <c r="C32" s="609"/>
      <c r="D32" s="10"/>
      <c r="E32" s="94"/>
      <c r="F32" s="62"/>
      <c r="G32" s="62"/>
      <c r="H32" s="62"/>
      <c r="I32" s="89">
        <f t="shared" si="7"/>
        <v>0</v>
      </c>
      <c r="J32" s="63"/>
      <c r="K32" s="63"/>
      <c r="L32" s="63"/>
      <c r="M32" s="63"/>
      <c r="N32" s="63"/>
      <c r="O32" s="63"/>
      <c r="P32" s="63"/>
      <c r="Q32" s="63"/>
      <c r="R32" s="63"/>
      <c r="S32" s="63"/>
      <c r="T32" s="63"/>
      <c r="U32" s="10"/>
      <c r="V32" s="90"/>
      <c r="W32" s="91"/>
      <c r="X32" s="92"/>
    </row>
    <row r="33" spans="1:24">
      <c r="A33" s="614"/>
      <c r="B33" s="87">
        <f t="shared" si="8"/>
        <v>5</v>
      </c>
      <c r="C33" s="609"/>
      <c r="D33" s="10"/>
      <c r="E33" s="10"/>
      <c r="F33" s="62"/>
      <c r="G33" s="62"/>
      <c r="H33" s="62"/>
      <c r="I33" s="89">
        <f t="shared" si="7"/>
        <v>0</v>
      </c>
      <c r="J33" s="63"/>
      <c r="K33" s="63"/>
      <c r="L33" s="63"/>
      <c r="M33" s="63"/>
      <c r="N33" s="63"/>
      <c r="O33" s="63"/>
      <c r="P33" s="63"/>
      <c r="Q33" s="63"/>
      <c r="R33" s="63"/>
      <c r="S33" s="63"/>
      <c r="T33" s="63"/>
      <c r="U33" s="10"/>
      <c r="V33" s="90"/>
      <c r="W33" s="91"/>
      <c r="X33" s="92"/>
    </row>
    <row r="34" spans="1:24">
      <c r="A34" s="614"/>
      <c r="B34" s="87">
        <f t="shared" si="8"/>
        <v>6</v>
      </c>
      <c r="C34" s="609"/>
      <c r="D34" s="10"/>
      <c r="E34" s="10"/>
      <c r="F34" s="62"/>
      <c r="G34" s="62"/>
      <c r="H34" s="88"/>
      <c r="I34" s="89">
        <f t="shared" si="7"/>
        <v>0</v>
      </c>
      <c r="J34" s="63"/>
      <c r="K34" s="63"/>
      <c r="L34" s="63"/>
      <c r="M34" s="63"/>
      <c r="N34" s="63"/>
      <c r="O34" s="63"/>
      <c r="P34" s="63"/>
      <c r="Q34" s="63"/>
      <c r="R34" s="63"/>
      <c r="S34" s="63"/>
      <c r="T34" s="63"/>
      <c r="U34" s="10"/>
      <c r="V34" s="90"/>
      <c r="W34" s="91"/>
      <c r="X34" s="92"/>
    </row>
    <row r="35" spans="1:24">
      <c r="A35" s="614"/>
      <c r="B35" s="87">
        <f t="shared" si="8"/>
        <v>7</v>
      </c>
      <c r="C35" s="609"/>
      <c r="D35" s="10"/>
      <c r="E35" s="10"/>
      <c r="F35" s="62"/>
      <c r="G35" s="62"/>
      <c r="H35" s="88"/>
      <c r="I35" s="89">
        <f t="shared" si="7"/>
        <v>0</v>
      </c>
      <c r="J35" s="63"/>
      <c r="K35" s="63"/>
      <c r="L35" s="63"/>
      <c r="M35" s="63"/>
      <c r="N35" s="63"/>
      <c r="O35" s="63"/>
      <c r="P35" s="63"/>
      <c r="Q35" s="63"/>
      <c r="R35" s="63"/>
      <c r="S35" s="63"/>
      <c r="T35" s="63"/>
      <c r="U35" s="10"/>
      <c r="V35" s="90"/>
      <c r="W35" s="91"/>
      <c r="X35" s="92"/>
    </row>
    <row r="36" spans="1:24">
      <c r="A36" s="614"/>
      <c r="B36" s="87">
        <f t="shared" si="8"/>
        <v>8</v>
      </c>
      <c r="C36" s="609"/>
      <c r="D36" s="10"/>
      <c r="E36" s="10"/>
      <c r="F36" s="62"/>
      <c r="G36" s="62"/>
      <c r="H36" s="88"/>
      <c r="I36" s="89">
        <f t="shared" si="7"/>
        <v>0</v>
      </c>
      <c r="J36" s="63"/>
      <c r="K36" s="63"/>
      <c r="L36" s="63"/>
      <c r="M36" s="63"/>
      <c r="N36" s="63"/>
      <c r="O36" s="63"/>
      <c r="P36" s="63"/>
      <c r="Q36" s="63"/>
      <c r="R36" s="63"/>
      <c r="S36" s="63"/>
      <c r="T36" s="63"/>
      <c r="U36" s="10"/>
      <c r="V36" s="90"/>
      <c r="W36" s="91"/>
      <c r="X36" s="92"/>
    </row>
    <row r="37" spans="1:24">
      <c r="A37" s="614"/>
      <c r="B37" s="87">
        <f t="shared" si="8"/>
        <v>9</v>
      </c>
      <c r="C37" s="609"/>
      <c r="D37" s="10"/>
      <c r="E37" s="10"/>
      <c r="F37" s="62"/>
      <c r="G37" s="62"/>
      <c r="H37" s="88"/>
      <c r="I37" s="89">
        <f t="shared" si="7"/>
        <v>0</v>
      </c>
      <c r="J37" s="63"/>
      <c r="K37" s="63"/>
      <c r="L37" s="63"/>
      <c r="M37" s="63"/>
      <c r="N37" s="63"/>
      <c r="O37" s="63"/>
      <c r="P37" s="63"/>
      <c r="Q37" s="63"/>
      <c r="R37" s="63"/>
      <c r="S37" s="63"/>
      <c r="T37" s="63"/>
      <c r="U37" s="10"/>
      <c r="V37" s="90"/>
      <c r="W37" s="91"/>
      <c r="X37" s="92"/>
    </row>
    <row r="38" spans="1:24">
      <c r="A38" s="614"/>
      <c r="B38" s="87">
        <f t="shared" si="8"/>
        <v>10</v>
      </c>
      <c r="C38" s="609"/>
      <c r="D38" s="10"/>
      <c r="E38" s="10"/>
      <c r="F38" s="62"/>
      <c r="G38" s="62"/>
      <c r="H38" s="88"/>
      <c r="I38" s="89">
        <f t="shared" si="7"/>
        <v>0</v>
      </c>
      <c r="J38" s="63"/>
      <c r="K38" s="63"/>
      <c r="L38" s="63"/>
      <c r="M38" s="63"/>
      <c r="N38" s="63"/>
      <c r="O38" s="63"/>
      <c r="P38" s="63"/>
      <c r="Q38" s="63"/>
      <c r="R38" s="63"/>
      <c r="S38" s="63"/>
      <c r="T38" s="63"/>
      <c r="U38" s="10"/>
      <c r="V38" s="90"/>
      <c r="W38" s="91"/>
      <c r="X38" s="92"/>
    </row>
    <row r="39" spans="1:24">
      <c r="A39" s="614"/>
      <c r="B39" s="87">
        <f t="shared" si="8"/>
        <v>11</v>
      </c>
      <c r="C39" s="609"/>
      <c r="D39" s="10"/>
      <c r="E39" s="10"/>
      <c r="F39" s="95"/>
      <c r="G39" s="62"/>
      <c r="H39" s="62"/>
      <c r="I39" s="89">
        <f t="shared" si="7"/>
        <v>0</v>
      </c>
      <c r="J39" s="63"/>
      <c r="K39" s="63"/>
      <c r="L39" s="63"/>
      <c r="M39" s="63"/>
      <c r="N39" s="63"/>
      <c r="O39" s="63"/>
      <c r="P39" s="63"/>
      <c r="Q39" s="63"/>
      <c r="R39" s="63"/>
      <c r="S39" s="63"/>
      <c r="T39" s="63"/>
      <c r="U39" s="10"/>
      <c r="V39" s="90"/>
      <c r="W39" s="91"/>
      <c r="X39" s="92"/>
    </row>
    <row r="40" spans="1:24">
      <c r="A40" s="614"/>
      <c r="B40" s="87">
        <f t="shared" si="8"/>
        <v>12</v>
      </c>
      <c r="C40" s="609"/>
      <c r="D40" s="10"/>
      <c r="E40" s="10"/>
      <c r="F40" s="95"/>
      <c r="G40" s="62"/>
      <c r="H40" s="62"/>
      <c r="I40" s="89">
        <f t="shared" si="7"/>
        <v>0</v>
      </c>
      <c r="J40" s="63"/>
      <c r="K40" s="63"/>
      <c r="L40" s="63"/>
      <c r="M40" s="63"/>
      <c r="N40" s="63"/>
      <c r="O40" s="63"/>
      <c r="P40" s="63"/>
      <c r="Q40" s="63"/>
      <c r="R40" s="63"/>
      <c r="S40" s="63"/>
      <c r="T40" s="63"/>
      <c r="U40" s="10"/>
      <c r="V40" s="90"/>
      <c r="W40" s="91"/>
      <c r="X40" s="92"/>
    </row>
    <row r="41" spans="1:24">
      <c r="A41" s="614"/>
      <c r="B41" s="87">
        <f t="shared" si="8"/>
        <v>13</v>
      </c>
      <c r="C41" s="609"/>
      <c r="D41" s="10"/>
      <c r="E41" s="10"/>
      <c r="F41" s="95"/>
      <c r="G41" s="62"/>
      <c r="H41" s="62"/>
      <c r="I41" s="89">
        <f t="shared" si="7"/>
        <v>0</v>
      </c>
      <c r="J41" s="63"/>
      <c r="K41" s="63"/>
      <c r="L41" s="63"/>
      <c r="M41" s="63"/>
      <c r="N41" s="63"/>
      <c r="O41" s="63"/>
      <c r="P41" s="63"/>
      <c r="Q41" s="63"/>
      <c r="R41" s="63"/>
      <c r="S41" s="63"/>
      <c r="T41" s="63"/>
      <c r="U41" s="10"/>
      <c r="V41" s="90"/>
      <c r="W41" s="91"/>
      <c r="X41" s="92"/>
    </row>
    <row r="42" spans="1:24">
      <c r="A42" s="614"/>
      <c r="B42" s="87">
        <f t="shared" si="8"/>
        <v>14</v>
      </c>
      <c r="C42" s="609"/>
      <c r="D42" s="10"/>
      <c r="E42" s="10"/>
      <c r="F42" s="95"/>
      <c r="G42" s="62"/>
      <c r="H42" s="62"/>
      <c r="I42" s="89">
        <f t="shared" si="7"/>
        <v>0</v>
      </c>
      <c r="J42" s="63"/>
      <c r="K42" s="63"/>
      <c r="L42" s="63"/>
      <c r="M42" s="63"/>
      <c r="N42" s="63"/>
      <c r="O42" s="63"/>
      <c r="P42" s="63"/>
      <c r="Q42" s="63"/>
      <c r="R42" s="63"/>
      <c r="S42" s="63"/>
      <c r="T42" s="63"/>
      <c r="U42" s="10"/>
      <c r="V42" s="90"/>
      <c r="W42" s="91"/>
      <c r="X42" s="92"/>
    </row>
    <row r="43" spans="1:24">
      <c r="A43" s="614"/>
      <c r="B43" s="87">
        <f t="shared" si="8"/>
        <v>15</v>
      </c>
      <c r="C43" s="609"/>
      <c r="D43" s="10"/>
      <c r="E43" s="10"/>
      <c r="F43" s="95"/>
      <c r="G43" s="62"/>
      <c r="H43" s="62"/>
      <c r="I43" s="89">
        <f t="shared" si="7"/>
        <v>0</v>
      </c>
      <c r="J43" s="63"/>
      <c r="K43" s="63"/>
      <c r="L43" s="63"/>
      <c r="M43" s="63"/>
      <c r="N43" s="63"/>
      <c r="O43" s="63"/>
      <c r="P43" s="63"/>
      <c r="Q43" s="63"/>
      <c r="R43" s="63"/>
      <c r="S43" s="63"/>
      <c r="T43" s="63"/>
      <c r="U43" s="10"/>
      <c r="V43" s="90"/>
      <c r="W43" s="96"/>
      <c r="X43" s="92"/>
    </row>
    <row r="44" spans="1:24">
      <c r="A44" s="614"/>
      <c r="B44" s="87">
        <f t="shared" si="8"/>
        <v>16</v>
      </c>
      <c r="C44" s="609"/>
      <c r="D44" s="10"/>
      <c r="E44" s="10"/>
      <c r="F44" s="95"/>
      <c r="G44" s="62"/>
      <c r="H44" s="62"/>
      <c r="I44" s="89">
        <f t="shared" si="7"/>
        <v>0</v>
      </c>
      <c r="J44" s="63"/>
      <c r="K44" s="63"/>
      <c r="L44" s="63"/>
      <c r="M44" s="63"/>
      <c r="N44" s="63"/>
      <c r="O44" s="63"/>
      <c r="P44" s="63"/>
      <c r="Q44" s="63"/>
      <c r="R44" s="63"/>
      <c r="S44" s="63"/>
      <c r="T44" s="63"/>
      <c r="U44" s="10"/>
      <c r="V44" s="90"/>
      <c r="W44" s="96"/>
      <c r="X44" s="92"/>
    </row>
    <row r="45" spans="1:24">
      <c r="A45" s="614"/>
      <c r="B45" s="87"/>
      <c r="C45" s="609"/>
      <c r="D45" s="10"/>
      <c r="E45" s="10"/>
      <c r="F45" s="97">
        <f>SUM(F29:F44)</f>
        <v>0</v>
      </c>
      <c r="G45" s="97">
        <f>SUM(G29:G44)</f>
        <v>0</v>
      </c>
      <c r="H45" s="97">
        <f>SUM(H29:H44)</f>
        <v>0</v>
      </c>
      <c r="I45" s="98">
        <f>SUM(I29:I44)</f>
        <v>0</v>
      </c>
      <c r="J45" s="63"/>
      <c r="K45" s="63">
        <f t="shared" ref="K45:S45" si="9">COUNT(K29:K44)</f>
        <v>0</v>
      </c>
      <c r="L45" s="63">
        <f t="shared" si="9"/>
        <v>0</v>
      </c>
      <c r="M45" s="63">
        <f t="shared" si="9"/>
        <v>0</v>
      </c>
      <c r="N45" s="63">
        <f t="shared" si="9"/>
        <v>0</v>
      </c>
      <c r="O45" s="63">
        <f t="shared" si="9"/>
        <v>0</v>
      </c>
      <c r="P45" s="63">
        <f t="shared" si="9"/>
        <v>0</v>
      </c>
      <c r="Q45" s="63">
        <f t="shared" si="9"/>
        <v>0</v>
      </c>
      <c r="R45" s="63">
        <f t="shared" si="9"/>
        <v>0</v>
      </c>
      <c r="S45" s="63">
        <f t="shared" si="9"/>
        <v>0</v>
      </c>
      <c r="T45" s="63"/>
      <c r="U45" s="10"/>
      <c r="V45" s="90"/>
      <c r="W45" s="91"/>
      <c r="X45" s="92"/>
    </row>
    <row r="46" spans="1:24">
      <c r="A46" s="614"/>
      <c r="B46" s="87"/>
      <c r="C46" s="609"/>
      <c r="D46" s="10"/>
      <c r="E46" s="10"/>
      <c r="F46" s="88"/>
      <c r="G46" s="88"/>
      <c r="H46" s="88"/>
      <c r="I46" s="99"/>
      <c r="J46" s="63"/>
      <c r="K46" s="21">
        <f t="shared" ref="K46:S46" si="10">SUM(K29:K44)</f>
        <v>0</v>
      </c>
      <c r="L46" s="21">
        <f t="shared" si="10"/>
        <v>0</v>
      </c>
      <c r="M46" s="21">
        <f t="shared" si="10"/>
        <v>0</v>
      </c>
      <c r="N46" s="21">
        <f t="shared" si="10"/>
        <v>0</v>
      </c>
      <c r="O46" s="21">
        <f t="shared" si="10"/>
        <v>0</v>
      </c>
      <c r="P46" s="21">
        <f t="shared" si="10"/>
        <v>0</v>
      </c>
      <c r="Q46" s="21">
        <f t="shared" si="10"/>
        <v>0</v>
      </c>
      <c r="R46" s="21">
        <f t="shared" si="10"/>
        <v>0</v>
      </c>
      <c r="S46" s="21">
        <f t="shared" si="10"/>
        <v>0</v>
      </c>
      <c r="T46" s="63"/>
      <c r="U46" s="10"/>
      <c r="V46" s="90"/>
      <c r="W46" s="91"/>
      <c r="X46" s="92"/>
    </row>
    <row r="47" spans="1:24">
      <c r="A47" s="614"/>
      <c r="B47" s="11"/>
      <c r="C47" s="609"/>
      <c r="D47" s="10"/>
      <c r="E47" s="10"/>
      <c r="F47" s="88"/>
      <c r="G47" s="88"/>
      <c r="H47" s="88"/>
      <c r="I47" s="99"/>
      <c r="J47" s="63"/>
      <c r="K47" s="21"/>
      <c r="L47" s="21"/>
      <c r="M47" s="21"/>
      <c r="N47" s="21"/>
      <c r="O47" s="21"/>
      <c r="P47" s="21"/>
      <c r="Q47" s="21"/>
      <c r="R47" s="21"/>
      <c r="S47" s="21"/>
      <c r="T47" s="63"/>
      <c r="U47" s="10"/>
      <c r="V47" s="90"/>
      <c r="W47" s="91"/>
      <c r="X47" s="92"/>
    </row>
    <row r="48" spans="1:24">
      <c r="A48" s="614"/>
      <c r="B48" s="100" t="s">
        <v>66</v>
      </c>
      <c r="C48" s="609"/>
      <c r="D48" s="10"/>
      <c r="E48" s="10"/>
      <c r="F48" s="88"/>
      <c r="G48" s="62"/>
      <c r="H48" s="88"/>
      <c r="I48" s="99"/>
      <c r="J48" s="63"/>
      <c r="T48" s="63"/>
      <c r="U48" s="94"/>
      <c r="V48" s="90"/>
      <c r="W48" s="91"/>
      <c r="X48" s="92"/>
    </row>
    <row r="49" spans="1:24">
      <c r="A49" s="614"/>
      <c r="B49" s="87">
        <v>1</v>
      </c>
      <c r="C49" s="609"/>
      <c r="D49" s="10"/>
      <c r="E49" s="101"/>
      <c r="F49" s="62"/>
      <c r="G49" s="62"/>
      <c r="H49" s="62"/>
      <c r="I49" s="89">
        <f t="shared" ref="I49:I56" si="11">F49-G49-H49</f>
        <v>0</v>
      </c>
      <c r="J49" s="63"/>
      <c r="K49" s="63"/>
      <c r="L49" s="63"/>
      <c r="M49" s="63"/>
      <c r="N49" s="63"/>
      <c r="O49" s="63"/>
      <c r="P49" s="63"/>
      <c r="Q49" s="63"/>
      <c r="R49" s="63"/>
      <c r="S49" s="63"/>
      <c r="T49" s="63"/>
      <c r="U49" s="94"/>
      <c r="V49" s="90"/>
      <c r="W49" s="91"/>
      <c r="X49" s="92"/>
    </row>
    <row r="50" spans="1:24">
      <c r="A50" s="614"/>
      <c r="B50" s="87">
        <f t="shared" ref="B50:B56" si="12">B49+1</f>
        <v>2</v>
      </c>
      <c r="C50" s="609"/>
      <c r="D50" s="10"/>
      <c r="E50" s="101"/>
      <c r="F50" s="62"/>
      <c r="G50" s="62"/>
      <c r="H50" s="62"/>
      <c r="I50" s="89">
        <f t="shared" si="11"/>
        <v>0</v>
      </c>
      <c r="J50" s="63"/>
      <c r="K50" s="63"/>
      <c r="L50" s="63"/>
      <c r="M50" s="63"/>
      <c r="N50" s="63"/>
      <c r="O50" s="63"/>
      <c r="P50" s="63"/>
      <c r="Q50" s="63"/>
      <c r="R50" s="63"/>
      <c r="S50" s="63"/>
      <c r="T50" s="63"/>
      <c r="U50" s="94"/>
      <c r="V50" s="90"/>
      <c r="W50" s="91"/>
      <c r="X50" s="92"/>
    </row>
    <row r="51" spans="1:24">
      <c r="A51" s="614"/>
      <c r="B51" s="87">
        <f t="shared" si="12"/>
        <v>3</v>
      </c>
      <c r="C51" s="609"/>
      <c r="D51" s="10"/>
      <c r="E51" s="101"/>
      <c r="F51" s="62"/>
      <c r="G51" s="62"/>
      <c r="H51" s="62"/>
      <c r="I51" s="89">
        <f t="shared" si="11"/>
        <v>0</v>
      </c>
      <c r="J51" s="63"/>
      <c r="K51" s="63"/>
      <c r="L51" s="63"/>
      <c r="M51" s="63"/>
      <c r="N51" s="63"/>
      <c r="O51" s="63"/>
      <c r="P51" s="63"/>
      <c r="Q51" s="63"/>
      <c r="R51" s="63"/>
      <c r="S51" s="63"/>
      <c r="T51" s="63"/>
      <c r="U51" s="94"/>
      <c r="V51" s="90"/>
      <c r="W51" s="91"/>
      <c r="X51" s="92"/>
    </row>
    <row r="52" spans="1:24">
      <c r="A52" s="614"/>
      <c r="B52" s="87">
        <f t="shared" si="12"/>
        <v>4</v>
      </c>
      <c r="C52" s="609"/>
      <c r="D52" s="10"/>
      <c r="E52" s="101"/>
      <c r="F52" s="62"/>
      <c r="G52" s="62"/>
      <c r="H52" s="62"/>
      <c r="I52" s="89">
        <f t="shared" si="11"/>
        <v>0</v>
      </c>
      <c r="J52" s="63"/>
      <c r="K52" s="63"/>
      <c r="L52" s="63"/>
      <c r="M52" s="63"/>
      <c r="N52" s="63"/>
      <c r="O52" s="63"/>
      <c r="P52" s="63"/>
      <c r="Q52" s="63"/>
      <c r="R52" s="63"/>
      <c r="S52" s="63"/>
      <c r="T52" s="63"/>
      <c r="U52" s="94"/>
      <c r="V52" s="90"/>
      <c r="W52" s="91"/>
      <c r="X52" s="92"/>
    </row>
    <row r="53" spans="1:24">
      <c r="A53" s="614"/>
      <c r="B53" s="87">
        <f t="shared" si="12"/>
        <v>5</v>
      </c>
      <c r="C53" s="609"/>
      <c r="D53" s="10"/>
      <c r="E53" s="101"/>
      <c r="F53" s="62"/>
      <c r="G53" s="62"/>
      <c r="H53" s="62"/>
      <c r="I53" s="89">
        <f t="shared" si="11"/>
        <v>0</v>
      </c>
      <c r="J53" s="63"/>
      <c r="K53" s="63"/>
      <c r="L53" s="63"/>
      <c r="M53" s="63"/>
      <c r="N53" s="63"/>
      <c r="O53" s="63"/>
      <c r="P53" s="63"/>
      <c r="Q53" s="63"/>
      <c r="R53" s="63"/>
      <c r="S53" s="63"/>
      <c r="T53" s="63"/>
      <c r="U53" s="94"/>
      <c r="V53" s="90"/>
      <c r="W53" s="91"/>
      <c r="X53" s="92"/>
    </row>
    <row r="54" spans="1:24">
      <c r="A54" s="614"/>
      <c r="B54" s="87">
        <f t="shared" si="12"/>
        <v>6</v>
      </c>
      <c r="C54" s="609"/>
      <c r="D54" s="10"/>
      <c r="E54" s="101"/>
      <c r="F54" s="62"/>
      <c r="G54" s="62"/>
      <c r="H54" s="62"/>
      <c r="I54" s="89">
        <f t="shared" si="11"/>
        <v>0</v>
      </c>
      <c r="J54" s="63"/>
      <c r="K54" s="63"/>
      <c r="L54" s="63"/>
      <c r="M54" s="63"/>
      <c r="N54" s="63"/>
      <c r="O54" s="63"/>
      <c r="P54" s="63"/>
      <c r="Q54" s="63"/>
      <c r="R54" s="63"/>
      <c r="S54" s="63"/>
      <c r="T54" s="63"/>
      <c r="U54" s="94"/>
      <c r="V54" s="90"/>
      <c r="W54" s="91"/>
      <c r="X54" s="92"/>
    </row>
    <row r="55" spans="1:24">
      <c r="A55" s="614"/>
      <c r="B55" s="87">
        <f t="shared" si="12"/>
        <v>7</v>
      </c>
      <c r="C55" s="609"/>
      <c r="D55" s="10"/>
      <c r="E55" s="101"/>
      <c r="F55" s="62"/>
      <c r="G55" s="62"/>
      <c r="H55" s="62"/>
      <c r="I55" s="89">
        <f t="shared" si="11"/>
        <v>0</v>
      </c>
      <c r="J55" s="63"/>
      <c r="K55" s="63"/>
      <c r="L55" s="63"/>
      <c r="M55" s="63"/>
      <c r="N55" s="63"/>
      <c r="O55" s="63"/>
      <c r="P55" s="63"/>
      <c r="Q55" s="63"/>
      <c r="R55" s="63"/>
      <c r="S55" s="63"/>
      <c r="T55" s="63"/>
      <c r="U55" s="94"/>
      <c r="V55" s="90"/>
      <c r="W55" s="91"/>
      <c r="X55" s="92"/>
    </row>
    <row r="56" spans="1:24">
      <c r="A56" s="614"/>
      <c r="B56" s="87">
        <f t="shared" si="12"/>
        <v>8</v>
      </c>
      <c r="C56" s="609"/>
      <c r="D56" s="10"/>
      <c r="E56" s="101"/>
      <c r="F56" s="62"/>
      <c r="G56" s="62"/>
      <c r="H56" s="62"/>
      <c r="I56" s="89">
        <f t="shared" si="11"/>
        <v>0</v>
      </c>
      <c r="J56" s="63"/>
      <c r="K56" s="63"/>
      <c r="L56" s="63"/>
      <c r="M56" s="63"/>
      <c r="N56" s="63"/>
      <c r="O56" s="63"/>
      <c r="P56" s="63"/>
      <c r="Q56" s="63"/>
      <c r="R56" s="63"/>
      <c r="S56" s="63"/>
      <c r="T56" s="63"/>
      <c r="U56" s="94"/>
      <c r="V56" s="90"/>
      <c r="W56" s="91"/>
      <c r="X56" s="92"/>
    </row>
    <row r="57" spans="1:24">
      <c r="A57" s="614"/>
      <c r="B57" s="11"/>
      <c r="C57" s="609"/>
      <c r="D57" s="10"/>
      <c r="E57" s="10"/>
      <c r="F57" s="97">
        <f>SUM(F49:F56)</f>
        <v>0</v>
      </c>
      <c r="G57" s="97">
        <f>SUM(G49:G56)</f>
        <v>0</v>
      </c>
      <c r="H57" s="97">
        <f>SUM(H49:H56)</f>
        <v>0</v>
      </c>
      <c r="I57" s="98">
        <f>SUM(I49:I56)</f>
        <v>0</v>
      </c>
      <c r="J57" s="63"/>
      <c r="K57" s="21"/>
      <c r="L57" s="21"/>
      <c r="M57" s="21"/>
      <c r="N57" s="21"/>
      <c r="O57" s="21"/>
      <c r="P57" s="21"/>
      <c r="Q57" s="21"/>
      <c r="R57" s="21"/>
      <c r="S57" s="21"/>
      <c r="T57" s="63"/>
      <c r="U57" s="94"/>
      <c r="V57" s="90"/>
      <c r="W57" s="91"/>
      <c r="X57" s="92"/>
    </row>
    <row r="58" spans="1:24">
      <c r="A58" s="614"/>
      <c r="B58" s="11"/>
      <c r="C58" s="609"/>
      <c r="D58" s="10"/>
      <c r="E58" s="10"/>
      <c r="F58" s="88"/>
      <c r="G58" s="88"/>
      <c r="H58" s="88"/>
      <c r="I58" s="99"/>
      <c r="J58" s="63"/>
      <c r="K58" s="21"/>
      <c r="L58" s="21"/>
      <c r="M58" s="21"/>
      <c r="N58" s="21"/>
      <c r="O58" s="21"/>
      <c r="P58" s="21"/>
      <c r="Q58" s="21"/>
      <c r="R58" s="21"/>
      <c r="S58" s="21"/>
      <c r="T58" s="63"/>
      <c r="U58" s="94"/>
      <c r="V58" s="90"/>
      <c r="W58" s="91"/>
      <c r="X58" s="92"/>
    </row>
    <row r="59" spans="1:24">
      <c r="A59" s="614"/>
      <c r="B59" s="102" t="s">
        <v>67</v>
      </c>
      <c r="C59" s="610"/>
      <c r="D59" s="104"/>
      <c r="E59" s="104"/>
      <c r="F59" s="105"/>
      <c r="G59" s="106"/>
      <c r="H59" s="105"/>
      <c r="I59" s="107"/>
      <c r="J59" s="108"/>
      <c r="K59" s="109"/>
      <c r="L59" s="109"/>
      <c r="M59" s="109"/>
      <c r="N59" s="109"/>
      <c r="O59" s="109"/>
      <c r="P59" s="109"/>
      <c r="Q59" s="109"/>
      <c r="R59" s="109"/>
      <c r="S59" s="109"/>
      <c r="T59" s="108"/>
      <c r="U59" s="110"/>
      <c r="V59" s="111"/>
      <c r="W59" s="112"/>
      <c r="X59" s="113"/>
    </row>
    <row r="60" spans="1:24">
      <c r="A60" s="614"/>
      <c r="B60" s="114">
        <v>1</v>
      </c>
      <c r="C60" s="610"/>
      <c r="D60" s="104"/>
      <c r="E60" s="115"/>
      <c r="F60" s="106"/>
      <c r="G60" s="106"/>
      <c r="H60" s="106"/>
      <c r="I60" s="116">
        <f t="shared" ref="I60:I67" si="13">F60-G60-H60</f>
        <v>0</v>
      </c>
      <c r="J60" s="108"/>
      <c r="K60" s="108"/>
      <c r="L60" s="108"/>
      <c r="M60" s="108"/>
      <c r="N60" s="108"/>
      <c r="O60" s="108"/>
      <c r="P60" s="108"/>
      <c r="Q60" s="108"/>
      <c r="R60" s="108"/>
      <c r="S60" s="108"/>
      <c r="T60" s="108"/>
      <c r="U60" s="110"/>
      <c r="V60" s="111"/>
      <c r="W60" s="112"/>
      <c r="X60" s="113"/>
    </row>
    <row r="61" spans="1:24">
      <c r="A61" s="614"/>
      <c r="B61" s="114">
        <f t="shared" ref="B61:B67" si="14">B60+1</f>
        <v>2</v>
      </c>
      <c r="C61" s="610"/>
      <c r="D61" s="104"/>
      <c r="E61" s="115"/>
      <c r="F61" s="106"/>
      <c r="G61" s="106"/>
      <c r="H61" s="106"/>
      <c r="I61" s="116">
        <f t="shared" si="13"/>
        <v>0</v>
      </c>
      <c r="J61" s="108"/>
      <c r="K61" s="108"/>
      <c r="L61" s="108"/>
      <c r="M61" s="108"/>
      <c r="N61" s="108"/>
      <c r="O61" s="108"/>
      <c r="P61" s="108"/>
      <c r="Q61" s="108"/>
      <c r="R61" s="108"/>
      <c r="S61" s="108"/>
      <c r="T61" s="108"/>
      <c r="U61" s="110"/>
      <c r="V61" s="111"/>
      <c r="W61" s="112"/>
      <c r="X61" s="113"/>
    </row>
    <row r="62" spans="1:24">
      <c r="A62" s="614"/>
      <c r="B62" s="114">
        <f t="shared" si="14"/>
        <v>3</v>
      </c>
      <c r="C62" s="610"/>
      <c r="D62" s="104"/>
      <c r="E62" s="115"/>
      <c r="F62" s="106"/>
      <c r="G62" s="106"/>
      <c r="H62" s="106"/>
      <c r="I62" s="116">
        <f t="shared" si="13"/>
        <v>0</v>
      </c>
      <c r="J62" s="108"/>
      <c r="K62" s="108"/>
      <c r="L62" s="108"/>
      <c r="M62" s="108"/>
      <c r="N62" s="108"/>
      <c r="O62" s="108"/>
      <c r="P62" s="108"/>
      <c r="Q62" s="108"/>
      <c r="R62" s="108"/>
      <c r="S62" s="108"/>
      <c r="T62" s="108"/>
      <c r="U62" s="110"/>
      <c r="V62" s="111"/>
      <c r="W62" s="112"/>
      <c r="X62" s="113"/>
    </row>
    <row r="63" spans="1:24">
      <c r="A63" s="614"/>
      <c r="B63" s="114">
        <f t="shared" si="14"/>
        <v>4</v>
      </c>
      <c r="C63" s="610"/>
      <c r="D63" s="104"/>
      <c r="E63" s="115"/>
      <c r="F63" s="106"/>
      <c r="G63" s="106"/>
      <c r="H63" s="106"/>
      <c r="I63" s="116">
        <f t="shared" si="13"/>
        <v>0</v>
      </c>
      <c r="J63" s="108"/>
      <c r="K63" s="108"/>
      <c r="L63" s="108"/>
      <c r="M63" s="108"/>
      <c r="N63" s="108"/>
      <c r="O63" s="108"/>
      <c r="P63" s="108"/>
      <c r="Q63" s="108"/>
      <c r="R63" s="108"/>
      <c r="S63" s="108"/>
      <c r="T63" s="108"/>
      <c r="U63" s="110"/>
      <c r="V63" s="111"/>
      <c r="W63" s="112"/>
      <c r="X63" s="113"/>
    </row>
    <row r="64" spans="1:24">
      <c r="A64" s="614"/>
      <c r="B64" s="114">
        <f t="shared" si="14"/>
        <v>5</v>
      </c>
      <c r="C64" s="610"/>
      <c r="D64" s="104"/>
      <c r="E64" s="115"/>
      <c r="F64" s="106"/>
      <c r="G64" s="106"/>
      <c r="H64" s="106"/>
      <c r="I64" s="116">
        <f t="shared" si="13"/>
        <v>0</v>
      </c>
      <c r="J64" s="108"/>
      <c r="K64" s="108"/>
      <c r="L64" s="108"/>
      <c r="M64" s="108"/>
      <c r="N64" s="108"/>
      <c r="O64" s="108"/>
      <c r="P64" s="108"/>
      <c r="Q64" s="108"/>
      <c r="R64" s="108"/>
      <c r="S64" s="108"/>
      <c r="T64" s="108"/>
      <c r="U64" s="110"/>
      <c r="V64" s="111"/>
      <c r="W64" s="112"/>
      <c r="X64" s="113"/>
    </row>
    <row r="65" spans="1:24">
      <c r="A65" s="614"/>
      <c r="B65" s="114">
        <f t="shared" si="14"/>
        <v>6</v>
      </c>
      <c r="C65" s="610"/>
      <c r="D65" s="104"/>
      <c r="E65" s="115"/>
      <c r="F65" s="106"/>
      <c r="G65" s="106"/>
      <c r="H65" s="106"/>
      <c r="I65" s="116">
        <f t="shared" si="13"/>
        <v>0</v>
      </c>
      <c r="J65" s="108"/>
      <c r="K65" s="108"/>
      <c r="L65" s="108"/>
      <c r="M65" s="108"/>
      <c r="N65" s="108"/>
      <c r="O65" s="108"/>
      <c r="P65" s="108"/>
      <c r="Q65" s="108"/>
      <c r="R65" s="108"/>
      <c r="S65" s="108"/>
      <c r="T65" s="108"/>
      <c r="U65" s="110"/>
      <c r="V65" s="111"/>
      <c r="W65" s="112"/>
      <c r="X65" s="113"/>
    </row>
    <row r="66" spans="1:24">
      <c r="A66" s="614"/>
      <c r="B66" s="114">
        <f t="shared" si="14"/>
        <v>7</v>
      </c>
      <c r="C66" s="610"/>
      <c r="D66" s="104"/>
      <c r="E66" s="115"/>
      <c r="F66" s="106"/>
      <c r="G66" s="106"/>
      <c r="H66" s="106"/>
      <c r="I66" s="116">
        <f t="shared" si="13"/>
        <v>0</v>
      </c>
      <c r="J66" s="108"/>
      <c r="K66" s="108"/>
      <c r="L66" s="108"/>
      <c r="M66" s="108"/>
      <c r="N66" s="108"/>
      <c r="O66" s="108"/>
      <c r="P66" s="108"/>
      <c r="Q66" s="108"/>
      <c r="R66" s="108"/>
      <c r="S66" s="108"/>
      <c r="T66" s="108"/>
      <c r="U66" s="110"/>
      <c r="V66" s="111"/>
      <c r="W66" s="112"/>
      <c r="X66" s="113"/>
    </row>
    <row r="67" spans="1:24">
      <c r="A67" s="614"/>
      <c r="B67" s="114">
        <f t="shared" si="14"/>
        <v>8</v>
      </c>
      <c r="C67" s="610"/>
      <c r="D67" s="104"/>
      <c r="E67" s="115"/>
      <c r="F67" s="106"/>
      <c r="G67" s="106"/>
      <c r="H67" s="106"/>
      <c r="I67" s="116">
        <f t="shared" si="13"/>
        <v>0</v>
      </c>
      <c r="J67" s="108"/>
      <c r="K67" s="108"/>
      <c r="L67" s="108"/>
      <c r="M67" s="108"/>
      <c r="N67" s="108"/>
      <c r="O67" s="108"/>
      <c r="P67" s="108"/>
      <c r="Q67" s="108"/>
      <c r="R67" s="108"/>
      <c r="S67" s="108"/>
      <c r="T67" s="108"/>
      <c r="U67" s="110"/>
      <c r="V67" s="111"/>
      <c r="W67" s="112"/>
      <c r="X67" s="113"/>
    </row>
    <row r="68" spans="1:24">
      <c r="A68" s="614"/>
      <c r="B68" s="117"/>
      <c r="C68" s="610"/>
      <c r="D68" s="104"/>
      <c r="E68" s="104"/>
      <c r="F68" s="118">
        <f>SUM(F60:F67)</f>
        <v>0</v>
      </c>
      <c r="G68" s="118">
        <f>SUM(G60:G67)</f>
        <v>0</v>
      </c>
      <c r="H68" s="118">
        <f>SUM(H60:H67)</f>
        <v>0</v>
      </c>
      <c r="I68" s="119">
        <f>SUM(I60:I67)</f>
        <v>0</v>
      </c>
      <c r="J68" s="108"/>
      <c r="K68" s="120"/>
      <c r="L68" s="120"/>
      <c r="M68" s="120"/>
      <c r="N68" s="120"/>
      <c r="O68" s="120"/>
      <c r="P68" s="120"/>
      <c r="Q68" s="120"/>
      <c r="R68" s="120"/>
      <c r="S68" s="120"/>
      <c r="T68" s="108"/>
      <c r="U68" s="110"/>
      <c r="V68" s="111"/>
      <c r="W68" s="112"/>
      <c r="X68" s="113"/>
    </row>
    <row r="69" spans="1:24">
      <c r="A69" s="614"/>
      <c r="B69" s="11"/>
      <c r="C69" s="609"/>
      <c r="D69" s="10"/>
      <c r="E69" s="10"/>
      <c r="F69" s="88"/>
      <c r="G69" s="88"/>
      <c r="H69" s="88"/>
      <c r="I69" s="99"/>
      <c r="J69" s="63"/>
      <c r="K69" s="21"/>
      <c r="L69" s="21"/>
      <c r="M69" s="21"/>
      <c r="N69" s="21"/>
      <c r="O69" s="21"/>
      <c r="P69" s="21"/>
      <c r="Q69" s="21"/>
      <c r="R69" s="21"/>
      <c r="S69" s="21"/>
      <c r="T69" s="63"/>
      <c r="U69" s="94"/>
      <c r="V69" s="90"/>
      <c r="W69" s="91"/>
      <c r="X69" s="92"/>
    </row>
    <row r="70" spans="1:24" s="128" customFormat="1">
      <c r="A70" s="615"/>
      <c r="B70" s="121" t="s">
        <v>68</v>
      </c>
      <c r="C70" s="611"/>
      <c r="D70" s="123"/>
      <c r="E70" s="123"/>
      <c r="F70" s="124"/>
      <c r="G70" s="125"/>
      <c r="H70" s="124"/>
      <c r="I70" s="126"/>
      <c r="J70" s="127"/>
      <c r="T70" s="127"/>
      <c r="U70" s="123"/>
      <c r="V70" s="129"/>
      <c r="W70" s="130"/>
      <c r="X70" s="131"/>
    </row>
    <row r="71" spans="1:24">
      <c r="A71" s="614"/>
      <c r="B71" s="87">
        <v>1</v>
      </c>
      <c r="C71" s="609"/>
      <c r="D71" s="10"/>
      <c r="E71" s="101"/>
      <c r="F71" s="62"/>
      <c r="G71" s="62"/>
      <c r="H71" s="62"/>
      <c r="I71" s="89">
        <f t="shared" ref="I71:I78" si="15">F71-G71-H71</f>
        <v>0</v>
      </c>
      <c r="J71" s="63"/>
      <c r="K71" s="63"/>
      <c r="L71" s="63"/>
      <c r="M71" s="63"/>
      <c r="N71" s="63"/>
      <c r="O71" s="63"/>
      <c r="P71" s="63"/>
      <c r="Q71" s="63"/>
      <c r="R71" s="63"/>
      <c r="S71" s="63"/>
      <c r="T71" s="63"/>
      <c r="U71" s="10"/>
      <c r="V71" s="90"/>
      <c r="W71" s="91"/>
      <c r="X71" s="92"/>
    </row>
    <row r="72" spans="1:24">
      <c r="A72" s="614"/>
      <c r="B72" s="87">
        <f t="shared" ref="B72:B78" si="16">B71+1</f>
        <v>2</v>
      </c>
      <c r="C72" s="609"/>
      <c r="D72" s="10"/>
      <c r="E72" s="101"/>
      <c r="F72" s="62"/>
      <c r="G72" s="62"/>
      <c r="H72" s="62"/>
      <c r="I72" s="89">
        <f t="shared" si="15"/>
        <v>0</v>
      </c>
      <c r="J72" s="63"/>
      <c r="K72" s="63"/>
      <c r="L72" s="63"/>
      <c r="M72" s="63"/>
      <c r="N72" s="63"/>
      <c r="O72" s="63"/>
      <c r="P72" s="63"/>
      <c r="Q72" s="63"/>
      <c r="R72" s="63"/>
      <c r="S72" s="63"/>
      <c r="T72" s="63"/>
      <c r="U72" s="10"/>
      <c r="V72" s="90"/>
      <c r="W72" s="91"/>
      <c r="X72" s="92"/>
    </row>
    <row r="73" spans="1:24">
      <c r="A73" s="614"/>
      <c r="B73" s="87">
        <f t="shared" si="16"/>
        <v>3</v>
      </c>
      <c r="C73" s="609"/>
      <c r="D73" s="10"/>
      <c r="E73" s="101"/>
      <c r="F73" s="62"/>
      <c r="G73" s="62"/>
      <c r="H73" s="62"/>
      <c r="I73" s="89">
        <f t="shared" si="15"/>
        <v>0</v>
      </c>
      <c r="J73" s="63"/>
      <c r="K73" s="63"/>
      <c r="L73" s="63"/>
      <c r="M73" s="63"/>
      <c r="N73" s="63"/>
      <c r="O73" s="63"/>
      <c r="P73" s="63"/>
      <c r="Q73" s="63"/>
      <c r="R73" s="63"/>
      <c r="S73" s="63"/>
      <c r="T73" s="63"/>
      <c r="U73" s="10"/>
      <c r="V73" s="90"/>
      <c r="W73" s="91"/>
      <c r="X73" s="92"/>
    </row>
    <row r="74" spans="1:24">
      <c r="A74" s="614"/>
      <c r="B74" s="87">
        <f t="shared" si="16"/>
        <v>4</v>
      </c>
      <c r="C74" s="609"/>
      <c r="D74" s="10"/>
      <c r="E74" s="101"/>
      <c r="F74" s="62"/>
      <c r="G74" s="62"/>
      <c r="H74" s="62"/>
      <c r="I74" s="89">
        <f t="shared" si="15"/>
        <v>0</v>
      </c>
      <c r="J74" s="63"/>
      <c r="K74" s="63"/>
      <c r="L74" s="63"/>
      <c r="M74" s="63"/>
      <c r="N74" s="63"/>
      <c r="O74" s="63"/>
      <c r="P74" s="63"/>
      <c r="Q74" s="63"/>
      <c r="R74" s="63"/>
      <c r="S74" s="63"/>
      <c r="T74" s="63"/>
      <c r="U74" s="10"/>
      <c r="V74" s="90"/>
      <c r="W74" s="91"/>
      <c r="X74" s="92"/>
    </row>
    <row r="75" spans="1:24">
      <c r="A75" s="614"/>
      <c r="B75" s="87">
        <f t="shared" si="16"/>
        <v>5</v>
      </c>
      <c r="C75" s="609"/>
      <c r="D75" s="10"/>
      <c r="E75" s="101"/>
      <c r="F75" s="62"/>
      <c r="G75" s="62"/>
      <c r="H75" s="62"/>
      <c r="I75" s="89">
        <f t="shared" si="15"/>
        <v>0</v>
      </c>
      <c r="J75" s="63"/>
      <c r="K75" s="63"/>
      <c r="L75" s="63"/>
      <c r="M75" s="63"/>
      <c r="N75" s="63"/>
      <c r="O75" s="63"/>
      <c r="P75" s="63"/>
      <c r="Q75" s="63"/>
      <c r="R75" s="63"/>
      <c r="S75" s="63"/>
      <c r="T75" s="63"/>
      <c r="U75" s="10"/>
      <c r="V75" s="90"/>
      <c r="W75" s="91"/>
      <c r="X75" s="92"/>
    </row>
    <row r="76" spans="1:24">
      <c r="A76" s="614"/>
      <c r="B76" s="87">
        <f t="shared" si="16"/>
        <v>6</v>
      </c>
      <c r="C76" s="609"/>
      <c r="D76" s="10"/>
      <c r="E76" s="101"/>
      <c r="F76" s="62"/>
      <c r="G76" s="62"/>
      <c r="H76" s="62"/>
      <c r="I76" s="89">
        <f t="shared" si="15"/>
        <v>0</v>
      </c>
      <c r="J76" s="63"/>
      <c r="K76" s="63"/>
      <c r="L76" s="63"/>
      <c r="M76" s="63"/>
      <c r="N76" s="63"/>
      <c r="O76" s="63"/>
      <c r="P76" s="63"/>
      <c r="Q76" s="63"/>
      <c r="R76" s="63"/>
      <c r="S76" s="63"/>
      <c r="T76" s="63"/>
      <c r="U76" s="10"/>
      <c r="V76" s="90"/>
      <c r="W76" s="91"/>
      <c r="X76" s="92"/>
    </row>
    <row r="77" spans="1:24">
      <c r="A77" s="614"/>
      <c r="B77" s="87">
        <f t="shared" si="16"/>
        <v>7</v>
      </c>
      <c r="C77" s="609"/>
      <c r="D77" s="10"/>
      <c r="E77" s="101"/>
      <c r="F77" s="62"/>
      <c r="G77" s="62"/>
      <c r="H77" s="62"/>
      <c r="I77" s="89">
        <f t="shared" si="15"/>
        <v>0</v>
      </c>
      <c r="J77" s="63"/>
      <c r="K77" s="63"/>
      <c r="L77" s="63"/>
      <c r="M77" s="63"/>
      <c r="N77" s="63"/>
      <c r="O77" s="63"/>
      <c r="P77" s="63"/>
      <c r="Q77" s="63"/>
      <c r="R77" s="63"/>
      <c r="S77" s="63"/>
      <c r="T77" s="63"/>
      <c r="U77" s="10"/>
      <c r="V77" s="90"/>
      <c r="W77" s="91"/>
      <c r="X77" s="92"/>
    </row>
    <row r="78" spans="1:24">
      <c r="A78" s="614"/>
      <c r="B78" s="87">
        <f t="shared" si="16"/>
        <v>8</v>
      </c>
      <c r="C78" s="609"/>
      <c r="D78" s="10"/>
      <c r="E78" s="101"/>
      <c r="F78" s="62"/>
      <c r="G78" s="62"/>
      <c r="H78" s="62"/>
      <c r="I78" s="89">
        <f t="shared" si="15"/>
        <v>0</v>
      </c>
      <c r="J78" s="63"/>
      <c r="K78" s="63"/>
      <c r="L78" s="63"/>
      <c r="M78" s="63"/>
      <c r="N78" s="63"/>
      <c r="O78" s="63"/>
      <c r="P78" s="63"/>
      <c r="Q78" s="63"/>
      <c r="R78" s="63"/>
      <c r="S78" s="63"/>
      <c r="T78" s="63"/>
      <c r="U78" s="10"/>
      <c r="V78" s="90"/>
      <c r="W78" s="91"/>
      <c r="X78" s="92"/>
    </row>
    <row r="79" spans="1:24" s="128" customFormat="1">
      <c r="A79" s="615"/>
      <c r="B79" s="132"/>
      <c r="C79" s="611"/>
      <c r="D79" s="123"/>
      <c r="E79" s="123"/>
      <c r="F79" s="133">
        <f>SUM(F71:F78)</f>
        <v>0</v>
      </c>
      <c r="G79" s="133">
        <f>SUM(G71:G78)</f>
        <v>0</v>
      </c>
      <c r="H79" s="133">
        <f>SUM(H71:H78)</f>
        <v>0</v>
      </c>
      <c r="I79" s="134">
        <f>SUM(I71:I78)</f>
        <v>0</v>
      </c>
      <c r="J79" s="127"/>
      <c r="K79" s="64"/>
      <c r="L79" s="64"/>
      <c r="M79" s="64"/>
      <c r="N79" s="64"/>
      <c r="O79" s="64"/>
      <c r="P79" s="64"/>
      <c r="Q79" s="64"/>
      <c r="R79" s="64"/>
      <c r="S79" s="64"/>
      <c r="T79" s="127"/>
      <c r="U79" s="123"/>
      <c r="V79" s="129"/>
      <c r="W79" s="130"/>
      <c r="X79" s="131"/>
    </row>
    <row r="80" spans="1:24">
      <c r="A80" s="614"/>
      <c r="B80" s="11"/>
      <c r="C80" s="609"/>
      <c r="D80" s="10"/>
      <c r="E80" s="10"/>
      <c r="F80" s="88"/>
      <c r="G80" s="88"/>
      <c r="H80" s="88"/>
      <c r="I80" s="99"/>
      <c r="J80" s="63"/>
      <c r="K80" s="21"/>
      <c r="L80" s="21"/>
      <c r="M80" s="21"/>
      <c r="N80" s="21"/>
      <c r="O80" s="21"/>
      <c r="P80" s="21"/>
      <c r="Q80" s="21"/>
      <c r="R80" s="21"/>
      <c r="S80" s="21"/>
      <c r="T80" s="63"/>
      <c r="U80" s="10"/>
      <c r="V80" s="90"/>
      <c r="W80" s="91"/>
      <c r="X80" s="92"/>
    </row>
    <row r="81" spans="1:24" s="128" customFormat="1">
      <c r="A81" s="615"/>
      <c r="B81" s="121" t="s">
        <v>69</v>
      </c>
      <c r="C81" s="611"/>
      <c r="D81" s="123"/>
      <c r="E81" s="123"/>
      <c r="F81" s="124"/>
      <c r="G81" s="125"/>
      <c r="H81" s="124"/>
      <c r="I81" s="126"/>
      <c r="J81" s="127"/>
      <c r="T81" s="127"/>
      <c r="U81" s="135"/>
      <c r="V81" s="129"/>
      <c r="W81" s="130"/>
      <c r="X81" s="131"/>
    </row>
    <row r="82" spans="1:24">
      <c r="A82" s="614"/>
      <c r="B82" s="87">
        <v>1</v>
      </c>
      <c r="C82" s="609"/>
      <c r="D82" s="10"/>
      <c r="E82" s="101"/>
      <c r="F82" s="62"/>
      <c r="G82" s="62"/>
      <c r="H82" s="62"/>
      <c r="I82" s="89">
        <f t="shared" ref="I82:I89" si="17">F82-G82-H82</f>
        <v>0</v>
      </c>
      <c r="J82" s="63"/>
      <c r="K82" s="63"/>
      <c r="L82" s="63"/>
      <c r="M82" s="63"/>
      <c r="N82" s="63"/>
      <c r="O82" s="63"/>
      <c r="P82" s="63"/>
      <c r="Q82" s="63"/>
      <c r="R82" s="63"/>
      <c r="S82" s="63"/>
      <c r="T82" s="63"/>
      <c r="U82" s="94"/>
      <c r="V82" s="90"/>
      <c r="W82" s="91"/>
      <c r="X82" s="92"/>
    </row>
    <row r="83" spans="1:24">
      <c r="A83" s="614"/>
      <c r="B83" s="87">
        <f t="shared" ref="B83:B89" si="18">B82+1</f>
        <v>2</v>
      </c>
      <c r="C83" s="609"/>
      <c r="D83" s="10"/>
      <c r="E83" s="101"/>
      <c r="F83" s="62"/>
      <c r="G83" s="62"/>
      <c r="H83" s="62"/>
      <c r="I83" s="89">
        <f t="shared" si="17"/>
        <v>0</v>
      </c>
      <c r="J83" s="63"/>
      <c r="K83" s="63"/>
      <c r="L83" s="63"/>
      <c r="M83" s="63"/>
      <c r="N83" s="63"/>
      <c r="O83" s="63"/>
      <c r="P83" s="63"/>
      <c r="Q83" s="63"/>
      <c r="R83" s="63"/>
      <c r="S83" s="63"/>
      <c r="T83" s="63"/>
      <c r="U83" s="94"/>
      <c r="V83" s="90"/>
      <c r="W83" s="91"/>
      <c r="X83" s="92"/>
    </row>
    <row r="84" spans="1:24">
      <c r="A84" s="614"/>
      <c r="B84" s="87">
        <f t="shared" si="18"/>
        <v>3</v>
      </c>
      <c r="C84" s="609"/>
      <c r="D84" s="10"/>
      <c r="E84" s="101"/>
      <c r="F84" s="62"/>
      <c r="G84" s="62"/>
      <c r="H84" s="62"/>
      <c r="I84" s="89">
        <f t="shared" si="17"/>
        <v>0</v>
      </c>
      <c r="J84" s="63"/>
      <c r="K84" s="63"/>
      <c r="L84" s="63"/>
      <c r="M84" s="63"/>
      <c r="N84" s="63"/>
      <c r="O84" s="63"/>
      <c r="P84" s="63"/>
      <c r="Q84" s="63"/>
      <c r="R84" s="63"/>
      <c r="S84" s="63"/>
      <c r="T84" s="63"/>
      <c r="U84" s="94"/>
      <c r="V84" s="90"/>
      <c r="W84" s="91"/>
      <c r="X84" s="92"/>
    </row>
    <row r="85" spans="1:24">
      <c r="A85" s="614"/>
      <c r="B85" s="87">
        <f t="shared" si="18"/>
        <v>4</v>
      </c>
      <c r="C85" s="609"/>
      <c r="D85" s="10"/>
      <c r="E85" s="101"/>
      <c r="F85" s="62"/>
      <c r="G85" s="62"/>
      <c r="H85" s="62"/>
      <c r="I85" s="89">
        <f t="shared" si="17"/>
        <v>0</v>
      </c>
      <c r="J85" s="63"/>
      <c r="K85" s="63"/>
      <c r="L85" s="63"/>
      <c r="M85" s="63"/>
      <c r="N85" s="63"/>
      <c r="O85" s="63"/>
      <c r="P85" s="63"/>
      <c r="Q85" s="63"/>
      <c r="R85" s="63"/>
      <c r="S85" s="63"/>
      <c r="T85" s="63"/>
      <c r="U85" s="94"/>
      <c r="V85" s="90"/>
      <c r="W85" s="91"/>
      <c r="X85" s="92"/>
    </row>
    <row r="86" spans="1:24">
      <c r="A86" s="614"/>
      <c r="B86" s="87">
        <f t="shared" si="18"/>
        <v>5</v>
      </c>
      <c r="C86" s="609"/>
      <c r="D86" s="10"/>
      <c r="E86" s="101"/>
      <c r="F86" s="62"/>
      <c r="G86" s="62"/>
      <c r="H86" s="62"/>
      <c r="I86" s="89">
        <f t="shared" si="17"/>
        <v>0</v>
      </c>
      <c r="J86" s="63"/>
      <c r="K86" s="63"/>
      <c r="L86" s="63"/>
      <c r="M86" s="63"/>
      <c r="N86" s="63"/>
      <c r="O86" s="63"/>
      <c r="P86" s="63"/>
      <c r="Q86" s="63"/>
      <c r="R86" s="63"/>
      <c r="S86" s="63"/>
      <c r="T86" s="63"/>
      <c r="U86" s="94"/>
      <c r="V86" s="90"/>
      <c r="W86" s="91"/>
      <c r="X86" s="92"/>
    </row>
    <row r="87" spans="1:24">
      <c r="A87" s="614"/>
      <c r="B87" s="87">
        <f t="shared" si="18"/>
        <v>6</v>
      </c>
      <c r="C87" s="609"/>
      <c r="D87" s="10"/>
      <c r="E87" s="101"/>
      <c r="F87" s="62"/>
      <c r="G87" s="62"/>
      <c r="H87" s="62"/>
      <c r="I87" s="89">
        <f t="shared" si="17"/>
        <v>0</v>
      </c>
      <c r="J87" s="63"/>
      <c r="K87" s="63"/>
      <c r="L87" s="63"/>
      <c r="M87" s="63"/>
      <c r="N87" s="63"/>
      <c r="O87" s="63"/>
      <c r="P87" s="63"/>
      <c r="Q87" s="63"/>
      <c r="R87" s="63"/>
      <c r="S87" s="63"/>
      <c r="T87" s="63"/>
      <c r="U87" s="94"/>
      <c r="V87" s="90"/>
      <c r="W87" s="91"/>
      <c r="X87" s="92"/>
    </row>
    <row r="88" spans="1:24">
      <c r="A88" s="614"/>
      <c r="B88" s="87">
        <f t="shared" si="18"/>
        <v>7</v>
      </c>
      <c r="C88" s="609"/>
      <c r="D88" s="10"/>
      <c r="E88" s="101"/>
      <c r="F88" s="62"/>
      <c r="G88" s="62"/>
      <c r="H88" s="62"/>
      <c r="I88" s="89">
        <f t="shared" si="17"/>
        <v>0</v>
      </c>
      <c r="J88" s="63"/>
      <c r="K88" s="63"/>
      <c r="L88" s="63"/>
      <c r="M88" s="63"/>
      <c r="N88" s="63"/>
      <c r="O88" s="63"/>
      <c r="P88" s="63"/>
      <c r="Q88" s="63"/>
      <c r="R88" s="63"/>
      <c r="S88" s="63"/>
      <c r="T88" s="63"/>
      <c r="U88" s="94"/>
      <c r="V88" s="90"/>
      <c r="W88" s="91"/>
      <c r="X88" s="92"/>
    </row>
    <row r="89" spans="1:24">
      <c r="A89" s="614"/>
      <c r="B89" s="87">
        <f t="shared" si="18"/>
        <v>8</v>
      </c>
      <c r="C89" s="609"/>
      <c r="D89" s="10"/>
      <c r="E89" s="101"/>
      <c r="F89" s="62"/>
      <c r="G89" s="62"/>
      <c r="H89" s="62"/>
      <c r="I89" s="89">
        <f t="shared" si="17"/>
        <v>0</v>
      </c>
      <c r="J89" s="63"/>
      <c r="K89" s="63"/>
      <c r="L89" s="63"/>
      <c r="M89" s="63"/>
      <c r="N89" s="63"/>
      <c r="O89" s="63"/>
      <c r="P89" s="63"/>
      <c r="Q89" s="63"/>
      <c r="R89" s="63"/>
      <c r="S89" s="63"/>
      <c r="T89" s="63"/>
      <c r="U89" s="94"/>
      <c r="V89" s="90"/>
      <c r="W89" s="91"/>
      <c r="X89" s="92"/>
    </row>
    <row r="90" spans="1:24" s="128" customFormat="1">
      <c r="A90" s="615"/>
      <c r="B90" s="132"/>
      <c r="C90" s="611"/>
      <c r="D90" s="123"/>
      <c r="E90" s="123"/>
      <c r="F90" s="133">
        <f>SUM(F82:F89)</f>
        <v>0</v>
      </c>
      <c r="G90" s="133">
        <f>SUM(G82:G89)</f>
        <v>0</v>
      </c>
      <c r="H90" s="133">
        <f>SUM(H82:H89)</f>
        <v>0</v>
      </c>
      <c r="I90" s="134">
        <f>SUM(I82:I89)</f>
        <v>0</v>
      </c>
      <c r="J90" s="127"/>
      <c r="K90" s="64"/>
      <c r="L90" s="64"/>
      <c r="M90" s="64"/>
      <c r="N90" s="64"/>
      <c r="O90" s="64"/>
      <c r="P90" s="64"/>
      <c r="Q90" s="64"/>
      <c r="R90" s="64"/>
      <c r="S90" s="64"/>
      <c r="T90" s="127"/>
      <c r="U90" s="135"/>
      <c r="V90" s="129"/>
      <c r="W90" s="130"/>
      <c r="X90" s="131"/>
    </row>
    <row r="91" spans="1:24">
      <c r="A91" s="614"/>
      <c r="B91" s="11"/>
      <c r="C91" s="609"/>
      <c r="D91" s="10"/>
      <c r="E91" s="10"/>
      <c r="F91" s="88"/>
      <c r="G91" s="88"/>
      <c r="H91" s="88"/>
      <c r="I91" s="99"/>
      <c r="J91" s="63"/>
      <c r="K91" s="21"/>
      <c r="L91" s="21"/>
      <c r="M91" s="21"/>
      <c r="N91" s="21"/>
      <c r="O91" s="21"/>
      <c r="P91" s="21"/>
      <c r="Q91" s="21"/>
      <c r="R91" s="21"/>
      <c r="S91" s="21"/>
      <c r="T91" s="63"/>
      <c r="U91" s="94"/>
      <c r="V91" s="90"/>
      <c r="W91" s="91"/>
      <c r="X91" s="92"/>
    </row>
    <row r="92" spans="1:24" s="128" customFormat="1">
      <c r="A92" s="615"/>
      <c r="B92" s="121" t="s">
        <v>70</v>
      </c>
      <c r="C92" s="611"/>
      <c r="D92" s="123"/>
      <c r="F92" s="124"/>
      <c r="G92" s="124"/>
      <c r="H92" s="124"/>
      <c r="I92" s="126"/>
      <c r="J92" s="127"/>
      <c r="K92" s="64"/>
      <c r="L92" s="64"/>
      <c r="M92" s="64"/>
      <c r="N92" s="64"/>
      <c r="O92" s="64"/>
      <c r="P92" s="64"/>
      <c r="Q92" s="64"/>
      <c r="R92" s="64"/>
      <c r="S92" s="64"/>
      <c r="T92" s="127"/>
      <c r="U92" s="135"/>
      <c r="V92" s="129"/>
      <c r="W92" s="130"/>
      <c r="X92" s="131"/>
    </row>
    <row r="93" spans="1:24">
      <c r="A93" s="614"/>
      <c r="B93" s="87">
        <v>1</v>
      </c>
      <c r="C93" s="609"/>
      <c r="D93" s="10"/>
      <c r="E93" s="10"/>
      <c r="F93" s="62"/>
      <c r="G93" s="62"/>
      <c r="H93" s="62"/>
      <c r="I93" s="89">
        <f>F93-G93-H93</f>
        <v>0</v>
      </c>
      <c r="J93" s="63"/>
      <c r="K93" s="63"/>
      <c r="L93" s="63"/>
      <c r="M93" s="63"/>
      <c r="N93" s="63"/>
      <c r="O93" s="63"/>
      <c r="P93" s="63"/>
      <c r="Q93" s="63"/>
      <c r="R93" s="63"/>
      <c r="S93" s="63"/>
      <c r="T93" s="63"/>
      <c r="U93" s="94"/>
      <c r="V93" s="90"/>
      <c r="W93" s="136"/>
      <c r="X93" s="137"/>
    </row>
    <row r="94" spans="1:24">
      <c r="A94" s="614"/>
      <c r="B94" s="87">
        <f t="shared" ref="B94:B100" si="19">B93+1</f>
        <v>2</v>
      </c>
      <c r="C94" s="609"/>
      <c r="D94" s="10"/>
      <c r="E94" s="10"/>
      <c r="F94" s="62"/>
      <c r="G94" s="62"/>
      <c r="H94" s="62"/>
      <c r="I94" s="89">
        <f t="shared" ref="I94" si="20">F94-G94-H94</f>
        <v>0</v>
      </c>
      <c r="J94" s="63"/>
      <c r="K94" s="63"/>
      <c r="L94" s="63"/>
      <c r="M94" s="63"/>
      <c r="N94" s="63"/>
      <c r="O94" s="63"/>
      <c r="P94" s="63"/>
      <c r="Q94" s="63"/>
      <c r="R94" s="63"/>
      <c r="S94" s="63"/>
      <c r="T94" s="63"/>
      <c r="U94" s="94"/>
      <c r="V94" s="90"/>
      <c r="W94" s="136"/>
      <c r="X94" s="137"/>
    </row>
    <row r="95" spans="1:24">
      <c r="A95" s="614"/>
      <c r="B95" s="87">
        <f t="shared" si="19"/>
        <v>3</v>
      </c>
      <c r="C95" s="609"/>
      <c r="D95" s="10"/>
      <c r="E95" s="10"/>
      <c r="F95" s="62"/>
      <c r="G95" s="62"/>
      <c r="H95" s="62"/>
      <c r="I95" s="89">
        <f>F95-G95-H95</f>
        <v>0</v>
      </c>
      <c r="J95" s="63"/>
      <c r="K95" s="63"/>
      <c r="L95" s="63"/>
      <c r="M95" s="63"/>
      <c r="N95" s="63"/>
      <c r="O95" s="63"/>
      <c r="P95" s="63"/>
      <c r="Q95" s="63"/>
      <c r="R95" s="63"/>
      <c r="S95" s="63"/>
      <c r="T95" s="63"/>
      <c r="U95" s="94"/>
      <c r="V95" s="90"/>
      <c r="W95" s="136"/>
      <c r="X95" s="137"/>
    </row>
    <row r="96" spans="1:24">
      <c r="A96" s="614"/>
      <c r="B96" s="87">
        <f t="shared" si="19"/>
        <v>4</v>
      </c>
      <c r="C96" s="609"/>
      <c r="D96" s="10"/>
      <c r="E96" s="10"/>
      <c r="F96" s="62"/>
      <c r="G96" s="62"/>
      <c r="H96" s="62"/>
      <c r="I96" s="89">
        <f>F96-G96-H96</f>
        <v>0</v>
      </c>
      <c r="J96" s="63"/>
      <c r="K96" s="63"/>
      <c r="L96" s="63"/>
      <c r="M96" s="63"/>
      <c r="N96" s="63"/>
      <c r="O96" s="63"/>
      <c r="P96" s="63"/>
      <c r="Q96" s="63"/>
      <c r="R96" s="63"/>
      <c r="S96" s="63"/>
      <c r="T96" s="63"/>
      <c r="U96" s="94"/>
      <c r="V96" s="90"/>
      <c r="W96" s="136"/>
      <c r="X96" s="137"/>
    </row>
    <row r="97" spans="1:24">
      <c r="A97" s="614"/>
      <c r="B97" s="87">
        <f t="shared" si="19"/>
        <v>5</v>
      </c>
      <c r="C97" s="609"/>
      <c r="D97" s="10"/>
      <c r="E97" s="10"/>
      <c r="F97" s="62"/>
      <c r="G97" s="62"/>
      <c r="H97" s="62"/>
      <c r="I97" s="89">
        <f>F97-G97-H97</f>
        <v>0</v>
      </c>
      <c r="J97" s="63"/>
      <c r="K97" s="63"/>
      <c r="L97" s="63"/>
      <c r="M97" s="63"/>
      <c r="N97" s="63"/>
      <c r="O97" s="63"/>
      <c r="P97" s="63"/>
      <c r="Q97" s="63"/>
      <c r="R97" s="63"/>
      <c r="S97" s="63"/>
      <c r="T97" s="63"/>
      <c r="U97" s="94"/>
      <c r="V97" s="90"/>
      <c r="W97" s="136"/>
      <c r="X97" s="137"/>
    </row>
    <row r="98" spans="1:24">
      <c r="A98" s="614"/>
      <c r="B98" s="87">
        <f t="shared" si="19"/>
        <v>6</v>
      </c>
      <c r="C98" s="609"/>
      <c r="D98" s="10"/>
      <c r="E98" s="10"/>
      <c r="F98" s="62"/>
      <c r="G98" s="62"/>
      <c r="H98" s="62"/>
      <c r="I98" s="89">
        <f>F98-G98-H98</f>
        <v>0</v>
      </c>
      <c r="J98" s="63"/>
      <c r="K98" s="63"/>
      <c r="L98" s="63"/>
      <c r="M98" s="63"/>
      <c r="N98" s="63"/>
      <c r="O98" s="63"/>
      <c r="P98" s="63"/>
      <c r="Q98" s="63"/>
      <c r="R98" s="63"/>
      <c r="S98" s="63"/>
      <c r="T98" s="63"/>
      <c r="U98" s="94"/>
      <c r="V98" s="90"/>
      <c r="W98" s="136"/>
      <c r="X98" s="137"/>
    </row>
    <row r="99" spans="1:24">
      <c r="A99" s="614"/>
      <c r="B99" s="87">
        <f t="shared" si="19"/>
        <v>7</v>
      </c>
      <c r="C99" s="609"/>
      <c r="D99" s="10"/>
      <c r="E99" s="10"/>
      <c r="F99" s="62"/>
      <c r="G99" s="62"/>
      <c r="H99" s="62"/>
      <c r="I99" s="89">
        <f t="shared" ref="I99:I100" si="21">F99-G99-H99</f>
        <v>0</v>
      </c>
      <c r="J99" s="63"/>
      <c r="K99" s="63"/>
      <c r="L99" s="63"/>
      <c r="M99" s="63"/>
      <c r="N99" s="63"/>
      <c r="O99" s="63"/>
      <c r="P99" s="63"/>
      <c r="Q99" s="63"/>
      <c r="R99" s="63"/>
      <c r="S99" s="63"/>
      <c r="T99" s="63"/>
      <c r="U99" s="94"/>
      <c r="V99" s="90"/>
      <c r="W99" s="136"/>
      <c r="X99" s="137"/>
    </row>
    <row r="100" spans="1:24">
      <c r="A100" s="614"/>
      <c r="B100" s="87">
        <f t="shared" si="19"/>
        <v>8</v>
      </c>
      <c r="C100" s="609"/>
      <c r="D100" s="10"/>
      <c r="E100" s="10"/>
      <c r="F100" s="62"/>
      <c r="G100" s="62"/>
      <c r="H100" s="62"/>
      <c r="I100" s="89">
        <f t="shared" si="21"/>
        <v>0</v>
      </c>
      <c r="J100" s="63"/>
      <c r="K100" s="63"/>
      <c r="L100" s="63"/>
      <c r="M100" s="63"/>
      <c r="N100" s="63"/>
      <c r="O100" s="63"/>
      <c r="P100" s="63"/>
      <c r="Q100" s="63"/>
      <c r="R100" s="63"/>
      <c r="S100" s="63"/>
      <c r="T100" s="63"/>
      <c r="U100" s="94"/>
      <c r="V100" s="90"/>
      <c r="W100" s="136"/>
      <c r="X100" s="137"/>
    </row>
    <row r="101" spans="1:24" s="128" customFormat="1">
      <c r="A101" s="615"/>
      <c r="B101" s="132"/>
      <c r="C101" s="611"/>
      <c r="D101" s="123"/>
      <c r="E101" s="123"/>
      <c r="F101" s="133">
        <f>SUM(F93:F100)</f>
        <v>0</v>
      </c>
      <c r="G101" s="133">
        <f t="shared" ref="G101:I101" si="22">SUM(G93:G100)</f>
        <v>0</v>
      </c>
      <c r="H101" s="133">
        <f t="shared" si="22"/>
        <v>0</v>
      </c>
      <c r="I101" s="134">
        <f t="shared" si="22"/>
        <v>0</v>
      </c>
      <c r="J101" s="127"/>
      <c r="K101" s="64"/>
      <c r="L101" s="64"/>
      <c r="M101" s="64"/>
      <c r="N101" s="64"/>
      <c r="O101" s="64"/>
      <c r="P101" s="64"/>
      <c r="Q101" s="64"/>
      <c r="R101" s="64"/>
      <c r="S101" s="64"/>
      <c r="T101" s="127"/>
      <c r="U101" s="135"/>
      <c r="V101" s="129"/>
      <c r="W101" s="130"/>
      <c r="X101" s="131"/>
    </row>
    <row r="102" spans="1:24">
      <c r="A102" s="614"/>
      <c r="B102" s="11"/>
      <c r="C102" s="609"/>
      <c r="D102" s="10"/>
      <c r="E102" s="10"/>
      <c r="F102" s="88"/>
      <c r="G102" s="88"/>
      <c r="H102" s="88"/>
      <c r="I102" s="99"/>
      <c r="J102" s="10"/>
      <c r="K102" s="63"/>
      <c r="L102" s="63"/>
      <c r="M102" s="63"/>
      <c r="N102" s="63"/>
      <c r="O102" s="63"/>
      <c r="P102" s="63"/>
      <c r="Q102" s="63"/>
      <c r="R102" s="63"/>
      <c r="S102" s="63"/>
      <c r="T102" s="63"/>
      <c r="U102" s="94"/>
      <c r="V102" s="90"/>
      <c r="W102" s="91"/>
      <c r="X102" s="92"/>
    </row>
    <row r="103" spans="1:24" s="128" customFormat="1">
      <c r="A103" s="615"/>
      <c r="B103" s="121" t="s">
        <v>71</v>
      </c>
      <c r="C103" s="611"/>
      <c r="D103" s="123"/>
      <c r="F103" s="124"/>
      <c r="G103" s="124"/>
      <c r="H103" s="124"/>
      <c r="I103" s="126"/>
      <c r="J103" s="127"/>
      <c r="K103" s="64"/>
      <c r="L103" s="64"/>
      <c r="M103" s="64"/>
      <c r="N103" s="64"/>
      <c r="O103" s="64"/>
      <c r="P103" s="64"/>
      <c r="Q103" s="64"/>
      <c r="R103" s="64"/>
      <c r="S103" s="64"/>
      <c r="T103" s="127"/>
      <c r="U103" s="135"/>
      <c r="V103" s="129"/>
      <c r="W103" s="130"/>
      <c r="X103" s="131"/>
    </row>
    <row r="104" spans="1:24">
      <c r="A104" s="614"/>
      <c r="B104" s="87">
        <v>1</v>
      </c>
      <c r="C104" s="609"/>
      <c r="D104" s="10"/>
      <c r="E104" s="10"/>
      <c r="F104" s="62"/>
      <c r="G104" s="62"/>
      <c r="H104" s="62"/>
      <c r="I104" s="89">
        <f t="shared" ref="I104:I111" si="23">F104-G104-H104</f>
        <v>0</v>
      </c>
      <c r="J104" s="63"/>
      <c r="K104" s="63"/>
      <c r="L104" s="63"/>
      <c r="M104" s="63"/>
      <c r="N104" s="63"/>
      <c r="O104" s="63"/>
      <c r="P104" s="63"/>
      <c r="Q104" s="63"/>
      <c r="R104" s="63"/>
      <c r="S104" s="63"/>
      <c r="T104" s="63"/>
      <c r="U104" s="94"/>
      <c r="V104" s="90"/>
      <c r="W104" s="136"/>
      <c r="X104" s="137"/>
    </row>
    <row r="105" spans="1:24">
      <c r="A105" s="614"/>
      <c r="B105" s="87">
        <f t="shared" ref="B105:B111" si="24">B104+1</f>
        <v>2</v>
      </c>
      <c r="C105" s="609"/>
      <c r="D105" s="10"/>
      <c r="E105" s="10"/>
      <c r="F105" s="62"/>
      <c r="G105" s="62"/>
      <c r="H105" s="62"/>
      <c r="I105" s="89">
        <f t="shared" si="23"/>
        <v>0</v>
      </c>
      <c r="J105" s="63"/>
      <c r="K105" s="63"/>
      <c r="L105" s="63"/>
      <c r="M105" s="63"/>
      <c r="N105" s="63"/>
      <c r="O105" s="63"/>
      <c r="P105" s="63"/>
      <c r="Q105" s="63"/>
      <c r="R105" s="63"/>
      <c r="S105" s="63"/>
      <c r="T105" s="63"/>
      <c r="U105" s="94"/>
      <c r="V105" s="90"/>
      <c r="W105" s="136"/>
      <c r="X105" s="137"/>
    </row>
    <row r="106" spans="1:24">
      <c r="A106" s="614"/>
      <c r="B106" s="87">
        <f t="shared" si="24"/>
        <v>3</v>
      </c>
      <c r="C106" s="609"/>
      <c r="D106" s="10"/>
      <c r="E106" s="10"/>
      <c r="F106" s="62"/>
      <c r="G106" s="62"/>
      <c r="H106" s="62"/>
      <c r="I106" s="89">
        <f t="shared" si="23"/>
        <v>0</v>
      </c>
      <c r="J106" s="63"/>
      <c r="K106" s="63"/>
      <c r="L106" s="63"/>
      <c r="M106" s="63"/>
      <c r="N106" s="63"/>
      <c r="O106" s="63"/>
      <c r="P106" s="63"/>
      <c r="Q106" s="63"/>
      <c r="R106" s="63"/>
      <c r="S106" s="63"/>
      <c r="T106" s="63"/>
      <c r="U106" s="94"/>
      <c r="V106" s="90"/>
      <c r="W106" s="136"/>
      <c r="X106" s="137"/>
    </row>
    <row r="107" spans="1:24">
      <c r="A107" s="614"/>
      <c r="B107" s="87">
        <f t="shared" si="24"/>
        <v>4</v>
      </c>
      <c r="C107" s="609"/>
      <c r="D107" s="10"/>
      <c r="E107" s="10"/>
      <c r="F107" s="62"/>
      <c r="G107" s="62"/>
      <c r="H107" s="62"/>
      <c r="I107" s="89">
        <f t="shared" si="23"/>
        <v>0</v>
      </c>
      <c r="J107" s="63"/>
      <c r="K107" s="63"/>
      <c r="L107" s="63"/>
      <c r="M107" s="63"/>
      <c r="N107" s="63"/>
      <c r="O107" s="63"/>
      <c r="P107" s="63"/>
      <c r="Q107" s="63"/>
      <c r="R107" s="63"/>
      <c r="S107" s="63"/>
      <c r="T107" s="63"/>
      <c r="U107" s="94"/>
      <c r="V107" s="90"/>
      <c r="W107" s="136"/>
      <c r="X107" s="137"/>
    </row>
    <row r="108" spans="1:24">
      <c r="A108" s="614"/>
      <c r="B108" s="87">
        <f t="shared" si="24"/>
        <v>5</v>
      </c>
      <c r="C108" s="609"/>
      <c r="D108" s="10"/>
      <c r="E108" s="10"/>
      <c r="F108" s="62"/>
      <c r="G108" s="62"/>
      <c r="H108" s="62"/>
      <c r="I108" s="89">
        <f t="shared" si="23"/>
        <v>0</v>
      </c>
      <c r="J108" s="63"/>
      <c r="K108" s="63"/>
      <c r="L108" s="63"/>
      <c r="M108" s="63"/>
      <c r="N108" s="63"/>
      <c r="O108" s="63"/>
      <c r="P108" s="63"/>
      <c r="Q108" s="63"/>
      <c r="R108" s="63"/>
      <c r="S108" s="63"/>
      <c r="T108" s="63"/>
      <c r="U108" s="94"/>
      <c r="V108" s="90"/>
      <c r="W108" s="136"/>
      <c r="X108" s="137"/>
    </row>
    <row r="109" spans="1:24">
      <c r="A109" s="614"/>
      <c r="B109" s="87">
        <f t="shared" si="24"/>
        <v>6</v>
      </c>
      <c r="C109" s="609"/>
      <c r="D109" s="10"/>
      <c r="E109" s="10"/>
      <c r="F109" s="62"/>
      <c r="G109" s="62"/>
      <c r="H109" s="62"/>
      <c r="I109" s="89">
        <f t="shared" si="23"/>
        <v>0</v>
      </c>
      <c r="J109" s="63"/>
      <c r="K109" s="63"/>
      <c r="L109" s="63"/>
      <c r="M109" s="63"/>
      <c r="N109" s="63"/>
      <c r="O109" s="63"/>
      <c r="P109" s="63"/>
      <c r="Q109" s="63"/>
      <c r="R109" s="63"/>
      <c r="S109" s="63"/>
      <c r="T109" s="63"/>
      <c r="U109" s="94"/>
      <c r="V109" s="90"/>
      <c r="W109" s="136"/>
      <c r="X109" s="137"/>
    </row>
    <row r="110" spans="1:24">
      <c r="A110" s="614"/>
      <c r="B110" s="87">
        <f t="shared" si="24"/>
        <v>7</v>
      </c>
      <c r="C110" s="609"/>
      <c r="D110" s="10"/>
      <c r="E110" s="10"/>
      <c r="F110" s="62"/>
      <c r="G110" s="62"/>
      <c r="H110" s="62"/>
      <c r="I110" s="89">
        <f t="shared" si="23"/>
        <v>0</v>
      </c>
      <c r="J110" s="63"/>
      <c r="K110" s="63"/>
      <c r="L110" s="63"/>
      <c r="M110" s="63"/>
      <c r="N110" s="63"/>
      <c r="O110" s="63"/>
      <c r="P110" s="63"/>
      <c r="Q110" s="63"/>
      <c r="R110" s="63"/>
      <c r="S110" s="63"/>
      <c r="T110" s="63"/>
      <c r="U110" s="94"/>
      <c r="V110" s="90"/>
      <c r="W110" s="136"/>
      <c r="X110" s="137"/>
    </row>
    <row r="111" spans="1:24">
      <c r="A111" s="614"/>
      <c r="B111" s="87">
        <f t="shared" si="24"/>
        <v>8</v>
      </c>
      <c r="C111" s="609"/>
      <c r="D111" s="10"/>
      <c r="E111" s="10"/>
      <c r="F111" s="62"/>
      <c r="G111" s="62"/>
      <c r="H111" s="62"/>
      <c r="I111" s="89">
        <f t="shared" si="23"/>
        <v>0</v>
      </c>
      <c r="J111" s="63"/>
      <c r="K111" s="63"/>
      <c r="L111" s="63"/>
      <c r="M111" s="63"/>
      <c r="N111" s="63"/>
      <c r="O111" s="63"/>
      <c r="P111" s="63"/>
      <c r="Q111" s="63"/>
      <c r="R111" s="63"/>
      <c r="S111" s="63"/>
      <c r="T111" s="63"/>
      <c r="U111" s="94"/>
      <c r="V111" s="90"/>
      <c r="W111" s="136"/>
      <c r="X111" s="137"/>
    </row>
    <row r="112" spans="1:24" s="128" customFormat="1">
      <c r="A112" s="615"/>
      <c r="B112" s="132"/>
      <c r="C112" s="611"/>
      <c r="D112" s="123"/>
      <c r="E112" s="123"/>
      <c r="F112" s="133">
        <f>SUM(F104:F111)</f>
        <v>0</v>
      </c>
      <c r="G112" s="133">
        <f>SUM(G104:G111)</f>
        <v>0</v>
      </c>
      <c r="H112" s="133">
        <f>SUM(H104:H111)</f>
        <v>0</v>
      </c>
      <c r="I112" s="134">
        <f>SUM(I104:I111)</f>
        <v>0</v>
      </c>
      <c r="J112" s="127"/>
      <c r="K112" s="64"/>
      <c r="L112" s="64"/>
      <c r="M112" s="64"/>
      <c r="N112" s="64"/>
      <c r="O112" s="64"/>
      <c r="P112" s="64"/>
      <c r="Q112" s="64"/>
      <c r="R112" s="64"/>
      <c r="S112" s="64"/>
      <c r="T112" s="127"/>
      <c r="U112" s="135"/>
      <c r="V112" s="129"/>
      <c r="W112" s="130"/>
      <c r="X112" s="131"/>
    </row>
    <row r="113" spans="1:24">
      <c r="A113" s="614"/>
      <c r="B113" s="11"/>
      <c r="C113" s="609"/>
      <c r="D113" s="10"/>
      <c r="E113" s="10"/>
      <c r="F113" s="88"/>
      <c r="G113" s="88"/>
      <c r="H113" s="88"/>
      <c r="I113" s="99"/>
      <c r="J113" s="63"/>
      <c r="K113" s="21"/>
      <c r="L113" s="21"/>
      <c r="M113" s="21"/>
      <c r="N113" s="21"/>
      <c r="O113" s="21"/>
      <c r="P113" s="21"/>
      <c r="Q113" s="21"/>
      <c r="R113" s="21"/>
      <c r="S113" s="21"/>
      <c r="T113" s="63"/>
      <c r="U113" s="94"/>
      <c r="V113" s="90"/>
      <c r="W113" s="91"/>
      <c r="X113" s="92"/>
    </row>
    <row r="114" spans="1:24">
      <c r="A114" s="614"/>
      <c r="B114" s="100" t="s">
        <v>72</v>
      </c>
      <c r="C114" s="609"/>
      <c r="D114" s="10"/>
      <c r="E114" s="10"/>
      <c r="F114" s="88"/>
      <c r="G114" s="88"/>
      <c r="H114" s="88"/>
      <c r="I114" s="99"/>
      <c r="J114" s="63"/>
      <c r="K114" s="63"/>
      <c r="L114" s="63"/>
      <c r="M114" s="63"/>
      <c r="N114" s="63"/>
      <c r="O114" s="63"/>
      <c r="P114" s="63"/>
      <c r="Q114" s="63"/>
      <c r="R114" s="63"/>
      <c r="S114" s="63"/>
      <c r="T114" s="63"/>
      <c r="U114" s="10"/>
      <c r="V114" s="90"/>
      <c r="W114" s="91"/>
      <c r="X114" s="92"/>
    </row>
    <row r="115" spans="1:24">
      <c r="A115" s="614"/>
      <c r="B115" s="87">
        <v>1</v>
      </c>
      <c r="C115" s="609"/>
      <c r="D115" s="10"/>
      <c r="E115" s="10"/>
      <c r="F115" s="62"/>
      <c r="G115" s="62"/>
      <c r="H115" s="62"/>
      <c r="I115" s="89">
        <f t="shared" ref="I115:I132" si="25">F115-G115-H115</f>
        <v>0</v>
      </c>
      <c r="J115" s="63"/>
      <c r="K115" s="63"/>
      <c r="L115" s="63"/>
      <c r="M115" s="63"/>
      <c r="N115" s="63"/>
      <c r="O115" s="63"/>
      <c r="P115" s="63"/>
      <c r="Q115" s="63"/>
      <c r="R115" s="63"/>
      <c r="S115" s="63"/>
      <c r="T115" s="63"/>
      <c r="U115" s="3"/>
      <c r="V115" s="90"/>
      <c r="W115" s="91"/>
      <c r="X115" s="92"/>
    </row>
    <row r="116" spans="1:24">
      <c r="A116" s="614"/>
      <c r="B116" s="87">
        <f t="shared" ref="B116:B132" si="26">B115+1</f>
        <v>2</v>
      </c>
      <c r="C116" s="609"/>
      <c r="D116" s="10"/>
      <c r="E116" s="10"/>
      <c r="F116" s="62"/>
      <c r="G116" s="62"/>
      <c r="H116" s="62"/>
      <c r="I116" s="89">
        <f t="shared" si="25"/>
        <v>0</v>
      </c>
      <c r="J116" s="63"/>
      <c r="K116" s="63"/>
      <c r="L116" s="63"/>
      <c r="M116" s="63"/>
      <c r="N116" s="63"/>
      <c r="O116" s="63"/>
      <c r="P116" s="63"/>
      <c r="Q116" s="63"/>
      <c r="R116" s="63"/>
      <c r="S116" s="63"/>
      <c r="T116" s="63"/>
      <c r="U116" s="10"/>
      <c r="V116" s="90"/>
      <c r="W116" s="136"/>
      <c r="X116" s="137"/>
    </row>
    <row r="117" spans="1:24">
      <c r="A117" s="614"/>
      <c r="B117" s="87">
        <f t="shared" si="26"/>
        <v>3</v>
      </c>
      <c r="C117" s="609"/>
      <c r="D117" s="10"/>
      <c r="E117" s="10"/>
      <c r="F117" s="62"/>
      <c r="G117" s="62"/>
      <c r="H117" s="62"/>
      <c r="I117" s="89">
        <f t="shared" si="25"/>
        <v>0</v>
      </c>
      <c r="J117" s="63"/>
      <c r="K117" s="63"/>
      <c r="L117" s="63"/>
      <c r="M117" s="63"/>
      <c r="N117" s="63"/>
      <c r="O117" s="63"/>
      <c r="P117" s="63"/>
      <c r="Q117" s="63"/>
      <c r="R117" s="63"/>
      <c r="S117" s="63"/>
      <c r="T117" s="63"/>
      <c r="U117" s="10"/>
      <c r="V117" s="90"/>
      <c r="W117" s="136"/>
      <c r="X117" s="137"/>
    </row>
    <row r="118" spans="1:24">
      <c r="A118" s="614"/>
      <c r="B118" s="87">
        <f t="shared" si="26"/>
        <v>4</v>
      </c>
      <c r="C118" s="609"/>
      <c r="D118" s="10"/>
      <c r="E118" s="10"/>
      <c r="F118" s="62"/>
      <c r="G118" s="62"/>
      <c r="H118" s="62"/>
      <c r="I118" s="89">
        <f t="shared" si="25"/>
        <v>0</v>
      </c>
      <c r="J118" s="63"/>
      <c r="K118" s="63"/>
      <c r="L118" s="63"/>
      <c r="M118" s="63"/>
      <c r="N118" s="63"/>
      <c r="O118" s="63"/>
      <c r="P118" s="63"/>
      <c r="Q118" s="63"/>
      <c r="R118" s="63"/>
      <c r="S118" s="63"/>
      <c r="T118" s="63"/>
      <c r="U118" s="10"/>
      <c r="V118" s="90"/>
      <c r="W118" s="136"/>
      <c r="X118" s="137"/>
    </row>
    <row r="119" spans="1:24">
      <c r="A119" s="614"/>
      <c r="B119" s="87">
        <f t="shared" si="26"/>
        <v>5</v>
      </c>
      <c r="C119" s="609"/>
      <c r="D119" s="10"/>
      <c r="E119" s="10"/>
      <c r="F119" s="62"/>
      <c r="G119" s="62"/>
      <c r="H119" s="62"/>
      <c r="I119" s="89">
        <f t="shared" si="25"/>
        <v>0</v>
      </c>
      <c r="J119" s="63"/>
      <c r="K119" s="63"/>
      <c r="L119" s="63"/>
      <c r="M119" s="63"/>
      <c r="N119" s="63"/>
      <c r="O119" s="63"/>
      <c r="P119" s="63"/>
      <c r="Q119" s="63"/>
      <c r="R119" s="63"/>
      <c r="S119" s="63"/>
      <c r="T119" s="63"/>
      <c r="U119" s="10"/>
      <c r="V119" s="90"/>
      <c r="W119" s="136"/>
      <c r="X119" s="137"/>
    </row>
    <row r="120" spans="1:24">
      <c r="A120" s="614"/>
      <c r="B120" s="87">
        <f t="shared" si="26"/>
        <v>6</v>
      </c>
      <c r="C120" s="609"/>
      <c r="D120" s="10"/>
      <c r="E120" s="101"/>
      <c r="F120" s="62"/>
      <c r="G120" s="62"/>
      <c r="H120" s="62"/>
      <c r="I120" s="89">
        <f t="shared" si="25"/>
        <v>0</v>
      </c>
      <c r="J120" s="63"/>
      <c r="K120" s="63"/>
      <c r="L120" s="63"/>
      <c r="M120" s="63"/>
      <c r="N120" s="63"/>
      <c r="O120" s="63"/>
      <c r="P120" s="63"/>
      <c r="Q120" s="63"/>
      <c r="R120" s="63"/>
      <c r="S120" s="63"/>
      <c r="T120" s="63"/>
      <c r="U120" s="10"/>
      <c r="V120" s="90"/>
      <c r="W120" s="136"/>
      <c r="X120" s="137"/>
    </row>
    <row r="121" spans="1:24">
      <c r="A121" s="614"/>
      <c r="B121" s="87">
        <f t="shared" si="26"/>
        <v>7</v>
      </c>
      <c r="C121" s="609"/>
      <c r="D121" s="10"/>
      <c r="E121" s="101"/>
      <c r="F121" s="62"/>
      <c r="G121" s="62"/>
      <c r="H121" s="62"/>
      <c r="I121" s="89">
        <f t="shared" si="25"/>
        <v>0</v>
      </c>
      <c r="J121" s="63"/>
      <c r="K121" s="63"/>
      <c r="L121" s="63"/>
      <c r="M121" s="63"/>
      <c r="N121" s="63"/>
      <c r="O121" s="63"/>
      <c r="P121" s="63"/>
      <c r="Q121" s="63"/>
      <c r="R121" s="63"/>
      <c r="S121" s="63"/>
      <c r="T121" s="63"/>
      <c r="U121" s="10"/>
      <c r="V121" s="90"/>
      <c r="W121" s="136"/>
      <c r="X121" s="137"/>
    </row>
    <row r="122" spans="1:24">
      <c r="A122" s="614"/>
      <c r="B122" s="87">
        <f t="shared" si="26"/>
        <v>8</v>
      </c>
      <c r="C122" s="609"/>
      <c r="D122" s="10"/>
      <c r="E122" s="101"/>
      <c r="F122" s="62"/>
      <c r="G122" s="62"/>
      <c r="H122" s="62"/>
      <c r="I122" s="89">
        <f t="shared" si="25"/>
        <v>0</v>
      </c>
      <c r="J122" s="63"/>
      <c r="K122" s="63"/>
      <c r="L122" s="63"/>
      <c r="M122" s="63"/>
      <c r="N122" s="63"/>
      <c r="O122" s="63"/>
      <c r="P122" s="63"/>
      <c r="Q122" s="63"/>
      <c r="R122" s="63"/>
      <c r="S122" s="63"/>
      <c r="T122" s="63"/>
      <c r="U122" s="10"/>
      <c r="V122" s="90"/>
      <c r="W122" s="136"/>
      <c r="X122" s="137"/>
    </row>
    <row r="123" spans="1:24">
      <c r="A123" s="614"/>
      <c r="B123" s="87">
        <f t="shared" si="26"/>
        <v>9</v>
      </c>
      <c r="C123" s="609"/>
      <c r="D123" s="10"/>
      <c r="E123" s="101"/>
      <c r="F123" s="62"/>
      <c r="G123" s="62"/>
      <c r="H123" s="62"/>
      <c r="I123" s="89">
        <f t="shared" si="25"/>
        <v>0</v>
      </c>
      <c r="J123" s="63"/>
      <c r="K123" s="63"/>
      <c r="L123" s="63"/>
      <c r="M123" s="63"/>
      <c r="N123" s="63"/>
      <c r="O123" s="63"/>
      <c r="P123" s="63"/>
      <c r="Q123" s="63"/>
      <c r="R123" s="63"/>
      <c r="S123" s="63"/>
      <c r="T123" s="63"/>
      <c r="U123" s="10"/>
      <c r="V123" s="90"/>
      <c r="W123" s="136"/>
      <c r="X123" s="137"/>
    </row>
    <row r="124" spans="1:24">
      <c r="A124" s="614"/>
      <c r="B124" s="87">
        <f t="shared" si="26"/>
        <v>10</v>
      </c>
      <c r="C124" s="609"/>
      <c r="D124" s="10"/>
      <c r="E124" s="101"/>
      <c r="F124" s="62"/>
      <c r="G124" s="62"/>
      <c r="H124" s="62"/>
      <c r="I124" s="89">
        <f t="shared" si="25"/>
        <v>0</v>
      </c>
      <c r="J124" s="63"/>
      <c r="K124" s="63"/>
      <c r="L124" s="63"/>
      <c r="M124" s="63"/>
      <c r="N124" s="63"/>
      <c r="O124" s="63"/>
      <c r="P124" s="63"/>
      <c r="Q124" s="63"/>
      <c r="R124" s="63"/>
      <c r="S124" s="63"/>
      <c r="T124" s="63"/>
      <c r="U124" s="10"/>
      <c r="V124" s="90"/>
      <c r="W124" s="136"/>
      <c r="X124" s="137"/>
    </row>
    <row r="125" spans="1:24">
      <c r="A125" s="614"/>
      <c r="B125" s="87">
        <f t="shared" si="26"/>
        <v>11</v>
      </c>
      <c r="C125" s="609"/>
      <c r="D125" s="10"/>
      <c r="E125" s="101"/>
      <c r="F125" s="62"/>
      <c r="G125" s="62"/>
      <c r="H125" s="62"/>
      <c r="I125" s="89">
        <f t="shared" si="25"/>
        <v>0</v>
      </c>
      <c r="J125" s="63"/>
      <c r="K125" s="63"/>
      <c r="L125" s="63"/>
      <c r="M125" s="63"/>
      <c r="N125" s="63"/>
      <c r="O125" s="63"/>
      <c r="P125" s="63"/>
      <c r="Q125" s="63"/>
      <c r="R125" s="63"/>
      <c r="S125" s="63"/>
      <c r="T125" s="63"/>
      <c r="U125" s="10"/>
      <c r="V125" s="90"/>
      <c r="W125" s="136"/>
      <c r="X125" s="137"/>
    </row>
    <row r="126" spans="1:24">
      <c r="A126" s="614"/>
      <c r="B126" s="87">
        <f t="shared" si="26"/>
        <v>12</v>
      </c>
      <c r="C126" s="609"/>
      <c r="D126" s="10"/>
      <c r="E126" s="101"/>
      <c r="F126" s="62"/>
      <c r="G126" s="62"/>
      <c r="H126" s="62"/>
      <c r="I126" s="89">
        <f t="shared" si="25"/>
        <v>0</v>
      </c>
      <c r="J126" s="63"/>
      <c r="K126" s="63"/>
      <c r="L126" s="63"/>
      <c r="M126" s="63"/>
      <c r="N126" s="63"/>
      <c r="O126" s="63"/>
      <c r="P126" s="63"/>
      <c r="Q126" s="63"/>
      <c r="R126" s="63"/>
      <c r="S126" s="63"/>
      <c r="T126" s="63"/>
      <c r="U126" s="10"/>
      <c r="V126" s="90"/>
      <c r="W126" s="136"/>
      <c r="X126" s="137"/>
    </row>
    <row r="127" spans="1:24">
      <c r="A127" s="614"/>
      <c r="B127" s="87">
        <f t="shared" si="26"/>
        <v>13</v>
      </c>
      <c r="C127" s="609"/>
      <c r="D127" s="10"/>
      <c r="E127" s="101"/>
      <c r="F127" s="62"/>
      <c r="G127" s="62"/>
      <c r="H127" s="62"/>
      <c r="I127" s="89">
        <f t="shared" si="25"/>
        <v>0</v>
      </c>
      <c r="J127" s="63"/>
      <c r="K127" s="63"/>
      <c r="L127" s="63"/>
      <c r="M127" s="63"/>
      <c r="N127" s="63"/>
      <c r="O127" s="63"/>
      <c r="P127" s="63"/>
      <c r="Q127" s="63"/>
      <c r="R127" s="63"/>
      <c r="S127" s="63"/>
      <c r="T127" s="63"/>
      <c r="U127" s="10"/>
      <c r="V127" s="90"/>
      <c r="W127" s="136"/>
      <c r="X127" s="137"/>
    </row>
    <row r="128" spans="1:24">
      <c r="A128" s="614"/>
      <c r="B128" s="87">
        <f t="shared" si="26"/>
        <v>14</v>
      </c>
      <c r="C128" s="609"/>
      <c r="D128" s="10"/>
      <c r="E128" s="10"/>
      <c r="F128" s="62"/>
      <c r="G128" s="62"/>
      <c r="H128" s="62"/>
      <c r="I128" s="89">
        <f t="shared" si="25"/>
        <v>0</v>
      </c>
      <c r="J128" s="63"/>
      <c r="K128" s="63"/>
      <c r="L128" s="63"/>
      <c r="M128" s="63"/>
      <c r="N128" s="63"/>
      <c r="O128" s="63"/>
      <c r="P128" s="63"/>
      <c r="Q128" s="63"/>
      <c r="R128" s="63"/>
      <c r="S128" s="63"/>
      <c r="T128" s="63"/>
      <c r="U128" s="10"/>
      <c r="V128" s="90"/>
      <c r="W128" s="136"/>
      <c r="X128" s="137"/>
    </row>
    <row r="129" spans="1:24">
      <c r="A129" s="614"/>
      <c r="B129" s="87">
        <f t="shared" si="26"/>
        <v>15</v>
      </c>
      <c r="C129" s="609"/>
      <c r="D129" s="10"/>
      <c r="E129" s="10"/>
      <c r="F129" s="62"/>
      <c r="G129" s="62"/>
      <c r="H129" s="62"/>
      <c r="I129" s="89">
        <f t="shared" si="25"/>
        <v>0</v>
      </c>
      <c r="J129" s="63"/>
      <c r="K129" s="63"/>
      <c r="L129" s="63"/>
      <c r="M129" s="63"/>
      <c r="N129" s="63"/>
      <c r="O129" s="63"/>
      <c r="P129" s="63"/>
      <c r="Q129" s="63"/>
      <c r="R129" s="63"/>
      <c r="S129" s="63"/>
      <c r="T129" s="63"/>
      <c r="U129" s="10"/>
      <c r="V129" s="90"/>
      <c r="W129" s="136"/>
      <c r="X129" s="137"/>
    </row>
    <row r="130" spans="1:24">
      <c r="A130" s="614"/>
      <c r="B130" s="87">
        <f t="shared" si="26"/>
        <v>16</v>
      </c>
      <c r="C130" s="609"/>
      <c r="D130" s="10"/>
      <c r="E130" s="10"/>
      <c r="F130" s="62"/>
      <c r="G130" s="62"/>
      <c r="H130" s="62"/>
      <c r="I130" s="89">
        <f t="shared" si="25"/>
        <v>0</v>
      </c>
      <c r="J130" s="63"/>
      <c r="K130" s="63"/>
      <c r="L130" s="63"/>
      <c r="M130" s="63"/>
      <c r="N130" s="63"/>
      <c r="O130" s="63"/>
      <c r="P130" s="63"/>
      <c r="Q130" s="63"/>
      <c r="R130" s="63"/>
      <c r="S130" s="63"/>
      <c r="T130" s="63"/>
      <c r="U130" s="10"/>
      <c r="V130" s="90"/>
      <c r="W130" s="136"/>
      <c r="X130" s="137"/>
    </row>
    <row r="131" spans="1:24">
      <c r="A131" s="614"/>
      <c r="B131" s="87">
        <f t="shared" si="26"/>
        <v>17</v>
      </c>
      <c r="C131" s="609"/>
      <c r="D131" s="10"/>
      <c r="E131" s="10"/>
      <c r="F131" s="62"/>
      <c r="G131" s="62"/>
      <c r="H131" s="62"/>
      <c r="I131" s="89">
        <f t="shared" si="25"/>
        <v>0</v>
      </c>
      <c r="J131" s="63"/>
      <c r="K131" s="63"/>
      <c r="L131" s="63"/>
      <c r="M131" s="63"/>
      <c r="N131" s="63"/>
      <c r="O131" s="63"/>
      <c r="P131" s="63"/>
      <c r="Q131" s="63"/>
      <c r="R131" s="63"/>
      <c r="S131" s="63"/>
      <c r="T131" s="63"/>
      <c r="U131" s="10"/>
      <c r="V131" s="90"/>
      <c r="W131" s="136"/>
      <c r="X131" s="137"/>
    </row>
    <row r="132" spans="1:24">
      <c r="A132" s="614"/>
      <c r="B132" s="87">
        <f t="shared" si="26"/>
        <v>18</v>
      </c>
      <c r="C132" s="609"/>
      <c r="D132" s="10"/>
      <c r="E132" s="10"/>
      <c r="F132" s="62"/>
      <c r="G132" s="62"/>
      <c r="H132" s="62"/>
      <c r="I132" s="89">
        <f t="shared" si="25"/>
        <v>0</v>
      </c>
      <c r="J132" s="63"/>
      <c r="K132" s="63"/>
      <c r="L132" s="63"/>
      <c r="M132" s="63"/>
      <c r="N132" s="63"/>
      <c r="O132" s="63"/>
      <c r="P132" s="63"/>
      <c r="Q132" s="63"/>
      <c r="R132" s="63"/>
      <c r="S132" s="63"/>
      <c r="T132" s="63"/>
      <c r="U132" s="10"/>
      <c r="V132" s="90"/>
      <c r="W132" s="136"/>
      <c r="X132" s="137"/>
    </row>
    <row r="133" spans="1:24">
      <c r="A133" s="614"/>
      <c r="B133" s="11"/>
      <c r="C133" s="609"/>
      <c r="D133" s="10"/>
      <c r="E133" s="10"/>
      <c r="F133" s="97">
        <f>SUM(F115:F132)</f>
        <v>0</v>
      </c>
      <c r="G133" s="97">
        <f>SUM(G115:G132)</f>
        <v>0</v>
      </c>
      <c r="H133" s="97">
        <f>SUM(H115:H132)</f>
        <v>0</v>
      </c>
      <c r="I133" s="98">
        <f>SUM(I115:I132)</f>
        <v>0</v>
      </c>
      <c r="J133" s="10"/>
      <c r="K133" s="10"/>
      <c r="L133" s="10"/>
      <c r="M133" s="10"/>
      <c r="N133" s="10"/>
      <c r="O133" s="10"/>
      <c r="P133" s="10"/>
      <c r="Q133" s="10"/>
      <c r="R133" s="10"/>
      <c r="S133" s="10"/>
      <c r="T133" s="63"/>
      <c r="U133" s="10"/>
      <c r="V133" s="138"/>
      <c r="W133" s="136"/>
      <c r="X133" s="137"/>
    </row>
    <row r="134" spans="1:24">
      <c r="A134" s="614"/>
      <c r="B134" s="11"/>
      <c r="C134" s="609"/>
      <c r="D134" s="10"/>
      <c r="E134" s="10"/>
      <c r="F134" s="88"/>
      <c r="G134" s="88"/>
      <c r="H134" s="88"/>
      <c r="I134" s="99"/>
      <c r="J134" s="10"/>
      <c r="K134" s="10"/>
      <c r="L134" s="10"/>
      <c r="M134" s="10"/>
      <c r="N134" s="10"/>
      <c r="O134" s="10"/>
      <c r="P134" s="10"/>
      <c r="Q134" s="10"/>
      <c r="R134" s="10"/>
      <c r="S134" s="10"/>
      <c r="T134" s="63"/>
      <c r="U134" s="10"/>
      <c r="V134" s="138"/>
      <c r="W134" s="136"/>
      <c r="X134" s="137"/>
    </row>
    <row r="135" spans="1:24">
      <c r="A135" s="614"/>
      <c r="B135" s="100" t="s">
        <v>73</v>
      </c>
      <c r="C135" s="609"/>
      <c r="D135" s="10"/>
      <c r="E135" s="10"/>
      <c r="F135" s="88"/>
      <c r="G135" s="88"/>
      <c r="H135" s="88"/>
      <c r="I135" s="99"/>
      <c r="J135" s="63"/>
      <c r="K135" s="63"/>
      <c r="L135" s="63"/>
      <c r="M135" s="63"/>
      <c r="N135" s="63"/>
      <c r="O135" s="63"/>
      <c r="P135" s="63"/>
      <c r="Q135" s="63"/>
      <c r="R135" s="63"/>
      <c r="S135" s="63"/>
      <c r="T135" s="63"/>
      <c r="U135" s="94"/>
      <c r="V135" s="90"/>
      <c r="W135" s="91"/>
      <c r="X135" s="92"/>
    </row>
    <row r="136" spans="1:24">
      <c r="A136" s="614"/>
      <c r="B136" s="87">
        <v>1</v>
      </c>
      <c r="C136" s="609"/>
      <c r="D136" s="10"/>
      <c r="E136" s="10"/>
      <c r="F136" s="62"/>
      <c r="G136" s="62"/>
      <c r="H136" s="62"/>
      <c r="I136" s="89">
        <f t="shared" ref="I136:I141" si="27">F136-G136-H136</f>
        <v>0</v>
      </c>
      <c r="J136" s="63"/>
      <c r="K136" s="63"/>
      <c r="L136" s="63"/>
      <c r="M136" s="63"/>
      <c r="N136" s="63"/>
      <c r="O136" s="63"/>
      <c r="P136" s="63"/>
      <c r="Q136" s="63"/>
      <c r="R136" s="63"/>
      <c r="S136" s="63"/>
      <c r="T136" s="63"/>
      <c r="U136" s="139"/>
      <c r="V136" s="90"/>
      <c r="W136" s="91"/>
      <c r="X136" s="92"/>
    </row>
    <row r="137" spans="1:24">
      <c r="A137" s="614"/>
      <c r="B137" s="87">
        <f>B136+1</f>
        <v>2</v>
      </c>
      <c r="C137" s="609"/>
      <c r="D137" s="10"/>
      <c r="E137" s="10"/>
      <c r="F137" s="62"/>
      <c r="G137" s="62"/>
      <c r="H137" s="62"/>
      <c r="I137" s="89">
        <f t="shared" si="27"/>
        <v>0</v>
      </c>
      <c r="J137" s="63"/>
      <c r="K137" s="63"/>
      <c r="L137" s="63"/>
      <c r="M137" s="63"/>
      <c r="N137" s="63"/>
      <c r="O137" s="63"/>
      <c r="P137" s="63"/>
      <c r="Q137" s="63"/>
      <c r="R137" s="63"/>
      <c r="S137" s="63"/>
      <c r="T137" s="63"/>
      <c r="U137" s="94"/>
      <c r="V137" s="90"/>
      <c r="W137" s="136"/>
      <c r="X137" s="137"/>
    </row>
    <row r="138" spans="1:24">
      <c r="A138" s="614"/>
      <c r="B138" s="87">
        <f>B137+1</f>
        <v>3</v>
      </c>
      <c r="C138" s="609"/>
      <c r="D138" s="10"/>
      <c r="E138" s="10"/>
      <c r="F138" s="62"/>
      <c r="G138" s="62"/>
      <c r="H138" s="62"/>
      <c r="I138" s="89">
        <f t="shared" si="27"/>
        <v>0</v>
      </c>
      <c r="J138" s="63"/>
      <c r="K138" s="63"/>
      <c r="L138" s="63"/>
      <c r="M138" s="63"/>
      <c r="N138" s="63"/>
      <c r="O138" s="63"/>
      <c r="P138" s="63"/>
      <c r="Q138" s="63"/>
      <c r="R138" s="63"/>
      <c r="S138" s="63"/>
      <c r="T138" s="63"/>
      <c r="U138" s="94"/>
      <c r="V138" s="90"/>
      <c r="W138" s="136"/>
      <c r="X138" s="137"/>
    </row>
    <row r="139" spans="1:24">
      <c r="A139" s="614"/>
      <c r="B139" s="87">
        <f>B138+1</f>
        <v>4</v>
      </c>
      <c r="C139" s="609"/>
      <c r="D139" s="10"/>
      <c r="E139" s="10"/>
      <c r="F139" s="62"/>
      <c r="G139" s="62"/>
      <c r="H139" s="62"/>
      <c r="I139" s="89">
        <f t="shared" si="27"/>
        <v>0</v>
      </c>
      <c r="J139" s="63"/>
      <c r="K139" s="63"/>
      <c r="L139" s="63"/>
      <c r="M139" s="63"/>
      <c r="N139" s="63"/>
      <c r="O139" s="63"/>
      <c r="P139" s="63"/>
      <c r="Q139" s="63"/>
      <c r="R139" s="63"/>
      <c r="S139" s="63"/>
      <c r="T139" s="63"/>
      <c r="U139" s="94"/>
      <c r="V139" s="90"/>
      <c r="W139" s="136"/>
      <c r="X139" s="137"/>
    </row>
    <row r="140" spans="1:24">
      <c r="A140" s="614"/>
      <c r="B140" s="87">
        <f>B139+1</f>
        <v>5</v>
      </c>
      <c r="C140" s="609"/>
      <c r="D140" s="10"/>
      <c r="E140" s="10"/>
      <c r="F140" s="62"/>
      <c r="G140" s="62"/>
      <c r="H140" s="62"/>
      <c r="I140" s="89">
        <f t="shared" si="27"/>
        <v>0</v>
      </c>
      <c r="J140" s="63"/>
      <c r="K140" s="63"/>
      <c r="L140" s="63"/>
      <c r="M140" s="63"/>
      <c r="N140" s="63"/>
      <c r="O140" s="63"/>
      <c r="P140" s="63"/>
      <c r="Q140" s="63"/>
      <c r="R140" s="63"/>
      <c r="S140" s="63"/>
      <c r="T140" s="63"/>
      <c r="U140" s="94"/>
      <c r="V140" s="90"/>
      <c r="W140" s="136"/>
      <c r="X140" s="137"/>
    </row>
    <row r="141" spans="1:24">
      <c r="A141" s="614"/>
      <c r="B141" s="87">
        <f>B140+1</f>
        <v>6</v>
      </c>
      <c r="C141" s="609"/>
      <c r="D141" s="10"/>
      <c r="E141" s="101"/>
      <c r="F141" s="62"/>
      <c r="G141" s="62"/>
      <c r="H141" s="62"/>
      <c r="I141" s="89">
        <f t="shared" si="27"/>
        <v>0</v>
      </c>
      <c r="J141" s="63"/>
      <c r="K141" s="63"/>
      <c r="L141" s="63"/>
      <c r="M141" s="63"/>
      <c r="N141" s="63"/>
      <c r="O141" s="63"/>
      <c r="P141" s="63"/>
      <c r="Q141" s="63"/>
      <c r="R141" s="63"/>
      <c r="S141" s="63"/>
      <c r="T141" s="63"/>
      <c r="U141" s="94"/>
      <c r="V141" s="90"/>
      <c r="W141" s="136"/>
      <c r="X141" s="137"/>
    </row>
    <row r="142" spans="1:24">
      <c r="A142" s="614"/>
      <c r="B142" s="11"/>
      <c r="C142" s="609"/>
      <c r="D142" s="10"/>
      <c r="E142" s="10"/>
      <c r="F142" s="97">
        <f>SUM(F136:F141)</f>
        <v>0</v>
      </c>
      <c r="G142" s="97">
        <f>SUM(G136:G141)</f>
        <v>0</v>
      </c>
      <c r="H142" s="97">
        <f>SUM(H136:H141)</f>
        <v>0</v>
      </c>
      <c r="I142" s="98">
        <f>SUM(I136:I141)</f>
        <v>0</v>
      </c>
      <c r="J142" s="10"/>
      <c r="K142" s="10"/>
      <c r="L142" s="10"/>
      <c r="M142" s="10"/>
      <c r="N142" s="10"/>
      <c r="O142" s="10"/>
      <c r="P142" s="10"/>
      <c r="Q142" s="10"/>
      <c r="R142" s="10"/>
      <c r="S142" s="10"/>
      <c r="T142" s="63"/>
      <c r="U142" s="94"/>
      <c r="V142" s="90"/>
      <c r="W142" s="91"/>
      <c r="X142" s="92"/>
    </row>
    <row r="143" spans="1:24">
      <c r="A143" s="614"/>
      <c r="B143" s="26"/>
      <c r="C143" s="612"/>
      <c r="D143" s="141"/>
      <c r="E143" s="141"/>
      <c r="F143" s="141"/>
      <c r="G143" s="141"/>
      <c r="H143" s="141"/>
      <c r="I143" s="141"/>
      <c r="J143" s="141"/>
      <c r="K143" s="142"/>
      <c r="L143" s="142"/>
      <c r="M143" s="142"/>
      <c r="N143" s="142"/>
      <c r="O143" s="142"/>
      <c r="P143" s="142"/>
      <c r="Q143" s="142"/>
      <c r="R143" s="142"/>
      <c r="S143" s="142"/>
      <c r="T143" s="143">
        <f>SUM(T29:T142)</f>
        <v>0</v>
      </c>
      <c r="U143" s="141"/>
      <c r="V143" s="144">
        <f>SUM(V29:V142)</f>
        <v>0</v>
      </c>
      <c r="W143" s="145">
        <f>SUM(W29:W142)</f>
        <v>0</v>
      </c>
      <c r="X143" s="146">
        <f>SUM(X29:X142)</f>
        <v>0</v>
      </c>
    </row>
    <row r="144" spans="1:24">
      <c r="A144" s="614"/>
      <c r="B144" s="10"/>
      <c r="C144" s="36"/>
      <c r="D144" s="10"/>
      <c r="E144" s="10"/>
      <c r="F144" s="10"/>
      <c r="G144" s="10"/>
      <c r="H144" s="10"/>
      <c r="I144" s="10"/>
      <c r="J144" s="10"/>
      <c r="K144" s="147"/>
      <c r="L144" s="147"/>
      <c r="M144" s="147"/>
      <c r="N144" s="147"/>
      <c r="O144" s="147"/>
      <c r="P144" s="147"/>
      <c r="Q144" s="147"/>
      <c r="R144" s="147"/>
      <c r="S144" s="147"/>
      <c r="T144" s="21"/>
      <c r="U144" s="10"/>
      <c r="V144" s="99"/>
      <c r="W144" s="99"/>
      <c r="X144" s="99"/>
    </row>
    <row r="145" spans="1:29">
      <c r="A145" s="614"/>
    </row>
    <row r="146" spans="1:29">
      <c r="A146" s="616" t="s">
        <v>74</v>
      </c>
      <c r="B146" s="4" t="s">
        <v>1</v>
      </c>
      <c r="C146" s="5"/>
      <c r="D146" s="83"/>
      <c r="E146" s="6"/>
      <c r="F146" s="7" t="s">
        <v>2</v>
      </c>
      <c r="G146" s="608"/>
      <c r="H146" s="7"/>
      <c r="I146" s="6"/>
      <c r="J146" s="6"/>
      <c r="K146" s="6"/>
      <c r="L146" s="6"/>
      <c r="M146" s="6"/>
      <c r="N146" s="6"/>
      <c r="O146" s="6"/>
      <c r="P146" s="6"/>
      <c r="Q146" s="6"/>
      <c r="R146" s="6"/>
      <c r="S146" s="6"/>
      <c r="T146" s="6"/>
      <c r="U146" s="149"/>
      <c r="V146" s="77"/>
      <c r="W146" s="77"/>
      <c r="X146" s="77"/>
    </row>
    <row r="147" spans="1:29">
      <c r="A147" s="617" t="s">
        <v>75</v>
      </c>
      <c r="B147" s="11"/>
      <c r="C147" s="10"/>
      <c r="D147" s="63"/>
      <c r="E147" s="10"/>
      <c r="F147" s="10"/>
      <c r="G147" s="7"/>
      <c r="H147" s="12"/>
      <c r="I147" s="10"/>
      <c r="J147" s="10"/>
      <c r="K147" s="13" t="s">
        <v>3</v>
      </c>
      <c r="L147" s="14"/>
      <c r="M147" s="15"/>
      <c r="N147" s="13" t="s">
        <v>4</v>
      </c>
      <c r="O147" s="14"/>
      <c r="P147" s="15"/>
      <c r="Q147" s="13" t="s">
        <v>5</v>
      </c>
      <c r="R147" s="14"/>
      <c r="S147" s="15"/>
      <c r="T147" s="16"/>
      <c r="U147" s="151"/>
      <c r="V147" s="77"/>
      <c r="W147" s="77"/>
      <c r="X147" s="77"/>
    </row>
    <row r="148" spans="1:29">
      <c r="A148" s="616" t="s">
        <v>76</v>
      </c>
      <c r="B148" s="18" t="s">
        <v>6</v>
      </c>
      <c r="C148" s="19">
        <f>C149+C150</f>
        <v>0</v>
      </c>
      <c r="D148" s="63"/>
      <c r="E148" s="18" t="s">
        <v>7</v>
      </c>
      <c r="F148" s="6"/>
      <c r="G148" s="9"/>
      <c r="H148" s="10"/>
      <c r="I148" s="10"/>
      <c r="J148" s="10"/>
      <c r="K148" s="20" t="s">
        <v>8</v>
      </c>
      <c r="L148" s="21" t="s">
        <v>9</v>
      </c>
      <c r="M148" s="21" t="s">
        <v>10</v>
      </c>
      <c r="N148" s="20" t="s">
        <v>11</v>
      </c>
      <c r="O148" s="21" t="s">
        <v>12</v>
      </c>
      <c r="P148" s="22" t="s">
        <v>13</v>
      </c>
      <c r="Q148" s="21" t="s">
        <v>11</v>
      </c>
      <c r="R148" s="21" t="s">
        <v>12</v>
      </c>
      <c r="S148" s="22" t="s">
        <v>13</v>
      </c>
      <c r="T148" s="23" t="s">
        <v>14</v>
      </c>
      <c r="U148" s="151"/>
      <c r="V148" s="77"/>
      <c r="W148" s="77"/>
      <c r="X148" s="77"/>
    </row>
    <row r="149" spans="1:29">
      <c r="A149" s="652" t="s">
        <v>77</v>
      </c>
      <c r="B149" s="24" t="s">
        <v>15</v>
      </c>
      <c r="C149" s="25">
        <f>P156</f>
        <v>0</v>
      </c>
      <c r="D149" s="63"/>
      <c r="E149" s="11" t="s">
        <v>16</v>
      </c>
      <c r="F149" s="10" t="s">
        <v>78</v>
      </c>
      <c r="G149" s="153">
        <v>0.05</v>
      </c>
      <c r="H149" s="10"/>
      <c r="I149" s="10"/>
      <c r="J149" s="18" t="s">
        <v>17</v>
      </c>
      <c r="K149" s="29">
        <f>K191</f>
        <v>0</v>
      </c>
      <c r="L149" s="29">
        <f t="shared" ref="L149:S149" si="28">L191</f>
        <v>0</v>
      </c>
      <c r="M149" s="29">
        <f t="shared" si="28"/>
        <v>0</v>
      </c>
      <c r="N149" s="29">
        <f t="shared" si="28"/>
        <v>0</v>
      </c>
      <c r="O149" s="29">
        <f t="shared" si="28"/>
        <v>0</v>
      </c>
      <c r="P149" s="29">
        <f t="shared" si="28"/>
        <v>0</v>
      </c>
      <c r="Q149" s="29">
        <f t="shared" si="28"/>
        <v>0</v>
      </c>
      <c r="R149" s="29">
        <f t="shared" si="28"/>
        <v>0</v>
      </c>
      <c r="S149" s="29">
        <f t="shared" si="28"/>
        <v>0</v>
      </c>
      <c r="T149" s="30">
        <f>T288</f>
        <v>0</v>
      </c>
      <c r="U149" s="151"/>
      <c r="V149" s="77"/>
      <c r="W149" s="77"/>
      <c r="X149" s="77"/>
    </row>
    <row r="150" spans="1:29">
      <c r="A150" s="652" t="s">
        <v>79</v>
      </c>
      <c r="B150" s="24" t="s">
        <v>18</v>
      </c>
      <c r="C150" s="25">
        <f>P157</f>
        <v>0</v>
      </c>
      <c r="D150" s="63"/>
      <c r="E150" s="26" t="s">
        <v>80</v>
      </c>
      <c r="F150" s="141" t="s">
        <v>81</v>
      </c>
      <c r="G150" s="154">
        <v>0.1</v>
      </c>
      <c r="H150" s="10"/>
      <c r="I150" s="10"/>
      <c r="J150" s="32" t="s">
        <v>19</v>
      </c>
      <c r="K150" s="33" t="e">
        <f>K191/K190</f>
        <v>#DIV/0!</v>
      </c>
      <c r="L150" s="33" t="e">
        <f t="shared" ref="L150:S150" si="29">L191/L190</f>
        <v>#DIV/0!</v>
      </c>
      <c r="M150" s="33" t="e">
        <f t="shared" si="29"/>
        <v>#DIV/0!</v>
      </c>
      <c r="N150" s="33" t="e">
        <f t="shared" si="29"/>
        <v>#DIV/0!</v>
      </c>
      <c r="O150" s="33" t="e">
        <f t="shared" si="29"/>
        <v>#DIV/0!</v>
      </c>
      <c r="P150" s="33" t="e">
        <f t="shared" si="29"/>
        <v>#DIV/0!</v>
      </c>
      <c r="Q150" s="33" t="e">
        <f t="shared" si="29"/>
        <v>#DIV/0!</v>
      </c>
      <c r="R150" s="33" t="e">
        <f t="shared" si="29"/>
        <v>#DIV/0!</v>
      </c>
      <c r="S150" s="33" t="e">
        <f t="shared" si="29"/>
        <v>#DIV/0!</v>
      </c>
      <c r="T150" s="23"/>
      <c r="U150" s="151" t="s">
        <v>20</v>
      </c>
      <c r="V150" s="77"/>
      <c r="W150" s="77"/>
      <c r="X150" s="77"/>
    </row>
    <row r="151" spans="1:29">
      <c r="A151" s="652" t="s">
        <v>82</v>
      </c>
      <c r="B151" s="24" t="s">
        <v>21</v>
      </c>
      <c r="C151" s="34" t="e">
        <f>P158</f>
        <v>#DIV/0!</v>
      </c>
      <c r="D151" s="63"/>
      <c r="E151" s="10"/>
      <c r="F151" s="10"/>
      <c r="G151" s="10"/>
      <c r="H151" s="10"/>
      <c r="I151" s="10"/>
      <c r="J151" s="10"/>
      <c r="K151" s="10"/>
      <c r="L151" s="10"/>
      <c r="M151" s="10"/>
      <c r="N151" s="10"/>
      <c r="O151" s="10"/>
      <c r="P151" s="10"/>
      <c r="Q151" s="10"/>
      <c r="R151" s="10"/>
      <c r="S151" s="10"/>
      <c r="T151" s="10"/>
      <c r="U151" s="151"/>
      <c r="V151" s="77"/>
      <c r="W151" s="77"/>
      <c r="X151" s="77"/>
    </row>
    <row r="152" spans="1:29">
      <c r="A152" s="652" t="s">
        <v>83</v>
      </c>
      <c r="B152" s="24"/>
      <c r="C152" s="25"/>
      <c r="D152" s="63"/>
      <c r="E152" s="10"/>
      <c r="F152" s="18" t="s">
        <v>22</v>
      </c>
      <c r="G152" s="19" t="s">
        <v>23</v>
      </c>
      <c r="H152" s="35" t="s">
        <v>24</v>
      </c>
      <c r="I152" s="10"/>
      <c r="J152" s="10"/>
      <c r="K152" s="36"/>
      <c r="L152" s="36"/>
      <c r="M152" s="36"/>
      <c r="N152" s="36"/>
      <c r="O152" s="36"/>
      <c r="P152" s="36"/>
      <c r="Q152" s="36"/>
      <c r="R152" s="10"/>
      <c r="S152" s="10"/>
      <c r="T152" s="10"/>
      <c r="U152" s="151"/>
      <c r="V152" s="77"/>
      <c r="W152" s="77"/>
      <c r="X152" s="77"/>
    </row>
    <row r="153" spans="1:29">
      <c r="A153" s="652" t="s">
        <v>84</v>
      </c>
      <c r="B153" s="32" t="s">
        <v>25</v>
      </c>
      <c r="C153" s="37" t="e">
        <f>P159</f>
        <v>#DIV/0!</v>
      </c>
      <c r="D153" s="63"/>
      <c r="E153" s="18" t="s">
        <v>26</v>
      </c>
      <c r="F153" s="38">
        <f>P155</f>
        <v>0</v>
      </c>
      <c r="G153" s="39">
        <f>I190+I224+I246</f>
        <v>0</v>
      </c>
      <c r="H153" s="40"/>
      <c r="I153" s="41"/>
      <c r="J153" s="42"/>
      <c r="K153" s="43" t="s">
        <v>27</v>
      </c>
      <c r="L153" s="44"/>
      <c r="M153" s="44"/>
      <c r="N153" s="44"/>
      <c r="O153" s="44"/>
      <c r="P153" s="44"/>
      <c r="Q153" s="45"/>
      <c r="R153" s="46" t="s">
        <v>28</v>
      </c>
      <c r="S153" s="47" t="s">
        <v>29</v>
      </c>
      <c r="T153" s="10"/>
      <c r="U153" s="151"/>
      <c r="V153" s="77"/>
      <c r="W153" s="77"/>
      <c r="X153" s="77"/>
    </row>
    <row r="154" spans="1:29">
      <c r="A154" s="614"/>
      <c r="B154" s="11"/>
      <c r="C154" s="10"/>
      <c r="D154" s="63"/>
      <c r="E154" s="24" t="s">
        <v>30</v>
      </c>
      <c r="F154" s="48">
        <f>IF(F153&gt;=25000,10%,5%)</f>
        <v>0.05</v>
      </c>
      <c r="G154" s="17"/>
      <c r="H154" s="40"/>
      <c r="I154" s="41"/>
      <c r="J154" s="42"/>
      <c r="K154" s="20" t="s">
        <v>31</v>
      </c>
      <c r="L154" s="21" t="s">
        <v>32</v>
      </c>
      <c r="M154" s="21" t="s">
        <v>33</v>
      </c>
      <c r="N154" s="21" t="s">
        <v>34</v>
      </c>
      <c r="O154" s="21" t="s">
        <v>35</v>
      </c>
      <c r="P154" s="21" t="s">
        <v>36</v>
      </c>
      <c r="Q154" s="49" t="s">
        <v>37</v>
      </c>
      <c r="R154" s="50" t="s">
        <v>38</v>
      </c>
      <c r="S154" s="50" t="s">
        <v>38</v>
      </c>
      <c r="T154" s="10"/>
      <c r="U154" s="151"/>
      <c r="V154" s="77"/>
      <c r="W154" s="77"/>
      <c r="X154" s="77"/>
    </row>
    <row r="155" spans="1:29">
      <c r="A155" s="614"/>
      <c r="B155" s="11"/>
      <c r="C155" s="10"/>
      <c r="D155" s="63"/>
      <c r="E155" s="51" t="s">
        <v>39</v>
      </c>
      <c r="F155" s="52">
        <f>F153*F154</f>
        <v>0</v>
      </c>
      <c r="G155" s="53" t="s">
        <v>40</v>
      </c>
      <c r="H155" s="54">
        <f>F155/1.12</f>
        <v>0</v>
      </c>
      <c r="I155" s="55"/>
      <c r="J155" s="42"/>
      <c r="K155" s="56"/>
      <c r="L155" s="57"/>
      <c r="M155" s="57"/>
      <c r="N155" s="57"/>
      <c r="O155" s="57"/>
      <c r="P155" s="57">
        <f>SUM(K155:O155)</f>
        <v>0</v>
      </c>
      <c r="Q155" s="58">
        <v>0</v>
      </c>
      <c r="R155" s="59">
        <f>I224+I246</f>
        <v>0</v>
      </c>
      <c r="S155" s="59">
        <f>+I235+I257</f>
        <v>0</v>
      </c>
      <c r="T155" s="10"/>
      <c r="U155" s="151"/>
      <c r="V155" s="77"/>
      <c r="W155" s="77"/>
      <c r="X155" s="77"/>
      <c r="AC155" s="2" t="s">
        <v>85</v>
      </c>
    </row>
    <row r="156" spans="1:29">
      <c r="A156" s="614"/>
      <c r="B156" s="11"/>
      <c r="C156" s="10"/>
      <c r="D156" s="63"/>
      <c r="E156" s="24" t="s">
        <v>41</v>
      </c>
      <c r="F156" s="60">
        <f>Q155</f>
        <v>0</v>
      </c>
      <c r="G156" s="61" t="s">
        <v>40</v>
      </c>
      <c r="H156" s="62"/>
      <c r="I156" s="62"/>
      <c r="J156" s="10" t="s">
        <v>42</v>
      </c>
      <c r="K156" s="63"/>
      <c r="L156" s="63"/>
      <c r="M156" s="63"/>
      <c r="N156" s="63"/>
      <c r="O156" s="63"/>
      <c r="P156" s="21">
        <f>SUM(K156:O156)</f>
        <v>0</v>
      </c>
      <c r="Q156" s="64"/>
      <c r="R156" s="63"/>
      <c r="S156" s="10"/>
      <c r="T156" s="10"/>
      <c r="U156" s="151"/>
      <c r="V156" s="77"/>
      <c r="W156" s="77"/>
      <c r="X156" s="77"/>
    </row>
    <row r="157" spans="1:29">
      <c r="A157" s="614"/>
      <c r="B157" s="11"/>
      <c r="C157" s="10"/>
      <c r="D157" s="63"/>
      <c r="E157" s="51" t="s">
        <v>43</v>
      </c>
      <c r="F157" s="52">
        <f>F156*0.25</f>
        <v>0</v>
      </c>
      <c r="G157" s="53" t="s">
        <v>40</v>
      </c>
      <c r="H157" s="54">
        <f>F157/1.12</f>
        <v>0</v>
      </c>
      <c r="I157" s="10"/>
      <c r="J157" s="10" t="s">
        <v>44</v>
      </c>
      <c r="K157" s="63"/>
      <c r="L157" s="63"/>
      <c r="M157" s="63"/>
      <c r="N157" s="63"/>
      <c r="O157" s="63"/>
      <c r="P157" s="21">
        <f>SUM(K157:O157)</f>
        <v>0</v>
      </c>
      <c r="Q157" s="64"/>
      <c r="R157" s="63"/>
      <c r="S157" s="10"/>
      <c r="T157" s="10"/>
      <c r="U157" s="151"/>
      <c r="V157" s="77"/>
      <c r="W157" s="77"/>
      <c r="X157" s="77"/>
    </row>
    <row r="158" spans="1:29">
      <c r="A158" s="614"/>
      <c r="B158" s="11"/>
      <c r="C158" s="10"/>
      <c r="D158" s="63"/>
      <c r="E158" s="24" t="s">
        <v>45</v>
      </c>
      <c r="F158" s="60">
        <v>0</v>
      </c>
      <c r="G158" s="61" t="s">
        <v>40</v>
      </c>
      <c r="H158" s="62"/>
      <c r="I158" s="10"/>
      <c r="J158" s="10" t="s">
        <v>46</v>
      </c>
      <c r="K158" s="31" t="e">
        <f t="shared" ref="K158:Q158" si="30">K156/(K156+K157)</f>
        <v>#DIV/0!</v>
      </c>
      <c r="L158" s="31" t="e">
        <f t="shared" si="30"/>
        <v>#DIV/0!</v>
      </c>
      <c r="M158" s="31" t="e">
        <f t="shared" si="30"/>
        <v>#DIV/0!</v>
      </c>
      <c r="N158" s="31" t="e">
        <f t="shared" si="30"/>
        <v>#DIV/0!</v>
      </c>
      <c r="O158" s="31" t="e">
        <f t="shared" si="30"/>
        <v>#DIV/0!</v>
      </c>
      <c r="P158" s="31" t="e">
        <f t="shared" si="30"/>
        <v>#DIV/0!</v>
      </c>
      <c r="Q158" s="31" t="e">
        <f t="shared" si="30"/>
        <v>#DIV/0!</v>
      </c>
      <c r="R158" s="63"/>
      <c r="S158" s="10"/>
      <c r="T158" s="10"/>
      <c r="U158" s="151"/>
      <c r="V158" s="77"/>
      <c r="W158" s="77"/>
      <c r="X158" s="77"/>
    </row>
    <row r="159" spans="1:29">
      <c r="A159" s="614"/>
      <c r="B159" s="11"/>
      <c r="C159" s="10"/>
      <c r="D159" s="63"/>
      <c r="E159" s="51" t="s">
        <v>47</v>
      </c>
      <c r="F159" s="52">
        <f>F158*0.05</f>
        <v>0</v>
      </c>
      <c r="G159" s="65" t="s">
        <v>40</v>
      </c>
      <c r="H159" s="54">
        <f>F159/1.12</f>
        <v>0</v>
      </c>
      <c r="I159" s="42"/>
      <c r="J159" s="10" t="s">
        <v>48</v>
      </c>
      <c r="K159" s="66" t="e">
        <f>K155/K156</f>
        <v>#DIV/0!</v>
      </c>
      <c r="L159" s="66" t="e">
        <f t="shared" ref="L159:Q159" si="31">L155/L156</f>
        <v>#DIV/0!</v>
      </c>
      <c r="M159" s="66" t="e">
        <f t="shared" si="31"/>
        <v>#DIV/0!</v>
      </c>
      <c r="N159" s="66" t="e">
        <f t="shared" si="31"/>
        <v>#DIV/0!</v>
      </c>
      <c r="O159" s="66" t="e">
        <f t="shared" si="31"/>
        <v>#DIV/0!</v>
      </c>
      <c r="P159" s="66" t="e">
        <f t="shared" si="31"/>
        <v>#DIV/0!</v>
      </c>
      <c r="Q159" s="66" t="e">
        <f t="shared" si="31"/>
        <v>#DIV/0!</v>
      </c>
      <c r="R159" s="63"/>
      <c r="S159" s="10"/>
      <c r="T159" s="10"/>
      <c r="U159" s="151"/>
      <c r="V159" s="77"/>
      <c r="W159" s="77"/>
      <c r="X159" s="77"/>
    </row>
    <row r="160" spans="1:29" s="128" customFormat="1">
      <c r="A160" s="615"/>
      <c r="B160" s="132"/>
      <c r="C160" s="123"/>
      <c r="D160" s="127"/>
      <c r="E160" s="155" t="s">
        <v>14</v>
      </c>
      <c r="F160" s="156"/>
      <c r="G160" s="123"/>
      <c r="H160" s="54">
        <f>F160/1.12</f>
        <v>0</v>
      </c>
      <c r="I160" s="123"/>
      <c r="J160" s="123"/>
      <c r="K160" s="123"/>
      <c r="L160" s="123"/>
      <c r="M160" s="123"/>
      <c r="N160" s="123"/>
      <c r="O160" s="123"/>
      <c r="P160" s="123"/>
      <c r="Q160" s="123"/>
      <c r="R160" s="123"/>
      <c r="S160" s="123"/>
      <c r="T160" s="123"/>
      <c r="U160" s="157"/>
      <c r="V160" s="123"/>
      <c r="W160" s="123"/>
      <c r="X160" s="123"/>
    </row>
    <row r="161" spans="1:24" s="128" customFormat="1">
      <c r="A161" s="615"/>
      <c r="B161" s="132"/>
      <c r="C161" s="123"/>
      <c r="D161" s="127"/>
      <c r="E161" s="158" t="s">
        <v>49</v>
      </c>
      <c r="F161" s="159">
        <f>T150</f>
        <v>0</v>
      </c>
      <c r="G161" s="123"/>
      <c r="H161" s="54"/>
      <c r="I161" s="123"/>
      <c r="J161" s="42"/>
      <c r="K161" s="764" t="s">
        <v>50</v>
      </c>
      <c r="L161" s="765"/>
      <c r="M161" s="765"/>
      <c r="N161" s="765"/>
      <c r="O161" s="765"/>
      <c r="P161" s="765"/>
      <c r="Q161" s="766"/>
      <c r="R161" s="70" t="s">
        <v>28</v>
      </c>
      <c r="S161" s="71" t="s">
        <v>29</v>
      </c>
      <c r="T161" s="123"/>
      <c r="U161" s="157"/>
      <c r="V161" s="123"/>
      <c r="W161" s="123"/>
      <c r="X161" s="123"/>
    </row>
    <row r="162" spans="1:24" s="128" customFormat="1">
      <c r="A162" s="615"/>
      <c r="B162" s="132"/>
      <c r="C162" s="123"/>
      <c r="D162" s="127"/>
      <c r="E162" s="72"/>
      <c r="F162" s="73"/>
      <c r="G162" s="123"/>
      <c r="H162" s="54"/>
      <c r="I162" s="123"/>
      <c r="J162" s="42"/>
      <c r="K162" s="20" t="s">
        <v>31</v>
      </c>
      <c r="L162" s="21" t="s">
        <v>32</v>
      </c>
      <c r="M162" s="21" t="s">
        <v>33</v>
      </c>
      <c r="N162" s="21" t="s">
        <v>34</v>
      </c>
      <c r="O162" s="21" t="s">
        <v>35</v>
      </c>
      <c r="P162" s="21" t="s">
        <v>36</v>
      </c>
      <c r="Q162" s="49" t="s">
        <v>37</v>
      </c>
      <c r="R162" s="50" t="s">
        <v>38</v>
      </c>
      <c r="S162" s="50" t="s">
        <v>38</v>
      </c>
      <c r="T162" s="123"/>
      <c r="U162" s="157"/>
      <c r="V162" s="123"/>
      <c r="W162" s="123"/>
      <c r="X162" s="123"/>
    </row>
    <row r="163" spans="1:24" s="128" customFormat="1">
      <c r="A163" s="615"/>
      <c r="B163" s="132"/>
      <c r="C163" s="123"/>
      <c r="D163" s="127"/>
      <c r="E163" s="72"/>
      <c r="F163" s="73"/>
      <c r="G163" s="123"/>
      <c r="H163" s="54"/>
      <c r="I163" s="123"/>
      <c r="J163" s="42"/>
      <c r="K163" s="56"/>
      <c r="L163" s="57"/>
      <c r="M163" s="57"/>
      <c r="N163" s="57"/>
      <c r="O163" s="57"/>
      <c r="P163" s="57"/>
      <c r="Q163" s="58">
        <v>0</v>
      </c>
      <c r="R163" s="59"/>
      <c r="S163" s="59">
        <v>0</v>
      </c>
      <c r="T163" s="123"/>
      <c r="U163" s="157"/>
      <c r="V163" s="123"/>
      <c r="W163" s="123"/>
      <c r="X163" s="123"/>
    </row>
    <row r="164" spans="1:24" s="128" customFormat="1">
      <c r="A164" s="615"/>
      <c r="B164" s="132"/>
      <c r="C164" s="123"/>
      <c r="D164" s="127"/>
      <c r="E164" s="72"/>
      <c r="F164" s="73"/>
      <c r="G164" s="123"/>
      <c r="H164" s="54"/>
      <c r="I164" s="123"/>
      <c r="J164" s="10" t="s">
        <v>42</v>
      </c>
      <c r="K164" s="63">
        <f t="shared" ref="K164:Q165" si="32">K156</f>
        <v>0</v>
      </c>
      <c r="L164" s="63">
        <f t="shared" si="32"/>
        <v>0</v>
      </c>
      <c r="M164" s="63">
        <f t="shared" si="32"/>
        <v>0</v>
      </c>
      <c r="N164" s="63">
        <f t="shared" si="32"/>
        <v>0</v>
      </c>
      <c r="O164" s="63">
        <f t="shared" si="32"/>
        <v>0</v>
      </c>
      <c r="P164" s="63">
        <f t="shared" si="32"/>
        <v>0</v>
      </c>
      <c r="Q164" s="63">
        <f t="shared" si="32"/>
        <v>0</v>
      </c>
      <c r="R164" s="63"/>
      <c r="S164" s="10"/>
      <c r="T164" s="123"/>
      <c r="U164" s="157"/>
      <c r="V164" s="123"/>
      <c r="W164" s="123"/>
      <c r="X164" s="123"/>
    </row>
    <row r="165" spans="1:24" s="128" customFormat="1">
      <c r="A165" s="615"/>
      <c r="B165" s="132"/>
      <c r="C165" s="123"/>
      <c r="D165" s="127"/>
      <c r="E165" s="74"/>
      <c r="F165" s="75"/>
      <c r="G165" s="123"/>
      <c r="H165" s="54"/>
      <c r="I165" s="123"/>
      <c r="J165" s="10" t="s">
        <v>44</v>
      </c>
      <c r="K165" s="63">
        <f t="shared" si="32"/>
        <v>0</v>
      </c>
      <c r="L165" s="63">
        <f t="shared" si="32"/>
        <v>0</v>
      </c>
      <c r="M165" s="63">
        <f t="shared" si="32"/>
        <v>0</v>
      </c>
      <c r="N165" s="63">
        <f t="shared" si="32"/>
        <v>0</v>
      </c>
      <c r="O165" s="63">
        <f t="shared" si="32"/>
        <v>0</v>
      </c>
      <c r="P165" s="63">
        <f t="shared" si="32"/>
        <v>0</v>
      </c>
      <c r="Q165" s="63">
        <f t="shared" si="32"/>
        <v>0</v>
      </c>
      <c r="R165" s="63"/>
      <c r="S165" s="10"/>
      <c r="T165" s="123"/>
      <c r="U165" s="157"/>
      <c r="V165" s="123"/>
      <c r="W165" s="123"/>
      <c r="X165" s="123"/>
    </row>
    <row r="166" spans="1:24" s="128" customFormat="1">
      <c r="A166" s="615"/>
      <c r="B166" s="132"/>
      <c r="C166" s="123"/>
      <c r="D166" s="127"/>
      <c r="E166" s="12"/>
      <c r="F166" s="160"/>
      <c r="G166" s="123"/>
      <c r="H166" s="54"/>
      <c r="I166" s="123"/>
      <c r="J166" s="10" t="s">
        <v>46</v>
      </c>
      <c r="K166" s="31" t="e">
        <f t="shared" ref="K166:Q166" si="33">K164/(K164+K165)</f>
        <v>#DIV/0!</v>
      </c>
      <c r="L166" s="31" t="e">
        <f t="shared" si="33"/>
        <v>#DIV/0!</v>
      </c>
      <c r="M166" s="31" t="e">
        <f t="shared" si="33"/>
        <v>#DIV/0!</v>
      </c>
      <c r="N166" s="31" t="e">
        <f t="shared" si="33"/>
        <v>#DIV/0!</v>
      </c>
      <c r="O166" s="31" t="e">
        <f t="shared" si="33"/>
        <v>#DIV/0!</v>
      </c>
      <c r="P166" s="31" t="e">
        <f t="shared" si="33"/>
        <v>#DIV/0!</v>
      </c>
      <c r="Q166" s="31" t="e">
        <f t="shared" si="33"/>
        <v>#DIV/0!</v>
      </c>
      <c r="R166" s="63"/>
      <c r="S166" s="10"/>
      <c r="T166" s="123"/>
      <c r="U166" s="157"/>
      <c r="V166" s="123"/>
      <c r="W166" s="123"/>
      <c r="X166" s="123"/>
    </row>
    <row r="167" spans="1:24" s="128" customFormat="1">
      <c r="A167" s="615"/>
      <c r="B167" s="132"/>
      <c r="C167" s="123"/>
      <c r="D167" s="127"/>
      <c r="E167" s="12"/>
      <c r="F167" s="160"/>
      <c r="G167" s="123"/>
      <c r="H167" s="54"/>
      <c r="I167" s="123"/>
      <c r="J167" s="10" t="s">
        <v>48</v>
      </c>
      <c r="K167" s="66" t="e">
        <f t="shared" ref="K167:Q167" si="34">K163/K164</f>
        <v>#DIV/0!</v>
      </c>
      <c r="L167" s="66" t="e">
        <f t="shared" si="34"/>
        <v>#DIV/0!</v>
      </c>
      <c r="M167" s="66" t="e">
        <f t="shared" si="34"/>
        <v>#DIV/0!</v>
      </c>
      <c r="N167" s="66" t="e">
        <f t="shared" si="34"/>
        <v>#DIV/0!</v>
      </c>
      <c r="O167" s="66" t="e">
        <f t="shared" si="34"/>
        <v>#DIV/0!</v>
      </c>
      <c r="P167" s="66" t="e">
        <f t="shared" si="34"/>
        <v>#DIV/0!</v>
      </c>
      <c r="Q167" s="66" t="e">
        <f t="shared" si="34"/>
        <v>#DIV/0!</v>
      </c>
      <c r="R167" s="63"/>
      <c r="S167" s="10"/>
      <c r="T167" s="123"/>
      <c r="U167" s="157"/>
      <c r="V167" s="123"/>
      <c r="W167" s="123"/>
      <c r="X167" s="123"/>
    </row>
    <row r="168" spans="1:24" s="128" customFormat="1">
      <c r="A168" s="615"/>
      <c r="B168" s="132"/>
      <c r="C168" s="123"/>
      <c r="D168" s="127"/>
      <c r="E168" s="12"/>
      <c r="F168" s="160"/>
      <c r="G168" s="123"/>
      <c r="H168" s="54"/>
      <c r="I168" s="123"/>
      <c r="J168" s="123"/>
      <c r="K168" s="123"/>
      <c r="L168" s="123"/>
      <c r="M168" s="123"/>
      <c r="N168" s="123"/>
      <c r="O168" s="123"/>
      <c r="P168" s="123"/>
      <c r="Q168" s="123"/>
      <c r="R168" s="123"/>
      <c r="S168" s="123"/>
      <c r="T168" s="123"/>
      <c r="U168" s="157"/>
      <c r="V168" s="123"/>
      <c r="W168" s="123"/>
      <c r="X168" s="123"/>
    </row>
    <row r="169" spans="1:24">
      <c r="A169" s="614"/>
      <c r="B169" s="11"/>
      <c r="C169" s="10"/>
      <c r="D169" s="63"/>
      <c r="E169" s="12"/>
      <c r="F169" s="12"/>
      <c r="G169" s="10"/>
      <c r="H169" s="10"/>
      <c r="I169" s="10"/>
      <c r="J169" s="10"/>
      <c r="K169" s="10"/>
      <c r="L169" s="10"/>
      <c r="M169" s="10"/>
      <c r="N169" s="10"/>
      <c r="O169" s="10"/>
      <c r="P169" s="10"/>
      <c r="Q169" s="10"/>
      <c r="R169" s="10"/>
      <c r="S169" s="10"/>
      <c r="T169" s="10"/>
      <c r="U169" s="151"/>
      <c r="V169" s="77"/>
      <c r="W169" s="77"/>
      <c r="X169" s="77"/>
    </row>
    <row r="170" spans="1:24">
      <c r="A170" s="614"/>
      <c r="B170" s="11"/>
      <c r="C170" s="10"/>
      <c r="D170" s="63"/>
      <c r="E170" s="10"/>
      <c r="F170" s="10"/>
      <c r="G170" s="10"/>
      <c r="H170" s="10"/>
      <c r="I170" s="10"/>
      <c r="J170" s="10"/>
      <c r="K170" s="10"/>
      <c r="L170" s="10"/>
      <c r="M170" s="10"/>
      <c r="N170" s="10"/>
      <c r="O170" s="10"/>
      <c r="P170" s="10"/>
      <c r="Q170" s="10"/>
      <c r="R170" s="10"/>
      <c r="S170" s="10"/>
      <c r="T170" s="10"/>
      <c r="U170" s="151"/>
      <c r="V170" s="77"/>
      <c r="W170" s="77"/>
      <c r="X170" s="77"/>
    </row>
    <row r="171" spans="1:24">
      <c r="A171" s="614"/>
      <c r="B171" s="18" t="s">
        <v>51</v>
      </c>
      <c r="C171" s="14"/>
      <c r="D171" s="14"/>
      <c r="E171" s="14"/>
      <c r="F171" s="13" t="s">
        <v>52</v>
      </c>
      <c r="G171" s="14"/>
      <c r="H171" s="14"/>
      <c r="I171" s="14"/>
      <c r="J171" s="14"/>
      <c r="K171" s="13" t="s">
        <v>3</v>
      </c>
      <c r="L171" s="14"/>
      <c r="M171" s="14"/>
      <c r="N171" s="13" t="s">
        <v>4</v>
      </c>
      <c r="O171" s="14"/>
      <c r="P171" s="14"/>
      <c r="Q171" s="13" t="s">
        <v>5</v>
      </c>
      <c r="R171" s="14"/>
      <c r="S171" s="14"/>
      <c r="T171" s="18"/>
      <c r="U171" s="161" t="s">
        <v>53</v>
      </c>
      <c r="V171" s="77"/>
      <c r="W171" s="77"/>
      <c r="X171" s="77"/>
    </row>
    <row r="172" spans="1:24">
      <c r="A172" s="614"/>
      <c r="B172" s="24" t="s">
        <v>54</v>
      </c>
      <c r="C172" s="21" t="s">
        <v>55</v>
      </c>
      <c r="D172" s="21" t="s">
        <v>56</v>
      </c>
      <c r="E172" s="21" t="s">
        <v>57</v>
      </c>
      <c r="F172" s="20" t="s">
        <v>58</v>
      </c>
      <c r="G172" s="21" t="s">
        <v>59</v>
      </c>
      <c r="H172" s="21" t="s">
        <v>60</v>
      </c>
      <c r="I172" s="21" t="s">
        <v>26</v>
      </c>
      <c r="J172" s="22" t="s">
        <v>61</v>
      </c>
      <c r="K172" s="21" t="s">
        <v>8</v>
      </c>
      <c r="L172" s="21" t="s">
        <v>9</v>
      </c>
      <c r="M172" s="21" t="s">
        <v>10</v>
      </c>
      <c r="N172" s="20" t="s">
        <v>11</v>
      </c>
      <c r="O172" s="21" t="s">
        <v>12</v>
      </c>
      <c r="P172" s="22" t="s">
        <v>13</v>
      </c>
      <c r="Q172" s="21" t="s">
        <v>11</v>
      </c>
      <c r="R172" s="21" t="s">
        <v>12</v>
      </c>
      <c r="S172" s="21" t="s">
        <v>13</v>
      </c>
      <c r="T172" s="78" t="s">
        <v>14</v>
      </c>
      <c r="U172" s="162"/>
      <c r="V172" s="79" t="s">
        <v>62</v>
      </c>
      <c r="W172" s="80" t="s">
        <v>63</v>
      </c>
      <c r="X172" s="81" t="s">
        <v>64</v>
      </c>
    </row>
    <row r="173" spans="1:24">
      <c r="A173" s="614"/>
      <c r="B173" s="4" t="s">
        <v>65</v>
      </c>
      <c r="C173" s="6"/>
      <c r="D173" s="6"/>
      <c r="E173" s="6"/>
      <c r="F173" s="6"/>
      <c r="G173" s="6"/>
      <c r="H173" s="6"/>
      <c r="I173" s="82"/>
      <c r="J173" s="6"/>
      <c r="K173" s="6"/>
      <c r="L173" s="6"/>
      <c r="M173" s="6"/>
      <c r="N173" s="6"/>
      <c r="O173" s="6"/>
      <c r="P173" s="6"/>
      <c r="Q173" s="6"/>
      <c r="R173" s="6"/>
      <c r="S173" s="6"/>
      <c r="T173" s="83"/>
      <c r="U173" s="163"/>
      <c r="V173" s="84"/>
      <c r="W173" s="85"/>
      <c r="X173" s="86"/>
    </row>
    <row r="174" spans="1:24">
      <c r="A174" s="614"/>
      <c r="B174" s="87">
        <v>1</v>
      </c>
      <c r="C174" s="609"/>
      <c r="D174" s="10"/>
      <c r="E174" s="10"/>
      <c r="F174" s="62"/>
      <c r="G174" s="62"/>
      <c r="H174" s="88"/>
      <c r="I174" s="89">
        <f>F174-G174-H174</f>
        <v>0</v>
      </c>
      <c r="J174" s="63"/>
      <c r="K174" s="63"/>
      <c r="L174" s="63"/>
      <c r="M174" s="63"/>
      <c r="N174" s="63"/>
      <c r="O174" s="63"/>
      <c r="P174" s="63"/>
      <c r="Q174" s="63"/>
      <c r="R174" s="63"/>
      <c r="S174" s="63"/>
      <c r="T174" s="63"/>
      <c r="U174" s="94"/>
      <c r="V174" s="90"/>
      <c r="W174" s="91"/>
      <c r="X174" s="92"/>
    </row>
    <row r="175" spans="1:24">
      <c r="A175" s="614"/>
      <c r="B175" s="87">
        <f t="shared" ref="B175:B189" si="35">B174+1</f>
        <v>2</v>
      </c>
      <c r="C175" s="609"/>
      <c r="D175" s="10"/>
      <c r="E175" s="10"/>
      <c r="F175" s="62"/>
      <c r="G175" s="62"/>
      <c r="H175" s="62"/>
      <c r="I175" s="89">
        <f t="shared" ref="I175:I189" si="36">F175-G175-H175</f>
        <v>0</v>
      </c>
      <c r="J175" s="63"/>
      <c r="K175" s="63"/>
      <c r="L175" s="63"/>
      <c r="M175" s="63"/>
      <c r="N175" s="63"/>
      <c r="O175" s="63"/>
      <c r="P175" s="63"/>
      <c r="Q175" s="63"/>
      <c r="R175" s="63"/>
      <c r="S175" s="63"/>
      <c r="T175" s="63"/>
      <c r="U175" s="94"/>
      <c r="V175" s="90"/>
      <c r="W175" s="91"/>
      <c r="X175" s="92"/>
    </row>
    <row r="176" spans="1:24">
      <c r="A176" s="613"/>
      <c r="B176" s="87">
        <f t="shared" si="35"/>
        <v>3</v>
      </c>
      <c r="C176" s="609"/>
      <c r="D176" s="3"/>
      <c r="E176" s="10"/>
      <c r="F176" s="62"/>
      <c r="G176" s="62"/>
      <c r="H176" s="62"/>
      <c r="I176" s="89">
        <f t="shared" si="36"/>
        <v>0</v>
      </c>
      <c r="J176" s="63"/>
      <c r="K176" s="63"/>
      <c r="L176" s="63"/>
      <c r="M176" s="63"/>
      <c r="N176" s="63"/>
      <c r="O176" s="63"/>
      <c r="P176" s="63"/>
      <c r="Q176" s="63"/>
      <c r="R176" s="63"/>
      <c r="S176" s="63"/>
      <c r="T176" s="63"/>
      <c r="U176" s="94"/>
      <c r="V176" s="90"/>
      <c r="W176" s="91"/>
      <c r="X176" s="92"/>
    </row>
    <row r="177" spans="1:24">
      <c r="A177" s="614"/>
      <c r="B177" s="87">
        <f t="shared" si="35"/>
        <v>4</v>
      </c>
      <c r="C177" s="609"/>
      <c r="D177" s="10"/>
      <c r="E177" s="94"/>
      <c r="F177" s="62"/>
      <c r="G177" s="62"/>
      <c r="H177" s="62"/>
      <c r="I177" s="89">
        <f t="shared" si="36"/>
        <v>0</v>
      </c>
      <c r="J177" s="63"/>
      <c r="K177" s="63"/>
      <c r="L177" s="63"/>
      <c r="M177" s="63"/>
      <c r="N177" s="63"/>
      <c r="O177" s="63"/>
      <c r="P177" s="63"/>
      <c r="Q177" s="63"/>
      <c r="R177" s="63"/>
      <c r="S177" s="63"/>
      <c r="T177" s="63"/>
      <c r="U177" s="94"/>
      <c r="V177" s="90"/>
      <c r="W177" s="91"/>
      <c r="X177" s="92"/>
    </row>
    <row r="178" spans="1:24">
      <c r="A178" s="614"/>
      <c r="B178" s="87">
        <f t="shared" si="35"/>
        <v>5</v>
      </c>
      <c r="C178" s="609"/>
      <c r="D178" s="10"/>
      <c r="E178" s="10"/>
      <c r="F178" s="62"/>
      <c r="G178" s="62"/>
      <c r="H178" s="62"/>
      <c r="I178" s="89">
        <f t="shared" si="36"/>
        <v>0</v>
      </c>
      <c r="J178" s="63"/>
      <c r="K178" s="63"/>
      <c r="L178" s="63"/>
      <c r="M178" s="63"/>
      <c r="N178" s="63"/>
      <c r="O178" s="63"/>
      <c r="P178" s="63"/>
      <c r="Q178" s="63"/>
      <c r="R178" s="63"/>
      <c r="S178" s="63"/>
      <c r="T178" s="63"/>
      <c r="U178" s="94"/>
      <c r="V178" s="90"/>
      <c r="W178" s="91"/>
      <c r="X178" s="92"/>
    </row>
    <row r="179" spans="1:24">
      <c r="A179" s="614"/>
      <c r="B179" s="87">
        <f t="shared" si="35"/>
        <v>6</v>
      </c>
      <c r="C179" s="609"/>
      <c r="D179" s="10"/>
      <c r="E179" s="10"/>
      <c r="F179" s="62"/>
      <c r="G179" s="62"/>
      <c r="H179" s="88"/>
      <c r="I179" s="89">
        <f t="shared" si="36"/>
        <v>0</v>
      </c>
      <c r="J179" s="63"/>
      <c r="K179" s="63"/>
      <c r="L179" s="63"/>
      <c r="M179" s="63"/>
      <c r="N179" s="63"/>
      <c r="O179" s="63"/>
      <c r="P179" s="63"/>
      <c r="Q179" s="63"/>
      <c r="R179" s="63"/>
      <c r="S179" s="63"/>
      <c r="T179" s="63"/>
      <c r="U179" s="94"/>
      <c r="V179" s="90"/>
      <c r="W179" s="91"/>
      <c r="X179" s="92"/>
    </row>
    <row r="180" spans="1:24">
      <c r="A180" s="614"/>
      <c r="B180" s="87">
        <f t="shared" si="35"/>
        <v>7</v>
      </c>
      <c r="C180" s="609"/>
      <c r="D180" s="10"/>
      <c r="E180" s="10"/>
      <c r="F180" s="62"/>
      <c r="G180" s="62"/>
      <c r="H180" s="88"/>
      <c r="I180" s="89">
        <f>F180-G180-H180</f>
        <v>0</v>
      </c>
      <c r="J180" s="63"/>
      <c r="K180" s="63"/>
      <c r="L180" s="63"/>
      <c r="M180" s="63"/>
      <c r="N180" s="63"/>
      <c r="O180" s="63"/>
      <c r="P180" s="63"/>
      <c r="Q180" s="63"/>
      <c r="R180" s="63"/>
      <c r="S180" s="63"/>
      <c r="T180" s="63"/>
      <c r="U180" s="94"/>
      <c r="V180" s="90"/>
      <c r="W180" s="91"/>
      <c r="X180" s="92"/>
    </row>
    <row r="181" spans="1:24">
      <c r="A181" s="614"/>
      <c r="B181" s="87">
        <f t="shared" si="35"/>
        <v>8</v>
      </c>
      <c r="C181" s="609"/>
      <c r="D181" s="10"/>
      <c r="E181" s="10"/>
      <c r="F181" s="62"/>
      <c r="G181" s="62"/>
      <c r="H181" s="88"/>
      <c r="I181" s="89">
        <f>F181-G181-H181</f>
        <v>0</v>
      </c>
      <c r="J181" s="63"/>
      <c r="K181" s="63"/>
      <c r="L181" s="63"/>
      <c r="M181" s="63"/>
      <c r="N181" s="63"/>
      <c r="O181" s="63"/>
      <c r="P181" s="63"/>
      <c r="Q181" s="63"/>
      <c r="R181" s="63"/>
      <c r="S181" s="63"/>
      <c r="T181" s="63"/>
      <c r="U181" s="94"/>
      <c r="V181" s="90"/>
      <c r="W181" s="91"/>
      <c r="X181" s="92"/>
    </row>
    <row r="182" spans="1:24">
      <c r="A182" s="614"/>
      <c r="B182" s="87">
        <f t="shared" si="35"/>
        <v>9</v>
      </c>
      <c r="C182" s="609"/>
      <c r="D182" s="10"/>
      <c r="E182" s="10"/>
      <c r="F182" s="62"/>
      <c r="G182" s="62"/>
      <c r="H182" s="88"/>
      <c r="I182" s="89">
        <f>F182-G182-H182</f>
        <v>0</v>
      </c>
      <c r="J182" s="63"/>
      <c r="K182" s="63"/>
      <c r="L182" s="63"/>
      <c r="M182" s="63"/>
      <c r="N182" s="63"/>
      <c r="O182" s="63"/>
      <c r="P182" s="63"/>
      <c r="Q182" s="63"/>
      <c r="R182" s="63"/>
      <c r="S182" s="63"/>
      <c r="T182" s="63"/>
      <c r="U182" s="94"/>
      <c r="V182" s="90"/>
      <c r="W182" s="91"/>
      <c r="X182" s="92"/>
    </row>
    <row r="183" spans="1:24">
      <c r="A183" s="614"/>
      <c r="B183" s="87">
        <f t="shared" si="35"/>
        <v>10</v>
      </c>
      <c r="C183" s="609"/>
      <c r="D183" s="10"/>
      <c r="E183" s="10"/>
      <c r="F183" s="62"/>
      <c r="G183" s="62"/>
      <c r="H183" s="88"/>
      <c r="I183" s="89">
        <f>F183-G183-H183</f>
        <v>0</v>
      </c>
      <c r="J183" s="63"/>
      <c r="K183" s="63"/>
      <c r="L183" s="63"/>
      <c r="M183" s="63"/>
      <c r="N183" s="63"/>
      <c r="O183" s="63"/>
      <c r="P183" s="63"/>
      <c r="Q183" s="63"/>
      <c r="R183" s="63"/>
      <c r="S183" s="63"/>
      <c r="T183" s="63"/>
      <c r="U183" s="94"/>
      <c r="V183" s="90"/>
      <c r="W183" s="91"/>
      <c r="X183" s="92"/>
    </row>
    <row r="184" spans="1:24">
      <c r="A184" s="614"/>
      <c r="B184" s="87">
        <f t="shared" si="35"/>
        <v>11</v>
      </c>
      <c r="C184" s="609"/>
      <c r="D184" s="10"/>
      <c r="E184" s="10"/>
      <c r="F184" s="95"/>
      <c r="G184" s="62"/>
      <c r="H184" s="62"/>
      <c r="I184" s="89">
        <f t="shared" si="36"/>
        <v>0</v>
      </c>
      <c r="J184" s="63"/>
      <c r="K184" s="63"/>
      <c r="L184" s="63"/>
      <c r="M184" s="63"/>
      <c r="N184" s="63"/>
      <c r="O184" s="63"/>
      <c r="P184" s="63"/>
      <c r="Q184" s="63"/>
      <c r="R184" s="63"/>
      <c r="S184" s="63"/>
      <c r="T184" s="63"/>
      <c r="U184" s="94"/>
      <c r="V184" s="90"/>
      <c r="W184" s="91"/>
      <c r="X184" s="92"/>
    </row>
    <row r="185" spans="1:24">
      <c r="A185" s="614"/>
      <c r="B185" s="87">
        <f t="shared" si="35"/>
        <v>12</v>
      </c>
      <c r="C185" s="609"/>
      <c r="D185" s="10"/>
      <c r="E185" s="10"/>
      <c r="F185" s="95"/>
      <c r="G185" s="62"/>
      <c r="H185" s="62"/>
      <c r="I185" s="89">
        <f t="shared" si="36"/>
        <v>0</v>
      </c>
      <c r="J185" s="63"/>
      <c r="K185" s="63"/>
      <c r="L185" s="63"/>
      <c r="M185" s="63"/>
      <c r="N185" s="63"/>
      <c r="O185" s="63"/>
      <c r="P185" s="63"/>
      <c r="Q185" s="63"/>
      <c r="R185" s="63"/>
      <c r="S185" s="63"/>
      <c r="T185" s="63"/>
      <c r="U185" s="94"/>
      <c r="V185" s="90"/>
      <c r="W185" s="91"/>
      <c r="X185" s="92"/>
    </row>
    <row r="186" spans="1:24">
      <c r="A186" s="614"/>
      <c r="B186" s="87">
        <f t="shared" si="35"/>
        <v>13</v>
      </c>
      <c r="C186" s="609"/>
      <c r="D186" s="10"/>
      <c r="E186" s="10"/>
      <c r="F186" s="95"/>
      <c r="G186" s="62"/>
      <c r="H186" s="62"/>
      <c r="I186" s="89">
        <f t="shared" si="36"/>
        <v>0</v>
      </c>
      <c r="J186" s="63"/>
      <c r="K186" s="63"/>
      <c r="L186" s="63"/>
      <c r="M186" s="63"/>
      <c r="N186" s="63"/>
      <c r="O186" s="63"/>
      <c r="P186" s="63"/>
      <c r="Q186" s="63"/>
      <c r="R186" s="63"/>
      <c r="S186" s="63"/>
      <c r="T186" s="63"/>
      <c r="U186" s="94"/>
      <c r="V186" s="90"/>
      <c r="W186" s="91"/>
      <c r="X186" s="92"/>
    </row>
    <row r="187" spans="1:24">
      <c r="A187" s="614"/>
      <c r="B187" s="87">
        <f t="shared" si="35"/>
        <v>14</v>
      </c>
      <c r="C187" s="609"/>
      <c r="D187" s="10"/>
      <c r="E187" s="10"/>
      <c r="F187" s="95"/>
      <c r="G187" s="62"/>
      <c r="H187" s="62"/>
      <c r="I187" s="89">
        <f t="shared" si="36"/>
        <v>0</v>
      </c>
      <c r="J187" s="63"/>
      <c r="K187" s="63"/>
      <c r="L187" s="63"/>
      <c r="M187" s="63"/>
      <c r="N187" s="63"/>
      <c r="O187" s="63"/>
      <c r="P187" s="63"/>
      <c r="Q187" s="63"/>
      <c r="R187" s="63"/>
      <c r="S187" s="63"/>
      <c r="T187" s="63"/>
      <c r="U187" s="94"/>
      <c r="V187" s="90"/>
      <c r="W187" s="91"/>
      <c r="X187" s="92"/>
    </row>
    <row r="188" spans="1:24">
      <c r="A188" s="614"/>
      <c r="B188" s="87">
        <f t="shared" si="35"/>
        <v>15</v>
      </c>
      <c r="C188" s="609"/>
      <c r="D188" s="10"/>
      <c r="E188" s="10"/>
      <c r="F188" s="95"/>
      <c r="G188" s="62"/>
      <c r="H188" s="62"/>
      <c r="I188" s="89">
        <f t="shared" si="36"/>
        <v>0</v>
      </c>
      <c r="J188" s="63"/>
      <c r="K188" s="63"/>
      <c r="L188" s="63"/>
      <c r="M188" s="63"/>
      <c r="N188" s="63"/>
      <c r="O188" s="63"/>
      <c r="P188" s="63"/>
      <c r="Q188" s="63"/>
      <c r="R188" s="63"/>
      <c r="S188" s="63"/>
      <c r="T188" s="63"/>
      <c r="U188" s="94"/>
      <c r="V188" s="90"/>
      <c r="W188" s="96"/>
      <c r="X188" s="92"/>
    </row>
    <row r="189" spans="1:24">
      <c r="A189" s="614"/>
      <c r="B189" s="87">
        <f t="shared" si="35"/>
        <v>16</v>
      </c>
      <c r="C189" s="609"/>
      <c r="D189" s="10"/>
      <c r="E189" s="10"/>
      <c r="F189" s="95"/>
      <c r="G189" s="62"/>
      <c r="H189" s="62"/>
      <c r="I189" s="89">
        <f t="shared" si="36"/>
        <v>0</v>
      </c>
      <c r="J189" s="63"/>
      <c r="K189" s="63"/>
      <c r="L189" s="63"/>
      <c r="M189" s="63"/>
      <c r="N189" s="63"/>
      <c r="O189" s="63"/>
      <c r="P189" s="63"/>
      <c r="Q189" s="63"/>
      <c r="R189" s="63"/>
      <c r="S189" s="63"/>
      <c r="T189" s="63"/>
      <c r="U189" s="94"/>
      <c r="V189" s="90"/>
      <c r="W189" s="96"/>
      <c r="X189" s="92"/>
    </row>
    <row r="190" spans="1:24">
      <c r="A190" s="614"/>
      <c r="B190" s="87"/>
      <c r="C190" s="609"/>
      <c r="D190" s="10"/>
      <c r="E190" s="10"/>
      <c r="F190" s="97">
        <f>SUM(F174:F189)</f>
        <v>0</v>
      </c>
      <c r="G190" s="97">
        <f t="shared" ref="G190:I190" si="37">SUM(G174:G189)</f>
        <v>0</v>
      </c>
      <c r="H190" s="97">
        <f t="shared" si="37"/>
        <v>0</v>
      </c>
      <c r="I190" s="98">
        <f t="shared" si="37"/>
        <v>0</v>
      </c>
      <c r="J190" s="63"/>
      <c r="K190" s="63">
        <f>COUNT(K174:K189)</f>
        <v>0</v>
      </c>
      <c r="L190" s="63">
        <f t="shared" ref="L190:R190" si="38">COUNT(L174:L189)</f>
        <v>0</v>
      </c>
      <c r="M190" s="63">
        <f t="shared" si="38"/>
        <v>0</v>
      </c>
      <c r="N190" s="63">
        <f t="shared" si="38"/>
        <v>0</v>
      </c>
      <c r="O190" s="63">
        <f t="shared" si="38"/>
        <v>0</v>
      </c>
      <c r="P190" s="63">
        <f t="shared" si="38"/>
        <v>0</v>
      </c>
      <c r="Q190" s="63">
        <f t="shared" si="38"/>
        <v>0</v>
      </c>
      <c r="R190" s="63">
        <f t="shared" si="38"/>
        <v>0</v>
      </c>
      <c r="S190" s="63">
        <f>COUNT(S174:S189)</f>
        <v>0</v>
      </c>
      <c r="T190" s="63"/>
      <c r="U190" s="94"/>
      <c r="V190" s="90"/>
      <c r="W190" s="91"/>
      <c r="X190" s="92"/>
    </row>
    <row r="191" spans="1:24">
      <c r="A191" s="614"/>
      <c r="B191" s="87"/>
      <c r="C191" s="609"/>
      <c r="D191" s="10"/>
      <c r="E191" s="10"/>
      <c r="F191" s="88"/>
      <c r="G191" s="88"/>
      <c r="H191" s="88"/>
      <c r="I191" s="99"/>
      <c r="J191" s="63"/>
      <c r="K191" s="21">
        <f>SUM(K174:K189)</f>
        <v>0</v>
      </c>
      <c r="L191" s="21">
        <f t="shared" ref="L191:R191" si="39">SUM(L174:L189)</f>
        <v>0</v>
      </c>
      <c r="M191" s="21">
        <f t="shared" si="39"/>
        <v>0</v>
      </c>
      <c r="N191" s="21">
        <f t="shared" si="39"/>
        <v>0</v>
      </c>
      <c r="O191" s="21">
        <f t="shared" si="39"/>
        <v>0</v>
      </c>
      <c r="P191" s="21">
        <f t="shared" si="39"/>
        <v>0</v>
      </c>
      <c r="Q191" s="21">
        <f t="shared" si="39"/>
        <v>0</v>
      </c>
      <c r="R191" s="21">
        <f t="shared" si="39"/>
        <v>0</v>
      </c>
      <c r="S191" s="21">
        <f>SUM(S174:S189)</f>
        <v>0</v>
      </c>
      <c r="T191" s="63"/>
      <c r="U191" s="94"/>
      <c r="V191" s="90"/>
      <c r="W191" s="91"/>
      <c r="X191" s="92"/>
    </row>
    <row r="192" spans="1:24">
      <c r="A192" s="614"/>
      <c r="B192" s="11"/>
      <c r="C192" s="609"/>
      <c r="D192" s="10"/>
      <c r="E192" s="10"/>
      <c r="F192" s="88"/>
      <c r="G192" s="88"/>
      <c r="H192" s="88"/>
      <c r="I192" s="99"/>
      <c r="J192" s="63"/>
      <c r="K192" s="21"/>
      <c r="L192" s="21"/>
      <c r="M192" s="21"/>
      <c r="N192" s="21"/>
      <c r="O192" s="21"/>
      <c r="P192" s="21"/>
      <c r="Q192" s="21"/>
      <c r="R192" s="21"/>
      <c r="S192" s="21"/>
      <c r="T192" s="63"/>
      <c r="U192" s="94"/>
      <c r="V192" s="90"/>
      <c r="W192" s="91"/>
      <c r="X192" s="92"/>
    </row>
    <row r="193" spans="1:24">
      <c r="A193" s="614"/>
      <c r="B193" s="100" t="s">
        <v>66</v>
      </c>
      <c r="C193" s="609"/>
      <c r="D193" s="10"/>
      <c r="E193" s="10"/>
      <c r="F193" s="88"/>
      <c r="G193" s="62"/>
      <c r="H193" s="88"/>
      <c r="I193" s="99"/>
      <c r="J193" s="63"/>
      <c r="T193" s="63"/>
      <c r="U193" s="94"/>
      <c r="V193" s="90"/>
      <c r="W193" s="91"/>
      <c r="X193" s="92"/>
    </row>
    <row r="194" spans="1:24">
      <c r="A194" s="614"/>
      <c r="B194" s="87">
        <v>1</v>
      </c>
      <c r="C194" s="609"/>
      <c r="D194" s="10"/>
      <c r="E194" s="101"/>
      <c r="F194" s="62"/>
      <c r="G194" s="62"/>
      <c r="H194" s="62"/>
      <c r="I194" s="89">
        <f t="shared" ref="I194:I201" si="40">F194-G194-H194</f>
        <v>0</v>
      </c>
      <c r="J194" s="63"/>
      <c r="K194" s="63"/>
      <c r="L194" s="63"/>
      <c r="M194" s="63"/>
      <c r="N194" s="63"/>
      <c r="O194" s="63"/>
      <c r="P194" s="63"/>
      <c r="Q194" s="63"/>
      <c r="R194" s="63"/>
      <c r="S194" s="63"/>
      <c r="T194" s="63"/>
      <c r="U194" s="94"/>
      <c r="V194" s="90"/>
      <c r="W194" s="91"/>
      <c r="X194" s="92"/>
    </row>
    <row r="195" spans="1:24">
      <c r="A195" s="614"/>
      <c r="B195" s="87">
        <f t="shared" ref="B195:B201" si="41">B194+1</f>
        <v>2</v>
      </c>
      <c r="C195" s="609"/>
      <c r="D195" s="10"/>
      <c r="E195" s="101"/>
      <c r="F195" s="62"/>
      <c r="G195" s="62"/>
      <c r="H195" s="62"/>
      <c r="I195" s="89">
        <f t="shared" si="40"/>
        <v>0</v>
      </c>
      <c r="J195" s="63"/>
      <c r="K195" s="63"/>
      <c r="L195" s="63"/>
      <c r="M195" s="63"/>
      <c r="N195" s="63"/>
      <c r="O195" s="63"/>
      <c r="P195" s="63"/>
      <c r="Q195" s="63"/>
      <c r="R195" s="63"/>
      <c r="S195" s="63"/>
      <c r="T195" s="63"/>
      <c r="U195" s="94"/>
      <c r="V195" s="90"/>
      <c r="W195" s="91"/>
      <c r="X195" s="92"/>
    </row>
    <row r="196" spans="1:24">
      <c r="A196" s="614"/>
      <c r="B196" s="87">
        <f t="shared" si="41"/>
        <v>3</v>
      </c>
      <c r="C196" s="609"/>
      <c r="D196" s="10"/>
      <c r="E196" s="101"/>
      <c r="F196" s="62"/>
      <c r="G196" s="62"/>
      <c r="H196" s="62"/>
      <c r="I196" s="89">
        <f t="shared" si="40"/>
        <v>0</v>
      </c>
      <c r="J196" s="63"/>
      <c r="K196" s="63"/>
      <c r="L196" s="63"/>
      <c r="M196" s="63"/>
      <c r="N196" s="63"/>
      <c r="O196" s="63"/>
      <c r="P196" s="63"/>
      <c r="Q196" s="63"/>
      <c r="R196" s="63"/>
      <c r="S196" s="63"/>
      <c r="T196" s="63"/>
      <c r="U196" s="94"/>
      <c r="V196" s="90"/>
      <c r="W196" s="91"/>
      <c r="X196" s="92"/>
    </row>
    <row r="197" spans="1:24">
      <c r="A197" s="614"/>
      <c r="B197" s="87">
        <f t="shared" si="41"/>
        <v>4</v>
      </c>
      <c r="C197" s="609"/>
      <c r="D197" s="10"/>
      <c r="E197" s="101"/>
      <c r="F197" s="62"/>
      <c r="G197" s="62"/>
      <c r="H197" s="62"/>
      <c r="I197" s="89">
        <f t="shared" si="40"/>
        <v>0</v>
      </c>
      <c r="J197" s="63"/>
      <c r="K197" s="63"/>
      <c r="L197" s="63"/>
      <c r="M197" s="63"/>
      <c r="N197" s="63"/>
      <c r="O197" s="63"/>
      <c r="P197" s="63"/>
      <c r="Q197" s="63"/>
      <c r="R197" s="63"/>
      <c r="S197" s="63"/>
      <c r="T197" s="63"/>
      <c r="U197" s="94"/>
      <c r="V197" s="90"/>
      <c r="W197" s="91"/>
      <c r="X197" s="92"/>
    </row>
    <row r="198" spans="1:24">
      <c r="A198" s="614"/>
      <c r="B198" s="87">
        <f t="shared" si="41"/>
        <v>5</v>
      </c>
      <c r="C198" s="609"/>
      <c r="D198" s="10"/>
      <c r="E198" s="101"/>
      <c r="F198" s="62"/>
      <c r="G198" s="62"/>
      <c r="H198" s="62"/>
      <c r="I198" s="89">
        <f t="shared" si="40"/>
        <v>0</v>
      </c>
      <c r="J198" s="63"/>
      <c r="K198" s="63"/>
      <c r="L198" s="63"/>
      <c r="M198" s="63"/>
      <c r="N198" s="63"/>
      <c r="O198" s="63"/>
      <c r="P198" s="63"/>
      <c r="Q198" s="63"/>
      <c r="R198" s="63"/>
      <c r="S198" s="63"/>
      <c r="T198" s="63"/>
      <c r="U198" s="94"/>
      <c r="V198" s="90"/>
      <c r="W198" s="91"/>
      <c r="X198" s="92"/>
    </row>
    <row r="199" spans="1:24">
      <c r="A199" s="614"/>
      <c r="B199" s="87">
        <f t="shared" si="41"/>
        <v>6</v>
      </c>
      <c r="C199" s="609"/>
      <c r="D199" s="10"/>
      <c r="E199" s="101"/>
      <c r="F199" s="62"/>
      <c r="G199" s="62"/>
      <c r="H199" s="62"/>
      <c r="I199" s="89">
        <f t="shared" si="40"/>
        <v>0</v>
      </c>
      <c r="J199" s="63"/>
      <c r="K199" s="63"/>
      <c r="L199" s="63"/>
      <c r="M199" s="63"/>
      <c r="N199" s="63"/>
      <c r="O199" s="63"/>
      <c r="P199" s="63"/>
      <c r="Q199" s="63"/>
      <c r="R199" s="63"/>
      <c r="S199" s="63"/>
      <c r="T199" s="63"/>
      <c r="U199" s="94"/>
      <c r="V199" s="90"/>
      <c r="W199" s="91"/>
      <c r="X199" s="92"/>
    </row>
    <row r="200" spans="1:24">
      <c r="A200" s="614"/>
      <c r="B200" s="87">
        <f t="shared" si="41"/>
        <v>7</v>
      </c>
      <c r="C200" s="609"/>
      <c r="D200" s="10"/>
      <c r="E200" s="101"/>
      <c r="F200" s="62"/>
      <c r="G200" s="62"/>
      <c r="H200" s="62"/>
      <c r="I200" s="89">
        <f t="shared" si="40"/>
        <v>0</v>
      </c>
      <c r="J200" s="63"/>
      <c r="K200" s="63"/>
      <c r="L200" s="63"/>
      <c r="M200" s="63"/>
      <c r="N200" s="63"/>
      <c r="O200" s="63"/>
      <c r="P200" s="63"/>
      <c r="Q200" s="63"/>
      <c r="R200" s="63"/>
      <c r="S200" s="63"/>
      <c r="T200" s="63"/>
      <c r="U200" s="94"/>
      <c r="V200" s="90"/>
      <c r="W200" s="91"/>
      <c r="X200" s="92"/>
    </row>
    <row r="201" spans="1:24">
      <c r="A201" s="614"/>
      <c r="B201" s="87">
        <f t="shared" si="41"/>
        <v>8</v>
      </c>
      <c r="C201" s="609"/>
      <c r="D201" s="10"/>
      <c r="E201" s="101"/>
      <c r="F201" s="62"/>
      <c r="G201" s="62"/>
      <c r="H201" s="62"/>
      <c r="I201" s="89">
        <f t="shared" si="40"/>
        <v>0</v>
      </c>
      <c r="J201" s="63"/>
      <c r="K201" s="63"/>
      <c r="L201" s="63"/>
      <c r="M201" s="63"/>
      <c r="N201" s="63"/>
      <c r="O201" s="63"/>
      <c r="P201" s="63"/>
      <c r="Q201" s="63"/>
      <c r="R201" s="63"/>
      <c r="S201" s="63"/>
      <c r="T201" s="63"/>
      <c r="U201" s="94"/>
      <c r="V201" s="90"/>
      <c r="W201" s="91"/>
      <c r="X201" s="92"/>
    </row>
    <row r="202" spans="1:24">
      <c r="A202" s="614"/>
      <c r="B202" s="11"/>
      <c r="C202" s="609"/>
      <c r="D202" s="10"/>
      <c r="E202" s="10"/>
      <c r="F202" s="97">
        <f>SUM(F194:F201)</f>
        <v>0</v>
      </c>
      <c r="G202" s="97">
        <f>SUM(G194:G201)</f>
        <v>0</v>
      </c>
      <c r="H202" s="97">
        <f>SUM(H194:H201)</f>
        <v>0</v>
      </c>
      <c r="I202" s="98">
        <f>SUM(I194:I201)</f>
        <v>0</v>
      </c>
      <c r="J202" s="63"/>
      <c r="K202" s="21"/>
      <c r="L202" s="21"/>
      <c r="M202" s="21"/>
      <c r="N202" s="21"/>
      <c r="O202" s="21"/>
      <c r="P202" s="21"/>
      <c r="Q202" s="21"/>
      <c r="R202" s="21"/>
      <c r="S202" s="21"/>
      <c r="T202" s="63"/>
      <c r="U202" s="94"/>
      <c r="V202" s="90"/>
      <c r="W202" s="91"/>
      <c r="X202" s="92"/>
    </row>
    <row r="203" spans="1:24">
      <c r="A203" s="614"/>
      <c r="B203" s="11"/>
      <c r="C203" s="609"/>
      <c r="D203" s="10"/>
      <c r="E203" s="10"/>
      <c r="F203" s="88"/>
      <c r="G203" s="88"/>
      <c r="H203" s="88"/>
      <c r="I203" s="99"/>
      <c r="J203" s="63"/>
      <c r="K203" s="21"/>
      <c r="L203" s="21"/>
      <c r="M203" s="21"/>
      <c r="N203" s="21"/>
      <c r="O203" s="21"/>
      <c r="P203" s="21"/>
      <c r="Q203" s="21"/>
      <c r="R203" s="21"/>
      <c r="S203" s="21"/>
      <c r="T203" s="63"/>
      <c r="U203" s="94"/>
      <c r="V203" s="90"/>
      <c r="W203" s="91"/>
      <c r="X203" s="92"/>
    </row>
    <row r="204" spans="1:24">
      <c r="A204" s="614"/>
      <c r="B204" s="102" t="s">
        <v>67</v>
      </c>
      <c r="C204" s="610"/>
      <c r="D204" s="104"/>
      <c r="E204" s="104"/>
      <c r="F204" s="105"/>
      <c r="G204" s="106"/>
      <c r="H204" s="105"/>
      <c r="I204" s="107"/>
      <c r="J204" s="108"/>
      <c r="K204" s="109"/>
      <c r="L204" s="109"/>
      <c r="M204" s="109"/>
      <c r="N204" s="109"/>
      <c r="O204" s="109"/>
      <c r="P204" s="109"/>
      <c r="Q204" s="109"/>
      <c r="R204" s="109"/>
      <c r="S204" s="109"/>
      <c r="T204" s="108"/>
      <c r="U204" s="110"/>
      <c r="V204" s="111"/>
      <c r="W204" s="112"/>
      <c r="X204" s="113"/>
    </row>
    <row r="205" spans="1:24">
      <c r="A205" s="614"/>
      <c r="B205" s="114">
        <v>1</v>
      </c>
      <c r="C205" s="610"/>
      <c r="D205" s="104"/>
      <c r="E205" s="115"/>
      <c r="F205" s="106"/>
      <c r="G205" s="106"/>
      <c r="H205" s="106"/>
      <c r="I205" s="116">
        <f t="shared" ref="I205:I212" si="42">F205-G205-H205</f>
        <v>0</v>
      </c>
      <c r="J205" s="108"/>
      <c r="K205" s="108"/>
      <c r="L205" s="108"/>
      <c r="M205" s="108"/>
      <c r="N205" s="108"/>
      <c r="O205" s="108"/>
      <c r="P205" s="108"/>
      <c r="Q205" s="108"/>
      <c r="R205" s="108"/>
      <c r="S205" s="108"/>
      <c r="T205" s="108"/>
      <c r="U205" s="110"/>
      <c r="V205" s="111"/>
      <c r="W205" s="112"/>
      <c r="X205" s="113"/>
    </row>
    <row r="206" spans="1:24">
      <c r="A206" s="614"/>
      <c r="B206" s="114">
        <f t="shared" ref="B206:B212" si="43">B205+1</f>
        <v>2</v>
      </c>
      <c r="C206" s="610"/>
      <c r="D206" s="104"/>
      <c r="E206" s="115"/>
      <c r="F206" s="106"/>
      <c r="G206" s="106"/>
      <c r="H206" s="106"/>
      <c r="I206" s="116">
        <f t="shared" si="42"/>
        <v>0</v>
      </c>
      <c r="J206" s="108"/>
      <c r="K206" s="108"/>
      <c r="L206" s="108"/>
      <c r="M206" s="108"/>
      <c r="N206" s="108"/>
      <c r="O206" s="108"/>
      <c r="P206" s="108"/>
      <c r="Q206" s="108"/>
      <c r="R206" s="108"/>
      <c r="S206" s="108"/>
      <c r="T206" s="108"/>
      <c r="U206" s="110"/>
      <c r="V206" s="111"/>
      <c r="W206" s="112"/>
      <c r="X206" s="113"/>
    </row>
    <row r="207" spans="1:24">
      <c r="A207" s="614"/>
      <c r="B207" s="114">
        <f t="shared" si="43"/>
        <v>3</v>
      </c>
      <c r="C207" s="610"/>
      <c r="D207" s="104"/>
      <c r="E207" s="115"/>
      <c r="F207" s="106"/>
      <c r="G207" s="106"/>
      <c r="H207" s="106"/>
      <c r="I207" s="116">
        <f t="shared" si="42"/>
        <v>0</v>
      </c>
      <c r="J207" s="108"/>
      <c r="K207" s="108"/>
      <c r="L207" s="108"/>
      <c r="M207" s="108"/>
      <c r="N207" s="108"/>
      <c r="O207" s="108"/>
      <c r="P207" s="108"/>
      <c r="Q207" s="108"/>
      <c r="R207" s="108"/>
      <c r="S207" s="108"/>
      <c r="T207" s="108"/>
      <c r="U207" s="110"/>
      <c r="V207" s="111"/>
      <c r="W207" s="112"/>
      <c r="X207" s="113"/>
    </row>
    <row r="208" spans="1:24">
      <c r="A208" s="614"/>
      <c r="B208" s="114">
        <f t="shared" si="43"/>
        <v>4</v>
      </c>
      <c r="C208" s="610"/>
      <c r="D208" s="104"/>
      <c r="E208" s="115"/>
      <c r="F208" s="106"/>
      <c r="G208" s="106"/>
      <c r="H208" s="106"/>
      <c r="I208" s="116">
        <f t="shared" si="42"/>
        <v>0</v>
      </c>
      <c r="J208" s="108"/>
      <c r="K208" s="108"/>
      <c r="L208" s="108"/>
      <c r="M208" s="108"/>
      <c r="N208" s="108"/>
      <c r="O208" s="108"/>
      <c r="P208" s="108"/>
      <c r="Q208" s="108"/>
      <c r="R208" s="108"/>
      <c r="S208" s="108"/>
      <c r="T208" s="108"/>
      <c r="U208" s="110"/>
      <c r="V208" s="111"/>
      <c r="W208" s="112"/>
      <c r="X208" s="113"/>
    </row>
    <row r="209" spans="1:24">
      <c r="A209" s="614"/>
      <c r="B209" s="114">
        <f t="shared" si="43"/>
        <v>5</v>
      </c>
      <c r="C209" s="610"/>
      <c r="D209" s="104"/>
      <c r="E209" s="115"/>
      <c r="F209" s="106"/>
      <c r="G209" s="106"/>
      <c r="H209" s="106"/>
      <c r="I209" s="116">
        <f t="shared" si="42"/>
        <v>0</v>
      </c>
      <c r="J209" s="108"/>
      <c r="K209" s="108"/>
      <c r="L209" s="108"/>
      <c r="M209" s="108"/>
      <c r="N209" s="108"/>
      <c r="O209" s="108"/>
      <c r="P209" s="108"/>
      <c r="Q209" s="108"/>
      <c r="R209" s="108"/>
      <c r="S209" s="108"/>
      <c r="T209" s="108"/>
      <c r="U209" s="110"/>
      <c r="V209" s="111"/>
      <c r="W209" s="112"/>
      <c r="X209" s="113"/>
    </row>
    <row r="210" spans="1:24">
      <c r="A210" s="614"/>
      <c r="B210" s="114">
        <f t="shared" si="43"/>
        <v>6</v>
      </c>
      <c r="C210" s="610"/>
      <c r="D210" s="104"/>
      <c r="E210" s="115"/>
      <c r="F210" s="106"/>
      <c r="G210" s="106"/>
      <c r="H210" s="106"/>
      <c r="I210" s="116">
        <f t="shared" si="42"/>
        <v>0</v>
      </c>
      <c r="J210" s="108"/>
      <c r="K210" s="108"/>
      <c r="L210" s="108"/>
      <c r="M210" s="108"/>
      <c r="N210" s="108"/>
      <c r="O210" s="108"/>
      <c r="P210" s="108"/>
      <c r="Q210" s="108"/>
      <c r="R210" s="108"/>
      <c r="S210" s="108"/>
      <c r="T210" s="108"/>
      <c r="U210" s="110"/>
      <c r="V210" s="111"/>
      <c r="W210" s="112"/>
      <c r="X210" s="113"/>
    </row>
    <row r="211" spans="1:24">
      <c r="A211" s="614"/>
      <c r="B211" s="114">
        <f t="shared" si="43"/>
        <v>7</v>
      </c>
      <c r="C211" s="610"/>
      <c r="D211" s="104"/>
      <c r="E211" s="115"/>
      <c r="F211" s="106"/>
      <c r="G211" s="106"/>
      <c r="H211" s="106"/>
      <c r="I211" s="116">
        <f t="shared" si="42"/>
        <v>0</v>
      </c>
      <c r="J211" s="108"/>
      <c r="K211" s="108"/>
      <c r="L211" s="108"/>
      <c r="M211" s="108"/>
      <c r="N211" s="108"/>
      <c r="O211" s="108"/>
      <c r="P211" s="108"/>
      <c r="Q211" s="108"/>
      <c r="R211" s="108"/>
      <c r="S211" s="108"/>
      <c r="T211" s="108"/>
      <c r="U211" s="110"/>
      <c r="V211" s="111"/>
      <c r="W211" s="112"/>
      <c r="X211" s="113"/>
    </row>
    <row r="212" spans="1:24">
      <c r="A212" s="614"/>
      <c r="B212" s="114">
        <f t="shared" si="43"/>
        <v>8</v>
      </c>
      <c r="C212" s="610"/>
      <c r="D212" s="104"/>
      <c r="E212" s="115"/>
      <c r="F212" s="106"/>
      <c r="G212" s="106"/>
      <c r="H212" s="106"/>
      <c r="I212" s="116">
        <f t="shared" si="42"/>
        <v>0</v>
      </c>
      <c r="J212" s="108"/>
      <c r="K212" s="108"/>
      <c r="L212" s="108"/>
      <c r="M212" s="108"/>
      <c r="N212" s="108"/>
      <c r="O212" s="108"/>
      <c r="P212" s="108"/>
      <c r="Q212" s="108"/>
      <c r="R212" s="108"/>
      <c r="S212" s="108"/>
      <c r="T212" s="108"/>
      <c r="U212" s="110"/>
      <c r="V212" s="111"/>
      <c r="W212" s="112"/>
      <c r="X212" s="113"/>
    </row>
    <row r="213" spans="1:24">
      <c r="A213" s="614"/>
      <c r="B213" s="117"/>
      <c r="C213" s="610"/>
      <c r="D213" s="104"/>
      <c r="E213" s="104"/>
      <c r="F213" s="118">
        <f>SUM(F205:F212)</f>
        <v>0</v>
      </c>
      <c r="G213" s="118">
        <f>SUM(G205:G212)</f>
        <v>0</v>
      </c>
      <c r="H213" s="118">
        <f>SUM(H205:H212)</f>
        <v>0</v>
      </c>
      <c r="I213" s="119">
        <f>SUM(I205:I212)</f>
        <v>0</v>
      </c>
      <c r="J213" s="108"/>
      <c r="K213" s="120"/>
      <c r="L213" s="120"/>
      <c r="M213" s="120"/>
      <c r="N213" s="120"/>
      <c r="O213" s="120"/>
      <c r="P213" s="120"/>
      <c r="Q213" s="120"/>
      <c r="R213" s="120"/>
      <c r="S213" s="120"/>
      <c r="T213" s="108"/>
      <c r="U213" s="110"/>
      <c r="V213" s="111"/>
      <c r="W213" s="112"/>
      <c r="X213" s="113"/>
    </row>
    <row r="214" spans="1:24">
      <c r="A214" s="614"/>
      <c r="B214" s="11"/>
      <c r="C214" s="609"/>
      <c r="D214" s="10"/>
      <c r="E214" s="10"/>
      <c r="F214" s="88"/>
      <c r="G214" s="88"/>
      <c r="H214" s="88"/>
      <c r="I214" s="99"/>
      <c r="J214" s="63"/>
      <c r="K214" s="21"/>
      <c r="L214" s="21"/>
      <c r="M214" s="21"/>
      <c r="N214" s="21"/>
      <c r="O214" s="21"/>
      <c r="P214" s="21"/>
      <c r="Q214" s="21"/>
      <c r="R214" s="21"/>
      <c r="S214" s="21"/>
      <c r="T214" s="63"/>
      <c r="U214" s="94"/>
      <c r="V214" s="90"/>
      <c r="W214" s="91"/>
      <c r="X214" s="92"/>
    </row>
    <row r="215" spans="1:24" s="128" customFormat="1">
      <c r="A215" s="615"/>
      <c r="B215" s="121" t="s">
        <v>68</v>
      </c>
      <c r="C215" s="611"/>
      <c r="D215" s="123"/>
      <c r="E215" s="123"/>
      <c r="F215" s="124"/>
      <c r="G215" s="125"/>
      <c r="H215" s="124"/>
      <c r="I215" s="126"/>
      <c r="J215" s="127"/>
      <c r="T215" s="127"/>
      <c r="U215" s="135"/>
      <c r="V215" s="129"/>
      <c r="W215" s="130"/>
      <c r="X215" s="131"/>
    </row>
    <row r="216" spans="1:24">
      <c r="A216" s="614"/>
      <c r="B216" s="87">
        <v>1</v>
      </c>
      <c r="C216" s="609"/>
      <c r="D216" s="10"/>
      <c r="E216" s="101"/>
      <c r="F216" s="62"/>
      <c r="G216" s="62"/>
      <c r="H216" s="62"/>
      <c r="I216" s="89">
        <f>F216-G216-H216</f>
        <v>0</v>
      </c>
      <c r="J216" s="63"/>
      <c r="K216" s="63"/>
      <c r="L216" s="63"/>
      <c r="M216" s="63"/>
      <c r="N216" s="63"/>
      <c r="O216" s="63"/>
      <c r="P216" s="63"/>
      <c r="Q216" s="63"/>
      <c r="R216" s="63"/>
      <c r="S216" s="63"/>
      <c r="T216" s="63"/>
      <c r="U216" s="94"/>
      <c r="V216" s="90"/>
      <c r="W216" s="91"/>
      <c r="X216" s="92"/>
    </row>
    <row r="217" spans="1:24">
      <c r="A217" s="614"/>
      <c r="B217" s="87">
        <f t="shared" ref="B217:B223" si="44">B216+1</f>
        <v>2</v>
      </c>
      <c r="C217" s="609"/>
      <c r="D217" s="10"/>
      <c r="E217" s="101"/>
      <c r="F217" s="62"/>
      <c r="G217" s="62"/>
      <c r="H217" s="62"/>
      <c r="I217" s="89">
        <f t="shared" ref="I217:I223" si="45">F217-G217-H217</f>
        <v>0</v>
      </c>
      <c r="J217" s="63"/>
      <c r="K217" s="63"/>
      <c r="L217" s="63"/>
      <c r="M217" s="63"/>
      <c r="N217" s="63"/>
      <c r="O217" s="63"/>
      <c r="P217" s="63"/>
      <c r="Q217" s="63"/>
      <c r="R217" s="63"/>
      <c r="S217" s="63"/>
      <c r="T217" s="63"/>
      <c r="U217" s="94"/>
      <c r="V217" s="90"/>
      <c r="W217" s="91"/>
      <c r="X217" s="92"/>
    </row>
    <row r="218" spans="1:24">
      <c r="A218" s="614"/>
      <c r="B218" s="87">
        <f t="shared" si="44"/>
        <v>3</v>
      </c>
      <c r="C218" s="609"/>
      <c r="D218" s="10"/>
      <c r="E218" s="101"/>
      <c r="F218" s="62"/>
      <c r="G218" s="62"/>
      <c r="H218" s="62"/>
      <c r="I218" s="89">
        <f>F218-G218-H218</f>
        <v>0</v>
      </c>
      <c r="J218" s="63"/>
      <c r="K218" s="63"/>
      <c r="L218" s="63"/>
      <c r="M218" s="63"/>
      <c r="N218" s="63"/>
      <c r="O218" s="63"/>
      <c r="P218" s="63"/>
      <c r="Q218" s="63"/>
      <c r="R218" s="63"/>
      <c r="S218" s="63"/>
      <c r="T218" s="63"/>
      <c r="U218" s="94"/>
      <c r="V218" s="90"/>
      <c r="W218" s="91"/>
      <c r="X218" s="92"/>
    </row>
    <row r="219" spans="1:24">
      <c r="A219" s="614"/>
      <c r="B219" s="87">
        <f t="shared" si="44"/>
        <v>4</v>
      </c>
      <c r="C219" s="609"/>
      <c r="D219" s="10"/>
      <c r="E219" s="101"/>
      <c r="F219" s="62"/>
      <c r="G219" s="62"/>
      <c r="H219" s="62"/>
      <c r="I219" s="89">
        <f>F219-G219-H219</f>
        <v>0</v>
      </c>
      <c r="J219" s="63"/>
      <c r="K219" s="63"/>
      <c r="L219" s="63"/>
      <c r="M219" s="63"/>
      <c r="N219" s="63"/>
      <c r="O219" s="63"/>
      <c r="P219" s="63"/>
      <c r="Q219" s="63"/>
      <c r="R219" s="63"/>
      <c r="S219" s="63"/>
      <c r="T219" s="63"/>
      <c r="U219" s="94"/>
      <c r="V219" s="90"/>
      <c r="W219" s="91"/>
      <c r="X219" s="92"/>
    </row>
    <row r="220" spans="1:24">
      <c r="A220" s="614"/>
      <c r="B220" s="87">
        <f t="shared" si="44"/>
        <v>5</v>
      </c>
      <c r="C220" s="609"/>
      <c r="D220" s="10"/>
      <c r="E220" s="101"/>
      <c r="F220" s="62"/>
      <c r="G220" s="62"/>
      <c r="H220" s="62"/>
      <c r="I220" s="89">
        <f>F220-G220-H220</f>
        <v>0</v>
      </c>
      <c r="J220" s="63"/>
      <c r="K220" s="63"/>
      <c r="L220" s="63"/>
      <c r="M220" s="63"/>
      <c r="N220" s="63"/>
      <c r="O220" s="63"/>
      <c r="P220" s="63"/>
      <c r="Q220" s="63"/>
      <c r="R220" s="63"/>
      <c r="S220" s="63"/>
      <c r="T220" s="63"/>
      <c r="U220" s="94"/>
      <c r="V220" s="90"/>
      <c r="W220" s="91"/>
      <c r="X220" s="92"/>
    </row>
    <row r="221" spans="1:24">
      <c r="A221" s="614"/>
      <c r="B221" s="87">
        <f t="shared" si="44"/>
        <v>6</v>
      </c>
      <c r="C221" s="609"/>
      <c r="D221" s="10"/>
      <c r="E221" s="101"/>
      <c r="F221" s="62"/>
      <c r="G221" s="62"/>
      <c r="H221" s="62"/>
      <c r="I221" s="89">
        <f>F221-G221-H221</f>
        <v>0</v>
      </c>
      <c r="J221" s="63"/>
      <c r="K221" s="63"/>
      <c r="L221" s="63"/>
      <c r="M221" s="63"/>
      <c r="N221" s="63"/>
      <c r="O221" s="63"/>
      <c r="P221" s="63"/>
      <c r="Q221" s="63"/>
      <c r="R221" s="63"/>
      <c r="S221" s="63"/>
      <c r="T221" s="63"/>
      <c r="U221" s="94"/>
      <c r="V221" s="90"/>
      <c r="W221" s="91"/>
      <c r="X221" s="92"/>
    </row>
    <row r="222" spans="1:24">
      <c r="A222" s="614"/>
      <c r="B222" s="87">
        <f t="shared" si="44"/>
        <v>7</v>
      </c>
      <c r="C222" s="609"/>
      <c r="D222" s="10"/>
      <c r="E222" s="101"/>
      <c r="F222" s="62"/>
      <c r="G222" s="62"/>
      <c r="H222" s="62"/>
      <c r="I222" s="89">
        <f t="shared" si="45"/>
        <v>0</v>
      </c>
      <c r="J222" s="63"/>
      <c r="K222" s="63"/>
      <c r="L222" s="63"/>
      <c r="M222" s="63"/>
      <c r="N222" s="63"/>
      <c r="O222" s="63"/>
      <c r="P222" s="63"/>
      <c r="Q222" s="63"/>
      <c r="R222" s="63"/>
      <c r="S222" s="63"/>
      <c r="T222" s="63"/>
      <c r="U222" s="94"/>
      <c r="V222" s="90"/>
      <c r="W222" s="91"/>
      <c r="X222" s="92"/>
    </row>
    <row r="223" spans="1:24">
      <c r="A223" s="614"/>
      <c r="B223" s="87">
        <f t="shared" si="44"/>
        <v>8</v>
      </c>
      <c r="C223" s="609"/>
      <c r="D223" s="10"/>
      <c r="E223" s="101"/>
      <c r="F223" s="62"/>
      <c r="G223" s="62"/>
      <c r="H223" s="62"/>
      <c r="I223" s="89">
        <f t="shared" si="45"/>
        <v>0</v>
      </c>
      <c r="J223" s="63"/>
      <c r="K223" s="63"/>
      <c r="L223" s="63"/>
      <c r="M223" s="63"/>
      <c r="N223" s="63"/>
      <c r="O223" s="63"/>
      <c r="P223" s="63"/>
      <c r="Q223" s="63"/>
      <c r="R223" s="63"/>
      <c r="S223" s="63"/>
      <c r="T223" s="63"/>
      <c r="U223" s="94"/>
      <c r="V223" s="90"/>
      <c r="W223" s="91"/>
      <c r="X223" s="92"/>
    </row>
    <row r="224" spans="1:24" s="128" customFormat="1">
      <c r="A224" s="615"/>
      <c r="B224" s="132"/>
      <c r="C224" s="611"/>
      <c r="D224" s="123"/>
      <c r="E224" s="123"/>
      <c r="F224" s="133">
        <f>SUM(F216:F223)</f>
        <v>0</v>
      </c>
      <c r="G224" s="133">
        <f>SUM(G216:G223)</f>
        <v>0</v>
      </c>
      <c r="H224" s="133">
        <f>SUM(H216:H223)</f>
        <v>0</v>
      </c>
      <c r="I224" s="134">
        <f>SUM(I216:I223)</f>
        <v>0</v>
      </c>
      <c r="J224" s="127"/>
      <c r="K224" s="64"/>
      <c r="L224" s="64"/>
      <c r="M224" s="64"/>
      <c r="N224" s="64"/>
      <c r="O224" s="64"/>
      <c r="P224" s="64"/>
      <c r="Q224" s="64"/>
      <c r="R224" s="64"/>
      <c r="S224" s="64"/>
      <c r="T224" s="127"/>
      <c r="U224" s="135"/>
      <c r="V224" s="129"/>
      <c r="W224" s="130"/>
      <c r="X224" s="131"/>
    </row>
    <row r="225" spans="1:24">
      <c r="A225" s="614"/>
      <c r="B225" s="11"/>
      <c r="C225" s="609"/>
      <c r="D225" s="10"/>
      <c r="E225" s="10"/>
      <c r="F225" s="88"/>
      <c r="G225" s="88"/>
      <c r="H225" s="88"/>
      <c r="I225" s="99"/>
      <c r="J225" s="63"/>
      <c r="K225" s="21"/>
      <c r="L225" s="21"/>
      <c r="M225" s="21"/>
      <c r="N225" s="21"/>
      <c r="O225" s="21"/>
      <c r="P225" s="21"/>
      <c r="Q225" s="21"/>
      <c r="R225" s="21"/>
      <c r="S225" s="21"/>
      <c r="T225" s="63"/>
      <c r="U225" s="94"/>
      <c r="V225" s="90"/>
      <c r="W225" s="91"/>
      <c r="X225" s="92"/>
    </row>
    <row r="226" spans="1:24" s="128" customFormat="1">
      <c r="A226" s="615"/>
      <c r="B226" s="121" t="s">
        <v>69</v>
      </c>
      <c r="C226" s="611"/>
      <c r="D226" s="123"/>
      <c r="E226" s="123"/>
      <c r="F226" s="124"/>
      <c r="G226" s="125"/>
      <c r="H226" s="124"/>
      <c r="I226" s="126"/>
      <c r="J226" s="127"/>
      <c r="T226" s="127"/>
      <c r="U226" s="135"/>
      <c r="V226" s="129"/>
      <c r="W226" s="130"/>
      <c r="X226" s="131"/>
    </row>
    <row r="227" spans="1:24">
      <c r="A227" s="614"/>
      <c r="B227" s="87">
        <v>1</v>
      </c>
      <c r="C227" s="609"/>
      <c r="D227" s="10"/>
      <c r="E227" s="101"/>
      <c r="F227" s="62"/>
      <c r="G227" s="62"/>
      <c r="H227" s="62"/>
      <c r="I227" s="89">
        <f t="shared" ref="I227:I234" si="46">F227-G227-H227</f>
        <v>0</v>
      </c>
      <c r="J227" s="63"/>
      <c r="K227" s="63"/>
      <c r="L227" s="63"/>
      <c r="M227" s="63"/>
      <c r="N227" s="63"/>
      <c r="O227" s="63"/>
      <c r="P227" s="63"/>
      <c r="Q227" s="63"/>
      <c r="R227" s="63"/>
      <c r="S227" s="63"/>
      <c r="T227" s="63"/>
      <c r="U227" s="94"/>
      <c r="V227" s="90"/>
      <c r="W227" s="91"/>
      <c r="X227" s="92"/>
    </row>
    <row r="228" spans="1:24">
      <c r="A228" s="614"/>
      <c r="B228" s="87">
        <f t="shared" ref="B228:B234" si="47">B227+1</f>
        <v>2</v>
      </c>
      <c r="C228" s="609"/>
      <c r="D228" s="10"/>
      <c r="E228" s="101"/>
      <c r="F228" s="62"/>
      <c r="G228" s="62"/>
      <c r="H228" s="62"/>
      <c r="I228" s="89">
        <f t="shared" si="46"/>
        <v>0</v>
      </c>
      <c r="J228" s="63"/>
      <c r="K228" s="63"/>
      <c r="L228" s="63"/>
      <c r="M228" s="63"/>
      <c r="N228" s="63"/>
      <c r="O228" s="63"/>
      <c r="P228" s="63"/>
      <c r="Q228" s="63"/>
      <c r="R228" s="63"/>
      <c r="S228" s="63"/>
      <c r="T228" s="63"/>
      <c r="U228" s="94"/>
      <c r="V228" s="90"/>
      <c r="W228" s="91"/>
      <c r="X228" s="92"/>
    </row>
    <row r="229" spans="1:24">
      <c r="A229" s="614"/>
      <c r="B229" s="87">
        <f t="shared" si="47"/>
        <v>3</v>
      </c>
      <c r="C229" s="609"/>
      <c r="D229" s="10"/>
      <c r="E229" s="101"/>
      <c r="F229" s="62"/>
      <c r="G229" s="62"/>
      <c r="H229" s="62"/>
      <c r="I229" s="89">
        <f t="shared" si="46"/>
        <v>0</v>
      </c>
      <c r="J229" s="63"/>
      <c r="K229" s="63"/>
      <c r="L229" s="63"/>
      <c r="M229" s="63"/>
      <c r="N229" s="63"/>
      <c r="O229" s="63"/>
      <c r="P229" s="63"/>
      <c r="Q229" s="63"/>
      <c r="R229" s="63"/>
      <c r="S229" s="63"/>
      <c r="T229" s="63"/>
      <c r="U229" s="94"/>
      <c r="V229" s="90"/>
      <c r="W229" s="91"/>
      <c r="X229" s="92"/>
    </row>
    <row r="230" spans="1:24">
      <c r="A230" s="614"/>
      <c r="B230" s="87">
        <f t="shared" si="47"/>
        <v>4</v>
      </c>
      <c r="C230" s="609"/>
      <c r="D230" s="10"/>
      <c r="E230" s="101"/>
      <c r="F230" s="62"/>
      <c r="G230" s="62"/>
      <c r="H230" s="62"/>
      <c r="I230" s="89">
        <f t="shared" si="46"/>
        <v>0</v>
      </c>
      <c r="J230" s="63"/>
      <c r="K230" s="63"/>
      <c r="L230" s="63"/>
      <c r="M230" s="63"/>
      <c r="N230" s="63"/>
      <c r="O230" s="63"/>
      <c r="P230" s="63"/>
      <c r="Q230" s="63"/>
      <c r="R230" s="63"/>
      <c r="S230" s="63"/>
      <c r="T230" s="63"/>
      <c r="U230" s="94"/>
      <c r="V230" s="90"/>
      <c r="W230" s="91"/>
      <c r="X230" s="92"/>
    </row>
    <row r="231" spans="1:24">
      <c r="A231" s="614"/>
      <c r="B231" s="87">
        <f t="shared" si="47"/>
        <v>5</v>
      </c>
      <c r="C231" s="609"/>
      <c r="D231" s="10"/>
      <c r="E231" s="101"/>
      <c r="F231" s="62"/>
      <c r="G231" s="62"/>
      <c r="H231" s="62"/>
      <c r="I231" s="89">
        <f t="shared" si="46"/>
        <v>0</v>
      </c>
      <c r="J231" s="63"/>
      <c r="K231" s="63"/>
      <c r="L231" s="63"/>
      <c r="M231" s="63"/>
      <c r="N231" s="63"/>
      <c r="O231" s="63"/>
      <c r="P231" s="63"/>
      <c r="Q231" s="63"/>
      <c r="R231" s="63"/>
      <c r="S231" s="63"/>
      <c r="T231" s="63"/>
      <c r="U231" s="94"/>
      <c r="V231" s="90"/>
      <c r="W231" s="91"/>
      <c r="X231" s="92"/>
    </row>
    <row r="232" spans="1:24">
      <c r="A232" s="614"/>
      <c r="B232" s="87">
        <f t="shared" si="47"/>
        <v>6</v>
      </c>
      <c r="C232" s="609"/>
      <c r="D232" s="10"/>
      <c r="E232" s="101"/>
      <c r="F232" s="62"/>
      <c r="G232" s="62"/>
      <c r="H232" s="62"/>
      <c r="I232" s="89">
        <f t="shared" si="46"/>
        <v>0</v>
      </c>
      <c r="J232" s="63"/>
      <c r="K232" s="63"/>
      <c r="L232" s="63"/>
      <c r="M232" s="63"/>
      <c r="N232" s="63"/>
      <c r="O232" s="63"/>
      <c r="P232" s="63"/>
      <c r="Q232" s="63"/>
      <c r="R232" s="63"/>
      <c r="S232" s="63"/>
      <c r="T232" s="63"/>
      <c r="U232" s="94"/>
      <c r="V232" s="90"/>
      <c r="W232" s="91"/>
      <c r="X232" s="92"/>
    </row>
    <row r="233" spans="1:24">
      <c r="A233" s="614"/>
      <c r="B233" s="87">
        <f t="shared" si="47"/>
        <v>7</v>
      </c>
      <c r="C233" s="609"/>
      <c r="D233" s="10"/>
      <c r="E233" s="101"/>
      <c r="F233" s="62"/>
      <c r="G233" s="62"/>
      <c r="H233" s="62"/>
      <c r="I233" s="89">
        <f t="shared" si="46"/>
        <v>0</v>
      </c>
      <c r="J233" s="63"/>
      <c r="K233" s="63"/>
      <c r="L233" s="63"/>
      <c r="M233" s="63"/>
      <c r="N233" s="63"/>
      <c r="O233" s="63"/>
      <c r="P233" s="63"/>
      <c r="Q233" s="63"/>
      <c r="R233" s="63"/>
      <c r="S233" s="63"/>
      <c r="T233" s="63"/>
      <c r="U233" s="94"/>
      <c r="V233" s="90"/>
      <c r="W233" s="91"/>
      <c r="X233" s="92"/>
    </row>
    <row r="234" spans="1:24">
      <c r="A234" s="614"/>
      <c r="B234" s="87">
        <f t="shared" si="47"/>
        <v>8</v>
      </c>
      <c r="C234" s="609"/>
      <c r="D234" s="10"/>
      <c r="E234" s="101"/>
      <c r="F234" s="62"/>
      <c r="G234" s="62"/>
      <c r="H234" s="62"/>
      <c r="I234" s="89">
        <f t="shared" si="46"/>
        <v>0</v>
      </c>
      <c r="J234" s="63"/>
      <c r="K234" s="63"/>
      <c r="L234" s="63"/>
      <c r="M234" s="63"/>
      <c r="N234" s="63"/>
      <c r="O234" s="63"/>
      <c r="P234" s="63"/>
      <c r="Q234" s="63"/>
      <c r="R234" s="63"/>
      <c r="S234" s="63"/>
      <c r="T234" s="63"/>
      <c r="U234" s="94"/>
      <c r="V234" s="90"/>
      <c r="W234" s="91"/>
      <c r="X234" s="92"/>
    </row>
    <row r="235" spans="1:24" s="128" customFormat="1">
      <c r="A235" s="615"/>
      <c r="B235" s="132"/>
      <c r="C235" s="611"/>
      <c r="D235" s="123"/>
      <c r="E235" s="123"/>
      <c r="F235" s="133">
        <f>SUM(F227:F234)</f>
        <v>0</v>
      </c>
      <c r="G235" s="133">
        <f>SUM(G227:G234)</f>
        <v>0</v>
      </c>
      <c r="H235" s="133">
        <f>SUM(H227:H234)</f>
        <v>0</v>
      </c>
      <c r="I235" s="134">
        <f>SUM(I227:I234)</f>
        <v>0</v>
      </c>
      <c r="J235" s="127"/>
      <c r="K235" s="64"/>
      <c r="L235" s="64"/>
      <c r="M235" s="64"/>
      <c r="N235" s="64"/>
      <c r="O235" s="64"/>
      <c r="P235" s="64"/>
      <c r="Q235" s="64"/>
      <c r="R235" s="64"/>
      <c r="S235" s="64"/>
      <c r="T235" s="127"/>
      <c r="U235" s="135"/>
      <c r="V235" s="129"/>
      <c r="W235" s="130"/>
      <c r="X235" s="131"/>
    </row>
    <row r="236" spans="1:24">
      <c r="A236" s="614"/>
      <c r="B236" s="11"/>
      <c r="C236" s="609"/>
      <c r="D236" s="10"/>
      <c r="E236" s="10"/>
      <c r="F236" s="88"/>
      <c r="G236" s="88"/>
      <c r="H236" s="88"/>
      <c r="I236" s="99"/>
      <c r="J236" s="63"/>
      <c r="K236" s="21"/>
      <c r="L236" s="21"/>
      <c r="M236" s="21"/>
      <c r="N236" s="21"/>
      <c r="O236" s="21"/>
      <c r="P236" s="21"/>
      <c r="Q236" s="21"/>
      <c r="R236" s="21"/>
      <c r="S236" s="21"/>
      <c r="T236" s="63"/>
      <c r="U236" s="94"/>
      <c r="V236" s="90"/>
      <c r="W236" s="91"/>
      <c r="X236" s="92"/>
    </row>
    <row r="237" spans="1:24" s="128" customFormat="1">
      <c r="A237" s="615"/>
      <c r="B237" s="121" t="s">
        <v>70</v>
      </c>
      <c r="C237" s="611"/>
      <c r="D237" s="123"/>
      <c r="F237" s="124"/>
      <c r="G237" s="124"/>
      <c r="H237" s="124"/>
      <c r="I237" s="126"/>
      <c r="J237" s="127"/>
      <c r="K237" s="64"/>
      <c r="L237" s="64"/>
      <c r="M237" s="64"/>
      <c r="N237" s="64"/>
      <c r="O237" s="64"/>
      <c r="P237" s="64"/>
      <c r="Q237" s="64"/>
      <c r="R237" s="64"/>
      <c r="S237" s="64"/>
      <c r="T237" s="127"/>
      <c r="U237" s="135"/>
      <c r="V237" s="129"/>
      <c r="W237" s="130"/>
      <c r="X237" s="131"/>
    </row>
    <row r="238" spans="1:24">
      <c r="A238" s="614"/>
      <c r="B238" s="87">
        <v>1</v>
      </c>
      <c r="C238" s="609"/>
      <c r="D238" s="10"/>
      <c r="E238" s="10"/>
      <c r="F238" s="62"/>
      <c r="G238" s="62"/>
      <c r="H238" s="62"/>
      <c r="I238" s="89">
        <f>F238-G238-H238</f>
        <v>0</v>
      </c>
      <c r="J238" s="63"/>
      <c r="K238" s="63"/>
      <c r="L238" s="63"/>
      <c r="M238" s="63"/>
      <c r="N238" s="63"/>
      <c r="O238" s="63"/>
      <c r="P238" s="63"/>
      <c r="Q238" s="63"/>
      <c r="R238" s="63"/>
      <c r="S238" s="63"/>
      <c r="T238" s="63"/>
      <c r="U238" s="94"/>
      <c r="V238" s="90"/>
      <c r="W238" s="136"/>
      <c r="X238" s="137"/>
    </row>
    <row r="239" spans="1:24">
      <c r="A239" s="614"/>
      <c r="B239" s="87">
        <f t="shared" ref="B239:B245" si="48">B238+1</f>
        <v>2</v>
      </c>
      <c r="C239" s="609"/>
      <c r="D239" s="10"/>
      <c r="E239" s="10"/>
      <c r="F239" s="62"/>
      <c r="G239" s="62"/>
      <c r="H239" s="62"/>
      <c r="I239" s="89">
        <f t="shared" ref="I239:I245" si="49">F239-G239-H239</f>
        <v>0</v>
      </c>
      <c r="J239" s="63"/>
      <c r="K239" s="63"/>
      <c r="L239" s="63"/>
      <c r="M239" s="63"/>
      <c r="N239" s="63"/>
      <c r="O239" s="63"/>
      <c r="P239" s="63"/>
      <c r="Q239" s="63"/>
      <c r="R239" s="63"/>
      <c r="S239" s="63"/>
      <c r="T239" s="63"/>
      <c r="U239" s="94"/>
      <c r="V239" s="90"/>
      <c r="W239" s="136"/>
      <c r="X239" s="137"/>
    </row>
    <row r="240" spans="1:24">
      <c r="A240" s="614"/>
      <c r="B240" s="87">
        <f t="shared" si="48"/>
        <v>3</v>
      </c>
      <c r="C240" s="609"/>
      <c r="D240" s="10"/>
      <c r="E240" s="10"/>
      <c r="F240" s="62"/>
      <c r="G240" s="62"/>
      <c r="H240" s="62"/>
      <c r="I240" s="89">
        <f>F240-G240-H240</f>
        <v>0</v>
      </c>
      <c r="J240" s="63"/>
      <c r="K240" s="63"/>
      <c r="L240" s="63"/>
      <c r="M240" s="63"/>
      <c r="N240" s="63"/>
      <c r="O240" s="63"/>
      <c r="P240" s="63"/>
      <c r="Q240" s="63"/>
      <c r="R240" s="63"/>
      <c r="S240" s="63"/>
      <c r="T240" s="63"/>
      <c r="U240" s="94"/>
      <c r="V240" s="90"/>
      <c r="W240" s="136"/>
      <c r="X240" s="137"/>
    </row>
    <row r="241" spans="1:24">
      <c r="A241" s="614"/>
      <c r="B241" s="87">
        <f t="shared" si="48"/>
        <v>4</v>
      </c>
      <c r="C241" s="609"/>
      <c r="D241" s="10"/>
      <c r="E241" s="10"/>
      <c r="F241" s="62"/>
      <c r="G241" s="62"/>
      <c r="H241" s="62"/>
      <c r="I241" s="89">
        <f>F241-G241-H241</f>
        <v>0</v>
      </c>
      <c r="J241" s="63"/>
      <c r="K241" s="63"/>
      <c r="L241" s="63"/>
      <c r="M241" s="63"/>
      <c r="N241" s="63"/>
      <c r="O241" s="63"/>
      <c r="P241" s="63"/>
      <c r="Q241" s="63"/>
      <c r="R241" s="63"/>
      <c r="S241" s="63"/>
      <c r="T241" s="63"/>
      <c r="U241" s="94"/>
      <c r="V241" s="90"/>
      <c r="W241" s="136"/>
      <c r="X241" s="137"/>
    </row>
    <row r="242" spans="1:24">
      <c r="A242" s="614"/>
      <c r="B242" s="87">
        <f t="shared" si="48"/>
        <v>5</v>
      </c>
      <c r="C242" s="609"/>
      <c r="D242" s="10"/>
      <c r="E242" s="10"/>
      <c r="F242" s="62"/>
      <c r="G242" s="62"/>
      <c r="H242" s="62"/>
      <c r="I242" s="89">
        <f>F242-G242-H242</f>
        <v>0</v>
      </c>
      <c r="J242" s="63"/>
      <c r="K242" s="63"/>
      <c r="L242" s="63"/>
      <c r="M242" s="63"/>
      <c r="N242" s="63"/>
      <c r="O242" s="63"/>
      <c r="P242" s="63"/>
      <c r="Q242" s="63"/>
      <c r="R242" s="63"/>
      <c r="S242" s="63"/>
      <c r="T242" s="63"/>
      <c r="U242" s="94"/>
      <c r="V242" s="90"/>
      <c r="W242" s="136"/>
      <c r="X242" s="137"/>
    </row>
    <row r="243" spans="1:24">
      <c r="A243" s="614"/>
      <c r="B243" s="87">
        <f t="shared" si="48"/>
        <v>6</v>
      </c>
      <c r="C243" s="609"/>
      <c r="D243" s="10"/>
      <c r="E243" s="10"/>
      <c r="F243" s="62"/>
      <c r="G243" s="62"/>
      <c r="H243" s="62"/>
      <c r="I243" s="89">
        <f>F243-G243-H243</f>
        <v>0</v>
      </c>
      <c r="J243" s="63"/>
      <c r="K243" s="63"/>
      <c r="L243" s="63"/>
      <c r="M243" s="63"/>
      <c r="N243" s="63"/>
      <c r="O243" s="63"/>
      <c r="P243" s="63"/>
      <c r="Q243" s="63"/>
      <c r="R243" s="63"/>
      <c r="S243" s="63"/>
      <c r="T243" s="63"/>
      <c r="U243" s="94"/>
      <c r="V243" s="90"/>
      <c r="W243" s="136"/>
      <c r="X243" s="137"/>
    </row>
    <row r="244" spans="1:24">
      <c r="A244" s="614"/>
      <c r="B244" s="87">
        <f t="shared" si="48"/>
        <v>7</v>
      </c>
      <c r="C244" s="609"/>
      <c r="D244" s="10"/>
      <c r="E244" s="10"/>
      <c r="F244" s="62"/>
      <c r="G244" s="62"/>
      <c r="H244" s="62"/>
      <c r="I244" s="89">
        <f t="shared" si="49"/>
        <v>0</v>
      </c>
      <c r="J244" s="63"/>
      <c r="K244" s="63"/>
      <c r="L244" s="63"/>
      <c r="M244" s="63"/>
      <c r="N244" s="63"/>
      <c r="O244" s="63"/>
      <c r="P244" s="63"/>
      <c r="Q244" s="63"/>
      <c r="R244" s="63"/>
      <c r="S244" s="63"/>
      <c r="T244" s="63"/>
      <c r="U244" s="94"/>
      <c r="V244" s="90"/>
      <c r="W244" s="136"/>
      <c r="X244" s="137"/>
    </row>
    <row r="245" spans="1:24">
      <c r="A245" s="614"/>
      <c r="B245" s="87">
        <f t="shared" si="48"/>
        <v>8</v>
      </c>
      <c r="C245" s="609"/>
      <c r="D245" s="10"/>
      <c r="E245" s="10"/>
      <c r="F245" s="62"/>
      <c r="G245" s="62"/>
      <c r="H245" s="62"/>
      <c r="I245" s="89">
        <f t="shared" si="49"/>
        <v>0</v>
      </c>
      <c r="J245" s="63"/>
      <c r="K245" s="63"/>
      <c r="L245" s="63"/>
      <c r="M245" s="63"/>
      <c r="N245" s="63"/>
      <c r="O245" s="63"/>
      <c r="P245" s="63"/>
      <c r="Q245" s="63"/>
      <c r="R245" s="63"/>
      <c r="S245" s="63"/>
      <c r="T245" s="63"/>
      <c r="U245" s="94"/>
      <c r="V245" s="90"/>
      <c r="W245" s="136"/>
      <c r="X245" s="137"/>
    </row>
    <row r="246" spans="1:24" s="128" customFormat="1">
      <c r="A246" s="615"/>
      <c r="B246" s="132"/>
      <c r="C246" s="611"/>
      <c r="D246" s="123"/>
      <c r="E246" s="123"/>
      <c r="F246" s="133">
        <f>SUM(F238:F245)</f>
        <v>0</v>
      </c>
      <c r="G246" s="133">
        <f t="shared" ref="G246:I246" si="50">SUM(G238:G245)</f>
        <v>0</v>
      </c>
      <c r="H246" s="133">
        <f t="shared" si="50"/>
        <v>0</v>
      </c>
      <c r="I246" s="134">
        <f t="shared" si="50"/>
        <v>0</v>
      </c>
      <c r="J246" s="127"/>
      <c r="K246" s="64"/>
      <c r="L246" s="64"/>
      <c r="M246" s="64"/>
      <c r="N246" s="64"/>
      <c r="O246" s="64"/>
      <c r="P246" s="64"/>
      <c r="Q246" s="64"/>
      <c r="R246" s="64"/>
      <c r="S246" s="64"/>
      <c r="T246" s="127"/>
      <c r="U246" s="135"/>
      <c r="V246" s="129"/>
      <c r="W246" s="130"/>
      <c r="X246" s="131"/>
    </row>
    <row r="247" spans="1:24">
      <c r="A247" s="614"/>
      <c r="B247" s="11"/>
      <c r="C247" s="609"/>
      <c r="D247" s="10"/>
      <c r="E247" s="10"/>
      <c r="F247" s="88"/>
      <c r="G247" s="88"/>
      <c r="H247" s="88"/>
      <c r="I247" s="99"/>
      <c r="J247" s="10"/>
      <c r="K247" s="63"/>
      <c r="L247" s="63"/>
      <c r="M247" s="63"/>
      <c r="N247" s="63"/>
      <c r="O247" s="63"/>
      <c r="P247" s="63"/>
      <c r="Q247" s="63"/>
      <c r="R247" s="63"/>
      <c r="S247" s="63"/>
      <c r="T247" s="63"/>
      <c r="U247" s="94"/>
      <c r="V247" s="90"/>
      <c r="W247" s="91"/>
      <c r="X247" s="92"/>
    </row>
    <row r="248" spans="1:24" s="128" customFormat="1">
      <c r="A248" s="615"/>
      <c r="B248" s="121" t="s">
        <v>71</v>
      </c>
      <c r="C248" s="611"/>
      <c r="D248" s="123"/>
      <c r="F248" s="124"/>
      <c r="G248" s="124"/>
      <c r="H248" s="124"/>
      <c r="I248" s="126"/>
      <c r="J248" s="127"/>
      <c r="K248" s="64"/>
      <c r="L248" s="64"/>
      <c r="M248" s="64"/>
      <c r="N248" s="64"/>
      <c r="O248" s="64"/>
      <c r="P248" s="64"/>
      <c r="Q248" s="64"/>
      <c r="R248" s="64"/>
      <c r="S248" s="64"/>
      <c r="T248" s="127"/>
      <c r="U248" s="135"/>
      <c r="V248" s="129"/>
      <c r="W248" s="130"/>
      <c r="X248" s="131"/>
    </row>
    <row r="249" spans="1:24">
      <c r="A249" s="614"/>
      <c r="B249" s="87">
        <v>1</v>
      </c>
      <c r="C249" s="609"/>
      <c r="D249" s="10"/>
      <c r="E249" s="10"/>
      <c r="F249" s="62"/>
      <c r="G249" s="62"/>
      <c r="H249" s="62"/>
      <c r="I249" s="89">
        <f t="shared" ref="I249:I256" si="51">F249-G249-H249</f>
        <v>0</v>
      </c>
      <c r="J249" s="63"/>
      <c r="K249" s="63"/>
      <c r="L249" s="63"/>
      <c r="M249" s="63"/>
      <c r="N249" s="63"/>
      <c r="O249" s="63"/>
      <c r="P249" s="63"/>
      <c r="Q249" s="63"/>
      <c r="R249" s="63"/>
      <c r="S249" s="63"/>
      <c r="T249" s="63"/>
      <c r="U249" s="94"/>
      <c r="V249" s="90"/>
      <c r="W249" s="136"/>
      <c r="X249" s="137"/>
    </row>
    <row r="250" spans="1:24">
      <c r="A250" s="614"/>
      <c r="B250" s="87">
        <f t="shared" ref="B250:B256" si="52">B249+1</f>
        <v>2</v>
      </c>
      <c r="C250" s="609"/>
      <c r="D250" s="10"/>
      <c r="E250" s="10"/>
      <c r="F250" s="62"/>
      <c r="G250" s="62"/>
      <c r="H250" s="62"/>
      <c r="I250" s="89">
        <f t="shared" si="51"/>
        <v>0</v>
      </c>
      <c r="J250" s="63"/>
      <c r="K250" s="63"/>
      <c r="L250" s="63"/>
      <c r="M250" s="63"/>
      <c r="N250" s="63"/>
      <c r="O250" s="63"/>
      <c r="P250" s="63"/>
      <c r="Q250" s="63"/>
      <c r="R250" s="63"/>
      <c r="S250" s="63"/>
      <c r="T250" s="63"/>
      <c r="U250" s="94"/>
      <c r="V250" s="90"/>
      <c r="W250" s="136"/>
      <c r="X250" s="137"/>
    </row>
    <row r="251" spans="1:24">
      <c r="A251" s="614"/>
      <c r="B251" s="87">
        <f t="shared" si="52"/>
        <v>3</v>
      </c>
      <c r="C251" s="609"/>
      <c r="D251" s="10"/>
      <c r="E251" s="10"/>
      <c r="F251" s="62"/>
      <c r="G251" s="62"/>
      <c r="H251" s="62"/>
      <c r="I251" s="89">
        <f t="shared" si="51"/>
        <v>0</v>
      </c>
      <c r="J251" s="63"/>
      <c r="K251" s="63"/>
      <c r="L251" s="63"/>
      <c r="M251" s="63"/>
      <c r="N251" s="63"/>
      <c r="O251" s="63"/>
      <c r="P251" s="63"/>
      <c r="Q251" s="63"/>
      <c r="R251" s="63"/>
      <c r="S251" s="63"/>
      <c r="T251" s="63"/>
      <c r="U251" s="94"/>
      <c r="V251" s="90"/>
      <c r="W251" s="136"/>
      <c r="X251" s="137"/>
    </row>
    <row r="252" spans="1:24">
      <c r="A252" s="614"/>
      <c r="B252" s="87">
        <f t="shared" si="52"/>
        <v>4</v>
      </c>
      <c r="C252" s="609"/>
      <c r="D252" s="10"/>
      <c r="E252" s="10"/>
      <c r="F252" s="62"/>
      <c r="G252" s="62"/>
      <c r="H252" s="62"/>
      <c r="I252" s="89">
        <f t="shared" si="51"/>
        <v>0</v>
      </c>
      <c r="J252" s="63"/>
      <c r="K252" s="63"/>
      <c r="L252" s="63"/>
      <c r="M252" s="63"/>
      <c r="N252" s="63"/>
      <c r="O252" s="63"/>
      <c r="P252" s="63"/>
      <c r="Q252" s="63"/>
      <c r="R252" s="63"/>
      <c r="S252" s="63"/>
      <c r="T252" s="63"/>
      <c r="U252" s="94"/>
      <c r="V252" s="90"/>
      <c r="W252" s="136"/>
      <c r="X252" s="137"/>
    </row>
    <row r="253" spans="1:24">
      <c r="A253" s="614"/>
      <c r="B253" s="87">
        <f t="shared" si="52"/>
        <v>5</v>
      </c>
      <c r="C253" s="609"/>
      <c r="D253" s="10"/>
      <c r="E253" s="10"/>
      <c r="F253" s="62"/>
      <c r="G253" s="62"/>
      <c r="H253" s="62"/>
      <c r="I253" s="89">
        <f t="shared" si="51"/>
        <v>0</v>
      </c>
      <c r="J253" s="63"/>
      <c r="K253" s="63"/>
      <c r="L253" s="63"/>
      <c r="M253" s="63"/>
      <c r="N253" s="63"/>
      <c r="O253" s="63"/>
      <c r="P253" s="63"/>
      <c r="Q253" s="63"/>
      <c r="R253" s="63"/>
      <c r="S253" s="63"/>
      <c r="T253" s="63"/>
      <c r="U253" s="94"/>
      <c r="V253" s="90"/>
      <c r="W253" s="136"/>
      <c r="X253" s="137"/>
    </row>
    <row r="254" spans="1:24">
      <c r="A254" s="614"/>
      <c r="B254" s="87">
        <f t="shared" si="52"/>
        <v>6</v>
      </c>
      <c r="C254" s="609"/>
      <c r="D254" s="10"/>
      <c r="E254" s="10"/>
      <c r="F254" s="62"/>
      <c r="G254" s="62"/>
      <c r="H254" s="62"/>
      <c r="I254" s="89">
        <f t="shared" si="51"/>
        <v>0</v>
      </c>
      <c r="J254" s="63"/>
      <c r="K254" s="63"/>
      <c r="L254" s="63"/>
      <c r="M254" s="63"/>
      <c r="N254" s="63"/>
      <c r="O254" s="63"/>
      <c r="P254" s="63"/>
      <c r="Q254" s="63"/>
      <c r="R254" s="63"/>
      <c r="S254" s="63"/>
      <c r="T254" s="63"/>
      <c r="U254" s="94"/>
      <c r="V254" s="90"/>
      <c r="W254" s="136"/>
      <c r="X254" s="137"/>
    </row>
    <row r="255" spans="1:24">
      <c r="A255" s="614"/>
      <c r="B255" s="87">
        <f t="shared" si="52"/>
        <v>7</v>
      </c>
      <c r="C255" s="609"/>
      <c r="D255" s="10"/>
      <c r="E255" s="10"/>
      <c r="F255" s="62"/>
      <c r="G255" s="62"/>
      <c r="H255" s="62"/>
      <c r="I255" s="89">
        <f t="shared" si="51"/>
        <v>0</v>
      </c>
      <c r="J255" s="63"/>
      <c r="K255" s="63"/>
      <c r="L255" s="63"/>
      <c r="M255" s="63"/>
      <c r="N255" s="63"/>
      <c r="O255" s="63"/>
      <c r="P255" s="63"/>
      <c r="Q255" s="63"/>
      <c r="R255" s="63"/>
      <c r="S255" s="63"/>
      <c r="T255" s="63"/>
      <c r="U255" s="94"/>
      <c r="V255" s="90"/>
      <c r="W255" s="136"/>
      <c r="X255" s="137"/>
    </row>
    <row r="256" spans="1:24">
      <c r="A256" s="614"/>
      <c r="B256" s="87">
        <f t="shared" si="52"/>
        <v>8</v>
      </c>
      <c r="C256" s="609"/>
      <c r="D256" s="10"/>
      <c r="E256" s="10"/>
      <c r="F256" s="62"/>
      <c r="G256" s="62"/>
      <c r="H256" s="62"/>
      <c r="I256" s="89">
        <f t="shared" si="51"/>
        <v>0</v>
      </c>
      <c r="J256" s="63"/>
      <c r="K256" s="63"/>
      <c r="L256" s="63"/>
      <c r="M256" s="63"/>
      <c r="N256" s="63"/>
      <c r="O256" s="63"/>
      <c r="P256" s="63"/>
      <c r="Q256" s="63"/>
      <c r="R256" s="63"/>
      <c r="S256" s="63"/>
      <c r="T256" s="63"/>
      <c r="U256" s="94"/>
      <c r="V256" s="90"/>
      <c r="W256" s="136"/>
      <c r="X256" s="137"/>
    </row>
    <row r="257" spans="1:24" s="128" customFormat="1">
      <c r="A257" s="615"/>
      <c r="B257" s="132"/>
      <c r="C257" s="611"/>
      <c r="D257" s="123"/>
      <c r="E257" s="123"/>
      <c r="F257" s="133">
        <f>SUM(F249:F256)</f>
        <v>0</v>
      </c>
      <c r="G257" s="133">
        <f>SUM(G249:G256)</f>
        <v>0</v>
      </c>
      <c r="H257" s="133">
        <f>SUM(H249:H256)</f>
        <v>0</v>
      </c>
      <c r="I257" s="134">
        <f>SUM(I249:I256)</f>
        <v>0</v>
      </c>
      <c r="J257" s="127"/>
      <c r="K257" s="64"/>
      <c r="L257" s="64"/>
      <c r="M257" s="64"/>
      <c r="N257" s="64"/>
      <c r="O257" s="64"/>
      <c r="P257" s="64"/>
      <c r="Q257" s="64"/>
      <c r="R257" s="64"/>
      <c r="S257" s="64"/>
      <c r="T257" s="127"/>
      <c r="U257" s="135"/>
      <c r="V257" s="129"/>
      <c r="W257" s="130"/>
      <c r="X257" s="131"/>
    </row>
    <row r="258" spans="1:24">
      <c r="A258" s="614"/>
      <c r="B258" s="11"/>
      <c r="C258" s="609"/>
      <c r="D258" s="10"/>
      <c r="E258" s="10"/>
      <c r="F258" s="88"/>
      <c r="G258" s="88"/>
      <c r="H258" s="88"/>
      <c r="I258" s="99"/>
      <c r="J258" s="63"/>
      <c r="K258" s="21"/>
      <c r="L258" s="21"/>
      <c r="M258" s="21"/>
      <c r="N258" s="21"/>
      <c r="O258" s="21"/>
      <c r="P258" s="21"/>
      <c r="Q258" s="21"/>
      <c r="R258" s="21"/>
      <c r="S258" s="21"/>
      <c r="T258" s="63"/>
      <c r="U258" s="94"/>
      <c r="V258" s="90"/>
      <c r="W258" s="91"/>
      <c r="X258" s="92"/>
    </row>
    <row r="259" spans="1:24">
      <c r="A259" s="614"/>
      <c r="B259" s="100" t="s">
        <v>72</v>
      </c>
      <c r="C259" s="609"/>
      <c r="D259" s="10"/>
      <c r="E259" s="10"/>
      <c r="F259" s="88"/>
      <c r="G259" s="88"/>
      <c r="H259" s="88"/>
      <c r="I259" s="99"/>
      <c r="J259" s="63"/>
      <c r="K259" s="63"/>
      <c r="L259" s="63"/>
      <c r="M259" s="63"/>
      <c r="N259" s="63"/>
      <c r="O259" s="63"/>
      <c r="P259" s="63"/>
      <c r="Q259" s="63"/>
      <c r="R259" s="63"/>
      <c r="S259" s="63"/>
      <c r="T259" s="63"/>
      <c r="U259" s="94"/>
      <c r="V259" s="90"/>
      <c r="W259" s="91"/>
      <c r="X259" s="92"/>
    </row>
    <row r="260" spans="1:24">
      <c r="A260" s="614"/>
      <c r="B260" s="87">
        <v>1</v>
      </c>
      <c r="C260" s="609"/>
      <c r="D260" s="10"/>
      <c r="E260" s="10"/>
      <c r="F260" s="62"/>
      <c r="G260" s="62"/>
      <c r="H260" s="62"/>
      <c r="I260" s="89">
        <f>F260-G260-H260</f>
        <v>0</v>
      </c>
      <c r="J260" s="63"/>
      <c r="K260" s="63"/>
      <c r="L260" s="63"/>
      <c r="M260" s="63"/>
      <c r="N260" s="63"/>
      <c r="O260" s="63"/>
      <c r="P260" s="63"/>
      <c r="Q260" s="63"/>
      <c r="R260" s="63"/>
      <c r="S260" s="63"/>
      <c r="T260" s="63"/>
      <c r="U260" s="164"/>
      <c r="V260" s="90"/>
      <c r="W260" s="91"/>
      <c r="X260" s="92"/>
    </row>
    <row r="261" spans="1:24">
      <c r="A261" s="614"/>
      <c r="B261" s="87">
        <f>B260+1</f>
        <v>2</v>
      </c>
      <c r="C261" s="609"/>
      <c r="D261" s="10"/>
      <c r="E261" s="10"/>
      <c r="F261" s="62"/>
      <c r="G261" s="62"/>
      <c r="H261" s="62"/>
      <c r="I261" s="89">
        <f t="shared" ref="I261:I277" si="53">F261-G261-H261</f>
        <v>0</v>
      </c>
      <c r="J261" s="63"/>
      <c r="K261" s="63"/>
      <c r="L261" s="63"/>
      <c r="M261" s="63"/>
      <c r="N261" s="63"/>
      <c r="O261" s="63"/>
      <c r="P261" s="63"/>
      <c r="Q261" s="63"/>
      <c r="R261" s="63"/>
      <c r="S261" s="63"/>
      <c r="T261" s="63"/>
      <c r="U261" s="94"/>
      <c r="V261" s="90"/>
      <c r="W261" s="136"/>
      <c r="X261" s="137"/>
    </row>
    <row r="262" spans="1:24">
      <c r="A262" s="614"/>
      <c r="B262" s="87">
        <f t="shared" ref="B262:B277" si="54">B261+1</f>
        <v>3</v>
      </c>
      <c r="C262" s="609"/>
      <c r="D262" s="10"/>
      <c r="E262" s="10"/>
      <c r="F262" s="62"/>
      <c r="G262" s="62"/>
      <c r="H262" s="62"/>
      <c r="I262" s="89">
        <f t="shared" si="53"/>
        <v>0</v>
      </c>
      <c r="J262" s="63"/>
      <c r="K262" s="63"/>
      <c r="L262" s="63"/>
      <c r="M262" s="63"/>
      <c r="N262" s="63"/>
      <c r="O262" s="63"/>
      <c r="P262" s="63"/>
      <c r="Q262" s="63"/>
      <c r="R262" s="63"/>
      <c r="S262" s="63"/>
      <c r="T262" s="63"/>
      <c r="U262" s="94"/>
      <c r="V262" s="90"/>
      <c r="W262" s="136"/>
      <c r="X262" s="137"/>
    </row>
    <row r="263" spans="1:24">
      <c r="A263" s="614"/>
      <c r="B263" s="87">
        <f t="shared" si="54"/>
        <v>4</v>
      </c>
      <c r="C263" s="609"/>
      <c r="D263" s="10"/>
      <c r="E263" s="10"/>
      <c r="F263" s="62"/>
      <c r="G263" s="62"/>
      <c r="H263" s="62"/>
      <c r="I263" s="89">
        <f t="shared" si="53"/>
        <v>0</v>
      </c>
      <c r="J263" s="63"/>
      <c r="K263" s="63"/>
      <c r="L263" s="63"/>
      <c r="M263" s="63"/>
      <c r="N263" s="63"/>
      <c r="O263" s="63"/>
      <c r="P263" s="63"/>
      <c r="Q263" s="63"/>
      <c r="R263" s="63"/>
      <c r="S263" s="63"/>
      <c r="T263" s="63"/>
      <c r="U263" s="94"/>
      <c r="V263" s="90"/>
      <c r="W263" s="136"/>
      <c r="X263" s="137"/>
    </row>
    <row r="264" spans="1:24">
      <c r="A264" s="614"/>
      <c r="B264" s="87">
        <f t="shared" si="54"/>
        <v>5</v>
      </c>
      <c r="C264" s="609"/>
      <c r="D264" s="10"/>
      <c r="E264" s="10"/>
      <c r="F264" s="62"/>
      <c r="G264" s="62"/>
      <c r="H264" s="62"/>
      <c r="I264" s="89">
        <f t="shared" si="53"/>
        <v>0</v>
      </c>
      <c r="J264" s="63"/>
      <c r="K264" s="63"/>
      <c r="L264" s="63"/>
      <c r="M264" s="63"/>
      <c r="N264" s="63"/>
      <c r="O264" s="63"/>
      <c r="P264" s="63"/>
      <c r="Q264" s="63"/>
      <c r="R264" s="63"/>
      <c r="S264" s="63"/>
      <c r="T264" s="63"/>
      <c r="U264" s="94"/>
      <c r="V264" s="90"/>
      <c r="W264" s="136"/>
      <c r="X264" s="137"/>
    </row>
    <row r="265" spans="1:24">
      <c r="A265" s="614"/>
      <c r="B265" s="87">
        <f t="shared" si="54"/>
        <v>6</v>
      </c>
      <c r="C265" s="609"/>
      <c r="D265" s="10"/>
      <c r="E265" s="101"/>
      <c r="F265" s="62"/>
      <c r="G265" s="62"/>
      <c r="H265" s="62"/>
      <c r="I265" s="89">
        <f t="shared" si="53"/>
        <v>0</v>
      </c>
      <c r="J265" s="63"/>
      <c r="K265" s="63"/>
      <c r="L265" s="63"/>
      <c r="M265" s="63"/>
      <c r="N265" s="63"/>
      <c r="O265" s="63"/>
      <c r="P265" s="63"/>
      <c r="Q265" s="63"/>
      <c r="R265" s="63"/>
      <c r="S265" s="63"/>
      <c r="T265" s="63"/>
      <c r="U265" s="94"/>
      <c r="V265" s="90"/>
      <c r="W265" s="136"/>
      <c r="X265" s="137"/>
    </row>
    <row r="266" spans="1:24">
      <c r="A266" s="614"/>
      <c r="B266" s="87">
        <f t="shared" si="54"/>
        <v>7</v>
      </c>
      <c r="C266" s="609"/>
      <c r="D266" s="10"/>
      <c r="E266" s="101"/>
      <c r="F266" s="62"/>
      <c r="G266" s="62"/>
      <c r="H266" s="62"/>
      <c r="I266" s="89">
        <f t="shared" si="53"/>
        <v>0</v>
      </c>
      <c r="J266" s="63"/>
      <c r="K266" s="63"/>
      <c r="L266" s="63"/>
      <c r="M266" s="63"/>
      <c r="N266" s="63"/>
      <c r="O266" s="63"/>
      <c r="P266" s="63"/>
      <c r="Q266" s="63"/>
      <c r="R266" s="63"/>
      <c r="S266" s="63"/>
      <c r="T266" s="63"/>
      <c r="U266" s="94"/>
      <c r="V266" s="90"/>
      <c r="W266" s="136"/>
      <c r="X266" s="137"/>
    </row>
    <row r="267" spans="1:24">
      <c r="A267" s="614"/>
      <c r="B267" s="87">
        <f t="shared" si="54"/>
        <v>8</v>
      </c>
      <c r="C267" s="609"/>
      <c r="D267" s="10"/>
      <c r="E267" s="101"/>
      <c r="F267" s="62"/>
      <c r="G267" s="62"/>
      <c r="H267" s="62"/>
      <c r="I267" s="89">
        <f t="shared" si="53"/>
        <v>0</v>
      </c>
      <c r="J267" s="63"/>
      <c r="K267" s="63"/>
      <c r="L267" s="63"/>
      <c r="M267" s="63"/>
      <c r="N267" s="63"/>
      <c r="O267" s="63"/>
      <c r="P267" s="63"/>
      <c r="Q267" s="63"/>
      <c r="R267" s="63"/>
      <c r="S267" s="63"/>
      <c r="T267" s="63"/>
      <c r="U267" s="94"/>
      <c r="V267" s="90"/>
      <c r="W267" s="136"/>
      <c r="X267" s="137"/>
    </row>
    <row r="268" spans="1:24">
      <c r="A268" s="614"/>
      <c r="B268" s="87">
        <f t="shared" si="54"/>
        <v>9</v>
      </c>
      <c r="C268" s="609"/>
      <c r="D268" s="10"/>
      <c r="E268" s="101"/>
      <c r="F268" s="62"/>
      <c r="G268" s="62"/>
      <c r="H268" s="62"/>
      <c r="I268" s="89">
        <f t="shared" si="53"/>
        <v>0</v>
      </c>
      <c r="J268" s="63"/>
      <c r="K268" s="63"/>
      <c r="L268" s="63"/>
      <c r="M268" s="63"/>
      <c r="N268" s="63"/>
      <c r="O268" s="63"/>
      <c r="P268" s="63"/>
      <c r="Q268" s="63"/>
      <c r="R268" s="63"/>
      <c r="S268" s="63"/>
      <c r="T268" s="63"/>
      <c r="U268" s="94"/>
      <c r="V268" s="90"/>
      <c r="W268" s="136"/>
      <c r="X268" s="137"/>
    </row>
    <row r="269" spans="1:24">
      <c r="A269" s="614"/>
      <c r="B269" s="87">
        <f t="shared" si="54"/>
        <v>10</v>
      </c>
      <c r="C269" s="609"/>
      <c r="D269" s="10"/>
      <c r="E269" s="101"/>
      <c r="F269" s="62"/>
      <c r="G269" s="62"/>
      <c r="H269" s="62"/>
      <c r="I269" s="89">
        <f t="shared" si="53"/>
        <v>0</v>
      </c>
      <c r="J269" s="63"/>
      <c r="K269" s="63"/>
      <c r="L269" s="63"/>
      <c r="M269" s="63"/>
      <c r="N269" s="63"/>
      <c r="O269" s="63"/>
      <c r="P269" s="63"/>
      <c r="Q269" s="63"/>
      <c r="R269" s="63"/>
      <c r="S269" s="63"/>
      <c r="T269" s="63"/>
      <c r="U269" s="94"/>
      <c r="V269" s="90"/>
      <c r="W269" s="136"/>
      <c r="X269" s="137"/>
    </row>
    <row r="270" spans="1:24">
      <c r="A270" s="614"/>
      <c r="B270" s="87">
        <f t="shared" si="54"/>
        <v>11</v>
      </c>
      <c r="C270" s="609"/>
      <c r="D270" s="10"/>
      <c r="E270" s="101"/>
      <c r="F270" s="62"/>
      <c r="G270" s="62"/>
      <c r="H270" s="62"/>
      <c r="I270" s="89">
        <f t="shared" si="53"/>
        <v>0</v>
      </c>
      <c r="J270" s="63"/>
      <c r="K270" s="63"/>
      <c r="L270" s="63"/>
      <c r="M270" s="63"/>
      <c r="N270" s="63"/>
      <c r="O270" s="63"/>
      <c r="P270" s="63"/>
      <c r="Q270" s="63"/>
      <c r="R270" s="63"/>
      <c r="S270" s="63"/>
      <c r="T270" s="63"/>
      <c r="U270" s="94"/>
      <c r="V270" s="90"/>
      <c r="W270" s="136"/>
      <c r="X270" s="137"/>
    </row>
    <row r="271" spans="1:24">
      <c r="A271" s="614"/>
      <c r="B271" s="87">
        <f t="shared" si="54"/>
        <v>12</v>
      </c>
      <c r="C271" s="609"/>
      <c r="D271" s="10"/>
      <c r="E271" s="101"/>
      <c r="F271" s="62"/>
      <c r="G271" s="62"/>
      <c r="H271" s="62"/>
      <c r="I271" s="89">
        <f t="shared" si="53"/>
        <v>0</v>
      </c>
      <c r="J271" s="63"/>
      <c r="K271" s="63"/>
      <c r="L271" s="63"/>
      <c r="M271" s="63"/>
      <c r="N271" s="63"/>
      <c r="O271" s="63"/>
      <c r="P271" s="63"/>
      <c r="Q271" s="63"/>
      <c r="R271" s="63"/>
      <c r="S271" s="63"/>
      <c r="T271" s="63"/>
      <c r="U271" s="94"/>
      <c r="V271" s="90"/>
      <c r="W271" s="136"/>
      <c r="X271" s="137"/>
    </row>
    <row r="272" spans="1:24">
      <c r="A272" s="614"/>
      <c r="B272" s="87">
        <f t="shared" si="54"/>
        <v>13</v>
      </c>
      <c r="C272" s="609"/>
      <c r="D272" s="10"/>
      <c r="E272" s="101"/>
      <c r="F272" s="62"/>
      <c r="G272" s="62"/>
      <c r="H272" s="62"/>
      <c r="I272" s="89">
        <f t="shared" si="53"/>
        <v>0</v>
      </c>
      <c r="J272" s="63"/>
      <c r="K272" s="63"/>
      <c r="L272" s="63"/>
      <c r="M272" s="63"/>
      <c r="N272" s="63"/>
      <c r="O272" s="63"/>
      <c r="P272" s="63"/>
      <c r="Q272" s="63"/>
      <c r="R272" s="63"/>
      <c r="S272" s="63"/>
      <c r="T272" s="63"/>
      <c r="U272" s="94"/>
      <c r="V272" s="90"/>
      <c r="W272" s="136"/>
      <c r="X272" s="137"/>
    </row>
    <row r="273" spans="1:24">
      <c r="A273" s="614"/>
      <c r="B273" s="87">
        <f t="shared" si="54"/>
        <v>14</v>
      </c>
      <c r="C273" s="609"/>
      <c r="D273" s="10"/>
      <c r="E273" s="10"/>
      <c r="F273" s="62"/>
      <c r="G273" s="62"/>
      <c r="H273" s="62"/>
      <c r="I273" s="89">
        <f t="shared" si="53"/>
        <v>0</v>
      </c>
      <c r="J273" s="63"/>
      <c r="K273" s="63"/>
      <c r="L273" s="63"/>
      <c r="M273" s="63"/>
      <c r="N273" s="63"/>
      <c r="O273" s="63"/>
      <c r="P273" s="63"/>
      <c r="Q273" s="63"/>
      <c r="R273" s="63"/>
      <c r="S273" s="63"/>
      <c r="T273" s="63"/>
      <c r="U273" s="94"/>
      <c r="V273" s="90"/>
      <c r="W273" s="136"/>
      <c r="X273" s="137"/>
    </row>
    <row r="274" spans="1:24">
      <c r="A274" s="614"/>
      <c r="B274" s="87">
        <f t="shared" si="54"/>
        <v>15</v>
      </c>
      <c r="C274" s="609"/>
      <c r="D274" s="10"/>
      <c r="E274" s="10"/>
      <c r="F274" s="62"/>
      <c r="G274" s="62"/>
      <c r="H274" s="62"/>
      <c r="I274" s="89">
        <f t="shared" si="53"/>
        <v>0</v>
      </c>
      <c r="J274" s="63"/>
      <c r="K274" s="63"/>
      <c r="L274" s="63"/>
      <c r="M274" s="63"/>
      <c r="N274" s="63"/>
      <c r="O274" s="63"/>
      <c r="P274" s="63"/>
      <c r="Q274" s="63"/>
      <c r="R274" s="63"/>
      <c r="S274" s="63"/>
      <c r="T274" s="63"/>
      <c r="U274" s="94"/>
      <c r="V274" s="90"/>
      <c r="W274" s="136"/>
      <c r="X274" s="137"/>
    </row>
    <row r="275" spans="1:24">
      <c r="A275" s="614"/>
      <c r="B275" s="87">
        <f t="shared" si="54"/>
        <v>16</v>
      </c>
      <c r="C275" s="609"/>
      <c r="D275" s="10"/>
      <c r="E275" s="10"/>
      <c r="F275" s="62"/>
      <c r="G275" s="62"/>
      <c r="H275" s="62"/>
      <c r="I275" s="89">
        <f t="shared" si="53"/>
        <v>0</v>
      </c>
      <c r="J275" s="63"/>
      <c r="K275" s="63"/>
      <c r="L275" s="63"/>
      <c r="M275" s="63"/>
      <c r="N275" s="63"/>
      <c r="O275" s="63"/>
      <c r="P275" s="63"/>
      <c r="Q275" s="63"/>
      <c r="R275" s="63"/>
      <c r="S275" s="63"/>
      <c r="T275" s="63"/>
      <c r="U275" s="94"/>
      <c r="V275" s="90"/>
      <c r="W275" s="136"/>
      <c r="X275" s="137"/>
    </row>
    <row r="276" spans="1:24">
      <c r="A276" s="614"/>
      <c r="B276" s="87">
        <f t="shared" si="54"/>
        <v>17</v>
      </c>
      <c r="C276" s="609"/>
      <c r="D276" s="10"/>
      <c r="E276" s="10"/>
      <c r="F276" s="62"/>
      <c r="G276" s="62"/>
      <c r="H276" s="62"/>
      <c r="I276" s="89">
        <f t="shared" si="53"/>
        <v>0</v>
      </c>
      <c r="J276" s="63"/>
      <c r="K276" s="63"/>
      <c r="L276" s="63"/>
      <c r="M276" s="63"/>
      <c r="N276" s="63"/>
      <c r="O276" s="63"/>
      <c r="P276" s="63"/>
      <c r="Q276" s="63"/>
      <c r="R276" s="63"/>
      <c r="S276" s="63"/>
      <c r="T276" s="63"/>
      <c r="U276" s="94"/>
      <c r="V276" s="90"/>
      <c r="W276" s="136"/>
      <c r="X276" s="137"/>
    </row>
    <row r="277" spans="1:24">
      <c r="A277" s="614"/>
      <c r="B277" s="87">
        <f t="shared" si="54"/>
        <v>18</v>
      </c>
      <c r="C277" s="609"/>
      <c r="D277" s="10"/>
      <c r="E277" s="10"/>
      <c r="F277" s="62"/>
      <c r="G277" s="62"/>
      <c r="H277" s="62"/>
      <c r="I277" s="89">
        <f t="shared" si="53"/>
        <v>0</v>
      </c>
      <c r="J277" s="63"/>
      <c r="K277" s="63"/>
      <c r="L277" s="63"/>
      <c r="M277" s="63"/>
      <c r="N277" s="63"/>
      <c r="O277" s="63"/>
      <c r="P277" s="63"/>
      <c r="Q277" s="63"/>
      <c r="R277" s="63"/>
      <c r="S277" s="63"/>
      <c r="T277" s="63"/>
      <c r="U277" s="94"/>
      <c r="V277" s="90"/>
      <c r="W277" s="136"/>
      <c r="X277" s="137"/>
    </row>
    <row r="278" spans="1:24">
      <c r="A278" s="614"/>
      <c r="B278" s="11"/>
      <c r="C278" s="609"/>
      <c r="D278" s="10"/>
      <c r="E278" s="10"/>
      <c r="F278" s="97">
        <f>SUM(F260:F277)</f>
        <v>0</v>
      </c>
      <c r="G278" s="97">
        <f t="shared" ref="G278:I278" si="55">SUM(G260:G277)</f>
        <v>0</v>
      </c>
      <c r="H278" s="97">
        <f t="shared" si="55"/>
        <v>0</v>
      </c>
      <c r="I278" s="98">
        <f t="shared" si="55"/>
        <v>0</v>
      </c>
      <c r="J278" s="10"/>
      <c r="K278" s="10"/>
      <c r="L278" s="10"/>
      <c r="M278" s="10"/>
      <c r="N278" s="10"/>
      <c r="O278" s="10"/>
      <c r="P278" s="10"/>
      <c r="Q278" s="10"/>
      <c r="R278" s="10"/>
      <c r="S278" s="10"/>
      <c r="T278" s="63"/>
      <c r="U278" s="94"/>
      <c r="V278" s="90"/>
      <c r="W278" s="91"/>
      <c r="X278" s="92"/>
    </row>
    <row r="279" spans="1:24">
      <c r="A279" s="614"/>
      <c r="B279" s="11"/>
      <c r="C279" s="609"/>
      <c r="D279" s="10"/>
      <c r="E279" s="10"/>
      <c r="F279" s="88"/>
      <c r="G279" s="88"/>
      <c r="H279" s="88"/>
      <c r="I279" s="99"/>
      <c r="J279" s="10"/>
      <c r="K279" s="10"/>
      <c r="L279" s="10"/>
      <c r="M279" s="10"/>
      <c r="N279" s="10"/>
      <c r="O279" s="10"/>
      <c r="P279" s="10"/>
      <c r="Q279" s="10"/>
      <c r="R279" s="10"/>
      <c r="S279" s="10"/>
      <c r="T279" s="63"/>
      <c r="U279" s="94"/>
      <c r="V279" s="165"/>
      <c r="W279" s="166"/>
      <c r="X279" s="167"/>
    </row>
    <row r="280" spans="1:24">
      <c r="A280" s="614"/>
      <c r="B280" s="100" t="s">
        <v>73</v>
      </c>
      <c r="C280" s="609"/>
      <c r="D280" s="10"/>
      <c r="E280" s="10"/>
      <c r="F280" s="88"/>
      <c r="G280" s="88"/>
      <c r="H280" s="88"/>
      <c r="I280" s="99"/>
      <c r="J280" s="63"/>
      <c r="K280" s="63"/>
      <c r="L280" s="63"/>
      <c r="M280" s="63"/>
      <c r="N280" s="63"/>
      <c r="O280" s="63"/>
      <c r="P280" s="63"/>
      <c r="Q280" s="63"/>
      <c r="R280" s="63"/>
      <c r="S280" s="63"/>
      <c r="T280" s="63"/>
      <c r="U280" s="94"/>
      <c r="V280" s="90"/>
      <c r="W280" s="91"/>
      <c r="X280" s="92"/>
    </row>
    <row r="281" spans="1:24">
      <c r="A281" s="614"/>
      <c r="B281" s="87">
        <v>1</v>
      </c>
      <c r="C281" s="609"/>
      <c r="D281" s="10"/>
      <c r="E281" s="10"/>
      <c r="F281" s="62"/>
      <c r="G281" s="62"/>
      <c r="H281" s="62"/>
      <c r="I281" s="89">
        <f t="shared" ref="I281:I286" si="56">F281-G281-H281</f>
        <v>0</v>
      </c>
      <c r="J281" s="63"/>
      <c r="K281" s="63"/>
      <c r="L281" s="63"/>
      <c r="M281" s="63"/>
      <c r="N281" s="63"/>
      <c r="O281" s="63"/>
      <c r="P281" s="63"/>
      <c r="Q281" s="63"/>
      <c r="R281" s="63"/>
      <c r="S281" s="63"/>
      <c r="T281" s="63"/>
      <c r="U281" s="139"/>
      <c r="V281" s="90"/>
      <c r="W281" s="91"/>
      <c r="X281" s="92"/>
    </row>
    <row r="282" spans="1:24">
      <c r="A282" s="614"/>
      <c r="B282" s="87">
        <f>B281+1</f>
        <v>2</v>
      </c>
      <c r="C282" s="609"/>
      <c r="D282" s="10"/>
      <c r="E282" s="10"/>
      <c r="F282" s="62"/>
      <c r="G282" s="62"/>
      <c r="H282" s="62"/>
      <c r="I282" s="89">
        <f t="shared" si="56"/>
        <v>0</v>
      </c>
      <c r="J282" s="63"/>
      <c r="K282" s="63"/>
      <c r="L282" s="63"/>
      <c r="M282" s="63"/>
      <c r="N282" s="63"/>
      <c r="O282" s="63"/>
      <c r="P282" s="63"/>
      <c r="Q282" s="63"/>
      <c r="R282" s="63"/>
      <c r="S282" s="63"/>
      <c r="T282" s="63"/>
      <c r="U282" s="94"/>
      <c r="V282" s="90"/>
      <c r="W282" s="136"/>
      <c r="X282" s="137"/>
    </row>
    <row r="283" spans="1:24">
      <c r="A283" s="614"/>
      <c r="B283" s="87">
        <f>B282+1</f>
        <v>3</v>
      </c>
      <c r="C283" s="609"/>
      <c r="D283" s="10"/>
      <c r="E283" s="10"/>
      <c r="F283" s="62"/>
      <c r="G283" s="62"/>
      <c r="H283" s="62"/>
      <c r="I283" s="89">
        <f t="shared" si="56"/>
        <v>0</v>
      </c>
      <c r="J283" s="63"/>
      <c r="K283" s="63"/>
      <c r="L283" s="63"/>
      <c r="M283" s="63"/>
      <c r="N283" s="63"/>
      <c r="O283" s="63"/>
      <c r="P283" s="63"/>
      <c r="Q283" s="63"/>
      <c r="R283" s="63"/>
      <c r="S283" s="63"/>
      <c r="T283" s="63"/>
      <c r="U283" s="94"/>
      <c r="V283" s="90"/>
      <c r="W283" s="136"/>
      <c r="X283" s="137"/>
    </row>
    <row r="284" spans="1:24">
      <c r="A284" s="614"/>
      <c r="B284" s="87">
        <f>B283+1</f>
        <v>4</v>
      </c>
      <c r="C284" s="609"/>
      <c r="D284" s="10"/>
      <c r="E284" s="10"/>
      <c r="F284" s="62"/>
      <c r="G284" s="62"/>
      <c r="H284" s="62"/>
      <c r="I284" s="89">
        <f t="shared" si="56"/>
        <v>0</v>
      </c>
      <c r="J284" s="63"/>
      <c r="K284" s="63"/>
      <c r="L284" s="63"/>
      <c r="M284" s="63"/>
      <c r="N284" s="63"/>
      <c r="O284" s="63"/>
      <c r="P284" s="63"/>
      <c r="Q284" s="63"/>
      <c r="R284" s="63"/>
      <c r="S284" s="63"/>
      <c r="T284" s="63"/>
      <c r="U284" s="94"/>
      <c r="V284" s="90"/>
      <c r="W284" s="136"/>
      <c r="X284" s="137"/>
    </row>
    <row r="285" spans="1:24">
      <c r="A285" s="614"/>
      <c r="B285" s="87">
        <f>B284+1</f>
        <v>5</v>
      </c>
      <c r="C285" s="609"/>
      <c r="D285" s="10"/>
      <c r="E285" s="10"/>
      <c r="F285" s="62"/>
      <c r="G285" s="62"/>
      <c r="H285" s="62"/>
      <c r="I285" s="89">
        <f t="shared" si="56"/>
        <v>0</v>
      </c>
      <c r="J285" s="63"/>
      <c r="K285" s="63"/>
      <c r="L285" s="63"/>
      <c r="M285" s="63"/>
      <c r="N285" s="63"/>
      <c r="O285" s="63"/>
      <c r="P285" s="63"/>
      <c r="Q285" s="63"/>
      <c r="R285" s="63"/>
      <c r="S285" s="63"/>
      <c r="T285" s="63"/>
      <c r="U285" s="94"/>
      <c r="V285" s="90"/>
      <c r="W285" s="136"/>
      <c r="X285" s="137"/>
    </row>
    <row r="286" spans="1:24">
      <c r="A286" s="614"/>
      <c r="B286" s="87">
        <f>B285+1</f>
        <v>6</v>
      </c>
      <c r="C286" s="609"/>
      <c r="D286" s="10"/>
      <c r="E286" s="101"/>
      <c r="F286" s="62"/>
      <c r="G286" s="62"/>
      <c r="H286" s="62"/>
      <c r="I286" s="89">
        <f t="shared" si="56"/>
        <v>0</v>
      </c>
      <c r="J286" s="63"/>
      <c r="K286" s="63"/>
      <c r="L286" s="63"/>
      <c r="M286" s="63"/>
      <c r="N286" s="63"/>
      <c r="O286" s="63"/>
      <c r="P286" s="63"/>
      <c r="Q286" s="63"/>
      <c r="R286" s="63"/>
      <c r="S286" s="63"/>
      <c r="T286" s="63"/>
      <c r="U286" s="94"/>
      <c r="V286" s="90"/>
      <c r="W286" s="136"/>
      <c r="X286" s="137"/>
    </row>
    <row r="287" spans="1:24">
      <c r="A287" s="614"/>
      <c r="B287" s="11"/>
      <c r="C287" s="609"/>
      <c r="D287" s="10"/>
      <c r="E287" s="10"/>
      <c r="F287" s="97">
        <f>SUM(F281:F286)</f>
        <v>0</v>
      </c>
      <c r="G287" s="97">
        <f>SUM(G281:G286)</f>
        <v>0</v>
      </c>
      <c r="H287" s="97">
        <f>SUM(H281:H286)</f>
        <v>0</v>
      </c>
      <c r="I287" s="98">
        <f>SUM(I281:I286)</f>
        <v>0</v>
      </c>
      <c r="J287" s="10"/>
      <c r="K287" s="10"/>
      <c r="L287" s="10"/>
      <c r="M287" s="10"/>
      <c r="N287" s="10"/>
      <c r="O287" s="10"/>
      <c r="P287" s="10"/>
      <c r="Q287" s="10"/>
      <c r="R287" s="10"/>
      <c r="S287" s="10"/>
      <c r="T287" s="63"/>
      <c r="U287" s="94"/>
      <c r="V287" s="90"/>
      <c r="W287" s="91"/>
      <c r="X287" s="92"/>
    </row>
    <row r="288" spans="1:24">
      <c r="A288" s="614"/>
      <c r="B288" s="26"/>
      <c r="C288" s="612"/>
      <c r="D288" s="141"/>
      <c r="E288" s="141"/>
      <c r="F288" s="141"/>
      <c r="G288" s="141"/>
      <c r="H288" s="141"/>
      <c r="I288" s="141"/>
      <c r="J288" s="141"/>
      <c r="K288" s="142"/>
      <c r="L288" s="142"/>
      <c r="M288" s="142"/>
      <c r="N288" s="142"/>
      <c r="O288" s="142"/>
      <c r="P288" s="142"/>
      <c r="Q288" s="142"/>
      <c r="R288" s="142"/>
      <c r="S288" s="142"/>
      <c r="T288" s="143">
        <f>SUM(T173:T287)</f>
        <v>0</v>
      </c>
      <c r="U288" s="168"/>
      <c r="V288" s="144">
        <f>SUM(V173:V287)</f>
        <v>0</v>
      </c>
      <c r="W288" s="145">
        <f>SUM(W173:W287)</f>
        <v>0</v>
      </c>
      <c r="X288" s="146">
        <f>SUM(X173:X287)</f>
        <v>0</v>
      </c>
    </row>
    <row r="291" spans="1:31">
      <c r="A291" s="1" t="s">
        <v>86</v>
      </c>
    </row>
    <row r="292" spans="1:31">
      <c r="A292" s="169"/>
      <c r="B292" s="170"/>
      <c r="C292" s="171" t="s">
        <v>87</v>
      </c>
      <c r="D292" s="172"/>
      <c r="E292" s="173"/>
      <c r="F292" s="173"/>
      <c r="G292" s="173"/>
      <c r="H292" s="173"/>
      <c r="I292" s="173"/>
      <c r="J292" s="174" t="s">
        <v>88</v>
      </c>
      <c r="K292" s="175"/>
      <c r="L292" s="176"/>
      <c r="M292" s="177"/>
      <c r="N292" s="178"/>
      <c r="O292" s="179" t="s">
        <v>89</v>
      </c>
      <c r="P292" s="180" t="s">
        <v>29</v>
      </c>
      <c r="Q292" s="181"/>
      <c r="R292" s="181"/>
      <c r="S292" s="181"/>
      <c r="T292" s="181"/>
      <c r="U292" s="181"/>
      <c r="V292" s="181"/>
      <c r="W292" s="181"/>
      <c r="X292" s="181"/>
      <c r="Y292" s="181"/>
      <c r="Z292" s="181"/>
      <c r="AA292" s="181"/>
      <c r="AB292" s="181"/>
      <c r="AC292" s="181"/>
      <c r="AD292" s="181"/>
      <c r="AE292" s="181"/>
    </row>
    <row r="293" spans="1:31">
      <c r="A293" s="182" t="s">
        <v>90</v>
      </c>
      <c r="B293" s="182" t="s">
        <v>20</v>
      </c>
      <c r="C293" s="183"/>
      <c r="D293" s="184" t="s">
        <v>91</v>
      </c>
      <c r="E293" s="185" t="s">
        <v>92</v>
      </c>
      <c r="F293" s="185" t="s">
        <v>93</v>
      </c>
      <c r="G293" s="185" t="s">
        <v>94</v>
      </c>
      <c r="H293" s="185" t="s">
        <v>95</v>
      </c>
      <c r="I293" s="184" t="s">
        <v>96</v>
      </c>
      <c r="J293" s="186" t="s">
        <v>97</v>
      </c>
      <c r="K293" s="187" t="s">
        <v>98</v>
      </c>
      <c r="L293" s="188" t="s">
        <v>29</v>
      </c>
      <c r="M293" s="189" t="s">
        <v>89</v>
      </c>
      <c r="N293" s="190" t="s">
        <v>99</v>
      </c>
      <c r="O293" s="191" t="s">
        <v>100</v>
      </c>
      <c r="P293" s="192" t="s">
        <v>99</v>
      </c>
      <c r="Q293" s="193"/>
      <c r="R293" s="193"/>
      <c r="S293" s="193"/>
      <c r="T293" s="193"/>
      <c r="U293" s="193"/>
      <c r="V293" s="193"/>
      <c r="W293" s="181"/>
      <c r="X293" s="181"/>
      <c r="Y293" s="181"/>
      <c r="Z293" s="181"/>
      <c r="AA293" s="181"/>
      <c r="AB293" s="181"/>
      <c r="AC293" s="181"/>
      <c r="AD293" s="181"/>
      <c r="AE293" s="181"/>
    </row>
    <row r="294" spans="1:31">
      <c r="A294" s="169"/>
      <c r="B294" s="194"/>
      <c r="C294" s="195"/>
      <c r="D294" s="196">
        <v>0</v>
      </c>
      <c r="E294" s="196">
        <v>0</v>
      </c>
      <c r="F294" s="196">
        <v>0</v>
      </c>
      <c r="G294" s="196">
        <v>0</v>
      </c>
      <c r="H294" s="196">
        <v>0</v>
      </c>
      <c r="I294" s="196">
        <v>0</v>
      </c>
      <c r="J294" s="197">
        <v>50000</v>
      </c>
      <c r="K294" s="198">
        <f>-J294+I294</f>
        <v>-50000</v>
      </c>
      <c r="L294" s="199"/>
      <c r="M294" s="200">
        <f>I294</f>
        <v>0</v>
      </c>
      <c r="N294" s="201"/>
      <c r="O294" s="202">
        <f>M294-N294</f>
        <v>0</v>
      </c>
      <c r="P294" s="203"/>
      <c r="Q294" s="193"/>
      <c r="R294" s="193"/>
      <c r="S294" s="193"/>
      <c r="T294" s="193"/>
      <c r="U294" s="193"/>
      <c r="V294" s="193"/>
      <c r="W294" s="181"/>
      <c r="X294" s="181"/>
      <c r="Y294" s="181"/>
      <c r="Z294" s="181"/>
      <c r="AA294" s="181"/>
      <c r="AB294" s="181"/>
      <c r="AC294" s="181"/>
      <c r="AD294" s="181"/>
      <c r="AE294" s="181"/>
    </row>
    <row r="295" spans="1:31">
      <c r="A295" s="169"/>
      <c r="B295" s="182"/>
      <c r="C295" s="204" t="s">
        <v>101</v>
      </c>
      <c r="D295" s="205"/>
      <c r="E295" s="205"/>
      <c r="F295" s="205"/>
      <c r="G295" s="205"/>
      <c r="H295" s="205"/>
      <c r="I295" s="205"/>
      <c r="J295" s="206"/>
      <c r="K295" s="207"/>
      <c r="L295" s="208"/>
      <c r="M295" s="189"/>
      <c r="N295" s="201"/>
      <c r="O295" s="191"/>
      <c r="P295" s="203"/>
      <c r="Q295" s="181"/>
      <c r="R295" s="181"/>
      <c r="S295" s="181"/>
      <c r="T295" s="181"/>
      <c r="U295" s="181"/>
      <c r="V295" s="181"/>
      <c r="W295" s="181"/>
      <c r="X295" s="181"/>
      <c r="Y295" s="181"/>
      <c r="Z295" s="181"/>
      <c r="AA295" s="181"/>
      <c r="AB295" s="181"/>
      <c r="AC295" s="181"/>
      <c r="AD295" s="181"/>
      <c r="AE295" s="181"/>
    </row>
    <row r="296" spans="1:31">
      <c r="A296" s="169"/>
      <c r="B296" s="182"/>
      <c r="C296" s="204" t="s">
        <v>48</v>
      </c>
      <c r="D296" s="209"/>
      <c r="E296" s="209"/>
      <c r="F296" s="209"/>
      <c r="G296" s="209"/>
      <c r="H296" s="209"/>
      <c r="I296" s="209"/>
      <c r="J296" s="210"/>
      <c r="K296" s="211"/>
      <c r="L296" s="212"/>
      <c r="M296" s="213"/>
      <c r="N296" s="201"/>
      <c r="O296" s="214"/>
      <c r="P296" s="203"/>
      <c r="Q296" s="181"/>
      <c r="R296" s="181"/>
      <c r="S296" s="181"/>
      <c r="T296" s="181"/>
      <c r="U296" s="181"/>
      <c r="V296" s="181"/>
      <c r="W296" s="181"/>
      <c r="X296" s="181"/>
      <c r="Y296" s="181"/>
      <c r="Z296" s="181"/>
      <c r="AA296" s="181"/>
      <c r="AB296" s="181"/>
      <c r="AC296" s="181"/>
      <c r="AD296" s="181"/>
      <c r="AE296" s="181"/>
    </row>
    <row r="297" spans="1:31">
      <c r="A297" s="169"/>
      <c r="B297" s="194"/>
      <c r="C297" s="195"/>
      <c r="D297" s="196"/>
      <c r="E297" s="196"/>
      <c r="F297" s="196"/>
      <c r="G297" s="196"/>
      <c r="H297" s="196"/>
      <c r="I297" s="196"/>
      <c r="J297" s="197">
        <v>50000</v>
      </c>
      <c r="K297" s="198">
        <f>-J297+I297</f>
        <v>-50000</v>
      </c>
      <c r="L297" s="199"/>
      <c r="M297" s="215">
        <f>I297</f>
        <v>0</v>
      </c>
      <c r="N297" s="216"/>
      <c r="O297" s="217">
        <f>M297-N297</f>
        <v>0</v>
      </c>
      <c r="P297" s="216"/>
      <c r="Q297" s="193"/>
      <c r="R297" s="193"/>
      <c r="S297" s="193"/>
      <c r="T297" s="193"/>
      <c r="U297" s="193"/>
      <c r="V297" s="193"/>
      <c r="W297" s="181"/>
      <c r="X297" s="181"/>
      <c r="Y297" s="181"/>
      <c r="Z297" s="181"/>
      <c r="AA297" s="181"/>
      <c r="AB297" s="181"/>
      <c r="AC297" s="181"/>
      <c r="AD297" s="181"/>
      <c r="AE297" s="181"/>
    </row>
    <row r="298" spans="1:31">
      <c r="A298" s="169"/>
      <c r="B298" s="182"/>
      <c r="C298" s="204" t="s">
        <v>101</v>
      </c>
      <c r="D298" s="205"/>
      <c r="E298" s="205"/>
      <c r="F298" s="205"/>
      <c r="G298" s="205"/>
      <c r="H298" s="205"/>
      <c r="I298" s="205"/>
      <c r="J298" s="206"/>
      <c r="K298" s="218"/>
      <c r="L298" s="208"/>
      <c r="M298" s="219"/>
      <c r="N298" s="220"/>
      <c r="O298" s="221"/>
      <c r="P298" s="220"/>
      <c r="Q298" s="181"/>
      <c r="R298" s="181"/>
      <c r="S298" s="181"/>
      <c r="T298" s="181"/>
      <c r="U298" s="181"/>
      <c r="V298" s="181"/>
      <c r="W298" s="181"/>
      <c r="X298" s="181"/>
      <c r="Y298" s="181"/>
      <c r="Z298" s="181"/>
      <c r="AA298" s="181"/>
      <c r="AB298" s="181"/>
      <c r="AC298" s="181"/>
      <c r="AD298" s="181"/>
      <c r="AE298" s="181"/>
    </row>
    <row r="299" spans="1:31">
      <c r="A299" s="169"/>
      <c r="B299" s="182"/>
      <c r="C299" s="204" t="s">
        <v>48</v>
      </c>
      <c r="D299" s="209"/>
      <c r="E299" s="209"/>
      <c r="F299" s="209"/>
      <c r="G299" s="209"/>
      <c r="H299" s="209"/>
      <c r="I299" s="209"/>
      <c r="J299" s="206"/>
      <c r="K299" s="222"/>
      <c r="L299" s="212"/>
      <c r="M299" s="223"/>
      <c r="N299" s="192"/>
      <c r="O299" s="224"/>
      <c r="P299" s="192"/>
      <c r="Q299" s="181"/>
      <c r="R299" s="181"/>
      <c r="S299" s="181"/>
      <c r="T299" s="181"/>
      <c r="U299" s="181"/>
      <c r="V299" s="181"/>
      <c r="W299" s="181"/>
      <c r="X299" s="181"/>
      <c r="Y299" s="181"/>
      <c r="Z299" s="181"/>
      <c r="AA299" s="181"/>
      <c r="AB299" s="181"/>
      <c r="AC299" s="181"/>
      <c r="AD299" s="181"/>
      <c r="AE299" s="181"/>
    </row>
    <row r="300" spans="1:31">
      <c r="A300" s="169"/>
      <c r="B300" s="194"/>
      <c r="C300" s="195"/>
      <c r="D300" s="196"/>
      <c r="E300" s="196"/>
      <c r="F300" s="196"/>
      <c r="G300" s="196"/>
      <c r="H300" s="196"/>
      <c r="I300" s="196"/>
      <c r="J300" s="197">
        <v>50000</v>
      </c>
      <c r="K300" s="198">
        <f>-J300+I300</f>
        <v>-50000</v>
      </c>
      <c r="L300" s="199"/>
      <c r="M300" s="200">
        <f>I300</f>
        <v>0</v>
      </c>
      <c r="N300" s="225"/>
      <c r="O300" s="202">
        <f>M300-N300</f>
        <v>0</v>
      </c>
      <c r="P300" s="216"/>
      <c r="Q300" s="193"/>
      <c r="R300" s="193"/>
      <c r="S300" s="193"/>
      <c r="T300" s="193"/>
      <c r="U300" s="193"/>
      <c r="V300" s="193"/>
      <c r="W300" s="181"/>
      <c r="X300" s="181"/>
      <c r="Y300" s="181"/>
      <c r="Z300" s="181"/>
      <c r="AA300" s="181"/>
      <c r="AB300" s="181"/>
      <c r="AC300" s="181"/>
      <c r="AD300" s="181"/>
      <c r="AE300" s="181"/>
    </row>
    <row r="301" spans="1:31">
      <c r="A301" s="169"/>
      <c r="B301" s="182"/>
      <c r="C301" s="204" t="s">
        <v>101</v>
      </c>
      <c r="D301" s="205"/>
      <c r="E301" s="205"/>
      <c r="F301" s="205"/>
      <c r="G301" s="205"/>
      <c r="H301" s="205"/>
      <c r="I301" s="205"/>
      <c r="J301" s="206"/>
      <c r="K301" s="207"/>
      <c r="L301" s="208"/>
      <c r="M301" s="189"/>
      <c r="N301" s="201"/>
      <c r="O301" s="191"/>
      <c r="P301" s="220"/>
      <c r="Q301" s="181"/>
      <c r="R301" s="181"/>
      <c r="S301" s="181"/>
      <c r="T301" s="181"/>
      <c r="U301" s="181"/>
      <c r="V301" s="181"/>
      <c r="W301" s="181"/>
      <c r="X301" s="181"/>
      <c r="Y301" s="181"/>
      <c r="Z301" s="181"/>
      <c r="AA301" s="181"/>
      <c r="AB301" s="181"/>
      <c r="AC301" s="181"/>
      <c r="AD301" s="181"/>
      <c r="AE301" s="181"/>
    </row>
    <row r="302" spans="1:31">
      <c r="A302" s="169"/>
      <c r="B302" s="182"/>
      <c r="C302" s="226" t="s">
        <v>48</v>
      </c>
      <c r="D302" s="227"/>
      <c r="E302" s="227"/>
      <c r="F302" s="227"/>
      <c r="G302" s="227"/>
      <c r="H302" s="227"/>
      <c r="I302" s="227"/>
      <c r="J302" s="210"/>
      <c r="K302" s="211"/>
      <c r="L302" s="228"/>
      <c r="M302" s="213"/>
      <c r="N302" s="201"/>
      <c r="O302" s="214"/>
      <c r="P302" s="220"/>
      <c r="Q302" s="181"/>
      <c r="R302" s="181"/>
      <c r="S302" s="181"/>
      <c r="T302" s="181"/>
      <c r="U302" s="181"/>
      <c r="V302" s="181"/>
      <c r="W302" s="181"/>
      <c r="X302" s="181"/>
      <c r="Y302" s="181"/>
      <c r="Z302" s="181"/>
      <c r="AA302" s="181"/>
      <c r="AB302" s="181"/>
      <c r="AC302" s="181"/>
      <c r="AD302" s="181"/>
      <c r="AE302" s="181"/>
    </row>
    <row r="303" spans="1:31">
      <c r="A303" s="169"/>
      <c r="B303" s="194"/>
      <c r="C303" s="195"/>
      <c r="D303" s="196"/>
      <c r="E303" s="196"/>
      <c r="F303" s="196"/>
      <c r="G303" s="196"/>
      <c r="H303" s="196"/>
      <c r="I303" s="196"/>
      <c r="J303" s="197">
        <v>50000</v>
      </c>
      <c r="K303" s="198">
        <f>-J303+I303</f>
        <v>-50000</v>
      </c>
      <c r="L303" s="199"/>
      <c r="M303" s="200">
        <f>I303</f>
        <v>0</v>
      </c>
      <c r="N303" s="225"/>
      <c r="O303" s="202">
        <f>M303-N303</f>
        <v>0</v>
      </c>
      <c r="P303" s="216"/>
      <c r="Q303" s="193"/>
      <c r="R303" s="193"/>
      <c r="S303" s="193"/>
      <c r="T303" s="193"/>
      <c r="U303" s="193"/>
      <c r="V303" s="193"/>
      <c r="W303" s="181"/>
      <c r="X303" s="181"/>
      <c r="Y303" s="181"/>
      <c r="Z303" s="181"/>
      <c r="AA303" s="181"/>
      <c r="AB303" s="181"/>
      <c r="AC303" s="181"/>
      <c r="AD303" s="181"/>
      <c r="AE303" s="181"/>
    </row>
    <row r="304" spans="1:31">
      <c r="A304" s="169"/>
      <c r="B304" s="182"/>
      <c r="C304" s="204" t="s">
        <v>101</v>
      </c>
      <c r="D304" s="205"/>
      <c r="E304" s="205"/>
      <c r="F304" s="205"/>
      <c r="G304" s="205"/>
      <c r="H304" s="205"/>
      <c r="I304" s="205"/>
      <c r="J304" s="206"/>
      <c r="K304" s="207"/>
      <c r="L304" s="208"/>
      <c r="M304" s="189"/>
      <c r="N304" s="201"/>
      <c r="O304" s="191"/>
      <c r="P304" s="220"/>
      <c r="Q304" s="181"/>
      <c r="R304" s="181"/>
      <c r="S304" s="181"/>
      <c r="T304" s="181"/>
      <c r="U304" s="181"/>
      <c r="V304" s="181"/>
      <c r="W304" s="181"/>
      <c r="X304" s="181"/>
      <c r="Y304" s="181"/>
      <c r="Z304" s="181"/>
      <c r="AA304" s="181"/>
      <c r="AB304" s="181"/>
      <c r="AC304" s="181"/>
      <c r="AD304" s="181"/>
      <c r="AE304" s="181"/>
    </row>
    <row r="305" spans="1:31">
      <c r="A305" s="169"/>
      <c r="B305" s="182"/>
      <c r="C305" s="226" t="s">
        <v>48</v>
      </c>
      <c r="D305" s="227"/>
      <c r="E305" s="227"/>
      <c r="F305" s="227"/>
      <c r="G305" s="227"/>
      <c r="H305" s="227"/>
      <c r="I305" s="227"/>
      <c r="J305" s="206"/>
      <c r="K305" s="211"/>
      <c r="L305" s="228"/>
      <c r="M305" s="213"/>
      <c r="N305" s="201"/>
      <c r="O305" s="214"/>
      <c r="P305" s="220"/>
      <c r="Q305" s="181"/>
      <c r="R305" s="181"/>
      <c r="S305" s="181"/>
      <c r="T305" s="181"/>
      <c r="U305" s="181"/>
      <c r="V305" s="181"/>
      <c r="W305" s="181"/>
      <c r="X305" s="181"/>
      <c r="Y305" s="181"/>
      <c r="Z305" s="181"/>
      <c r="AA305" s="181"/>
      <c r="AB305" s="181"/>
      <c r="AC305" s="181"/>
      <c r="AD305" s="181"/>
      <c r="AE305" s="181"/>
    </row>
    <row r="306" spans="1:31">
      <c r="A306" s="229"/>
      <c r="B306" s="194"/>
      <c r="C306" s="195"/>
      <c r="D306" s="196"/>
      <c r="E306" s="196"/>
      <c r="F306" s="196"/>
      <c r="G306" s="196"/>
      <c r="H306" s="196"/>
      <c r="I306" s="196"/>
      <c r="J306" s="197">
        <v>50000</v>
      </c>
      <c r="K306" s="198">
        <f>-J306+I306</f>
        <v>-50000</v>
      </c>
      <c r="L306" s="199"/>
      <c r="M306" s="200">
        <f>I306</f>
        <v>0</v>
      </c>
      <c r="N306" s="225"/>
      <c r="O306" s="202">
        <f>M306-N306</f>
        <v>0</v>
      </c>
      <c r="P306" s="230"/>
      <c r="Q306" s="193"/>
      <c r="R306" s="193"/>
      <c r="S306" s="193"/>
      <c r="T306" s="193"/>
      <c r="U306" s="193"/>
      <c r="V306" s="193"/>
      <c r="W306" s="181"/>
      <c r="X306" s="181"/>
      <c r="Y306" s="181"/>
      <c r="Z306" s="181"/>
      <c r="AA306" s="181"/>
      <c r="AB306" s="181"/>
      <c r="AC306" s="181"/>
      <c r="AD306" s="181"/>
      <c r="AE306" s="181"/>
    </row>
    <row r="307" spans="1:31">
      <c r="A307" s="229"/>
      <c r="B307" s="182"/>
      <c r="C307" s="204" t="s">
        <v>101</v>
      </c>
      <c r="D307" s="205"/>
      <c r="E307" s="205"/>
      <c r="F307" s="205"/>
      <c r="G307" s="205"/>
      <c r="H307" s="205"/>
      <c r="I307" s="205"/>
      <c r="J307" s="206"/>
      <c r="K307" s="207"/>
      <c r="L307" s="208"/>
      <c r="M307" s="189"/>
      <c r="N307" s="201"/>
      <c r="O307" s="191"/>
      <c r="P307" s="203"/>
      <c r="Q307" s="181"/>
      <c r="R307" s="181"/>
      <c r="S307" s="181"/>
      <c r="T307" s="181"/>
      <c r="U307" s="181"/>
      <c r="V307" s="181"/>
      <c r="W307" s="181"/>
      <c r="X307" s="181"/>
      <c r="Y307" s="181"/>
      <c r="Z307" s="181"/>
      <c r="AA307" s="181"/>
      <c r="AB307" s="181"/>
      <c r="AC307" s="181"/>
      <c r="AD307" s="181"/>
      <c r="AE307" s="181"/>
    </row>
    <row r="308" spans="1:31">
      <c r="A308" s="229"/>
      <c r="B308" s="182"/>
      <c r="C308" s="204" t="s">
        <v>48</v>
      </c>
      <c r="D308" s="209"/>
      <c r="E308" s="209"/>
      <c r="F308" s="209"/>
      <c r="G308" s="209"/>
      <c r="H308" s="209"/>
      <c r="I308" s="209"/>
      <c r="J308" s="206"/>
      <c r="K308" s="207"/>
      <c r="L308" s="212"/>
      <c r="M308" s="189"/>
      <c r="N308" s="201"/>
      <c r="O308" s="191"/>
      <c r="P308" s="203"/>
      <c r="Q308" s="181"/>
      <c r="R308" s="181"/>
      <c r="S308" s="181"/>
      <c r="T308" s="181"/>
      <c r="U308" s="181"/>
      <c r="V308" s="181"/>
      <c r="W308" s="181"/>
      <c r="X308" s="181"/>
      <c r="Y308" s="181"/>
      <c r="Z308" s="181"/>
      <c r="AA308" s="181"/>
      <c r="AB308" s="181"/>
      <c r="AC308" s="181"/>
      <c r="AD308" s="181"/>
      <c r="AE308" s="181"/>
    </row>
    <row r="309" spans="1:31">
      <c r="A309" s="169"/>
      <c r="B309" s="194"/>
      <c r="C309" s="195"/>
      <c r="D309" s="196"/>
      <c r="E309" s="196"/>
      <c r="F309" s="196"/>
      <c r="G309" s="196"/>
      <c r="H309" s="196"/>
      <c r="I309" s="196"/>
      <c r="J309" s="197">
        <v>50000</v>
      </c>
      <c r="K309" s="198">
        <f>-J309+I309</f>
        <v>-50000</v>
      </c>
      <c r="L309" s="199"/>
      <c r="M309" s="200">
        <f>I309</f>
        <v>0</v>
      </c>
      <c r="N309" s="225"/>
      <c r="O309" s="202">
        <f>M309-N309</f>
        <v>0</v>
      </c>
      <c r="P309" s="230"/>
      <c r="Q309" s="193"/>
      <c r="R309" s="193"/>
      <c r="S309" s="193"/>
      <c r="T309" s="193"/>
      <c r="U309" s="193"/>
      <c r="V309" s="193"/>
      <c r="W309" s="181"/>
      <c r="X309" s="181"/>
      <c r="Y309" s="181"/>
      <c r="Z309" s="181"/>
      <c r="AA309" s="181"/>
      <c r="AB309" s="181"/>
      <c r="AC309" s="181"/>
      <c r="AD309" s="181"/>
      <c r="AE309" s="181"/>
    </row>
    <row r="310" spans="1:31">
      <c r="A310" s="169"/>
      <c r="B310" s="182"/>
      <c r="C310" s="204" t="s">
        <v>101</v>
      </c>
      <c r="D310" s="231"/>
      <c r="E310" s="231"/>
      <c r="F310" s="231"/>
      <c r="G310" s="231"/>
      <c r="H310" s="231"/>
      <c r="I310" s="231"/>
      <c r="J310" s="206"/>
      <c r="K310" s="207"/>
      <c r="L310" s="208"/>
      <c r="M310" s="189"/>
      <c r="N310" s="201"/>
      <c r="O310" s="191"/>
      <c r="P310" s="203"/>
      <c r="Q310" s="181"/>
      <c r="R310" s="181"/>
      <c r="S310" s="181"/>
      <c r="T310" s="181"/>
      <c r="U310" s="181"/>
      <c r="V310" s="181"/>
      <c r="W310" s="181"/>
      <c r="X310" s="181"/>
      <c r="Y310" s="181"/>
      <c r="Z310" s="181"/>
      <c r="AA310" s="181"/>
      <c r="AB310" s="181"/>
      <c r="AC310" s="181"/>
      <c r="AD310" s="181"/>
      <c r="AE310" s="181"/>
    </row>
    <row r="311" spans="1:31">
      <c r="A311" s="169"/>
      <c r="B311" s="182"/>
      <c r="C311" s="226" t="s">
        <v>48</v>
      </c>
      <c r="D311" s="232"/>
      <c r="E311" s="232"/>
      <c r="F311" s="232"/>
      <c r="G311" s="232"/>
      <c r="H311" s="232"/>
      <c r="I311" s="232"/>
      <c r="J311" s="210"/>
      <c r="K311" s="211"/>
      <c r="L311" s="228"/>
      <c r="M311" s="213"/>
      <c r="N311" s="190"/>
      <c r="O311" s="214"/>
      <c r="P311" s="233"/>
      <c r="Q311" s="181"/>
      <c r="R311" s="181"/>
      <c r="S311" s="181"/>
      <c r="T311" s="181"/>
      <c r="U311" s="181"/>
      <c r="V311" s="181"/>
      <c r="W311" s="181"/>
      <c r="X311" s="181"/>
      <c r="Y311" s="181"/>
      <c r="Z311" s="181"/>
      <c r="AA311" s="181"/>
      <c r="AB311" s="181"/>
      <c r="AC311" s="181"/>
      <c r="AD311" s="181"/>
      <c r="AE311" s="181"/>
    </row>
    <row r="312" spans="1:31">
      <c r="A312" s="229"/>
      <c r="B312" s="194"/>
      <c r="C312" s="195"/>
      <c r="D312" s="196"/>
      <c r="E312" s="196"/>
      <c r="F312" s="196"/>
      <c r="G312" s="196"/>
      <c r="H312" s="196"/>
      <c r="I312" s="196"/>
      <c r="J312" s="206">
        <v>50000</v>
      </c>
      <c r="K312" s="207">
        <f>-J312+I312</f>
        <v>-50000</v>
      </c>
      <c r="L312" s="212"/>
      <c r="M312" s="189">
        <f>I312</f>
        <v>0</v>
      </c>
      <c r="N312" s="201"/>
      <c r="O312" s="191">
        <f>M312-N312</f>
        <v>0</v>
      </c>
      <c r="P312" s="220"/>
      <c r="Q312" s="193"/>
      <c r="R312" s="193"/>
      <c r="S312" s="193"/>
      <c r="T312" s="193"/>
      <c r="U312" s="193"/>
      <c r="V312" s="193"/>
      <c r="W312" s="181"/>
      <c r="X312" s="181"/>
      <c r="Y312" s="181"/>
      <c r="Z312" s="181"/>
      <c r="AA312" s="181"/>
      <c r="AB312" s="181"/>
      <c r="AC312" s="181"/>
      <c r="AD312" s="181"/>
      <c r="AE312" s="181"/>
    </row>
    <row r="313" spans="1:31">
      <c r="A313" s="229"/>
      <c r="B313" s="182"/>
      <c r="C313" s="204" t="s">
        <v>101</v>
      </c>
      <c r="D313" s="205"/>
      <c r="E313" s="205"/>
      <c r="F313" s="205"/>
      <c r="G313" s="205"/>
      <c r="H313" s="205"/>
      <c r="I313" s="205"/>
      <c r="J313" s="206"/>
      <c r="K313" s="207"/>
      <c r="L313" s="208"/>
      <c r="M313" s="189"/>
      <c r="N313" s="201"/>
      <c r="O313" s="234"/>
      <c r="P313" s="220"/>
      <c r="Q313" s="181"/>
      <c r="R313" s="181"/>
      <c r="S313" s="181"/>
      <c r="T313" s="181"/>
      <c r="U313" s="181"/>
      <c r="V313" s="181"/>
      <c r="W313" s="181"/>
      <c r="X313" s="181"/>
      <c r="Y313" s="181"/>
      <c r="Z313" s="181"/>
      <c r="AA313" s="181"/>
      <c r="AB313" s="181"/>
      <c r="AC313" s="181"/>
      <c r="AD313" s="181"/>
      <c r="AE313" s="181"/>
    </row>
    <row r="314" spans="1:31">
      <c r="A314" s="229"/>
      <c r="B314" s="182"/>
      <c r="C314" s="226" t="s">
        <v>48</v>
      </c>
      <c r="D314" s="209"/>
      <c r="E314" s="209"/>
      <c r="F314" s="209"/>
      <c r="G314" s="209"/>
      <c r="H314" s="209"/>
      <c r="I314" s="209"/>
      <c r="J314" s="210"/>
      <c r="K314" s="211"/>
      <c r="L314" s="228"/>
      <c r="M314" s="213"/>
      <c r="N314" s="190"/>
      <c r="O314" s="235"/>
      <c r="P314" s="192"/>
      <c r="Q314" s="181"/>
      <c r="R314" s="181"/>
      <c r="S314" s="181"/>
      <c r="T314" s="181"/>
      <c r="U314" s="181"/>
      <c r="V314" s="181"/>
      <c r="W314" s="181"/>
      <c r="X314" s="181"/>
      <c r="Y314" s="181"/>
      <c r="Z314" s="181"/>
      <c r="AA314" s="181"/>
      <c r="AB314" s="181"/>
      <c r="AC314" s="181"/>
      <c r="AD314" s="181"/>
      <c r="AE314" s="181"/>
    </row>
    <row r="315" spans="1:31">
      <c r="A315" s="236">
        <f>SUM(A294:A314)</f>
        <v>0</v>
      </c>
      <c r="B315" s="236">
        <f>SUM(B294:B314)</f>
        <v>0</v>
      </c>
      <c r="C315" s="237" t="s">
        <v>102</v>
      </c>
      <c r="D315" s="238">
        <f>D294+D297++D300+D303+D306+D309+D312</f>
        <v>0</v>
      </c>
      <c r="E315" s="238">
        <f t="shared" ref="E315:P315" si="57">E294+E297++E300+E303+E306+E309+E312</f>
        <v>0</v>
      </c>
      <c r="F315" s="238">
        <f t="shared" si="57"/>
        <v>0</v>
      </c>
      <c r="G315" s="238">
        <f t="shared" si="57"/>
        <v>0</v>
      </c>
      <c r="H315" s="238">
        <f t="shared" si="57"/>
        <v>0</v>
      </c>
      <c r="I315" s="239">
        <f t="shared" si="57"/>
        <v>0</v>
      </c>
      <c r="J315" s="238">
        <f t="shared" si="57"/>
        <v>350000</v>
      </c>
      <c r="K315" s="240">
        <f t="shared" si="57"/>
        <v>-350000</v>
      </c>
      <c r="L315" s="241">
        <f t="shared" si="57"/>
        <v>0</v>
      </c>
      <c r="M315" s="239">
        <f t="shared" si="57"/>
        <v>0</v>
      </c>
      <c r="N315" s="240">
        <f t="shared" si="57"/>
        <v>0</v>
      </c>
      <c r="O315" s="241">
        <f t="shared" si="57"/>
        <v>0</v>
      </c>
      <c r="P315" s="240">
        <f t="shared" si="57"/>
        <v>0</v>
      </c>
      <c r="Q315" s="242"/>
      <c r="R315" s="242"/>
      <c r="S315" s="242"/>
      <c r="T315" s="242"/>
      <c r="U315" s="242"/>
      <c r="V315" s="242"/>
      <c r="W315" s="181"/>
      <c r="X315" s="181"/>
      <c r="Y315" s="181"/>
      <c r="Z315" s="181"/>
      <c r="AA315" s="181"/>
      <c r="AB315" s="181"/>
      <c r="AC315" s="181"/>
      <c r="AD315" s="181"/>
      <c r="AE315" s="181"/>
    </row>
    <row r="316" spans="1:31">
      <c r="A316" s="243"/>
      <c r="B316" s="244"/>
      <c r="C316" s="244" t="s">
        <v>103</v>
      </c>
      <c r="D316" s="244"/>
      <c r="E316" s="244"/>
      <c r="F316" s="244"/>
      <c r="G316" s="244"/>
      <c r="H316" s="244"/>
      <c r="I316" s="245">
        <f>I315+L315</f>
        <v>0</v>
      </c>
      <c r="J316" s="246">
        <f>J315+K315</f>
        <v>0</v>
      </c>
      <c r="K316" s="247"/>
      <c r="L316" s="248"/>
      <c r="M316" s="249"/>
      <c r="N316" s="250">
        <f>M315-O315</f>
        <v>0</v>
      </c>
      <c r="O316" s="251"/>
      <c r="P316" s="201"/>
      <c r="Q316" s="181"/>
      <c r="R316" s="181"/>
      <c r="S316" s="181"/>
      <c r="T316" s="181"/>
      <c r="U316" s="181"/>
      <c r="V316" s="181"/>
      <c r="W316" s="181"/>
      <c r="X316" s="181"/>
      <c r="Y316" s="181"/>
      <c r="Z316" s="181"/>
      <c r="AA316" s="181"/>
      <c r="AB316" s="181"/>
      <c r="AC316" s="181"/>
      <c r="AD316" s="181"/>
      <c r="AE316" s="181"/>
    </row>
  </sheetData>
  <sheetProtection sheet="1" objects="1" scenarios="1"/>
  <mergeCells count="2">
    <mergeCell ref="K17:Q17"/>
    <mergeCell ref="K161:Q16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EFB4B-6A39-461B-AFB1-1AB0F9A36A3E}">
  <sheetPr>
    <tabColor rgb="FF00B050"/>
  </sheetPr>
  <dimension ref="B3:R537"/>
  <sheetViews>
    <sheetView topLeftCell="A499" workbookViewId="0">
      <selection activeCell="O539" sqref="O539"/>
    </sheetView>
  </sheetViews>
  <sheetFormatPr defaultRowHeight="15"/>
  <cols>
    <col min="1" max="1" width="11.42578125" customWidth="1"/>
    <col min="2" max="2" width="14.5703125" customWidth="1"/>
    <col min="3" max="3" width="12.42578125" customWidth="1"/>
    <col min="4" max="4" width="13.5703125" customWidth="1"/>
    <col min="5" max="5" width="13.85546875" customWidth="1"/>
    <col min="6" max="6" width="12.28515625" customWidth="1"/>
    <col min="7" max="7" width="12.5703125" customWidth="1"/>
    <col min="8" max="8" width="13" customWidth="1"/>
    <col min="9" max="9" width="13.5703125" customWidth="1"/>
    <col min="10" max="10" width="13.28515625" customWidth="1"/>
    <col min="11" max="11" width="12.7109375" customWidth="1"/>
    <col min="12" max="12" width="14.42578125" customWidth="1"/>
    <col min="13" max="13" width="18.7109375" customWidth="1"/>
    <col min="14" max="14" width="17.7109375" customWidth="1"/>
    <col min="15" max="15" width="19.7109375" customWidth="1"/>
    <col min="16" max="16" width="14.5703125" customWidth="1"/>
    <col min="17" max="17" width="16.85546875" customWidth="1"/>
    <col min="18" max="18" width="13.7109375" customWidth="1"/>
  </cols>
  <sheetData>
    <row r="3" spans="2:17">
      <c r="B3" s="171" t="s">
        <v>104</v>
      </c>
      <c r="C3" s="172"/>
      <c r="D3" s="173"/>
      <c r="E3" s="173"/>
      <c r="F3" s="173"/>
      <c r="G3" s="173"/>
      <c r="H3" s="173"/>
      <c r="I3" s="174" t="s">
        <v>88</v>
      </c>
      <c r="J3" s="175"/>
      <c r="K3" s="176"/>
      <c r="L3" s="177"/>
      <c r="M3" s="178"/>
      <c r="N3" s="179" t="s">
        <v>89</v>
      </c>
      <c r="O3" s="180" t="s">
        <v>29</v>
      </c>
    </row>
    <row r="4" spans="2:17">
      <c r="B4" s="183"/>
      <c r="C4" s="288" t="s">
        <v>91</v>
      </c>
      <c r="D4" s="289" t="s">
        <v>92</v>
      </c>
      <c r="E4" s="289" t="s">
        <v>93</v>
      </c>
      <c r="F4" s="289" t="s">
        <v>94</v>
      </c>
      <c r="G4" s="290" t="s">
        <v>95</v>
      </c>
      <c r="H4" s="291" t="s">
        <v>96</v>
      </c>
      <c r="I4" s="292" t="s">
        <v>97</v>
      </c>
      <c r="J4" s="187" t="s">
        <v>98</v>
      </c>
      <c r="K4" s="188" t="s">
        <v>29</v>
      </c>
      <c r="L4" s="189" t="s">
        <v>89</v>
      </c>
      <c r="M4" s="190" t="s">
        <v>99</v>
      </c>
      <c r="N4" s="191" t="s">
        <v>100</v>
      </c>
      <c r="O4" s="192" t="s">
        <v>99</v>
      </c>
    </row>
    <row r="5" spans="2:17">
      <c r="B5" s="195" t="s">
        <v>105</v>
      </c>
      <c r="C5" s="293">
        <f>'Mathew B'!K135</f>
        <v>12985</v>
      </c>
      <c r="D5" s="293">
        <f>'Mathew B'!L135</f>
        <v>6408</v>
      </c>
      <c r="E5" s="293">
        <f>'Mathew B'!M135</f>
        <v>5090</v>
      </c>
      <c r="F5" s="293">
        <f>'Mathew B'!N135</f>
        <v>6476.5</v>
      </c>
      <c r="G5" s="293">
        <f>'Mathew B'!O135</f>
        <v>21827</v>
      </c>
      <c r="H5" s="293">
        <f>'Mathew B'!P135</f>
        <v>52786.5</v>
      </c>
      <c r="I5" s="197">
        <v>50000</v>
      </c>
      <c r="J5" s="198">
        <f>-I5+H5</f>
        <v>2786.5</v>
      </c>
      <c r="K5" s="199">
        <f>'Mathew B'!Q135</f>
        <v>0</v>
      </c>
      <c r="L5" s="200">
        <f>H5</f>
        <v>52786.5</v>
      </c>
      <c r="M5" s="201">
        <f>'Mathew B'!R135</f>
        <v>17953</v>
      </c>
      <c r="N5" s="202">
        <f>L5-M5</f>
        <v>34833.5</v>
      </c>
      <c r="O5" s="203">
        <f>'Mathew B'!S135</f>
        <v>0</v>
      </c>
      <c r="P5">
        <f>'Mathew B'!F166+'Mathew B'!F177+'Mathew B'!F181</f>
        <v>52786.5</v>
      </c>
      <c r="Q5" s="294">
        <f>H5-P5</f>
        <v>0</v>
      </c>
    </row>
    <row r="6" spans="2:17">
      <c r="B6" s="204" t="s">
        <v>101</v>
      </c>
      <c r="C6" s="205" cm="1">
        <f t="array" ref="C6:C7">'Mathew B'!K138:K139</f>
        <v>0.5714285714285714</v>
      </c>
      <c r="D6" s="205" cm="1">
        <f t="array" ref="D6:D7">'Mathew B'!L138:L139</f>
        <v>0.38461538461538464</v>
      </c>
      <c r="E6" s="205" cm="1">
        <f t="array" ref="E6:E7">'Mathew B'!M138:M139</f>
        <v>0.42857142857142855</v>
      </c>
      <c r="F6" s="205" cm="1">
        <f t="array" ref="F6:F7">'Mathew B'!N138:N139</f>
        <v>0.625</v>
      </c>
      <c r="G6" s="205" cm="1">
        <f t="array" ref="G6:G7">'Mathew B'!O138:O139</f>
        <v>0.6</v>
      </c>
      <c r="H6" s="205" cm="1">
        <f t="array" ref="H6:H7">'Mathew B'!P138:P139</f>
        <v>0.51111111111111107</v>
      </c>
      <c r="I6" s="206"/>
      <c r="J6" s="207"/>
      <c r="K6" s="208" t="e" cm="1">
        <f t="array" ref="K6:K7">'Mathew B'!Q138:Q139</f>
        <v>#DIV/0!</v>
      </c>
      <c r="L6" s="189"/>
      <c r="M6" s="201"/>
      <c r="N6" s="191"/>
      <c r="O6" s="203"/>
    </row>
    <row r="7" spans="2:17">
      <c r="B7" s="204" t="s">
        <v>48</v>
      </c>
      <c r="C7" s="209">
        <v>3246.25</v>
      </c>
      <c r="D7" s="209">
        <v>1281.5999999999999</v>
      </c>
      <c r="E7" s="209">
        <v>1696.6666666666667</v>
      </c>
      <c r="F7" s="209">
        <v>1295.3</v>
      </c>
      <c r="G7" s="209">
        <v>3637.8333333333335</v>
      </c>
      <c r="H7" s="209">
        <v>2295.0652173913045</v>
      </c>
      <c r="I7" s="210"/>
      <c r="J7" s="211"/>
      <c r="K7" s="212" t="e">
        <v>#DIV/0!</v>
      </c>
      <c r="L7" s="213"/>
      <c r="M7" s="201"/>
      <c r="N7" s="214"/>
      <c r="O7" s="203"/>
    </row>
    <row r="8" spans="2:17">
      <c r="B8" s="195" t="s">
        <v>106</v>
      </c>
      <c r="C8" s="196">
        <f>'Ben - No OT'!K101</f>
        <v>8233</v>
      </c>
      <c r="D8" s="196">
        <f>'Ben - No OT'!L101</f>
        <v>4080</v>
      </c>
      <c r="E8" s="196">
        <f>'Ben - No OT'!M101</f>
        <v>16035</v>
      </c>
      <c r="F8" s="196">
        <f>'Ben - No OT'!N101</f>
        <v>1138</v>
      </c>
      <c r="G8" s="196">
        <f>'Ben - No OT'!O101</f>
        <v>2457.0500000000002</v>
      </c>
      <c r="H8" s="196">
        <f>'Ben - No OT'!P101</f>
        <v>31943.05</v>
      </c>
      <c r="I8" s="197">
        <v>25000</v>
      </c>
      <c r="J8" s="198">
        <f>-I8+H8</f>
        <v>6943.0499999999993</v>
      </c>
      <c r="K8" s="199">
        <f>'Ben - No OT'!Q101</f>
        <v>3206</v>
      </c>
      <c r="L8" s="215">
        <f>H8</f>
        <v>31943.05</v>
      </c>
      <c r="M8" s="216">
        <f>'Ben - No OT'!R101</f>
        <v>18484</v>
      </c>
      <c r="N8" s="217">
        <f>L8-M8</f>
        <v>13459.05</v>
      </c>
      <c r="O8" s="216">
        <f>'Ben - No OT'!S101</f>
        <v>0</v>
      </c>
      <c r="P8">
        <f>'Ben - No OT'!F122+'Ben - No OT'!F142+'Ben - No OT'!F147</f>
        <v>31943.05</v>
      </c>
      <c r="Q8" s="294">
        <f>H8-P8</f>
        <v>0</v>
      </c>
    </row>
    <row r="9" spans="2:17">
      <c r="B9" s="204" t="s">
        <v>101</v>
      </c>
      <c r="C9" s="205" cm="1">
        <f t="array" ref="C9:C10">'Ben - No OT'!K104:K105</f>
        <v>0.7142857142857143</v>
      </c>
      <c r="D9" s="205" cm="1">
        <f t="array" ref="D9:D10">'Ben - No OT'!L104:L105</f>
        <v>0.5</v>
      </c>
      <c r="E9" s="205" cm="1">
        <f t="array" ref="E9:E10">'Ben - No OT'!M104:M105</f>
        <v>0.6</v>
      </c>
      <c r="F9" s="205" cm="1">
        <f t="array" ref="F9:F10">'Ben - No OT'!N104:N105</f>
        <v>0.33333333333333331</v>
      </c>
      <c r="G9" s="205" cm="1">
        <f t="array" ref="G9:G10">'Ben - No OT'!O104:O105</f>
        <v>0.5</v>
      </c>
      <c r="H9" s="205" cm="1">
        <f t="array" ref="H9:H10">'Ben - No OT'!P104:P105</f>
        <v>0.55555555555555558</v>
      </c>
      <c r="I9" s="206"/>
      <c r="J9" s="218"/>
      <c r="K9" s="208" cm="1">
        <f t="array" ref="K9:K10">'Ben - No OT'!Q104:Q105</f>
        <v>0.6</v>
      </c>
      <c r="L9" s="219"/>
      <c r="M9" s="220"/>
      <c r="N9" s="221"/>
      <c r="O9" s="220"/>
    </row>
    <row r="10" spans="2:17">
      <c r="B10" s="204" t="s">
        <v>48</v>
      </c>
      <c r="C10" s="209">
        <v>1646.6</v>
      </c>
      <c r="D10" s="209">
        <v>1360</v>
      </c>
      <c r="E10" s="209">
        <v>5345</v>
      </c>
      <c r="F10" s="209">
        <v>1138</v>
      </c>
      <c r="G10" s="209">
        <v>819.01666666666677</v>
      </c>
      <c r="H10" s="209">
        <v>2129.5366666666664</v>
      </c>
      <c r="I10" s="206"/>
      <c r="J10" s="222"/>
      <c r="K10" s="212">
        <v>1068.6666666666667</v>
      </c>
      <c r="L10" s="223"/>
      <c r="M10" s="192"/>
      <c r="N10" s="224"/>
      <c r="O10" s="192"/>
    </row>
    <row r="11" spans="2:17">
      <c r="B11" s="195" t="s">
        <v>107</v>
      </c>
      <c r="C11" s="196">
        <f>'Shaun - No OT'!K97</f>
        <v>14401.8</v>
      </c>
      <c r="D11" s="196">
        <f>'Shaun - No OT'!L97</f>
        <v>5240.7000000000007</v>
      </c>
      <c r="E11" s="196">
        <f>'Shaun - No OT'!M97</f>
        <v>4785</v>
      </c>
      <c r="F11" s="196">
        <f>'Shaun - No OT'!N97</f>
        <v>16173</v>
      </c>
      <c r="G11" s="196">
        <f>'Shaun - No OT'!O97</f>
        <v>5060</v>
      </c>
      <c r="H11" s="196">
        <f>'Shaun - No OT'!P97</f>
        <v>45660.5</v>
      </c>
      <c r="I11" s="197">
        <v>25000</v>
      </c>
      <c r="J11" s="198">
        <f>-I11+H11</f>
        <v>20660.5</v>
      </c>
      <c r="K11" s="199">
        <f>'Shaun - No OT'!Q97</f>
        <v>0</v>
      </c>
      <c r="L11" s="200">
        <f>H11</f>
        <v>45660.5</v>
      </c>
      <c r="M11" s="225">
        <f>'Shaun - No OT'!R97</f>
        <v>12814</v>
      </c>
      <c r="N11" s="202">
        <f>L11-M11</f>
        <v>32846.5</v>
      </c>
      <c r="O11" s="230">
        <f>'Shaun - No OT'!S97</f>
        <v>0</v>
      </c>
      <c r="P11">
        <f>'Shaun - No OT'!F124+'Shaun - No OT'!F133</f>
        <v>45660.5</v>
      </c>
      <c r="Q11" s="294">
        <f>H11-P11</f>
        <v>0</v>
      </c>
    </row>
    <row r="12" spans="2:17">
      <c r="B12" s="204" t="s">
        <v>101</v>
      </c>
      <c r="C12" s="205" cm="1">
        <f t="array" ref="C12:C13">'Shaun - No OT'!K100:K101</f>
        <v>0.5714285714285714</v>
      </c>
      <c r="D12" s="205" cm="1">
        <f t="array" ref="D12:D13">'Shaun - No OT'!L100:L101</f>
        <v>0.22222222222222221</v>
      </c>
      <c r="E12" s="205" cm="1">
        <f t="array" ref="E12:E13">'Shaun - No OT'!M100:M101</f>
        <v>0.625</v>
      </c>
      <c r="F12" s="205" cm="1">
        <f t="array" ref="F12:F13">'Shaun - No OT'!N100:N101</f>
        <v>0.5</v>
      </c>
      <c r="G12" s="205" cm="1">
        <f t="array" ref="G12:G13">'Shaun - No OT'!O100:O101</f>
        <v>0.42857142857142855</v>
      </c>
      <c r="H12" s="205" cm="1">
        <f t="array" ref="H12:H13">'Shaun - No OT'!P100:P101</f>
        <v>0.46153846153846156</v>
      </c>
      <c r="I12" s="206"/>
      <c r="J12" s="207"/>
      <c r="K12" s="208" t="e" cm="1">
        <f t="array" ref="K12:K13">'Shaun - No OT'!Q100:Q101</f>
        <v>#DIV/0!</v>
      </c>
      <c r="L12" s="189"/>
      <c r="M12" s="201"/>
      <c r="N12" s="191"/>
      <c r="O12" s="203"/>
    </row>
    <row r="13" spans="2:17">
      <c r="B13" s="226" t="s">
        <v>48</v>
      </c>
      <c r="C13" s="227">
        <v>3600.45</v>
      </c>
      <c r="D13" s="227">
        <v>2620.3500000000004</v>
      </c>
      <c r="E13" s="227">
        <v>957</v>
      </c>
      <c r="F13" s="227">
        <v>4043.25</v>
      </c>
      <c r="G13" s="227">
        <v>1686.6666666666667</v>
      </c>
      <c r="H13" s="227">
        <v>2536.6944444444443</v>
      </c>
      <c r="I13" s="210"/>
      <c r="J13" s="211"/>
      <c r="K13" s="228" t="e">
        <v>#DIV/0!</v>
      </c>
      <c r="L13" s="213"/>
      <c r="M13" s="190"/>
      <c r="N13" s="214"/>
      <c r="O13" s="233"/>
    </row>
    <row r="14" spans="2:17">
      <c r="B14" s="195" t="s">
        <v>108</v>
      </c>
      <c r="C14" s="196">
        <f>'Jack M'!K113</f>
        <v>4952</v>
      </c>
      <c r="D14" s="196"/>
      <c r="E14" s="196">
        <f>'Jack M'!M113</f>
        <v>18356</v>
      </c>
      <c r="F14" s="196">
        <f>'Jack M'!N113</f>
        <v>0</v>
      </c>
      <c r="G14" s="196">
        <f>'Jack M'!O113</f>
        <v>23016</v>
      </c>
      <c r="H14" s="196">
        <f>'Jack M'!P113</f>
        <v>46324</v>
      </c>
      <c r="I14" s="197">
        <v>25000</v>
      </c>
      <c r="J14" s="198">
        <f>-I14+H14</f>
        <v>21324</v>
      </c>
      <c r="K14" s="199">
        <f>'Jack M'!Q113</f>
        <v>0</v>
      </c>
      <c r="L14" s="200">
        <f>H14</f>
        <v>46324</v>
      </c>
      <c r="M14" s="225">
        <f>'Jack M'!R113</f>
        <v>35171</v>
      </c>
      <c r="N14" s="202">
        <f>L14-M14</f>
        <v>11153</v>
      </c>
      <c r="O14" s="230">
        <f>'Jack M'!S113</f>
        <v>0</v>
      </c>
      <c r="P14">
        <f>'Jack M'!F130+'Jack M'!F142+'Jack M'!F147</f>
        <v>46324</v>
      </c>
      <c r="Q14" s="294">
        <f>H14-P14</f>
        <v>0</v>
      </c>
    </row>
    <row r="15" spans="2:17">
      <c r="B15" s="204" t="s">
        <v>101</v>
      </c>
      <c r="C15" s="205" cm="1">
        <f t="array" ref="C15:C16">'Jack M'!K116:K117</f>
        <v>0.5</v>
      </c>
      <c r="D15" s="205"/>
      <c r="E15" s="205" cm="1">
        <f t="array" ref="E15:E16">'Jack M'!M116:M117</f>
        <v>0.42857142857142855</v>
      </c>
      <c r="F15" s="205" cm="1">
        <f t="array" ref="F15:F16">'Jack M'!N116:N117</f>
        <v>0</v>
      </c>
      <c r="G15" s="205" cm="1">
        <f t="array" ref="G15:G16">'Jack M'!O116:O117</f>
        <v>0.8571428571428571</v>
      </c>
      <c r="H15" s="205" cm="1">
        <f t="array" ref="H15:H16">'Jack M'!P116:P117</f>
        <v>0.46153846153846156</v>
      </c>
      <c r="I15" s="206"/>
      <c r="J15" s="207"/>
      <c r="K15" s="208" t="e" cm="1">
        <f t="array" ref="K15:K16">'Jack M'!Q116:Q117</f>
        <v>#DIV/0!</v>
      </c>
      <c r="L15" s="189"/>
      <c r="M15" s="201"/>
      <c r="N15" s="191"/>
      <c r="O15" s="203"/>
    </row>
    <row r="16" spans="2:17">
      <c r="B16" s="226" t="s">
        <v>48</v>
      </c>
      <c r="C16" s="227">
        <v>1650.6666666666667</v>
      </c>
      <c r="D16" s="227"/>
      <c r="E16" s="227">
        <v>6118.666666666667</v>
      </c>
      <c r="F16" s="227" t="e">
        <v>#DIV/0!</v>
      </c>
      <c r="G16" s="227">
        <v>3836</v>
      </c>
      <c r="H16" s="227">
        <v>3860.3333333333335</v>
      </c>
      <c r="I16" s="210"/>
      <c r="J16" s="211"/>
      <c r="K16" s="228" t="e">
        <v>#DIV/0!</v>
      </c>
      <c r="L16" s="213"/>
      <c r="M16" s="190"/>
      <c r="N16" s="214"/>
      <c r="O16" s="233"/>
    </row>
    <row r="17" spans="2:18">
      <c r="B17" s="195" t="s">
        <v>109</v>
      </c>
      <c r="C17" s="196">
        <f>Liam!K103</f>
        <v>4285</v>
      </c>
      <c r="D17" s="196">
        <f>Liam!L103</f>
        <v>5475</v>
      </c>
      <c r="E17" s="196">
        <f>Liam!M103</f>
        <v>21959</v>
      </c>
      <c r="F17" s="196">
        <f>Liam!N103</f>
        <v>1025</v>
      </c>
      <c r="G17" s="196">
        <f>Liam!O103</f>
        <v>6238</v>
      </c>
      <c r="H17" s="196">
        <f>Liam!P103</f>
        <v>38982</v>
      </c>
      <c r="I17" s="197">
        <v>25000</v>
      </c>
      <c r="J17" s="198">
        <f>-I17+H17</f>
        <v>13982</v>
      </c>
      <c r="K17" s="199">
        <f>Liam!Q103</f>
        <v>0</v>
      </c>
      <c r="L17" s="200">
        <f>H17</f>
        <v>38982</v>
      </c>
      <c r="M17" s="225">
        <f>Liam!R103</f>
        <v>17756</v>
      </c>
      <c r="N17" s="202">
        <f>L17-M17</f>
        <v>21226</v>
      </c>
      <c r="O17" s="230">
        <f>Liam!S103</f>
        <v>0</v>
      </c>
      <c r="P17">
        <f>Liam!F124+Liam!F134+Liam!F138</f>
        <v>38982</v>
      </c>
      <c r="Q17" s="294">
        <f>H17-P17</f>
        <v>0</v>
      </c>
    </row>
    <row r="18" spans="2:18">
      <c r="B18" s="204" t="s">
        <v>101</v>
      </c>
      <c r="C18" s="205" cm="1">
        <f t="array" ref="C18:C19">Liam!K106:K107</f>
        <v>0.33333333333333331</v>
      </c>
      <c r="D18" s="205" cm="1">
        <f t="array" ref="D18:D19">Liam!L106:L107</f>
        <v>0.33333333333333331</v>
      </c>
      <c r="E18" s="205" cm="1">
        <f t="array" ref="E18:E19">Liam!M106:M107</f>
        <v>0.75</v>
      </c>
      <c r="F18" s="205" cm="1">
        <f t="array" ref="F18:F19">Liam!N106:N107</f>
        <v>0.25</v>
      </c>
      <c r="G18" s="205" cm="1">
        <f t="array" ref="G18:G19">Liam!O106:O107</f>
        <v>0.27272727272727271</v>
      </c>
      <c r="H18" s="205" cm="1">
        <f t="array" ref="H18:H19">Liam!P106:P107</f>
        <v>0.4</v>
      </c>
      <c r="I18" s="206"/>
      <c r="J18" s="207"/>
      <c r="K18" s="208" t="e" cm="1">
        <f t="array" ref="K18:K19">Liam!Q106:Q107</f>
        <v>#DIV/0!</v>
      </c>
      <c r="L18" s="189"/>
      <c r="M18" s="201"/>
      <c r="N18" s="191"/>
      <c r="O18" s="203"/>
    </row>
    <row r="19" spans="2:18">
      <c r="B19" s="226" t="s">
        <v>48</v>
      </c>
      <c r="C19" s="227">
        <v>2142.5</v>
      </c>
      <c r="D19" s="227">
        <v>2737.5</v>
      </c>
      <c r="E19" s="227">
        <v>3659.8333333333335</v>
      </c>
      <c r="F19" s="227">
        <v>1025</v>
      </c>
      <c r="G19" s="227">
        <v>2079.3333333333335</v>
      </c>
      <c r="H19" s="227">
        <v>2784.4285714285716</v>
      </c>
      <c r="I19" s="210"/>
      <c r="J19" s="211"/>
      <c r="K19" s="228" t="e">
        <v>#DIV/0!</v>
      </c>
      <c r="L19" s="213"/>
      <c r="M19" s="190"/>
      <c r="N19" s="214"/>
      <c r="O19" s="233"/>
    </row>
    <row r="20" spans="2:18">
      <c r="B20" s="195" t="s">
        <v>110</v>
      </c>
      <c r="C20" s="196"/>
      <c r="D20" s="196"/>
      <c r="E20" s="196">
        <f>+'Rhys C'!M19</f>
        <v>2935</v>
      </c>
      <c r="F20" s="196"/>
      <c r="G20" s="196"/>
      <c r="H20" s="196">
        <f>+'Rhys C'!P19</f>
        <v>2935</v>
      </c>
      <c r="I20" s="197">
        <v>25000</v>
      </c>
      <c r="J20" s="198">
        <f>-I20+H20</f>
        <v>-22065</v>
      </c>
      <c r="K20" s="199">
        <f>+'Rhys C'!Q19</f>
        <v>0</v>
      </c>
      <c r="L20" s="200">
        <f>H20</f>
        <v>2935</v>
      </c>
      <c r="M20" s="225">
        <f>+'Rhys C'!R19</f>
        <v>0</v>
      </c>
      <c r="N20" s="202">
        <f>L20-M20</f>
        <v>2935</v>
      </c>
      <c r="O20" s="216">
        <f>+'Rhys C'!S19</f>
        <v>0</v>
      </c>
      <c r="P20">
        <f>+'Rhys C'!P19</f>
        <v>2935</v>
      </c>
      <c r="Q20" s="294">
        <f>H20-P20</f>
        <v>0</v>
      </c>
    </row>
    <row r="21" spans="2:18">
      <c r="B21" s="204" t="s">
        <v>101</v>
      </c>
      <c r="C21" s="205"/>
      <c r="D21" s="205"/>
      <c r="E21" s="205">
        <f>+'Rhys C'!M22</f>
        <v>1</v>
      </c>
      <c r="F21" s="205"/>
      <c r="G21" s="205"/>
      <c r="H21" s="205">
        <f>+'Rhys C'!P22</f>
        <v>1</v>
      </c>
      <c r="I21" s="206"/>
      <c r="J21" s="207"/>
      <c r="K21" s="208" t="e">
        <f>+'Rhys C'!Q14</f>
        <v>#DIV/0!</v>
      </c>
      <c r="L21" s="189"/>
      <c r="M21" s="201"/>
      <c r="N21" s="191"/>
      <c r="O21" s="220"/>
    </row>
    <row r="22" spans="2:18">
      <c r="B22" s="226" t="s">
        <v>48</v>
      </c>
      <c r="C22" s="227"/>
      <c r="D22" s="227"/>
      <c r="E22" s="227">
        <f>+'Rhys C'!M23</f>
        <v>2935</v>
      </c>
      <c r="F22" s="227"/>
      <c r="G22" s="227"/>
      <c r="H22" s="227">
        <f>+'Rhys C'!P23</f>
        <v>2935</v>
      </c>
      <c r="I22" s="206"/>
      <c r="J22" s="211"/>
      <c r="K22" s="228" t="e">
        <f>+'Rhys C'!Q15</f>
        <v>#DIV/0!</v>
      </c>
      <c r="L22" s="213"/>
      <c r="M22" s="201"/>
      <c r="N22" s="214"/>
      <c r="O22" s="220"/>
    </row>
    <row r="23" spans="2:18">
      <c r="B23" s="237" t="s">
        <v>102</v>
      </c>
      <c r="C23" s="238">
        <f t="shared" ref="C23:O23" si="0">C5+C8+C20+C11+C14+C17</f>
        <v>44856.800000000003</v>
      </c>
      <c r="D23" s="238">
        <f t="shared" si="0"/>
        <v>21203.7</v>
      </c>
      <c r="E23" s="238">
        <f t="shared" si="0"/>
        <v>69160</v>
      </c>
      <c r="F23" s="238">
        <f t="shared" si="0"/>
        <v>24812.5</v>
      </c>
      <c r="G23" s="238">
        <f t="shared" si="0"/>
        <v>58598.05</v>
      </c>
      <c r="H23" s="239">
        <f t="shared" si="0"/>
        <v>218631.05</v>
      </c>
      <c r="I23" s="238">
        <f t="shared" si="0"/>
        <v>175000</v>
      </c>
      <c r="J23" s="240">
        <f t="shared" si="0"/>
        <v>43631.05</v>
      </c>
      <c r="K23" s="241">
        <f t="shared" si="0"/>
        <v>3206</v>
      </c>
      <c r="L23" s="239">
        <f t="shared" si="0"/>
        <v>218631.05</v>
      </c>
      <c r="M23" s="240">
        <f t="shared" si="0"/>
        <v>102178</v>
      </c>
      <c r="N23" s="241">
        <f t="shared" si="0"/>
        <v>116453.05</v>
      </c>
      <c r="O23" s="240">
        <f t="shared" si="0"/>
        <v>0</v>
      </c>
    </row>
    <row r="24" spans="2:18">
      <c r="B24" s="244" t="s">
        <v>103</v>
      </c>
      <c r="C24" s="244"/>
      <c r="D24" s="244"/>
      <c r="E24" s="244"/>
      <c r="F24" s="244"/>
      <c r="G24" s="244"/>
      <c r="H24" s="245">
        <f>H23+K23</f>
        <v>221837.05</v>
      </c>
      <c r="I24" s="246">
        <f>I23+J23</f>
        <v>218631.05</v>
      </c>
      <c r="J24" s="247"/>
      <c r="K24" s="248"/>
      <c r="L24" s="249"/>
      <c r="M24" s="250">
        <f>L23-N23</f>
        <v>102177.99999999999</v>
      </c>
      <c r="N24" s="251"/>
      <c r="O24" s="201"/>
      <c r="P24">
        <f>'Ben - No OT'!P101+'Jack M'!P113+Liam!P103+'Mathew B'!P135+'Shaun - No OT'!P97+'Rhys C'!P19</f>
        <v>218631.05</v>
      </c>
      <c r="Q24">
        <f>'Ben - No OT'!Q101+'Jack M'!Q113+Liam!Q103+'Mathew B'!Q135+'Shaun - No OT'!Q97</f>
        <v>3206</v>
      </c>
      <c r="R24">
        <f>'Ben - No OT'!R101+'Jack M'!R113+Liam!R103+'Mathew B'!R135+'Shaun - No OT'!R97</f>
        <v>102178</v>
      </c>
    </row>
    <row r="25" spans="2:18">
      <c r="P25">
        <f>P24+Q24</f>
        <v>221837.05</v>
      </c>
    </row>
    <row r="27" spans="2:18">
      <c r="B27" s="171" t="s">
        <v>111</v>
      </c>
      <c r="C27" s="172"/>
      <c r="D27" s="173"/>
      <c r="E27" s="173"/>
      <c r="F27" s="173"/>
      <c r="G27" s="173"/>
      <c r="H27" s="173"/>
      <c r="I27" s="174" t="s">
        <v>88</v>
      </c>
      <c r="J27" s="175"/>
      <c r="K27" s="176"/>
      <c r="L27" s="177"/>
      <c r="M27" s="178"/>
      <c r="N27" s="179" t="s">
        <v>89</v>
      </c>
      <c r="O27" s="180" t="s">
        <v>29</v>
      </c>
    </row>
    <row r="28" spans="2:18">
      <c r="B28" s="183"/>
      <c r="C28" s="288" t="s">
        <v>91</v>
      </c>
      <c r="D28" s="289" t="s">
        <v>92</v>
      </c>
      <c r="E28" s="289" t="s">
        <v>93</v>
      </c>
      <c r="F28" s="289" t="s">
        <v>94</v>
      </c>
      <c r="G28" s="290" t="s">
        <v>95</v>
      </c>
      <c r="H28" s="291" t="s">
        <v>96</v>
      </c>
      <c r="I28" s="292" t="s">
        <v>97</v>
      </c>
      <c r="J28" s="187" t="s">
        <v>98</v>
      </c>
      <c r="K28" s="188" t="s">
        <v>29</v>
      </c>
      <c r="L28" s="189" t="s">
        <v>89</v>
      </c>
      <c r="M28" s="190" t="s">
        <v>99</v>
      </c>
      <c r="N28" s="191" t="s">
        <v>100</v>
      </c>
      <c r="O28" s="192" t="s">
        <v>99</v>
      </c>
    </row>
    <row r="29" spans="2:18">
      <c r="B29" s="195" t="s">
        <v>105</v>
      </c>
      <c r="C29" s="293">
        <f>'Mathew B'!K244</f>
        <v>2035</v>
      </c>
      <c r="D29" s="293">
        <f>'Mathew B'!L244</f>
        <v>1734</v>
      </c>
      <c r="E29" s="293">
        <f>'Mathew B'!M244</f>
        <v>12121</v>
      </c>
      <c r="F29" s="293">
        <f>'Mathew B'!N244</f>
        <v>11723</v>
      </c>
      <c r="G29" s="293">
        <f>'Mathew B'!O244</f>
        <v>11872</v>
      </c>
      <c r="H29" s="293">
        <f>'Mathew B'!P244</f>
        <v>39485</v>
      </c>
      <c r="I29" s="197">
        <v>50000</v>
      </c>
      <c r="J29" s="198">
        <f>-I29+H29</f>
        <v>-10515</v>
      </c>
      <c r="K29" s="199"/>
      <c r="L29" s="200">
        <f>H29</f>
        <v>39485</v>
      </c>
      <c r="M29" s="201">
        <f>'Mathew B'!R244</f>
        <v>17223</v>
      </c>
      <c r="N29" s="202">
        <f>L29-M29</f>
        <v>22262</v>
      </c>
      <c r="O29" s="203">
        <f>'Mathew B'!S244</f>
        <v>0</v>
      </c>
      <c r="P29">
        <f>'Mathew B'!F271+'Mathew B'!F283+'Mathew B'!F288</f>
        <v>39485</v>
      </c>
      <c r="Q29" s="294">
        <f>H29-P29</f>
        <v>0</v>
      </c>
    </row>
    <row r="30" spans="2:18">
      <c r="B30" s="204" t="s">
        <v>101</v>
      </c>
      <c r="C30" s="205" cm="1">
        <f t="array" ref="C30:C31">'Mathew B'!K247:K248</f>
        <v>0.1</v>
      </c>
      <c r="D30" s="205" cm="1">
        <f t="array" ref="D30:D31">'Mathew B'!L247:L248</f>
        <v>0.4</v>
      </c>
      <c r="E30" s="205" cm="1">
        <f t="array" ref="E30:E31">'Mathew B'!M247:M248</f>
        <v>0.5</v>
      </c>
      <c r="F30" s="205" cm="1">
        <f t="array" ref="F30:F31">'Mathew B'!N247:N248</f>
        <v>0.5</v>
      </c>
      <c r="G30" s="205" cm="1">
        <f t="array" ref="G30:G31">'Mathew B'!O247:O248</f>
        <v>0.54545454545454541</v>
      </c>
      <c r="H30" s="205" cm="1">
        <f t="array" ref="H30:H31">'Mathew B'!P247:P248</f>
        <v>0.41666666666666669</v>
      </c>
      <c r="I30" s="206"/>
      <c r="J30" s="207"/>
      <c r="K30" s="208"/>
      <c r="L30" s="189"/>
      <c r="M30" s="201"/>
      <c r="N30" s="191"/>
      <c r="O30" s="203"/>
    </row>
    <row r="31" spans="2:18">
      <c r="B31" s="204" t="s">
        <v>48</v>
      </c>
      <c r="C31" s="209">
        <v>2035</v>
      </c>
      <c r="D31" s="209">
        <v>867</v>
      </c>
      <c r="E31" s="209">
        <v>2020.1666666666667</v>
      </c>
      <c r="F31" s="209">
        <v>2344.6</v>
      </c>
      <c r="G31" s="209">
        <v>1978.6666666666667</v>
      </c>
      <c r="H31" s="209">
        <v>1974.25</v>
      </c>
      <c r="I31" s="210"/>
      <c r="J31" s="211"/>
      <c r="K31" s="212"/>
      <c r="L31" s="213"/>
      <c r="M31" s="201"/>
      <c r="N31" s="214"/>
      <c r="O31" s="203"/>
    </row>
    <row r="32" spans="2:18">
      <c r="B32" s="195" t="s">
        <v>106</v>
      </c>
      <c r="C32" s="196">
        <f>'Ben - No OT'!K203</f>
        <v>3003</v>
      </c>
      <c r="D32" s="196">
        <f>'Ben - No OT'!L203</f>
        <v>481</v>
      </c>
      <c r="E32" s="196">
        <f>'Ben - No OT'!M203</f>
        <v>8094</v>
      </c>
      <c r="F32" s="196">
        <f>'Ben - No OT'!N203</f>
        <v>2399</v>
      </c>
      <c r="G32" s="196">
        <f>'Ben - No OT'!O203</f>
        <v>15264</v>
      </c>
      <c r="H32" s="196">
        <f>'Ben - No OT'!P203</f>
        <v>29241</v>
      </c>
      <c r="I32" s="197">
        <v>25000</v>
      </c>
      <c r="J32" s="198">
        <f>-I32+H32</f>
        <v>4241</v>
      </c>
      <c r="K32" s="199">
        <f>'Ben - No OT'!Q203</f>
        <v>3786</v>
      </c>
      <c r="L32" s="215">
        <f>H32</f>
        <v>29241</v>
      </c>
      <c r="M32" s="216">
        <f>'Ben - No OT'!R203</f>
        <v>9043</v>
      </c>
      <c r="N32" s="217">
        <f>L32-M32</f>
        <v>20198</v>
      </c>
      <c r="O32" s="216">
        <f>'Ben - No OT'!S203</f>
        <v>0</v>
      </c>
      <c r="P32">
        <f>'Ben - No OT'!F226+'Ben - No OT'!F243+'Ben - No OT'!F247</f>
        <v>29241</v>
      </c>
      <c r="Q32" s="294">
        <f>H32-P32</f>
        <v>0</v>
      </c>
    </row>
    <row r="33" spans="2:18">
      <c r="B33" s="204" t="s">
        <v>101</v>
      </c>
      <c r="C33" s="205" cm="1">
        <f t="array" ref="C33:C34">'Ben - No OT'!K206:K207</f>
        <v>0.75</v>
      </c>
      <c r="D33" s="205" cm="1">
        <f t="array" ref="D33:D34">'Ben - No OT'!L206:L207</f>
        <v>0.25</v>
      </c>
      <c r="E33" s="205" cm="1">
        <f t="array" ref="E33:E34">'Ben - No OT'!M206:M207</f>
        <v>0.36363636363636365</v>
      </c>
      <c r="F33" s="205" cm="1">
        <f t="array" ref="F33:F34">'Ben - No OT'!N206:N207</f>
        <v>0.2857142857142857</v>
      </c>
      <c r="G33" s="205" cm="1">
        <f t="array" ref="G33:G34">'Ben - No OT'!O206:O207</f>
        <v>0.55555555555555558</v>
      </c>
      <c r="H33" s="205" cm="1">
        <f t="array" ref="H33:H34">'Ben - No OT'!P206:P207</f>
        <v>0.42857142857142855</v>
      </c>
      <c r="I33" s="206"/>
      <c r="J33" s="218"/>
      <c r="K33" s="208" cm="1">
        <f t="array" ref="K33:K34">'Ben - No OT'!Q206:Q207</f>
        <v>0.6</v>
      </c>
      <c r="L33" s="219"/>
      <c r="M33" s="220"/>
      <c r="N33" s="221"/>
      <c r="O33" s="220"/>
    </row>
    <row r="34" spans="2:18">
      <c r="B34" s="204" t="s">
        <v>48</v>
      </c>
      <c r="C34" s="209">
        <v>1001</v>
      </c>
      <c r="D34" s="209">
        <v>481</v>
      </c>
      <c r="E34" s="209">
        <v>2023.5</v>
      </c>
      <c r="F34" s="209">
        <v>1199.5</v>
      </c>
      <c r="G34" s="209">
        <v>3052.8</v>
      </c>
      <c r="H34" s="209">
        <v>1949.4</v>
      </c>
      <c r="I34" s="206"/>
      <c r="J34" s="222"/>
      <c r="K34" s="212">
        <v>1262</v>
      </c>
      <c r="L34" s="223"/>
      <c r="M34" s="192"/>
      <c r="N34" s="224"/>
      <c r="O34" s="192"/>
    </row>
    <row r="35" spans="2:18">
      <c r="B35" s="195" t="s">
        <v>107</v>
      </c>
      <c r="C35" s="196">
        <f>'Shaun - No OT'!K191</f>
        <v>8656</v>
      </c>
      <c r="D35" s="196">
        <f>'Shaun - No OT'!L191</f>
        <v>8938</v>
      </c>
      <c r="E35" s="196"/>
      <c r="F35" s="196"/>
      <c r="G35" s="196"/>
      <c r="H35" s="196">
        <f>'Shaun - No OT'!P191</f>
        <v>17594</v>
      </c>
      <c r="I35" s="197">
        <v>25000</v>
      </c>
      <c r="J35" s="198">
        <f>-I35+H35</f>
        <v>-7406</v>
      </c>
      <c r="K35" s="199"/>
      <c r="L35" s="200">
        <f>H35</f>
        <v>17594</v>
      </c>
      <c r="M35" s="225">
        <f>'Shaun - No OT'!R191</f>
        <v>0</v>
      </c>
      <c r="N35" s="202">
        <f>L35-M35</f>
        <v>17594</v>
      </c>
      <c r="O35" s="230">
        <f>'Shaun - No OT'!S191</f>
        <v>0</v>
      </c>
      <c r="P35">
        <f>'Shaun - No OT'!F207</f>
        <v>17594</v>
      </c>
      <c r="Q35" s="294">
        <f>H35-P35</f>
        <v>0</v>
      </c>
    </row>
    <row r="36" spans="2:18">
      <c r="B36" s="204" t="s">
        <v>101</v>
      </c>
      <c r="C36" s="205" cm="1">
        <f t="array" ref="C36:C37">'Shaun - No OT'!K194:K195</f>
        <v>0.5</v>
      </c>
      <c r="D36" s="205" cm="1">
        <f t="array" ref="D36:D37">'Shaun - No OT'!L194:L195</f>
        <v>0.75</v>
      </c>
      <c r="E36" s="205"/>
      <c r="F36" s="205"/>
      <c r="G36" s="205"/>
      <c r="H36" s="205" cm="1">
        <f t="array" ref="H36:H37">'Shaun - No OT'!P194:P195</f>
        <v>0.6</v>
      </c>
      <c r="I36" s="206"/>
      <c r="J36" s="207"/>
      <c r="K36" s="208"/>
      <c r="L36" s="189"/>
      <c r="M36" s="201"/>
      <c r="N36" s="191"/>
      <c r="O36" s="203"/>
    </row>
    <row r="37" spans="2:18">
      <c r="B37" s="226" t="s">
        <v>48</v>
      </c>
      <c r="C37" s="227">
        <v>2885.3333333333335</v>
      </c>
      <c r="D37" s="227">
        <v>2979.3333333333335</v>
      </c>
      <c r="E37" s="227"/>
      <c r="F37" s="227"/>
      <c r="G37" s="227"/>
      <c r="H37" s="227">
        <v>2932.3333333333335</v>
      </c>
      <c r="I37" s="210"/>
      <c r="J37" s="211"/>
      <c r="K37" s="228"/>
      <c r="L37" s="213"/>
      <c r="M37" s="190"/>
      <c r="N37" s="214"/>
      <c r="O37" s="233"/>
    </row>
    <row r="38" spans="2:18">
      <c r="B38" s="195" t="s">
        <v>108</v>
      </c>
      <c r="C38" s="196">
        <f>'Jack M'!K192</f>
        <v>3672</v>
      </c>
      <c r="D38" s="196">
        <f>'Jack M'!L192</f>
        <v>1138</v>
      </c>
      <c r="E38" s="196"/>
      <c r="F38" s="196"/>
      <c r="G38" s="196"/>
      <c r="H38" s="196">
        <f>'Jack M'!P192</f>
        <v>4810</v>
      </c>
      <c r="I38" s="197">
        <v>25000</v>
      </c>
      <c r="J38" s="198">
        <f>-I38+H38</f>
        <v>-20190</v>
      </c>
      <c r="K38" s="199"/>
      <c r="L38" s="200">
        <f>H38</f>
        <v>4810</v>
      </c>
      <c r="M38" s="225">
        <f>'Jack M'!R192</f>
        <v>0</v>
      </c>
      <c r="N38" s="202">
        <f>L38-M38</f>
        <v>4810</v>
      </c>
      <c r="O38" s="230">
        <f>'Jack M'!S192</f>
        <v>0</v>
      </c>
      <c r="P38">
        <f>'Jack M'!F206</f>
        <v>4810</v>
      </c>
      <c r="Q38" s="294">
        <f>H38-P38</f>
        <v>0</v>
      </c>
    </row>
    <row r="39" spans="2:18">
      <c r="B39" s="204" t="s">
        <v>101</v>
      </c>
      <c r="C39" s="205" cm="1">
        <f t="array" ref="C39:C40">'Jack M'!K195:K196</f>
        <v>0.375</v>
      </c>
      <c r="D39" s="205" cm="1">
        <f t="array" ref="D39:D40">'Jack M'!L195:L196</f>
        <v>0.14285714285714285</v>
      </c>
      <c r="E39" s="205"/>
      <c r="F39" s="205"/>
      <c r="G39" s="205"/>
      <c r="H39" s="205" cm="1">
        <f t="array" ref="H39:H40">'Jack M'!P195:P196</f>
        <v>0.26666666666666666</v>
      </c>
      <c r="I39" s="206"/>
      <c r="J39" s="207"/>
      <c r="K39" s="208"/>
      <c r="L39" s="189"/>
      <c r="M39" s="201"/>
      <c r="N39" s="191"/>
      <c r="O39" s="203"/>
    </row>
    <row r="40" spans="2:18">
      <c r="B40" s="226" t="s">
        <v>48</v>
      </c>
      <c r="C40" s="227">
        <v>1224</v>
      </c>
      <c r="D40" s="227">
        <v>1138</v>
      </c>
      <c r="E40" s="227"/>
      <c r="F40" s="227"/>
      <c r="G40" s="227"/>
      <c r="H40" s="227">
        <v>1202.5</v>
      </c>
      <c r="I40" s="210"/>
      <c r="J40" s="211"/>
      <c r="K40" s="228"/>
      <c r="L40" s="213"/>
      <c r="M40" s="190"/>
      <c r="N40" s="214"/>
      <c r="O40" s="233"/>
    </row>
    <row r="41" spans="2:18">
      <c r="B41" s="195" t="s">
        <v>109</v>
      </c>
      <c r="C41" s="196">
        <f>Liam!K188</f>
        <v>4152</v>
      </c>
      <c r="D41" s="196"/>
      <c r="E41" s="196">
        <f>Liam!M188</f>
        <v>7759</v>
      </c>
      <c r="F41" s="196">
        <f>Liam!N188</f>
        <v>8192</v>
      </c>
      <c r="G41" s="196">
        <f>Liam!O188</f>
        <v>3970</v>
      </c>
      <c r="H41" s="196">
        <f>Liam!P188</f>
        <v>24073</v>
      </c>
      <c r="I41" s="197">
        <v>25000</v>
      </c>
      <c r="J41" s="198">
        <f>-I41+H41</f>
        <v>-927</v>
      </c>
      <c r="K41" s="199"/>
      <c r="L41" s="200">
        <f>H41</f>
        <v>24073</v>
      </c>
      <c r="M41" s="225">
        <f>Liam!R188</f>
        <v>10131</v>
      </c>
      <c r="N41" s="202">
        <f>L41-M41</f>
        <v>13942</v>
      </c>
      <c r="O41" s="230">
        <f>Liam!S188</f>
        <v>0</v>
      </c>
      <c r="P41">
        <f>Liam!F208+Liam!F218+Liam!F224</f>
        <v>24073</v>
      </c>
      <c r="Q41" s="294">
        <f>H41-P41</f>
        <v>0</v>
      </c>
    </row>
    <row r="42" spans="2:18">
      <c r="B42" s="204" t="s">
        <v>101</v>
      </c>
      <c r="C42" s="205" cm="1">
        <f t="array" ref="C42:C43">Liam!K191:K192</f>
        <v>1</v>
      </c>
      <c r="D42" s="205"/>
      <c r="E42" s="205" cm="1">
        <f t="array" ref="E42:E43">Liam!M191:M192</f>
        <v>0.6</v>
      </c>
      <c r="F42" s="205" cm="1">
        <f t="array" ref="F42:F43">Liam!N191:N192</f>
        <v>0.45454545454545453</v>
      </c>
      <c r="G42" s="205" cm="1">
        <f t="array" ref="G42:G43">Liam!O191:O192</f>
        <v>0.33333333333333331</v>
      </c>
      <c r="H42" s="205" cm="1">
        <f t="array" ref="H42:H43">Liam!P191:P192</f>
        <v>0.44117647058823528</v>
      </c>
      <c r="I42" s="206"/>
      <c r="J42" s="207"/>
      <c r="K42" s="208"/>
      <c r="L42" s="189"/>
      <c r="M42" s="201"/>
      <c r="N42" s="191"/>
      <c r="O42" s="203"/>
    </row>
    <row r="43" spans="2:18">
      <c r="B43" s="226" t="s">
        <v>48</v>
      </c>
      <c r="C43" s="227">
        <v>1038</v>
      </c>
      <c r="D43" s="227"/>
      <c r="E43" s="227">
        <v>2586.3333333333335</v>
      </c>
      <c r="F43" s="227">
        <v>1638.4</v>
      </c>
      <c r="G43" s="227">
        <v>1323.3333333333333</v>
      </c>
      <c r="H43" s="227">
        <v>1604.8666666666666</v>
      </c>
      <c r="I43" s="210"/>
      <c r="J43" s="211"/>
      <c r="K43" s="228"/>
      <c r="L43" s="213"/>
      <c r="M43" s="190"/>
      <c r="N43" s="214"/>
      <c r="O43" s="233"/>
    </row>
    <row r="44" spans="2:18">
      <c r="B44" s="195" t="s">
        <v>112</v>
      </c>
      <c r="C44" s="196"/>
      <c r="D44" s="196"/>
      <c r="E44" s="196">
        <f>'Jarrod - No OT'!M58</f>
        <v>17023</v>
      </c>
      <c r="F44" s="196">
        <f>'Jarrod - No OT'!N58</f>
        <v>18411.599999999999</v>
      </c>
      <c r="G44" s="196">
        <f>'Jarrod - No OT'!O58</f>
        <v>24484</v>
      </c>
      <c r="H44" s="196">
        <f>'Jarrod - No OT'!P58</f>
        <v>59918.6</v>
      </c>
      <c r="I44" s="197">
        <v>25000</v>
      </c>
      <c r="J44" s="198">
        <f>-I44+H44</f>
        <v>34918.6</v>
      </c>
      <c r="K44" s="199"/>
      <c r="L44" s="200">
        <f>H44</f>
        <v>59918.6</v>
      </c>
      <c r="M44" s="225">
        <f>'Jarrod - No OT'!R58</f>
        <v>58780.6</v>
      </c>
      <c r="N44" s="202">
        <f>L44-M44</f>
        <v>1138</v>
      </c>
      <c r="O44" s="230">
        <f>'Jarrod - No OT'!S58</f>
        <v>0</v>
      </c>
      <c r="P44">
        <f>'Jarrod - No OT'!F70+'Jarrod - No OT'!F82+'Jarrod - No OT'!F88</f>
        <v>59918.6</v>
      </c>
      <c r="Q44" s="294">
        <f>H44-P44</f>
        <v>0</v>
      </c>
    </row>
    <row r="45" spans="2:18">
      <c r="B45" s="204" t="s">
        <v>101</v>
      </c>
      <c r="C45" s="205"/>
      <c r="D45" s="205"/>
      <c r="E45" s="205" cm="1">
        <f t="array" ref="E45:E46">'Jarrod - No OT'!M61:M62</f>
        <v>0.2857142857142857</v>
      </c>
      <c r="F45" s="205" cm="1">
        <f t="array" ref="F45:F46">'Jarrod - No OT'!N61:N62</f>
        <v>0.375</v>
      </c>
      <c r="G45" s="205" cm="1">
        <f t="array" ref="G45:G46">'Jarrod - No OT'!O61:O62</f>
        <v>0.5714285714285714</v>
      </c>
      <c r="H45" s="205" cm="1">
        <f t="array" ref="H45:H46">'Jarrod - No OT'!P61:P62</f>
        <v>0.40909090909090912</v>
      </c>
      <c r="I45" s="206"/>
      <c r="J45" s="207"/>
      <c r="K45" s="208"/>
      <c r="L45" s="189"/>
      <c r="M45" s="201"/>
      <c r="N45" s="191"/>
      <c r="O45" s="203"/>
    </row>
    <row r="46" spans="2:18">
      <c r="B46" s="226" t="s">
        <v>48</v>
      </c>
      <c r="C46" s="227"/>
      <c r="D46" s="227"/>
      <c r="E46" s="227">
        <v>8511.5</v>
      </c>
      <c r="F46" s="227">
        <v>6137.2</v>
      </c>
      <c r="G46" s="227">
        <v>6121</v>
      </c>
      <c r="H46" s="227">
        <v>6657.6222222222223</v>
      </c>
      <c r="I46" s="210"/>
      <c r="J46" s="211"/>
      <c r="K46" s="228"/>
      <c r="L46" s="213"/>
      <c r="M46" s="190"/>
      <c r="N46" s="214"/>
      <c r="O46" s="233"/>
    </row>
    <row r="47" spans="2:18">
      <c r="B47" s="237" t="s">
        <v>102</v>
      </c>
      <c r="C47" s="238">
        <f t="shared" ref="C47:O47" si="1">C29+C32+C35+C38+C41+C44</f>
        <v>21518</v>
      </c>
      <c r="D47" s="238">
        <f t="shared" si="1"/>
        <v>12291</v>
      </c>
      <c r="E47" s="238">
        <f t="shared" si="1"/>
        <v>44997</v>
      </c>
      <c r="F47" s="238">
        <f t="shared" si="1"/>
        <v>40725.599999999999</v>
      </c>
      <c r="G47" s="238">
        <f t="shared" si="1"/>
        <v>55590</v>
      </c>
      <c r="H47" s="239">
        <f t="shared" si="1"/>
        <v>175121.6</v>
      </c>
      <c r="I47" s="238">
        <f t="shared" si="1"/>
        <v>175000</v>
      </c>
      <c r="J47" s="240">
        <f t="shared" si="1"/>
        <v>121.59999999999854</v>
      </c>
      <c r="K47" s="241">
        <f t="shared" si="1"/>
        <v>3786</v>
      </c>
      <c r="L47" s="239">
        <f t="shared" si="1"/>
        <v>175121.6</v>
      </c>
      <c r="M47" s="240">
        <f t="shared" si="1"/>
        <v>95177.600000000006</v>
      </c>
      <c r="N47" s="241">
        <f t="shared" si="1"/>
        <v>79944</v>
      </c>
      <c r="O47" s="240">
        <f t="shared" si="1"/>
        <v>0</v>
      </c>
      <c r="P47">
        <f>'Ben - No OT'!P203+'Jack M'!P192+Liam!P188+'Mathew B'!P244+'Shaun - No OT'!P191</f>
        <v>115203</v>
      </c>
      <c r="Q47">
        <f>'Ben - No OT'!Q203+'Jack M'!Q192+Liam!Q188+'Mathew B'!Q244+'Shaun - No OT'!Q191</f>
        <v>3786</v>
      </c>
      <c r="R47">
        <f>'Ben - No OT'!R203+'Jack M'!R192+Liam!R188+'Mathew B'!R244+'Shaun - No OT'!R191</f>
        <v>36397</v>
      </c>
    </row>
    <row r="48" spans="2:18">
      <c r="B48" s="244" t="s">
        <v>103</v>
      </c>
      <c r="C48" s="244"/>
      <c r="D48" s="244"/>
      <c r="E48" s="244"/>
      <c r="F48" s="244"/>
      <c r="G48" s="244"/>
      <c r="H48" s="245">
        <f>H47+K47</f>
        <v>178907.6</v>
      </c>
      <c r="I48" s="246">
        <f>I47+J47</f>
        <v>175121.6</v>
      </c>
      <c r="J48" s="247"/>
      <c r="K48" s="248"/>
      <c r="L48" s="249"/>
      <c r="M48" s="250">
        <f>L47-N47</f>
        <v>95177.600000000006</v>
      </c>
      <c r="N48" s="251"/>
      <c r="O48" s="201"/>
      <c r="P48">
        <f>P47+Q47</f>
        <v>118989</v>
      </c>
    </row>
    <row r="52" spans="2:17">
      <c r="B52" s="171" t="s">
        <v>111</v>
      </c>
      <c r="C52" s="172">
        <v>45858</v>
      </c>
      <c r="D52" s="173"/>
      <c r="E52" s="173"/>
      <c r="F52" s="173"/>
      <c r="G52" s="173"/>
      <c r="H52" s="173"/>
      <c r="I52" s="174" t="s">
        <v>88</v>
      </c>
      <c r="J52" s="175"/>
      <c r="K52" s="176"/>
      <c r="L52" s="177"/>
      <c r="M52" s="178"/>
      <c r="N52" s="179" t="s">
        <v>89</v>
      </c>
      <c r="O52" s="180" t="s">
        <v>29</v>
      </c>
    </row>
    <row r="53" spans="2:17">
      <c r="B53" s="183"/>
      <c r="C53" s="288" t="s">
        <v>91</v>
      </c>
      <c r="D53" s="289" t="s">
        <v>92</v>
      </c>
      <c r="E53" s="289" t="s">
        <v>93</v>
      </c>
      <c r="F53" s="289" t="s">
        <v>94</v>
      </c>
      <c r="G53" s="290" t="s">
        <v>95</v>
      </c>
      <c r="H53" s="291" t="s">
        <v>96</v>
      </c>
      <c r="I53" s="292" t="s">
        <v>97</v>
      </c>
      <c r="J53" s="187" t="s">
        <v>98</v>
      </c>
      <c r="K53" s="188" t="s">
        <v>29</v>
      </c>
      <c r="L53" s="189" t="s">
        <v>89</v>
      </c>
      <c r="M53" s="190" t="s">
        <v>99</v>
      </c>
      <c r="N53" s="191" t="s">
        <v>100</v>
      </c>
      <c r="O53" s="192" t="s">
        <v>99</v>
      </c>
    </row>
    <row r="54" spans="2:17">
      <c r="B54" s="195" t="s">
        <v>113</v>
      </c>
      <c r="C54" s="293">
        <f>'Ben - No OT'!K311</f>
        <v>11698</v>
      </c>
      <c r="D54" s="293">
        <f>'Ben - No OT'!L311</f>
        <v>3035</v>
      </c>
      <c r="E54" s="293">
        <f>'Ben - No OT'!M311</f>
        <v>34038.6</v>
      </c>
      <c r="F54" s="293">
        <f>'Ben - No OT'!N311</f>
        <v>1134</v>
      </c>
      <c r="G54" s="293">
        <f>'Ben - No OT'!O311</f>
        <v>1162</v>
      </c>
      <c r="H54" s="293">
        <f>'Ben - No OT'!P311</f>
        <v>51067.6</v>
      </c>
      <c r="I54" s="197">
        <v>50000</v>
      </c>
      <c r="J54" s="198">
        <f>-I54+H54</f>
        <v>1067.5999999999985</v>
      </c>
      <c r="K54" s="199">
        <f>'Ben - No OT'!Q311</f>
        <v>0</v>
      </c>
      <c r="L54" s="200">
        <f>H54</f>
        <v>51067.6</v>
      </c>
      <c r="M54" s="201">
        <f>'Ben - No OT'!R311</f>
        <v>29233</v>
      </c>
      <c r="N54" s="202">
        <f>L54-M54</f>
        <v>21834.6</v>
      </c>
      <c r="O54" s="203">
        <f>'Ben - No OT'!S311</f>
        <v>0</v>
      </c>
      <c r="P54">
        <f>'Ben - No OT'!F335+'Ben - No OT'!F344</f>
        <v>51067.6</v>
      </c>
      <c r="Q54" s="294">
        <f>H54-P54</f>
        <v>0</v>
      </c>
    </row>
    <row r="55" spans="2:17">
      <c r="B55" s="204" t="s">
        <v>101</v>
      </c>
      <c r="C55" s="205" cm="1">
        <f t="array" ref="C55:C56">'Ben - No OT'!K314:K315</f>
        <v>0.8</v>
      </c>
      <c r="D55" s="205" cm="1">
        <f t="array" ref="D55:D56">'Ben - No OT'!L314:L315</f>
        <v>0.5</v>
      </c>
      <c r="E55" s="205" cm="1">
        <f t="array" ref="E55:E56">'Ben - No OT'!M314:M315</f>
        <v>0.55555555555555558</v>
      </c>
      <c r="F55" s="205" cm="1">
        <f t="array" ref="F55:F56">'Ben - No OT'!N314:N315</f>
        <v>0.16666666666666666</v>
      </c>
      <c r="G55" s="205" cm="1">
        <f t="array" ref="G55:G56">'Ben - No OT'!O314:O315</f>
        <v>0.66666666666666663</v>
      </c>
      <c r="H55" s="205" cm="1">
        <f t="array" ref="H55:H56">'Ben - No OT'!P314:P315</f>
        <v>0.51724137931034486</v>
      </c>
      <c r="I55" s="206"/>
      <c r="J55" s="207"/>
      <c r="K55" s="208" t="e" cm="1">
        <f t="array" ref="K55:K56">'Ben - No OT'!Q314:Q315</f>
        <v>#DIV/0!</v>
      </c>
      <c r="L55" s="189"/>
      <c r="M55" s="201"/>
      <c r="N55" s="191"/>
      <c r="O55" s="203"/>
    </row>
    <row r="56" spans="2:17">
      <c r="B56" s="226" t="s">
        <v>48</v>
      </c>
      <c r="C56" s="232">
        <v>2924.5</v>
      </c>
      <c r="D56" s="232">
        <v>1011.6666666666666</v>
      </c>
      <c r="E56" s="232">
        <v>6807.7199999999993</v>
      </c>
      <c r="F56" s="232">
        <v>1134</v>
      </c>
      <c r="G56" s="232">
        <v>581</v>
      </c>
      <c r="H56" s="232">
        <v>3404.5066666666667</v>
      </c>
      <c r="I56" s="210"/>
      <c r="J56" s="211"/>
      <c r="K56" s="212" t="e">
        <v>#DIV/0!</v>
      </c>
      <c r="L56" s="213"/>
      <c r="M56" s="497"/>
      <c r="N56" s="214"/>
      <c r="O56" s="214"/>
    </row>
    <row r="57" spans="2:17">
      <c r="B57" s="195" t="s">
        <v>114</v>
      </c>
      <c r="C57" s="293"/>
      <c r="D57" s="293">
        <f>Heath!L108</f>
        <v>5917</v>
      </c>
      <c r="E57" s="293">
        <f>Heath!M108</f>
        <v>20224.95</v>
      </c>
      <c r="F57" s="293">
        <f>Heath!N108</f>
        <v>4080</v>
      </c>
      <c r="G57" s="293">
        <f>Heath!O108</f>
        <v>7911</v>
      </c>
      <c r="H57" s="293">
        <f>Heath!P108</f>
        <v>38132.949999999997</v>
      </c>
      <c r="I57" s="197">
        <v>50000</v>
      </c>
      <c r="J57" s="198">
        <f>-I57+H57</f>
        <v>-11867.050000000003</v>
      </c>
      <c r="K57" s="199">
        <f>Heath!Q108</f>
        <v>0</v>
      </c>
      <c r="L57" s="200">
        <f>H57</f>
        <v>38132.949999999997</v>
      </c>
      <c r="M57" s="201">
        <f>Heath!R108</f>
        <v>20912</v>
      </c>
      <c r="N57" s="202">
        <f>L57-M57</f>
        <v>17220.949999999997</v>
      </c>
      <c r="O57" s="203">
        <f>Heath!S108</f>
        <v>0</v>
      </c>
      <c r="P57">
        <f>Heath!F129+Heath!F134+Heath!F140</f>
        <v>38132.949999999997</v>
      </c>
      <c r="Q57" s="294">
        <f>H57-P57</f>
        <v>0</v>
      </c>
    </row>
    <row r="58" spans="2:17">
      <c r="B58" s="204" t="s">
        <v>101</v>
      </c>
      <c r="C58" s="205"/>
      <c r="D58" s="205" cm="1">
        <f t="array" ref="D58:D59">Heath!L111:L112</f>
        <v>0.66666666666666663</v>
      </c>
      <c r="E58" s="205" cm="1">
        <f t="array" ref="E58:E59">Heath!M111:M112</f>
        <v>0.625</v>
      </c>
      <c r="F58" s="205" cm="1">
        <f t="array" ref="F58:F59">Heath!N111:N112</f>
        <v>0.6</v>
      </c>
      <c r="G58" s="205" cm="1">
        <f t="array" ref="G58:G59">Heath!O111:O112</f>
        <v>0.36363636363636365</v>
      </c>
      <c r="H58" s="205" cm="1">
        <f t="array" ref="H58:H59">Heath!P111:P112</f>
        <v>0.51851851851851849</v>
      </c>
      <c r="I58" s="206"/>
      <c r="J58" s="207"/>
      <c r="K58" s="208" t="e" cm="1">
        <f t="array" ref="K58:K59">Heath!Q111:Q112</f>
        <v>#DIV/0!</v>
      </c>
      <c r="L58" s="189"/>
      <c r="M58" s="201"/>
      <c r="N58" s="191"/>
      <c r="O58" s="203"/>
    </row>
    <row r="59" spans="2:17">
      <c r="B59" s="226" t="s">
        <v>48</v>
      </c>
      <c r="C59" s="209"/>
      <c r="D59" s="209">
        <v>2958.5</v>
      </c>
      <c r="E59" s="209">
        <v>4044.9900000000002</v>
      </c>
      <c r="F59" s="209">
        <v>1360</v>
      </c>
      <c r="G59" s="209">
        <v>1977.75</v>
      </c>
      <c r="H59" s="209">
        <v>2723.7821428571428</v>
      </c>
      <c r="I59" s="210"/>
      <c r="J59" s="211"/>
      <c r="K59" s="212" t="e">
        <v>#DIV/0!</v>
      </c>
      <c r="L59" s="213"/>
      <c r="M59" s="201"/>
      <c r="N59" s="214"/>
      <c r="O59" s="203"/>
    </row>
    <row r="60" spans="2:17">
      <c r="B60" s="195" t="s">
        <v>112</v>
      </c>
      <c r="C60" s="196">
        <f>'Jarrod - No OT'!K126</f>
        <v>27894.400000000001</v>
      </c>
      <c r="D60" s="196">
        <f>'Jarrod - No OT'!L126</f>
        <v>4022</v>
      </c>
      <c r="E60" s="196">
        <f>'Jarrod - No OT'!M126</f>
        <v>8712.17</v>
      </c>
      <c r="F60" s="196">
        <f>'Jarrod - No OT'!N126</f>
        <v>3715.9</v>
      </c>
      <c r="G60" s="196">
        <f>'Jarrod - No OT'!O126</f>
        <v>1462</v>
      </c>
      <c r="H60" s="196">
        <f>'Jarrod - No OT'!P126</f>
        <v>45806.47</v>
      </c>
      <c r="I60" s="197">
        <v>25000</v>
      </c>
      <c r="J60" s="198">
        <f>-I60+H60</f>
        <v>20806.47</v>
      </c>
      <c r="K60" s="199">
        <f>'Jarrod - No OT'!Q126</f>
        <v>0</v>
      </c>
      <c r="L60" s="200">
        <f>H60</f>
        <v>45806.47</v>
      </c>
      <c r="M60" s="225">
        <f>'Jarrod - No OT'!R126</f>
        <v>2034.9</v>
      </c>
      <c r="N60" s="202">
        <f>L60-M60</f>
        <v>43771.57</v>
      </c>
      <c r="O60" s="230">
        <f>'Jarrod - No OT'!S126</f>
        <v>0</v>
      </c>
      <c r="P60">
        <f>'Jarrod - No OT'!F153+'Jarrod - No OT'!F165</f>
        <v>45806.47</v>
      </c>
      <c r="Q60" s="294">
        <f>H60-P60</f>
        <v>0</v>
      </c>
    </row>
    <row r="61" spans="2:17">
      <c r="B61" s="204" t="s">
        <v>101</v>
      </c>
      <c r="C61" s="205" cm="1">
        <f t="array" ref="C61:C62">'Jarrod - No OT'!K129:K130</f>
        <v>0.75</v>
      </c>
      <c r="D61" s="205" cm="1">
        <f t="array" ref="D61:D62">'Jarrod - No OT'!L129:L130</f>
        <v>0.66666666666666663</v>
      </c>
      <c r="E61" s="205" cm="1">
        <f t="array" ref="E61:E62">'Jarrod - No OT'!M129:M130</f>
        <v>0.66666666666666663</v>
      </c>
      <c r="F61" s="205" cm="1">
        <f t="array" ref="F61:F62">'Jarrod - No OT'!N129:N130</f>
        <v>0.18181818181818182</v>
      </c>
      <c r="G61" s="205" cm="1">
        <f t="array" ref="G61:G62">'Jarrod - No OT'!O129:O130</f>
        <v>0.4</v>
      </c>
      <c r="H61" s="205" cm="1">
        <f t="array" ref="H61:H62">'Jarrod - No OT'!P129:P130</f>
        <v>0.5</v>
      </c>
      <c r="I61" s="206"/>
      <c r="J61" s="207"/>
      <c r="K61" s="208" cm="1">
        <f t="array" ref="K61:K62">'Jarrod - No OT'!Q129:Q130</f>
        <v>0</v>
      </c>
      <c r="L61" s="189"/>
      <c r="M61" s="201"/>
      <c r="N61" s="191"/>
      <c r="O61" s="203"/>
    </row>
    <row r="62" spans="2:17">
      <c r="B62" s="204" t="s">
        <v>48</v>
      </c>
      <c r="C62" s="227">
        <v>4649.0666666666666</v>
      </c>
      <c r="D62" s="227">
        <v>1005.5</v>
      </c>
      <c r="E62" s="227">
        <v>2178.0425</v>
      </c>
      <c r="F62" s="227">
        <v>1857.95</v>
      </c>
      <c r="G62" s="227">
        <v>731</v>
      </c>
      <c r="H62" s="227">
        <v>2544.8038888888891</v>
      </c>
      <c r="I62" s="210"/>
      <c r="J62" s="211"/>
      <c r="K62" s="228" t="e">
        <v>#DIV/0!</v>
      </c>
      <c r="L62" s="213"/>
      <c r="M62" s="190"/>
      <c r="N62" s="214"/>
      <c r="O62" s="233"/>
    </row>
    <row r="63" spans="2:17">
      <c r="B63" s="195" t="s">
        <v>109</v>
      </c>
      <c r="C63" s="196"/>
      <c r="D63" s="196"/>
      <c r="E63" s="196">
        <f>Liam!M278</f>
        <v>10060</v>
      </c>
      <c r="F63" s="196">
        <f>Liam!N278</f>
        <v>6284</v>
      </c>
      <c r="G63" s="196">
        <f>Liam!O278</f>
        <v>23556.6</v>
      </c>
      <c r="H63" s="196">
        <f>Liam!P278</f>
        <v>39900.6</v>
      </c>
      <c r="I63" s="197">
        <v>25000</v>
      </c>
      <c r="J63" s="198">
        <f>-I63+H63</f>
        <v>14900.599999999999</v>
      </c>
      <c r="K63" s="199">
        <f>Liam!Q278</f>
        <v>0</v>
      </c>
      <c r="L63" s="200">
        <f>H63</f>
        <v>39900.6</v>
      </c>
      <c r="M63" s="225">
        <f>Liam!R278</f>
        <v>23598.6</v>
      </c>
      <c r="N63" s="202">
        <f>L63-M63</f>
        <v>16302</v>
      </c>
      <c r="O63" s="230">
        <f>Liam!S278</f>
        <v>0</v>
      </c>
      <c r="P63">
        <f>Liam!F298+Liam!F311</f>
        <v>39900.6</v>
      </c>
      <c r="Q63" s="294">
        <f>H63-P63</f>
        <v>0</v>
      </c>
    </row>
    <row r="64" spans="2:17">
      <c r="B64" s="204" t="s">
        <v>101</v>
      </c>
      <c r="C64" s="205"/>
      <c r="D64" s="205"/>
      <c r="E64" s="205" cm="1">
        <f t="array" ref="E64:E65">Liam!M281:M282</f>
        <v>0.625</v>
      </c>
      <c r="F64" s="205" cm="1">
        <f t="array" ref="F64:F65">Liam!N281:N282</f>
        <v>0.44444444444444442</v>
      </c>
      <c r="G64" s="205" cm="1">
        <f t="array" ref="G64:G65">Liam!O281:O282</f>
        <v>0.42857142857142855</v>
      </c>
      <c r="H64" s="205" cm="1">
        <f t="array" ref="H64:H65">Liam!P281:P282</f>
        <v>0.4838709677419355</v>
      </c>
      <c r="I64" s="206"/>
      <c r="J64" s="207"/>
      <c r="K64" s="208" t="e" cm="1">
        <f t="array" ref="K64:K65">Liam!Q281:Q282</f>
        <v>#DIV/0!</v>
      </c>
      <c r="L64" s="189"/>
      <c r="M64" s="201"/>
      <c r="N64" s="191"/>
      <c r="O64" s="203"/>
    </row>
    <row r="65" spans="2:18">
      <c r="B65" s="204" t="s">
        <v>48</v>
      </c>
      <c r="C65" s="227"/>
      <c r="D65" s="227"/>
      <c r="E65" s="227">
        <v>2012</v>
      </c>
      <c r="F65" s="227">
        <v>1571</v>
      </c>
      <c r="G65" s="227">
        <v>3926.1</v>
      </c>
      <c r="H65" s="227">
        <v>2660.04</v>
      </c>
      <c r="I65" s="210"/>
      <c r="J65" s="211"/>
      <c r="K65" s="228" t="e">
        <v>#DIV/0!</v>
      </c>
      <c r="L65" s="213"/>
      <c r="M65" s="190"/>
      <c r="N65" s="214"/>
      <c r="O65" s="233"/>
    </row>
    <row r="66" spans="2:18">
      <c r="B66" s="195" t="s">
        <v>105</v>
      </c>
      <c r="C66" s="196">
        <f>'Mathew B'!K361</f>
        <v>25523</v>
      </c>
      <c r="D66" s="196">
        <f>'Mathew B'!L361</f>
        <v>16091</v>
      </c>
      <c r="E66" s="196">
        <f>'Mathew B'!M361</f>
        <v>7461.2</v>
      </c>
      <c r="F66" s="196">
        <f>'Mathew B'!N361</f>
        <v>5191</v>
      </c>
      <c r="G66" s="196">
        <f>'Mathew B'!O361</f>
        <v>5920</v>
      </c>
      <c r="H66" s="196">
        <f>'Mathew B'!P361</f>
        <v>60186.2</v>
      </c>
      <c r="I66" s="197">
        <v>25000</v>
      </c>
      <c r="J66" s="198">
        <f>-I66+H66</f>
        <v>35186.199999999997</v>
      </c>
      <c r="K66" s="199">
        <f>'Mathew B'!Q361</f>
        <v>0</v>
      </c>
      <c r="L66" s="200">
        <f>H66</f>
        <v>60186.2</v>
      </c>
      <c r="M66" s="225">
        <f>'Mathew B'!R361</f>
        <v>14278</v>
      </c>
      <c r="N66" s="202">
        <f>L66-M66</f>
        <v>45908.2</v>
      </c>
      <c r="O66" s="230">
        <f>'Mathew B'!S361</f>
        <v>0</v>
      </c>
      <c r="P66">
        <f>'Mathew B'!F392+'Mathew B'!F398+'Mathew B'!F402</f>
        <v>60186.2</v>
      </c>
      <c r="Q66" s="294">
        <f>H66-P66</f>
        <v>0</v>
      </c>
    </row>
    <row r="67" spans="2:18">
      <c r="B67" s="204" t="s">
        <v>101</v>
      </c>
      <c r="C67" s="205" cm="1">
        <f t="array" ref="C67:C68">'Mathew B'!K364:K365</f>
        <v>0.75</v>
      </c>
      <c r="D67" s="205" cm="1">
        <f t="array" ref="D67:D68">'Mathew B'!L364:L365</f>
        <v>0.44444444444444442</v>
      </c>
      <c r="E67" s="205" cm="1">
        <f t="array" ref="E67:E68">'Mathew B'!M364:M365</f>
        <v>0.66666666666666663</v>
      </c>
      <c r="F67" s="205" cm="1">
        <f t="array" ref="F67:F68">'Mathew B'!N364:N365</f>
        <v>0.5</v>
      </c>
      <c r="G67" s="205" cm="1">
        <f t="array" ref="G67:G68">'Mathew B'!O364:O365</f>
        <v>0.625</v>
      </c>
      <c r="H67" s="205" cm="1">
        <f t="array" ref="H67:H68">'Mathew B'!P364:P365</f>
        <v>0.58974358974358976</v>
      </c>
      <c r="I67" s="206"/>
      <c r="J67" s="207"/>
      <c r="K67" s="208" t="e" cm="1">
        <f t="array" ref="K67:K68">'Mathew B'!Q364:Q365</f>
        <v>#DIV/0!</v>
      </c>
      <c r="L67" s="189"/>
      <c r="M67" s="201"/>
      <c r="N67" s="191"/>
      <c r="O67" s="203"/>
    </row>
    <row r="68" spans="2:18">
      <c r="B68" s="204" t="s">
        <v>48</v>
      </c>
      <c r="C68" s="227">
        <v>4253.833333333333</v>
      </c>
      <c r="D68" s="227">
        <v>4022.75</v>
      </c>
      <c r="E68" s="227">
        <v>1865.3</v>
      </c>
      <c r="F68" s="227">
        <v>1297.75</v>
      </c>
      <c r="G68" s="227">
        <v>1184</v>
      </c>
      <c r="H68" s="227">
        <v>2616.7913043478261</v>
      </c>
      <c r="I68" s="210"/>
      <c r="J68" s="211"/>
      <c r="K68" s="228" t="e">
        <v>#DIV/0!</v>
      </c>
      <c r="L68" s="213"/>
      <c r="M68" s="190"/>
      <c r="N68" s="214"/>
      <c r="O68" s="233"/>
    </row>
    <row r="69" spans="2:18">
      <c r="B69" s="195" t="s">
        <v>115</v>
      </c>
      <c r="C69" s="196"/>
      <c r="D69" s="196"/>
      <c r="E69" s="196"/>
      <c r="F69" s="196">
        <f>'Matthew H - No OT'!N58</f>
        <v>11352.6</v>
      </c>
      <c r="G69" s="196"/>
      <c r="H69" s="196">
        <f>'Matthew H - No OT'!P58</f>
        <v>11352.6</v>
      </c>
      <c r="I69" s="197"/>
      <c r="J69" s="198">
        <f>-I69+H69</f>
        <v>11352.6</v>
      </c>
      <c r="K69" s="199">
        <f>'Matthew H - No OT'!Q58</f>
        <v>0</v>
      </c>
      <c r="L69" s="200">
        <f>H69</f>
        <v>11352.6</v>
      </c>
      <c r="M69" s="225">
        <f>'Matthew H - No OT'!R58</f>
        <v>11352.6</v>
      </c>
      <c r="N69" s="202">
        <f>L69-M69</f>
        <v>0</v>
      </c>
      <c r="O69" s="230">
        <f>'Matthew H - No OT'!S58</f>
        <v>0</v>
      </c>
      <c r="P69">
        <f>'Matthew H - No OT'!F69+'Matthew H - No OT'!F74</f>
        <v>11352.6</v>
      </c>
      <c r="Q69" s="294">
        <f>H69-P69</f>
        <v>0</v>
      </c>
    </row>
    <row r="70" spans="2:18">
      <c r="B70" s="204" t="s">
        <v>101</v>
      </c>
      <c r="C70" s="205"/>
      <c r="D70" s="205"/>
      <c r="E70" s="205"/>
      <c r="F70" s="205" cm="1">
        <f t="array" ref="F70:F71">'Matthew H - No OT'!N61:N62</f>
        <v>0.5</v>
      </c>
      <c r="G70" s="205"/>
      <c r="H70" s="205" cm="1">
        <f t="array" ref="H70:H71">'Matthew H - No OT'!P61:P62</f>
        <v>0.5</v>
      </c>
      <c r="I70" s="206"/>
      <c r="J70" s="207"/>
      <c r="K70" s="208" t="e" cm="1">
        <f t="array" ref="K70:K71">'Matthew H - No OT'!Q61:Q62</f>
        <v>#DIV/0!</v>
      </c>
      <c r="L70" s="189"/>
      <c r="M70" s="201"/>
      <c r="N70" s="191"/>
      <c r="O70" s="203"/>
    </row>
    <row r="71" spans="2:18">
      <c r="B71" s="204" t="s">
        <v>48</v>
      </c>
      <c r="C71" s="227"/>
      <c r="D71" s="227"/>
      <c r="E71" s="227"/>
      <c r="F71" s="227">
        <v>11352.6</v>
      </c>
      <c r="G71" s="227"/>
      <c r="H71" s="227">
        <v>11352.6</v>
      </c>
      <c r="I71" s="210"/>
      <c r="J71" s="211"/>
      <c r="K71" s="228" t="e">
        <v>#DIV/0!</v>
      </c>
      <c r="L71" s="213"/>
      <c r="M71" s="190"/>
      <c r="N71" s="214"/>
      <c r="O71" s="233"/>
    </row>
    <row r="72" spans="2:18">
      <c r="B72" s="195" t="s">
        <v>116</v>
      </c>
      <c r="C72" s="196"/>
      <c r="D72" s="196"/>
      <c r="E72" s="196"/>
      <c r="F72" s="196">
        <f>Elliot!N19</f>
        <v>1461</v>
      </c>
      <c r="G72" s="196">
        <f>Elliot!O19</f>
        <v>481</v>
      </c>
      <c r="H72" s="196">
        <f>Elliot!P19</f>
        <v>1942</v>
      </c>
      <c r="I72" s="197"/>
      <c r="J72" s="198">
        <f>-I72+H72</f>
        <v>1942</v>
      </c>
      <c r="K72" s="199">
        <f>Elliot!Q19</f>
        <v>0</v>
      </c>
      <c r="L72" s="200">
        <f>H72</f>
        <v>1942</v>
      </c>
      <c r="M72" s="225">
        <f>Elliot!R19</f>
        <v>0</v>
      </c>
      <c r="N72" s="202">
        <f>L72-M72</f>
        <v>1942</v>
      </c>
      <c r="O72" s="230">
        <f>Elliot!S19</f>
        <v>0</v>
      </c>
      <c r="P72">
        <f>Elliot!F30</f>
        <v>1461</v>
      </c>
      <c r="Q72" s="294">
        <f>H72-P72</f>
        <v>481</v>
      </c>
    </row>
    <row r="73" spans="2:18">
      <c r="B73" s="204" t="s">
        <v>101</v>
      </c>
      <c r="C73" s="205"/>
      <c r="D73" s="205"/>
      <c r="E73" s="205"/>
      <c r="F73" s="205" cm="1">
        <f t="array" ref="F73:F74">Elliot!N22:N23</f>
        <v>1</v>
      </c>
      <c r="G73" s="205" t="e" cm="1">
        <f t="array" ref="G73:G74">Elliot!O22:O23</f>
        <v>#DIV/0!</v>
      </c>
      <c r="H73" s="205" cm="1">
        <f t="array" ref="H73:H74">Elliot!P22:P23</f>
        <v>1</v>
      </c>
      <c r="I73" s="206"/>
      <c r="J73" s="207"/>
      <c r="K73" s="208" t="e" cm="1">
        <f t="array" ref="K73:K74">Elliot!Q22:Q23</f>
        <v>#DIV/0!</v>
      </c>
      <c r="L73" s="189"/>
      <c r="M73" s="201"/>
      <c r="N73" s="191"/>
      <c r="O73" s="203"/>
    </row>
    <row r="74" spans="2:18">
      <c r="B74" s="204" t="s">
        <v>48</v>
      </c>
      <c r="C74" s="227"/>
      <c r="D74" s="227"/>
      <c r="E74" s="227"/>
      <c r="F74" s="227">
        <v>1461</v>
      </c>
      <c r="G74" s="227" t="e">
        <v>#DIV/0!</v>
      </c>
      <c r="H74" s="227">
        <v>1942</v>
      </c>
      <c r="I74" s="210"/>
      <c r="J74" s="211"/>
      <c r="K74" s="228" t="e">
        <v>#DIV/0!</v>
      </c>
      <c r="L74" s="213"/>
      <c r="M74" s="190"/>
      <c r="N74" s="214"/>
      <c r="O74" s="233"/>
    </row>
    <row r="75" spans="2:18">
      <c r="B75" s="237" t="s">
        <v>102</v>
      </c>
      <c r="C75" s="238">
        <f>C54+C57+C60+C63+C66+C69+C72</f>
        <v>65115.4</v>
      </c>
      <c r="D75" s="238">
        <f t="shared" ref="D75:O75" si="2">D54+D57+D60+D63+D66+D69+D72</f>
        <v>29065</v>
      </c>
      <c r="E75" s="238">
        <f t="shared" si="2"/>
        <v>80496.92</v>
      </c>
      <c r="F75" s="238">
        <f t="shared" si="2"/>
        <v>33218.5</v>
      </c>
      <c r="G75" s="238">
        <f t="shared" si="2"/>
        <v>40492.6</v>
      </c>
      <c r="H75" s="239">
        <f t="shared" si="2"/>
        <v>248388.42</v>
      </c>
      <c r="I75" s="238">
        <f t="shared" si="2"/>
        <v>175000</v>
      </c>
      <c r="J75" s="240">
        <f t="shared" si="2"/>
        <v>73388.42</v>
      </c>
      <c r="K75" s="241">
        <f t="shared" si="2"/>
        <v>0</v>
      </c>
      <c r="L75" s="239">
        <f t="shared" si="2"/>
        <v>248388.42</v>
      </c>
      <c r="M75" s="240">
        <f t="shared" si="2"/>
        <v>101409.1</v>
      </c>
      <c r="N75" s="241">
        <f t="shared" si="2"/>
        <v>146979.32</v>
      </c>
      <c r="O75" s="240">
        <f t="shared" si="2"/>
        <v>0</v>
      </c>
      <c r="P75">
        <f>'Ben - No OT'!P311+Heath!P108+'Jack M'!P256+'Jarrod - No OT'!P126+Liam!P278+'Mathew B'!P361+'Matthew H - No OT'!P58+Elliot!P19</f>
        <v>248388.42</v>
      </c>
      <c r="Q75">
        <f>'Ben - No OT'!Q311+'Jack M'!Q256+'Jarrod - No OT'!Q126+Liam!Q278+'Mathew B'!Q361+'Matthew H - No OT'!Q58+Elliot!Q19</f>
        <v>0</v>
      </c>
      <c r="R75">
        <f>'Ben - No OT'!R311+'Jack M'!R256+'Jarrod - No OT'!R126+Liam!R278+'Mathew B'!R361+'Matthew H - No OT'!R58+Elliot!R19</f>
        <v>80497.100000000006</v>
      </c>
    </row>
    <row r="76" spans="2:18">
      <c r="B76" s="244" t="s">
        <v>103</v>
      </c>
      <c r="C76" s="244"/>
      <c r="D76" s="244"/>
      <c r="E76" s="244"/>
      <c r="F76" s="244"/>
      <c r="G76" s="244"/>
      <c r="H76" s="245">
        <f>H75+K75</f>
        <v>248388.42</v>
      </c>
      <c r="I76" s="246">
        <f>I75+J75</f>
        <v>248388.41999999998</v>
      </c>
      <c r="J76" s="247"/>
      <c r="K76" s="248"/>
      <c r="L76" s="249"/>
      <c r="M76" s="250">
        <f>L75-N75</f>
        <v>101409.1</v>
      </c>
      <c r="N76" s="251"/>
      <c r="O76" s="201"/>
      <c r="P76">
        <f>P75+Q75</f>
        <v>248388.42</v>
      </c>
    </row>
    <row r="80" spans="2:18">
      <c r="B80" s="171" t="s">
        <v>111</v>
      </c>
      <c r="C80" s="172">
        <v>45865</v>
      </c>
      <c r="D80" s="173"/>
      <c r="E80" s="173"/>
      <c r="F80" s="173"/>
      <c r="G80" s="173"/>
      <c r="H80" s="173"/>
      <c r="I80" s="174" t="s">
        <v>88</v>
      </c>
      <c r="J80" s="175"/>
      <c r="K80" s="176"/>
      <c r="L80" s="177"/>
      <c r="M80" s="178"/>
      <c r="N80" s="179" t="s">
        <v>89</v>
      </c>
      <c r="O80" s="180" t="s">
        <v>29</v>
      </c>
    </row>
    <row r="81" spans="2:17">
      <c r="B81" s="183"/>
      <c r="C81" s="288" t="s">
        <v>91</v>
      </c>
      <c r="D81" s="289" t="s">
        <v>92</v>
      </c>
      <c r="E81" s="289" t="s">
        <v>93</v>
      </c>
      <c r="F81" s="289" t="s">
        <v>94</v>
      </c>
      <c r="G81" s="290" t="s">
        <v>95</v>
      </c>
      <c r="H81" s="291" t="s">
        <v>96</v>
      </c>
      <c r="I81" s="292" t="s">
        <v>97</v>
      </c>
      <c r="J81" s="187" t="s">
        <v>98</v>
      </c>
      <c r="K81" s="188" t="s">
        <v>29</v>
      </c>
      <c r="L81" s="189" t="s">
        <v>89</v>
      </c>
      <c r="M81" s="190" t="s">
        <v>99</v>
      </c>
      <c r="N81" s="191" t="s">
        <v>100</v>
      </c>
      <c r="O81" s="192" t="s">
        <v>99</v>
      </c>
    </row>
    <row r="82" spans="2:17">
      <c r="B82" s="195" t="s">
        <v>113</v>
      </c>
      <c r="C82" s="293"/>
      <c r="D82" s="293">
        <f>'Ben - No OT'!L398</f>
        <v>563</v>
      </c>
      <c r="E82" s="293">
        <f>'Ben - No OT'!M398</f>
        <v>616</v>
      </c>
      <c r="F82" s="293">
        <f>'Ben - No OT'!N398</f>
        <v>3938</v>
      </c>
      <c r="G82" s="293">
        <f>'Ben - No OT'!O398</f>
        <v>3517.9</v>
      </c>
      <c r="H82" s="293">
        <f>'Ben - No OT'!P398</f>
        <v>8634.9</v>
      </c>
      <c r="I82" s="197">
        <v>50000</v>
      </c>
      <c r="J82" s="198">
        <f>-I82+H82</f>
        <v>-41365.1</v>
      </c>
      <c r="K82" s="199">
        <f>'Ben - No OT'!Q398</f>
        <v>0</v>
      </c>
      <c r="L82" s="200">
        <f>H82</f>
        <v>8634.9</v>
      </c>
      <c r="M82" s="201">
        <f>'Ben - No OT'!R398</f>
        <v>0</v>
      </c>
      <c r="N82" s="202">
        <f>L82-M82</f>
        <v>8634.9</v>
      </c>
      <c r="O82" s="203">
        <f>'Ben - No OT'!S398</f>
        <v>0</v>
      </c>
      <c r="P82">
        <f>'Ben - No OT'!F416</f>
        <v>8634.9</v>
      </c>
      <c r="Q82" s="294">
        <f>H82-P82</f>
        <v>0</v>
      </c>
    </row>
    <row r="83" spans="2:17">
      <c r="B83" s="204" t="s">
        <v>101</v>
      </c>
      <c r="C83" s="205"/>
      <c r="D83" s="205" cm="1">
        <f t="array" ref="D83:D84">'Ben - No OT'!L401:L402</f>
        <v>0.25</v>
      </c>
      <c r="E83" s="205" cm="1">
        <f t="array" ref="E83:E84">'Ben - No OT'!M401:M402</f>
        <v>0.16666666666666666</v>
      </c>
      <c r="F83" s="205" cm="1">
        <f t="array" ref="F83:F84">'Ben - No OT'!N401:N402</f>
        <v>0.6</v>
      </c>
      <c r="G83" s="205" cm="1">
        <f t="array" ref="G83:G84">'Ben - No OT'!O401:O402</f>
        <v>0.6</v>
      </c>
      <c r="H83" s="205" cm="1">
        <f t="array" ref="H83:H84">'Ben - No OT'!P401:P402</f>
        <v>0.4</v>
      </c>
      <c r="I83" s="206"/>
      <c r="J83" s="207"/>
      <c r="K83" s="208" t="e" cm="1">
        <f t="array" ref="K83:K84">'Ben - No OT'!Q401:Q402</f>
        <v>#DIV/0!</v>
      </c>
      <c r="L83" s="189"/>
      <c r="M83" s="201"/>
      <c r="N83" s="191"/>
      <c r="O83" s="203"/>
    </row>
    <row r="84" spans="2:17">
      <c r="B84" s="226" t="s">
        <v>48</v>
      </c>
      <c r="C84" s="232"/>
      <c r="D84" s="232">
        <v>563</v>
      </c>
      <c r="E84" s="232">
        <v>616</v>
      </c>
      <c r="F84" s="232">
        <v>1312.6666666666667</v>
      </c>
      <c r="G84" s="232">
        <v>1172.6333333333334</v>
      </c>
      <c r="H84" s="232">
        <v>1079.3625</v>
      </c>
      <c r="I84" s="210"/>
      <c r="J84" s="211"/>
      <c r="K84" s="212" t="e">
        <v>#DIV/0!</v>
      </c>
      <c r="L84" s="213"/>
      <c r="M84" s="497"/>
      <c r="N84" s="214"/>
      <c r="O84" s="214"/>
    </row>
    <row r="85" spans="2:17">
      <c r="B85" s="195" t="s">
        <v>114</v>
      </c>
      <c r="C85" s="293">
        <f>Heath!K192</f>
        <v>14058.099999999999</v>
      </c>
      <c r="D85" s="293"/>
      <c r="E85" s="293">
        <f>Heath!M192</f>
        <v>1719</v>
      </c>
      <c r="F85" s="293">
        <f>Heath!N192</f>
        <v>15858.5</v>
      </c>
      <c r="G85" s="293">
        <f>Heath!O192</f>
        <v>11383</v>
      </c>
      <c r="H85" s="293">
        <f>Heath!P192</f>
        <v>43018.6</v>
      </c>
      <c r="I85" s="197">
        <v>50000</v>
      </c>
      <c r="J85" s="198">
        <f>-I85+H85</f>
        <v>-6981.4000000000015</v>
      </c>
      <c r="K85" s="199">
        <f>Heath!Q192</f>
        <v>0</v>
      </c>
      <c r="L85" s="200">
        <f>H85</f>
        <v>43018.6</v>
      </c>
      <c r="M85" s="201">
        <f>Heath!R192</f>
        <v>26570.5</v>
      </c>
      <c r="N85" s="202">
        <f>L85-M85</f>
        <v>16448.099999999999</v>
      </c>
      <c r="O85" s="203">
        <f>Heath!S192</f>
        <v>0</v>
      </c>
      <c r="P85">
        <f>Heath!F213+Heath!F229</f>
        <v>43018.6</v>
      </c>
      <c r="Q85" s="294">
        <f>H85-P85</f>
        <v>0</v>
      </c>
    </row>
    <row r="86" spans="2:17">
      <c r="B86" s="204" t="s">
        <v>101</v>
      </c>
      <c r="C86" s="205" cm="1">
        <f t="array" ref="C86:C87">Heath!K195:K196</f>
        <v>0.55555555555555558</v>
      </c>
      <c r="D86" s="205"/>
      <c r="E86" s="205" cm="1">
        <f t="array" ref="E86:E87">Heath!M195:M196</f>
        <v>0.33333333333333331</v>
      </c>
      <c r="F86" s="205" cm="1">
        <f t="array" ref="F86:F87">Heath!N195:N196</f>
        <v>0.7142857142857143</v>
      </c>
      <c r="G86" s="205" cm="1">
        <f t="array" ref="G86:G87">Heath!O195:O196</f>
        <v>0.5714285714285714</v>
      </c>
      <c r="H86" s="205" cm="1">
        <f t="array" ref="H86:H87">Heath!P195:P196</f>
        <v>0.5161290322580645</v>
      </c>
      <c r="I86" s="206"/>
      <c r="J86" s="207"/>
      <c r="K86" s="208" t="e" cm="1">
        <f t="array" ref="K86:K87">Heath!Q195:Q196</f>
        <v>#DIV/0!</v>
      </c>
      <c r="L86" s="189"/>
      <c r="M86" s="201"/>
      <c r="N86" s="191"/>
      <c r="O86" s="203"/>
    </row>
    <row r="87" spans="2:17">
      <c r="B87" s="226" t="s">
        <v>48</v>
      </c>
      <c r="C87" s="209">
        <v>2811.62</v>
      </c>
      <c r="D87" s="209"/>
      <c r="E87" s="209">
        <v>859.5</v>
      </c>
      <c r="F87" s="209">
        <v>3171.7</v>
      </c>
      <c r="G87" s="209">
        <v>2845.75</v>
      </c>
      <c r="H87" s="209">
        <v>2688.6624999999999</v>
      </c>
      <c r="I87" s="210"/>
      <c r="J87" s="211"/>
      <c r="K87" s="212" t="e">
        <v>#DIV/0!</v>
      </c>
      <c r="L87" s="213"/>
      <c r="M87" s="201"/>
      <c r="N87" s="214"/>
      <c r="O87" s="203"/>
    </row>
    <row r="88" spans="2:17">
      <c r="B88" s="195" t="s">
        <v>112</v>
      </c>
      <c r="C88" s="196">
        <f>'Jarrod - No OT'!K219</f>
        <v>3083</v>
      </c>
      <c r="D88" s="196">
        <f>'Jarrod - No OT'!L219</f>
        <v>19235</v>
      </c>
      <c r="E88" s="196">
        <f>'Jarrod - No OT'!M219</f>
        <v>681</v>
      </c>
      <c r="F88" s="196">
        <f>'Jarrod - No OT'!N219</f>
        <v>1661</v>
      </c>
      <c r="G88" s="196">
        <f>'Jarrod - No OT'!O219</f>
        <v>13099.6</v>
      </c>
      <c r="H88" s="196">
        <f>'Jarrod - No OT'!P219</f>
        <v>37759.599999999999</v>
      </c>
      <c r="I88" s="197">
        <v>25000</v>
      </c>
      <c r="J88" s="198">
        <f>-I88+H88</f>
        <v>12759.599999999999</v>
      </c>
      <c r="K88" s="199">
        <f>'Jarrod - No OT'!Q219</f>
        <v>0</v>
      </c>
      <c r="L88" s="200">
        <f>H88</f>
        <v>37759.599999999999</v>
      </c>
      <c r="M88" s="225">
        <f>'Jarrod - No OT'!R219</f>
        <v>22927.599999999999</v>
      </c>
      <c r="N88" s="202">
        <f>L88-M88</f>
        <v>14832</v>
      </c>
      <c r="O88" s="230">
        <f>'Jarrod - No OT'!S219</f>
        <v>0</v>
      </c>
      <c r="P88">
        <f>'Jarrod - No OT'!F239+'Jarrod - No OT'!F244+'Jarrod - No OT'!F249</f>
        <v>37759.599999999999</v>
      </c>
      <c r="Q88" s="294">
        <f>H88-P88</f>
        <v>0</v>
      </c>
    </row>
    <row r="89" spans="2:17">
      <c r="B89" s="204" t="s">
        <v>101</v>
      </c>
      <c r="C89" s="205" cm="1">
        <f t="array" ref="C89:C90">'Jarrod - No OT'!K222:K223</f>
        <v>0.33333333333333331</v>
      </c>
      <c r="D89" s="205" cm="1">
        <f t="array" ref="D89:D90">'Jarrod - No OT'!L222:L223</f>
        <v>0.5</v>
      </c>
      <c r="E89" s="205" cm="1">
        <f t="array" ref="E89:E90">'Jarrod - No OT'!M222:M223</f>
        <v>0.125</v>
      </c>
      <c r="F89" s="205" cm="1">
        <f t="array" ref="F89:F90">'Jarrod - No OT'!N222:N223</f>
        <v>0.14285714285714285</v>
      </c>
      <c r="G89" s="205" cm="1">
        <f t="array" ref="G89:G90">'Jarrod - No OT'!O222:O223</f>
        <v>0.5714285714285714</v>
      </c>
      <c r="H89" s="205" cm="1">
        <f t="array" ref="H89:H90">'Jarrod - No OT'!P222:P223</f>
        <v>0.32432432432432434</v>
      </c>
      <c r="I89" s="206"/>
      <c r="J89" s="207"/>
      <c r="K89" s="208" t="e" cm="1">
        <f t="array" ref="K89:K90">'Jarrod - No OT'!Q222:Q223</f>
        <v>#DIV/0!</v>
      </c>
      <c r="L89" s="189"/>
      <c r="M89" s="201"/>
      <c r="N89" s="191"/>
      <c r="O89" s="203"/>
    </row>
    <row r="90" spans="2:17">
      <c r="B90" s="204" t="s">
        <v>48</v>
      </c>
      <c r="C90" s="227">
        <v>1027.6666666666667</v>
      </c>
      <c r="D90" s="227">
        <v>6411.666666666667</v>
      </c>
      <c r="E90" s="227">
        <v>681</v>
      </c>
      <c r="F90" s="227">
        <v>1661</v>
      </c>
      <c r="G90" s="227">
        <v>3274.9</v>
      </c>
      <c r="H90" s="227">
        <v>3146.6333333333332</v>
      </c>
      <c r="I90" s="210"/>
      <c r="J90" s="211"/>
      <c r="K90" s="228" t="e">
        <v>#DIV/0!</v>
      </c>
      <c r="L90" s="213"/>
      <c r="M90" s="190"/>
      <c r="N90" s="214"/>
      <c r="O90" s="233"/>
    </row>
    <row r="91" spans="2:17">
      <c r="B91" s="195" t="s">
        <v>109</v>
      </c>
      <c r="C91" s="196">
        <f>Liam!K364</f>
        <v>11283.95</v>
      </c>
      <c r="D91" s="196">
        <f>Liam!L364</f>
        <v>2276</v>
      </c>
      <c r="E91" s="196">
        <f>Liam!M364</f>
        <v>21651.200000000001</v>
      </c>
      <c r="F91" s="196">
        <f>Liam!N364</f>
        <v>2542</v>
      </c>
      <c r="G91" s="196">
        <f>Liam!O364</f>
        <v>6364</v>
      </c>
      <c r="H91" s="196">
        <f>Liam!P364</f>
        <v>44117.15</v>
      </c>
      <c r="I91" s="197">
        <v>25000</v>
      </c>
      <c r="J91" s="198">
        <f>-I91+H91</f>
        <v>19117.150000000001</v>
      </c>
      <c r="K91" s="199">
        <f>Liam!Q364</f>
        <v>0</v>
      </c>
      <c r="L91" s="200">
        <f>H91</f>
        <v>44117.15</v>
      </c>
      <c r="M91" s="225">
        <f>Liam!R364</f>
        <v>27041</v>
      </c>
      <c r="N91" s="202">
        <f>L91-M91</f>
        <v>17076.150000000001</v>
      </c>
      <c r="O91" s="230">
        <f>Liam!S364</f>
        <v>0</v>
      </c>
      <c r="P91">
        <f>Liam!F388+Liam!F401+Liam!F407</f>
        <v>44117.15</v>
      </c>
      <c r="Q91" s="294">
        <f>H91-P91</f>
        <v>0</v>
      </c>
    </row>
    <row r="92" spans="2:17">
      <c r="B92" s="204" t="s">
        <v>101</v>
      </c>
      <c r="C92" s="205" cm="1">
        <f t="array" ref="C92:C93">Liam!K367:K368</f>
        <v>0.75</v>
      </c>
      <c r="D92" s="205" cm="1">
        <f t="array" ref="D92:D93">Liam!L367:L368</f>
        <v>0.5</v>
      </c>
      <c r="E92" s="205" cm="1">
        <f t="array" ref="E92:E93">Liam!M367:M368</f>
        <v>0.75</v>
      </c>
      <c r="F92" s="205" cm="1">
        <f t="array" ref="F92:F93">Liam!N367:N368</f>
        <v>0.4</v>
      </c>
      <c r="G92" s="205" cm="1">
        <f t="array" ref="G92:G93">Liam!O367:O368</f>
        <v>0.5</v>
      </c>
      <c r="H92" s="205" cm="1">
        <f t="array" ref="H92:H93">Liam!P367:P368</f>
        <v>0.61290322580645162</v>
      </c>
      <c r="I92" s="206"/>
      <c r="J92" s="207"/>
      <c r="K92" s="208" t="e" cm="1">
        <f t="array" ref="K92:K93">Liam!Q367:Q368</f>
        <v>#DIV/0!</v>
      </c>
      <c r="L92" s="189"/>
      <c r="M92" s="201"/>
      <c r="N92" s="191"/>
      <c r="O92" s="203"/>
    </row>
    <row r="93" spans="2:17">
      <c r="B93" s="204" t="s">
        <v>48</v>
      </c>
      <c r="C93" s="227">
        <v>1880.6583333333335</v>
      </c>
      <c r="D93" s="227">
        <v>1138</v>
      </c>
      <c r="E93" s="227">
        <v>3608.5333333333333</v>
      </c>
      <c r="F93" s="227">
        <v>1271</v>
      </c>
      <c r="G93" s="227">
        <v>2121.3333333333335</v>
      </c>
      <c r="H93" s="227">
        <v>2321.9552631578949</v>
      </c>
      <c r="I93" s="210"/>
      <c r="J93" s="211"/>
      <c r="K93" s="228" t="e">
        <v>#DIV/0!</v>
      </c>
      <c r="L93" s="213"/>
      <c r="M93" s="190"/>
      <c r="N93" s="214"/>
      <c r="O93" s="233"/>
    </row>
    <row r="94" spans="2:17">
      <c r="B94" s="195" t="s">
        <v>105</v>
      </c>
      <c r="C94" s="196">
        <f>'Mathew B'!K460</f>
        <v>12442</v>
      </c>
      <c r="D94" s="196">
        <f>'Mathew B'!L460</f>
        <v>2510</v>
      </c>
      <c r="E94" s="196">
        <f>'Mathew B'!M460</f>
        <v>25373</v>
      </c>
      <c r="F94" s="196">
        <f>'Mathew B'!N460</f>
        <v>27608</v>
      </c>
      <c r="G94" s="196">
        <f>'Mathew B'!O460</f>
        <v>97272</v>
      </c>
      <c r="H94" s="196">
        <f>'Mathew B'!P460</f>
        <v>165205</v>
      </c>
      <c r="I94" s="197">
        <v>25000</v>
      </c>
      <c r="J94" s="198">
        <f>-I94+H94</f>
        <v>140205</v>
      </c>
      <c r="K94" s="199">
        <f>'Mathew B'!Q460</f>
        <v>0</v>
      </c>
      <c r="L94" s="200">
        <f>H94</f>
        <v>165205</v>
      </c>
      <c r="M94" s="225">
        <f>'Mathew B'!R460</f>
        <v>0</v>
      </c>
      <c r="N94" s="202">
        <f>L94-M94</f>
        <v>165205</v>
      </c>
      <c r="O94" s="230">
        <f>'Mathew B'!S460</f>
        <v>0</v>
      </c>
      <c r="P94">
        <f>'Mathew B'!F489+'Mathew B'!F501+'Mathew B'!F509</f>
        <v>165205</v>
      </c>
      <c r="Q94" s="294">
        <f>H94-P94</f>
        <v>0</v>
      </c>
    </row>
    <row r="95" spans="2:17">
      <c r="B95" s="204" t="s">
        <v>101</v>
      </c>
      <c r="C95" s="205" cm="1">
        <f t="array" ref="C95:C96">'Mathew B'!K463:K464</f>
        <v>0.5</v>
      </c>
      <c r="D95" s="205" cm="1">
        <f t="array" ref="D95:D96">'Mathew B'!L463:L464</f>
        <v>0.5</v>
      </c>
      <c r="E95" s="205" cm="1">
        <f t="array" ref="E95:E96">'Mathew B'!M463:M464</f>
        <v>0.8</v>
      </c>
      <c r="F95" s="205" cm="1">
        <f t="array" ref="F95:F96">'Mathew B'!N463:N464</f>
        <v>0.8571428571428571</v>
      </c>
      <c r="G95" s="205" cm="1">
        <f t="array" ref="G95:G96">'Mathew B'!O463:O464</f>
        <v>0.7142857142857143</v>
      </c>
      <c r="H95" s="205" cm="1">
        <f t="array" ref="H95:H96">'Mathew B'!P463:P464</f>
        <v>0.68421052631578949</v>
      </c>
      <c r="I95" s="206"/>
      <c r="J95" s="207"/>
      <c r="K95" s="208" t="e" cm="1">
        <f t="array" ref="K95:K96">'Mathew B'!Q463:Q464</f>
        <v>#DIV/0!</v>
      </c>
      <c r="L95" s="189"/>
      <c r="M95" s="201"/>
      <c r="N95" s="191"/>
      <c r="O95" s="203"/>
    </row>
    <row r="96" spans="2:17">
      <c r="B96" s="204" t="s">
        <v>48</v>
      </c>
      <c r="C96" s="227">
        <v>2488.4</v>
      </c>
      <c r="D96" s="227">
        <v>1255</v>
      </c>
      <c r="E96" s="227">
        <v>3171.625</v>
      </c>
      <c r="F96" s="227">
        <v>4601.333333333333</v>
      </c>
      <c r="G96" s="227">
        <v>19454.400000000001</v>
      </c>
      <c r="H96" s="227">
        <v>6354.0384615384619</v>
      </c>
      <c r="I96" s="210"/>
      <c r="J96" s="211"/>
      <c r="K96" s="228" t="e">
        <v>#DIV/0!</v>
      </c>
      <c r="L96" s="213"/>
      <c r="M96" s="190"/>
      <c r="N96" s="214"/>
      <c r="O96" s="233"/>
    </row>
    <row r="97" spans="2:18">
      <c r="B97" s="195" t="s">
        <v>107</v>
      </c>
      <c r="C97" s="196"/>
      <c r="D97" s="196">
        <f>'Shaun - No OT'!L253</f>
        <v>7695</v>
      </c>
      <c r="E97" s="196">
        <f>'Shaun - No OT'!M253</f>
        <v>6384</v>
      </c>
      <c r="F97" s="196">
        <f>'Shaun - No OT'!N253</f>
        <v>5644</v>
      </c>
      <c r="G97" s="196">
        <f>'Shaun - No OT'!O253</f>
        <v>14899</v>
      </c>
      <c r="H97" s="196">
        <f>'Shaun - No OT'!P253</f>
        <v>34622</v>
      </c>
      <c r="I97" s="197">
        <v>25000</v>
      </c>
      <c r="J97" s="198">
        <f>-I97+H97</f>
        <v>9622</v>
      </c>
      <c r="K97" s="199">
        <f>'Shaun - No OT'!Q253</f>
        <v>0</v>
      </c>
      <c r="L97" s="200">
        <f>H97</f>
        <v>34622</v>
      </c>
      <c r="M97" s="225">
        <f>'Shaun - No OT'!R253</f>
        <v>16479</v>
      </c>
      <c r="N97" s="202">
        <f>L97-M97</f>
        <v>18143</v>
      </c>
      <c r="O97" s="230">
        <f>'Shaun - No OT'!S253</f>
        <v>0</v>
      </c>
      <c r="P97">
        <f>'Shaun - No OT'!F273+'Shaun - No OT'!F283</f>
        <v>34622</v>
      </c>
      <c r="Q97" s="294">
        <f>H97-P97</f>
        <v>0</v>
      </c>
    </row>
    <row r="98" spans="2:18">
      <c r="B98" s="204" t="s">
        <v>101</v>
      </c>
      <c r="C98" s="205"/>
      <c r="D98" s="205" cm="1">
        <f t="array" ref="D98:D99">'Shaun - No OT'!L256:L257</f>
        <v>0.33333333333333331</v>
      </c>
      <c r="E98" s="205" cm="1">
        <f t="array" ref="E98:E99">'Shaun - No OT'!M256:M257</f>
        <v>0.5</v>
      </c>
      <c r="F98" s="205" cm="1">
        <f t="array" ref="F98:F99">'Shaun - No OT'!N256:N257</f>
        <v>0.625</v>
      </c>
      <c r="G98" s="205" cm="1">
        <f t="array" ref="G98:G99">'Shaun - No OT'!O256:O257</f>
        <v>0.5</v>
      </c>
      <c r="H98" s="205" cm="1">
        <f t="array" ref="H98:H99">'Shaun - No OT'!P256:P257</f>
        <v>0.5</v>
      </c>
      <c r="I98" s="206"/>
      <c r="J98" s="207"/>
      <c r="K98" s="208" t="e" cm="1">
        <f t="array" ref="K98:K99">'Shaun - No OT'!Q256:Q257</f>
        <v>#DIV/0!</v>
      </c>
      <c r="L98" s="189"/>
      <c r="M98" s="201"/>
      <c r="N98" s="191"/>
      <c r="O98" s="203"/>
    </row>
    <row r="99" spans="2:18">
      <c r="B99" s="204" t="s">
        <v>48</v>
      </c>
      <c r="C99" s="227"/>
      <c r="D99" s="227">
        <v>3847.5</v>
      </c>
      <c r="E99" s="227">
        <v>2128</v>
      </c>
      <c r="F99" s="227">
        <v>1128.8</v>
      </c>
      <c r="G99" s="227">
        <v>7449.5</v>
      </c>
      <c r="H99" s="227">
        <v>2885.1666666666665</v>
      </c>
      <c r="I99" s="210"/>
      <c r="J99" s="211"/>
      <c r="K99" s="228" t="e">
        <v>#DIV/0!</v>
      </c>
      <c r="L99" s="213"/>
      <c r="M99" s="190"/>
      <c r="N99" s="214"/>
      <c r="O99" s="233"/>
    </row>
    <row r="100" spans="2:18">
      <c r="B100" s="195" t="s">
        <v>116</v>
      </c>
      <c r="C100" s="196">
        <f>Elliot!K52</f>
        <v>814</v>
      </c>
      <c r="D100" s="196"/>
      <c r="E100" s="196"/>
      <c r="F100" s="196"/>
      <c r="G100" s="196"/>
      <c r="H100" s="196">
        <f>Elliot!P52</f>
        <v>814</v>
      </c>
      <c r="I100" s="197"/>
      <c r="J100" s="198">
        <f>-I100+H100</f>
        <v>814</v>
      </c>
      <c r="K100" s="199">
        <f>Elliot!Q52</f>
        <v>3679</v>
      </c>
      <c r="L100" s="200">
        <f>H100</f>
        <v>814</v>
      </c>
      <c r="M100" s="225">
        <f>Elliot!R52</f>
        <v>0</v>
      </c>
      <c r="N100" s="202">
        <f>L100-M100</f>
        <v>814</v>
      </c>
      <c r="O100" s="230">
        <f>Elliot!S52</f>
        <v>0</v>
      </c>
      <c r="P100">
        <f>Elliot!F63</f>
        <v>814</v>
      </c>
      <c r="Q100" s="294">
        <f>H100-P100</f>
        <v>0</v>
      </c>
    </row>
    <row r="101" spans="2:18">
      <c r="B101" s="204" t="s">
        <v>101</v>
      </c>
      <c r="C101" s="205" cm="1">
        <f t="array" ref="C101:C102">Elliot!K55:K56</f>
        <v>1</v>
      </c>
      <c r="D101" s="205"/>
      <c r="E101" s="205"/>
      <c r="F101" s="205"/>
      <c r="G101" s="205"/>
      <c r="H101" s="205" cm="1">
        <f t="array" ref="H101:H102">Elliot!P55:P56</f>
        <v>1</v>
      </c>
      <c r="I101" s="206"/>
      <c r="J101" s="207"/>
      <c r="K101" s="208" cm="1">
        <f t="array" ref="K101:K102">Elliot!Q55:Q56</f>
        <v>0.36363636363636365</v>
      </c>
      <c r="L101" s="189"/>
      <c r="M101" s="201"/>
      <c r="N101" s="191"/>
      <c r="O101" s="203"/>
    </row>
    <row r="102" spans="2:18">
      <c r="B102" s="204" t="s">
        <v>48</v>
      </c>
      <c r="C102" s="227">
        <v>814</v>
      </c>
      <c r="D102" s="227"/>
      <c r="E102" s="227"/>
      <c r="F102" s="227"/>
      <c r="G102" s="227"/>
      <c r="H102" s="227">
        <v>814</v>
      </c>
      <c r="I102" s="210"/>
      <c r="J102" s="211"/>
      <c r="K102" s="228">
        <v>919.75</v>
      </c>
      <c r="L102" s="213"/>
      <c r="M102" s="190"/>
      <c r="N102" s="214"/>
      <c r="O102" s="233"/>
    </row>
    <row r="103" spans="2:18">
      <c r="B103" s="237" t="s">
        <v>102</v>
      </c>
      <c r="C103" s="238">
        <f t="shared" ref="C103:O103" si="3">C82+C85+C88+C91+C94+C97+C100</f>
        <v>41681.050000000003</v>
      </c>
      <c r="D103" s="238">
        <f t="shared" si="3"/>
        <v>32279</v>
      </c>
      <c r="E103" s="238">
        <f t="shared" si="3"/>
        <v>56424.2</v>
      </c>
      <c r="F103" s="238">
        <f t="shared" si="3"/>
        <v>57251.5</v>
      </c>
      <c r="G103" s="238">
        <f t="shared" si="3"/>
        <v>146535.5</v>
      </c>
      <c r="H103" s="239">
        <f t="shared" si="3"/>
        <v>334171.25</v>
      </c>
      <c r="I103" s="238">
        <f t="shared" si="3"/>
        <v>200000</v>
      </c>
      <c r="J103" s="240">
        <f t="shared" si="3"/>
        <v>134171.25</v>
      </c>
      <c r="K103" s="241">
        <f t="shared" si="3"/>
        <v>3679</v>
      </c>
      <c r="L103" s="239">
        <f t="shared" si="3"/>
        <v>334171.25</v>
      </c>
      <c r="M103" s="240">
        <f t="shared" si="3"/>
        <v>93018.1</v>
      </c>
      <c r="N103" s="241">
        <f t="shared" si="3"/>
        <v>241153.15</v>
      </c>
      <c r="O103" s="240">
        <f t="shared" si="3"/>
        <v>0</v>
      </c>
      <c r="P103">
        <f>'Ben - No OT'!P398+Elliot!P52+Heath!P192+'Jarrod - No OT'!P219+Liam!P364+'Mathew B'!P460+'Shaun - No OT'!P253</f>
        <v>334171.25</v>
      </c>
      <c r="Q103">
        <f>'Ben - No OT'!Q398+Elliot!Q52+Heath!Q192+'Jarrod - No OT'!Q219+Liam!Q364+'Mathew B'!Q460+'Shaun - No OT'!Q253</f>
        <v>3679</v>
      </c>
      <c r="R103">
        <f>'Ben - No OT'!R398+Elliot!R52+Heath!R192+'Jarrod - No OT'!R219+Liam!R364+'Mathew B'!R460+'Shaun - No OT'!R253</f>
        <v>93018.1</v>
      </c>
    </row>
    <row r="104" spans="2:18">
      <c r="B104" s="244" t="s">
        <v>103</v>
      </c>
      <c r="C104" s="244"/>
      <c r="D104" s="244"/>
      <c r="E104" s="244"/>
      <c r="F104" s="244"/>
      <c r="G104" s="244"/>
      <c r="H104" s="245">
        <f>H103+K103</f>
        <v>337850.25</v>
      </c>
      <c r="I104" s="246">
        <f>I103+J103</f>
        <v>334171.25</v>
      </c>
      <c r="J104" s="247"/>
      <c r="K104" s="248"/>
      <c r="L104" s="249"/>
      <c r="M104" s="250">
        <f>L103-N103</f>
        <v>93018.1</v>
      </c>
      <c r="N104" s="251"/>
      <c r="O104" s="201"/>
      <c r="P104">
        <f>P103+Q103</f>
        <v>337850.25</v>
      </c>
    </row>
    <row r="108" spans="2:18">
      <c r="B108" s="171" t="s">
        <v>111</v>
      </c>
      <c r="C108" s="172">
        <v>45872</v>
      </c>
      <c r="D108" s="173"/>
      <c r="E108" s="173"/>
      <c r="F108" s="173"/>
      <c r="G108" s="173"/>
      <c r="H108" s="173"/>
      <c r="I108" s="174" t="s">
        <v>88</v>
      </c>
      <c r="J108" s="175"/>
      <c r="K108" s="176"/>
      <c r="L108" s="177"/>
      <c r="M108" s="178"/>
      <c r="N108" s="179" t="s">
        <v>89</v>
      </c>
      <c r="O108" s="180" t="s">
        <v>29</v>
      </c>
    </row>
    <row r="109" spans="2:18">
      <c r="B109" s="183"/>
      <c r="C109" s="288" t="s">
        <v>91</v>
      </c>
      <c r="D109" s="289" t="s">
        <v>92</v>
      </c>
      <c r="E109" s="289" t="s">
        <v>93</v>
      </c>
      <c r="F109" s="289" t="s">
        <v>94</v>
      </c>
      <c r="G109" s="290" t="s">
        <v>95</v>
      </c>
      <c r="H109" s="291" t="s">
        <v>96</v>
      </c>
      <c r="I109" s="292" t="s">
        <v>97</v>
      </c>
      <c r="J109" s="187" t="s">
        <v>98</v>
      </c>
      <c r="K109" s="188" t="s">
        <v>29</v>
      </c>
      <c r="L109" s="189" t="s">
        <v>89</v>
      </c>
      <c r="M109" s="190" t="s">
        <v>99</v>
      </c>
      <c r="N109" s="191" t="s">
        <v>100</v>
      </c>
      <c r="O109" s="192" t="s">
        <v>99</v>
      </c>
    </row>
    <row r="110" spans="2:18">
      <c r="B110" s="195" t="s">
        <v>113</v>
      </c>
      <c r="C110" s="293"/>
      <c r="D110" s="293">
        <f>'Ben - No OT'!L473</f>
        <v>15913.2</v>
      </c>
      <c r="E110" s="293">
        <f>'Ben - No OT'!M473</f>
        <v>1396</v>
      </c>
      <c r="F110" s="293">
        <f>'Ben - No OT'!N473</f>
        <v>2759</v>
      </c>
      <c r="G110" s="293"/>
      <c r="H110" s="293">
        <f>'Ben - No OT'!P473</f>
        <v>20068.2</v>
      </c>
      <c r="I110" s="197">
        <v>50000</v>
      </c>
      <c r="J110" s="198">
        <f>-I110+H110</f>
        <v>-29931.8</v>
      </c>
      <c r="K110" s="199"/>
      <c r="L110" s="200">
        <f>H110</f>
        <v>20068.2</v>
      </c>
      <c r="M110" s="201">
        <f>'Ben - No OT'!R473</f>
        <v>6133</v>
      </c>
      <c r="N110" s="202">
        <f>L110-M110</f>
        <v>13935.2</v>
      </c>
      <c r="O110" s="203">
        <f>'Ben - No OT'!S473</f>
        <v>0</v>
      </c>
      <c r="P110">
        <f>'Ben - No OT'!F491+'Ben - No OT'!F501</f>
        <v>20068.2</v>
      </c>
      <c r="Q110" s="294">
        <f>H110-P110</f>
        <v>0</v>
      </c>
    </row>
    <row r="111" spans="2:18">
      <c r="B111" s="204" t="s">
        <v>101</v>
      </c>
      <c r="C111" s="205"/>
      <c r="D111" s="205" cm="1">
        <f t="array" ref="D111:D112">'Ben - No OT'!L476:L477</f>
        <v>0.83333333333333337</v>
      </c>
      <c r="E111" s="205" cm="1">
        <f t="array" ref="E111:E112">'Ben - No OT'!M476:M477</f>
        <v>0.2</v>
      </c>
      <c r="F111" s="205" cm="1">
        <f t="array" ref="F111:F112">'Ben - No OT'!N476:N477</f>
        <v>0.42857142857142855</v>
      </c>
      <c r="G111" s="205"/>
      <c r="H111" s="205" cm="1">
        <f t="array" ref="H111:H112">'Ben - No OT'!P476:P477</f>
        <v>0.5</v>
      </c>
      <c r="I111" s="206"/>
      <c r="J111" s="207"/>
      <c r="K111" s="208"/>
      <c r="L111" s="189"/>
      <c r="M111" s="201"/>
      <c r="N111" s="191"/>
      <c r="O111" s="203"/>
    </row>
    <row r="112" spans="2:18">
      <c r="B112" s="226" t="s">
        <v>48</v>
      </c>
      <c r="C112" s="232"/>
      <c r="D112" s="232">
        <v>3182.6400000000003</v>
      </c>
      <c r="E112" s="232">
        <v>1396</v>
      </c>
      <c r="F112" s="232">
        <v>919.66666666666663</v>
      </c>
      <c r="G112" s="232"/>
      <c r="H112" s="232">
        <v>2229.8000000000002</v>
      </c>
      <c r="I112" s="210"/>
      <c r="J112" s="211"/>
      <c r="K112" s="212"/>
      <c r="L112" s="213"/>
      <c r="M112" s="497"/>
      <c r="N112" s="214"/>
      <c r="O112" s="214"/>
    </row>
    <row r="113" spans="2:17">
      <c r="B113" s="195" t="s">
        <v>114</v>
      </c>
      <c r="C113" s="293">
        <f>Heath!K282</f>
        <v>15110</v>
      </c>
      <c r="D113" s="293">
        <f>Heath!L282</f>
        <v>13417</v>
      </c>
      <c r="E113" s="293">
        <f>Heath!M282</f>
        <v>8078</v>
      </c>
      <c r="F113" s="293"/>
      <c r="G113" s="293">
        <f>Heath!O282</f>
        <v>3228</v>
      </c>
      <c r="H113" s="293">
        <f>Heath!P282</f>
        <v>39833</v>
      </c>
      <c r="I113" s="197">
        <v>50000</v>
      </c>
      <c r="J113" s="198">
        <f>-I113+H113</f>
        <v>-10167</v>
      </c>
      <c r="K113" s="199"/>
      <c r="L113" s="200">
        <f>H113</f>
        <v>39833</v>
      </c>
      <c r="M113" s="201">
        <f>Heath!R282</f>
        <v>6133</v>
      </c>
      <c r="N113" s="202">
        <f>L113-M113</f>
        <v>33700</v>
      </c>
      <c r="O113" s="203">
        <f>Heath!S282</f>
        <v>0</v>
      </c>
      <c r="P113">
        <f>Heath!F306+Heath!F316</f>
        <v>39833</v>
      </c>
      <c r="Q113" s="294">
        <f>H113-P113</f>
        <v>0</v>
      </c>
    </row>
    <row r="114" spans="2:17">
      <c r="B114" s="204" t="s">
        <v>101</v>
      </c>
      <c r="C114" s="205" cm="1">
        <f t="array" ref="C114:C115">Heath!K285:K286</f>
        <v>0.66666666666666663</v>
      </c>
      <c r="D114" s="205" cm="1">
        <f t="array" ref="D114:D115">Heath!L285:L286</f>
        <v>0.55555555555555558</v>
      </c>
      <c r="E114" s="205" cm="1">
        <f t="array" ref="E114:E115">Heath!M285:M286</f>
        <v>0.42857142857142855</v>
      </c>
      <c r="F114" s="205"/>
      <c r="G114" s="205" cm="1">
        <f t="array" ref="G114:G115">Heath!O285:O286</f>
        <v>0.2857142857142857</v>
      </c>
      <c r="H114" s="205" cm="1">
        <f t="array" ref="H114:H115">Heath!P285:P286</f>
        <v>0.4</v>
      </c>
      <c r="I114" s="206"/>
      <c r="J114" s="207"/>
      <c r="K114" s="208"/>
      <c r="L114" s="189"/>
      <c r="M114" s="201"/>
      <c r="N114" s="191"/>
      <c r="O114" s="203"/>
    </row>
    <row r="115" spans="2:17">
      <c r="B115" s="226" t="s">
        <v>48</v>
      </c>
      <c r="C115" s="209">
        <v>3777.5</v>
      </c>
      <c r="D115" s="209">
        <v>2683.4</v>
      </c>
      <c r="E115" s="209">
        <v>2692.6666666666665</v>
      </c>
      <c r="F115" s="209"/>
      <c r="G115" s="209">
        <v>1614</v>
      </c>
      <c r="H115" s="209">
        <v>2845.2142857142858</v>
      </c>
      <c r="I115" s="210"/>
      <c r="J115" s="211"/>
      <c r="K115" s="212"/>
      <c r="L115" s="213"/>
      <c r="M115" s="201"/>
      <c r="N115" s="214"/>
      <c r="O115" s="203"/>
    </row>
    <row r="116" spans="2:17">
      <c r="B116" s="195" t="s">
        <v>112</v>
      </c>
      <c r="C116" s="196"/>
      <c r="D116" s="196">
        <f>'Jarrod - No OT'!L304</f>
        <v>6897</v>
      </c>
      <c r="E116" s="196">
        <f>'Jarrod - No OT'!M304</f>
        <v>15258.17</v>
      </c>
      <c r="F116" s="196">
        <f>'Jarrod - No OT'!N304</f>
        <v>5814</v>
      </c>
      <c r="G116" s="196">
        <f>'Jarrod - No OT'!O304</f>
        <v>10176</v>
      </c>
      <c r="H116" s="196">
        <f>'Jarrod - No OT'!P304</f>
        <v>38145.17</v>
      </c>
      <c r="I116" s="197">
        <v>25000</v>
      </c>
      <c r="J116" s="198">
        <f>-I116+H116</f>
        <v>13145.169999999998</v>
      </c>
      <c r="K116" s="199"/>
      <c r="L116" s="200">
        <f>H116</f>
        <v>38145.17</v>
      </c>
      <c r="M116" s="225">
        <f>'Jarrod - No OT'!R304</f>
        <v>0</v>
      </c>
      <c r="N116" s="202">
        <f>L116-M116</f>
        <v>38145.17</v>
      </c>
      <c r="O116" s="230">
        <f>'Jarrod - No OT'!S304</f>
        <v>0</v>
      </c>
      <c r="P116">
        <f>'Jarrod - No OT'!F326</f>
        <v>38145.17</v>
      </c>
      <c r="Q116" s="294">
        <f>H116-P116</f>
        <v>0</v>
      </c>
    </row>
    <row r="117" spans="2:17">
      <c r="B117" s="204" t="s">
        <v>101</v>
      </c>
      <c r="C117" s="205"/>
      <c r="D117" s="205" cm="1">
        <f t="array" ref="D117:D118">'Jarrod - No OT'!L307:L308</f>
        <v>0.5714285714285714</v>
      </c>
      <c r="E117" s="205" cm="1">
        <f t="array" ref="E117:E118">'Jarrod - No OT'!M307:M308</f>
        <v>0.5714285714285714</v>
      </c>
      <c r="F117" s="205" cm="1">
        <f t="array" ref="F117:F118">'Jarrod - No OT'!N307:N308</f>
        <v>0.2</v>
      </c>
      <c r="G117" s="205" cm="1">
        <f t="array" ref="G117:G118">'Jarrod - No OT'!O307:O308</f>
        <v>0.375</v>
      </c>
      <c r="H117" s="205" cm="1">
        <f t="array" ref="H117:H118">'Jarrod - No OT'!P307:P308</f>
        <v>0.44444444444444442</v>
      </c>
      <c r="I117" s="206"/>
      <c r="J117" s="207"/>
      <c r="K117" s="208"/>
      <c r="L117" s="189"/>
      <c r="M117" s="201"/>
      <c r="N117" s="191"/>
      <c r="O117" s="203"/>
    </row>
    <row r="118" spans="2:17">
      <c r="B118" s="204" t="s">
        <v>48</v>
      </c>
      <c r="C118" s="227"/>
      <c r="D118" s="227">
        <v>1724.25</v>
      </c>
      <c r="E118" s="227">
        <v>3814.5425</v>
      </c>
      <c r="F118" s="227">
        <v>5814</v>
      </c>
      <c r="G118" s="227">
        <v>3392</v>
      </c>
      <c r="H118" s="227">
        <v>3178.7641666666664</v>
      </c>
      <c r="I118" s="210"/>
      <c r="J118" s="211"/>
      <c r="K118" s="228"/>
      <c r="L118" s="213"/>
      <c r="M118" s="190"/>
      <c r="N118" s="214"/>
      <c r="O118" s="233"/>
    </row>
    <row r="119" spans="2:17">
      <c r="B119" s="195" t="s">
        <v>109</v>
      </c>
      <c r="C119" s="196">
        <f>Liam!K457</f>
        <v>2402</v>
      </c>
      <c r="D119" s="196">
        <f>Liam!L457</f>
        <v>6520</v>
      </c>
      <c r="E119" s="196">
        <f>Liam!M457</f>
        <v>4461</v>
      </c>
      <c r="F119" s="196">
        <f>Liam!N457</f>
        <v>2470.5</v>
      </c>
      <c r="G119" s="196"/>
      <c r="H119" s="196">
        <f>Liam!P457</f>
        <v>15853.5</v>
      </c>
      <c r="I119" s="197">
        <v>25000</v>
      </c>
      <c r="J119" s="198">
        <f>-I119+H119</f>
        <v>-9146.5</v>
      </c>
      <c r="K119" s="199"/>
      <c r="L119" s="200">
        <f>H119</f>
        <v>15853.5</v>
      </c>
      <c r="M119" s="225">
        <f>Liam!R457</f>
        <v>4461</v>
      </c>
      <c r="N119" s="202">
        <f>L119-M119</f>
        <v>11392.5</v>
      </c>
      <c r="O119" s="230">
        <f>Liam!S457</f>
        <v>0</v>
      </c>
      <c r="P119">
        <f>Liam!F475+Liam!F488</f>
        <v>15853.5</v>
      </c>
      <c r="Q119" s="294">
        <f>H119-P119</f>
        <v>0</v>
      </c>
    </row>
    <row r="120" spans="2:17">
      <c r="B120" s="204" t="s">
        <v>101</v>
      </c>
      <c r="C120" s="205" cm="1">
        <f t="array" ref="C120:C121">Liam!K460:K461</f>
        <v>0.25</v>
      </c>
      <c r="D120" s="205" cm="1">
        <f t="array" ref="D120:D121">Liam!L460:L461</f>
        <v>0.6</v>
      </c>
      <c r="E120" s="205" cm="1">
        <f t="array" ref="E120:E121">Liam!M460:M461</f>
        <v>0.5</v>
      </c>
      <c r="F120" s="205" cm="1">
        <f t="array" ref="F120:F121">Liam!N460:N461</f>
        <v>0.42857142857142855</v>
      </c>
      <c r="G120" s="205"/>
      <c r="H120" s="205" cm="1">
        <f t="array" ref="H120:H121">Liam!P460:P461</f>
        <v>0.40909090909090912</v>
      </c>
      <c r="I120" s="206"/>
      <c r="J120" s="207"/>
      <c r="K120" s="208"/>
      <c r="L120" s="189"/>
      <c r="M120" s="201"/>
      <c r="N120" s="191"/>
      <c r="O120" s="203"/>
    </row>
    <row r="121" spans="2:17">
      <c r="B121" s="204" t="s">
        <v>48</v>
      </c>
      <c r="C121" s="227">
        <v>1201</v>
      </c>
      <c r="D121" s="227">
        <v>2173.3333333333335</v>
      </c>
      <c r="E121" s="227">
        <v>4461</v>
      </c>
      <c r="F121" s="227">
        <v>823.5</v>
      </c>
      <c r="G121" s="227"/>
      <c r="H121" s="227">
        <v>1761.5</v>
      </c>
      <c r="I121" s="210"/>
      <c r="J121" s="211"/>
      <c r="K121" s="228"/>
      <c r="L121" s="213"/>
      <c r="M121" s="190"/>
      <c r="N121" s="214"/>
      <c r="O121" s="233"/>
    </row>
    <row r="122" spans="2:17">
      <c r="B122" s="195" t="s">
        <v>105</v>
      </c>
      <c r="C122" s="196"/>
      <c r="D122" s="196"/>
      <c r="E122" s="196"/>
      <c r="F122" s="196">
        <f>'Mathew B'!N563</f>
        <v>421</v>
      </c>
      <c r="G122" s="196"/>
      <c r="H122" s="196">
        <f>'Mathew B'!P563</f>
        <v>421</v>
      </c>
      <c r="I122" s="197">
        <v>25000</v>
      </c>
      <c r="J122" s="198">
        <f>-I122+H122</f>
        <v>-24579</v>
      </c>
      <c r="K122" s="199"/>
      <c r="L122" s="200">
        <f>H122</f>
        <v>421</v>
      </c>
      <c r="M122" s="225">
        <f>'Mathew B'!R563</f>
        <v>0</v>
      </c>
      <c r="N122" s="202">
        <f>L122-M122</f>
        <v>421</v>
      </c>
      <c r="O122" s="230">
        <f>'Mathew B'!S563</f>
        <v>0</v>
      </c>
      <c r="P122">
        <f>'Mathew B'!F575</f>
        <v>421</v>
      </c>
      <c r="Q122" s="294">
        <f>H122-P122</f>
        <v>0</v>
      </c>
    </row>
    <row r="123" spans="2:17">
      <c r="B123" s="204" t="s">
        <v>101</v>
      </c>
      <c r="C123" s="205"/>
      <c r="D123" s="205"/>
      <c r="E123" s="205"/>
      <c r="F123" s="205" cm="1">
        <f t="array" ref="F123:F124">'Mathew B'!N566:N567</f>
        <v>1</v>
      </c>
      <c r="G123" s="205"/>
      <c r="H123" s="205" cm="1">
        <f t="array" ref="H123:H124">'Mathew B'!P566:P567</f>
        <v>1</v>
      </c>
      <c r="I123" s="206"/>
      <c r="J123" s="207"/>
      <c r="K123" s="208"/>
      <c r="L123" s="189"/>
      <c r="M123" s="201"/>
      <c r="N123" s="191"/>
      <c r="O123" s="203"/>
    </row>
    <row r="124" spans="2:17">
      <c r="B124" s="204" t="s">
        <v>48</v>
      </c>
      <c r="C124" s="227"/>
      <c r="D124" s="227"/>
      <c r="E124" s="227"/>
      <c r="F124" s="227">
        <v>421</v>
      </c>
      <c r="G124" s="227"/>
      <c r="H124" s="227">
        <v>421</v>
      </c>
      <c r="I124" s="210"/>
      <c r="J124" s="211"/>
      <c r="K124" s="228"/>
      <c r="L124" s="213"/>
      <c r="M124" s="190"/>
      <c r="N124" s="214"/>
      <c r="O124" s="233"/>
    </row>
    <row r="125" spans="2:17">
      <c r="B125" s="195" t="s">
        <v>107</v>
      </c>
      <c r="C125" s="196">
        <f>'Shaun - No OT'!K330</f>
        <v>4582.8500000000004</v>
      </c>
      <c r="D125" s="196">
        <f>'Shaun - No OT'!L330</f>
        <v>8046</v>
      </c>
      <c r="E125" s="196">
        <f>'Shaun - No OT'!M330</f>
        <v>4012.9</v>
      </c>
      <c r="F125" s="196">
        <f>'Shaun - No OT'!N330</f>
        <v>1138</v>
      </c>
      <c r="G125" s="196">
        <f>'Shaun - No OT'!O330</f>
        <v>3100</v>
      </c>
      <c r="H125" s="196">
        <f>'Shaun - No OT'!P330</f>
        <v>20879.75</v>
      </c>
      <c r="I125" s="197">
        <v>25000</v>
      </c>
      <c r="J125" s="198">
        <f>-I125+H125</f>
        <v>-4120.25</v>
      </c>
      <c r="K125" s="199"/>
      <c r="L125" s="200">
        <f>H125</f>
        <v>20879.75</v>
      </c>
      <c r="M125" s="225">
        <f>'Shaun - No OT'!R330</f>
        <v>2261</v>
      </c>
      <c r="N125" s="202">
        <f>L125-M125</f>
        <v>18618.75</v>
      </c>
      <c r="O125" s="230">
        <f>'Shaun - No OT'!S330</f>
        <v>0</v>
      </c>
      <c r="P125">
        <f>'Shaun - No OT'!F358+'Shaun - No OT'!F363</f>
        <v>20879.75</v>
      </c>
      <c r="Q125" s="294">
        <f>H125-P125</f>
        <v>0</v>
      </c>
    </row>
    <row r="126" spans="2:17">
      <c r="B126" s="204" t="s">
        <v>101</v>
      </c>
      <c r="C126" s="205" cm="1">
        <f t="array" ref="C126:C127">'Shaun - No OT'!K333:K334</f>
        <v>0.5714285714285714</v>
      </c>
      <c r="D126" s="205" cm="1">
        <f t="array" ref="D126:D127">'Shaun - No OT'!L333:L334</f>
        <v>0.5</v>
      </c>
      <c r="E126" s="205" cm="1">
        <f t="array" ref="E126:E127">'Shaun - No OT'!M333:M334</f>
        <v>0.66666666666666663</v>
      </c>
      <c r="F126" s="205" cm="1">
        <f t="array" ref="F126:F127">'Shaun - No OT'!N333:N334</f>
        <v>0.2</v>
      </c>
      <c r="G126" s="205" cm="1">
        <f t="array" ref="G126:G127">'Shaun - No OT'!O333:O334</f>
        <v>0.5714285714285714</v>
      </c>
      <c r="H126" s="205" cm="1">
        <f t="array" ref="H126:H127">'Shaun - No OT'!P333:P334</f>
        <v>0.51428571428571423</v>
      </c>
      <c r="I126" s="206"/>
      <c r="J126" s="207"/>
      <c r="K126" s="208"/>
      <c r="L126" s="189"/>
      <c r="M126" s="201"/>
      <c r="N126" s="191"/>
      <c r="O126" s="203"/>
    </row>
    <row r="127" spans="2:17">
      <c r="B127" s="204" t="s">
        <v>48</v>
      </c>
      <c r="C127" s="227">
        <v>1145.7125000000001</v>
      </c>
      <c r="D127" s="227">
        <v>1609.2</v>
      </c>
      <c r="E127" s="227">
        <v>1003.225</v>
      </c>
      <c r="F127" s="227">
        <v>1138</v>
      </c>
      <c r="G127" s="227">
        <v>775</v>
      </c>
      <c r="H127" s="227">
        <v>1159.9861111111111</v>
      </c>
      <c r="I127" s="210"/>
      <c r="J127" s="211"/>
      <c r="K127" s="228"/>
      <c r="L127" s="213"/>
      <c r="M127" s="190"/>
      <c r="N127" s="214"/>
      <c r="O127" s="233"/>
    </row>
    <row r="128" spans="2:17">
      <c r="B128" s="195" t="s">
        <v>116</v>
      </c>
      <c r="C128" s="196"/>
      <c r="D128" s="196"/>
      <c r="E128" s="196"/>
      <c r="F128" s="196"/>
      <c r="G128" s="196">
        <f>Elliot!O102</f>
        <v>11383</v>
      </c>
      <c r="H128" s="196">
        <f>Elliot!P102</f>
        <v>11383</v>
      </c>
      <c r="I128" s="197"/>
      <c r="J128" s="198">
        <f>-I128+H128</f>
        <v>11383</v>
      </c>
      <c r="K128" s="199"/>
      <c r="L128" s="200">
        <f>H128</f>
        <v>11383</v>
      </c>
      <c r="M128" s="225">
        <f>Elliot!R102</f>
        <v>11383</v>
      </c>
      <c r="N128" s="202">
        <f>L128-M128</f>
        <v>0</v>
      </c>
      <c r="O128" s="230">
        <f>Elliot!S102</f>
        <v>0</v>
      </c>
      <c r="P128">
        <f>Elliot!F113+Elliot!F120</f>
        <v>11383</v>
      </c>
      <c r="Q128" s="294">
        <f>H128-P128</f>
        <v>0</v>
      </c>
    </row>
    <row r="129" spans="2:18">
      <c r="B129" s="204" t="s">
        <v>101</v>
      </c>
      <c r="C129" s="205"/>
      <c r="D129" s="205"/>
      <c r="E129" s="205"/>
      <c r="F129" s="205"/>
      <c r="G129" s="205" cm="1">
        <f t="array" ref="G129:G130">Elliot!O105:O106</f>
        <v>1</v>
      </c>
      <c r="H129" s="205" cm="1">
        <f t="array" ref="H129:H130">Elliot!P105:P106</f>
        <v>1</v>
      </c>
      <c r="I129" s="206"/>
      <c r="J129" s="207"/>
      <c r="K129" s="208"/>
      <c r="L129" s="189"/>
      <c r="M129" s="201"/>
      <c r="N129" s="191"/>
      <c r="O129" s="203"/>
    </row>
    <row r="130" spans="2:18">
      <c r="B130" s="204" t="s">
        <v>48</v>
      </c>
      <c r="C130" s="227"/>
      <c r="D130" s="227"/>
      <c r="E130" s="227"/>
      <c r="F130" s="227"/>
      <c r="G130" s="227">
        <v>3794.3333333333335</v>
      </c>
      <c r="H130" s="227">
        <v>3794.3333333333335</v>
      </c>
      <c r="I130" s="210"/>
      <c r="J130" s="211"/>
      <c r="K130" s="228"/>
      <c r="L130" s="213"/>
      <c r="M130" s="190"/>
      <c r="N130" s="214"/>
      <c r="O130" s="233"/>
    </row>
    <row r="131" spans="2:18">
      <c r="B131" s="195" t="s">
        <v>117</v>
      </c>
      <c r="C131" s="196">
        <f>'Rhys C'!K52</f>
        <v>34828</v>
      </c>
      <c r="D131" s="196">
        <f>'Rhys C'!L52</f>
        <v>2270</v>
      </c>
      <c r="E131" s="196">
        <f>'Rhys C'!M52</f>
        <v>1302</v>
      </c>
      <c r="F131" s="196">
        <f>'Rhys C'!N52</f>
        <v>3061</v>
      </c>
      <c r="G131" s="196">
        <f>'Rhys C'!O52</f>
        <v>11356</v>
      </c>
      <c r="H131" s="196">
        <f>'Rhys C'!P52</f>
        <v>52817</v>
      </c>
      <c r="I131" s="197"/>
      <c r="J131" s="198">
        <f>-I131+H131</f>
        <v>52817</v>
      </c>
      <c r="K131" s="199">
        <f>'Rhys C'!Q52</f>
        <v>5497.16</v>
      </c>
      <c r="L131" s="200">
        <f>H131</f>
        <v>52817</v>
      </c>
      <c r="M131" s="225">
        <f>'Rhys C'!R52</f>
        <v>35960</v>
      </c>
      <c r="N131" s="202">
        <f>L131-M131</f>
        <v>16857</v>
      </c>
      <c r="O131" s="230">
        <f>'Rhys C'!S52</f>
        <v>0</v>
      </c>
      <c r="P131">
        <f>'Rhys C'!F70+'Rhys C'!F80+'Rhys C'!F85</f>
        <v>52817</v>
      </c>
      <c r="Q131" s="294">
        <f>H131-P131</f>
        <v>0</v>
      </c>
    </row>
    <row r="132" spans="2:18">
      <c r="B132" s="204" t="s">
        <v>101</v>
      </c>
      <c r="C132" s="205" cm="1">
        <f t="array" ref="C132:C133">'Rhys C'!K55:K56</f>
        <v>0.2857142857142857</v>
      </c>
      <c r="D132" s="205" cm="1">
        <f t="array" ref="D132:D133">'Rhys C'!L55:L56</f>
        <v>0.25</v>
      </c>
      <c r="E132" s="205" cm="1">
        <f t="array" ref="E132:E133">'Rhys C'!M55:M56</f>
        <v>0.5</v>
      </c>
      <c r="F132" s="205" cm="1">
        <f t="array" ref="F132:F133">'Rhys C'!N55:N56</f>
        <v>0.25</v>
      </c>
      <c r="G132" s="205" cm="1">
        <f t="array" ref="G132:G133">'Rhys C'!O55:O56</f>
        <v>0.42857142857142855</v>
      </c>
      <c r="H132" s="205" cm="1">
        <f t="array" ref="H132:H133">'Rhys C'!P55:P56</f>
        <v>0.3235294117647059</v>
      </c>
      <c r="I132" s="206"/>
      <c r="J132" s="207"/>
      <c r="K132" s="208" cm="1">
        <f t="array" ref="K132:K133">'Rhys C'!Q55:Q56</f>
        <v>0.4</v>
      </c>
      <c r="L132" s="189"/>
      <c r="M132" s="201"/>
      <c r="N132" s="191"/>
      <c r="O132" s="203"/>
    </row>
    <row r="133" spans="2:18">
      <c r="B133" s="204" t="s">
        <v>48</v>
      </c>
      <c r="C133" s="227">
        <v>17414</v>
      </c>
      <c r="D133" s="227">
        <v>1135</v>
      </c>
      <c r="E133" s="227">
        <v>651</v>
      </c>
      <c r="F133" s="227">
        <v>1530.5</v>
      </c>
      <c r="G133" s="227">
        <v>3785.3333333333335</v>
      </c>
      <c r="H133" s="227">
        <v>4801.545454545455</v>
      </c>
      <c r="I133" s="210"/>
      <c r="J133" s="211"/>
      <c r="K133" s="228">
        <v>2748.58</v>
      </c>
      <c r="L133" s="213"/>
      <c r="M133" s="190"/>
      <c r="N133" s="214"/>
      <c r="O133" s="233"/>
    </row>
    <row r="134" spans="2:18">
      <c r="B134" s="195" t="s">
        <v>118</v>
      </c>
      <c r="C134" s="196"/>
      <c r="D134" s="196"/>
      <c r="E134" s="196"/>
      <c r="F134" s="196"/>
      <c r="G134" s="196"/>
      <c r="H134" s="196"/>
      <c r="I134" s="197"/>
      <c r="J134" s="198">
        <f>-I134+H134</f>
        <v>0</v>
      </c>
      <c r="K134" s="199">
        <f>Francesco!Q19</f>
        <v>1152.9000000000001</v>
      </c>
      <c r="L134" s="200">
        <f>H134</f>
        <v>0</v>
      </c>
      <c r="M134" s="225">
        <f>Francesco!R19</f>
        <v>0</v>
      </c>
      <c r="N134" s="202">
        <f>L134-M134</f>
        <v>0</v>
      </c>
      <c r="O134" s="230">
        <f>Francesco!S19</f>
        <v>0</v>
      </c>
      <c r="P134">
        <f>Francesco!F30</f>
        <v>0</v>
      </c>
      <c r="Q134" s="294">
        <f>H134-P134</f>
        <v>0</v>
      </c>
    </row>
    <row r="135" spans="2:18">
      <c r="B135" s="204" t="s">
        <v>101</v>
      </c>
      <c r="C135" s="205"/>
      <c r="D135" s="205"/>
      <c r="E135" s="205"/>
      <c r="F135" s="205"/>
      <c r="G135" s="205"/>
      <c r="H135" s="205"/>
      <c r="I135" s="206"/>
      <c r="J135" s="207"/>
      <c r="K135" s="208" cm="1">
        <f t="array" ref="K135:K136">Francesco!Q22:Q23</f>
        <v>1</v>
      </c>
      <c r="L135" s="189"/>
      <c r="M135" s="201"/>
      <c r="N135" s="191"/>
      <c r="O135" s="203"/>
    </row>
    <row r="136" spans="2:18">
      <c r="B136" s="204" t="s">
        <v>48</v>
      </c>
      <c r="C136" s="227"/>
      <c r="D136" s="227"/>
      <c r="E136" s="227"/>
      <c r="F136" s="227"/>
      <c r="G136" s="227"/>
      <c r="H136" s="227"/>
      <c r="I136" s="210"/>
      <c r="J136" s="211"/>
      <c r="K136" s="228">
        <v>1152.9000000000001</v>
      </c>
      <c r="L136" s="213"/>
      <c r="M136" s="190"/>
      <c r="N136" s="214"/>
      <c r="O136" s="233"/>
    </row>
    <row r="137" spans="2:18">
      <c r="B137" s="237" t="s">
        <v>102</v>
      </c>
      <c r="C137" s="238">
        <f t="shared" ref="C137:O137" si="4">C110+C113+C116+C119+C122+C125+C128+C131+C134</f>
        <v>56922.85</v>
      </c>
      <c r="D137" s="238">
        <f t="shared" si="4"/>
        <v>53063.199999999997</v>
      </c>
      <c r="E137" s="238">
        <f t="shared" si="4"/>
        <v>34508.07</v>
      </c>
      <c r="F137" s="238">
        <f t="shared" si="4"/>
        <v>15663.5</v>
      </c>
      <c r="G137" s="238">
        <f t="shared" si="4"/>
        <v>39243</v>
      </c>
      <c r="H137" s="239">
        <f t="shared" si="4"/>
        <v>199400.62</v>
      </c>
      <c r="I137" s="238">
        <f t="shared" si="4"/>
        <v>200000</v>
      </c>
      <c r="J137" s="240">
        <f t="shared" si="4"/>
        <v>-599.38000000000466</v>
      </c>
      <c r="K137" s="241">
        <f t="shared" si="4"/>
        <v>6650.0599999999995</v>
      </c>
      <c r="L137" s="239">
        <f t="shared" si="4"/>
        <v>199400.62</v>
      </c>
      <c r="M137" s="240">
        <f t="shared" si="4"/>
        <v>66331</v>
      </c>
      <c r="N137" s="241">
        <f t="shared" si="4"/>
        <v>133069.62</v>
      </c>
      <c r="O137" s="240">
        <f t="shared" si="4"/>
        <v>0</v>
      </c>
      <c r="P137">
        <f>'Ben - No OT'!P473+Elliot!P102+Heath!P282+'Jarrod - No OT'!P304+Liam!P457+'Mathew B'!P563+'Rhys C'!P52+'Shaun - No OT'!P330</f>
        <v>199400.62</v>
      </c>
      <c r="Q137">
        <f>'Ben - No OT'!Q473+Elliot!Q102+Heath!Q282+'Jarrod - No OT'!Q304+Liam!Q457+'Mathew B'!Q563+'Rhys C'!Q52+'Shaun - No OT'!Q330</f>
        <v>5497.16</v>
      </c>
      <c r="R137">
        <f>'Ben - No OT'!R473+Elliot!R102+Heath!R282+'Jarrod - No OT'!R304+Liam!R457+'Mathew B'!R563+'Rhys C'!R52+'Shaun - No OT'!R330</f>
        <v>66331</v>
      </c>
    </row>
    <row r="138" spans="2:18">
      <c r="B138" s="244" t="s">
        <v>103</v>
      </c>
      <c r="C138" s="244"/>
      <c r="D138" s="244"/>
      <c r="E138" s="244"/>
      <c r="F138" s="244"/>
      <c r="G138" s="244"/>
      <c r="H138" s="245">
        <f>H137+K137</f>
        <v>206050.68</v>
      </c>
      <c r="I138" s="246">
        <f>I137+J137</f>
        <v>199400.62</v>
      </c>
      <c r="J138" s="247"/>
      <c r="K138" s="248"/>
      <c r="L138" s="249"/>
      <c r="M138" s="250">
        <f>L137-N137</f>
        <v>66331</v>
      </c>
      <c r="N138" s="251"/>
      <c r="O138" s="201"/>
      <c r="P138">
        <f>P137+Q137</f>
        <v>204897.78</v>
      </c>
    </row>
    <row r="142" spans="2:18">
      <c r="B142" s="171" t="s">
        <v>111</v>
      </c>
      <c r="C142" s="172">
        <v>45879</v>
      </c>
      <c r="D142" s="173"/>
      <c r="E142" s="173"/>
      <c r="F142" s="173"/>
      <c r="G142" s="173"/>
      <c r="H142" s="173"/>
      <c r="I142" s="174" t="s">
        <v>88</v>
      </c>
      <c r="J142" s="175"/>
      <c r="K142" s="176"/>
      <c r="L142" s="177"/>
      <c r="M142" s="178"/>
      <c r="N142" s="179" t="s">
        <v>89</v>
      </c>
      <c r="O142" s="180" t="s">
        <v>29</v>
      </c>
    </row>
    <row r="143" spans="2:18">
      <c r="B143" s="183"/>
      <c r="C143" s="288" t="s">
        <v>91</v>
      </c>
      <c r="D143" s="289" t="s">
        <v>92</v>
      </c>
      <c r="E143" s="289" t="s">
        <v>93</v>
      </c>
      <c r="F143" s="289" t="s">
        <v>94</v>
      </c>
      <c r="G143" s="290" t="s">
        <v>95</v>
      </c>
      <c r="H143" s="291" t="s">
        <v>96</v>
      </c>
      <c r="I143" s="292" t="s">
        <v>97</v>
      </c>
      <c r="J143" s="187" t="s">
        <v>98</v>
      </c>
      <c r="K143" s="188" t="s">
        <v>29</v>
      </c>
      <c r="L143" s="189" t="s">
        <v>89</v>
      </c>
      <c r="M143" s="190" t="s">
        <v>99</v>
      </c>
      <c r="N143" s="191" t="s">
        <v>100</v>
      </c>
      <c r="O143" s="192" t="s">
        <v>99</v>
      </c>
    </row>
    <row r="144" spans="2:18">
      <c r="B144" s="195" t="s">
        <v>113</v>
      </c>
      <c r="C144" s="293">
        <f>'Ben - No OT'!K547</f>
        <v>21013.360000000001</v>
      </c>
      <c r="D144" s="293">
        <f>'Ben - No OT'!L547</f>
        <v>2999</v>
      </c>
      <c r="E144" s="293">
        <f>'Ben - No OT'!M547</f>
        <v>7098.05</v>
      </c>
      <c r="F144" s="293">
        <f>'Ben - No OT'!N547</f>
        <v>5104</v>
      </c>
      <c r="G144" s="293">
        <f>'Ben - No OT'!O547</f>
        <v>17575.900000000001</v>
      </c>
      <c r="H144" s="293">
        <f>'Ben - No OT'!P547</f>
        <v>53790.310000000005</v>
      </c>
      <c r="I144" s="197">
        <v>50000</v>
      </c>
      <c r="J144" s="198">
        <f>-I144+H144</f>
        <v>3790.3100000000049</v>
      </c>
      <c r="K144" s="541">
        <f>'Ben - No OT'!Q547</f>
        <v>4386</v>
      </c>
      <c r="L144" s="200">
        <f>H144</f>
        <v>53790.310000000005</v>
      </c>
      <c r="M144" s="201">
        <f>'Ben - No OT'!R547</f>
        <v>29028</v>
      </c>
      <c r="N144" s="202">
        <f>L144-M144</f>
        <v>24762.310000000005</v>
      </c>
      <c r="O144" s="203">
        <f>'Ben - No OT'!S547</f>
        <v>0</v>
      </c>
      <c r="Q144" s="294">
        <f>H144-P144</f>
        <v>53790.310000000005</v>
      </c>
    </row>
    <row r="145" spans="2:17">
      <c r="B145" s="204" t="s">
        <v>101</v>
      </c>
      <c r="C145" s="531" cm="1">
        <f t="array" ref="C145:C146">'Ben - No OT'!K550:K551</f>
        <v>0.55555555555555558</v>
      </c>
      <c r="D145" s="531" cm="1">
        <f t="array" ref="D145:D146">'Ben - No OT'!L550:L551</f>
        <v>1</v>
      </c>
      <c r="E145" s="531" cm="1">
        <f t="array" ref="E145:E146">'Ben - No OT'!M550:M551</f>
        <v>0.5714285714285714</v>
      </c>
      <c r="F145" s="531" cm="1">
        <f t="array" ref="F145:F146">'Ben - No OT'!N550:N551</f>
        <v>0.5</v>
      </c>
      <c r="G145" s="531" cm="1">
        <f t="array" ref="G145:G146">'Ben - No OT'!O550:O551</f>
        <v>0.375</v>
      </c>
      <c r="H145" s="531" cm="1">
        <f t="array" ref="H145:H146">'Ben - No OT'!P550:P551</f>
        <v>0.52941176470588236</v>
      </c>
      <c r="I145" s="206"/>
      <c r="J145" s="207"/>
      <c r="K145" s="542" cm="1">
        <f t="array" ref="K145:K146">'Ben - No OT'!Q550:Q551</f>
        <v>0.75</v>
      </c>
      <c r="L145" s="189"/>
      <c r="M145" s="201"/>
      <c r="N145" s="191"/>
      <c r="O145" s="203"/>
    </row>
    <row r="146" spans="2:17">
      <c r="B146" s="226" t="s">
        <v>48</v>
      </c>
      <c r="C146" s="536">
        <v>4202.6720000000005</v>
      </c>
      <c r="D146" s="536">
        <v>1499.5</v>
      </c>
      <c r="E146" s="536">
        <v>1774.5125</v>
      </c>
      <c r="F146" s="536">
        <v>1276</v>
      </c>
      <c r="G146" s="536">
        <v>5858.6333333333341</v>
      </c>
      <c r="H146" s="536">
        <v>2988.3505555555557</v>
      </c>
      <c r="I146" s="210"/>
      <c r="J146" s="211"/>
      <c r="K146" s="543">
        <v>1462</v>
      </c>
      <c r="L146" s="213"/>
      <c r="M146" s="497"/>
      <c r="N146" s="214"/>
      <c r="O146" s="214"/>
    </row>
    <row r="147" spans="2:17">
      <c r="B147" s="195" t="s">
        <v>116</v>
      </c>
      <c r="C147" s="532"/>
      <c r="D147" s="532"/>
      <c r="E147" s="532"/>
      <c r="F147" s="293">
        <f>Elliot!N141</f>
        <v>1362</v>
      </c>
      <c r="G147" s="293"/>
      <c r="H147" s="293">
        <f>Elliot!P141</f>
        <v>1362</v>
      </c>
      <c r="I147" s="206"/>
      <c r="J147" s="198">
        <f>-I147+H147</f>
        <v>1362</v>
      </c>
      <c r="K147" s="541">
        <f>Elliot!Q141</f>
        <v>0</v>
      </c>
      <c r="L147" s="200">
        <f>H147</f>
        <v>1362</v>
      </c>
      <c r="M147" s="201">
        <f>Elliot!R141</f>
        <v>0</v>
      </c>
      <c r="N147" s="202">
        <f>L147-M147</f>
        <v>1362</v>
      </c>
      <c r="O147" s="203">
        <f>Elliot!S141</f>
        <v>0</v>
      </c>
      <c r="Q147" s="294">
        <f>H147-P147</f>
        <v>1362</v>
      </c>
    </row>
    <row r="148" spans="2:17">
      <c r="B148" s="204" t="s">
        <v>101</v>
      </c>
      <c r="C148" s="532"/>
      <c r="D148" s="532"/>
      <c r="E148" s="532"/>
      <c r="F148" s="531" cm="1">
        <f t="array" ref="F148:F149">Elliot!N144:N145</f>
        <v>0.66666666666666663</v>
      </c>
      <c r="G148" s="531"/>
      <c r="H148" s="531" cm="1">
        <f t="array" ref="H148:H149">Elliot!P144:P145</f>
        <v>0.66666666666666663</v>
      </c>
      <c r="I148" s="206"/>
      <c r="J148" s="207"/>
      <c r="K148" s="542" t="e" cm="1">
        <f t="array" ref="K148:K149">Elliot!Q144:Q145</f>
        <v>#DIV/0!</v>
      </c>
      <c r="L148" s="189"/>
      <c r="M148" s="251"/>
      <c r="N148" s="191"/>
      <c r="O148" s="540"/>
    </row>
    <row r="149" spans="2:17">
      <c r="B149" s="226" t="s">
        <v>48</v>
      </c>
      <c r="C149" s="532"/>
      <c r="D149" s="532"/>
      <c r="E149" s="532"/>
      <c r="F149" s="532">
        <v>681</v>
      </c>
      <c r="G149" s="532"/>
      <c r="H149" s="532">
        <v>681</v>
      </c>
      <c r="I149" s="206"/>
      <c r="J149" s="207"/>
      <c r="K149" s="543" t="e">
        <v>#DIV/0!</v>
      </c>
      <c r="L149" s="189"/>
      <c r="M149" s="251"/>
      <c r="N149" s="191"/>
      <c r="O149" s="540"/>
    </row>
    <row r="150" spans="2:17">
      <c r="B150" s="195" t="s">
        <v>114</v>
      </c>
      <c r="C150" s="196">
        <f>Heath!K376</f>
        <v>5956</v>
      </c>
      <c r="D150" s="196">
        <f>Heath!L376</f>
        <v>1952</v>
      </c>
      <c r="E150" s="196">
        <f>Heath!M376</f>
        <v>39866</v>
      </c>
      <c r="F150" s="196">
        <f>Heath!N376</f>
        <v>13546.6</v>
      </c>
      <c r="G150" s="196">
        <f>Heath!O376</f>
        <v>6616.8</v>
      </c>
      <c r="H150" s="196">
        <f>Heath!P376</f>
        <v>67937.399999999994</v>
      </c>
      <c r="I150" s="197">
        <v>50000</v>
      </c>
      <c r="J150" s="198">
        <f>-I150+H150</f>
        <v>17937.399999999994</v>
      </c>
      <c r="K150" s="541">
        <f>Heath!Q376</f>
        <v>0</v>
      </c>
      <c r="L150" s="200">
        <f>H150</f>
        <v>67937.399999999994</v>
      </c>
      <c r="M150" s="225">
        <f>Heath!R376</f>
        <v>45719.6</v>
      </c>
      <c r="N150" s="202">
        <f>L150-M150</f>
        <v>22217.799999999996</v>
      </c>
      <c r="O150" s="230">
        <f>Heath!S376</f>
        <v>0</v>
      </c>
      <c r="Q150" s="294">
        <f>H150-P150</f>
        <v>67937.399999999994</v>
      </c>
    </row>
    <row r="151" spans="2:17">
      <c r="B151" s="204" t="s">
        <v>101</v>
      </c>
      <c r="C151" s="531" cm="1">
        <f t="array" ref="C151:C152">Heath!K379:K380</f>
        <v>0.33333333333333331</v>
      </c>
      <c r="D151" s="531" cm="1">
        <f t="array" ref="D151:D152">Heath!L379:L380</f>
        <v>0.4</v>
      </c>
      <c r="E151" s="531" cm="1">
        <f t="array" ref="E151:E152">Heath!M379:M380</f>
        <v>0.66666666666666663</v>
      </c>
      <c r="F151" s="531" cm="1">
        <f t="array" ref="F151:F152">Heath!N379:N380</f>
        <v>0.5</v>
      </c>
      <c r="G151" s="531" cm="1">
        <f t="array" ref="G151:G152">Heath!O379:O380</f>
        <v>0.33333333333333331</v>
      </c>
      <c r="H151" s="531" cm="1">
        <f t="array" ref="H151:H152">Heath!P379:P380</f>
        <v>0.45945945945945948</v>
      </c>
      <c r="I151" s="206"/>
      <c r="J151" s="207"/>
      <c r="K151" s="542" t="e" cm="1">
        <f t="array" ref="K151:K152">Heath!Q379:Q380</f>
        <v>#DIV/0!</v>
      </c>
      <c r="L151" s="189"/>
      <c r="M151" s="201"/>
      <c r="N151" s="191"/>
      <c r="O151" s="203"/>
    </row>
    <row r="152" spans="2:17">
      <c r="B152" s="204" t="s">
        <v>48</v>
      </c>
      <c r="C152" s="533">
        <v>1985.3333333333333</v>
      </c>
      <c r="D152" s="533">
        <v>976</v>
      </c>
      <c r="E152" s="533">
        <v>6644.333333333333</v>
      </c>
      <c r="F152" s="533">
        <v>3386.65</v>
      </c>
      <c r="G152" s="533">
        <v>3308.4</v>
      </c>
      <c r="H152" s="533">
        <v>3996.3176470588232</v>
      </c>
      <c r="I152" s="210"/>
      <c r="J152" s="211"/>
      <c r="K152" s="543" t="e">
        <v>#DIV/0!</v>
      </c>
      <c r="L152" s="213"/>
      <c r="M152" s="190"/>
      <c r="N152" s="214"/>
      <c r="O152" s="233"/>
    </row>
    <row r="153" spans="2:17">
      <c r="B153" s="195" t="s">
        <v>112</v>
      </c>
      <c r="C153" s="196">
        <f>'Jarrod - No OT'!K381</f>
        <v>17406.599999999999</v>
      </c>
      <c r="D153" s="196">
        <f>'Jarrod - No OT'!L381</f>
        <v>2399</v>
      </c>
      <c r="E153" s="196">
        <f>'Jarrod - No OT'!M381</f>
        <v>50367.6</v>
      </c>
      <c r="F153" s="196">
        <f>'Jarrod - No OT'!N381</f>
        <v>22590</v>
      </c>
      <c r="G153" s="196">
        <f>'Jarrod - No OT'!O381</f>
        <v>44619</v>
      </c>
      <c r="H153" s="196">
        <f>'Jarrod - No OT'!P381</f>
        <v>137382.20000000001</v>
      </c>
      <c r="I153" s="197">
        <v>25000</v>
      </c>
      <c r="J153" s="198">
        <f>-I153+H153</f>
        <v>112382.20000000001</v>
      </c>
      <c r="K153" s="541">
        <f>'Jarrod - No OT'!Q381</f>
        <v>0</v>
      </c>
      <c r="L153" s="200">
        <f>H153</f>
        <v>137382.20000000001</v>
      </c>
      <c r="M153" s="225">
        <f>'Jarrod - No OT'!R381</f>
        <v>109476.6</v>
      </c>
      <c r="N153" s="202">
        <f>L153-M153</f>
        <v>27905.600000000006</v>
      </c>
      <c r="O153" s="230">
        <f>'Jarrod - No OT'!S381</f>
        <v>0</v>
      </c>
      <c r="Q153" s="294">
        <f>H153-P153</f>
        <v>137382.20000000001</v>
      </c>
    </row>
    <row r="154" spans="2:17">
      <c r="B154" s="204" t="s">
        <v>101</v>
      </c>
      <c r="C154" s="531" cm="1">
        <f t="array" ref="C154:C155">'Jarrod - No OT'!K384:K385</f>
        <v>1</v>
      </c>
      <c r="D154" s="531" cm="1">
        <f t="array" ref="D154:D155">'Jarrod - No OT'!L384:L385</f>
        <v>0.2857142857142857</v>
      </c>
      <c r="E154" s="531" cm="1">
        <f t="array" ref="E154:E155">'Jarrod - No OT'!M384:M385</f>
        <v>0.8571428571428571</v>
      </c>
      <c r="F154" s="531" cm="1">
        <f t="array" ref="F154:F155">'Jarrod - No OT'!N384:N385</f>
        <v>0.7142857142857143</v>
      </c>
      <c r="G154" s="531" cm="1">
        <f t="array" ref="G154:G155">'Jarrod - No OT'!O384:O385</f>
        <v>1</v>
      </c>
      <c r="H154" s="531" cm="1">
        <f t="array" ref="H154:H155">'Jarrod - No OT'!P384:P385</f>
        <v>0.68</v>
      </c>
      <c r="I154" s="206"/>
      <c r="J154" s="207"/>
      <c r="K154" s="542" t="e" cm="1">
        <f t="array" ref="K154:K155">'Jarrod - No OT'!Q384:Q385</f>
        <v>#DIV/0!</v>
      </c>
      <c r="L154" s="189"/>
      <c r="M154" s="201"/>
      <c r="N154" s="191"/>
      <c r="O154" s="203"/>
    </row>
    <row r="155" spans="2:17">
      <c r="B155" s="204" t="s">
        <v>48</v>
      </c>
      <c r="C155" s="533">
        <v>5802.2</v>
      </c>
      <c r="D155" s="533">
        <v>1199.5</v>
      </c>
      <c r="E155" s="533">
        <v>8394.6</v>
      </c>
      <c r="F155" s="533">
        <v>4518</v>
      </c>
      <c r="G155" s="533">
        <v>44619</v>
      </c>
      <c r="H155" s="533">
        <v>8081.3058823529418</v>
      </c>
      <c r="I155" s="210"/>
      <c r="J155" s="211"/>
      <c r="K155" s="543" t="e">
        <v>#DIV/0!</v>
      </c>
      <c r="L155" s="213"/>
      <c r="M155" s="190"/>
      <c r="N155" s="214"/>
      <c r="O155" s="233"/>
    </row>
    <row r="156" spans="2:17">
      <c r="B156" s="195" t="s">
        <v>109</v>
      </c>
      <c r="C156" s="196">
        <f>Liam!K539</f>
        <v>8572</v>
      </c>
      <c r="D156" s="196">
        <f>Liam!L539</f>
        <v>10623.9</v>
      </c>
      <c r="E156" s="196">
        <f>Liam!M539</f>
        <v>1362</v>
      </c>
      <c r="F156" s="196">
        <f>Liam!N539</f>
        <v>5732</v>
      </c>
      <c r="G156" s="196">
        <f>Liam!O539</f>
        <v>3395</v>
      </c>
      <c r="H156" s="196">
        <f>Liam!P539</f>
        <v>29684.9</v>
      </c>
      <c r="I156" s="197">
        <v>25000</v>
      </c>
      <c r="J156" s="198">
        <f>-I156+H156</f>
        <v>4684.9000000000015</v>
      </c>
      <c r="K156" s="541">
        <f>Liam!Q539</f>
        <v>0</v>
      </c>
      <c r="L156" s="200">
        <f>H156</f>
        <v>29684.9</v>
      </c>
      <c r="M156" s="225">
        <f>Liam!R539</f>
        <v>1461</v>
      </c>
      <c r="N156" s="202">
        <f>L156-M156</f>
        <v>28223.9</v>
      </c>
      <c r="O156" s="230">
        <f>Liam!S539</f>
        <v>0</v>
      </c>
      <c r="Q156" s="294">
        <f>H156-P156</f>
        <v>29684.9</v>
      </c>
    </row>
    <row r="157" spans="2:17">
      <c r="B157" s="204" t="s">
        <v>101</v>
      </c>
      <c r="C157" s="531" cm="1">
        <f t="array" ref="C157:C158">Liam!K542:K543</f>
        <v>0.6</v>
      </c>
      <c r="D157" s="531" cm="1">
        <f t="array" ref="D157:D158">Liam!L542:L543</f>
        <v>1</v>
      </c>
      <c r="E157" s="531" cm="1">
        <f t="array" ref="E157:E158">Liam!M542:M543</f>
        <v>0.2</v>
      </c>
      <c r="F157" s="531" cm="1">
        <f t="array" ref="F157:F158">Liam!N542:N543</f>
        <v>0.36363636363636365</v>
      </c>
      <c r="G157" s="531" cm="1">
        <f t="array" ref="G157:G158">Liam!O542:O543</f>
        <v>0.2</v>
      </c>
      <c r="H157" s="531" cm="1">
        <f t="array" ref="H157:H158">Liam!P542:P543</f>
        <v>0.4</v>
      </c>
      <c r="I157" s="206"/>
      <c r="J157" s="207"/>
      <c r="K157" s="542" t="e" cm="1">
        <f t="array" ref="K157:K158">Liam!Q542:Q543</f>
        <v>#DIV/0!</v>
      </c>
      <c r="L157" s="189"/>
      <c r="M157" s="201"/>
      <c r="N157" s="191"/>
      <c r="O157" s="203"/>
    </row>
    <row r="158" spans="2:17">
      <c r="B158" s="204" t="s">
        <v>48</v>
      </c>
      <c r="C158" s="533">
        <v>2857.3333333333335</v>
      </c>
      <c r="D158" s="533">
        <v>2655.9749999999999</v>
      </c>
      <c r="E158" s="533">
        <v>681</v>
      </c>
      <c r="F158" s="533">
        <v>1433</v>
      </c>
      <c r="G158" s="533">
        <v>3395</v>
      </c>
      <c r="H158" s="533">
        <v>2120.35</v>
      </c>
      <c r="I158" s="210"/>
      <c r="J158" s="211"/>
      <c r="K158" s="543" t="e">
        <v>#DIV/0!</v>
      </c>
      <c r="L158" s="213"/>
      <c r="M158" s="190"/>
      <c r="N158" s="214"/>
      <c r="O158" s="233"/>
    </row>
    <row r="159" spans="2:17">
      <c r="B159" s="195" t="s">
        <v>117</v>
      </c>
      <c r="C159" s="196">
        <f>'Rhys C'!K138</f>
        <v>5495</v>
      </c>
      <c r="D159" s="196">
        <f>'Rhys C'!L138</f>
        <v>2563</v>
      </c>
      <c r="E159" s="196">
        <f>'Rhys C'!M138</f>
        <v>9852.69</v>
      </c>
      <c r="F159" s="196"/>
      <c r="G159" s="196">
        <f>'Rhys C'!O138</f>
        <v>5961</v>
      </c>
      <c r="H159" s="196">
        <f>'Rhys C'!P138</f>
        <v>23871.690000000002</v>
      </c>
      <c r="I159" s="197"/>
      <c r="J159" s="198">
        <f>-I159+H159</f>
        <v>23871.690000000002</v>
      </c>
      <c r="K159" s="541">
        <f>'Rhys C'!Q138</f>
        <v>0</v>
      </c>
      <c r="L159" s="200">
        <f>H159</f>
        <v>23871.690000000002</v>
      </c>
      <c r="M159" s="225">
        <f>'Rhys C'!R138</f>
        <v>2681</v>
      </c>
      <c r="N159" s="202">
        <f>L159-M159</f>
        <v>21190.690000000002</v>
      </c>
      <c r="O159" s="230">
        <f>'Rhys C'!S138</f>
        <v>0</v>
      </c>
      <c r="Q159" s="294">
        <f>H159-P159</f>
        <v>23871.690000000002</v>
      </c>
    </row>
    <row r="160" spans="2:17">
      <c r="B160" s="204" t="s">
        <v>101</v>
      </c>
      <c r="C160" s="531" cm="1">
        <f t="array" ref="C160:C161">'Rhys C'!K141:K142</f>
        <v>0.4</v>
      </c>
      <c r="D160" s="531" cm="1">
        <f t="array" ref="D160:D161">'Rhys C'!L141:L142</f>
        <v>0.25</v>
      </c>
      <c r="E160" s="531" cm="1">
        <f t="array" ref="E160:E161">'Rhys C'!M141:M142</f>
        <v>0.5714285714285714</v>
      </c>
      <c r="F160" s="531"/>
      <c r="G160" s="531" cm="1">
        <f t="array" ref="G160:G161">'Rhys C'!O141:O142</f>
        <v>0.5714285714285714</v>
      </c>
      <c r="H160" s="531" cm="1">
        <f t="array" ref="H160:H161">'Rhys C'!P141:P142</f>
        <v>0.47826086956521741</v>
      </c>
      <c r="I160" s="206"/>
      <c r="J160" s="207"/>
      <c r="K160" s="542" t="e" cm="1">
        <f t="array" ref="K160:K161">'Rhys C'!Q141:Q142</f>
        <v>#DIV/0!</v>
      </c>
      <c r="L160" s="189"/>
      <c r="M160" s="201"/>
      <c r="N160" s="191"/>
      <c r="O160" s="203"/>
    </row>
    <row r="161" spans="2:17">
      <c r="B161" s="204" t="s">
        <v>48</v>
      </c>
      <c r="C161" s="533">
        <v>2747.5</v>
      </c>
      <c r="D161" s="533">
        <v>2563</v>
      </c>
      <c r="E161" s="533">
        <v>2463.1725000000001</v>
      </c>
      <c r="F161" s="533"/>
      <c r="G161" s="533">
        <v>1490.25</v>
      </c>
      <c r="H161" s="533">
        <v>2170.1536363636365</v>
      </c>
      <c r="I161" s="210"/>
      <c r="J161" s="211"/>
      <c r="K161" s="543" t="e">
        <v>#DIV/0!</v>
      </c>
      <c r="L161" s="213"/>
      <c r="M161" s="190"/>
      <c r="N161" s="214"/>
      <c r="O161" s="233"/>
    </row>
    <row r="162" spans="2:17">
      <c r="B162" s="195" t="s">
        <v>107</v>
      </c>
      <c r="C162" s="196">
        <f>'Shaun - No OT'!K417</f>
        <v>3116</v>
      </c>
      <c r="D162" s="196">
        <f>'Shaun - No OT'!L417</f>
        <v>1823.9</v>
      </c>
      <c r="E162" s="196">
        <f>'Shaun - No OT'!M417</f>
        <v>3022</v>
      </c>
      <c r="F162" s="196">
        <f>'Shaun - No OT'!N417</f>
        <v>7695.9</v>
      </c>
      <c r="G162" s="196">
        <f>'Shaun - No OT'!O417</f>
        <v>2272</v>
      </c>
      <c r="H162" s="196">
        <f>'Shaun - No OT'!P417</f>
        <v>17929.8</v>
      </c>
      <c r="I162" s="197">
        <v>25000</v>
      </c>
      <c r="J162" s="198">
        <f>-I162+H162</f>
        <v>-7070.2000000000007</v>
      </c>
      <c r="K162" s="541">
        <f>'Shaun - No OT'!Q417</f>
        <v>0</v>
      </c>
      <c r="L162" s="200">
        <f>H162</f>
        <v>17929.8</v>
      </c>
      <c r="M162" s="225">
        <f>'Shaun - No OT'!R417</f>
        <v>3834.9</v>
      </c>
      <c r="N162" s="202">
        <f>L162-M162</f>
        <v>14094.9</v>
      </c>
      <c r="O162" s="230">
        <f>'Shaun - No OT'!S417</f>
        <v>0</v>
      </c>
      <c r="Q162" s="294">
        <f>H162-P162</f>
        <v>17929.8</v>
      </c>
    </row>
    <row r="163" spans="2:17">
      <c r="B163" s="204" t="s">
        <v>101</v>
      </c>
      <c r="C163" s="531" cm="1">
        <f t="array" ref="C163:C164">'Shaun - No OT'!K420:K421</f>
        <v>0.375</v>
      </c>
      <c r="D163" s="531" cm="1">
        <f t="array" ref="D163:D164">'Shaun - No OT'!L420:L421</f>
        <v>0.25</v>
      </c>
      <c r="E163" s="531" cm="1">
        <f t="array" ref="E163:E164">'Shaun - No OT'!M420:M421</f>
        <v>0.33333333333333331</v>
      </c>
      <c r="F163" s="531" cm="1">
        <f t="array" ref="F163:F164">'Shaun - No OT'!N420:N421</f>
        <v>0.33333333333333331</v>
      </c>
      <c r="G163" s="531" cm="1">
        <f t="array" ref="G163:G164">'Shaun - No OT'!O420:O421</f>
        <v>0.5</v>
      </c>
      <c r="H163" s="531" cm="1">
        <f t="array" ref="H163:H164">'Shaun - No OT'!P420:P421</f>
        <v>0.34375</v>
      </c>
      <c r="I163" s="206"/>
      <c r="J163" s="207"/>
      <c r="K163" s="542" t="e" cm="1">
        <f t="array" ref="K163:K164">'Shaun - No OT'!Q420:Q421</f>
        <v>#DIV/0!</v>
      </c>
      <c r="L163" s="189"/>
      <c r="M163" s="201"/>
      <c r="N163" s="191"/>
      <c r="O163" s="203"/>
    </row>
    <row r="164" spans="2:17">
      <c r="B164" s="204" t="s">
        <v>48</v>
      </c>
      <c r="C164" s="533">
        <v>1038.6666666666667</v>
      </c>
      <c r="D164" s="533">
        <v>911.95</v>
      </c>
      <c r="E164" s="533">
        <v>1511</v>
      </c>
      <c r="F164" s="533">
        <v>3847.95</v>
      </c>
      <c r="G164" s="533">
        <v>1136</v>
      </c>
      <c r="H164" s="533">
        <v>1629.9818181818182</v>
      </c>
      <c r="I164" s="210"/>
      <c r="J164" s="211"/>
      <c r="K164" s="543" t="e">
        <v>#DIV/0!</v>
      </c>
      <c r="L164" s="213"/>
      <c r="M164" s="190"/>
      <c r="N164" s="214"/>
      <c r="O164" s="233"/>
    </row>
    <row r="165" spans="2:17">
      <c r="B165" s="237" t="s">
        <v>102</v>
      </c>
      <c r="C165" s="238">
        <f>C144+C147+C150+C153+C156+C159+C162</f>
        <v>61558.96</v>
      </c>
      <c r="D165" s="238">
        <f t="shared" ref="D165:O165" si="5">D144+D147+D150+D153+D156+D159+D162</f>
        <v>22360.800000000003</v>
      </c>
      <c r="E165" s="238">
        <f t="shared" si="5"/>
        <v>111568.34</v>
      </c>
      <c r="F165" s="238">
        <f t="shared" si="5"/>
        <v>56030.5</v>
      </c>
      <c r="G165" s="238">
        <f t="shared" si="5"/>
        <v>80439.7</v>
      </c>
      <c r="H165" s="239">
        <f t="shared" si="5"/>
        <v>331958.3</v>
      </c>
      <c r="I165" s="238">
        <f t="shared" si="5"/>
        <v>175000</v>
      </c>
      <c r="J165" s="240">
        <f t="shared" si="5"/>
        <v>156958.29999999999</v>
      </c>
      <c r="K165" s="241">
        <f t="shared" si="5"/>
        <v>4386</v>
      </c>
      <c r="L165" s="239">
        <f t="shared" si="5"/>
        <v>331958.3</v>
      </c>
      <c r="M165" s="240">
        <f t="shared" si="5"/>
        <v>192201.1</v>
      </c>
      <c r="N165" s="241">
        <f t="shared" si="5"/>
        <v>139757.20000000001</v>
      </c>
      <c r="O165" s="240">
        <f t="shared" si="5"/>
        <v>0</v>
      </c>
    </row>
    <row r="166" spans="2:17">
      <c r="B166" s="244" t="s">
        <v>103</v>
      </c>
      <c r="C166" s="244"/>
      <c r="D166" s="244"/>
      <c r="E166" s="244"/>
      <c r="F166" s="244"/>
      <c r="G166" s="244"/>
      <c r="H166" s="245">
        <f>H165+K165</f>
        <v>336344.3</v>
      </c>
      <c r="I166" s="246">
        <f>I165+J165</f>
        <v>331958.3</v>
      </c>
      <c r="J166" s="247"/>
      <c r="K166" s="248"/>
      <c r="L166" s="249"/>
      <c r="M166" s="250">
        <f>L165-N165</f>
        <v>192201.09999999998</v>
      </c>
      <c r="N166" s="251"/>
      <c r="O166" s="201"/>
    </row>
    <row r="170" spans="2:17">
      <c r="B170" s="171" t="s">
        <v>119</v>
      </c>
      <c r="C170" s="172">
        <v>45886</v>
      </c>
      <c r="D170" s="173"/>
      <c r="E170" s="173"/>
      <c r="F170" s="173"/>
      <c r="G170" s="173"/>
      <c r="H170" s="173"/>
      <c r="I170" s="174" t="s">
        <v>88</v>
      </c>
      <c r="J170" s="175"/>
      <c r="K170" s="176"/>
      <c r="L170" s="177"/>
      <c r="M170" s="178"/>
      <c r="N170" s="179" t="s">
        <v>89</v>
      </c>
      <c r="O170" s="180" t="s">
        <v>29</v>
      </c>
    </row>
    <row r="171" spans="2:17">
      <c r="B171" s="183"/>
      <c r="C171" s="288" t="s">
        <v>91</v>
      </c>
      <c r="D171" s="289" t="s">
        <v>92</v>
      </c>
      <c r="E171" s="289" t="s">
        <v>93</v>
      </c>
      <c r="F171" s="289" t="s">
        <v>94</v>
      </c>
      <c r="G171" s="290" t="s">
        <v>95</v>
      </c>
      <c r="H171" s="291" t="s">
        <v>96</v>
      </c>
      <c r="I171" s="292" t="s">
        <v>97</v>
      </c>
      <c r="J171" s="187" t="s">
        <v>98</v>
      </c>
      <c r="K171" s="188" t="s">
        <v>29</v>
      </c>
      <c r="L171" s="189" t="s">
        <v>89</v>
      </c>
      <c r="M171" s="190" t="s">
        <v>99</v>
      </c>
      <c r="N171" s="191" t="s">
        <v>100</v>
      </c>
      <c r="O171" s="192" t="s">
        <v>99</v>
      </c>
    </row>
    <row r="172" spans="2:17">
      <c r="B172" s="195" t="s">
        <v>113</v>
      </c>
      <c r="C172" s="293">
        <f>'Ben - No OT'!K646</f>
        <v>3794.2</v>
      </c>
      <c r="D172" s="293">
        <f>'Ben - No OT'!L646</f>
        <v>9475</v>
      </c>
      <c r="E172" s="293">
        <f>'Ben - No OT'!M646</f>
        <v>1905.74</v>
      </c>
      <c r="F172" s="293">
        <f>'Ben - No OT'!N646</f>
        <v>7275</v>
      </c>
      <c r="G172" s="293"/>
      <c r="H172" s="293">
        <f>'Ben - No OT'!P646</f>
        <v>22449.940000000002</v>
      </c>
      <c r="I172" s="197">
        <v>50000</v>
      </c>
      <c r="J172" s="198">
        <f>-I172+H172</f>
        <v>-27550.059999999998</v>
      </c>
      <c r="K172" s="541"/>
      <c r="L172" s="200">
        <f>H172</f>
        <v>22449.940000000002</v>
      </c>
      <c r="M172" s="201">
        <f>'Ben - No OT'!R646</f>
        <v>8614</v>
      </c>
      <c r="N172" s="202">
        <f>L172-M172</f>
        <v>13835.940000000002</v>
      </c>
      <c r="O172" s="203">
        <f>'Ben - No OT'!S646</f>
        <v>0</v>
      </c>
      <c r="P172">
        <f>'Ben - No OT'!F664+'Ben - No OT'!F669</f>
        <v>22449.94</v>
      </c>
      <c r="Q172" s="294">
        <f>H172-P172</f>
        <v>0</v>
      </c>
    </row>
    <row r="173" spans="2:17">
      <c r="B173" s="204" t="s">
        <v>101</v>
      </c>
      <c r="C173" s="531" cm="1">
        <f t="array" ref="C173:C174">'Ben - No OT'!K649:K650</f>
        <v>0.5</v>
      </c>
      <c r="D173" s="531" cm="1">
        <f t="array" ref="D173:D174">'Ben - No OT'!L649:L650</f>
        <v>0.4</v>
      </c>
      <c r="E173" s="531" cm="1">
        <f t="array" ref="E173:E174">'Ben - No OT'!M649:M650</f>
        <v>0.25</v>
      </c>
      <c r="F173" s="531" cm="1">
        <f t="array" ref="F173:F174">'Ben - No OT'!N649:N650</f>
        <v>1</v>
      </c>
      <c r="G173" s="531"/>
      <c r="H173" s="531" cm="1">
        <f t="array" ref="H173:H174">'Ben - No OT'!P649:P650</f>
        <v>0.42857142857142855</v>
      </c>
      <c r="I173" s="206"/>
      <c r="J173" s="207"/>
      <c r="K173" s="542"/>
      <c r="L173" s="189"/>
      <c r="M173" s="201"/>
      <c r="N173" s="191"/>
      <c r="O173" s="203"/>
    </row>
    <row r="174" spans="2:17">
      <c r="B174" s="226" t="s">
        <v>48</v>
      </c>
      <c r="C174" s="536">
        <v>1264.7333333333333</v>
      </c>
      <c r="D174" s="536">
        <v>4737.5</v>
      </c>
      <c r="E174" s="536">
        <v>952.87</v>
      </c>
      <c r="F174" s="536">
        <v>3637.5</v>
      </c>
      <c r="G174" s="536"/>
      <c r="H174" s="536">
        <v>2494.4377777777781</v>
      </c>
      <c r="I174" s="210"/>
      <c r="J174" s="211"/>
      <c r="K174" s="543"/>
      <c r="L174" s="213"/>
      <c r="M174" s="497"/>
      <c r="N174" s="214"/>
      <c r="O174" s="214"/>
    </row>
    <row r="175" spans="2:17">
      <c r="B175" s="195" t="s">
        <v>116</v>
      </c>
      <c r="C175" s="293">
        <f>Elliot!K188</f>
        <v>614</v>
      </c>
      <c r="D175" s="532"/>
      <c r="E175" s="293">
        <f>Elliot!M188</f>
        <v>1073</v>
      </c>
      <c r="F175" s="532"/>
      <c r="G175" s="532">
        <f>Elliot!O188</f>
        <v>4295</v>
      </c>
      <c r="H175" s="293">
        <f>Elliot!P188</f>
        <v>5982</v>
      </c>
      <c r="I175" s="206"/>
      <c r="J175" s="198">
        <f>-I175+H175</f>
        <v>5982</v>
      </c>
      <c r="K175" s="541"/>
      <c r="L175" s="200">
        <f>H175</f>
        <v>5982</v>
      </c>
      <c r="M175" s="201">
        <f>Elliot!R188</f>
        <v>1681</v>
      </c>
      <c r="N175" s="202">
        <f>L175-M175</f>
        <v>4301</v>
      </c>
      <c r="O175" s="203">
        <f>Elliot!S188</f>
        <v>0</v>
      </c>
      <c r="P175">
        <f>Elliot!F201+Elliot!F206</f>
        <v>5982</v>
      </c>
      <c r="Q175" s="294">
        <f>H175-P175</f>
        <v>0</v>
      </c>
    </row>
    <row r="176" spans="2:17">
      <c r="B176" s="204" t="s">
        <v>101</v>
      </c>
      <c r="C176" s="531" cm="1">
        <f t="array" ref="C176:C177">Elliot!K191:K192</f>
        <v>0.5</v>
      </c>
      <c r="D176" s="531"/>
      <c r="E176" s="531" cm="1">
        <f t="array" ref="E176:E177">Elliot!M191:M192</f>
        <v>1</v>
      </c>
      <c r="F176" s="531"/>
      <c r="G176" s="531" cm="1">
        <f t="array" ref="G176:G177">Elliot!O191:O192</f>
        <v>0.66666666666666663</v>
      </c>
      <c r="H176" s="531" cm="1">
        <f t="array" ref="H176:H177">Elliot!P191:P192</f>
        <v>0.5</v>
      </c>
      <c r="I176" s="206"/>
      <c r="J176" s="207"/>
      <c r="K176" s="542"/>
      <c r="L176" s="189"/>
      <c r="M176" s="251"/>
      <c r="N176" s="191"/>
      <c r="O176" s="540"/>
    </row>
    <row r="177" spans="2:17">
      <c r="B177" s="226" t="s">
        <v>48</v>
      </c>
      <c r="C177" s="532">
        <v>614</v>
      </c>
      <c r="D177" s="532"/>
      <c r="E177" s="532">
        <v>1073</v>
      </c>
      <c r="F177" s="532"/>
      <c r="G177" s="532">
        <v>2147.5</v>
      </c>
      <c r="H177" s="532">
        <v>1495.5</v>
      </c>
      <c r="I177" s="206"/>
      <c r="J177" s="207"/>
      <c r="K177" s="543"/>
      <c r="L177" s="189"/>
      <c r="M177" s="251"/>
      <c r="N177" s="191"/>
      <c r="O177" s="540"/>
    </row>
    <row r="178" spans="2:17">
      <c r="B178" s="195" t="s">
        <v>114</v>
      </c>
      <c r="C178" s="567">
        <f>Heath!K471</f>
        <v>20109.900000000001</v>
      </c>
      <c r="D178" s="567">
        <f>Heath!L471</f>
        <v>2402</v>
      </c>
      <c r="E178" s="567">
        <f>Heath!M471</f>
        <v>56691</v>
      </c>
      <c r="F178" s="567">
        <f>Heath!N471</f>
        <v>4221</v>
      </c>
      <c r="G178" s="567">
        <f>Heath!O471</f>
        <v>13908</v>
      </c>
      <c r="H178" s="567">
        <f>Heath!P471</f>
        <v>97331.9</v>
      </c>
      <c r="I178" s="197">
        <v>50000</v>
      </c>
      <c r="J178" s="198">
        <f>-I178+H178</f>
        <v>47331.899999999994</v>
      </c>
      <c r="K178" s="541"/>
      <c r="L178" s="200">
        <f>H178</f>
        <v>97331.9</v>
      </c>
      <c r="M178" s="225">
        <f>Heath!R471</f>
        <v>56828</v>
      </c>
      <c r="N178" s="202">
        <f>L178-M178</f>
        <v>40503.899999999994</v>
      </c>
      <c r="O178" s="230">
        <f>Heath!S471</f>
        <v>0</v>
      </c>
      <c r="P178">
        <f>Heath!F501+Heath!F507</f>
        <v>97331.9</v>
      </c>
      <c r="Q178" s="294">
        <f>H178-P178</f>
        <v>0</v>
      </c>
    </row>
    <row r="179" spans="2:17">
      <c r="B179" s="204" t="s">
        <v>101</v>
      </c>
      <c r="C179" s="531" cm="1">
        <f t="array" ref="C179:C180">Heath!K474:K475</f>
        <v>0.375</v>
      </c>
      <c r="D179" s="531" cm="1">
        <f t="array" ref="D179:D180">Heath!L474:L475</f>
        <v>0.4</v>
      </c>
      <c r="E179" s="531" cm="1">
        <f t="array" ref="E179:E180">Heath!M474:M475</f>
        <v>0.83333333333333337</v>
      </c>
      <c r="F179" s="531" cm="1">
        <f t="array" ref="F179:F180">Heath!N474:N475</f>
        <v>0.75</v>
      </c>
      <c r="G179" s="531" cm="1">
        <f t="array" ref="G179:G180">Heath!O474:O475</f>
        <v>0.83333333333333337</v>
      </c>
      <c r="H179" s="531" cm="1">
        <f t="array" ref="H179:H180">Heath!P474:P475</f>
        <v>0.62068965517241381</v>
      </c>
      <c r="I179" s="206"/>
      <c r="J179" s="207"/>
      <c r="K179" s="542"/>
      <c r="L179" s="189"/>
      <c r="M179" s="201"/>
      <c r="N179" s="191"/>
      <c r="O179" s="203"/>
    </row>
    <row r="180" spans="2:17">
      <c r="B180" s="204" t="s">
        <v>48</v>
      </c>
      <c r="C180" s="533">
        <v>6703.3</v>
      </c>
      <c r="D180" s="533">
        <v>1201</v>
      </c>
      <c r="E180" s="533">
        <v>11338.2</v>
      </c>
      <c r="F180" s="533">
        <v>1407</v>
      </c>
      <c r="G180" s="533">
        <v>2781.6</v>
      </c>
      <c r="H180" s="533">
        <v>5407.3277777777776</v>
      </c>
      <c r="I180" s="210"/>
      <c r="J180" s="211"/>
      <c r="K180" s="543"/>
      <c r="L180" s="213"/>
      <c r="M180" s="190"/>
      <c r="N180" s="214"/>
      <c r="O180" s="233"/>
    </row>
    <row r="181" spans="2:17">
      <c r="B181" s="195" t="s">
        <v>112</v>
      </c>
      <c r="C181" s="196">
        <f>'Jarrod - No OT'!K457</f>
        <v>31548</v>
      </c>
      <c r="D181" s="196">
        <f>'Jarrod - No OT'!L457</f>
        <v>2402</v>
      </c>
      <c r="E181" s="196">
        <f>'Jarrod - No OT'!M457</f>
        <v>16186</v>
      </c>
      <c r="F181" s="196">
        <f>'Jarrod - No OT'!N457</f>
        <v>2262</v>
      </c>
      <c r="G181" s="196"/>
      <c r="H181" s="196">
        <f>'Jarrod - No OT'!P457</f>
        <v>52398</v>
      </c>
      <c r="I181" s="197">
        <v>25000</v>
      </c>
      <c r="J181" s="198">
        <f>-I181+H181</f>
        <v>27398</v>
      </c>
      <c r="K181" s="541"/>
      <c r="L181" s="200">
        <f>H181</f>
        <v>52398</v>
      </c>
      <c r="M181" s="225">
        <f>'Jarrod - No OT'!R457</f>
        <v>41228</v>
      </c>
      <c r="N181" s="202">
        <f>L181-M181</f>
        <v>11170</v>
      </c>
      <c r="O181" s="230">
        <f>'Jarrod - No OT'!S457</f>
        <v>0</v>
      </c>
      <c r="P181">
        <f>'Jarrod - No OT'!F475+'Jarrod - No OT'!F485</f>
        <v>52398</v>
      </c>
      <c r="Q181" s="294">
        <f>H181-P181</f>
        <v>0</v>
      </c>
    </row>
    <row r="182" spans="2:17">
      <c r="B182" s="204" t="s">
        <v>101</v>
      </c>
      <c r="C182" s="531" cm="1">
        <f t="array" ref="C182:C183">'Jarrod - No OT'!K460:K461</f>
        <v>0.6</v>
      </c>
      <c r="D182" s="531" cm="1">
        <f t="array" ref="D182:D183">'Jarrod - No OT'!L460:L461</f>
        <v>0.2857142857142857</v>
      </c>
      <c r="E182" s="531" cm="1">
        <f t="array" ref="E182:E183">'Jarrod - No OT'!M460:M461</f>
        <v>0.3</v>
      </c>
      <c r="F182" s="531" cm="1">
        <f t="array" ref="F182:F183">'Jarrod - No OT'!N460:N461</f>
        <v>0.5</v>
      </c>
      <c r="G182" s="531"/>
      <c r="H182" s="531" cm="1">
        <f t="array" ref="H182:H183">'Jarrod - No OT'!P460:P461</f>
        <v>0.34482758620689657</v>
      </c>
      <c r="I182" s="206"/>
      <c r="J182" s="207"/>
      <c r="K182" s="542"/>
      <c r="L182" s="189"/>
      <c r="M182" s="201"/>
      <c r="N182" s="191"/>
      <c r="O182" s="203"/>
    </row>
    <row r="183" spans="2:17">
      <c r="B183" s="204" t="s">
        <v>48</v>
      </c>
      <c r="C183" s="533">
        <v>10516</v>
      </c>
      <c r="D183" s="533">
        <v>1201</v>
      </c>
      <c r="E183" s="533">
        <v>5395.333333333333</v>
      </c>
      <c r="F183" s="533">
        <v>1131</v>
      </c>
      <c r="G183" s="533"/>
      <c r="H183" s="533">
        <v>5239.8</v>
      </c>
      <c r="I183" s="210"/>
      <c r="J183" s="211"/>
      <c r="K183" s="543"/>
      <c r="L183" s="213"/>
      <c r="M183" s="190"/>
      <c r="N183" s="214"/>
      <c r="O183" s="233"/>
    </row>
    <row r="184" spans="2:17">
      <c r="B184" s="195" t="s">
        <v>109</v>
      </c>
      <c r="C184" s="196">
        <f>Liam!K630</f>
        <v>842</v>
      </c>
      <c r="D184" s="196">
        <f>Liam!L630</f>
        <v>9295</v>
      </c>
      <c r="E184" s="196"/>
      <c r="F184" s="196"/>
      <c r="G184" s="196"/>
      <c r="H184" s="196">
        <f>Liam!P630</f>
        <v>10137</v>
      </c>
      <c r="I184" s="197">
        <v>25000</v>
      </c>
      <c r="J184" s="198">
        <f>-I184+H184</f>
        <v>-14863</v>
      </c>
      <c r="K184" s="541"/>
      <c r="L184" s="200">
        <f>H184</f>
        <v>10137</v>
      </c>
      <c r="M184" s="225">
        <f>Liam!R630</f>
        <v>8614</v>
      </c>
      <c r="N184" s="202">
        <f>L184-M184</f>
        <v>1523</v>
      </c>
      <c r="O184" s="230">
        <f>Liam!S630</f>
        <v>0</v>
      </c>
      <c r="P184">
        <f>Liam!F643+Liam!F648</f>
        <v>10137</v>
      </c>
      <c r="Q184" s="294">
        <f>H184-P184</f>
        <v>0</v>
      </c>
    </row>
    <row r="185" spans="2:17">
      <c r="B185" s="204" t="s">
        <v>101</v>
      </c>
      <c r="C185" s="531" cm="1">
        <f t="array" ref="C185:C186">Liam!K633:K634</f>
        <v>0.66666666666666663</v>
      </c>
      <c r="D185" s="531" cm="1">
        <f t="array" ref="D185:D186">Liam!L633:L634</f>
        <v>0.33333333333333331</v>
      </c>
      <c r="E185" s="531"/>
      <c r="F185" s="531"/>
      <c r="G185" s="531"/>
      <c r="H185" s="531" cm="1">
        <f t="array" ref="H185:H186">Liam!P633:P634</f>
        <v>0.44444444444444442</v>
      </c>
      <c r="I185" s="206"/>
      <c r="J185" s="207"/>
      <c r="K185" s="542"/>
      <c r="L185" s="189"/>
      <c r="M185" s="201"/>
      <c r="N185" s="191"/>
      <c r="O185" s="203"/>
    </row>
    <row r="186" spans="2:17">
      <c r="B186" s="204" t="s">
        <v>48</v>
      </c>
      <c r="C186" s="533">
        <v>421</v>
      </c>
      <c r="D186" s="533">
        <v>4647.5</v>
      </c>
      <c r="E186" s="533"/>
      <c r="F186" s="533"/>
      <c r="G186" s="533"/>
      <c r="H186" s="533">
        <v>2534.25</v>
      </c>
      <c r="I186" s="210"/>
      <c r="J186" s="211"/>
      <c r="K186" s="543"/>
      <c r="L186" s="213"/>
      <c r="M186" s="190"/>
      <c r="N186" s="214"/>
      <c r="O186" s="233"/>
    </row>
    <row r="187" spans="2:17">
      <c r="B187" s="195" t="s">
        <v>117</v>
      </c>
      <c r="C187" s="196">
        <f>'Rhys C'!K204</f>
        <v>3512.9</v>
      </c>
      <c r="D187" s="196">
        <f>'Rhys C'!L204</f>
        <v>17564</v>
      </c>
      <c r="E187" s="196">
        <f>'Rhys C'!M204</f>
        <v>12703</v>
      </c>
      <c r="F187" s="196">
        <f>'Rhys C'!N204</f>
        <v>9745</v>
      </c>
      <c r="G187" s="196">
        <f>'Rhys C'!O204</f>
        <v>2715</v>
      </c>
      <c r="H187" s="196">
        <f>'Rhys C'!P204</f>
        <v>46239.9</v>
      </c>
      <c r="I187" s="197"/>
      <c r="J187" s="198">
        <f>-I187+H187</f>
        <v>46239.9</v>
      </c>
      <c r="K187" s="541">
        <f>'Rhys C'!Q204</f>
        <v>1775</v>
      </c>
      <c r="L187" s="200">
        <f>H187</f>
        <v>46239.9</v>
      </c>
      <c r="M187" s="225">
        <f>'Rhys C'!R204</f>
        <v>18170</v>
      </c>
      <c r="N187" s="202">
        <f>L187-M187</f>
        <v>28069.9</v>
      </c>
      <c r="O187" s="230">
        <f>'Rhys C'!S204</f>
        <v>0</v>
      </c>
      <c r="P187">
        <f>'Rhys C'!F223+'Rhys C'!F233+'Rhys C'!F239</f>
        <v>46239.9</v>
      </c>
      <c r="Q187" s="294">
        <f>H187-P187</f>
        <v>0</v>
      </c>
    </row>
    <row r="188" spans="2:17">
      <c r="B188" s="204" t="s">
        <v>101</v>
      </c>
      <c r="C188" s="531" cm="1">
        <f t="array" ref="C188:C189">'Rhys C'!K207:K208</f>
        <v>0.4</v>
      </c>
      <c r="D188" s="531" cm="1">
        <f t="array" ref="D188:D189">'Rhys C'!L207:L208</f>
        <v>0.33333333333333331</v>
      </c>
      <c r="E188" s="531" cm="1">
        <f t="array" ref="E188:E189">'Rhys C'!M207:M208</f>
        <v>0.75</v>
      </c>
      <c r="F188" s="531" cm="1">
        <f t="array" ref="F188:F189">'Rhys C'!N207:N208</f>
        <v>0.5</v>
      </c>
      <c r="G188" s="531" cm="1">
        <f t="array" ref="G188:G189">'Rhys C'!O207:O208</f>
        <v>0.4</v>
      </c>
      <c r="H188" s="531" cm="1">
        <f t="array" ref="H188:H189">'Rhys C'!P207:P208</f>
        <v>0.4642857142857143</v>
      </c>
      <c r="I188" s="206"/>
      <c r="J188" s="207"/>
      <c r="K188" s="542" cm="1">
        <f t="array" ref="K188:K189">'Rhys C'!Q207:Q208</f>
        <v>1</v>
      </c>
      <c r="L188" s="189"/>
      <c r="M188" s="201"/>
      <c r="N188" s="191"/>
      <c r="O188" s="203"/>
    </row>
    <row r="189" spans="2:17">
      <c r="B189" s="204" t="s">
        <v>48</v>
      </c>
      <c r="C189" s="533">
        <v>1756.45</v>
      </c>
      <c r="D189" s="533">
        <v>8782</v>
      </c>
      <c r="E189" s="533">
        <v>4234.333333333333</v>
      </c>
      <c r="F189" s="533">
        <v>2436.25</v>
      </c>
      <c r="G189" s="533">
        <v>1357.5</v>
      </c>
      <c r="H189" s="533">
        <v>3556.9153846153849</v>
      </c>
      <c r="I189" s="210"/>
      <c r="J189" s="211"/>
      <c r="K189" s="543">
        <v>887.5</v>
      </c>
      <c r="L189" s="213"/>
      <c r="M189" s="190"/>
      <c r="N189" s="214"/>
      <c r="O189" s="233"/>
    </row>
    <row r="190" spans="2:17">
      <c r="B190" s="195" t="s">
        <v>107</v>
      </c>
      <c r="C190" s="196">
        <f>'Shaun - No OT'!K501</f>
        <v>2715</v>
      </c>
      <c r="D190" s="196">
        <f>'Shaun - No OT'!L501</f>
        <v>6156.9</v>
      </c>
      <c r="E190" s="196">
        <f>'Shaun - No OT'!M501</f>
        <v>23732.199999999997</v>
      </c>
      <c r="F190" s="196">
        <f>'Shaun - No OT'!N501</f>
        <v>16830.099999999999</v>
      </c>
      <c r="G190" s="196">
        <f>'Shaun - No OT'!O501</f>
        <v>30433</v>
      </c>
      <c r="H190" s="196">
        <f>'Shaun - No OT'!P501</f>
        <v>79867.199999999997</v>
      </c>
      <c r="I190" s="197">
        <v>25000</v>
      </c>
      <c r="J190" s="198">
        <f>-I190+H190</f>
        <v>54867.199999999997</v>
      </c>
      <c r="K190" s="541"/>
      <c r="L190" s="200">
        <f>H190</f>
        <v>79867.199999999997</v>
      </c>
      <c r="M190" s="225">
        <f>'Shaun - No OT'!R501</f>
        <v>45638.3</v>
      </c>
      <c r="N190" s="202">
        <f>L190-M190</f>
        <v>34228.899999999994</v>
      </c>
      <c r="O190" s="230">
        <f>'Shaun - No OT'!S501</f>
        <v>0</v>
      </c>
      <c r="P190">
        <f>'Shaun - No OT'!F523+'Shaun - No OT'!F532+'Shaun - No OT'!F538</f>
        <v>79867.200000000012</v>
      </c>
      <c r="Q190" s="294">
        <f>H190-P190</f>
        <v>0</v>
      </c>
    </row>
    <row r="191" spans="2:17">
      <c r="B191" s="204" t="s">
        <v>101</v>
      </c>
      <c r="C191" s="531" cm="1">
        <f t="array" ref="C191:C192">'Shaun - No OT'!K504:K505</f>
        <v>0.25</v>
      </c>
      <c r="D191" s="531" cm="1">
        <f t="array" ref="D191:D192">'Shaun - No OT'!L504:L505</f>
        <v>0.25</v>
      </c>
      <c r="E191" s="531" cm="1">
        <f t="array" ref="E191:E192">'Shaun - No OT'!M504:M505</f>
        <v>0.83333333333333337</v>
      </c>
      <c r="F191" s="531" cm="1">
        <f t="array" ref="F191:F192">'Shaun - No OT'!N504:N505</f>
        <v>0.83333333333333337</v>
      </c>
      <c r="G191" s="531" cm="1">
        <f t="array" ref="G191:G192">'Shaun - No OT'!O504:O505</f>
        <v>0.5</v>
      </c>
      <c r="H191" s="531" cm="1">
        <f t="array" ref="H191:H192">'Shaun - No OT'!P504:P505</f>
        <v>0.53333333333333333</v>
      </c>
      <c r="I191" s="206"/>
      <c r="J191" s="207"/>
      <c r="K191" s="542"/>
      <c r="L191" s="189"/>
      <c r="M191" s="201"/>
      <c r="N191" s="191"/>
      <c r="O191" s="203"/>
    </row>
    <row r="192" spans="2:17">
      <c r="B192" s="204" t="s">
        <v>48</v>
      </c>
      <c r="C192" s="533">
        <v>1357.5</v>
      </c>
      <c r="D192" s="533">
        <v>6156.9</v>
      </c>
      <c r="E192" s="533">
        <v>4746.4399999999996</v>
      </c>
      <c r="F192" s="533">
        <v>3366.0199999999995</v>
      </c>
      <c r="G192" s="533">
        <v>10144.333333333334</v>
      </c>
      <c r="H192" s="533">
        <v>4991.7</v>
      </c>
      <c r="I192" s="210"/>
      <c r="J192" s="211"/>
      <c r="K192" s="543"/>
      <c r="L192" s="213"/>
      <c r="M192" s="190"/>
      <c r="N192" s="214"/>
      <c r="O192" s="233"/>
    </row>
    <row r="193" spans="2:17">
      <c r="B193" s="195" t="s">
        <v>120</v>
      </c>
      <c r="C193" s="196"/>
      <c r="D193" s="196"/>
      <c r="E193" s="196"/>
      <c r="F193" s="196"/>
      <c r="G193" s="196">
        <f>Aden!O20</f>
        <v>1675</v>
      </c>
      <c r="H193" s="196">
        <f>Aden!P20</f>
        <v>1675</v>
      </c>
      <c r="I193" s="197"/>
      <c r="J193" s="198"/>
      <c r="K193" s="541"/>
      <c r="L193" s="200">
        <f>H193</f>
        <v>1675</v>
      </c>
      <c r="M193" s="225">
        <f>Aden!R20</f>
        <v>1675</v>
      </c>
      <c r="N193" s="202">
        <f>L193-M193</f>
        <v>0</v>
      </c>
      <c r="O193" s="230">
        <f>Aden!S20</f>
        <v>0</v>
      </c>
      <c r="P193">
        <f>Aden!F31+Aden!F36</f>
        <v>1675</v>
      </c>
      <c r="Q193" s="294">
        <f>H193-P193</f>
        <v>0</v>
      </c>
    </row>
    <row r="194" spans="2:17">
      <c r="B194" s="204" t="s">
        <v>101</v>
      </c>
      <c r="C194" s="531"/>
      <c r="D194" s="531"/>
      <c r="E194" s="531"/>
      <c r="F194" s="531"/>
      <c r="G194" s="531" cm="1">
        <f t="array" ref="G194:G195">Aden!O23:O24</f>
        <v>1</v>
      </c>
      <c r="H194" s="531" cm="1">
        <f t="array" ref="H194:H195">Aden!P23:P24</f>
        <v>1</v>
      </c>
      <c r="I194" s="206"/>
      <c r="J194" s="207"/>
      <c r="K194" s="542"/>
      <c r="L194" s="189"/>
      <c r="M194" s="201"/>
      <c r="N194" s="191"/>
      <c r="O194" s="203"/>
    </row>
    <row r="195" spans="2:17">
      <c r="B195" s="204" t="s">
        <v>48</v>
      </c>
      <c r="C195" s="533"/>
      <c r="D195" s="533"/>
      <c r="E195" s="533"/>
      <c r="F195" s="533"/>
      <c r="G195" s="533">
        <v>1675</v>
      </c>
      <c r="H195" s="533">
        <v>1675</v>
      </c>
      <c r="I195" s="210"/>
      <c r="J195" s="211"/>
      <c r="K195" s="543"/>
      <c r="L195" s="213"/>
      <c r="M195" s="190"/>
      <c r="N195" s="214"/>
      <c r="O195" s="233"/>
    </row>
    <row r="196" spans="2:17">
      <c r="B196" s="237" t="s">
        <v>102</v>
      </c>
      <c r="C196" s="238">
        <f>C172+C175+C178+C181+C184+C187+C190+C193</f>
        <v>63136.000000000007</v>
      </c>
      <c r="D196" s="238">
        <f>D172+D175+D178+D181+D184+D187+D190+D193</f>
        <v>47294.9</v>
      </c>
      <c r="E196" s="238">
        <f>E172+E175+E178+E181+E184+E187+E190+E193</f>
        <v>112290.93999999999</v>
      </c>
      <c r="F196" s="238">
        <f>F172+F175+F178+F181+F184+F187+F190+F193</f>
        <v>40333.1</v>
      </c>
      <c r="G196" s="238">
        <f>G172+G175+G178+G181+G184+G187+G190+G193</f>
        <v>53026</v>
      </c>
      <c r="H196" s="239">
        <f>H172+H175+H178+H181+H184+H187+H190+H193</f>
        <v>316080.94</v>
      </c>
      <c r="I196" s="238">
        <f>I172+I175+I178+I181+I184+I187+I190+I193</f>
        <v>175000</v>
      </c>
      <c r="J196" s="240">
        <f>J172+J175+J178+J181+J184+J187+J190+J193</f>
        <v>139405.94</v>
      </c>
      <c r="K196" s="241">
        <f>K172+K175+K178+K181+K184+K187+K190+K193</f>
        <v>1775</v>
      </c>
      <c r="L196" s="239">
        <f>L172+L175+L178+L181+L184+L187+L190+L193</f>
        <v>316080.94</v>
      </c>
      <c r="M196" s="240">
        <f>M172+M175+M178+M181+M184+M187+M190+M193</f>
        <v>182448.3</v>
      </c>
      <c r="N196" s="241">
        <f>N172+N175+N178+N181+N184+N187+N190+N193</f>
        <v>133632.63999999998</v>
      </c>
      <c r="O196" s="240">
        <f>O172+O175+O178+O181+O184+O187+O190+O193</f>
        <v>0</v>
      </c>
    </row>
    <row r="197" spans="2:17">
      <c r="B197" s="244" t="s">
        <v>103</v>
      </c>
      <c r="C197" s="244"/>
      <c r="D197" s="244"/>
      <c r="E197" s="244"/>
      <c r="F197" s="244"/>
      <c r="G197" s="244"/>
      <c r="H197" s="245">
        <f>H196+K196</f>
        <v>317855.94</v>
      </c>
      <c r="I197" s="246">
        <f>I196+J196</f>
        <v>314405.94</v>
      </c>
      <c r="J197" s="247"/>
      <c r="K197" s="248"/>
      <c r="L197" s="249"/>
      <c r="M197" s="250">
        <f>L196-N196</f>
        <v>182448.30000000002</v>
      </c>
      <c r="N197" s="251"/>
      <c r="O197" s="201"/>
    </row>
    <row r="200" spans="2:17">
      <c r="B200" s="171" t="s">
        <v>119</v>
      </c>
      <c r="C200" s="172">
        <v>45893</v>
      </c>
      <c r="D200" s="173"/>
      <c r="E200" s="173"/>
      <c r="F200" s="173"/>
      <c r="G200" s="173"/>
      <c r="H200" s="173"/>
      <c r="I200" s="174" t="s">
        <v>88</v>
      </c>
      <c r="J200" s="175"/>
      <c r="K200" s="176"/>
      <c r="L200" s="177"/>
      <c r="M200" s="178"/>
      <c r="N200" s="179" t="s">
        <v>89</v>
      </c>
      <c r="O200" s="180" t="s">
        <v>29</v>
      </c>
    </row>
    <row r="201" spans="2:17">
      <c r="B201" s="183"/>
      <c r="C201" s="288" t="s">
        <v>91</v>
      </c>
      <c r="D201" s="289" t="s">
        <v>92</v>
      </c>
      <c r="E201" s="289" t="s">
        <v>93</v>
      </c>
      <c r="F201" s="289" t="s">
        <v>94</v>
      </c>
      <c r="G201" s="290" t="s">
        <v>95</v>
      </c>
      <c r="H201" s="291" t="s">
        <v>96</v>
      </c>
      <c r="I201" s="292" t="s">
        <v>97</v>
      </c>
      <c r="J201" s="187" t="s">
        <v>98</v>
      </c>
      <c r="K201" s="188" t="s">
        <v>29</v>
      </c>
      <c r="L201" s="189" t="s">
        <v>89</v>
      </c>
      <c r="M201" s="190" t="s">
        <v>99</v>
      </c>
      <c r="N201" s="191" t="s">
        <v>100</v>
      </c>
      <c r="O201" s="192" t="s">
        <v>99</v>
      </c>
    </row>
    <row r="202" spans="2:17">
      <c r="B202" s="195" t="s">
        <v>113</v>
      </c>
      <c r="C202" s="293">
        <f>'Ben - No OT'!K720</f>
        <v>2402</v>
      </c>
      <c r="D202" s="293">
        <f>'Ben - No OT'!L720</f>
        <v>681</v>
      </c>
      <c r="E202" s="293">
        <f>'Ben - No OT'!M720</f>
        <v>1819</v>
      </c>
      <c r="F202" s="293">
        <f>'Ben - No OT'!N720</f>
        <v>3122</v>
      </c>
      <c r="G202" s="293">
        <f>'Ben - No OT'!O720</f>
        <v>1138</v>
      </c>
      <c r="H202" s="293">
        <f>'Ben - No OT'!P720</f>
        <v>9162</v>
      </c>
      <c r="I202" s="197">
        <v>50000</v>
      </c>
      <c r="J202" s="198">
        <f>-I202+H202</f>
        <v>-40838</v>
      </c>
      <c r="K202" s="541">
        <f>'Ben - No OT'!Q720</f>
        <v>0</v>
      </c>
      <c r="L202" s="200">
        <f>H202</f>
        <v>9162</v>
      </c>
      <c r="M202" s="201">
        <f>'Ben - No OT'!R720</f>
        <v>0</v>
      </c>
      <c r="N202" s="202">
        <f>L202-M202</f>
        <v>9162</v>
      </c>
      <c r="O202" s="203">
        <f>'Ben - No OT'!S720</f>
        <v>0</v>
      </c>
      <c r="Q202" s="294">
        <f>H202-P202</f>
        <v>9162</v>
      </c>
    </row>
    <row r="203" spans="2:17">
      <c r="B203" s="204" t="s">
        <v>101</v>
      </c>
      <c r="C203" s="531" cm="1">
        <f t="array" ref="C203:C204">'Ben - No OT'!K723:K724</f>
        <v>0.22222222222222221</v>
      </c>
      <c r="D203" s="531" cm="1">
        <f t="array" ref="D203:D204">'Ben - No OT'!L723:L724</f>
        <v>0.25</v>
      </c>
      <c r="E203" s="531" cm="1">
        <f t="array" ref="E203:E204">'Ben - No OT'!M723:M724</f>
        <v>0.22222222222222221</v>
      </c>
      <c r="F203" s="531" cm="1">
        <f t="array" ref="F203:F204">'Ben - No OT'!N723:N724</f>
        <v>0.33333333333333331</v>
      </c>
      <c r="G203" s="531" cm="1">
        <f t="array" ref="G203:G204">'Ben - No OT'!O723:O724</f>
        <v>0.14285714285714285</v>
      </c>
      <c r="H203" s="531" cm="1">
        <f t="array" ref="H203:H204">'Ben - No OT'!P723:P724</f>
        <v>0.22857142857142856</v>
      </c>
      <c r="I203" s="206"/>
      <c r="J203" s="207"/>
      <c r="K203" s="542" t="e" cm="1">
        <f t="array" ref="K203:K204">'Ben - No OT'!Q723:Q724</f>
        <v>#DIV/0!</v>
      </c>
      <c r="L203" s="189"/>
      <c r="M203" s="201"/>
      <c r="N203" s="191"/>
      <c r="O203" s="203"/>
    </row>
    <row r="204" spans="2:17">
      <c r="B204" s="226" t="s">
        <v>48</v>
      </c>
      <c r="C204" s="536">
        <v>1201</v>
      </c>
      <c r="D204" s="536">
        <v>681</v>
      </c>
      <c r="E204" s="536">
        <v>909.5</v>
      </c>
      <c r="F204" s="536">
        <v>1561</v>
      </c>
      <c r="G204" s="536">
        <v>1138</v>
      </c>
      <c r="H204" s="536">
        <v>1145.25</v>
      </c>
      <c r="I204" s="210"/>
      <c r="J204" s="211"/>
      <c r="K204" s="543" t="e">
        <v>#DIV/0!</v>
      </c>
      <c r="L204" s="213"/>
      <c r="M204" s="497"/>
      <c r="N204" s="214"/>
      <c r="O204" s="214"/>
    </row>
    <row r="205" spans="2:17">
      <c r="B205" s="195" t="s">
        <v>116</v>
      </c>
      <c r="C205" s="293">
        <f>Elliot!K238</f>
        <v>13195.6</v>
      </c>
      <c r="D205" s="293">
        <f>Elliot!L238</f>
        <v>1495</v>
      </c>
      <c r="E205" s="293"/>
      <c r="F205" s="293">
        <f>Elliot!N238</f>
        <v>1024.2</v>
      </c>
      <c r="G205" s="293"/>
      <c r="H205" s="293">
        <f>Elliot!P238</f>
        <v>15714.800000000001</v>
      </c>
      <c r="I205" s="206">
        <v>50000</v>
      </c>
      <c r="J205" s="198">
        <f>-I205+H205</f>
        <v>-34285.199999999997</v>
      </c>
      <c r="K205" s="541">
        <f>Elliot!Q238</f>
        <v>0</v>
      </c>
      <c r="L205" s="200">
        <f>H205</f>
        <v>15714.800000000001</v>
      </c>
      <c r="M205" s="201">
        <f>Elliot!R238</f>
        <v>5232.6000000000004</v>
      </c>
      <c r="N205" s="202">
        <f>L205-M205</f>
        <v>10482.200000000001</v>
      </c>
      <c r="O205" s="203">
        <f>Elliot!S238</f>
        <v>0</v>
      </c>
      <c r="Q205" s="294">
        <f>H205-P205</f>
        <v>15714.800000000001</v>
      </c>
    </row>
    <row r="206" spans="2:17">
      <c r="B206" s="204" t="s">
        <v>101</v>
      </c>
      <c r="C206" s="531" cm="1">
        <f t="array" ref="C206:C207">Elliot!K241:K242</f>
        <v>0.6</v>
      </c>
      <c r="D206" s="531" cm="1">
        <f t="array" ref="D206:D207">Elliot!L241:L242</f>
        <v>0.4</v>
      </c>
      <c r="E206" s="531"/>
      <c r="F206" s="531" cm="1">
        <f t="array" ref="F206:F207">Elliot!N241:N242</f>
        <v>0.33333333333333331</v>
      </c>
      <c r="G206" s="531"/>
      <c r="H206" s="531" cm="1">
        <f t="array" ref="H206:H207">Elliot!P241:P242</f>
        <v>0.4</v>
      </c>
      <c r="I206" s="206"/>
      <c r="J206" s="207"/>
      <c r="K206" s="542" t="e" cm="1">
        <f t="array" ref="K206:K207">Elliot!Q241:Q242</f>
        <v>#DIV/0!</v>
      </c>
      <c r="L206" s="189"/>
      <c r="M206" s="251"/>
      <c r="N206" s="191"/>
      <c r="O206" s="540"/>
    </row>
    <row r="207" spans="2:17">
      <c r="B207" s="226" t="s">
        <v>48</v>
      </c>
      <c r="C207" s="532">
        <v>4398.5333333333338</v>
      </c>
      <c r="D207" s="532">
        <v>747.5</v>
      </c>
      <c r="E207" s="532"/>
      <c r="F207" s="532">
        <v>1024.2</v>
      </c>
      <c r="G207" s="532"/>
      <c r="H207" s="532">
        <v>2619.1333333333337</v>
      </c>
      <c r="I207" s="206"/>
      <c r="J207" s="207"/>
      <c r="K207" s="543" t="e">
        <v>#DIV/0!</v>
      </c>
      <c r="L207" s="189"/>
      <c r="M207" s="251"/>
      <c r="N207" s="191"/>
      <c r="O207" s="540"/>
    </row>
    <row r="208" spans="2:17">
      <c r="B208" s="195" t="s">
        <v>114</v>
      </c>
      <c r="C208" s="567"/>
      <c r="D208" s="567"/>
      <c r="E208" s="567">
        <f>Heath!M558</f>
        <v>5519.9</v>
      </c>
      <c r="F208" s="567"/>
      <c r="G208" s="567"/>
      <c r="H208" s="567">
        <f>Heath!P558</f>
        <v>5519.9</v>
      </c>
      <c r="I208" s="197">
        <v>50000</v>
      </c>
      <c r="J208" s="198">
        <f>-I208+H208</f>
        <v>-44480.1</v>
      </c>
      <c r="K208" s="541">
        <f>Heath!Q558</f>
        <v>0</v>
      </c>
      <c r="L208" s="200">
        <f>H208</f>
        <v>5519.9</v>
      </c>
      <c r="M208" s="225">
        <f>Heath!R558</f>
        <v>0</v>
      </c>
      <c r="N208" s="202">
        <f>L208-M208</f>
        <v>5519.9</v>
      </c>
      <c r="O208" s="230">
        <f>Heath!S558</f>
        <v>0</v>
      </c>
      <c r="Q208" s="294">
        <f>H208-P208</f>
        <v>5519.9</v>
      </c>
    </row>
    <row r="209" spans="2:17">
      <c r="B209" s="204" t="s">
        <v>101</v>
      </c>
      <c r="C209" s="531"/>
      <c r="D209" s="531"/>
      <c r="E209" s="531" cm="1">
        <f t="array" ref="E209:E210">Heath!M561:M562</f>
        <v>0.375</v>
      </c>
      <c r="F209" s="531"/>
      <c r="G209" s="531"/>
      <c r="H209" s="531" cm="1">
        <f t="array" ref="H209:H210">Heath!P561:P562</f>
        <v>0.25</v>
      </c>
      <c r="I209" s="206"/>
      <c r="J209" s="207"/>
      <c r="K209" s="542" t="e" cm="1">
        <f t="array" ref="K209:K210">Heath!Q561:Q562</f>
        <v>#DIV/0!</v>
      </c>
      <c r="L209" s="189"/>
      <c r="M209" s="201"/>
      <c r="N209" s="191"/>
      <c r="O209" s="203"/>
    </row>
    <row r="210" spans="2:17">
      <c r="B210" s="204" t="s">
        <v>48</v>
      </c>
      <c r="C210" s="533"/>
      <c r="D210" s="533"/>
      <c r="E210" s="533">
        <v>1839.9666666666665</v>
      </c>
      <c r="F210" s="533"/>
      <c r="G210" s="533"/>
      <c r="H210" s="533">
        <v>1839.9666666666665</v>
      </c>
      <c r="I210" s="210"/>
      <c r="J210" s="211"/>
      <c r="K210" s="543" t="e">
        <v>#DIV/0!</v>
      </c>
      <c r="L210" s="213"/>
      <c r="M210" s="190"/>
      <c r="N210" s="214"/>
      <c r="O210" s="233"/>
    </row>
    <row r="211" spans="2:17">
      <c r="B211" s="195" t="s">
        <v>112</v>
      </c>
      <c r="C211" s="196">
        <f>'Jarrod - No OT'!K544</f>
        <v>9033</v>
      </c>
      <c r="D211" s="196">
        <f>'Jarrod - No OT'!L544</f>
        <v>3125</v>
      </c>
      <c r="E211" s="196">
        <f>'Jarrod - No OT'!M544</f>
        <v>44108.6</v>
      </c>
      <c r="F211" s="196">
        <f>'Jarrod - No OT'!N544</f>
        <v>2277</v>
      </c>
      <c r="G211" s="196">
        <f>'Jarrod - No OT'!O544</f>
        <v>3091</v>
      </c>
      <c r="H211" s="196">
        <f>'Jarrod - No OT'!P544</f>
        <v>61634.6</v>
      </c>
      <c r="I211" s="197">
        <v>50000</v>
      </c>
      <c r="J211" s="198">
        <f>-I211+H211</f>
        <v>11634.599999999999</v>
      </c>
      <c r="K211" s="541">
        <f>'Jarrod - No OT'!Q544</f>
        <v>0</v>
      </c>
      <c r="L211" s="200">
        <f>H211</f>
        <v>61634.6</v>
      </c>
      <c r="M211" s="225">
        <f>'Jarrod - No OT'!R544</f>
        <v>44831.6</v>
      </c>
      <c r="N211" s="202">
        <f>L211-M211</f>
        <v>16803</v>
      </c>
      <c r="O211" s="230">
        <f>'Jarrod - No OT'!S544</f>
        <v>0</v>
      </c>
      <c r="Q211" s="294">
        <f>H211-P211</f>
        <v>61634.6</v>
      </c>
    </row>
    <row r="212" spans="2:17">
      <c r="B212" s="204" t="s">
        <v>101</v>
      </c>
      <c r="C212" s="531" cm="1">
        <f t="array" ref="C212:C213">'Jarrod - No OT'!K547:K548</f>
        <v>0.375</v>
      </c>
      <c r="D212" s="531" cm="1">
        <f t="array" ref="D212:D213">'Jarrod - No OT'!L547:L548</f>
        <v>0.4</v>
      </c>
      <c r="E212" s="531" cm="1">
        <f t="array" ref="E212:E213">'Jarrod - No OT'!M547:M548</f>
        <v>1</v>
      </c>
      <c r="F212" s="531" cm="1">
        <f t="array" ref="F212:F213">'Jarrod - No OT'!N547:N548</f>
        <v>0.2857142857142857</v>
      </c>
      <c r="G212" s="531" cm="1">
        <f t="array" ref="G212:G213">'Jarrod - No OT'!O547:O548</f>
        <v>0.66666666666666663</v>
      </c>
      <c r="H212" s="531" cm="1">
        <f t="array" ref="H212:H213">'Jarrod - No OT'!P547:P548</f>
        <v>0.46153846153846156</v>
      </c>
      <c r="I212" s="206"/>
      <c r="J212" s="207"/>
      <c r="K212" s="542" t="e" cm="1">
        <f t="array" ref="K212:K213">'Jarrod - No OT'!Q547:Q548</f>
        <v>#DIV/0!</v>
      </c>
      <c r="L212" s="189"/>
      <c r="M212" s="201"/>
      <c r="N212" s="191"/>
      <c r="O212" s="203"/>
    </row>
    <row r="213" spans="2:17">
      <c r="B213" s="204" t="s">
        <v>48</v>
      </c>
      <c r="C213" s="533">
        <v>3011</v>
      </c>
      <c r="D213" s="533">
        <v>1562.5</v>
      </c>
      <c r="E213" s="533">
        <v>14702.866666666667</v>
      </c>
      <c r="F213" s="533">
        <v>1138.5</v>
      </c>
      <c r="G213" s="533">
        <v>1545.5</v>
      </c>
      <c r="H213" s="533">
        <v>5136.2166666666662</v>
      </c>
      <c r="I213" s="210"/>
      <c r="J213" s="211"/>
      <c r="K213" s="543" t="e">
        <v>#DIV/0!</v>
      </c>
      <c r="L213" s="213"/>
      <c r="M213" s="190"/>
      <c r="N213" s="214"/>
      <c r="O213" s="233"/>
    </row>
    <row r="214" spans="2:17">
      <c r="B214" s="195" t="s">
        <v>109</v>
      </c>
      <c r="C214" s="196">
        <f>Liam!K692</f>
        <v>2723</v>
      </c>
      <c r="D214" s="196">
        <f>Liam!L692</f>
        <v>13674.9</v>
      </c>
      <c r="E214" s="196">
        <f>Liam!M692</f>
        <v>9499.5</v>
      </c>
      <c r="F214" s="196">
        <f>Liam!N692</f>
        <v>681</v>
      </c>
      <c r="G214" s="196"/>
      <c r="H214" s="196">
        <f>Liam!P692</f>
        <v>26578.400000000001</v>
      </c>
      <c r="I214" s="197">
        <v>50000</v>
      </c>
      <c r="J214" s="198">
        <f>-I214+H214</f>
        <v>-23421.599999999999</v>
      </c>
      <c r="K214" s="541">
        <f>Liam!Q692</f>
        <v>0</v>
      </c>
      <c r="L214" s="200">
        <f>H214</f>
        <v>26578.400000000001</v>
      </c>
      <c r="M214" s="225">
        <f>Liam!R692</f>
        <v>0</v>
      </c>
      <c r="N214" s="202">
        <f>L214-M214</f>
        <v>26578.400000000001</v>
      </c>
      <c r="O214" s="230">
        <f>Liam!S692</f>
        <v>0</v>
      </c>
      <c r="Q214" s="294">
        <f>H214-P214</f>
        <v>26578.400000000001</v>
      </c>
    </row>
    <row r="215" spans="2:17">
      <c r="B215" s="204" t="s">
        <v>101</v>
      </c>
      <c r="C215" s="531" cm="1">
        <f t="array" ref="C215:C216">Liam!K695:K696</f>
        <v>0.33333333333333331</v>
      </c>
      <c r="D215" s="531" cm="1">
        <f t="array" ref="D215:D216">Liam!L695:L696</f>
        <v>0.75</v>
      </c>
      <c r="E215" s="531" cm="1">
        <f t="array" ref="E215:E216">Liam!M695:M696</f>
        <v>0.5</v>
      </c>
      <c r="F215" s="531" cm="1">
        <f t="array" ref="F215:F216">Liam!N695:N696</f>
        <v>0.33333333333333331</v>
      </c>
      <c r="G215" s="531"/>
      <c r="H215" s="531" cm="1">
        <f t="array" ref="H215:H216">Liam!P695:P696</f>
        <v>0.45454545454545453</v>
      </c>
      <c r="I215" s="206"/>
      <c r="J215" s="207"/>
      <c r="K215" s="542" t="e" cm="1">
        <f t="array" ref="K215:K216">Liam!Q695:Q696</f>
        <v>#DIV/0!</v>
      </c>
      <c r="L215" s="189"/>
      <c r="M215" s="201"/>
      <c r="N215" s="191"/>
      <c r="O215" s="203"/>
    </row>
    <row r="216" spans="2:17">
      <c r="B216" s="204" t="s">
        <v>48</v>
      </c>
      <c r="C216" s="533">
        <v>907.66666666666663</v>
      </c>
      <c r="D216" s="533">
        <v>4558.3</v>
      </c>
      <c r="E216" s="533">
        <v>3166.5</v>
      </c>
      <c r="F216" s="533">
        <v>681</v>
      </c>
      <c r="G216" s="533"/>
      <c r="H216" s="533">
        <v>2657.84</v>
      </c>
      <c r="I216" s="210"/>
      <c r="J216" s="211"/>
      <c r="K216" s="543" t="e">
        <v>#DIV/0!</v>
      </c>
      <c r="L216" s="213"/>
      <c r="M216" s="190"/>
      <c r="N216" s="214"/>
      <c r="O216" s="233"/>
    </row>
    <row r="217" spans="2:17">
      <c r="B217" s="195" t="s">
        <v>117</v>
      </c>
      <c r="C217" s="196"/>
      <c r="D217" s="196">
        <f>'Rhys C'!L284</f>
        <v>8029.45</v>
      </c>
      <c r="E217" s="196">
        <f>'Rhys C'!M284</f>
        <v>10566.5</v>
      </c>
      <c r="F217" s="196">
        <f>'Rhys C'!N284</f>
        <v>67572</v>
      </c>
      <c r="G217" s="196"/>
      <c r="H217" s="196">
        <f>'Rhys C'!P284</f>
        <v>86167.95</v>
      </c>
      <c r="I217" s="197">
        <v>50000</v>
      </c>
      <c r="J217" s="198">
        <f>-I217+H217</f>
        <v>36167.949999999997</v>
      </c>
      <c r="K217" s="541">
        <f>'Rhys C'!Q284</f>
        <v>0</v>
      </c>
      <c r="L217" s="200">
        <f>H217</f>
        <v>86167.95</v>
      </c>
      <c r="M217" s="225">
        <f>'Rhys C'!R284</f>
        <v>72525</v>
      </c>
      <c r="N217" s="202">
        <f>L217-M217</f>
        <v>13642.949999999997</v>
      </c>
      <c r="O217" s="230">
        <f>'Rhys C'!S284</f>
        <v>0</v>
      </c>
      <c r="Q217" s="294">
        <f>H217-P217</f>
        <v>86167.95</v>
      </c>
    </row>
    <row r="218" spans="2:17">
      <c r="B218" s="204" t="s">
        <v>101</v>
      </c>
      <c r="C218" s="531"/>
      <c r="D218" s="531" cm="1">
        <f t="array" ref="D218:D219">'Rhys C'!L287:L288</f>
        <v>0.6</v>
      </c>
      <c r="E218" s="531" cm="1">
        <f t="array" ref="E218:E219">'Rhys C'!M287:M288</f>
        <v>0.42857142857142855</v>
      </c>
      <c r="F218" s="531" cm="1">
        <f t="array" ref="F218:F219">'Rhys C'!N287:N288</f>
        <v>0.7142857142857143</v>
      </c>
      <c r="G218" s="531"/>
      <c r="H218" s="531" cm="1">
        <f t="array" ref="H218:H219">'Rhys C'!P287:P288</f>
        <v>0.36666666666666664</v>
      </c>
      <c r="I218" s="206"/>
      <c r="J218" s="207"/>
      <c r="K218" s="542" t="e" cm="1">
        <f t="array" ref="K218:K219">'Rhys C'!Q287:Q288</f>
        <v>#DIV/0!</v>
      </c>
      <c r="L218" s="189"/>
      <c r="M218" s="201"/>
      <c r="N218" s="191"/>
      <c r="O218" s="203"/>
    </row>
    <row r="219" spans="2:17">
      <c r="B219" s="204" t="s">
        <v>48</v>
      </c>
      <c r="C219" s="533"/>
      <c r="D219" s="533">
        <v>2676.4833333333331</v>
      </c>
      <c r="E219" s="533">
        <v>3522.1666666666665</v>
      </c>
      <c r="F219" s="533">
        <v>13514.4</v>
      </c>
      <c r="G219" s="533"/>
      <c r="H219" s="533">
        <v>7833.45</v>
      </c>
      <c r="I219" s="210"/>
      <c r="J219" s="211"/>
      <c r="K219" s="543" t="e">
        <v>#DIV/0!</v>
      </c>
      <c r="L219" s="213"/>
      <c r="M219" s="190"/>
      <c r="N219" s="214"/>
      <c r="O219" s="233"/>
    </row>
    <row r="220" spans="2:17">
      <c r="B220" s="195" t="s">
        <v>107</v>
      </c>
      <c r="C220" s="196">
        <f>'Shaun - No OT'!K590</f>
        <v>14179</v>
      </c>
      <c r="D220" s="196">
        <f>'Shaun - No OT'!L590</f>
        <v>11295</v>
      </c>
      <c r="E220" s="196">
        <f>'Shaun - No OT'!M590</f>
        <v>7420</v>
      </c>
      <c r="F220" s="196">
        <f>'Shaun - No OT'!N590</f>
        <v>10361.9</v>
      </c>
      <c r="G220" s="196">
        <f>'Shaun - No OT'!O590</f>
        <v>1640.2</v>
      </c>
      <c r="H220" s="196">
        <f>'Shaun - No OT'!P590</f>
        <v>44896.1</v>
      </c>
      <c r="I220" s="197">
        <v>50000</v>
      </c>
      <c r="J220" s="198">
        <f>-I220+H220</f>
        <v>-5103.9000000000015</v>
      </c>
      <c r="K220" s="541">
        <f>'Shaun - No OT'!Q590</f>
        <v>10078.9</v>
      </c>
      <c r="L220" s="200">
        <f>H220</f>
        <v>44896.1</v>
      </c>
      <c r="M220" s="225">
        <f>'Shaun - No OT'!R590</f>
        <v>5199.8999999999996</v>
      </c>
      <c r="N220" s="202">
        <f>L220-M220</f>
        <v>39696.199999999997</v>
      </c>
      <c r="O220" s="230">
        <f>'Shaun - No OT'!S590</f>
        <v>0</v>
      </c>
      <c r="Q220" s="294">
        <f>H220-P220</f>
        <v>44896.1</v>
      </c>
    </row>
    <row r="221" spans="2:17">
      <c r="B221" s="204" t="s">
        <v>101</v>
      </c>
      <c r="C221" s="531" cm="1">
        <f t="array" ref="C221:C222">'Shaun - No OT'!K593:K594</f>
        <v>0.5714285714285714</v>
      </c>
      <c r="D221" s="531" cm="1">
        <f t="array" ref="D221:D222">'Shaun - No OT'!L593:L594</f>
        <v>0.2857142857142857</v>
      </c>
      <c r="E221" s="531" cm="1">
        <f t="array" ref="E221:E222">'Shaun - No OT'!M593:M594</f>
        <v>0.8</v>
      </c>
      <c r="F221" s="531" cm="1">
        <f t="array" ref="F221:F222">'Shaun - No OT'!N593:N594</f>
        <v>0.44444444444444442</v>
      </c>
      <c r="G221" s="531" cm="1">
        <f t="array" ref="G221:G222">'Shaun - No OT'!O593:O594</f>
        <v>0.33333333333333331</v>
      </c>
      <c r="H221" s="531" cm="1">
        <f t="array" ref="H221:H222">'Shaun - No OT'!P593:P594</f>
        <v>0.47058823529411764</v>
      </c>
      <c r="I221" s="206"/>
      <c r="J221" s="207"/>
      <c r="K221" s="542" cm="1">
        <f t="array" ref="K221:K222">'Shaun - No OT'!Q593:Q594</f>
        <v>0.66666666666666663</v>
      </c>
      <c r="L221" s="189"/>
      <c r="M221" s="201"/>
      <c r="N221" s="191"/>
      <c r="O221" s="203"/>
    </row>
    <row r="222" spans="2:17">
      <c r="B222" s="204" t="s">
        <v>48</v>
      </c>
      <c r="C222" s="533">
        <v>3544.75</v>
      </c>
      <c r="D222" s="533">
        <v>5647.5</v>
      </c>
      <c r="E222" s="533">
        <v>1855</v>
      </c>
      <c r="F222" s="533">
        <v>2590.4749999999999</v>
      </c>
      <c r="G222" s="533">
        <v>820.1</v>
      </c>
      <c r="H222" s="533">
        <v>2806.0062499999999</v>
      </c>
      <c r="I222" s="210"/>
      <c r="J222" s="211"/>
      <c r="K222" s="543">
        <v>2519.7249999999999</v>
      </c>
      <c r="L222" s="213"/>
      <c r="M222" s="190"/>
      <c r="N222" s="214"/>
      <c r="O222" s="233"/>
    </row>
    <row r="223" spans="2:17">
      <c r="B223" s="237" t="s">
        <v>102</v>
      </c>
      <c r="C223" s="238">
        <f>C202+C205+C208+C211+C214+C217+C220</f>
        <v>41532.6</v>
      </c>
      <c r="D223" s="238">
        <f t="shared" ref="D223:O223" si="6">D202+D205+D208+D211+D214+D217+D220</f>
        <v>38300.350000000006</v>
      </c>
      <c r="E223" s="238">
        <f t="shared" si="6"/>
        <v>78933.5</v>
      </c>
      <c r="F223" s="238">
        <f t="shared" si="6"/>
        <v>85038.099999999991</v>
      </c>
      <c r="G223" s="238">
        <f t="shared" si="6"/>
        <v>5869.2</v>
      </c>
      <c r="H223" s="239">
        <f t="shared" si="6"/>
        <v>249673.75000000003</v>
      </c>
      <c r="I223" s="238">
        <f t="shared" si="6"/>
        <v>350000</v>
      </c>
      <c r="J223" s="240">
        <f t="shared" si="6"/>
        <v>-100326.25</v>
      </c>
      <c r="K223" s="241">
        <f t="shared" si="6"/>
        <v>10078.9</v>
      </c>
      <c r="L223" s="239">
        <f t="shared" si="6"/>
        <v>249673.75000000003</v>
      </c>
      <c r="M223" s="240">
        <f t="shared" si="6"/>
        <v>127789.09999999999</v>
      </c>
      <c r="N223" s="241">
        <f t="shared" si="6"/>
        <v>121884.65</v>
      </c>
      <c r="O223" s="240">
        <f t="shared" si="6"/>
        <v>0</v>
      </c>
    </row>
    <row r="224" spans="2:17">
      <c r="B224" s="244" t="s">
        <v>103</v>
      </c>
      <c r="C224" s="244"/>
      <c r="D224" s="244"/>
      <c r="E224" s="244"/>
      <c r="F224" s="244"/>
      <c r="G224" s="244"/>
      <c r="H224" s="245">
        <f>H223+K223</f>
        <v>259752.65000000002</v>
      </c>
      <c r="I224" s="246">
        <f>I223+J223</f>
        <v>249673.75</v>
      </c>
      <c r="J224" s="247"/>
      <c r="K224" s="248"/>
      <c r="L224" s="249"/>
      <c r="M224" s="250">
        <f>L223-N223</f>
        <v>127789.10000000003</v>
      </c>
      <c r="N224" s="251"/>
      <c r="O224" s="201"/>
    </row>
    <row r="227" spans="2:17">
      <c r="B227" s="171" t="s">
        <v>119</v>
      </c>
      <c r="C227" s="172">
        <v>45900</v>
      </c>
      <c r="D227" s="173"/>
      <c r="E227" s="173"/>
      <c r="F227" s="173"/>
      <c r="G227" s="173"/>
      <c r="H227" s="173"/>
      <c r="I227" s="174" t="s">
        <v>88</v>
      </c>
      <c r="J227" s="175"/>
      <c r="K227" s="176"/>
      <c r="L227" s="177"/>
      <c r="M227" s="178"/>
      <c r="N227" s="179" t="s">
        <v>89</v>
      </c>
      <c r="O227" s="180" t="s">
        <v>29</v>
      </c>
    </row>
    <row r="228" spans="2:17">
      <c r="B228" s="183"/>
      <c r="C228" s="288" t="s">
        <v>91</v>
      </c>
      <c r="D228" s="289" t="s">
        <v>92</v>
      </c>
      <c r="E228" s="289" t="s">
        <v>93</v>
      </c>
      <c r="F228" s="289" t="s">
        <v>94</v>
      </c>
      <c r="G228" s="290" t="s">
        <v>95</v>
      </c>
      <c r="H228" s="291" t="s">
        <v>96</v>
      </c>
      <c r="I228" s="292" t="s">
        <v>97</v>
      </c>
      <c r="J228" s="187" t="s">
        <v>98</v>
      </c>
      <c r="K228" s="188" t="s">
        <v>29</v>
      </c>
      <c r="L228" s="189" t="s">
        <v>89</v>
      </c>
      <c r="M228" s="190" t="s">
        <v>99</v>
      </c>
      <c r="N228" s="191" t="s">
        <v>100</v>
      </c>
      <c r="O228" s="192" t="s">
        <v>99</v>
      </c>
    </row>
    <row r="229" spans="2:17">
      <c r="B229" s="195" t="s">
        <v>113</v>
      </c>
      <c r="C229" s="293"/>
      <c r="D229" s="293"/>
      <c r="E229" s="293">
        <f>'Ben - No OT'!M806</f>
        <v>14503.6</v>
      </c>
      <c r="F229" s="293">
        <f>'Ben - No OT'!N806</f>
        <v>17549.599999999999</v>
      </c>
      <c r="G229" s="293">
        <f>'Ben - No OT'!O806</f>
        <v>2945</v>
      </c>
      <c r="H229" s="293">
        <f>'Ben - No OT'!P806</f>
        <v>34998.199999999997</v>
      </c>
      <c r="I229" s="197">
        <v>50000</v>
      </c>
      <c r="J229" s="198">
        <f>-I229+H229</f>
        <v>-15001.800000000003</v>
      </c>
      <c r="K229" s="541"/>
      <c r="L229" s="200">
        <f>H229</f>
        <v>34998.199999999997</v>
      </c>
      <c r="M229" s="201">
        <f>'Ben - No OT'!R806</f>
        <v>29096.2</v>
      </c>
      <c r="N229" s="202">
        <f>L229-M229</f>
        <v>5901.9999999999964</v>
      </c>
      <c r="O229" s="203">
        <f>'Ben - No OT'!S806</f>
        <v>0</v>
      </c>
      <c r="P229">
        <f>'Ben - No OT'!F822+'Ben - No OT'!F828</f>
        <v>34998.199999999997</v>
      </c>
      <c r="Q229" s="294">
        <f>H229-P229</f>
        <v>0</v>
      </c>
    </row>
    <row r="230" spans="2:17">
      <c r="B230" s="204" t="s">
        <v>101</v>
      </c>
      <c r="C230" s="531"/>
      <c r="D230" s="531"/>
      <c r="E230" s="531" cm="1">
        <f t="array" ref="E230:E231">'Ben - No OT'!M809:M810</f>
        <v>0.33333333333333331</v>
      </c>
      <c r="F230" s="531" cm="1">
        <f t="array" ref="F230:F231">'Ben - No OT'!N809:N810</f>
        <v>0.8</v>
      </c>
      <c r="G230" s="531" cm="1">
        <f t="array" ref="G230:G231">'Ben - No OT'!O809:O810</f>
        <v>0.4</v>
      </c>
      <c r="H230" s="531" cm="1">
        <f t="array" ref="H230:H231">'Ben - No OT'!P809:P810</f>
        <v>0.53846153846153844</v>
      </c>
      <c r="I230" s="206"/>
      <c r="J230" s="207"/>
      <c r="K230" s="542"/>
      <c r="L230" s="189"/>
      <c r="M230" s="201"/>
      <c r="N230" s="191"/>
      <c r="O230" s="203"/>
    </row>
    <row r="231" spans="2:17">
      <c r="B231" s="226" t="s">
        <v>48</v>
      </c>
      <c r="C231" s="536"/>
      <c r="D231" s="536"/>
      <c r="E231" s="536">
        <v>14503.6</v>
      </c>
      <c r="F231" s="536">
        <v>4387.3999999999996</v>
      </c>
      <c r="G231" s="536">
        <v>1472.5</v>
      </c>
      <c r="H231" s="536">
        <v>4999.7428571428563</v>
      </c>
      <c r="I231" s="210"/>
      <c r="J231" s="211"/>
      <c r="K231" s="543"/>
      <c r="L231" s="213"/>
      <c r="M231" s="497"/>
      <c r="N231" s="214"/>
      <c r="O231" s="214"/>
    </row>
    <row r="232" spans="2:17">
      <c r="B232" s="195" t="s">
        <v>121</v>
      </c>
      <c r="C232" s="293">
        <f>Bradley!K66</f>
        <v>5980</v>
      </c>
      <c r="D232" s="293"/>
      <c r="E232" s="293">
        <f>Bradley!M66</f>
        <v>5814</v>
      </c>
      <c r="F232" s="293">
        <f>Bradley!N66</f>
        <v>7291.18</v>
      </c>
      <c r="G232" s="293">
        <f>Bradley!O66</f>
        <v>4042</v>
      </c>
      <c r="H232" s="293">
        <f>Bradley!P66</f>
        <v>23127.18</v>
      </c>
      <c r="I232" s="206">
        <v>50000</v>
      </c>
      <c r="J232" s="198">
        <f>-I232+H232</f>
        <v>-26872.82</v>
      </c>
      <c r="K232" s="541"/>
      <c r="L232" s="200">
        <f>H232</f>
        <v>23127.18</v>
      </c>
      <c r="M232" s="201">
        <f>Bradley!R66</f>
        <v>0</v>
      </c>
      <c r="N232" s="202">
        <f>L232-M232</f>
        <v>23127.18</v>
      </c>
      <c r="O232" s="203">
        <f>Bradley!S66</f>
        <v>0</v>
      </c>
      <c r="P232">
        <f>Bradley!F90</f>
        <v>23127.18</v>
      </c>
      <c r="Q232" s="294">
        <f>H232-P232</f>
        <v>0</v>
      </c>
    </row>
    <row r="233" spans="2:17">
      <c r="B233" s="204" t="s">
        <v>101</v>
      </c>
      <c r="C233" s="531" cm="1">
        <f t="array" ref="C233:C234">Bradley!K69:K70</f>
        <v>0.6</v>
      </c>
      <c r="D233" s="531"/>
      <c r="E233" s="531" cm="1">
        <f t="array" ref="E233:E234">Bradley!M69:M70</f>
        <v>0.33333333333333331</v>
      </c>
      <c r="F233" s="531" cm="1">
        <f t="array" ref="F233:F234">Bradley!N69:N70</f>
        <v>0.8</v>
      </c>
      <c r="G233" s="531" cm="1">
        <f t="array" ref="G233:G234">Bradley!O69:O70</f>
        <v>0.2857142857142857</v>
      </c>
      <c r="H233" s="531" cm="1">
        <f t="array" ref="H233:H234">Bradley!P69:P70</f>
        <v>0.5</v>
      </c>
      <c r="I233" s="206"/>
      <c r="J233" s="207"/>
      <c r="K233" s="542"/>
      <c r="L233" s="189"/>
      <c r="M233" s="251"/>
      <c r="N233" s="191"/>
      <c r="O233" s="540"/>
    </row>
    <row r="234" spans="2:17">
      <c r="B234" s="226" t="s">
        <v>48</v>
      </c>
      <c r="C234" s="532">
        <v>996.66666666666663</v>
      </c>
      <c r="D234" s="532"/>
      <c r="E234" s="532">
        <v>2907</v>
      </c>
      <c r="F234" s="532">
        <v>1822.7950000000001</v>
      </c>
      <c r="G234" s="532">
        <v>2021</v>
      </c>
      <c r="H234" s="532">
        <v>1651.9414285714286</v>
      </c>
      <c r="I234" s="206"/>
      <c r="J234" s="207"/>
      <c r="K234" s="543"/>
      <c r="L234" s="189"/>
      <c r="M234" s="251"/>
      <c r="N234" s="191"/>
      <c r="O234" s="540"/>
    </row>
    <row r="235" spans="2:17">
      <c r="B235" s="195" t="s">
        <v>116</v>
      </c>
      <c r="C235" s="567">
        <f>Elliot!K295</f>
        <v>4744</v>
      </c>
      <c r="D235" s="567">
        <f>Elliot!L295</f>
        <v>2407.3000000000002</v>
      </c>
      <c r="E235" s="567">
        <f>Elliot!M295</f>
        <v>7136</v>
      </c>
      <c r="F235" s="567">
        <f>Elliot!N295</f>
        <v>5037</v>
      </c>
      <c r="G235" s="567">
        <f>Elliot!O295</f>
        <v>12424</v>
      </c>
      <c r="H235" s="567">
        <f>Elliot!P295</f>
        <v>31748.3</v>
      </c>
      <c r="I235" s="197">
        <v>50000</v>
      </c>
      <c r="J235" s="198">
        <f>-I235+H235</f>
        <v>-18251.7</v>
      </c>
      <c r="K235" s="541">
        <f>Elliot!Q295</f>
        <v>1477.5</v>
      </c>
      <c r="L235" s="200">
        <f>H235</f>
        <v>31748.3</v>
      </c>
      <c r="M235" s="225">
        <f>Elliot!R295</f>
        <v>8641</v>
      </c>
      <c r="N235" s="202">
        <f>L235-M235</f>
        <v>23107.3</v>
      </c>
      <c r="O235" s="230">
        <f>Elliot!S295</f>
        <v>0</v>
      </c>
      <c r="P235">
        <f>Elliot!F321+Elliot!F331</f>
        <v>31748.3</v>
      </c>
      <c r="Q235" s="294">
        <f>H235-P235</f>
        <v>0</v>
      </c>
    </row>
    <row r="236" spans="2:17">
      <c r="B236" s="204" t="s">
        <v>101</v>
      </c>
      <c r="C236" s="531" cm="1">
        <f t="array" ref="C236:C237">Elliot!K298:K299</f>
        <v>0.44444444444444442</v>
      </c>
      <c r="D236" s="531" cm="1">
        <f t="array" ref="D236:D237">Elliot!L298:L299</f>
        <v>0.5</v>
      </c>
      <c r="E236" s="531" cm="1">
        <f t="array" ref="E236:E237">Elliot!M298:M299</f>
        <v>0.33333333333333331</v>
      </c>
      <c r="F236" s="531" cm="1">
        <f t="array" ref="F236:F237">Elliot!N298:N299</f>
        <v>0.5</v>
      </c>
      <c r="G236" s="531" cm="1">
        <f t="array" ref="G236:G237">Elliot!O298:O299</f>
        <v>0.33333333333333331</v>
      </c>
      <c r="H236" s="531" cm="1">
        <f t="array" ref="H236:H237">Elliot!P298:P299</f>
        <v>0.42499999999999999</v>
      </c>
      <c r="I236" s="206"/>
      <c r="J236" s="207"/>
      <c r="K236" s="542" cm="1">
        <f t="array" ref="K236:K237">Elliot!Q298:Q299</f>
        <v>1</v>
      </c>
      <c r="L236" s="189"/>
      <c r="M236" s="201"/>
      <c r="N236" s="191"/>
      <c r="O236" s="203"/>
    </row>
    <row r="237" spans="2:17">
      <c r="B237" s="204" t="s">
        <v>48</v>
      </c>
      <c r="C237" s="533">
        <v>1186</v>
      </c>
      <c r="D237" s="533">
        <v>601.82500000000005</v>
      </c>
      <c r="E237" s="533">
        <v>2378.6666666666665</v>
      </c>
      <c r="F237" s="533">
        <v>1259.25</v>
      </c>
      <c r="G237" s="533">
        <v>6212</v>
      </c>
      <c r="H237" s="533">
        <v>1867.5470588235294</v>
      </c>
      <c r="I237" s="210"/>
      <c r="J237" s="211"/>
      <c r="K237" s="543">
        <v>1477.5</v>
      </c>
      <c r="L237" s="213"/>
      <c r="M237" s="190"/>
      <c r="N237" s="214"/>
      <c r="O237" s="233"/>
    </row>
    <row r="238" spans="2:17">
      <c r="B238" s="195" t="s">
        <v>112</v>
      </c>
      <c r="C238" s="196">
        <f>'Jarrod - No OT'!K633</f>
        <v>7374</v>
      </c>
      <c r="D238" s="196">
        <f>'Jarrod - No OT'!L633</f>
        <v>10075</v>
      </c>
      <c r="E238" s="196">
        <f>'Jarrod - No OT'!M633</f>
        <v>4491</v>
      </c>
      <c r="F238" s="196">
        <f>'Jarrod - No OT'!N633</f>
        <v>5663.09</v>
      </c>
      <c r="G238" s="196">
        <f>'Jarrod - No OT'!O633</f>
        <v>6814</v>
      </c>
      <c r="H238" s="196">
        <f>'Jarrod - No OT'!P633</f>
        <v>34417.089999999997</v>
      </c>
      <c r="I238" s="197">
        <v>50000</v>
      </c>
      <c r="J238" s="198">
        <f>-I238+H238</f>
        <v>-15582.910000000003</v>
      </c>
      <c r="K238" s="541"/>
      <c r="L238" s="200">
        <f>H238</f>
        <v>34417.089999999997</v>
      </c>
      <c r="M238" s="225">
        <f>'Jarrod - No OT'!R633</f>
        <v>8675</v>
      </c>
      <c r="N238" s="202">
        <f>L238-M238</f>
        <v>25742.089999999997</v>
      </c>
      <c r="O238" s="230">
        <f>'Jarrod - No OT'!S633</f>
        <v>0</v>
      </c>
      <c r="P238">
        <f>'Jarrod - No OT'!F657+'Jarrod - No OT'!F662+'Jarrod - No OT'!F667</f>
        <v>34417.089999999997</v>
      </c>
      <c r="Q238" s="294">
        <f>H238-P238</f>
        <v>0</v>
      </c>
    </row>
    <row r="239" spans="2:17">
      <c r="B239" s="204" t="s">
        <v>101</v>
      </c>
      <c r="C239" s="531" cm="1">
        <f t="array" ref="C239:C240">'Jarrod - No OT'!K636:K637</f>
        <v>0.5</v>
      </c>
      <c r="D239" s="531" cm="1">
        <f t="array" ref="D239:D240">'Jarrod - No OT'!L636:L637</f>
        <v>0.4</v>
      </c>
      <c r="E239" s="531" cm="1">
        <f t="array" ref="E239:E240">'Jarrod - No OT'!M636:M637</f>
        <v>0.33333333333333331</v>
      </c>
      <c r="F239" s="531" cm="1">
        <f t="array" ref="F239:F240">'Jarrod - No OT'!N636:N637</f>
        <v>0.7142857142857143</v>
      </c>
      <c r="G239" s="531" cm="1">
        <f t="array" ref="G239:G240">'Jarrod - No OT'!O636:O637</f>
        <v>0.16666666666666666</v>
      </c>
      <c r="H239" s="531" cm="1">
        <f t="array" ref="H239:H240">'Jarrod - No OT'!P636:P637</f>
        <v>0.42424242424242425</v>
      </c>
      <c r="I239" s="206"/>
      <c r="J239" s="207"/>
      <c r="K239" s="542"/>
      <c r="L239" s="189"/>
      <c r="M239" s="201"/>
      <c r="N239" s="191"/>
      <c r="O239" s="203"/>
    </row>
    <row r="240" spans="2:17">
      <c r="B240" s="204" t="s">
        <v>48</v>
      </c>
      <c r="C240" s="533">
        <v>2458</v>
      </c>
      <c r="D240" s="533">
        <v>5037.5</v>
      </c>
      <c r="E240" s="533">
        <v>1497</v>
      </c>
      <c r="F240" s="533">
        <v>1132.6179999999999</v>
      </c>
      <c r="G240" s="533">
        <v>6814</v>
      </c>
      <c r="H240" s="533">
        <v>2458.363571428571</v>
      </c>
      <c r="I240" s="210"/>
      <c r="J240" s="211"/>
      <c r="K240" s="543"/>
      <c r="L240" s="213"/>
      <c r="M240" s="190"/>
      <c r="N240" s="214"/>
      <c r="O240" s="233"/>
    </row>
    <row r="241" spans="2:17">
      <c r="B241" s="195" t="s">
        <v>109</v>
      </c>
      <c r="C241" s="196">
        <f>Liam!K768</f>
        <v>6494</v>
      </c>
      <c r="D241" s="196">
        <f>Liam!L768</f>
        <v>6496</v>
      </c>
      <c r="E241" s="196">
        <f>Liam!M768</f>
        <v>3458</v>
      </c>
      <c r="F241" s="196">
        <f>Liam!N768</f>
        <v>1000</v>
      </c>
      <c r="G241" s="196">
        <f>Liam!O768</f>
        <v>2400</v>
      </c>
      <c r="H241" s="196">
        <f>Liam!P768</f>
        <v>19848</v>
      </c>
      <c r="I241" s="197">
        <v>50000</v>
      </c>
      <c r="J241" s="198">
        <f>-I241+H241</f>
        <v>-30152</v>
      </c>
      <c r="K241" s="541"/>
      <c r="L241" s="200">
        <f>H241</f>
        <v>19848</v>
      </c>
      <c r="M241" s="225">
        <f>Liam!R768</f>
        <v>0</v>
      </c>
      <c r="N241" s="202">
        <f>L241-M241</f>
        <v>19848</v>
      </c>
      <c r="O241" s="230">
        <f>Liam!S768</f>
        <v>0</v>
      </c>
      <c r="P241">
        <f>Liam!F791</f>
        <v>19848</v>
      </c>
      <c r="Q241" s="294">
        <f>H241-P241</f>
        <v>0</v>
      </c>
    </row>
    <row r="242" spans="2:17">
      <c r="B242" s="204" t="s">
        <v>101</v>
      </c>
      <c r="C242" s="531" cm="1">
        <f t="array" ref="C242:C243">Liam!K771:K772</f>
        <v>0.4</v>
      </c>
      <c r="D242" s="531" cm="1">
        <f t="array" ref="D242:D243">Liam!L771:L772</f>
        <v>0.44444444444444442</v>
      </c>
      <c r="E242" s="531" cm="1">
        <f t="array" ref="E242:E243">Liam!M771:M772</f>
        <v>0.6</v>
      </c>
      <c r="F242" s="531" cm="1">
        <f t="array" ref="F242:F243">Liam!N771:N772</f>
        <v>0.16666666666666666</v>
      </c>
      <c r="G242" s="531" cm="1">
        <f t="array" ref="G242:G243">Liam!O771:O772</f>
        <v>0.42857142857142855</v>
      </c>
      <c r="H242" s="531" cm="1">
        <f t="array" ref="H242:H243">Liam!P771:P772</f>
        <v>0.40625</v>
      </c>
      <c r="I242" s="206"/>
      <c r="J242" s="207"/>
      <c r="K242" s="542"/>
      <c r="L242" s="189"/>
      <c r="M242" s="201"/>
      <c r="N242" s="191"/>
      <c r="O242" s="203"/>
    </row>
    <row r="243" spans="2:17">
      <c r="B243" s="204" t="s">
        <v>48</v>
      </c>
      <c r="C243" s="533">
        <v>3247</v>
      </c>
      <c r="D243" s="533">
        <v>1624</v>
      </c>
      <c r="E243" s="533">
        <v>1152.6666666666667</v>
      </c>
      <c r="F243" s="533">
        <v>1000</v>
      </c>
      <c r="G243" s="533">
        <v>800</v>
      </c>
      <c r="H243" s="533">
        <v>1526.7692307692307</v>
      </c>
      <c r="I243" s="210"/>
      <c r="J243" s="211"/>
      <c r="K243" s="543"/>
      <c r="L243" s="213"/>
      <c r="M243" s="190"/>
      <c r="N243" s="214"/>
      <c r="O243" s="233"/>
    </row>
    <row r="244" spans="2:17">
      <c r="B244" s="195" t="s">
        <v>117</v>
      </c>
      <c r="C244" s="196">
        <f>'Rhys C'!K367</f>
        <v>1877</v>
      </c>
      <c r="D244" s="196">
        <f>'Rhys C'!L367</f>
        <v>10012</v>
      </c>
      <c r="E244" s="196">
        <f>'Rhys C'!M367</f>
        <v>11618.2</v>
      </c>
      <c r="F244" s="196">
        <f>'Rhys C'!N367</f>
        <v>6166</v>
      </c>
      <c r="G244" s="196">
        <f>'Rhys C'!O367</f>
        <v>7925</v>
      </c>
      <c r="H244" s="196">
        <f>'Rhys C'!P367</f>
        <v>37598.199999999997</v>
      </c>
      <c r="I244" s="197">
        <v>50000</v>
      </c>
      <c r="J244" s="198">
        <f>-I244+H244</f>
        <v>-12401.800000000003</v>
      </c>
      <c r="K244" s="541">
        <f>'Rhys C'!Q367</f>
        <v>7675</v>
      </c>
      <c r="L244" s="200">
        <f>H244</f>
        <v>37598.199999999997</v>
      </c>
      <c r="M244" s="225">
        <f>'Rhys C'!R367</f>
        <v>13921.2</v>
      </c>
      <c r="N244" s="202">
        <f>L244-M244</f>
        <v>23676.999999999996</v>
      </c>
      <c r="O244" s="230">
        <f>'Rhys C'!S367</f>
        <v>0</v>
      </c>
      <c r="P244">
        <f>'Rhys C'!F392+'Rhys C'!F407+'Rhys C'!F412</f>
        <v>37598.199999999997</v>
      </c>
      <c r="Q244" s="294">
        <f>H244-P244</f>
        <v>0</v>
      </c>
    </row>
    <row r="245" spans="2:17">
      <c r="B245" s="204" t="s">
        <v>101</v>
      </c>
      <c r="C245" s="531" cm="1">
        <f t="array" ref="C245:C246">'Rhys C'!K370:K371</f>
        <v>0.375</v>
      </c>
      <c r="D245" s="531" cm="1">
        <f t="array" ref="D245:D246">'Rhys C'!L370:L371</f>
        <v>0.45454545454545453</v>
      </c>
      <c r="E245" s="531" cm="1">
        <f t="array" ref="E245:E246">'Rhys C'!M370:M371</f>
        <v>0.42857142857142855</v>
      </c>
      <c r="F245" s="531" cm="1">
        <f t="array" ref="F245:F246">'Rhys C'!N370:N371</f>
        <v>0.42857142857142855</v>
      </c>
      <c r="G245" s="531" cm="1">
        <f t="array" ref="G245:G246">'Rhys C'!O370:O371</f>
        <v>0.5</v>
      </c>
      <c r="H245" s="531" cm="1">
        <f t="array" ref="H245:H246">'Rhys C'!P370:P371</f>
        <v>0.4358974358974359</v>
      </c>
      <c r="I245" s="206"/>
      <c r="J245" s="207"/>
      <c r="K245" s="542" cm="1">
        <f t="array" ref="K245:K246">'Rhys C'!Q370:Q371</f>
        <v>0.5</v>
      </c>
      <c r="L245" s="189"/>
      <c r="M245" s="201"/>
      <c r="N245" s="191"/>
      <c r="O245" s="203"/>
    </row>
    <row r="246" spans="2:17">
      <c r="B246" s="204" t="s">
        <v>48</v>
      </c>
      <c r="C246" s="533">
        <v>625.66666666666663</v>
      </c>
      <c r="D246" s="533">
        <v>2002.4</v>
      </c>
      <c r="E246" s="533">
        <v>3872.7333333333336</v>
      </c>
      <c r="F246" s="533">
        <v>2055.3333333333335</v>
      </c>
      <c r="G246" s="533">
        <v>2641.6666666666665</v>
      </c>
      <c r="H246" s="533">
        <v>2211.6588235294116</v>
      </c>
      <c r="I246" s="210"/>
      <c r="J246" s="211"/>
      <c r="K246" s="543">
        <v>3837.5</v>
      </c>
      <c r="L246" s="213"/>
      <c r="M246" s="190"/>
      <c r="N246" s="214"/>
      <c r="O246" s="233"/>
    </row>
    <row r="247" spans="2:17">
      <c r="B247" s="195" t="s">
        <v>107</v>
      </c>
      <c r="C247" s="196">
        <f>'Shaun - No OT'!K698</f>
        <v>17126.7</v>
      </c>
      <c r="D247" s="196">
        <f>'Shaun - No OT'!L698</f>
        <v>6986.7999999999993</v>
      </c>
      <c r="E247" s="196">
        <f>'Shaun - No OT'!M698</f>
        <v>6861</v>
      </c>
      <c r="F247" s="196">
        <f>'Shaun - No OT'!N698</f>
        <v>861</v>
      </c>
      <c r="G247" s="196">
        <f>'Shaun - No OT'!O698</f>
        <v>3503</v>
      </c>
      <c r="H247" s="196">
        <f>'Shaun - No OT'!P698</f>
        <v>35338.5</v>
      </c>
      <c r="I247" s="197">
        <v>50000</v>
      </c>
      <c r="J247" s="198">
        <f>-I247+H247</f>
        <v>-14661.5</v>
      </c>
      <c r="K247" s="541"/>
      <c r="L247" s="200">
        <f>H247</f>
        <v>35338.5</v>
      </c>
      <c r="M247" s="225">
        <f>'Shaun - No OT'!R698</f>
        <v>15421.5</v>
      </c>
      <c r="N247" s="202">
        <f>L247-M247</f>
        <v>19917</v>
      </c>
      <c r="O247" s="230">
        <f>'Shaun - No OT'!S698</f>
        <v>0</v>
      </c>
      <c r="P247">
        <f>'Shaun - No OT'!F719+'Shaun - No OT'!F730</f>
        <v>35338.5</v>
      </c>
      <c r="Q247" s="294">
        <f>H247-P247</f>
        <v>0</v>
      </c>
    </row>
    <row r="248" spans="2:17">
      <c r="B248" s="204" t="s">
        <v>101</v>
      </c>
      <c r="C248" s="531" cm="1">
        <f t="array" ref="C248:C249">'Shaun - No OT'!K701:K702</f>
        <v>0.5</v>
      </c>
      <c r="D248" s="531" cm="1">
        <f t="array" ref="D248:D249">'Shaun - No OT'!L701:L702</f>
        <v>0.5714285714285714</v>
      </c>
      <c r="E248" s="531" cm="1">
        <f t="array" ref="E248:E249">'Shaun - No OT'!M701:M702</f>
        <v>0.33333333333333331</v>
      </c>
      <c r="F248" s="531" cm="1">
        <f t="array" ref="F248:F249">'Shaun - No OT'!N701:N702</f>
        <v>0.125</v>
      </c>
      <c r="G248" s="531" cm="1">
        <f t="array" ref="G248:G249">'Shaun - No OT'!O701:O702</f>
        <v>0.66666666666666663</v>
      </c>
      <c r="H248" s="531" cm="1">
        <f t="array" ref="H248:H249">'Shaun - No OT'!P701:P702</f>
        <v>0.4</v>
      </c>
      <c r="I248" s="206"/>
      <c r="J248" s="207"/>
      <c r="K248" s="542"/>
      <c r="L248" s="189"/>
      <c r="M248" s="201"/>
      <c r="N248" s="191"/>
      <c r="O248" s="203"/>
    </row>
    <row r="249" spans="2:17">
      <c r="B249" s="204" t="s">
        <v>48</v>
      </c>
      <c r="C249" s="533">
        <v>5708.9000000000005</v>
      </c>
      <c r="D249" s="533">
        <v>1746.6999999999998</v>
      </c>
      <c r="E249" s="533">
        <v>3430.5</v>
      </c>
      <c r="F249" s="533">
        <v>861</v>
      </c>
      <c r="G249" s="533">
        <v>1751.5</v>
      </c>
      <c r="H249" s="533">
        <v>2944.875</v>
      </c>
      <c r="I249" s="210"/>
      <c r="J249" s="211"/>
      <c r="K249" s="543"/>
      <c r="L249" s="213"/>
      <c r="M249" s="190"/>
      <c r="N249" s="214"/>
      <c r="O249" s="233"/>
    </row>
    <row r="250" spans="2:17">
      <c r="B250" s="195" t="s">
        <v>115</v>
      </c>
      <c r="C250" s="196"/>
      <c r="D250" s="196"/>
      <c r="E250" s="196">
        <f>'Matthew H - No OT'!M247</f>
        <v>1261</v>
      </c>
      <c r="F250" s="196"/>
      <c r="G250" s="196">
        <f>'Matthew H - No OT'!O247</f>
        <v>0</v>
      </c>
      <c r="H250" s="196">
        <f>'Matthew H - No OT'!P247</f>
        <v>1261</v>
      </c>
      <c r="I250" s="197">
        <v>50000</v>
      </c>
      <c r="J250" s="198">
        <f>-I250+H250</f>
        <v>-48739</v>
      </c>
      <c r="K250" s="541"/>
      <c r="L250" s="200">
        <f>H250</f>
        <v>1261</v>
      </c>
      <c r="M250" s="225">
        <f>'Matthew H - No OT'!R247</f>
        <v>0</v>
      </c>
      <c r="N250" s="202">
        <f>L250-M250</f>
        <v>1261</v>
      </c>
      <c r="O250" s="230">
        <f>'Matthew H - No OT'!S247</f>
        <v>0</v>
      </c>
      <c r="P250">
        <f>'Matthew H - No OT'!F258</f>
        <v>1261</v>
      </c>
      <c r="Q250" s="294">
        <f>H250-P250</f>
        <v>0</v>
      </c>
    </row>
    <row r="251" spans="2:17">
      <c r="B251" s="204" t="s">
        <v>101</v>
      </c>
      <c r="C251" s="531"/>
      <c r="D251" s="531"/>
      <c r="E251" s="531" cm="1">
        <f t="array" ref="E251:E252">'Matthew H - No OT'!M250:M251</f>
        <v>1</v>
      </c>
      <c r="F251" s="531"/>
      <c r="G251" s="531" t="e" cm="1">
        <f t="array" ref="G251:G252">'Matthew H - No OT'!O250:O251</f>
        <v>#DIV/0!</v>
      </c>
      <c r="H251" s="531" cm="1">
        <f t="array" ref="H251:H252">'Matthew H - No OT'!P250:P251</f>
        <v>1</v>
      </c>
      <c r="I251" s="206"/>
      <c r="J251" s="207"/>
      <c r="K251" s="542"/>
      <c r="L251" s="189"/>
      <c r="M251" s="201"/>
      <c r="N251" s="191"/>
      <c r="O251" s="203"/>
    </row>
    <row r="252" spans="2:17">
      <c r="B252" s="204" t="s">
        <v>48</v>
      </c>
      <c r="C252" s="533"/>
      <c r="D252" s="533"/>
      <c r="E252" s="533">
        <v>1261</v>
      </c>
      <c r="F252" s="533"/>
      <c r="G252" s="533" t="e">
        <v>#DIV/0!</v>
      </c>
      <c r="H252" s="533">
        <v>1261</v>
      </c>
      <c r="I252" s="210"/>
      <c r="J252" s="211"/>
      <c r="K252" s="543"/>
      <c r="L252" s="213"/>
      <c r="M252" s="190"/>
      <c r="N252" s="214"/>
      <c r="O252" s="233"/>
    </row>
    <row r="253" spans="2:17">
      <c r="B253" s="237" t="s">
        <v>102</v>
      </c>
      <c r="C253" s="238">
        <f>C229+C232+C235+C238+C241+C244+C247+C250</f>
        <v>43595.7</v>
      </c>
      <c r="D253" s="238">
        <f t="shared" ref="D253:O253" si="7">D229+D232+D235+D238+D241+D244+D247+D250</f>
        <v>35977.1</v>
      </c>
      <c r="E253" s="238">
        <f t="shared" si="7"/>
        <v>55142.8</v>
      </c>
      <c r="F253" s="238">
        <f t="shared" si="7"/>
        <v>43567.869999999995</v>
      </c>
      <c r="G253" s="238">
        <f t="shared" si="7"/>
        <v>40053</v>
      </c>
      <c r="H253" s="239">
        <f t="shared" si="7"/>
        <v>218336.46999999997</v>
      </c>
      <c r="I253" s="238">
        <f t="shared" si="7"/>
        <v>400000</v>
      </c>
      <c r="J253" s="240">
        <f t="shared" si="7"/>
        <v>-181663.53000000003</v>
      </c>
      <c r="K253" s="241">
        <f t="shared" si="7"/>
        <v>9152.5</v>
      </c>
      <c r="L253" s="239">
        <f t="shared" si="7"/>
        <v>218336.46999999997</v>
      </c>
      <c r="M253" s="240">
        <f t="shared" si="7"/>
        <v>75754.899999999994</v>
      </c>
      <c r="N253" s="241">
        <f t="shared" si="7"/>
        <v>142581.57</v>
      </c>
      <c r="O253" s="240">
        <f t="shared" si="7"/>
        <v>0</v>
      </c>
    </row>
    <row r="254" spans="2:17">
      <c r="B254" s="244" t="s">
        <v>103</v>
      </c>
      <c r="C254" s="244"/>
      <c r="D254" s="244"/>
      <c r="E254" s="244"/>
      <c r="F254" s="244"/>
      <c r="G254" s="244"/>
      <c r="H254" s="245">
        <f>H253+K253</f>
        <v>227488.96999999997</v>
      </c>
      <c r="I254" s="246">
        <f>I253+J253</f>
        <v>218336.46999999997</v>
      </c>
      <c r="J254" s="247"/>
      <c r="K254" s="248"/>
      <c r="L254" s="249"/>
      <c r="M254" s="250">
        <f>L253-N253</f>
        <v>75754.899999999965</v>
      </c>
      <c r="N254" s="251"/>
      <c r="O254" s="201"/>
    </row>
    <row r="257" spans="2:17">
      <c r="B257" s="171" t="s">
        <v>119</v>
      </c>
      <c r="C257" s="172">
        <v>45907</v>
      </c>
      <c r="D257" s="173"/>
      <c r="E257" s="173"/>
      <c r="F257" s="173"/>
      <c r="G257" s="173"/>
      <c r="H257" s="173"/>
      <c r="I257" s="174" t="s">
        <v>88</v>
      </c>
      <c r="J257" s="175"/>
      <c r="K257" s="176"/>
      <c r="L257" s="177"/>
      <c r="M257" s="178"/>
      <c r="N257" s="179" t="s">
        <v>89</v>
      </c>
      <c r="O257" s="216" t="s">
        <v>29</v>
      </c>
    </row>
    <row r="258" spans="2:17">
      <c r="B258" s="630"/>
      <c r="C258" s="288" t="s">
        <v>91</v>
      </c>
      <c r="D258" s="289" t="s">
        <v>92</v>
      </c>
      <c r="E258" s="289" t="s">
        <v>93</v>
      </c>
      <c r="F258" s="289" t="s">
        <v>94</v>
      </c>
      <c r="G258" s="290" t="s">
        <v>95</v>
      </c>
      <c r="H258" s="290" t="s">
        <v>96</v>
      </c>
      <c r="I258" s="631" t="s">
        <v>97</v>
      </c>
      <c r="J258" s="632" t="s">
        <v>98</v>
      </c>
      <c r="K258" s="633" t="s">
        <v>29</v>
      </c>
      <c r="L258" s="634" t="s">
        <v>89</v>
      </c>
      <c r="M258" s="635" t="s">
        <v>99</v>
      </c>
      <c r="N258" s="656" t="s">
        <v>100</v>
      </c>
      <c r="O258" s="657" t="s">
        <v>99</v>
      </c>
    </row>
    <row r="259" spans="2:17">
      <c r="B259" s="195" t="s">
        <v>113</v>
      </c>
      <c r="C259" s="651">
        <f>'Ben - No OT'!K874</f>
        <v>1134.9000000000001</v>
      </c>
      <c r="D259" s="651">
        <f>'Ben - No OT'!L874</f>
        <v>1867</v>
      </c>
      <c r="E259" s="651">
        <f>'Ben - No OT'!M874</f>
        <v>7281.9</v>
      </c>
      <c r="F259" s="651">
        <f>'Ben - No OT'!N874</f>
        <v>8109.9</v>
      </c>
      <c r="G259" s="651">
        <f>'Ben - No OT'!O874</f>
        <v>4695.8999999999996</v>
      </c>
      <c r="H259" s="651">
        <f>'Ben - No OT'!P874</f>
        <v>23089.599999999999</v>
      </c>
      <c r="I259" s="197">
        <v>50000</v>
      </c>
      <c r="J259" s="198">
        <f>-I259+H259</f>
        <v>-26910.400000000001</v>
      </c>
      <c r="K259" s="541"/>
      <c r="L259" s="200">
        <f>H259</f>
        <v>23089.599999999999</v>
      </c>
      <c r="M259" s="201">
        <f>'Ben - No OT'!R874</f>
        <v>6214</v>
      </c>
      <c r="N259" s="202">
        <f>L259-M259</f>
        <v>16875.599999999999</v>
      </c>
      <c r="O259" s="203">
        <f>'Ben - No OT'!S874</f>
        <v>0</v>
      </c>
      <c r="P259">
        <f>'Ben - No OT'!F897+'Ben - No OT'!F902+'Ben - No OT'!F906</f>
        <v>23770.6</v>
      </c>
      <c r="Q259" s="294">
        <f>H259-P259</f>
        <v>-681</v>
      </c>
    </row>
    <row r="260" spans="2:17">
      <c r="B260" s="204" t="s">
        <v>101</v>
      </c>
      <c r="C260" s="531" cm="1">
        <f t="array" ref="C260:C261">'Ben - No OT'!K877:K878</f>
        <v>0.16666666666666666</v>
      </c>
      <c r="D260" s="531" cm="1">
        <f t="array" ref="D260:D261">'Ben - No OT'!L877:L878</f>
        <v>0.66666666666666663</v>
      </c>
      <c r="E260" s="531" cm="1">
        <f t="array" ref="E260:E261">'Ben - No OT'!M877:M878</f>
        <v>0.75</v>
      </c>
      <c r="F260" s="531" cm="1">
        <f t="array" ref="F260:F261">'Ben - No OT'!N877:N878</f>
        <v>0.5714285714285714</v>
      </c>
      <c r="G260" s="531" cm="1">
        <f t="array" ref="G260:G261">'Ben - No OT'!O877:O878</f>
        <v>0.5714285714285714</v>
      </c>
      <c r="H260" s="531" cm="1">
        <f t="array" ref="H260:H261">'Ben - No OT'!P877:P878</f>
        <v>0.51851851851851849</v>
      </c>
      <c r="I260" s="206"/>
      <c r="J260" s="207"/>
      <c r="K260" s="542"/>
      <c r="L260" s="189"/>
      <c r="M260" s="201"/>
      <c r="N260" s="191"/>
      <c r="O260" s="203"/>
    </row>
    <row r="261" spans="2:17">
      <c r="B261" s="226" t="s">
        <v>48</v>
      </c>
      <c r="C261" s="536">
        <v>1134.9000000000001</v>
      </c>
      <c r="D261" s="536">
        <v>933.5</v>
      </c>
      <c r="E261" s="536">
        <v>2427.2999999999997</v>
      </c>
      <c r="F261" s="536">
        <v>2027.4749999999999</v>
      </c>
      <c r="G261" s="536">
        <v>1173.9749999999999</v>
      </c>
      <c r="H261" s="536">
        <v>1649.2571428571428</v>
      </c>
      <c r="I261" s="210"/>
      <c r="J261" s="211"/>
      <c r="K261" s="543"/>
      <c r="L261" s="213"/>
      <c r="M261" s="497"/>
      <c r="N261" s="214"/>
      <c r="O261" s="214"/>
    </row>
    <row r="262" spans="2:17">
      <c r="B262" s="195" t="s">
        <v>121</v>
      </c>
      <c r="C262" s="651">
        <f>Bradley!K133</f>
        <v>6696</v>
      </c>
      <c r="D262" s="651">
        <f>Bradley!L133</f>
        <v>5814</v>
      </c>
      <c r="E262" s="651">
        <f>Bradley!M133</f>
        <v>400</v>
      </c>
      <c r="F262" s="651">
        <f>Bradley!N133</f>
        <v>1681</v>
      </c>
      <c r="G262" s="651">
        <f>Bradley!O133</f>
        <v>7403</v>
      </c>
      <c r="H262" s="651">
        <f>Bradley!P133</f>
        <v>21994</v>
      </c>
      <c r="I262" s="206">
        <v>50000</v>
      </c>
      <c r="J262" s="198">
        <f>-I262+H262</f>
        <v>-28006</v>
      </c>
      <c r="K262" s="541"/>
      <c r="L262" s="200">
        <f>H262</f>
        <v>21994</v>
      </c>
      <c r="M262" s="201">
        <f>Bradley!R133</f>
        <v>1261</v>
      </c>
      <c r="N262" s="202">
        <f>L262-M262</f>
        <v>20733</v>
      </c>
      <c r="O262" s="203">
        <f>Bradley!S133</f>
        <v>0</v>
      </c>
      <c r="P262">
        <f>Bradley!F152+Bradley!F157</f>
        <v>21994</v>
      </c>
      <c r="Q262" s="294">
        <f>H262-P262</f>
        <v>0</v>
      </c>
    </row>
    <row r="263" spans="2:17">
      <c r="B263" s="204" t="s">
        <v>101</v>
      </c>
      <c r="C263" s="531" cm="1">
        <f t="array" ref="C263:C264">Bradley!K136:K137</f>
        <v>0.66666666666666663</v>
      </c>
      <c r="D263" s="531" cm="1">
        <f t="array" ref="D263:D264">Bradley!L136:L137</f>
        <v>0.25</v>
      </c>
      <c r="E263" s="531" cm="1">
        <f t="array" ref="E263:E264">Bradley!M136:M137</f>
        <v>0.16666666666666666</v>
      </c>
      <c r="F263" s="531" cm="1">
        <f t="array" ref="F263:F264">Bradley!N136:N137</f>
        <v>0.2</v>
      </c>
      <c r="G263" s="531" cm="1">
        <f t="array" ref="G263:G264">Bradley!O136:O137</f>
        <v>0.75</v>
      </c>
      <c r="H263" s="531" cm="1">
        <f t="array" ref="H263:H264">Bradley!P136:P137</f>
        <v>0.4</v>
      </c>
      <c r="I263" s="206"/>
      <c r="J263" s="207"/>
      <c r="K263" s="542"/>
      <c r="L263" s="189"/>
      <c r="M263" s="251"/>
      <c r="N263" s="191"/>
      <c r="O263" s="540"/>
    </row>
    <row r="264" spans="2:17">
      <c r="B264" s="226" t="s">
        <v>48</v>
      </c>
      <c r="C264" s="532">
        <v>1674</v>
      </c>
      <c r="D264" s="532">
        <v>5814</v>
      </c>
      <c r="E264" s="532">
        <v>400</v>
      </c>
      <c r="F264" s="532">
        <v>1681</v>
      </c>
      <c r="G264" s="532">
        <v>2467.6666666666665</v>
      </c>
      <c r="H264" s="532">
        <v>2199.4</v>
      </c>
      <c r="I264" s="210"/>
      <c r="J264" s="207"/>
      <c r="K264" s="543"/>
      <c r="L264" s="189"/>
      <c r="M264" s="251"/>
      <c r="N264" s="191"/>
      <c r="O264" s="540"/>
    </row>
    <row r="265" spans="2:17">
      <c r="B265" s="195" t="s">
        <v>116</v>
      </c>
      <c r="C265" s="567">
        <f>Elliot!K388</f>
        <v>6821.9</v>
      </c>
      <c r="D265" s="567">
        <f>Elliot!L388</f>
        <v>681</v>
      </c>
      <c r="E265" s="567">
        <f>Elliot!M388</f>
        <v>16505.099999999999</v>
      </c>
      <c r="F265" s="567">
        <f>Elliot!N388</f>
        <v>4876</v>
      </c>
      <c r="G265" s="567">
        <f>Elliot!O388</f>
        <v>4233</v>
      </c>
      <c r="H265" s="567">
        <f>Elliot!P388</f>
        <v>33117</v>
      </c>
      <c r="I265" s="206">
        <v>50000</v>
      </c>
      <c r="J265" s="198">
        <f>-I265+H265</f>
        <v>-16883</v>
      </c>
      <c r="K265" s="541">
        <f>Elliot!Q388</f>
        <v>8520.5</v>
      </c>
      <c r="L265" s="200">
        <f>H265</f>
        <v>33117</v>
      </c>
      <c r="M265" s="225">
        <f>Elliot!R388</f>
        <v>16476.599999999999</v>
      </c>
      <c r="N265" s="202">
        <f>L265-M265</f>
        <v>16640.400000000001</v>
      </c>
      <c r="O265" s="230">
        <f>Elliot!S388</f>
        <v>7933</v>
      </c>
      <c r="P265">
        <f>Elliot!F409+Elliot!F423+Elliot!F428</f>
        <v>33117</v>
      </c>
      <c r="Q265" s="294">
        <f>H265-P265</f>
        <v>0</v>
      </c>
    </row>
    <row r="266" spans="2:17">
      <c r="B266" s="204" t="s">
        <v>101</v>
      </c>
      <c r="C266" s="531" cm="1">
        <f t="array" ref="C266:C267">Elliot!K391:K392</f>
        <v>0.42857142857142855</v>
      </c>
      <c r="D266" s="531" cm="1">
        <f t="array" ref="D266:D267">Elliot!L391:L392</f>
        <v>0.2</v>
      </c>
      <c r="E266" s="531" cm="1">
        <f t="array" ref="E266:E267">Elliot!M391:M392</f>
        <v>0.5</v>
      </c>
      <c r="F266" s="531" cm="1">
        <f t="array" ref="F266:F267">Elliot!N391:N392</f>
        <v>0.5714285714285714</v>
      </c>
      <c r="G266" s="531" cm="1">
        <f t="array" ref="G266:G267">Elliot!O391:O392</f>
        <v>0.44444444444444442</v>
      </c>
      <c r="H266" s="531" cm="1">
        <f t="array" ref="H266:H267">Elliot!P391:P392</f>
        <v>0.44117647058823528</v>
      </c>
      <c r="I266" s="206"/>
      <c r="J266" s="207"/>
      <c r="K266" s="542" cm="1">
        <f t="array" ref="K266:K267">Elliot!Q391:Q392</f>
        <v>0.4</v>
      </c>
      <c r="L266" s="189"/>
      <c r="M266" s="201"/>
      <c r="N266" s="191"/>
      <c r="O266" s="203"/>
    </row>
    <row r="267" spans="2:17">
      <c r="B267" s="204" t="s">
        <v>48</v>
      </c>
      <c r="C267" s="533">
        <v>2273.9666666666667</v>
      </c>
      <c r="D267" s="533">
        <v>681</v>
      </c>
      <c r="E267" s="533">
        <v>5501.7</v>
      </c>
      <c r="F267" s="533">
        <v>1219</v>
      </c>
      <c r="G267" s="533">
        <v>1058.25</v>
      </c>
      <c r="H267" s="533">
        <v>2207.8000000000002</v>
      </c>
      <c r="I267" s="206"/>
      <c r="J267" s="211"/>
      <c r="K267" s="543">
        <v>4260.25</v>
      </c>
      <c r="L267" s="213"/>
      <c r="M267" s="190"/>
      <c r="N267" s="214"/>
      <c r="O267" s="233"/>
    </row>
    <row r="268" spans="2:17">
      <c r="B268" s="195" t="s">
        <v>112</v>
      </c>
      <c r="C268" s="567">
        <f>'Jarrod - No OT'!K730</f>
        <v>9528</v>
      </c>
      <c r="D268" s="567">
        <f>'Jarrod - No OT'!L730</f>
        <v>2922</v>
      </c>
      <c r="E268" s="567">
        <f>'Jarrod - No OT'!M730</f>
        <v>16009.5</v>
      </c>
      <c r="F268" s="567">
        <f>'Jarrod - No OT'!N730</f>
        <v>1819</v>
      </c>
      <c r="G268" s="567">
        <f>'Jarrod - No OT'!O730</f>
        <v>12517</v>
      </c>
      <c r="H268" s="567">
        <f>'Jarrod - No OT'!P730</f>
        <v>42795.5</v>
      </c>
      <c r="I268" s="197">
        <v>50000</v>
      </c>
      <c r="J268" s="198">
        <f>-I268+H268</f>
        <v>-7204.5</v>
      </c>
      <c r="K268" s="541"/>
      <c r="L268" s="200">
        <f>H268</f>
        <v>42795.5</v>
      </c>
      <c r="M268" s="225">
        <f>'Jarrod - No OT'!R730</f>
        <v>14378</v>
      </c>
      <c r="N268" s="202">
        <f>L268-M268</f>
        <v>28417.5</v>
      </c>
      <c r="O268" s="230">
        <f>'Jarrod - No OT'!S730</f>
        <v>0</v>
      </c>
      <c r="P268">
        <f>'Jarrod - No OT'!F752+'Jarrod - No OT'!F763+'Jarrod - No OT'!F770</f>
        <v>42795.5</v>
      </c>
      <c r="Q268" s="294">
        <f>H268-P268</f>
        <v>0</v>
      </c>
    </row>
    <row r="269" spans="2:17">
      <c r="B269" s="204" t="s">
        <v>101</v>
      </c>
      <c r="C269" s="531" cm="1">
        <f t="array" ref="C269:C270">'Jarrod - No OT'!K733:K734</f>
        <v>0.5714285714285714</v>
      </c>
      <c r="D269" s="531" cm="1">
        <f t="array" ref="D269:D270">'Jarrod - No OT'!L733:L734</f>
        <v>0.5</v>
      </c>
      <c r="E269" s="531" cm="1">
        <f t="array" ref="E269:E270">'Jarrod - No OT'!M733:M734</f>
        <v>0.83333333333333337</v>
      </c>
      <c r="F269" s="531" cm="1">
        <f t="array" ref="F269:F270">'Jarrod - No OT'!N733:N734</f>
        <v>0.33333333333333331</v>
      </c>
      <c r="G269" s="531" cm="1">
        <f t="array" ref="G269:G270">'Jarrod - No OT'!O733:O734</f>
        <v>0.8</v>
      </c>
      <c r="H269" s="531" cm="1">
        <f t="array" ref="H269:H270">'Jarrod - No OT'!P733:P734</f>
        <v>0.6071428571428571</v>
      </c>
      <c r="I269" s="206"/>
      <c r="J269" s="207"/>
      <c r="K269" s="542"/>
      <c r="L269" s="189"/>
      <c r="M269" s="201"/>
      <c r="N269" s="191"/>
      <c r="O269" s="203"/>
    </row>
    <row r="270" spans="2:17">
      <c r="B270" s="204" t="s">
        <v>48</v>
      </c>
      <c r="C270" s="533">
        <v>2382</v>
      </c>
      <c r="D270" s="533">
        <v>1461</v>
      </c>
      <c r="E270" s="533">
        <v>3201.9</v>
      </c>
      <c r="F270" s="533">
        <v>909.5</v>
      </c>
      <c r="G270" s="533">
        <v>3129.25</v>
      </c>
      <c r="H270" s="533">
        <v>2517.3823529411766</v>
      </c>
      <c r="I270" s="210"/>
      <c r="J270" s="211"/>
      <c r="K270" s="543"/>
      <c r="L270" s="213"/>
      <c r="M270" s="190"/>
      <c r="N270" s="214"/>
      <c r="O270" s="233"/>
    </row>
    <row r="271" spans="2:17">
      <c r="B271" s="195" t="s">
        <v>109</v>
      </c>
      <c r="C271" s="567">
        <f>Liam!K857</f>
        <v>3304</v>
      </c>
      <c r="D271" s="567">
        <f>Liam!L857</f>
        <v>9328</v>
      </c>
      <c r="E271" s="567">
        <f>Liam!M857</f>
        <v>6214</v>
      </c>
      <c r="F271" s="567">
        <f>Liam!N857</f>
        <v>15086.9</v>
      </c>
      <c r="G271" s="567">
        <f>Liam!O857</f>
        <v>21150</v>
      </c>
      <c r="H271" s="567">
        <f>Liam!P857</f>
        <v>55082.9</v>
      </c>
      <c r="I271" s="197">
        <v>50000</v>
      </c>
      <c r="J271" s="198">
        <f>-I271+H271</f>
        <v>5082.9000000000015</v>
      </c>
      <c r="K271" s="541"/>
      <c r="L271" s="200">
        <f>H271</f>
        <v>55082.9</v>
      </c>
      <c r="M271" s="225">
        <f>Liam!R857</f>
        <v>43356</v>
      </c>
      <c r="N271" s="202">
        <f>L271-M271</f>
        <v>11726.900000000001</v>
      </c>
      <c r="O271" s="230">
        <f>Liam!S857</f>
        <v>0</v>
      </c>
      <c r="P271">
        <f>Liam!F876+Liam!F886+Liam!F892</f>
        <v>55082.9</v>
      </c>
      <c r="Q271" s="294">
        <f>H271-P271</f>
        <v>0</v>
      </c>
    </row>
    <row r="272" spans="2:17">
      <c r="B272" s="204" t="s">
        <v>101</v>
      </c>
      <c r="C272" s="531" cm="1">
        <f t="array" ref="C272:C273">Liam!K860:K861</f>
        <v>0.3</v>
      </c>
      <c r="D272" s="531" cm="1">
        <f t="array" ref="D272:D273">Liam!L860:L861</f>
        <v>0.375</v>
      </c>
      <c r="E272" s="531" cm="1">
        <f t="array" ref="E272:E273">Liam!M860:M861</f>
        <v>0.4</v>
      </c>
      <c r="F272" s="531" cm="1">
        <f t="array" ref="F272:F273">Liam!N860:N861</f>
        <v>0.3</v>
      </c>
      <c r="G272" s="531" cm="1">
        <f t="array" ref="G272:G273">Liam!O860:O861</f>
        <v>0.42857142857142855</v>
      </c>
      <c r="H272" s="531" cm="1">
        <f t="array" ref="H272:H273">Liam!P860:P861</f>
        <v>0.35</v>
      </c>
      <c r="I272" s="206"/>
      <c r="J272" s="207"/>
      <c r="K272" s="542"/>
      <c r="L272" s="189"/>
      <c r="M272" s="201"/>
      <c r="N272" s="191"/>
      <c r="O272" s="203"/>
    </row>
    <row r="273" spans="2:17">
      <c r="B273" s="204" t="s">
        <v>48</v>
      </c>
      <c r="C273" s="533">
        <v>1101.3333333333333</v>
      </c>
      <c r="D273" s="533">
        <v>3109.3333333333335</v>
      </c>
      <c r="E273" s="533">
        <v>3107</v>
      </c>
      <c r="F273" s="533">
        <v>5028.9666666666662</v>
      </c>
      <c r="G273" s="533">
        <v>7050</v>
      </c>
      <c r="H273" s="533">
        <v>3934.4928571428572</v>
      </c>
      <c r="I273" s="210"/>
      <c r="J273" s="211"/>
      <c r="K273" s="543"/>
      <c r="L273" s="213"/>
      <c r="M273" s="190"/>
      <c r="N273" s="214"/>
      <c r="O273" s="233"/>
    </row>
    <row r="274" spans="2:17">
      <c r="B274" s="195" t="s">
        <v>117</v>
      </c>
      <c r="C274" s="567"/>
      <c r="D274" s="567">
        <f>'Rhys C'!L478</f>
        <v>1751</v>
      </c>
      <c r="E274" s="567">
        <f>'Rhys C'!M478</f>
        <v>7137.9</v>
      </c>
      <c r="F274" s="567">
        <f>'Rhys C'!N478</f>
        <v>2819</v>
      </c>
      <c r="G274" s="567">
        <f>'Rhys C'!O478</f>
        <v>30692</v>
      </c>
      <c r="H274" s="567">
        <f>'Rhys C'!P478</f>
        <v>42399.9</v>
      </c>
      <c r="I274" s="197">
        <v>50000</v>
      </c>
      <c r="J274" s="198">
        <f>-I274+H274</f>
        <v>-7600.0999999999985</v>
      </c>
      <c r="K274" s="541"/>
      <c r="L274" s="200">
        <f>H274</f>
        <v>42399.9</v>
      </c>
      <c r="M274" s="225">
        <f>'Rhys C'!R478</f>
        <v>18314</v>
      </c>
      <c r="N274" s="202">
        <f>L274-M274</f>
        <v>24085.9</v>
      </c>
      <c r="O274" s="230">
        <f>'Rhys C'!S478</f>
        <v>0</v>
      </c>
      <c r="P274">
        <f>'Rhys C'!F498+'Rhys C'!F505+'Rhys C'!F509</f>
        <v>42399.9</v>
      </c>
      <c r="Q274" s="294">
        <f>H274-P274</f>
        <v>0</v>
      </c>
    </row>
    <row r="275" spans="2:17">
      <c r="B275" s="204" t="s">
        <v>101</v>
      </c>
      <c r="C275" s="531"/>
      <c r="D275" s="531" cm="1">
        <f t="array" ref="D275:D276">'Rhys C'!L481:L482</f>
        <v>0.25</v>
      </c>
      <c r="E275" s="531" cm="1">
        <f t="array" ref="E275:E276">'Rhys C'!M481:M482</f>
        <v>0.5</v>
      </c>
      <c r="F275" s="531" cm="1">
        <f t="array" ref="F275:F276">'Rhys C'!N481:N482</f>
        <v>0.3</v>
      </c>
      <c r="G275" s="531" cm="1">
        <f t="array" ref="G275:G276">'Rhys C'!O481:O482</f>
        <v>0.66666666666666663</v>
      </c>
      <c r="H275" s="531" cm="1">
        <f t="array" ref="H275:H276">'Rhys C'!P481:P482</f>
        <v>0.42424242424242425</v>
      </c>
      <c r="I275" s="206"/>
      <c r="J275" s="207"/>
      <c r="K275" s="542"/>
      <c r="L275" s="189"/>
      <c r="M275" s="201"/>
      <c r="N275" s="191"/>
      <c r="O275" s="203"/>
    </row>
    <row r="276" spans="2:17">
      <c r="B276" s="204" t="s">
        <v>48</v>
      </c>
      <c r="C276" s="533"/>
      <c r="D276" s="533">
        <v>875.5</v>
      </c>
      <c r="E276" s="533">
        <v>2379.2999999999997</v>
      </c>
      <c r="F276" s="533">
        <v>939.66666666666663</v>
      </c>
      <c r="G276" s="533">
        <v>5115.333333333333</v>
      </c>
      <c r="H276" s="533">
        <v>3028.5642857142857</v>
      </c>
      <c r="I276" s="210"/>
      <c r="J276" s="211"/>
      <c r="K276" s="543"/>
      <c r="L276" s="213"/>
      <c r="M276" s="190"/>
      <c r="N276" s="214"/>
      <c r="O276" s="233"/>
    </row>
    <row r="277" spans="2:17">
      <c r="B277" s="195" t="s">
        <v>107</v>
      </c>
      <c r="C277" s="567">
        <f>'Shaun - No OT'!K785</f>
        <v>9809.2000000000007</v>
      </c>
      <c r="D277" s="567">
        <f>'Shaun - No OT'!L785</f>
        <v>13641.4</v>
      </c>
      <c r="E277" s="567">
        <f>'Shaun - No OT'!M785</f>
        <v>11802</v>
      </c>
      <c r="F277" s="567">
        <f>'Shaun - No OT'!N785</f>
        <v>4484</v>
      </c>
      <c r="G277" s="567">
        <f>'Shaun - No OT'!O785</f>
        <v>7210.4</v>
      </c>
      <c r="H277" s="567">
        <f>'Shaun - No OT'!P785</f>
        <v>46947</v>
      </c>
      <c r="I277" s="197">
        <v>50000</v>
      </c>
      <c r="J277" s="198">
        <f>-I277+H277</f>
        <v>-3053</v>
      </c>
      <c r="K277" s="541"/>
      <c r="L277" s="200">
        <f>H277</f>
        <v>46947</v>
      </c>
      <c r="M277" s="225">
        <f>'Shaun - No OT'!R785</f>
        <v>2261</v>
      </c>
      <c r="N277" s="202">
        <f>L277-M277</f>
        <v>44686</v>
      </c>
      <c r="O277" s="230">
        <f>'Shaun - No OT'!S785</f>
        <v>0</v>
      </c>
      <c r="P277">
        <f>'Shaun - No OT'!F819+'Shaun - No OT'!F830</f>
        <v>46947</v>
      </c>
      <c r="Q277" s="294">
        <f>H277-P277</f>
        <v>0</v>
      </c>
    </row>
    <row r="278" spans="2:17">
      <c r="B278" s="204" t="s">
        <v>101</v>
      </c>
      <c r="C278" s="531" cm="1">
        <f t="array" ref="C278:C279">'Shaun - No OT'!K788:K789</f>
        <v>0.54545454545454541</v>
      </c>
      <c r="D278" s="531" cm="1">
        <f t="array" ref="D278:D279">'Shaun - No OT'!L788:L789</f>
        <v>0.83333333333333337</v>
      </c>
      <c r="E278" s="531" cm="1">
        <f t="array" ref="E278:E279">'Shaun - No OT'!M788:M789</f>
        <v>0.45454545454545453</v>
      </c>
      <c r="F278" s="531" cm="1">
        <f t="array" ref="F278:F279">'Shaun - No OT'!N788:N789</f>
        <v>0.5714285714285714</v>
      </c>
      <c r="G278" s="531" cm="1">
        <f t="array" ref="G278:G279">'Shaun - No OT'!O788:O789</f>
        <v>0.7142857142857143</v>
      </c>
      <c r="H278" s="531" cm="1">
        <f t="array" ref="H278:H279">'Shaun - No OT'!P788:P789</f>
        <v>0.59523809523809523</v>
      </c>
      <c r="I278" s="206"/>
      <c r="J278" s="207"/>
      <c r="K278" s="542"/>
      <c r="L278" s="189"/>
      <c r="M278" s="201"/>
      <c r="N278" s="191"/>
      <c r="O278" s="203"/>
    </row>
    <row r="279" spans="2:17">
      <c r="B279" s="204" t="s">
        <v>48</v>
      </c>
      <c r="C279" s="533">
        <v>1634.8666666666668</v>
      </c>
      <c r="D279" s="533">
        <v>2728.2799999999997</v>
      </c>
      <c r="E279" s="533">
        <v>2360.4</v>
      </c>
      <c r="F279" s="533">
        <v>1121</v>
      </c>
      <c r="G279" s="533">
        <v>1442.08</v>
      </c>
      <c r="H279" s="533">
        <v>1877.88</v>
      </c>
      <c r="I279" s="210"/>
      <c r="J279" s="211"/>
      <c r="K279" s="543"/>
      <c r="L279" s="213"/>
      <c r="M279" s="190"/>
      <c r="N279" s="214"/>
      <c r="O279" s="233"/>
    </row>
    <row r="280" spans="2:17">
      <c r="B280" s="237" t="s">
        <v>102</v>
      </c>
      <c r="C280" s="238">
        <f>C259+C262+C265+C268+C271+C274+C277</f>
        <v>37294</v>
      </c>
      <c r="D280" s="238">
        <f t="shared" ref="D280:O280" si="8">D259+D262+D265+D268+D271+D274+D277</f>
        <v>36004.400000000001</v>
      </c>
      <c r="E280" s="238">
        <f t="shared" si="8"/>
        <v>65350.400000000001</v>
      </c>
      <c r="F280" s="238">
        <f t="shared" si="8"/>
        <v>38875.800000000003</v>
      </c>
      <c r="G280" s="238">
        <f t="shared" si="8"/>
        <v>87901.299999999988</v>
      </c>
      <c r="H280" s="239">
        <f t="shared" si="8"/>
        <v>265425.90000000002</v>
      </c>
      <c r="I280" s="238">
        <f t="shared" si="8"/>
        <v>350000</v>
      </c>
      <c r="J280" s="240">
        <f t="shared" si="8"/>
        <v>-84574.1</v>
      </c>
      <c r="K280" s="241">
        <f t="shared" si="8"/>
        <v>8520.5</v>
      </c>
      <c r="L280" s="239">
        <f t="shared" si="8"/>
        <v>265425.90000000002</v>
      </c>
      <c r="M280" s="240">
        <f t="shared" si="8"/>
        <v>102260.6</v>
      </c>
      <c r="N280" s="241">
        <f t="shared" si="8"/>
        <v>163165.29999999999</v>
      </c>
      <c r="O280" s="240">
        <f t="shared" si="8"/>
        <v>7933</v>
      </c>
    </row>
    <row r="281" spans="2:17">
      <c r="B281" s="244" t="s">
        <v>103</v>
      </c>
      <c r="C281" s="244"/>
      <c r="D281" s="244"/>
      <c r="E281" s="244"/>
      <c r="F281" s="244"/>
      <c r="G281" s="244"/>
      <c r="H281" s="245">
        <f>H280+K280</f>
        <v>273946.40000000002</v>
      </c>
      <c r="I281" s="246">
        <f>I280+J280</f>
        <v>265425.90000000002</v>
      </c>
      <c r="J281" s="247"/>
      <c r="K281" s="248"/>
      <c r="L281" s="249"/>
      <c r="M281" s="250">
        <f>L280-N280</f>
        <v>102260.60000000003</v>
      </c>
      <c r="N281" s="251"/>
      <c r="O281" s="201"/>
    </row>
    <row r="284" spans="2:17">
      <c r="B284" s="171" t="s">
        <v>119</v>
      </c>
      <c r="C284" s="172">
        <v>45914</v>
      </c>
      <c r="D284" s="173"/>
      <c r="E284" s="173"/>
      <c r="F284" s="173"/>
      <c r="G284" s="173"/>
      <c r="H284" s="173"/>
      <c r="I284" s="174" t="s">
        <v>88</v>
      </c>
      <c r="J284" s="175"/>
      <c r="K284" s="176"/>
      <c r="L284" s="177"/>
      <c r="M284" s="178"/>
      <c r="N284" s="179" t="s">
        <v>89</v>
      </c>
      <c r="O284" s="180" t="s">
        <v>29</v>
      </c>
    </row>
    <row r="285" spans="2:17">
      <c r="B285" s="630"/>
      <c r="C285" s="288" t="s">
        <v>91</v>
      </c>
      <c r="D285" s="289" t="s">
        <v>92</v>
      </c>
      <c r="E285" s="289" t="s">
        <v>93</v>
      </c>
      <c r="F285" s="289" t="s">
        <v>94</v>
      </c>
      <c r="G285" s="290" t="s">
        <v>95</v>
      </c>
      <c r="H285" s="290" t="s">
        <v>96</v>
      </c>
      <c r="I285" s="631" t="s">
        <v>97</v>
      </c>
      <c r="J285" s="632" t="s">
        <v>98</v>
      </c>
      <c r="K285" s="633" t="s">
        <v>29</v>
      </c>
      <c r="L285" s="634" t="s">
        <v>89</v>
      </c>
      <c r="M285" s="635" t="s">
        <v>99</v>
      </c>
      <c r="N285" s="636" t="s">
        <v>100</v>
      </c>
      <c r="O285" s="637" t="s">
        <v>99</v>
      </c>
    </row>
    <row r="286" spans="2:17">
      <c r="B286" s="195" t="s">
        <v>112</v>
      </c>
      <c r="C286" s="651">
        <f>'Jarrod - No OT'!K825</f>
        <v>4495</v>
      </c>
      <c r="D286" s="651">
        <f>'Jarrod - No OT'!L825</f>
        <v>30827</v>
      </c>
      <c r="E286" s="651">
        <f>'Jarrod - No OT'!M825</f>
        <v>1908.6</v>
      </c>
      <c r="F286" s="651">
        <f>'Jarrod - No OT'!N825</f>
        <v>8952</v>
      </c>
      <c r="G286" s="651"/>
      <c r="H286" s="651">
        <f>'Jarrod - No OT'!P825</f>
        <v>46182.6</v>
      </c>
      <c r="I286" s="681">
        <v>50000</v>
      </c>
      <c r="J286" s="682">
        <f>-I286+H286</f>
        <v>-3817.4000000000015</v>
      </c>
      <c r="K286" s="541">
        <f>'Jarrod - No OT'!Q825</f>
        <v>0</v>
      </c>
      <c r="L286" s="658">
        <f>H286</f>
        <v>46182.6</v>
      </c>
      <c r="M286" s="659">
        <f>'Jarrod - No OT'!R825</f>
        <v>9628</v>
      </c>
      <c r="N286" s="660">
        <f>L286-M286</f>
        <v>36554.6</v>
      </c>
      <c r="O286" s="661">
        <f>'Jarrod - No OT'!S825</f>
        <v>0</v>
      </c>
      <c r="P286">
        <f>'Jarrod - No OT'!F847+'Jarrod - No OT'!F862+'Jarrod - No OT'!F866</f>
        <v>46182.6</v>
      </c>
      <c r="Q286" s="294">
        <f>H286-P286</f>
        <v>0</v>
      </c>
    </row>
    <row r="287" spans="2:17">
      <c r="B287" s="204" t="s">
        <v>101</v>
      </c>
      <c r="C287" s="531" cm="1">
        <f t="array" ref="C287:C288">'Jarrod - No OT'!K828:K829</f>
        <v>0.5</v>
      </c>
      <c r="D287" s="531" cm="1">
        <f t="array" ref="D287:D288">'Jarrod - No OT'!L828:L829</f>
        <v>1</v>
      </c>
      <c r="E287" s="531" cm="1">
        <f t="array" ref="E287:E288">'Jarrod - No OT'!M828:M829</f>
        <v>1</v>
      </c>
      <c r="F287" s="531" cm="1">
        <f t="array" ref="F287:F288">'Jarrod - No OT'!N828:N829</f>
        <v>0.5714285714285714</v>
      </c>
      <c r="G287" s="531"/>
      <c r="H287" s="531" cm="1">
        <f t="array" ref="H287:H288">'Jarrod - No OT'!P828:P829</f>
        <v>0.59090909090909094</v>
      </c>
      <c r="I287" s="683"/>
      <c r="J287" s="684"/>
      <c r="K287" s="542"/>
      <c r="L287" s="662"/>
      <c r="M287" s="659"/>
      <c r="N287" s="663"/>
      <c r="O287" s="661"/>
    </row>
    <row r="288" spans="2:17">
      <c r="B288" s="226" t="s">
        <v>48</v>
      </c>
      <c r="C288" s="536">
        <v>2247.5</v>
      </c>
      <c r="D288" s="536">
        <v>6165.4</v>
      </c>
      <c r="E288" s="536">
        <v>954.3</v>
      </c>
      <c r="F288" s="536">
        <v>2238</v>
      </c>
      <c r="G288" s="536"/>
      <c r="H288" s="536">
        <v>3552.5076923076922</v>
      </c>
      <c r="I288" s="685"/>
      <c r="J288" s="686"/>
      <c r="K288" s="543"/>
      <c r="L288" s="664"/>
      <c r="M288" s="687"/>
      <c r="N288" s="665"/>
      <c r="O288" s="665"/>
    </row>
    <row r="289" spans="2:17">
      <c r="B289" s="195" t="s">
        <v>107</v>
      </c>
      <c r="C289" s="651">
        <f>'Shaun - No OT'!K883</f>
        <v>9887.6</v>
      </c>
      <c r="D289" s="651">
        <f>'Shaun - No OT'!L883</f>
        <v>34137.9</v>
      </c>
      <c r="E289" s="651">
        <f>'Shaun - No OT'!M883</f>
        <v>3851.9</v>
      </c>
      <c r="F289" s="651">
        <f>'Shaun - No OT'!N883</f>
        <v>25872.800000000003</v>
      </c>
      <c r="G289" s="651">
        <f>'Shaun - No OT'!O883</f>
        <v>7814</v>
      </c>
      <c r="H289" s="651">
        <f>'Shaun - No OT'!P883</f>
        <v>81564.200000000012</v>
      </c>
      <c r="I289" s="683">
        <v>50000</v>
      </c>
      <c r="J289" s="682">
        <f>-I289+H289</f>
        <v>31564.200000000012</v>
      </c>
      <c r="K289" s="541"/>
      <c r="L289" s="658">
        <f>H289</f>
        <v>81564.200000000012</v>
      </c>
      <c r="M289" s="659">
        <f>'Shaun - No OT'!R883</f>
        <v>54071.700000000004</v>
      </c>
      <c r="N289" s="660">
        <f>L289-M289</f>
        <v>27492.500000000007</v>
      </c>
      <c r="O289" s="661">
        <f>'Shaun - No OT'!S883</f>
        <v>0</v>
      </c>
      <c r="P289">
        <f>'Shaun - No OT'!F906+'Shaun - No OT'!F918+'Shaun - No OT'!F924</f>
        <v>81564.200000000012</v>
      </c>
      <c r="Q289" s="294">
        <f>H289-P289</f>
        <v>0</v>
      </c>
    </row>
    <row r="290" spans="2:17">
      <c r="B290" s="204" t="s">
        <v>101</v>
      </c>
      <c r="C290" s="531" cm="1">
        <f t="array" ref="C290:C291">'Shaun - No OT'!K886:K887</f>
        <v>0.5</v>
      </c>
      <c r="D290" s="531" cm="1">
        <f t="array" ref="D290:D291">'Shaun - No OT'!L886:L887</f>
        <v>0.7</v>
      </c>
      <c r="E290" s="531" cm="1">
        <f t="array" ref="E290:E291">'Shaun - No OT'!M886:M887</f>
        <v>0.5</v>
      </c>
      <c r="F290" s="531" cm="1">
        <f t="array" ref="F290:F291">'Shaun - No OT'!N886:N887</f>
        <v>0.55555555555555558</v>
      </c>
      <c r="G290" s="531" cm="1">
        <f t="array" ref="G290:G291">'Shaun - No OT'!O886:O887</f>
        <v>0.33333333333333331</v>
      </c>
      <c r="H290" s="531" cm="1">
        <f t="array" ref="H290:H291">'Shaun - No OT'!P886:P887</f>
        <v>0.55882352941176472</v>
      </c>
      <c r="I290" s="683"/>
      <c r="J290" s="684"/>
      <c r="K290" s="542"/>
      <c r="L290" s="662"/>
      <c r="M290" s="688"/>
      <c r="N290" s="663"/>
      <c r="O290" s="689"/>
    </row>
    <row r="291" spans="2:17">
      <c r="B291" s="226" t="s">
        <v>48</v>
      </c>
      <c r="C291" s="532">
        <v>3295.8666666666668</v>
      </c>
      <c r="D291" s="532">
        <v>4876.8428571428576</v>
      </c>
      <c r="E291" s="532">
        <v>1283.9666666666667</v>
      </c>
      <c r="F291" s="532">
        <v>5174.5600000000004</v>
      </c>
      <c r="G291" s="532">
        <v>7814</v>
      </c>
      <c r="H291" s="532">
        <v>4292.8526315789477</v>
      </c>
      <c r="I291" s="685"/>
      <c r="J291" s="684"/>
      <c r="K291" s="543"/>
      <c r="L291" s="662"/>
      <c r="M291" s="688"/>
      <c r="N291" s="663"/>
      <c r="O291" s="689"/>
    </row>
    <row r="292" spans="2:17">
      <c r="B292" s="195" t="s">
        <v>106</v>
      </c>
      <c r="C292" s="567">
        <f>'Ben - No OT'!K961</f>
        <v>5617</v>
      </c>
      <c r="D292" s="567">
        <f>'Ben - No OT'!L961</f>
        <v>1561</v>
      </c>
      <c r="E292" s="567">
        <f>'Ben - No OT'!M961</f>
        <v>2734</v>
      </c>
      <c r="F292" s="567">
        <f>'Ben - No OT'!N961</f>
        <v>4563.8999999999996</v>
      </c>
      <c r="G292" s="567">
        <f>'Ben - No OT'!O961</f>
        <v>5977</v>
      </c>
      <c r="H292" s="567">
        <f>'Ben - No OT'!P961</f>
        <v>20452.900000000001</v>
      </c>
      <c r="I292" s="683">
        <v>50000</v>
      </c>
      <c r="J292" s="682">
        <f>-I292+H292</f>
        <v>-29547.1</v>
      </c>
      <c r="K292" s="541"/>
      <c r="L292" s="658">
        <f>H292</f>
        <v>20452.900000000001</v>
      </c>
      <c r="M292" s="675">
        <f>'Ben - No OT'!R961</f>
        <v>4461</v>
      </c>
      <c r="N292" s="660">
        <f>L292-M292</f>
        <v>15991.900000000001</v>
      </c>
      <c r="O292" s="676">
        <f>'Ben - No OT'!S961</f>
        <v>0</v>
      </c>
      <c r="P292">
        <f>'Ben - No OT'!F983+'Ben - No OT'!F996</f>
        <v>20452.900000000001</v>
      </c>
      <c r="Q292" s="294">
        <f>H292-P292</f>
        <v>0</v>
      </c>
    </row>
    <row r="293" spans="2:17">
      <c r="B293" s="204" t="s">
        <v>101</v>
      </c>
      <c r="C293" s="531" cm="1">
        <f t="array" ref="C293:C294">'Ben - No OT'!K964:K965</f>
        <v>0.75</v>
      </c>
      <c r="D293" s="531" cm="1">
        <f t="array" ref="D293:D294">'Ben - No OT'!L964:L965</f>
        <v>0.33333333333333331</v>
      </c>
      <c r="E293" s="531" cm="1">
        <f t="array" ref="E293:E294">'Ben - No OT'!M964:M965</f>
        <v>0.5</v>
      </c>
      <c r="F293" s="531" cm="1">
        <f t="array" ref="F293:F294">'Ben - No OT'!N964:N965</f>
        <v>0.6</v>
      </c>
      <c r="G293" s="531" cm="1">
        <f t="array" ref="G293:G294">'Ben - No OT'!O964:O965</f>
        <v>0.75</v>
      </c>
      <c r="H293" s="531" cm="1">
        <f t="array" ref="H293:H294">'Ben - No OT'!P964:P965</f>
        <v>0.56521739130434778</v>
      </c>
      <c r="I293" s="683"/>
      <c r="J293" s="684"/>
      <c r="K293" s="542"/>
      <c r="L293" s="662"/>
      <c r="M293" s="659"/>
      <c r="N293" s="663"/>
      <c r="O293" s="661"/>
    </row>
    <row r="294" spans="2:17">
      <c r="B294" s="204" t="s">
        <v>48</v>
      </c>
      <c r="C294" s="533">
        <v>1872.3333333333333</v>
      </c>
      <c r="D294" s="533">
        <v>780.5</v>
      </c>
      <c r="E294" s="533">
        <v>1367</v>
      </c>
      <c r="F294" s="533">
        <v>1521.3</v>
      </c>
      <c r="G294" s="533">
        <v>1992.3333333333333</v>
      </c>
      <c r="H294" s="533">
        <v>1573.3000000000002</v>
      </c>
      <c r="I294" s="683"/>
      <c r="J294" s="686"/>
      <c r="K294" s="543"/>
      <c r="L294" s="664"/>
      <c r="M294" s="677"/>
      <c r="N294" s="665"/>
      <c r="O294" s="678"/>
    </row>
    <row r="295" spans="2:17">
      <c r="B295" s="195" t="s">
        <v>121</v>
      </c>
      <c r="C295" s="567">
        <f>Bradley!K200</f>
        <v>1542</v>
      </c>
      <c r="D295" s="567">
        <f>Bradley!L200</f>
        <v>6533</v>
      </c>
      <c r="E295" s="567">
        <f>Bradley!M200</f>
        <v>1138</v>
      </c>
      <c r="F295" s="567">
        <f>Bradley!N200</f>
        <v>23915</v>
      </c>
      <c r="G295" s="567">
        <f>Bradley!O200</f>
        <v>5190</v>
      </c>
      <c r="H295" s="567">
        <f>Bradley!P200</f>
        <v>38318</v>
      </c>
      <c r="I295" s="681">
        <v>50000</v>
      </c>
      <c r="J295" s="682">
        <f>-I295+H295</f>
        <v>-11682</v>
      </c>
      <c r="K295" s="541"/>
      <c r="L295" s="658">
        <f>H295</f>
        <v>38318</v>
      </c>
      <c r="M295" s="675">
        <f>Bradley!R200</f>
        <v>15814</v>
      </c>
      <c r="N295" s="660">
        <f>L295-M295</f>
        <v>22504</v>
      </c>
      <c r="O295" s="676">
        <f>Bradley!S200</f>
        <v>0</v>
      </c>
      <c r="P295">
        <f>Bradley!F225+Bradley!F231</f>
        <v>38318</v>
      </c>
      <c r="Q295" s="294">
        <f>H295-P295</f>
        <v>0</v>
      </c>
    </row>
    <row r="296" spans="2:17">
      <c r="B296" s="204" t="s">
        <v>101</v>
      </c>
      <c r="C296" s="531" cm="1">
        <f t="array" ref="C296:C297">Bradley!K203:K204</f>
        <v>0.4</v>
      </c>
      <c r="D296" s="531" cm="1">
        <f t="array" ref="D296:D297">Bradley!L203:L204</f>
        <v>0.625</v>
      </c>
      <c r="E296" s="531" cm="1">
        <f t="array" ref="E296:E297">Bradley!M203:M204</f>
        <v>0.16666666666666666</v>
      </c>
      <c r="F296" s="531" cm="1">
        <f t="array" ref="F296:F297">Bradley!N203:N204</f>
        <v>1</v>
      </c>
      <c r="G296" s="531" cm="1">
        <f t="array" ref="G296:G297">Bradley!O203:O204</f>
        <v>0.5</v>
      </c>
      <c r="H296" s="531" cm="1">
        <f t="array" ref="H296:H297">Bradley!P203:P204</f>
        <v>0.54838709677419351</v>
      </c>
      <c r="I296" s="683"/>
      <c r="J296" s="684"/>
      <c r="K296" s="542"/>
      <c r="L296" s="662"/>
      <c r="M296" s="659"/>
      <c r="N296" s="663"/>
      <c r="O296" s="661"/>
    </row>
    <row r="297" spans="2:17">
      <c r="B297" s="204" t="s">
        <v>48</v>
      </c>
      <c r="C297" s="533">
        <v>771</v>
      </c>
      <c r="D297" s="533">
        <v>1306.5999999999999</v>
      </c>
      <c r="E297" s="533">
        <v>1138</v>
      </c>
      <c r="F297" s="533">
        <v>3985.8333333333335</v>
      </c>
      <c r="G297" s="533">
        <v>1730</v>
      </c>
      <c r="H297" s="533">
        <v>2254</v>
      </c>
      <c r="I297" s="685"/>
      <c r="J297" s="686"/>
      <c r="K297" s="543"/>
      <c r="L297" s="664"/>
      <c r="M297" s="677"/>
      <c r="N297" s="665"/>
      <c r="O297" s="678"/>
    </row>
    <row r="298" spans="2:17">
      <c r="B298" s="195" t="s">
        <v>116</v>
      </c>
      <c r="C298" s="567">
        <f>Elliot!K491</f>
        <v>7322</v>
      </c>
      <c r="D298" s="567">
        <f>Elliot!L491</f>
        <v>21125.599999999999</v>
      </c>
      <c r="E298" s="567">
        <f>Elliot!M491</f>
        <v>1181</v>
      </c>
      <c r="F298" s="567">
        <f>Elliot!N491</f>
        <v>3722</v>
      </c>
      <c r="G298" s="567">
        <f>Elliot!O491</f>
        <v>1093.5</v>
      </c>
      <c r="H298" s="567">
        <f>Elliot!P491</f>
        <v>34444.1</v>
      </c>
      <c r="I298" s="681">
        <v>50000</v>
      </c>
      <c r="J298" s="682">
        <f>-I298+H298</f>
        <v>-15555.900000000001</v>
      </c>
      <c r="K298" s="541"/>
      <c r="L298" s="658">
        <f>H298</f>
        <v>34444.1</v>
      </c>
      <c r="M298" s="675">
        <f>Elliot!R491</f>
        <v>16853.599999999999</v>
      </c>
      <c r="N298" s="660">
        <f>L298-M298</f>
        <v>17590.5</v>
      </c>
      <c r="O298" s="676">
        <f>Elliot!S491</f>
        <v>0</v>
      </c>
      <c r="P298">
        <f>Elliot!F512+Elliot!F525+Elliot!F529</f>
        <v>34444.1</v>
      </c>
      <c r="Q298" s="294">
        <f>H298-P298</f>
        <v>0</v>
      </c>
    </row>
    <row r="299" spans="2:17">
      <c r="B299" s="204" t="s">
        <v>101</v>
      </c>
      <c r="C299" s="531" cm="1">
        <f t="array" ref="C299:C300">Elliot!K494:K495</f>
        <v>0.375</v>
      </c>
      <c r="D299" s="531" cm="1">
        <f t="array" ref="D299:D300">Elliot!L494:L495</f>
        <v>0.5714285714285714</v>
      </c>
      <c r="E299" s="531" cm="1">
        <f t="array" ref="E299:E300">Elliot!M494:M495</f>
        <v>0.2857142857142857</v>
      </c>
      <c r="F299" s="531" cm="1">
        <f t="array" ref="F299:F300">Elliot!N494:N495</f>
        <v>0.33333333333333331</v>
      </c>
      <c r="G299" s="531" cm="1">
        <f t="array" ref="G299:G300">Elliot!O494:O495</f>
        <v>0.22222222222222221</v>
      </c>
      <c r="H299" s="531" cm="1">
        <f t="array" ref="H299:H300">Elliot!P494:P495</f>
        <v>0.35135135135135137</v>
      </c>
      <c r="I299" s="683"/>
      <c r="J299" s="684"/>
      <c r="K299" s="542"/>
      <c r="L299" s="662"/>
      <c r="M299" s="659"/>
      <c r="N299" s="663"/>
      <c r="O299" s="661"/>
    </row>
    <row r="300" spans="2:17">
      <c r="B300" s="204" t="s">
        <v>48</v>
      </c>
      <c r="C300" s="533">
        <v>2440.6666666666665</v>
      </c>
      <c r="D300" s="533">
        <v>5281.4</v>
      </c>
      <c r="E300" s="533">
        <v>590.5</v>
      </c>
      <c r="F300" s="533">
        <v>1861</v>
      </c>
      <c r="G300" s="533">
        <v>546.75</v>
      </c>
      <c r="H300" s="533">
        <v>2649.5461538461536</v>
      </c>
      <c r="I300" s="685"/>
      <c r="J300" s="686"/>
      <c r="K300" s="543"/>
      <c r="L300" s="664"/>
      <c r="M300" s="677"/>
      <c r="N300" s="665"/>
      <c r="O300" s="678"/>
    </row>
    <row r="301" spans="2:17">
      <c r="B301" s="195" t="s">
        <v>109</v>
      </c>
      <c r="C301" s="567">
        <f>Liam!K955</f>
        <v>2892</v>
      </c>
      <c r="D301" s="567">
        <f>Liam!L955</f>
        <v>1138</v>
      </c>
      <c r="E301" s="567">
        <f>Liam!M955</f>
        <v>6818</v>
      </c>
      <c r="F301" s="567">
        <f>Liam!N955</f>
        <v>4227</v>
      </c>
      <c r="G301" s="567"/>
      <c r="H301" s="567">
        <f>Liam!P955</f>
        <v>15075</v>
      </c>
      <c r="I301" s="681">
        <v>50000</v>
      </c>
      <c r="J301" s="682">
        <f>-I301+H301</f>
        <v>-34925</v>
      </c>
      <c r="K301" s="541">
        <f>Liam!Q955</f>
        <v>681</v>
      </c>
      <c r="L301" s="658">
        <f>H301</f>
        <v>15075</v>
      </c>
      <c r="M301" s="675">
        <f>Liam!R955</f>
        <v>1661</v>
      </c>
      <c r="N301" s="660">
        <f>L301-M301</f>
        <v>13414</v>
      </c>
      <c r="O301" s="676">
        <f>Liam!S955</f>
        <v>0</v>
      </c>
      <c r="P301">
        <f>Liam!F972+Liam!F981+Liam!F985</f>
        <v>15075</v>
      </c>
      <c r="Q301" s="294">
        <f>H301-P301</f>
        <v>0</v>
      </c>
    </row>
    <row r="302" spans="2:17">
      <c r="B302" s="204" t="s">
        <v>101</v>
      </c>
      <c r="C302" s="531" cm="1">
        <f t="array" ref="C302:C303">Liam!K958:K959</f>
        <v>1</v>
      </c>
      <c r="D302" s="531" cm="1">
        <f t="array" ref="D302:D303">Liam!L958:L959</f>
        <v>0.25</v>
      </c>
      <c r="E302" s="531" cm="1">
        <f t="array" ref="E302:E303">Liam!M958:M959</f>
        <v>1</v>
      </c>
      <c r="F302" s="531" cm="1">
        <f t="array" ref="F302:F303">Liam!N958:N959</f>
        <v>0.4</v>
      </c>
      <c r="G302" s="531"/>
      <c r="H302" s="531" cm="1">
        <f t="array" ref="H302:H303">Liam!P958:P959</f>
        <v>0.52941176470588236</v>
      </c>
      <c r="I302" s="683"/>
      <c r="J302" s="684"/>
      <c r="K302" s="542" cm="1">
        <f t="array" ref="K302:K303">Liam!Q958:Q959</f>
        <v>0.16666666666666666</v>
      </c>
      <c r="L302" s="662"/>
      <c r="M302" s="659"/>
      <c r="N302" s="663"/>
      <c r="O302" s="661"/>
    </row>
    <row r="303" spans="2:17">
      <c r="B303" s="204" t="s">
        <v>48</v>
      </c>
      <c r="C303" s="533">
        <v>964</v>
      </c>
      <c r="D303" s="533">
        <v>1138</v>
      </c>
      <c r="E303" s="533">
        <v>2272.6666666666665</v>
      </c>
      <c r="F303" s="533">
        <v>2113.5</v>
      </c>
      <c r="G303" s="533"/>
      <c r="H303" s="533">
        <v>1675</v>
      </c>
      <c r="I303" s="685"/>
      <c r="J303" s="686"/>
      <c r="K303" s="543">
        <v>681</v>
      </c>
      <c r="L303" s="664"/>
      <c r="M303" s="677"/>
      <c r="N303" s="665"/>
      <c r="O303" s="678"/>
    </row>
    <row r="304" spans="2:17">
      <c r="B304" s="195" t="s">
        <v>110</v>
      </c>
      <c r="C304" s="567">
        <f>'Rhys C'!K570</f>
        <v>11970.5</v>
      </c>
      <c r="D304" s="567"/>
      <c r="E304" s="567">
        <f>'Rhys C'!M570</f>
        <v>18290.7</v>
      </c>
      <c r="F304" s="567">
        <f>'Rhys C'!N570</f>
        <v>2566</v>
      </c>
      <c r="G304" s="567"/>
      <c r="H304" s="567">
        <f>'Rhys C'!P570</f>
        <v>32827.199999999997</v>
      </c>
      <c r="I304" s="681">
        <v>50000</v>
      </c>
      <c r="J304" s="682">
        <f>-I304+H304</f>
        <v>-17172.800000000003</v>
      </c>
      <c r="K304" s="541"/>
      <c r="L304" s="658">
        <f>H304</f>
        <v>32827.199999999997</v>
      </c>
      <c r="M304" s="675">
        <f>'Rhys C'!R570</f>
        <v>22775.9</v>
      </c>
      <c r="N304" s="660">
        <f>L304-M304</f>
        <v>10051.299999999996</v>
      </c>
      <c r="O304" s="676">
        <f>'Rhys C'!S570</f>
        <v>0</v>
      </c>
      <c r="P304">
        <f>'Rhys C'!F589+'Rhys C'!F595+'Rhys C'!F600</f>
        <v>32827.199999999997</v>
      </c>
      <c r="Q304" s="294">
        <f>H304-P304</f>
        <v>0</v>
      </c>
    </row>
    <row r="305" spans="2:17">
      <c r="B305" s="204" t="s">
        <v>101</v>
      </c>
      <c r="C305" s="531" cm="1">
        <f t="array" ref="C305:C306">'Rhys C'!K573:K574</f>
        <v>0.5</v>
      </c>
      <c r="D305" s="531"/>
      <c r="E305" s="531" cm="1">
        <f t="array" ref="E305:E306">'Rhys C'!M573:M574</f>
        <v>0.5</v>
      </c>
      <c r="F305" s="531" cm="1">
        <f t="array" ref="F305:F306">'Rhys C'!N573:N574</f>
        <v>0.42857142857142855</v>
      </c>
      <c r="G305" s="531"/>
      <c r="H305" s="531" cm="1">
        <f t="array" ref="H305:H306">'Rhys C'!P573:P574</f>
        <v>0.37142857142857144</v>
      </c>
      <c r="I305" s="683"/>
      <c r="J305" s="684"/>
      <c r="K305" s="542"/>
      <c r="L305" s="662"/>
      <c r="M305" s="659"/>
      <c r="N305" s="663"/>
      <c r="O305" s="661"/>
    </row>
    <row r="306" spans="2:17">
      <c r="B306" s="226" t="s">
        <v>48</v>
      </c>
      <c r="C306" s="533">
        <v>2394.1</v>
      </c>
      <c r="D306" s="533"/>
      <c r="E306" s="533">
        <v>3658.1400000000003</v>
      </c>
      <c r="F306" s="533">
        <v>855.33333333333337</v>
      </c>
      <c r="G306" s="533"/>
      <c r="H306" s="533">
        <v>2525.1692307692306</v>
      </c>
      <c r="I306" s="685"/>
      <c r="J306" s="686"/>
      <c r="K306" s="543"/>
      <c r="L306" s="664"/>
      <c r="M306" s="677"/>
      <c r="N306" s="665"/>
      <c r="O306" s="678"/>
    </row>
    <row r="307" spans="2:17">
      <c r="B307" s="237" t="s">
        <v>102</v>
      </c>
      <c r="C307" s="238">
        <f>C286+C289+C292+C295+C298+C301+C304</f>
        <v>43726.1</v>
      </c>
      <c r="D307" s="238">
        <f t="shared" ref="D307:O307" si="9">D286+D289+D292+D295+D298+D301+D304</f>
        <v>95322.5</v>
      </c>
      <c r="E307" s="238">
        <f t="shared" si="9"/>
        <v>35922.199999999997</v>
      </c>
      <c r="F307" s="238">
        <f t="shared" si="9"/>
        <v>73818.700000000012</v>
      </c>
      <c r="G307" s="238">
        <f t="shared" si="9"/>
        <v>20074.5</v>
      </c>
      <c r="H307" s="239">
        <f t="shared" si="9"/>
        <v>268864</v>
      </c>
      <c r="I307" s="238">
        <f t="shared" si="9"/>
        <v>350000</v>
      </c>
      <c r="J307" s="240">
        <f t="shared" si="9"/>
        <v>-81136</v>
      </c>
      <c r="K307" s="241">
        <f t="shared" si="9"/>
        <v>681</v>
      </c>
      <c r="L307" s="239">
        <f t="shared" si="9"/>
        <v>268864</v>
      </c>
      <c r="M307" s="240">
        <f t="shared" si="9"/>
        <v>125265.20000000001</v>
      </c>
      <c r="N307" s="241">
        <f t="shared" si="9"/>
        <v>143598.79999999999</v>
      </c>
      <c r="O307" s="240">
        <f t="shared" si="9"/>
        <v>0</v>
      </c>
    </row>
    <row r="308" spans="2:17">
      <c r="B308" s="244" t="s">
        <v>103</v>
      </c>
      <c r="C308" s="244"/>
      <c r="D308" s="244"/>
      <c r="E308" s="244"/>
      <c r="F308" s="244"/>
      <c r="G308" s="244"/>
      <c r="H308" s="245">
        <f>H307+K307</f>
        <v>269545</v>
      </c>
      <c r="I308" s="246">
        <f>I307+J307</f>
        <v>268864</v>
      </c>
      <c r="J308" s="247"/>
      <c r="K308" s="248"/>
      <c r="L308" s="249"/>
      <c r="M308" s="250">
        <f>L307-N307</f>
        <v>125265.20000000001</v>
      </c>
      <c r="N308" s="251"/>
      <c r="O308" s="201"/>
    </row>
    <row r="311" spans="2:17">
      <c r="B311" s="171" t="s">
        <v>119</v>
      </c>
      <c r="C311" s="172">
        <v>45921</v>
      </c>
      <c r="D311" s="173"/>
      <c r="E311" s="173"/>
      <c r="F311" s="173"/>
      <c r="G311" s="173"/>
      <c r="H311" s="173"/>
      <c r="I311" s="174" t="s">
        <v>88</v>
      </c>
      <c r="J311" s="175"/>
      <c r="K311" s="176"/>
      <c r="L311" s="177"/>
      <c r="M311" s="178"/>
      <c r="N311" s="179" t="s">
        <v>89</v>
      </c>
      <c r="O311" s="180" t="s">
        <v>29</v>
      </c>
    </row>
    <row r="312" spans="2:17">
      <c r="B312" s="630"/>
      <c r="C312" s="288" t="s">
        <v>91</v>
      </c>
      <c r="D312" s="289" t="s">
        <v>92</v>
      </c>
      <c r="E312" s="289" t="s">
        <v>93</v>
      </c>
      <c r="F312" s="289" t="s">
        <v>94</v>
      </c>
      <c r="G312" s="290" t="s">
        <v>95</v>
      </c>
      <c r="H312" s="290" t="s">
        <v>96</v>
      </c>
      <c r="I312" s="631" t="s">
        <v>97</v>
      </c>
      <c r="J312" s="632" t="s">
        <v>98</v>
      </c>
      <c r="K312" s="633" t="s">
        <v>29</v>
      </c>
      <c r="L312" s="634" t="s">
        <v>89</v>
      </c>
      <c r="M312" s="635" t="s">
        <v>99</v>
      </c>
      <c r="N312" s="636" t="s">
        <v>100</v>
      </c>
      <c r="O312" s="708" t="s">
        <v>99</v>
      </c>
    </row>
    <row r="313" spans="2:17">
      <c r="B313" s="195" t="s">
        <v>112</v>
      </c>
      <c r="C313" s="651">
        <f>'Jarrod - No OT'!K916</f>
        <v>2109</v>
      </c>
      <c r="D313" s="651">
        <f>'Jarrod - No OT'!L916</f>
        <v>7190</v>
      </c>
      <c r="E313" s="651">
        <f>'Jarrod - No OT'!M916</f>
        <v>7715.0499999999993</v>
      </c>
      <c r="F313" s="651">
        <f>'Jarrod - No OT'!N916</f>
        <v>2680</v>
      </c>
      <c r="G313" s="651">
        <f>'Jarrod - No OT'!O916</f>
        <v>8662.9</v>
      </c>
      <c r="H313" s="651">
        <f>'Jarrod - No OT'!P916</f>
        <v>28356.949999999997</v>
      </c>
      <c r="I313" s="681">
        <v>50000</v>
      </c>
      <c r="J313" s="682">
        <f>-I313+H313</f>
        <v>-21643.050000000003</v>
      </c>
      <c r="K313" s="541"/>
      <c r="L313" s="658">
        <f>H313</f>
        <v>28356.949999999997</v>
      </c>
      <c r="M313" s="659">
        <f>'Jarrod - No OT'!R916</f>
        <v>12503.2</v>
      </c>
      <c r="N313" s="660">
        <f>L313-M313</f>
        <v>15853.749999999996</v>
      </c>
      <c r="O313" s="661">
        <f>'Jarrod - No OT'!S916</f>
        <v>0</v>
      </c>
      <c r="P313">
        <f>'Jarrod - No OT'!F938+'Jarrod - No OT'!F944+'Jarrod - No OT'!F948</f>
        <v>28356.95</v>
      </c>
      <c r="Q313" s="294">
        <f>H313-P313</f>
        <v>0</v>
      </c>
    </row>
    <row r="314" spans="2:17">
      <c r="B314" s="204" t="s">
        <v>101</v>
      </c>
      <c r="C314" s="531" cm="1">
        <f t="array" ref="C314:C315">'Jarrod - No OT'!K919:K920</f>
        <v>0.33333333333333331</v>
      </c>
      <c r="D314" s="531" cm="1">
        <f t="array" ref="D314:D315">'Jarrod - No OT'!L919:L920</f>
        <v>0.4</v>
      </c>
      <c r="E314" s="531" cm="1">
        <f t="array" ref="E314:E315">'Jarrod - No OT'!M919:M920</f>
        <v>0.5714285714285714</v>
      </c>
      <c r="F314" s="531" cm="1">
        <f t="array" ref="F314:F315">'Jarrod - No OT'!N919:N920</f>
        <v>0.5</v>
      </c>
      <c r="G314" s="531" cm="1">
        <f t="array" ref="G314:G315">'Jarrod - No OT'!O919:O920</f>
        <v>0.5</v>
      </c>
      <c r="H314" s="531" cm="1">
        <f t="array" ref="H314:H315">'Jarrod - No OT'!P919:P920</f>
        <v>0.46666666666666667</v>
      </c>
      <c r="I314" s="683"/>
      <c r="J314" s="684"/>
      <c r="K314" s="542"/>
      <c r="L314" s="662"/>
      <c r="M314" s="659"/>
      <c r="N314" s="663"/>
      <c r="O314" s="661"/>
    </row>
    <row r="315" spans="2:17">
      <c r="B315" s="226" t="s">
        <v>48</v>
      </c>
      <c r="C315" s="536">
        <v>1054.5</v>
      </c>
      <c r="D315" s="536">
        <v>3595</v>
      </c>
      <c r="E315" s="536">
        <v>1928.7624999999998</v>
      </c>
      <c r="F315" s="536">
        <v>893.33333333333337</v>
      </c>
      <c r="G315" s="536">
        <v>2887.6333333333332</v>
      </c>
      <c r="H315" s="536">
        <v>2025.4964285714284</v>
      </c>
      <c r="I315" s="685"/>
      <c r="J315" s="686"/>
      <c r="K315" s="543"/>
      <c r="L315" s="664"/>
      <c r="M315" s="687"/>
      <c r="N315" s="665"/>
      <c r="O315" s="665"/>
    </row>
    <row r="316" spans="2:17">
      <c r="B316" s="195" t="s">
        <v>107</v>
      </c>
      <c r="C316" s="651"/>
      <c r="D316" s="651"/>
      <c r="E316" s="651">
        <f>'Shaun - No OT'!M974</f>
        <v>11577.7</v>
      </c>
      <c r="F316" s="651">
        <f>'Shaun - No OT'!N974</f>
        <v>9575</v>
      </c>
      <c r="G316" s="651">
        <f>'Shaun - No OT'!O974</f>
        <v>1361</v>
      </c>
      <c r="H316" s="651">
        <f>'Shaun - No OT'!P974</f>
        <v>22513.7</v>
      </c>
      <c r="I316" s="683">
        <v>50000</v>
      </c>
      <c r="J316" s="682">
        <f>-I316+H316</f>
        <v>-27486.3</v>
      </c>
      <c r="K316" s="541"/>
      <c r="L316" s="658">
        <f>H316</f>
        <v>22513.7</v>
      </c>
      <c r="M316" s="659">
        <f>'Shaun - No OT'!R974</f>
        <v>0</v>
      </c>
      <c r="N316" s="660">
        <f>L316-M316</f>
        <v>22513.7</v>
      </c>
      <c r="O316" s="661">
        <f>'Shaun - No OT'!S974</f>
        <v>0</v>
      </c>
      <c r="P316">
        <f>'Shaun - No OT'!F992</f>
        <v>22513.7</v>
      </c>
      <c r="Q316" s="294">
        <f>H316-P316</f>
        <v>0</v>
      </c>
    </row>
    <row r="317" spans="2:17">
      <c r="B317" s="204" t="s">
        <v>101</v>
      </c>
      <c r="C317" s="531"/>
      <c r="D317" s="531"/>
      <c r="E317" s="531" cm="1">
        <f t="array" ref="E317:E318">'Shaun - No OT'!M977:M978</f>
        <v>0.5</v>
      </c>
      <c r="F317" s="531" cm="1">
        <f t="array" ref="F317:F318">'Shaun - No OT'!N977:N978</f>
        <v>0.4</v>
      </c>
      <c r="G317" s="531" cm="1">
        <f t="array" ref="G317:G318">'Shaun - No OT'!O977:O978</f>
        <v>0.2</v>
      </c>
      <c r="H317" s="531" cm="1">
        <f t="array" ref="H317:H318">'Shaun - No OT'!P977:P978</f>
        <v>0.3888888888888889</v>
      </c>
      <c r="I317" s="683"/>
      <c r="J317" s="684"/>
      <c r="K317" s="542"/>
      <c r="L317" s="662"/>
      <c r="M317" s="688"/>
      <c r="N317" s="663"/>
      <c r="O317" s="689"/>
    </row>
    <row r="318" spans="2:17">
      <c r="B318" s="226" t="s">
        <v>48</v>
      </c>
      <c r="C318" s="532"/>
      <c r="D318" s="532"/>
      <c r="E318" s="532">
        <v>2894.4250000000002</v>
      </c>
      <c r="F318" s="532">
        <v>4787.5</v>
      </c>
      <c r="G318" s="532">
        <v>1361</v>
      </c>
      <c r="H318" s="532">
        <v>3216.2428571428572</v>
      </c>
      <c r="I318" s="685"/>
      <c r="J318" s="684"/>
      <c r="K318" s="543"/>
      <c r="L318" s="662"/>
      <c r="M318" s="688"/>
      <c r="N318" s="663"/>
      <c r="O318" s="689"/>
    </row>
    <row r="319" spans="2:17">
      <c r="B319" s="195" t="s">
        <v>106</v>
      </c>
      <c r="C319" s="567"/>
      <c r="D319" s="567">
        <f>'Ben - No OT'!L1044</f>
        <v>4859</v>
      </c>
      <c r="E319" s="567">
        <f>'Ben - No OT'!M1044</f>
        <v>3825</v>
      </c>
      <c r="F319" s="567">
        <f>'Ben - No OT'!N1044</f>
        <v>1024.2</v>
      </c>
      <c r="G319" s="567">
        <f>'Ben - No OT'!O1044</f>
        <v>6623.2</v>
      </c>
      <c r="H319" s="567">
        <f>'Ben - No OT'!P1044</f>
        <v>16331.400000000001</v>
      </c>
      <c r="I319" s="683">
        <v>50000</v>
      </c>
      <c r="J319" s="682">
        <f>-I319+H319</f>
        <v>-33668.6</v>
      </c>
      <c r="K319" s="541">
        <f>'Ben - No OT'!Q1044</f>
        <v>5428</v>
      </c>
      <c r="L319" s="658">
        <f>H319</f>
        <v>16331.400000000001</v>
      </c>
      <c r="M319" s="675">
        <f>'Ben - No OT'!R1044</f>
        <v>1138</v>
      </c>
      <c r="N319" s="660">
        <f>L319-M319</f>
        <v>15193.400000000001</v>
      </c>
      <c r="O319" s="676">
        <f>'Ben - No OT'!S1044</f>
        <v>0</v>
      </c>
      <c r="P319">
        <f>'Ben - No OT'!F1062+'Ben - No OT'!F1077</f>
        <v>16331.400000000001</v>
      </c>
      <c r="Q319" s="294">
        <f>H319-P319</f>
        <v>0</v>
      </c>
    </row>
    <row r="320" spans="2:17">
      <c r="B320" s="204" t="s">
        <v>101</v>
      </c>
      <c r="C320" s="531"/>
      <c r="D320" s="531" cm="1">
        <f t="array" ref="D320:D321">'Ben - No OT'!L1047:L1048</f>
        <v>0.4</v>
      </c>
      <c r="E320" s="531" cm="1">
        <f t="array" ref="E320:E321">'Ben - No OT'!M1047:M1048</f>
        <v>1</v>
      </c>
      <c r="F320" s="531" cm="1">
        <f t="array" ref="F320:F321">'Ben - No OT'!N1047:N1048</f>
        <v>0.33333333333333331</v>
      </c>
      <c r="G320" s="531" cm="1">
        <f t="array" ref="G320:G321">'Ben - No OT'!O1047:O1048</f>
        <v>0.5</v>
      </c>
      <c r="H320" s="531" cm="1">
        <f t="array" ref="H320:H321">'Ben - No OT'!P1047:P1048</f>
        <v>0.52941176470588236</v>
      </c>
      <c r="I320" s="683"/>
      <c r="J320" s="684"/>
      <c r="K320" s="542" cm="1">
        <f t="array" ref="K320:K321">'Ben - No OT'!Q1047:Q1048</f>
        <v>0.5</v>
      </c>
      <c r="L320" s="662"/>
      <c r="M320" s="659"/>
      <c r="N320" s="663"/>
      <c r="O320" s="661"/>
    </row>
    <row r="321" spans="2:17">
      <c r="B321" s="204" t="s">
        <v>48</v>
      </c>
      <c r="C321" s="533"/>
      <c r="D321" s="533">
        <v>2429.5</v>
      </c>
      <c r="E321" s="533">
        <v>1275</v>
      </c>
      <c r="F321" s="533">
        <v>1024.2</v>
      </c>
      <c r="G321" s="533">
        <v>2207.7333333333331</v>
      </c>
      <c r="H321" s="533">
        <v>1814.6000000000001</v>
      </c>
      <c r="I321" s="683"/>
      <c r="J321" s="686"/>
      <c r="K321" s="543">
        <v>2714</v>
      </c>
      <c r="L321" s="664"/>
      <c r="M321" s="677"/>
      <c r="N321" s="665"/>
      <c r="O321" s="678"/>
    </row>
    <row r="322" spans="2:17">
      <c r="B322" s="195" t="s">
        <v>121</v>
      </c>
      <c r="C322" s="567"/>
      <c r="D322" s="567">
        <f>Bradley!L274</f>
        <v>4464</v>
      </c>
      <c r="E322" s="567">
        <f>Bradley!M274</f>
        <v>19978</v>
      </c>
      <c r="F322" s="567"/>
      <c r="G322" s="567">
        <f>Bradley!O274</f>
        <v>3752</v>
      </c>
      <c r="H322" s="567">
        <f>Bradley!P274</f>
        <v>28194</v>
      </c>
      <c r="I322" s="681">
        <v>50000</v>
      </c>
      <c r="J322" s="682">
        <f>-I322+H322</f>
        <v>-21806</v>
      </c>
      <c r="K322" s="541"/>
      <c r="L322" s="658">
        <f>H322</f>
        <v>28194</v>
      </c>
      <c r="M322" s="675">
        <f>Bradley!R274</f>
        <v>4619</v>
      </c>
      <c r="N322" s="660">
        <f>L322-M322</f>
        <v>23575</v>
      </c>
      <c r="O322" s="676">
        <f>Bradley!S274</f>
        <v>0</v>
      </c>
      <c r="P322">
        <f>Bradley!F291+Bradley!F296</f>
        <v>28194</v>
      </c>
      <c r="Q322" s="294">
        <f>H322-P322</f>
        <v>0</v>
      </c>
    </row>
    <row r="323" spans="2:17">
      <c r="B323" s="204" t="s">
        <v>101</v>
      </c>
      <c r="C323" s="531"/>
      <c r="D323" s="531" cm="1">
        <f t="array" ref="D323:D324">Bradley!L277:L278</f>
        <v>0.33333333333333331</v>
      </c>
      <c r="E323" s="531" cm="1">
        <f t="array" ref="E323:E324">Bradley!M277:M278</f>
        <v>0.8</v>
      </c>
      <c r="F323" s="531"/>
      <c r="G323" s="531" cm="1">
        <f t="array" ref="G323:G324">Bradley!O277:O278</f>
        <v>0.2857142857142857</v>
      </c>
      <c r="H323" s="531" cm="1">
        <f t="array" ref="H323:H324">Bradley!P277:P278</f>
        <v>0.38095238095238093</v>
      </c>
      <c r="I323" s="683"/>
      <c r="J323" s="684"/>
      <c r="K323" s="542"/>
      <c r="L323" s="662"/>
      <c r="M323" s="659"/>
      <c r="N323" s="663"/>
      <c r="O323" s="661"/>
    </row>
    <row r="324" spans="2:17">
      <c r="B324" s="204" t="s">
        <v>48</v>
      </c>
      <c r="C324" s="533"/>
      <c r="D324" s="533">
        <v>2232</v>
      </c>
      <c r="E324" s="533">
        <v>4994.5</v>
      </c>
      <c r="F324" s="533"/>
      <c r="G324" s="533">
        <v>1876</v>
      </c>
      <c r="H324" s="533">
        <v>3524.25</v>
      </c>
      <c r="I324" s="685"/>
      <c r="J324" s="686"/>
      <c r="K324" s="543"/>
      <c r="L324" s="664"/>
      <c r="M324" s="677"/>
      <c r="N324" s="665"/>
      <c r="O324" s="678"/>
    </row>
    <row r="325" spans="2:17">
      <c r="B325" s="195" t="s">
        <v>116</v>
      </c>
      <c r="C325" s="567">
        <f>Elliot!K587</f>
        <v>1819</v>
      </c>
      <c r="D325" s="567">
        <f>Elliot!L587</f>
        <v>2558</v>
      </c>
      <c r="E325" s="567">
        <f>Elliot!M587</f>
        <v>2703</v>
      </c>
      <c r="F325" s="567"/>
      <c r="G325" s="567">
        <f>Elliot!O587</f>
        <v>7952</v>
      </c>
      <c r="H325" s="567">
        <f>Elliot!P587</f>
        <v>15032</v>
      </c>
      <c r="I325" s="681">
        <v>50000</v>
      </c>
      <c r="J325" s="682">
        <f>-I325+H325</f>
        <v>-34968</v>
      </c>
      <c r="K325" s="541"/>
      <c r="L325" s="658">
        <f>H325</f>
        <v>15032</v>
      </c>
      <c r="M325" s="675">
        <f>Elliot!R587</f>
        <v>6198</v>
      </c>
      <c r="N325" s="660">
        <f>L325-M325</f>
        <v>8834</v>
      </c>
      <c r="O325" s="676">
        <f>Elliot!S587</f>
        <v>0</v>
      </c>
      <c r="P325">
        <f>Elliot!F607+Elliot!F616</f>
        <v>15032</v>
      </c>
      <c r="Q325" s="294">
        <f>H325-P325</f>
        <v>0</v>
      </c>
    </row>
    <row r="326" spans="2:17">
      <c r="B326" s="204" t="s">
        <v>101</v>
      </c>
      <c r="C326" s="531" cm="1">
        <f t="array" ref="C326:C327">Elliot!K590:K591</f>
        <v>0.2</v>
      </c>
      <c r="D326" s="531" cm="1">
        <f t="array" ref="D326:D327">Elliot!L590:L591</f>
        <v>0.375</v>
      </c>
      <c r="E326" s="531" cm="1">
        <f t="array" ref="E326:E327">Elliot!M590:M591</f>
        <v>0.6</v>
      </c>
      <c r="F326" s="531"/>
      <c r="G326" s="531" cm="1">
        <f t="array" ref="G326:G327">Elliot!O590:O591</f>
        <v>0.5</v>
      </c>
      <c r="H326" s="531" cm="1">
        <f t="array" ref="H326:H327">Elliot!P590:P591</f>
        <v>0.35483870967741937</v>
      </c>
      <c r="I326" s="683"/>
      <c r="J326" s="684"/>
      <c r="K326" s="542"/>
      <c r="L326" s="662"/>
      <c r="M326" s="659"/>
      <c r="N326" s="663"/>
      <c r="O326" s="661"/>
    </row>
    <row r="327" spans="2:17">
      <c r="B327" s="204" t="s">
        <v>48</v>
      </c>
      <c r="C327" s="533">
        <v>909.5</v>
      </c>
      <c r="D327" s="533">
        <v>852.66666666666663</v>
      </c>
      <c r="E327" s="533">
        <v>901</v>
      </c>
      <c r="F327" s="533"/>
      <c r="G327" s="533">
        <v>2650.6666666666665</v>
      </c>
      <c r="H327" s="533">
        <v>1366.5454545454545</v>
      </c>
      <c r="I327" s="685"/>
      <c r="J327" s="686"/>
      <c r="K327" s="543"/>
      <c r="L327" s="664"/>
      <c r="M327" s="677"/>
      <c r="N327" s="665"/>
      <c r="O327" s="678"/>
    </row>
    <row r="328" spans="2:17">
      <c r="B328" s="195" t="s">
        <v>109</v>
      </c>
      <c r="C328" s="567">
        <f>Liam!K1043</f>
        <v>2749</v>
      </c>
      <c r="D328" s="567">
        <f>Liam!L1043</f>
        <v>2870.5</v>
      </c>
      <c r="E328" s="567">
        <f>Liam!M1043</f>
        <v>3747</v>
      </c>
      <c r="F328" s="567">
        <f>Liam!N1043</f>
        <v>861</v>
      </c>
      <c r="G328" s="567">
        <f>Liam!O1043</f>
        <v>20504</v>
      </c>
      <c r="H328" s="567">
        <f>Liam!P1043</f>
        <v>30731.5</v>
      </c>
      <c r="I328" s="681">
        <v>50000</v>
      </c>
      <c r="J328" s="682">
        <f>-I328+H328</f>
        <v>-19268.5</v>
      </c>
      <c r="K328" s="541"/>
      <c r="L328" s="658">
        <f>H328</f>
        <v>30731.5</v>
      </c>
      <c r="M328" s="675">
        <f>Liam!R1043</f>
        <v>17023</v>
      </c>
      <c r="N328" s="660">
        <f>L328-M328</f>
        <v>13708.5</v>
      </c>
      <c r="O328" s="676">
        <f>Liam!S1043</f>
        <v>0</v>
      </c>
      <c r="P328">
        <f>Liam!F1064+Liam!F1074</f>
        <v>30731.5</v>
      </c>
      <c r="Q328" s="294">
        <f>H328-P328</f>
        <v>0</v>
      </c>
    </row>
    <row r="329" spans="2:17">
      <c r="B329" s="204" t="s">
        <v>101</v>
      </c>
      <c r="C329" s="531" cm="1">
        <f t="array" ref="C329:C330">Liam!K1046:K1047</f>
        <v>0.42857142857142855</v>
      </c>
      <c r="D329" s="531" cm="1">
        <f t="array" ref="D329:D330">Liam!L1046:L1047</f>
        <v>0.2857142857142857</v>
      </c>
      <c r="E329" s="531" cm="1">
        <f t="array" ref="E329:E330">Liam!M1046:M1047</f>
        <v>0.4</v>
      </c>
      <c r="F329" s="531" cm="1">
        <f t="array" ref="F329:F330">Liam!N1046:N1047</f>
        <v>0.25</v>
      </c>
      <c r="G329" s="531" cm="1">
        <f t="array" ref="G329:G330">Liam!O1046:O1047</f>
        <v>0.8</v>
      </c>
      <c r="H329" s="531" cm="1">
        <f t="array" ref="H329:H330">Liam!P1046:P1047</f>
        <v>0.42857142857142855</v>
      </c>
      <c r="I329" s="683"/>
      <c r="J329" s="684"/>
      <c r="K329" s="542"/>
      <c r="L329" s="662"/>
      <c r="M329" s="659"/>
      <c r="N329" s="663"/>
      <c r="O329" s="661"/>
    </row>
    <row r="330" spans="2:17">
      <c r="B330" s="204" t="s">
        <v>48</v>
      </c>
      <c r="C330" s="533">
        <v>916.33333333333337</v>
      </c>
      <c r="D330" s="533">
        <v>1435.25</v>
      </c>
      <c r="E330" s="533">
        <v>1873.5</v>
      </c>
      <c r="F330" s="533">
        <v>861</v>
      </c>
      <c r="G330" s="533">
        <v>5126</v>
      </c>
      <c r="H330" s="533">
        <v>2560.9583333333335</v>
      </c>
      <c r="I330" s="685"/>
      <c r="J330" s="686"/>
      <c r="K330" s="543"/>
      <c r="L330" s="664"/>
      <c r="M330" s="677"/>
      <c r="N330" s="665"/>
      <c r="O330" s="678"/>
    </row>
    <row r="331" spans="2:17">
      <c r="B331" s="195" t="s">
        <v>110</v>
      </c>
      <c r="C331" s="567">
        <f>'Rhys C'!K665</f>
        <v>15837.2</v>
      </c>
      <c r="D331" s="567">
        <f>'Rhys C'!L665</f>
        <v>2819</v>
      </c>
      <c r="E331" s="567">
        <f>'Rhys C'!M665</f>
        <v>7886.6</v>
      </c>
      <c r="F331" s="567">
        <f>'Rhys C'!N665</f>
        <v>6184.9</v>
      </c>
      <c r="G331" s="567">
        <f>'Rhys C'!O665</f>
        <v>1281</v>
      </c>
      <c r="H331" s="567">
        <f>'Rhys C'!P665</f>
        <v>34008.700000000004</v>
      </c>
      <c r="I331" s="681">
        <v>50000</v>
      </c>
      <c r="J331" s="682">
        <f>-I331+H331</f>
        <v>-15991.299999999996</v>
      </c>
      <c r="K331" s="541"/>
      <c r="L331" s="658">
        <f>H331</f>
        <v>34008.700000000004</v>
      </c>
      <c r="M331" s="675">
        <f>'Rhys C'!R665</f>
        <v>17860.900000000001</v>
      </c>
      <c r="N331" s="660">
        <f>L331-M331</f>
        <v>16147.800000000003</v>
      </c>
      <c r="O331" s="676">
        <f>'Rhys C'!S665</f>
        <v>0</v>
      </c>
      <c r="P331">
        <f>'Rhys C'!F688+'Rhys C'!F698+'Rhys C'!F702</f>
        <v>34008.699999999997</v>
      </c>
      <c r="Q331" s="294">
        <f>H331-P331</f>
        <v>0</v>
      </c>
    </row>
    <row r="332" spans="2:17">
      <c r="B332" s="204" t="s">
        <v>101</v>
      </c>
      <c r="C332" s="531" cm="1">
        <f t="array" ref="C332:C333">'Rhys C'!K668:K669</f>
        <v>0.5714285714285714</v>
      </c>
      <c r="D332" s="531" cm="1">
        <f t="array" ref="D332:D333">'Rhys C'!L668:L669</f>
        <v>0.4</v>
      </c>
      <c r="E332" s="531" cm="1">
        <f t="array" ref="E332:E333">'Rhys C'!M668:M669</f>
        <v>0.55555555555555558</v>
      </c>
      <c r="F332" s="531" cm="1">
        <f t="array" ref="F332:F333">'Rhys C'!N668:N669</f>
        <v>0.42857142857142855</v>
      </c>
      <c r="G332" s="531" cm="1">
        <f t="array" ref="G332:G333">'Rhys C'!O668:O669</f>
        <v>0.33333333333333331</v>
      </c>
      <c r="H332" s="531" cm="1">
        <f t="array" ref="H332:H333">'Rhys C'!P668:P669</f>
        <v>0.4838709677419355</v>
      </c>
      <c r="I332" s="683"/>
      <c r="J332" s="684"/>
      <c r="K332" s="542"/>
      <c r="L332" s="662"/>
      <c r="M332" s="659"/>
      <c r="N332" s="663"/>
      <c r="O332" s="661"/>
    </row>
    <row r="333" spans="2:17">
      <c r="B333" s="226" t="s">
        <v>48</v>
      </c>
      <c r="C333" s="533">
        <v>3959.3</v>
      </c>
      <c r="D333" s="533">
        <v>1409.5</v>
      </c>
      <c r="E333" s="533">
        <v>1577.3200000000002</v>
      </c>
      <c r="F333" s="533">
        <v>2061.6333333333332</v>
      </c>
      <c r="G333" s="533">
        <v>1281</v>
      </c>
      <c r="H333" s="533">
        <v>2267.2466666666669</v>
      </c>
      <c r="I333" s="685"/>
      <c r="J333" s="686"/>
      <c r="K333" s="543"/>
      <c r="L333" s="664"/>
      <c r="M333" s="677"/>
      <c r="N333" s="665"/>
      <c r="O333" s="678"/>
    </row>
    <row r="334" spans="2:17">
      <c r="B334" s="237" t="s">
        <v>102</v>
      </c>
      <c r="C334" s="238">
        <f>C313+C316+C319+C322+C325+C328+C331</f>
        <v>22514.2</v>
      </c>
      <c r="D334" s="238">
        <f>D313+D316+D319+D322+D325+D328+D331</f>
        <v>24760.5</v>
      </c>
      <c r="E334" s="238">
        <f>E313+E316+E319+E322+E325+E328+E331</f>
        <v>57432.35</v>
      </c>
      <c r="F334" s="238">
        <f>F313+F316+F319+F322+F325+F328+F331</f>
        <v>20325.099999999999</v>
      </c>
      <c r="G334" s="238">
        <f>G313+G316+G319+G322+G325+G328+G331</f>
        <v>50136.1</v>
      </c>
      <c r="H334" s="239">
        <f>H313+H316+H319+H322+H325+H328+H331</f>
        <v>175168.25</v>
      </c>
      <c r="I334" s="238">
        <f>I313+I316+I319+I322+I325+I328+I331</f>
        <v>350000</v>
      </c>
      <c r="J334" s="240">
        <f>J313+J316+J319+J322+J325+J328+J331</f>
        <v>-174831.75</v>
      </c>
      <c r="K334" s="241">
        <f>K313+K316+K319+K322+K325+K328+K331</f>
        <v>5428</v>
      </c>
      <c r="L334" s="239">
        <f>L313+L316+L319+L322+L325+L328+L331</f>
        <v>175168.25</v>
      </c>
      <c r="M334" s="240">
        <f>M313+M316+M319+M322+M325+M328+M331</f>
        <v>59342.1</v>
      </c>
      <c r="N334" s="241">
        <f>N313+N316+N319+N322+N325+N328+N331</f>
        <v>115826.15000000001</v>
      </c>
      <c r="O334" s="240">
        <f>O313+O316+O319+O322+O325+O328+O331</f>
        <v>0</v>
      </c>
    </row>
    <row r="335" spans="2:17">
      <c r="B335" s="244" t="s">
        <v>103</v>
      </c>
      <c r="C335" s="244"/>
      <c r="D335" s="244"/>
      <c r="E335" s="244"/>
      <c r="F335" s="244"/>
      <c r="G335" s="244"/>
      <c r="H335" s="245">
        <f>H334+K334</f>
        <v>180596.25</v>
      </c>
      <c r="I335" s="246">
        <f>I334+J334</f>
        <v>175168.25</v>
      </c>
      <c r="J335" s="247"/>
      <c r="K335" s="248"/>
      <c r="L335" s="249"/>
      <c r="M335" s="250">
        <f>L334-N334</f>
        <v>59342.099999999991</v>
      </c>
      <c r="N335" s="251"/>
      <c r="O335" s="201"/>
    </row>
    <row r="338" spans="2:17">
      <c r="B338" s="171" t="s">
        <v>119</v>
      </c>
      <c r="C338" s="172">
        <v>45928</v>
      </c>
      <c r="D338" s="173"/>
      <c r="E338" s="173"/>
      <c r="F338" s="173"/>
      <c r="G338" s="173"/>
      <c r="H338" s="173"/>
      <c r="I338" s="174" t="s">
        <v>88</v>
      </c>
      <c r="J338" s="175"/>
      <c r="K338" s="176"/>
      <c r="L338" s="177"/>
      <c r="M338" s="178"/>
      <c r="N338" s="179" t="s">
        <v>89</v>
      </c>
      <c r="O338" s="180" t="s">
        <v>29</v>
      </c>
    </row>
    <row r="339" spans="2:17">
      <c r="B339" s="630"/>
      <c r="C339" s="288" t="s">
        <v>91</v>
      </c>
      <c r="D339" s="289" t="s">
        <v>92</v>
      </c>
      <c r="E339" s="289" t="s">
        <v>93</v>
      </c>
      <c r="F339" s="289" t="s">
        <v>94</v>
      </c>
      <c r="G339" s="290" t="s">
        <v>95</v>
      </c>
      <c r="H339" s="290" t="s">
        <v>96</v>
      </c>
      <c r="I339" s="631" t="s">
        <v>97</v>
      </c>
      <c r="J339" s="632" t="s">
        <v>98</v>
      </c>
      <c r="K339" s="633" t="s">
        <v>29</v>
      </c>
      <c r="L339" s="634" t="s">
        <v>89</v>
      </c>
      <c r="M339" s="635" t="s">
        <v>99</v>
      </c>
      <c r="N339" s="636" t="s">
        <v>100</v>
      </c>
      <c r="O339" s="708" t="s">
        <v>99</v>
      </c>
    </row>
    <row r="340" spans="2:17">
      <c r="B340" s="195" t="s">
        <v>106</v>
      </c>
      <c r="C340" s="651">
        <f>'Ben - No OT'!K1126</f>
        <v>15213</v>
      </c>
      <c r="D340" s="651">
        <f>'Ben - No OT'!L1126</f>
        <v>25600</v>
      </c>
      <c r="E340" s="651">
        <f>'Ben - No OT'!M1126</f>
        <v>2942</v>
      </c>
      <c r="F340" s="651">
        <f>'Ben - No OT'!N1126</f>
        <v>9236.5</v>
      </c>
      <c r="G340" s="718"/>
      <c r="H340" s="651">
        <f>'Ben - No OT'!P1126</f>
        <v>52991.5</v>
      </c>
      <c r="I340" s="681">
        <v>50000</v>
      </c>
      <c r="J340" s="682">
        <f>-I340+H340</f>
        <v>2991.5</v>
      </c>
      <c r="K340" s="541"/>
      <c r="L340" s="658">
        <f>H340</f>
        <v>52991.5</v>
      </c>
      <c r="M340" s="659">
        <f>'Ben - No OT'!R1126</f>
        <v>28075</v>
      </c>
      <c r="N340" s="660">
        <f>L340-M340</f>
        <v>24916.5</v>
      </c>
      <c r="O340" s="661">
        <f>'Ben - No OT'!S1126</f>
        <v>0</v>
      </c>
      <c r="P340">
        <f>'Ben - No OT'!F1146+'Ben - No OT'!F1152+'Ben - No OT'!F1156</f>
        <v>52991.5</v>
      </c>
      <c r="Q340" s="294">
        <f>H340-P340</f>
        <v>0</v>
      </c>
    </row>
    <row r="341" spans="2:17">
      <c r="B341" s="204" t="s">
        <v>101</v>
      </c>
      <c r="C341" s="531" cm="1">
        <f t="array" ref="C341:C342">'Ben - No OT'!K1129:K1130</f>
        <v>1</v>
      </c>
      <c r="D341" s="531" cm="1">
        <f t="array" ref="D341:D342">'Ben - No OT'!L1129:L1130</f>
        <v>0.83333333333333337</v>
      </c>
      <c r="E341" s="531" cm="1">
        <f t="array" ref="E341:E342">'Ben - No OT'!M1129:M1130</f>
        <v>0.33333333333333331</v>
      </c>
      <c r="F341" s="531" cm="1">
        <f t="array" ref="F341:F342">'Ben - No OT'!N1129:N1130</f>
        <v>0.66666666666666663</v>
      </c>
      <c r="G341" s="719"/>
      <c r="H341" s="531" cm="1">
        <f t="array" ref="H341:H342">'Ben - No OT'!P1129:P1130</f>
        <v>0.72222222222222221</v>
      </c>
      <c r="I341" s="683"/>
      <c r="J341" s="684"/>
      <c r="K341" s="542"/>
      <c r="L341" s="662"/>
      <c r="M341" s="659"/>
      <c r="N341" s="663"/>
      <c r="O341" s="661"/>
    </row>
    <row r="342" spans="2:17">
      <c r="B342" s="204" t="s">
        <v>48</v>
      </c>
      <c r="C342" s="536">
        <v>5071</v>
      </c>
      <c r="D342" s="536">
        <v>5120</v>
      </c>
      <c r="E342" s="536">
        <v>2942</v>
      </c>
      <c r="F342" s="536">
        <v>2309.125</v>
      </c>
      <c r="G342" s="720"/>
      <c r="H342" s="536">
        <v>4076.2692307692309</v>
      </c>
      <c r="I342" s="685"/>
      <c r="J342" s="686"/>
      <c r="K342" s="543"/>
      <c r="L342" s="664"/>
      <c r="M342" s="687"/>
      <c r="N342" s="665"/>
      <c r="O342" s="665"/>
    </row>
    <row r="343" spans="2:17">
      <c r="B343" s="195" t="s">
        <v>121</v>
      </c>
      <c r="C343" s="651">
        <f>Bradley!K343</f>
        <v>5386.85</v>
      </c>
      <c r="D343" s="651">
        <f>Bradley!L343</f>
        <v>1719</v>
      </c>
      <c r="E343" s="651">
        <f>Bradley!M343</f>
        <v>5664</v>
      </c>
      <c r="F343" s="651">
        <f>Bradley!N343</f>
        <v>4619</v>
      </c>
      <c r="G343" s="718"/>
      <c r="H343" s="651">
        <f>Bradley!P343</f>
        <v>17388.849999999999</v>
      </c>
      <c r="I343" s="683">
        <v>50000</v>
      </c>
      <c r="J343" s="682">
        <f>-I343+H343</f>
        <v>-32611.15</v>
      </c>
      <c r="K343" s="541"/>
      <c r="L343" s="658">
        <f>H343</f>
        <v>17388.849999999999</v>
      </c>
      <c r="M343" s="659">
        <f>Bradley!R343</f>
        <v>0</v>
      </c>
      <c r="N343" s="660">
        <f>L343-M343</f>
        <v>17388.849999999999</v>
      </c>
      <c r="O343" s="661">
        <f>Bradley!S343</f>
        <v>0</v>
      </c>
      <c r="P343">
        <f>Bradley!F366</f>
        <v>17388.849999999999</v>
      </c>
      <c r="Q343" s="294">
        <f>H343-P343</f>
        <v>0</v>
      </c>
    </row>
    <row r="344" spans="2:17">
      <c r="B344" s="204" t="s">
        <v>101</v>
      </c>
      <c r="C344" s="531" cm="1">
        <f t="array" ref="C344:C345">Bradley!K346:K347</f>
        <v>0.66666666666666663</v>
      </c>
      <c r="D344" s="531" cm="1">
        <f t="array" ref="D344:D345">Bradley!L346:L347</f>
        <v>0.2857142857142857</v>
      </c>
      <c r="E344" s="531" cm="1">
        <f t="array" ref="E344:E345">Bradley!M346:M347</f>
        <v>0.4</v>
      </c>
      <c r="F344" s="531" cm="1">
        <f t="array" ref="F344:F345">Bradley!N346:N347</f>
        <v>0.75</v>
      </c>
      <c r="G344" s="719"/>
      <c r="H344" s="531" cm="1">
        <f t="array" ref="H344:H345">Bradley!P346:P347</f>
        <v>0.48148148148148145</v>
      </c>
      <c r="I344" s="683"/>
      <c r="J344" s="684"/>
      <c r="K344" s="542"/>
      <c r="L344" s="662"/>
      <c r="M344" s="688"/>
      <c r="N344" s="663"/>
      <c r="O344" s="689"/>
    </row>
    <row r="345" spans="2:17">
      <c r="B345" s="204" t="s">
        <v>48</v>
      </c>
      <c r="C345" s="532">
        <v>1346.7125000000001</v>
      </c>
      <c r="D345" s="532">
        <v>859.5</v>
      </c>
      <c r="E345" s="532">
        <v>1416</v>
      </c>
      <c r="F345" s="532">
        <v>1539.6666666666667</v>
      </c>
      <c r="G345" s="720"/>
      <c r="H345" s="532">
        <v>1337.603846153846</v>
      </c>
      <c r="I345" s="685"/>
      <c r="J345" s="684"/>
      <c r="K345" s="543"/>
      <c r="L345" s="662"/>
      <c r="M345" s="688"/>
      <c r="N345" s="663"/>
      <c r="O345" s="689"/>
    </row>
    <row r="346" spans="2:17">
      <c r="B346" s="195" t="s">
        <v>116</v>
      </c>
      <c r="C346" s="567">
        <f>Elliot!K671</f>
        <v>8786.5</v>
      </c>
      <c r="D346" s="567">
        <f>Elliot!L671</f>
        <v>8775</v>
      </c>
      <c r="E346" s="567">
        <f>Elliot!M671</f>
        <v>8542.5</v>
      </c>
      <c r="F346" s="567">
        <f>Elliot!N671</f>
        <v>21022</v>
      </c>
      <c r="G346" s="718"/>
      <c r="H346" s="567">
        <f>Elliot!P671</f>
        <v>47126</v>
      </c>
      <c r="I346" s="683">
        <v>50000</v>
      </c>
      <c r="J346" s="682">
        <f>-I346+H346</f>
        <v>-2874</v>
      </c>
      <c r="K346" s="541"/>
      <c r="L346" s="658">
        <f>H346</f>
        <v>47126</v>
      </c>
      <c r="M346" s="675">
        <f>Elliot!R671</f>
        <v>27732.5</v>
      </c>
      <c r="N346" s="660">
        <f>L346-M346</f>
        <v>19393.5</v>
      </c>
      <c r="O346" s="676">
        <f>Elliot!S671</f>
        <v>0</v>
      </c>
      <c r="P346">
        <f>Elliot!F692+Elliot!F703+Elliot!F708</f>
        <v>47126</v>
      </c>
      <c r="Q346" s="294">
        <f>H346-P346</f>
        <v>0</v>
      </c>
    </row>
    <row r="347" spans="2:17">
      <c r="B347" s="204" t="s">
        <v>101</v>
      </c>
      <c r="C347" s="531" cm="1">
        <f t="array" ref="C347:C348">Elliot!K674:K675</f>
        <v>0.5714285714285714</v>
      </c>
      <c r="D347" s="531" cm="1">
        <f t="array" ref="D347:D348">Elliot!L674:L675</f>
        <v>0.5</v>
      </c>
      <c r="E347" s="531" cm="1">
        <f t="array" ref="E347:E348">Elliot!M674:M675</f>
        <v>0.66666666666666663</v>
      </c>
      <c r="F347" s="531" cm="1">
        <f t="array" ref="F347:F348">Elliot!N674:N675</f>
        <v>0.25</v>
      </c>
      <c r="G347" s="719"/>
      <c r="H347" s="531" cm="1">
        <f t="array" ref="H347:H348">Elliot!P674:P675</f>
        <v>0.5</v>
      </c>
      <c r="I347" s="683"/>
      <c r="J347" s="684"/>
      <c r="K347" s="542"/>
      <c r="L347" s="662"/>
      <c r="M347" s="659"/>
      <c r="N347" s="663"/>
      <c r="O347" s="661"/>
    </row>
    <row r="348" spans="2:17">
      <c r="B348" s="204" t="s">
        <v>48</v>
      </c>
      <c r="C348" s="533">
        <v>2196.625</v>
      </c>
      <c r="D348" s="533">
        <v>2925</v>
      </c>
      <c r="E348" s="533">
        <v>1423.75</v>
      </c>
      <c r="F348" s="533">
        <v>10511</v>
      </c>
      <c r="G348" s="721"/>
      <c r="H348" s="533">
        <v>3141.7333333333331</v>
      </c>
      <c r="I348" s="683"/>
      <c r="J348" s="686"/>
      <c r="K348" s="543"/>
      <c r="L348" s="664"/>
      <c r="M348" s="677"/>
      <c r="N348" s="665"/>
      <c r="O348" s="678"/>
    </row>
    <row r="349" spans="2:17">
      <c r="B349" s="195" t="s">
        <v>112</v>
      </c>
      <c r="C349" s="567">
        <f>'Jarrod - No OT'!K1007</f>
        <v>20937.599999999999</v>
      </c>
      <c r="D349" s="567">
        <f>'Jarrod - No OT'!L1007</f>
        <v>6376.1</v>
      </c>
      <c r="E349" s="567">
        <f>'Jarrod - No OT'!M1007</f>
        <v>3033.6</v>
      </c>
      <c r="F349" s="567"/>
      <c r="G349" s="718"/>
      <c r="H349" s="567">
        <f>'Jarrod - No OT'!P1007</f>
        <v>30347.299999999996</v>
      </c>
      <c r="I349" s="681">
        <v>50000</v>
      </c>
      <c r="J349" s="682">
        <f>-I349+H349</f>
        <v>-19652.700000000004</v>
      </c>
      <c r="K349" s="541"/>
      <c r="L349" s="658">
        <f>H349</f>
        <v>30347.299999999996</v>
      </c>
      <c r="M349" s="675">
        <f>'Jarrod - No OT'!R1007</f>
        <v>16214</v>
      </c>
      <c r="N349" s="660">
        <f>L349-M349</f>
        <v>14133.299999999996</v>
      </c>
      <c r="O349" s="676">
        <f>'Jarrod - No OT'!S1007</f>
        <v>0</v>
      </c>
      <c r="P349">
        <f>'Jarrod - No OT'!F1026+'Jarrod - No OT'!F1031</f>
        <v>30347.300000000003</v>
      </c>
      <c r="Q349" s="294">
        <f>H349-P349</f>
        <v>0</v>
      </c>
    </row>
    <row r="350" spans="2:17">
      <c r="B350" s="204" t="s">
        <v>101</v>
      </c>
      <c r="C350" s="531" cm="1">
        <f t="array" ref="C350:C351">'Jarrod - No OT'!K1010:K1011</f>
        <v>0.66666666666666663</v>
      </c>
      <c r="D350" s="531" cm="1">
        <f t="array" ref="D350:D351">'Jarrod - No OT'!L1010:L1011</f>
        <v>0.75</v>
      </c>
      <c r="E350" s="531" cm="1">
        <f t="array" ref="E350:E351">'Jarrod - No OT'!M1010:M1011</f>
        <v>0.5</v>
      </c>
      <c r="F350" s="531"/>
      <c r="G350" s="719"/>
      <c r="H350" s="531" cm="1">
        <f t="array" ref="H350:H351">'Jarrod - No OT'!P1010:P1011</f>
        <v>0.6428571428571429</v>
      </c>
      <c r="I350" s="683"/>
      <c r="J350" s="684"/>
      <c r="K350" s="542"/>
      <c r="L350" s="662"/>
      <c r="M350" s="659"/>
      <c r="N350" s="663"/>
      <c r="O350" s="661"/>
    </row>
    <row r="351" spans="2:17">
      <c r="B351" s="226" t="s">
        <v>48</v>
      </c>
      <c r="C351" s="533">
        <v>5234.3999999999996</v>
      </c>
      <c r="D351" s="533">
        <v>2125.3666666666668</v>
      </c>
      <c r="E351" s="533">
        <v>1516.8</v>
      </c>
      <c r="F351" s="533"/>
      <c r="G351" s="721"/>
      <c r="H351" s="533">
        <v>3371.9222222222215</v>
      </c>
      <c r="I351" s="685"/>
      <c r="J351" s="686"/>
      <c r="K351" s="543"/>
      <c r="L351" s="664"/>
      <c r="M351" s="677"/>
      <c r="N351" s="665"/>
      <c r="O351" s="678"/>
    </row>
    <row r="352" spans="2:17">
      <c r="B352" s="195" t="s">
        <v>109</v>
      </c>
      <c r="C352" s="567">
        <f>Liam!K1131</f>
        <v>11856.5</v>
      </c>
      <c r="D352" s="567">
        <f>Liam!L1131</f>
        <v>15613</v>
      </c>
      <c r="E352" s="567">
        <f>Liam!M1131</f>
        <v>4934.8999999999996</v>
      </c>
      <c r="F352" s="567">
        <f>Liam!N1131</f>
        <v>6700</v>
      </c>
      <c r="G352" s="718"/>
      <c r="H352" s="567">
        <f>Liam!P1131</f>
        <v>39104.400000000001</v>
      </c>
      <c r="I352" s="681">
        <v>50000</v>
      </c>
      <c r="J352" s="682">
        <f>-I352+H352</f>
        <v>-10895.599999999999</v>
      </c>
      <c r="K352" s="541"/>
      <c r="L352" s="658">
        <f>H352</f>
        <v>39104.400000000001</v>
      </c>
      <c r="M352" s="675">
        <f>Liam!R1131</f>
        <v>14380.4</v>
      </c>
      <c r="N352" s="660">
        <f>L352-M352</f>
        <v>24724</v>
      </c>
      <c r="O352" s="676">
        <f>Liam!S1131</f>
        <v>0</v>
      </c>
      <c r="P352">
        <f>Liam!F1159+Liam!F1165+Liam!F1169</f>
        <v>39104.400000000001</v>
      </c>
      <c r="Q352" s="294">
        <f>H352-P352</f>
        <v>0</v>
      </c>
    </row>
    <row r="353" spans="2:17">
      <c r="B353" s="204" t="s">
        <v>101</v>
      </c>
      <c r="C353" s="531" cm="1">
        <f t="array" ref="C353:C354">Liam!K1134:K1135</f>
        <v>0.77777777777777779</v>
      </c>
      <c r="D353" s="531" cm="1">
        <f t="array" ref="D353:D354">Liam!L1134:L1135</f>
        <v>0.66666666666666663</v>
      </c>
      <c r="E353" s="531" cm="1">
        <f t="array" ref="E353:E354">Liam!M1134:M1135</f>
        <v>0.75</v>
      </c>
      <c r="F353" s="531" cm="1">
        <f t="array" ref="F353:F354">Liam!N1134:N1135</f>
        <v>0.625</v>
      </c>
      <c r="G353" s="719"/>
      <c r="H353" s="531" cm="1">
        <f t="array" ref="H353:H354">Liam!P1134:P1135</f>
        <v>0.7</v>
      </c>
      <c r="I353" s="683"/>
      <c r="J353" s="684"/>
      <c r="K353" s="542"/>
      <c r="L353" s="662"/>
      <c r="M353" s="659"/>
      <c r="N353" s="663"/>
      <c r="O353" s="661"/>
    </row>
    <row r="354" spans="2:17">
      <c r="B354" s="204" t="s">
        <v>48</v>
      </c>
      <c r="C354" s="533">
        <v>1693.7857142857142</v>
      </c>
      <c r="D354" s="533">
        <v>2602.1666666666665</v>
      </c>
      <c r="E354" s="533">
        <v>1644.9666666666665</v>
      </c>
      <c r="F354" s="533">
        <v>1340</v>
      </c>
      <c r="G354" s="720"/>
      <c r="H354" s="533">
        <v>1862.1142857142859</v>
      </c>
      <c r="I354" s="685"/>
      <c r="J354" s="686"/>
      <c r="K354" s="543"/>
      <c r="L354" s="664"/>
      <c r="M354" s="677"/>
      <c r="N354" s="665"/>
      <c r="O354" s="678"/>
    </row>
    <row r="355" spans="2:17">
      <c r="B355" s="195" t="s">
        <v>110</v>
      </c>
      <c r="C355" s="567">
        <f>'Rhys C'!K764</f>
        <v>5860</v>
      </c>
      <c r="D355" s="567">
        <f>'Rhys C'!L764</f>
        <v>18910.900000000001</v>
      </c>
      <c r="E355" s="567">
        <f>'Rhys C'!M764</f>
        <v>23104.2</v>
      </c>
      <c r="F355" s="567">
        <f>'Rhys C'!N764</f>
        <v>20175.169999999998</v>
      </c>
      <c r="G355" s="718"/>
      <c r="H355" s="567">
        <f>'Rhys C'!P764</f>
        <v>68050.27</v>
      </c>
      <c r="I355" s="681">
        <v>50000</v>
      </c>
      <c r="J355" s="682">
        <f>-I355+H355</f>
        <v>18050.270000000004</v>
      </c>
      <c r="K355" s="541"/>
      <c r="L355" s="658">
        <f>H355</f>
        <v>68050.27</v>
      </c>
      <c r="M355" s="675">
        <f>'Rhys C'!R764</f>
        <v>63498.37</v>
      </c>
      <c r="N355" s="660">
        <f>L355-M355</f>
        <v>4551.9000000000015</v>
      </c>
      <c r="O355" s="676">
        <f>'Rhys C'!S764</f>
        <v>0</v>
      </c>
      <c r="P355">
        <f>'Rhys C'!F777+'Rhys C'!F787+'Rhys C'!F795</f>
        <v>68050.27</v>
      </c>
      <c r="Q355" s="294">
        <f>H355-P355</f>
        <v>0</v>
      </c>
    </row>
    <row r="356" spans="2:17">
      <c r="B356" s="204" t="s">
        <v>101</v>
      </c>
      <c r="C356" s="531" cm="1">
        <f t="array" ref="C356:C357">'Rhys C'!K767:K768</f>
        <v>0.375</v>
      </c>
      <c r="D356" s="531" cm="1">
        <f t="array" ref="D356:D357">'Rhys C'!L767:L768</f>
        <v>0.66666666666666663</v>
      </c>
      <c r="E356" s="531" cm="1">
        <f t="array" ref="E356:E357">'Rhys C'!M767:M768</f>
        <v>0.42857142857142855</v>
      </c>
      <c r="F356" s="531" cm="1">
        <f t="array" ref="F356:F357">'Rhys C'!N767:N768</f>
        <v>0.66666666666666663</v>
      </c>
      <c r="G356" s="722"/>
      <c r="H356" s="531" cm="1">
        <f t="array" ref="H356:H357">'Rhys C'!P767:P768</f>
        <v>0.51851851851851849</v>
      </c>
      <c r="I356" s="683"/>
      <c r="J356" s="684"/>
      <c r="K356" s="542"/>
      <c r="L356" s="662"/>
      <c r="M356" s="659"/>
      <c r="N356" s="663"/>
      <c r="O356" s="661"/>
    </row>
    <row r="357" spans="2:17">
      <c r="B357" s="226" t="s">
        <v>48</v>
      </c>
      <c r="C357" s="533">
        <v>1953.3333333333333</v>
      </c>
      <c r="D357" s="533">
        <v>4727.7250000000004</v>
      </c>
      <c r="E357" s="533">
        <v>7701.4000000000005</v>
      </c>
      <c r="F357" s="533">
        <v>5043.7924999999996</v>
      </c>
      <c r="G357" s="723"/>
      <c r="H357" s="533">
        <v>4860.7335714285718</v>
      </c>
      <c r="I357" s="685"/>
      <c r="J357" s="686"/>
      <c r="K357" s="543"/>
      <c r="L357" s="664"/>
      <c r="M357" s="677"/>
      <c r="N357" s="665"/>
      <c r="O357" s="678"/>
    </row>
    <row r="358" spans="2:17">
      <c r="B358" s="195" t="s">
        <v>107</v>
      </c>
      <c r="C358" s="567">
        <f>'Shaun - No OT'!K1047</f>
        <v>13209</v>
      </c>
      <c r="D358" s="567">
        <f>'Shaun - No OT'!L1047</f>
        <v>11308.6</v>
      </c>
      <c r="E358" s="567">
        <f>'Shaun - No OT'!M1047</f>
        <v>8732.6</v>
      </c>
      <c r="F358" s="567">
        <f>'Shaun - No OT'!N1047</f>
        <v>9024.9</v>
      </c>
      <c r="G358" s="718"/>
      <c r="H358" s="567">
        <f>'Shaun - No OT'!P1047</f>
        <v>42275.1</v>
      </c>
      <c r="I358" s="681">
        <v>50000</v>
      </c>
      <c r="J358" s="682">
        <f>-I358+H358</f>
        <v>-7724.9000000000015</v>
      </c>
      <c r="K358" s="541"/>
      <c r="L358" s="658">
        <f>H358</f>
        <v>42275.1</v>
      </c>
      <c r="M358" s="675">
        <f>'Shaun - No OT'!R1047</f>
        <v>0</v>
      </c>
      <c r="N358" s="660">
        <f>L358-M358</f>
        <v>42275.1</v>
      </c>
      <c r="O358" s="676">
        <f>'Shaun - No OT'!S1047</f>
        <v>0</v>
      </c>
      <c r="P358">
        <f>'Shaun - No OT'!F1072+'Shaun - No OT'!F1077</f>
        <v>42275.1</v>
      </c>
      <c r="Q358" s="294">
        <f>H358-P358</f>
        <v>0</v>
      </c>
    </row>
    <row r="359" spans="2:17">
      <c r="B359" s="204" t="s">
        <v>101</v>
      </c>
      <c r="C359" s="531" cm="1">
        <f t="array" ref="C359:C360">'Shaun - No OT'!K1050:K1051</f>
        <v>0.33333333333333331</v>
      </c>
      <c r="D359" s="531" cm="1">
        <f t="array" ref="D359:D360">'Shaun - No OT'!L1050:L1051</f>
        <v>0.6</v>
      </c>
      <c r="E359" s="531" cm="1">
        <f t="array" ref="E359:E360">'Shaun - No OT'!M1050:M1051</f>
        <v>0.33333333333333331</v>
      </c>
      <c r="F359" s="531" cm="1">
        <f t="array" ref="F359:F360">'Shaun - No OT'!N1050:N1051</f>
        <v>0.33333333333333331</v>
      </c>
      <c r="G359" s="719"/>
      <c r="H359" s="531" cm="1">
        <f t="array" ref="H359:H360">'Shaun - No OT'!P1050:P1051</f>
        <v>0.40540540540540543</v>
      </c>
      <c r="I359" s="683"/>
      <c r="J359" s="684"/>
      <c r="K359" s="542"/>
      <c r="L359" s="662"/>
      <c r="M359" s="659"/>
      <c r="N359" s="663"/>
      <c r="O359" s="661"/>
    </row>
    <row r="360" spans="2:17">
      <c r="B360" s="226" t="s">
        <v>48</v>
      </c>
      <c r="C360" s="533">
        <v>4403</v>
      </c>
      <c r="D360" s="533">
        <v>1884.7666666666667</v>
      </c>
      <c r="E360" s="533">
        <v>2910.8666666666668</v>
      </c>
      <c r="F360" s="533">
        <v>3008.2999999999997</v>
      </c>
      <c r="G360" s="720"/>
      <c r="H360" s="533">
        <v>2818.3399999999997</v>
      </c>
      <c r="I360" s="685"/>
      <c r="J360" s="686"/>
      <c r="K360" s="543"/>
      <c r="L360" s="664"/>
      <c r="M360" s="677"/>
      <c r="N360" s="665"/>
      <c r="O360" s="678"/>
    </row>
    <row r="361" spans="2:17">
      <c r="B361" s="195" t="s">
        <v>122</v>
      </c>
      <c r="C361" s="567"/>
      <c r="D361" s="567"/>
      <c r="E361" s="567"/>
      <c r="F361" s="567"/>
      <c r="G361" s="718"/>
      <c r="H361" s="567"/>
      <c r="I361" s="681">
        <v>50000</v>
      </c>
      <c r="J361" s="682">
        <f>-I361+H361</f>
        <v>-50000</v>
      </c>
      <c r="K361" s="541">
        <f>'Otheniel - Junior'!Q19</f>
        <v>2332.5</v>
      </c>
      <c r="L361" s="658">
        <f>H361</f>
        <v>0</v>
      </c>
      <c r="M361" s="675">
        <f>'Shaun - No OT'!R1050</f>
        <v>0</v>
      </c>
      <c r="N361" s="660">
        <f>L361-M361</f>
        <v>0</v>
      </c>
      <c r="O361" s="676">
        <f>'Shaun - No OT'!S1050</f>
        <v>0</v>
      </c>
      <c r="P361">
        <v>0</v>
      </c>
      <c r="Q361" s="294">
        <f>H361-P361</f>
        <v>0</v>
      </c>
    </row>
    <row r="362" spans="2:17">
      <c r="B362" s="204" t="s">
        <v>101</v>
      </c>
      <c r="C362" s="531"/>
      <c r="D362" s="531"/>
      <c r="E362" s="531"/>
      <c r="F362" s="531"/>
      <c r="G362" s="719"/>
      <c r="H362" s="531"/>
      <c r="I362" s="683"/>
      <c r="J362" s="684"/>
      <c r="K362" s="542" cm="1">
        <f t="array" ref="K362:K363">'Otheniel - Junior'!Q22:Q23</f>
        <v>0.5</v>
      </c>
      <c r="L362" s="662"/>
      <c r="M362" s="659"/>
      <c r="N362" s="663"/>
      <c r="O362" s="661"/>
    </row>
    <row r="363" spans="2:17">
      <c r="B363" s="226" t="s">
        <v>48</v>
      </c>
      <c r="C363" s="533"/>
      <c r="D363" s="533"/>
      <c r="E363" s="533"/>
      <c r="F363" s="533"/>
      <c r="G363" s="720"/>
      <c r="H363" s="533"/>
      <c r="I363" s="685"/>
      <c r="J363" s="686"/>
      <c r="K363" s="543">
        <v>777.5</v>
      </c>
      <c r="L363" s="664"/>
      <c r="M363" s="677"/>
      <c r="N363" s="665"/>
      <c r="O363" s="678"/>
    </row>
    <row r="364" spans="2:17">
      <c r="B364" s="237" t="s">
        <v>102</v>
      </c>
      <c r="C364" s="238">
        <f>C340+C343+C346+C349+C352+C355+C358+C361</f>
        <v>81249.45</v>
      </c>
      <c r="D364" s="238">
        <f>D340+D343+D346+D349+D352+D355+D358+D361</f>
        <v>88302.6</v>
      </c>
      <c r="E364" s="238">
        <f>E340+E343+E346+E349+E352+E355+E358+E361</f>
        <v>56953.799999999996</v>
      </c>
      <c r="F364" s="238">
        <f>F340+F343+F346+F349+F352+F355+F358+F361</f>
        <v>70777.569999999992</v>
      </c>
      <c r="G364" s="238">
        <f>G340+G343+G346+G349+G352+G355+G358+G361</f>
        <v>0</v>
      </c>
      <c r="H364" s="239">
        <f>H340+H343+H346+H349+H352+H355+H358+H361</f>
        <v>297283.42</v>
      </c>
      <c r="I364" s="238">
        <f>I340+I343+I346+I349+I352+I355+I358+I361</f>
        <v>400000</v>
      </c>
      <c r="J364" s="240">
        <f>J340+J343+J346+J349+J352+J355+J358+J361</f>
        <v>-102716.58</v>
      </c>
      <c r="K364" s="241">
        <f>K340+K343+K346+K349+K352+K355+K358+K361</f>
        <v>2332.5</v>
      </c>
      <c r="L364" s="239">
        <f>L340+L343+L346+L349+L352+L355+L358+L361</f>
        <v>297283.42</v>
      </c>
      <c r="M364" s="240">
        <f>M340+M343+M346+M349+M352+M355+M358+M361</f>
        <v>149900.26999999999</v>
      </c>
      <c r="N364" s="241">
        <f>N340+N343+N346+N349+N352+N355+N358+N361</f>
        <v>147383.15</v>
      </c>
      <c r="O364" s="240">
        <f>O340+O343+O346+O349+O352+O355+O358+O361</f>
        <v>0</v>
      </c>
    </row>
    <row r="365" spans="2:17">
      <c r="B365" s="244" t="s">
        <v>103</v>
      </c>
      <c r="C365" s="244"/>
      <c r="D365" s="244"/>
      <c r="E365" s="244"/>
      <c r="F365" s="244"/>
      <c r="G365" s="244"/>
      <c r="H365" s="245">
        <f>H364+K364</f>
        <v>299615.92</v>
      </c>
      <c r="I365" s="246">
        <f>I364+J364</f>
        <v>297283.42</v>
      </c>
      <c r="J365" s="247"/>
      <c r="K365" s="248"/>
      <c r="L365" s="249"/>
      <c r="M365" s="250">
        <f>L364-N364</f>
        <v>149900.26999999999</v>
      </c>
      <c r="N365" s="251"/>
      <c r="O365" s="201"/>
    </row>
    <row r="368" spans="2:17">
      <c r="B368" s="171" t="s">
        <v>119</v>
      </c>
      <c r="C368" s="172" t="s">
        <v>123</v>
      </c>
      <c r="D368" s="173"/>
      <c r="E368" s="173"/>
      <c r="F368" s="173"/>
      <c r="G368" s="173"/>
      <c r="H368" s="173"/>
      <c r="I368" s="174" t="s">
        <v>88</v>
      </c>
      <c r="J368" s="175"/>
      <c r="K368" s="176"/>
      <c r="L368" s="177"/>
      <c r="M368" s="178"/>
      <c r="N368" s="179" t="s">
        <v>89</v>
      </c>
      <c r="O368" s="180" t="s">
        <v>29</v>
      </c>
    </row>
    <row r="369" spans="2:17">
      <c r="B369" s="630"/>
      <c r="C369" s="288" t="s">
        <v>91</v>
      </c>
      <c r="D369" s="289" t="s">
        <v>92</v>
      </c>
      <c r="E369" s="289" t="s">
        <v>93</v>
      </c>
      <c r="F369" s="289" t="s">
        <v>94</v>
      </c>
      <c r="G369" s="290" t="s">
        <v>95</v>
      </c>
      <c r="H369" s="290" t="s">
        <v>96</v>
      </c>
      <c r="I369" s="631" t="s">
        <v>97</v>
      </c>
      <c r="J369" s="632" t="s">
        <v>98</v>
      </c>
      <c r="K369" s="633" t="s">
        <v>29</v>
      </c>
      <c r="L369" s="634" t="s">
        <v>89</v>
      </c>
      <c r="M369" s="635" t="s">
        <v>99</v>
      </c>
      <c r="N369" s="636" t="s">
        <v>100</v>
      </c>
      <c r="O369" s="708" t="s">
        <v>99</v>
      </c>
    </row>
    <row r="370" spans="2:17">
      <c r="B370" s="195" t="s">
        <v>106</v>
      </c>
      <c r="C370" s="651">
        <f>'Ben - No OT'!K1194</f>
        <v>3423</v>
      </c>
      <c r="D370" s="651">
        <f>'Ben - No OT'!L1194</f>
        <v>26488.9</v>
      </c>
      <c r="E370" s="651">
        <f>'Ben - No OT'!M1194</f>
        <v>3141</v>
      </c>
      <c r="F370" s="651"/>
      <c r="G370" s="651"/>
      <c r="H370" s="651">
        <f>'Ben - No OT'!P1194</f>
        <v>33052.9</v>
      </c>
      <c r="I370" s="681">
        <v>50000</v>
      </c>
      <c r="J370" s="682">
        <f>-I370+H370</f>
        <v>-16947.099999999999</v>
      </c>
      <c r="K370" s="541"/>
      <c r="L370" s="658">
        <f>H370</f>
        <v>33052.9</v>
      </c>
      <c r="M370" s="659">
        <f>'Ben - No OT'!R1194</f>
        <v>0</v>
      </c>
      <c r="N370" s="660">
        <f>L370-M370</f>
        <v>33052.9</v>
      </c>
      <c r="O370" s="661">
        <f>'Ben - No OT'!S1194</f>
        <v>0</v>
      </c>
      <c r="P370">
        <f>'Ben - No OT'!F1213</f>
        <v>33052.9</v>
      </c>
      <c r="Q370" s="294">
        <f>H370-P370</f>
        <v>0</v>
      </c>
    </row>
    <row r="371" spans="2:17">
      <c r="B371" s="204" t="s">
        <v>101</v>
      </c>
      <c r="C371" s="531" cm="1">
        <f t="array" ref="C371:C372">'Ben - No OT'!K1197:K1198</f>
        <v>0.66666666666666663</v>
      </c>
      <c r="D371" s="531" cm="1">
        <f t="array" ref="D371:D372">'Ben - No OT'!L1197:L1198</f>
        <v>0.5714285714285714</v>
      </c>
      <c r="E371" s="531" cm="1">
        <f t="array" ref="E371:E372">'Ben - No OT'!M1197:M1198</f>
        <v>1</v>
      </c>
      <c r="F371" s="531"/>
      <c r="G371" s="531"/>
      <c r="H371" s="531" cm="1">
        <f t="array" ref="H371:H372">'Ben - No OT'!P1197:P1198</f>
        <v>0.69230769230769229</v>
      </c>
      <c r="I371" s="683"/>
      <c r="J371" s="684"/>
      <c r="K371" s="542"/>
      <c r="L371" s="662"/>
      <c r="M371" s="659"/>
      <c r="N371" s="663"/>
      <c r="O371" s="661"/>
    </row>
    <row r="372" spans="2:17">
      <c r="B372" s="204" t="s">
        <v>48</v>
      </c>
      <c r="C372" s="536">
        <v>1711.5</v>
      </c>
      <c r="D372" s="536">
        <v>6622.2250000000004</v>
      </c>
      <c r="E372" s="536">
        <v>1047</v>
      </c>
      <c r="F372" s="536"/>
      <c r="G372" s="536"/>
      <c r="H372" s="536">
        <v>3672.5444444444447</v>
      </c>
      <c r="I372" s="685"/>
      <c r="J372" s="686"/>
      <c r="K372" s="543"/>
      <c r="L372" s="664"/>
      <c r="M372" s="687"/>
      <c r="N372" s="665"/>
      <c r="O372" s="665"/>
    </row>
    <row r="373" spans="2:17">
      <c r="B373" s="195" t="s">
        <v>121</v>
      </c>
      <c r="C373" s="651">
        <f>Bradley!K419</f>
        <v>3740</v>
      </c>
      <c r="D373" s="651">
        <f>Bradley!L419</f>
        <v>3807</v>
      </c>
      <c r="E373" s="651">
        <f>Bradley!M419</f>
        <v>1053</v>
      </c>
      <c r="F373" s="651">
        <f>Bradley!N419</f>
        <v>1102</v>
      </c>
      <c r="G373" s="651">
        <f>Bradley!O419</f>
        <v>2342</v>
      </c>
      <c r="H373" s="651">
        <f>Bradley!P419</f>
        <v>12044</v>
      </c>
      <c r="I373" s="683">
        <v>50000</v>
      </c>
      <c r="J373" s="682">
        <f>-I373+H373</f>
        <v>-37956</v>
      </c>
      <c r="K373" s="541"/>
      <c r="L373" s="658">
        <f>H373</f>
        <v>12044</v>
      </c>
      <c r="M373" s="659">
        <f>Bradley!R419</f>
        <v>2999</v>
      </c>
      <c r="N373" s="660">
        <f>L373-M373</f>
        <v>9045</v>
      </c>
      <c r="O373" s="661">
        <f>Bradley!S419</f>
        <v>0</v>
      </c>
      <c r="P373">
        <f>Bradley!F439+Bradley!F444+Bradley!F448</f>
        <v>12044</v>
      </c>
      <c r="Q373" s="294">
        <f>H373-P373</f>
        <v>0</v>
      </c>
    </row>
    <row r="374" spans="2:17">
      <c r="B374" s="204" t="s">
        <v>101</v>
      </c>
      <c r="C374" s="531" cm="1">
        <f t="array" ref="C374:C375">Bradley!K422:K423</f>
        <v>0.375</v>
      </c>
      <c r="D374" s="531" cm="1">
        <f t="array" ref="D374:D375">Bradley!L422:L423</f>
        <v>0.5714285714285714</v>
      </c>
      <c r="E374" s="531" cm="1">
        <f t="array" ref="E374:E375">Bradley!M422:M423</f>
        <v>0.125</v>
      </c>
      <c r="F374" s="531" cm="1">
        <f t="array" ref="F374:F375">Bradley!N422:N423</f>
        <v>0.4</v>
      </c>
      <c r="G374" s="531" cm="1">
        <f t="array" ref="G374:G375">Bradley!O422:O423</f>
        <v>0.22222222222222221</v>
      </c>
      <c r="H374" s="531" cm="1">
        <f t="array" ref="H374:H375">Bradley!P422:P423</f>
        <v>0.32432432432432434</v>
      </c>
      <c r="I374" s="683"/>
      <c r="J374" s="684"/>
      <c r="K374" s="542"/>
      <c r="L374" s="662"/>
      <c r="M374" s="688"/>
      <c r="N374" s="663"/>
      <c r="O374" s="689"/>
    </row>
    <row r="375" spans="2:17">
      <c r="B375" s="204" t="s">
        <v>48</v>
      </c>
      <c r="C375" s="532">
        <v>1246.6666666666667</v>
      </c>
      <c r="D375" s="532">
        <v>951.75</v>
      </c>
      <c r="E375" s="532">
        <v>1053</v>
      </c>
      <c r="F375" s="532">
        <v>551</v>
      </c>
      <c r="G375" s="532">
        <v>1171</v>
      </c>
      <c r="H375" s="532">
        <v>1003.6666666666666</v>
      </c>
      <c r="I375" s="685"/>
      <c r="J375" s="684"/>
      <c r="K375" s="543"/>
      <c r="L375" s="662"/>
      <c r="M375" s="688"/>
      <c r="N375" s="663"/>
      <c r="O375" s="689"/>
    </row>
    <row r="376" spans="2:17">
      <c r="B376" s="195" t="s">
        <v>116</v>
      </c>
      <c r="C376" s="567">
        <f>Elliot!K757</f>
        <v>8309</v>
      </c>
      <c r="D376" s="567">
        <f>Elliot!L757</f>
        <v>1190</v>
      </c>
      <c r="E376" s="567">
        <f>Elliot!M757</f>
        <v>6626</v>
      </c>
      <c r="F376" s="567">
        <f>Elliot!N757</f>
        <v>4936</v>
      </c>
      <c r="G376" s="567">
        <f>Elliot!O757</f>
        <v>15882</v>
      </c>
      <c r="H376" s="567">
        <f>Elliot!P757</f>
        <v>36943</v>
      </c>
      <c r="I376" s="683">
        <v>50000</v>
      </c>
      <c r="J376" s="682">
        <f>-I376+H376</f>
        <v>-13057</v>
      </c>
      <c r="K376" s="541"/>
      <c r="L376" s="658">
        <f>H376</f>
        <v>36943</v>
      </c>
      <c r="M376" s="675">
        <f>Elliot!R757</f>
        <v>14618</v>
      </c>
      <c r="N376" s="660">
        <f>L376-M376</f>
        <v>22325</v>
      </c>
      <c r="O376" s="676">
        <f>Elliot!S757</f>
        <v>0</v>
      </c>
      <c r="P376">
        <f>Elliot!F781+Elliot!F786</f>
        <v>36943</v>
      </c>
      <c r="Q376" s="294">
        <f>H376-P376</f>
        <v>0</v>
      </c>
    </row>
    <row r="377" spans="2:17">
      <c r="B377" s="204" t="s">
        <v>101</v>
      </c>
      <c r="C377" s="531" cm="1">
        <f t="array" ref="C377:C378">Elliot!K760:K761</f>
        <v>0.5</v>
      </c>
      <c r="D377" s="531" cm="1">
        <f t="array" ref="D377:D378">Elliot!L760:L761</f>
        <v>0.33333333333333331</v>
      </c>
      <c r="E377" s="531" cm="1">
        <f t="array" ref="E377:E378">Elliot!M760:M761</f>
        <v>0.8</v>
      </c>
      <c r="F377" s="531" cm="1">
        <f t="array" ref="F377:F378">Elliot!N760:N761</f>
        <v>0.33333333333333331</v>
      </c>
      <c r="G377" s="531" cm="1">
        <f t="array" ref="G377:G378">Elliot!O760:O761</f>
        <v>0.33333333333333331</v>
      </c>
      <c r="H377" s="531" cm="1">
        <f t="array" ref="H377:H378">Elliot!P760:P761</f>
        <v>0.44117647058823528</v>
      </c>
      <c r="I377" s="683"/>
      <c r="J377" s="684"/>
      <c r="K377" s="542"/>
      <c r="L377" s="662"/>
      <c r="M377" s="659"/>
      <c r="N377" s="663"/>
      <c r="O377" s="661"/>
    </row>
    <row r="378" spans="2:17">
      <c r="B378" s="226" t="s">
        <v>48</v>
      </c>
      <c r="C378" s="533">
        <v>2077.25</v>
      </c>
      <c r="D378" s="533">
        <v>595</v>
      </c>
      <c r="E378" s="533">
        <v>1656.5</v>
      </c>
      <c r="F378" s="533">
        <v>1645.3333333333333</v>
      </c>
      <c r="G378" s="533">
        <v>7941</v>
      </c>
      <c r="H378" s="533">
        <v>2462.8666666666668</v>
      </c>
      <c r="I378" s="685"/>
      <c r="J378" s="686"/>
      <c r="K378" s="543"/>
      <c r="L378" s="664"/>
      <c r="M378" s="677"/>
      <c r="N378" s="665"/>
      <c r="O378" s="678"/>
    </row>
    <row r="379" spans="2:17">
      <c r="B379" s="195" t="s">
        <v>112</v>
      </c>
      <c r="C379" s="567">
        <f>'Jarrod - No OT'!K1082</f>
        <v>3319</v>
      </c>
      <c r="D379" s="567">
        <f>'Jarrod - No OT'!L1082</f>
        <v>14346.6</v>
      </c>
      <c r="E379" s="567">
        <f>'Jarrod - No OT'!M1082</f>
        <v>2500</v>
      </c>
      <c r="F379" s="567">
        <f>'Jarrod - No OT'!N1082</f>
        <v>8022</v>
      </c>
      <c r="G379" s="567">
        <f>'Jarrod - No OT'!O1082</f>
        <v>10259.209999999999</v>
      </c>
      <c r="H379" s="567">
        <f>'Jarrod - No OT'!P1082</f>
        <v>38446.81</v>
      </c>
      <c r="I379" s="681">
        <v>50000</v>
      </c>
      <c r="J379" s="682">
        <f>-I379+H379</f>
        <v>-11553.190000000002</v>
      </c>
      <c r="K379" s="541"/>
      <c r="L379" s="658">
        <f>H379</f>
        <v>38446.81</v>
      </c>
      <c r="M379" s="675">
        <f>'Jarrod - No OT'!R1082</f>
        <v>716</v>
      </c>
      <c r="N379" s="660">
        <f>L379-M379</f>
        <v>37730.81</v>
      </c>
      <c r="O379" s="676">
        <f>'Jarrod - No OT'!S1082</f>
        <v>0</v>
      </c>
      <c r="P379">
        <f>'Jarrod - No OT'!F1108+'Jarrod - No OT'!F1113</f>
        <v>38446.81</v>
      </c>
      <c r="Q379" s="294">
        <f>H379-P379</f>
        <v>0</v>
      </c>
    </row>
    <row r="380" spans="2:17">
      <c r="B380" s="204" t="s">
        <v>101</v>
      </c>
      <c r="C380" s="531" cm="1">
        <f t="array" ref="C380:C381">'Jarrod - No OT'!K1085:K1086</f>
        <v>0.3</v>
      </c>
      <c r="D380" s="531" cm="1">
        <f t="array" ref="D380:D381">'Jarrod - No OT'!L1085:L1086</f>
        <v>0.4</v>
      </c>
      <c r="E380" s="531" cm="1">
        <f t="array" ref="E380:E381">'Jarrod - No OT'!M1085:M1086</f>
        <v>0.375</v>
      </c>
      <c r="F380" s="531" cm="1">
        <f t="array" ref="F380:F381">'Jarrod - No OT'!N1085:N1086</f>
        <v>0.55555555555555558</v>
      </c>
      <c r="G380" s="531" cm="1">
        <f t="array" ref="G380:G381">'Jarrod - No OT'!O1085:O1086</f>
        <v>0.5</v>
      </c>
      <c r="H380" s="531" cm="1">
        <f t="array" ref="H380:H381">'Jarrod - No OT'!P1085:P1086</f>
        <v>0.42105263157894735</v>
      </c>
      <c r="I380" s="683"/>
      <c r="J380" s="684"/>
      <c r="K380" s="542"/>
      <c r="L380" s="662"/>
      <c r="M380" s="659"/>
      <c r="N380" s="663"/>
      <c r="O380" s="661"/>
    </row>
    <row r="381" spans="2:17">
      <c r="B381" s="226" t="s">
        <v>48</v>
      </c>
      <c r="C381" s="533">
        <v>1106.3333333333333</v>
      </c>
      <c r="D381" s="533">
        <v>7173.3</v>
      </c>
      <c r="E381" s="533">
        <v>833.33333333333337</v>
      </c>
      <c r="F381" s="533">
        <v>1604.4</v>
      </c>
      <c r="G381" s="533">
        <v>3419.7366666666662</v>
      </c>
      <c r="H381" s="533">
        <v>2402.9256249999999</v>
      </c>
      <c r="I381" s="685"/>
      <c r="J381" s="686"/>
      <c r="K381" s="543"/>
      <c r="L381" s="664"/>
      <c r="M381" s="677"/>
      <c r="N381" s="665"/>
      <c r="O381" s="678"/>
    </row>
    <row r="382" spans="2:17">
      <c r="B382" s="195" t="s">
        <v>122</v>
      </c>
      <c r="C382" s="567">
        <f>'Otheniel - Junior'!K69</f>
        <v>22652</v>
      </c>
      <c r="D382" s="567">
        <f>'Otheniel - Junior'!L69</f>
        <v>8694</v>
      </c>
      <c r="E382" s="567">
        <f>'Otheniel - Junior'!M69</f>
        <v>4633</v>
      </c>
      <c r="F382" s="567">
        <f>'Otheniel - Junior'!N69</f>
        <v>3704</v>
      </c>
      <c r="G382" s="567">
        <f>'Otheniel - Junior'!O69</f>
        <v>1461</v>
      </c>
      <c r="H382" s="567">
        <f>'Otheniel - Junior'!P69</f>
        <v>41144</v>
      </c>
      <c r="I382" s="681">
        <v>50000</v>
      </c>
      <c r="J382" s="682">
        <f>-I382+H382</f>
        <v>-8856</v>
      </c>
      <c r="K382" s="541"/>
      <c r="L382" s="658">
        <f>H382</f>
        <v>41144</v>
      </c>
      <c r="M382" s="675">
        <f>'Otheniel - Junior'!R69</f>
        <v>28181</v>
      </c>
      <c r="N382" s="660">
        <f>L382-M382</f>
        <v>12963</v>
      </c>
      <c r="O382" s="676">
        <f>'Otheniel - Junior'!S69</f>
        <v>0</v>
      </c>
      <c r="P382">
        <f>'Otheniel - Junior'!F92+'Otheniel - Junior'!F97+'Otheniel - Junior'!F103</f>
        <v>41144</v>
      </c>
      <c r="Q382" s="294">
        <f>H382-P382</f>
        <v>0</v>
      </c>
    </row>
    <row r="383" spans="2:17">
      <c r="B383" s="204" t="s">
        <v>101</v>
      </c>
      <c r="C383" s="531" cm="1">
        <f t="array" ref="C383:C384">'Otheniel - Junior'!K72:K73</f>
        <v>0.625</v>
      </c>
      <c r="D383" s="531" cm="1">
        <f t="array" ref="D383:D384">'Otheniel - Junior'!L72:L73</f>
        <v>0.8</v>
      </c>
      <c r="E383" s="531" cm="1">
        <f t="array" ref="E383:E384">'Otheniel - Junior'!M72:M73</f>
        <v>0.33333333333333331</v>
      </c>
      <c r="F383" s="531" cm="1">
        <f t="array" ref="F383:F384">'Otheniel - Junior'!N72:N73</f>
        <v>0.5714285714285714</v>
      </c>
      <c r="G383" s="531" cm="1">
        <f t="array" ref="G383:G384">'Otheniel - Junior'!O72:O73</f>
        <v>0.2</v>
      </c>
      <c r="H383" s="531" cm="1">
        <f t="array" ref="H383:H384">'Otheniel - Junior'!P72:P73</f>
        <v>0.5</v>
      </c>
      <c r="I383" s="683"/>
      <c r="J383" s="684"/>
      <c r="K383" s="542"/>
      <c r="L383" s="662"/>
      <c r="M383" s="659"/>
      <c r="N383" s="663"/>
      <c r="O383" s="661"/>
    </row>
    <row r="384" spans="2:17">
      <c r="B384" s="226" t="s">
        <v>48</v>
      </c>
      <c r="C384" s="533">
        <v>4530.3999999999996</v>
      </c>
      <c r="D384" s="533">
        <v>2173.5</v>
      </c>
      <c r="E384" s="533">
        <v>1544.3333333333333</v>
      </c>
      <c r="F384" s="533">
        <v>926</v>
      </c>
      <c r="G384" s="533">
        <v>1461</v>
      </c>
      <c r="H384" s="533">
        <v>2420.2352941176468</v>
      </c>
      <c r="I384" s="685"/>
      <c r="J384" s="686"/>
      <c r="K384" s="543"/>
      <c r="L384" s="664"/>
      <c r="M384" s="677"/>
      <c r="N384" s="665"/>
      <c r="O384" s="678"/>
    </row>
    <row r="385" spans="2:17">
      <c r="B385" s="195" t="s">
        <v>109</v>
      </c>
      <c r="C385" s="567">
        <f>Liam!K1220</f>
        <v>1264</v>
      </c>
      <c r="D385" s="567">
        <f>Liam!L1220</f>
        <v>4573.8500000000004</v>
      </c>
      <c r="E385" s="567">
        <f>Liam!M1220</f>
        <v>3702</v>
      </c>
      <c r="F385" s="567">
        <f>Liam!N1220</f>
        <v>14636</v>
      </c>
      <c r="G385" s="567">
        <f>Liam!O1220</f>
        <v>33406</v>
      </c>
      <c r="H385" s="567">
        <f>Liam!P1220</f>
        <v>57581.85</v>
      </c>
      <c r="I385" s="681">
        <v>50000</v>
      </c>
      <c r="J385" s="682">
        <f>-I385+H385</f>
        <v>7581.8499999999985</v>
      </c>
      <c r="K385" s="541"/>
      <c r="L385" s="658">
        <f>H385</f>
        <v>57581.85</v>
      </c>
      <c r="M385" s="675">
        <f>Liam!R1220</f>
        <v>25437.85</v>
      </c>
      <c r="N385" s="660">
        <f>L385-M385</f>
        <v>32144</v>
      </c>
      <c r="O385" s="676">
        <f>Liam!S1220</f>
        <v>0</v>
      </c>
      <c r="P385">
        <f>Liam!F1245+Liam!F1253+Liam!F1257</f>
        <v>57581.85</v>
      </c>
      <c r="Q385" s="294">
        <f>H385-P385</f>
        <v>0</v>
      </c>
    </row>
    <row r="386" spans="2:17">
      <c r="B386" s="204" t="s">
        <v>101</v>
      </c>
      <c r="C386" s="531" cm="1">
        <f t="array" ref="C386:C387">Liam!K1223:K1224</f>
        <v>0.2</v>
      </c>
      <c r="D386" s="531" cm="1">
        <f t="array" ref="D386:D387">Liam!L1223:L1224</f>
        <v>0.375</v>
      </c>
      <c r="E386" s="531" cm="1">
        <f t="array" ref="E386:E387">Liam!M1223:M1224</f>
        <v>0.5</v>
      </c>
      <c r="F386" s="531" cm="1">
        <f t="array" ref="F386:F387">Liam!N1223:N1224</f>
        <v>0.8</v>
      </c>
      <c r="G386" s="531" cm="1">
        <f t="array" ref="G386:G387">Liam!O1223:O1224</f>
        <v>0.625</v>
      </c>
      <c r="H386" s="531" cm="1">
        <f t="array" ref="H386:H387">Liam!P1223:P1224</f>
        <v>0.54054054054054057</v>
      </c>
      <c r="I386" s="683"/>
      <c r="J386" s="684"/>
      <c r="K386" s="542"/>
      <c r="L386" s="662"/>
      <c r="M386" s="659"/>
      <c r="N386" s="663"/>
      <c r="O386" s="661"/>
    </row>
    <row r="387" spans="2:17">
      <c r="B387" s="226" t="s">
        <v>48</v>
      </c>
      <c r="C387" s="533">
        <v>1264</v>
      </c>
      <c r="D387" s="533">
        <v>1524.6166666666668</v>
      </c>
      <c r="E387" s="533">
        <v>1234</v>
      </c>
      <c r="F387" s="533">
        <v>1829.5</v>
      </c>
      <c r="G387" s="533">
        <v>6681.2</v>
      </c>
      <c r="H387" s="533">
        <v>2879.0924999999997</v>
      </c>
      <c r="I387" s="685"/>
      <c r="J387" s="686"/>
      <c r="K387" s="543"/>
      <c r="L387" s="664"/>
      <c r="M387" s="677"/>
      <c r="N387" s="665"/>
      <c r="O387" s="678"/>
    </row>
    <row r="388" spans="2:17">
      <c r="B388" s="195" t="s">
        <v>124</v>
      </c>
      <c r="C388" s="532"/>
      <c r="D388" s="532"/>
      <c r="E388" s="567"/>
      <c r="F388" s="567">
        <f>Nicholas!N19</f>
        <v>6032.6</v>
      </c>
      <c r="G388" s="567">
        <f>Nicholas!O19</f>
        <v>4130.6000000000004</v>
      </c>
      <c r="H388" s="567">
        <f>Nicholas!P19</f>
        <v>10163.200000000001</v>
      </c>
      <c r="I388" s="681">
        <v>50000</v>
      </c>
      <c r="J388" s="682">
        <f>-I388+H388</f>
        <v>-39836.800000000003</v>
      </c>
      <c r="K388" s="561"/>
      <c r="L388" s="658">
        <f>H388</f>
        <v>10163.200000000001</v>
      </c>
      <c r="M388" s="659">
        <f>Nicholas!R19</f>
        <v>3414</v>
      </c>
      <c r="N388" s="660">
        <f>L388-M388</f>
        <v>6749.2000000000007</v>
      </c>
      <c r="O388" s="661">
        <f>Nicholas!S19</f>
        <v>0</v>
      </c>
      <c r="P388">
        <f>Nicholas!F34+Nicholas!F40+Nicholas!F44</f>
        <v>10163.200000000001</v>
      </c>
      <c r="Q388" s="294">
        <f>H388-P388</f>
        <v>0</v>
      </c>
    </row>
    <row r="389" spans="2:17">
      <c r="B389" s="204" t="s">
        <v>101</v>
      </c>
      <c r="C389" s="532"/>
      <c r="D389" s="532"/>
      <c r="E389" s="531"/>
      <c r="F389" s="531" cm="1">
        <f t="array" ref="F389:F390">Nicholas!N22:N23</f>
        <v>0.5</v>
      </c>
      <c r="G389" s="531" cm="1">
        <f t="array" ref="G389:G390">Nicholas!O22:O23</f>
        <v>0.5</v>
      </c>
      <c r="H389" s="531" cm="1">
        <f t="array" ref="H389:H390">Nicholas!P22:P23</f>
        <v>0.5</v>
      </c>
      <c r="I389" s="683"/>
      <c r="J389" s="684"/>
      <c r="K389" s="561"/>
      <c r="L389" s="662"/>
      <c r="M389" s="659"/>
      <c r="N389" s="663"/>
      <c r="O389" s="661"/>
    </row>
    <row r="390" spans="2:17">
      <c r="B390" s="226" t="s">
        <v>48</v>
      </c>
      <c r="C390" s="532"/>
      <c r="D390" s="532"/>
      <c r="E390" s="533"/>
      <c r="F390" s="533">
        <v>1508.15</v>
      </c>
      <c r="G390" s="533">
        <v>1032.6500000000001</v>
      </c>
      <c r="H390" s="533">
        <v>1270.4000000000001</v>
      </c>
      <c r="I390" s="683"/>
      <c r="J390" s="684"/>
      <c r="K390" s="561"/>
      <c r="L390" s="662"/>
      <c r="M390" s="659"/>
      <c r="N390" s="663"/>
      <c r="O390" s="661"/>
    </row>
    <row r="391" spans="2:17">
      <c r="B391" s="195" t="s">
        <v>110</v>
      </c>
      <c r="C391" s="567">
        <f>'Rhys C'!K855</f>
        <v>8745</v>
      </c>
      <c r="D391" s="567">
        <f>'Rhys C'!L855</f>
        <v>13748.6</v>
      </c>
      <c r="E391" s="567">
        <f>'Rhys C'!M855</f>
        <v>13867.66</v>
      </c>
      <c r="F391" s="567">
        <f>'Rhys C'!N855</f>
        <v>13065.8</v>
      </c>
      <c r="G391" s="567">
        <f>'Rhys C'!O855</f>
        <v>3667.8</v>
      </c>
      <c r="H391" s="567">
        <f>'Rhys C'!P855</f>
        <v>53094.86</v>
      </c>
      <c r="I391" s="681">
        <v>50000</v>
      </c>
      <c r="J391" s="682">
        <f>-I391+H391</f>
        <v>3094.8600000000006</v>
      </c>
      <c r="K391" s="541"/>
      <c r="L391" s="658">
        <f>H391</f>
        <v>53094.86</v>
      </c>
      <c r="M391" s="675">
        <f>'Rhys C'!R855</f>
        <v>10254.9</v>
      </c>
      <c r="N391" s="660">
        <f>L391-M391</f>
        <v>42839.96</v>
      </c>
      <c r="O391" s="676">
        <f>'Rhys C'!S855</f>
        <v>0</v>
      </c>
      <c r="P391">
        <f>'Rhys C'!F885+'Rhys C'!F900+'Rhys C'!F904</f>
        <v>53094.86</v>
      </c>
      <c r="Q391" s="294">
        <f>H391-P391</f>
        <v>0</v>
      </c>
    </row>
    <row r="392" spans="2:17">
      <c r="B392" s="204" t="s">
        <v>101</v>
      </c>
      <c r="C392" s="531" cm="1">
        <f t="array" ref="C392:C393">'Rhys C'!K858:K859</f>
        <v>0.5</v>
      </c>
      <c r="D392" s="531" cm="1">
        <f t="array" ref="D392:D393">'Rhys C'!L858:L859</f>
        <v>0.5</v>
      </c>
      <c r="E392" s="531" cm="1">
        <f t="array" ref="E392:E393">'Rhys C'!M858:M859</f>
        <v>0.5714285714285714</v>
      </c>
      <c r="F392" s="531" cm="1">
        <f t="array" ref="F392:F393">'Rhys C'!N858:N859</f>
        <v>0.625</v>
      </c>
      <c r="G392" s="531" cm="1">
        <f t="array" ref="G392:G393">'Rhys C'!O858:O859</f>
        <v>0.5714285714285714</v>
      </c>
      <c r="H392" s="531" cm="1">
        <f t="array" ref="H392:H393">'Rhys C'!P858:P859</f>
        <v>0.55263157894736847</v>
      </c>
      <c r="I392" s="683"/>
      <c r="J392" s="684"/>
      <c r="K392" s="542"/>
      <c r="L392" s="662"/>
      <c r="M392" s="659"/>
      <c r="N392" s="663"/>
      <c r="O392" s="661"/>
    </row>
    <row r="393" spans="2:17">
      <c r="B393" s="226" t="s">
        <v>48</v>
      </c>
      <c r="C393" s="533">
        <v>2186.25</v>
      </c>
      <c r="D393" s="533">
        <v>3437.15</v>
      </c>
      <c r="E393" s="533">
        <v>3466.915</v>
      </c>
      <c r="F393" s="533">
        <v>2613.16</v>
      </c>
      <c r="G393" s="533">
        <v>916.95</v>
      </c>
      <c r="H393" s="533">
        <v>2528.3266666666668</v>
      </c>
      <c r="I393" s="685"/>
      <c r="J393" s="686"/>
      <c r="K393" s="543"/>
      <c r="L393" s="664"/>
      <c r="M393" s="677"/>
      <c r="N393" s="665"/>
      <c r="O393" s="678"/>
    </row>
    <row r="394" spans="2:17">
      <c r="B394" s="195" t="s">
        <v>107</v>
      </c>
      <c r="C394" s="567">
        <f>'Shaun - No OT'!K1135</f>
        <v>8851.15</v>
      </c>
      <c r="D394" s="567">
        <f>'Shaun - No OT'!L1135</f>
        <v>24924.9</v>
      </c>
      <c r="E394" s="567">
        <f>'Shaun - No OT'!M1135</f>
        <v>22226.9</v>
      </c>
      <c r="F394" s="567">
        <f>'Shaun - No OT'!N1135</f>
        <v>2803</v>
      </c>
      <c r="G394" s="567">
        <f>'Shaun - No OT'!O1135</f>
        <v>8356</v>
      </c>
      <c r="H394" s="567">
        <f>'Shaun - No OT'!P1135</f>
        <v>67161.950000000012</v>
      </c>
      <c r="I394" s="681">
        <v>50000</v>
      </c>
      <c r="J394" s="682">
        <f>-I394+H394</f>
        <v>17161.950000000012</v>
      </c>
      <c r="K394" s="541">
        <f>'Shaun - No OT'!Q1135</f>
        <v>2062</v>
      </c>
      <c r="L394" s="658">
        <f>H394</f>
        <v>67161.950000000012</v>
      </c>
      <c r="M394" s="675">
        <f>'Shaun - No OT'!R1135</f>
        <v>25792.9</v>
      </c>
      <c r="N394" s="660">
        <f>L394-M394</f>
        <v>41369.05000000001</v>
      </c>
      <c r="O394" s="676">
        <f>'Shaun - No OT'!S1135</f>
        <v>0</v>
      </c>
      <c r="P394">
        <f>'Shaun - No OT'!F1159+'Shaun - No OT'!F1179+'Shaun - No OT'!F1183</f>
        <v>67161.950000000012</v>
      </c>
      <c r="Q394" s="294">
        <f>H394-P394</f>
        <v>0</v>
      </c>
    </row>
    <row r="395" spans="2:17">
      <c r="B395" s="204" t="s">
        <v>101</v>
      </c>
      <c r="C395" s="531" cm="1">
        <f t="array" ref="C395:C396">'Shaun - No OT'!K1138:K1139</f>
        <v>0.5714285714285714</v>
      </c>
      <c r="D395" s="531" cm="1">
        <f t="array" ref="D395:D396">'Shaun - No OT'!L1138:L1139</f>
        <v>0.42857142857142855</v>
      </c>
      <c r="E395" s="531" cm="1">
        <f t="array" ref="E395:E396">'Shaun - No OT'!M1138:M1139</f>
        <v>0.5714285714285714</v>
      </c>
      <c r="F395" s="531" cm="1">
        <f t="array" ref="F395:F396">'Shaun - No OT'!N1138:N1139</f>
        <v>0.33333333333333331</v>
      </c>
      <c r="G395" s="531" cm="1">
        <f t="array" ref="G395:G396">'Shaun - No OT'!O1138:O1139</f>
        <v>0.66666666666666663</v>
      </c>
      <c r="H395" s="531" cm="1">
        <f t="array" ref="H395:H396">'Shaun - No OT'!P1138:P1139</f>
        <v>0.51515151515151514</v>
      </c>
      <c r="I395" s="683"/>
      <c r="J395" s="684"/>
      <c r="K395" s="542" cm="1">
        <f t="array" ref="K395:K396">'Shaun - No OT'!Q1138:Q1139</f>
        <v>0.5</v>
      </c>
      <c r="L395" s="662"/>
      <c r="M395" s="659"/>
      <c r="N395" s="663"/>
      <c r="O395" s="661"/>
    </row>
    <row r="396" spans="2:17">
      <c r="B396" s="226" t="s">
        <v>48</v>
      </c>
      <c r="C396" s="533">
        <v>2212.7874999999999</v>
      </c>
      <c r="D396" s="533">
        <v>8308.3000000000011</v>
      </c>
      <c r="E396" s="533">
        <v>5556.7250000000004</v>
      </c>
      <c r="F396" s="533">
        <v>1401.5</v>
      </c>
      <c r="G396" s="533">
        <v>2089</v>
      </c>
      <c r="H396" s="533">
        <v>3950.7029411764711</v>
      </c>
      <c r="I396" s="685"/>
      <c r="J396" s="686"/>
      <c r="K396" s="543">
        <v>1031</v>
      </c>
      <c r="L396" s="664"/>
      <c r="M396" s="677"/>
      <c r="N396" s="665"/>
      <c r="O396" s="678"/>
    </row>
    <row r="397" spans="2:17">
      <c r="B397" s="237" t="s">
        <v>102</v>
      </c>
      <c r="C397" s="238">
        <f>C370+C373+C376+C379+C382+C385+C388+C391+C394</f>
        <v>60303.15</v>
      </c>
      <c r="D397" s="238">
        <f>D370+D373+D376+D379+D382+D385+D388+D391+D394</f>
        <v>97773.85</v>
      </c>
      <c r="E397" s="238">
        <f>E370+E373+E376+E379+E382+E385+E388+E391+E394</f>
        <v>57749.560000000005</v>
      </c>
      <c r="F397" s="238">
        <f>F370+F373+F376+F379+F382+F385+F388+F391+F394</f>
        <v>54301.399999999994</v>
      </c>
      <c r="G397" s="238">
        <f>G370+G373+G376+G379+G382+G385+G388+G391+G394</f>
        <v>79504.61</v>
      </c>
      <c r="H397" s="239">
        <f>H370+H373+H376+H379+H382+H385+H388+H391+H394</f>
        <v>349632.57</v>
      </c>
      <c r="I397" s="238">
        <f>I370+I373+I376+I379+I382+I385+I388+I391+I394</f>
        <v>450000</v>
      </c>
      <c r="J397" s="240">
        <f>J370+J373+J376+J379+J382+J385+J388+J391+J394</f>
        <v>-100367.43</v>
      </c>
      <c r="K397" s="241">
        <f>K370+K373+K376+K379+K382+K385+K388+K391+K394</f>
        <v>2062</v>
      </c>
      <c r="L397" s="239">
        <f>L370+L373+L376+L379+L382+L385+L388+L391+L394</f>
        <v>349632.57</v>
      </c>
      <c r="M397" s="240">
        <f>M370+M373+M376+M379+M382+M385+M388+M391+M394</f>
        <v>111413.65</v>
      </c>
      <c r="N397" s="241">
        <f>N370+N373+N376+N379+N382+N385+N388+N391+N394</f>
        <v>238218.92</v>
      </c>
      <c r="O397" s="240">
        <f>O370+O373+O376+O379+O382+O385+O388+O391+O394</f>
        <v>0</v>
      </c>
    </row>
    <row r="398" spans="2:17">
      <c r="B398" s="244" t="s">
        <v>103</v>
      </c>
      <c r="C398" s="244"/>
      <c r="D398" s="244"/>
      <c r="E398" s="244"/>
      <c r="F398" s="244"/>
      <c r="G398" s="244"/>
      <c r="H398" s="245">
        <f>H397+K397</f>
        <v>351694.57</v>
      </c>
      <c r="I398" s="246">
        <f>I397+J397</f>
        <v>349632.57</v>
      </c>
      <c r="J398" s="247"/>
      <c r="K398" s="248"/>
      <c r="L398" s="249"/>
      <c r="M398" s="250">
        <f>L397-N397</f>
        <v>111413.65</v>
      </c>
      <c r="N398" s="251"/>
      <c r="O398" s="201"/>
    </row>
    <row r="402" spans="2:17">
      <c r="B402" s="171" t="s">
        <v>119</v>
      </c>
      <c r="C402" s="172">
        <v>45942</v>
      </c>
      <c r="D402" s="173"/>
      <c r="E402" s="173"/>
      <c r="F402" s="173"/>
      <c r="G402" s="173"/>
      <c r="H402" s="173"/>
      <c r="I402" s="174" t="s">
        <v>88</v>
      </c>
      <c r="J402" s="175"/>
      <c r="K402" s="176"/>
      <c r="L402" s="177"/>
      <c r="M402" s="178"/>
      <c r="N402" s="179" t="s">
        <v>89</v>
      </c>
      <c r="O402" s="180" t="s">
        <v>29</v>
      </c>
    </row>
    <row r="403" spans="2:17">
      <c r="B403" s="630"/>
      <c r="C403" s="288" t="s">
        <v>91</v>
      </c>
      <c r="D403" s="289" t="s">
        <v>92</v>
      </c>
      <c r="E403" s="289" t="s">
        <v>93</v>
      </c>
      <c r="F403" s="289" t="s">
        <v>94</v>
      </c>
      <c r="G403" s="290" t="s">
        <v>95</v>
      </c>
      <c r="H403" s="290" t="s">
        <v>96</v>
      </c>
      <c r="I403" s="631" t="s">
        <v>97</v>
      </c>
      <c r="J403" s="632" t="s">
        <v>98</v>
      </c>
      <c r="K403" s="633" t="s">
        <v>29</v>
      </c>
      <c r="L403" s="634" t="s">
        <v>89</v>
      </c>
      <c r="M403" s="635" t="s">
        <v>99</v>
      </c>
      <c r="N403" s="636" t="s">
        <v>100</v>
      </c>
      <c r="O403" s="708" t="s">
        <v>99</v>
      </c>
    </row>
    <row r="404" spans="2:17">
      <c r="B404" s="195" t="s">
        <v>106</v>
      </c>
      <c r="C404" s="651">
        <f>'Ben - No OT'!K1254</f>
        <v>45237</v>
      </c>
      <c r="D404" s="651">
        <f>'Ben - No OT'!L1254</f>
        <v>13611.58</v>
      </c>
      <c r="E404" s="651">
        <f>'Ben - No OT'!M1254</f>
        <v>2155.9</v>
      </c>
      <c r="F404" s="651">
        <f>'Ben - No OT'!N1254</f>
        <v>3203</v>
      </c>
      <c r="G404" s="651">
        <f>'Ben - No OT'!O1254</f>
        <v>16012.6</v>
      </c>
      <c r="H404" s="651">
        <f>'Ben - No OT'!P1254</f>
        <v>80220.08</v>
      </c>
      <c r="I404" s="681">
        <v>50000</v>
      </c>
      <c r="J404" s="682">
        <f>-I404+H404</f>
        <v>30220.080000000002</v>
      </c>
      <c r="K404" s="541">
        <f>'Ben - No OT'!Q1254</f>
        <v>7593.6</v>
      </c>
      <c r="L404" s="658">
        <f>H404</f>
        <v>80220.08</v>
      </c>
      <c r="M404" s="659">
        <f>'Ben - No OT'!R1254</f>
        <v>51709.979999999996</v>
      </c>
      <c r="N404" s="660">
        <f>L404-M404</f>
        <v>28510.100000000006</v>
      </c>
      <c r="O404" s="661">
        <f>'Ben - No OT'!S1254</f>
        <v>6132.6</v>
      </c>
      <c r="P404">
        <f>'Ben - No OT'!F1279+'Ben - No OT'!F1298</f>
        <v>80220.08</v>
      </c>
      <c r="Q404" s="294">
        <f>H404-P404</f>
        <v>0</v>
      </c>
    </row>
    <row r="405" spans="2:17">
      <c r="B405" s="204" t="s">
        <v>101</v>
      </c>
      <c r="C405" s="531" cm="1">
        <f t="array" ref="C405:C406">'Ben - No OT'!K1257:K1258</f>
        <v>0.8571428571428571</v>
      </c>
      <c r="D405" s="531" cm="1">
        <f t="array" ref="D405:D406">'Ben - No OT'!L1257:L1258</f>
        <v>0.42857142857142855</v>
      </c>
      <c r="E405" s="531" cm="1">
        <f t="array" ref="E405:E406">'Ben - No OT'!M1257:M1258</f>
        <v>0.4</v>
      </c>
      <c r="F405" s="531" cm="1">
        <f t="array" ref="F405:F406">'Ben - No OT'!N1257:N1258</f>
        <v>0.5</v>
      </c>
      <c r="G405" s="531" cm="1">
        <f t="array" ref="G405:G406">'Ben - No OT'!O1257:O1258</f>
        <v>0.83333333333333337</v>
      </c>
      <c r="H405" s="531" cm="1">
        <f t="array" ref="H405:H406">'Ben - No OT'!P1257:P1258</f>
        <v>0.61290322580645162</v>
      </c>
      <c r="I405" s="683"/>
      <c r="J405" s="684"/>
      <c r="K405" s="542" cm="1">
        <f t="array" ref="K405:K406">'Ben - No OT'!Q1257:Q1258</f>
        <v>0.4</v>
      </c>
      <c r="L405" s="662"/>
      <c r="M405" s="659"/>
      <c r="N405" s="663"/>
      <c r="O405" s="661"/>
    </row>
    <row r="406" spans="2:17">
      <c r="B406" s="204" t="s">
        <v>48</v>
      </c>
      <c r="C406" s="536">
        <v>7539.5</v>
      </c>
      <c r="D406" s="536">
        <v>4537.1933333333336</v>
      </c>
      <c r="E406" s="536">
        <v>1077.95</v>
      </c>
      <c r="F406" s="536">
        <v>1067.6666666666667</v>
      </c>
      <c r="G406" s="536">
        <v>3202.52</v>
      </c>
      <c r="H406" s="536">
        <v>4222.1094736842106</v>
      </c>
      <c r="I406" s="685"/>
      <c r="J406" s="686"/>
      <c r="K406" s="543">
        <v>3796.8</v>
      </c>
      <c r="L406" s="664"/>
      <c r="M406" s="687"/>
      <c r="N406" s="665"/>
      <c r="O406" s="665"/>
    </row>
    <row r="407" spans="2:17">
      <c r="B407" s="195" t="s">
        <v>121</v>
      </c>
      <c r="C407" s="651">
        <f>Bradley!K507</f>
        <v>6976</v>
      </c>
      <c r="D407" s="651">
        <f>Bradley!L507</f>
        <v>9895</v>
      </c>
      <c r="E407" s="651">
        <f>Bradley!M507</f>
        <v>2458</v>
      </c>
      <c r="F407" s="651">
        <f>Bradley!N507</f>
        <v>5259</v>
      </c>
      <c r="G407" s="651">
        <f>Bradley!O507</f>
        <v>12814</v>
      </c>
      <c r="H407" s="651">
        <f>Bradley!P507</f>
        <v>37402</v>
      </c>
      <c r="I407" s="683">
        <v>50000</v>
      </c>
      <c r="J407" s="682">
        <f>-I407+H407</f>
        <v>-12598</v>
      </c>
      <c r="K407" s="541"/>
      <c r="L407" s="658">
        <f>H407</f>
        <v>37402</v>
      </c>
      <c r="M407" s="659">
        <f>Bradley!R507</f>
        <v>22525</v>
      </c>
      <c r="N407" s="660">
        <f>L407-M407</f>
        <v>14877</v>
      </c>
      <c r="O407" s="661">
        <f>Bradley!S507</f>
        <v>0</v>
      </c>
      <c r="P407">
        <f>Bradley!F525+Bradley!F533+Bradley!F537</f>
        <v>37402</v>
      </c>
      <c r="Q407" s="294">
        <f>H407-P407</f>
        <v>0</v>
      </c>
    </row>
    <row r="408" spans="2:17">
      <c r="B408" s="204" t="s">
        <v>101</v>
      </c>
      <c r="C408" s="531" cm="1">
        <f t="array" ref="C408:C409">Bradley!K510:K511</f>
        <v>0.5</v>
      </c>
      <c r="D408" s="531" cm="1">
        <f t="array" ref="D408:D409">Bradley!L510:L511</f>
        <v>0.2857142857142857</v>
      </c>
      <c r="E408" s="531" cm="1">
        <f t="array" ref="E408:E409">Bradley!M510:M511</f>
        <v>0.42857142857142855</v>
      </c>
      <c r="F408" s="531" cm="1">
        <f t="array" ref="F408:F409">Bradley!N510:N511</f>
        <v>0.375</v>
      </c>
      <c r="G408" s="531" cm="1">
        <f t="array" ref="G408:G409">Bradley!O510:O511</f>
        <v>0.5</v>
      </c>
      <c r="H408" s="531" cm="1">
        <f t="array" ref="H408:H409">Bradley!P510:P511</f>
        <v>0.40625</v>
      </c>
      <c r="I408" s="683"/>
      <c r="J408" s="684"/>
      <c r="K408" s="542"/>
      <c r="L408" s="662"/>
      <c r="M408" s="688"/>
      <c r="N408" s="663"/>
      <c r="O408" s="689"/>
    </row>
    <row r="409" spans="2:17">
      <c r="B409" s="204" t="s">
        <v>48</v>
      </c>
      <c r="C409" s="532">
        <v>2325.3333333333335</v>
      </c>
      <c r="D409" s="532">
        <v>4947.5</v>
      </c>
      <c r="E409" s="532">
        <v>819.33333333333337</v>
      </c>
      <c r="F409" s="532">
        <v>1753</v>
      </c>
      <c r="G409" s="532">
        <v>6407</v>
      </c>
      <c r="H409" s="532">
        <v>2877.0769230769229</v>
      </c>
      <c r="I409" s="685"/>
      <c r="J409" s="684"/>
      <c r="K409" s="543"/>
      <c r="L409" s="662"/>
      <c r="M409" s="688"/>
      <c r="N409" s="663"/>
      <c r="O409" s="689"/>
    </row>
    <row r="410" spans="2:17">
      <c r="B410" s="195" t="s">
        <v>116</v>
      </c>
      <c r="C410" s="567">
        <f>Elliot!K842</f>
        <v>20158</v>
      </c>
      <c r="D410" s="567">
        <f>Elliot!L842</f>
        <v>4633</v>
      </c>
      <c r="E410" s="567">
        <f>Elliot!M842</f>
        <v>1262</v>
      </c>
      <c r="F410" s="567">
        <f>Elliot!N842</f>
        <v>5269</v>
      </c>
      <c r="G410" s="567">
        <f>Elliot!O842</f>
        <v>2819</v>
      </c>
      <c r="H410" s="567">
        <f>Elliot!P842</f>
        <v>34141</v>
      </c>
      <c r="I410" s="683">
        <v>50000</v>
      </c>
      <c r="J410" s="682">
        <f>-I410+H410</f>
        <v>-15859</v>
      </c>
      <c r="K410" s="541"/>
      <c r="L410" s="658">
        <f>H410</f>
        <v>34141</v>
      </c>
      <c r="M410" s="675">
        <f>Elliot!R842</f>
        <v>4952</v>
      </c>
      <c r="N410" s="660">
        <f>L410-M410</f>
        <v>29189</v>
      </c>
      <c r="O410" s="676">
        <f>Elliot!S842</f>
        <v>0</v>
      </c>
      <c r="P410">
        <f>Elliot!F867+Elliot!F879</f>
        <v>34141</v>
      </c>
      <c r="Q410" s="294">
        <f>H410-P410</f>
        <v>0</v>
      </c>
    </row>
    <row r="411" spans="2:17">
      <c r="B411" s="204" t="s">
        <v>101</v>
      </c>
      <c r="C411" s="531" cm="1">
        <f t="array" ref="C411:C412">Elliot!K845:K846</f>
        <v>0.63636363636363635</v>
      </c>
      <c r="D411" s="531" cm="1">
        <f t="array" ref="D411:D412">Elliot!L845:L846</f>
        <v>0.2</v>
      </c>
      <c r="E411" s="531" cm="1">
        <f t="array" ref="E411:E412">Elliot!M845:M846</f>
        <v>0.2857142857142857</v>
      </c>
      <c r="F411" s="531" cm="1">
        <f t="array" ref="F411:F412">Elliot!N845:N846</f>
        <v>0.44444444444444442</v>
      </c>
      <c r="G411" s="531" cm="1">
        <f t="array" ref="G411:G412">Elliot!O845:O846</f>
        <v>0.2857142857142857</v>
      </c>
      <c r="H411" s="531" cm="1">
        <f t="array" ref="H411:H412">Elliot!P845:P846</f>
        <v>0.38636363636363635</v>
      </c>
      <c r="I411" s="683"/>
      <c r="J411" s="684"/>
      <c r="K411" s="542"/>
      <c r="L411" s="662"/>
      <c r="M411" s="659"/>
      <c r="N411" s="663"/>
      <c r="O411" s="661"/>
    </row>
    <row r="412" spans="2:17">
      <c r="B412" s="226" t="s">
        <v>48</v>
      </c>
      <c r="C412" s="533">
        <v>2879.7142857142858</v>
      </c>
      <c r="D412" s="533">
        <v>2316.5</v>
      </c>
      <c r="E412" s="533">
        <v>631</v>
      </c>
      <c r="F412" s="533">
        <v>1317.25</v>
      </c>
      <c r="G412" s="533">
        <v>1409.5</v>
      </c>
      <c r="H412" s="533">
        <v>2008.2941176470588</v>
      </c>
      <c r="I412" s="685"/>
      <c r="J412" s="686"/>
      <c r="K412" s="543"/>
      <c r="L412" s="664"/>
      <c r="M412" s="677"/>
      <c r="N412" s="665"/>
      <c r="O412" s="678"/>
    </row>
    <row r="413" spans="2:17">
      <c r="B413" s="195" t="s">
        <v>112</v>
      </c>
      <c r="C413" s="567"/>
      <c r="D413" s="567">
        <f>'Jarrod - No OT'!L1181</f>
        <v>11260</v>
      </c>
      <c r="E413" s="567">
        <f>'Jarrod - No OT'!M1181</f>
        <v>2403</v>
      </c>
      <c r="F413" s="567">
        <f>'Jarrod - No OT'!N1181</f>
        <v>5553</v>
      </c>
      <c r="G413" s="567">
        <f>'Jarrod - No OT'!O1181</f>
        <v>26387.55</v>
      </c>
      <c r="H413" s="567">
        <f>'Jarrod - No OT'!P1181</f>
        <v>45603.55</v>
      </c>
      <c r="I413" s="681">
        <v>50000</v>
      </c>
      <c r="J413" s="682">
        <f>-I413+H413</f>
        <v>-4396.4499999999971</v>
      </c>
      <c r="K413" s="541"/>
      <c r="L413" s="658">
        <f>H413</f>
        <v>45603.55</v>
      </c>
      <c r="M413" s="675">
        <f>'Jarrod - No OT'!R1181</f>
        <v>31959.55</v>
      </c>
      <c r="N413" s="660">
        <f>L413-M413</f>
        <v>13644.000000000004</v>
      </c>
      <c r="O413" s="676">
        <f>'Jarrod - No OT'!S1181</f>
        <v>0</v>
      </c>
      <c r="P413">
        <f>'Jarrod - No OT'!F1202+'Jarrod - No OT'!F1219</f>
        <v>45603.55</v>
      </c>
      <c r="Q413" s="294">
        <f>H413-P413</f>
        <v>0</v>
      </c>
    </row>
    <row r="414" spans="2:17">
      <c r="B414" s="204" t="s">
        <v>101</v>
      </c>
      <c r="C414" s="531"/>
      <c r="D414" s="531" cm="1">
        <f t="array" ref="D414:D415">'Jarrod - No OT'!L1184:L1185</f>
        <v>0.5</v>
      </c>
      <c r="E414" s="531" cm="1">
        <f t="array" ref="E414:E415">'Jarrod - No OT'!M1184:M1185</f>
        <v>0.66666666666666663</v>
      </c>
      <c r="F414" s="531" cm="1">
        <f t="array" ref="F414:F415">'Jarrod - No OT'!N1184:N1185</f>
        <v>0.33333333333333331</v>
      </c>
      <c r="G414" s="531" cm="1">
        <f t="array" ref="G414:G415">'Jarrod - No OT'!O1184:O1185</f>
        <v>0.625</v>
      </c>
      <c r="H414" s="531" cm="1">
        <f t="array" ref="H414:H415">'Jarrod - No OT'!P1184:P1185</f>
        <v>0.5</v>
      </c>
      <c r="I414" s="683"/>
      <c r="J414" s="684"/>
      <c r="K414" s="542"/>
      <c r="L414" s="662"/>
      <c r="M414" s="659"/>
      <c r="N414" s="663"/>
      <c r="O414" s="661"/>
    </row>
    <row r="415" spans="2:17">
      <c r="B415" s="226" t="s">
        <v>48</v>
      </c>
      <c r="C415" s="533"/>
      <c r="D415" s="533">
        <v>2815</v>
      </c>
      <c r="E415" s="533">
        <v>1201.5</v>
      </c>
      <c r="F415" s="533">
        <v>1851</v>
      </c>
      <c r="G415" s="533">
        <v>5277.51</v>
      </c>
      <c r="H415" s="533">
        <v>3257.3964285714287</v>
      </c>
      <c r="I415" s="685"/>
      <c r="J415" s="686"/>
      <c r="K415" s="543"/>
      <c r="L415" s="664"/>
      <c r="M415" s="677"/>
      <c r="N415" s="665"/>
      <c r="O415" s="678"/>
    </row>
    <row r="416" spans="2:17">
      <c r="B416" s="195" t="s">
        <v>122</v>
      </c>
      <c r="C416" s="567">
        <f>'Otheniel - Junior'!K144</f>
        <v>5934.9</v>
      </c>
      <c r="D416" s="567">
        <f>'Otheniel - Junior'!L144</f>
        <v>5861</v>
      </c>
      <c r="E416" s="567">
        <f>'Otheniel - Junior'!M144</f>
        <v>4116</v>
      </c>
      <c r="F416" s="567">
        <f>'Otheniel - Junior'!N144</f>
        <v>2768.6</v>
      </c>
      <c r="G416" s="567">
        <f>'Otheniel - Junior'!O144</f>
        <v>4591</v>
      </c>
      <c r="H416" s="567">
        <f>'Otheniel - Junior'!P144</f>
        <v>23271.5</v>
      </c>
      <c r="I416" s="681">
        <v>50000</v>
      </c>
      <c r="J416" s="682">
        <f>-I416+H416</f>
        <v>-26728.5</v>
      </c>
      <c r="K416" s="541"/>
      <c r="L416" s="658">
        <f>H416</f>
        <v>23271.5</v>
      </c>
      <c r="M416" s="675">
        <f>'Otheniel - Junior'!R144</f>
        <v>3336.6</v>
      </c>
      <c r="N416" s="660">
        <f>L416-M416</f>
        <v>19934.900000000001</v>
      </c>
      <c r="O416" s="676">
        <f>'Otheniel - Junior'!S144</f>
        <v>0</v>
      </c>
      <c r="P416">
        <f>'Otheniel - Junior'!F171+'Otheniel - Junior'!F183+'Otheniel - Junior'!F188</f>
        <v>23271.5</v>
      </c>
      <c r="Q416" s="294">
        <f>H416-P416</f>
        <v>0</v>
      </c>
    </row>
    <row r="417" spans="2:17">
      <c r="B417" s="204" t="s">
        <v>101</v>
      </c>
      <c r="C417" s="531" cm="1">
        <f t="array" ref="C417:C418">'Otheniel - Junior'!K147:K148</f>
        <v>0.83333333333333337</v>
      </c>
      <c r="D417" s="531" cm="1">
        <f t="array" ref="D417:D418">'Otheniel - Junior'!L147:L148</f>
        <v>0.625</v>
      </c>
      <c r="E417" s="531" cm="1">
        <f t="array" ref="E417:E418">'Otheniel - Junior'!M147:M148</f>
        <v>0.8</v>
      </c>
      <c r="F417" s="531" cm="1">
        <f t="array" ref="F417:F418">'Otheniel - Junior'!N147:N148</f>
        <v>0.4</v>
      </c>
      <c r="G417" s="531" cm="1">
        <f t="array" ref="G417:G418">'Otheniel - Junior'!O147:O148</f>
        <v>0.5</v>
      </c>
      <c r="H417" s="531" cm="1">
        <f t="array" ref="H417:H418">'Otheniel - Junior'!P147:P148</f>
        <v>0.6333333333333333</v>
      </c>
      <c r="I417" s="683"/>
      <c r="J417" s="684"/>
      <c r="K417" s="542"/>
      <c r="L417" s="662"/>
      <c r="M417" s="659"/>
      <c r="N417" s="663"/>
      <c r="O417" s="661"/>
    </row>
    <row r="418" spans="2:17">
      <c r="B418" s="226" t="s">
        <v>48</v>
      </c>
      <c r="C418" s="533">
        <v>1186.98</v>
      </c>
      <c r="D418" s="533">
        <v>1172.2</v>
      </c>
      <c r="E418" s="533">
        <v>1029</v>
      </c>
      <c r="F418" s="533">
        <v>1384.3</v>
      </c>
      <c r="G418" s="533">
        <v>1530.3333333333333</v>
      </c>
      <c r="H418" s="533">
        <v>1224.8157894736842</v>
      </c>
      <c r="I418" s="685"/>
      <c r="J418" s="686"/>
      <c r="K418" s="543"/>
      <c r="L418" s="664"/>
      <c r="M418" s="677"/>
      <c r="N418" s="665"/>
      <c r="O418" s="678"/>
    </row>
    <row r="419" spans="2:17">
      <c r="B419" s="195" t="s">
        <v>109</v>
      </c>
      <c r="C419" s="567"/>
      <c r="D419" s="567"/>
      <c r="E419" s="567"/>
      <c r="F419" s="567">
        <f>Liam!N1319</f>
        <v>2614</v>
      </c>
      <c r="G419" s="567">
        <f>Liam!O1319</f>
        <v>10217</v>
      </c>
      <c r="H419" s="567">
        <f>Liam!P1319</f>
        <v>12831</v>
      </c>
      <c r="I419" s="681">
        <v>50000</v>
      </c>
      <c r="J419" s="682">
        <f>-I419+H419</f>
        <v>-37169</v>
      </c>
      <c r="K419" s="541"/>
      <c r="L419" s="658">
        <f>H419</f>
        <v>12831</v>
      </c>
      <c r="M419" s="675">
        <f>Liam!R1319</f>
        <v>12150</v>
      </c>
      <c r="N419" s="660">
        <f>L419-M419</f>
        <v>681</v>
      </c>
      <c r="O419" s="676">
        <f>Liam!S1319</f>
        <v>0</v>
      </c>
      <c r="P419">
        <f>Liam!F1330+Liam!F1335+Liam!F1341</f>
        <v>12831</v>
      </c>
      <c r="Q419" s="294">
        <f>H419-P419</f>
        <v>0</v>
      </c>
    </row>
    <row r="420" spans="2:17">
      <c r="B420" s="204" t="s">
        <v>101</v>
      </c>
      <c r="C420" s="531"/>
      <c r="D420" s="531"/>
      <c r="E420" s="531"/>
      <c r="F420" s="531" cm="1">
        <f t="array" ref="F420:F421">Liam!N1322:N1323</f>
        <v>0.33333333333333331</v>
      </c>
      <c r="G420" s="531" cm="1">
        <f t="array" ref="G420:G421">Liam!O1322:O1323</f>
        <v>0.66666666666666663</v>
      </c>
      <c r="H420" s="531" cm="1">
        <f t="array" ref="H420:H421">Liam!P1322:P1323</f>
        <v>0.55555555555555558</v>
      </c>
      <c r="I420" s="683"/>
      <c r="J420" s="684"/>
      <c r="K420" s="542"/>
      <c r="L420" s="662"/>
      <c r="M420" s="659"/>
      <c r="N420" s="663"/>
      <c r="O420" s="661"/>
    </row>
    <row r="421" spans="2:17">
      <c r="B421" s="226" t="s">
        <v>48</v>
      </c>
      <c r="C421" s="533"/>
      <c r="D421" s="533"/>
      <c r="E421" s="533"/>
      <c r="F421" s="533">
        <v>2614</v>
      </c>
      <c r="G421" s="533">
        <v>2554.25</v>
      </c>
      <c r="H421" s="533">
        <v>2566.1999999999998</v>
      </c>
      <c r="I421" s="685"/>
      <c r="J421" s="686"/>
      <c r="K421" s="543"/>
      <c r="L421" s="664"/>
      <c r="M421" s="677"/>
      <c r="N421" s="665"/>
      <c r="O421" s="678"/>
    </row>
    <row r="422" spans="2:17">
      <c r="B422" s="195" t="s">
        <v>125</v>
      </c>
      <c r="C422" s="567">
        <f>'Matthew H - No OT'!K396</f>
        <v>1752</v>
      </c>
      <c r="D422" s="567"/>
      <c r="E422" s="567"/>
      <c r="F422" s="567"/>
      <c r="G422" s="567"/>
      <c r="H422" s="567">
        <f>'Matthew H - No OT'!P396</f>
        <v>1752</v>
      </c>
      <c r="I422" s="681">
        <v>50000</v>
      </c>
      <c r="J422" s="682">
        <f>-I422+H422</f>
        <v>-48248</v>
      </c>
      <c r="K422" s="541"/>
      <c r="L422" s="658">
        <f>H422</f>
        <v>1752</v>
      </c>
      <c r="M422" s="675">
        <f>'Matthew H - No OT'!R396</f>
        <v>0</v>
      </c>
      <c r="N422" s="660">
        <f>L422-M422</f>
        <v>1752</v>
      </c>
      <c r="O422" s="676">
        <f>'Matthew H - No OT'!S396</f>
        <v>0</v>
      </c>
      <c r="P422">
        <f>'Matthew H - No OT'!F408</f>
        <v>1752</v>
      </c>
      <c r="Q422" s="294">
        <f>H422-P422</f>
        <v>0</v>
      </c>
    </row>
    <row r="423" spans="2:17">
      <c r="B423" s="204" t="s">
        <v>101</v>
      </c>
      <c r="C423" s="531" cm="1">
        <f t="array" ref="C423:C424">'Matthew H - No OT'!K399:K400</f>
        <v>1</v>
      </c>
      <c r="D423" s="531"/>
      <c r="E423" s="531"/>
      <c r="F423" s="531"/>
      <c r="G423" s="531"/>
      <c r="H423" s="531" cm="1">
        <f t="array" ref="H423:H424">'Matthew H - No OT'!P399:P400</f>
        <v>1</v>
      </c>
      <c r="I423" s="683"/>
      <c r="J423" s="684"/>
      <c r="K423" s="542"/>
      <c r="L423" s="662"/>
      <c r="M423" s="659"/>
      <c r="N423" s="663"/>
      <c r="O423" s="661"/>
    </row>
    <row r="424" spans="2:17">
      <c r="B424" s="226" t="s">
        <v>48</v>
      </c>
      <c r="C424" s="533">
        <v>1752</v>
      </c>
      <c r="D424" s="533"/>
      <c r="E424" s="533"/>
      <c r="F424" s="533"/>
      <c r="G424" s="533"/>
      <c r="H424" s="533">
        <v>1752</v>
      </c>
      <c r="I424" s="685"/>
      <c r="J424" s="686"/>
      <c r="K424" s="543"/>
      <c r="L424" s="664"/>
      <c r="M424" s="677"/>
      <c r="N424" s="665"/>
      <c r="O424" s="678"/>
    </row>
    <row r="425" spans="2:17">
      <c r="B425" s="195" t="s">
        <v>124</v>
      </c>
      <c r="C425" s="567"/>
      <c r="D425" s="567">
        <f>Nicholas!L76</f>
        <v>965.1</v>
      </c>
      <c r="E425" s="567"/>
      <c r="F425" s="567"/>
      <c r="G425" s="567"/>
      <c r="H425" s="567">
        <f>Nicholas!P76</f>
        <v>965.1</v>
      </c>
      <c r="I425" s="681">
        <v>50000</v>
      </c>
      <c r="J425" s="682">
        <f>-I425+H425</f>
        <v>-49034.9</v>
      </c>
      <c r="K425" s="561"/>
      <c r="L425" s="658">
        <f>H425</f>
        <v>965.1</v>
      </c>
      <c r="M425" s="659">
        <f>Nicholas!R76</f>
        <v>0</v>
      </c>
      <c r="N425" s="660">
        <f>L425-M425</f>
        <v>965.1</v>
      </c>
      <c r="O425" s="661">
        <f>Nicholas!S76</f>
        <v>0</v>
      </c>
      <c r="P425">
        <f>Nicholas!F88</f>
        <v>965.1</v>
      </c>
      <c r="Q425" s="294">
        <f>H425-P425</f>
        <v>0</v>
      </c>
    </row>
    <row r="426" spans="2:17">
      <c r="B426" s="204" t="s">
        <v>101</v>
      </c>
      <c r="C426" s="531"/>
      <c r="D426" s="531" cm="1">
        <f t="array" ref="D426:D427">Nicholas!L79:L80</f>
        <v>0.66666666666666663</v>
      </c>
      <c r="E426" s="531"/>
      <c r="F426" s="531"/>
      <c r="G426" s="531"/>
      <c r="H426" s="531" cm="1">
        <f t="array" ref="H426:H427">Nicholas!P79:P80</f>
        <v>0.66666666666666663</v>
      </c>
      <c r="I426" s="683"/>
      <c r="J426" s="684"/>
      <c r="K426" s="561"/>
      <c r="L426" s="662"/>
      <c r="M426" s="659"/>
      <c r="N426" s="663"/>
      <c r="O426" s="661"/>
    </row>
    <row r="427" spans="2:17">
      <c r="B427" s="226" t="s">
        <v>48</v>
      </c>
      <c r="C427" s="533"/>
      <c r="D427" s="533">
        <v>482.55</v>
      </c>
      <c r="E427" s="533"/>
      <c r="F427" s="533"/>
      <c r="G427" s="533"/>
      <c r="H427" s="533">
        <v>482.55</v>
      </c>
      <c r="I427" s="683"/>
      <c r="J427" s="684"/>
      <c r="K427" s="561"/>
      <c r="L427" s="662"/>
      <c r="M427" s="659"/>
      <c r="N427" s="663"/>
      <c r="O427" s="661"/>
    </row>
    <row r="428" spans="2:17">
      <c r="B428" s="195" t="s">
        <v>110</v>
      </c>
      <c r="C428" s="567">
        <f>'Rhys C'!K974</f>
        <v>15560.2</v>
      </c>
      <c r="D428" s="567">
        <f>'Rhys C'!L974</f>
        <v>3616.6</v>
      </c>
      <c r="E428" s="567">
        <f>'Rhys C'!M974</f>
        <v>5270.9</v>
      </c>
      <c r="F428" s="567">
        <f>'Rhys C'!N974</f>
        <v>9241</v>
      </c>
      <c r="G428" s="567">
        <f>'Rhys C'!O974</f>
        <v>33892.400000000001</v>
      </c>
      <c r="H428" s="567">
        <f>'Rhys C'!P974</f>
        <v>67581.100000000006</v>
      </c>
      <c r="I428" s="681">
        <v>50000</v>
      </c>
      <c r="J428" s="682">
        <f>-I428+H428</f>
        <v>17581.100000000006</v>
      </c>
      <c r="K428" s="541"/>
      <c r="L428" s="658">
        <f>H428</f>
        <v>67581.100000000006</v>
      </c>
      <c r="M428" s="675">
        <f>'Rhys C'!R974</f>
        <v>48042.1</v>
      </c>
      <c r="N428" s="660">
        <f>L428-M428</f>
        <v>19539.000000000007</v>
      </c>
      <c r="O428" s="676">
        <f>'Rhys C'!S974</f>
        <v>0</v>
      </c>
      <c r="P428">
        <f>'Rhys C'!F993+'Rhys C'!F999+'Rhys C'!F1008</f>
        <v>67581.100000000006</v>
      </c>
      <c r="Q428" s="294">
        <f>H428-P428</f>
        <v>0</v>
      </c>
    </row>
    <row r="429" spans="2:17">
      <c r="B429" s="204" t="s">
        <v>101</v>
      </c>
      <c r="C429" s="531" cm="1">
        <f t="array" ref="C429:C430">'Rhys C'!K977:K978</f>
        <v>0.44444444444444442</v>
      </c>
      <c r="D429" s="531" cm="1">
        <f t="array" ref="D429:D430">'Rhys C'!L977:L978</f>
        <v>0.22222222222222221</v>
      </c>
      <c r="E429" s="531" cm="1">
        <f t="array" ref="E429:E430">'Rhys C'!M977:M978</f>
        <v>0.8</v>
      </c>
      <c r="F429" s="531" cm="1">
        <f t="array" ref="F429:F430">'Rhys C'!N977:N978</f>
        <v>0.2857142857142857</v>
      </c>
      <c r="G429" s="531" cm="1">
        <f t="array" ref="G429:G430">'Rhys C'!O977:O978</f>
        <v>0.83333333333333337</v>
      </c>
      <c r="H429" s="531" cm="1">
        <f t="array" ref="H429:H430">'Rhys C'!P977:P978</f>
        <v>0.47222222222222221</v>
      </c>
      <c r="I429" s="683"/>
      <c r="J429" s="684"/>
      <c r="K429" s="542"/>
      <c r="L429" s="662"/>
      <c r="M429" s="659"/>
      <c r="N429" s="663"/>
      <c r="O429" s="661"/>
    </row>
    <row r="430" spans="2:17">
      <c r="B430" s="226" t="s">
        <v>48</v>
      </c>
      <c r="C430" s="533">
        <v>3890.05</v>
      </c>
      <c r="D430" s="533">
        <v>1808.3</v>
      </c>
      <c r="E430" s="533">
        <v>1317.7249999999999</v>
      </c>
      <c r="F430" s="533">
        <v>4620.5</v>
      </c>
      <c r="G430" s="533">
        <v>6778.4800000000005</v>
      </c>
      <c r="H430" s="533">
        <v>3975.3588235294119</v>
      </c>
      <c r="I430" s="685"/>
      <c r="J430" s="686"/>
      <c r="K430" s="543"/>
      <c r="L430" s="664"/>
      <c r="M430" s="677"/>
      <c r="N430" s="665"/>
      <c r="O430" s="678"/>
    </row>
    <row r="431" spans="2:17">
      <c r="B431" s="195" t="s">
        <v>107</v>
      </c>
      <c r="C431" s="567"/>
      <c r="D431" s="567">
        <f>'Shaun - No OT'!L1239</f>
        <v>4843</v>
      </c>
      <c r="E431" s="567">
        <f>'Shaun - No OT'!M1239</f>
        <v>4011.2</v>
      </c>
      <c r="F431" s="567">
        <f>'Shaun - No OT'!N1239</f>
        <v>46315</v>
      </c>
      <c r="G431" s="567">
        <f>'Shaun - No OT'!O1239</f>
        <v>11613</v>
      </c>
      <c r="H431" s="567">
        <f>'Shaun - No OT'!P1239</f>
        <v>66782.2</v>
      </c>
      <c r="I431" s="681">
        <v>50000</v>
      </c>
      <c r="J431" s="682">
        <f>-I431+H431</f>
        <v>16782.199999999997</v>
      </c>
      <c r="K431" s="541"/>
      <c r="L431" s="658">
        <f>H431</f>
        <v>66782.2</v>
      </c>
      <c r="M431" s="675">
        <f>'Shaun - No OT'!R1239</f>
        <v>45116</v>
      </c>
      <c r="N431" s="660">
        <f>L431-M431</f>
        <v>21666.199999999997</v>
      </c>
      <c r="O431" s="676">
        <f>'Shaun - No OT'!S1239</f>
        <v>0</v>
      </c>
      <c r="P431">
        <f>'Shaun - No OT'!F1263+'Shaun - No OT'!F1275</f>
        <v>66782.2</v>
      </c>
      <c r="Q431" s="294">
        <f>H431-P431</f>
        <v>0</v>
      </c>
    </row>
    <row r="432" spans="2:17">
      <c r="B432" s="204" t="s">
        <v>101</v>
      </c>
      <c r="C432" s="531"/>
      <c r="D432" s="531" cm="1">
        <f t="array" ref="D432:D433">'Shaun - No OT'!L1242:L1243</f>
        <v>0.42857142857142855</v>
      </c>
      <c r="E432" s="531" cm="1">
        <f t="array" ref="E432:E433">'Shaun - No OT'!M1242:M1243</f>
        <v>0.44444444444444442</v>
      </c>
      <c r="F432" s="531" cm="1">
        <f t="array" ref="F432:F433">'Shaun - No OT'!N1242:N1243</f>
        <v>0.8571428571428571</v>
      </c>
      <c r="G432" s="531" cm="1">
        <f t="array" ref="G432:G433">'Shaun - No OT'!O1242:O1243</f>
        <v>0.44444444444444442</v>
      </c>
      <c r="H432" s="531" cm="1">
        <f t="array" ref="H432:H433">'Shaun - No OT'!P1242:P1243</f>
        <v>0.53125</v>
      </c>
      <c r="I432" s="683"/>
      <c r="J432" s="684"/>
      <c r="K432" s="542"/>
      <c r="L432" s="662"/>
      <c r="M432" s="659"/>
      <c r="N432" s="663"/>
      <c r="O432" s="661"/>
    </row>
    <row r="433" spans="2:17">
      <c r="B433" s="226" t="s">
        <v>48</v>
      </c>
      <c r="C433" s="533"/>
      <c r="D433" s="533">
        <v>1614.3333333333333</v>
      </c>
      <c r="E433" s="533">
        <v>1002.8</v>
      </c>
      <c r="F433" s="533">
        <v>7719.166666666667</v>
      </c>
      <c r="G433" s="533">
        <v>2903.25</v>
      </c>
      <c r="H433" s="533">
        <v>3928.3647058823526</v>
      </c>
      <c r="I433" s="685"/>
      <c r="J433" s="686"/>
      <c r="K433" s="543"/>
      <c r="L433" s="664"/>
      <c r="M433" s="677"/>
      <c r="N433" s="665"/>
      <c r="O433" s="678"/>
    </row>
    <row r="434" spans="2:17">
      <c r="B434" s="237" t="s">
        <v>102</v>
      </c>
      <c r="C434" s="238">
        <f>C404+C407+C410+C413+C416+C419+C422+C425+C428+C431</f>
        <v>95618.099999999991</v>
      </c>
      <c r="D434" s="238">
        <f t="shared" ref="D434:O434" si="10">D404+D407+D410+D413+D416+D419+D422+D425+D428+D431</f>
        <v>54685.279999999999</v>
      </c>
      <c r="E434" s="238">
        <f t="shared" si="10"/>
        <v>21677</v>
      </c>
      <c r="F434" s="238">
        <f t="shared" si="10"/>
        <v>80222.600000000006</v>
      </c>
      <c r="G434" s="238">
        <f t="shared" si="10"/>
        <v>118346.54999999999</v>
      </c>
      <c r="H434" s="239">
        <f t="shared" si="10"/>
        <v>370549.53</v>
      </c>
      <c r="I434" s="238">
        <f t="shared" si="10"/>
        <v>500000</v>
      </c>
      <c r="J434" s="240">
        <f t="shared" si="10"/>
        <v>-129450.46999999999</v>
      </c>
      <c r="K434" s="241">
        <f t="shared" si="10"/>
        <v>7593.6</v>
      </c>
      <c r="L434" s="239">
        <f t="shared" si="10"/>
        <v>370549.53</v>
      </c>
      <c r="M434" s="240">
        <f t="shared" si="10"/>
        <v>219791.23</v>
      </c>
      <c r="N434" s="241">
        <f t="shared" si="10"/>
        <v>150758.29999999999</v>
      </c>
      <c r="O434" s="240">
        <f t="shared" si="10"/>
        <v>6132.6</v>
      </c>
    </row>
    <row r="435" spans="2:17">
      <c r="B435" s="244" t="s">
        <v>103</v>
      </c>
      <c r="C435" s="244"/>
      <c r="D435" s="244"/>
      <c r="E435" s="244"/>
      <c r="F435" s="244"/>
      <c r="G435" s="244"/>
      <c r="H435" s="245">
        <f>H434+K434</f>
        <v>378143.13</v>
      </c>
      <c r="I435" s="246">
        <f>I434+J434</f>
        <v>370549.53</v>
      </c>
      <c r="J435" s="247"/>
      <c r="K435" s="248"/>
      <c r="L435" s="249"/>
      <c r="M435" s="250">
        <f>L434-N434</f>
        <v>219791.23000000004</v>
      </c>
      <c r="N435" s="251"/>
      <c r="O435" s="201"/>
    </row>
    <row r="438" spans="2:17">
      <c r="B438" s="171" t="s">
        <v>119</v>
      </c>
      <c r="C438" s="172">
        <v>45949</v>
      </c>
      <c r="D438" s="173"/>
      <c r="E438" s="173"/>
      <c r="F438" s="173"/>
      <c r="G438" s="173"/>
      <c r="H438" s="173"/>
      <c r="I438" s="174" t="s">
        <v>88</v>
      </c>
      <c r="J438" s="175"/>
      <c r="K438" s="176"/>
      <c r="L438" s="177"/>
      <c r="M438" s="178"/>
      <c r="N438" s="179" t="s">
        <v>89</v>
      </c>
      <c r="O438" s="180" t="s">
        <v>29</v>
      </c>
    </row>
    <row r="439" spans="2:17">
      <c r="B439" s="630"/>
      <c r="C439" s="288" t="s">
        <v>91</v>
      </c>
      <c r="D439" s="289" t="s">
        <v>92</v>
      </c>
      <c r="E439" s="289" t="s">
        <v>93</v>
      </c>
      <c r="F439" s="289" t="s">
        <v>94</v>
      </c>
      <c r="G439" s="290" t="s">
        <v>95</v>
      </c>
      <c r="H439" s="290" t="s">
        <v>96</v>
      </c>
      <c r="I439" s="631" t="s">
        <v>97</v>
      </c>
      <c r="J439" s="632" t="s">
        <v>98</v>
      </c>
      <c r="K439" s="633" t="s">
        <v>29</v>
      </c>
      <c r="L439" s="634" t="s">
        <v>89</v>
      </c>
      <c r="M439" s="635" t="s">
        <v>99</v>
      </c>
      <c r="N439" s="636" t="s">
        <v>100</v>
      </c>
      <c r="O439" s="708" t="s">
        <v>99</v>
      </c>
    </row>
    <row r="440" spans="2:17">
      <c r="B440" s="195" t="s">
        <v>106</v>
      </c>
      <c r="C440" s="651">
        <f>'Ben - No OT'!K1353</f>
        <v>5786</v>
      </c>
      <c r="D440" s="651">
        <f>'Ben - No OT'!L1353</f>
        <v>5677</v>
      </c>
      <c r="E440" s="651">
        <f>'Ben - No OT'!M1353</f>
        <v>15107.7</v>
      </c>
      <c r="F440" s="651">
        <f>'Ben - No OT'!N1353</f>
        <v>3419</v>
      </c>
      <c r="G440" s="651">
        <f>'Ben - No OT'!O1353</f>
        <v>2963</v>
      </c>
      <c r="H440" s="651">
        <f>'Ben - No OT'!P1353</f>
        <v>32952.699999999997</v>
      </c>
      <c r="I440" s="681">
        <v>50000</v>
      </c>
      <c r="J440" s="682">
        <f>-I440+H440</f>
        <v>-17047.300000000003</v>
      </c>
      <c r="K440" s="541"/>
      <c r="L440" s="658">
        <f>H440</f>
        <v>32952.699999999997</v>
      </c>
      <c r="M440" s="659">
        <f>'Ben - No OT'!R1353</f>
        <v>15544.5</v>
      </c>
      <c r="N440" s="660">
        <f>L440-M440</f>
        <v>17408.199999999997</v>
      </c>
      <c r="O440" s="661">
        <f>'Ben - No OT'!S1353</f>
        <v>0</v>
      </c>
      <c r="P440">
        <f>'Ben - No OT'!F1376+'Ben - No OT'!F1383+'Ben - No OT'!F1387</f>
        <v>32952.699999999997</v>
      </c>
      <c r="Q440" s="294">
        <f>H440-P440</f>
        <v>0</v>
      </c>
    </row>
    <row r="441" spans="2:17">
      <c r="B441" s="204" t="s">
        <v>101</v>
      </c>
      <c r="C441" s="531" cm="1">
        <f t="array" ref="C441:C442">'Ben - No OT'!K1356:K1357</f>
        <v>0.75</v>
      </c>
      <c r="D441" s="531" cm="1">
        <f t="array" ref="D441:D442">'Ben - No OT'!L1356:L1357</f>
        <v>0.8</v>
      </c>
      <c r="E441" s="531" cm="1">
        <f t="array" ref="E441:E442">'Ben - No OT'!M1356:M1357</f>
        <v>0.5714285714285714</v>
      </c>
      <c r="F441" s="531" cm="1">
        <f t="array" ref="F441:F442">'Ben - No OT'!N1356:N1357</f>
        <v>0.44444444444444442</v>
      </c>
      <c r="G441" s="531" cm="1">
        <f t="array" ref="G441:G442">'Ben - No OT'!O1356:O1357</f>
        <v>0.33333333333333331</v>
      </c>
      <c r="H441" s="531" cm="1">
        <f t="array" ref="H441:H442">'Ben - No OT'!P1356:P1357</f>
        <v>0.54838709677419351</v>
      </c>
      <c r="I441" s="683"/>
      <c r="J441" s="684"/>
      <c r="K441" s="542"/>
      <c r="L441" s="662"/>
      <c r="M441" s="659"/>
      <c r="N441" s="663"/>
      <c r="O441" s="661"/>
    </row>
    <row r="442" spans="2:17">
      <c r="B442" s="204" t="s">
        <v>48</v>
      </c>
      <c r="C442" s="536">
        <v>1928.6666666666667</v>
      </c>
      <c r="D442" s="536">
        <v>1419.25</v>
      </c>
      <c r="E442" s="536">
        <v>3776.9250000000002</v>
      </c>
      <c r="F442" s="536">
        <v>854.75</v>
      </c>
      <c r="G442" s="536">
        <v>1481.5</v>
      </c>
      <c r="H442" s="536">
        <v>1938.3941176470587</v>
      </c>
      <c r="I442" s="685"/>
      <c r="J442" s="686"/>
      <c r="K442" s="543"/>
      <c r="L442" s="664"/>
      <c r="M442" s="687"/>
      <c r="N442" s="665"/>
      <c r="O442" s="665"/>
    </row>
    <row r="443" spans="2:17">
      <c r="B443" s="195" t="s">
        <v>121</v>
      </c>
      <c r="C443" s="651">
        <f>Bradley!K592</f>
        <v>25556</v>
      </c>
      <c r="D443" s="651">
        <f>Bradley!L592</f>
        <v>2162.1999999999998</v>
      </c>
      <c r="E443" s="651">
        <f>Bradley!M592</f>
        <v>2533</v>
      </c>
      <c r="F443" s="651">
        <f>Bradley!N592</f>
        <v>3861</v>
      </c>
      <c r="G443" s="651">
        <f>Bradley!O592</f>
        <v>461</v>
      </c>
      <c r="H443" s="651">
        <f>Bradley!P592</f>
        <v>34573.199999999997</v>
      </c>
      <c r="I443" s="683">
        <v>50000</v>
      </c>
      <c r="J443" s="682">
        <f>-I443+H443</f>
        <v>-15426.800000000003</v>
      </c>
      <c r="K443" s="541"/>
      <c r="L443" s="658">
        <f>H443</f>
        <v>34573.199999999997</v>
      </c>
      <c r="M443" s="659">
        <f>Bradley!R592</f>
        <v>26336</v>
      </c>
      <c r="N443" s="660">
        <f>L443-M443</f>
        <v>8237.1999999999971</v>
      </c>
      <c r="O443" s="661">
        <f>Bradley!S592</f>
        <v>0</v>
      </c>
      <c r="P443">
        <f>Bradley!F610+Bradley!F617</f>
        <v>34573.199999999997</v>
      </c>
      <c r="Q443" s="294">
        <f>H443-P443</f>
        <v>0</v>
      </c>
    </row>
    <row r="444" spans="2:17">
      <c r="B444" s="204" t="s">
        <v>101</v>
      </c>
      <c r="C444" s="531" cm="1">
        <f t="array" ref="C444:C445">Bradley!K595:K596</f>
        <v>0.6</v>
      </c>
      <c r="D444" s="531" cm="1">
        <f t="array" ref="D444:D445">Bradley!L595:L596</f>
        <v>0.25</v>
      </c>
      <c r="E444" s="531" cm="1">
        <f t="array" ref="E444:E445">Bradley!M595:M596</f>
        <v>0.2</v>
      </c>
      <c r="F444" s="531" cm="1">
        <f t="array" ref="F444:F445">Bradley!N595:N596</f>
        <v>0.5</v>
      </c>
      <c r="G444" s="531" cm="1">
        <f t="array" ref="G444:G445">Bradley!O595:O596</f>
        <v>0.2</v>
      </c>
      <c r="H444" s="531" cm="1">
        <f t="array" ref="H444:H445">Bradley!P595:P596</f>
        <v>0.35483870967741937</v>
      </c>
      <c r="I444" s="683"/>
      <c r="J444" s="684"/>
      <c r="K444" s="542"/>
      <c r="L444" s="662"/>
      <c r="M444" s="688"/>
      <c r="N444" s="663"/>
      <c r="O444" s="689"/>
    </row>
    <row r="445" spans="2:17">
      <c r="B445" s="204" t="s">
        <v>48</v>
      </c>
      <c r="C445" s="532">
        <v>8518.6666666666661</v>
      </c>
      <c r="D445" s="532">
        <v>1081.0999999999999</v>
      </c>
      <c r="E445" s="532">
        <v>2533</v>
      </c>
      <c r="F445" s="532">
        <v>965.25</v>
      </c>
      <c r="G445" s="532">
        <v>461</v>
      </c>
      <c r="H445" s="532">
        <v>3143.0181818181813</v>
      </c>
      <c r="I445" s="685"/>
      <c r="J445" s="684"/>
      <c r="K445" s="543"/>
      <c r="L445" s="662"/>
      <c r="M445" s="688"/>
      <c r="N445" s="663"/>
      <c r="O445" s="689"/>
    </row>
    <row r="446" spans="2:17">
      <c r="B446" s="195" t="s">
        <v>116</v>
      </c>
      <c r="C446" s="567">
        <f>Elliot!K941</f>
        <v>8806</v>
      </c>
      <c r="D446" s="567">
        <f>Elliot!L941</f>
        <v>22613.5</v>
      </c>
      <c r="E446" s="567">
        <f>Elliot!M941</f>
        <v>3145.9</v>
      </c>
      <c r="F446" s="567">
        <f>Elliot!N941</f>
        <v>5750</v>
      </c>
      <c r="G446" s="567">
        <f>Elliot!O941</f>
        <v>35902.9</v>
      </c>
      <c r="H446" s="567">
        <f>Elliot!P941</f>
        <v>76218.3</v>
      </c>
      <c r="I446" s="683">
        <v>50000</v>
      </c>
      <c r="J446" s="682">
        <f>-I446+H446</f>
        <v>26218.300000000003</v>
      </c>
      <c r="K446" s="541">
        <f>Elliot!Q941</f>
        <v>5816.6</v>
      </c>
      <c r="L446" s="658">
        <f>H446</f>
        <v>76218.3</v>
      </c>
      <c r="M446" s="675">
        <f>Elliot!R941</f>
        <v>53334.400000000001</v>
      </c>
      <c r="N446" s="660">
        <f>L446-M446</f>
        <v>22883.9</v>
      </c>
      <c r="O446" s="676">
        <f>Elliot!S941</f>
        <v>2901.6</v>
      </c>
      <c r="P446">
        <f>Elliot!F967+Elliot!F984+Elliot!F990</f>
        <v>76218.3</v>
      </c>
      <c r="Q446" s="294">
        <f>H446-P446</f>
        <v>0</v>
      </c>
    </row>
    <row r="447" spans="2:17">
      <c r="B447" s="204" t="s">
        <v>101</v>
      </c>
      <c r="C447" s="531" cm="1">
        <f t="array" ref="C447:C448">Elliot!K944:K945</f>
        <v>0.6</v>
      </c>
      <c r="D447" s="531" cm="1">
        <f t="array" ref="D447:D448">Elliot!L944:L945</f>
        <v>0.75</v>
      </c>
      <c r="E447" s="531" cm="1">
        <f t="array" ref="E447:E448">Elliot!M944:M945</f>
        <v>0.33333333333333331</v>
      </c>
      <c r="F447" s="531" cm="1">
        <f t="array" ref="F447:F448">Elliot!N944:N945</f>
        <v>0.5714285714285714</v>
      </c>
      <c r="G447" s="531" cm="1">
        <f t="array" ref="G447:G448">Elliot!O944:O945</f>
        <v>0.7142857142857143</v>
      </c>
      <c r="H447" s="531" cm="1">
        <f t="array" ref="H447:H448">Elliot!P944:P945</f>
        <v>0.58333333333333337</v>
      </c>
      <c r="I447" s="683"/>
      <c r="J447" s="684"/>
      <c r="K447" s="542" cm="1">
        <f t="array" ref="K447:K448">Elliot!Q944:Q945</f>
        <v>0.66666666666666663</v>
      </c>
      <c r="L447" s="662"/>
      <c r="M447" s="659"/>
      <c r="N447" s="663"/>
      <c r="O447" s="661"/>
    </row>
    <row r="448" spans="2:17">
      <c r="B448" s="226" t="s">
        <v>48</v>
      </c>
      <c r="C448" s="533">
        <v>2935.3333333333335</v>
      </c>
      <c r="D448" s="533">
        <v>3768.9166666666665</v>
      </c>
      <c r="E448" s="533">
        <v>1048.6333333333334</v>
      </c>
      <c r="F448" s="533">
        <v>1437.5</v>
      </c>
      <c r="G448" s="533">
        <v>7180.58</v>
      </c>
      <c r="H448" s="533">
        <v>3629.4428571428571</v>
      </c>
      <c r="I448" s="685"/>
      <c r="J448" s="686"/>
      <c r="K448" s="543">
        <v>1454.15</v>
      </c>
      <c r="L448" s="664"/>
      <c r="M448" s="677"/>
      <c r="N448" s="665"/>
      <c r="O448" s="678"/>
    </row>
    <row r="449" spans="2:17">
      <c r="B449" s="195" t="s">
        <v>112</v>
      </c>
      <c r="C449" s="567">
        <f>'Jarrod - No OT'!K1274</f>
        <v>28436.6</v>
      </c>
      <c r="D449" s="567">
        <f>'Jarrod - No OT'!L1274</f>
        <v>15350</v>
      </c>
      <c r="E449" s="567">
        <f>'Jarrod - No OT'!M1274</f>
        <v>14175</v>
      </c>
      <c r="F449" s="567">
        <f>'Jarrod - No OT'!N1274</f>
        <v>18939</v>
      </c>
      <c r="G449" s="567">
        <f>'Jarrod - No OT'!O1274</f>
        <v>4090</v>
      </c>
      <c r="H449" s="567">
        <f>'Jarrod - No OT'!P1274</f>
        <v>80990.600000000006</v>
      </c>
      <c r="I449" s="681">
        <v>50000</v>
      </c>
      <c r="J449" s="682">
        <f>-I449+H449</f>
        <v>30990.600000000006</v>
      </c>
      <c r="K449" s="541"/>
      <c r="L449" s="658">
        <f>H449</f>
        <v>80990.600000000006</v>
      </c>
      <c r="M449" s="675">
        <f>'Jarrod - No OT'!R1274</f>
        <v>45470</v>
      </c>
      <c r="N449" s="660">
        <f>L449-M449</f>
        <v>35520.600000000006</v>
      </c>
      <c r="O449" s="676">
        <f>'Jarrod - No OT'!S1274</f>
        <v>0</v>
      </c>
      <c r="P449">
        <f>'Jarrod - No OT'!F1296+'Jarrod - No OT'!F1307+'Jarrod - No OT'!F1313</f>
        <v>80990.600000000006</v>
      </c>
      <c r="Q449" s="294">
        <f>H449-P449</f>
        <v>0</v>
      </c>
    </row>
    <row r="450" spans="2:17">
      <c r="B450" s="204" t="s">
        <v>101</v>
      </c>
      <c r="C450" s="531" cm="1">
        <f t="array" ref="C450:C451">'Jarrod - No OT'!K1277:K1278</f>
        <v>0.83333333333333337</v>
      </c>
      <c r="D450" s="531" cm="1">
        <f t="array" ref="D450:D451">'Jarrod - No OT'!L1277:L1278</f>
        <v>0.5714285714285714</v>
      </c>
      <c r="E450" s="531" cm="1">
        <f t="array" ref="E450:E451">'Jarrod - No OT'!M1277:M1278</f>
        <v>0.4</v>
      </c>
      <c r="F450" s="531" cm="1">
        <f t="array" ref="F450:F451">'Jarrod - No OT'!N1277:N1278</f>
        <v>0.42857142857142855</v>
      </c>
      <c r="G450" s="531" cm="1">
        <f t="array" ref="G450:G451">'Jarrod - No OT'!O1277:O1278</f>
        <v>0.42857142857142855</v>
      </c>
      <c r="H450" s="531" cm="1">
        <f t="array" ref="H450:H451">'Jarrod - No OT'!P1277:P1278</f>
        <v>0.53125</v>
      </c>
      <c r="I450" s="683"/>
      <c r="J450" s="684"/>
      <c r="K450" s="542"/>
      <c r="L450" s="662"/>
      <c r="M450" s="659"/>
      <c r="N450" s="663"/>
      <c r="O450" s="661"/>
    </row>
    <row r="451" spans="2:17">
      <c r="B451" s="226" t="s">
        <v>48</v>
      </c>
      <c r="C451" s="533">
        <v>5687.32</v>
      </c>
      <c r="D451" s="533">
        <v>3837.5</v>
      </c>
      <c r="E451" s="533">
        <v>7087.5</v>
      </c>
      <c r="F451" s="533">
        <v>6313</v>
      </c>
      <c r="G451" s="533">
        <v>1363.3333333333333</v>
      </c>
      <c r="H451" s="533">
        <v>4764.1529411764714</v>
      </c>
      <c r="I451" s="685"/>
      <c r="J451" s="686"/>
      <c r="K451" s="543"/>
      <c r="L451" s="664"/>
      <c r="M451" s="677"/>
      <c r="N451" s="665"/>
      <c r="O451" s="678"/>
    </row>
    <row r="452" spans="2:17">
      <c r="B452" s="195" t="s">
        <v>109</v>
      </c>
      <c r="C452" s="567"/>
      <c r="D452" s="567">
        <f>Liam!L1395</f>
        <v>9536</v>
      </c>
      <c r="E452" s="567"/>
      <c r="F452" s="567"/>
      <c r="G452" s="567"/>
      <c r="H452" s="567">
        <f>Liam!P1395</f>
        <v>9536</v>
      </c>
      <c r="I452" s="681">
        <v>50000</v>
      </c>
      <c r="J452" s="682">
        <f>-I452+H452</f>
        <v>-40464</v>
      </c>
      <c r="K452" s="541"/>
      <c r="L452" s="658">
        <f>H452</f>
        <v>9536</v>
      </c>
      <c r="M452" s="675">
        <f>Liam!R1395</f>
        <v>0</v>
      </c>
      <c r="N452" s="660">
        <f>L452-M452</f>
        <v>9536</v>
      </c>
      <c r="O452" s="676">
        <f>Liam!S1395</f>
        <v>0</v>
      </c>
      <c r="P452">
        <f>Liam!F1410</f>
        <v>9536</v>
      </c>
      <c r="Q452" s="294">
        <f>H452-P452</f>
        <v>0</v>
      </c>
    </row>
    <row r="453" spans="2:17">
      <c r="B453" s="204" t="s">
        <v>101</v>
      </c>
      <c r="C453" s="531"/>
      <c r="D453" s="531" cm="1">
        <f t="array" ref="D453:D454">Liam!L1398:L1399</f>
        <v>0.625</v>
      </c>
      <c r="E453" s="531"/>
      <c r="F453" s="531"/>
      <c r="G453" s="531"/>
      <c r="H453" s="531" cm="1">
        <f t="array" ref="H453:H454">Liam!P1398:P1399</f>
        <v>0.5</v>
      </c>
      <c r="I453" s="683"/>
      <c r="J453" s="684"/>
      <c r="K453" s="542"/>
      <c r="L453" s="662"/>
      <c r="M453" s="659"/>
      <c r="N453" s="663"/>
      <c r="O453" s="661"/>
    </row>
    <row r="454" spans="2:17">
      <c r="B454" s="226" t="s">
        <v>48</v>
      </c>
      <c r="C454" s="533"/>
      <c r="D454" s="533">
        <v>1907.2</v>
      </c>
      <c r="E454" s="533"/>
      <c r="F454" s="533"/>
      <c r="G454" s="533"/>
      <c r="H454" s="533">
        <v>1907.2</v>
      </c>
      <c r="I454" s="685"/>
      <c r="J454" s="686"/>
      <c r="K454" s="543"/>
      <c r="L454" s="664"/>
      <c r="M454" s="677"/>
      <c r="N454" s="665"/>
      <c r="O454" s="678"/>
    </row>
    <row r="455" spans="2:17">
      <c r="B455" s="195" t="s">
        <v>126</v>
      </c>
      <c r="C455" s="567">
        <f>'Otheniel - Junior'!K223</f>
        <v>1754</v>
      </c>
      <c r="D455" s="567">
        <f>'Otheniel - Junior'!L223</f>
        <v>4276</v>
      </c>
      <c r="E455" s="567">
        <f>'Otheniel - Junior'!M223</f>
        <v>4848.8</v>
      </c>
      <c r="F455" s="567">
        <f>'Otheniel - Junior'!N223</f>
        <v>3545</v>
      </c>
      <c r="G455" s="567">
        <f>'Otheniel - Junior'!O223</f>
        <v>8812.6</v>
      </c>
      <c r="H455" s="567">
        <f>'Otheniel - Junior'!P223</f>
        <v>23236.400000000001</v>
      </c>
      <c r="I455" s="681">
        <v>50000</v>
      </c>
      <c r="J455" s="682">
        <f>-I455+H455</f>
        <v>-26763.599999999999</v>
      </c>
      <c r="K455" s="541"/>
      <c r="L455" s="658">
        <f>H455</f>
        <v>23236.400000000001</v>
      </c>
      <c r="M455" s="675">
        <f>'Otheniel - Junior'!R223</f>
        <v>6870.6</v>
      </c>
      <c r="N455" s="660">
        <f>L455-M455</f>
        <v>16365.800000000001</v>
      </c>
      <c r="O455" s="676">
        <f>'Otheniel - Junior'!S223</f>
        <v>0</v>
      </c>
      <c r="P455">
        <f>'Otheniel - Junior'!F248+'Otheniel - Junior'!F257+'Otheniel - Junior'!F262</f>
        <v>23236.400000000001</v>
      </c>
      <c r="Q455" s="294">
        <f>H455-P455</f>
        <v>0</v>
      </c>
    </row>
    <row r="456" spans="2:17">
      <c r="B456" s="204" t="s">
        <v>101</v>
      </c>
      <c r="C456" s="531" cm="1">
        <f t="array" ref="C456:C457">'Otheniel - Junior'!K226:K227</f>
        <v>0.33333333333333331</v>
      </c>
      <c r="D456" s="531" cm="1">
        <f t="array" ref="D456:D457">'Otheniel - Junior'!L226:L227</f>
        <v>0.3</v>
      </c>
      <c r="E456" s="531" cm="1">
        <f t="array" ref="E456:E457">'Otheniel - Junior'!M226:M227</f>
        <v>0.55555555555555558</v>
      </c>
      <c r="F456" s="531" cm="1">
        <f t="array" ref="F456:F457">'Otheniel - Junior'!N226:N227</f>
        <v>0.42857142857142855</v>
      </c>
      <c r="G456" s="531" cm="1">
        <f t="array" ref="G456:G457">'Otheniel - Junior'!O226:O227</f>
        <v>0.83333333333333337</v>
      </c>
      <c r="H456" s="531" cm="1">
        <f t="array" ref="H456:H457">'Otheniel - Junior'!P226:P227</f>
        <v>0.47368421052631576</v>
      </c>
      <c r="I456" s="683"/>
      <c r="J456" s="684"/>
      <c r="K456" s="542"/>
      <c r="L456" s="662"/>
      <c r="M456" s="659"/>
      <c r="N456" s="663"/>
      <c r="O456" s="661"/>
    </row>
    <row r="457" spans="2:17">
      <c r="B457" s="226" t="s">
        <v>48</v>
      </c>
      <c r="C457" s="533">
        <v>877</v>
      </c>
      <c r="D457" s="533">
        <v>1425.3333333333333</v>
      </c>
      <c r="E457" s="533">
        <v>969.76</v>
      </c>
      <c r="F457" s="533">
        <v>1181.6666666666667</v>
      </c>
      <c r="G457" s="533">
        <v>1762.52</v>
      </c>
      <c r="H457" s="533">
        <v>1290.9111111111113</v>
      </c>
      <c r="I457" s="685"/>
      <c r="J457" s="686"/>
      <c r="K457" s="543"/>
      <c r="L457" s="664"/>
      <c r="M457" s="677"/>
      <c r="N457" s="665"/>
      <c r="O457" s="678"/>
    </row>
    <row r="458" spans="2:17">
      <c r="B458" s="195" t="s">
        <v>110</v>
      </c>
      <c r="C458" s="567">
        <f>'Rhys C'!K1091</f>
        <v>6495</v>
      </c>
      <c r="D458" s="567"/>
      <c r="E458" s="567"/>
      <c r="F458" s="567"/>
      <c r="G458" s="567"/>
      <c r="H458" s="567">
        <f>'Rhys C'!P1091</f>
        <v>6495</v>
      </c>
      <c r="I458" s="681">
        <v>50000</v>
      </c>
      <c r="J458" s="682">
        <f>-I458+H458</f>
        <v>-43505</v>
      </c>
      <c r="K458" s="541"/>
      <c r="L458" s="658">
        <f>H458</f>
        <v>6495</v>
      </c>
      <c r="M458" s="675">
        <f>'Rhys C'!R1091</f>
        <v>681</v>
      </c>
      <c r="N458" s="660">
        <f>L458-M458</f>
        <v>5814</v>
      </c>
      <c r="O458" s="676">
        <f>'Rhys C'!S1091</f>
        <v>0</v>
      </c>
      <c r="P458">
        <f>'Rhys C'!F1104+'Rhys C'!F1120</f>
        <v>6495</v>
      </c>
      <c r="Q458" s="294">
        <f>H458-P458</f>
        <v>0</v>
      </c>
    </row>
    <row r="459" spans="2:17">
      <c r="B459" s="204" t="s">
        <v>101</v>
      </c>
      <c r="C459" s="531" cm="1">
        <f t="array" ref="C459:C460">'Rhys C'!K1094:K1095</f>
        <v>0.5</v>
      </c>
      <c r="D459" s="531"/>
      <c r="E459" s="531"/>
      <c r="F459" s="531"/>
      <c r="G459" s="531"/>
      <c r="H459" s="531" cm="1">
        <f t="array" ref="H459:H460">'Rhys C'!P1094:P1095</f>
        <v>0.5</v>
      </c>
      <c r="I459" s="683"/>
      <c r="J459" s="684"/>
      <c r="K459" s="542"/>
      <c r="L459" s="662"/>
      <c r="M459" s="659"/>
      <c r="N459" s="663"/>
      <c r="O459" s="661"/>
    </row>
    <row r="460" spans="2:17">
      <c r="B460" s="226" t="s">
        <v>48</v>
      </c>
      <c r="C460" s="533">
        <v>3247.5</v>
      </c>
      <c r="D460" s="533"/>
      <c r="E460" s="533"/>
      <c r="F460" s="533"/>
      <c r="G460" s="533"/>
      <c r="H460" s="533">
        <v>3247.5</v>
      </c>
      <c r="I460" s="685"/>
      <c r="J460" s="686"/>
      <c r="K460" s="543"/>
      <c r="L460" s="664"/>
      <c r="M460" s="677"/>
      <c r="N460" s="665"/>
      <c r="O460" s="678"/>
    </row>
    <row r="461" spans="2:17">
      <c r="B461" s="195" t="s">
        <v>107</v>
      </c>
      <c r="C461" s="567">
        <f>'Shaun - No OT'!K1325</f>
        <v>14633</v>
      </c>
      <c r="D461" s="567">
        <f>'Shaun - No OT'!L1325</f>
        <v>9135.91</v>
      </c>
      <c r="E461" s="567">
        <f>'Shaun - No OT'!M1325</f>
        <v>9271</v>
      </c>
      <c r="F461" s="567">
        <f>'Shaun - No OT'!N1325</f>
        <v>7265</v>
      </c>
      <c r="G461" s="567">
        <f>'Shaun - No OT'!O1325</f>
        <v>6355</v>
      </c>
      <c r="H461" s="567">
        <f>'Shaun - No OT'!P1325</f>
        <v>46659.91</v>
      </c>
      <c r="I461" s="681">
        <v>50000</v>
      </c>
      <c r="J461" s="682">
        <f>-I461+H461</f>
        <v>-3340.0899999999965</v>
      </c>
      <c r="K461" s="541">
        <f>'Shaun - No OT'!Q1325</f>
        <v>6234</v>
      </c>
      <c r="L461" s="658">
        <f>H461</f>
        <v>46659.91</v>
      </c>
      <c r="M461" s="675">
        <f>'Shaun - No OT'!R1325</f>
        <v>1138</v>
      </c>
      <c r="N461" s="660">
        <f>L461-M461</f>
        <v>45521.91</v>
      </c>
      <c r="O461" s="676">
        <f>'Shaun - No OT'!S1325</f>
        <v>0</v>
      </c>
      <c r="P461">
        <f>'Shaun - No OT'!F1356+'Shaun - No OT'!F1366-'Shaun - No OT'!Q1325</f>
        <v>46659.91</v>
      </c>
      <c r="Q461" s="294">
        <f>H461-P461</f>
        <v>0</v>
      </c>
    </row>
    <row r="462" spans="2:17">
      <c r="B462" s="204" t="s">
        <v>101</v>
      </c>
      <c r="C462" s="531" cm="1">
        <f t="array" ref="C462:C463">'Shaun - No OT'!K1328:K1329</f>
        <v>0.6</v>
      </c>
      <c r="D462" s="531" cm="1">
        <f t="array" ref="D462:D463">'Shaun - No OT'!L1328:L1329</f>
        <v>0.6</v>
      </c>
      <c r="E462" s="531" cm="1">
        <f t="array" ref="E462:E463">'Shaun - No OT'!M1328:M1329</f>
        <v>0.5</v>
      </c>
      <c r="F462" s="531" cm="1">
        <f t="array" ref="F462:F463">'Shaun - No OT'!N1328:N1329</f>
        <v>0.55555555555555558</v>
      </c>
      <c r="G462" s="531" cm="1">
        <f t="array" ref="G462:G463">'Shaun - No OT'!O1328:O1329</f>
        <v>0.7142857142857143</v>
      </c>
      <c r="H462" s="531" cm="1">
        <f t="array" ref="H462:H463">'Shaun - No OT'!P1328:P1329</f>
        <v>0.59375</v>
      </c>
      <c r="I462" s="683"/>
      <c r="J462" s="684"/>
      <c r="K462" s="542" cm="1">
        <f t="array" ref="K462:K463">'Shaun - No OT'!Q1328:Q1329</f>
        <v>1</v>
      </c>
      <c r="L462" s="662"/>
      <c r="M462" s="659"/>
      <c r="N462" s="663"/>
      <c r="O462" s="661"/>
    </row>
    <row r="463" spans="2:17">
      <c r="B463" s="226" t="s">
        <v>48</v>
      </c>
      <c r="C463" s="533">
        <v>4877.666666666667</v>
      </c>
      <c r="D463" s="533">
        <v>3045.3033333333333</v>
      </c>
      <c r="E463" s="533">
        <v>3090.3333333333335</v>
      </c>
      <c r="F463" s="533">
        <v>1453</v>
      </c>
      <c r="G463" s="533">
        <v>1271</v>
      </c>
      <c r="H463" s="533">
        <v>2455.7847368421053</v>
      </c>
      <c r="I463" s="685"/>
      <c r="J463" s="686"/>
      <c r="K463" s="543">
        <v>3117</v>
      </c>
      <c r="L463" s="664"/>
      <c r="M463" s="677"/>
      <c r="N463" s="665"/>
      <c r="O463" s="678"/>
    </row>
    <row r="464" spans="2:17">
      <c r="B464" s="237" t="s">
        <v>102</v>
      </c>
      <c r="C464" s="238">
        <f>C440+C443+C446+C449+C452+C455+C458+C461</f>
        <v>91466.6</v>
      </c>
      <c r="D464" s="238">
        <f t="shared" ref="D464:O464" si="11">D440+D443+D446+D449+D452+D455+D458+D461</f>
        <v>68750.61</v>
      </c>
      <c r="E464" s="238">
        <f t="shared" si="11"/>
        <v>49081.400000000009</v>
      </c>
      <c r="F464" s="238">
        <f t="shared" si="11"/>
        <v>42779</v>
      </c>
      <c r="G464" s="238">
        <f t="shared" si="11"/>
        <v>58584.5</v>
      </c>
      <c r="H464" s="239">
        <f t="shared" si="11"/>
        <v>310662.11</v>
      </c>
      <c r="I464" s="238">
        <f t="shared" si="11"/>
        <v>400000</v>
      </c>
      <c r="J464" s="240">
        <f t="shared" si="11"/>
        <v>-89337.889999999985</v>
      </c>
      <c r="K464" s="241">
        <f t="shared" si="11"/>
        <v>12050.6</v>
      </c>
      <c r="L464" s="239">
        <f t="shared" si="11"/>
        <v>310662.11</v>
      </c>
      <c r="M464" s="240">
        <f t="shared" si="11"/>
        <v>149374.5</v>
      </c>
      <c r="N464" s="241">
        <f t="shared" si="11"/>
        <v>161287.60999999999</v>
      </c>
      <c r="O464" s="240">
        <f t="shared" si="11"/>
        <v>2901.6</v>
      </c>
    </row>
    <row r="465" spans="2:17">
      <c r="B465" s="244" t="s">
        <v>103</v>
      </c>
      <c r="C465" s="244"/>
      <c r="D465" s="244"/>
      <c r="E465" s="244"/>
      <c r="F465" s="244"/>
      <c r="G465" s="244"/>
      <c r="H465" s="245">
        <f>H464+K464</f>
        <v>322712.70999999996</v>
      </c>
      <c r="I465" s="246">
        <f>I464+J464</f>
        <v>310662.11</v>
      </c>
      <c r="J465" s="247"/>
      <c r="K465" s="248"/>
      <c r="L465" s="249"/>
      <c r="M465" s="250">
        <f>L464-N464</f>
        <v>149374.5</v>
      </c>
      <c r="N465" s="251"/>
      <c r="O465" s="201"/>
    </row>
    <row r="468" spans="2:17">
      <c r="B468" s="171" t="s">
        <v>119</v>
      </c>
      <c r="C468" s="172">
        <v>45956</v>
      </c>
      <c r="D468" s="173"/>
      <c r="E468" s="173"/>
      <c r="F468" s="173"/>
      <c r="G468" s="173"/>
      <c r="H468" s="173"/>
      <c r="I468" s="174" t="s">
        <v>88</v>
      </c>
      <c r="J468" s="175"/>
      <c r="K468" s="176"/>
      <c r="L468" s="177"/>
      <c r="M468" s="178"/>
      <c r="N468" s="179" t="s">
        <v>89</v>
      </c>
      <c r="O468" s="180" t="s">
        <v>29</v>
      </c>
    </row>
    <row r="469" spans="2:17">
      <c r="B469" s="630"/>
      <c r="C469" s="288" t="s">
        <v>91</v>
      </c>
      <c r="D469" s="289" t="s">
        <v>92</v>
      </c>
      <c r="E469" s="289" t="s">
        <v>93</v>
      </c>
      <c r="F469" s="289" t="s">
        <v>94</v>
      </c>
      <c r="G469" s="290" t="s">
        <v>95</v>
      </c>
      <c r="H469" s="290" t="s">
        <v>96</v>
      </c>
      <c r="I469" s="631" t="s">
        <v>97</v>
      </c>
      <c r="J469" s="632" t="s">
        <v>98</v>
      </c>
      <c r="K469" s="633" t="s">
        <v>29</v>
      </c>
      <c r="L469" s="634" t="s">
        <v>89</v>
      </c>
      <c r="M469" s="635" t="s">
        <v>99</v>
      </c>
      <c r="N469" s="636" t="s">
        <v>100</v>
      </c>
      <c r="O469" s="708" t="s">
        <v>99</v>
      </c>
    </row>
    <row r="470" spans="2:17">
      <c r="B470" s="195" t="s">
        <v>106</v>
      </c>
      <c r="C470" s="651">
        <f>'Ben - No OT'!K1440</f>
        <v>2523</v>
      </c>
      <c r="D470" s="651">
        <f>'Ben - No OT'!L1440</f>
        <v>9637.5</v>
      </c>
      <c r="E470" s="651">
        <f>'Ben - No OT'!M1440</f>
        <v>3904</v>
      </c>
      <c r="F470" s="651">
        <f>'Ben - No OT'!N1440</f>
        <v>11188</v>
      </c>
      <c r="G470" s="651">
        <f>'Ben - No OT'!O1440</f>
        <v>7287.8</v>
      </c>
      <c r="H470" s="651">
        <f>'Ben - No OT'!P1440</f>
        <v>34540.300000000003</v>
      </c>
      <c r="I470" s="681">
        <v>50000</v>
      </c>
      <c r="J470" s="682">
        <f>-I470+H470</f>
        <v>-15459.699999999997</v>
      </c>
      <c r="K470" s="541">
        <f>'Ben - No OT'!Q1440</f>
        <v>3993.6</v>
      </c>
      <c r="L470" s="658">
        <f>H470</f>
        <v>34540.300000000003</v>
      </c>
      <c r="M470" s="659">
        <f>'Ben - No OT'!R1440</f>
        <v>0</v>
      </c>
      <c r="N470" s="660">
        <f>L470-M470</f>
        <v>34540.300000000003</v>
      </c>
      <c r="O470" s="661">
        <f>'Ben - No OT'!S1440</f>
        <v>2532.6</v>
      </c>
      <c r="P470">
        <f>'Ben - No OT'!F1473</f>
        <v>33344.300000000003</v>
      </c>
      <c r="Q470" s="294">
        <f>H470-P470</f>
        <v>1196</v>
      </c>
    </row>
    <row r="471" spans="2:17">
      <c r="B471" s="204" t="s">
        <v>101</v>
      </c>
      <c r="C471" s="531" cm="1">
        <f t="array" ref="C471:C472">'Ben - No OT'!K1443:K1444</f>
        <v>0.5</v>
      </c>
      <c r="D471" s="531" cm="1">
        <f t="array" ref="D471:D472">'Ben - No OT'!L1443:L1444</f>
        <v>0.5714285714285714</v>
      </c>
      <c r="E471" s="531" cm="1">
        <f t="array" ref="E471:E472">'Ben - No OT'!M1443:M1444</f>
        <v>0.5714285714285714</v>
      </c>
      <c r="F471" s="531" cm="1">
        <f t="array" ref="F471:F472">'Ben - No OT'!N1443:N1444</f>
        <v>0.83333333333333337</v>
      </c>
      <c r="G471" s="531" cm="1">
        <f t="array" ref="G471:G472">'Ben - No OT'!O1443:O1444</f>
        <v>0.5714285714285714</v>
      </c>
      <c r="H471" s="531" cm="1">
        <f t="array" ref="H471:H472">'Ben - No OT'!P1443:P1444</f>
        <v>0.60606060606060608</v>
      </c>
      <c r="I471" s="683"/>
      <c r="J471" s="684"/>
      <c r="K471" s="542" cm="1">
        <f t="array" ref="K471:K472">'Ben - No OT'!Q1443:Q1444</f>
        <v>0.5</v>
      </c>
      <c r="L471" s="662"/>
      <c r="M471" s="659"/>
      <c r="N471" s="663"/>
      <c r="O471" s="661"/>
    </row>
    <row r="472" spans="2:17">
      <c r="B472" s="204" t="s">
        <v>48</v>
      </c>
      <c r="C472" s="536">
        <v>841</v>
      </c>
      <c r="D472" s="536">
        <v>2409.375</v>
      </c>
      <c r="E472" s="536">
        <v>976</v>
      </c>
      <c r="F472" s="536">
        <v>2237.6</v>
      </c>
      <c r="G472" s="536">
        <v>1821.95</v>
      </c>
      <c r="H472" s="536">
        <v>1727.0150000000001</v>
      </c>
      <c r="I472" s="685"/>
      <c r="J472" s="686"/>
      <c r="K472" s="543">
        <v>1996.8</v>
      </c>
      <c r="L472" s="664"/>
      <c r="M472" s="687"/>
      <c r="N472" s="665"/>
      <c r="O472" s="665"/>
    </row>
    <row r="473" spans="2:17">
      <c r="B473" s="195" t="s">
        <v>121</v>
      </c>
      <c r="C473" s="651">
        <f>Bradley!K678</f>
        <v>1819</v>
      </c>
      <c r="D473" s="651">
        <f>Bradley!L678</f>
        <v>7770</v>
      </c>
      <c r="E473" s="651">
        <f>Bradley!M678</f>
        <v>8106</v>
      </c>
      <c r="F473" s="651">
        <f>Bradley!N678</f>
        <v>1362</v>
      </c>
      <c r="G473" s="651">
        <f>Bradley!O678</f>
        <v>2280</v>
      </c>
      <c r="H473" s="651">
        <f>Bradley!P678</f>
        <v>21337</v>
      </c>
      <c r="I473" s="683">
        <v>50000</v>
      </c>
      <c r="J473" s="682">
        <f>-I473+H473</f>
        <v>-28663</v>
      </c>
      <c r="K473" s="541"/>
      <c r="L473" s="658">
        <f>H473</f>
        <v>21337</v>
      </c>
      <c r="M473" s="659">
        <f>Bradley!R678</f>
        <v>1362</v>
      </c>
      <c r="N473" s="660">
        <f>L473-M473</f>
        <v>19975</v>
      </c>
      <c r="O473" s="661">
        <f>Bradley!S678</f>
        <v>0</v>
      </c>
      <c r="P473">
        <f>Bradley!F700+Bradley!F705+Bradley!F709</f>
        <v>21337</v>
      </c>
      <c r="Q473" s="294">
        <f>H473-P473</f>
        <v>0</v>
      </c>
    </row>
    <row r="474" spans="2:17">
      <c r="B474" s="204" t="s">
        <v>101</v>
      </c>
      <c r="C474" s="531" cm="1">
        <f t="array" ref="C474:C475">Bradley!K681:K682</f>
        <v>0.66666666666666663</v>
      </c>
      <c r="D474" s="531" cm="1">
        <f t="array" ref="D474:D475">Bradley!L681:L682</f>
        <v>0.5</v>
      </c>
      <c r="E474" s="531" cm="1">
        <f t="array" ref="E474:E475">Bradley!M681:M682</f>
        <v>0.5714285714285714</v>
      </c>
      <c r="F474" s="531" cm="1">
        <f t="array" ref="F474:F475">Bradley!N681:N682</f>
        <v>0.4</v>
      </c>
      <c r="G474" s="531" cm="1">
        <f t="array" ref="G474:G475">Bradley!O681:O682</f>
        <v>0.5</v>
      </c>
      <c r="H474" s="531" cm="1">
        <f t="array" ref="H474:H475">Bradley!P681:P682</f>
        <v>0.51851851851851849</v>
      </c>
      <c r="I474" s="683"/>
      <c r="J474" s="684"/>
      <c r="K474" s="542"/>
      <c r="L474" s="662"/>
      <c r="M474" s="688"/>
      <c r="N474" s="663"/>
      <c r="O474" s="689"/>
    </row>
    <row r="475" spans="2:17">
      <c r="B475" s="204" t="s">
        <v>48</v>
      </c>
      <c r="C475" s="532">
        <v>909.5</v>
      </c>
      <c r="D475" s="532">
        <v>2590</v>
      </c>
      <c r="E475" s="532">
        <v>2026.5</v>
      </c>
      <c r="F475" s="532">
        <v>681</v>
      </c>
      <c r="G475" s="532">
        <v>760</v>
      </c>
      <c r="H475" s="532">
        <v>1524.0714285714287</v>
      </c>
      <c r="I475" s="685"/>
      <c r="J475" s="684"/>
      <c r="K475" s="543"/>
      <c r="L475" s="662"/>
      <c r="M475" s="688"/>
      <c r="N475" s="663"/>
      <c r="O475" s="689"/>
    </row>
    <row r="476" spans="2:17">
      <c r="B476" s="195" t="s">
        <v>116</v>
      </c>
      <c r="C476" s="567">
        <f>Elliot!K1050</f>
        <v>3158</v>
      </c>
      <c r="D476" s="567">
        <f>Elliot!L1050</f>
        <v>3579</v>
      </c>
      <c r="E476" s="567">
        <f>Elliot!M1050</f>
        <v>7710</v>
      </c>
      <c r="F476" s="567">
        <f>Elliot!N1050</f>
        <v>30643</v>
      </c>
      <c r="G476" s="567">
        <f>Elliot!O1050</f>
        <v>7150</v>
      </c>
      <c r="H476" s="567">
        <f>Elliot!P1050</f>
        <v>52240</v>
      </c>
      <c r="I476" s="683">
        <v>50000</v>
      </c>
      <c r="J476" s="682">
        <f>-I476+H476</f>
        <v>2240</v>
      </c>
      <c r="K476" s="541">
        <f>Elliot!Q1050</f>
        <v>2210</v>
      </c>
      <c r="L476" s="658">
        <f>H476</f>
        <v>52240</v>
      </c>
      <c r="M476" s="675">
        <f>Elliot!R1050</f>
        <v>28930.9</v>
      </c>
      <c r="N476" s="660">
        <f>L476-M476</f>
        <v>23309.1</v>
      </c>
      <c r="O476" s="676">
        <f>Elliot!S1050</f>
        <v>0</v>
      </c>
      <c r="P476">
        <f>Elliot!F1076+Elliot!F1094</f>
        <v>52240</v>
      </c>
      <c r="Q476" s="294">
        <f>H476-P476</f>
        <v>0</v>
      </c>
    </row>
    <row r="477" spans="2:17">
      <c r="B477" s="204" t="s">
        <v>101</v>
      </c>
      <c r="C477" s="531" cm="1">
        <f t="array" ref="C477:C478">Elliot!K1053:K1054</f>
        <v>0.42857142857142855</v>
      </c>
      <c r="D477" s="531" cm="1">
        <f t="array" ref="D477:D478">Elliot!L1053:L1054</f>
        <v>0.44444444444444442</v>
      </c>
      <c r="E477" s="531" cm="1">
        <f t="array" ref="E477:E478">Elliot!M1053:M1054</f>
        <v>0.6</v>
      </c>
      <c r="F477" s="531" cm="1">
        <f t="array" ref="F477:F478">Elliot!N1053:N1054</f>
        <v>0.66666666666666663</v>
      </c>
      <c r="G477" s="531" cm="1">
        <f t="array" ref="G477:G478">Elliot!O1053:O1054</f>
        <v>0.42857142857142855</v>
      </c>
      <c r="H477" s="531" cm="1">
        <f t="array" ref="H477:H478">Elliot!P1053:P1054</f>
        <v>0.51282051282051277</v>
      </c>
      <c r="I477" s="683"/>
      <c r="J477" s="684"/>
      <c r="K477" s="542" cm="1">
        <f t="array" ref="K477:K478">Elliot!Q1053:Q1054</f>
        <v>1</v>
      </c>
      <c r="L477" s="662"/>
      <c r="M477" s="659"/>
      <c r="N477" s="663"/>
      <c r="O477" s="661"/>
    </row>
    <row r="478" spans="2:17">
      <c r="B478" s="226" t="s">
        <v>48</v>
      </c>
      <c r="C478" s="533">
        <v>1052.6666666666667</v>
      </c>
      <c r="D478" s="533">
        <v>894.75</v>
      </c>
      <c r="E478" s="533">
        <v>1285</v>
      </c>
      <c r="F478" s="533">
        <v>7660.75</v>
      </c>
      <c r="G478" s="533">
        <v>2383.3333333333335</v>
      </c>
      <c r="H478" s="533">
        <v>2612</v>
      </c>
      <c r="I478" s="685"/>
      <c r="J478" s="686"/>
      <c r="K478" s="543">
        <v>2210</v>
      </c>
      <c r="L478" s="664"/>
      <c r="M478" s="677"/>
      <c r="N478" s="665"/>
      <c r="O478" s="678"/>
    </row>
    <row r="479" spans="2:17">
      <c r="B479" s="195" t="s">
        <v>112</v>
      </c>
      <c r="C479" s="567">
        <f>'Jarrod - No OT'!K1370</f>
        <v>1138</v>
      </c>
      <c r="D479" s="567">
        <f>'Jarrod - No OT'!L1370</f>
        <v>4876</v>
      </c>
      <c r="E479" s="567">
        <f>'Jarrod - No OT'!M1370</f>
        <v>15318</v>
      </c>
      <c r="F479" s="567">
        <f>'Jarrod - No OT'!N1370</f>
        <v>8133</v>
      </c>
      <c r="G479" s="567"/>
      <c r="H479" s="567">
        <f>'Jarrod - No OT'!P1370</f>
        <v>29465</v>
      </c>
      <c r="I479" s="681">
        <v>50000</v>
      </c>
      <c r="J479" s="682">
        <f>-I479+H479</f>
        <v>-20535</v>
      </c>
      <c r="K479" s="541"/>
      <c r="L479" s="658">
        <f>H479</f>
        <v>29465</v>
      </c>
      <c r="M479" s="675">
        <f>'Jarrod - No OT'!R1370</f>
        <v>0</v>
      </c>
      <c r="N479" s="660">
        <f>L479-M479</f>
        <v>29465</v>
      </c>
      <c r="O479" s="676">
        <f>'Jarrod - No OT'!S1370</f>
        <v>0</v>
      </c>
      <c r="P479">
        <f>'Jarrod - No OT'!F1389</f>
        <v>29465</v>
      </c>
      <c r="Q479" s="294">
        <f>H479-P479</f>
        <v>0</v>
      </c>
    </row>
    <row r="480" spans="2:17">
      <c r="B480" s="204" t="s">
        <v>101</v>
      </c>
      <c r="C480" s="531" cm="1">
        <f t="array" ref="C480:C481">'Jarrod - No OT'!K1373:K1374</f>
        <v>0.25</v>
      </c>
      <c r="D480" s="531" cm="1">
        <f t="array" ref="D480:D481">'Jarrod - No OT'!L1373:L1374</f>
        <v>0.33333333333333331</v>
      </c>
      <c r="E480" s="531" cm="1">
        <f t="array" ref="E480:E481">'Jarrod - No OT'!M1373:M1374</f>
        <v>0.5</v>
      </c>
      <c r="F480" s="531" cm="1">
        <f t="array" ref="F480:F481">'Jarrod - No OT'!N1373:N1374</f>
        <v>0.42857142857142855</v>
      </c>
      <c r="G480" s="531"/>
      <c r="H480" s="531" cm="1">
        <f t="array" ref="H480:H481">'Jarrod - No OT'!P1373:P1374</f>
        <v>0.24242424242424243</v>
      </c>
      <c r="I480" s="683"/>
      <c r="J480" s="684"/>
      <c r="K480" s="542"/>
      <c r="L480" s="662"/>
      <c r="M480" s="659"/>
      <c r="N480" s="663"/>
      <c r="O480" s="661"/>
    </row>
    <row r="481" spans="2:17">
      <c r="B481" s="226" t="s">
        <v>48</v>
      </c>
      <c r="C481" s="533">
        <v>1138</v>
      </c>
      <c r="D481" s="533">
        <v>1625.3333333333333</v>
      </c>
      <c r="E481" s="533">
        <v>15318</v>
      </c>
      <c r="F481" s="533">
        <v>2711</v>
      </c>
      <c r="G481" s="533"/>
      <c r="H481" s="533">
        <v>3683.125</v>
      </c>
      <c r="I481" s="685"/>
      <c r="J481" s="686"/>
      <c r="K481" s="543"/>
      <c r="L481" s="664"/>
      <c r="M481" s="677"/>
      <c r="N481" s="665"/>
      <c r="O481" s="678"/>
    </row>
    <row r="482" spans="2:17">
      <c r="B482" s="195" t="s">
        <v>126</v>
      </c>
      <c r="C482" s="567">
        <f>'Otheniel - Junior'!K311</f>
        <v>3749.8</v>
      </c>
      <c r="D482" s="567">
        <f>'Otheniel - Junior'!L311</f>
        <v>9765.7999999999993</v>
      </c>
      <c r="E482" s="567"/>
      <c r="F482" s="567">
        <f>'Otheniel - Junior'!N311</f>
        <v>5011.1000000000004</v>
      </c>
      <c r="G482" s="567">
        <f>'Otheniel - Junior'!O311</f>
        <v>2880</v>
      </c>
      <c r="H482" s="567">
        <f>'Otheniel - Junior'!P311</f>
        <v>21406.699999999997</v>
      </c>
      <c r="I482" s="681">
        <v>50000</v>
      </c>
      <c r="J482" s="682">
        <f>-I482+H482</f>
        <v>-28593.300000000003</v>
      </c>
      <c r="K482" s="541"/>
      <c r="L482" s="658">
        <f>H482</f>
        <v>21406.699999999997</v>
      </c>
      <c r="M482" s="675">
        <f>'Otheniel - Junior'!R311</f>
        <v>3751.9</v>
      </c>
      <c r="N482" s="660">
        <f>L482-M482</f>
        <v>17654.799999999996</v>
      </c>
      <c r="O482" s="676">
        <f>'Otheniel - Junior'!S311</f>
        <v>0</v>
      </c>
      <c r="P482">
        <f>'Otheniel - Junior'!F335+'Otheniel - Junior'!F341+'Otheniel - Junior'!F345</f>
        <v>21406.700000000004</v>
      </c>
      <c r="Q482" s="294">
        <f>H482-P482</f>
        <v>0</v>
      </c>
    </row>
    <row r="483" spans="2:17">
      <c r="B483" s="204" t="s">
        <v>101</v>
      </c>
      <c r="C483" s="531" cm="1">
        <f t="array" ref="C483:C484">'Otheniel - Junior'!K314:K315</f>
        <v>0.5</v>
      </c>
      <c r="D483" s="531" cm="1">
        <f t="array" ref="D483:D484">'Otheniel - Junior'!L314:L315</f>
        <v>0.6</v>
      </c>
      <c r="E483" s="531"/>
      <c r="F483" s="531" cm="1">
        <f t="array" ref="F483:F484">'Otheniel - Junior'!N314:N315</f>
        <v>0.625</v>
      </c>
      <c r="G483" s="531" cm="1">
        <f t="array" ref="G483:G484">'Otheniel - Junior'!O314:O315</f>
        <v>1</v>
      </c>
      <c r="H483" s="531" cm="1">
        <f t="array" ref="H483:H484">'Otheniel - Junior'!P314:P315</f>
        <v>0.62962962962962965</v>
      </c>
      <c r="I483" s="683"/>
      <c r="J483" s="684"/>
      <c r="K483" s="542"/>
      <c r="L483" s="662"/>
      <c r="M483" s="659"/>
      <c r="N483" s="663"/>
      <c r="O483" s="661"/>
    </row>
    <row r="484" spans="2:17">
      <c r="B484" s="226" t="s">
        <v>48</v>
      </c>
      <c r="C484" s="533">
        <v>1249.9333333333334</v>
      </c>
      <c r="D484" s="533">
        <v>1627.6333333333332</v>
      </c>
      <c r="E484" s="533"/>
      <c r="F484" s="533">
        <v>1002.22</v>
      </c>
      <c r="G484" s="533">
        <v>960</v>
      </c>
      <c r="H484" s="533">
        <v>1259.2176470588233</v>
      </c>
      <c r="I484" s="685"/>
      <c r="J484" s="686"/>
      <c r="K484" s="543"/>
      <c r="L484" s="664"/>
      <c r="M484" s="677"/>
      <c r="N484" s="665"/>
      <c r="O484" s="678"/>
    </row>
    <row r="485" spans="2:17">
      <c r="B485" s="195" t="s">
        <v>107</v>
      </c>
      <c r="C485" s="567">
        <f>'Shaun - No OT'!K1415</f>
        <v>11469.9</v>
      </c>
      <c r="D485" s="567">
        <f>'Shaun - No OT'!L1415</f>
        <v>9204.5</v>
      </c>
      <c r="E485" s="567">
        <f>'Shaun - No OT'!M1415</f>
        <v>4810.8</v>
      </c>
      <c r="F485" s="567">
        <f>'Shaun - No OT'!N1415</f>
        <v>3467.6</v>
      </c>
      <c r="G485" s="567"/>
      <c r="H485" s="567">
        <f>'Shaun - No OT'!P1415</f>
        <v>28952.799999999999</v>
      </c>
      <c r="I485" s="681">
        <v>50000</v>
      </c>
      <c r="J485" s="682">
        <f>-I485+H485</f>
        <v>-21047.200000000001</v>
      </c>
      <c r="K485" s="541"/>
      <c r="L485" s="658">
        <f>H485</f>
        <v>28952.799999999999</v>
      </c>
      <c r="M485" s="675">
        <f>'Shaun - No OT'!R1415</f>
        <v>3673.6</v>
      </c>
      <c r="N485" s="660">
        <f>L485-M485</f>
        <v>25279.200000000001</v>
      </c>
      <c r="O485" s="676">
        <f>'Shaun - No OT'!S1415</f>
        <v>0</v>
      </c>
      <c r="P485">
        <f>'Shaun - No OT'!F1438+'Shaun - No OT'!F1443+'Shaun - No OT'!F1447</f>
        <v>28952.799999999996</v>
      </c>
      <c r="Q485" s="294">
        <f>H485-P485</f>
        <v>0</v>
      </c>
    </row>
    <row r="486" spans="2:17">
      <c r="B486" s="204" t="s">
        <v>101</v>
      </c>
      <c r="C486" s="531" cm="1">
        <f t="array" ref="C486:C487">'Shaun - No OT'!K1418:K1419</f>
        <v>0.5</v>
      </c>
      <c r="D486" s="531" cm="1">
        <f t="array" ref="D486:D487">'Shaun - No OT'!L1418:L1419</f>
        <v>0.66666666666666663</v>
      </c>
      <c r="E486" s="531" cm="1">
        <f t="array" ref="E486:E487">'Shaun - No OT'!M1418:M1419</f>
        <v>0.6</v>
      </c>
      <c r="F486" s="531" cm="1">
        <f t="array" ref="F486:F487">'Shaun - No OT'!N1418:N1419</f>
        <v>0.33333333333333331</v>
      </c>
      <c r="G486" s="531"/>
      <c r="H486" s="531" cm="1">
        <f t="array" ref="H486:H487">'Shaun - No OT'!P1418:P1419</f>
        <v>0.46666666666666667</v>
      </c>
      <c r="I486" s="683"/>
      <c r="J486" s="684"/>
      <c r="K486" s="542"/>
      <c r="L486" s="662"/>
      <c r="M486" s="659"/>
      <c r="N486" s="663"/>
      <c r="O486" s="661"/>
    </row>
    <row r="487" spans="2:17">
      <c r="B487" s="226" t="s">
        <v>48</v>
      </c>
      <c r="C487" s="533">
        <v>2867.4749999999999</v>
      </c>
      <c r="D487" s="533">
        <v>2301.125</v>
      </c>
      <c r="E487" s="533">
        <v>1603.6000000000001</v>
      </c>
      <c r="F487" s="533">
        <v>1155.8666666666666</v>
      </c>
      <c r="G487" s="533"/>
      <c r="H487" s="533">
        <v>2068.0571428571429</v>
      </c>
      <c r="I487" s="685"/>
      <c r="J487" s="686"/>
      <c r="K487" s="543"/>
      <c r="L487" s="664"/>
      <c r="M487" s="677"/>
      <c r="N487" s="665"/>
      <c r="O487" s="678"/>
    </row>
    <row r="488" spans="2:17">
      <c r="B488" s="237" t="s">
        <v>102</v>
      </c>
      <c r="C488" s="238">
        <f>C470+C473+C476+C479+C482+C485</f>
        <v>23857.699999999997</v>
      </c>
      <c r="D488" s="238">
        <f t="shared" ref="D488:O488" si="12">D470+D473+D476+D479+D482+D485</f>
        <v>44832.800000000003</v>
      </c>
      <c r="E488" s="238">
        <f t="shared" si="12"/>
        <v>39848.800000000003</v>
      </c>
      <c r="F488" s="238">
        <f t="shared" si="12"/>
        <v>59804.7</v>
      </c>
      <c r="G488" s="238">
        <f t="shared" si="12"/>
        <v>19597.8</v>
      </c>
      <c r="H488" s="239">
        <f t="shared" si="12"/>
        <v>187941.8</v>
      </c>
      <c r="I488" s="238">
        <f t="shared" si="12"/>
        <v>300000</v>
      </c>
      <c r="J488" s="240">
        <f t="shared" si="12"/>
        <v>-112058.2</v>
      </c>
      <c r="K488" s="241">
        <f t="shared" si="12"/>
        <v>6203.6</v>
      </c>
      <c r="L488" s="239">
        <f t="shared" si="12"/>
        <v>187941.8</v>
      </c>
      <c r="M488" s="240">
        <f t="shared" si="12"/>
        <v>37718.400000000001</v>
      </c>
      <c r="N488" s="241">
        <f t="shared" si="12"/>
        <v>150223.4</v>
      </c>
      <c r="O488" s="240">
        <f t="shared" si="12"/>
        <v>2532.6</v>
      </c>
    </row>
    <row r="489" spans="2:17">
      <c r="B489" s="244" t="s">
        <v>103</v>
      </c>
      <c r="C489" s="244"/>
      <c r="D489" s="244"/>
      <c r="E489" s="244"/>
      <c r="F489" s="244"/>
      <c r="G489" s="244"/>
      <c r="H489" s="245">
        <f>H488+K488</f>
        <v>194145.4</v>
      </c>
      <c r="I489" s="246">
        <f>I488+J488</f>
        <v>187941.8</v>
      </c>
      <c r="J489" s="247"/>
      <c r="K489" s="248"/>
      <c r="L489" s="249"/>
      <c r="M489" s="250">
        <f>L488-N488</f>
        <v>37718.399999999994</v>
      </c>
      <c r="N489" s="251"/>
      <c r="O489" s="201"/>
    </row>
    <row r="492" spans="2:17">
      <c r="B492" s="171" t="s">
        <v>119</v>
      </c>
      <c r="C492" s="172">
        <v>45963</v>
      </c>
      <c r="D492" s="173"/>
      <c r="E492" s="173"/>
      <c r="F492" s="173"/>
      <c r="G492" s="173"/>
      <c r="H492" s="173"/>
      <c r="I492" s="174" t="s">
        <v>88</v>
      </c>
      <c r="J492" s="175"/>
      <c r="K492" s="176"/>
      <c r="L492" s="177"/>
      <c r="M492" s="178"/>
      <c r="N492" s="179" t="s">
        <v>89</v>
      </c>
      <c r="O492" s="180" t="s">
        <v>29</v>
      </c>
    </row>
    <row r="493" spans="2:17">
      <c r="B493" s="630"/>
      <c r="C493" s="288" t="s">
        <v>91</v>
      </c>
      <c r="D493" s="289" t="s">
        <v>92</v>
      </c>
      <c r="E493" s="289" t="s">
        <v>93</v>
      </c>
      <c r="F493" s="289" t="s">
        <v>94</v>
      </c>
      <c r="G493" s="290" t="s">
        <v>95</v>
      </c>
      <c r="H493" s="290" t="s">
        <v>96</v>
      </c>
      <c r="I493" s="631" t="s">
        <v>97</v>
      </c>
      <c r="J493" s="632" t="s">
        <v>98</v>
      </c>
      <c r="K493" s="633" t="s">
        <v>29</v>
      </c>
      <c r="L493" s="634" t="s">
        <v>89</v>
      </c>
      <c r="M493" s="635" t="s">
        <v>99</v>
      </c>
      <c r="N493" s="636" t="s">
        <v>100</v>
      </c>
      <c r="O493" s="708" t="s">
        <v>99</v>
      </c>
    </row>
    <row r="494" spans="2:17">
      <c r="B494" s="195" t="s">
        <v>106</v>
      </c>
      <c r="C494" s="651">
        <f>'Ben - No OT'!K1545</f>
        <v>6101.1</v>
      </c>
      <c r="D494" s="651">
        <f>'Ben - No OT'!L1545</f>
        <v>1750.9</v>
      </c>
      <c r="E494" s="651">
        <f>'Ben - No OT'!M1545</f>
        <v>1138</v>
      </c>
      <c r="F494" s="651">
        <f>'Ben - No OT'!N1545</f>
        <v>5938</v>
      </c>
      <c r="G494" s="651">
        <f>'Ben - No OT'!O1545</f>
        <v>12454.9</v>
      </c>
      <c r="H494" s="651">
        <f>'Ben - No OT'!P1545</f>
        <v>27382.9</v>
      </c>
      <c r="I494" s="681">
        <v>50000</v>
      </c>
      <c r="J494" s="682">
        <f>-I494+H494</f>
        <v>-22617.1</v>
      </c>
      <c r="K494" s="541"/>
      <c r="L494" s="658">
        <f>H494</f>
        <v>27382.9</v>
      </c>
      <c r="M494" s="659">
        <f>'Ben - No OT'!R1545</f>
        <v>8475</v>
      </c>
      <c r="N494" s="660">
        <f>L494-M494</f>
        <v>18907.900000000001</v>
      </c>
      <c r="O494" s="661">
        <f>'Ben - No OT'!S1545</f>
        <v>0</v>
      </c>
      <c r="P494">
        <f>'Ben - No OT'!F1568+'Ben - No OT'!F1584</f>
        <v>27382.9</v>
      </c>
      <c r="Q494" s="294">
        <f>H494-P494</f>
        <v>0</v>
      </c>
    </row>
    <row r="495" spans="2:17">
      <c r="B495" s="204" t="s">
        <v>101</v>
      </c>
      <c r="C495" s="531" cm="1">
        <f t="array" ref="C495:C496">'Ben - No OT'!K1548:K1549</f>
        <v>0.66666666666666663</v>
      </c>
      <c r="D495" s="531" cm="1">
        <f t="array" ref="D495:D496">'Ben - No OT'!L1548:L1549</f>
        <v>0.4</v>
      </c>
      <c r="E495" s="531" cm="1">
        <f t="array" ref="E495:E496">'Ben - No OT'!M1548:M1549</f>
        <v>0.2</v>
      </c>
      <c r="F495" s="531" cm="1">
        <f t="array" ref="F495:F496">'Ben - No OT'!N1548:N1549</f>
        <v>0.5</v>
      </c>
      <c r="G495" s="531" cm="1">
        <f t="array" ref="G495:G496">'Ben - No OT'!O1548:O1549</f>
        <v>0.4</v>
      </c>
      <c r="H495" s="531" cm="1">
        <f t="array" ref="H495:H496">'Ben - No OT'!P1548:P1549</f>
        <v>0.41935483870967744</v>
      </c>
      <c r="I495" s="683"/>
      <c r="J495" s="684"/>
      <c r="K495" s="542"/>
      <c r="L495" s="662"/>
      <c r="M495" s="659"/>
      <c r="N495" s="663"/>
      <c r="O495" s="661"/>
    </row>
    <row r="496" spans="2:17">
      <c r="B496" s="204" t="s">
        <v>48</v>
      </c>
      <c r="C496" s="536">
        <v>3050.55</v>
      </c>
      <c r="D496" s="536">
        <v>875.45</v>
      </c>
      <c r="E496" s="536">
        <v>1138</v>
      </c>
      <c r="F496" s="536">
        <v>1484.5</v>
      </c>
      <c r="G496" s="536">
        <v>3113.7249999999999</v>
      </c>
      <c r="H496" s="536">
        <v>2106.376923076923</v>
      </c>
      <c r="I496" s="685"/>
      <c r="J496" s="686"/>
      <c r="K496" s="543"/>
      <c r="L496" s="664"/>
      <c r="M496" s="687"/>
      <c r="N496" s="665"/>
      <c r="O496" s="665"/>
    </row>
    <row r="497" spans="2:17">
      <c r="B497" s="195" t="s">
        <v>121</v>
      </c>
      <c r="C497" s="651">
        <f>Bradley!K766</f>
        <v>14562.85</v>
      </c>
      <c r="D497" s="651">
        <f>Bradley!L766</f>
        <v>2478</v>
      </c>
      <c r="E497" s="651">
        <f>Bradley!M766</f>
        <v>12128.72</v>
      </c>
      <c r="F497" s="651">
        <f>Bradley!N766</f>
        <v>7052</v>
      </c>
      <c r="G497" s="651">
        <f>Bradley!O766</f>
        <v>1909</v>
      </c>
      <c r="H497" s="651">
        <f>Bradley!P766</f>
        <v>38130.57</v>
      </c>
      <c r="I497" s="683">
        <v>50000</v>
      </c>
      <c r="J497" s="682">
        <f>-I497+H497</f>
        <v>-11869.43</v>
      </c>
      <c r="K497" s="541"/>
      <c r="L497" s="658">
        <f>H497</f>
        <v>38130.57</v>
      </c>
      <c r="M497" s="659">
        <f>Bradley!R766</f>
        <v>6772</v>
      </c>
      <c r="N497" s="660">
        <f>L497-M497</f>
        <v>31358.57</v>
      </c>
      <c r="O497" s="661">
        <f>Bradley!S766</f>
        <v>0</v>
      </c>
      <c r="P497">
        <f>Bradley!F794+Bradley!F811+Bradley!F815</f>
        <v>38130.57</v>
      </c>
      <c r="Q497" s="294">
        <f>H497-P497</f>
        <v>0</v>
      </c>
    </row>
    <row r="498" spans="2:17">
      <c r="B498" s="204" t="s">
        <v>101</v>
      </c>
      <c r="C498" s="531" cm="1">
        <f t="array" ref="C498:C499">Bradley!K769:K770</f>
        <v>0.7142857142857143</v>
      </c>
      <c r="D498" s="531" cm="1">
        <f t="array" ref="D498:D499">Bradley!L769:L770</f>
        <v>0.75</v>
      </c>
      <c r="E498" s="531" cm="1">
        <f t="array" ref="E498:E499">Bradley!M769:M770</f>
        <v>1</v>
      </c>
      <c r="F498" s="531" cm="1">
        <f t="array" ref="F498:F499">Bradley!N769:N770</f>
        <v>0.5</v>
      </c>
      <c r="G498" s="531" cm="1">
        <f t="array" ref="G498:G499">Bradley!O769:O770</f>
        <v>0.25</v>
      </c>
      <c r="H498" s="531" cm="1">
        <f t="array" ref="H498:H499">Bradley!P769:P770</f>
        <v>0.61764705882352944</v>
      </c>
      <c r="I498" s="683"/>
      <c r="J498" s="684"/>
      <c r="K498" s="542"/>
      <c r="L498" s="662"/>
      <c r="M498" s="688"/>
      <c r="N498" s="663"/>
      <c r="O498" s="689"/>
    </row>
    <row r="499" spans="2:17">
      <c r="B499" s="204" t="s">
        <v>48</v>
      </c>
      <c r="C499" s="532">
        <v>2912.57</v>
      </c>
      <c r="D499" s="532">
        <v>826</v>
      </c>
      <c r="E499" s="532">
        <v>1732.6742857142856</v>
      </c>
      <c r="F499" s="532">
        <v>1763</v>
      </c>
      <c r="G499" s="532">
        <v>954.5</v>
      </c>
      <c r="H499" s="532">
        <v>1815.7414285714285</v>
      </c>
      <c r="I499" s="685"/>
      <c r="J499" s="684"/>
      <c r="K499" s="543"/>
      <c r="L499" s="662"/>
      <c r="M499" s="688"/>
      <c r="N499" s="663"/>
      <c r="O499" s="689"/>
    </row>
    <row r="500" spans="2:17">
      <c r="B500" s="195" t="s">
        <v>116</v>
      </c>
      <c r="C500" s="567">
        <f>Elliot!K1151</f>
        <v>2158</v>
      </c>
      <c r="D500" s="567">
        <f>Elliot!L1151</f>
        <v>6268</v>
      </c>
      <c r="E500" s="567">
        <f>Elliot!M1151</f>
        <v>681</v>
      </c>
      <c r="F500" s="567"/>
      <c r="G500" s="567">
        <f>Elliot!O1151</f>
        <v>1225</v>
      </c>
      <c r="H500" s="567">
        <f>Elliot!P1151</f>
        <v>10332</v>
      </c>
      <c r="I500" s="683">
        <v>50000</v>
      </c>
      <c r="J500" s="682">
        <f>-I500+H500</f>
        <v>-39668</v>
      </c>
      <c r="K500" s="541"/>
      <c r="L500" s="658">
        <f>H500</f>
        <v>10332</v>
      </c>
      <c r="M500" s="675">
        <f>Elliot!R1151</f>
        <v>0</v>
      </c>
      <c r="N500" s="660">
        <f>L500-M500</f>
        <v>10332</v>
      </c>
      <c r="O500" s="676">
        <f>Elliot!S1151</f>
        <v>0</v>
      </c>
      <c r="P500">
        <f>Elliot!F1170</f>
        <v>10332</v>
      </c>
      <c r="Q500" s="294">
        <f>H500-P500</f>
        <v>0</v>
      </c>
    </row>
    <row r="501" spans="2:17">
      <c r="B501" s="204" t="s">
        <v>101</v>
      </c>
      <c r="C501" s="531" cm="1">
        <f t="array" ref="C501:C502">Elliot!K1154:K1155</f>
        <v>0.3</v>
      </c>
      <c r="D501" s="531" cm="1">
        <f t="array" ref="D501:D502">Elliot!L1154:L1155</f>
        <v>0.5</v>
      </c>
      <c r="E501" s="531" cm="1">
        <f t="array" ref="E501:E502">Elliot!M1154:M1155</f>
        <v>0.5</v>
      </c>
      <c r="F501" s="531"/>
      <c r="G501" s="531" cm="1">
        <f t="array" ref="G501:G502">Elliot!O1154:O1155</f>
        <v>0.125</v>
      </c>
      <c r="H501" s="531" cm="1">
        <f t="array" ref="H501:H502">Elliot!P1154:P1155</f>
        <v>0.30769230769230771</v>
      </c>
      <c r="I501" s="683"/>
      <c r="J501" s="684"/>
      <c r="K501" s="542"/>
      <c r="L501" s="662"/>
      <c r="M501" s="659"/>
      <c r="N501" s="663"/>
      <c r="O501" s="661"/>
    </row>
    <row r="502" spans="2:17">
      <c r="B502" s="226" t="s">
        <v>48</v>
      </c>
      <c r="C502" s="533">
        <v>719.33333333333337</v>
      </c>
      <c r="D502" s="533">
        <v>2089.3333333333335</v>
      </c>
      <c r="E502" s="533">
        <v>681</v>
      </c>
      <c r="F502" s="533"/>
      <c r="G502" s="533">
        <v>1225</v>
      </c>
      <c r="H502" s="533">
        <v>1291.5</v>
      </c>
      <c r="I502" s="685"/>
      <c r="J502" s="686"/>
      <c r="K502" s="543"/>
      <c r="L502" s="664"/>
      <c r="M502" s="677"/>
      <c r="N502" s="665"/>
      <c r="O502" s="678"/>
    </row>
    <row r="503" spans="2:17">
      <c r="B503" s="195" t="s">
        <v>112</v>
      </c>
      <c r="C503" s="567">
        <f>'Jarrod - No OT'!K1463</f>
        <v>7284</v>
      </c>
      <c r="D503" s="567">
        <f>'Jarrod - No OT'!L1463</f>
        <v>5072</v>
      </c>
      <c r="E503" s="567">
        <f>'Jarrod - No OT'!M1463</f>
        <v>11847</v>
      </c>
      <c r="F503" s="567">
        <f>'Jarrod - No OT'!N1463</f>
        <v>8641</v>
      </c>
      <c r="G503" s="567">
        <f>'Jarrod - No OT'!O1463</f>
        <v>3644</v>
      </c>
      <c r="H503" s="567">
        <f>'Jarrod - No OT'!P1463</f>
        <v>36488</v>
      </c>
      <c r="I503" s="681">
        <v>50000</v>
      </c>
      <c r="J503" s="682">
        <f>-I503+H503</f>
        <v>-13512</v>
      </c>
      <c r="K503" s="541"/>
      <c r="L503" s="658">
        <f>H503</f>
        <v>36488</v>
      </c>
      <c r="M503" s="675">
        <f>'Jarrod - No OT'!R1463</f>
        <v>13716</v>
      </c>
      <c r="N503" s="660">
        <f>L503-M503</f>
        <v>22772</v>
      </c>
      <c r="O503" s="676">
        <f>'Jarrod - No OT'!S1463</f>
        <v>0</v>
      </c>
      <c r="P503">
        <f>'Jarrod - No OT'!F1487+'Jarrod - No OT'!F1503+'Jarrod - No OT'!F1507</f>
        <v>36488</v>
      </c>
      <c r="Q503" s="294">
        <f>H503-P503</f>
        <v>0</v>
      </c>
    </row>
    <row r="504" spans="2:17">
      <c r="B504" s="204" t="s">
        <v>101</v>
      </c>
      <c r="C504" s="531" cm="1">
        <f t="array" ref="C504:C505">'Jarrod - No OT'!K1466:K1467</f>
        <v>0.4</v>
      </c>
      <c r="D504" s="531" cm="1">
        <f t="array" ref="D504:D505">'Jarrod - No OT'!L1466:L1467</f>
        <v>0.8</v>
      </c>
      <c r="E504" s="531" cm="1">
        <f t="array" ref="E504:E505">'Jarrod - No OT'!M1466:M1467</f>
        <v>1</v>
      </c>
      <c r="F504" s="531" cm="1">
        <f t="array" ref="F504:F505">'Jarrod - No OT'!N1466:N1467</f>
        <v>0.2</v>
      </c>
      <c r="G504" s="531" cm="1">
        <f t="array" ref="G504:G505">'Jarrod - No OT'!O1466:O1467</f>
        <v>0.5714285714285714</v>
      </c>
      <c r="H504" s="531" cm="1">
        <f t="array" ref="H504:H505">'Jarrod - No OT'!P1466:P1467</f>
        <v>0.57692307692307687</v>
      </c>
      <c r="I504" s="683"/>
      <c r="J504" s="684"/>
      <c r="K504" s="542"/>
      <c r="L504" s="662"/>
      <c r="M504" s="659"/>
      <c r="N504" s="663"/>
      <c r="O504" s="661"/>
    </row>
    <row r="505" spans="2:17">
      <c r="B505" s="226" t="s">
        <v>48</v>
      </c>
      <c r="C505" s="533">
        <v>3642</v>
      </c>
      <c r="D505" s="533">
        <v>1268</v>
      </c>
      <c r="E505" s="533">
        <v>2961.75</v>
      </c>
      <c r="F505" s="533">
        <v>8641</v>
      </c>
      <c r="G505" s="533">
        <v>911</v>
      </c>
      <c r="H505" s="533">
        <v>2432.5333333333333</v>
      </c>
      <c r="I505" s="685"/>
      <c r="J505" s="686"/>
      <c r="K505" s="543"/>
      <c r="L505" s="664"/>
      <c r="M505" s="677"/>
      <c r="N505" s="665"/>
      <c r="O505" s="678"/>
    </row>
    <row r="506" spans="2:17">
      <c r="B506" s="195" t="s">
        <v>109</v>
      </c>
      <c r="C506" s="567">
        <f>Liam!K1533</f>
        <v>8306</v>
      </c>
      <c r="D506" s="567">
        <f>Liam!L1533</f>
        <v>5776</v>
      </c>
      <c r="E506" s="567">
        <f>Liam!M1533</f>
        <v>5557</v>
      </c>
      <c r="F506" s="567">
        <f>Liam!N1533</f>
        <v>8841.27</v>
      </c>
      <c r="G506" s="567">
        <f>Liam!O1533</f>
        <v>1135.9000000000001</v>
      </c>
      <c r="H506" s="567">
        <f>Liam!P1533</f>
        <v>29616.170000000002</v>
      </c>
      <c r="I506" s="681">
        <v>50000</v>
      </c>
      <c r="J506" s="682">
        <f>-I506+H506</f>
        <v>-20383.829999999998</v>
      </c>
      <c r="K506" s="541">
        <f>Liam!Q1533</f>
        <v>18710.099999999999</v>
      </c>
      <c r="L506" s="658">
        <f>H506</f>
        <v>29616.170000000002</v>
      </c>
      <c r="M506" s="675">
        <f>Liam!R1533</f>
        <v>11039.27</v>
      </c>
      <c r="N506" s="660">
        <f>L506-M506</f>
        <v>18576.900000000001</v>
      </c>
      <c r="O506" s="676">
        <f>Liam!S1533</f>
        <v>12143.1</v>
      </c>
      <c r="P506">
        <f>Liam!F1556+Liam!F1579+Liam!F1584</f>
        <v>29616.170000000002</v>
      </c>
      <c r="Q506" s="294">
        <f>H506-P506</f>
        <v>0</v>
      </c>
    </row>
    <row r="507" spans="2:17">
      <c r="B507" s="204" t="s">
        <v>101</v>
      </c>
      <c r="C507" s="531" cm="1">
        <f t="array" ref="C507:C508">Liam!K1536:K1537</f>
        <v>0.66666666666666663</v>
      </c>
      <c r="D507" s="531" cm="1">
        <f t="array" ref="D507:D508">Liam!L1536:L1537</f>
        <v>0.5</v>
      </c>
      <c r="E507" s="531" cm="1">
        <f t="array" ref="E507:E508">Liam!M1536:M1537</f>
        <v>0.33333333333333331</v>
      </c>
      <c r="F507" s="531" cm="1">
        <f t="array" ref="F507:F508">Liam!N1536:N1537</f>
        <v>0.4</v>
      </c>
      <c r="G507" s="531" cm="1">
        <f t="array" ref="G507:G508">Liam!O1536:O1537</f>
        <v>0.33333333333333331</v>
      </c>
      <c r="H507" s="531" cm="1">
        <f t="array" ref="H507:H508">Liam!P1536:P1537</f>
        <v>0.45714285714285713</v>
      </c>
      <c r="I507" s="683"/>
      <c r="J507" s="684"/>
      <c r="K507" s="542" cm="1">
        <f t="array" ref="K507:K508">Liam!Q1536:Q1537</f>
        <v>0.66666666666666663</v>
      </c>
      <c r="L507" s="662"/>
      <c r="M507" s="659"/>
      <c r="N507" s="663"/>
      <c r="O507" s="661"/>
    </row>
    <row r="508" spans="2:17">
      <c r="B508" s="226" t="s">
        <v>48</v>
      </c>
      <c r="C508" s="533">
        <v>1384.3333333333333</v>
      </c>
      <c r="D508" s="533">
        <v>2888</v>
      </c>
      <c r="E508" s="533">
        <v>2778.5</v>
      </c>
      <c r="F508" s="533">
        <v>2210.3175000000001</v>
      </c>
      <c r="G508" s="533">
        <v>567.95000000000005</v>
      </c>
      <c r="H508" s="533">
        <v>1851.0106250000001</v>
      </c>
      <c r="I508" s="685"/>
      <c r="J508" s="686"/>
      <c r="K508" s="543">
        <v>4677.5249999999996</v>
      </c>
      <c r="L508" s="664"/>
      <c r="M508" s="677"/>
      <c r="N508" s="665"/>
      <c r="O508" s="678"/>
    </row>
    <row r="509" spans="2:17">
      <c r="B509" s="195" t="s">
        <v>107</v>
      </c>
      <c r="C509" s="567">
        <f>'Shaun - No OT'!K1500</f>
        <v>13536.5</v>
      </c>
      <c r="D509" s="567">
        <f>'Shaun - No OT'!L1500</f>
        <v>1724</v>
      </c>
      <c r="E509" s="567">
        <f>'Shaun - No OT'!M1500</f>
        <v>13432.9</v>
      </c>
      <c r="F509" s="567">
        <f>'Shaun - No OT'!N1500</f>
        <v>12251.85</v>
      </c>
      <c r="G509" s="567">
        <f>'Shaun - No OT'!O1500</f>
        <v>20287.3</v>
      </c>
      <c r="H509" s="567">
        <f>'Shaun - No OT'!P1500</f>
        <v>61232.55</v>
      </c>
      <c r="I509" s="681">
        <v>50000</v>
      </c>
      <c r="J509" s="682">
        <f>-I509+H509</f>
        <v>11232.550000000003</v>
      </c>
      <c r="K509" s="541"/>
      <c r="L509" s="658">
        <f>H509</f>
        <v>61232.55</v>
      </c>
      <c r="M509" s="675">
        <f>'Shaun - No OT'!R1500</f>
        <v>13130</v>
      </c>
      <c r="N509" s="660">
        <f>L509-M509</f>
        <v>48102.55</v>
      </c>
      <c r="O509" s="676">
        <f>'Shaun - No OT'!S1500</f>
        <v>0</v>
      </c>
      <c r="P509">
        <f>'Shaun - No OT'!F1530+'Shaun - No OT'!F1547</f>
        <v>61232.55</v>
      </c>
      <c r="Q509" s="294">
        <f>H509-P509</f>
        <v>0</v>
      </c>
    </row>
    <row r="510" spans="2:17">
      <c r="B510" s="204" t="s">
        <v>101</v>
      </c>
      <c r="C510" s="531" cm="1">
        <f t="array" ref="C510:C511">'Shaun - No OT'!K1503:K1504</f>
        <v>0.625</v>
      </c>
      <c r="D510" s="531" cm="1">
        <f t="array" ref="D510:D511">'Shaun - No OT'!L1503:L1504</f>
        <v>0.33333333333333331</v>
      </c>
      <c r="E510" s="531" cm="1">
        <f t="array" ref="E510:E511">'Shaun - No OT'!M1503:M1504</f>
        <v>0.5</v>
      </c>
      <c r="F510" s="531" cm="1">
        <f t="array" ref="F510:F511">'Shaun - No OT'!N1503:N1504</f>
        <v>0.5714285714285714</v>
      </c>
      <c r="G510" s="531" cm="1">
        <f t="array" ref="G510:G511">'Shaun - No OT'!O1503:O1504</f>
        <v>0.8</v>
      </c>
      <c r="H510" s="531" cm="1">
        <f t="array" ref="H510:H511">'Shaun - No OT'!P1503:P1504</f>
        <v>0.6</v>
      </c>
      <c r="I510" s="683"/>
      <c r="J510" s="684"/>
      <c r="K510" s="542"/>
      <c r="L510" s="662"/>
      <c r="M510" s="659"/>
      <c r="N510" s="663"/>
      <c r="O510" s="661"/>
    </row>
    <row r="511" spans="2:17">
      <c r="B511" s="226" t="s">
        <v>48</v>
      </c>
      <c r="C511" s="533">
        <v>2707.3</v>
      </c>
      <c r="D511" s="533">
        <v>862</v>
      </c>
      <c r="E511" s="533">
        <v>6716.45</v>
      </c>
      <c r="F511" s="533">
        <v>3062.9625000000001</v>
      </c>
      <c r="G511" s="533">
        <v>2535.9124999999999</v>
      </c>
      <c r="H511" s="533">
        <v>2915.8357142857144</v>
      </c>
      <c r="I511" s="685"/>
      <c r="J511" s="686"/>
      <c r="K511" s="543"/>
      <c r="L511" s="664"/>
      <c r="M511" s="677"/>
      <c r="N511" s="665"/>
      <c r="O511" s="678"/>
    </row>
    <row r="512" spans="2:17">
      <c r="B512" s="237" t="s">
        <v>102</v>
      </c>
      <c r="C512" s="238">
        <f>C494+C497+C500+C503+C506+C509</f>
        <v>51948.45</v>
      </c>
      <c r="D512" s="238">
        <f t="shared" ref="D512:O512" si="13">D494+D497+D500+D503+D506+D509</f>
        <v>23068.9</v>
      </c>
      <c r="E512" s="238">
        <f t="shared" si="13"/>
        <v>44784.62</v>
      </c>
      <c r="F512" s="238">
        <f t="shared" si="13"/>
        <v>42724.12</v>
      </c>
      <c r="G512" s="238">
        <f t="shared" si="13"/>
        <v>40656.100000000006</v>
      </c>
      <c r="H512" s="239">
        <f t="shared" si="13"/>
        <v>203182.19</v>
      </c>
      <c r="I512" s="238">
        <f t="shared" si="13"/>
        <v>300000</v>
      </c>
      <c r="J512" s="240">
        <f t="shared" si="13"/>
        <v>-96817.81</v>
      </c>
      <c r="K512" s="241">
        <f t="shared" si="13"/>
        <v>18710.099999999999</v>
      </c>
      <c r="L512" s="239">
        <f t="shared" si="13"/>
        <v>203182.19</v>
      </c>
      <c r="M512" s="240">
        <f t="shared" si="13"/>
        <v>53132.270000000004</v>
      </c>
      <c r="N512" s="241">
        <f t="shared" si="13"/>
        <v>150049.91999999998</v>
      </c>
      <c r="O512" s="240">
        <f t="shared" si="13"/>
        <v>12143.1</v>
      </c>
    </row>
    <row r="513" spans="2:17">
      <c r="B513" s="244" t="s">
        <v>103</v>
      </c>
      <c r="C513" s="244"/>
      <c r="D513" s="244"/>
      <c r="E513" s="244"/>
      <c r="F513" s="244"/>
      <c r="G513" s="244"/>
      <c r="H513" s="245">
        <f>H512+K512</f>
        <v>221892.29</v>
      </c>
      <c r="I513" s="246">
        <f>I512+J512</f>
        <v>203182.19</v>
      </c>
      <c r="J513" s="247"/>
      <c r="K513" s="248"/>
      <c r="L513" s="249"/>
      <c r="M513" s="250">
        <f>L512-N512</f>
        <v>53132.270000000019</v>
      </c>
      <c r="N513" s="251"/>
      <c r="O513" s="201"/>
    </row>
    <row r="516" spans="2:17">
      <c r="B516" s="171" t="s">
        <v>119</v>
      </c>
      <c r="C516" s="172">
        <v>45963</v>
      </c>
      <c r="D516" s="173"/>
      <c r="E516" s="173"/>
      <c r="F516" s="173"/>
      <c r="G516" s="173"/>
      <c r="H516" s="173"/>
      <c r="I516" s="174" t="s">
        <v>88</v>
      </c>
      <c r="J516" s="175"/>
      <c r="K516" s="176"/>
      <c r="L516" s="177"/>
      <c r="M516" s="178"/>
      <c r="N516" s="179" t="s">
        <v>89</v>
      </c>
      <c r="O516" s="180" t="s">
        <v>29</v>
      </c>
    </row>
    <row r="517" spans="2:17">
      <c r="B517" s="630"/>
      <c r="C517" s="288" t="s">
        <v>91</v>
      </c>
      <c r="D517" s="289" t="s">
        <v>92</v>
      </c>
      <c r="E517" s="289" t="s">
        <v>93</v>
      </c>
      <c r="F517" s="289" t="s">
        <v>94</v>
      </c>
      <c r="G517" s="290" t="s">
        <v>95</v>
      </c>
      <c r="H517" s="290" t="s">
        <v>96</v>
      </c>
      <c r="I517" s="631" t="s">
        <v>97</v>
      </c>
      <c r="J517" s="632" t="s">
        <v>98</v>
      </c>
      <c r="K517" s="633" t="s">
        <v>29</v>
      </c>
      <c r="L517" s="634" t="s">
        <v>89</v>
      </c>
      <c r="M517" s="635" t="s">
        <v>99</v>
      </c>
      <c r="N517" s="636" t="s">
        <v>100</v>
      </c>
      <c r="O517" s="708" t="s">
        <v>99</v>
      </c>
    </row>
    <row r="518" spans="2:17">
      <c r="B518" s="195" t="s">
        <v>106</v>
      </c>
      <c r="C518" s="651">
        <f>'Ben - No OT'!K1639</f>
        <v>3738</v>
      </c>
      <c r="D518" s="651">
        <f>'Ben - No OT'!L1639</f>
        <v>0</v>
      </c>
      <c r="E518" s="651">
        <f>'Ben - No OT'!M1639</f>
        <v>0</v>
      </c>
      <c r="F518" s="651">
        <f>'Ben - No OT'!N1639</f>
        <v>0</v>
      </c>
      <c r="G518" s="651">
        <f>'Ben - No OT'!O1639</f>
        <v>0</v>
      </c>
      <c r="H518" s="651">
        <f>'Ben - No OT'!P1639</f>
        <v>3738</v>
      </c>
      <c r="I518" s="681">
        <v>50000</v>
      </c>
      <c r="J518" s="682">
        <f>-I518+H518</f>
        <v>-46262</v>
      </c>
      <c r="K518" s="541">
        <f>'Ben - No OT'!Q1639</f>
        <v>0</v>
      </c>
      <c r="L518" s="658">
        <f>H518</f>
        <v>3738</v>
      </c>
      <c r="M518" s="659">
        <f>'Ben - No OT'!R1639</f>
        <v>1796</v>
      </c>
      <c r="N518" s="660">
        <f>L518-M518</f>
        <v>1942</v>
      </c>
      <c r="O518" s="661">
        <f>'Ben - No OT'!S1639</f>
        <v>0</v>
      </c>
      <c r="Q518" s="294">
        <f>H518-P518</f>
        <v>3738</v>
      </c>
    </row>
    <row r="519" spans="2:17">
      <c r="B519" s="204" t="s">
        <v>101</v>
      </c>
      <c r="C519" s="531" cm="1">
        <f t="array" ref="C519:C520">'Ben - No OT'!K1642:K1643</f>
        <v>0.42857142857142855</v>
      </c>
      <c r="D519" s="531" t="e" cm="1">
        <f t="array" ref="D519:D520">'Ben - No OT'!L1642:L1643</f>
        <v>#DIV/0!</v>
      </c>
      <c r="E519" s="531" t="e" cm="1">
        <f t="array" ref="E519:E520">'Ben - No OT'!M1642:M1643</f>
        <v>#DIV/0!</v>
      </c>
      <c r="F519" s="531" t="e" cm="1">
        <f t="array" ref="F519:F520">'Ben - No OT'!N1642:N1643</f>
        <v>#DIV/0!</v>
      </c>
      <c r="G519" s="531" t="e" cm="1">
        <f t="array" ref="G519:G520">'Ben - No OT'!O1642:O1643</f>
        <v>#DIV/0!</v>
      </c>
      <c r="H519" s="531" cm="1">
        <f t="array" ref="H519:H520">'Ben - No OT'!P1642:P1643</f>
        <v>0.42857142857142855</v>
      </c>
      <c r="I519" s="683"/>
      <c r="J519" s="684"/>
      <c r="K519" s="542" t="e" cm="1">
        <f t="array" ref="K519:K520">'Ben - No OT'!Q1642:Q1643</f>
        <v>#DIV/0!</v>
      </c>
      <c r="L519" s="662"/>
      <c r="M519" s="659"/>
      <c r="N519" s="663"/>
      <c r="O519" s="661"/>
    </row>
    <row r="520" spans="2:17">
      <c r="B520" s="204" t="s">
        <v>48</v>
      </c>
      <c r="C520" s="536">
        <v>1246</v>
      </c>
      <c r="D520" s="536" t="e">
        <v>#DIV/0!</v>
      </c>
      <c r="E520" s="536" t="e">
        <v>#DIV/0!</v>
      </c>
      <c r="F520" s="536" t="e">
        <v>#DIV/0!</v>
      </c>
      <c r="G520" s="536" t="e">
        <v>#DIV/0!</v>
      </c>
      <c r="H520" s="536">
        <v>1246</v>
      </c>
      <c r="I520" s="685"/>
      <c r="J520" s="686"/>
      <c r="K520" s="543" t="e">
        <v>#DIV/0!</v>
      </c>
      <c r="L520" s="664"/>
      <c r="M520" s="687"/>
      <c r="N520" s="665"/>
      <c r="O520" s="665"/>
    </row>
    <row r="521" spans="2:17">
      <c r="B521" s="195" t="s">
        <v>121</v>
      </c>
      <c r="C521" s="651">
        <f>Bradley!K873</f>
        <v>24851.64</v>
      </c>
      <c r="D521" s="651">
        <f>Bradley!L873</f>
        <v>0</v>
      </c>
      <c r="E521" s="651">
        <f>Bradley!M873</f>
        <v>0</v>
      </c>
      <c r="F521" s="651">
        <f>Bradley!N873</f>
        <v>0</v>
      </c>
      <c r="G521" s="651">
        <f>Bradley!O873</f>
        <v>0</v>
      </c>
      <c r="H521" s="651">
        <f>Bradley!P873</f>
        <v>24851.64</v>
      </c>
      <c r="I521" s="683">
        <v>50000</v>
      </c>
      <c r="J521" s="682">
        <f>-I521+H521</f>
        <v>-25148.36</v>
      </c>
      <c r="K521" s="541">
        <f>Bradley!Q873</f>
        <v>0</v>
      </c>
      <c r="L521" s="658">
        <f>H521</f>
        <v>24851.64</v>
      </c>
      <c r="M521" s="659">
        <f>Bradley!R873</f>
        <v>21669</v>
      </c>
      <c r="N521" s="660">
        <f>L521-M521</f>
        <v>3182.6399999999994</v>
      </c>
      <c r="O521" s="661">
        <f>Bradley!S873</f>
        <v>0</v>
      </c>
      <c r="Q521" s="294">
        <f>H521-P521</f>
        <v>24851.64</v>
      </c>
    </row>
    <row r="522" spans="2:17">
      <c r="B522" s="204" t="s">
        <v>101</v>
      </c>
      <c r="C522" s="531" cm="1">
        <f t="array" ref="C522:C523">Bradley!K876:K877</f>
        <v>0.77777777777777779</v>
      </c>
      <c r="D522" s="531" t="e" cm="1">
        <f t="array" ref="D522:D523">Bradley!L876:L877</f>
        <v>#DIV/0!</v>
      </c>
      <c r="E522" s="531" t="e" cm="1">
        <f t="array" ref="E522:E523">Bradley!M876:M877</f>
        <v>#DIV/0!</v>
      </c>
      <c r="F522" s="531" t="e" cm="1">
        <f t="array" ref="F522:F523">Bradley!N876:N877</f>
        <v>#DIV/0!</v>
      </c>
      <c r="G522" s="531" t="e" cm="1">
        <f t="array" ref="G522:G523">Bradley!O876:O877</f>
        <v>#DIV/0!</v>
      </c>
      <c r="H522" s="531" cm="1">
        <f t="array" ref="H522:H523">Bradley!P876:P877</f>
        <v>0.77777777777777779</v>
      </c>
      <c r="I522" s="683"/>
      <c r="J522" s="684"/>
      <c r="K522" s="542" t="e" cm="1">
        <f t="array" ref="K522:K523">Bradley!Q876:Q877</f>
        <v>#DIV/0!</v>
      </c>
      <c r="L522" s="662"/>
      <c r="M522" s="688"/>
      <c r="N522" s="663"/>
      <c r="O522" s="689"/>
    </row>
    <row r="523" spans="2:17">
      <c r="B523" s="204" t="s">
        <v>48</v>
      </c>
      <c r="C523" s="532">
        <v>3550.2342857142858</v>
      </c>
      <c r="D523" s="532" t="e">
        <v>#DIV/0!</v>
      </c>
      <c r="E523" s="532" t="e">
        <v>#DIV/0!</v>
      </c>
      <c r="F523" s="532" t="e">
        <v>#DIV/0!</v>
      </c>
      <c r="G523" s="532" t="e">
        <v>#DIV/0!</v>
      </c>
      <c r="H523" s="532">
        <v>3550.2342857142858</v>
      </c>
      <c r="I523" s="685"/>
      <c r="J523" s="684"/>
      <c r="K523" s="543" t="e">
        <v>#DIV/0!</v>
      </c>
      <c r="L523" s="662"/>
      <c r="M523" s="688"/>
      <c r="N523" s="663"/>
      <c r="O523" s="689"/>
    </row>
    <row r="524" spans="2:17">
      <c r="B524" s="195" t="s">
        <v>116</v>
      </c>
      <c r="C524" s="567">
        <f>Elliot!K1242</f>
        <v>4203</v>
      </c>
      <c r="D524" s="567">
        <f>Elliot!L1242</f>
        <v>0</v>
      </c>
      <c r="E524" s="567">
        <f>Elliot!M1242</f>
        <v>0</v>
      </c>
      <c r="F524" s="567">
        <f>Elliot!N1242</f>
        <v>0</v>
      </c>
      <c r="G524" s="567">
        <f>Elliot!O1242</f>
        <v>0</v>
      </c>
      <c r="H524" s="567">
        <f>Elliot!P1242</f>
        <v>4203</v>
      </c>
      <c r="I524" s="683">
        <v>50000</v>
      </c>
      <c r="J524" s="682">
        <f>-I524+H524</f>
        <v>-45797</v>
      </c>
      <c r="K524" s="541">
        <f>Elliot!Q1242</f>
        <v>0</v>
      </c>
      <c r="L524" s="658">
        <f>H524</f>
        <v>4203</v>
      </c>
      <c r="M524" s="675">
        <f>Elliot!R1242</f>
        <v>3722</v>
      </c>
      <c r="N524" s="660">
        <f>L524-M524</f>
        <v>481</v>
      </c>
      <c r="O524" s="676">
        <f>Elliot!S1242</f>
        <v>0</v>
      </c>
      <c r="Q524" s="294">
        <f>H524-P524</f>
        <v>4203</v>
      </c>
    </row>
    <row r="525" spans="2:17">
      <c r="B525" s="204" t="s">
        <v>101</v>
      </c>
      <c r="C525" s="531" cm="1">
        <f t="array" ref="C525:C526">Elliot!K1245:K1246</f>
        <v>0.1875</v>
      </c>
      <c r="D525" s="531" t="e" cm="1">
        <f t="array" ref="D525:D526">Elliot!L1245:L1246</f>
        <v>#DIV/0!</v>
      </c>
      <c r="E525" s="531" t="e" cm="1">
        <f t="array" ref="E525:E526">Elliot!M1245:M1246</f>
        <v>#DIV/0!</v>
      </c>
      <c r="F525" s="531" t="e" cm="1">
        <f t="array" ref="F525:F526">Elliot!N1245:N1246</f>
        <v>#DIV/0!</v>
      </c>
      <c r="G525" s="531" t="e" cm="1">
        <f t="array" ref="G525:G526">Elliot!O1245:O1246</f>
        <v>#DIV/0!</v>
      </c>
      <c r="H525" s="531" cm="1">
        <f t="array" ref="H525:H526">Elliot!P1245:P1246</f>
        <v>0.1875</v>
      </c>
      <c r="I525" s="683"/>
      <c r="J525" s="684"/>
      <c r="K525" s="542" t="e" cm="1">
        <f t="array" ref="K525:K526">Elliot!Q1245:Q1246</f>
        <v>#DIV/0!</v>
      </c>
      <c r="L525" s="662"/>
      <c r="M525" s="659"/>
      <c r="N525" s="663"/>
      <c r="O525" s="661"/>
    </row>
    <row r="526" spans="2:17">
      <c r="B526" s="226" t="s">
        <v>48</v>
      </c>
      <c r="C526" s="533">
        <v>1401</v>
      </c>
      <c r="D526" s="533" t="e">
        <v>#DIV/0!</v>
      </c>
      <c r="E526" s="533" t="e">
        <v>#DIV/0!</v>
      </c>
      <c r="F526" s="533" t="e">
        <v>#DIV/0!</v>
      </c>
      <c r="G526" s="533" t="e">
        <v>#DIV/0!</v>
      </c>
      <c r="H526" s="533">
        <v>1401</v>
      </c>
      <c r="I526" s="685"/>
      <c r="J526" s="686"/>
      <c r="K526" s="543" t="e">
        <v>#DIV/0!</v>
      </c>
      <c r="L526" s="664"/>
      <c r="M526" s="677"/>
      <c r="N526" s="665"/>
      <c r="O526" s="678"/>
    </row>
    <row r="527" spans="2:17">
      <c r="B527" s="195" t="s">
        <v>112</v>
      </c>
      <c r="C527" s="567">
        <f>'Jarrod - No OT'!K1565</f>
        <v>7106.9</v>
      </c>
      <c r="D527" s="567">
        <f>'Jarrod - No OT'!L1565</f>
        <v>0</v>
      </c>
      <c r="E527" s="567">
        <f>'Jarrod - No OT'!M1565</f>
        <v>0</v>
      </c>
      <c r="F527" s="567">
        <f>'Jarrod - No OT'!N1565</f>
        <v>0</v>
      </c>
      <c r="G527" s="567">
        <f>'Jarrod - No OT'!O1565</f>
        <v>0</v>
      </c>
      <c r="H527" s="567">
        <f>'Jarrod - No OT'!P1565</f>
        <v>7106.9</v>
      </c>
      <c r="I527" s="681">
        <v>50000</v>
      </c>
      <c r="J527" s="682">
        <f>-I527+H527</f>
        <v>-42893.1</v>
      </c>
      <c r="K527" s="541">
        <f>'Jarrod - No OT'!Q1565</f>
        <v>0</v>
      </c>
      <c r="L527" s="658">
        <f>H527</f>
        <v>7106.9</v>
      </c>
      <c r="M527" s="675">
        <f>'Jarrod - No OT'!R1565</f>
        <v>5745.9</v>
      </c>
      <c r="N527" s="660">
        <f>L527-M527</f>
        <v>1361</v>
      </c>
      <c r="O527" s="676">
        <f>'Jarrod - No OT'!S1565</f>
        <v>0</v>
      </c>
      <c r="Q527" s="294">
        <f>H527-P527</f>
        <v>7106.9</v>
      </c>
    </row>
    <row r="528" spans="2:17">
      <c r="B528" s="204" t="s">
        <v>101</v>
      </c>
      <c r="C528" s="531" cm="1">
        <f t="array" ref="C528:C529">'Jarrod - No OT'!K1568:K1569</f>
        <v>0.5</v>
      </c>
      <c r="D528" s="531" t="e" cm="1">
        <f t="array" ref="D528:D529">'Jarrod - No OT'!L1568:L1569</f>
        <v>#DIV/0!</v>
      </c>
      <c r="E528" s="531" t="e" cm="1">
        <f t="array" ref="E528:E529">'Jarrod - No OT'!M1568:M1569</f>
        <v>#DIV/0!</v>
      </c>
      <c r="F528" s="531" t="e" cm="1">
        <f t="array" ref="F528:F529">'Jarrod - No OT'!N1568:N1569</f>
        <v>#DIV/0!</v>
      </c>
      <c r="G528" s="531" t="e" cm="1">
        <f t="array" ref="G528:G529">'Jarrod - No OT'!O1568:O1569</f>
        <v>#DIV/0!</v>
      </c>
      <c r="H528" s="531" cm="1">
        <f t="array" ref="H528:H529">'Jarrod - No OT'!P1568:P1569</f>
        <v>0.5</v>
      </c>
      <c r="I528" s="683"/>
      <c r="J528" s="684"/>
      <c r="K528" s="542" t="e" cm="1">
        <f t="array" ref="K528:K529">'Jarrod - No OT'!Q1568:Q1569</f>
        <v>#DIV/0!</v>
      </c>
      <c r="L528" s="662"/>
      <c r="M528" s="659"/>
      <c r="N528" s="663"/>
      <c r="O528" s="661"/>
    </row>
    <row r="529" spans="2:17">
      <c r="B529" s="226" t="s">
        <v>48</v>
      </c>
      <c r="C529" s="533">
        <v>2368.9666666666667</v>
      </c>
      <c r="D529" s="533" t="e">
        <v>#DIV/0!</v>
      </c>
      <c r="E529" s="533" t="e">
        <v>#DIV/0!</v>
      </c>
      <c r="F529" s="533" t="e">
        <v>#DIV/0!</v>
      </c>
      <c r="G529" s="533" t="e">
        <v>#DIV/0!</v>
      </c>
      <c r="H529" s="533">
        <v>2368.9666666666667</v>
      </c>
      <c r="I529" s="685"/>
      <c r="J529" s="686"/>
      <c r="K529" s="543" t="e">
        <v>#DIV/0!</v>
      </c>
      <c r="L529" s="664"/>
      <c r="M529" s="677"/>
      <c r="N529" s="665"/>
      <c r="O529" s="678"/>
    </row>
    <row r="530" spans="2:17">
      <c r="B530" s="195" t="s">
        <v>109</v>
      </c>
      <c r="C530" s="567">
        <f>Liam!K1666</f>
        <v>2901</v>
      </c>
      <c r="D530" s="567">
        <f>Liam!L1666</f>
        <v>0</v>
      </c>
      <c r="E530" s="567">
        <f>Liam!M1666</f>
        <v>0</v>
      </c>
      <c r="F530" s="567">
        <f>Liam!N1666</f>
        <v>0</v>
      </c>
      <c r="G530" s="567">
        <f>Liam!O1666</f>
        <v>0</v>
      </c>
      <c r="H530" s="567">
        <f>Liam!P1666</f>
        <v>2901</v>
      </c>
      <c r="I530" s="681">
        <v>50000</v>
      </c>
      <c r="J530" s="682">
        <f>-I530+H530</f>
        <v>-47099</v>
      </c>
      <c r="K530" s="541">
        <f>Liam!Q1666</f>
        <v>0</v>
      </c>
      <c r="L530" s="658">
        <f>H530</f>
        <v>2901</v>
      </c>
      <c r="M530" s="675">
        <f>Liam!R1666</f>
        <v>1675</v>
      </c>
      <c r="N530" s="660">
        <f>L530-M530</f>
        <v>1226</v>
      </c>
      <c r="O530" s="676">
        <f>Liam!S1666</f>
        <v>0</v>
      </c>
      <c r="Q530" s="294">
        <f>H530-P530</f>
        <v>2901</v>
      </c>
    </row>
    <row r="531" spans="2:17">
      <c r="B531" s="204" t="s">
        <v>101</v>
      </c>
      <c r="C531" s="531" cm="1">
        <f t="array" ref="C531:C532">Liam!K1669:K1670</f>
        <v>0.2</v>
      </c>
      <c r="D531" s="531" t="e" cm="1">
        <f t="array" ref="D531:D532">Liam!L1669:L1670</f>
        <v>#DIV/0!</v>
      </c>
      <c r="E531" s="531" t="e" cm="1">
        <f t="array" ref="E531:E532">Liam!M1669:M1670</f>
        <v>#DIV/0!</v>
      </c>
      <c r="F531" s="531" t="e" cm="1">
        <f t="array" ref="F531:F532">Liam!N1669:N1670</f>
        <v>#DIV/0!</v>
      </c>
      <c r="G531" s="531" t="e" cm="1">
        <f t="array" ref="G531:G532">Liam!O1669:O1670</f>
        <v>#DIV/0!</v>
      </c>
      <c r="H531" s="531" cm="1">
        <f t="array" ref="H531:H532">Liam!P1669:P1670</f>
        <v>0.2</v>
      </c>
      <c r="I531" s="683"/>
      <c r="J531" s="684"/>
      <c r="K531" s="542" t="e" cm="1">
        <f t="array" ref="K531:K532">Liam!Q1669:Q1670</f>
        <v>#DIV/0!</v>
      </c>
      <c r="L531" s="662"/>
      <c r="M531" s="659"/>
      <c r="N531" s="663"/>
      <c r="O531" s="661"/>
    </row>
    <row r="532" spans="2:17">
      <c r="B532" s="226" t="s">
        <v>48</v>
      </c>
      <c r="C532" s="533">
        <v>1450.5</v>
      </c>
      <c r="D532" s="533" t="e">
        <v>#DIV/0!</v>
      </c>
      <c r="E532" s="533" t="e">
        <v>#DIV/0!</v>
      </c>
      <c r="F532" s="533" t="e">
        <v>#DIV/0!</v>
      </c>
      <c r="G532" s="533" t="e">
        <v>#DIV/0!</v>
      </c>
      <c r="H532" s="533">
        <v>1450.5</v>
      </c>
      <c r="I532" s="685"/>
      <c r="J532" s="686"/>
      <c r="K532" s="543" t="e">
        <v>#DIV/0!</v>
      </c>
      <c r="L532" s="664"/>
      <c r="M532" s="677"/>
      <c r="N532" s="665"/>
      <c r="O532" s="678"/>
    </row>
    <row r="533" spans="2:17">
      <c r="B533" s="195" t="s">
        <v>107</v>
      </c>
      <c r="C533" s="567">
        <f>'Shaun - No OT'!K1598</f>
        <v>14045.2</v>
      </c>
      <c r="D533" s="567">
        <f>'Shaun - No OT'!L1598</f>
        <v>0</v>
      </c>
      <c r="E533" s="567">
        <f>'Shaun - No OT'!M1598</f>
        <v>0</v>
      </c>
      <c r="F533" s="567">
        <f>'Shaun - No OT'!N1598</f>
        <v>0</v>
      </c>
      <c r="G533" s="567">
        <f>'Shaun - No OT'!O1598</f>
        <v>0</v>
      </c>
      <c r="H533" s="567">
        <f>'Shaun - No OT'!P1598</f>
        <v>14045.2</v>
      </c>
      <c r="I533" s="681">
        <v>50000</v>
      </c>
      <c r="J533" s="682">
        <f>-I533+H533</f>
        <v>-35954.800000000003</v>
      </c>
      <c r="K533" s="541">
        <f>'Shaun - No OT'!Q1598</f>
        <v>0</v>
      </c>
      <c r="L533" s="658">
        <f>H533</f>
        <v>14045.2</v>
      </c>
      <c r="M533" s="675">
        <f>'Shaun - No OT'!R1598</f>
        <v>4750.2</v>
      </c>
      <c r="N533" s="660">
        <f>L533-M533</f>
        <v>9295</v>
      </c>
      <c r="O533" s="676">
        <f>'Shaun - No OT'!S1598</f>
        <v>0</v>
      </c>
      <c r="Q533" s="294">
        <f>H533-P533</f>
        <v>14045.2</v>
      </c>
    </row>
    <row r="534" spans="2:17">
      <c r="B534" s="204" t="s">
        <v>101</v>
      </c>
      <c r="C534" s="531" cm="1">
        <f t="array" ref="C534:C535">'Shaun - No OT'!K1601:K1602</f>
        <v>0.5</v>
      </c>
      <c r="D534" s="531" t="e" cm="1">
        <f t="array" ref="D534:D535">'Shaun - No OT'!L1601:L1602</f>
        <v>#DIV/0!</v>
      </c>
      <c r="E534" s="531" t="e" cm="1">
        <f t="array" ref="E534:E535">'Shaun - No OT'!M1601:M1602</f>
        <v>#DIV/0!</v>
      </c>
      <c r="F534" s="531" t="e" cm="1">
        <f t="array" ref="F534:F535">'Shaun - No OT'!N1601:N1602</f>
        <v>#DIV/0!</v>
      </c>
      <c r="G534" s="531" t="e" cm="1">
        <f t="array" ref="G534:G535">'Shaun - No OT'!O1601:O1602</f>
        <v>#DIV/0!</v>
      </c>
      <c r="H534" s="531" cm="1">
        <f t="array" ref="H534:H535">'Shaun - No OT'!P1601:P1602</f>
        <v>0.5</v>
      </c>
      <c r="I534" s="683"/>
      <c r="J534" s="684"/>
      <c r="K534" s="542" t="e" cm="1">
        <f t="array" ref="K534:K535">'Shaun - No OT'!Q1601:Q1602</f>
        <v>#DIV/0!</v>
      </c>
      <c r="L534" s="662"/>
      <c r="M534" s="659"/>
      <c r="N534" s="663"/>
      <c r="O534" s="661"/>
    </row>
    <row r="535" spans="2:17">
      <c r="B535" s="226" t="s">
        <v>48</v>
      </c>
      <c r="C535" s="533">
        <v>4681.7333333333336</v>
      </c>
      <c r="D535" s="533" t="e">
        <v>#DIV/0!</v>
      </c>
      <c r="E535" s="533" t="e">
        <v>#DIV/0!</v>
      </c>
      <c r="F535" s="533" t="e">
        <v>#DIV/0!</v>
      </c>
      <c r="G535" s="533" t="e">
        <v>#DIV/0!</v>
      </c>
      <c r="H535" s="533">
        <v>4681.7333333333336</v>
      </c>
      <c r="I535" s="685"/>
      <c r="J535" s="686"/>
      <c r="K535" s="543" t="e">
        <v>#DIV/0!</v>
      </c>
      <c r="L535" s="664"/>
      <c r="M535" s="677"/>
      <c r="N535" s="665"/>
      <c r="O535" s="678"/>
    </row>
    <row r="536" spans="2:17">
      <c r="B536" s="237" t="s">
        <v>102</v>
      </c>
      <c r="C536" s="238">
        <f>C518+C521+C524+C527+C530+C533</f>
        <v>56845.740000000005</v>
      </c>
      <c r="D536" s="238">
        <f t="shared" ref="D536:O536" si="14">D518+D521+D524+D527+D530+D533</f>
        <v>0</v>
      </c>
      <c r="E536" s="238">
        <f t="shared" si="14"/>
        <v>0</v>
      </c>
      <c r="F536" s="238">
        <f t="shared" si="14"/>
        <v>0</v>
      </c>
      <c r="G536" s="238">
        <f t="shared" si="14"/>
        <v>0</v>
      </c>
      <c r="H536" s="239">
        <f t="shared" si="14"/>
        <v>56845.740000000005</v>
      </c>
      <c r="I536" s="238">
        <f t="shared" si="14"/>
        <v>300000</v>
      </c>
      <c r="J536" s="240">
        <f t="shared" si="14"/>
        <v>-243154.26</v>
      </c>
      <c r="K536" s="241">
        <f t="shared" si="14"/>
        <v>0</v>
      </c>
      <c r="L536" s="239">
        <f t="shared" si="14"/>
        <v>56845.740000000005</v>
      </c>
      <c r="M536" s="240">
        <f t="shared" si="14"/>
        <v>39358.1</v>
      </c>
      <c r="N536" s="241">
        <f t="shared" si="14"/>
        <v>17487.64</v>
      </c>
      <c r="O536" s="240">
        <f t="shared" si="14"/>
        <v>0</v>
      </c>
    </row>
    <row r="537" spans="2:17">
      <c r="B537" s="244" t="s">
        <v>103</v>
      </c>
      <c r="C537" s="244"/>
      <c r="D537" s="244"/>
      <c r="E537" s="244"/>
      <c r="F537" s="244"/>
      <c r="G537" s="244"/>
      <c r="H537" s="245">
        <f>H536+K536</f>
        <v>56845.740000000005</v>
      </c>
      <c r="I537" s="246">
        <f>I536+J536</f>
        <v>56845.739999999991</v>
      </c>
      <c r="J537" s="247"/>
      <c r="K537" s="248"/>
      <c r="L537" s="249"/>
      <c r="M537" s="250">
        <f>L536-N536</f>
        <v>39358.100000000006</v>
      </c>
      <c r="N537" s="251"/>
      <c r="O537" s="20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A7820-4380-44B8-BE97-E74A4E0EFE00}">
  <sheetPr>
    <tabColor rgb="FF7030A0"/>
  </sheetPr>
  <dimension ref="A1:T549"/>
  <sheetViews>
    <sheetView workbookViewId="0">
      <pane ySplit="4" topLeftCell="A545" activePane="bottomLeft" state="frozen"/>
      <selection pane="bottomLeft" activeCell="D553" sqref="D553"/>
    </sheetView>
  </sheetViews>
  <sheetFormatPr defaultRowHeight="15"/>
  <cols>
    <col min="2" max="2" width="9.140625" style="489"/>
    <col min="3" max="3" width="15.140625" customWidth="1"/>
    <col min="4" max="4" width="12.85546875" customWidth="1"/>
    <col min="5" max="5" width="12.7109375" customWidth="1"/>
    <col min="6" max="6" width="12.42578125" bestFit="1" customWidth="1"/>
    <col min="7" max="7" width="13.7109375" customWidth="1"/>
    <col min="8" max="8" width="14.7109375" customWidth="1"/>
    <col min="9" max="9" width="14.28515625" bestFit="1" customWidth="1"/>
    <col min="10" max="10" width="12.7109375" bestFit="1" customWidth="1"/>
    <col min="11" max="11" width="13.28515625" customWidth="1"/>
    <col min="12" max="14" width="12.42578125" customWidth="1"/>
    <col min="15" max="15" width="12.5703125" customWidth="1"/>
    <col min="16" max="16" width="20.28515625" customWidth="1"/>
    <col min="17" max="17" width="14.42578125" customWidth="1"/>
    <col min="18" max="18" width="15" customWidth="1"/>
    <col min="19" max="19" width="12.5703125" customWidth="1"/>
    <col min="20" max="20" width="13.28515625" customWidth="1"/>
    <col min="24" max="24" width="14.28515625" customWidth="1"/>
    <col min="25" max="25" width="15.140625" customWidth="1"/>
    <col min="26" max="26" width="11.42578125" customWidth="1"/>
    <col min="28" max="28" width="13.5703125" customWidth="1"/>
  </cols>
  <sheetData>
    <row r="1" spans="1:16">
      <c r="B1" s="252"/>
      <c r="H1" s="253" t="s">
        <v>127</v>
      </c>
      <c r="I1" s="254" t="s">
        <v>128</v>
      </c>
      <c r="J1" s="255" t="s">
        <v>129</v>
      </c>
    </row>
    <row r="2" spans="1:16">
      <c r="B2" s="252"/>
      <c r="H2" s="317">
        <f>I28+I52+I79+I106+I140+I168+I199+I227+I258+I285+I313+I341+I373+I407+I443+I474+I499</f>
        <v>3906652.128</v>
      </c>
      <c r="I2" s="256">
        <f>17</f>
        <v>17</v>
      </c>
      <c r="J2" s="257">
        <f>H2/I2</f>
        <v>229803.06635294118</v>
      </c>
    </row>
    <row r="3" spans="1:16">
      <c r="B3" s="252"/>
    </row>
    <row r="4" spans="1:16">
      <c r="A4" s="258"/>
      <c r="B4" s="259"/>
      <c r="C4" s="258"/>
      <c r="D4" s="258"/>
      <c r="E4" s="258"/>
      <c r="F4" s="258"/>
      <c r="G4" s="258"/>
      <c r="H4" s="258"/>
      <c r="I4" s="258"/>
      <c r="J4" s="258"/>
      <c r="K4" s="258"/>
      <c r="L4" s="258"/>
      <c r="M4" s="258"/>
      <c r="N4" s="258"/>
      <c r="O4" s="258"/>
      <c r="P4" s="258"/>
    </row>
    <row r="7" spans="1:16">
      <c r="A7" s="169"/>
      <c r="B7" s="487"/>
      <c r="C7" s="171" t="s">
        <v>87</v>
      </c>
      <c r="D7" s="172" t="s">
        <v>130</v>
      </c>
      <c r="E7" s="173"/>
      <c r="F7" s="173"/>
      <c r="G7" s="173"/>
      <c r="H7" s="173"/>
      <c r="I7" s="173"/>
      <c r="J7" s="174" t="s">
        <v>88</v>
      </c>
      <c r="K7" s="175"/>
      <c r="L7" s="176"/>
      <c r="M7" s="177"/>
      <c r="N7" s="178"/>
      <c r="O7" s="179" t="s">
        <v>89</v>
      </c>
      <c r="P7" s="180" t="s">
        <v>29</v>
      </c>
    </row>
    <row r="8" spans="1:16">
      <c r="A8" s="182" t="s">
        <v>90</v>
      </c>
      <c r="B8" s="229" t="s">
        <v>20</v>
      </c>
      <c r="C8" s="183"/>
      <c r="D8" s="184" t="s">
        <v>91</v>
      </c>
      <c r="E8" s="185" t="s">
        <v>92</v>
      </c>
      <c r="F8" s="185" t="s">
        <v>93</v>
      </c>
      <c r="G8" s="185" t="s">
        <v>94</v>
      </c>
      <c r="H8" s="185" t="s">
        <v>95</v>
      </c>
      <c r="I8" s="184" t="s">
        <v>96</v>
      </c>
      <c r="J8" s="186" t="s">
        <v>97</v>
      </c>
      <c r="K8" s="187" t="s">
        <v>98</v>
      </c>
      <c r="L8" s="188" t="s">
        <v>29</v>
      </c>
      <c r="M8" s="189" t="s">
        <v>89</v>
      </c>
      <c r="N8" s="201" t="s">
        <v>99</v>
      </c>
      <c r="O8" s="191" t="s">
        <v>100</v>
      </c>
      <c r="P8" s="220" t="s">
        <v>99</v>
      </c>
    </row>
    <row r="9" spans="1:16">
      <c r="A9" s="169">
        <f>'Ben - No OT'!T87</f>
        <v>0</v>
      </c>
      <c r="B9" s="318">
        <f>'Ben - No OT'!T88</f>
        <v>0</v>
      </c>
      <c r="C9" s="195" t="s">
        <v>113</v>
      </c>
      <c r="D9" s="196">
        <f>'Ben - No OT'!K93</f>
        <v>7859.14</v>
      </c>
      <c r="E9" s="196">
        <f>'Ben - No OT'!L93</f>
        <v>4000.6000000000004</v>
      </c>
      <c r="F9" s="196">
        <f>'Ben - No OT'!M93</f>
        <v>14266.039999999999</v>
      </c>
      <c r="G9" s="196">
        <f>'Ben - No OT'!N93</f>
        <v>898.3</v>
      </c>
      <c r="H9" s="196">
        <f>'Ben - No OT'!O93</f>
        <v>2369.6499999999996</v>
      </c>
      <c r="I9" s="196">
        <f>'Ben - No OT'!P93</f>
        <v>29393.729999999996</v>
      </c>
      <c r="J9" s="197">
        <v>50000</v>
      </c>
      <c r="K9" s="198">
        <f>-J9+I9</f>
        <v>-20606.270000000004</v>
      </c>
      <c r="L9" s="199">
        <f>'Ben - No OT'!Q93</f>
        <v>2903.17</v>
      </c>
      <c r="M9" s="200">
        <f>I9</f>
        <v>29393.729999999996</v>
      </c>
      <c r="N9" s="225">
        <f>'Ben - No OT'!R93</f>
        <v>16875.34</v>
      </c>
      <c r="O9" s="202">
        <f>M9-N9</f>
        <v>12518.389999999996</v>
      </c>
      <c r="P9" s="216">
        <f>'Ben - No OT'!S93</f>
        <v>0</v>
      </c>
    </row>
    <row r="10" spans="1:16">
      <c r="A10" s="169"/>
      <c r="B10" s="229"/>
      <c r="C10" s="204" t="s">
        <v>101</v>
      </c>
      <c r="D10" s="205" cm="1">
        <f t="array" ref="D10:D11">'Ben - No OT'!K96:K97</f>
        <v>0.7142857142857143</v>
      </c>
      <c r="E10" s="205" cm="1">
        <f t="array" ref="E10:E11">'Ben - No OT'!L96:L97</f>
        <v>0.5</v>
      </c>
      <c r="F10" s="205" cm="1">
        <f t="array" ref="F10:F11">'Ben - No OT'!M96:M97</f>
        <v>0.6</v>
      </c>
      <c r="G10" s="205" cm="1">
        <f t="array" ref="G10:G11">'Ben - No OT'!N96:N97</f>
        <v>0.33333333333333331</v>
      </c>
      <c r="H10" s="205" cm="1">
        <f t="array" ref="H10:H11">'Ben - No OT'!O96:O97</f>
        <v>0.5</v>
      </c>
      <c r="I10" s="205" cm="1">
        <f t="array" ref="I10:I11">'Ben - No OT'!P96:P97</f>
        <v>0.55555555555555558</v>
      </c>
      <c r="J10" s="206"/>
      <c r="K10" s="207"/>
      <c r="L10" s="208" cm="1">
        <f t="array" ref="L10:L11">'Ben - No OT'!Q96:Q97</f>
        <v>0.6</v>
      </c>
      <c r="M10" s="189"/>
      <c r="N10" s="201"/>
      <c r="O10" s="191"/>
      <c r="P10" s="220"/>
    </row>
    <row r="11" spans="1:16">
      <c r="A11" s="169"/>
      <c r="B11" s="229"/>
      <c r="C11" s="226" t="s">
        <v>48</v>
      </c>
      <c r="D11" s="227">
        <v>1571.828</v>
      </c>
      <c r="E11" s="227">
        <v>1333.5333333333335</v>
      </c>
      <c r="F11" s="227">
        <v>4755.3466666666664</v>
      </c>
      <c r="G11" s="227">
        <v>898.3</v>
      </c>
      <c r="H11" s="227">
        <v>789.88333333333321</v>
      </c>
      <c r="I11" s="227">
        <v>1959.5819999999997</v>
      </c>
      <c r="J11" s="210"/>
      <c r="K11" s="211"/>
      <c r="L11" s="228">
        <v>967.72333333333336</v>
      </c>
      <c r="M11" s="213"/>
      <c r="N11" s="190"/>
      <c r="O11" s="214"/>
      <c r="P11" s="192"/>
    </row>
    <row r="12" spans="1:16">
      <c r="A12" s="169">
        <f>'Jack M'!T99</f>
        <v>0</v>
      </c>
      <c r="B12" s="318">
        <f>'Jack M'!T100</f>
        <v>0</v>
      </c>
      <c r="C12" s="195" t="s">
        <v>108</v>
      </c>
      <c r="D12" s="293">
        <f>'Jack M'!K105</f>
        <v>4069.5499999999997</v>
      </c>
      <c r="E12" s="293"/>
      <c r="F12" s="293">
        <f>'Jack M'!M105</f>
        <v>15872.989999999998</v>
      </c>
      <c r="G12" s="293">
        <f>'Jack M'!N105</f>
        <v>0</v>
      </c>
      <c r="H12" s="293">
        <f>'Jack M'!O105</f>
        <v>21295.649999999998</v>
      </c>
      <c r="I12" s="293">
        <f>'Jack M'!P105</f>
        <v>41238.189999999995</v>
      </c>
      <c r="J12" s="206">
        <v>50000</v>
      </c>
      <c r="K12" s="207">
        <f>-J12+I12</f>
        <v>-8761.8100000000049</v>
      </c>
      <c r="L12" s="212"/>
      <c r="M12" s="189">
        <f>I12</f>
        <v>41238.189999999995</v>
      </c>
      <c r="N12" s="201">
        <f>'Jack M'!R105</f>
        <v>31148.289999999997</v>
      </c>
      <c r="O12" s="191">
        <f>M12-N12</f>
        <v>10089.899999999998</v>
      </c>
      <c r="P12" s="203">
        <f>'Jack M'!S105</f>
        <v>0</v>
      </c>
    </row>
    <row r="13" spans="1:16">
      <c r="A13" s="169"/>
      <c r="B13" s="229"/>
      <c r="C13" s="204" t="s">
        <v>101</v>
      </c>
      <c r="D13" s="205" cm="1">
        <f t="array" ref="D13:D14">'Jack M'!K108:K109</f>
        <v>0.5</v>
      </c>
      <c r="E13" s="205"/>
      <c r="F13" s="205" cm="1">
        <f t="array" ref="F13:F14">'Jack M'!M108:M109</f>
        <v>0.42857142857142855</v>
      </c>
      <c r="G13" s="205" cm="1">
        <f t="array" ref="G13:G14">'Jack M'!N108:N109</f>
        <v>0</v>
      </c>
      <c r="H13" s="205" cm="1">
        <f t="array" ref="H13:H14">'Jack M'!O108:O109</f>
        <v>0.8571428571428571</v>
      </c>
      <c r="I13" s="205" cm="1">
        <f t="array" ref="I13:I14">'Jack M'!P108:P109</f>
        <v>0.46153846153846156</v>
      </c>
      <c r="J13" s="206"/>
      <c r="K13" s="207"/>
      <c r="L13" s="208"/>
      <c r="M13" s="189"/>
      <c r="N13" s="201"/>
      <c r="O13" s="191"/>
      <c r="P13" s="203"/>
    </row>
    <row r="14" spans="1:16">
      <c r="A14" s="169"/>
      <c r="B14" s="229"/>
      <c r="C14" s="204" t="s">
        <v>48</v>
      </c>
      <c r="D14" s="209">
        <v>1356.5166666666667</v>
      </c>
      <c r="E14" s="209"/>
      <c r="F14" s="209">
        <v>5290.996666666666</v>
      </c>
      <c r="G14" s="209" t="e">
        <v>#DIV/0!</v>
      </c>
      <c r="H14" s="209">
        <v>3549.2749999999996</v>
      </c>
      <c r="I14" s="209">
        <v>3436.5158333333329</v>
      </c>
      <c r="J14" s="210"/>
      <c r="K14" s="211"/>
      <c r="L14" s="212"/>
      <c r="M14" s="213"/>
      <c r="N14" s="201"/>
      <c r="O14" s="214"/>
      <c r="P14" s="203"/>
    </row>
    <row r="15" spans="1:16">
      <c r="A15" s="229">
        <f>Liam!T89</f>
        <v>0</v>
      </c>
      <c r="B15" s="318">
        <f>Liam!T90</f>
        <v>1</v>
      </c>
      <c r="C15" s="195" t="s">
        <v>109</v>
      </c>
      <c r="D15" s="196">
        <f>Liam!K95</f>
        <v>3754.66</v>
      </c>
      <c r="E15" s="196">
        <f>Liam!L95</f>
        <v>5126.75</v>
      </c>
      <c r="F15" s="196">
        <f>Liam!M95</f>
        <v>20237.099999999999</v>
      </c>
      <c r="G15" s="196">
        <f>Liam!N95</f>
        <v>985.3</v>
      </c>
      <c r="H15" s="196">
        <f>Liam!O95</f>
        <v>6198.3</v>
      </c>
      <c r="I15" s="196">
        <f>Liam!P95</f>
        <v>36302.11</v>
      </c>
      <c r="J15" s="197">
        <v>50000</v>
      </c>
      <c r="K15" s="198">
        <f>-J15+I15</f>
        <v>-13697.89</v>
      </c>
      <c r="L15" s="199"/>
      <c r="M15" s="200">
        <f>I15</f>
        <v>36302.11</v>
      </c>
      <c r="N15" s="225">
        <f>Liam!R95</f>
        <v>16113.5</v>
      </c>
      <c r="O15" s="202">
        <f>M15-N15</f>
        <v>20188.61</v>
      </c>
      <c r="P15" s="230">
        <f>Liam!S95</f>
        <v>0</v>
      </c>
    </row>
    <row r="16" spans="1:16">
      <c r="A16" s="229"/>
      <c r="B16" s="229"/>
      <c r="C16" s="204" t="s">
        <v>101</v>
      </c>
      <c r="D16" s="205" cm="1">
        <f t="array" ref="D16:D17">Liam!K98:K99</f>
        <v>0.33333333333333331</v>
      </c>
      <c r="E16" s="205" cm="1">
        <f t="array" ref="E16:E17">Liam!L98:L99</f>
        <v>0.33333333333333331</v>
      </c>
      <c r="F16" s="205" cm="1">
        <f t="array" ref="F16:F17">Liam!M98:M99</f>
        <v>0.75</v>
      </c>
      <c r="G16" s="205" cm="1">
        <f t="array" ref="G16:G17">Liam!N98:N99</f>
        <v>0.25</v>
      </c>
      <c r="H16" s="205" cm="1">
        <f t="array" ref="H16:H17">Liam!O98:O99</f>
        <v>0.27272727272727271</v>
      </c>
      <c r="I16" s="205" cm="1">
        <f t="array" ref="I16:I17">Liam!P98:P99</f>
        <v>0.4</v>
      </c>
      <c r="J16" s="206"/>
      <c r="K16" s="207"/>
      <c r="L16" s="208"/>
      <c r="M16" s="189"/>
      <c r="N16" s="201"/>
      <c r="O16" s="191"/>
      <c r="P16" s="203"/>
    </row>
    <row r="17" spans="1:20">
      <c r="A17" s="229"/>
      <c r="B17" s="229"/>
      <c r="C17" s="204" t="s">
        <v>48</v>
      </c>
      <c r="D17" s="209">
        <v>1877.33</v>
      </c>
      <c r="E17" s="209">
        <v>2563.375</v>
      </c>
      <c r="F17" s="209">
        <v>3372.85</v>
      </c>
      <c r="G17" s="209">
        <v>985.3</v>
      </c>
      <c r="H17" s="209">
        <v>2066.1</v>
      </c>
      <c r="I17" s="209">
        <v>2593.0078571428571</v>
      </c>
      <c r="J17" s="206"/>
      <c r="K17" s="207"/>
      <c r="L17" s="212"/>
      <c r="M17" s="189"/>
      <c r="N17" s="201"/>
      <c r="O17" s="191"/>
      <c r="P17" s="203"/>
    </row>
    <row r="18" spans="1:20">
      <c r="A18" s="169">
        <f>'Mathew B'!T121</f>
        <v>0</v>
      </c>
      <c r="B18" s="318">
        <f>'Mathew B'!T122</f>
        <v>0</v>
      </c>
      <c r="C18" s="195" t="s">
        <v>105</v>
      </c>
      <c r="D18" s="196">
        <f>'Mathew B'!K127</f>
        <v>9501.91</v>
      </c>
      <c r="E18" s="196">
        <f>'Mathew B'!L127</f>
        <v>5627.3099999999995</v>
      </c>
      <c r="F18" s="196">
        <f>'Mathew B'!M127</f>
        <v>4350.21</v>
      </c>
      <c r="G18" s="196">
        <f>'Mathew B'!N127</f>
        <v>6232</v>
      </c>
      <c r="H18" s="196">
        <f>'Mathew B'!O127</f>
        <v>19495.03</v>
      </c>
      <c r="I18" s="196">
        <f>'Mathew B'!P127</f>
        <v>45206.46</v>
      </c>
      <c r="J18" s="197">
        <v>50000</v>
      </c>
      <c r="K18" s="198">
        <f>-J18+I18</f>
        <v>-4793.5400000000009</v>
      </c>
      <c r="L18" s="199"/>
      <c r="M18" s="215">
        <f>I18</f>
        <v>45206.46</v>
      </c>
      <c r="N18" s="216">
        <f>'Mathew B'!R127</f>
        <v>15883.65</v>
      </c>
      <c r="O18" s="217">
        <f>M18-N18</f>
        <v>29322.809999999998</v>
      </c>
      <c r="P18" s="216">
        <f>'Mathew B'!S127</f>
        <v>0</v>
      </c>
    </row>
    <row r="19" spans="1:20">
      <c r="A19" s="169"/>
      <c r="B19" s="229"/>
      <c r="C19" s="204" t="s">
        <v>101</v>
      </c>
      <c r="D19" s="205" cm="1">
        <f t="array" ref="D19:D20">'Mathew B'!K130:K131</f>
        <v>0.5714285714285714</v>
      </c>
      <c r="E19" s="205" cm="1">
        <f t="array" ref="E19:E20">'Mathew B'!L130:L131</f>
        <v>0.38461538461538464</v>
      </c>
      <c r="F19" s="205" cm="1">
        <f t="array" ref="F19:F20">'Mathew B'!M130:M131</f>
        <v>0.42857142857142855</v>
      </c>
      <c r="G19" s="205" cm="1">
        <f t="array" ref="G19:G20">'Mathew B'!N130:N131</f>
        <v>0.625</v>
      </c>
      <c r="H19" s="205" cm="1">
        <f t="array" ref="H19:H20">'Mathew B'!O130:O131</f>
        <v>0.6</v>
      </c>
      <c r="I19" s="205" cm="1">
        <f t="array" ref="I19:I20">'Mathew B'!P130:P131</f>
        <v>0.51111111111111107</v>
      </c>
      <c r="J19" s="206"/>
      <c r="K19" s="218"/>
      <c r="L19" s="208"/>
      <c r="M19" s="219"/>
      <c r="N19" s="220"/>
      <c r="O19" s="221"/>
      <c r="P19" s="220"/>
    </row>
    <row r="20" spans="1:20">
      <c r="A20" s="169"/>
      <c r="B20" s="229"/>
      <c r="C20" s="204" t="s">
        <v>48</v>
      </c>
      <c r="D20" s="209">
        <v>2375.4775</v>
      </c>
      <c r="E20" s="209">
        <v>1125.462</v>
      </c>
      <c r="F20" s="209">
        <v>1450.07</v>
      </c>
      <c r="G20" s="209">
        <v>1246.4000000000001</v>
      </c>
      <c r="H20" s="209">
        <v>3249.1716666666666</v>
      </c>
      <c r="I20" s="209">
        <v>1965.4982608695652</v>
      </c>
      <c r="J20" s="206"/>
      <c r="K20" s="222"/>
      <c r="L20" s="212"/>
      <c r="M20" s="223"/>
      <c r="N20" s="192"/>
      <c r="O20" s="224"/>
      <c r="P20" s="192"/>
    </row>
    <row r="21" spans="1:20">
      <c r="A21" s="169">
        <f ca="1">'Shaun - No OT'!T83</f>
        <v>0</v>
      </c>
      <c r="B21" s="318">
        <f>'Shaun - No OT'!T84</f>
        <v>0</v>
      </c>
      <c r="C21" s="195" t="s">
        <v>107</v>
      </c>
      <c r="D21" s="196">
        <f>'Shaun - No OT'!K89</f>
        <v>11178.029999999999</v>
      </c>
      <c r="E21" s="196">
        <f>'Shaun - No OT'!L89</f>
        <v>4307.26</v>
      </c>
      <c r="F21" s="196">
        <f>'Shaun - No OT'!M89</f>
        <v>4665.9000000000005</v>
      </c>
      <c r="G21" s="196">
        <f>'Shaun - No OT'!N89</f>
        <v>14856.52</v>
      </c>
      <c r="H21" s="196">
        <f>'Shaun - No OT'!O89</f>
        <v>4965.57</v>
      </c>
      <c r="I21" s="196">
        <f>'Shaun - No OT'!P89</f>
        <v>39973.279999999999</v>
      </c>
      <c r="J21" s="197">
        <v>50000</v>
      </c>
      <c r="K21" s="198">
        <f>-J21+I21</f>
        <v>-10026.720000000001</v>
      </c>
      <c r="L21" s="199"/>
      <c r="M21" s="200">
        <f>I21</f>
        <v>39973.279999999999</v>
      </c>
      <c r="N21" s="225">
        <f>'Shaun - No OT'!R89</f>
        <v>11576.92</v>
      </c>
      <c r="O21" s="202">
        <f>M21-N21</f>
        <v>28396.36</v>
      </c>
      <c r="P21" s="216">
        <f>'Shaun - No OT'!S89</f>
        <v>0</v>
      </c>
    </row>
    <row r="22" spans="1:20">
      <c r="A22" s="169"/>
      <c r="B22" s="229"/>
      <c r="C22" s="204" t="s">
        <v>101</v>
      </c>
      <c r="D22" s="205" cm="1">
        <f t="array" ref="D22:D23">'Shaun - No OT'!K92:K93</f>
        <v>0.5714285714285714</v>
      </c>
      <c r="E22" s="205" cm="1">
        <f t="array" ref="E22:E23">'Shaun - No OT'!L92:L93</f>
        <v>0.22222222222222221</v>
      </c>
      <c r="F22" s="205" cm="1">
        <f t="array" ref="F22:F23">'Shaun - No OT'!M92:M93</f>
        <v>0.625</v>
      </c>
      <c r="G22" s="205" cm="1">
        <f t="array" ref="G22:G23">'Shaun - No OT'!N92:N93</f>
        <v>0.5</v>
      </c>
      <c r="H22" s="205" cm="1">
        <f t="array" ref="H22:H23">'Shaun - No OT'!O92:O93</f>
        <v>0.42857142857142855</v>
      </c>
      <c r="I22" s="205" cm="1">
        <f t="array" ref="I22:I23">'Shaun - No OT'!P92:P93</f>
        <v>0.46153846153846156</v>
      </c>
      <c r="J22" s="206"/>
      <c r="K22" s="207"/>
      <c r="L22" s="208"/>
      <c r="M22" s="189"/>
      <c r="N22" s="201"/>
      <c r="O22" s="191"/>
      <c r="P22" s="220"/>
    </row>
    <row r="23" spans="1:20">
      <c r="A23" s="169"/>
      <c r="B23" s="229"/>
      <c r="C23" s="226" t="s">
        <v>48</v>
      </c>
      <c r="D23" s="227">
        <v>2794.5074999999997</v>
      </c>
      <c r="E23" s="227">
        <v>2153.63</v>
      </c>
      <c r="F23" s="227">
        <v>933.18000000000006</v>
      </c>
      <c r="G23" s="227">
        <v>3714.13</v>
      </c>
      <c r="H23" s="227">
        <v>1655.1899999999998</v>
      </c>
      <c r="I23" s="227">
        <v>2220.7377777777779</v>
      </c>
      <c r="J23" s="206"/>
      <c r="K23" s="211"/>
      <c r="L23" s="228"/>
      <c r="M23" s="213"/>
      <c r="N23" s="201"/>
      <c r="O23" s="214"/>
      <c r="P23" s="220"/>
    </row>
    <row r="24" spans="1:20">
      <c r="A24" s="169">
        <f>+'Rhys C'!T5</f>
        <v>0</v>
      </c>
      <c r="B24" s="318">
        <f>+'Rhys C'!T6</f>
        <v>0</v>
      </c>
      <c r="C24" s="195" t="s">
        <v>110</v>
      </c>
      <c r="D24" s="196"/>
      <c r="E24" s="196"/>
      <c r="F24" s="196">
        <f>+'Rhys C'!M11</f>
        <v>2202.59</v>
      </c>
      <c r="G24" s="196"/>
      <c r="H24" s="196"/>
      <c r="I24" s="196">
        <f>+'Rhys C'!P11</f>
        <v>2202.59</v>
      </c>
      <c r="J24" s="197">
        <v>50000</v>
      </c>
      <c r="K24" s="198">
        <f>-J24+I24</f>
        <v>-47797.41</v>
      </c>
      <c r="L24" s="199"/>
      <c r="M24" s="200">
        <f>I24</f>
        <v>2202.59</v>
      </c>
      <c r="N24" s="225">
        <f>+'Rhys C'!R11</f>
        <v>0</v>
      </c>
      <c r="O24" s="202">
        <f>M24-N24</f>
        <v>2202.59</v>
      </c>
      <c r="P24" s="216">
        <f>+'Rhys C'!S11</f>
        <v>0</v>
      </c>
    </row>
    <row r="25" spans="1:20">
      <c r="A25" s="169"/>
      <c r="B25" s="229"/>
      <c r="C25" s="204" t="s">
        <v>101</v>
      </c>
      <c r="D25" s="205"/>
      <c r="E25" s="205"/>
      <c r="F25" s="205">
        <f>+'Rhys C'!M14</f>
        <v>1</v>
      </c>
      <c r="G25" s="205"/>
      <c r="H25" s="205"/>
      <c r="I25" s="205">
        <f>+'Rhys C'!P14</f>
        <v>1</v>
      </c>
      <c r="J25" s="206"/>
      <c r="K25" s="207"/>
      <c r="L25" s="208"/>
      <c r="M25" s="189"/>
      <c r="N25" s="201"/>
      <c r="O25" s="191"/>
      <c r="P25" s="220"/>
    </row>
    <row r="26" spans="1:20">
      <c r="A26" s="169"/>
      <c r="B26" s="229"/>
      <c r="C26" s="226" t="s">
        <v>48</v>
      </c>
      <c r="D26" s="227"/>
      <c r="E26" s="227"/>
      <c r="F26" s="227">
        <f>+'Rhys C'!M15</f>
        <v>2202.59</v>
      </c>
      <c r="G26" s="227"/>
      <c r="H26" s="227"/>
      <c r="I26" s="227">
        <f>+'Rhys C'!P15</f>
        <v>2202.59</v>
      </c>
      <c r="J26" s="206"/>
      <c r="K26" s="211"/>
      <c r="L26" s="228"/>
      <c r="M26" s="213"/>
      <c r="N26" s="201"/>
      <c r="O26" s="214"/>
      <c r="P26" s="220"/>
    </row>
    <row r="27" spans="1:20">
      <c r="A27" s="236">
        <f ca="1">SUM(A12:A26)</f>
        <v>0</v>
      </c>
      <c r="B27" s="236">
        <f>SUM(B12:B26)</f>
        <v>1</v>
      </c>
      <c r="C27" s="237" t="s">
        <v>102</v>
      </c>
      <c r="D27" s="238">
        <f t="shared" ref="D27:P27" si="0">D12+D18++D9+D21+D15+D24</f>
        <v>36363.289999999994</v>
      </c>
      <c r="E27" s="238">
        <f t="shared" si="0"/>
        <v>19061.919999999998</v>
      </c>
      <c r="F27" s="238">
        <f t="shared" si="0"/>
        <v>61594.83</v>
      </c>
      <c r="G27" s="238">
        <f t="shared" si="0"/>
        <v>22972.12</v>
      </c>
      <c r="H27" s="238">
        <f t="shared" si="0"/>
        <v>54324.2</v>
      </c>
      <c r="I27" s="239">
        <f t="shared" si="0"/>
        <v>194316.35999999996</v>
      </c>
      <c r="J27" s="238">
        <f t="shared" si="0"/>
        <v>300000</v>
      </c>
      <c r="K27" s="240">
        <f t="shared" si="0"/>
        <v>-105683.64000000001</v>
      </c>
      <c r="L27" s="241">
        <f t="shared" si="0"/>
        <v>2903.17</v>
      </c>
      <c r="M27" s="239">
        <f t="shared" si="0"/>
        <v>194316.35999999996</v>
      </c>
      <c r="N27" s="240">
        <f t="shared" si="0"/>
        <v>91597.7</v>
      </c>
      <c r="O27" s="241">
        <f t="shared" si="0"/>
        <v>102718.65999999999</v>
      </c>
      <c r="P27" s="240">
        <f t="shared" si="0"/>
        <v>0</v>
      </c>
    </row>
    <row r="28" spans="1:20">
      <c r="A28" s="243"/>
      <c r="B28" s="488"/>
      <c r="C28" s="244"/>
      <c r="D28" s="244"/>
      <c r="E28" s="244"/>
      <c r="F28" s="244"/>
      <c r="G28" s="244"/>
      <c r="H28" s="244"/>
      <c r="I28" s="245">
        <f>I27+L27</f>
        <v>197219.52999999997</v>
      </c>
      <c r="J28" s="246">
        <f>J27+K27</f>
        <v>194316.36</v>
      </c>
      <c r="K28" s="247"/>
      <c r="L28" s="248"/>
      <c r="M28" s="249"/>
      <c r="N28" s="250">
        <f>M27-O27</f>
        <v>91597.699999999968</v>
      </c>
      <c r="O28" s="251"/>
      <c r="P28" s="201"/>
      <c r="R28" s="316">
        <f>'Ben - No OT'!P93+'Jack M'!P105+Liam!P95+'Mathew B'!P127+'Shaun - No OT'!P89+'Rhys C'!P11</f>
        <v>194316.36</v>
      </c>
      <c r="S28" s="316">
        <f>'Ben - No OT'!Q93+'Jack M'!Q105+Liam!Q95+'Mathew B'!Q127+'Shaun - No OT'!Q89</f>
        <v>2903.17</v>
      </c>
      <c r="T28" s="316">
        <f>'Ben - No OT'!R93+'Jack M'!R105+Liam!R95+'Mathew B'!R127+'Shaun - No OT'!R89</f>
        <v>91597.7</v>
      </c>
    </row>
    <row r="29" spans="1:20">
      <c r="R29" s="316">
        <f>R28+S28</f>
        <v>197219.53</v>
      </c>
      <c r="S29" s="316"/>
      <c r="T29" s="316"/>
    </row>
    <row r="31" spans="1:20">
      <c r="A31" s="169"/>
      <c r="B31" s="487"/>
      <c r="C31" s="171" t="s">
        <v>87</v>
      </c>
      <c r="D31" s="172" t="s">
        <v>131</v>
      </c>
      <c r="E31" s="173"/>
      <c r="F31" s="173"/>
      <c r="G31" s="173"/>
      <c r="H31" s="173"/>
      <c r="I31" s="173"/>
      <c r="J31" s="174" t="s">
        <v>88</v>
      </c>
      <c r="K31" s="175"/>
      <c r="L31" s="176"/>
      <c r="M31" s="177"/>
      <c r="N31" s="178"/>
      <c r="O31" s="179" t="s">
        <v>89</v>
      </c>
      <c r="P31" s="180" t="s">
        <v>29</v>
      </c>
    </row>
    <row r="32" spans="1:20">
      <c r="A32" s="182" t="s">
        <v>90</v>
      </c>
      <c r="B32" s="229" t="s">
        <v>20</v>
      </c>
      <c r="C32" s="183"/>
      <c r="D32" s="184" t="s">
        <v>91</v>
      </c>
      <c r="E32" s="185" t="s">
        <v>92</v>
      </c>
      <c r="F32" s="185" t="s">
        <v>93</v>
      </c>
      <c r="G32" s="185" t="s">
        <v>94</v>
      </c>
      <c r="H32" s="185" t="s">
        <v>95</v>
      </c>
      <c r="I32" s="184" t="s">
        <v>96</v>
      </c>
      <c r="J32" s="186" t="s">
        <v>97</v>
      </c>
      <c r="K32" s="187" t="s">
        <v>98</v>
      </c>
      <c r="L32" s="188" t="s">
        <v>29</v>
      </c>
      <c r="M32" s="189" t="s">
        <v>89</v>
      </c>
      <c r="N32" s="190" t="s">
        <v>99</v>
      </c>
      <c r="O32" s="191" t="s">
        <v>100</v>
      </c>
      <c r="P32" s="192" t="s">
        <v>99</v>
      </c>
    </row>
    <row r="33" spans="1:16">
      <c r="A33" s="169">
        <f ca="1">'Ben - No OT'!T189</f>
        <v>0</v>
      </c>
      <c r="B33" s="318">
        <f>'Ben - No OT'!T190</f>
        <v>0</v>
      </c>
      <c r="C33" s="195" t="s">
        <v>113</v>
      </c>
      <c r="D33" s="196">
        <f>'Ben - No OT'!K195</f>
        <v>2719.58</v>
      </c>
      <c r="E33" s="196">
        <f>'Ben - No OT'!L195</f>
        <v>474.48</v>
      </c>
      <c r="F33" s="196">
        <f>'Ben - No OT'!M195</f>
        <v>7489.4700000000012</v>
      </c>
      <c r="G33" s="196">
        <f>'Ben - No OT'!N195</f>
        <v>2319.6</v>
      </c>
      <c r="H33" s="196">
        <f>'Ben - No OT'!O195</f>
        <v>13838.92</v>
      </c>
      <c r="I33" s="196">
        <f>'Ben - No OT'!P195</f>
        <v>26842.050000000003</v>
      </c>
      <c r="J33" s="197">
        <v>50000</v>
      </c>
      <c r="K33" s="198">
        <f>-J33+I33</f>
        <v>-23157.949999999997</v>
      </c>
      <c r="L33" s="199">
        <f>'Ben - No OT'!Q195</f>
        <v>3666.8999999999996</v>
      </c>
      <c r="M33" s="200">
        <f>I33</f>
        <v>26842.050000000003</v>
      </c>
      <c r="N33" s="201">
        <f>'Ben - No OT'!R195</f>
        <v>8057.7900000000009</v>
      </c>
      <c r="O33" s="202">
        <f>M33-N33</f>
        <v>18784.260000000002</v>
      </c>
      <c r="P33" s="203">
        <f>'Ben - No OT'!S195</f>
        <v>0</v>
      </c>
    </row>
    <row r="34" spans="1:16">
      <c r="A34" s="169"/>
      <c r="B34" s="229"/>
      <c r="C34" s="204" t="s">
        <v>101</v>
      </c>
      <c r="D34" s="205" cm="1">
        <f t="array" ref="D34:D35">'Ben - No OT'!K198:K199</f>
        <v>0.75</v>
      </c>
      <c r="E34" s="205" cm="1">
        <f t="array" ref="E34:E35">'Ben - No OT'!L198:L199</f>
        <v>0.25</v>
      </c>
      <c r="F34" s="205" cm="1">
        <f t="array" ref="F34:F35">'Ben - No OT'!M198:M199</f>
        <v>0.36363636363636365</v>
      </c>
      <c r="G34" s="205" cm="1">
        <f t="array" ref="G34:G35">'Ben - No OT'!N198:N199</f>
        <v>0.2857142857142857</v>
      </c>
      <c r="H34" s="205" cm="1">
        <f t="array" ref="H34:H35">'Ben - No OT'!O198:O199</f>
        <v>0.55555555555555558</v>
      </c>
      <c r="I34" s="205" cm="1">
        <f t="array" ref="I34:I35">'Ben - No OT'!P198:P199</f>
        <v>0.42857142857142855</v>
      </c>
      <c r="J34" s="206"/>
      <c r="K34" s="207"/>
      <c r="L34" s="208" cm="1">
        <f t="array" ref="L34:L35">'Ben - No OT'!Q198:Q199</f>
        <v>0.6</v>
      </c>
      <c r="M34" s="189"/>
      <c r="N34" s="201"/>
      <c r="O34" s="191"/>
      <c r="P34" s="203"/>
    </row>
    <row r="35" spans="1:16">
      <c r="A35" s="169"/>
      <c r="B35" s="229"/>
      <c r="C35" s="226" t="s">
        <v>48</v>
      </c>
      <c r="D35" s="209">
        <v>906.52666666666664</v>
      </c>
      <c r="E35" s="209">
        <v>474.48</v>
      </c>
      <c r="F35" s="209">
        <v>1872.3675000000003</v>
      </c>
      <c r="G35" s="209">
        <v>1159.8</v>
      </c>
      <c r="H35" s="209">
        <v>2767.7840000000001</v>
      </c>
      <c r="I35" s="209">
        <v>1789.4700000000003</v>
      </c>
      <c r="J35" s="210"/>
      <c r="K35" s="211"/>
      <c r="L35" s="212">
        <v>1222.3</v>
      </c>
      <c r="M35" s="213"/>
      <c r="N35" s="201"/>
      <c r="O35" s="214"/>
      <c r="P35" s="203"/>
    </row>
    <row r="36" spans="1:16">
      <c r="A36" s="169">
        <f>'Jack M'!T178</f>
        <v>0</v>
      </c>
      <c r="B36" s="318">
        <f>'Jack M'!T179</f>
        <v>0</v>
      </c>
      <c r="C36" s="195" t="s">
        <v>108</v>
      </c>
      <c r="D36" s="196">
        <f>'Jack M'!K184</f>
        <v>3632.3</v>
      </c>
      <c r="E36" s="196">
        <f>'Jack M'!L184</f>
        <v>1098.3</v>
      </c>
      <c r="F36" s="196"/>
      <c r="G36" s="196"/>
      <c r="H36" s="196"/>
      <c r="I36" s="196">
        <f>'Jack M'!P184</f>
        <v>4730.6000000000004</v>
      </c>
      <c r="J36" s="197">
        <v>50000</v>
      </c>
      <c r="K36" s="198">
        <f>-J36+I36</f>
        <v>-45269.4</v>
      </c>
      <c r="L36" s="199"/>
      <c r="M36" s="215">
        <f>I36</f>
        <v>4730.6000000000004</v>
      </c>
      <c r="N36" s="216">
        <f>'Jack M'!R184</f>
        <v>0</v>
      </c>
      <c r="O36" s="217">
        <f>M36-N36</f>
        <v>4730.6000000000004</v>
      </c>
      <c r="P36" s="216">
        <f>'Jack M'!S184</f>
        <v>0</v>
      </c>
    </row>
    <row r="37" spans="1:16">
      <c r="A37" s="169"/>
      <c r="B37" s="229"/>
      <c r="C37" s="204" t="s">
        <v>101</v>
      </c>
      <c r="D37" s="205" cm="1">
        <f t="array" ref="D37:D38">'Jack M'!K187:K188</f>
        <v>0.375</v>
      </c>
      <c r="E37" s="205" cm="1">
        <f t="array" ref="E37:E38">'Jack M'!L187:L188</f>
        <v>0.14285714285714285</v>
      </c>
      <c r="F37" s="205"/>
      <c r="G37" s="205"/>
      <c r="H37" s="205"/>
      <c r="I37" s="205" cm="1">
        <f t="array" ref="I37:I38">'Jack M'!P187:P188</f>
        <v>0.26666666666666666</v>
      </c>
      <c r="J37" s="206"/>
      <c r="K37" s="218"/>
      <c r="L37" s="208"/>
      <c r="M37" s="219"/>
      <c r="N37" s="220"/>
      <c r="O37" s="221"/>
      <c r="P37" s="220"/>
    </row>
    <row r="38" spans="1:16">
      <c r="A38" s="169"/>
      <c r="B38" s="229"/>
      <c r="C38" s="204" t="s">
        <v>48</v>
      </c>
      <c r="D38" s="209">
        <v>1210.7666666666667</v>
      </c>
      <c r="E38" s="209">
        <v>1098.3</v>
      </c>
      <c r="F38" s="209"/>
      <c r="G38" s="209"/>
      <c r="H38" s="209"/>
      <c r="I38" s="209">
        <v>1182.6500000000001</v>
      </c>
      <c r="J38" s="206"/>
      <c r="K38" s="222"/>
      <c r="L38" s="212"/>
      <c r="M38" s="223"/>
      <c r="N38" s="192"/>
      <c r="O38" s="224"/>
      <c r="P38" s="192"/>
    </row>
    <row r="39" spans="1:16">
      <c r="A39" s="169">
        <f>Liam!T174</f>
        <v>0</v>
      </c>
      <c r="B39" s="318">
        <f>Liam!T175</f>
        <v>0</v>
      </c>
      <c r="C39" s="195" t="s">
        <v>109</v>
      </c>
      <c r="D39" s="196">
        <f>Liam!K180</f>
        <v>4032.8999999999996</v>
      </c>
      <c r="E39" s="196"/>
      <c r="F39" s="196">
        <f>Liam!M180</f>
        <v>5662.66</v>
      </c>
      <c r="G39" s="196">
        <f>Liam!N180</f>
        <v>7286.5100000000011</v>
      </c>
      <c r="H39" s="196">
        <f>Liam!O180</f>
        <v>3809.6099999999997</v>
      </c>
      <c r="I39" s="196">
        <f>Liam!P180</f>
        <v>20791.68</v>
      </c>
      <c r="J39" s="197">
        <v>50000</v>
      </c>
      <c r="K39" s="198">
        <f>-J39+I39</f>
        <v>-29208.32</v>
      </c>
      <c r="L39" s="199"/>
      <c r="M39" s="200">
        <f>I39</f>
        <v>20791.68</v>
      </c>
      <c r="N39" s="225">
        <f>Liam!R180</f>
        <v>7755.2599999999993</v>
      </c>
      <c r="O39" s="202">
        <f>M39-N39</f>
        <v>13036.420000000002</v>
      </c>
      <c r="P39" s="216">
        <f>Liam!S180</f>
        <v>0</v>
      </c>
    </row>
    <row r="40" spans="1:16">
      <c r="A40" s="169"/>
      <c r="B40" s="229"/>
      <c r="C40" s="204" t="s">
        <v>101</v>
      </c>
      <c r="D40" s="205" cm="1">
        <f t="array" ref="D40:D41">Liam!K183:K184</f>
        <v>1</v>
      </c>
      <c r="E40" s="205"/>
      <c r="F40" s="205" cm="1">
        <f t="array" ref="F40:F41">Liam!M183:M184</f>
        <v>0.6</v>
      </c>
      <c r="G40" s="205" cm="1">
        <f t="array" ref="G40:G41">Liam!N183:N184</f>
        <v>0.45454545454545453</v>
      </c>
      <c r="H40" s="205" cm="1">
        <f t="array" ref="H40:H41">Liam!O183:O184</f>
        <v>0.33333333333333331</v>
      </c>
      <c r="I40" s="205" cm="1">
        <f t="array" ref="I40:I41">Liam!P183:P184</f>
        <v>0.44117647058823528</v>
      </c>
      <c r="J40" s="206"/>
      <c r="K40" s="207"/>
      <c r="L40" s="208"/>
      <c r="M40" s="189"/>
      <c r="N40" s="201"/>
      <c r="O40" s="191"/>
      <c r="P40" s="220"/>
    </row>
    <row r="41" spans="1:16">
      <c r="A41" s="169"/>
      <c r="B41" s="229"/>
      <c r="C41" s="204" t="s">
        <v>48</v>
      </c>
      <c r="D41" s="227">
        <v>1008.2249999999999</v>
      </c>
      <c r="E41" s="227"/>
      <c r="F41" s="227">
        <v>1887.5533333333333</v>
      </c>
      <c r="G41" s="227">
        <v>1457.3020000000001</v>
      </c>
      <c r="H41" s="227">
        <v>1269.8699999999999</v>
      </c>
      <c r="I41" s="227">
        <v>1386.1120000000001</v>
      </c>
      <c r="J41" s="210"/>
      <c r="K41" s="211"/>
      <c r="L41" s="228"/>
      <c r="M41" s="213"/>
      <c r="N41" s="201"/>
      <c r="O41" s="214"/>
      <c r="P41" s="220"/>
    </row>
    <row r="42" spans="1:16">
      <c r="A42" s="169">
        <f>'Mathew B'!T230</f>
        <v>1</v>
      </c>
      <c r="B42" s="318">
        <f>'Mathew B'!T231</f>
        <v>0</v>
      </c>
      <c r="C42" s="195" t="s">
        <v>105</v>
      </c>
      <c r="D42" s="196">
        <f>'Mathew B'!K236</f>
        <v>1588.3</v>
      </c>
      <c r="E42" s="196">
        <f>'Mathew B'!L236</f>
        <v>1656.2</v>
      </c>
      <c r="F42" s="196">
        <f>'Mathew B'!M236</f>
        <v>9922.5</v>
      </c>
      <c r="G42" s="196">
        <f>'Mathew B'!N236</f>
        <v>9507.85</v>
      </c>
      <c r="H42" s="196">
        <f>'Mathew B'!O236</f>
        <v>11337.740000000002</v>
      </c>
      <c r="I42" s="196">
        <f>'Mathew B'!P236</f>
        <v>34012.589999999997</v>
      </c>
      <c r="J42" s="197">
        <v>50000</v>
      </c>
      <c r="K42" s="198">
        <f>-J42+I42</f>
        <v>-15987.410000000003</v>
      </c>
      <c r="L42" s="199"/>
      <c r="M42" s="200">
        <f>I42</f>
        <v>34012.589999999997</v>
      </c>
      <c r="N42" s="225">
        <f>'Mathew B'!R236</f>
        <v>14469.710000000001</v>
      </c>
      <c r="O42" s="202">
        <f>M42-N42</f>
        <v>19542.879999999997</v>
      </c>
      <c r="P42" s="216">
        <f>'Mathew B'!S236</f>
        <v>0</v>
      </c>
    </row>
    <row r="43" spans="1:16">
      <c r="A43" s="169"/>
      <c r="B43" s="229"/>
      <c r="C43" s="204" t="s">
        <v>101</v>
      </c>
      <c r="D43" s="205" cm="1">
        <f t="array" ref="D43:D44">'Mathew B'!K239:K240</f>
        <v>0.1</v>
      </c>
      <c r="E43" s="205" cm="1">
        <f t="array" ref="E43:E44">'Mathew B'!L239:L240</f>
        <v>0.4</v>
      </c>
      <c r="F43" s="205" cm="1">
        <f t="array" ref="F43:F44">'Mathew B'!M239:M240</f>
        <v>0.5</v>
      </c>
      <c r="G43" s="205" cm="1">
        <f t="array" ref="G43:G44">'Mathew B'!N239:N240</f>
        <v>0.5</v>
      </c>
      <c r="H43" s="205" cm="1">
        <f t="array" ref="H43:H44">'Mathew B'!O239:O240</f>
        <v>0.54545454545454541</v>
      </c>
      <c r="I43" s="205" cm="1">
        <f t="array" ref="I43:I44">'Mathew B'!P239:P240</f>
        <v>0.41666666666666669</v>
      </c>
      <c r="J43" s="206"/>
      <c r="K43" s="207"/>
      <c r="L43" s="208"/>
      <c r="M43" s="189"/>
      <c r="N43" s="201"/>
      <c r="O43" s="191"/>
      <c r="P43" s="220"/>
    </row>
    <row r="44" spans="1:16">
      <c r="A44" s="169"/>
      <c r="B44" s="229"/>
      <c r="C44" s="204" t="s">
        <v>48</v>
      </c>
      <c r="D44" s="227">
        <v>1588.3</v>
      </c>
      <c r="E44" s="227">
        <v>828.1</v>
      </c>
      <c r="F44" s="227">
        <v>1653.75</v>
      </c>
      <c r="G44" s="227">
        <v>1901.5700000000002</v>
      </c>
      <c r="H44" s="227">
        <v>1889.6233333333337</v>
      </c>
      <c r="I44" s="227">
        <v>1700.6294999999998</v>
      </c>
      <c r="J44" s="206"/>
      <c r="K44" s="211"/>
      <c r="L44" s="228"/>
      <c r="M44" s="213"/>
      <c r="N44" s="201"/>
      <c r="O44" s="214"/>
      <c r="P44" s="220"/>
    </row>
    <row r="45" spans="1:16">
      <c r="A45" s="229">
        <f>'Shaun - No OT'!T177</f>
        <v>0</v>
      </c>
      <c r="B45" s="318">
        <f>'Shaun - No OT'!T178</f>
        <v>0</v>
      </c>
      <c r="C45" s="195" t="s">
        <v>107</v>
      </c>
      <c r="D45" s="196">
        <f>'Shaun - No OT'!K183</f>
        <v>7299.83</v>
      </c>
      <c r="E45" s="196">
        <f>'Shaun - No OT'!L183</f>
        <v>7415.2499999999991</v>
      </c>
      <c r="F45" s="196"/>
      <c r="G45" s="196"/>
      <c r="H45" s="196"/>
      <c r="I45" s="196">
        <f>'Shaun - No OT'!P183</f>
        <v>14715.079999999998</v>
      </c>
      <c r="J45" s="197">
        <v>50000</v>
      </c>
      <c r="K45" s="198">
        <f>-J45+I45</f>
        <v>-35284.92</v>
      </c>
      <c r="L45" s="199"/>
      <c r="M45" s="200">
        <f>I45</f>
        <v>14715.079999999998</v>
      </c>
      <c r="N45" s="225">
        <f>'Shaun - No OT'!R183</f>
        <v>0</v>
      </c>
      <c r="O45" s="202">
        <f>M45-N45</f>
        <v>14715.079999999998</v>
      </c>
      <c r="P45" s="230">
        <f>'Shaun - No OT'!S183</f>
        <v>0</v>
      </c>
    </row>
    <row r="46" spans="1:16">
      <c r="A46" s="229"/>
      <c r="B46" s="229"/>
      <c r="C46" s="204" t="s">
        <v>101</v>
      </c>
      <c r="D46" s="205" cm="1">
        <f t="array" ref="D46:D47">'Shaun - No OT'!K186:K187</f>
        <v>0.5</v>
      </c>
      <c r="E46" s="205" cm="1">
        <f t="array" ref="E46:E47">'Shaun - No OT'!L186:L187</f>
        <v>0.75</v>
      </c>
      <c r="F46" s="205"/>
      <c r="G46" s="205"/>
      <c r="H46" s="205"/>
      <c r="I46" s="205" cm="1">
        <f t="array" ref="I46:I47">'Shaun - No OT'!P186:P187</f>
        <v>0.6</v>
      </c>
      <c r="J46" s="206"/>
      <c r="K46" s="207"/>
      <c r="L46" s="208"/>
      <c r="M46" s="189"/>
      <c r="N46" s="201"/>
      <c r="O46" s="191"/>
      <c r="P46" s="203"/>
    </row>
    <row r="47" spans="1:16">
      <c r="A47" s="229"/>
      <c r="B47" s="229"/>
      <c r="C47" s="226" t="s">
        <v>48</v>
      </c>
      <c r="D47" s="209">
        <v>2433.2766666666666</v>
      </c>
      <c r="E47" s="209">
        <v>2471.7499999999995</v>
      </c>
      <c r="F47" s="209"/>
      <c r="G47" s="209"/>
      <c r="H47" s="209"/>
      <c r="I47" s="209">
        <v>2452.5133333333329</v>
      </c>
      <c r="J47" s="206"/>
      <c r="K47" s="207"/>
      <c r="L47" s="212"/>
      <c r="M47" s="189"/>
      <c r="N47" s="201"/>
      <c r="O47" s="191"/>
      <c r="P47" s="203"/>
    </row>
    <row r="48" spans="1:16">
      <c r="A48" s="229">
        <f>'Jarrod - No OT'!T44</f>
        <v>0</v>
      </c>
      <c r="B48" s="229">
        <f>'Jarrod - No OT'!T45</f>
        <v>0</v>
      </c>
      <c r="C48" s="195" t="s">
        <v>112</v>
      </c>
      <c r="D48" s="196"/>
      <c r="E48" s="196"/>
      <c r="F48" s="196">
        <f>'Jarrod - No OT'!M50</f>
        <v>11118.99</v>
      </c>
      <c r="G48" s="196">
        <f>'Jarrod - No OT'!N50</f>
        <v>15994.33</v>
      </c>
      <c r="H48" s="196">
        <f>'Jarrod - No OT'!O50</f>
        <v>22825.200000000001</v>
      </c>
      <c r="I48" s="196">
        <f>'Jarrod - No OT'!P50</f>
        <v>49938.520000000004</v>
      </c>
      <c r="J48" s="197">
        <v>50000</v>
      </c>
      <c r="K48" s="198">
        <f>-J48+I48</f>
        <v>-61.479999999995925</v>
      </c>
      <c r="L48" s="199"/>
      <c r="M48" s="200">
        <f>I48</f>
        <v>49938.520000000004</v>
      </c>
      <c r="N48" s="225">
        <f>'Jarrod - No OT'!R50</f>
        <v>48840.22</v>
      </c>
      <c r="O48" s="202">
        <f>M48-N48</f>
        <v>1098.3000000000029</v>
      </c>
      <c r="P48" s="216">
        <f>'Jarrod - No OT'!S50</f>
        <v>0</v>
      </c>
    </row>
    <row r="49" spans="1:20">
      <c r="A49" s="229"/>
      <c r="B49" s="229"/>
      <c r="C49" s="204" t="s">
        <v>101</v>
      </c>
      <c r="D49" s="205"/>
      <c r="E49" s="205"/>
      <c r="F49" s="205" cm="1">
        <f t="array" ref="F49:F50">'Jarrod - No OT'!M53:M54</f>
        <v>0.2857142857142857</v>
      </c>
      <c r="G49" s="205" cm="1">
        <f t="array" ref="G49:G50">'Jarrod - No OT'!N53:N54</f>
        <v>0.375</v>
      </c>
      <c r="H49" s="205" cm="1">
        <f t="array" ref="H49:H50">'Jarrod - No OT'!O53:O54</f>
        <v>0.5714285714285714</v>
      </c>
      <c r="I49" s="205" cm="1">
        <f t="array" ref="I49:I50">'Jarrod - No OT'!P53:P54</f>
        <v>0.40909090909090912</v>
      </c>
      <c r="J49" s="206"/>
      <c r="K49" s="207"/>
      <c r="L49" s="208"/>
      <c r="M49" s="189"/>
      <c r="N49" s="201"/>
      <c r="O49" s="191"/>
      <c r="P49" s="220"/>
    </row>
    <row r="50" spans="1:20">
      <c r="A50" s="229"/>
      <c r="B50" s="229"/>
      <c r="C50" s="204" t="s">
        <v>48</v>
      </c>
      <c r="D50" s="227"/>
      <c r="E50" s="227"/>
      <c r="F50" s="227">
        <v>5559.4949999999999</v>
      </c>
      <c r="G50" s="227">
        <v>5331.4433333333336</v>
      </c>
      <c r="H50" s="227">
        <v>5706.3</v>
      </c>
      <c r="I50" s="227">
        <v>5548.724444444445</v>
      </c>
      <c r="J50" s="206"/>
      <c r="K50" s="211"/>
      <c r="L50" s="228"/>
      <c r="M50" s="213"/>
      <c r="N50" s="201"/>
      <c r="O50" s="214"/>
      <c r="P50" s="220"/>
    </row>
    <row r="51" spans="1:20">
      <c r="A51" s="236">
        <f ca="1">SUM(A33:A47)</f>
        <v>0</v>
      </c>
      <c r="B51" s="236">
        <f>SUM(B33:B47)</f>
        <v>0</v>
      </c>
      <c r="C51" s="237" t="s">
        <v>102</v>
      </c>
      <c r="D51" s="238">
        <f t="shared" ref="D51:P51" si="1">D33+D36+D39+D42+D45+D48</f>
        <v>19272.909999999996</v>
      </c>
      <c r="E51" s="238">
        <f t="shared" si="1"/>
        <v>10644.23</v>
      </c>
      <c r="F51" s="238">
        <f t="shared" si="1"/>
        <v>34193.620000000003</v>
      </c>
      <c r="G51" s="238">
        <f t="shared" si="1"/>
        <v>35108.29</v>
      </c>
      <c r="H51" s="238">
        <f t="shared" si="1"/>
        <v>51811.47</v>
      </c>
      <c r="I51" s="239">
        <f t="shared" si="1"/>
        <v>151030.52000000002</v>
      </c>
      <c r="J51" s="238">
        <f t="shared" si="1"/>
        <v>300000</v>
      </c>
      <c r="K51" s="240">
        <f t="shared" si="1"/>
        <v>-148969.47999999998</v>
      </c>
      <c r="L51" s="241">
        <f t="shared" si="1"/>
        <v>3666.8999999999996</v>
      </c>
      <c r="M51" s="239">
        <f t="shared" si="1"/>
        <v>151030.52000000002</v>
      </c>
      <c r="N51" s="240">
        <f t="shared" si="1"/>
        <v>79122.98000000001</v>
      </c>
      <c r="O51" s="241">
        <f t="shared" si="1"/>
        <v>71907.539999999994</v>
      </c>
      <c r="P51" s="240">
        <f t="shared" si="1"/>
        <v>0</v>
      </c>
    </row>
    <row r="52" spans="1:20">
      <c r="A52" s="243"/>
      <c r="B52" s="488"/>
      <c r="C52" s="244"/>
      <c r="D52" s="244"/>
      <c r="E52" s="244"/>
      <c r="F52" s="244"/>
      <c r="G52" s="244"/>
      <c r="H52" s="244"/>
      <c r="I52" s="245">
        <f>I51+L51</f>
        <v>154697.42000000001</v>
      </c>
      <c r="J52" s="246">
        <f>J51+K51</f>
        <v>151030.52000000002</v>
      </c>
      <c r="K52" s="247"/>
      <c r="L52" s="248"/>
      <c r="M52" s="249"/>
      <c r="N52" s="250">
        <f>M51-O51</f>
        <v>79122.980000000025</v>
      </c>
      <c r="O52" s="251"/>
      <c r="P52" s="201"/>
      <c r="R52" s="316">
        <f>'Ben - No OT'!P195+'Jack M'!P184+Liam!P180+'Mathew B'!P236+'Shaun - No OT'!P183+'Jarrod - No OT'!P50+'Matthew H - No OT'!P12</f>
        <v>151030.52000000002</v>
      </c>
      <c r="S52" s="316">
        <f>'Ben - No OT'!Q195+'Jack M'!Q184+Liam!Q180+'Mathew B'!Q236+'Shaun - No OT'!Q183+'Jarrod - No OT'!Q50+'Matthew H - No OT'!Q12</f>
        <v>3666.8999999999996</v>
      </c>
      <c r="T52" s="316">
        <f>'Ben - No OT'!R195+'Jack M'!R184+Liam!R180+'Mathew B'!R236+'Shaun - No OT'!R183+'Jarrod - No OT'!R50+'Matthew H - No OT'!R12</f>
        <v>79122.98000000001</v>
      </c>
    </row>
    <row r="53" spans="1:20">
      <c r="R53" s="316">
        <f>R52+S52</f>
        <v>154697.42000000001</v>
      </c>
      <c r="S53" s="316"/>
      <c r="T53" s="316"/>
    </row>
    <row r="55" spans="1:20">
      <c r="A55" s="169"/>
      <c r="B55" s="487"/>
      <c r="C55" s="171" t="s">
        <v>87</v>
      </c>
      <c r="D55" s="172" t="s">
        <v>132</v>
      </c>
      <c r="E55" s="173"/>
      <c r="F55" s="173"/>
      <c r="G55" s="173"/>
      <c r="H55" s="173"/>
      <c r="I55" s="173"/>
      <c r="J55" s="174" t="s">
        <v>88</v>
      </c>
      <c r="K55" s="175"/>
      <c r="L55" s="176"/>
      <c r="M55" s="177"/>
      <c r="N55" s="178"/>
      <c r="O55" s="179" t="s">
        <v>89</v>
      </c>
      <c r="P55" s="180" t="s">
        <v>29</v>
      </c>
    </row>
    <row r="56" spans="1:20">
      <c r="A56" s="182" t="s">
        <v>90</v>
      </c>
      <c r="B56" s="229" t="s">
        <v>20</v>
      </c>
      <c r="C56" s="183"/>
      <c r="D56" s="184" t="s">
        <v>91</v>
      </c>
      <c r="E56" s="185" t="s">
        <v>92</v>
      </c>
      <c r="F56" s="185" t="s">
        <v>93</v>
      </c>
      <c r="G56" s="185" t="s">
        <v>94</v>
      </c>
      <c r="H56" s="185" t="s">
        <v>95</v>
      </c>
      <c r="I56" s="184" t="s">
        <v>96</v>
      </c>
      <c r="J56" s="186" t="s">
        <v>97</v>
      </c>
      <c r="K56" s="187" t="s">
        <v>98</v>
      </c>
      <c r="L56" s="188" t="s">
        <v>29</v>
      </c>
      <c r="M56" s="189" t="s">
        <v>89</v>
      </c>
      <c r="N56" s="190" t="s">
        <v>99</v>
      </c>
      <c r="O56" s="191" t="s">
        <v>100</v>
      </c>
      <c r="P56" s="192" t="s">
        <v>99</v>
      </c>
    </row>
    <row r="57" spans="1:20">
      <c r="A57" s="169">
        <f>'Ben - No OT'!T297</f>
        <v>0</v>
      </c>
      <c r="B57" s="318">
        <f>'Ben - No OT'!T298</f>
        <v>0</v>
      </c>
      <c r="C57" s="195" t="s">
        <v>113</v>
      </c>
      <c r="D57" s="196">
        <f>'Ben - No OT'!K303</f>
        <v>9210.5600000000013</v>
      </c>
      <c r="E57" s="196">
        <f>'Ben - No OT'!L303</f>
        <v>2955.6</v>
      </c>
      <c r="F57" s="196">
        <f>'Ben - No OT'!M303</f>
        <v>23749.019999999997</v>
      </c>
      <c r="G57" s="196">
        <f>'Ben - No OT'!N303</f>
        <v>1094.3</v>
      </c>
      <c r="H57" s="196">
        <f>'Ben - No OT'!O303</f>
        <v>1162</v>
      </c>
      <c r="I57" s="196">
        <f>'Ben - No OT'!P303</f>
        <v>38171.480000000003</v>
      </c>
      <c r="J57" s="197">
        <v>50000</v>
      </c>
      <c r="K57" s="198">
        <f>-J57+I57</f>
        <v>-11828.519999999997</v>
      </c>
      <c r="L57" s="199"/>
      <c r="M57" s="200">
        <f>I57</f>
        <v>38171.480000000003</v>
      </c>
      <c r="N57" s="201">
        <f>'Ben - No OT'!R303</f>
        <v>19047.21</v>
      </c>
      <c r="O57" s="202">
        <f>M57-N57</f>
        <v>19124.270000000004</v>
      </c>
      <c r="P57" s="203">
        <f>'Ben - No OT'!S303</f>
        <v>0</v>
      </c>
    </row>
    <row r="58" spans="1:20">
      <c r="A58" s="169"/>
      <c r="B58" s="229"/>
      <c r="C58" s="204" t="s">
        <v>101</v>
      </c>
      <c r="D58" s="205" cm="1">
        <f t="array" ref="D58:D59">'Ben - No OT'!K306:K307</f>
        <v>0.8</v>
      </c>
      <c r="E58" s="205" cm="1">
        <f t="array" ref="E58:E59">'Ben - No OT'!L306:L307</f>
        <v>0.5</v>
      </c>
      <c r="F58" s="205" cm="1">
        <f t="array" ref="F58:F59">'Ben - No OT'!M306:M307</f>
        <v>0.55555555555555558</v>
      </c>
      <c r="G58" s="205" cm="1">
        <f t="array" ref="G58:G59">'Ben - No OT'!N306:N307</f>
        <v>0.16666666666666666</v>
      </c>
      <c r="H58" s="205" cm="1">
        <f t="array" ref="H58:H59">'Ben - No OT'!O306:O307</f>
        <v>0.66666666666666663</v>
      </c>
      <c r="I58" s="205" cm="1">
        <f t="array" ref="I58:I59">'Ben - No OT'!P306:P307</f>
        <v>0.51724137931034486</v>
      </c>
      <c r="J58" s="206"/>
      <c r="K58" s="207"/>
      <c r="L58" s="208"/>
      <c r="M58" s="189"/>
      <c r="N58" s="201"/>
      <c r="O58" s="191"/>
      <c r="P58" s="203"/>
    </row>
    <row r="59" spans="1:20">
      <c r="A59" s="169"/>
      <c r="B59" s="229"/>
      <c r="C59" s="226" t="s">
        <v>48</v>
      </c>
      <c r="D59" s="209">
        <v>2302.6400000000003</v>
      </c>
      <c r="E59" s="209">
        <v>985.19999999999993</v>
      </c>
      <c r="F59" s="209">
        <v>4749.8039999999992</v>
      </c>
      <c r="G59" s="209">
        <v>1094.3</v>
      </c>
      <c r="H59" s="209">
        <v>581</v>
      </c>
      <c r="I59" s="209">
        <v>2544.7653333333337</v>
      </c>
      <c r="J59" s="210"/>
      <c r="K59" s="211"/>
      <c r="L59" s="212"/>
      <c r="M59" s="213"/>
      <c r="N59" s="214"/>
      <c r="O59" s="214"/>
      <c r="P59" s="214"/>
    </row>
    <row r="60" spans="1:20">
      <c r="A60" s="169">
        <f>Heath!T94</f>
        <v>4</v>
      </c>
      <c r="B60" s="229">
        <f>Heath!T95</f>
        <v>0</v>
      </c>
      <c r="C60" s="195" t="s">
        <v>114</v>
      </c>
      <c r="D60" s="196"/>
      <c r="E60" s="196">
        <f>Heath!L100</f>
        <v>5585.35</v>
      </c>
      <c r="F60" s="196">
        <f>Heath!M100</f>
        <v>17230.150000000001</v>
      </c>
      <c r="G60" s="196">
        <f>Heath!N100</f>
        <v>3859.5600000000004</v>
      </c>
      <c r="H60" s="196">
        <f>Heath!O100</f>
        <v>6236.01</v>
      </c>
      <c r="I60" s="196">
        <f>Heath!P100</f>
        <v>32911.07</v>
      </c>
      <c r="J60" s="197">
        <v>50000</v>
      </c>
      <c r="K60" s="198">
        <f>-J60+I60</f>
        <v>-17088.93</v>
      </c>
      <c r="L60" s="199"/>
      <c r="M60" s="200">
        <f>I60</f>
        <v>32911.07</v>
      </c>
      <c r="N60" s="201">
        <f>Heath!R100</f>
        <v>16914.87</v>
      </c>
      <c r="O60" s="202">
        <f>M60-N60</f>
        <v>15996.2</v>
      </c>
      <c r="P60" s="203">
        <f>Heath!S100</f>
        <v>0</v>
      </c>
    </row>
    <row r="61" spans="1:20">
      <c r="A61" s="169"/>
      <c r="B61" s="229"/>
      <c r="C61" s="204" t="s">
        <v>101</v>
      </c>
      <c r="D61" s="205"/>
      <c r="E61" s="205" cm="1">
        <f t="array" ref="E61:E62">Heath!L103:L104</f>
        <v>0.66666666666666663</v>
      </c>
      <c r="F61" s="205" cm="1">
        <f t="array" ref="F61:F62">Heath!M103:M104</f>
        <v>0.625</v>
      </c>
      <c r="G61" s="205" cm="1">
        <f t="array" ref="G61:G62">Heath!N103:N104</f>
        <v>0.6</v>
      </c>
      <c r="H61" s="205" cm="1">
        <f t="array" ref="H61:H62">Heath!O103:O104</f>
        <v>0.36363636363636365</v>
      </c>
      <c r="I61" s="205" cm="1">
        <f t="array" ref="I61:I62">Heath!P103:P104</f>
        <v>0.51851851851851849</v>
      </c>
      <c r="J61" s="206"/>
      <c r="K61" s="207"/>
      <c r="L61" s="208"/>
      <c r="M61" s="189"/>
      <c r="N61" s="201"/>
      <c r="O61" s="191"/>
      <c r="P61" s="203"/>
    </row>
    <row r="62" spans="1:20">
      <c r="A62" s="169"/>
      <c r="B62" s="229"/>
      <c r="C62" s="226" t="s">
        <v>48</v>
      </c>
      <c r="D62" s="209"/>
      <c r="E62" s="209">
        <v>2792.6750000000002</v>
      </c>
      <c r="F62" s="209">
        <v>3446.03</v>
      </c>
      <c r="G62" s="209">
        <v>1286.5200000000002</v>
      </c>
      <c r="H62" s="209">
        <v>1559.0025000000001</v>
      </c>
      <c r="I62" s="209">
        <v>2350.7907142857143</v>
      </c>
      <c r="J62" s="210"/>
      <c r="K62" s="211"/>
      <c r="L62" s="212"/>
      <c r="M62" s="213"/>
      <c r="N62" s="201"/>
      <c r="O62" s="214"/>
      <c r="P62" s="203"/>
    </row>
    <row r="63" spans="1:20">
      <c r="A63" s="169">
        <f>'Jarrod - No OT'!T112</f>
        <v>0</v>
      </c>
      <c r="B63" s="318">
        <f>'Jarrod - No OT'!T113</f>
        <v>0</v>
      </c>
      <c r="C63" s="195" t="s">
        <v>112</v>
      </c>
      <c r="D63" s="196">
        <f>'Jarrod - No OT'!K118</f>
        <v>21224.95</v>
      </c>
      <c r="E63" s="196">
        <f>'Jarrod - No OT'!L118</f>
        <v>3861.61</v>
      </c>
      <c r="F63" s="196">
        <f>'Jarrod - No OT'!M118</f>
        <v>6842.56</v>
      </c>
      <c r="G63" s="196">
        <f>'Jarrod - No OT'!N118</f>
        <v>3224.23</v>
      </c>
      <c r="H63" s="196">
        <f>'Jarrod - No OT'!O118</f>
        <v>1422.3</v>
      </c>
      <c r="I63" s="196">
        <f>'Jarrod - No OT'!P118</f>
        <v>36575.650000000009</v>
      </c>
      <c r="J63" s="197">
        <v>50000</v>
      </c>
      <c r="K63" s="198">
        <f>-J63+I63</f>
        <v>-13424.349999999991</v>
      </c>
      <c r="L63" s="199"/>
      <c r="M63" s="200">
        <f>I63</f>
        <v>36575.650000000009</v>
      </c>
      <c r="N63" s="225">
        <f>'Jarrod - No OT'!R118</f>
        <v>1582.93</v>
      </c>
      <c r="O63" s="202">
        <f>M63-N63</f>
        <v>34992.720000000008</v>
      </c>
      <c r="P63" s="216">
        <f>'Jarrod - No OT'!S118</f>
        <v>0</v>
      </c>
    </row>
    <row r="64" spans="1:20">
      <c r="A64" s="169"/>
      <c r="B64" s="229"/>
      <c r="C64" s="204" t="s">
        <v>101</v>
      </c>
      <c r="D64" s="205" cm="1">
        <f t="array" ref="D64:D65">'Jarrod - No OT'!K121:K122</f>
        <v>0.75</v>
      </c>
      <c r="E64" s="205" cm="1">
        <f t="array" ref="E64:E65">'Jarrod - No OT'!L121:L122</f>
        <v>0.66666666666666663</v>
      </c>
      <c r="F64" s="205" cm="1">
        <f t="array" ref="F64:F65">'Jarrod - No OT'!M121:M122</f>
        <v>0.66666666666666663</v>
      </c>
      <c r="G64" s="205" cm="1">
        <f t="array" ref="G64:G65">'Jarrod - No OT'!N121:N122</f>
        <v>0.18181818181818182</v>
      </c>
      <c r="H64" s="205" cm="1">
        <f t="array" ref="H64:H65">'Jarrod - No OT'!O121:O122</f>
        <v>0.4</v>
      </c>
      <c r="I64" s="205" cm="1">
        <f t="array" ref="I64:I65">'Jarrod - No OT'!P121:P122</f>
        <v>0.5</v>
      </c>
      <c r="J64" s="206"/>
      <c r="K64" s="207"/>
      <c r="L64" s="208"/>
      <c r="M64" s="189"/>
      <c r="N64" s="201"/>
      <c r="O64" s="191"/>
      <c r="P64" s="220"/>
    </row>
    <row r="65" spans="1:19">
      <c r="A65" s="169"/>
      <c r="B65" s="229"/>
      <c r="C65" s="204" t="s">
        <v>48</v>
      </c>
      <c r="D65" s="227">
        <v>3537.4916666666668</v>
      </c>
      <c r="E65" s="227">
        <v>965.40250000000003</v>
      </c>
      <c r="F65" s="227">
        <v>1710.64</v>
      </c>
      <c r="G65" s="227">
        <v>1612.115</v>
      </c>
      <c r="H65" s="227">
        <v>711.15</v>
      </c>
      <c r="I65" s="227">
        <v>2031.9805555555561</v>
      </c>
      <c r="J65" s="210"/>
      <c r="K65" s="211"/>
      <c r="L65" s="228"/>
      <c r="M65" s="213"/>
      <c r="N65" s="201"/>
      <c r="O65" s="214"/>
      <c r="P65" s="220"/>
    </row>
    <row r="66" spans="1:19">
      <c r="A66" s="169">
        <f>Liam!T264</f>
        <v>0</v>
      </c>
      <c r="B66" s="318">
        <f>Liam!T265</f>
        <v>0</v>
      </c>
      <c r="C66" s="195" t="s">
        <v>109</v>
      </c>
      <c r="D66" s="196"/>
      <c r="E66" s="196"/>
      <c r="F66" s="196">
        <f>Liam!M270</f>
        <v>8307.98</v>
      </c>
      <c r="G66" s="196">
        <f>Liam!N270</f>
        <v>5399.39</v>
      </c>
      <c r="H66" s="196">
        <f>Liam!O270</f>
        <v>22358.1</v>
      </c>
      <c r="I66" s="196">
        <f>Liam!P270</f>
        <v>36065.47</v>
      </c>
      <c r="J66" s="197">
        <v>50000</v>
      </c>
      <c r="K66" s="198">
        <f>-J66+I66</f>
        <v>-13934.529999999999</v>
      </c>
      <c r="L66" s="199"/>
      <c r="M66" s="200">
        <f>I66</f>
        <v>36065.47</v>
      </c>
      <c r="N66" s="225">
        <f>Liam!R270</f>
        <v>21855.599999999999</v>
      </c>
      <c r="O66" s="202">
        <f>M66-N66</f>
        <v>14209.870000000003</v>
      </c>
      <c r="P66" s="216">
        <f>Liam!S270</f>
        <v>0</v>
      </c>
    </row>
    <row r="67" spans="1:19">
      <c r="A67" s="169"/>
      <c r="B67" s="229"/>
      <c r="C67" s="204" t="s">
        <v>101</v>
      </c>
      <c r="D67" s="205"/>
      <c r="E67" s="205"/>
      <c r="F67" s="205" cm="1">
        <f t="array" ref="F67:F68">Liam!M273:M274</f>
        <v>0.625</v>
      </c>
      <c r="G67" s="205" cm="1">
        <f t="array" ref="G67:G68">Liam!N273:N274</f>
        <v>0.44444444444444442</v>
      </c>
      <c r="H67" s="205" cm="1">
        <f t="array" ref="H67:H68">Liam!O273:O274</f>
        <v>0.42857142857142855</v>
      </c>
      <c r="I67" s="205" cm="1">
        <f t="array" ref="I67:I68">Liam!P273:P274</f>
        <v>0.4838709677419355</v>
      </c>
      <c r="J67" s="206"/>
      <c r="K67" s="207"/>
      <c r="L67" s="208"/>
      <c r="M67" s="189"/>
      <c r="N67" s="201"/>
      <c r="O67" s="191"/>
      <c r="P67" s="220"/>
    </row>
    <row r="68" spans="1:19">
      <c r="A68" s="169"/>
      <c r="B68" s="229"/>
      <c r="C68" s="204" t="s">
        <v>48</v>
      </c>
      <c r="D68" s="227"/>
      <c r="E68" s="227"/>
      <c r="F68" s="227">
        <v>1661.596</v>
      </c>
      <c r="G68" s="227">
        <v>1349.8475000000001</v>
      </c>
      <c r="H68" s="227">
        <v>3726.35</v>
      </c>
      <c r="I68" s="227">
        <v>2404.3646666666668</v>
      </c>
      <c r="J68" s="206"/>
      <c r="K68" s="211"/>
      <c r="L68" s="228"/>
      <c r="M68" s="213"/>
      <c r="N68" s="201"/>
      <c r="O68" s="214"/>
      <c r="P68" s="220"/>
    </row>
    <row r="69" spans="1:19">
      <c r="A69" s="229">
        <f>'Mathew B'!T347</f>
        <v>0</v>
      </c>
      <c r="B69" s="318">
        <f>'Mathew B'!T348</f>
        <v>0</v>
      </c>
      <c r="C69" s="195" t="s">
        <v>105</v>
      </c>
      <c r="D69" s="196">
        <f>'Mathew B'!K353</f>
        <v>20981.85</v>
      </c>
      <c r="E69" s="196">
        <f>'Mathew B'!L353</f>
        <v>13337.880000000001</v>
      </c>
      <c r="F69" s="196">
        <f>'Mathew B'!M353</f>
        <v>7114.630000000001</v>
      </c>
      <c r="G69" s="196">
        <f>'Mathew B'!N353</f>
        <v>3980.8999999999996</v>
      </c>
      <c r="H69" s="196">
        <f>'Mathew B'!O353</f>
        <v>5424.4</v>
      </c>
      <c r="I69" s="196">
        <f>'Mathew B'!P353</f>
        <v>50839.66</v>
      </c>
      <c r="J69" s="197">
        <v>50000</v>
      </c>
      <c r="K69" s="198">
        <f>-J69+I69</f>
        <v>839.66000000000349</v>
      </c>
      <c r="L69" s="199"/>
      <c r="M69" s="200">
        <f>I69</f>
        <v>50839.66</v>
      </c>
      <c r="N69" s="225">
        <f>'Mathew B'!R353</f>
        <v>11311.78</v>
      </c>
      <c r="O69" s="202">
        <f>M69-N69</f>
        <v>39527.880000000005</v>
      </c>
      <c r="P69" s="230">
        <f>'Mathew B'!S353</f>
        <v>0</v>
      </c>
    </row>
    <row r="70" spans="1:19">
      <c r="A70" s="229"/>
      <c r="B70" s="229"/>
      <c r="C70" s="204" t="s">
        <v>101</v>
      </c>
      <c r="D70" s="205" cm="1">
        <f t="array" ref="D70:D71">'Mathew B'!K356:K357</f>
        <v>0.75</v>
      </c>
      <c r="E70" s="205" cm="1">
        <f t="array" ref="E70:E71">'Mathew B'!L356:L357</f>
        <v>0.44444444444444442</v>
      </c>
      <c r="F70" s="205" cm="1">
        <f t="array" ref="F70:F71">'Mathew B'!M356:M357</f>
        <v>0.66666666666666663</v>
      </c>
      <c r="G70" s="205" cm="1">
        <f t="array" ref="G70:G71">'Mathew B'!N356:N357</f>
        <v>0.5</v>
      </c>
      <c r="H70" s="205" cm="1">
        <f t="array" ref="H70:H71">'Mathew B'!O356:O357</f>
        <v>0.625</v>
      </c>
      <c r="I70" s="205" cm="1">
        <f t="array" ref="I70:I71">'Mathew B'!P356:P357</f>
        <v>0.58974358974358976</v>
      </c>
      <c r="J70" s="206"/>
      <c r="K70" s="207"/>
      <c r="L70" s="208"/>
      <c r="M70" s="189"/>
      <c r="N70" s="201"/>
      <c r="O70" s="191"/>
      <c r="P70" s="203"/>
    </row>
    <row r="71" spans="1:19">
      <c r="A71" s="229"/>
      <c r="B71" s="229"/>
      <c r="C71" s="204" t="s">
        <v>48</v>
      </c>
      <c r="D71" s="209">
        <v>3496.9749999999999</v>
      </c>
      <c r="E71" s="209">
        <v>3334.4700000000003</v>
      </c>
      <c r="F71" s="209">
        <v>1778.6575000000003</v>
      </c>
      <c r="G71" s="209">
        <v>995.22499999999991</v>
      </c>
      <c r="H71" s="209">
        <v>1084.8799999999999</v>
      </c>
      <c r="I71" s="209">
        <v>2210.42</v>
      </c>
      <c r="J71" s="206"/>
      <c r="K71" s="207"/>
      <c r="L71" s="212"/>
      <c r="M71" s="189"/>
      <c r="N71" s="201"/>
      <c r="O71" s="191"/>
      <c r="P71" s="203"/>
    </row>
    <row r="72" spans="1:19">
      <c r="A72" s="229">
        <f>'Matthew H - No OT'!T44</f>
        <v>0</v>
      </c>
      <c r="B72" s="229">
        <f>'Matthew H - No OT'!T45</f>
        <v>0</v>
      </c>
      <c r="C72" s="195" t="s">
        <v>115</v>
      </c>
      <c r="D72" s="196"/>
      <c r="E72" s="196"/>
      <c r="F72" s="196"/>
      <c r="G72" s="196">
        <f>'Matthew H - No OT'!N50</f>
        <v>9462.16</v>
      </c>
      <c r="H72" s="196"/>
      <c r="I72" s="196">
        <f>'Matthew H - No OT'!P50</f>
        <v>9462.16</v>
      </c>
      <c r="J72" s="197"/>
      <c r="K72" s="198">
        <f>-J72+I72</f>
        <v>9462.16</v>
      </c>
      <c r="L72" s="199"/>
      <c r="M72" s="200">
        <f>I72</f>
        <v>9462.16</v>
      </c>
      <c r="N72" s="225">
        <f>'Matthew H - No OT'!R50</f>
        <v>9462.16</v>
      </c>
      <c r="O72" s="202">
        <f>M72-N72</f>
        <v>0</v>
      </c>
      <c r="P72" s="230">
        <f>'Matthew H - No OT'!S50</f>
        <v>0</v>
      </c>
    </row>
    <row r="73" spans="1:19">
      <c r="A73" s="229"/>
      <c r="B73" s="229"/>
      <c r="C73" s="204" t="s">
        <v>101</v>
      </c>
      <c r="D73" s="205"/>
      <c r="E73" s="205"/>
      <c r="F73" s="205"/>
      <c r="G73" s="205" cm="1">
        <f t="array" ref="G73:G74">'Matthew H - No OT'!N53:N54</f>
        <v>0.5</v>
      </c>
      <c r="H73" s="205"/>
      <c r="I73" s="205" cm="1">
        <f t="array" ref="I73:I74">'Matthew H - No OT'!P53:P54</f>
        <v>0.5</v>
      </c>
      <c r="J73" s="206"/>
      <c r="K73" s="207"/>
      <c r="L73" s="208"/>
      <c r="M73" s="189"/>
      <c r="N73" s="201"/>
      <c r="O73" s="191"/>
      <c r="P73" s="203"/>
    </row>
    <row r="74" spans="1:19">
      <c r="A74" s="229"/>
      <c r="B74" s="229"/>
      <c r="C74" s="204" t="s">
        <v>48</v>
      </c>
      <c r="D74" s="209"/>
      <c r="E74" s="209"/>
      <c r="F74" s="209"/>
      <c r="G74" s="209">
        <v>9462.16</v>
      </c>
      <c r="H74" s="209"/>
      <c r="I74" s="209">
        <v>9462.16</v>
      </c>
      <c r="J74" s="206"/>
      <c r="K74" s="207"/>
      <c r="L74" s="212"/>
      <c r="M74" s="189"/>
      <c r="N74" s="201"/>
      <c r="O74" s="191"/>
      <c r="P74" s="203"/>
    </row>
    <row r="75" spans="1:19">
      <c r="A75" s="229">
        <f>Elliot!T5-1</f>
        <v>0</v>
      </c>
      <c r="B75" s="229">
        <f>Elliot!T6</f>
        <v>0</v>
      </c>
      <c r="C75" s="195" t="s">
        <v>116</v>
      </c>
      <c r="D75" s="196"/>
      <c r="E75" s="196"/>
      <c r="F75" s="196"/>
      <c r="G75" s="196">
        <f>Elliot!N11</f>
        <v>1221.3</v>
      </c>
      <c r="H75" s="196"/>
      <c r="I75" s="196">
        <f>Elliot!P11</f>
        <v>1221.3</v>
      </c>
      <c r="J75" s="197"/>
      <c r="K75" s="198">
        <f>-J75+I75</f>
        <v>1221.3</v>
      </c>
      <c r="L75" s="199"/>
      <c r="M75" s="200">
        <f>I75</f>
        <v>1221.3</v>
      </c>
      <c r="N75" s="225">
        <f>Elliot!R11</f>
        <v>0</v>
      </c>
      <c r="O75" s="202">
        <f>M75-N75</f>
        <v>1221.3</v>
      </c>
      <c r="P75" s="230">
        <f>Elliot!S11</f>
        <v>0</v>
      </c>
    </row>
    <row r="76" spans="1:19">
      <c r="A76" s="229"/>
      <c r="B76" s="229"/>
      <c r="C76" s="204" t="s">
        <v>101</v>
      </c>
      <c r="D76" s="205"/>
      <c r="E76" s="205"/>
      <c r="F76" s="205"/>
      <c r="G76" s="205" cm="1">
        <f t="array" ref="G76:G77">Elliot!N14:N15</f>
        <v>1</v>
      </c>
      <c r="H76" s="205"/>
      <c r="I76" s="205" cm="1">
        <f t="array" ref="I76:I77">Elliot!P14:P15</f>
        <v>1</v>
      </c>
      <c r="J76" s="206"/>
      <c r="K76" s="207"/>
      <c r="L76" s="208"/>
      <c r="M76" s="189"/>
      <c r="N76" s="201"/>
      <c r="O76" s="191"/>
      <c r="P76" s="203"/>
    </row>
    <row r="77" spans="1:19">
      <c r="A77" s="229"/>
      <c r="B77" s="229"/>
      <c r="C77" s="204" t="s">
        <v>48</v>
      </c>
      <c r="D77" s="209"/>
      <c r="E77" s="209"/>
      <c r="F77" s="209"/>
      <c r="G77" s="209">
        <v>1221.3</v>
      </c>
      <c r="H77" s="209"/>
      <c r="I77" s="209">
        <v>1221.3</v>
      </c>
      <c r="J77" s="206"/>
      <c r="K77" s="207"/>
      <c r="L77" s="212"/>
      <c r="M77" s="189"/>
      <c r="N77" s="201"/>
      <c r="O77" s="191"/>
      <c r="P77" s="203"/>
    </row>
    <row r="78" spans="1:19">
      <c r="A78" s="236">
        <f>SUM(A57:A77)</f>
        <v>4</v>
      </c>
      <c r="B78" s="236">
        <f>SUM(B57:B77)</f>
        <v>0</v>
      </c>
      <c r="C78" s="237" t="s">
        <v>102</v>
      </c>
      <c r="D78" s="238">
        <f t="shared" ref="D78:O78" si="2">D57+D60+D63+D66+D69+D72+D75</f>
        <v>51417.36</v>
      </c>
      <c r="E78" s="238">
        <f t="shared" si="2"/>
        <v>25740.440000000002</v>
      </c>
      <c r="F78" s="238">
        <f t="shared" si="2"/>
        <v>63244.34</v>
      </c>
      <c r="G78" s="238">
        <f t="shared" si="2"/>
        <v>28241.839999999997</v>
      </c>
      <c r="H78" s="238">
        <f t="shared" si="2"/>
        <v>36602.81</v>
      </c>
      <c r="I78" s="239">
        <f t="shared" si="2"/>
        <v>205246.79</v>
      </c>
      <c r="J78" s="238">
        <f t="shared" si="2"/>
        <v>250000</v>
      </c>
      <c r="K78" s="240">
        <f t="shared" si="2"/>
        <v>-44753.209999999977</v>
      </c>
      <c r="L78" s="241">
        <f t="shared" si="2"/>
        <v>0</v>
      </c>
      <c r="M78" s="239">
        <f t="shared" si="2"/>
        <v>205246.79</v>
      </c>
      <c r="N78" s="240">
        <f t="shared" si="2"/>
        <v>80174.55</v>
      </c>
      <c r="O78" s="241">
        <f t="shared" si="2"/>
        <v>125072.24</v>
      </c>
      <c r="P78" s="240">
        <f t="shared" ref="P78" si="3">P57+P60+P63+P66+P69+P72+P75</f>
        <v>0</v>
      </c>
    </row>
    <row r="79" spans="1:19">
      <c r="A79" s="243"/>
      <c r="B79" s="488"/>
      <c r="C79" s="244"/>
      <c r="D79" s="244"/>
      <c r="E79" s="244"/>
      <c r="F79" s="244"/>
      <c r="G79" s="244"/>
      <c r="H79" s="244"/>
      <c r="I79" s="245">
        <f>I78+L78</f>
        <v>205246.79</v>
      </c>
      <c r="J79" s="246">
        <f>J78+K78</f>
        <v>205246.79000000004</v>
      </c>
      <c r="K79" s="247"/>
      <c r="L79" s="248"/>
      <c r="M79" s="249"/>
      <c r="N79" s="250">
        <f>M78-O78</f>
        <v>80174.55</v>
      </c>
      <c r="O79" s="251"/>
      <c r="P79" s="201"/>
      <c r="Q79" s="316">
        <f>'Ben - No OT'!P303+Heath!P100+'Jack M'!P248+'Jarrod - No OT'!P118+Liam!P270+'Mathew B'!P353+'Matthew H - No OT'!P50+Elliot!P11</f>
        <v>205246.79</v>
      </c>
      <c r="R79" s="316">
        <f>'Ben - No OT'!Q303+Heath!Q100+'Jack M'!Q248+'Jarrod - No OT'!Q118+Liam!Q270+'Mathew B'!Q353+'Matthew H - No OT'!Q50+Elliot!Q11</f>
        <v>0</v>
      </c>
      <c r="S79" s="316">
        <f>'Ben - No OT'!R303+Heath!R100+'Jack M'!R248+'Jarrod - No OT'!R118+Liam!R270+'Mathew B'!R353+'Matthew H - No OT'!R50+Elliot!R11</f>
        <v>80174.55</v>
      </c>
    </row>
    <row r="80" spans="1:19">
      <c r="Q80" s="316">
        <f>Q79+R79</f>
        <v>205246.79</v>
      </c>
      <c r="R80" s="316"/>
      <c r="S80" s="316"/>
    </row>
    <row r="82" spans="1:16">
      <c r="A82" s="169"/>
      <c r="B82" s="487"/>
      <c r="C82" s="171" t="s">
        <v>87</v>
      </c>
      <c r="D82" s="172" t="s">
        <v>133</v>
      </c>
      <c r="E82" s="173"/>
      <c r="F82" s="173"/>
      <c r="G82" s="173"/>
      <c r="H82" s="173"/>
      <c r="I82" s="173"/>
      <c r="J82" s="174" t="s">
        <v>88</v>
      </c>
      <c r="K82" s="175"/>
      <c r="L82" s="176"/>
      <c r="M82" s="177"/>
      <c r="N82" s="178"/>
      <c r="O82" s="179" t="s">
        <v>89</v>
      </c>
      <c r="P82" s="180" t="s">
        <v>29</v>
      </c>
    </row>
    <row r="83" spans="1:16">
      <c r="A83" s="182" t="s">
        <v>90</v>
      </c>
      <c r="B83" s="229" t="s">
        <v>20</v>
      </c>
      <c r="C83" s="183"/>
      <c r="D83" s="184" t="s">
        <v>91</v>
      </c>
      <c r="E83" s="185" t="s">
        <v>92</v>
      </c>
      <c r="F83" s="185" t="s">
        <v>93</v>
      </c>
      <c r="G83" s="185" t="s">
        <v>94</v>
      </c>
      <c r="H83" s="185" t="s">
        <v>95</v>
      </c>
      <c r="I83" s="184" t="s">
        <v>96</v>
      </c>
      <c r="J83" s="186" t="s">
        <v>97</v>
      </c>
      <c r="K83" s="187" t="s">
        <v>98</v>
      </c>
      <c r="L83" s="188" t="s">
        <v>29</v>
      </c>
      <c r="M83" s="189" t="s">
        <v>89</v>
      </c>
      <c r="N83" s="190" t="s">
        <v>99</v>
      </c>
      <c r="O83" s="191" t="s">
        <v>100</v>
      </c>
      <c r="P83" s="192" t="s">
        <v>99</v>
      </c>
    </row>
    <row r="84" spans="1:16">
      <c r="A84" s="169">
        <f>'Ben - No OT'!T384</f>
        <v>1</v>
      </c>
      <c r="B84" s="318">
        <f>'Ben - No OT'!T385</f>
        <v>0</v>
      </c>
      <c r="C84" s="195" t="s">
        <v>113</v>
      </c>
      <c r="D84" s="196"/>
      <c r="E84" s="196">
        <f>'Ben - No OT'!L390</f>
        <v>563</v>
      </c>
      <c r="F84" s="196">
        <f>'Ben - No OT'!M390</f>
        <v>616</v>
      </c>
      <c r="G84" s="196">
        <f>'Ben - No OT'!N390</f>
        <v>3619.26</v>
      </c>
      <c r="H84" s="196">
        <f>'Ben - No OT'!O390</f>
        <v>3136.33</v>
      </c>
      <c r="I84" s="196">
        <f>'Ben - No OT'!P390</f>
        <v>7934.59</v>
      </c>
      <c r="J84" s="197">
        <v>50000</v>
      </c>
      <c r="K84" s="198">
        <f>-J84+I84</f>
        <v>-42065.41</v>
      </c>
      <c r="L84" s="199"/>
      <c r="M84" s="200">
        <f>I84</f>
        <v>7934.59</v>
      </c>
      <c r="N84" s="201">
        <f>'Ben - No OT'!R390</f>
        <v>0</v>
      </c>
      <c r="O84" s="202">
        <f>M84-N84</f>
        <v>7934.59</v>
      </c>
      <c r="P84" s="203">
        <f>'Ben - No OT'!S390</f>
        <v>0</v>
      </c>
    </row>
    <row r="85" spans="1:16">
      <c r="A85" s="169"/>
      <c r="B85" s="229"/>
      <c r="C85" s="204" t="s">
        <v>101</v>
      </c>
      <c r="D85" s="205"/>
      <c r="E85" s="205" cm="1">
        <f t="array" ref="E85:E86">'Ben - No OT'!L393:L394</f>
        <v>0.25</v>
      </c>
      <c r="F85" s="205" cm="1">
        <f t="array" ref="F85:F86">'Ben - No OT'!M393:M394</f>
        <v>0.16666666666666666</v>
      </c>
      <c r="G85" s="205" cm="1">
        <f t="array" ref="G85:G86">'Ben - No OT'!N393:N394</f>
        <v>0.6</v>
      </c>
      <c r="H85" s="205" cm="1">
        <f t="array" ref="H85:H86">'Ben - No OT'!O393:O394</f>
        <v>0.6</v>
      </c>
      <c r="I85" s="205" cm="1">
        <f t="array" ref="I85:I86">'Ben - No OT'!P393:P394</f>
        <v>0.4</v>
      </c>
      <c r="J85" s="206"/>
      <c r="K85" s="207"/>
      <c r="L85" s="208"/>
      <c r="M85" s="189"/>
      <c r="N85" s="201"/>
      <c r="O85" s="191"/>
      <c r="P85" s="203"/>
    </row>
    <row r="86" spans="1:16">
      <c r="A86" s="169"/>
      <c r="B86" s="229"/>
      <c r="C86" s="226" t="s">
        <v>48</v>
      </c>
      <c r="D86" s="209"/>
      <c r="E86" s="209">
        <v>563</v>
      </c>
      <c r="F86" s="209">
        <v>616</v>
      </c>
      <c r="G86" s="209">
        <v>1206.42</v>
      </c>
      <c r="H86" s="209">
        <v>1045.4433333333334</v>
      </c>
      <c r="I86" s="209">
        <v>991.82375000000002</v>
      </c>
      <c r="J86" s="210"/>
      <c r="K86" s="211"/>
      <c r="L86" s="212"/>
      <c r="M86" s="213"/>
      <c r="N86" s="201"/>
      <c r="O86" s="214"/>
      <c r="P86" s="203"/>
    </row>
    <row r="87" spans="1:16">
      <c r="A87" s="169">
        <f>Heath!T178-0.5</f>
        <v>4.5</v>
      </c>
      <c r="B87" s="318">
        <f>Heath!T179</f>
        <v>0</v>
      </c>
      <c r="C87" s="195" t="s">
        <v>114</v>
      </c>
      <c r="D87" s="196">
        <f>Heath!K184</f>
        <v>12330.09</v>
      </c>
      <c r="E87" s="196"/>
      <c r="F87" s="196">
        <f>Heath!M184</f>
        <v>1679.3</v>
      </c>
      <c r="G87" s="196">
        <f>Heath!N184</f>
        <v>14491.580000000002</v>
      </c>
      <c r="H87" s="196">
        <f>Heath!O184</f>
        <v>10638.23</v>
      </c>
      <c r="I87" s="196">
        <f>Heath!P184</f>
        <v>39139.199999999997</v>
      </c>
      <c r="J87" s="197">
        <v>50000</v>
      </c>
      <c r="K87" s="198">
        <f>-J87+I87</f>
        <v>-10860.800000000003</v>
      </c>
      <c r="L87" s="199"/>
      <c r="M87" s="215">
        <f>I87</f>
        <v>39139.199999999997</v>
      </c>
      <c r="N87" s="216">
        <f>Heath!R184</f>
        <v>23634.37</v>
      </c>
      <c r="O87" s="217">
        <f>M87-N87</f>
        <v>15504.829999999998</v>
      </c>
      <c r="P87" s="216">
        <f>Heath!S184</f>
        <v>0</v>
      </c>
    </row>
    <row r="88" spans="1:16">
      <c r="A88" s="169"/>
      <c r="B88" s="229"/>
      <c r="C88" s="204" t="s">
        <v>101</v>
      </c>
      <c r="D88" s="205" cm="1">
        <f t="array" ref="D88:D89">Heath!K187:K188</f>
        <v>0.55555555555555558</v>
      </c>
      <c r="E88" s="205"/>
      <c r="F88" s="205" cm="1">
        <f t="array" ref="F88:F89">Heath!M187:M188</f>
        <v>0.33333333333333331</v>
      </c>
      <c r="G88" s="205" cm="1">
        <f t="array" ref="G88:G89">Heath!N187:N188</f>
        <v>0.7142857142857143</v>
      </c>
      <c r="H88" s="205" cm="1">
        <f t="array" ref="H88:H89">Heath!O187:O188</f>
        <v>0.5714285714285714</v>
      </c>
      <c r="I88" s="205" cm="1">
        <f t="array" ref="I88:I89">Heath!P187:P188</f>
        <v>0.5161290322580645</v>
      </c>
      <c r="J88" s="206"/>
      <c r="K88" s="218"/>
      <c r="L88" s="208"/>
      <c r="M88" s="219"/>
      <c r="N88" s="220"/>
      <c r="O88" s="221"/>
      <c r="P88" s="220"/>
    </row>
    <row r="89" spans="1:16">
      <c r="A89" s="169"/>
      <c r="B89" s="229"/>
      <c r="C89" s="226" t="s">
        <v>48</v>
      </c>
      <c r="D89" s="209">
        <v>2466.018</v>
      </c>
      <c r="E89" s="209"/>
      <c r="F89" s="209">
        <v>839.65</v>
      </c>
      <c r="G89" s="209">
        <v>2898.3160000000003</v>
      </c>
      <c r="H89" s="209">
        <v>2659.5574999999999</v>
      </c>
      <c r="I89" s="209">
        <v>2446.1999999999998</v>
      </c>
      <c r="J89" s="206"/>
      <c r="K89" s="222"/>
      <c r="L89" s="212"/>
      <c r="M89" s="223"/>
      <c r="N89" s="192"/>
      <c r="O89" s="224"/>
      <c r="P89" s="192"/>
    </row>
    <row r="90" spans="1:16">
      <c r="A90" s="169">
        <f>'Jarrod - No OT'!T205</f>
        <v>0</v>
      </c>
      <c r="B90" s="318">
        <f>'Jarrod - No OT'!T206</f>
        <v>0</v>
      </c>
      <c r="C90" s="195" t="s">
        <v>112</v>
      </c>
      <c r="D90" s="196">
        <f>'Jarrod - No OT'!K211</f>
        <v>2953.6</v>
      </c>
      <c r="E90" s="196">
        <f>'Jarrod - No OT'!L211</f>
        <v>17343.09</v>
      </c>
      <c r="F90" s="196">
        <f>'Jarrod - No OT'!M211</f>
        <v>681</v>
      </c>
      <c r="G90" s="196">
        <f>'Jarrod - No OT'!N211</f>
        <v>1621.3</v>
      </c>
      <c r="H90" s="196">
        <f>'Jarrod - No OT'!O211</f>
        <v>11990.800000000001</v>
      </c>
      <c r="I90" s="196">
        <f>'Jarrod - No OT'!P211</f>
        <v>34589.79</v>
      </c>
      <c r="J90" s="197">
        <v>50000</v>
      </c>
      <c r="K90" s="198">
        <f>-J90+I90</f>
        <v>-15410.21</v>
      </c>
      <c r="L90" s="199"/>
      <c r="M90" s="200">
        <f>I90</f>
        <v>34589.79</v>
      </c>
      <c r="N90" s="225">
        <f>'Jarrod - No OT'!R211</f>
        <v>20735.2</v>
      </c>
      <c r="O90" s="202">
        <f>M90-N90</f>
        <v>13854.59</v>
      </c>
      <c r="P90" s="216">
        <f>'Jarrod - No OT'!S211</f>
        <v>0</v>
      </c>
    </row>
    <row r="91" spans="1:16">
      <c r="A91" s="169"/>
      <c r="B91" s="229"/>
      <c r="C91" s="204" t="s">
        <v>101</v>
      </c>
      <c r="D91" s="205" cm="1">
        <f t="array" ref="D91:D92">'Jarrod - No OT'!K214:K215</f>
        <v>0.33333333333333331</v>
      </c>
      <c r="E91" s="205" cm="1">
        <f t="array" ref="E91:E92">'Jarrod - No OT'!L214:L215</f>
        <v>0.5</v>
      </c>
      <c r="F91" s="205" cm="1">
        <f t="array" ref="F91:F92">'Jarrod - No OT'!M214:M215</f>
        <v>0.125</v>
      </c>
      <c r="G91" s="205" cm="1">
        <f t="array" ref="G91:G92">'Jarrod - No OT'!N214:N215</f>
        <v>0.14285714285714285</v>
      </c>
      <c r="H91" s="205" cm="1">
        <f t="array" ref="H91:H92">'Jarrod - No OT'!O214:O215</f>
        <v>0.5714285714285714</v>
      </c>
      <c r="I91" s="205" cm="1">
        <f t="array" ref="I91:I92">'Jarrod - No OT'!P214:P215</f>
        <v>0.32432432432432434</v>
      </c>
      <c r="J91" s="206"/>
      <c r="K91" s="207"/>
      <c r="L91" s="208"/>
      <c r="M91" s="189"/>
      <c r="N91" s="201"/>
      <c r="O91" s="191"/>
      <c r="P91" s="220"/>
    </row>
    <row r="92" spans="1:16">
      <c r="A92" s="169"/>
      <c r="B92" s="229"/>
      <c r="C92" s="204" t="s">
        <v>48</v>
      </c>
      <c r="D92" s="227">
        <v>984.5333333333333</v>
      </c>
      <c r="E92" s="227">
        <v>5781.03</v>
      </c>
      <c r="F92" s="227">
        <v>681</v>
      </c>
      <c r="G92" s="227">
        <v>1621.3</v>
      </c>
      <c r="H92" s="227">
        <v>2997.7000000000003</v>
      </c>
      <c r="I92" s="227">
        <v>2882.4825000000001</v>
      </c>
      <c r="J92" s="210"/>
      <c r="K92" s="211"/>
      <c r="L92" s="228"/>
      <c r="M92" s="213"/>
      <c r="N92" s="201"/>
      <c r="O92" s="214"/>
      <c r="P92" s="220"/>
    </row>
    <row r="93" spans="1:16">
      <c r="A93" s="169">
        <f>Liam!T350</f>
        <v>0</v>
      </c>
      <c r="B93" s="318">
        <f>Liam!T351</f>
        <v>0</v>
      </c>
      <c r="C93" s="195" t="s">
        <v>109</v>
      </c>
      <c r="D93" s="196">
        <f>Liam!K356</f>
        <v>10730.990000000002</v>
      </c>
      <c r="E93" s="196">
        <f>Liam!L356</f>
        <v>2196.6</v>
      </c>
      <c r="F93" s="196">
        <f>Liam!M356</f>
        <v>14804.33</v>
      </c>
      <c r="G93" s="196">
        <f>Liam!N356</f>
        <v>2502.3000000000002</v>
      </c>
      <c r="H93" s="196">
        <f>Liam!O356</f>
        <v>5982.79</v>
      </c>
      <c r="I93" s="196">
        <f>Liam!P356</f>
        <v>36217.01</v>
      </c>
      <c r="J93" s="197">
        <v>50000</v>
      </c>
      <c r="K93" s="198">
        <f>-J93+I93</f>
        <v>-13782.989999999998</v>
      </c>
      <c r="L93" s="199"/>
      <c r="M93" s="200">
        <f>I93</f>
        <v>36217.01</v>
      </c>
      <c r="N93" s="225">
        <f>Liam!R356</f>
        <v>19988.11</v>
      </c>
      <c r="O93" s="202">
        <f>M93-N93</f>
        <v>16228.900000000001</v>
      </c>
      <c r="P93" s="216">
        <f>Liam!S356</f>
        <v>0</v>
      </c>
    </row>
    <row r="94" spans="1:16">
      <c r="A94" s="169"/>
      <c r="B94" s="229"/>
      <c r="C94" s="204" t="s">
        <v>101</v>
      </c>
      <c r="D94" s="205" cm="1">
        <f t="array" ref="D94:D95">Liam!K359:K360</f>
        <v>0.75</v>
      </c>
      <c r="E94" s="205" cm="1">
        <f t="array" ref="E94:E95">Liam!L359:L360</f>
        <v>0.5</v>
      </c>
      <c r="F94" s="205" cm="1">
        <f t="array" ref="F94:F95">Liam!M359:M360</f>
        <v>0.75</v>
      </c>
      <c r="G94" s="205" cm="1">
        <f t="array" ref="G94:G95">Liam!N359:N360</f>
        <v>0.4</v>
      </c>
      <c r="H94" s="205" cm="1">
        <f t="array" ref="H94:H95">Liam!O359:O360</f>
        <v>0.5</v>
      </c>
      <c r="I94" s="205" cm="1">
        <f t="array" ref="I94:I95">Liam!P359:P360</f>
        <v>0.61290322580645162</v>
      </c>
      <c r="J94" s="206"/>
      <c r="K94" s="207"/>
      <c r="L94" s="208"/>
      <c r="M94" s="189"/>
      <c r="N94" s="201"/>
      <c r="O94" s="191"/>
      <c r="P94" s="220"/>
    </row>
    <row r="95" spans="1:16">
      <c r="A95" s="169"/>
      <c r="B95" s="229"/>
      <c r="C95" s="204" t="s">
        <v>48</v>
      </c>
      <c r="D95" s="227">
        <v>1788.4983333333337</v>
      </c>
      <c r="E95" s="227">
        <v>1098.3</v>
      </c>
      <c r="F95" s="227">
        <v>2467.3883333333333</v>
      </c>
      <c r="G95" s="227">
        <v>1251.1500000000001</v>
      </c>
      <c r="H95" s="227">
        <v>1994.2633333333333</v>
      </c>
      <c r="I95" s="227">
        <v>1906.1584210526316</v>
      </c>
      <c r="J95" s="206"/>
      <c r="K95" s="211"/>
      <c r="L95" s="228"/>
      <c r="M95" s="213"/>
      <c r="N95" s="201"/>
      <c r="O95" s="214"/>
      <c r="P95" s="220"/>
    </row>
    <row r="96" spans="1:16">
      <c r="A96" s="229">
        <f>'Mathew B'!T446</f>
        <v>0</v>
      </c>
      <c r="B96" s="318">
        <f>'Mathew B'!T447</f>
        <v>0</v>
      </c>
      <c r="C96" s="195" t="s">
        <v>105</v>
      </c>
      <c r="D96" s="196">
        <f>'Mathew B'!K452</f>
        <v>9641.86</v>
      </c>
      <c r="E96" s="196">
        <f>'Mathew B'!L452</f>
        <v>2430.6</v>
      </c>
      <c r="F96" s="196">
        <f>'Mathew B'!M452</f>
        <v>18604.79</v>
      </c>
      <c r="G96" s="196">
        <f>'Mathew B'!N452</f>
        <v>20839.72</v>
      </c>
      <c r="H96" s="196">
        <f>'Mathew B'!O452</f>
        <v>73334.23</v>
      </c>
      <c r="I96" s="196">
        <f>'Mathew B'!P452</f>
        <v>124851.2</v>
      </c>
      <c r="J96" s="197">
        <v>50000</v>
      </c>
      <c r="K96" s="198">
        <f>-J96+I96</f>
        <v>74851.199999999997</v>
      </c>
      <c r="L96" s="199"/>
      <c r="M96" s="200">
        <f>I96</f>
        <v>124851.2</v>
      </c>
      <c r="N96" s="225">
        <f>'Mathew B'!R452</f>
        <v>100236.52</v>
      </c>
      <c r="O96" s="202">
        <f>M96-N96</f>
        <v>24614.679999999993</v>
      </c>
      <c r="P96" s="230">
        <f>'Mathew B'!S452</f>
        <v>0</v>
      </c>
    </row>
    <row r="97" spans="1:19">
      <c r="A97" s="229"/>
      <c r="B97" s="229"/>
      <c r="C97" s="204" t="s">
        <v>101</v>
      </c>
      <c r="D97" s="205" cm="1">
        <f t="array" ref="D97:D98">'Mathew B'!K455:K456</f>
        <v>0.5</v>
      </c>
      <c r="E97" s="205" cm="1">
        <f t="array" ref="E97:E98">'Mathew B'!L455:L456</f>
        <v>0.5</v>
      </c>
      <c r="F97" s="205" cm="1">
        <f t="array" ref="F97:F98">'Mathew B'!M455:M456</f>
        <v>0.8</v>
      </c>
      <c r="G97" s="205" cm="1">
        <f t="array" ref="G97:G98">'Mathew B'!N455:N456</f>
        <v>0.8571428571428571</v>
      </c>
      <c r="H97" s="205" cm="1">
        <f t="array" ref="H97:H98">'Mathew B'!O455:O456</f>
        <v>0.7142857142857143</v>
      </c>
      <c r="I97" s="205" cm="1">
        <f t="array" ref="I97:I98">'Mathew B'!P455:P456</f>
        <v>0.68421052631578949</v>
      </c>
      <c r="J97" s="206"/>
      <c r="K97" s="207"/>
      <c r="L97" s="208"/>
      <c r="M97" s="189"/>
      <c r="N97" s="201"/>
      <c r="O97" s="191"/>
      <c r="P97" s="203"/>
    </row>
    <row r="98" spans="1:19">
      <c r="A98" s="229"/>
      <c r="B98" s="229"/>
      <c r="C98" s="204" t="s">
        <v>48</v>
      </c>
      <c r="D98" s="209">
        <v>1928.3720000000001</v>
      </c>
      <c r="E98" s="209">
        <v>1215.3</v>
      </c>
      <c r="F98" s="209">
        <v>2325.5987500000001</v>
      </c>
      <c r="G98" s="209">
        <v>3473.2866666666669</v>
      </c>
      <c r="H98" s="209">
        <v>14666.846</v>
      </c>
      <c r="I98" s="209">
        <v>4801.9692307692303</v>
      </c>
      <c r="J98" s="210"/>
      <c r="K98" s="211"/>
      <c r="L98" s="228"/>
      <c r="M98" s="213"/>
      <c r="N98" s="190"/>
      <c r="O98" s="214"/>
      <c r="P98" s="233"/>
    </row>
    <row r="99" spans="1:19">
      <c r="A99" s="229">
        <f>'Shaun - No OT'!T239</f>
        <v>1</v>
      </c>
      <c r="B99" s="229">
        <f>'Shaun - No OT'!T240</f>
        <v>0</v>
      </c>
      <c r="C99" s="195" t="s">
        <v>107</v>
      </c>
      <c r="D99" s="196"/>
      <c r="E99" s="196">
        <f>'Shaun - No OT'!L245</f>
        <v>4682.8999999999996</v>
      </c>
      <c r="F99" s="196">
        <f>'Shaun - No OT'!M245</f>
        <v>5377.4000000000005</v>
      </c>
      <c r="G99" s="196">
        <f>'Shaun - No OT'!N245</f>
        <v>4951.8200000000006</v>
      </c>
      <c r="H99" s="196">
        <f>'Shaun - No OT'!O245</f>
        <v>13638.25</v>
      </c>
      <c r="I99" s="196">
        <f>'Shaun - No OT'!P245</f>
        <v>28650.37</v>
      </c>
      <c r="J99" s="206">
        <v>50000</v>
      </c>
      <c r="K99" s="207">
        <f>-J99+I99</f>
        <v>-21349.63</v>
      </c>
      <c r="L99" s="212"/>
      <c r="M99" s="189">
        <f>I99</f>
        <v>28650.37</v>
      </c>
      <c r="N99" s="201">
        <f>'Shaun - No OT'!R245</f>
        <v>14491.05</v>
      </c>
      <c r="O99" s="191">
        <f>M99-N99</f>
        <v>14159.32</v>
      </c>
      <c r="P99" s="220">
        <f>'Shaun - No OT'!S245</f>
        <v>0</v>
      </c>
    </row>
    <row r="100" spans="1:19">
      <c r="A100" s="229"/>
      <c r="B100" s="229"/>
      <c r="C100" s="204" t="s">
        <v>101</v>
      </c>
      <c r="D100" s="205"/>
      <c r="E100" s="205" cm="1">
        <f t="array" ref="E100:E101">'Shaun - No OT'!L248:L249</f>
        <v>0.33333333333333331</v>
      </c>
      <c r="F100" s="205" cm="1">
        <f t="array" ref="F100:F101">'Shaun - No OT'!M248:M249</f>
        <v>0.5</v>
      </c>
      <c r="G100" s="205" cm="1">
        <f t="array" ref="G100:G101">'Shaun - No OT'!N248:N249</f>
        <v>0.625</v>
      </c>
      <c r="H100" s="205" cm="1">
        <f t="array" ref="H100:H101">'Shaun - No OT'!O248:O249</f>
        <v>0.5</v>
      </c>
      <c r="I100" s="205" cm="1">
        <f t="array" ref="I100:I101">'Shaun - No OT'!P248:P249</f>
        <v>0.5</v>
      </c>
      <c r="J100" s="206"/>
      <c r="K100" s="207"/>
      <c r="L100" s="208"/>
      <c r="M100" s="189"/>
      <c r="N100" s="201"/>
      <c r="O100" s="234"/>
      <c r="P100" s="220"/>
    </row>
    <row r="101" spans="1:19">
      <c r="A101" s="229"/>
      <c r="B101" s="229"/>
      <c r="C101" s="226" t="s">
        <v>48</v>
      </c>
      <c r="D101" s="209"/>
      <c r="E101" s="209">
        <v>2341.4499999999998</v>
      </c>
      <c r="F101" s="209">
        <v>1792.4666666666669</v>
      </c>
      <c r="G101" s="209">
        <v>990.36400000000015</v>
      </c>
      <c r="H101" s="209">
        <v>6819.125</v>
      </c>
      <c r="I101" s="209">
        <v>2387.5308333333332</v>
      </c>
      <c r="J101" s="210"/>
      <c r="K101" s="211"/>
      <c r="L101" s="228"/>
      <c r="M101" s="213"/>
      <c r="N101" s="190"/>
      <c r="O101" s="235"/>
      <c r="P101" s="192"/>
    </row>
    <row r="102" spans="1:19">
      <c r="A102" s="229">
        <f>Elliot!T38</f>
        <v>0</v>
      </c>
      <c r="B102" s="318">
        <f>Elliot!T39</f>
        <v>0</v>
      </c>
      <c r="C102" s="195" t="s">
        <v>116</v>
      </c>
      <c r="D102" s="196">
        <f>Elliot!K44</f>
        <v>774.3</v>
      </c>
      <c r="E102" s="196"/>
      <c r="F102" s="196"/>
      <c r="G102" s="196"/>
      <c r="H102" s="196"/>
      <c r="I102" s="196">
        <f>Elliot!P44</f>
        <v>774.3</v>
      </c>
      <c r="J102" s="206">
        <v>50000</v>
      </c>
      <c r="K102" s="207">
        <f>-J102+I102</f>
        <v>-49225.7</v>
      </c>
      <c r="L102" s="212">
        <f>Elliot!Q44</f>
        <v>3599.6000000000004</v>
      </c>
      <c r="M102" s="189">
        <f>I102</f>
        <v>774.3</v>
      </c>
      <c r="N102" s="201">
        <f>Elliot!R44</f>
        <v>0</v>
      </c>
      <c r="O102" s="191">
        <f>M102-N102</f>
        <v>774.3</v>
      </c>
      <c r="P102" s="220">
        <f>Elliot!S44</f>
        <v>0</v>
      </c>
    </row>
    <row r="103" spans="1:19">
      <c r="A103" s="229"/>
      <c r="B103" s="229"/>
      <c r="C103" s="204" t="s">
        <v>101</v>
      </c>
      <c r="D103" s="205" cm="1">
        <f t="array" ref="D103:D104">Elliot!K47:K48</f>
        <v>1</v>
      </c>
      <c r="E103" s="205"/>
      <c r="F103" s="205"/>
      <c r="G103" s="205"/>
      <c r="H103" s="205"/>
      <c r="I103" s="205" cm="1">
        <f t="array" ref="I103:I104">Elliot!P47:P48</f>
        <v>1</v>
      </c>
      <c r="J103" s="206"/>
      <c r="K103" s="207"/>
      <c r="L103" s="208" cm="1">
        <f t="array" ref="L103:L104">Elliot!Q47:Q48</f>
        <v>0.36363636363636365</v>
      </c>
      <c r="M103" s="189"/>
      <c r="N103" s="201"/>
      <c r="O103" s="234"/>
      <c r="P103" s="220"/>
    </row>
    <row r="104" spans="1:19">
      <c r="A104" s="229"/>
      <c r="B104" s="229"/>
      <c r="C104" s="204" t="s">
        <v>48</v>
      </c>
      <c r="D104" s="209">
        <v>774.3</v>
      </c>
      <c r="E104" s="209"/>
      <c r="F104" s="209"/>
      <c r="G104" s="209"/>
      <c r="H104" s="209"/>
      <c r="I104" s="209">
        <v>774.3</v>
      </c>
      <c r="J104" s="210"/>
      <c r="K104" s="211"/>
      <c r="L104" s="228">
        <v>899.90000000000009</v>
      </c>
      <c r="M104" s="213"/>
      <c r="N104" s="190"/>
      <c r="O104" s="235"/>
      <c r="P104" s="192"/>
    </row>
    <row r="105" spans="1:19">
      <c r="A105" s="236">
        <f>SUM(A84:A104)</f>
        <v>6.5</v>
      </c>
      <c r="B105" s="236">
        <f>SUM(B84:B104)</f>
        <v>0</v>
      </c>
      <c r="C105" s="237" t="s">
        <v>102</v>
      </c>
      <c r="D105" s="238">
        <f t="shared" ref="D105:P105" si="4">D84+D87+D90+D93+D96+D99+D102</f>
        <v>36430.840000000004</v>
      </c>
      <c r="E105" s="238">
        <f t="shared" si="4"/>
        <v>27216.189999999995</v>
      </c>
      <c r="F105" s="238">
        <f t="shared" si="4"/>
        <v>41762.82</v>
      </c>
      <c r="G105" s="238">
        <f t="shared" si="4"/>
        <v>48025.98</v>
      </c>
      <c r="H105" s="238">
        <f t="shared" si="4"/>
        <v>118720.63</v>
      </c>
      <c r="I105" s="239">
        <f t="shared" si="4"/>
        <v>272156.45999999996</v>
      </c>
      <c r="J105" s="238">
        <f t="shared" si="4"/>
        <v>350000</v>
      </c>
      <c r="K105" s="240">
        <f t="shared" si="4"/>
        <v>-77843.540000000008</v>
      </c>
      <c r="L105" s="241">
        <f t="shared" si="4"/>
        <v>3599.6000000000004</v>
      </c>
      <c r="M105" s="239">
        <f t="shared" si="4"/>
        <v>272156.45999999996</v>
      </c>
      <c r="N105" s="240">
        <f t="shared" si="4"/>
        <v>179085.25</v>
      </c>
      <c r="O105" s="241">
        <f t="shared" si="4"/>
        <v>93071.21</v>
      </c>
      <c r="P105" s="240">
        <f t="shared" si="4"/>
        <v>0</v>
      </c>
    </row>
    <row r="106" spans="1:19">
      <c r="A106" s="243"/>
      <c r="B106" s="488"/>
      <c r="C106" s="244"/>
      <c r="D106" s="244"/>
      <c r="E106" s="244"/>
      <c r="F106" s="244"/>
      <c r="G106" s="244"/>
      <c r="H106" s="244"/>
      <c r="I106" s="245">
        <f>I105+L105</f>
        <v>275756.05999999994</v>
      </c>
      <c r="J106" s="246">
        <f>J105+K105</f>
        <v>272156.45999999996</v>
      </c>
      <c r="K106" s="247"/>
      <c r="L106" s="248"/>
      <c r="M106" s="249"/>
      <c r="N106" s="250">
        <f>M105-O105</f>
        <v>179085.24999999994</v>
      </c>
      <c r="O106" s="251"/>
      <c r="P106" s="201"/>
      <c r="Q106" s="316">
        <f>'Ben - No OT'!P390+Elliot!P44+Heath!P184+'Jarrod - No OT'!P211+Liam!P356+'Mathew B'!P452+'Matthew H - No OT'!P91+'Shaun - No OT'!P245</f>
        <v>272156.46000000002</v>
      </c>
      <c r="R106" s="316">
        <f>'Ben - No OT'!Q390+Elliot!Q44+Heath!Q184+'Jarrod - No OT'!Q211+Liam!Q356+'Mathew B'!Q452+'Matthew H - No OT'!Q91+'Shaun - No OT'!Q245</f>
        <v>3599.6000000000004</v>
      </c>
      <c r="S106" s="316">
        <f>'Ben - No OT'!R390+Elliot!R44+Heath!R184+'Jarrod - No OT'!R211+Liam!R356+'Mathew B'!R452+'Matthew H - No OT'!R91+'Shaun - No OT'!R245</f>
        <v>179085.25</v>
      </c>
    </row>
    <row r="107" spans="1:19">
      <c r="Q107" s="316">
        <f>Q106+R106</f>
        <v>275756.06</v>
      </c>
      <c r="R107" s="316"/>
      <c r="S107" s="316"/>
    </row>
    <row r="110" spans="1:19">
      <c r="A110" s="169"/>
      <c r="B110" s="487"/>
      <c r="C110" s="171" t="s">
        <v>87</v>
      </c>
      <c r="D110" s="172" t="s">
        <v>134</v>
      </c>
      <c r="E110" s="173"/>
      <c r="F110" s="173"/>
      <c r="G110" s="173"/>
      <c r="H110" s="173"/>
      <c r="I110" s="173"/>
      <c r="J110" s="174" t="s">
        <v>88</v>
      </c>
      <c r="K110" s="175"/>
      <c r="L110" s="176"/>
      <c r="M110" s="177"/>
      <c r="N110" s="178"/>
      <c r="O110" s="179" t="s">
        <v>89</v>
      </c>
      <c r="P110" s="180" t="s">
        <v>29</v>
      </c>
    </row>
    <row r="111" spans="1:19">
      <c r="A111" s="182" t="s">
        <v>90</v>
      </c>
      <c r="B111" s="229" t="s">
        <v>20</v>
      </c>
      <c r="C111" s="183"/>
      <c r="D111" s="184" t="s">
        <v>91</v>
      </c>
      <c r="E111" s="185" t="s">
        <v>92</v>
      </c>
      <c r="F111" s="185" t="s">
        <v>93</v>
      </c>
      <c r="G111" s="185" t="s">
        <v>94</v>
      </c>
      <c r="H111" s="185" t="s">
        <v>95</v>
      </c>
      <c r="I111" s="184" t="s">
        <v>96</v>
      </c>
      <c r="J111" s="186" t="s">
        <v>97</v>
      </c>
      <c r="K111" s="187" t="s">
        <v>98</v>
      </c>
      <c r="L111" s="188" t="s">
        <v>29</v>
      </c>
      <c r="M111" s="189" t="s">
        <v>89</v>
      </c>
      <c r="N111" s="190" t="s">
        <v>99</v>
      </c>
      <c r="O111" s="191" t="s">
        <v>100</v>
      </c>
      <c r="P111" s="192" t="s">
        <v>99</v>
      </c>
    </row>
    <row r="112" spans="1:19">
      <c r="A112" s="169">
        <f>'Ben - No OT'!T459-0.5</f>
        <v>0.5</v>
      </c>
      <c r="B112" s="318">
        <f>'Ben - No OT'!T460</f>
        <v>0</v>
      </c>
      <c r="C112" s="195" t="s">
        <v>113</v>
      </c>
      <c r="D112" s="196"/>
      <c r="E112" s="196">
        <f>'Ben - No OT'!L465</f>
        <v>9736.85</v>
      </c>
      <c r="F112" s="196">
        <f>'Ben - No OT'!M465</f>
        <v>1216.24</v>
      </c>
      <c r="G112" s="196">
        <f>'Ben - No OT'!N465</f>
        <v>2612.6499999999996</v>
      </c>
      <c r="H112" s="196"/>
      <c r="I112" s="196">
        <f>'Ben - No OT'!P465</f>
        <v>13565.74</v>
      </c>
      <c r="J112" s="197">
        <v>50000</v>
      </c>
      <c r="K112" s="198">
        <f>-J112+I112</f>
        <v>-36434.26</v>
      </c>
      <c r="L112" s="199"/>
      <c r="M112" s="200">
        <f>I112</f>
        <v>13565.74</v>
      </c>
      <c r="N112" s="201">
        <f>'Ben - No OT'!R465</f>
        <v>3339.76</v>
      </c>
      <c r="O112" s="202">
        <f>M112-N112</f>
        <v>10225.98</v>
      </c>
      <c r="P112" s="203">
        <f>'Ben - No OT'!S465</f>
        <v>0</v>
      </c>
    </row>
    <row r="113" spans="1:16">
      <c r="A113" s="169"/>
      <c r="B113" s="229"/>
      <c r="C113" s="204" t="s">
        <v>101</v>
      </c>
      <c r="D113" s="205"/>
      <c r="E113" s="205" cm="1">
        <f t="array" ref="E113:E114">'Ben - No OT'!L468:L469</f>
        <v>0.83333333333333337</v>
      </c>
      <c r="F113" s="205" cm="1">
        <f t="array" ref="F113:F114">'Ben - No OT'!M468:M469</f>
        <v>0.2</v>
      </c>
      <c r="G113" s="205" cm="1">
        <f t="array" ref="G113:G114">'Ben - No OT'!N468:N469</f>
        <v>0.42857142857142855</v>
      </c>
      <c r="H113" s="205"/>
      <c r="I113" s="205" cm="1">
        <f t="array" ref="I113:I114">'Ben - No OT'!P468:P469</f>
        <v>0.5</v>
      </c>
      <c r="J113" s="206"/>
      <c r="K113" s="207"/>
      <c r="L113" s="208"/>
      <c r="M113" s="189"/>
      <c r="N113" s="201"/>
      <c r="O113" s="191"/>
      <c r="P113" s="203"/>
    </row>
    <row r="114" spans="1:16">
      <c r="A114" s="169"/>
      <c r="B114" s="229"/>
      <c r="C114" s="226" t="s">
        <v>48</v>
      </c>
      <c r="D114" s="209"/>
      <c r="E114" s="209">
        <v>1947.3700000000001</v>
      </c>
      <c r="F114" s="209">
        <v>1216.24</v>
      </c>
      <c r="G114" s="209">
        <v>870.88333333333321</v>
      </c>
      <c r="H114" s="209"/>
      <c r="I114" s="209">
        <v>1507.3044444444445</v>
      </c>
      <c r="J114" s="210"/>
      <c r="K114" s="211"/>
      <c r="L114" s="212"/>
      <c r="M114" s="213"/>
      <c r="N114" s="201"/>
      <c r="O114" s="214"/>
      <c r="P114" s="203"/>
    </row>
    <row r="115" spans="1:16">
      <c r="A115" s="169">
        <f>Heath!T268</f>
        <v>5</v>
      </c>
      <c r="B115" s="318">
        <f>Heath!T269</f>
        <v>0</v>
      </c>
      <c r="C115" s="195" t="s">
        <v>114</v>
      </c>
      <c r="D115" s="196">
        <f>Heath!K274</f>
        <v>9170.3100000000013</v>
      </c>
      <c r="E115" s="196">
        <f>Heath!L274</f>
        <v>10884.400000000001</v>
      </c>
      <c r="F115" s="196">
        <f>Heath!M274</f>
        <v>7748.6</v>
      </c>
      <c r="G115" s="196"/>
      <c r="H115" s="196">
        <f>Heath!O274</f>
        <v>3099.98</v>
      </c>
      <c r="I115" s="196">
        <f>Heath!P274</f>
        <v>30903.290000000005</v>
      </c>
      <c r="J115" s="197">
        <v>50000</v>
      </c>
      <c r="K115" s="198">
        <f>-J115+I115</f>
        <v>-19096.709999999995</v>
      </c>
      <c r="L115" s="199"/>
      <c r="M115" s="215">
        <f>I115</f>
        <v>30903.290000000005</v>
      </c>
      <c r="N115" s="216">
        <f>Heath!R274</f>
        <v>5843.3</v>
      </c>
      <c r="O115" s="217">
        <f>M115-N115</f>
        <v>25059.990000000005</v>
      </c>
      <c r="P115" s="216">
        <f>Heath!S274</f>
        <v>0</v>
      </c>
    </row>
    <row r="116" spans="1:16">
      <c r="A116" s="169"/>
      <c r="B116" s="229"/>
      <c r="C116" s="204" t="s">
        <v>101</v>
      </c>
      <c r="D116" s="205" cm="1">
        <f t="array" ref="D116:D117">Heath!K277:K278</f>
        <v>0.66666666666666663</v>
      </c>
      <c r="E116" s="205" cm="1">
        <f t="array" ref="E116:E117">Heath!L277:L278</f>
        <v>0.55555555555555558</v>
      </c>
      <c r="F116" s="205" cm="1">
        <f t="array" ref="F116:F117">Heath!M277:M278</f>
        <v>0.42857142857142855</v>
      </c>
      <c r="G116" s="205"/>
      <c r="H116" s="205" cm="1">
        <f t="array" ref="H116:H117">Heath!O277:O278</f>
        <v>0.2857142857142857</v>
      </c>
      <c r="I116" s="205" cm="1">
        <f t="array" ref="I116:I117">Heath!P277:P278</f>
        <v>0.4</v>
      </c>
      <c r="J116" s="206"/>
      <c r="K116" s="218"/>
      <c r="L116" s="208"/>
      <c r="M116" s="219"/>
      <c r="N116" s="220"/>
      <c r="O116" s="221"/>
      <c r="P116" s="220"/>
    </row>
    <row r="117" spans="1:16">
      <c r="A117" s="169"/>
      <c r="B117" s="229"/>
      <c r="C117" s="226" t="s">
        <v>48</v>
      </c>
      <c r="D117" s="209">
        <v>2292.5775000000003</v>
      </c>
      <c r="E117" s="209">
        <v>2176.88</v>
      </c>
      <c r="F117" s="209">
        <v>2582.8666666666668</v>
      </c>
      <c r="G117" s="209"/>
      <c r="H117" s="209">
        <v>1549.99</v>
      </c>
      <c r="I117" s="209">
        <v>2207.3778571428575</v>
      </c>
      <c r="J117" s="206"/>
      <c r="K117" s="222"/>
      <c r="L117" s="212"/>
      <c r="M117" s="223"/>
      <c r="N117" s="192"/>
      <c r="O117" s="224"/>
      <c r="P117" s="192"/>
    </row>
    <row r="118" spans="1:16">
      <c r="A118" s="169">
        <f>'Jarrod - No OT'!T290</f>
        <v>0</v>
      </c>
      <c r="B118" s="318">
        <f>'Jarrod - No OT'!T291</f>
        <v>1</v>
      </c>
      <c r="C118" s="195" t="s">
        <v>112</v>
      </c>
      <c r="D118" s="196"/>
      <c r="E118" s="196">
        <f>'Jarrod - No OT'!L296</f>
        <v>6441.68</v>
      </c>
      <c r="F118" s="196">
        <f>'Jarrod - No OT'!M296</f>
        <v>13948.609999999999</v>
      </c>
      <c r="G118" s="196">
        <f>'Jarrod - No OT'!N296</f>
        <v>5774.3</v>
      </c>
      <c r="H118" s="196">
        <f>'Jarrod - No OT'!O296</f>
        <v>9307.81</v>
      </c>
      <c r="I118" s="196">
        <f>'Jarrod - No OT'!P296</f>
        <v>35472.400000000001</v>
      </c>
      <c r="J118" s="197">
        <v>50000</v>
      </c>
      <c r="K118" s="198">
        <f>-J118+I118</f>
        <v>-14527.599999999999</v>
      </c>
      <c r="L118" s="199"/>
      <c r="M118" s="200">
        <f>I118</f>
        <v>35472.400000000001</v>
      </c>
      <c r="N118" s="225">
        <f>'Jarrod - No OT'!R296</f>
        <v>0</v>
      </c>
      <c r="O118" s="202">
        <f>M118-N118</f>
        <v>35472.400000000001</v>
      </c>
      <c r="P118" s="216">
        <f>'Jarrod - No OT'!S296</f>
        <v>0</v>
      </c>
    </row>
    <row r="119" spans="1:16">
      <c r="A119" s="169"/>
      <c r="B119" s="229"/>
      <c r="C119" s="204" t="s">
        <v>101</v>
      </c>
      <c r="D119" s="205"/>
      <c r="E119" s="205" cm="1">
        <f t="array" ref="E119:E120">'Jarrod - No OT'!L299:L300</f>
        <v>0.5714285714285714</v>
      </c>
      <c r="F119" s="205" cm="1">
        <f t="array" ref="F119:F120">'Jarrod - No OT'!M299:M300</f>
        <v>0.5714285714285714</v>
      </c>
      <c r="G119" s="205" cm="1">
        <f t="array" ref="G119:G120">'Jarrod - No OT'!N299:N300</f>
        <v>0.2</v>
      </c>
      <c r="H119" s="205" cm="1">
        <f t="array" ref="H119:H120">'Jarrod - No OT'!O299:O300</f>
        <v>0.375</v>
      </c>
      <c r="I119" s="205" cm="1">
        <f t="array" ref="I119:I120">'Jarrod - No OT'!P299:P300</f>
        <v>0.44444444444444442</v>
      </c>
      <c r="J119" s="206"/>
      <c r="K119" s="207"/>
      <c r="L119" s="208"/>
      <c r="M119" s="189"/>
      <c r="N119" s="201"/>
      <c r="O119" s="191"/>
      <c r="P119" s="220"/>
    </row>
    <row r="120" spans="1:16">
      <c r="A120" s="169"/>
      <c r="B120" s="229"/>
      <c r="C120" s="204" t="s">
        <v>48</v>
      </c>
      <c r="D120" s="227"/>
      <c r="E120" s="227">
        <v>1610.42</v>
      </c>
      <c r="F120" s="227">
        <v>3487.1524999999997</v>
      </c>
      <c r="G120" s="227">
        <v>5774.3</v>
      </c>
      <c r="H120" s="227">
        <v>3102.603333333333</v>
      </c>
      <c r="I120" s="227">
        <v>2956.0333333333333</v>
      </c>
      <c r="J120" s="210"/>
      <c r="K120" s="211"/>
      <c r="L120" s="228"/>
      <c r="M120" s="213"/>
      <c r="N120" s="201"/>
      <c r="O120" s="214"/>
      <c r="P120" s="220"/>
    </row>
    <row r="121" spans="1:16">
      <c r="A121" s="169">
        <f>Liam!T443</f>
        <v>0</v>
      </c>
      <c r="B121" s="318">
        <f>Liam!T444</f>
        <v>0</v>
      </c>
      <c r="C121" s="195" t="s">
        <v>109</v>
      </c>
      <c r="D121" s="196">
        <f>Liam!K449</f>
        <v>2322.6</v>
      </c>
      <c r="E121" s="196">
        <f>Liam!L449</f>
        <v>6140.6</v>
      </c>
      <c r="F121" s="196">
        <f>Liam!M449</f>
        <v>3380.63</v>
      </c>
      <c r="G121" s="196">
        <f>Liam!N449</f>
        <v>2391.1</v>
      </c>
      <c r="H121" s="196"/>
      <c r="I121" s="196">
        <f>Liam!P449</f>
        <v>14234.930000000002</v>
      </c>
      <c r="J121" s="197">
        <v>50000</v>
      </c>
      <c r="K121" s="198">
        <f>-J121+I121</f>
        <v>-35765.07</v>
      </c>
      <c r="L121" s="199"/>
      <c r="M121" s="200">
        <f>I121</f>
        <v>14234.930000000002</v>
      </c>
      <c r="N121" s="225">
        <f>Liam!R449</f>
        <v>4121.3</v>
      </c>
      <c r="O121" s="202">
        <f>M121-N121</f>
        <v>10113.630000000001</v>
      </c>
      <c r="P121" s="216">
        <f>Liam!S449</f>
        <v>0</v>
      </c>
    </row>
    <row r="122" spans="1:16">
      <c r="A122" s="169"/>
      <c r="B122" s="229"/>
      <c r="C122" s="204" t="s">
        <v>101</v>
      </c>
      <c r="D122" s="205" cm="1">
        <f t="array" ref="D122:D123">Liam!K452:K453</f>
        <v>0.25</v>
      </c>
      <c r="E122" s="205" cm="1">
        <f t="array" ref="E122:E123">Liam!L452:L453</f>
        <v>0.6</v>
      </c>
      <c r="F122" s="205" cm="1">
        <f t="array" ref="F122:F123">Liam!M452:M453</f>
        <v>0.5</v>
      </c>
      <c r="G122" s="205" cm="1">
        <f t="array" ref="G122:G123">Liam!N452:N453</f>
        <v>0.42857142857142855</v>
      </c>
      <c r="H122" s="205"/>
      <c r="I122" s="205" cm="1">
        <f t="array" ref="I122:I123">Liam!P452:P453</f>
        <v>0.40909090909090912</v>
      </c>
      <c r="J122" s="206"/>
      <c r="K122" s="207"/>
      <c r="L122" s="208"/>
      <c r="M122" s="189"/>
      <c r="N122" s="201"/>
      <c r="O122" s="191"/>
      <c r="P122" s="220"/>
    </row>
    <row r="123" spans="1:16">
      <c r="A123" s="169"/>
      <c r="B123" s="229"/>
      <c r="C123" s="204" t="s">
        <v>48</v>
      </c>
      <c r="D123" s="227">
        <v>1161.3</v>
      </c>
      <c r="E123" s="227">
        <v>2046.8666666666668</v>
      </c>
      <c r="F123" s="227">
        <v>3380.63</v>
      </c>
      <c r="G123" s="227">
        <v>797.0333333333333</v>
      </c>
      <c r="H123" s="227"/>
      <c r="I123" s="227">
        <v>1581.6588888888891</v>
      </c>
      <c r="J123" s="206"/>
      <c r="K123" s="211"/>
      <c r="L123" s="228"/>
      <c r="M123" s="213"/>
      <c r="N123" s="201"/>
      <c r="O123" s="214"/>
      <c r="P123" s="220"/>
    </row>
    <row r="124" spans="1:16">
      <c r="A124" s="229">
        <f>'Mathew B'!T549</f>
        <v>0</v>
      </c>
      <c r="B124" s="318">
        <f>'Mathew B'!T550</f>
        <v>0</v>
      </c>
      <c r="C124" s="195" t="s">
        <v>105</v>
      </c>
      <c r="D124" s="196"/>
      <c r="E124" s="196"/>
      <c r="F124" s="196"/>
      <c r="G124" s="196">
        <f>'Mathew B'!N555</f>
        <v>421</v>
      </c>
      <c r="H124" s="196"/>
      <c r="I124" s="196">
        <f>'Mathew B'!P555</f>
        <v>421</v>
      </c>
      <c r="J124" s="197">
        <v>50000</v>
      </c>
      <c r="K124" s="198">
        <f>-J124+I124</f>
        <v>-49579</v>
      </c>
      <c r="L124" s="199"/>
      <c r="M124" s="200">
        <f>I124</f>
        <v>421</v>
      </c>
      <c r="N124" s="225">
        <f>'Mathew B'!R555</f>
        <v>0</v>
      </c>
      <c r="O124" s="202">
        <f>M124-N124</f>
        <v>421</v>
      </c>
      <c r="P124" s="230">
        <f>'Mathew B'!S555</f>
        <v>0</v>
      </c>
    </row>
    <row r="125" spans="1:16">
      <c r="A125" s="229"/>
      <c r="B125" s="229"/>
      <c r="C125" s="204" t="s">
        <v>101</v>
      </c>
      <c r="D125" s="205"/>
      <c r="E125" s="205"/>
      <c r="F125" s="205"/>
      <c r="G125" s="205" cm="1">
        <f t="array" ref="G125:G126">'Mathew B'!N558:N559</f>
        <v>1</v>
      </c>
      <c r="H125" s="205"/>
      <c r="I125" s="205" cm="1">
        <f t="array" ref="I125:I126">'Mathew B'!P558:P559</f>
        <v>1</v>
      </c>
      <c r="J125" s="206"/>
      <c r="K125" s="207"/>
      <c r="L125" s="208"/>
      <c r="M125" s="189"/>
      <c r="N125" s="201"/>
      <c r="O125" s="191"/>
      <c r="P125" s="203"/>
    </row>
    <row r="126" spans="1:16">
      <c r="A126" s="229"/>
      <c r="B126" s="229"/>
      <c r="C126" s="204" t="s">
        <v>48</v>
      </c>
      <c r="D126" s="209"/>
      <c r="E126" s="209"/>
      <c r="F126" s="209"/>
      <c r="G126" s="209">
        <v>421</v>
      </c>
      <c r="H126" s="209"/>
      <c r="I126" s="209">
        <v>421</v>
      </c>
      <c r="J126" s="206"/>
      <c r="K126" s="207"/>
      <c r="L126" s="212"/>
      <c r="M126" s="189"/>
      <c r="N126" s="201"/>
      <c r="O126" s="191"/>
      <c r="P126" s="203"/>
    </row>
    <row r="127" spans="1:16">
      <c r="A127" s="229">
        <f>'Shaun - No OT'!T316</f>
        <v>1</v>
      </c>
      <c r="B127" s="229">
        <f>'Shaun - No OT'!T317</f>
        <v>1</v>
      </c>
      <c r="C127" s="195" t="s">
        <v>107</v>
      </c>
      <c r="D127" s="196">
        <f>'Shaun - No OT'!K322</f>
        <v>4325.43</v>
      </c>
      <c r="E127" s="196">
        <f>'Shaun - No OT'!L322</f>
        <v>7047.5000000000009</v>
      </c>
      <c r="F127" s="196">
        <f>'Shaun - No OT'!M322</f>
        <v>3693.8</v>
      </c>
      <c r="G127" s="196">
        <f>'Shaun - No OT'!N322</f>
        <v>1098.3</v>
      </c>
      <c r="H127" s="196">
        <f>'Shaun - No OT'!O322</f>
        <v>3060.3</v>
      </c>
      <c r="I127" s="196">
        <f>'Shaun - No OT'!P322</f>
        <v>19225.329999999998</v>
      </c>
      <c r="J127" s="197">
        <v>50000</v>
      </c>
      <c r="K127" s="198">
        <f>-J127+I127</f>
        <v>-30774.670000000002</v>
      </c>
      <c r="L127" s="199"/>
      <c r="M127" s="200">
        <f>I127</f>
        <v>19225.329999999998</v>
      </c>
      <c r="N127" s="225">
        <f>'Shaun - No OT'!R322</f>
        <v>2021.3</v>
      </c>
      <c r="O127" s="202">
        <f>M127-N127</f>
        <v>17204.03</v>
      </c>
      <c r="P127" s="230">
        <f>'Shaun - No OT'!S322</f>
        <v>0</v>
      </c>
    </row>
    <row r="128" spans="1:16">
      <c r="A128" s="229"/>
      <c r="B128" s="229"/>
      <c r="C128" s="204" t="s">
        <v>101</v>
      </c>
      <c r="D128" s="205" cm="1">
        <f t="array" ref="D128:D129">'Shaun - No OT'!K325:K326</f>
        <v>0.5714285714285714</v>
      </c>
      <c r="E128" s="205" cm="1">
        <f t="array" ref="E128:E129">'Shaun - No OT'!L325:L326</f>
        <v>0.5</v>
      </c>
      <c r="F128" s="205" cm="1">
        <f t="array" ref="F128:F129">'Shaun - No OT'!M325:M326</f>
        <v>0.66666666666666663</v>
      </c>
      <c r="G128" s="205" cm="1">
        <f t="array" ref="G128:G129">'Shaun - No OT'!N325:N326</f>
        <v>0.2</v>
      </c>
      <c r="H128" s="205" cm="1">
        <f t="array" ref="H128:H129">'Shaun - No OT'!O325:O326</f>
        <v>0.5714285714285714</v>
      </c>
      <c r="I128" s="205" cm="1">
        <f t="array" ref="I128:I129">'Shaun - No OT'!P325:P326</f>
        <v>0.51428571428571423</v>
      </c>
      <c r="J128" s="206"/>
      <c r="K128" s="207"/>
      <c r="L128" s="208"/>
      <c r="M128" s="189"/>
      <c r="N128" s="201"/>
      <c r="O128" s="191"/>
      <c r="P128" s="203"/>
    </row>
    <row r="129" spans="1:19">
      <c r="A129" s="229"/>
      <c r="B129" s="229"/>
      <c r="C129" s="204" t="s">
        <v>48</v>
      </c>
      <c r="D129" s="209">
        <v>1081.3575000000001</v>
      </c>
      <c r="E129" s="209">
        <v>1409.5000000000002</v>
      </c>
      <c r="F129" s="209">
        <v>923.45</v>
      </c>
      <c r="G129" s="209">
        <v>1098.3</v>
      </c>
      <c r="H129" s="209">
        <v>765.07500000000005</v>
      </c>
      <c r="I129" s="209">
        <v>1068.0738888888889</v>
      </c>
      <c r="J129" s="206"/>
      <c r="K129" s="207"/>
      <c r="L129" s="212"/>
      <c r="M129" s="189"/>
      <c r="N129" s="201"/>
      <c r="O129" s="191"/>
      <c r="P129" s="203"/>
    </row>
    <row r="130" spans="1:19">
      <c r="A130" s="169">
        <f>Elliot!T88</f>
        <v>0</v>
      </c>
      <c r="B130" s="318">
        <f>Elliot!T89</f>
        <v>0</v>
      </c>
      <c r="C130" s="195" t="s">
        <v>116</v>
      </c>
      <c r="D130" s="196"/>
      <c r="E130" s="196"/>
      <c r="F130" s="196"/>
      <c r="G130" s="196">
        <f>Elliot!O94</f>
        <v>10400.629999999999</v>
      </c>
      <c r="H130" s="196">
        <f>Elliot!O94</f>
        <v>10400.629999999999</v>
      </c>
      <c r="I130" s="196">
        <f>Elliot!P94</f>
        <v>10400.629999999999</v>
      </c>
      <c r="J130" s="197">
        <v>50000</v>
      </c>
      <c r="K130" s="198">
        <f>-J130+I130</f>
        <v>-39599.370000000003</v>
      </c>
      <c r="L130" s="199"/>
      <c r="M130" s="200">
        <f>I130</f>
        <v>10400.629999999999</v>
      </c>
      <c r="N130" s="225">
        <f>Elliot!R94</f>
        <v>10400.629999999999</v>
      </c>
      <c r="O130" s="202">
        <f>M130-N130</f>
        <v>0</v>
      </c>
      <c r="P130" s="230">
        <f>Elliot!S94</f>
        <v>0</v>
      </c>
    </row>
    <row r="131" spans="1:19">
      <c r="A131" s="169"/>
      <c r="B131" s="229"/>
      <c r="C131" s="204" t="s">
        <v>101</v>
      </c>
      <c r="D131" s="231"/>
      <c r="E131" s="231"/>
      <c r="F131" s="231"/>
      <c r="G131" s="231" cm="1">
        <f t="array" ref="G131:G132">Elliot!O97:O98</f>
        <v>1</v>
      </c>
      <c r="H131" s="231" cm="1">
        <f t="array" ref="H131:H132">Elliot!O97:O98</f>
        <v>1</v>
      </c>
      <c r="I131" s="231" cm="1">
        <f t="array" ref="I131:I132">Elliot!P97:P98</f>
        <v>1</v>
      </c>
      <c r="J131" s="206"/>
      <c r="K131" s="207"/>
      <c r="L131" s="208"/>
      <c r="M131" s="189"/>
      <c r="N131" s="201"/>
      <c r="O131" s="191"/>
      <c r="P131" s="203"/>
    </row>
    <row r="132" spans="1:19">
      <c r="A132" s="169"/>
      <c r="B132" s="229"/>
      <c r="C132" s="226" t="s">
        <v>48</v>
      </c>
      <c r="D132" s="232"/>
      <c r="E132" s="232"/>
      <c r="F132" s="232"/>
      <c r="G132" s="232">
        <v>3466.8766666666666</v>
      </c>
      <c r="H132" s="232">
        <v>3466.8766666666666</v>
      </c>
      <c r="I132" s="232">
        <v>3466.8766666666666</v>
      </c>
      <c r="J132" s="210"/>
      <c r="K132" s="211"/>
      <c r="L132" s="228"/>
      <c r="M132" s="213"/>
      <c r="N132" s="190"/>
      <c r="O132" s="214"/>
      <c r="P132" s="233"/>
    </row>
    <row r="133" spans="1:19">
      <c r="A133" s="229">
        <f>'Rhys C'!T38-0.5</f>
        <v>0.5</v>
      </c>
      <c r="B133" s="318">
        <f>'Rhys C'!T39</f>
        <v>1</v>
      </c>
      <c r="C133" s="195" t="s">
        <v>117</v>
      </c>
      <c r="D133" s="196">
        <f>'Rhys C'!K44</f>
        <v>23697.09</v>
      </c>
      <c r="E133" s="196">
        <f>'Rhys C'!L44</f>
        <v>1990.6</v>
      </c>
      <c r="F133" s="196">
        <f>'Rhys C'!M44</f>
        <v>1302</v>
      </c>
      <c r="G133" s="196">
        <f>'Rhys C'!N44</f>
        <v>2861</v>
      </c>
      <c r="H133" s="196">
        <f>'Rhys C'!O44</f>
        <v>9122.23</v>
      </c>
      <c r="I133" s="196">
        <f>'Rhys C'!P44</f>
        <v>38972.92</v>
      </c>
      <c r="J133" s="206">
        <v>50000</v>
      </c>
      <c r="K133" s="207">
        <f>-J133+I133</f>
        <v>-11027.080000000002</v>
      </c>
      <c r="L133" s="212">
        <f>'Rhys C'!Q44</f>
        <v>5269.76</v>
      </c>
      <c r="M133" s="189">
        <f>I133</f>
        <v>38972.92</v>
      </c>
      <c r="N133" s="201">
        <f>'Rhys C'!R44</f>
        <v>24589.39</v>
      </c>
      <c r="O133" s="191">
        <f>M133-N133</f>
        <v>14383.529999999999</v>
      </c>
      <c r="P133" s="220">
        <f>'Rhys C'!S44</f>
        <v>0</v>
      </c>
    </row>
    <row r="134" spans="1:19">
      <c r="A134" s="229"/>
      <c r="B134" s="229"/>
      <c r="C134" s="204" t="s">
        <v>101</v>
      </c>
      <c r="D134" s="205" cm="1">
        <f t="array" ref="D134:D135">'Rhys C'!K47:K48</f>
        <v>0.2857142857142857</v>
      </c>
      <c r="E134" s="205" cm="1">
        <f t="array" ref="E134:E135">'Rhys C'!L47:L48</f>
        <v>0.25</v>
      </c>
      <c r="F134" s="205" cm="1">
        <f t="array" ref="F134:F135">'Rhys C'!M47:M48</f>
        <v>0.5</v>
      </c>
      <c r="G134" s="205" cm="1">
        <f t="array" ref="G134:G135">'Rhys C'!N47:N48</f>
        <v>0.25</v>
      </c>
      <c r="H134" s="205" cm="1">
        <f t="array" ref="H134:H135">'Rhys C'!O47:O48</f>
        <v>0.42857142857142855</v>
      </c>
      <c r="I134" s="205" cm="1">
        <f t="array" ref="I134:I135">'Rhys C'!P47:P48</f>
        <v>0.3235294117647059</v>
      </c>
      <c r="J134" s="206"/>
      <c r="K134" s="207"/>
      <c r="L134" s="208" cm="1">
        <f t="array" ref="L134:L135">'Rhys C'!Q47:Q48</f>
        <v>0.4</v>
      </c>
      <c r="M134" s="189"/>
      <c r="N134" s="201"/>
      <c r="O134" s="234"/>
      <c r="P134" s="220"/>
    </row>
    <row r="135" spans="1:19">
      <c r="A135" s="229"/>
      <c r="B135" s="229"/>
      <c r="C135" s="226" t="s">
        <v>48</v>
      </c>
      <c r="D135" s="209">
        <v>11848.545</v>
      </c>
      <c r="E135" s="209">
        <v>995.3</v>
      </c>
      <c r="F135" s="209">
        <v>651</v>
      </c>
      <c r="G135" s="209">
        <v>1430.5</v>
      </c>
      <c r="H135" s="209">
        <v>3040.7433333333333</v>
      </c>
      <c r="I135" s="209">
        <v>3542.9927272727273</v>
      </c>
      <c r="J135" s="210"/>
      <c r="K135" s="211"/>
      <c r="L135" s="228">
        <v>2634.88</v>
      </c>
      <c r="M135" s="213"/>
      <c r="N135" s="190"/>
      <c r="O135" s="235"/>
      <c r="P135" s="192"/>
    </row>
    <row r="136" spans="1:19">
      <c r="A136" s="229">
        <f>Francesco!T5</f>
        <v>0</v>
      </c>
      <c r="B136" s="229">
        <f>Francesco!T6</f>
        <v>0</v>
      </c>
      <c r="C136" s="195" t="s">
        <v>118</v>
      </c>
      <c r="D136" s="196"/>
      <c r="E136" s="196"/>
      <c r="F136" s="196"/>
      <c r="G136" s="196"/>
      <c r="H136" s="196"/>
      <c r="I136" s="196"/>
      <c r="J136" s="206"/>
      <c r="K136" s="207">
        <f>-J136+I136</f>
        <v>0</v>
      </c>
      <c r="L136" s="212">
        <f>Francesco!Q11</f>
        <v>1113.2</v>
      </c>
      <c r="M136" s="189">
        <f>I136</f>
        <v>0</v>
      </c>
      <c r="N136" s="201">
        <f>Francesco!R11</f>
        <v>0</v>
      </c>
      <c r="O136" s="191">
        <f>M136-N136</f>
        <v>0</v>
      </c>
      <c r="P136" s="220">
        <f>Francesco!S11</f>
        <v>0</v>
      </c>
    </row>
    <row r="137" spans="1:19">
      <c r="A137" s="229"/>
      <c r="B137" s="229"/>
      <c r="C137" s="204" t="s">
        <v>101</v>
      </c>
      <c r="D137" s="205"/>
      <c r="E137" s="205"/>
      <c r="F137" s="205"/>
      <c r="G137" s="205"/>
      <c r="H137" s="205"/>
      <c r="I137" s="205"/>
      <c r="J137" s="206"/>
      <c r="K137" s="207"/>
      <c r="L137" s="208" cm="1">
        <f t="array" ref="L137:L138">Francesco!Q14:Q15</f>
        <v>1</v>
      </c>
      <c r="M137" s="189"/>
      <c r="N137" s="201"/>
      <c r="O137" s="234"/>
      <c r="P137" s="220"/>
    </row>
    <row r="138" spans="1:19">
      <c r="A138" s="229"/>
      <c r="B138" s="229"/>
      <c r="C138" s="226" t="s">
        <v>48</v>
      </c>
      <c r="D138" s="209"/>
      <c r="E138" s="209"/>
      <c r="F138" s="209"/>
      <c r="G138" s="209"/>
      <c r="H138" s="209"/>
      <c r="I138" s="209"/>
      <c r="J138" s="210"/>
      <c r="K138" s="211"/>
      <c r="L138" s="228">
        <v>1113.2</v>
      </c>
      <c r="M138" s="213"/>
      <c r="N138" s="190"/>
      <c r="O138" s="235"/>
      <c r="P138" s="192"/>
    </row>
    <row r="139" spans="1:19">
      <c r="A139" s="236">
        <f>SUM(A112:A135)</f>
        <v>7</v>
      </c>
      <c r="B139" s="236">
        <f>SUM(B112:B135)</f>
        <v>3</v>
      </c>
      <c r="C139" s="237" t="s">
        <v>102</v>
      </c>
      <c r="D139" s="238">
        <f>D112+D115+D118+D121+D124+D127+D130+D133+D136</f>
        <v>39515.43</v>
      </c>
      <c r="E139" s="238">
        <f>E112+E115+E118+E121+E124+E127+E130+E133+E136</f>
        <v>42241.63</v>
      </c>
      <c r="F139" s="238">
        <f>F112+F115+F118+F121+F124+F127+F130+F133+F136</f>
        <v>31289.879999999997</v>
      </c>
      <c r="G139" s="238">
        <f>G112+G115+G118+G121+G124+G127+G130+G133+G136</f>
        <v>25558.98</v>
      </c>
      <c r="H139" s="238">
        <f>H112+H115+H118+H121+H124+H127+H130+H133+H136</f>
        <v>34990.949999999997</v>
      </c>
      <c r="I139" s="239">
        <f>I112+I115+I118+I121+I124+I127+I130+I133+I136</f>
        <v>163196.24000000002</v>
      </c>
      <c r="J139" s="238">
        <f>J112+J115+J118+J121+J124+J127+J130+J133+J136</f>
        <v>400000</v>
      </c>
      <c r="K139" s="240">
        <f>K112+K115+K118+K121+K124+K127+K130+K133+K136</f>
        <v>-236803.76</v>
      </c>
      <c r="L139" s="241">
        <f>L112+L115+L118+L121+L124+L127+L130+L133+L136</f>
        <v>6382.96</v>
      </c>
      <c r="M139" s="239">
        <f>M112+M115+M118+M121+M124+M127+M130+M133+M136</f>
        <v>163196.24000000002</v>
      </c>
      <c r="N139" s="240">
        <f>N112+N115+N118+N121+N124+N127+N130+N133+N136</f>
        <v>50315.68</v>
      </c>
      <c r="O139" s="241">
        <f>O112+O115+O118+O121+O124+O127+O130+O133+O136</f>
        <v>112880.56</v>
      </c>
      <c r="P139" s="240">
        <f t="shared" ref="D139:P139" si="5">P112+P115+P118+P121+P124+P127+P130+P133+P136</f>
        <v>0</v>
      </c>
    </row>
    <row r="140" spans="1:19">
      <c r="A140" s="243"/>
      <c r="B140" s="488"/>
      <c r="C140" s="244"/>
      <c r="D140" s="244"/>
      <c r="E140" s="244"/>
      <c r="F140" s="244"/>
      <c r="G140" s="244"/>
      <c r="H140" s="244"/>
      <c r="I140" s="245">
        <f>I139+L139</f>
        <v>169579.2</v>
      </c>
      <c r="J140" s="246">
        <f>J139+K139</f>
        <v>163196.24</v>
      </c>
      <c r="K140" s="247"/>
      <c r="L140" s="248"/>
      <c r="M140" s="249"/>
      <c r="N140" s="250">
        <f>M139-O139</f>
        <v>50315.680000000022</v>
      </c>
      <c r="O140" s="251"/>
      <c r="P140" s="201"/>
      <c r="Q140" s="316">
        <f>'Ben - No OT'!P465+Elliot!P94+Heath!P274+'Jarrod - No OT'!P296+Liam!P449+'Mathew B'!P555+'Rhys C'!P44+'Shaun - No OT'!P322+Francesco!P11</f>
        <v>163196.24</v>
      </c>
      <c r="R140" s="316">
        <f>'Ben - No OT'!Q465+Elliot!Q94+Heath!Q274+'Jarrod - No OT'!Q296+Liam!Q449+'Mathew B'!Q555+'Rhys C'!Q44+'Shaun - No OT'!Q322+Francesco!Q11</f>
        <v>6382.96</v>
      </c>
      <c r="S140" s="316">
        <f>'Ben - No OT'!R465+Elliot!R94+Heath!R274+'Jarrod - No OT'!R296+Liam!R449+'Mathew B'!R555+'Rhys C'!R44+'Shaun - No OT'!R322+Francesco!R11</f>
        <v>50315.68</v>
      </c>
    </row>
    <row r="141" spans="1:19">
      <c r="Q141" s="316">
        <f>Q140+R140</f>
        <v>169579.19999999998</v>
      </c>
      <c r="R141" s="316"/>
      <c r="S141" s="316"/>
    </row>
    <row r="144" spans="1:19">
      <c r="A144" s="169"/>
      <c r="B144" s="170"/>
      <c r="C144" s="171" t="s">
        <v>87</v>
      </c>
      <c r="D144" s="172" t="s">
        <v>135</v>
      </c>
      <c r="E144" s="173"/>
      <c r="F144" s="173"/>
      <c r="G144" s="173"/>
      <c r="H144" s="173"/>
      <c r="I144" s="173"/>
      <c r="J144" s="174" t="s">
        <v>88</v>
      </c>
      <c r="K144" s="175"/>
      <c r="L144" s="176"/>
      <c r="M144" s="177"/>
      <c r="N144" s="178"/>
      <c r="O144" s="179" t="s">
        <v>89</v>
      </c>
      <c r="P144" s="180" t="s">
        <v>29</v>
      </c>
      <c r="Q144" s="181"/>
    </row>
    <row r="145" spans="1:17">
      <c r="A145" s="534" t="s">
        <v>90</v>
      </c>
      <c r="B145" s="534" t="s">
        <v>20</v>
      </c>
      <c r="C145" s="183"/>
      <c r="D145" s="544" t="s">
        <v>91</v>
      </c>
      <c r="E145" s="545" t="s">
        <v>92</v>
      </c>
      <c r="F145" s="545" t="s">
        <v>93</v>
      </c>
      <c r="G145" s="545" t="s">
        <v>94</v>
      </c>
      <c r="H145" s="545" t="s">
        <v>95</v>
      </c>
      <c r="I145" s="184" t="s">
        <v>96</v>
      </c>
      <c r="J145" s="186" t="s">
        <v>97</v>
      </c>
      <c r="K145" s="187" t="s">
        <v>98</v>
      </c>
      <c r="L145" s="188" t="s">
        <v>29</v>
      </c>
      <c r="M145" s="189" t="s">
        <v>89</v>
      </c>
      <c r="N145" s="190" t="s">
        <v>99</v>
      </c>
      <c r="O145" s="191" t="s">
        <v>100</v>
      </c>
      <c r="P145" s="192" t="s">
        <v>99</v>
      </c>
      <c r="Q145" s="193"/>
    </row>
    <row r="146" spans="1:17">
      <c r="A146" s="169">
        <f>'Ben - No OT'!T533-0.5-0.5</f>
        <v>1</v>
      </c>
      <c r="B146" s="318">
        <f>'Ben - No OT'!T534</f>
        <v>2</v>
      </c>
      <c r="C146" s="195" t="s">
        <v>113</v>
      </c>
      <c r="D146" s="196">
        <f>'Ben - No OT'!K539</f>
        <v>17939.79</v>
      </c>
      <c r="E146" s="196">
        <f>'Ben - No OT'!L539</f>
        <v>2824.21</v>
      </c>
      <c r="F146" s="196">
        <f>'Ben - No OT'!M539</f>
        <v>6435.9000000000005</v>
      </c>
      <c r="G146" s="196">
        <f>'Ben - No OT'!N539</f>
        <v>4984.9000000000005</v>
      </c>
      <c r="H146" s="196">
        <f>'Ben - No OT'!O539</f>
        <v>15875.169999999998</v>
      </c>
      <c r="I146" s="196">
        <f>'Ben - No OT'!P539</f>
        <v>48059.97</v>
      </c>
      <c r="J146" s="197">
        <v>50000</v>
      </c>
      <c r="K146" s="198">
        <f>-J146+I146</f>
        <v>-1940.0299999999988</v>
      </c>
      <c r="L146" s="541">
        <f>'Ben - No OT'!Q539</f>
        <v>4266.8999999999996</v>
      </c>
      <c r="M146" s="200">
        <f>I146</f>
        <v>48059.97</v>
      </c>
      <c r="N146" s="201">
        <f>'Ben - No OT'!R539</f>
        <v>24987.949999999997</v>
      </c>
      <c r="O146" s="202">
        <f>M146-N146</f>
        <v>23072.020000000004</v>
      </c>
      <c r="P146" s="203">
        <f>'Ben - No OT'!S539</f>
        <v>0</v>
      </c>
      <c r="Q146" s="193"/>
    </row>
    <row r="147" spans="1:17">
      <c r="A147" s="169"/>
      <c r="B147" s="229"/>
      <c r="C147" s="204" t="s">
        <v>101</v>
      </c>
      <c r="D147" s="531" cm="1">
        <f t="array" ref="D147:D148">'Ben - No OT'!K542:K543</f>
        <v>0.55555555555555558</v>
      </c>
      <c r="E147" s="531" cm="1">
        <f t="array" ref="E147:E148">'Ben - No OT'!L542:L543</f>
        <v>1</v>
      </c>
      <c r="F147" s="531" cm="1">
        <f t="array" ref="F147:F148">'Ben - No OT'!M542:M543</f>
        <v>0.5714285714285714</v>
      </c>
      <c r="G147" s="531" cm="1">
        <f t="array" ref="G147:G148">'Ben - No OT'!N542:N543</f>
        <v>0.5</v>
      </c>
      <c r="H147" s="531" cm="1">
        <f t="array" ref="H147:H148">'Ben - No OT'!O542:O543</f>
        <v>0.375</v>
      </c>
      <c r="I147" s="531" cm="1">
        <f t="array" ref="I147:I148">'Ben - No OT'!P542:P543</f>
        <v>0.52941176470588236</v>
      </c>
      <c r="J147" s="206"/>
      <c r="K147" s="207"/>
      <c r="L147" s="542" cm="1">
        <f t="array" ref="L147:L148">'Ben - No OT'!Q542:Q543</f>
        <v>0.75</v>
      </c>
      <c r="M147" s="189"/>
      <c r="N147" s="201"/>
      <c r="O147" s="191"/>
      <c r="P147" s="203"/>
      <c r="Q147" s="181"/>
    </row>
    <row r="148" spans="1:17">
      <c r="A148" s="169"/>
      <c r="B148" s="229"/>
      <c r="C148" s="226" t="s">
        <v>48</v>
      </c>
      <c r="D148" s="533">
        <v>3587.9580000000001</v>
      </c>
      <c r="E148" s="533">
        <v>1412.105</v>
      </c>
      <c r="F148" s="533">
        <v>1608.9750000000001</v>
      </c>
      <c r="G148" s="533">
        <v>1246.2250000000001</v>
      </c>
      <c r="H148" s="533">
        <v>5291.7233333333324</v>
      </c>
      <c r="I148" s="533">
        <v>2669.9983333333334</v>
      </c>
      <c r="J148" s="210"/>
      <c r="K148" s="211"/>
      <c r="L148" s="543">
        <v>1422.3</v>
      </c>
      <c r="M148" s="213"/>
      <c r="N148" s="190"/>
      <c r="O148" s="214"/>
      <c r="P148" s="233"/>
      <c r="Q148" s="181"/>
    </row>
    <row r="149" spans="1:17">
      <c r="A149" s="169">
        <f>Elliot!T127</f>
        <v>0</v>
      </c>
      <c r="B149" s="229">
        <f>Elliot!T128</f>
        <v>0</v>
      </c>
      <c r="C149" s="195" t="s">
        <v>116</v>
      </c>
      <c r="D149" s="532"/>
      <c r="E149" s="532"/>
      <c r="F149" s="532"/>
      <c r="G149" s="196">
        <f>Elliot!N133</f>
        <v>1322.3</v>
      </c>
      <c r="H149" s="196"/>
      <c r="I149" s="196">
        <f>Elliot!P133</f>
        <v>1322.3</v>
      </c>
      <c r="J149" s="206"/>
      <c r="K149" s="198">
        <f>-J149+I149</f>
        <v>1322.3</v>
      </c>
      <c r="L149" s="561"/>
      <c r="M149" s="200">
        <f>I149</f>
        <v>1322.3</v>
      </c>
      <c r="N149" s="201">
        <f>Elliot!R133</f>
        <v>0</v>
      </c>
      <c r="O149" s="202">
        <f>M149-N149</f>
        <v>1322.3</v>
      </c>
      <c r="P149" s="203">
        <f>Elliot!S133</f>
        <v>0</v>
      </c>
      <c r="Q149" s="181"/>
    </row>
    <row r="150" spans="1:17">
      <c r="A150" s="169"/>
      <c r="B150" s="229"/>
      <c r="C150" s="204" t="s">
        <v>101</v>
      </c>
      <c r="D150" s="532"/>
      <c r="E150" s="532"/>
      <c r="F150" s="532"/>
      <c r="G150" s="531" cm="1">
        <f t="array" ref="G150:G151">Elliot!N136:N137</f>
        <v>0.66666666666666663</v>
      </c>
      <c r="H150" s="531"/>
      <c r="I150" s="531" cm="1">
        <f t="array" ref="I150:I151">Elliot!P136:P137</f>
        <v>0.66666666666666663</v>
      </c>
      <c r="J150" s="206"/>
      <c r="K150" s="207"/>
      <c r="L150" s="561"/>
      <c r="M150" s="189"/>
      <c r="N150" s="201"/>
      <c r="O150" s="191"/>
      <c r="P150" s="203"/>
      <c r="Q150" s="181"/>
    </row>
    <row r="151" spans="1:17">
      <c r="A151" s="169"/>
      <c r="B151" s="229"/>
      <c r="C151" s="226" t="s">
        <v>48</v>
      </c>
      <c r="D151" s="532"/>
      <c r="E151" s="532"/>
      <c r="F151" s="532"/>
      <c r="G151" s="532">
        <v>661.15</v>
      </c>
      <c r="H151" s="532"/>
      <c r="I151" s="532">
        <v>661.15</v>
      </c>
      <c r="J151" s="206"/>
      <c r="K151" s="207"/>
      <c r="L151" s="561"/>
      <c r="M151" s="189"/>
      <c r="N151" s="201"/>
      <c r="O151" s="191"/>
      <c r="P151" s="203"/>
      <c r="Q151" s="181"/>
    </row>
    <row r="152" spans="1:17">
      <c r="A152" s="169">
        <f>Heath!T362-1</f>
        <v>6</v>
      </c>
      <c r="B152" s="318">
        <f>Heath!T363</f>
        <v>0</v>
      </c>
      <c r="C152" s="195" t="s">
        <v>114</v>
      </c>
      <c r="D152" s="196">
        <f>Heath!K368</f>
        <v>5009.96</v>
      </c>
      <c r="E152" s="196">
        <f>Heath!L368</f>
        <v>1842.32</v>
      </c>
      <c r="F152" s="196">
        <f>Heath!M368</f>
        <v>33779.919999999998</v>
      </c>
      <c r="G152" s="196">
        <f>Heath!N368</f>
        <v>9368.1700000000019</v>
      </c>
      <c r="H152" s="196">
        <f>Heath!O368</f>
        <v>5342.56</v>
      </c>
      <c r="I152" s="196">
        <f>Heath!P368</f>
        <v>55342.929999999993</v>
      </c>
      <c r="J152" s="197">
        <v>50000</v>
      </c>
      <c r="K152" s="198">
        <f>-J152+I152</f>
        <v>5342.929999999993</v>
      </c>
      <c r="L152" s="541"/>
      <c r="M152" s="200">
        <f>I152</f>
        <v>55342.929999999993</v>
      </c>
      <c r="N152" s="225">
        <f>Heath!R368</f>
        <v>36195.35</v>
      </c>
      <c r="O152" s="202">
        <f>M152-N152</f>
        <v>19147.579999999994</v>
      </c>
      <c r="P152" s="216">
        <f>Heath!S368</f>
        <v>0</v>
      </c>
      <c r="Q152" s="193"/>
    </row>
    <row r="153" spans="1:17">
      <c r="A153" s="169"/>
      <c r="B153" s="229"/>
      <c r="C153" s="204" t="s">
        <v>101</v>
      </c>
      <c r="D153" s="531" cm="1">
        <f t="array" ref="D153:D154">Heath!K371:K372</f>
        <v>0.33333333333333331</v>
      </c>
      <c r="E153" s="531" cm="1">
        <f t="array" ref="E153:E154">Heath!L371:L372</f>
        <v>0.4</v>
      </c>
      <c r="F153" s="531" cm="1">
        <f t="array" ref="F153:F154">Heath!M371:M372</f>
        <v>0.66666666666666663</v>
      </c>
      <c r="G153" s="531" cm="1">
        <f t="array" ref="G153:G154">Heath!N371:N372</f>
        <v>0.5</v>
      </c>
      <c r="H153" s="531" cm="1">
        <f t="array" ref="H153:H154">Heath!O371:O372</f>
        <v>0.33333333333333331</v>
      </c>
      <c r="I153" s="531" cm="1">
        <f t="array" ref="I153:I154">Heath!P371:P372</f>
        <v>0.45945945945945948</v>
      </c>
      <c r="J153" s="206"/>
      <c r="K153" s="207"/>
      <c r="L153" s="542"/>
      <c r="M153" s="189"/>
      <c r="N153" s="201"/>
      <c r="O153" s="191"/>
      <c r="P153" s="220"/>
      <c r="Q153" s="181"/>
    </row>
    <row r="154" spans="1:17">
      <c r="A154" s="169"/>
      <c r="B154" s="229"/>
      <c r="C154" s="204" t="s">
        <v>48</v>
      </c>
      <c r="D154" s="533">
        <v>1669.9866666666667</v>
      </c>
      <c r="E154" s="533">
        <v>921.16</v>
      </c>
      <c r="F154" s="533">
        <v>5629.9866666666667</v>
      </c>
      <c r="G154" s="533">
        <v>2342.0425000000005</v>
      </c>
      <c r="H154" s="533">
        <v>2671.28</v>
      </c>
      <c r="I154" s="533">
        <v>3255.4664705882351</v>
      </c>
      <c r="J154" s="210"/>
      <c r="K154" s="211"/>
      <c r="L154" s="543"/>
      <c r="M154" s="213"/>
      <c r="N154" s="201"/>
      <c r="O154" s="214"/>
      <c r="P154" s="220"/>
      <c r="Q154" s="181"/>
    </row>
    <row r="155" spans="1:17">
      <c r="A155" s="229">
        <f>'Jarrod - No OT'!T367</f>
        <v>0</v>
      </c>
      <c r="B155" s="318">
        <f>'Jarrod - No OT'!T368</f>
        <v>0</v>
      </c>
      <c r="C155" s="195" t="s">
        <v>112</v>
      </c>
      <c r="D155" s="196">
        <f>'Jarrod - No OT'!K373</f>
        <v>13455.720000000001</v>
      </c>
      <c r="E155" s="196">
        <f>'Jarrod - No OT'!L373</f>
        <v>2319.6</v>
      </c>
      <c r="F155" s="196">
        <f>'Jarrod - No OT'!M373</f>
        <v>40718.719999999994</v>
      </c>
      <c r="G155" s="196">
        <f>'Jarrod - No OT'!N373</f>
        <v>21042.420000000002</v>
      </c>
      <c r="H155" s="196">
        <f>'Jarrod - No OT'!O373</f>
        <v>32974.550000000003</v>
      </c>
      <c r="I155" s="196">
        <f>'Jarrod - No OT'!P373</f>
        <v>110511.01</v>
      </c>
      <c r="J155" s="197">
        <v>25000</v>
      </c>
      <c r="K155" s="198">
        <f>-J155+I155</f>
        <v>85511.01</v>
      </c>
      <c r="L155" s="541"/>
      <c r="M155" s="200">
        <f>I155</f>
        <v>110511.01</v>
      </c>
      <c r="N155" s="225">
        <f>'Jarrod - No OT'!R373</f>
        <v>86237.49</v>
      </c>
      <c r="O155" s="202">
        <f>M155-N155</f>
        <v>24273.51999999999</v>
      </c>
      <c r="P155" s="230">
        <f>'Jarrod - No OT'!S373</f>
        <v>0</v>
      </c>
      <c r="Q155" s="193"/>
    </row>
    <row r="156" spans="1:17">
      <c r="A156" s="229"/>
      <c r="B156" s="229"/>
      <c r="C156" s="204" t="s">
        <v>101</v>
      </c>
      <c r="D156" s="531" cm="1">
        <f t="array" ref="D156:D157">'Jarrod - No OT'!K376:K377</f>
        <v>1</v>
      </c>
      <c r="E156" s="531" cm="1">
        <f t="array" ref="E156:E157">'Jarrod - No OT'!L376:L377</f>
        <v>0.2857142857142857</v>
      </c>
      <c r="F156" s="531" cm="1">
        <f t="array" ref="F156:F157">'Jarrod - No OT'!M376:M377</f>
        <v>0.8571428571428571</v>
      </c>
      <c r="G156" s="531" cm="1">
        <f t="array" ref="G156:G157">'Jarrod - No OT'!N376:N377</f>
        <v>0.7142857142857143</v>
      </c>
      <c r="H156" s="531" cm="1">
        <f t="array" ref="H156:H157">'Jarrod - No OT'!O376:O377</f>
        <v>1</v>
      </c>
      <c r="I156" s="531" cm="1">
        <f t="array" ref="I156:I157">'Jarrod - No OT'!P376:P377</f>
        <v>0.68</v>
      </c>
      <c r="J156" s="206"/>
      <c r="K156" s="207"/>
      <c r="L156" s="542"/>
      <c r="M156" s="189"/>
      <c r="N156" s="201"/>
      <c r="O156" s="191"/>
      <c r="P156" s="203"/>
      <c r="Q156" s="181"/>
    </row>
    <row r="157" spans="1:17">
      <c r="A157" s="229"/>
      <c r="B157" s="229"/>
      <c r="C157" s="204" t="s">
        <v>48</v>
      </c>
      <c r="D157" s="532">
        <v>4485.2400000000007</v>
      </c>
      <c r="E157" s="532">
        <v>1159.8</v>
      </c>
      <c r="F157" s="532">
        <v>6786.453333333332</v>
      </c>
      <c r="G157" s="532">
        <v>4208.4840000000004</v>
      </c>
      <c r="H157" s="532">
        <v>32974.550000000003</v>
      </c>
      <c r="I157" s="532">
        <v>6500.6476470588232</v>
      </c>
      <c r="J157" s="210"/>
      <c r="K157" s="207"/>
      <c r="L157" s="561"/>
      <c r="M157" s="189"/>
      <c r="N157" s="201"/>
      <c r="O157" s="191"/>
      <c r="P157" s="203"/>
      <c r="Q157" s="181"/>
    </row>
    <row r="158" spans="1:17">
      <c r="A158" s="169">
        <f>Liam!T525</f>
        <v>0</v>
      </c>
      <c r="B158" s="318">
        <f>Liam!T526</f>
        <v>0</v>
      </c>
      <c r="C158" s="195" t="s">
        <v>109</v>
      </c>
      <c r="D158" s="196">
        <f>Liam!K531</f>
        <v>7833.06</v>
      </c>
      <c r="E158" s="196">
        <f>Liam!L531</f>
        <v>8558.7999999999993</v>
      </c>
      <c r="F158" s="196">
        <f>Liam!M531</f>
        <v>1272.26</v>
      </c>
      <c r="G158" s="196">
        <f>Liam!N531</f>
        <v>5240.95</v>
      </c>
      <c r="H158" s="196">
        <f>Liam!O531</f>
        <v>2756.25</v>
      </c>
      <c r="I158" s="196">
        <f>Liam!P531</f>
        <v>25661.32</v>
      </c>
      <c r="J158" s="197">
        <v>25000</v>
      </c>
      <c r="K158" s="198">
        <f>-J158+I158</f>
        <v>661.31999999999971</v>
      </c>
      <c r="L158" s="541"/>
      <c r="M158" s="200">
        <f>I158</f>
        <v>25661.32</v>
      </c>
      <c r="N158" s="225">
        <f>Liam!R531</f>
        <v>1421.3</v>
      </c>
      <c r="O158" s="202">
        <f>M158-N158</f>
        <v>24240.02</v>
      </c>
      <c r="P158" s="230">
        <f>Liam!S531</f>
        <v>0</v>
      </c>
      <c r="Q158" s="193"/>
    </row>
    <row r="159" spans="1:17">
      <c r="A159" s="169"/>
      <c r="B159" s="229"/>
      <c r="C159" s="204" t="s">
        <v>101</v>
      </c>
      <c r="D159" s="535" cm="1">
        <f t="array" ref="D159:D160">Liam!K534:K535</f>
        <v>0.6</v>
      </c>
      <c r="E159" s="535" cm="1">
        <f t="array" ref="E159:E160">Liam!L534:L535</f>
        <v>1</v>
      </c>
      <c r="F159" s="535" cm="1">
        <f t="array" ref="F159:F160">Liam!M534:M535</f>
        <v>0.2</v>
      </c>
      <c r="G159" s="535" cm="1">
        <f t="array" ref="G159:G160">Liam!N534:N535</f>
        <v>0.36363636363636365</v>
      </c>
      <c r="H159" s="535" cm="1">
        <f t="array" ref="H159:H160">Liam!O534:O535</f>
        <v>0.2</v>
      </c>
      <c r="I159" s="535" cm="1">
        <f t="array" ref="I159:I160">Liam!P534:P535</f>
        <v>0.4</v>
      </c>
      <c r="J159" s="206"/>
      <c r="K159" s="207"/>
      <c r="L159" s="542"/>
      <c r="M159" s="189"/>
      <c r="N159" s="201"/>
      <c r="O159" s="191"/>
      <c r="P159" s="203"/>
      <c r="Q159" s="181"/>
    </row>
    <row r="160" spans="1:17">
      <c r="A160" s="169"/>
      <c r="B160" s="229"/>
      <c r="C160" s="204" t="s">
        <v>48</v>
      </c>
      <c r="D160" s="536">
        <v>2611.02</v>
      </c>
      <c r="E160" s="536">
        <v>2139.6999999999998</v>
      </c>
      <c r="F160" s="536">
        <v>636.13</v>
      </c>
      <c r="G160" s="536">
        <v>1310.2375</v>
      </c>
      <c r="H160" s="536">
        <v>2756.25</v>
      </c>
      <c r="I160" s="536">
        <v>1832.9514285714286</v>
      </c>
      <c r="J160" s="210"/>
      <c r="K160" s="211"/>
      <c r="L160" s="543"/>
      <c r="M160" s="213"/>
      <c r="N160" s="190"/>
      <c r="O160" s="214"/>
      <c r="P160" s="233"/>
      <c r="Q160" s="181"/>
    </row>
    <row r="161" spans="1:20">
      <c r="A161" s="169">
        <f>'Rhys C'!T124</f>
        <v>1</v>
      </c>
      <c r="B161" s="229">
        <f>'Rhys C'!T125</f>
        <v>0</v>
      </c>
      <c r="C161" s="195" t="s">
        <v>117</v>
      </c>
      <c r="D161" s="196">
        <f>'Rhys C'!K130</f>
        <v>5011.17</v>
      </c>
      <c r="E161" s="196">
        <f>'Rhys C'!L130</f>
        <v>2323.3000000000002</v>
      </c>
      <c r="F161" s="196">
        <f>'Rhys C'!M130</f>
        <v>7166.0700000000006</v>
      </c>
      <c r="G161" s="196"/>
      <c r="H161" s="196">
        <f>'Rhys C'!O130</f>
        <v>5802.2000000000007</v>
      </c>
      <c r="I161" s="196">
        <f>'Rhys C'!P130</f>
        <v>20302.740000000002</v>
      </c>
      <c r="J161" s="197"/>
      <c r="K161" s="198">
        <f>-J161+I161</f>
        <v>20302.740000000002</v>
      </c>
      <c r="L161" s="541"/>
      <c r="M161" s="200">
        <f>I161</f>
        <v>20302.740000000002</v>
      </c>
      <c r="N161" s="225">
        <f>'Rhys C'!R130</f>
        <v>2236.87</v>
      </c>
      <c r="O161" s="202">
        <f>M161-N161</f>
        <v>18065.870000000003</v>
      </c>
      <c r="P161" s="230">
        <f>'Rhys C'!S130</f>
        <v>0</v>
      </c>
      <c r="Q161" s="181"/>
    </row>
    <row r="162" spans="1:20">
      <c r="A162" s="169"/>
      <c r="B162" s="229"/>
      <c r="C162" s="204" t="s">
        <v>101</v>
      </c>
      <c r="D162" s="535" cm="1">
        <f t="array" ref="D162:D163">'Rhys C'!K133:K134</f>
        <v>0.4</v>
      </c>
      <c r="E162" s="535" cm="1">
        <f t="array" ref="E162:E163">'Rhys C'!L133:L134</f>
        <v>0.25</v>
      </c>
      <c r="F162" s="535" cm="1">
        <f t="array" ref="F162:F163">'Rhys C'!M133:M134</f>
        <v>0.5714285714285714</v>
      </c>
      <c r="G162" s="535"/>
      <c r="H162" s="535" cm="1">
        <f t="array" ref="H162:H163">'Rhys C'!O133:O134</f>
        <v>0.5714285714285714</v>
      </c>
      <c r="I162" s="535" cm="1">
        <f t="array" ref="I162:I163">'Rhys C'!P133:P134</f>
        <v>0.47826086956521741</v>
      </c>
      <c r="J162" s="206"/>
      <c r="K162" s="207"/>
      <c r="L162" s="542"/>
      <c r="M162" s="189"/>
      <c r="N162" s="201"/>
      <c r="O162" s="191"/>
      <c r="P162" s="203"/>
      <c r="Q162" s="181"/>
    </row>
    <row r="163" spans="1:20">
      <c r="A163" s="169"/>
      <c r="B163" s="229"/>
      <c r="C163" s="204" t="s">
        <v>48</v>
      </c>
      <c r="D163" s="536">
        <v>2505.585</v>
      </c>
      <c r="E163" s="536">
        <v>2323.3000000000002</v>
      </c>
      <c r="F163" s="536">
        <v>1791.5175000000002</v>
      </c>
      <c r="G163" s="536"/>
      <c r="H163" s="536">
        <v>1450.5500000000002</v>
      </c>
      <c r="I163" s="536">
        <v>1845.7036363636364</v>
      </c>
      <c r="J163" s="210"/>
      <c r="K163" s="211"/>
      <c r="L163" s="543"/>
      <c r="M163" s="213"/>
      <c r="N163" s="190"/>
      <c r="O163" s="214"/>
      <c r="P163" s="233"/>
      <c r="Q163" s="181"/>
    </row>
    <row r="164" spans="1:20">
      <c r="A164" s="169">
        <f>'Shaun - No OT'!T403</f>
        <v>0</v>
      </c>
      <c r="B164" s="229">
        <f>'Shaun - No OT'!T404</f>
        <v>0</v>
      </c>
      <c r="C164" s="195" t="s">
        <v>107</v>
      </c>
      <c r="D164" s="196">
        <f>'Shaun - No OT'!K409</f>
        <v>2836.6</v>
      </c>
      <c r="E164" s="196">
        <f>'Shaun - No OT'!L409</f>
        <v>1584.2</v>
      </c>
      <c r="F164" s="196">
        <f>'Shaun - No OT'!M409</f>
        <v>2942.6</v>
      </c>
      <c r="G164" s="196">
        <f>'Shaun - No OT'!N409</f>
        <v>7316.5</v>
      </c>
      <c r="H164" s="196">
        <f>'Shaun - No OT'!O409</f>
        <v>2192.6</v>
      </c>
      <c r="I164" s="196">
        <f>'Shaun - No OT'!P409</f>
        <v>16872.5</v>
      </c>
      <c r="J164" s="197">
        <v>25000</v>
      </c>
      <c r="K164" s="198">
        <f>-J164+I164</f>
        <v>-8127.5</v>
      </c>
      <c r="L164" s="541"/>
      <c r="M164" s="200">
        <f>I164</f>
        <v>16872.5</v>
      </c>
      <c r="N164" s="225">
        <f>'Shaun - No OT'!R409</f>
        <v>3495.2000000000003</v>
      </c>
      <c r="O164" s="202">
        <f>M164-N164</f>
        <v>13377.3</v>
      </c>
      <c r="P164" s="230">
        <f>'Shaun - No OT'!S409</f>
        <v>0</v>
      </c>
      <c r="Q164" s="181"/>
    </row>
    <row r="165" spans="1:20">
      <c r="A165" s="169"/>
      <c r="B165" s="229"/>
      <c r="C165" s="204" t="s">
        <v>101</v>
      </c>
      <c r="D165" s="535" cm="1">
        <f t="array" ref="D165:D166">'Shaun - No OT'!K412:K413</f>
        <v>0.375</v>
      </c>
      <c r="E165" s="535" cm="1">
        <f t="array" ref="E165:E166">'Shaun - No OT'!L412:L413</f>
        <v>0.25</v>
      </c>
      <c r="F165" s="535" cm="1">
        <f t="array" ref="F165:F166">'Shaun - No OT'!M412:M413</f>
        <v>0.33333333333333331</v>
      </c>
      <c r="G165" s="535" cm="1">
        <f t="array" ref="G165:G166">'Shaun - No OT'!N412:N413</f>
        <v>0.33333333333333331</v>
      </c>
      <c r="H165" s="535" cm="1">
        <f t="array" ref="H165:H166">'Shaun - No OT'!O412:O413</f>
        <v>0.5</v>
      </c>
      <c r="I165" s="535" cm="1">
        <f t="array" ref="I165:I166">'Shaun - No OT'!P412:P413</f>
        <v>0.34375</v>
      </c>
      <c r="J165" s="206"/>
      <c r="K165" s="207"/>
      <c r="L165" s="542"/>
      <c r="M165" s="189"/>
      <c r="N165" s="201"/>
      <c r="O165" s="191"/>
      <c r="P165" s="203"/>
      <c r="Q165" s="181"/>
    </row>
    <row r="166" spans="1:20">
      <c r="A166" s="169"/>
      <c r="B166" s="229"/>
      <c r="C166" s="204" t="s">
        <v>48</v>
      </c>
      <c r="D166" s="536">
        <v>945.5333333333333</v>
      </c>
      <c r="E166" s="536">
        <v>792.1</v>
      </c>
      <c r="F166" s="536">
        <v>1471.3</v>
      </c>
      <c r="G166" s="536">
        <v>3658.25</v>
      </c>
      <c r="H166" s="536">
        <v>1096.3</v>
      </c>
      <c r="I166" s="536">
        <v>1533.8636363636363</v>
      </c>
      <c r="J166" s="210"/>
      <c r="K166" s="211"/>
      <c r="L166" s="543"/>
      <c r="M166" s="213"/>
      <c r="N166" s="190"/>
      <c r="O166" s="214"/>
      <c r="P166" s="233"/>
      <c r="Q166" s="181"/>
    </row>
    <row r="167" spans="1:20">
      <c r="A167" s="236">
        <f>SUM(A146:A166)</f>
        <v>8</v>
      </c>
      <c r="B167" s="236">
        <f>SUM(B146:B166)</f>
        <v>2</v>
      </c>
      <c r="C167" s="237" t="s">
        <v>102</v>
      </c>
      <c r="D167" s="238">
        <f>D146+D149+D152+D155+D158+D161+D164</f>
        <v>52086.299999999996</v>
      </c>
      <c r="E167" s="238">
        <f>E146+E149+E152+E155+E158+E161+E164</f>
        <v>19452.43</v>
      </c>
      <c r="F167" s="238">
        <f>F146+F149+F152+F155+F158+F161+F164</f>
        <v>92315.47</v>
      </c>
      <c r="G167" s="238">
        <f>G146+G149+G152+G155+G158+G161+G164</f>
        <v>49275.240000000005</v>
      </c>
      <c r="H167" s="238">
        <f>H146+H149+H152+H155+H158+H161+H164</f>
        <v>64943.329999999994</v>
      </c>
      <c r="I167" s="239">
        <f>I146+I149+I152+I155+I158+I161+I164</f>
        <v>278072.77</v>
      </c>
      <c r="J167" s="238">
        <f>J146+J149+J152+J155+J158+J161+J164</f>
        <v>175000</v>
      </c>
      <c r="K167" s="240">
        <f>K146+K149+K152+K155+K158+K161+K164</f>
        <v>103072.77</v>
      </c>
      <c r="L167" s="241">
        <f>L146+L149+L152+L155+L158+L161+L164</f>
        <v>4266.8999999999996</v>
      </c>
      <c r="M167" s="239">
        <f>M146+M149+M152+M155+M158+M161+M164</f>
        <v>278072.77</v>
      </c>
      <c r="N167" s="240">
        <f>N146+N149+N152+N155+N158+N161+N164</f>
        <v>154574.16</v>
      </c>
      <c r="O167" s="241">
        <f>O146+O149+O152+O155+O158+O161+O164</f>
        <v>123498.61</v>
      </c>
      <c r="P167" s="240">
        <f>P146+P149+P152+P155+P158+P161+P164</f>
        <v>0</v>
      </c>
      <c r="Q167" s="242"/>
    </row>
    <row r="168" spans="1:20">
      <c r="A168" s="243"/>
      <c r="B168" s="244"/>
      <c r="C168" s="244"/>
      <c r="D168" s="244"/>
      <c r="E168" s="244"/>
      <c r="F168" s="244"/>
      <c r="G168" s="244"/>
      <c r="H168" s="244"/>
      <c r="I168" s="245">
        <f>I167+L167</f>
        <v>282339.67000000004</v>
      </c>
      <c r="J168" s="246">
        <f>J167+K167</f>
        <v>278072.77</v>
      </c>
      <c r="K168" s="247"/>
      <c r="L168" s="248"/>
      <c r="M168" s="249"/>
      <c r="N168" s="250">
        <f>M167-O167</f>
        <v>154574.16000000003</v>
      </c>
      <c r="O168" s="251"/>
      <c r="P168" s="201"/>
      <c r="Q168" s="181"/>
    </row>
    <row r="169" spans="1:20">
      <c r="R169" s="316">
        <f>'Ben - No OT'!P539+Elliot!P133+Heath!P368+'Jarrod - No OT'!P373+Liam!P531+'Rhys C'!P130+'Shaun - No OT'!P409</f>
        <v>278072.77</v>
      </c>
      <c r="S169" s="316">
        <f>'Ben - No OT'!Q539+Heath!Q368+'Jarrod - No OT'!Q373+Liam!Q531+'Rhys C'!Q130+'Shaun - No OT'!Q409</f>
        <v>4266.8999999999996</v>
      </c>
      <c r="T169" s="316">
        <f>'Ben - No OT'!R539+Heath!R368+'Jarrod - No OT'!R373+Liam!R531+'Rhys C'!R130+'Shaun - No OT'!R409</f>
        <v>154574.16</v>
      </c>
    </row>
    <row r="170" spans="1:20">
      <c r="R170" s="316">
        <f>R169+S169</f>
        <v>282339.67000000004</v>
      </c>
    </row>
    <row r="172" spans="1:20">
      <c r="A172" s="169"/>
      <c r="B172" s="170"/>
      <c r="C172" s="171" t="s">
        <v>87</v>
      </c>
      <c r="D172" s="172" t="s">
        <v>136</v>
      </c>
      <c r="E172" s="173"/>
      <c r="F172" s="173"/>
      <c r="G172" s="173"/>
      <c r="H172" s="173"/>
      <c r="I172" s="173"/>
      <c r="J172" s="174" t="s">
        <v>88</v>
      </c>
      <c r="K172" s="175"/>
      <c r="L172" s="176"/>
      <c r="M172" s="177"/>
      <c r="N172" s="178"/>
      <c r="O172" s="179" t="s">
        <v>89</v>
      </c>
      <c r="P172" s="180" t="s">
        <v>29</v>
      </c>
    </row>
    <row r="173" spans="1:20">
      <c r="A173" s="564" t="s">
        <v>90</v>
      </c>
      <c r="B173" s="565" t="s">
        <v>20</v>
      </c>
      <c r="C173" s="566"/>
      <c r="D173" s="544" t="s">
        <v>91</v>
      </c>
      <c r="E173" s="545" t="s">
        <v>92</v>
      </c>
      <c r="F173" s="545" t="s">
        <v>93</v>
      </c>
      <c r="G173" s="545" t="s">
        <v>94</v>
      </c>
      <c r="H173" s="545" t="s">
        <v>95</v>
      </c>
      <c r="I173" s="184" t="s">
        <v>96</v>
      </c>
      <c r="J173" s="186" t="s">
        <v>97</v>
      </c>
      <c r="K173" s="187" t="s">
        <v>98</v>
      </c>
      <c r="L173" s="188" t="s">
        <v>29</v>
      </c>
      <c r="M173" s="189" t="s">
        <v>89</v>
      </c>
      <c r="N173" s="190" t="s">
        <v>99</v>
      </c>
      <c r="O173" s="191" t="s">
        <v>100</v>
      </c>
      <c r="P173" s="192" t="s">
        <v>99</v>
      </c>
    </row>
    <row r="174" spans="1:20">
      <c r="A174" s="169">
        <f>'Ben - No OT'!T632-0.5</f>
        <v>1.5</v>
      </c>
      <c r="B174" s="318">
        <f>'Ben - No OT'!T633</f>
        <v>0</v>
      </c>
      <c r="C174" s="195" t="s">
        <v>113</v>
      </c>
      <c r="D174" s="196">
        <f>'Ben - No OT'!K638</f>
        <v>3627.3999999999996</v>
      </c>
      <c r="E174" s="196">
        <f>'Ben - No OT'!L638</f>
        <v>7659.25</v>
      </c>
      <c r="F174" s="196">
        <f>'Ben - No OT'!M638</f>
        <v>1832.73</v>
      </c>
      <c r="G174" s="196">
        <f>'Ben - No OT'!N638</f>
        <v>6860.68</v>
      </c>
      <c r="H174" s="196"/>
      <c r="I174" s="196">
        <f>'Ben - No OT'!P638</f>
        <v>19980.059999999998</v>
      </c>
      <c r="J174" s="197">
        <v>50000</v>
      </c>
      <c r="K174" s="198">
        <f>-J174+I174</f>
        <v>-30019.940000000002</v>
      </c>
      <c r="L174" s="199"/>
      <c r="M174" s="200">
        <f>I174</f>
        <v>19980.059999999998</v>
      </c>
      <c r="N174" s="201">
        <f>'Ben - No OT'!R638</f>
        <v>6837.95</v>
      </c>
      <c r="O174" s="202">
        <f>M174-N174</f>
        <v>13142.109999999997</v>
      </c>
      <c r="P174" s="203">
        <f>'Ben - No OT'!S638</f>
        <v>0</v>
      </c>
    </row>
    <row r="175" spans="1:20">
      <c r="A175" s="169"/>
      <c r="B175" s="229"/>
      <c r="C175" s="204" t="s">
        <v>101</v>
      </c>
      <c r="D175" s="531" cm="1">
        <f t="array" ref="D175:D176">'Ben - No OT'!K641:K642</f>
        <v>0.5</v>
      </c>
      <c r="E175" s="531" cm="1">
        <f t="array" ref="E175:E176">'Ben - No OT'!L641:L642</f>
        <v>0.4</v>
      </c>
      <c r="F175" s="531" cm="1">
        <f t="array" ref="F175:F176">'Ben - No OT'!M641:M642</f>
        <v>0.25</v>
      </c>
      <c r="G175" s="531" cm="1">
        <f t="array" ref="G175:G176">'Ben - No OT'!N641:N642</f>
        <v>1</v>
      </c>
      <c r="H175" s="531"/>
      <c r="I175" s="531" cm="1">
        <f t="array" ref="I175:I176">'Ben - No OT'!P641:P642</f>
        <v>0.42857142857142855</v>
      </c>
      <c r="J175" s="206"/>
      <c r="K175" s="207"/>
      <c r="L175" s="208"/>
      <c r="M175" s="189"/>
      <c r="N175" s="201"/>
      <c r="O175" s="191"/>
      <c r="P175" s="203"/>
    </row>
    <row r="176" spans="1:20">
      <c r="A176" s="169"/>
      <c r="B176" s="229"/>
      <c r="C176" s="226" t="s">
        <v>48</v>
      </c>
      <c r="D176" s="532">
        <v>1209.1333333333332</v>
      </c>
      <c r="E176" s="532">
        <v>3829.625</v>
      </c>
      <c r="F176" s="532">
        <v>916.36500000000001</v>
      </c>
      <c r="G176" s="532">
        <v>3430.34</v>
      </c>
      <c r="H176" s="532"/>
      <c r="I176" s="532">
        <v>2220.0066666666662</v>
      </c>
      <c r="J176" s="210"/>
      <c r="K176" s="211"/>
      <c r="L176" s="212"/>
      <c r="M176" s="213"/>
      <c r="N176" s="201"/>
      <c r="O176" s="214"/>
      <c r="P176" s="203"/>
    </row>
    <row r="177" spans="1:16">
      <c r="A177" s="169">
        <f>Elliot!T174-0.5-0.5</f>
        <v>1</v>
      </c>
      <c r="B177" s="318">
        <f>Elliot!T175</f>
        <v>0</v>
      </c>
      <c r="C177" s="195" t="s">
        <v>116</v>
      </c>
      <c r="D177" s="196">
        <f>Elliot!K180</f>
        <v>614</v>
      </c>
      <c r="E177" s="196"/>
      <c r="F177" s="196">
        <f>Elliot!M180</f>
        <v>1033.3</v>
      </c>
      <c r="G177" s="196"/>
      <c r="H177" s="196">
        <f>Elliot!O180</f>
        <v>4215.6000000000004</v>
      </c>
      <c r="I177" s="196">
        <f>Elliot!P180</f>
        <v>5862.9000000000005</v>
      </c>
      <c r="J177" s="197">
        <v>50000</v>
      </c>
      <c r="K177" s="198">
        <f>-J177+I177</f>
        <v>-44137.1</v>
      </c>
      <c r="L177" s="199"/>
      <c r="M177" s="215">
        <f>I177</f>
        <v>5862.9000000000005</v>
      </c>
      <c r="N177" s="216">
        <f>Elliot!R180</f>
        <v>1641.3</v>
      </c>
      <c r="O177" s="217">
        <f>M177-N177</f>
        <v>4221.6000000000004</v>
      </c>
      <c r="P177" s="216">
        <f>Elliot!S180</f>
        <v>0</v>
      </c>
    </row>
    <row r="178" spans="1:16">
      <c r="A178" s="169"/>
      <c r="B178" s="229"/>
      <c r="C178" s="204" t="s">
        <v>101</v>
      </c>
      <c r="D178" s="531" cm="1">
        <f t="array" ref="D178:D179">Elliot!K183:K184</f>
        <v>0.5</v>
      </c>
      <c r="E178" s="531"/>
      <c r="F178" s="531" cm="1">
        <f t="array" ref="F178:F179">Elliot!M183:M184</f>
        <v>1</v>
      </c>
      <c r="G178" s="531"/>
      <c r="H178" s="531" cm="1">
        <f t="array" ref="H178:H179">Elliot!O183:O184</f>
        <v>0.66666666666666663</v>
      </c>
      <c r="I178" s="531" cm="1">
        <f t="array" ref="I178:I179">Elliot!P183:P184</f>
        <v>0.5</v>
      </c>
      <c r="J178" s="206"/>
      <c r="K178" s="218"/>
      <c r="L178" s="208"/>
      <c r="M178" s="219"/>
      <c r="N178" s="220"/>
      <c r="O178" s="221"/>
      <c r="P178" s="220"/>
    </row>
    <row r="179" spans="1:16">
      <c r="A179" s="169"/>
      <c r="B179" s="229"/>
      <c r="C179" s="226" t="s">
        <v>48</v>
      </c>
      <c r="D179" s="532">
        <v>614</v>
      </c>
      <c r="E179" s="532"/>
      <c r="F179" s="532">
        <v>1033.3</v>
      </c>
      <c r="G179" s="532"/>
      <c r="H179" s="532">
        <v>2107.8000000000002</v>
      </c>
      <c r="I179" s="532">
        <v>1465.7250000000001</v>
      </c>
      <c r="J179" s="206"/>
      <c r="K179" s="222"/>
      <c r="L179" s="212"/>
      <c r="M179" s="223"/>
      <c r="N179" s="192"/>
      <c r="O179" s="224"/>
      <c r="P179" s="192"/>
    </row>
    <row r="180" spans="1:16">
      <c r="A180" s="169">
        <f>Heath!T457-0.5</f>
        <v>6.5</v>
      </c>
      <c r="B180" s="318">
        <f>Heath!T458</f>
        <v>0</v>
      </c>
      <c r="C180" s="195" t="s">
        <v>114</v>
      </c>
      <c r="D180" s="567">
        <f>Heath!K463</f>
        <v>17469.21</v>
      </c>
      <c r="E180" s="567">
        <f>Heath!L463</f>
        <v>2182.37</v>
      </c>
      <c r="F180" s="567">
        <f>Heath!M463</f>
        <v>38781.199999999997</v>
      </c>
      <c r="G180" s="567">
        <f>Heath!N463</f>
        <v>3977.41</v>
      </c>
      <c r="H180" s="567">
        <f>Heath!O463</f>
        <v>12166.93</v>
      </c>
      <c r="I180" s="567">
        <f>Heath!P463</f>
        <v>74577.119999999995</v>
      </c>
      <c r="J180" s="197">
        <v>50000</v>
      </c>
      <c r="K180" s="198">
        <f>-J180+I180</f>
        <v>24577.119999999995</v>
      </c>
      <c r="L180" s="199"/>
      <c r="M180" s="200">
        <f>I180</f>
        <v>74577.119999999995</v>
      </c>
      <c r="N180" s="225">
        <f>Heath!R463</f>
        <v>37657.9</v>
      </c>
      <c r="O180" s="202">
        <f>M180-N180</f>
        <v>36919.219999999994</v>
      </c>
      <c r="P180" s="216">
        <f>Heath!S463</f>
        <v>0</v>
      </c>
    </row>
    <row r="181" spans="1:16">
      <c r="A181" s="169"/>
      <c r="B181" s="229"/>
      <c r="C181" s="204" t="s">
        <v>101</v>
      </c>
      <c r="D181" s="531" cm="1">
        <f t="array" ref="D181:D182">Heath!K466:K467</f>
        <v>0.375</v>
      </c>
      <c r="E181" s="531" cm="1">
        <f t="array" ref="E181:E182">Heath!L466:L467</f>
        <v>0.4</v>
      </c>
      <c r="F181" s="531" cm="1">
        <f t="array" ref="F181:F182">Heath!M466:M467</f>
        <v>0.83333333333333337</v>
      </c>
      <c r="G181" s="531" cm="1">
        <f t="array" ref="G181:G182">Heath!N466:N467</f>
        <v>0.75</v>
      </c>
      <c r="H181" s="531" cm="1">
        <f t="array" ref="H181:H182">Heath!O466:O467</f>
        <v>0.83333333333333337</v>
      </c>
      <c r="I181" s="531" cm="1">
        <f t="array" ref="I181:I182">Heath!P466:P467</f>
        <v>0.62068965517241381</v>
      </c>
      <c r="J181" s="206"/>
      <c r="K181" s="207"/>
      <c r="L181" s="208"/>
      <c r="M181" s="189"/>
      <c r="N181" s="201"/>
      <c r="O181" s="191"/>
      <c r="P181" s="220"/>
    </row>
    <row r="182" spans="1:16">
      <c r="A182" s="169"/>
      <c r="B182" s="229"/>
      <c r="C182" s="204" t="s">
        <v>48</v>
      </c>
      <c r="D182" s="533">
        <v>5823.07</v>
      </c>
      <c r="E182" s="533">
        <v>1091.1849999999999</v>
      </c>
      <c r="F182" s="533">
        <v>7756.24</v>
      </c>
      <c r="G182" s="533">
        <v>1325.8033333333333</v>
      </c>
      <c r="H182" s="533">
        <v>2433.386</v>
      </c>
      <c r="I182" s="533">
        <v>4143.1733333333332</v>
      </c>
      <c r="J182" s="210"/>
      <c r="K182" s="211"/>
      <c r="L182" s="228"/>
      <c r="M182" s="213"/>
      <c r="N182" s="201"/>
      <c r="O182" s="214"/>
      <c r="P182" s="220"/>
    </row>
    <row r="183" spans="1:16">
      <c r="A183" s="169">
        <f>'Jarrod - No OT'!T443-0.5-0.5-0.5</f>
        <v>2.5</v>
      </c>
      <c r="B183" s="318">
        <f>'Jarrod - No OT'!T444</f>
        <v>0</v>
      </c>
      <c r="C183" s="195" t="s">
        <v>112</v>
      </c>
      <c r="D183" s="196">
        <f>'Jarrod - No OT'!K449</f>
        <v>22925.809999999998</v>
      </c>
      <c r="E183" s="196">
        <f>'Jarrod - No OT'!L449</f>
        <v>1527.6</v>
      </c>
      <c r="F183" s="196">
        <f>'Jarrod - No OT'!M449</f>
        <v>15066.9</v>
      </c>
      <c r="G183" s="196">
        <f>'Jarrod - No OT'!N449</f>
        <v>2022.3</v>
      </c>
      <c r="H183" s="196"/>
      <c r="I183" s="196">
        <f>'Jarrod - No OT'!P449</f>
        <v>41542.61</v>
      </c>
      <c r="J183" s="197">
        <v>50000</v>
      </c>
      <c r="K183" s="198">
        <f>-J183+I183</f>
        <v>-8457.39</v>
      </c>
      <c r="L183" s="199"/>
      <c r="M183" s="200">
        <f>I183</f>
        <v>41542.61</v>
      </c>
      <c r="N183" s="225">
        <f>'Jarrod - No OT'!R449</f>
        <v>32095.51</v>
      </c>
      <c r="O183" s="202">
        <f>M183-N183</f>
        <v>9447.1000000000022</v>
      </c>
      <c r="P183" s="216">
        <f>'Jarrod - No OT'!S449</f>
        <v>0</v>
      </c>
    </row>
    <row r="184" spans="1:16">
      <c r="A184" s="169"/>
      <c r="B184" s="229"/>
      <c r="C184" s="204" t="s">
        <v>101</v>
      </c>
      <c r="D184" s="531" cm="1">
        <f t="array" ref="D184:D185">'Jarrod - No OT'!K452:K453</f>
        <v>0.6</v>
      </c>
      <c r="E184" s="531" cm="1">
        <f t="array" ref="E184:E185">'Jarrod - No OT'!L452:L453</f>
        <v>0.2857142857142857</v>
      </c>
      <c r="F184" s="531" cm="1">
        <f t="array" ref="F184:F185">'Jarrod - No OT'!M452:M453</f>
        <v>0.3</v>
      </c>
      <c r="G184" s="531" cm="1">
        <f t="array" ref="G184:G185">'Jarrod - No OT'!N452:N453</f>
        <v>0.5</v>
      </c>
      <c r="H184" s="531"/>
      <c r="I184" s="531" cm="1">
        <f t="array" ref="I184:I185">'Jarrod - No OT'!P452:P453</f>
        <v>0.34482758620689657</v>
      </c>
      <c r="J184" s="206"/>
      <c r="K184" s="207"/>
      <c r="L184" s="208"/>
      <c r="M184" s="189"/>
      <c r="N184" s="201"/>
      <c r="O184" s="191"/>
      <c r="P184" s="220"/>
    </row>
    <row r="185" spans="1:16">
      <c r="A185" s="169"/>
      <c r="B185" s="229"/>
      <c r="C185" s="204" t="s">
        <v>48</v>
      </c>
      <c r="D185" s="533">
        <v>7641.9366666666656</v>
      </c>
      <c r="E185" s="533">
        <v>763.8</v>
      </c>
      <c r="F185" s="533">
        <v>5022.3</v>
      </c>
      <c r="G185" s="533">
        <v>1011.15</v>
      </c>
      <c r="H185" s="533"/>
      <c r="I185" s="533">
        <v>4154.2610000000004</v>
      </c>
      <c r="J185" s="206"/>
      <c r="K185" s="211"/>
      <c r="L185" s="228"/>
      <c r="M185" s="213"/>
      <c r="N185" s="201"/>
      <c r="O185" s="214"/>
      <c r="P185" s="220"/>
    </row>
    <row r="186" spans="1:16">
      <c r="A186" s="229">
        <f>Liam!T616</f>
        <v>0</v>
      </c>
      <c r="B186" s="318">
        <f>Liam!T617</f>
        <v>0</v>
      </c>
      <c r="C186" s="195" t="s">
        <v>109</v>
      </c>
      <c r="D186" s="196">
        <f>Liam!K622</f>
        <v>842</v>
      </c>
      <c r="E186" s="196">
        <f>Liam!L622</f>
        <v>7152.33</v>
      </c>
      <c r="F186" s="196"/>
      <c r="G186" s="196"/>
      <c r="H186" s="196"/>
      <c r="I186" s="196">
        <f>Liam!P622</f>
        <v>7994.33</v>
      </c>
      <c r="J186" s="197">
        <v>50000</v>
      </c>
      <c r="K186" s="198">
        <f>-J186+I186</f>
        <v>-42005.67</v>
      </c>
      <c r="L186" s="199"/>
      <c r="M186" s="200">
        <f>I186</f>
        <v>7994.33</v>
      </c>
      <c r="N186" s="225">
        <f>Liam!R622</f>
        <v>6471.33</v>
      </c>
      <c r="O186" s="202">
        <f>M186-N186</f>
        <v>1523</v>
      </c>
      <c r="P186" s="216">
        <f>Liam!S622</f>
        <v>0</v>
      </c>
    </row>
    <row r="187" spans="1:16">
      <c r="A187" s="229"/>
      <c r="B187" s="229"/>
      <c r="C187" s="204" t="s">
        <v>101</v>
      </c>
      <c r="D187" s="531" cm="1">
        <f t="array" ref="D187:D188">Liam!K625:K626</f>
        <v>0.66666666666666663</v>
      </c>
      <c r="E187" s="531" cm="1">
        <f t="array" ref="E187:E188">Liam!L625:L626</f>
        <v>0.33333333333333331</v>
      </c>
      <c r="F187" s="531"/>
      <c r="G187" s="531"/>
      <c r="H187" s="531"/>
      <c r="I187" s="531" cm="1">
        <f t="array" ref="I187:I188">Liam!P625:P626</f>
        <v>0.44444444444444442</v>
      </c>
      <c r="J187" s="206"/>
      <c r="K187" s="207"/>
      <c r="L187" s="208"/>
      <c r="M187" s="189"/>
      <c r="N187" s="201"/>
      <c r="O187" s="191"/>
      <c r="P187" s="220"/>
    </row>
    <row r="188" spans="1:16">
      <c r="A188" s="229"/>
      <c r="B188" s="229"/>
      <c r="C188" s="204" t="s">
        <v>48</v>
      </c>
      <c r="D188" s="533">
        <v>421</v>
      </c>
      <c r="E188" s="533">
        <v>3576.165</v>
      </c>
      <c r="F188" s="533"/>
      <c r="G188" s="533"/>
      <c r="H188" s="533"/>
      <c r="I188" s="533">
        <v>1998.5825</v>
      </c>
      <c r="J188" s="206"/>
      <c r="K188" s="211"/>
      <c r="L188" s="228"/>
      <c r="M188" s="213"/>
      <c r="N188" s="201"/>
      <c r="O188" s="214"/>
      <c r="P188" s="220"/>
    </row>
    <row r="189" spans="1:16">
      <c r="A189" s="229">
        <f>'Rhys C'!T190-0.5</f>
        <v>4.5</v>
      </c>
      <c r="B189" s="229">
        <f>'Rhys C'!T191</f>
        <v>2</v>
      </c>
      <c r="C189" s="195" t="s">
        <v>117</v>
      </c>
      <c r="D189" s="196">
        <f>'Rhys C'!K196</f>
        <v>3133.5</v>
      </c>
      <c r="E189" s="196">
        <f>'Rhys C'!L196</f>
        <v>15285.779999999999</v>
      </c>
      <c r="F189" s="196">
        <f>'Rhys C'!M196</f>
        <v>10420.780000000001</v>
      </c>
      <c r="G189" s="196">
        <f>'Rhys C'!N196</f>
        <v>8318.76</v>
      </c>
      <c r="H189" s="196">
        <f>'Rhys C'!O196</f>
        <v>2675.3</v>
      </c>
      <c r="I189" s="196">
        <f>'Rhys C'!P196</f>
        <v>39834.120000000003</v>
      </c>
      <c r="J189" s="197">
        <v>50000</v>
      </c>
      <c r="K189" s="198">
        <f>-J189+I189</f>
        <v>-10165.879999999997</v>
      </c>
      <c r="L189" s="199">
        <f>'Rhys C'!Q196</f>
        <v>1735.3</v>
      </c>
      <c r="M189" s="200">
        <f>I189</f>
        <v>39834.120000000003</v>
      </c>
      <c r="N189" s="225">
        <f>'Rhys C'!R196</f>
        <v>17066.489999999998</v>
      </c>
      <c r="O189" s="202">
        <f>M189-N189</f>
        <v>22767.630000000005</v>
      </c>
      <c r="P189" s="216">
        <f>'Rhys C'!S196</f>
        <v>0</v>
      </c>
    </row>
    <row r="190" spans="1:16">
      <c r="A190" s="229"/>
      <c r="B190" s="229"/>
      <c r="C190" s="204" t="s">
        <v>101</v>
      </c>
      <c r="D190" s="531" cm="1">
        <f t="array" ref="D190:D191">'Rhys C'!K199:K200</f>
        <v>0.4</v>
      </c>
      <c r="E190" s="531" cm="1">
        <f t="array" ref="E190:E191">'Rhys C'!L199:L200</f>
        <v>0.33333333333333331</v>
      </c>
      <c r="F190" s="531" cm="1">
        <f t="array" ref="F190:F191">'Rhys C'!M199:M200</f>
        <v>0.75</v>
      </c>
      <c r="G190" s="531" cm="1">
        <f t="array" ref="G190:G191">'Rhys C'!N199:N200</f>
        <v>0.5</v>
      </c>
      <c r="H190" s="531" cm="1">
        <f t="array" ref="H190:H191">'Rhys C'!O199:O200</f>
        <v>0.4</v>
      </c>
      <c r="I190" s="531" cm="1">
        <f t="array" ref="I190:I191">'Rhys C'!P199:P200</f>
        <v>0.4642857142857143</v>
      </c>
      <c r="J190" s="206"/>
      <c r="K190" s="207"/>
      <c r="L190" s="208" cm="1">
        <f t="array" ref="L190:L191">'Rhys C'!Q199:Q200</f>
        <v>1</v>
      </c>
      <c r="M190" s="189"/>
      <c r="N190" s="201"/>
      <c r="O190" s="191"/>
      <c r="P190" s="220"/>
    </row>
    <row r="191" spans="1:16">
      <c r="A191" s="229"/>
      <c r="B191" s="229"/>
      <c r="C191" s="204" t="s">
        <v>48</v>
      </c>
      <c r="D191" s="533">
        <v>1566.75</v>
      </c>
      <c r="E191" s="533">
        <v>7642.8899999999994</v>
      </c>
      <c r="F191" s="533">
        <v>3473.5933333333337</v>
      </c>
      <c r="G191" s="533">
        <v>2079.69</v>
      </c>
      <c r="H191" s="533">
        <v>1337.65</v>
      </c>
      <c r="I191" s="533">
        <v>3064.1630769230769</v>
      </c>
      <c r="J191" s="206"/>
      <c r="K191" s="211"/>
      <c r="L191" s="228">
        <v>867.65</v>
      </c>
      <c r="M191" s="213"/>
      <c r="N191" s="201"/>
      <c r="O191" s="214"/>
      <c r="P191" s="220"/>
    </row>
    <row r="192" spans="1:16">
      <c r="A192" s="229">
        <f>'Shaun - No OT'!T487</f>
        <v>8</v>
      </c>
      <c r="B192" s="229">
        <f>'Shaun - No OT'!T488</f>
        <v>0</v>
      </c>
      <c r="C192" s="195" t="s">
        <v>107</v>
      </c>
      <c r="D192" s="196">
        <f>'Shaun - No OT'!K493</f>
        <v>2635.6</v>
      </c>
      <c r="E192" s="196">
        <f>'Shaun - No OT'!L493</f>
        <v>4229.83</v>
      </c>
      <c r="F192" s="196">
        <f>'Shaun - No OT'!M493</f>
        <v>21661.29</v>
      </c>
      <c r="G192" s="196">
        <f>'Shaun - No OT'!N493</f>
        <v>13082.71</v>
      </c>
      <c r="H192" s="196">
        <f>'Shaun - No OT'!O493</f>
        <v>22859.85</v>
      </c>
      <c r="I192" s="196">
        <f>'Shaun - No OT'!P493</f>
        <v>64469.279999999999</v>
      </c>
      <c r="J192" s="197">
        <v>50000</v>
      </c>
      <c r="K192" s="198">
        <f>-J192+I192</f>
        <v>14469.279999999999</v>
      </c>
      <c r="L192" s="199"/>
      <c r="M192" s="200">
        <f>I192</f>
        <v>64469.279999999999</v>
      </c>
      <c r="N192" s="225">
        <f>'Shaun - No OT'!R493</f>
        <v>35042.29</v>
      </c>
      <c r="O192" s="202">
        <f>M192-N192</f>
        <v>29426.989999999998</v>
      </c>
      <c r="P192" s="216">
        <f>'Shaun - No OT'!S493</f>
        <v>0</v>
      </c>
    </row>
    <row r="193" spans="1:20">
      <c r="A193" s="229"/>
      <c r="B193" s="229"/>
      <c r="C193" s="204" t="s">
        <v>101</v>
      </c>
      <c r="D193" s="531" cm="1">
        <f t="array" ref="D193:D194">'Shaun - No OT'!K496:K497</f>
        <v>0.25</v>
      </c>
      <c r="E193" s="531" cm="1">
        <f t="array" ref="E193:E194">'Shaun - No OT'!L496:L497</f>
        <v>0.25</v>
      </c>
      <c r="F193" s="531" cm="1">
        <f t="array" ref="F193:F194">'Shaun - No OT'!M496:M497</f>
        <v>0.83333333333333337</v>
      </c>
      <c r="G193" s="531" cm="1">
        <f t="array" ref="G193:G194">'Shaun - No OT'!N496:N497</f>
        <v>0.83333333333333337</v>
      </c>
      <c r="H193" s="531" cm="1">
        <f t="array" ref="H193:H194">'Shaun - No OT'!O496:O497</f>
        <v>0.5</v>
      </c>
      <c r="I193" s="531" cm="1">
        <f t="array" ref="I193:I194">'Shaun - No OT'!P496:P497</f>
        <v>0.53333333333333333</v>
      </c>
      <c r="J193" s="206"/>
      <c r="K193" s="207"/>
      <c r="L193" s="208"/>
      <c r="M193" s="189"/>
      <c r="N193" s="201"/>
      <c r="O193" s="191"/>
      <c r="P193" s="220"/>
    </row>
    <row r="194" spans="1:20">
      <c r="A194" s="229"/>
      <c r="B194" s="229"/>
      <c r="C194" s="226" t="s">
        <v>48</v>
      </c>
      <c r="D194" s="533">
        <v>1317.8</v>
      </c>
      <c r="E194" s="533">
        <v>4229.83</v>
      </c>
      <c r="F194" s="533">
        <v>4332.2579999999998</v>
      </c>
      <c r="G194" s="533">
        <v>2616.5419999999999</v>
      </c>
      <c r="H194" s="533">
        <v>7619.95</v>
      </c>
      <c r="I194" s="533">
        <v>4029.33</v>
      </c>
      <c r="J194" s="206"/>
      <c r="K194" s="211"/>
      <c r="L194" s="228"/>
      <c r="M194" s="213"/>
      <c r="N194" s="201"/>
      <c r="O194" s="214"/>
      <c r="P194" s="220"/>
    </row>
    <row r="195" spans="1:20">
      <c r="A195" s="229"/>
      <c r="B195" s="229"/>
      <c r="C195" s="195" t="s">
        <v>120</v>
      </c>
      <c r="D195" s="196"/>
      <c r="E195" s="196"/>
      <c r="F195" s="196"/>
      <c r="G195" s="196"/>
      <c r="H195" s="196">
        <f>Aden!O12</f>
        <v>990</v>
      </c>
      <c r="I195" s="196">
        <f>Aden!P12</f>
        <v>990</v>
      </c>
      <c r="J195" s="197"/>
      <c r="K195" s="198"/>
      <c r="L195" s="199"/>
      <c r="M195" s="200">
        <f>I195</f>
        <v>990</v>
      </c>
      <c r="N195" s="225">
        <f>Aden!R12</f>
        <v>990</v>
      </c>
      <c r="O195" s="202">
        <f>M195-N195</f>
        <v>0</v>
      </c>
      <c r="P195" s="216">
        <f>Aden!S12</f>
        <v>0</v>
      </c>
    </row>
    <row r="196" spans="1:20">
      <c r="A196" s="229"/>
      <c r="B196" s="229"/>
      <c r="C196" s="204" t="s">
        <v>101</v>
      </c>
      <c r="D196" s="531"/>
      <c r="E196" s="531"/>
      <c r="F196" s="531"/>
      <c r="G196" s="531"/>
      <c r="H196" s="531" cm="1">
        <f t="array" ref="H196:H197">Aden!O15:O16</f>
        <v>1</v>
      </c>
      <c r="I196" s="531" cm="1">
        <f t="array" ref="I196:I197">Aden!P15:P16</f>
        <v>1</v>
      </c>
      <c r="J196" s="206"/>
      <c r="K196" s="207"/>
      <c r="L196" s="208"/>
      <c r="M196" s="189"/>
      <c r="N196" s="201"/>
      <c r="O196" s="191"/>
      <c r="P196" s="220"/>
    </row>
    <row r="197" spans="1:20">
      <c r="A197" s="229"/>
      <c r="B197" s="229"/>
      <c r="C197" s="226" t="s">
        <v>48</v>
      </c>
      <c r="D197" s="533"/>
      <c r="E197" s="533"/>
      <c r="F197" s="533"/>
      <c r="G197" s="533"/>
      <c r="H197" s="533">
        <v>990</v>
      </c>
      <c r="I197" s="533">
        <v>990</v>
      </c>
      <c r="J197" s="206"/>
      <c r="K197" s="211"/>
      <c r="L197" s="228"/>
      <c r="M197" s="213"/>
      <c r="N197" s="201"/>
      <c r="O197" s="214"/>
      <c r="P197" s="220"/>
    </row>
    <row r="198" spans="1:20">
      <c r="A198" s="236">
        <f>SUM(A174:A194)</f>
        <v>24</v>
      </c>
      <c r="B198" s="236">
        <f>SUM(B174:B194)</f>
        <v>2</v>
      </c>
      <c r="C198" s="237" t="s">
        <v>102</v>
      </c>
      <c r="D198" s="238">
        <f>D174+D177+D180+D183+D186+D189+D192+D195</f>
        <v>51247.519999999997</v>
      </c>
      <c r="E198" s="238">
        <f>E174+E177+E180+E183+E186+E189+E192+E195</f>
        <v>38037.160000000003</v>
      </c>
      <c r="F198" s="238">
        <f>F174+F177+F180+F183+F186+F189+F192+F195</f>
        <v>88796.200000000012</v>
      </c>
      <c r="G198" s="238">
        <f>G174+G177+G180+G183+G186+G189+G192+G195</f>
        <v>34261.86</v>
      </c>
      <c r="H198" s="238">
        <f>H174+H177+H180+H183+H186+H189+H192+H195</f>
        <v>42907.68</v>
      </c>
      <c r="I198" s="239">
        <f>I174+I177+I180+I183+I186+I189+I192+I195</f>
        <v>255250.41999999998</v>
      </c>
      <c r="J198" s="238">
        <f>J174+J177+J180+J183+J186+J189+J192+J195</f>
        <v>350000</v>
      </c>
      <c r="K198" s="240">
        <f>K174+K177+K180+K183+K186+K189+K192+K195</f>
        <v>-95739.580000000016</v>
      </c>
      <c r="L198" s="241">
        <f>L174+L177+L180+L183+L186+L189+L192+L195</f>
        <v>1735.3</v>
      </c>
      <c r="M198" s="239">
        <f>M174+M177+M180+M183+M186+M189+M192+M195</f>
        <v>255250.41999999998</v>
      </c>
      <c r="N198" s="240">
        <f>N174+N177+N180+N183+N186+N189+N192+N195</f>
        <v>137802.77000000002</v>
      </c>
      <c r="O198" s="241">
        <f>O174+O177+O180+O183+O186+O189+O192+O195</f>
        <v>117447.65</v>
      </c>
      <c r="P198" s="240">
        <f>P174+P177+P180+P183+P186+P189+P192+P195</f>
        <v>0</v>
      </c>
    </row>
    <row r="199" spans="1:20">
      <c r="A199" s="243"/>
      <c r="B199" s="244"/>
      <c r="C199" s="244"/>
      <c r="D199" s="244"/>
      <c r="E199" s="244"/>
      <c r="F199" s="244"/>
      <c r="G199" s="244"/>
      <c r="H199" s="244"/>
      <c r="I199" s="245">
        <f>I198+L198</f>
        <v>256985.71999999997</v>
      </c>
      <c r="J199" s="246">
        <f>J198+K198</f>
        <v>254260.41999999998</v>
      </c>
      <c r="K199" s="247"/>
      <c r="L199" s="248"/>
      <c r="M199" s="249"/>
      <c r="N199" s="250">
        <f>M198-O198</f>
        <v>137802.76999999999</v>
      </c>
      <c r="O199" s="251"/>
      <c r="P199" s="201"/>
    </row>
    <row r="200" spans="1:20">
      <c r="R200" s="316">
        <f>'Ben - No OT'!P638+Elliot!P180+Heath!P463+'Jarrod - No OT'!P449+Liam!P622+'Rhys C'!P196+'Shaun - No OT'!P493+Aden!P12</f>
        <v>255250.41999999998</v>
      </c>
      <c r="S200" s="316">
        <f>'Ben - No OT'!Q638+Elliot!Q180+Heath!Q463+'Jarrod - No OT'!Q449+Liam!Q622+'Rhys C'!Q196+'Shaun - No OT'!Q493+Aden!Q12</f>
        <v>1735.3</v>
      </c>
      <c r="T200" s="316">
        <f>'Ben - No OT'!R638+Elliot!R180+Heath!R463+'Jarrod - No OT'!R449+Liam!R622+'Rhys C'!R196+'Shaun - No OT'!R493+Aden!R12</f>
        <v>137802.77000000002</v>
      </c>
    </row>
    <row r="201" spans="1:20">
      <c r="R201" s="316">
        <f>R200+S200</f>
        <v>256985.71999999997</v>
      </c>
      <c r="S201" s="316"/>
      <c r="T201" s="316"/>
    </row>
    <row r="203" spans="1:20">
      <c r="A203" s="169"/>
      <c r="B203" s="170"/>
      <c r="C203" s="171" t="s">
        <v>87</v>
      </c>
      <c r="D203" s="172" t="s">
        <v>137</v>
      </c>
      <c r="E203" s="173"/>
      <c r="F203" s="173"/>
      <c r="G203" s="173"/>
      <c r="H203" s="173"/>
      <c r="I203" s="173"/>
      <c r="J203" s="174" t="s">
        <v>88</v>
      </c>
      <c r="K203" s="175"/>
      <c r="L203" s="176"/>
      <c r="M203" s="177"/>
      <c r="N203" s="178"/>
      <c r="O203" s="179" t="s">
        <v>89</v>
      </c>
      <c r="P203" s="180" t="s">
        <v>29</v>
      </c>
    </row>
    <row r="204" spans="1:20">
      <c r="A204" s="564" t="s">
        <v>90</v>
      </c>
      <c r="B204" s="565" t="s">
        <v>20</v>
      </c>
      <c r="C204" s="183"/>
      <c r="D204" s="184" t="s">
        <v>91</v>
      </c>
      <c r="E204" s="185" t="s">
        <v>92</v>
      </c>
      <c r="F204" s="185" t="s">
        <v>93</v>
      </c>
      <c r="G204" s="185" t="s">
        <v>94</v>
      </c>
      <c r="H204" s="185" t="s">
        <v>95</v>
      </c>
      <c r="I204" s="184" t="s">
        <v>96</v>
      </c>
      <c r="J204" s="186" t="s">
        <v>97</v>
      </c>
      <c r="K204" s="187" t="s">
        <v>98</v>
      </c>
      <c r="L204" s="188" t="s">
        <v>29</v>
      </c>
      <c r="M204" s="189" t="s">
        <v>89</v>
      </c>
      <c r="N204" s="190" t="s">
        <v>99</v>
      </c>
      <c r="O204" s="191" t="s">
        <v>100</v>
      </c>
      <c r="P204" s="192" t="s">
        <v>99</v>
      </c>
    </row>
    <row r="205" spans="1:20">
      <c r="A205" s="169">
        <f>'Ben - No OT'!T706</f>
        <v>2</v>
      </c>
      <c r="B205" s="318">
        <f>'Ben - No OT'!T707</f>
        <v>0</v>
      </c>
      <c r="C205" s="195" t="s">
        <v>113</v>
      </c>
      <c r="D205" s="196">
        <f>'Ben - No OT'!K712</f>
        <v>2322.6</v>
      </c>
      <c r="E205" s="196">
        <f>'Ben - No OT'!L712</f>
        <v>681</v>
      </c>
      <c r="F205" s="196">
        <f>'Ben - No OT'!M712</f>
        <v>1779.3</v>
      </c>
      <c r="G205" s="196">
        <f>'Ben - No OT'!N712</f>
        <v>2731.2</v>
      </c>
      <c r="H205" s="196">
        <f>'Ben - No OT'!O712</f>
        <v>1098.3</v>
      </c>
      <c r="I205" s="196">
        <f>'Ben - No OT'!P712</f>
        <v>8612.4</v>
      </c>
      <c r="J205" s="197">
        <v>50000</v>
      </c>
      <c r="K205" s="198">
        <f>-J205+I205</f>
        <v>-41387.599999999999</v>
      </c>
      <c r="L205" s="199"/>
      <c r="M205" s="200">
        <f>I205</f>
        <v>8612.4</v>
      </c>
      <c r="N205" s="201">
        <f>'Ben - No OT'!R712</f>
        <v>0</v>
      </c>
      <c r="O205" s="202">
        <f>M205-N205</f>
        <v>8612.4</v>
      </c>
      <c r="P205" s="203">
        <f>'Ben - No OT'!S712</f>
        <v>0</v>
      </c>
    </row>
    <row r="206" spans="1:20">
      <c r="A206" s="169"/>
      <c r="B206" s="229"/>
      <c r="C206" s="204" t="s">
        <v>101</v>
      </c>
      <c r="D206" s="531" cm="1">
        <f t="array" ref="D206:D207">'Ben - No OT'!K715:K716</f>
        <v>0.22222222222222221</v>
      </c>
      <c r="E206" s="531" cm="1">
        <f t="array" ref="E206:E207">'Ben - No OT'!L715:L716</f>
        <v>0.25</v>
      </c>
      <c r="F206" s="531" cm="1">
        <f t="array" ref="F206:F207">'Ben - No OT'!M715:M716</f>
        <v>0.22222222222222221</v>
      </c>
      <c r="G206" s="531" cm="1">
        <f t="array" ref="G206:G207">'Ben - No OT'!N715:N716</f>
        <v>0.33333333333333331</v>
      </c>
      <c r="H206" s="531" cm="1">
        <f t="array" ref="H206:H207">'Ben - No OT'!O715:O716</f>
        <v>0.14285714285714285</v>
      </c>
      <c r="I206" s="531" cm="1">
        <f t="array" ref="I206:I207">'Ben - No OT'!P715:P716</f>
        <v>0.22857142857142856</v>
      </c>
      <c r="J206" s="206"/>
      <c r="K206" s="207"/>
      <c r="L206" s="542"/>
      <c r="M206" s="189"/>
      <c r="N206" s="201"/>
      <c r="O206" s="191"/>
      <c r="P206" s="203"/>
    </row>
    <row r="207" spans="1:20">
      <c r="A207" s="169"/>
      <c r="B207" s="229"/>
      <c r="C207" s="226" t="s">
        <v>48</v>
      </c>
      <c r="D207" s="532">
        <v>1161.3</v>
      </c>
      <c r="E207" s="532">
        <v>681</v>
      </c>
      <c r="F207" s="532">
        <v>889.65</v>
      </c>
      <c r="G207" s="532">
        <v>1365.6</v>
      </c>
      <c r="H207" s="532">
        <v>1098.3</v>
      </c>
      <c r="I207" s="532">
        <v>1076.55</v>
      </c>
      <c r="J207" s="210"/>
      <c r="K207" s="211"/>
      <c r="L207" s="561"/>
      <c r="M207" s="213"/>
      <c r="N207" s="201"/>
      <c r="O207" s="214"/>
      <c r="P207" s="203"/>
    </row>
    <row r="208" spans="1:20">
      <c r="A208" s="169">
        <f>Elliot!T224-1</f>
        <v>1</v>
      </c>
      <c r="B208" s="318">
        <f>Elliot!T225</f>
        <v>0</v>
      </c>
      <c r="C208" s="195" t="s">
        <v>116</v>
      </c>
      <c r="D208" s="196">
        <f>Elliot!K230</f>
        <v>10095.040000000001</v>
      </c>
      <c r="E208" s="196">
        <f>Elliot!L230</f>
        <v>1406.5900000000001</v>
      </c>
      <c r="F208" s="196"/>
      <c r="G208" s="196">
        <f>Elliot!N230</f>
        <v>984.5</v>
      </c>
      <c r="H208" s="196"/>
      <c r="I208" s="196">
        <f>Elliot!P230</f>
        <v>12486.130000000001</v>
      </c>
      <c r="J208" s="197">
        <v>50000</v>
      </c>
      <c r="K208" s="198">
        <f>-J208+I208</f>
        <v>-37513.869999999995</v>
      </c>
      <c r="L208" s="199"/>
      <c r="M208" s="215">
        <f>I208</f>
        <v>12486.130000000001</v>
      </c>
      <c r="N208" s="216">
        <f>Elliot!R230</f>
        <v>4942.9000000000005</v>
      </c>
      <c r="O208" s="217">
        <f>M208-N208</f>
        <v>7543.2300000000005</v>
      </c>
      <c r="P208" s="216">
        <f>Elliot!S230</f>
        <v>0</v>
      </c>
    </row>
    <row r="209" spans="1:16">
      <c r="A209" s="169"/>
      <c r="B209" s="229"/>
      <c r="C209" s="204" t="s">
        <v>101</v>
      </c>
      <c r="D209" s="531" cm="1">
        <f t="array" ref="D209:D210">Elliot!K233:K234</f>
        <v>0.6</v>
      </c>
      <c r="E209" s="531" cm="1">
        <f t="array" ref="E209:E210">Elliot!L233:L234</f>
        <v>0.4</v>
      </c>
      <c r="F209" s="531"/>
      <c r="G209" s="531" cm="1">
        <f t="array" ref="G209:G210">Elliot!N233:N234</f>
        <v>0.33333333333333331</v>
      </c>
      <c r="H209" s="531"/>
      <c r="I209" s="531" cm="1">
        <f t="array" ref="I209:I210">Elliot!P233:P234</f>
        <v>0.4</v>
      </c>
      <c r="J209" s="206"/>
      <c r="K209" s="218"/>
      <c r="L209" s="542"/>
      <c r="M209" s="219"/>
      <c r="N209" s="220"/>
      <c r="O209" s="221"/>
      <c r="P209" s="220"/>
    </row>
    <row r="210" spans="1:16">
      <c r="A210" s="169"/>
      <c r="B210" s="229"/>
      <c r="C210" s="226" t="s">
        <v>48</v>
      </c>
      <c r="D210" s="532">
        <v>3365.0133333333338</v>
      </c>
      <c r="E210" s="532">
        <v>703.29500000000007</v>
      </c>
      <c r="F210" s="532"/>
      <c r="G210" s="532">
        <v>984.5</v>
      </c>
      <c r="H210" s="532"/>
      <c r="I210" s="532">
        <v>2081.021666666667</v>
      </c>
      <c r="J210" s="206"/>
      <c r="K210" s="222"/>
      <c r="L210" s="561"/>
      <c r="M210" s="223"/>
      <c r="N210" s="192"/>
      <c r="O210" s="224"/>
      <c r="P210" s="192"/>
    </row>
    <row r="211" spans="1:16">
      <c r="A211" s="169">
        <f>Heath!T544</f>
        <v>2</v>
      </c>
      <c r="B211" s="318">
        <f>Heath!T545</f>
        <v>0</v>
      </c>
      <c r="C211" s="195" t="s">
        <v>114</v>
      </c>
      <c r="D211" s="196"/>
      <c r="E211" s="196"/>
      <c r="F211" s="567">
        <f>Heath!M550</f>
        <v>5167.55</v>
      </c>
      <c r="G211" s="196"/>
      <c r="H211" s="196"/>
      <c r="I211" s="196">
        <f>Heath!P550</f>
        <v>5167.55</v>
      </c>
      <c r="J211" s="197">
        <v>50000</v>
      </c>
      <c r="K211" s="198">
        <f>-J211+I211</f>
        <v>-44832.45</v>
      </c>
      <c r="L211" s="199"/>
      <c r="M211" s="200">
        <f>I211</f>
        <v>5167.55</v>
      </c>
      <c r="N211" s="225">
        <f>Heath!R550</f>
        <v>0</v>
      </c>
      <c r="O211" s="202">
        <f>M211-N211</f>
        <v>5167.55</v>
      </c>
      <c r="P211" s="216">
        <f>Heath!S550</f>
        <v>0</v>
      </c>
    </row>
    <row r="212" spans="1:16">
      <c r="A212" s="169"/>
      <c r="B212" s="229"/>
      <c r="C212" s="204" t="s">
        <v>101</v>
      </c>
      <c r="D212" s="531"/>
      <c r="E212" s="531"/>
      <c r="F212" s="531" cm="1">
        <f t="array" ref="F212:F213">Heath!M553:M554</f>
        <v>0.375</v>
      </c>
      <c r="G212" s="531"/>
      <c r="H212" s="531"/>
      <c r="I212" s="531" cm="1">
        <f t="array" ref="I212:I213">Heath!P553:P554</f>
        <v>0.25</v>
      </c>
      <c r="J212" s="206"/>
      <c r="K212" s="207"/>
      <c r="L212" s="542"/>
      <c r="M212" s="189"/>
      <c r="N212" s="201"/>
      <c r="O212" s="191"/>
      <c r="P212" s="220"/>
    </row>
    <row r="213" spans="1:16">
      <c r="A213" s="169"/>
      <c r="B213" s="229"/>
      <c r="C213" s="204" t="s">
        <v>48</v>
      </c>
      <c r="D213" s="533"/>
      <c r="E213" s="533"/>
      <c r="F213" s="533">
        <v>1722.5166666666667</v>
      </c>
      <c r="G213" s="533"/>
      <c r="H213" s="533"/>
      <c r="I213" s="533">
        <v>1722.5166666666667</v>
      </c>
      <c r="J213" s="210"/>
      <c r="K213" s="211"/>
      <c r="L213" s="543"/>
      <c r="M213" s="213"/>
      <c r="N213" s="201"/>
      <c r="O213" s="214"/>
      <c r="P213" s="220"/>
    </row>
    <row r="214" spans="1:16">
      <c r="A214" s="169">
        <f>'Jarrod - No OT'!T530</f>
        <v>2</v>
      </c>
      <c r="B214" s="318">
        <f>'Jarrod - No OT'!T531</f>
        <v>0</v>
      </c>
      <c r="C214" s="195" t="s">
        <v>112</v>
      </c>
      <c r="D214" s="196">
        <f>'Jarrod - No OT'!K536</f>
        <v>8289.74</v>
      </c>
      <c r="E214" s="196">
        <f>'Jarrod - No OT'!L536</f>
        <v>2595.6</v>
      </c>
      <c r="F214" s="196">
        <f>'Jarrod - No OT'!M536</f>
        <v>39535.729999999996</v>
      </c>
      <c r="G214" s="196">
        <f>'Jarrod - No OT'!N536</f>
        <v>2237.3000000000002</v>
      </c>
      <c r="H214" s="196">
        <f>'Jarrod - No OT'!O536</f>
        <v>2609.75</v>
      </c>
      <c r="I214" s="196">
        <f>'Jarrod - No OT'!P536</f>
        <v>55268.119999999995</v>
      </c>
      <c r="J214" s="197">
        <v>50000</v>
      </c>
      <c r="K214" s="198">
        <f>-J214+I214</f>
        <v>5268.1199999999953</v>
      </c>
      <c r="L214" s="199"/>
      <c r="M214" s="200">
        <f>I214</f>
        <v>55268.119999999995</v>
      </c>
      <c r="N214" s="225">
        <f>'Jarrod - No OT'!R536</f>
        <v>39808.729999999996</v>
      </c>
      <c r="O214" s="202">
        <f>M214-N214</f>
        <v>15459.39</v>
      </c>
      <c r="P214" s="216">
        <f>'Jarrod - No OT'!S536</f>
        <v>0</v>
      </c>
    </row>
    <row r="215" spans="1:16">
      <c r="A215" s="169"/>
      <c r="B215" s="229"/>
      <c r="C215" s="204" t="s">
        <v>101</v>
      </c>
      <c r="D215" s="531" cm="1">
        <f t="array" ref="D215:D216">'Jarrod - No OT'!K539:K540</f>
        <v>0.375</v>
      </c>
      <c r="E215" s="531" cm="1">
        <f t="array" ref="E215:E216">'Jarrod - No OT'!L539:L540</f>
        <v>0.4</v>
      </c>
      <c r="F215" s="531" cm="1">
        <f t="array" ref="F215:F216">'Jarrod - No OT'!M539:M540</f>
        <v>1</v>
      </c>
      <c r="G215" s="531" cm="1">
        <f t="array" ref="G215:G216">'Jarrod - No OT'!N539:N540</f>
        <v>0.2857142857142857</v>
      </c>
      <c r="H215" s="531" cm="1">
        <f t="array" ref="H215:H216">'Jarrod - No OT'!O539:O540</f>
        <v>0.66666666666666663</v>
      </c>
      <c r="I215" s="531" cm="1">
        <f t="array" ref="I215:I216">'Jarrod - No OT'!P539:P540</f>
        <v>0.46153846153846156</v>
      </c>
      <c r="J215" s="206"/>
      <c r="K215" s="207"/>
      <c r="L215" s="542"/>
      <c r="M215" s="189"/>
      <c r="N215" s="201"/>
      <c r="O215" s="191"/>
      <c r="P215" s="220"/>
    </row>
    <row r="216" spans="1:16">
      <c r="A216" s="169"/>
      <c r="B216" s="229"/>
      <c r="C216" s="204" t="s">
        <v>48</v>
      </c>
      <c r="D216" s="533">
        <v>2763.2466666666664</v>
      </c>
      <c r="E216" s="533">
        <v>1297.8</v>
      </c>
      <c r="F216" s="533">
        <v>13178.576666666666</v>
      </c>
      <c r="G216" s="533">
        <v>1118.6500000000001</v>
      </c>
      <c r="H216" s="533">
        <v>1304.875</v>
      </c>
      <c r="I216" s="533">
        <v>4605.6766666666663</v>
      </c>
      <c r="J216" s="206"/>
      <c r="K216" s="211"/>
      <c r="L216" s="543"/>
      <c r="M216" s="213"/>
      <c r="N216" s="201"/>
      <c r="O216" s="214"/>
      <c r="P216" s="220"/>
    </row>
    <row r="217" spans="1:16">
      <c r="A217" s="229">
        <f>Liam!T678</f>
        <v>4</v>
      </c>
      <c r="B217" s="318">
        <f>Liam!T679</f>
        <v>1</v>
      </c>
      <c r="C217" s="195" t="s">
        <v>109</v>
      </c>
      <c r="D217" s="196">
        <f>Liam!K684</f>
        <v>2588.38</v>
      </c>
      <c r="E217" s="196">
        <f>Liam!L684</f>
        <v>12210.539999999999</v>
      </c>
      <c r="F217" s="196">
        <f>Liam!M684</f>
        <v>9080.4</v>
      </c>
      <c r="G217" s="196">
        <f>Liam!N684</f>
        <v>481</v>
      </c>
      <c r="H217" s="196"/>
      <c r="I217" s="196">
        <f>Liam!P684</f>
        <v>24360.32</v>
      </c>
      <c r="J217" s="197">
        <v>50000</v>
      </c>
      <c r="K217" s="198">
        <f>-J217+I217</f>
        <v>-25639.68</v>
      </c>
      <c r="L217" s="199"/>
      <c r="M217" s="200">
        <f>I217</f>
        <v>24360.32</v>
      </c>
      <c r="N217" s="225">
        <f>Liam!R684</f>
        <v>0</v>
      </c>
      <c r="O217" s="202">
        <f>M217-N217</f>
        <v>24360.32</v>
      </c>
      <c r="P217" s="230">
        <f>Liam!S684</f>
        <v>0</v>
      </c>
    </row>
    <row r="218" spans="1:16">
      <c r="A218" s="229"/>
      <c r="B218" s="229"/>
      <c r="C218" s="204" t="s">
        <v>101</v>
      </c>
      <c r="D218" s="531" cm="1">
        <f t="array" ref="D218:D219">Liam!K687:K688</f>
        <v>0.33333333333333331</v>
      </c>
      <c r="E218" s="531" cm="1">
        <f t="array" ref="E218:E219">Liam!L687:L688</f>
        <v>0.75</v>
      </c>
      <c r="F218" s="531" cm="1">
        <f t="array" ref="F218:F219">Liam!M687:M688</f>
        <v>0.5</v>
      </c>
      <c r="G218" s="531" cm="1">
        <f t="array" ref="G218:G219">Liam!N687:N688</f>
        <v>0.33333333333333331</v>
      </c>
      <c r="H218" s="531"/>
      <c r="I218" s="531" cm="1">
        <f t="array" ref="I218:I219">Liam!P687:P688</f>
        <v>0.45454545454545453</v>
      </c>
      <c r="J218" s="206"/>
      <c r="K218" s="207"/>
      <c r="L218" s="542"/>
      <c r="M218" s="189"/>
      <c r="N218" s="201"/>
      <c r="O218" s="191"/>
      <c r="P218" s="203"/>
    </row>
    <row r="219" spans="1:16">
      <c r="A219" s="229"/>
      <c r="B219" s="229"/>
      <c r="C219" s="204" t="s">
        <v>48</v>
      </c>
      <c r="D219" s="532">
        <v>862.79333333333341</v>
      </c>
      <c r="E219" s="532">
        <v>4070.18</v>
      </c>
      <c r="F219" s="532">
        <v>3026.7999999999997</v>
      </c>
      <c r="G219" s="532">
        <v>481</v>
      </c>
      <c r="H219" s="532"/>
      <c r="I219" s="532">
        <v>2436.0320000000002</v>
      </c>
      <c r="J219" s="206"/>
      <c r="K219" s="207"/>
      <c r="L219" s="561"/>
      <c r="M219" s="189"/>
      <c r="N219" s="201"/>
      <c r="O219" s="191"/>
      <c r="P219" s="203"/>
    </row>
    <row r="220" spans="1:16">
      <c r="A220" s="169">
        <f>'Rhys C'!T270</f>
        <v>0</v>
      </c>
      <c r="B220" s="318">
        <f>'Rhys C'!T271</f>
        <v>0</v>
      </c>
      <c r="C220" s="195" t="s">
        <v>117</v>
      </c>
      <c r="D220" s="196"/>
      <c r="E220" s="196">
        <f>'Rhys C'!L276</f>
        <v>7262.46</v>
      </c>
      <c r="F220" s="196">
        <f>'Rhys C'!M276</f>
        <v>8998.7099999999991</v>
      </c>
      <c r="G220" s="196">
        <f>'Rhys C'!N276</f>
        <v>51083.44</v>
      </c>
      <c r="H220" s="196"/>
      <c r="I220" s="196">
        <f>'Rhys C'!P276</f>
        <v>67344.61</v>
      </c>
      <c r="J220" s="197">
        <v>50000</v>
      </c>
      <c r="K220" s="198">
        <f>-J220+I220</f>
        <v>17344.61</v>
      </c>
      <c r="L220" s="199"/>
      <c r="M220" s="200">
        <f>I220</f>
        <v>67344.61</v>
      </c>
      <c r="N220" s="225">
        <f>'Rhys C'!R276</f>
        <v>55755.73</v>
      </c>
      <c r="O220" s="202">
        <f>M220-N220</f>
        <v>11588.879999999997</v>
      </c>
      <c r="P220" s="230">
        <f>'Rhys C'!S276</f>
        <v>0</v>
      </c>
    </row>
    <row r="221" spans="1:16">
      <c r="A221" s="169"/>
      <c r="B221" s="229"/>
      <c r="C221" s="204" t="s">
        <v>101</v>
      </c>
      <c r="D221" s="535"/>
      <c r="E221" s="535" cm="1">
        <f t="array" ref="E221:E222">'Rhys C'!L279:L280</f>
        <v>0.6</v>
      </c>
      <c r="F221" s="535" cm="1">
        <f t="array" ref="F221:F222">'Rhys C'!M279:M280</f>
        <v>0.42857142857142855</v>
      </c>
      <c r="G221" s="535" cm="1">
        <f t="array" ref="G221:G222">'Rhys C'!N279:N280</f>
        <v>0.7142857142857143</v>
      </c>
      <c r="H221" s="535"/>
      <c r="I221" s="535" cm="1">
        <f t="array" ref="I221:I222">'Rhys C'!P279:P280</f>
        <v>0.36666666666666664</v>
      </c>
      <c r="J221" s="206"/>
      <c r="K221" s="207"/>
      <c r="L221" s="542"/>
      <c r="M221" s="189"/>
      <c r="N221" s="201"/>
      <c r="O221" s="191"/>
      <c r="P221" s="203"/>
    </row>
    <row r="222" spans="1:16">
      <c r="A222" s="169"/>
      <c r="B222" s="229"/>
      <c r="C222" s="204" t="s">
        <v>48</v>
      </c>
      <c r="D222" s="536"/>
      <c r="E222" s="536">
        <v>2420.8200000000002</v>
      </c>
      <c r="F222" s="536">
        <v>2999.5699999999997</v>
      </c>
      <c r="G222" s="536">
        <v>10216.688</v>
      </c>
      <c r="H222" s="536"/>
      <c r="I222" s="536">
        <v>6122.2372727272732</v>
      </c>
      <c r="J222" s="210"/>
      <c r="K222" s="211"/>
      <c r="L222" s="543"/>
      <c r="M222" s="213"/>
      <c r="N222" s="190"/>
      <c r="O222" s="214"/>
      <c r="P222" s="233"/>
    </row>
    <row r="223" spans="1:16">
      <c r="A223" s="229">
        <f>'Shaun - No OT'!T576-0.5-0.5</f>
        <v>5</v>
      </c>
      <c r="B223" s="318">
        <f>'Shaun - No OT'!T577</f>
        <v>0</v>
      </c>
      <c r="C223" s="195" t="s">
        <v>107</v>
      </c>
      <c r="D223" s="196">
        <f>'Shaun - No OT'!K582</f>
        <v>13252.16</v>
      </c>
      <c r="E223" s="196">
        <f>'Shaun - No OT'!L582</f>
        <v>9171.5</v>
      </c>
      <c r="F223" s="196">
        <f>'Shaun - No OT'!M582</f>
        <v>6974.1100000000006</v>
      </c>
      <c r="G223" s="196">
        <f>'Shaun - No OT'!N582</f>
        <v>7369.7900000000009</v>
      </c>
      <c r="H223" s="196">
        <f>'Shaun - No OT'!O582</f>
        <v>1600.5</v>
      </c>
      <c r="I223" s="196">
        <f>'Shaun - No OT'!P582</f>
        <v>38368.06</v>
      </c>
      <c r="J223" s="206">
        <v>50000</v>
      </c>
      <c r="K223" s="207">
        <f>-J223+I223</f>
        <v>-11631.940000000002</v>
      </c>
      <c r="L223" s="212">
        <f>'Shaun - No OT'!Q582</f>
        <v>8667.93</v>
      </c>
      <c r="M223" s="189">
        <f>I223</f>
        <v>38368.06</v>
      </c>
      <c r="N223" s="201">
        <f>'Shaun - No OT'!R582</f>
        <v>2504.0300000000007</v>
      </c>
      <c r="O223" s="191">
        <f>M223-N223</f>
        <v>35864.03</v>
      </c>
      <c r="P223" s="220">
        <f>'Shaun - No OT'!S582</f>
        <v>0</v>
      </c>
    </row>
    <row r="224" spans="1:16">
      <c r="A224" s="229"/>
      <c r="B224" s="229"/>
      <c r="C224" s="204" t="s">
        <v>101</v>
      </c>
      <c r="D224" s="531" cm="1">
        <f t="array" ref="D224:D225">'Shaun - No OT'!K585:K586</f>
        <v>0.5714285714285714</v>
      </c>
      <c r="E224" s="531" cm="1">
        <f t="array" ref="E224:E225">'Shaun - No OT'!L585:L586</f>
        <v>0.2857142857142857</v>
      </c>
      <c r="F224" s="531" cm="1">
        <f t="array" ref="F224:F225">'Shaun - No OT'!M585:M586</f>
        <v>0.8</v>
      </c>
      <c r="G224" s="531" cm="1">
        <f t="array" ref="G224:G225">'Shaun - No OT'!N585:N586</f>
        <v>0.44444444444444442</v>
      </c>
      <c r="H224" s="531" cm="1">
        <f t="array" ref="H224:H225">'Shaun - No OT'!O585:O586</f>
        <v>0.33333333333333331</v>
      </c>
      <c r="I224" s="531" cm="1">
        <f t="array" ref="I224:I225">'Shaun - No OT'!P585:P586</f>
        <v>0.47058823529411764</v>
      </c>
      <c r="J224" s="206"/>
      <c r="K224" s="207"/>
      <c r="L224" s="542" cm="1">
        <f t="array" ref="L224:L225">'Shaun - No OT'!Q585:Q586</f>
        <v>0.66666666666666663</v>
      </c>
      <c r="M224" s="189"/>
      <c r="N224" s="201"/>
      <c r="O224" s="234"/>
      <c r="P224" s="220"/>
    </row>
    <row r="225" spans="1:20">
      <c r="A225" s="229"/>
      <c r="B225" s="229"/>
      <c r="C225" s="226" t="s">
        <v>48</v>
      </c>
      <c r="D225" s="532">
        <v>3313.04</v>
      </c>
      <c r="E225" s="532">
        <v>4585.75</v>
      </c>
      <c r="F225" s="532">
        <v>1743.5275000000001</v>
      </c>
      <c r="G225" s="532">
        <v>1842.4475000000002</v>
      </c>
      <c r="H225" s="532">
        <v>800.25</v>
      </c>
      <c r="I225" s="532">
        <v>2398.0037499999999</v>
      </c>
      <c r="J225" s="210"/>
      <c r="K225" s="211"/>
      <c r="L225" s="543">
        <v>2166.9825000000001</v>
      </c>
      <c r="M225" s="213"/>
      <c r="N225" s="190"/>
      <c r="O225" s="235"/>
      <c r="P225" s="192"/>
    </row>
    <row r="226" spans="1:20">
      <c r="A226" s="236">
        <f>SUM(A205:A225)</f>
        <v>16</v>
      </c>
      <c r="B226" s="236">
        <f>SUM(B205:B225)</f>
        <v>1</v>
      </c>
      <c r="C226" s="237" t="s">
        <v>102</v>
      </c>
      <c r="D226" s="238">
        <f>D205+D208++D211+D214+D217+D220+D223</f>
        <v>36547.919999999998</v>
      </c>
      <c r="E226" s="238">
        <f>E205+E208++E211+E214+E217+E220+E223</f>
        <v>33327.69</v>
      </c>
      <c r="F226" s="238">
        <f>F205+F208++F211+F214+F217+F220+F223</f>
        <v>71535.799999999988</v>
      </c>
      <c r="G226" s="238">
        <f>G205+G208++G211+G214+G217+G220+G223</f>
        <v>64887.23</v>
      </c>
      <c r="H226" s="238">
        <f>H205+H208++H211+H214+H217+H220+H223</f>
        <v>5308.55</v>
      </c>
      <c r="I226" s="239">
        <f>I205+I208++I211+I214+I217+I220+I223</f>
        <v>211607.19</v>
      </c>
      <c r="J226" s="238">
        <f>J205+J208++J211+J214+J217+J220+J223</f>
        <v>350000</v>
      </c>
      <c r="K226" s="240">
        <f>K205+K208++K211+K214+K217+K220+K223</f>
        <v>-138392.81</v>
      </c>
      <c r="L226" s="241">
        <f>L205+L208++L211+L214+L217+L220+L223</f>
        <v>8667.93</v>
      </c>
      <c r="M226" s="239">
        <f>M205+M208++M211+M214+M217+M220+M223</f>
        <v>211607.19</v>
      </c>
      <c r="N226" s="240">
        <f>N205+N208++N211+N214+N217+N220+N223</f>
        <v>103011.39</v>
      </c>
      <c r="O226" s="241">
        <f>O205+O208++O211+O214+O217+O220+O223</f>
        <v>108595.79999999999</v>
      </c>
      <c r="P226" s="240">
        <f>P205+P208++P211+P214+P217+P220+P223</f>
        <v>0</v>
      </c>
    </row>
    <row r="227" spans="1:20">
      <c r="A227" s="243"/>
      <c r="B227" s="244"/>
      <c r="C227" s="244"/>
      <c r="D227" s="244"/>
      <c r="E227" s="244"/>
      <c r="F227" s="244"/>
      <c r="G227" s="244"/>
      <c r="H227" s="244"/>
      <c r="I227" s="245">
        <f>I226+L226</f>
        <v>220275.12</v>
      </c>
      <c r="J227" s="246">
        <f>J226+K226</f>
        <v>211607.19</v>
      </c>
      <c r="K227" s="247"/>
      <c r="L227" s="248"/>
      <c r="M227" s="249"/>
      <c r="N227" s="250">
        <f>M226-O226</f>
        <v>103011.39000000001</v>
      </c>
      <c r="O227" s="251"/>
      <c r="P227" s="201"/>
    </row>
    <row r="228" spans="1:20">
      <c r="R228" s="316">
        <f>'Ben - No OT'!P712+Elliot!P230+Heath!P550+'Jarrod - No OT'!P536+Liam!P684+'Rhys C'!P276+'Shaun - No OT'!P582</f>
        <v>211607.19</v>
      </c>
      <c r="S228" s="316">
        <f>'Ben - No OT'!Q712+Elliot!Q230+Heath!Q550+'Jarrod - No OT'!Q536+Liam!Q684+'Rhys C'!Q276+'Shaun - No OT'!Q582</f>
        <v>8667.93</v>
      </c>
      <c r="T228" s="316">
        <f>'Ben - No OT'!R712+Elliot!R230+Heath!R550+'Jarrod - No OT'!R536+Liam!R684+'Rhys C'!R276+'Shaun - No OT'!R582</f>
        <v>103011.39</v>
      </c>
    </row>
    <row r="229" spans="1:20">
      <c r="R229" s="316">
        <f>R228+S228</f>
        <v>220275.12</v>
      </c>
      <c r="S229" s="316"/>
      <c r="T229" s="316"/>
    </row>
    <row r="231" spans="1:20">
      <c r="A231" s="169"/>
      <c r="B231" s="170"/>
      <c r="C231" s="171" t="s">
        <v>87</v>
      </c>
      <c r="D231" s="172" t="s">
        <v>138</v>
      </c>
      <c r="E231" s="173"/>
      <c r="F231" s="173"/>
      <c r="G231" s="173"/>
      <c r="H231" s="173"/>
      <c r="I231" s="173"/>
      <c r="J231" s="174" t="s">
        <v>88</v>
      </c>
      <c r="K231" s="175"/>
      <c r="L231" s="176"/>
      <c r="M231" s="177"/>
      <c r="N231" s="178"/>
      <c r="O231" s="179" t="s">
        <v>89</v>
      </c>
      <c r="P231" s="180" t="s">
        <v>29</v>
      </c>
    </row>
    <row r="232" spans="1:20">
      <c r="A232" s="564" t="s">
        <v>90</v>
      </c>
      <c r="B232" s="565" t="s">
        <v>20</v>
      </c>
      <c r="C232" s="566"/>
      <c r="D232" s="184" t="s">
        <v>91</v>
      </c>
      <c r="E232" s="185" t="s">
        <v>92</v>
      </c>
      <c r="F232" s="185" t="s">
        <v>93</v>
      </c>
      <c r="G232" s="185" t="s">
        <v>94</v>
      </c>
      <c r="H232" s="185" t="s">
        <v>95</v>
      </c>
      <c r="I232" s="184" t="s">
        <v>96</v>
      </c>
      <c r="J232" s="186" t="s">
        <v>97</v>
      </c>
      <c r="K232" s="187" t="s">
        <v>98</v>
      </c>
      <c r="L232" s="188" t="s">
        <v>29</v>
      </c>
      <c r="M232" s="189" t="s">
        <v>89</v>
      </c>
      <c r="N232" s="190" t="s">
        <v>99</v>
      </c>
      <c r="O232" s="191" t="s">
        <v>100</v>
      </c>
      <c r="P232" s="192" t="s">
        <v>99</v>
      </c>
    </row>
    <row r="233" spans="1:20">
      <c r="A233" s="169">
        <f>'Ben - No OT'!T792</f>
        <v>4</v>
      </c>
      <c r="B233" s="318">
        <f>'Ben - No OT'!T793</f>
        <v>0</v>
      </c>
      <c r="C233" s="195" t="s">
        <v>113</v>
      </c>
      <c r="D233" s="567"/>
      <c r="E233" s="567"/>
      <c r="F233" s="567">
        <f>'Ben - No OT'!M798</f>
        <v>12881.300000000001</v>
      </c>
      <c r="G233" s="567">
        <f>'Ben - No OT'!N798</f>
        <v>15209.08</v>
      </c>
      <c r="H233" s="567">
        <f>'Ben - No OT'!O798</f>
        <v>2643.0699999999997</v>
      </c>
      <c r="I233" s="567">
        <f>'Ben - No OT'!P798</f>
        <v>30733.45</v>
      </c>
      <c r="J233" s="197">
        <v>50000</v>
      </c>
      <c r="K233" s="198">
        <f>-J233+I233</f>
        <v>-19266.55</v>
      </c>
      <c r="L233" s="199"/>
      <c r="M233" s="200">
        <f>I233</f>
        <v>30733.45</v>
      </c>
      <c r="N233" s="201">
        <f>'Ben - No OT'!R798</f>
        <v>25212.78</v>
      </c>
      <c r="O233" s="202">
        <f>M233-N233</f>
        <v>5520.6700000000019</v>
      </c>
      <c r="P233" s="203">
        <f>'Ben - No OT'!S798</f>
        <v>0</v>
      </c>
    </row>
    <row r="234" spans="1:20">
      <c r="A234" s="169"/>
      <c r="B234" s="229"/>
      <c r="C234" s="204" t="s">
        <v>101</v>
      </c>
      <c r="D234" s="531"/>
      <c r="E234" s="531"/>
      <c r="F234" s="531" cm="1">
        <f t="array" ref="F234:F235">'Ben - No OT'!M801:M802</f>
        <v>0.33333333333333331</v>
      </c>
      <c r="G234" s="531" cm="1">
        <f t="array" ref="G234:G235">'Ben - No OT'!N801:N802</f>
        <v>0.8</v>
      </c>
      <c r="H234" s="531" cm="1">
        <f t="array" ref="H234:H235">'Ben - No OT'!O801:O802</f>
        <v>0.4</v>
      </c>
      <c r="I234" s="531" cm="1">
        <f t="array" ref="I234:I235">'Ben - No OT'!P801:P802</f>
        <v>0.53846153846153844</v>
      </c>
      <c r="J234" s="206"/>
      <c r="K234" s="207"/>
      <c r="L234" s="208"/>
      <c r="M234" s="189"/>
      <c r="N234" s="201"/>
      <c r="O234" s="191"/>
      <c r="P234" s="203"/>
    </row>
    <row r="235" spans="1:20">
      <c r="A235" s="169"/>
      <c r="B235" s="229"/>
      <c r="C235" s="226" t="s">
        <v>48</v>
      </c>
      <c r="D235" s="532"/>
      <c r="E235" s="532"/>
      <c r="F235" s="532">
        <v>12881.300000000001</v>
      </c>
      <c r="G235" s="532">
        <v>3802.27</v>
      </c>
      <c r="H235" s="532">
        <v>1321.5349999999999</v>
      </c>
      <c r="I235" s="532">
        <v>4390.4928571428572</v>
      </c>
      <c r="J235" s="210"/>
      <c r="K235" s="211"/>
      <c r="L235" s="212"/>
      <c r="M235" s="213"/>
      <c r="N235" s="201"/>
      <c r="O235" s="214"/>
      <c r="P235" s="203"/>
    </row>
    <row r="236" spans="1:20">
      <c r="A236" s="169">
        <f>Bradley!T52</f>
        <v>5</v>
      </c>
      <c r="B236" s="318">
        <f>Bradley!T53</f>
        <v>0</v>
      </c>
      <c r="C236" s="195" t="s">
        <v>121</v>
      </c>
      <c r="D236" s="567">
        <f>Bradley!K58</f>
        <v>5781.5</v>
      </c>
      <c r="E236" s="567"/>
      <c r="F236" s="567">
        <f>Bradley!M58</f>
        <v>3966.3999999999996</v>
      </c>
      <c r="G236" s="567">
        <f>Bradley!N58</f>
        <v>5469.0300000000007</v>
      </c>
      <c r="H236" s="567">
        <f>Bradley!O58</f>
        <v>3863.9300000000003</v>
      </c>
      <c r="I236" s="567">
        <f>Bradley!P58</f>
        <v>19080.86</v>
      </c>
      <c r="J236" s="197">
        <v>50000</v>
      </c>
      <c r="K236" s="198">
        <f>-J236+I236</f>
        <v>-30919.14</v>
      </c>
      <c r="L236" s="199"/>
      <c r="M236" s="215">
        <f>I236</f>
        <v>19080.86</v>
      </c>
      <c r="N236" s="216">
        <f>Bradley!R58</f>
        <v>0</v>
      </c>
      <c r="O236" s="217">
        <f>M236-N236</f>
        <v>19080.86</v>
      </c>
      <c r="P236" s="216">
        <f>Bradley!S58</f>
        <v>0</v>
      </c>
    </row>
    <row r="237" spans="1:20">
      <c r="A237" s="169"/>
      <c r="B237" s="229"/>
      <c r="C237" s="204" t="s">
        <v>101</v>
      </c>
      <c r="D237" s="531" cm="1">
        <f t="array" ref="D237:D238">Bradley!K61:K62</f>
        <v>0.6</v>
      </c>
      <c r="E237" s="531"/>
      <c r="F237" s="531" cm="1">
        <f t="array" ref="F237:F238">Bradley!M61:M62</f>
        <v>0.33333333333333331</v>
      </c>
      <c r="G237" s="531" cm="1">
        <f t="array" ref="G237:G238">Bradley!N61:N62</f>
        <v>0.8</v>
      </c>
      <c r="H237" s="531" cm="1">
        <f t="array" ref="H237:H238">Bradley!O61:O62</f>
        <v>0.2857142857142857</v>
      </c>
      <c r="I237" s="531" cm="1">
        <f t="array" ref="I237:I238">Bradley!P61:P62</f>
        <v>0.5</v>
      </c>
      <c r="J237" s="206"/>
      <c r="K237" s="218"/>
      <c r="L237" s="208"/>
      <c r="M237" s="219"/>
      <c r="N237" s="220"/>
      <c r="O237" s="221"/>
      <c r="P237" s="220"/>
    </row>
    <row r="238" spans="1:20">
      <c r="A238" s="169"/>
      <c r="B238" s="229"/>
      <c r="C238" s="226" t="s">
        <v>48</v>
      </c>
      <c r="D238" s="532">
        <v>963.58333333333337</v>
      </c>
      <c r="E238" s="532"/>
      <c r="F238" s="532">
        <v>1983.1999999999998</v>
      </c>
      <c r="G238" s="532">
        <v>1367.2575000000002</v>
      </c>
      <c r="H238" s="532">
        <v>1931.9650000000001</v>
      </c>
      <c r="I238" s="532">
        <v>1362.9185714285716</v>
      </c>
      <c r="J238" s="206"/>
      <c r="K238" s="222"/>
      <c r="L238" s="212"/>
      <c r="M238" s="223"/>
      <c r="N238" s="192"/>
      <c r="O238" s="224"/>
      <c r="P238" s="192"/>
    </row>
    <row r="239" spans="1:20">
      <c r="A239" s="169">
        <f>Elliot!T281</f>
        <v>7</v>
      </c>
      <c r="B239" s="318">
        <f>Elliot!T282</f>
        <v>0</v>
      </c>
      <c r="C239" s="195" t="s">
        <v>116</v>
      </c>
      <c r="D239" s="567">
        <f>Elliot!K287</f>
        <v>4471.28</v>
      </c>
      <c r="E239" s="567">
        <f>Elliot!L287</f>
        <v>1982.53</v>
      </c>
      <c r="F239" s="567">
        <f>Elliot!M287</f>
        <v>6491.7000000000007</v>
      </c>
      <c r="G239" s="567">
        <f>Elliot!N287</f>
        <v>4914.3500000000004</v>
      </c>
      <c r="H239" s="567">
        <f>Elliot!O287</f>
        <v>11184.060000000001</v>
      </c>
      <c r="I239" s="567">
        <f>Elliot!P287</f>
        <v>29043.920000000002</v>
      </c>
      <c r="J239" s="197">
        <v>50000</v>
      </c>
      <c r="K239" s="198">
        <f>-J239+I239</f>
        <v>-20956.079999999998</v>
      </c>
      <c r="L239" s="199">
        <f>Elliot!Q287</f>
        <v>927.58999999999992</v>
      </c>
      <c r="M239" s="200">
        <f>I239</f>
        <v>29043.920000000002</v>
      </c>
      <c r="N239" s="225">
        <f>Elliot!R287</f>
        <v>7851.3</v>
      </c>
      <c r="O239" s="202">
        <f>M239-N239</f>
        <v>21192.620000000003</v>
      </c>
      <c r="P239" s="216">
        <f>Elliot!S287</f>
        <v>0</v>
      </c>
    </row>
    <row r="240" spans="1:20">
      <c r="A240" s="169"/>
      <c r="B240" s="229"/>
      <c r="C240" s="204" t="s">
        <v>101</v>
      </c>
      <c r="D240" s="531" cm="1">
        <f t="array" ref="D240:D241">Elliot!K290:K291</f>
        <v>0.44444444444444442</v>
      </c>
      <c r="E240" s="531" cm="1">
        <f t="array" ref="E240:E241">Elliot!L290:L291</f>
        <v>0.5</v>
      </c>
      <c r="F240" s="531" cm="1">
        <f t="array" ref="F240:F241">Elliot!M290:M291</f>
        <v>0.33333333333333331</v>
      </c>
      <c r="G240" s="531" cm="1">
        <f t="array" ref="G240:G241">Elliot!N290:N291</f>
        <v>0.5</v>
      </c>
      <c r="H240" s="531" cm="1">
        <f t="array" ref="H240:H241">Elliot!O290:O291</f>
        <v>0.33333333333333331</v>
      </c>
      <c r="I240" s="531" cm="1">
        <f t="array" ref="I240:I241">Elliot!P290:P291</f>
        <v>0.42499999999999999</v>
      </c>
      <c r="J240" s="206"/>
      <c r="K240" s="207"/>
      <c r="L240" s="208" cm="1">
        <f t="array" ref="L240:L241">Elliot!Q290:Q291</f>
        <v>1</v>
      </c>
      <c r="M240" s="189"/>
      <c r="N240" s="201"/>
      <c r="O240" s="191"/>
      <c r="P240" s="220"/>
    </row>
    <row r="241" spans="1:16">
      <c r="A241" s="169"/>
      <c r="B241" s="229"/>
      <c r="C241" s="204" t="s">
        <v>48</v>
      </c>
      <c r="D241" s="533">
        <v>1117.82</v>
      </c>
      <c r="E241" s="533">
        <v>495.63249999999999</v>
      </c>
      <c r="F241" s="533">
        <v>2163.9</v>
      </c>
      <c r="G241" s="533">
        <v>1228.5875000000001</v>
      </c>
      <c r="H241" s="533">
        <v>5592.0300000000007</v>
      </c>
      <c r="I241" s="533">
        <v>1708.4658823529412</v>
      </c>
      <c r="J241" s="210"/>
      <c r="K241" s="211"/>
      <c r="L241" s="228">
        <v>927.58999999999992</v>
      </c>
      <c r="M241" s="213"/>
      <c r="N241" s="201"/>
      <c r="O241" s="214"/>
      <c r="P241" s="220"/>
    </row>
    <row r="242" spans="1:16">
      <c r="A242" s="169">
        <f>'Jarrod - No OT'!T619</f>
        <v>5</v>
      </c>
      <c r="B242" s="318">
        <f>'Jarrod - No OT'!T620</f>
        <v>0</v>
      </c>
      <c r="C242" s="195" t="s">
        <v>112</v>
      </c>
      <c r="D242" s="567">
        <f>'Jarrod - No OT'!K625</f>
        <v>5750.89</v>
      </c>
      <c r="E242" s="567">
        <f>'Jarrod - No OT'!L625</f>
        <v>7447.84</v>
      </c>
      <c r="F242" s="567">
        <f>'Jarrod - No OT'!M625</f>
        <v>3758.62</v>
      </c>
      <c r="G242" s="567">
        <f>'Jarrod - No OT'!N625</f>
        <v>4951.4800000000005</v>
      </c>
      <c r="H242" s="567">
        <f>'Jarrod - No OT'!O625</f>
        <v>4747.8099999999995</v>
      </c>
      <c r="I242" s="567">
        <f>'Jarrod - No OT'!P625</f>
        <v>26656.639999999999</v>
      </c>
      <c r="J242" s="197">
        <v>50000</v>
      </c>
      <c r="K242" s="198">
        <f>-J242+I242</f>
        <v>-23343.360000000001</v>
      </c>
      <c r="L242" s="199"/>
      <c r="M242" s="200">
        <f>I242</f>
        <v>26656.639999999999</v>
      </c>
      <c r="N242" s="225">
        <f>'Jarrod - No OT'!R625</f>
        <v>10314.700000000001</v>
      </c>
      <c r="O242" s="202">
        <f>M242-N242</f>
        <v>16341.939999999999</v>
      </c>
      <c r="P242" s="216">
        <f>'Jarrod - No OT'!S625</f>
        <v>0</v>
      </c>
    </row>
    <row r="243" spans="1:16">
      <c r="A243" s="169"/>
      <c r="B243" s="229"/>
      <c r="C243" s="204" t="s">
        <v>101</v>
      </c>
      <c r="D243" s="531" cm="1">
        <f t="array" ref="D243:D244">'Jarrod - No OT'!K628:K629</f>
        <v>0.5</v>
      </c>
      <c r="E243" s="531" cm="1">
        <f t="array" ref="E243:E244">'Jarrod - No OT'!L628:L629</f>
        <v>0.4</v>
      </c>
      <c r="F243" s="531" cm="1">
        <f t="array" ref="F243:F244">'Jarrod - No OT'!M628:M629</f>
        <v>0.33333333333333331</v>
      </c>
      <c r="G243" s="531" cm="1">
        <f t="array" ref="G243:G244">'Jarrod - No OT'!N628:N629</f>
        <v>0.7142857142857143</v>
      </c>
      <c r="H243" s="531" cm="1">
        <f t="array" ref="H243:H244">'Jarrod - No OT'!O628:O629</f>
        <v>0.16666666666666666</v>
      </c>
      <c r="I243" s="531" cm="1">
        <f t="array" ref="I243:I244">'Jarrod - No OT'!P628:P629</f>
        <v>0.42424242424242425</v>
      </c>
      <c r="J243" s="206"/>
      <c r="K243" s="207"/>
      <c r="L243" s="208"/>
      <c r="M243" s="189"/>
      <c r="N243" s="201"/>
      <c r="O243" s="191"/>
      <c r="P243" s="220"/>
    </row>
    <row r="244" spans="1:16">
      <c r="A244" s="169"/>
      <c r="B244" s="229"/>
      <c r="C244" s="204" t="s">
        <v>48</v>
      </c>
      <c r="D244" s="533">
        <v>1916.9633333333334</v>
      </c>
      <c r="E244" s="533">
        <v>3723.92</v>
      </c>
      <c r="F244" s="533">
        <v>1252.8733333333332</v>
      </c>
      <c r="G244" s="533">
        <v>990.29600000000005</v>
      </c>
      <c r="H244" s="533">
        <v>4747.8099999999995</v>
      </c>
      <c r="I244" s="533">
        <v>1904.0457142857142</v>
      </c>
      <c r="J244" s="206"/>
      <c r="K244" s="211"/>
      <c r="L244" s="228"/>
      <c r="M244" s="213"/>
      <c r="N244" s="201"/>
      <c r="O244" s="214"/>
      <c r="P244" s="220"/>
    </row>
    <row r="245" spans="1:16">
      <c r="A245" s="229">
        <f>Liam!T754</f>
        <v>7</v>
      </c>
      <c r="B245" s="318">
        <f>Liam!T755</f>
        <v>0</v>
      </c>
      <c r="C245" s="195" t="s">
        <v>109</v>
      </c>
      <c r="D245" s="567">
        <f>Liam!K760</f>
        <v>5018.21</v>
      </c>
      <c r="E245" s="567">
        <f>Liam!L760</f>
        <v>6137.2</v>
      </c>
      <c r="F245" s="567">
        <f>Liam!M760</f>
        <v>3218.3</v>
      </c>
      <c r="G245" s="567">
        <f>Liam!N760</f>
        <v>960.3</v>
      </c>
      <c r="H245" s="567">
        <f>Liam!O760</f>
        <v>2360.3000000000002</v>
      </c>
      <c r="I245" s="567">
        <f>Liam!P760</f>
        <v>17694.309999999998</v>
      </c>
      <c r="J245" s="197">
        <v>50000</v>
      </c>
      <c r="K245" s="198">
        <f>-J245+I245</f>
        <v>-32305.690000000002</v>
      </c>
      <c r="L245" s="199"/>
      <c r="M245" s="200">
        <f>I245</f>
        <v>17694.309999999998</v>
      </c>
      <c r="N245" s="225">
        <f>Liam!R760</f>
        <v>0</v>
      </c>
      <c r="O245" s="202">
        <f>M245-N245</f>
        <v>17694.309999999998</v>
      </c>
      <c r="P245" s="230">
        <f>Liam!S760</f>
        <v>0</v>
      </c>
    </row>
    <row r="246" spans="1:16">
      <c r="A246" s="229"/>
      <c r="B246" s="229"/>
      <c r="C246" s="204" t="s">
        <v>101</v>
      </c>
      <c r="D246" s="531" cm="1">
        <f t="array" ref="D246:D247">Liam!K763:K764</f>
        <v>0.4</v>
      </c>
      <c r="E246" s="531" cm="1">
        <f t="array" ref="E246:E247">Liam!L763:L764</f>
        <v>0.44444444444444442</v>
      </c>
      <c r="F246" s="531" cm="1">
        <f t="array" ref="F246:F247">Liam!M763:M764</f>
        <v>0.6</v>
      </c>
      <c r="G246" s="531" cm="1">
        <f t="array" ref="G246:G247">Liam!N763:N764</f>
        <v>0.16666666666666666</v>
      </c>
      <c r="H246" s="531" cm="1">
        <f t="array" ref="H246:H247">Liam!O763:O764</f>
        <v>0.42857142857142855</v>
      </c>
      <c r="I246" s="531" cm="1">
        <f t="array" ref="I246:I247">Liam!P763:P764</f>
        <v>0.40625</v>
      </c>
      <c r="J246" s="206"/>
      <c r="K246" s="207"/>
      <c r="L246" s="208"/>
      <c r="M246" s="189"/>
      <c r="N246" s="201"/>
      <c r="O246" s="191"/>
      <c r="P246" s="203"/>
    </row>
    <row r="247" spans="1:16">
      <c r="A247" s="229"/>
      <c r="B247" s="229"/>
      <c r="C247" s="204" t="s">
        <v>48</v>
      </c>
      <c r="D247" s="532">
        <v>2509.105</v>
      </c>
      <c r="E247" s="532">
        <v>1534.3</v>
      </c>
      <c r="F247" s="532">
        <v>1072.7666666666667</v>
      </c>
      <c r="G247" s="532">
        <v>960.3</v>
      </c>
      <c r="H247" s="532">
        <v>786.76666666666677</v>
      </c>
      <c r="I247" s="532">
        <v>1361.1007692307689</v>
      </c>
      <c r="J247" s="206"/>
      <c r="K247" s="207"/>
      <c r="L247" s="212"/>
      <c r="M247" s="189"/>
      <c r="N247" s="201"/>
      <c r="O247" s="191"/>
      <c r="P247" s="203"/>
    </row>
    <row r="248" spans="1:16">
      <c r="A248" s="169">
        <f>'Rhys C'!T353-0.5</f>
        <v>4.5</v>
      </c>
      <c r="B248" s="318">
        <f>'Rhys C'!T354</f>
        <v>0</v>
      </c>
      <c r="C248" s="195" t="s">
        <v>117</v>
      </c>
      <c r="D248" s="567">
        <f>'Rhys C'!K359</f>
        <v>1877</v>
      </c>
      <c r="E248" s="567">
        <f>'Rhys C'!L359</f>
        <v>8850.7999999999993</v>
      </c>
      <c r="F248" s="567">
        <f>'Rhys C'!M359</f>
        <v>9341.9800000000014</v>
      </c>
      <c r="G248" s="567">
        <f>'Rhys C'!N359</f>
        <v>5490.9</v>
      </c>
      <c r="H248" s="567">
        <f>'Rhys C'!O359</f>
        <v>6254.6100000000006</v>
      </c>
      <c r="I248" s="567">
        <f>'Rhys C'!P359</f>
        <v>31815.29</v>
      </c>
      <c r="J248" s="197">
        <v>50000</v>
      </c>
      <c r="K248" s="198">
        <f>-J248+I248</f>
        <v>-18184.71</v>
      </c>
      <c r="L248" s="199">
        <f>'Rhys C'!Q359</f>
        <v>5833.75</v>
      </c>
      <c r="M248" s="200">
        <f>I248</f>
        <v>31815.29</v>
      </c>
      <c r="N248" s="225">
        <f>'Rhys C'!R359</f>
        <v>11068.230000000001</v>
      </c>
      <c r="O248" s="202">
        <f>M248-N248</f>
        <v>20747.059999999998</v>
      </c>
      <c r="P248" s="230">
        <f>'Rhys C'!S359</f>
        <v>0</v>
      </c>
    </row>
    <row r="249" spans="1:16">
      <c r="A249" s="169"/>
      <c r="B249" s="229"/>
      <c r="C249" s="204" t="s">
        <v>101</v>
      </c>
      <c r="D249" s="535" cm="1">
        <f t="array" ref="D249:D250">'Rhys C'!K362:K363</f>
        <v>0.375</v>
      </c>
      <c r="E249" s="535" cm="1">
        <f t="array" ref="E249:E250">'Rhys C'!L362:L363</f>
        <v>0.45454545454545453</v>
      </c>
      <c r="F249" s="535" cm="1">
        <f t="array" ref="F249:F250">'Rhys C'!M362:M363</f>
        <v>0.42857142857142855</v>
      </c>
      <c r="G249" s="535" cm="1">
        <f t="array" ref="G249:G250">'Rhys C'!N362:N363</f>
        <v>0.42857142857142855</v>
      </c>
      <c r="H249" s="535" cm="1">
        <f t="array" ref="H249:H250">'Rhys C'!O362:O363</f>
        <v>0.5</v>
      </c>
      <c r="I249" s="535" cm="1">
        <f t="array" ref="I249:I250">'Rhys C'!P362:P363</f>
        <v>0.4358974358974359</v>
      </c>
      <c r="J249" s="206"/>
      <c r="K249" s="207"/>
      <c r="L249" s="208" cm="1">
        <f t="array" ref="L249:L250">'Rhys C'!Q362:Q363</f>
        <v>0.5</v>
      </c>
      <c r="M249" s="189"/>
      <c r="N249" s="201"/>
      <c r="O249" s="191"/>
      <c r="P249" s="203"/>
    </row>
    <row r="250" spans="1:16">
      <c r="A250" s="169"/>
      <c r="B250" s="229"/>
      <c r="C250" s="204" t="s">
        <v>48</v>
      </c>
      <c r="D250" s="536">
        <v>625.66666666666663</v>
      </c>
      <c r="E250" s="536">
        <v>1770.1599999999999</v>
      </c>
      <c r="F250" s="536">
        <v>3113.9933333333338</v>
      </c>
      <c r="G250" s="536">
        <v>1830.3</v>
      </c>
      <c r="H250" s="536">
        <v>2084.8700000000003</v>
      </c>
      <c r="I250" s="536">
        <v>1871.4876470588235</v>
      </c>
      <c r="J250" s="210"/>
      <c r="K250" s="211"/>
      <c r="L250" s="228">
        <v>2916.875</v>
      </c>
      <c r="M250" s="213"/>
      <c r="N250" s="190"/>
      <c r="O250" s="214"/>
      <c r="P250" s="233"/>
    </row>
    <row r="251" spans="1:16">
      <c r="A251" s="229">
        <f>'Shaun - No OT'!T684-0.5</f>
        <v>5.5</v>
      </c>
      <c r="B251" s="318">
        <f>'Shaun - No OT'!T685</f>
        <v>0</v>
      </c>
      <c r="C251" s="195" t="s">
        <v>107</v>
      </c>
      <c r="D251" s="567">
        <f>'Shaun - No OT'!K690</f>
        <v>14430.220000000001</v>
      </c>
      <c r="E251" s="567">
        <f>'Shaun - No OT'!L690</f>
        <v>6828</v>
      </c>
      <c r="F251" s="567">
        <f>'Shaun - No OT'!M690</f>
        <v>5443.64</v>
      </c>
      <c r="G251" s="567">
        <f>'Shaun - No OT'!N690</f>
        <v>821.3</v>
      </c>
      <c r="H251" s="567">
        <f>'Shaun - No OT'!O690</f>
        <v>3117.49</v>
      </c>
      <c r="I251" s="567">
        <f>'Shaun - No OT'!P690</f>
        <v>30640.65</v>
      </c>
      <c r="J251" s="206">
        <v>50000</v>
      </c>
      <c r="K251" s="207">
        <f>-J251+I251</f>
        <v>-19359.349999999999</v>
      </c>
      <c r="L251" s="212"/>
      <c r="M251" s="189">
        <f>I251</f>
        <v>30640.65</v>
      </c>
      <c r="N251" s="201">
        <f>'Shaun - No OT'!R690</f>
        <v>12764.720000000001</v>
      </c>
      <c r="O251" s="191">
        <f>M251-N251</f>
        <v>17875.93</v>
      </c>
      <c r="P251" s="220">
        <f>'Shaun - No OT'!S690</f>
        <v>0</v>
      </c>
    </row>
    <row r="252" spans="1:16">
      <c r="A252" s="229"/>
      <c r="B252" s="229"/>
      <c r="C252" s="204" t="s">
        <v>101</v>
      </c>
      <c r="D252" s="531" cm="1">
        <f t="array" ref="D252:D253">'Shaun - No OT'!K693:K694</f>
        <v>0.5</v>
      </c>
      <c r="E252" s="531" cm="1">
        <f t="array" ref="E252:E253">'Shaun - No OT'!L693:L694</f>
        <v>0.5714285714285714</v>
      </c>
      <c r="F252" s="531" cm="1">
        <f t="array" ref="F252:F253">'Shaun - No OT'!M693:M694</f>
        <v>0.33333333333333331</v>
      </c>
      <c r="G252" s="531" cm="1">
        <f t="array" ref="G252:G253">'Shaun - No OT'!N693:N694</f>
        <v>0.125</v>
      </c>
      <c r="H252" s="531" cm="1">
        <f t="array" ref="H252:H253">'Shaun - No OT'!O693:O694</f>
        <v>0.66666666666666663</v>
      </c>
      <c r="I252" s="531" cm="1">
        <f t="array" ref="I252:I253">'Shaun - No OT'!P693:P694</f>
        <v>0.4</v>
      </c>
      <c r="J252" s="206"/>
      <c r="K252" s="207"/>
      <c r="L252" s="208"/>
      <c r="M252" s="189"/>
      <c r="N252" s="201"/>
      <c r="O252" s="234"/>
      <c r="P252" s="220"/>
    </row>
    <row r="253" spans="1:16">
      <c r="A253" s="229"/>
      <c r="B253" s="229"/>
      <c r="C253" s="226" t="s">
        <v>48</v>
      </c>
      <c r="D253" s="532">
        <v>4810.0733333333337</v>
      </c>
      <c r="E253" s="532">
        <v>1707</v>
      </c>
      <c r="F253" s="532">
        <v>2721.82</v>
      </c>
      <c r="G253" s="532">
        <v>821.3</v>
      </c>
      <c r="H253" s="532">
        <v>1558.7449999999999</v>
      </c>
      <c r="I253" s="532">
        <v>2553.3875000000003</v>
      </c>
      <c r="J253" s="210"/>
      <c r="K253" s="211"/>
      <c r="L253" s="228"/>
      <c r="M253" s="213"/>
      <c r="N253" s="190"/>
      <c r="O253" s="235"/>
      <c r="P253" s="192"/>
    </row>
    <row r="254" spans="1:16">
      <c r="A254" s="229">
        <f>'Matthew H - No OT'!T233</f>
        <v>0</v>
      </c>
      <c r="B254" s="229">
        <f>'Matthew H - No OT'!T234</f>
        <v>0</v>
      </c>
      <c r="C254" s="195" t="s">
        <v>115</v>
      </c>
      <c r="D254" s="567"/>
      <c r="E254" s="567"/>
      <c r="F254" s="567">
        <f>'Matthew H - No OT'!M239</f>
        <v>1042.5999999999999</v>
      </c>
      <c r="G254" s="567"/>
      <c r="H254" s="567"/>
      <c r="I254" s="567">
        <f>'Matthew H - No OT'!P239</f>
        <v>1042.5999999999999</v>
      </c>
      <c r="J254" s="206">
        <v>50000</v>
      </c>
      <c r="K254" s="207">
        <f>-J254+I254</f>
        <v>-48957.4</v>
      </c>
      <c r="L254" s="212"/>
      <c r="M254" s="189">
        <f>I254</f>
        <v>1042.5999999999999</v>
      </c>
      <c r="N254" s="201">
        <f>'Matthew H - No OT'!R239</f>
        <v>0</v>
      </c>
      <c r="O254" s="191">
        <f>M254-N254</f>
        <v>1042.5999999999999</v>
      </c>
      <c r="P254" s="220">
        <f>'Matthew H - No OT'!S239</f>
        <v>0</v>
      </c>
    </row>
    <row r="255" spans="1:16">
      <c r="A255" s="229"/>
      <c r="B255" s="229"/>
      <c r="C255" s="204" t="s">
        <v>101</v>
      </c>
      <c r="D255" s="531"/>
      <c r="E255" s="531"/>
      <c r="F255" s="531" cm="1">
        <f t="array" ref="F255:F256">'Matthew H - No OT'!M242:M243</f>
        <v>1</v>
      </c>
      <c r="G255" s="531"/>
      <c r="H255" s="531"/>
      <c r="I255" s="531" cm="1">
        <f t="array" ref="I255:I256">'Matthew H - No OT'!P242:P243</f>
        <v>1</v>
      </c>
      <c r="J255" s="206"/>
      <c r="K255" s="207"/>
      <c r="L255" s="208"/>
      <c r="M255" s="189"/>
      <c r="N255" s="201"/>
      <c r="O255" s="234"/>
      <c r="P255" s="220"/>
    </row>
    <row r="256" spans="1:16">
      <c r="A256" s="229"/>
      <c r="B256" s="229"/>
      <c r="C256" s="226" t="s">
        <v>48</v>
      </c>
      <c r="D256" s="532"/>
      <c r="E256" s="532"/>
      <c r="F256" s="532">
        <v>1042.5999999999999</v>
      </c>
      <c r="G256" s="532"/>
      <c r="H256" s="532"/>
      <c r="I256" s="532">
        <v>1042.5999999999999</v>
      </c>
      <c r="J256" s="210"/>
      <c r="K256" s="211"/>
      <c r="L256" s="228"/>
      <c r="M256" s="213"/>
      <c r="N256" s="190"/>
      <c r="O256" s="235"/>
      <c r="P256" s="192"/>
    </row>
    <row r="257" spans="1:20">
      <c r="A257" s="236">
        <f>SUM(A233:A253)</f>
        <v>38</v>
      </c>
      <c r="B257" s="236">
        <f>SUM(B233:B253)</f>
        <v>0</v>
      </c>
      <c r="C257" s="237" t="s">
        <v>102</v>
      </c>
      <c r="D257" s="238">
        <f>D233+D236++D239+D242+D245+D248+D251+D254</f>
        <v>37329.1</v>
      </c>
      <c r="E257" s="238">
        <f>E233+E236++E239+E242+E245+E248+E251+E254</f>
        <v>31246.37</v>
      </c>
      <c r="F257" s="238">
        <f>F233+F236++F239+F242+F245+F248+F251+F254</f>
        <v>46144.54</v>
      </c>
      <c r="G257" s="238">
        <f>G233+G236++G239+G242+G245+G248+G251+G254</f>
        <v>37816.44</v>
      </c>
      <c r="H257" s="238">
        <f>H233+H236++H239+H242+H245+H248+H251+H254</f>
        <v>34171.270000000004</v>
      </c>
      <c r="I257" s="239">
        <f>I233+I236++I239+I242+I245+I248+I251+I254</f>
        <v>186707.72</v>
      </c>
      <c r="J257" s="238">
        <f>J233+J236++J239+J242+J245+J248+J251+J254</f>
        <v>400000</v>
      </c>
      <c r="K257" s="240">
        <f>K233+K236++K239+K242+K245+K248+K251+K254</f>
        <v>-213292.28</v>
      </c>
      <c r="L257" s="241">
        <f>L233+L236++L239+L242+L245+L248+L251+L254</f>
        <v>6761.34</v>
      </c>
      <c r="M257" s="239">
        <f>M233+M236++M239+M242+M245+M248+M251+M254</f>
        <v>186707.72</v>
      </c>
      <c r="N257" s="240">
        <f>N233+N236++N239+N242+N245+N248+N251+N254</f>
        <v>67211.73000000001</v>
      </c>
      <c r="O257" s="241">
        <f>O233+O236++O239+O242+O245+O248+O251+O254</f>
        <v>119495.99000000002</v>
      </c>
      <c r="P257" s="240">
        <f t="shared" ref="E257:P257" si="6">P233+P236++P239+P242+P245+P248+P251+P254</f>
        <v>0</v>
      </c>
    </row>
    <row r="258" spans="1:20">
      <c r="C258" s="244"/>
      <c r="D258" s="244"/>
      <c r="E258" s="244"/>
      <c r="F258" s="244"/>
      <c r="G258" s="244"/>
      <c r="H258" s="244"/>
      <c r="I258" s="245">
        <f>I257+L257</f>
        <v>193469.06</v>
      </c>
      <c r="J258" s="246">
        <f>J257+K257</f>
        <v>186707.72</v>
      </c>
      <c r="K258" s="247"/>
      <c r="L258" s="248"/>
      <c r="M258" s="249"/>
      <c r="N258" s="250">
        <f>M257-O257</f>
        <v>67211.729999999981</v>
      </c>
      <c r="O258" s="251"/>
      <c r="P258" s="201"/>
      <c r="R258" s="316">
        <f>'Ben - No OT'!P798+Bradley!P58+Elliot!P287+'Jarrod - No OT'!P625+Liam!P760+'Rhys C'!P359+'Shaun - No OT'!P690+'Matthew H - No OT'!P239</f>
        <v>186707.72</v>
      </c>
      <c r="S258" s="316">
        <f>'Ben - No OT'!Q798+Bradley!Q58+Elliot!Q287+'Jarrod - No OT'!Q625+Liam!Q760+'Rhys C'!Q359+'Shaun - No OT'!Q690</f>
        <v>6761.34</v>
      </c>
      <c r="T258" s="316">
        <f>'Ben - No OT'!R798+Bradley!R58+Elliot!R287+'Jarrod - No OT'!R625+Liam!R760+'Rhys C'!R359+'Shaun - No OT'!R690</f>
        <v>67211.73000000001</v>
      </c>
    </row>
    <row r="259" spans="1:20">
      <c r="R259" s="316">
        <f>R258+S258</f>
        <v>193469.06</v>
      </c>
      <c r="S259" s="316"/>
      <c r="T259" s="316"/>
    </row>
    <row r="261" spans="1:20" ht="16.5" customHeight="1">
      <c r="A261" s="169"/>
      <c r="B261" s="170"/>
      <c r="C261" s="607" t="s">
        <v>87</v>
      </c>
      <c r="D261" s="606" t="s">
        <v>139</v>
      </c>
      <c r="E261" s="173"/>
      <c r="F261" s="173"/>
      <c r="G261" s="173"/>
      <c r="H261" s="173"/>
      <c r="I261" s="173"/>
      <c r="J261" s="174" t="s">
        <v>88</v>
      </c>
      <c r="K261" s="175"/>
      <c r="L261" s="176"/>
      <c r="M261" s="177"/>
      <c r="N261" s="178"/>
      <c r="O261" s="179" t="s">
        <v>89</v>
      </c>
      <c r="P261" s="180" t="s">
        <v>29</v>
      </c>
    </row>
    <row r="262" spans="1:20">
      <c r="A262" s="564" t="s">
        <v>90</v>
      </c>
      <c r="B262" s="565" t="s">
        <v>20</v>
      </c>
      <c r="C262" s="566"/>
      <c r="D262" s="184" t="s">
        <v>91</v>
      </c>
      <c r="E262" s="185" t="s">
        <v>92</v>
      </c>
      <c r="F262" s="185" t="s">
        <v>93</v>
      </c>
      <c r="G262" s="185" t="s">
        <v>94</v>
      </c>
      <c r="H262" s="185" t="s">
        <v>95</v>
      </c>
      <c r="I262" s="184" t="s">
        <v>96</v>
      </c>
      <c r="J262" s="186" t="s">
        <v>97</v>
      </c>
      <c r="K262" s="187" t="s">
        <v>98</v>
      </c>
      <c r="L262" s="188" t="s">
        <v>29</v>
      </c>
      <c r="M262" s="189" t="s">
        <v>89</v>
      </c>
      <c r="N262" s="190" t="s">
        <v>99</v>
      </c>
      <c r="O262" s="191" t="s">
        <v>100</v>
      </c>
      <c r="P262" s="192" t="s">
        <v>99</v>
      </c>
    </row>
    <row r="263" spans="1:20">
      <c r="A263" s="169">
        <f>'Ben - No OT'!T860-0.5-0.5-0.5</f>
        <v>9.5</v>
      </c>
      <c r="B263" s="318">
        <f>'Ben - No OT'!T861</f>
        <v>0</v>
      </c>
      <c r="C263" s="195" t="s">
        <v>113</v>
      </c>
      <c r="D263" s="196">
        <f>'Ben - No OT'!K866</f>
        <v>1044.27</v>
      </c>
      <c r="E263" s="196">
        <f>'Ben - No OT'!L866</f>
        <v>1787.6</v>
      </c>
      <c r="F263" s="196">
        <f>'Ben - No OT'!M866</f>
        <v>6662.8</v>
      </c>
      <c r="G263" s="196">
        <f>'Ben - No OT'!N866</f>
        <v>6545.05</v>
      </c>
      <c r="H263" s="196">
        <f>'Ben - No OT'!O866</f>
        <v>4317.92</v>
      </c>
      <c r="I263" s="196">
        <f>'Ben - No OT'!P866</f>
        <v>20357.64</v>
      </c>
      <c r="J263" s="197">
        <v>50000</v>
      </c>
      <c r="K263" s="198">
        <f>-J263+I263</f>
        <v>-29642.36</v>
      </c>
      <c r="L263" s="199"/>
      <c r="M263" s="200">
        <f>I263</f>
        <v>20357.64</v>
      </c>
      <c r="N263" s="201">
        <f>'Ben - No OT'!R866</f>
        <v>4800.04</v>
      </c>
      <c r="O263" s="202">
        <f>M263-N263</f>
        <v>15557.599999999999</v>
      </c>
      <c r="P263" s="203">
        <f>'Ben - No OT'!S866</f>
        <v>0</v>
      </c>
    </row>
    <row r="264" spans="1:20">
      <c r="A264" s="169"/>
      <c r="B264" s="229"/>
      <c r="C264" s="204" t="s">
        <v>101</v>
      </c>
      <c r="D264" s="531" cm="1">
        <f t="array" ref="D264:D265">'Ben - No OT'!K869:K870</f>
        <v>0.16666666666666666</v>
      </c>
      <c r="E264" s="531" cm="1">
        <f t="array" ref="E264:E265">'Ben - No OT'!L869:L870</f>
        <v>0.66666666666666663</v>
      </c>
      <c r="F264" s="531" cm="1">
        <f t="array" ref="F264:F265">'Ben - No OT'!M869:M870</f>
        <v>0.75</v>
      </c>
      <c r="G264" s="531" cm="1">
        <f t="array" ref="G264:G265">'Ben - No OT'!N869:N870</f>
        <v>0.5714285714285714</v>
      </c>
      <c r="H264" s="531" cm="1">
        <f t="array" ref="H264:H265">'Ben - No OT'!O869:O870</f>
        <v>0.5714285714285714</v>
      </c>
      <c r="I264" s="531" cm="1">
        <f t="array" ref="I264:I265">'Ben - No OT'!P869:P870</f>
        <v>0.51851851851851849</v>
      </c>
      <c r="J264" s="206"/>
      <c r="K264" s="207"/>
      <c r="L264" s="208"/>
      <c r="M264" s="189"/>
      <c r="N264" s="201"/>
      <c r="O264" s="191"/>
      <c r="P264" s="203"/>
    </row>
    <row r="265" spans="1:20">
      <c r="A265" s="169"/>
      <c r="B265" s="229"/>
      <c r="C265" s="226" t="s">
        <v>48</v>
      </c>
      <c r="D265" s="532">
        <v>1044.27</v>
      </c>
      <c r="E265" s="532">
        <v>893.8</v>
      </c>
      <c r="F265" s="532">
        <v>2220.9333333333334</v>
      </c>
      <c r="G265" s="532">
        <v>1636.2625</v>
      </c>
      <c r="H265" s="532">
        <v>1079.48</v>
      </c>
      <c r="I265" s="532">
        <v>1454.1171428571429</v>
      </c>
      <c r="J265" s="210"/>
      <c r="K265" s="211"/>
      <c r="L265" s="212"/>
      <c r="M265" s="213"/>
      <c r="N265" s="201"/>
      <c r="O265" s="214"/>
      <c r="P265" s="203"/>
    </row>
    <row r="266" spans="1:20">
      <c r="A266" s="169">
        <f>Bradley!T119</f>
        <v>5</v>
      </c>
      <c r="B266" s="318">
        <f>Bradley!T120</f>
        <v>0</v>
      </c>
      <c r="C266" s="195" t="s">
        <v>121</v>
      </c>
      <c r="D266" s="567">
        <f>Bradley!K125</f>
        <v>4722.46</v>
      </c>
      <c r="E266" s="567">
        <f>Bradley!L125</f>
        <v>3711.84</v>
      </c>
      <c r="F266" s="567">
        <f>Bradley!M125</f>
        <v>400</v>
      </c>
      <c r="G266" s="567">
        <f>Bradley!N125</f>
        <v>1641.3</v>
      </c>
      <c r="H266" s="567">
        <f>Bradley!O125</f>
        <v>7036.7000000000007</v>
      </c>
      <c r="I266" s="567">
        <f>Bradley!P125</f>
        <v>17512.3</v>
      </c>
      <c r="J266" s="197">
        <v>50000</v>
      </c>
      <c r="K266" s="198">
        <f>-J266+I266</f>
        <v>-32487.7</v>
      </c>
      <c r="L266" s="199"/>
      <c r="M266" s="215">
        <f>I266</f>
        <v>17512.3</v>
      </c>
      <c r="N266" s="216">
        <f>Bradley!R125</f>
        <v>1221.3</v>
      </c>
      <c r="O266" s="217">
        <f>M266-N266</f>
        <v>16291</v>
      </c>
      <c r="P266" s="216">
        <f>Bradley!S125</f>
        <v>0</v>
      </c>
    </row>
    <row r="267" spans="1:20">
      <c r="A267" s="169"/>
      <c r="B267" s="229"/>
      <c r="C267" s="204" t="s">
        <v>101</v>
      </c>
      <c r="D267" s="531" cm="1">
        <f t="array" ref="D267:D268">Bradley!K128:K129</f>
        <v>0.66666666666666663</v>
      </c>
      <c r="E267" s="531" cm="1">
        <f t="array" ref="E267:E268">Bradley!L128:L129</f>
        <v>0.25</v>
      </c>
      <c r="F267" s="531" cm="1">
        <f t="array" ref="F267:F268">Bradley!M128:M129</f>
        <v>0.16666666666666666</v>
      </c>
      <c r="G267" s="531" cm="1">
        <f t="array" ref="G267:G268">Bradley!N128:N129</f>
        <v>0.2</v>
      </c>
      <c r="H267" s="531" cm="1">
        <f t="array" ref="H267:H268">Bradley!O128:O129</f>
        <v>0.75</v>
      </c>
      <c r="I267" s="531" cm="1">
        <f t="array" ref="I267:I268">Bradley!P128:P129</f>
        <v>0.4</v>
      </c>
      <c r="J267" s="206"/>
      <c r="K267" s="218"/>
      <c r="L267" s="208"/>
      <c r="M267" s="219"/>
      <c r="N267" s="220"/>
      <c r="O267" s="221"/>
      <c r="P267" s="220"/>
    </row>
    <row r="268" spans="1:20">
      <c r="A268" s="169"/>
      <c r="B268" s="229"/>
      <c r="C268" s="226" t="s">
        <v>48</v>
      </c>
      <c r="D268" s="532">
        <v>1180.615</v>
      </c>
      <c r="E268" s="532">
        <v>3711.84</v>
      </c>
      <c r="F268" s="532">
        <v>400</v>
      </c>
      <c r="G268" s="532">
        <v>1641.3</v>
      </c>
      <c r="H268" s="532">
        <v>2345.5666666666671</v>
      </c>
      <c r="I268" s="532">
        <v>1751.23</v>
      </c>
      <c r="J268" s="206"/>
      <c r="K268" s="222"/>
      <c r="L268" s="212"/>
      <c r="M268" s="223"/>
      <c r="N268" s="192"/>
      <c r="O268" s="224"/>
      <c r="P268" s="192"/>
    </row>
    <row r="269" spans="1:20">
      <c r="A269" s="169">
        <f>Elliot!T374</f>
        <v>6</v>
      </c>
      <c r="B269" s="318">
        <f>Elliot!T375</f>
        <v>0</v>
      </c>
      <c r="C269" s="195" t="s">
        <v>116</v>
      </c>
      <c r="D269" s="567">
        <f>Elliot!K380</f>
        <v>6742.5</v>
      </c>
      <c r="E269" s="567">
        <f>Elliot!L380</f>
        <v>681</v>
      </c>
      <c r="F269" s="567">
        <f>Elliot!M380</f>
        <v>14930.070000000002</v>
      </c>
      <c r="G269" s="567">
        <f>Elliot!N380</f>
        <v>4358.8999999999996</v>
      </c>
      <c r="H269" s="567">
        <f>Elliot!O380</f>
        <v>3799.75</v>
      </c>
      <c r="I269" s="567">
        <f>Elliot!P380</f>
        <v>30512.22</v>
      </c>
      <c r="J269" s="197">
        <v>50000</v>
      </c>
      <c r="K269" s="198">
        <f>-J269+I269</f>
        <v>-19487.78</v>
      </c>
      <c r="L269" s="199">
        <f>Elliot!Q380</f>
        <v>7188.25</v>
      </c>
      <c r="M269" s="200">
        <f>I269</f>
        <v>30512.22</v>
      </c>
      <c r="N269" s="225">
        <f>Elliot!R380</f>
        <v>14421.48</v>
      </c>
      <c r="O269" s="202">
        <f>M269-N269</f>
        <v>16090.740000000002</v>
      </c>
      <c r="P269" s="216">
        <f>Elliot!S380</f>
        <v>6600.75</v>
      </c>
    </row>
    <row r="270" spans="1:20">
      <c r="A270" s="169"/>
      <c r="B270" s="229"/>
      <c r="C270" s="204" t="s">
        <v>101</v>
      </c>
      <c r="D270" s="531" cm="1">
        <f t="array" ref="D270:D271">Elliot!K383:K384</f>
        <v>0.42857142857142855</v>
      </c>
      <c r="E270" s="531" cm="1">
        <f t="array" ref="E270:E271">Elliot!L383:L384</f>
        <v>0.2</v>
      </c>
      <c r="F270" s="531" cm="1">
        <f t="array" ref="F270:F271">Elliot!M383:M384</f>
        <v>0.5</v>
      </c>
      <c r="G270" s="531" cm="1">
        <f t="array" ref="G270:G271">Elliot!N383:N384</f>
        <v>0.5714285714285714</v>
      </c>
      <c r="H270" s="531" cm="1">
        <f t="array" ref="H270:H271">Elliot!O383:O384</f>
        <v>0.44444444444444442</v>
      </c>
      <c r="I270" s="531" cm="1">
        <f t="array" ref="I270:I271">Elliot!P383:P384</f>
        <v>0.44117647058823528</v>
      </c>
      <c r="J270" s="206"/>
      <c r="K270" s="207"/>
      <c r="L270" s="208" cm="1">
        <f t="array" ref="L270:L271">Elliot!Q383:Q384</f>
        <v>0.4</v>
      </c>
      <c r="M270" s="189"/>
      <c r="N270" s="201"/>
      <c r="O270" s="191"/>
      <c r="P270" s="220"/>
    </row>
    <row r="271" spans="1:20">
      <c r="A271" s="169"/>
      <c r="B271" s="229"/>
      <c r="C271" s="204" t="s">
        <v>48</v>
      </c>
      <c r="D271" s="533">
        <v>2247.5</v>
      </c>
      <c r="E271" s="533">
        <v>681</v>
      </c>
      <c r="F271" s="533">
        <v>4976.6900000000005</v>
      </c>
      <c r="G271" s="533">
        <v>1089.7249999999999</v>
      </c>
      <c r="H271" s="533">
        <v>949.9375</v>
      </c>
      <c r="I271" s="533">
        <v>2034.1480000000001</v>
      </c>
      <c r="J271" s="210"/>
      <c r="K271" s="211"/>
      <c r="L271" s="228">
        <v>3594.125</v>
      </c>
      <c r="M271" s="213"/>
      <c r="N271" s="201"/>
      <c r="O271" s="214"/>
      <c r="P271" s="220"/>
    </row>
    <row r="272" spans="1:20">
      <c r="A272" s="169">
        <f>'Jarrod - No OT'!T716</f>
        <v>7</v>
      </c>
      <c r="B272" s="318">
        <f>'Jarrod - No OT'!T717</f>
        <v>0</v>
      </c>
      <c r="C272" s="195" t="s">
        <v>112</v>
      </c>
      <c r="D272" s="567">
        <f>'Jarrod - No OT'!K722</f>
        <v>8003.0599999999995</v>
      </c>
      <c r="E272" s="567">
        <f>'Jarrod - No OT'!L722</f>
        <v>2749.6499999999996</v>
      </c>
      <c r="F272" s="567">
        <f>'Jarrod - No OT'!M722</f>
        <v>13843.939999999999</v>
      </c>
      <c r="G272" s="567">
        <f>'Jarrod - No OT'!N722</f>
        <v>1779.3</v>
      </c>
      <c r="H272" s="567">
        <f>'Jarrod - No OT'!O722</f>
        <v>8713.9599999999991</v>
      </c>
      <c r="I272" s="567">
        <f>'Jarrod - No OT'!P722</f>
        <v>35089.909999999996</v>
      </c>
      <c r="J272" s="197">
        <v>50000</v>
      </c>
      <c r="K272" s="198">
        <f>-J272+I272</f>
        <v>-14910.090000000004</v>
      </c>
      <c r="L272" s="199"/>
      <c r="M272" s="200">
        <f>I272</f>
        <v>35089.909999999996</v>
      </c>
      <c r="N272" s="225">
        <f>'Jarrod - No OT'!R722</f>
        <v>9937.2599999999984</v>
      </c>
      <c r="O272" s="202">
        <f>M272-N272</f>
        <v>25152.649999999998</v>
      </c>
      <c r="P272" s="216">
        <f>'Jarrod - No OT'!S722</f>
        <v>0</v>
      </c>
    </row>
    <row r="273" spans="1:20">
      <c r="A273" s="169"/>
      <c r="B273" s="229"/>
      <c r="C273" s="204" t="s">
        <v>101</v>
      </c>
      <c r="D273" s="531" cm="1">
        <f t="array" ref="D273:D274">'Jarrod - No OT'!K725:K726</f>
        <v>0.5714285714285714</v>
      </c>
      <c r="E273" s="531" cm="1">
        <f t="array" ref="E273:E274">'Jarrod - No OT'!L725:L726</f>
        <v>0.5</v>
      </c>
      <c r="F273" s="531" cm="1">
        <f t="array" ref="F273:F274">'Jarrod - No OT'!M725:M726</f>
        <v>0.83333333333333337</v>
      </c>
      <c r="G273" s="531" cm="1">
        <f t="array" ref="G273:G274">'Jarrod - No OT'!N725:N726</f>
        <v>0.33333333333333331</v>
      </c>
      <c r="H273" s="531" cm="1">
        <f t="array" ref="H273:H274">'Jarrod - No OT'!O725:O726</f>
        <v>0.8</v>
      </c>
      <c r="I273" s="531" cm="1">
        <f t="array" ref="I273:I274">'Jarrod - No OT'!P725:P726</f>
        <v>0.6071428571428571</v>
      </c>
      <c r="J273" s="206"/>
      <c r="K273" s="207"/>
      <c r="L273" s="208"/>
      <c r="M273" s="189"/>
      <c r="N273" s="201"/>
      <c r="O273" s="191"/>
      <c r="P273" s="220"/>
    </row>
    <row r="274" spans="1:20">
      <c r="A274" s="169"/>
      <c r="B274" s="229"/>
      <c r="C274" s="204" t="s">
        <v>48</v>
      </c>
      <c r="D274" s="533">
        <v>2000.7649999999999</v>
      </c>
      <c r="E274" s="533">
        <v>1374.8249999999998</v>
      </c>
      <c r="F274" s="533">
        <v>2768.7879999999996</v>
      </c>
      <c r="G274" s="533">
        <v>889.65</v>
      </c>
      <c r="H274" s="533">
        <v>2178.4899999999998</v>
      </c>
      <c r="I274" s="533">
        <v>2064.1123529411761</v>
      </c>
      <c r="J274" s="206"/>
      <c r="K274" s="211"/>
      <c r="L274" s="228"/>
      <c r="M274" s="213"/>
      <c r="N274" s="201"/>
      <c r="O274" s="214"/>
      <c r="P274" s="220"/>
    </row>
    <row r="275" spans="1:20">
      <c r="A275" s="229">
        <f>Liam!T843-1-1</f>
        <v>0</v>
      </c>
      <c r="B275" s="318">
        <f>Liam!T844</f>
        <v>0</v>
      </c>
      <c r="C275" s="195" t="s">
        <v>109</v>
      </c>
      <c r="D275" s="567">
        <f>Liam!K849</f>
        <v>2984.8999999999996</v>
      </c>
      <c r="E275" s="567">
        <f>Liam!L849</f>
        <v>9141.48</v>
      </c>
      <c r="F275" s="567">
        <f>Liam!M849</f>
        <v>3627.54</v>
      </c>
      <c r="G275" s="567">
        <f>Liam!N849</f>
        <v>13767.8</v>
      </c>
      <c r="H275" s="567">
        <f>Liam!O849</f>
        <v>19254.25</v>
      </c>
      <c r="I275" s="567">
        <f>Liam!P849</f>
        <v>48775.97</v>
      </c>
      <c r="J275" s="197">
        <v>50000</v>
      </c>
      <c r="K275" s="198">
        <f>-J275+I275</f>
        <v>-1224.0299999999988</v>
      </c>
      <c r="L275" s="199"/>
      <c r="M275" s="200">
        <f>I275</f>
        <v>48775.97</v>
      </c>
      <c r="N275" s="225">
        <f>Liam!R849</f>
        <v>37841.380000000005</v>
      </c>
      <c r="O275" s="202">
        <f>M275-N275</f>
        <v>10934.589999999997</v>
      </c>
      <c r="P275" s="230">
        <f>Liam!S849</f>
        <v>0</v>
      </c>
    </row>
    <row r="276" spans="1:20">
      <c r="A276" s="229"/>
      <c r="B276" s="229"/>
      <c r="C276" s="204" t="s">
        <v>101</v>
      </c>
      <c r="D276" s="531" cm="1">
        <f t="array" ref="D276:D277">Liam!K852:K853</f>
        <v>0.3</v>
      </c>
      <c r="E276" s="531" cm="1">
        <f t="array" ref="E276:E277">Liam!L852:L853</f>
        <v>0.375</v>
      </c>
      <c r="F276" s="531" cm="1">
        <f t="array" ref="F276:F277">Liam!M852:M853</f>
        <v>0.4</v>
      </c>
      <c r="G276" s="531" cm="1">
        <f t="array" ref="G276:G277">Liam!N852:N853</f>
        <v>0.3</v>
      </c>
      <c r="H276" s="531" cm="1">
        <f t="array" ref="H276:H277">Liam!O852:O853</f>
        <v>0.42857142857142855</v>
      </c>
      <c r="I276" s="531" cm="1">
        <f t="array" ref="I276:I277">Liam!P852:P853</f>
        <v>0.35</v>
      </c>
      <c r="J276" s="206"/>
      <c r="K276" s="207"/>
      <c r="L276" s="208"/>
      <c r="M276" s="189"/>
      <c r="N276" s="201"/>
      <c r="O276" s="191"/>
      <c r="P276" s="203"/>
    </row>
    <row r="277" spans="1:20">
      <c r="A277" s="229"/>
      <c r="B277" s="229"/>
      <c r="C277" s="204" t="s">
        <v>48</v>
      </c>
      <c r="D277" s="532">
        <v>994.96666666666658</v>
      </c>
      <c r="E277" s="532">
        <v>3047.16</v>
      </c>
      <c r="F277" s="532">
        <v>1813.77</v>
      </c>
      <c r="G277" s="532">
        <v>4589.2666666666664</v>
      </c>
      <c r="H277" s="532">
        <v>6418.083333333333</v>
      </c>
      <c r="I277" s="532">
        <v>3483.9978571428574</v>
      </c>
      <c r="J277" s="206"/>
      <c r="K277" s="207"/>
      <c r="L277" s="212"/>
      <c r="M277" s="189"/>
      <c r="N277" s="201"/>
      <c r="O277" s="191"/>
      <c r="P277" s="203"/>
    </row>
    <row r="278" spans="1:20">
      <c r="A278" s="169">
        <f>'Rhys C'!T464</f>
        <v>3</v>
      </c>
      <c r="B278" s="318">
        <f>'Rhys C'!T465</f>
        <v>0</v>
      </c>
      <c r="C278" s="195" t="s">
        <v>117</v>
      </c>
      <c r="D278" s="567"/>
      <c r="E278" s="567">
        <f>'Rhys C'!L470</f>
        <v>1711.3</v>
      </c>
      <c r="F278" s="567">
        <f>'Rhys C'!M470</f>
        <v>6662.3600000000006</v>
      </c>
      <c r="G278" s="567">
        <f>'Rhys C'!N470</f>
        <v>2739.6</v>
      </c>
      <c r="H278" s="567">
        <f>'Rhys C'!O470</f>
        <v>26713.8</v>
      </c>
      <c r="I278" s="567">
        <f>'Rhys C'!P470</f>
        <v>37827.06</v>
      </c>
      <c r="J278" s="197">
        <v>50000</v>
      </c>
      <c r="K278" s="198">
        <f>-J278+I278</f>
        <v>-12172.940000000002</v>
      </c>
      <c r="L278" s="199"/>
      <c r="M278" s="200">
        <f>I278</f>
        <v>37827.06</v>
      </c>
      <c r="N278" s="225">
        <f>'Rhys C'!R470</f>
        <v>16868.199999999997</v>
      </c>
      <c r="O278" s="202">
        <f>M278-N278</f>
        <v>20958.86</v>
      </c>
      <c r="P278" s="230">
        <f>'Rhys C'!S470</f>
        <v>0</v>
      </c>
    </row>
    <row r="279" spans="1:20">
      <c r="A279" s="169"/>
      <c r="B279" s="229"/>
      <c r="C279" s="204" t="s">
        <v>101</v>
      </c>
      <c r="D279" s="535"/>
      <c r="E279" s="535" cm="1">
        <f t="array" ref="E279:E280">'Rhys C'!L473:L474</f>
        <v>0.25</v>
      </c>
      <c r="F279" s="535" cm="1">
        <f t="array" ref="F279:F280">'Rhys C'!M473:M474</f>
        <v>0.5</v>
      </c>
      <c r="G279" s="535" cm="1">
        <f t="array" ref="G279:G280">'Rhys C'!N473:N474</f>
        <v>0.3</v>
      </c>
      <c r="H279" s="535" cm="1">
        <f t="array" ref="H279:H280">'Rhys C'!O473:O474</f>
        <v>0.66666666666666663</v>
      </c>
      <c r="I279" s="535" cm="1">
        <f t="array" ref="I279:I280">'Rhys C'!P473:P474</f>
        <v>0.42424242424242425</v>
      </c>
      <c r="J279" s="206"/>
      <c r="K279" s="207"/>
      <c r="L279" s="208"/>
      <c r="M279" s="189"/>
      <c r="N279" s="201"/>
      <c r="O279" s="191"/>
      <c r="P279" s="203"/>
    </row>
    <row r="280" spans="1:20">
      <c r="A280" s="169"/>
      <c r="B280" s="229"/>
      <c r="C280" s="204" t="s">
        <v>48</v>
      </c>
      <c r="D280" s="536"/>
      <c r="E280" s="536">
        <v>855.65</v>
      </c>
      <c r="F280" s="536">
        <v>2220.7866666666669</v>
      </c>
      <c r="G280" s="536">
        <v>913.19999999999993</v>
      </c>
      <c r="H280" s="536">
        <v>4452.3</v>
      </c>
      <c r="I280" s="536">
        <v>2701.9328571428568</v>
      </c>
      <c r="J280" s="210"/>
      <c r="K280" s="211"/>
      <c r="L280" s="228"/>
      <c r="M280" s="213"/>
      <c r="N280" s="190"/>
      <c r="O280" s="214"/>
      <c r="P280" s="233"/>
    </row>
    <row r="281" spans="1:20">
      <c r="A281" s="229">
        <f>'Shaun - No OT'!T771-0.5-0.5-0.5</f>
        <v>5.5</v>
      </c>
      <c r="B281" s="318">
        <f>'Shaun - No OT'!T772</f>
        <v>0</v>
      </c>
      <c r="C281" s="195" t="s">
        <v>107</v>
      </c>
      <c r="D281" s="567">
        <f>'Shaun - No OT'!K777</f>
        <v>8331.64</v>
      </c>
      <c r="E281" s="567">
        <f>'Shaun - No OT'!L777</f>
        <v>11111.650000000001</v>
      </c>
      <c r="F281" s="567">
        <f>'Shaun - No OT'!M777</f>
        <v>7426.12</v>
      </c>
      <c r="G281" s="567">
        <f>'Shaun - No OT'!N777</f>
        <v>4364.8999999999996</v>
      </c>
      <c r="H281" s="567">
        <f>'Shaun - No OT'!O777</f>
        <v>6638.44</v>
      </c>
      <c r="I281" s="567">
        <f>'Shaun - No OT'!P777</f>
        <v>37872.75</v>
      </c>
      <c r="J281" s="206">
        <v>50000</v>
      </c>
      <c r="K281" s="207">
        <f>-J281+I281</f>
        <v>-12127.25</v>
      </c>
      <c r="L281" s="212"/>
      <c r="M281" s="189">
        <f>I281</f>
        <v>37872.75</v>
      </c>
      <c r="N281" s="201">
        <f>'Shaun - No OT'!R777</f>
        <v>2221.3000000000002</v>
      </c>
      <c r="O281" s="191">
        <f>M281-N281</f>
        <v>35651.449999999997</v>
      </c>
      <c r="P281" s="220">
        <f>'Shaun - No OT'!S777</f>
        <v>0</v>
      </c>
    </row>
    <row r="282" spans="1:20">
      <c r="A282" s="229"/>
      <c r="B282" s="229"/>
      <c r="C282" s="204" t="s">
        <v>101</v>
      </c>
      <c r="D282" s="531" cm="1">
        <f t="array" ref="D282:D283">'Shaun - No OT'!K780:K781</f>
        <v>0.54545454545454541</v>
      </c>
      <c r="E282" s="531" cm="1">
        <f t="array" ref="E282:E283">'Shaun - No OT'!L780:L781</f>
        <v>0.83333333333333337</v>
      </c>
      <c r="F282" s="531" cm="1">
        <f t="array" ref="F282:F283">'Shaun - No OT'!M780:M781</f>
        <v>0.45454545454545453</v>
      </c>
      <c r="G282" s="531" cm="1">
        <f t="array" ref="G282:G283">'Shaun - No OT'!N780:N781</f>
        <v>0.5714285714285714</v>
      </c>
      <c r="H282" s="531" cm="1">
        <f t="array" ref="H282:H283">'Shaun - No OT'!O780:O781</f>
        <v>0.7142857142857143</v>
      </c>
      <c r="I282" s="531" cm="1">
        <f t="array" ref="I282:I283">'Shaun - No OT'!P780:P781</f>
        <v>0.59523809523809523</v>
      </c>
      <c r="J282" s="206"/>
      <c r="K282" s="207"/>
      <c r="L282" s="208"/>
      <c r="M282" s="189"/>
      <c r="N282" s="201"/>
      <c r="O282" s="234"/>
      <c r="P282" s="220"/>
    </row>
    <row r="283" spans="1:20">
      <c r="A283" s="229"/>
      <c r="B283" s="229"/>
      <c r="C283" s="226" t="s">
        <v>48</v>
      </c>
      <c r="D283" s="532">
        <v>1388.6066666666666</v>
      </c>
      <c r="E283" s="532">
        <v>2222.3300000000004</v>
      </c>
      <c r="F283" s="532">
        <v>1485.2239999999999</v>
      </c>
      <c r="G283" s="532">
        <v>1091.2249999999999</v>
      </c>
      <c r="H283" s="532">
        <v>1327.6879999999999</v>
      </c>
      <c r="I283" s="532">
        <v>1514.91</v>
      </c>
      <c r="J283" s="210"/>
      <c r="K283" s="211"/>
      <c r="L283" s="228"/>
      <c r="M283" s="213"/>
      <c r="N283" s="190"/>
      <c r="O283" s="235"/>
      <c r="P283" s="192"/>
    </row>
    <row r="284" spans="1:20">
      <c r="A284" s="236">
        <f>SUM(A263:A283)</f>
        <v>36</v>
      </c>
      <c r="B284" s="236">
        <f>SUM(B263:B283)</f>
        <v>0</v>
      </c>
      <c r="C284" s="237" t="s">
        <v>102</v>
      </c>
      <c r="D284" s="238">
        <f>D263+D266++D269+D272+D275+D278+D281</f>
        <v>31828.83</v>
      </c>
      <c r="E284" s="238">
        <f>E263+E266++E269+E272+E275+E278+E281</f>
        <v>30894.52</v>
      </c>
      <c r="F284" s="238">
        <f>F263+F266++F269+F272+F275+F278+F281</f>
        <v>53552.83</v>
      </c>
      <c r="G284" s="238">
        <f>G263+G266++G269+G272+G275+G278+G281</f>
        <v>35196.85</v>
      </c>
      <c r="H284" s="238">
        <f>H263+H266++H269+H272+H275+H278+H281</f>
        <v>76474.820000000007</v>
      </c>
      <c r="I284" s="239">
        <f>I263+I266++I269+I272+I275+I278+I281</f>
        <v>227947.85</v>
      </c>
      <c r="J284" s="238">
        <f>J263+J266++J269+J272+J275+J278+J281</f>
        <v>350000</v>
      </c>
      <c r="K284" s="240">
        <f>K263+K266++K269+K272+K275+K278+K281</f>
        <v>-122052.15</v>
      </c>
      <c r="L284" s="241">
        <f>L263+L266++L269+L272+L275+L278+L281</f>
        <v>7188.25</v>
      </c>
      <c r="M284" s="239">
        <f>M263+M266++M269+M272+M275+M278+M281</f>
        <v>227947.85</v>
      </c>
      <c r="N284" s="240">
        <f>N263+N266++N269+N272+N275+N278+N281</f>
        <v>87310.96</v>
      </c>
      <c r="O284" s="241">
        <f>O263+O266++O269+O272+O275+O278+O281</f>
        <v>140636.88999999998</v>
      </c>
      <c r="P284" s="240">
        <f>P263+P266++P269+P272+P275+P278+P281</f>
        <v>6600.75</v>
      </c>
    </row>
    <row r="285" spans="1:20">
      <c r="A285" s="243"/>
      <c r="B285" s="244"/>
      <c r="C285" s="244"/>
      <c r="D285" s="244"/>
      <c r="E285" s="244"/>
      <c r="F285" s="244"/>
      <c r="G285" s="244"/>
      <c r="H285" s="244"/>
      <c r="I285" s="245">
        <f>I284+L284</f>
        <v>235136.1</v>
      </c>
      <c r="J285" s="246">
        <f>J284+K284</f>
        <v>227947.85</v>
      </c>
      <c r="K285" s="247"/>
      <c r="L285" s="248"/>
      <c r="M285" s="249"/>
      <c r="N285" s="250">
        <f>M284-O284</f>
        <v>87310.960000000021</v>
      </c>
      <c r="O285" s="251"/>
      <c r="P285" s="201"/>
    </row>
    <row r="286" spans="1:20">
      <c r="R286" s="294">
        <f>'Ben - No OT'!P866+Bradley!P125+Elliot!P380+'Jarrod - No OT'!P722+Liam!P849+'Rhys C'!P470+'Shaun - No OT'!P777</f>
        <v>227947.85</v>
      </c>
      <c r="S286" s="294">
        <f>'Ben - No OT'!Q866+Bradley!Q125+Elliot!Q380+'Jarrod - No OT'!Q722+Liam!Q849+'Rhys C'!Q470+'Shaun - No OT'!Q777</f>
        <v>7188.25</v>
      </c>
      <c r="T286" s="294">
        <f>'Ben - No OT'!R866+Bradley!R125+Elliot!R380+'Jarrod - No OT'!R722+Liam!R849+'Rhys C'!R470+'Shaun - No OT'!R777</f>
        <v>87310.96</v>
      </c>
    </row>
    <row r="287" spans="1:20">
      <c r="R287" s="294">
        <f>R286+S286</f>
        <v>235136.1</v>
      </c>
      <c r="S287" s="294"/>
      <c r="T287" s="294"/>
    </row>
    <row r="289" spans="1:16">
      <c r="A289" s="169"/>
      <c r="B289" s="170"/>
      <c r="C289" s="171" t="s">
        <v>87</v>
      </c>
      <c r="D289" s="172" t="s">
        <v>140</v>
      </c>
      <c r="E289" s="173"/>
      <c r="F289" s="173"/>
      <c r="G289" s="173"/>
      <c r="H289" s="173"/>
      <c r="I289" s="173"/>
      <c r="J289" s="174" t="s">
        <v>88</v>
      </c>
      <c r="K289" s="175"/>
      <c r="L289" s="176"/>
      <c r="M289" s="177"/>
      <c r="N289" s="178"/>
      <c r="O289" s="179" t="s">
        <v>89</v>
      </c>
      <c r="P289" s="180" t="s">
        <v>29</v>
      </c>
    </row>
    <row r="290" spans="1:16">
      <c r="A290" s="564" t="s">
        <v>90</v>
      </c>
      <c r="B290" s="565" t="s">
        <v>20</v>
      </c>
      <c r="C290" s="566"/>
      <c r="D290" s="184" t="s">
        <v>91</v>
      </c>
      <c r="E290" s="185" t="s">
        <v>92</v>
      </c>
      <c r="F290" s="185" t="s">
        <v>93</v>
      </c>
      <c r="G290" s="185" t="s">
        <v>94</v>
      </c>
      <c r="H290" s="185" t="s">
        <v>95</v>
      </c>
      <c r="I290" s="184" t="s">
        <v>96</v>
      </c>
      <c r="J290" s="186" t="s">
        <v>97</v>
      </c>
      <c r="K290" s="187" t="s">
        <v>98</v>
      </c>
      <c r="L290" s="188" t="s">
        <v>29</v>
      </c>
      <c r="M290" s="189" t="s">
        <v>89</v>
      </c>
      <c r="N290" s="190" t="s">
        <v>99</v>
      </c>
      <c r="O290" s="191" t="s">
        <v>100</v>
      </c>
      <c r="P290" s="192" t="s">
        <v>99</v>
      </c>
    </row>
    <row r="291" spans="1:16">
      <c r="A291" s="169">
        <f>'Jarrod - No OT'!T811-1</f>
        <v>6</v>
      </c>
      <c r="B291" s="318">
        <f>'Jarrod - No OT'!T812</f>
        <v>0</v>
      </c>
      <c r="C291" s="195" t="s">
        <v>112</v>
      </c>
      <c r="D291" s="567">
        <f>'Jarrod - No OT'!K817</f>
        <v>3237.4700000000003</v>
      </c>
      <c r="E291" s="567">
        <f>'Jarrod - No OT'!L817</f>
        <v>20715.75</v>
      </c>
      <c r="F291" s="567">
        <f>'Jarrod - No OT'!M817</f>
        <v>1868.8999999999999</v>
      </c>
      <c r="G291" s="567">
        <f>'Jarrod - No OT'!N817</f>
        <v>7277.5499999999993</v>
      </c>
      <c r="H291" s="567"/>
      <c r="I291" s="567">
        <f>'Jarrod - No OT'!P817</f>
        <v>33099.67</v>
      </c>
      <c r="J291" s="197">
        <v>50000</v>
      </c>
      <c r="K291" s="198">
        <f>-J291+I291</f>
        <v>-16900.330000000002</v>
      </c>
      <c r="L291" s="541"/>
      <c r="M291" s="658">
        <f>I291</f>
        <v>33099.67</v>
      </c>
      <c r="N291" s="659">
        <f>'Jarrod - No OT'!R817</f>
        <v>4861.2900000000009</v>
      </c>
      <c r="O291" s="660">
        <f>M291-N291</f>
        <v>28238.379999999997</v>
      </c>
      <c r="P291" s="661">
        <f>'Jarrod - No OT'!S817</f>
        <v>0</v>
      </c>
    </row>
    <row r="292" spans="1:16">
      <c r="A292" s="169"/>
      <c r="B292" s="229"/>
      <c r="C292" s="204" t="s">
        <v>101</v>
      </c>
      <c r="D292" s="531" cm="1">
        <f t="array" ref="D292:D293">'Jarrod - No OT'!K820:K821</f>
        <v>0.5</v>
      </c>
      <c r="E292" s="531" cm="1">
        <f t="array" ref="E292:E293">'Jarrod - No OT'!L820:L821</f>
        <v>1</v>
      </c>
      <c r="F292" s="531" cm="1">
        <f t="array" ref="F292:F293">'Jarrod - No OT'!M820:M821</f>
        <v>1</v>
      </c>
      <c r="G292" s="531" cm="1">
        <f t="array" ref="G292:G293">'Jarrod - No OT'!N820:N821</f>
        <v>0.5714285714285714</v>
      </c>
      <c r="H292" s="531"/>
      <c r="I292" s="531" cm="1">
        <f t="array" ref="I292:I293">'Jarrod - No OT'!P820:P821</f>
        <v>0.59090909090909094</v>
      </c>
      <c r="J292" s="206"/>
      <c r="K292" s="207"/>
      <c r="L292" s="542"/>
      <c r="M292" s="662"/>
      <c r="N292" s="659"/>
      <c r="O292" s="663"/>
      <c r="P292" s="661"/>
    </row>
    <row r="293" spans="1:16">
      <c r="A293" s="169"/>
      <c r="B293" s="229"/>
      <c r="C293" s="226" t="s">
        <v>48</v>
      </c>
      <c r="D293" s="532">
        <v>1618.7350000000001</v>
      </c>
      <c r="E293" s="532">
        <v>4143.1499999999996</v>
      </c>
      <c r="F293" s="532">
        <v>934.44999999999993</v>
      </c>
      <c r="G293" s="532">
        <v>1819.3874999999998</v>
      </c>
      <c r="H293" s="532"/>
      <c r="I293" s="532">
        <v>2546.1284615384616</v>
      </c>
      <c r="J293" s="210"/>
      <c r="K293" s="211"/>
      <c r="L293" s="561"/>
      <c r="M293" s="664"/>
      <c r="N293" s="659"/>
      <c r="O293" s="665"/>
      <c r="P293" s="661"/>
    </row>
    <row r="294" spans="1:16">
      <c r="A294" s="169">
        <f>'Shaun - No OT'!T869-0.5</f>
        <v>5.5</v>
      </c>
      <c r="B294" s="318">
        <f>'Shaun - No OT'!T870</f>
        <v>1</v>
      </c>
      <c r="C294" s="195" t="s">
        <v>107</v>
      </c>
      <c r="D294" s="567">
        <f>'Shaun - No OT'!K875</f>
        <v>9299.43</v>
      </c>
      <c r="E294" s="567">
        <f>'Shaun - No OT'!L875</f>
        <v>29556.050000000003</v>
      </c>
      <c r="F294" s="567">
        <f>'Shaun - No OT'!M875</f>
        <v>3732.8</v>
      </c>
      <c r="G294" s="567">
        <f>'Shaun - No OT'!N875</f>
        <v>23342.690000000002</v>
      </c>
      <c r="H294" s="567">
        <f>'Shaun - No OT'!O875</f>
        <v>5937.96</v>
      </c>
      <c r="I294" s="567">
        <f>'Shaun - No OT'!P875</f>
        <v>71868.930000000008</v>
      </c>
      <c r="J294" s="197">
        <v>50000</v>
      </c>
      <c r="K294" s="198">
        <f>-J294+I294</f>
        <v>21868.930000000008</v>
      </c>
      <c r="L294" s="541"/>
      <c r="M294" s="666">
        <f>I294</f>
        <v>71868.930000000008</v>
      </c>
      <c r="N294" s="667">
        <f>'Shaun - No OT'!R875</f>
        <v>47464.670000000006</v>
      </c>
      <c r="O294" s="668">
        <f>M294-N294</f>
        <v>24404.260000000002</v>
      </c>
      <c r="P294" s="667">
        <f>'Shaun - No OT'!S875</f>
        <v>0</v>
      </c>
    </row>
    <row r="295" spans="1:16">
      <c r="A295" s="169"/>
      <c r="B295" s="229"/>
      <c r="C295" s="204" t="s">
        <v>101</v>
      </c>
      <c r="D295" s="531" cm="1">
        <f t="array" ref="D295:D296">'Shaun - No OT'!K878:K879</f>
        <v>0.5</v>
      </c>
      <c r="E295" s="531" cm="1">
        <f t="array" ref="E295:E296">'Shaun - No OT'!L878:L879</f>
        <v>0.7</v>
      </c>
      <c r="F295" s="531" cm="1">
        <f t="array" ref="F295:F296">'Shaun - No OT'!M878:M879</f>
        <v>0.5</v>
      </c>
      <c r="G295" s="531" cm="1">
        <f t="array" ref="G295:G296">'Shaun - No OT'!N878:N879</f>
        <v>0.55555555555555558</v>
      </c>
      <c r="H295" s="531" cm="1">
        <f t="array" ref="H295:H296">'Shaun - No OT'!O878:O879</f>
        <v>0.33333333333333331</v>
      </c>
      <c r="I295" s="531" cm="1">
        <f t="array" ref="I295:I296">'Shaun - No OT'!P878:P879</f>
        <v>0.55882352941176472</v>
      </c>
      <c r="J295" s="206"/>
      <c r="K295" s="218"/>
      <c r="L295" s="542"/>
      <c r="M295" s="669"/>
      <c r="N295" s="670"/>
      <c r="O295" s="671"/>
      <c r="P295" s="670"/>
    </row>
    <row r="296" spans="1:16">
      <c r="A296" s="169"/>
      <c r="B296" s="229"/>
      <c r="C296" s="226" t="s">
        <v>48</v>
      </c>
      <c r="D296" s="532">
        <v>3099.81</v>
      </c>
      <c r="E296" s="532">
        <v>4222.2928571428574</v>
      </c>
      <c r="F296" s="532">
        <v>1244.2666666666667</v>
      </c>
      <c r="G296" s="532">
        <v>4668.5380000000005</v>
      </c>
      <c r="H296" s="532">
        <v>5937.96</v>
      </c>
      <c r="I296" s="532">
        <v>3782.5752631578953</v>
      </c>
      <c r="J296" s="206"/>
      <c r="K296" s="222"/>
      <c r="L296" s="561"/>
      <c r="M296" s="672"/>
      <c r="N296" s="673"/>
      <c r="O296" s="674"/>
      <c r="P296" s="673"/>
    </row>
    <row r="297" spans="1:16">
      <c r="A297" s="169">
        <f>'Ben - No OT'!T947-0.5-0.5-0.5</f>
        <v>7.5</v>
      </c>
      <c r="B297" s="318">
        <f>'Ben - No OT'!T948</f>
        <v>0</v>
      </c>
      <c r="C297" s="195" t="s">
        <v>106</v>
      </c>
      <c r="D297" s="567">
        <f>'Ben - No OT'!K953</f>
        <v>4986.04</v>
      </c>
      <c r="E297" s="567">
        <f>'Ben - No OT'!L953</f>
        <v>1321.3</v>
      </c>
      <c r="F297" s="567">
        <f>'Ben - No OT'!M953</f>
        <v>2375.6</v>
      </c>
      <c r="G297" s="567">
        <f>'Ben - No OT'!N953</f>
        <v>3826.08</v>
      </c>
      <c r="H297" s="567">
        <f>'Ben - No OT'!O953</f>
        <v>5897.6</v>
      </c>
      <c r="I297" s="567">
        <f>'Ben - No OT'!P953</f>
        <v>18406.620000000003</v>
      </c>
      <c r="J297" s="197">
        <v>50000</v>
      </c>
      <c r="K297" s="198">
        <f>-J297+I297</f>
        <v>-31593.379999999997</v>
      </c>
      <c r="L297" s="541"/>
      <c r="M297" s="658">
        <f>I297</f>
        <v>18406.620000000003</v>
      </c>
      <c r="N297" s="675">
        <f>'Ben - No OT'!R953</f>
        <v>4421.3</v>
      </c>
      <c r="O297" s="660">
        <f>M297-N297</f>
        <v>13985.320000000003</v>
      </c>
      <c r="P297" s="667">
        <f>'Ben - No OT'!S953</f>
        <v>0</v>
      </c>
    </row>
    <row r="298" spans="1:16">
      <c r="A298" s="169"/>
      <c r="B298" s="229"/>
      <c r="C298" s="204" t="s">
        <v>101</v>
      </c>
      <c r="D298" s="531" cm="1">
        <f t="array" ref="D298:D299">'Ben - No OT'!K956:K957</f>
        <v>0.75</v>
      </c>
      <c r="E298" s="531" cm="1">
        <f t="array" ref="E298:E299">'Ben - No OT'!L956:L957</f>
        <v>0.33333333333333331</v>
      </c>
      <c r="F298" s="531" cm="1">
        <f t="array" ref="F298:F299">'Ben - No OT'!M956:M957</f>
        <v>0.5</v>
      </c>
      <c r="G298" s="531" cm="1">
        <f t="array" ref="G298:G299">'Ben - No OT'!N956:N957</f>
        <v>0.6</v>
      </c>
      <c r="H298" s="531" cm="1">
        <f t="array" ref="H298:H299">'Ben - No OT'!O956:O957</f>
        <v>0.75</v>
      </c>
      <c r="I298" s="531" cm="1">
        <f t="array" ref="I298:I299">'Ben - No OT'!P956:P957</f>
        <v>0.56521739130434778</v>
      </c>
      <c r="J298" s="206"/>
      <c r="K298" s="207"/>
      <c r="L298" s="542"/>
      <c r="M298" s="662"/>
      <c r="N298" s="659"/>
      <c r="O298" s="663"/>
      <c r="P298" s="670"/>
    </row>
    <row r="299" spans="1:16">
      <c r="A299" s="169"/>
      <c r="B299" s="229"/>
      <c r="C299" s="204" t="s">
        <v>48</v>
      </c>
      <c r="D299" s="533">
        <v>1662.0133333333333</v>
      </c>
      <c r="E299" s="533">
        <v>660.65</v>
      </c>
      <c r="F299" s="533">
        <v>1187.8</v>
      </c>
      <c r="G299" s="533">
        <v>1275.3599999999999</v>
      </c>
      <c r="H299" s="533">
        <v>1965.8666666666668</v>
      </c>
      <c r="I299" s="533">
        <v>1415.8938461538464</v>
      </c>
      <c r="J299" s="210"/>
      <c r="K299" s="211"/>
      <c r="L299" s="543"/>
      <c r="M299" s="664"/>
      <c r="N299" s="659"/>
      <c r="O299" s="665"/>
      <c r="P299" s="670"/>
    </row>
    <row r="300" spans="1:16">
      <c r="A300" s="169">
        <f>Bradley!T186</f>
        <v>5</v>
      </c>
      <c r="B300" s="318">
        <f>Bradley!T187</f>
        <v>0</v>
      </c>
      <c r="C300" s="195" t="s">
        <v>121</v>
      </c>
      <c r="D300" s="567">
        <f>Bradley!K192</f>
        <v>1502.3</v>
      </c>
      <c r="E300" s="567">
        <f>Bradley!L192</f>
        <v>6174.2</v>
      </c>
      <c r="F300" s="567">
        <f>Bradley!M192</f>
        <v>1098.3</v>
      </c>
      <c r="G300" s="567">
        <f>Bradley!N192</f>
        <v>22243.16</v>
      </c>
      <c r="H300" s="567">
        <f>Bradley!O192</f>
        <v>4789.34</v>
      </c>
      <c r="I300" s="567">
        <f>Bradley!P192</f>
        <v>35807.300000000003</v>
      </c>
      <c r="J300" s="197">
        <v>50000</v>
      </c>
      <c r="K300" s="198">
        <f>-J300+I300</f>
        <v>-14192.699999999997</v>
      </c>
      <c r="L300" s="541"/>
      <c r="M300" s="658">
        <f>I300</f>
        <v>35807.300000000003</v>
      </c>
      <c r="N300" s="675">
        <f>Bradley!R192</f>
        <v>14496.349999999999</v>
      </c>
      <c r="O300" s="660">
        <f>M300-N300</f>
        <v>21310.950000000004</v>
      </c>
      <c r="P300" s="667">
        <f>Bradley!S192</f>
        <v>0</v>
      </c>
    </row>
    <row r="301" spans="1:16">
      <c r="A301" s="169"/>
      <c r="B301" s="229"/>
      <c r="C301" s="204" t="s">
        <v>101</v>
      </c>
      <c r="D301" s="531" cm="1">
        <f t="array" ref="D301:D302">Bradley!K195:K196</f>
        <v>0.4</v>
      </c>
      <c r="E301" s="531" cm="1">
        <f t="array" ref="E301:E302">Bradley!L195:L196</f>
        <v>0.625</v>
      </c>
      <c r="F301" s="531" cm="1">
        <f t="array" ref="F301:F302">Bradley!M195:M196</f>
        <v>0.16666666666666666</v>
      </c>
      <c r="G301" s="531" cm="1">
        <f t="array" ref="G301:G302">Bradley!N195:N196</f>
        <v>1</v>
      </c>
      <c r="H301" s="531" cm="1">
        <f t="array" ref="H301:H302">Bradley!O195:O196</f>
        <v>0.5</v>
      </c>
      <c r="I301" s="531" cm="1">
        <f t="array" ref="I301:I302">Bradley!P195:P196</f>
        <v>0.54838709677419351</v>
      </c>
      <c r="J301" s="206"/>
      <c r="K301" s="207"/>
      <c r="L301" s="542"/>
      <c r="M301" s="662"/>
      <c r="N301" s="659"/>
      <c r="O301" s="663"/>
      <c r="P301" s="670"/>
    </row>
    <row r="302" spans="1:16">
      <c r="A302" s="169"/>
      <c r="B302" s="229"/>
      <c r="C302" s="204" t="s">
        <v>48</v>
      </c>
      <c r="D302" s="533">
        <v>751.15</v>
      </c>
      <c r="E302" s="533">
        <v>1234.8399999999999</v>
      </c>
      <c r="F302" s="533">
        <v>1098.3</v>
      </c>
      <c r="G302" s="533">
        <v>3707.1933333333332</v>
      </c>
      <c r="H302" s="533">
        <v>1596.4466666666667</v>
      </c>
      <c r="I302" s="533">
        <v>2106.3117647058825</v>
      </c>
      <c r="J302" s="206"/>
      <c r="K302" s="211"/>
      <c r="L302" s="543"/>
      <c r="M302" s="664"/>
      <c r="N302" s="659"/>
      <c r="O302" s="665"/>
      <c r="P302" s="670"/>
    </row>
    <row r="303" spans="1:16">
      <c r="A303" s="229">
        <f>Elliot!T477</f>
        <v>5</v>
      </c>
      <c r="B303" s="318">
        <f>Elliot!T478</f>
        <v>0</v>
      </c>
      <c r="C303" s="195" t="s">
        <v>116</v>
      </c>
      <c r="D303" s="567">
        <f>Elliot!K483</f>
        <v>4958.16</v>
      </c>
      <c r="E303" s="567">
        <f>Elliot!L483</f>
        <v>19367.25</v>
      </c>
      <c r="F303" s="567">
        <f>Elliot!M483</f>
        <v>1181</v>
      </c>
      <c r="G303" s="567">
        <f>Elliot!N483</f>
        <v>3642.6000000000004</v>
      </c>
      <c r="H303" s="567">
        <f>Elliot!O483</f>
        <v>1093.5</v>
      </c>
      <c r="I303" s="567">
        <f>Elliot!P483</f>
        <v>30242.510000000002</v>
      </c>
      <c r="J303" s="197">
        <v>50000</v>
      </c>
      <c r="K303" s="198">
        <f>-J303+I303</f>
        <v>-19757.489999999998</v>
      </c>
      <c r="L303" s="541"/>
      <c r="M303" s="658">
        <f>I303</f>
        <v>30242.510000000002</v>
      </c>
      <c r="N303" s="675">
        <f>Elliot!R483</f>
        <v>15291.619999999999</v>
      </c>
      <c r="O303" s="660">
        <f>M303-N303</f>
        <v>14950.890000000003</v>
      </c>
      <c r="P303" s="676">
        <f>Elliot!S483</f>
        <v>0</v>
      </c>
    </row>
    <row r="304" spans="1:16">
      <c r="A304" s="229"/>
      <c r="B304" s="229"/>
      <c r="C304" s="204" t="s">
        <v>101</v>
      </c>
      <c r="D304" s="531" cm="1">
        <f t="array" ref="D304:D305">Elliot!K486:K487</f>
        <v>0.375</v>
      </c>
      <c r="E304" s="531" cm="1">
        <f t="array" ref="E304:E305">Elliot!L486:L487</f>
        <v>0.5714285714285714</v>
      </c>
      <c r="F304" s="531" cm="1">
        <f t="array" ref="F304:F305">Elliot!M486:M487</f>
        <v>0.2857142857142857</v>
      </c>
      <c r="G304" s="531" cm="1">
        <f t="array" ref="G304:G305">Elliot!N486:N487</f>
        <v>0.33333333333333331</v>
      </c>
      <c r="H304" s="531" cm="1">
        <f t="array" ref="H304:H305">Elliot!O486:O487</f>
        <v>0.22222222222222221</v>
      </c>
      <c r="I304" s="531" cm="1">
        <f t="array" ref="I304:I305">Elliot!P486:P487</f>
        <v>0.35135135135135137</v>
      </c>
      <c r="J304" s="206"/>
      <c r="K304" s="207"/>
      <c r="L304" s="542"/>
      <c r="M304" s="662"/>
      <c r="N304" s="659"/>
      <c r="O304" s="663"/>
      <c r="P304" s="661"/>
    </row>
    <row r="305" spans="1:20">
      <c r="A305" s="229"/>
      <c r="B305" s="229"/>
      <c r="C305" s="204" t="s">
        <v>48</v>
      </c>
      <c r="D305" s="532">
        <v>1652.72</v>
      </c>
      <c r="E305" s="532">
        <v>4841.8125</v>
      </c>
      <c r="F305" s="532">
        <v>590.5</v>
      </c>
      <c r="G305" s="532">
        <v>1821.3000000000002</v>
      </c>
      <c r="H305" s="532">
        <v>546.75</v>
      </c>
      <c r="I305" s="532">
        <v>2326.3469230769233</v>
      </c>
      <c r="J305" s="206"/>
      <c r="K305" s="207"/>
      <c r="L305" s="561"/>
      <c r="M305" s="662"/>
      <c r="N305" s="659"/>
      <c r="O305" s="663"/>
      <c r="P305" s="661"/>
    </row>
    <row r="306" spans="1:20">
      <c r="A306" s="169">
        <f>Liam!T941</f>
        <v>4</v>
      </c>
      <c r="B306" s="318">
        <f>Liam!T942</f>
        <v>0</v>
      </c>
      <c r="C306" s="195" t="s">
        <v>109</v>
      </c>
      <c r="D306" s="567">
        <f>Liam!K947</f>
        <v>2412.6</v>
      </c>
      <c r="E306" s="567">
        <f>Liam!L947</f>
        <v>898.3</v>
      </c>
      <c r="F306" s="567">
        <f>Liam!M947</f>
        <v>6033.76</v>
      </c>
      <c r="G306" s="567">
        <f>Liam!N947</f>
        <v>3696.98</v>
      </c>
      <c r="H306" s="567"/>
      <c r="I306" s="567">
        <f>Liam!P947</f>
        <v>13041.64</v>
      </c>
      <c r="J306" s="197">
        <v>50000</v>
      </c>
      <c r="K306" s="198">
        <f>-J306+I306</f>
        <v>-36958.36</v>
      </c>
      <c r="L306" s="541">
        <f>Liam!Q947</f>
        <v>681</v>
      </c>
      <c r="M306" s="658">
        <f>I306</f>
        <v>13041.64</v>
      </c>
      <c r="N306" s="675">
        <f>Liam!R947</f>
        <v>1421.3</v>
      </c>
      <c r="O306" s="660">
        <f>M306-N306</f>
        <v>11620.34</v>
      </c>
      <c r="P306" s="676">
        <f>Liam!S947</f>
        <v>0</v>
      </c>
    </row>
    <row r="307" spans="1:20">
      <c r="A307" s="169"/>
      <c r="B307" s="229"/>
      <c r="C307" s="204" t="s">
        <v>101</v>
      </c>
      <c r="D307" s="535" cm="1">
        <f t="array" ref="D307:D308">Liam!K950:K951</f>
        <v>1</v>
      </c>
      <c r="E307" s="535" cm="1">
        <f t="array" ref="E307:E308">Liam!L950:L951</f>
        <v>0.25</v>
      </c>
      <c r="F307" s="535" cm="1">
        <f t="array" ref="F307:F308">Liam!M950:M951</f>
        <v>1</v>
      </c>
      <c r="G307" s="535" cm="1">
        <f t="array" ref="G307:G308">Liam!N950:N951</f>
        <v>0.4</v>
      </c>
      <c r="H307" s="535"/>
      <c r="I307" s="535" cm="1">
        <f t="array" ref="I307:I308">Liam!P950:P951</f>
        <v>0.52941176470588236</v>
      </c>
      <c r="J307" s="206"/>
      <c r="K307" s="207"/>
      <c r="L307" s="542" cm="1">
        <f t="array" ref="L307:L308">Liam!Q950:Q951</f>
        <v>0.16666666666666666</v>
      </c>
      <c r="M307" s="662"/>
      <c r="N307" s="659"/>
      <c r="O307" s="663"/>
      <c r="P307" s="661"/>
    </row>
    <row r="308" spans="1:20">
      <c r="A308" s="169"/>
      <c r="B308" s="229"/>
      <c r="C308" s="204" t="s">
        <v>48</v>
      </c>
      <c r="D308" s="536">
        <v>804.19999999999993</v>
      </c>
      <c r="E308" s="536">
        <v>898.3</v>
      </c>
      <c r="F308" s="536">
        <v>2011.2533333333333</v>
      </c>
      <c r="G308" s="536">
        <v>1848.49</v>
      </c>
      <c r="H308" s="536"/>
      <c r="I308" s="536">
        <v>1449.0711111111111</v>
      </c>
      <c r="J308" s="210"/>
      <c r="K308" s="211"/>
      <c r="L308" s="543">
        <v>681</v>
      </c>
      <c r="M308" s="664"/>
      <c r="N308" s="677"/>
      <c r="O308" s="665"/>
      <c r="P308" s="678"/>
    </row>
    <row r="309" spans="1:20">
      <c r="A309" s="229">
        <f>'Rhys C'!T556</f>
        <v>2</v>
      </c>
      <c r="B309" s="318">
        <f>'Rhys C'!T557</f>
        <v>0</v>
      </c>
      <c r="C309" s="195" t="s">
        <v>110</v>
      </c>
      <c r="D309" s="567">
        <f>'Rhys C'!K562</f>
        <v>10131.82</v>
      </c>
      <c r="E309" s="567"/>
      <c r="F309" s="567">
        <f>'Rhys C'!M562</f>
        <v>15625.970000000001</v>
      </c>
      <c r="G309" s="567">
        <f>'Rhys C'!N562</f>
        <v>2526.3000000000002</v>
      </c>
      <c r="H309" s="567"/>
      <c r="I309" s="567">
        <f>'Rhys C'!P562</f>
        <v>28284.09</v>
      </c>
      <c r="J309" s="206">
        <v>50000</v>
      </c>
      <c r="K309" s="207">
        <f>-J309+I309</f>
        <v>-21715.91</v>
      </c>
      <c r="L309" s="561"/>
      <c r="M309" s="662">
        <f>I309</f>
        <v>28284.09</v>
      </c>
      <c r="N309" s="659">
        <f>'Rhys C'!R562</f>
        <v>18756.8</v>
      </c>
      <c r="O309" s="663">
        <f>M309-N309</f>
        <v>9527.2900000000009</v>
      </c>
      <c r="P309" s="670">
        <f>'Rhys C'!S562</f>
        <v>0</v>
      </c>
    </row>
    <row r="310" spans="1:20">
      <c r="A310" s="229"/>
      <c r="B310" s="229"/>
      <c r="C310" s="204" t="s">
        <v>101</v>
      </c>
      <c r="D310" s="531" cm="1">
        <f t="array" ref="D310:D311">'Rhys C'!K565:K566</f>
        <v>0.5</v>
      </c>
      <c r="E310" s="531"/>
      <c r="F310" s="531" cm="1">
        <f t="array" ref="F310:F311">'Rhys C'!M565:M566</f>
        <v>0.5</v>
      </c>
      <c r="G310" s="531" cm="1">
        <f t="array" ref="G310:G311">'Rhys C'!N565:N566</f>
        <v>0.42857142857142855</v>
      </c>
      <c r="H310" s="531"/>
      <c r="I310" s="531" cm="1">
        <f t="array" ref="I310:I311">'Rhys C'!P565:P566</f>
        <v>0.37142857142857144</v>
      </c>
      <c r="J310" s="206"/>
      <c r="K310" s="207"/>
      <c r="L310" s="542"/>
      <c r="M310" s="662"/>
      <c r="N310" s="659"/>
      <c r="O310" s="679"/>
      <c r="P310" s="670"/>
    </row>
    <row r="311" spans="1:20">
      <c r="A311" s="229"/>
      <c r="B311" s="229"/>
      <c r="C311" s="226" t="s">
        <v>48</v>
      </c>
      <c r="D311" s="532">
        <v>2026.364</v>
      </c>
      <c r="E311" s="532"/>
      <c r="F311" s="532">
        <v>3125.1940000000004</v>
      </c>
      <c r="G311" s="532">
        <v>842.1</v>
      </c>
      <c r="H311" s="532"/>
      <c r="I311" s="532">
        <v>2175.6992307692308</v>
      </c>
      <c r="J311" s="210"/>
      <c r="K311" s="211"/>
      <c r="L311" s="543"/>
      <c r="M311" s="664"/>
      <c r="N311" s="677"/>
      <c r="O311" s="680"/>
      <c r="P311" s="673"/>
    </row>
    <row r="312" spans="1:20">
      <c r="A312" s="236">
        <f>SUM(A291:A311)</f>
        <v>35</v>
      </c>
      <c r="B312" s="236">
        <f>SUM(B291:B311)</f>
        <v>1</v>
      </c>
      <c r="C312" s="237" t="s">
        <v>102</v>
      </c>
      <c r="D312" s="238">
        <f>D291+D294++D297+D300+D303+D306+D309</f>
        <v>36527.82</v>
      </c>
      <c r="E312" s="238">
        <f>E291+E294++E297+E300+E303+E306+E309</f>
        <v>78032.850000000006</v>
      </c>
      <c r="F312" s="238">
        <f>F291+F294++F297+F300+F303+F306+F309</f>
        <v>31916.33</v>
      </c>
      <c r="G312" s="238">
        <f>G291+G294++G297+G300+G303+G306+G309</f>
        <v>66555.360000000001</v>
      </c>
      <c r="H312" s="238">
        <f>H291+H294++H297+H300+H303+H306+H309</f>
        <v>17718.400000000001</v>
      </c>
      <c r="I312" s="239">
        <f>I291+I294++I297+I300+I303+I306+I309</f>
        <v>230750.76000000004</v>
      </c>
      <c r="J312" s="238">
        <f>J291+J294++J297+J300+J303+J306+J309</f>
        <v>350000</v>
      </c>
      <c r="K312" s="240">
        <f>K291+K294++K297+K300+K303+K306+K309</f>
        <v>-119249.23999999999</v>
      </c>
      <c r="L312" s="241">
        <f>L291+L294++L297+L300+L303+L306+L309</f>
        <v>681</v>
      </c>
      <c r="M312" s="239">
        <f>M291+M294++M297+M300+M303+M306+M309</f>
        <v>230750.76000000004</v>
      </c>
      <c r="N312" s="240">
        <f>N291+N294++N297+N300+N303+N306+N309</f>
        <v>106713.33000000002</v>
      </c>
      <c r="O312" s="241">
        <f>O291+O294++O297+O300+O303+O306+O309</f>
        <v>124037.43</v>
      </c>
      <c r="P312" s="240">
        <f t="shared" ref="E312:P312" si="7">P291+P294++P297+P300+P303+P306+P309</f>
        <v>0</v>
      </c>
    </row>
    <row r="313" spans="1:20">
      <c r="A313" s="243"/>
      <c r="B313" s="244"/>
      <c r="C313" s="244"/>
      <c r="D313" s="244"/>
      <c r="E313" s="244"/>
      <c r="F313" s="244"/>
      <c r="G313" s="244"/>
      <c r="H313" s="244"/>
      <c r="I313" s="245">
        <f>I312+L312</f>
        <v>231431.76000000004</v>
      </c>
      <c r="J313" s="246">
        <f>J312+K312</f>
        <v>230750.76</v>
      </c>
      <c r="K313" s="247"/>
      <c r="L313" s="248"/>
      <c r="M313" s="249"/>
      <c r="N313" s="250">
        <f>M312-O312</f>
        <v>106713.33000000005</v>
      </c>
      <c r="O313" s="251"/>
      <c r="P313" s="201"/>
    </row>
    <row r="314" spans="1:20">
      <c r="A314" s="2"/>
      <c r="B314" s="2"/>
      <c r="C314" s="2"/>
      <c r="D314" s="2"/>
      <c r="E314" s="2"/>
      <c r="F314" s="2"/>
      <c r="G314" s="2"/>
      <c r="H314" s="2"/>
      <c r="I314" s="2"/>
      <c r="J314" s="2"/>
      <c r="K314" s="2"/>
      <c r="L314" s="2"/>
      <c r="M314" s="2"/>
      <c r="N314" s="2"/>
      <c r="O314" s="2"/>
      <c r="P314" s="2"/>
      <c r="R314" s="294">
        <f>'Jarrod - No OT'!P817+'Shaun - No OT'!P875+'Ben - No OT'!P953+Bradley!P192+Elliot!P483+Liam!P947+'Rhys C'!P562</f>
        <v>230750.76000000004</v>
      </c>
      <c r="S314" s="294">
        <f>'Jarrod - No OT'!Q817+'Shaun - No OT'!Q875+'Ben - No OT'!Q953+Bradley!Q192+Elliot!Q483+Liam!Q947+'Rhys C'!Q562</f>
        <v>681</v>
      </c>
      <c r="T314" s="294">
        <f>'Jarrod - No OT'!R817+'Shaun - No OT'!R875+'Ben - No OT'!R953+Bradley!R192+Elliot!R483+Liam!R947+'Rhys C'!R562</f>
        <v>106713.33000000002</v>
      </c>
    </row>
    <row r="315" spans="1:20">
      <c r="R315" s="294">
        <f>R314+S314</f>
        <v>231431.76000000004</v>
      </c>
      <c r="S315" s="294"/>
      <c r="T315" s="294"/>
    </row>
    <row r="316" spans="1:20">
      <c r="A316" s="1"/>
      <c r="B316" s="2"/>
      <c r="C316" s="2"/>
      <c r="D316" s="2"/>
      <c r="E316" s="2"/>
      <c r="F316" s="2"/>
      <c r="G316" s="2"/>
      <c r="H316" s="2"/>
      <c r="I316" s="2"/>
      <c r="J316" s="2"/>
      <c r="K316" s="2"/>
      <c r="L316" s="2"/>
      <c r="M316" s="2"/>
      <c r="N316" s="2"/>
      <c r="O316" s="2"/>
      <c r="P316" s="2"/>
    </row>
    <row r="317" spans="1:20">
      <c r="A317" s="169"/>
      <c r="B317" s="170"/>
      <c r="C317" s="171" t="s">
        <v>87</v>
      </c>
      <c r="D317" s="172" t="s">
        <v>141</v>
      </c>
      <c r="E317" s="173"/>
      <c r="F317" s="173"/>
      <c r="G317" s="173"/>
      <c r="H317" s="173"/>
      <c r="I317" s="173"/>
      <c r="J317" s="174" t="s">
        <v>88</v>
      </c>
      <c r="K317" s="175"/>
      <c r="L317" s="176"/>
      <c r="M317" s="177"/>
      <c r="N317" s="178"/>
      <c r="O317" s="179" t="s">
        <v>89</v>
      </c>
      <c r="P317" s="180" t="s">
        <v>29</v>
      </c>
    </row>
    <row r="318" spans="1:20">
      <c r="A318" s="534" t="s">
        <v>90</v>
      </c>
      <c r="B318" s="534" t="s">
        <v>20</v>
      </c>
      <c r="C318" s="183"/>
      <c r="D318" s="184" t="s">
        <v>91</v>
      </c>
      <c r="E318" s="185" t="s">
        <v>92</v>
      </c>
      <c r="F318" s="185" t="s">
        <v>93</v>
      </c>
      <c r="G318" s="185" t="s">
        <v>94</v>
      </c>
      <c r="H318" s="185" t="s">
        <v>95</v>
      </c>
      <c r="I318" s="184" t="s">
        <v>96</v>
      </c>
      <c r="J318" s="186" t="s">
        <v>97</v>
      </c>
      <c r="K318" s="187" t="s">
        <v>98</v>
      </c>
      <c r="L318" s="188" t="s">
        <v>29</v>
      </c>
      <c r="M318" s="189" t="s">
        <v>89</v>
      </c>
      <c r="N318" s="190" t="s">
        <v>99</v>
      </c>
      <c r="O318" s="191" t="s">
        <v>100</v>
      </c>
      <c r="P318" s="192" t="s">
        <v>99</v>
      </c>
    </row>
    <row r="319" spans="1:20">
      <c r="A319" s="169">
        <f>'Ben - No OT'!T1030</f>
        <v>1</v>
      </c>
      <c r="B319" s="318">
        <f>'Ben - No OT'!T1031</f>
        <v>0</v>
      </c>
      <c r="C319" s="195" t="s">
        <v>106</v>
      </c>
      <c r="D319" s="567"/>
      <c r="E319" s="567">
        <f>'Ben - No OT'!L1036</f>
        <v>4235.1000000000004</v>
      </c>
      <c r="F319" s="567">
        <f>'Ben - No OT'!M1036</f>
        <v>3314.8599999999997</v>
      </c>
      <c r="G319" s="567">
        <f>'Ben - No OT'!N1036</f>
        <v>904.38</v>
      </c>
      <c r="H319" s="567">
        <f>'Ben - No OT'!O1036</f>
        <v>6365.14</v>
      </c>
      <c r="I319" s="567">
        <f>'Ben - No OT'!P1036</f>
        <v>14819.48</v>
      </c>
      <c r="J319" s="197">
        <v>50000</v>
      </c>
      <c r="K319" s="198">
        <f>-J319+I319</f>
        <v>-35180.520000000004</v>
      </c>
      <c r="L319" s="199">
        <f>'Ben - No OT'!Q1036</f>
        <v>4847.5499999999993</v>
      </c>
      <c r="M319" s="200">
        <f>I319</f>
        <v>14819.48</v>
      </c>
      <c r="N319" s="225">
        <f>'Ben - No OT'!R1036</f>
        <v>1098.3</v>
      </c>
      <c r="O319" s="202">
        <f>M319-N319</f>
        <v>13721.18</v>
      </c>
      <c r="P319" s="216">
        <f>'Ben - No OT'!S1036</f>
        <v>0</v>
      </c>
    </row>
    <row r="320" spans="1:20">
      <c r="A320" s="169"/>
      <c r="B320" s="229"/>
      <c r="C320" s="204" t="s">
        <v>101</v>
      </c>
      <c r="D320" s="531"/>
      <c r="E320" s="531" cm="1">
        <f t="array" ref="E320:E321">'Ben - No OT'!L1039:L1040</f>
        <v>0.4</v>
      </c>
      <c r="F320" s="531" cm="1">
        <f t="array" ref="F320:F321">'Ben - No OT'!M1039:M1040</f>
        <v>1</v>
      </c>
      <c r="G320" s="531" cm="1">
        <f t="array" ref="G320:G321">'Ben - No OT'!N1039:N1040</f>
        <v>0.33333333333333331</v>
      </c>
      <c r="H320" s="531" cm="1">
        <f t="array" ref="H320:H321">'Ben - No OT'!O1039:O1040</f>
        <v>0.5</v>
      </c>
      <c r="I320" s="531" cm="1">
        <f t="array" ref="I320:I321">'Ben - No OT'!P1039:P1040</f>
        <v>0.52941176470588236</v>
      </c>
      <c r="J320" s="206"/>
      <c r="K320" s="207"/>
      <c r="L320" s="208" cm="1">
        <f t="array" ref="L320:L321">'Ben - No OT'!Q1039:Q1040</f>
        <v>0.5</v>
      </c>
      <c r="M320" s="189"/>
      <c r="N320" s="201"/>
      <c r="O320" s="191"/>
      <c r="P320" s="220"/>
    </row>
    <row r="321" spans="1:16">
      <c r="A321" s="169"/>
      <c r="B321" s="229"/>
      <c r="C321" s="204" t="s">
        <v>48</v>
      </c>
      <c r="D321" s="533"/>
      <c r="E321" s="533">
        <v>2117.5500000000002</v>
      </c>
      <c r="F321" s="533">
        <v>1104.9533333333331</v>
      </c>
      <c r="G321" s="533">
        <v>904.38</v>
      </c>
      <c r="H321" s="533">
        <v>2121.7133333333336</v>
      </c>
      <c r="I321" s="533">
        <v>1646.6088888888889</v>
      </c>
      <c r="J321" s="210"/>
      <c r="K321" s="211"/>
      <c r="L321" s="228">
        <v>2423.7749999999996</v>
      </c>
      <c r="M321" s="213"/>
      <c r="N321" s="201"/>
      <c r="O321" s="214"/>
      <c r="P321" s="220"/>
    </row>
    <row r="322" spans="1:16">
      <c r="A322" s="169">
        <f>Bradley!T260</f>
        <v>4</v>
      </c>
      <c r="B322" s="318">
        <f>Bradley!T261</f>
        <v>0</v>
      </c>
      <c r="C322" s="195" t="s">
        <v>121</v>
      </c>
      <c r="D322" s="567"/>
      <c r="E322" s="567">
        <f>Bradley!L266</f>
        <v>3840.92</v>
      </c>
      <c r="F322" s="567">
        <f>Bradley!M266</f>
        <v>17562.620000000003</v>
      </c>
      <c r="G322" s="567"/>
      <c r="H322" s="567">
        <f>Bradley!O266</f>
        <v>3544.88</v>
      </c>
      <c r="I322" s="567">
        <f>Bradley!P266</f>
        <v>24948.420000000002</v>
      </c>
      <c r="J322" s="197">
        <v>50000</v>
      </c>
      <c r="K322" s="198">
        <f>-J322+I322</f>
        <v>-25051.579999999998</v>
      </c>
      <c r="L322" s="199"/>
      <c r="M322" s="200">
        <f>I322</f>
        <v>24948.420000000002</v>
      </c>
      <c r="N322" s="225">
        <f>Bradley!R266</f>
        <v>3707.1800000000003</v>
      </c>
      <c r="O322" s="202">
        <f>M322-N322</f>
        <v>21241.24</v>
      </c>
      <c r="P322" s="216">
        <f>Bradley!S266</f>
        <v>0</v>
      </c>
    </row>
    <row r="323" spans="1:16">
      <c r="A323" s="169"/>
      <c r="B323" s="229"/>
      <c r="C323" s="204" t="s">
        <v>101</v>
      </c>
      <c r="D323" s="531"/>
      <c r="E323" s="531" cm="1">
        <f t="array" ref="E323:E324">Bradley!L269:L270</f>
        <v>0.33333333333333331</v>
      </c>
      <c r="F323" s="531" cm="1">
        <f t="array" ref="F323:F324">Bradley!M269:M270</f>
        <v>0.8</v>
      </c>
      <c r="G323" s="531"/>
      <c r="H323" s="531" cm="1">
        <f t="array" ref="H323:H324">Bradley!O269:O270</f>
        <v>0.2857142857142857</v>
      </c>
      <c r="I323" s="531" cm="1">
        <f t="array" ref="I323:I324">Bradley!P269:P270</f>
        <v>0.38095238095238093</v>
      </c>
      <c r="J323" s="206"/>
      <c r="K323" s="207"/>
      <c r="L323" s="208"/>
      <c r="M323" s="189"/>
      <c r="N323" s="201"/>
      <c r="O323" s="191"/>
      <c r="P323" s="220"/>
    </row>
    <row r="324" spans="1:16">
      <c r="A324" s="169"/>
      <c r="B324" s="229"/>
      <c r="C324" s="204" t="s">
        <v>48</v>
      </c>
      <c r="D324" s="533"/>
      <c r="E324" s="533">
        <v>1920.46</v>
      </c>
      <c r="F324" s="533">
        <v>4390.6550000000007</v>
      </c>
      <c r="G324" s="533"/>
      <c r="H324" s="533">
        <v>1772.44</v>
      </c>
      <c r="I324" s="533">
        <v>3118.5525000000002</v>
      </c>
      <c r="J324" s="206"/>
      <c r="K324" s="211"/>
      <c r="L324" s="228"/>
      <c r="M324" s="213"/>
      <c r="N324" s="201"/>
      <c r="O324" s="214"/>
      <c r="P324" s="220"/>
    </row>
    <row r="325" spans="1:16">
      <c r="A325" s="229">
        <f>Elliot!T573</f>
        <v>5</v>
      </c>
      <c r="B325" s="318">
        <f>Elliot!T574</f>
        <v>0</v>
      </c>
      <c r="C325" s="195" t="s">
        <v>116</v>
      </c>
      <c r="D325" s="567">
        <f>Elliot!K579</f>
        <v>1779.3</v>
      </c>
      <c r="E325" s="567">
        <f>Elliot!L579</f>
        <v>2390.38</v>
      </c>
      <c r="F325" s="567">
        <f>Elliot!M579</f>
        <v>2601.39</v>
      </c>
      <c r="G325" s="567"/>
      <c r="H325" s="567">
        <f>Elliot!O579</f>
        <v>7662.3</v>
      </c>
      <c r="I325" s="567">
        <f>Elliot!P579</f>
        <v>14433.369999999999</v>
      </c>
      <c r="J325" s="197">
        <v>50000</v>
      </c>
      <c r="K325" s="198">
        <f>-J325+I325</f>
        <v>-35566.630000000005</v>
      </c>
      <c r="L325" s="199"/>
      <c r="M325" s="200">
        <f>I325</f>
        <v>14433.369999999999</v>
      </c>
      <c r="N325" s="225">
        <f>Elliot!R579</f>
        <v>5948</v>
      </c>
      <c r="O325" s="202">
        <f>M325-N325</f>
        <v>8485.369999999999</v>
      </c>
      <c r="P325" s="230">
        <f>Elliot!S579</f>
        <v>0</v>
      </c>
    </row>
    <row r="326" spans="1:16">
      <c r="A326" s="229"/>
      <c r="B326" s="229"/>
      <c r="C326" s="204" t="s">
        <v>101</v>
      </c>
      <c r="D326" s="531" cm="1">
        <f t="array" ref="D326:D327">Elliot!K582:K583</f>
        <v>0.2</v>
      </c>
      <c r="E326" s="531" cm="1">
        <f t="array" ref="E326:E327">Elliot!L582:L583</f>
        <v>0.375</v>
      </c>
      <c r="F326" s="531" cm="1">
        <f t="array" ref="F326:F327">Elliot!M582:M583</f>
        <v>0.6</v>
      </c>
      <c r="G326" s="531"/>
      <c r="H326" s="531" cm="1">
        <f t="array" ref="H326:H327">Elliot!O582:O583</f>
        <v>0.5</v>
      </c>
      <c r="I326" s="531" cm="1">
        <f t="array" ref="I326:I327">Elliot!P582:P583</f>
        <v>0.35483870967741937</v>
      </c>
      <c r="J326" s="206"/>
      <c r="K326" s="207"/>
      <c r="L326" s="208"/>
      <c r="M326" s="189"/>
      <c r="N326" s="201"/>
      <c r="O326" s="191"/>
      <c r="P326" s="203"/>
    </row>
    <row r="327" spans="1:16">
      <c r="A327" s="229"/>
      <c r="B327" s="229"/>
      <c r="C327" s="204" t="s">
        <v>48</v>
      </c>
      <c r="D327" s="532">
        <v>889.65</v>
      </c>
      <c r="E327" s="532">
        <v>796.79333333333341</v>
      </c>
      <c r="F327" s="532">
        <v>867.13</v>
      </c>
      <c r="G327" s="532"/>
      <c r="H327" s="532">
        <v>2554.1</v>
      </c>
      <c r="I327" s="532">
        <v>1312.1245454545453</v>
      </c>
      <c r="J327" s="206"/>
      <c r="K327" s="207"/>
      <c r="L327" s="212"/>
      <c r="M327" s="213"/>
      <c r="N327" s="190"/>
      <c r="O327" s="214"/>
      <c r="P327" s="233"/>
    </row>
    <row r="328" spans="1:16">
      <c r="A328" s="169">
        <f>'Jarrod - No OT'!T902</f>
        <v>5</v>
      </c>
      <c r="B328" s="318">
        <f>'Jarrod - No OT'!T903</f>
        <v>0</v>
      </c>
      <c r="C328" s="195" t="s">
        <v>112</v>
      </c>
      <c r="D328" s="567">
        <f>'Jarrod - No OT'!K908</f>
        <v>1888.83</v>
      </c>
      <c r="E328" s="567">
        <f>'Jarrod - No OT'!L908</f>
        <v>5342.33</v>
      </c>
      <c r="F328" s="567">
        <f>'Jarrod - No OT'!M908</f>
        <v>6828.67</v>
      </c>
      <c r="G328" s="567">
        <f>'Jarrod - No OT'!N908</f>
        <v>2600.6</v>
      </c>
      <c r="H328" s="567">
        <f>'Jarrod - No OT'!O908</f>
        <v>6840.41</v>
      </c>
      <c r="I328" s="567">
        <f>'Jarrod - No OT'!P908</f>
        <v>23500.84</v>
      </c>
      <c r="J328" s="197">
        <v>50000</v>
      </c>
      <c r="K328" s="198">
        <f>-J328+I328</f>
        <v>-26499.16</v>
      </c>
      <c r="L328" s="199"/>
      <c r="M328" s="189">
        <f>I328</f>
        <v>23500.84</v>
      </c>
      <c r="N328" s="201">
        <f>'Jarrod - No OT'!R908</f>
        <v>9884.5999999999985</v>
      </c>
      <c r="O328" s="191">
        <f>M328-N328</f>
        <v>13616.240000000002</v>
      </c>
      <c r="P328" s="203">
        <f>'Jarrod - No OT'!S908</f>
        <v>0</v>
      </c>
    </row>
    <row r="329" spans="1:16">
      <c r="A329" s="169"/>
      <c r="B329" s="229"/>
      <c r="C329" s="204" t="s">
        <v>101</v>
      </c>
      <c r="D329" s="531" cm="1">
        <f t="array" ref="D329:D330">'Jarrod - No OT'!K911:K912</f>
        <v>0.33333333333333331</v>
      </c>
      <c r="E329" s="531" cm="1">
        <f t="array" ref="E329:E330">'Jarrod - No OT'!L911:L912</f>
        <v>0.4</v>
      </c>
      <c r="F329" s="531" cm="1">
        <f t="array" ref="F329:F330">'Jarrod - No OT'!M911:M912</f>
        <v>0.5714285714285714</v>
      </c>
      <c r="G329" s="531" cm="1">
        <f t="array" ref="G329:G330">'Jarrod - No OT'!N911:N912</f>
        <v>0.5</v>
      </c>
      <c r="H329" s="531" cm="1">
        <f t="array" ref="H329:H330">'Jarrod - No OT'!O911:O912</f>
        <v>0.5</v>
      </c>
      <c r="I329" s="531" cm="1">
        <f t="array" ref="I329:I330">'Jarrod - No OT'!P911:P912</f>
        <v>0.46666666666666667</v>
      </c>
      <c r="J329" s="206"/>
      <c r="K329" s="207"/>
      <c r="L329" s="208"/>
      <c r="M329" s="189"/>
      <c r="N329" s="201"/>
      <c r="O329" s="191"/>
      <c r="P329" s="203"/>
    </row>
    <row r="330" spans="1:16">
      <c r="A330" s="169"/>
      <c r="B330" s="229"/>
      <c r="C330" s="226" t="s">
        <v>48</v>
      </c>
      <c r="D330" s="532">
        <v>944.41499999999996</v>
      </c>
      <c r="E330" s="532">
        <v>2671.165</v>
      </c>
      <c r="F330" s="532">
        <v>1707.1675</v>
      </c>
      <c r="G330" s="532">
        <v>866.86666666666667</v>
      </c>
      <c r="H330" s="532">
        <v>2280.1366666666668</v>
      </c>
      <c r="I330" s="532">
        <v>1678.6314285714286</v>
      </c>
      <c r="J330" s="210"/>
      <c r="K330" s="211"/>
      <c r="L330" s="212"/>
      <c r="M330" s="213"/>
      <c r="N330" s="201"/>
      <c r="O330" s="214"/>
      <c r="P330" s="203"/>
    </row>
    <row r="331" spans="1:16">
      <c r="A331" s="169">
        <f>Liam!T1029</f>
        <v>6</v>
      </c>
      <c r="B331" s="318">
        <f>Liam!T1030</f>
        <v>0</v>
      </c>
      <c r="C331" s="195" t="s">
        <v>109</v>
      </c>
      <c r="D331" s="567">
        <f>Liam!K1035</f>
        <v>2460.87</v>
      </c>
      <c r="E331" s="567">
        <f>Liam!L1035</f>
        <v>2791.1</v>
      </c>
      <c r="F331" s="567">
        <f>Liam!M1035</f>
        <v>3599.28</v>
      </c>
      <c r="G331" s="567">
        <f>Liam!N1035</f>
        <v>821.3</v>
      </c>
      <c r="H331" s="567">
        <f>Liam!O1035</f>
        <v>17592.099999999999</v>
      </c>
      <c r="I331" s="567">
        <f>Liam!P1035</f>
        <v>27264.649999999998</v>
      </c>
      <c r="J331" s="197">
        <v>50000</v>
      </c>
      <c r="K331" s="198">
        <f>-J331+I331</f>
        <v>-22735.350000000002</v>
      </c>
      <c r="L331" s="199"/>
      <c r="M331" s="200">
        <f>I331</f>
        <v>27264.649999999998</v>
      </c>
      <c r="N331" s="225">
        <f>Liam!R1035</f>
        <v>14534.84</v>
      </c>
      <c r="O331" s="202">
        <f>M331-N331</f>
        <v>12729.809999999998</v>
      </c>
      <c r="P331" s="230">
        <f>Liam!S1035</f>
        <v>0</v>
      </c>
    </row>
    <row r="332" spans="1:16">
      <c r="A332" s="169"/>
      <c r="B332" s="229"/>
      <c r="C332" s="204" t="s">
        <v>101</v>
      </c>
      <c r="D332" s="535" cm="1">
        <f t="array" ref="D332:D333">Liam!K1038:K1039</f>
        <v>0.42857142857142855</v>
      </c>
      <c r="E332" s="535" cm="1">
        <f t="array" ref="E332:E333">Liam!L1038:L1039</f>
        <v>0.2857142857142857</v>
      </c>
      <c r="F332" s="535" cm="1">
        <f t="array" ref="F332:F333">Liam!M1038:M1039</f>
        <v>0.4</v>
      </c>
      <c r="G332" s="535" cm="1">
        <f t="array" ref="G332:G333">Liam!N1038:N1039</f>
        <v>0.25</v>
      </c>
      <c r="H332" s="535" cm="1">
        <f t="array" ref="H332:H333">Liam!O1038:O1039</f>
        <v>0.8</v>
      </c>
      <c r="I332" s="535" cm="1">
        <f t="array" ref="I332:I333">Liam!P1038:P1039</f>
        <v>0.42857142857142855</v>
      </c>
      <c r="J332" s="206"/>
      <c r="K332" s="207"/>
      <c r="L332" s="208"/>
      <c r="M332" s="189"/>
      <c r="N332" s="201"/>
      <c r="O332" s="191"/>
      <c r="P332" s="203"/>
    </row>
    <row r="333" spans="1:16">
      <c r="A333" s="169"/>
      <c r="B333" s="229"/>
      <c r="C333" s="204" t="s">
        <v>48</v>
      </c>
      <c r="D333" s="536">
        <v>820.29</v>
      </c>
      <c r="E333" s="536">
        <v>1395.55</v>
      </c>
      <c r="F333" s="536">
        <v>1799.64</v>
      </c>
      <c r="G333" s="536">
        <v>821.3</v>
      </c>
      <c r="H333" s="536">
        <v>4398.0249999999996</v>
      </c>
      <c r="I333" s="536">
        <v>2272.0541666666663</v>
      </c>
      <c r="J333" s="210"/>
      <c r="K333" s="211"/>
      <c r="L333" s="228"/>
      <c r="M333" s="213"/>
      <c r="N333" s="190"/>
      <c r="O333" s="214"/>
      <c r="P333" s="233"/>
    </row>
    <row r="334" spans="1:16">
      <c r="A334" s="229">
        <f>'Rhys C'!T651-1</f>
        <v>0</v>
      </c>
      <c r="B334" s="318">
        <f>'Rhys C'!T652</f>
        <v>0</v>
      </c>
      <c r="C334" s="195" t="s">
        <v>110</v>
      </c>
      <c r="D334" s="567">
        <f>'Rhys C'!K657</f>
        <v>14238.74</v>
      </c>
      <c r="E334" s="567">
        <f>'Rhys C'!L657</f>
        <v>2395.5700000000002</v>
      </c>
      <c r="F334" s="567">
        <f>'Rhys C'!M657</f>
        <v>6163.5700000000006</v>
      </c>
      <c r="G334" s="567">
        <f>'Rhys C'!N657</f>
        <v>5819.8</v>
      </c>
      <c r="H334" s="567">
        <f>'Rhys C'!O657</f>
        <v>1100.23</v>
      </c>
      <c r="I334" s="567">
        <f>'Rhys C'!P657</f>
        <v>29717.91</v>
      </c>
      <c r="J334" s="206">
        <v>50000</v>
      </c>
      <c r="K334" s="207">
        <f>-J334+I334</f>
        <v>-20282.09</v>
      </c>
      <c r="L334" s="212"/>
      <c r="M334" s="189">
        <f>I334</f>
        <v>29717.91</v>
      </c>
      <c r="N334" s="201">
        <f>'Rhys C'!R657</f>
        <v>16189.54</v>
      </c>
      <c r="O334" s="191">
        <f>M334-N334</f>
        <v>13528.369999999999</v>
      </c>
      <c r="P334" s="220">
        <f>'Rhys C'!S657</f>
        <v>0</v>
      </c>
    </row>
    <row r="335" spans="1:16">
      <c r="A335" s="229"/>
      <c r="B335" s="229"/>
      <c r="C335" s="204" t="s">
        <v>101</v>
      </c>
      <c r="D335" s="531" cm="1">
        <f t="array" ref="D335:D336">'Rhys C'!K660:K661</f>
        <v>0.5714285714285714</v>
      </c>
      <c r="E335" s="531" cm="1">
        <f t="array" ref="E335:E336">'Rhys C'!L660:L661</f>
        <v>0.4</v>
      </c>
      <c r="F335" s="531" cm="1">
        <f t="array" ref="F335:F336">'Rhys C'!M660:M661</f>
        <v>0.55555555555555558</v>
      </c>
      <c r="G335" s="531" cm="1">
        <f t="array" ref="G335:G336">'Rhys C'!N660:N661</f>
        <v>0.42857142857142855</v>
      </c>
      <c r="H335" s="531" cm="1">
        <f t="array" ref="H335:H336">'Rhys C'!O660:O661</f>
        <v>0.33333333333333331</v>
      </c>
      <c r="I335" s="531" cm="1">
        <f t="array" ref="I335:I336">'Rhys C'!P660:P661</f>
        <v>0.4838709677419355</v>
      </c>
      <c r="J335" s="206"/>
      <c r="K335" s="207"/>
      <c r="L335" s="208"/>
      <c r="M335" s="189"/>
      <c r="N335" s="201"/>
      <c r="O335" s="234"/>
      <c r="P335" s="220"/>
    </row>
    <row r="336" spans="1:16">
      <c r="A336" s="229"/>
      <c r="B336" s="229"/>
      <c r="C336" s="226" t="s">
        <v>48</v>
      </c>
      <c r="D336" s="532">
        <v>3559.6849999999999</v>
      </c>
      <c r="E336" s="532">
        <v>1197.7850000000001</v>
      </c>
      <c r="F336" s="532">
        <v>1232.7140000000002</v>
      </c>
      <c r="G336" s="532">
        <v>1939.9333333333334</v>
      </c>
      <c r="H336" s="532">
        <v>1100.23</v>
      </c>
      <c r="I336" s="532">
        <v>1981.194</v>
      </c>
      <c r="J336" s="210"/>
      <c r="K336" s="211"/>
      <c r="L336" s="228"/>
      <c r="M336" s="213"/>
      <c r="N336" s="190"/>
      <c r="O336" s="235"/>
      <c r="P336" s="192"/>
    </row>
    <row r="337" spans="1:20">
      <c r="A337" s="169">
        <f>'Shaun - No OT'!T960</f>
        <v>2</v>
      </c>
      <c r="B337" s="318">
        <f>'Shaun - No OT'!T961</f>
        <v>0</v>
      </c>
      <c r="C337" s="195" t="s">
        <v>107</v>
      </c>
      <c r="D337" s="567"/>
      <c r="E337" s="567"/>
      <c r="F337" s="567">
        <f>'Shaun - No OT'!M966</f>
        <v>9191.51</v>
      </c>
      <c r="G337" s="567">
        <f>'Shaun - No OT'!N966</f>
        <v>7766.04</v>
      </c>
      <c r="H337" s="567">
        <f>'Shaun - No OT'!O966</f>
        <v>1321.3</v>
      </c>
      <c r="I337" s="567">
        <f>'Shaun - No OT'!P966</f>
        <v>18278.849999999999</v>
      </c>
      <c r="J337" s="197">
        <v>50000</v>
      </c>
      <c r="K337" s="198">
        <f>-J337+I337</f>
        <v>-31721.15</v>
      </c>
      <c r="L337" s="199"/>
      <c r="M337" s="215">
        <f>I337</f>
        <v>18278.849999999999</v>
      </c>
      <c r="N337" s="216">
        <f>'Shaun - No OT'!R966</f>
        <v>0</v>
      </c>
      <c r="O337" s="217">
        <f>M337-N337</f>
        <v>18278.849999999999</v>
      </c>
      <c r="P337" s="216">
        <f>'Shaun - No OT'!S966</f>
        <v>0</v>
      </c>
    </row>
    <row r="338" spans="1:20">
      <c r="A338" s="169"/>
      <c r="B338" s="229"/>
      <c r="C338" s="204" t="s">
        <v>101</v>
      </c>
      <c r="D338" s="531"/>
      <c r="E338" s="531"/>
      <c r="F338" s="531" cm="1">
        <f t="array" ref="F338:F339">'Shaun - No OT'!M969:M970</f>
        <v>0.5</v>
      </c>
      <c r="G338" s="531" cm="1">
        <f t="array" ref="G338:G339">'Shaun - No OT'!N969:N970</f>
        <v>0.4</v>
      </c>
      <c r="H338" s="531" cm="1">
        <f t="array" ref="H338:H339">'Shaun - No OT'!O969:O970</f>
        <v>0.2</v>
      </c>
      <c r="I338" s="531" cm="1">
        <f t="array" ref="I338:I339">'Shaun - No OT'!P969:P970</f>
        <v>0.3888888888888889</v>
      </c>
      <c r="J338" s="206"/>
      <c r="K338" s="218"/>
      <c r="L338" s="208"/>
      <c r="M338" s="219"/>
      <c r="N338" s="220"/>
      <c r="O338" s="221"/>
      <c r="P338" s="220"/>
    </row>
    <row r="339" spans="1:20">
      <c r="A339" s="169"/>
      <c r="B339" s="229"/>
      <c r="C339" s="226" t="s">
        <v>48</v>
      </c>
      <c r="D339" s="532"/>
      <c r="E339" s="532"/>
      <c r="F339" s="532">
        <v>2297.8775000000001</v>
      </c>
      <c r="G339" s="532">
        <v>3883.02</v>
      </c>
      <c r="H339" s="532">
        <v>1321.3</v>
      </c>
      <c r="I339" s="532">
        <v>2611.2642857142855</v>
      </c>
      <c r="J339" s="206"/>
      <c r="K339" s="222"/>
      <c r="L339" s="212"/>
      <c r="M339" s="223"/>
      <c r="N339" s="192"/>
      <c r="O339" s="224"/>
      <c r="P339" s="192"/>
    </row>
    <row r="340" spans="1:20">
      <c r="A340" s="236">
        <f>SUM(A319:A339)</f>
        <v>23</v>
      </c>
      <c r="B340" s="236">
        <f>SUM(B319:B339)</f>
        <v>0</v>
      </c>
      <c r="C340" s="237" t="s">
        <v>102</v>
      </c>
      <c r="D340" s="238">
        <f>D319+D322+D325+D328+D331+D334+D337</f>
        <v>20367.739999999998</v>
      </c>
      <c r="E340" s="238">
        <f>E319+E322+E325+E328+E331+E334+E337</f>
        <v>20995.4</v>
      </c>
      <c r="F340" s="238">
        <f>F319+F322+F325+F328+F331+F334+F337</f>
        <v>49261.9</v>
      </c>
      <c r="G340" s="238">
        <f>G319+G322+G325+G328+G331+G334+G337</f>
        <v>17912.12</v>
      </c>
      <c r="H340" s="238">
        <f>H319+H322+H325+H328+H331+H334+H337</f>
        <v>44426.360000000008</v>
      </c>
      <c r="I340" s="239">
        <f>I319+I322+I325+I328+I331+I334+I337</f>
        <v>152963.51999999999</v>
      </c>
      <c r="J340" s="238">
        <f>J319+J322+J325+J328+J331+J334+J337</f>
        <v>350000</v>
      </c>
      <c r="K340" s="240">
        <f>K319+K322+K325+K328+K331+K334+K337</f>
        <v>-197036.48</v>
      </c>
      <c r="L340" s="241">
        <f>L319+L322+L325+L328+L331+L334+L337</f>
        <v>4847.5499999999993</v>
      </c>
      <c r="M340" s="239">
        <f>M319+M322+M325+M328+M331+M334+M337</f>
        <v>152963.51999999999</v>
      </c>
      <c r="N340" s="240">
        <f>N319+N322+N325+N328+N331+N334+N337</f>
        <v>51362.46</v>
      </c>
      <c r="O340" s="241">
        <f>O319+O322+O325+O328+O331+O334+O337</f>
        <v>101601.06</v>
      </c>
      <c r="P340" s="240">
        <f>P319+P322+P325+P328+P331+P334+P337</f>
        <v>0</v>
      </c>
    </row>
    <row r="341" spans="1:20">
      <c r="A341" s="243"/>
      <c r="B341" s="244"/>
      <c r="C341" s="244"/>
      <c r="D341" s="244"/>
      <c r="E341" s="244"/>
      <c r="F341" s="244"/>
      <c r="G341" s="244"/>
      <c r="H341" s="244"/>
      <c r="I341" s="245">
        <f>I340+L340</f>
        <v>157811.06999999998</v>
      </c>
      <c r="J341" s="246">
        <f>J340+K340</f>
        <v>152963.51999999999</v>
      </c>
      <c r="K341" s="247"/>
      <c r="L341" s="248"/>
      <c r="M341" s="249"/>
      <c r="N341" s="250">
        <f>M340-O340</f>
        <v>51362.459999999992</v>
      </c>
      <c r="O341" s="251"/>
      <c r="P341" s="201"/>
    </row>
    <row r="342" spans="1:20">
      <c r="A342" s="2"/>
      <c r="B342" s="2"/>
      <c r="C342" s="2"/>
      <c r="D342" s="2"/>
      <c r="E342" s="2"/>
      <c r="F342" s="2"/>
      <c r="G342" s="2"/>
      <c r="H342" s="2"/>
      <c r="I342" s="2"/>
      <c r="J342" s="2"/>
      <c r="K342" s="2"/>
      <c r="L342" s="2"/>
      <c r="M342" s="2"/>
      <c r="N342" s="2"/>
      <c r="O342" s="2"/>
      <c r="P342" s="2"/>
      <c r="R342" s="294">
        <f>'Ben - No OT'!P1036+Bradley!P266+Elliot!P579+'Jarrod - No OT'!P908+Liam!P1035+'Rhys C'!P657+'Shaun - No OT'!P966</f>
        <v>152963.51999999999</v>
      </c>
      <c r="S342" s="294">
        <f>'Ben - No OT'!Q1036+Bradley!Q266+Elliot!Q579+'Jarrod - No OT'!Q908+Liam!Q1035+'Rhys C'!Q657+'Shaun - No OT'!Q966</f>
        <v>4847.5499999999993</v>
      </c>
      <c r="T342" s="294">
        <f>'Ben - No OT'!R1036+Bradley!R266+Elliot!R579+'Jarrod - No OT'!R908+Liam!R1035+'Rhys C'!R657+'Shaun - No OT'!R966</f>
        <v>51362.46</v>
      </c>
    </row>
    <row r="343" spans="1:20">
      <c r="R343" s="294">
        <f>R342+S342</f>
        <v>157811.06999999998</v>
      </c>
      <c r="S343" s="294"/>
      <c r="T343" s="294"/>
    </row>
    <row r="344" spans="1:20" ht="17.25" customHeight="1"/>
    <row r="345" spans="1:20">
      <c r="A345" s="1"/>
      <c r="B345" s="2"/>
      <c r="C345" s="2"/>
      <c r="D345" s="2"/>
      <c r="E345" s="2"/>
      <c r="F345" s="2"/>
      <c r="G345" s="2"/>
      <c r="H345" s="2"/>
      <c r="I345" s="2"/>
      <c r="J345" s="2"/>
      <c r="K345" s="2"/>
      <c r="L345" s="2"/>
      <c r="M345" s="2"/>
      <c r="N345" s="2"/>
      <c r="O345" s="2"/>
      <c r="P345" s="2"/>
      <c r="Q345" s="2"/>
    </row>
    <row r="346" spans="1:20">
      <c r="A346" s="169"/>
      <c r="B346" s="170"/>
      <c r="C346" s="171" t="s">
        <v>87</v>
      </c>
      <c r="D346" s="172" t="s">
        <v>142</v>
      </c>
      <c r="E346" s="173"/>
      <c r="F346" s="173"/>
      <c r="G346" s="173"/>
      <c r="H346" s="173"/>
      <c r="I346" s="173"/>
      <c r="J346" s="174" t="s">
        <v>88</v>
      </c>
      <c r="K346" s="175"/>
      <c r="L346" s="176"/>
      <c r="M346" s="177"/>
      <c r="N346" s="178"/>
      <c r="O346" s="179" t="s">
        <v>89</v>
      </c>
      <c r="P346" s="180" t="s">
        <v>29</v>
      </c>
      <c r="Q346" s="181"/>
    </row>
    <row r="347" spans="1:20">
      <c r="A347" s="564" t="s">
        <v>90</v>
      </c>
      <c r="B347" s="565" t="s">
        <v>20</v>
      </c>
      <c r="C347" s="566"/>
      <c r="D347" s="184" t="s">
        <v>91</v>
      </c>
      <c r="E347" s="185" t="s">
        <v>92</v>
      </c>
      <c r="F347" s="185" t="s">
        <v>93</v>
      </c>
      <c r="G347" s="185" t="s">
        <v>94</v>
      </c>
      <c r="H347" s="185" t="s">
        <v>143</v>
      </c>
      <c r="I347" s="184" t="s">
        <v>96</v>
      </c>
      <c r="J347" s="186" t="s">
        <v>97</v>
      </c>
      <c r="K347" s="187" t="s">
        <v>98</v>
      </c>
      <c r="L347" s="188" t="s">
        <v>29</v>
      </c>
      <c r="M347" s="189" t="s">
        <v>89</v>
      </c>
      <c r="N347" s="190" t="s">
        <v>99</v>
      </c>
      <c r="O347" s="191" t="s">
        <v>100</v>
      </c>
      <c r="P347" s="192" t="s">
        <v>99</v>
      </c>
      <c r="Q347" s="193"/>
    </row>
    <row r="348" spans="1:20">
      <c r="A348" s="169">
        <f>'Ben - No OT'!T1112-1-0.5</f>
        <v>4.5</v>
      </c>
      <c r="B348" s="318">
        <f>'Ben - No OT'!T1113</f>
        <v>0</v>
      </c>
      <c r="C348" s="195" t="s">
        <v>106</v>
      </c>
      <c r="D348" s="567">
        <f>'Ben - No OT'!K1118</f>
        <v>13550.27</v>
      </c>
      <c r="E348" s="567">
        <f>'Ben - No OT'!L1118</f>
        <v>20595.66</v>
      </c>
      <c r="F348" s="567">
        <f>'Ben - No OT'!M1118</f>
        <v>2586.09</v>
      </c>
      <c r="G348" s="567">
        <f>'Ben - No OT'!N1118</f>
        <v>6674.78</v>
      </c>
      <c r="H348" s="718"/>
      <c r="I348" s="567">
        <f>'Ben - No OT'!P1118</f>
        <v>43406.8</v>
      </c>
      <c r="J348" s="197">
        <v>50000</v>
      </c>
      <c r="K348" s="198">
        <f>-J348+I348</f>
        <v>-6593.1999999999971</v>
      </c>
      <c r="L348" s="199"/>
      <c r="M348" s="200">
        <f>I348</f>
        <v>43406.8</v>
      </c>
      <c r="N348" s="201">
        <f>'Ben - No OT'!R1118</f>
        <v>24430.83</v>
      </c>
      <c r="O348" s="202">
        <f>M348-N348</f>
        <v>18975.97</v>
      </c>
      <c r="P348" s="203">
        <f>'Ben - No OT'!S1118</f>
        <v>0</v>
      </c>
      <c r="Q348" s="193"/>
    </row>
    <row r="349" spans="1:20">
      <c r="A349" s="169"/>
      <c r="B349" s="229"/>
      <c r="C349" s="204" t="s">
        <v>101</v>
      </c>
      <c r="D349" s="531" cm="1">
        <f t="array" ref="D349:D350">'Ben - No OT'!K1121:K1122</f>
        <v>1</v>
      </c>
      <c r="E349" s="531" cm="1">
        <f t="array" ref="E349:E350">'Ben - No OT'!L1121:L1122</f>
        <v>0.83333333333333337</v>
      </c>
      <c r="F349" s="531" cm="1">
        <f t="array" ref="F349:F350">'Ben - No OT'!M1121:M1122</f>
        <v>0.33333333333333331</v>
      </c>
      <c r="G349" s="531" cm="1">
        <f t="array" ref="G349:G350">'Ben - No OT'!N1121:N1122</f>
        <v>0.66666666666666663</v>
      </c>
      <c r="H349" s="719"/>
      <c r="I349" s="531" cm="1">
        <f t="array" ref="I349:I350">'Ben - No OT'!P1121:P1122</f>
        <v>0.72222222222222221</v>
      </c>
      <c r="J349" s="206"/>
      <c r="K349" s="207"/>
      <c r="L349" s="208"/>
      <c r="M349" s="189"/>
      <c r="N349" s="201"/>
      <c r="O349" s="191"/>
      <c r="P349" s="203"/>
      <c r="Q349" s="181"/>
    </row>
    <row r="350" spans="1:20">
      <c r="A350" s="169"/>
      <c r="B350" s="229"/>
      <c r="C350" s="204" t="s">
        <v>48</v>
      </c>
      <c r="D350" s="532">
        <v>4516.7566666666671</v>
      </c>
      <c r="E350" s="532">
        <v>4119.1319999999996</v>
      </c>
      <c r="F350" s="532">
        <v>2586.09</v>
      </c>
      <c r="G350" s="532">
        <v>1668.6949999999999</v>
      </c>
      <c r="H350" s="720"/>
      <c r="I350" s="532">
        <v>3338.9846153846156</v>
      </c>
      <c r="J350" s="210"/>
      <c r="K350" s="211"/>
      <c r="L350" s="212"/>
      <c r="M350" s="213"/>
      <c r="N350" s="201"/>
      <c r="O350" s="214"/>
      <c r="P350" s="203"/>
      <c r="Q350" s="181"/>
    </row>
    <row r="351" spans="1:20">
      <c r="A351" s="169">
        <f>Bradley!T329</f>
        <v>4</v>
      </c>
      <c r="B351" s="318">
        <f>Bradley!T330</f>
        <v>0</v>
      </c>
      <c r="C351" s="195" t="s">
        <v>121</v>
      </c>
      <c r="D351" s="567">
        <f>Bradley!K335</f>
        <v>4961.2199999999993</v>
      </c>
      <c r="E351" s="567">
        <f>Bradley!L335</f>
        <v>1621.1599999999999</v>
      </c>
      <c r="F351" s="567">
        <f>Bradley!M335</f>
        <v>5244.37</v>
      </c>
      <c r="G351" s="567">
        <f>Bradley!N335</f>
        <v>4458.95</v>
      </c>
      <c r="H351" s="718"/>
      <c r="I351" s="567">
        <f>Bradley!P335</f>
        <v>16285.7</v>
      </c>
      <c r="J351" s="197">
        <v>50000</v>
      </c>
      <c r="K351" s="198">
        <f>-J351+I351</f>
        <v>-33714.300000000003</v>
      </c>
      <c r="L351" s="199"/>
      <c r="M351" s="215">
        <f>I351</f>
        <v>16285.7</v>
      </c>
      <c r="N351" s="216">
        <f>Bradley!R335</f>
        <v>0</v>
      </c>
      <c r="O351" s="217">
        <f>M351-N351</f>
        <v>16285.7</v>
      </c>
      <c r="P351" s="216">
        <f>Bradley!S335</f>
        <v>0</v>
      </c>
      <c r="Q351" s="193"/>
    </row>
    <row r="352" spans="1:20">
      <c r="A352" s="169"/>
      <c r="B352" s="229"/>
      <c r="C352" s="204" t="s">
        <v>101</v>
      </c>
      <c r="D352" s="531" cm="1">
        <f t="array" ref="D352:D353">Bradley!K338:K339</f>
        <v>0.66666666666666663</v>
      </c>
      <c r="E352" s="531" cm="1">
        <f t="array" ref="E352:E353">Bradley!L338:L339</f>
        <v>0.2857142857142857</v>
      </c>
      <c r="F352" s="531" cm="1">
        <f t="array" ref="F352:F353">Bradley!M338:M339</f>
        <v>0.4</v>
      </c>
      <c r="G352" s="531" cm="1">
        <f t="array" ref="G352:G353">Bradley!N338:N339</f>
        <v>0.75</v>
      </c>
      <c r="H352" s="719"/>
      <c r="I352" s="531" cm="1">
        <f t="array" ref="I352:I353">Bradley!P338:P339</f>
        <v>0.48148148148148145</v>
      </c>
      <c r="J352" s="206"/>
      <c r="K352" s="218"/>
      <c r="L352" s="208"/>
      <c r="M352" s="219"/>
      <c r="N352" s="220"/>
      <c r="O352" s="221"/>
      <c r="P352" s="220"/>
      <c r="Q352" s="181"/>
    </row>
    <row r="353" spans="1:17">
      <c r="A353" s="169"/>
      <c r="B353" s="229"/>
      <c r="C353" s="204" t="s">
        <v>48</v>
      </c>
      <c r="D353" s="532">
        <v>1240.3049999999998</v>
      </c>
      <c r="E353" s="532">
        <v>810.57999999999993</v>
      </c>
      <c r="F353" s="532">
        <v>1311.0925</v>
      </c>
      <c r="G353" s="532">
        <v>1486.3166666666666</v>
      </c>
      <c r="H353" s="720"/>
      <c r="I353" s="532">
        <v>1252.7461538461539</v>
      </c>
      <c r="J353" s="206"/>
      <c r="K353" s="222"/>
      <c r="L353" s="212"/>
      <c r="M353" s="223"/>
      <c r="N353" s="192"/>
      <c r="O353" s="224"/>
      <c r="P353" s="192"/>
      <c r="Q353" s="181"/>
    </row>
    <row r="354" spans="1:17">
      <c r="A354" s="169">
        <f>Elliot!T657</f>
        <v>4</v>
      </c>
      <c r="B354" s="318">
        <f>Elliot!T658</f>
        <v>0</v>
      </c>
      <c r="C354" s="195" t="s">
        <v>116</v>
      </c>
      <c r="D354" s="567">
        <f>Elliot!K663</f>
        <v>6456.16</v>
      </c>
      <c r="E354" s="567">
        <f>Elliot!L663</f>
        <v>6124.7300000000005</v>
      </c>
      <c r="F354" s="567">
        <f>Elliot!M663</f>
        <v>7754.4700000000012</v>
      </c>
      <c r="G354" s="567">
        <f>Elliot!N663</f>
        <v>19408.919999999998</v>
      </c>
      <c r="H354" s="718"/>
      <c r="I354" s="567">
        <f>Elliot!P663</f>
        <v>39744.28</v>
      </c>
      <c r="J354" s="197">
        <v>50000</v>
      </c>
      <c r="K354" s="198">
        <f>-J354+I354</f>
        <v>-10255.720000000001</v>
      </c>
      <c r="L354" s="199"/>
      <c r="M354" s="200">
        <f>I354</f>
        <v>39744.28</v>
      </c>
      <c r="N354" s="225">
        <f>Elliot!R663</f>
        <v>23469.149999999998</v>
      </c>
      <c r="O354" s="202">
        <f>M354-N354</f>
        <v>16275.130000000001</v>
      </c>
      <c r="P354" s="216">
        <f>Elliot!S663</f>
        <v>0</v>
      </c>
      <c r="Q354" s="193"/>
    </row>
    <row r="355" spans="1:17">
      <c r="A355" s="169"/>
      <c r="B355" s="229"/>
      <c r="C355" s="204" t="s">
        <v>101</v>
      </c>
      <c r="D355" s="531" cm="1">
        <f t="array" ref="D355:D356">Elliot!K666:K667</f>
        <v>0.5714285714285714</v>
      </c>
      <c r="E355" s="531" cm="1">
        <f t="array" ref="E355:E356">Elliot!L666:L667</f>
        <v>0.5</v>
      </c>
      <c r="F355" s="531" cm="1">
        <f t="array" ref="F355:F356">Elliot!M666:M667</f>
        <v>0.66666666666666663</v>
      </c>
      <c r="G355" s="531" cm="1">
        <f t="array" ref="G355:G356">Elliot!N666:N667</f>
        <v>0.25</v>
      </c>
      <c r="H355" s="719"/>
      <c r="I355" s="531" cm="1">
        <f t="array" ref="I355:I356">Elliot!P666:P667</f>
        <v>0.5</v>
      </c>
      <c r="J355" s="206"/>
      <c r="K355" s="207"/>
      <c r="L355" s="208"/>
      <c r="M355" s="189"/>
      <c r="N355" s="201"/>
      <c r="O355" s="191"/>
      <c r="P355" s="220"/>
      <c r="Q355" s="181"/>
    </row>
    <row r="356" spans="1:17">
      <c r="A356" s="169"/>
      <c r="B356" s="229"/>
      <c r="C356" s="204" t="s">
        <v>48</v>
      </c>
      <c r="D356" s="533">
        <v>1614.04</v>
      </c>
      <c r="E356" s="533">
        <v>2041.5766666666668</v>
      </c>
      <c r="F356" s="533">
        <v>1292.4116666666669</v>
      </c>
      <c r="G356" s="533">
        <v>9704.4599999999991</v>
      </c>
      <c r="H356" s="721"/>
      <c r="I356" s="533">
        <v>2649.6186666666667</v>
      </c>
      <c r="J356" s="210"/>
      <c r="K356" s="211"/>
      <c r="L356" s="228"/>
      <c r="M356" s="213"/>
      <c r="N356" s="201"/>
      <c r="O356" s="214"/>
      <c r="P356" s="220"/>
      <c r="Q356" s="181"/>
    </row>
    <row r="357" spans="1:17">
      <c r="A357" s="169">
        <f>'Jarrod - No OT'!T993</f>
        <v>3</v>
      </c>
      <c r="B357" s="318">
        <f>'Jarrod - No OT'!T994</f>
        <v>0</v>
      </c>
      <c r="C357" s="195" t="s">
        <v>112</v>
      </c>
      <c r="D357" s="567">
        <f>'Jarrod - No OT'!K999</f>
        <v>18425.439999999999</v>
      </c>
      <c r="E357" s="567">
        <f>'Jarrod - No OT'!L999</f>
        <v>5620.34</v>
      </c>
      <c r="F357" s="567">
        <f>'Jarrod - No OT'!M999</f>
        <v>2517.2600000000002</v>
      </c>
      <c r="G357" s="567"/>
      <c r="H357" s="718"/>
      <c r="I357" s="567">
        <f>'Jarrod - No OT'!P999</f>
        <v>26563.040000000001</v>
      </c>
      <c r="J357" s="197">
        <v>50000</v>
      </c>
      <c r="K357" s="198">
        <f>-J357+I357</f>
        <v>-23436.959999999999</v>
      </c>
      <c r="L357" s="199"/>
      <c r="M357" s="200">
        <f>I357</f>
        <v>26563.040000000001</v>
      </c>
      <c r="N357" s="225">
        <f>'Jarrod - No OT'!R999</f>
        <v>14433.58</v>
      </c>
      <c r="O357" s="202">
        <f>M357-N357</f>
        <v>12129.460000000001</v>
      </c>
      <c r="P357" s="216">
        <f>'Jarrod - No OT'!S999</f>
        <v>0</v>
      </c>
      <c r="Q357" s="193"/>
    </row>
    <row r="358" spans="1:17">
      <c r="A358" s="169"/>
      <c r="B358" s="229"/>
      <c r="C358" s="204" t="s">
        <v>101</v>
      </c>
      <c r="D358" s="531" cm="1">
        <f t="array" ref="D358:D359">'Jarrod - No OT'!K1002:K1003</f>
        <v>0.66666666666666663</v>
      </c>
      <c r="E358" s="531" cm="1">
        <f t="array" ref="E358:E359">'Jarrod - No OT'!L1002:L1003</f>
        <v>0.75</v>
      </c>
      <c r="F358" s="531" cm="1">
        <f t="array" ref="F358:F359">'Jarrod - No OT'!M1002:M1003</f>
        <v>0.5</v>
      </c>
      <c r="G358" s="531"/>
      <c r="H358" s="719"/>
      <c r="I358" s="531" cm="1">
        <f t="array" ref="I358:I359">'Jarrod - No OT'!P1002:P1003</f>
        <v>0.6428571428571429</v>
      </c>
      <c r="J358" s="206"/>
      <c r="K358" s="207"/>
      <c r="L358" s="208"/>
      <c r="M358" s="189"/>
      <c r="N358" s="201"/>
      <c r="O358" s="191"/>
      <c r="P358" s="220"/>
      <c r="Q358" s="181"/>
    </row>
    <row r="359" spans="1:17">
      <c r="A359" s="169"/>
      <c r="B359" s="229"/>
      <c r="C359" s="226" t="s">
        <v>48</v>
      </c>
      <c r="D359" s="533">
        <v>4606.3599999999997</v>
      </c>
      <c r="E359" s="533">
        <v>1873.4466666666667</v>
      </c>
      <c r="F359" s="533">
        <v>1258.6300000000001</v>
      </c>
      <c r="G359" s="533"/>
      <c r="H359" s="721"/>
      <c r="I359" s="533">
        <v>2951.4488888888891</v>
      </c>
      <c r="J359" s="206"/>
      <c r="K359" s="211"/>
      <c r="L359" s="228"/>
      <c r="M359" s="213"/>
      <c r="N359" s="201"/>
      <c r="O359" s="214"/>
      <c r="P359" s="220"/>
      <c r="Q359" s="181"/>
    </row>
    <row r="360" spans="1:17">
      <c r="A360" s="229">
        <f>Liam!T1117-0.5</f>
        <v>6.5</v>
      </c>
      <c r="B360" s="318">
        <f>Liam!T1118</f>
        <v>0</v>
      </c>
      <c r="C360" s="195" t="s">
        <v>109</v>
      </c>
      <c r="D360" s="567">
        <f>Liam!K1123</f>
        <v>9501.59</v>
      </c>
      <c r="E360" s="567">
        <f>Liam!L1123</f>
        <v>12050.1</v>
      </c>
      <c r="F360" s="567">
        <f>Liam!M1123</f>
        <v>4327.3999999999996</v>
      </c>
      <c r="G360" s="567">
        <f>Liam!N1123</f>
        <v>6527.6500000000005</v>
      </c>
      <c r="H360" s="718"/>
      <c r="I360" s="567">
        <f>Liam!P1123</f>
        <v>32406.740000000005</v>
      </c>
      <c r="J360" s="197">
        <v>50000</v>
      </c>
      <c r="K360" s="198">
        <f>-J360+I360</f>
        <v>-17593.259999999995</v>
      </c>
      <c r="L360" s="199"/>
      <c r="M360" s="200">
        <f>I360</f>
        <v>32406.740000000005</v>
      </c>
      <c r="N360" s="225">
        <f>Liam!R1123</f>
        <v>9995.7999999999993</v>
      </c>
      <c r="O360" s="202">
        <f>M360-N360</f>
        <v>22410.940000000006</v>
      </c>
      <c r="P360" s="230">
        <f>Liam!S1123</f>
        <v>0</v>
      </c>
      <c r="Q360" s="193"/>
    </row>
    <row r="361" spans="1:17">
      <c r="A361" s="229"/>
      <c r="B361" s="229"/>
      <c r="C361" s="204" t="s">
        <v>101</v>
      </c>
      <c r="D361" s="531" cm="1">
        <f t="array" ref="D361:D362">Liam!K1126:K1127</f>
        <v>0.77777777777777779</v>
      </c>
      <c r="E361" s="531" cm="1">
        <f t="array" ref="E361:E362">Liam!L1126:L1127</f>
        <v>0.66666666666666663</v>
      </c>
      <c r="F361" s="531" cm="1">
        <f t="array" ref="F361:F362">Liam!M1126:M1127</f>
        <v>0.75</v>
      </c>
      <c r="G361" s="531" cm="1">
        <f t="array" ref="G361:G362">Liam!N1126:N1127</f>
        <v>0.625</v>
      </c>
      <c r="H361" s="719"/>
      <c r="I361" s="531" cm="1">
        <f t="array" ref="I361:I362">Liam!P1126:P1127</f>
        <v>0.7</v>
      </c>
      <c r="J361" s="206"/>
      <c r="K361" s="207"/>
      <c r="L361" s="208"/>
      <c r="M361" s="189"/>
      <c r="N361" s="201"/>
      <c r="O361" s="191"/>
      <c r="P361" s="203"/>
      <c r="Q361" s="181"/>
    </row>
    <row r="362" spans="1:17">
      <c r="A362" s="229"/>
      <c r="B362" s="229"/>
      <c r="C362" s="204" t="s">
        <v>48</v>
      </c>
      <c r="D362" s="532">
        <v>1357.3700000000001</v>
      </c>
      <c r="E362" s="532">
        <v>2008.3500000000001</v>
      </c>
      <c r="F362" s="532">
        <v>1442.4666666666665</v>
      </c>
      <c r="G362" s="532">
        <v>1305.5300000000002</v>
      </c>
      <c r="H362" s="720"/>
      <c r="I362" s="532">
        <v>1543.1780952380955</v>
      </c>
      <c r="J362" s="206"/>
      <c r="K362" s="207"/>
      <c r="L362" s="212"/>
      <c r="M362" s="189"/>
      <c r="N362" s="201"/>
      <c r="O362" s="191"/>
      <c r="P362" s="203"/>
      <c r="Q362" s="181"/>
    </row>
    <row r="363" spans="1:17">
      <c r="A363" s="169">
        <f>'Rhys C'!T750</f>
        <v>0</v>
      </c>
      <c r="B363" s="318">
        <f>'Rhys C'!T751</f>
        <v>0</v>
      </c>
      <c r="C363" s="195" t="s">
        <v>110</v>
      </c>
      <c r="D363" s="567">
        <f>'Rhys C'!K756</f>
        <v>3720.8</v>
      </c>
      <c r="E363" s="567">
        <f>'Rhys C'!L756</f>
        <v>16033.859999999999</v>
      </c>
      <c r="F363" s="567">
        <f>'Rhys C'!M756</f>
        <v>21379.840000000004</v>
      </c>
      <c r="G363" s="567">
        <f>'Rhys C'!N756</f>
        <v>17338.810000000001</v>
      </c>
      <c r="H363" s="718"/>
      <c r="I363" s="567">
        <f>'Rhys C'!P756</f>
        <v>58473.31</v>
      </c>
      <c r="J363" s="197">
        <v>50000</v>
      </c>
      <c r="K363" s="198">
        <f>-J363+I363</f>
        <v>8473.3099999999977</v>
      </c>
      <c r="L363" s="199"/>
      <c r="M363" s="200">
        <f>I363</f>
        <v>58473.31</v>
      </c>
      <c r="N363" s="225">
        <f>'Rhys C'!R756</f>
        <v>54119.040000000008</v>
      </c>
      <c r="O363" s="202">
        <f>M363-N363</f>
        <v>4354.2699999999895</v>
      </c>
      <c r="P363" s="230">
        <f>'Rhys C'!S756</f>
        <v>0</v>
      </c>
      <c r="Q363" s="193"/>
    </row>
    <row r="364" spans="1:17">
      <c r="A364" s="169"/>
      <c r="B364" s="229"/>
      <c r="C364" s="204" t="s">
        <v>101</v>
      </c>
      <c r="D364" s="535" cm="1">
        <f t="array" ref="D364:D365">'Rhys C'!K759:K760</f>
        <v>0.375</v>
      </c>
      <c r="E364" s="535" cm="1">
        <f t="array" ref="E364:E365">'Rhys C'!L759:L760</f>
        <v>0.66666666666666663</v>
      </c>
      <c r="F364" s="535" cm="1">
        <f t="array" ref="F364:F365">'Rhys C'!M759:M760</f>
        <v>0.42857142857142855</v>
      </c>
      <c r="G364" s="535" cm="1">
        <f t="array" ref="G364:G365">'Rhys C'!N759:N760</f>
        <v>0.66666666666666663</v>
      </c>
      <c r="H364" s="722"/>
      <c r="I364" s="535" cm="1">
        <f t="array" ref="I364:I365">'Rhys C'!P759:P760</f>
        <v>0.51851851851851849</v>
      </c>
      <c r="J364" s="206"/>
      <c r="K364" s="207"/>
      <c r="L364" s="208"/>
      <c r="M364" s="189"/>
      <c r="N364" s="201"/>
      <c r="O364" s="191"/>
      <c r="P364" s="203"/>
      <c r="Q364" s="181"/>
    </row>
    <row r="365" spans="1:17">
      <c r="A365" s="169"/>
      <c r="B365" s="229"/>
      <c r="C365" s="226" t="s">
        <v>48</v>
      </c>
      <c r="D365" s="536">
        <v>1240.2666666666667</v>
      </c>
      <c r="E365" s="536">
        <v>4008.4649999999997</v>
      </c>
      <c r="F365" s="536">
        <v>7126.6133333333346</v>
      </c>
      <c r="G365" s="536">
        <v>4334.7025000000003</v>
      </c>
      <c r="H365" s="723"/>
      <c r="I365" s="536">
        <v>4176.665</v>
      </c>
      <c r="J365" s="210"/>
      <c r="K365" s="211"/>
      <c r="L365" s="228"/>
      <c r="M365" s="213"/>
      <c r="N365" s="190"/>
      <c r="O365" s="214"/>
      <c r="P365" s="233"/>
      <c r="Q365" s="181"/>
    </row>
    <row r="366" spans="1:17">
      <c r="A366" s="229">
        <f>'Shaun - No OT'!T1033</f>
        <v>8</v>
      </c>
      <c r="B366" s="318">
        <f>'Shaun - No OT'!T1034</f>
        <v>0</v>
      </c>
      <c r="C366" s="195" t="s">
        <v>107</v>
      </c>
      <c r="D366" s="567">
        <f>'Shaun - No OT'!K1039</f>
        <v>9744.7200000000012</v>
      </c>
      <c r="E366" s="567">
        <f>'Shaun - No OT'!L1039</f>
        <v>9520.93</v>
      </c>
      <c r="F366" s="567">
        <f>'Shaun - No OT'!M1039</f>
        <v>8568.14</v>
      </c>
      <c r="G366" s="567">
        <f>'Shaun - No OT'!N1039</f>
        <v>8445.5</v>
      </c>
      <c r="H366" s="718"/>
      <c r="I366" s="567">
        <f>'Shaun - No OT'!P1039</f>
        <v>36279.29</v>
      </c>
      <c r="J366" s="206">
        <v>50000</v>
      </c>
      <c r="K366" s="207">
        <f>-J366+I366</f>
        <v>-13720.71</v>
      </c>
      <c r="L366" s="212"/>
      <c r="M366" s="189">
        <f>I366</f>
        <v>36279.29</v>
      </c>
      <c r="N366" s="201">
        <f>'Shaun - No OT'!R1039</f>
        <v>6578.4000000000005</v>
      </c>
      <c r="O366" s="191">
        <f>M366-N366</f>
        <v>29700.89</v>
      </c>
      <c r="P366" s="220">
        <f>'Shaun - No OT'!S1039</f>
        <v>0</v>
      </c>
      <c r="Q366" s="193"/>
    </row>
    <row r="367" spans="1:17">
      <c r="A367" s="229"/>
      <c r="B367" s="229"/>
      <c r="C367" s="204" t="s">
        <v>101</v>
      </c>
      <c r="D367" s="531" cm="1">
        <f t="array" ref="D367:D368">'Shaun - No OT'!K1042:K1043</f>
        <v>0.33333333333333331</v>
      </c>
      <c r="E367" s="531" cm="1">
        <f t="array" ref="E367:E368">'Shaun - No OT'!L1042:L1043</f>
        <v>0.6</v>
      </c>
      <c r="F367" s="531" cm="1">
        <f t="array" ref="F367:F368">'Shaun - No OT'!M1042:M1043</f>
        <v>0.33333333333333331</v>
      </c>
      <c r="G367" s="531" cm="1">
        <f t="array" ref="G367:G368">'Shaun - No OT'!N1042:N1043</f>
        <v>0.33333333333333331</v>
      </c>
      <c r="H367" s="719"/>
      <c r="I367" s="531" cm="1">
        <f t="array" ref="I367:I368">'Shaun - No OT'!P1042:P1043</f>
        <v>0.40540540540540543</v>
      </c>
      <c r="J367" s="206"/>
      <c r="K367" s="207"/>
      <c r="L367" s="208"/>
      <c r="M367" s="189"/>
      <c r="N367" s="201"/>
      <c r="O367" s="234"/>
      <c r="P367" s="220"/>
      <c r="Q367" s="181"/>
    </row>
    <row r="368" spans="1:17">
      <c r="A368" s="229"/>
      <c r="B368" s="229"/>
      <c r="C368" s="204" t="s">
        <v>48</v>
      </c>
      <c r="D368" s="532">
        <v>3248.2400000000002</v>
      </c>
      <c r="E368" s="532">
        <v>1586.8216666666667</v>
      </c>
      <c r="F368" s="532">
        <v>2856.0466666666666</v>
      </c>
      <c r="G368" s="532">
        <v>2815.1666666666665</v>
      </c>
      <c r="H368" s="720"/>
      <c r="I368" s="532">
        <v>2418.6193333333335</v>
      </c>
      <c r="J368" s="210"/>
      <c r="K368" s="211"/>
      <c r="L368" s="228"/>
      <c r="M368" s="213"/>
      <c r="N368" s="190"/>
      <c r="O368" s="235"/>
      <c r="P368" s="192"/>
      <c r="Q368" s="181"/>
    </row>
    <row r="369" spans="1:20">
      <c r="A369" s="229">
        <f>'Otheniel - Junior'!T5</f>
        <v>0</v>
      </c>
      <c r="B369" s="229">
        <f>'Otheniel - Junior'!T6</f>
        <v>0</v>
      </c>
      <c r="C369" s="195" t="s">
        <v>122</v>
      </c>
      <c r="D369" s="567"/>
      <c r="E369" s="567"/>
      <c r="F369" s="567"/>
      <c r="G369" s="567"/>
      <c r="H369" s="718"/>
      <c r="I369" s="567"/>
      <c r="J369" s="206">
        <v>50000</v>
      </c>
      <c r="K369" s="207">
        <f>-J369+I369</f>
        <v>-50000</v>
      </c>
      <c r="L369" s="212">
        <f>'Otheniel - Junior'!Q11</f>
        <v>2292.8000000000002</v>
      </c>
      <c r="M369" s="189">
        <f>I369</f>
        <v>0</v>
      </c>
      <c r="N369" s="201">
        <f>'Otheniel - Junior'!R11</f>
        <v>0</v>
      </c>
      <c r="O369" s="191">
        <f>M369-N369</f>
        <v>0</v>
      </c>
      <c r="P369" s="220">
        <f>'Otheniel - Junior'!S11</f>
        <v>0</v>
      </c>
      <c r="Q369" s="181"/>
    </row>
    <row r="370" spans="1:20">
      <c r="A370" s="229"/>
      <c r="B370" s="229"/>
      <c r="C370" s="204" t="s">
        <v>101</v>
      </c>
      <c r="D370" s="531"/>
      <c r="E370" s="531"/>
      <c r="F370" s="531"/>
      <c r="G370" s="531"/>
      <c r="H370" s="719"/>
      <c r="I370" s="531"/>
      <c r="J370" s="206"/>
      <c r="K370" s="207"/>
      <c r="L370" s="208" cm="1">
        <f t="array" ref="L370:L371">'Otheniel - Junior'!Q14:Q15</f>
        <v>0.5</v>
      </c>
      <c r="M370" s="189"/>
      <c r="N370" s="201"/>
      <c r="O370" s="234"/>
      <c r="P370" s="220"/>
      <c r="Q370" s="181"/>
    </row>
    <row r="371" spans="1:20">
      <c r="A371" s="229"/>
      <c r="B371" s="229"/>
      <c r="C371" s="226" t="s">
        <v>48</v>
      </c>
      <c r="D371" s="533"/>
      <c r="E371" s="533"/>
      <c r="F371" s="533"/>
      <c r="G371" s="533"/>
      <c r="H371" s="721"/>
      <c r="I371" s="533"/>
      <c r="J371" s="210"/>
      <c r="K371" s="211"/>
      <c r="L371" s="228">
        <v>764.26666666666677</v>
      </c>
      <c r="M371" s="213"/>
      <c r="N371" s="190"/>
      <c r="O371" s="235"/>
      <c r="P371" s="192"/>
      <c r="Q371" s="181"/>
    </row>
    <row r="372" spans="1:20">
      <c r="A372" s="236">
        <f>SUM(A348:A368)</f>
        <v>30</v>
      </c>
      <c r="B372" s="236">
        <f>SUM(B348:B368)</f>
        <v>0</v>
      </c>
      <c r="C372" s="226" t="s">
        <v>102</v>
      </c>
      <c r="D372" s="536">
        <f>D348+D351+D354+D357+D360+D363+D366+D369</f>
        <v>66360.2</v>
      </c>
      <c r="E372" s="536">
        <f>E348+E351+E354+E357+E360+E363+E366+E369</f>
        <v>71566.78</v>
      </c>
      <c r="F372" s="536">
        <f>F348+F351+F354+F357+F360+F363+F366+F369</f>
        <v>52377.570000000007</v>
      </c>
      <c r="G372" s="536">
        <f>G348+G351+G354+G357+G360+G363+G366+G369</f>
        <v>62854.61</v>
      </c>
      <c r="H372" s="239">
        <f>H348+H351+H354+H357+H360+H363+H366+H369</f>
        <v>0</v>
      </c>
      <c r="I372" s="239">
        <f>I348+I351+I354+I357+I360+I363+I366+I369</f>
        <v>253159.16</v>
      </c>
      <c r="J372" s="238">
        <f>J348+J351+J354+J357+J360+J363+J366+J369</f>
        <v>400000</v>
      </c>
      <c r="K372" s="240">
        <f>K348+K351+K354+K357+K360+K363+K366+K369</f>
        <v>-146840.84</v>
      </c>
      <c r="L372" s="241">
        <f>L348+L351+L354+L357+L360+L363+L366+L369</f>
        <v>2292.8000000000002</v>
      </c>
      <c r="M372" s="239">
        <f>M348+M351+M354+M357+M360+M363+M366+M369</f>
        <v>253159.16</v>
      </c>
      <c r="N372" s="240">
        <f>N348+N351+N354+N357+N360+N363+N366+N369</f>
        <v>133026.80000000002</v>
      </c>
      <c r="O372" s="241">
        <f>O348+O351+O354+O357+O360+O363+O366+O369</f>
        <v>120132.36</v>
      </c>
      <c r="P372" s="240">
        <f>P348+P351+P354+P357+P360+P363+P366+P369</f>
        <v>0</v>
      </c>
      <c r="Q372" s="242"/>
    </row>
    <row r="373" spans="1:20">
      <c r="A373" s="243"/>
      <c r="B373" s="244"/>
      <c r="C373" s="244"/>
      <c r="D373" s="244"/>
      <c r="E373" s="244"/>
      <c r="F373" s="244"/>
      <c r="G373" s="244"/>
      <c r="H373" s="244"/>
      <c r="I373" s="245">
        <f>I372+L372</f>
        <v>255451.96</v>
      </c>
      <c r="J373" s="246">
        <f>J372+K372</f>
        <v>253159.16</v>
      </c>
      <c r="K373" s="247"/>
      <c r="L373" s="248"/>
      <c r="M373" s="249"/>
      <c r="N373" s="250">
        <f>M372-O372</f>
        <v>133026.79999999999</v>
      </c>
      <c r="O373" s="251"/>
      <c r="P373" s="201"/>
      <c r="Q373" s="181"/>
    </row>
    <row r="374" spans="1:20">
      <c r="R374" s="294">
        <f>'Ben - No OT'!P1118+Bradley!P335+Elliot!P663+'Jarrod - No OT'!P999+Liam!P1123+'Rhys C'!P756+'Shaun - No OT'!P1039</f>
        <v>253159.16</v>
      </c>
      <c r="S374" s="294">
        <f>'Ben - No OT'!Q1118+Bradley!Q335+Elliot!Q663+'Jarrod - No OT'!Q999+Liam!Q1123+'Rhys C'!Q756+'Shaun - No OT'!Q1039</f>
        <v>0</v>
      </c>
      <c r="T374" s="294">
        <f>'Ben - No OT'!R1118+Bradley!R335+Elliot!R663+'Jarrod - No OT'!R999+Liam!R1123+'Rhys C'!R756+'Shaun - No OT'!R1039</f>
        <v>133026.80000000002</v>
      </c>
    </row>
    <row r="375" spans="1:20">
      <c r="R375" s="294">
        <f>R374+S374</f>
        <v>253159.16</v>
      </c>
      <c r="S375" s="294"/>
      <c r="T375" s="294"/>
    </row>
    <row r="377" spans="1:20">
      <c r="A377" s="169"/>
      <c r="B377" s="170"/>
      <c r="C377" s="171" t="s">
        <v>87</v>
      </c>
      <c r="D377" s="172" t="s">
        <v>123</v>
      </c>
      <c r="E377" s="173"/>
      <c r="F377" s="173"/>
      <c r="G377" s="173"/>
      <c r="H377" s="173"/>
      <c r="I377" s="173"/>
      <c r="J377" s="174" t="s">
        <v>88</v>
      </c>
      <c r="K377" s="175"/>
      <c r="L377" s="176"/>
      <c r="M377" s="177"/>
      <c r="N377" s="178"/>
      <c r="O377" s="179" t="s">
        <v>89</v>
      </c>
      <c r="P377" s="180" t="s">
        <v>29</v>
      </c>
      <c r="Q377" s="181"/>
    </row>
    <row r="378" spans="1:20">
      <c r="A378" s="564" t="s">
        <v>90</v>
      </c>
      <c r="B378" s="565" t="s">
        <v>20</v>
      </c>
      <c r="C378" s="566"/>
      <c r="D378" s="184" t="s">
        <v>91</v>
      </c>
      <c r="E378" s="185" t="s">
        <v>92</v>
      </c>
      <c r="F378" s="185" t="s">
        <v>93</v>
      </c>
      <c r="G378" s="185" t="s">
        <v>94</v>
      </c>
      <c r="H378" s="185" t="s">
        <v>95</v>
      </c>
      <c r="I378" s="184" t="s">
        <v>96</v>
      </c>
      <c r="J378" s="186" t="s">
        <v>97</v>
      </c>
      <c r="K378" s="187" t="s">
        <v>98</v>
      </c>
      <c r="L378" s="188" t="s">
        <v>29</v>
      </c>
      <c r="M378" s="189" t="s">
        <v>89</v>
      </c>
      <c r="N378" s="190" t="s">
        <v>99</v>
      </c>
      <c r="O378" s="191" t="s">
        <v>100</v>
      </c>
      <c r="P378" s="192" t="s">
        <v>99</v>
      </c>
      <c r="Q378" s="193"/>
    </row>
    <row r="379" spans="1:20">
      <c r="A379" s="169">
        <f>'Ben - No OT'!T1180-0.5</f>
        <v>3.5</v>
      </c>
      <c r="B379" s="318">
        <f>'Ben - No OT'!T1181</f>
        <v>0</v>
      </c>
      <c r="C379" s="195" t="s">
        <v>106</v>
      </c>
      <c r="D379" s="567">
        <f>'Ben - No OT'!K1186</f>
        <v>3058.44</v>
      </c>
      <c r="E379" s="567">
        <f>'Ben - No OT'!L1186</f>
        <v>23630.719999999998</v>
      </c>
      <c r="F379" s="567">
        <f>'Ben - No OT'!M1186</f>
        <v>3061.6</v>
      </c>
      <c r="G379" s="567"/>
      <c r="H379" s="567"/>
      <c r="I379" s="567">
        <f>'Ben - No OT'!P1186</f>
        <v>29750.759999999995</v>
      </c>
      <c r="J379" s="197">
        <v>50000</v>
      </c>
      <c r="K379" s="198">
        <f>-J379+I379</f>
        <v>-20249.240000000005</v>
      </c>
      <c r="L379" s="199"/>
      <c r="M379" s="200">
        <f>I379</f>
        <v>29750.759999999995</v>
      </c>
      <c r="N379" s="659">
        <f>'Ben - No OT'!R1186</f>
        <v>0</v>
      </c>
      <c r="O379" s="660">
        <f>M379-N379</f>
        <v>29750.759999999995</v>
      </c>
      <c r="P379" s="203">
        <f>'Ben - No OT'!S1186</f>
        <v>0</v>
      </c>
      <c r="Q379" s="193"/>
    </row>
    <row r="380" spans="1:20">
      <c r="A380" s="169"/>
      <c r="B380" s="229"/>
      <c r="C380" s="204" t="s">
        <v>101</v>
      </c>
      <c r="D380" s="531" cm="1">
        <f t="array" ref="D380:D381">'Ben - No OT'!K1189:K1190</f>
        <v>0.66666666666666663</v>
      </c>
      <c r="E380" s="531" cm="1">
        <f t="array" ref="E380:E381">'Ben - No OT'!L1189:L1190</f>
        <v>0.5714285714285714</v>
      </c>
      <c r="F380" s="531" cm="1">
        <f t="array" ref="F380:F381">'Ben - No OT'!M1189:M1190</f>
        <v>1</v>
      </c>
      <c r="G380" s="531"/>
      <c r="H380" s="531"/>
      <c r="I380" s="531" cm="1">
        <f t="array" ref="I380:I381">'Ben - No OT'!P1189:P1190</f>
        <v>0.69230769230769229</v>
      </c>
      <c r="J380" s="206"/>
      <c r="K380" s="207"/>
      <c r="L380" s="208"/>
      <c r="M380" s="189"/>
      <c r="N380" s="659"/>
      <c r="O380" s="663"/>
      <c r="P380" s="203"/>
      <c r="Q380" s="181"/>
    </row>
    <row r="381" spans="1:20">
      <c r="A381" s="169"/>
      <c r="B381" s="229"/>
      <c r="C381" s="226" t="s">
        <v>48</v>
      </c>
      <c r="D381" s="533">
        <v>1529.22</v>
      </c>
      <c r="E381" s="533">
        <v>5907.6799999999994</v>
      </c>
      <c r="F381" s="533">
        <v>1020.5333333333333</v>
      </c>
      <c r="G381" s="533"/>
      <c r="H381" s="533"/>
      <c r="I381" s="533">
        <v>3305.6399999999994</v>
      </c>
      <c r="J381" s="210"/>
      <c r="K381" s="211"/>
      <c r="L381" s="228"/>
      <c r="M381" s="213"/>
      <c r="N381" s="677"/>
      <c r="O381" s="665"/>
      <c r="P381" s="233"/>
      <c r="Q381" s="181"/>
    </row>
    <row r="382" spans="1:20">
      <c r="A382" s="169">
        <f>Bradley!T405</f>
        <v>3</v>
      </c>
      <c r="B382" s="318">
        <f>Bradley!T406</f>
        <v>0</v>
      </c>
      <c r="C382" s="195" t="s">
        <v>121</v>
      </c>
      <c r="D382" s="567">
        <f>Bradley!K411</f>
        <v>3620.8999999999996</v>
      </c>
      <c r="E382" s="567">
        <f>Bradley!L411</f>
        <v>3687.8999999999996</v>
      </c>
      <c r="F382" s="567">
        <f>Bradley!M411</f>
        <v>1013.3</v>
      </c>
      <c r="G382" s="567">
        <f>Bradley!N411</f>
        <v>1102</v>
      </c>
      <c r="H382" s="567">
        <f>Bradley!O411</f>
        <v>1834.3</v>
      </c>
      <c r="I382" s="567">
        <f>Bradley!P411</f>
        <v>11258.399999999998</v>
      </c>
      <c r="J382" s="197">
        <v>50000</v>
      </c>
      <c r="K382" s="198">
        <f>-J382+I382</f>
        <v>-38741.600000000006</v>
      </c>
      <c r="L382" s="199"/>
      <c r="M382" s="215">
        <f>I382</f>
        <v>11258.399999999998</v>
      </c>
      <c r="N382" s="667">
        <f>Bradley!R411</f>
        <v>2451.6</v>
      </c>
      <c r="O382" s="668">
        <f>M382-N382</f>
        <v>8806.7999999999975</v>
      </c>
      <c r="P382" s="216">
        <f>Bradley!S411</f>
        <v>0</v>
      </c>
      <c r="Q382" s="193"/>
    </row>
    <row r="383" spans="1:20">
      <c r="A383" s="169"/>
      <c r="B383" s="229"/>
      <c r="C383" s="204" t="s">
        <v>101</v>
      </c>
      <c r="D383" s="531" cm="1">
        <f t="array" ref="D383:D384">Bradley!K414:K415</f>
        <v>0.375</v>
      </c>
      <c r="E383" s="531" cm="1">
        <f t="array" ref="E383:E384">Bradley!L414:L415</f>
        <v>0.5714285714285714</v>
      </c>
      <c r="F383" s="531" cm="1">
        <f t="array" ref="F383:F384">Bradley!M414:M415</f>
        <v>0.125</v>
      </c>
      <c r="G383" s="531" cm="1">
        <f t="array" ref="G383:G384">Bradley!N414:N415</f>
        <v>0.4</v>
      </c>
      <c r="H383" s="531" cm="1">
        <f t="array" ref="H383:H384">Bradley!O414:O415</f>
        <v>0.22222222222222221</v>
      </c>
      <c r="I383" s="531" cm="1">
        <f t="array" ref="I383:I384">Bradley!P414:P415</f>
        <v>0.32432432432432434</v>
      </c>
      <c r="J383" s="206"/>
      <c r="K383" s="218"/>
      <c r="L383" s="208"/>
      <c r="M383" s="219"/>
      <c r="N383" s="670"/>
      <c r="O383" s="671"/>
      <c r="P383" s="220"/>
      <c r="Q383" s="181"/>
    </row>
    <row r="384" spans="1:20">
      <c r="A384" s="169"/>
      <c r="B384" s="229"/>
      <c r="C384" s="204" t="s">
        <v>48</v>
      </c>
      <c r="D384" s="532">
        <v>1206.9666666666665</v>
      </c>
      <c r="E384" s="532">
        <v>921.97499999999991</v>
      </c>
      <c r="F384" s="532">
        <v>1013.3</v>
      </c>
      <c r="G384" s="532">
        <v>551</v>
      </c>
      <c r="H384" s="532">
        <v>917.15</v>
      </c>
      <c r="I384" s="532">
        <v>938.19999999999982</v>
      </c>
      <c r="J384" s="206"/>
      <c r="K384" s="222"/>
      <c r="L384" s="212"/>
      <c r="M384" s="223"/>
      <c r="N384" s="673"/>
      <c r="O384" s="674"/>
      <c r="P384" s="192"/>
      <c r="Q384" s="181"/>
    </row>
    <row r="385" spans="1:17">
      <c r="A385" s="169">
        <f>Elliot!T743</f>
        <v>8</v>
      </c>
      <c r="B385" s="318">
        <f>Elliot!T744</f>
        <v>0</v>
      </c>
      <c r="C385" s="195" t="s">
        <v>116</v>
      </c>
      <c r="D385" s="567">
        <f>Elliot!K749</f>
        <v>7109.35</v>
      </c>
      <c r="E385" s="567">
        <f>Elliot!L749</f>
        <v>1190</v>
      </c>
      <c r="F385" s="567">
        <f>Elliot!M749</f>
        <v>6386.46</v>
      </c>
      <c r="G385" s="567">
        <f>Elliot!N749</f>
        <v>4295.8599999999997</v>
      </c>
      <c r="H385" s="567">
        <f>Elliot!O749</f>
        <v>10301.25</v>
      </c>
      <c r="I385" s="567">
        <f>Elliot!P749</f>
        <v>29282.920000000002</v>
      </c>
      <c r="J385" s="197">
        <v>50000</v>
      </c>
      <c r="K385" s="198">
        <f>-J385+I385</f>
        <v>-20717.079999999998</v>
      </c>
      <c r="L385" s="199"/>
      <c r="M385" s="200">
        <f>I385</f>
        <v>29282.920000000002</v>
      </c>
      <c r="N385" s="675">
        <f>Elliot!R749</f>
        <v>9100.7999999999993</v>
      </c>
      <c r="O385" s="660">
        <f>M385-N385</f>
        <v>20182.120000000003</v>
      </c>
      <c r="P385" s="216">
        <f>Elliot!S749</f>
        <v>0</v>
      </c>
      <c r="Q385" s="193"/>
    </row>
    <row r="386" spans="1:17">
      <c r="A386" s="169"/>
      <c r="B386" s="229"/>
      <c r="C386" s="204" t="s">
        <v>101</v>
      </c>
      <c r="D386" s="531" cm="1">
        <f t="array" ref="D386:D387">Elliot!K752:K753</f>
        <v>0.5</v>
      </c>
      <c r="E386" s="531" cm="1">
        <f t="array" ref="E386:E387">Elliot!L752:L753</f>
        <v>0.33333333333333331</v>
      </c>
      <c r="F386" s="531" cm="1">
        <f t="array" ref="F386:F387">Elliot!M752:M753</f>
        <v>0.8</v>
      </c>
      <c r="G386" s="531" cm="1">
        <f t="array" ref="G386:G387">Elliot!N752:N753</f>
        <v>0.33333333333333331</v>
      </c>
      <c r="H386" s="531" cm="1">
        <f t="array" ref="H386:H387">Elliot!O752:O753</f>
        <v>0.33333333333333331</v>
      </c>
      <c r="I386" s="531" cm="1">
        <f t="array" ref="I386:I387">Elliot!P752:P753</f>
        <v>0.44117647058823528</v>
      </c>
      <c r="J386" s="206"/>
      <c r="K386" s="207"/>
      <c r="L386" s="208"/>
      <c r="M386" s="189"/>
      <c r="N386" s="659"/>
      <c r="O386" s="663"/>
      <c r="P386" s="220"/>
      <c r="Q386" s="181"/>
    </row>
    <row r="387" spans="1:17">
      <c r="A387" s="169"/>
      <c r="B387" s="229"/>
      <c r="C387" s="226" t="s">
        <v>48</v>
      </c>
      <c r="D387" s="533">
        <v>1777.3375000000001</v>
      </c>
      <c r="E387" s="533">
        <v>595</v>
      </c>
      <c r="F387" s="533">
        <v>1596.615</v>
      </c>
      <c r="G387" s="533">
        <v>1431.9533333333331</v>
      </c>
      <c r="H387" s="533">
        <v>5150.625</v>
      </c>
      <c r="I387" s="533">
        <v>1952.1946666666668</v>
      </c>
      <c r="J387" s="210"/>
      <c r="K387" s="211"/>
      <c r="L387" s="228"/>
      <c r="M387" s="213"/>
      <c r="N387" s="677"/>
      <c r="O387" s="665"/>
      <c r="P387" s="192"/>
      <c r="Q387" s="181"/>
    </row>
    <row r="388" spans="1:17">
      <c r="A388" s="169">
        <f>'Jarrod - No OT'!T1068</f>
        <v>6</v>
      </c>
      <c r="B388" s="318">
        <f>'Jarrod - No OT'!T1069</f>
        <v>1</v>
      </c>
      <c r="C388" s="195" t="s">
        <v>112</v>
      </c>
      <c r="D388" s="567">
        <f>'Jarrod - No OT'!K1074</f>
        <v>3199.8999999999996</v>
      </c>
      <c r="E388" s="567">
        <f>'Jarrod - No OT'!L1074</f>
        <v>13205.07</v>
      </c>
      <c r="F388" s="567">
        <f>'Jarrod - No OT'!M1074</f>
        <v>2460.3000000000002</v>
      </c>
      <c r="G388" s="567">
        <f>'Jarrod - No OT'!N1074</f>
        <v>7128.58</v>
      </c>
      <c r="H388" s="567">
        <f>'Jarrod - No OT'!O1074</f>
        <v>7337.56</v>
      </c>
      <c r="I388" s="567">
        <f>'Jarrod - No OT'!P1074</f>
        <v>33331.409999999996</v>
      </c>
      <c r="J388" s="197">
        <v>50000</v>
      </c>
      <c r="K388" s="198">
        <f>-J388+I388</f>
        <v>-16668.590000000004</v>
      </c>
      <c r="L388" s="199"/>
      <c r="M388" s="200">
        <f>I388</f>
        <v>33331.409999999996</v>
      </c>
      <c r="N388" s="675">
        <f>'Jarrod - No OT'!R1074</f>
        <v>716</v>
      </c>
      <c r="O388" s="660">
        <f>M388-N388</f>
        <v>32615.409999999996</v>
      </c>
      <c r="P388" s="216">
        <f>'Jarrod - No OT'!S1074</f>
        <v>0</v>
      </c>
      <c r="Q388" s="193"/>
    </row>
    <row r="389" spans="1:17">
      <c r="A389" s="169"/>
      <c r="B389" s="229"/>
      <c r="C389" s="204" t="s">
        <v>101</v>
      </c>
      <c r="D389" s="531" cm="1">
        <f t="array" ref="D389:D390">'Jarrod - No OT'!K1077:K1078</f>
        <v>0.3</v>
      </c>
      <c r="E389" s="531" cm="1">
        <f t="array" ref="E389:E390">'Jarrod - No OT'!L1077:L1078</f>
        <v>0.4</v>
      </c>
      <c r="F389" s="531" cm="1">
        <f t="array" ref="F389:F390">'Jarrod - No OT'!M1077:M1078</f>
        <v>0.375</v>
      </c>
      <c r="G389" s="531" cm="1">
        <f t="array" ref="G389:G390">'Jarrod - No OT'!N1077:N1078</f>
        <v>0.55555555555555558</v>
      </c>
      <c r="H389" s="531" cm="1">
        <f t="array" ref="H389:H390">'Jarrod - No OT'!O1077:O1078</f>
        <v>0.5</v>
      </c>
      <c r="I389" s="531" cm="1">
        <f t="array" ref="I389:I390">'Jarrod - No OT'!P1077:P1078</f>
        <v>0.42105263157894735</v>
      </c>
      <c r="J389" s="206"/>
      <c r="K389" s="207"/>
      <c r="L389" s="208"/>
      <c r="M389" s="189"/>
      <c r="N389" s="659"/>
      <c r="O389" s="663"/>
      <c r="P389" s="220"/>
      <c r="Q389" s="181"/>
    </row>
    <row r="390" spans="1:17">
      <c r="A390" s="169"/>
      <c r="B390" s="229"/>
      <c r="C390" s="226" t="s">
        <v>48</v>
      </c>
      <c r="D390" s="533">
        <v>1066.6333333333332</v>
      </c>
      <c r="E390" s="533">
        <v>6602.5349999999999</v>
      </c>
      <c r="F390" s="533">
        <v>820.1</v>
      </c>
      <c r="G390" s="533">
        <v>1425.7159999999999</v>
      </c>
      <c r="H390" s="533">
        <v>2445.8533333333335</v>
      </c>
      <c r="I390" s="533">
        <v>2083.2131249999998</v>
      </c>
      <c r="J390" s="206"/>
      <c r="K390" s="211"/>
      <c r="L390" s="228"/>
      <c r="M390" s="213"/>
      <c r="N390" s="659"/>
      <c r="O390" s="665"/>
      <c r="P390" s="220"/>
      <c r="Q390" s="181"/>
    </row>
    <row r="391" spans="1:17">
      <c r="A391" s="169">
        <f>'Otheniel - Junior'!T55</f>
        <v>5</v>
      </c>
      <c r="B391" s="318">
        <f>'Otheniel - Junior'!T56</f>
        <v>0</v>
      </c>
      <c r="C391" s="195" t="s">
        <v>122</v>
      </c>
      <c r="D391" s="567">
        <f>'Otheniel - Junior'!K61</f>
        <v>18777.48</v>
      </c>
      <c r="E391" s="567">
        <f>'Otheniel - Junior'!L61</f>
        <v>6068.3</v>
      </c>
      <c r="F391" s="567">
        <f>'Otheniel - Junior'!M61</f>
        <v>4013.6099999999997</v>
      </c>
      <c r="G391" s="567">
        <f>'Otheniel - Junior'!N61</f>
        <v>3569.7200000000003</v>
      </c>
      <c r="H391" s="567">
        <f>'Otheniel - Junior'!O61</f>
        <v>1421.3</v>
      </c>
      <c r="I391" s="567">
        <f>'Otheniel - Junior'!P61</f>
        <v>33850.410000000003</v>
      </c>
      <c r="J391" s="197">
        <v>50000</v>
      </c>
      <c r="K391" s="198">
        <f>-J391+I391</f>
        <v>-16149.589999999997</v>
      </c>
      <c r="L391" s="199"/>
      <c r="M391" s="200">
        <f>I391</f>
        <v>33850.410000000003</v>
      </c>
      <c r="N391" s="675">
        <f>'Otheniel - Junior'!R61</f>
        <v>21320.41</v>
      </c>
      <c r="O391" s="660">
        <f>M391-N391</f>
        <v>12530.000000000004</v>
      </c>
      <c r="P391" s="216">
        <f>'Otheniel - Junior'!S61</f>
        <v>0</v>
      </c>
      <c r="Q391" s="181"/>
    </row>
    <row r="392" spans="1:17">
      <c r="A392" s="169"/>
      <c r="B392" s="229"/>
      <c r="C392" s="204" t="s">
        <v>101</v>
      </c>
      <c r="D392" s="531" cm="1">
        <f t="array" ref="D392:D393">'Otheniel - Junior'!K64:K65</f>
        <v>0.625</v>
      </c>
      <c r="E392" s="531" cm="1">
        <f t="array" ref="E392:E393">'Otheniel - Junior'!L64:L65</f>
        <v>0.8</v>
      </c>
      <c r="F392" s="531" cm="1">
        <f t="array" ref="F392:F393">'Otheniel - Junior'!M64:M65</f>
        <v>0.33333333333333331</v>
      </c>
      <c r="G392" s="531" cm="1">
        <f t="array" ref="G392:G393">'Otheniel - Junior'!N64:N65</f>
        <v>0.5714285714285714</v>
      </c>
      <c r="H392" s="531" cm="1">
        <f t="array" ref="H392:H393">'Otheniel - Junior'!O64:O65</f>
        <v>0.2</v>
      </c>
      <c r="I392" s="531" cm="1">
        <f t="array" ref="I392:I393">'Otheniel - Junior'!P64:P65</f>
        <v>0.5</v>
      </c>
      <c r="J392" s="206"/>
      <c r="K392" s="207"/>
      <c r="L392" s="208"/>
      <c r="M392" s="189"/>
      <c r="N392" s="659"/>
      <c r="O392" s="663"/>
      <c r="P392" s="220"/>
      <c r="Q392" s="181"/>
    </row>
    <row r="393" spans="1:17">
      <c r="A393" s="169"/>
      <c r="B393" s="229"/>
      <c r="C393" s="226" t="s">
        <v>48</v>
      </c>
      <c r="D393" s="533">
        <v>3755.4960000000001</v>
      </c>
      <c r="E393" s="533">
        <v>1517.075</v>
      </c>
      <c r="F393" s="533">
        <v>1337.87</v>
      </c>
      <c r="G393" s="533">
        <v>892.43000000000006</v>
      </c>
      <c r="H393" s="533">
        <v>1421.3</v>
      </c>
      <c r="I393" s="533">
        <v>1991.2005882352944</v>
      </c>
      <c r="J393" s="206"/>
      <c r="K393" s="211"/>
      <c r="L393" s="228"/>
      <c r="M393" s="213"/>
      <c r="N393" s="659"/>
      <c r="O393" s="665"/>
      <c r="P393" s="220"/>
      <c r="Q393" s="181"/>
    </row>
    <row r="394" spans="1:17">
      <c r="A394" s="229">
        <f>Liam!T1206</f>
        <v>4</v>
      </c>
      <c r="B394" s="318">
        <f>Liam!T1207</f>
        <v>0</v>
      </c>
      <c r="C394" s="195" t="s">
        <v>109</v>
      </c>
      <c r="D394" s="567">
        <f>Liam!K1212</f>
        <v>1124.3</v>
      </c>
      <c r="E394" s="567">
        <f>Liam!L1212</f>
        <v>4137.87</v>
      </c>
      <c r="F394" s="567">
        <f>Liam!M1212</f>
        <v>3422.6000000000004</v>
      </c>
      <c r="G394" s="567">
        <f>Liam!N1212</f>
        <v>13320.18</v>
      </c>
      <c r="H394" s="567">
        <f>Liam!O1212</f>
        <v>27736.050000000003</v>
      </c>
      <c r="I394" s="567">
        <f>Liam!P1212</f>
        <v>49741</v>
      </c>
      <c r="J394" s="197">
        <v>50000</v>
      </c>
      <c r="K394" s="198">
        <f>-J394+I394</f>
        <v>-259</v>
      </c>
      <c r="L394" s="199"/>
      <c r="M394" s="200">
        <f>I394</f>
        <v>49741</v>
      </c>
      <c r="N394" s="675">
        <f>Liam!R1212</f>
        <v>21555.360000000001</v>
      </c>
      <c r="O394" s="660">
        <f>M394-N394</f>
        <v>28185.64</v>
      </c>
      <c r="P394" s="230">
        <f>Liam!S1212</f>
        <v>0</v>
      </c>
      <c r="Q394" s="193"/>
    </row>
    <row r="395" spans="1:17">
      <c r="A395" s="229"/>
      <c r="B395" s="229"/>
      <c r="C395" s="204" t="s">
        <v>101</v>
      </c>
      <c r="D395" s="531" cm="1">
        <f t="array" ref="D395:D396">Liam!K1215:K1216</f>
        <v>0.2</v>
      </c>
      <c r="E395" s="531" cm="1">
        <f t="array" ref="E395:E396">Liam!L1215:L1216</f>
        <v>0.375</v>
      </c>
      <c r="F395" s="531" cm="1">
        <f t="array" ref="F395:F396">Liam!M1215:M1216</f>
        <v>0.5</v>
      </c>
      <c r="G395" s="531" cm="1">
        <f t="array" ref="G395:G396">Liam!N1215:N1216</f>
        <v>0.8</v>
      </c>
      <c r="H395" s="531" cm="1">
        <f t="array" ref="H395:H396">Liam!O1215:O1216</f>
        <v>0.625</v>
      </c>
      <c r="I395" s="531" cm="1">
        <f t="array" ref="I395:I396">Liam!P1215:P1216</f>
        <v>0.54054054054054057</v>
      </c>
      <c r="J395" s="206"/>
      <c r="K395" s="207"/>
      <c r="L395" s="208"/>
      <c r="M395" s="189"/>
      <c r="N395" s="659"/>
      <c r="O395" s="663"/>
      <c r="P395" s="203"/>
      <c r="Q395" s="181"/>
    </row>
    <row r="396" spans="1:17">
      <c r="A396" s="229"/>
      <c r="B396" s="229"/>
      <c r="C396" s="226" t="s">
        <v>48</v>
      </c>
      <c r="D396" s="533">
        <v>1124.3</v>
      </c>
      <c r="E396" s="533">
        <v>1379.29</v>
      </c>
      <c r="F396" s="533">
        <v>1140.8666666666668</v>
      </c>
      <c r="G396" s="533">
        <v>1665.0225</v>
      </c>
      <c r="H396" s="533">
        <v>5547.2100000000009</v>
      </c>
      <c r="I396" s="533">
        <v>2487.0500000000002</v>
      </c>
      <c r="J396" s="210"/>
      <c r="K396" s="211"/>
      <c r="L396" s="228"/>
      <c r="M396" s="213"/>
      <c r="N396" s="677"/>
      <c r="O396" s="665"/>
      <c r="P396" s="233"/>
      <c r="Q396" s="181"/>
    </row>
    <row r="397" spans="1:17">
      <c r="A397" s="229">
        <f>Nicholas!T5</f>
        <v>4</v>
      </c>
      <c r="B397" s="318">
        <f>Nicholas!T6</f>
        <v>1</v>
      </c>
      <c r="C397" s="730" t="s">
        <v>124</v>
      </c>
      <c r="D397" s="532"/>
      <c r="E397" s="532"/>
      <c r="F397" s="567"/>
      <c r="G397" s="567">
        <f>Nicholas!N11</f>
        <v>5767.1399999999994</v>
      </c>
      <c r="H397" s="567">
        <f>Nicholas!O11</f>
        <v>3201.46</v>
      </c>
      <c r="I397" s="567">
        <f>Nicholas!P11</f>
        <v>8968.5999999999985</v>
      </c>
      <c r="J397" s="197">
        <v>50000</v>
      </c>
      <c r="K397" s="198">
        <f>-J397+I397</f>
        <v>-41031.4</v>
      </c>
      <c r="L397" s="212"/>
      <c r="M397" s="200">
        <f>I397</f>
        <v>8968.5999999999985</v>
      </c>
      <c r="N397" s="659">
        <f>Nicholas!R11</f>
        <v>2790.24</v>
      </c>
      <c r="O397" s="660">
        <f>M397-N397</f>
        <v>6178.3599999999988</v>
      </c>
      <c r="P397" s="203">
        <f>Nicholas!S11</f>
        <v>0</v>
      </c>
      <c r="Q397" s="181"/>
    </row>
    <row r="398" spans="1:17">
      <c r="A398" s="229"/>
      <c r="B398" s="229"/>
      <c r="C398" s="204" t="s">
        <v>101</v>
      </c>
      <c r="D398" s="532"/>
      <c r="E398" s="532"/>
      <c r="F398" s="531"/>
      <c r="G398" s="531" cm="1">
        <f t="array" ref="G398:G399">Nicholas!N14:N15</f>
        <v>0.5</v>
      </c>
      <c r="H398" s="531" cm="1">
        <f t="array" ref="H398:H399">Nicholas!O14:O15</f>
        <v>0.5</v>
      </c>
      <c r="I398" s="531" cm="1">
        <f t="array" ref="I398:I399">Nicholas!P14:P15</f>
        <v>0.5</v>
      </c>
      <c r="J398" s="206"/>
      <c r="K398" s="207"/>
      <c r="L398" s="212"/>
      <c r="M398" s="189"/>
      <c r="N398" s="659"/>
      <c r="O398" s="663"/>
      <c r="P398" s="203"/>
      <c r="Q398" s="181"/>
    </row>
    <row r="399" spans="1:17">
      <c r="A399" s="229"/>
      <c r="B399" s="229"/>
      <c r="C399" s="204" t="s">
        <v>48</v>
      </c>
      <c r="D399" s="532"/>
      <c r="E399" s="532"/>
      <c r="F399" s="533"/>
      <c r="G399" s="533">
        <v>1441.7849999999999</v>
      </c>
      <c r="H399" s="533">
        <v>800.36500000000001</v>
      </c>
      <c r="I399" s="533">
        <v>1121.0749999999998</v>
      </c>
      <c r="J399" s="206"/>
      <c r="K399" s="207"/>
      <c r="L399" s="212"/>
      <c r="M399" s="189"/>
      <c r="N399" s="659"/>
      <c r="O399" s="663"/>
      <c r="P399" s="203"/>
      <c r="Q399" s="181"/>
    </row>
    <row r="400" spans="1:17">
      <c r="A400" s="169">
        <f>'Rhys C'!T841</f>
        <v>6</v>
      </c>
      <c r="B400" s="318">
        <f>'Rhys C'!T842</f>
        <v>0</v>
      </c>
      <c r="C400" s="195" t="s">
        <v>110</v>
      </c>
      <c r="D400" s="567">
        <f>'Rhys C'!K847</f>
        <v>6403.59</v>
      </c>
      <c r="E400" s="567">
        <f>'Rhys C'!L847</f>
        <v>10782.67</v>
      </c>
      <c r="F400" s="567">
        <f>'Rhys C'!M847</f>
        <v>9315.9680000000008</v>
      </c>
      <c r="G400" s="567">
        <f>'Rhys C'!N847</f>
        <v>10866.19</v>
      </c>
      <c r="H400" s="567">
        <f>'Rhys C'!O847</f>
        <v>3610.72</v>
      </c>
      <c r="I400" s="567">
        <f>'Rhys C'!P847</f>
        <v>40979.138000000006</v>
      </c>
      <c r="J400" s="197">
        <v>50000</v>
      </c>
      <c r="K400" s="198">
        <f>-J400+I400</f>
        <v>-9020.8619999999937</v>
      </c>
      <c r="L400" s="199"/>
      <c r="M400" s="200">
        <f>I400</f>
        <v>40979.138000000006</v>
      </c>
      <c r="N400" s="675">
        <f>'Rhys C'!R847</f>
        <v>8567.2100000000009</v>
      </c>
      <c r="O400" s="660">
        <f>M400-N400</f>
        <v>32411.928000000007</v>
      </c>
      <c r="P400" s="230">
        <f>'Rhys C'!S847</f>
        <v>0</v>
      </c>
      <c r="Q400" s="193"/>
    </row>
    <row r="401" spans="1:20">
      <c r="A401" s="169"/>
      <c r="B401" s="229"/>
      <c r="C401" s="204" t="s">
        <v>101</v>
      </c>
      <c r="D401" s="535" cm="1">
        <f t="array" ref="D401:D402">'Rhys C'!K850:K851</f>
        <v>0.5</v>
      </c>
      <c r="E401" s="535" cm="1">
        <f t="array" ref="E401:E402">'Rhys C'!L850:L851</f>
        <v>0.5</v>
      </c>
      <c r="F401" s="535" cm="1">
        <f t="array" ref="F401:F402">'Rhys C'!M850:M851</f>
        <v>0.5714285714285714</v>
      </c>
      <c r="G401" s="535" cm="1">
        <f t="array" ref="G401:G402">'Rhys C'!N850:N851</f>
        <v>0.625</v>
      </c>
      <c r="H401" s="535" cm="1">
        <f t="array" ref="H401:H402">'Rhys C'!O850:O851</f>
        <v>0.5714285714285714</v>
      </c>
      <c r="I401" s="535" cm="1">
        <f t="array" ref="I401:I402">'Rhys C'!P850:P851</f>
        <v>0.55263157894736847</v>
      </c>
      <c r="J401" s="206"/>
      <c r="K401" s="207"/>
      <c r="L401" s="208"/>
      <c r="M401" s="189"/>
      <c r="N401" s="659"/>
      <c r="O401" s="663"/>
      <c r="P401" s="203"/>
      <c r="Q401" s="181"/>
    </row>
    <row r="402" spans="1:20">
      <c r="A402" s="169"/>
      <c r="B402" s="229"/>
      <c r="C402" s="226" t="s">
        <v>48</v>
      </c>
      <c r="D402" s="536">
        <v>1600.8975</v>
      </c>
      <c r="E402" s="536">
        <v>2695.6675</v>
      </c>
      <c r="F402" s="536">
        <v>2328.9920000000002</v>
      </c>
      <c r="G402" s="536">
        <v>2173.2380000000003</v>
      </c>
      <c r="H402" s="536">
        <v>902.68</v>
      </c>
      <c r="I402" s="536">
        <v>1951.3875238095241</v>
      </c>
      <c r="J402" s="210"/>
      <c r="K402" s="211"/>
      <c r="L402" s="228"/>
      <c r="M402" s="213"/>
      <c r="N402" s="677"/>
      <c r="O402" s="665"/>
      <c r="P402" s="233"/>
      <c r="Q402" s="181"/>
    </row>
    <row r="403" spans="1:20">
      <c r="A403" s="229">
        <f>'Shaun - No OT'!T1121</f>
        <v>5</v>
      </c>
      <c r="B403" s="318">
        <f>'Shaun - No OT'!T1122</f>
        <v>0</v>
      </c>
      <c r="C403" s="195" t="s">
        <v>107</v>
      </c>
      <c r="D403" s="567">
        <f>'Shaun - No OT'!K1127</f>
        <v>7716.14</v>
      </c>
      <c r="E403" s="567">
        <f>'Shaun - No OT'!L1127</f>
        <v>18795.5</v>
      </c>
      <c r="F403" s="567">
        <f>'Shaun - No OT'!M1127</f>
        <v>19938.160000000003</v>
      </c>
      <c r="G403" s="567">
        <f>'Shaun - No OT'!N1127</f>
        <v>2710.58</v>
      </c>
      <c r="H403" s="567">
        <f>'Shaun - No OT'!O1127</f>
        <v>6957.49</v>
      </c>
      <c r="I403" s="567">
        <f>'Shaun - No OT'!P1127</f>
        <v>56117.87</v>
      </c>
      <c r="J403" s="206">
        <v>50000</v>
      </c>
      <c r="K403" s="207">
        <f>-J403+I403</f>
        <v>6117.8700000000026</v>
      </c>
      <c r="L403" s="212">
        <f>'Shaun - No OT'!Q1127</f>
        <v>2022.3</v>
      </c>
      <c r="M403" s="189">
        <f>I403</f>
        <v>56117.87</v>
      </c>
      <c r="N403" s="659">
        <f>'Shaun - No OT'!R1127</f>
        <v>22411.7</v>
      </c>
      <c r="O403" s="663">
        <f>M403-N403</f>
        <v>33706.17</v>
      </c>
      <c r="P403" s="220">
        <f>'Shaun - No OT'!S1127</f>
        <v>0</v>
      </c>
      <c r="Q403" s="193"/>
    </row>
    <row r="404" spans="1:20">
      <c r="A404" s="229"/>
      <c r="B404" s="229"/>
      <c r="C404" s="204" t="s">
        <v>101</v>
      </c>
      <c r="D404" s="531" cm="1">
        <f t="array" ref="D404:D405">'Shaun - No OT'!K1130:K1131</f>
        <v>0.5714285714285714</v>
      </c>
      <c r="E404" s="531" cm="1">
        <f t="array" ref="E404:E405">'Shaun - No OT'!L1130:L1131</f>
        <v>0.42857142857142855</v>
      </c>
      <c r="F404" s="531" cm="1">
        <f t="array" ref="F404:F405">'Shaun - No OT'!M1130:M1131</f>
        <v>0.5714285714285714</v>
      </c>
      <c r="G404" s="531" cm="1">
        <f t="array" ref="G404:G405">'Shaun - No OT'!N1130:N1131</f>
        <v>0.33333333333333331</v>
      </c>
      <c r="H404" s="531" cm="1">
        <f t="array" ref="H404:H405">'Shaun - No OT'!O1130:O1131</f>
        <v>0.66666666666666663</v>
      </c>
      <c r="I404" s="531" cm="1">
        <f t="array" ref="I404:I405">'Shaun - No OT'!P1130:P1131</f>
        <v>0.51515151515151514</v>
      </c>
      <c r="J404" s="206"/>
      <c r="K404" s="207"/>
      <c r="L404" s="208" cm="1">
        <f t="array" ref="L404:L405">'Shaun - No OT'!Q1130:Q1131</f>
        <v>0.5</v>
      </c>
      <c r="M404" s="189"/>
      <c r="N404" s="201"/>
      <c r="O404" s="234"/>
      <c r="P404" s="220"/>
      <c r="Q404" s="181"/>
    </row>
    <row r="405" spans="1:20">
      <c r="A405" s="229"/>
      <c r="B405" s="229"/>
      <c r="C405" s="226" t="s">
        <v>48</v>
      </c>
      <c r="D405" s="533">
        <v>1929.0350000000001</v>
      </c>
      <c r="E405" s="533">
        <v>6265.166666666667</v>
      </c>
      <c r="F405" s="533">
        <v>4984.5400000000009</v>
      </c>
      <c r="G405" s="533">
        <v>1355.29</v>
      </c>
      <c r="H405" s="533">
        <v>1739.3724999999999</v>
      </c>
      <c r="I405" s="532">
        <v>3301.0511764705884</v>
      </c>
      <c r="J405" s="210"/>
      <c r="K405" s="211"/>
      <c r="L405" s="228">
        <v>1011.15</v>
      </c>
      <c r="M405" s="213"/>
      <c r="N405" s="190"/>
      <c r="O405" s="235"/>
      <c r="P405" s="192"/>
      <c r="Q405" s="181"/>
    </row>
    <row r="406" spans="1:20">
      <c r="A406" s="236">
        <f>SUM(A379:A405)</f>
        <v>44.5</v>
      </c>
      <c r="B406" s="236">
        <f>SUM(B379:B405)</f>
        <v>2</v>
      </c>
      <c r="C406" s="237" t="s">
        <v>102</v>
      </c>
      <c r="D406" s="536">
        <f>D379+D382+D385+D388+D391+D394+D397+D400+D403</f>
        <v>51010.100000000006</v>
      </c>
      <c r="E406" s="536">
        <f>E379+E382+E385+E388+E391+E394+E397+E400+E403</f>
        <v>81498.03</v>
      </c>
      <c r="F406" s="536">
        <f>F379+F382+F385+F388+F391+F394+F397+F400+F403</f>
        <v>49611.998000000007</v>
      </c>
      <c r="G406" s="536">
        <f>G379+G382+G385+G388+G391+G394+G397+G400+G403</f>
        <v>48760.25</v>
      </c>
      <c r="H406" s="239">
        <f>H379+H382+H385+H388+H391+H394+H397+H400+H403</f>
        <v>62400.130000000005</v>
      </c>
      <c r="I406" s="239">
        <f>I379+I382+I385+I388+I391+I394+I397+I400+I403</f>
        <v>293280.50800000003</v>
      </c>
      <c r="J406" s="238">
        <f>J379+J382+J385+J388+J391+J394+J397+J400+J403</f>
        <v>450000</v>
      </c>
      <c r="K406" s="240">
        <f>K379+K382+K385+K388+K391+K394+K397+K400+K403</f>
        <v>-156719.492</v>
      </c>
      <c r="L406" s="241">
        <f>L379+L382+L385+L388+L391+L394+L397+L400+L403</f>
        <v>2022.3</v>
      </c>
      <c r="M406" s="239">
        <f>M379+M382+M385+M388+M391+M394+M397+M400+M403</f>
        <v>293280.50800000003</v>
      </c>
      <c r="N406" s="240">
        <f>N379+N382+N385+N388+N391+N394+N397+N400+N403</f>
        <v>88913.319999999992</v>
      </c>
      <c r="O406" s="241">
        <f>O379+O382+O385+O388+O391+O394+O397+O400+O403</f>
        <v>204367.18799999997</v>
      </c>
      <c r="P406" s="240">
        <f>P379+P382+P385+P388+P391+P394+P397+P400+P403</f>
        <v>0</v>
      </c>
      <c r="Q406" s="242"/>
    </row>
    <row r="407" spans="1:20">
      <c r="A407" s="243"/>
      <c r="B407" s="244"/>
      <c r="C407" s="244"/>
      <c r="D407" s="244"/>
      <c r="E407" s="244"/>
      <c r="F407" s="244"/>
      <c r="G407" s="244"/>
      <c r="H407" s="244"/>
      <c r="I407" s="245">
        <f>I406+L406</f>
        <v>295302.80800000002</v>
      </c>
      <c r="J407" s="246">
        <f>J406+K406</f>
        <v>293280.50800000003</v>
      </c>
      <c r="K407" s="247"/>
      <c r="L407" s="248"/>
      <c r="M407" s="249"/>
      <c r="N407" s="250">
        <f>M406-O406</f>
        <v>88913.320000000065</v>
      </c>
      <c r="O407" s="251"/>
      <c r="P407" s="201"/>
      <c r="Q407" s="181"/>
    </row>
    <row r="408" spans="1:20">
      <c r="A408" s="2"/>
      <c r="B408" s="2"/>
      <c r="C408" s="2"/>
      <c r="D408" s="2"/>
      <c r="E408" s="2"/>
      <c r="F408" s="2"/>
      <c r="G408" s="2"/>
      <c r="H408" s="2"/>
      <c r="I408" s="2"/>
      <c r="J408" s="2"/>
      <c r="K408" s="2"/>
      <c r="L408" s="2"/>
      <c r="M408" s="2"/>
      <c r="N408" s="2"/>
      <c r="O408" s="2"/>
      <c r="P408" s="2"/>
      <c r="Q408" s="2"/>
      <c r="R408" s="294">
        <f>+'Ben - No OT'!P1186+Bradley!P411+Elliot!P749+'Jarrod - No OT'!P1074+'Otheniel - Junior'!P61+Liam!P1212+Nicholas!P11+'Rhys C'!P847+'Shaun - No OT'!P1127</f>
        <v>293280.50800000003</v>
      </c>
      <c r="S408" s="294">
        <f>+'Ben - No OT'!Q1186+Bradley!Q411+Elliot!Q749+'Jarrod - No OT'!Q1074+'Otheniel - Junior'!Q61+Liam!Q1212+'Rhys C'!Q847+'Shaun - No OT'!Q1127</f>
        <v>2022.3</v>
      </c>
      <c r="T408" s="294">
        <f>+'Ben - No OT'!R1186+Bradley!R411+Elliot!R749+'Jarrod - No OT'!R1074+'Otheniel - Junior'!R61+Liam!R1212+Nicholas!R11+'Rhys C'!R847+'Shaun - No OT'!R1127</f>
        <v>88913.319999999992</v>
      </c>
    </row>
    <row r="409" spans="1:20">
      <c r="R409" s="294">
        <f>R408+S408</f>
        <v>295302.80800000002</v>
      </c>
    </row>
    <row r="410" spans="1:20">
      <c r="A410" s="169"/>
      <c r="B410" s="170"/>
      <c r="C410" s="171" t="s">
        <v>87</v>
      </c>
      <c r="D410" s="172" t="s">
        <v>144</v>
      </c>
      <c r="E410" s="173"/>
      <c r="F410" s="173"/>
      <c r="G410" s="173"/>
      <c r="H410" s="173"/>
      <c r="I410" s="173"/>
      <c r="J410" s="174" t="s">
        <v>88</v>
      </c>
      <c r="K410" s="175"/>
      <c r="L410" s="176"/>
      <c r="M410" s="177"/>
      <c r="N410" s="178"/>
      <c r="O410" s="179" t="s">
        <v>89</v>
      </c>
      <c r="P410" s="180" t="s">
        <v>29</v>
      </c>
    </row>
    <row r="411" spans="1:20">
      <c r="A411" s="534" t="s">
        <v>90</v>
      </c>
      <c r="B411" s="534" t="s">
        <v>20</v>
      </c>
      <c r="C411" s="183"/>
      <c r="D411" s="184" t="s">
        <v>91</v>
      </c>
      <c r="E411" s="185" t="s">
        <v>92</v>
      </c>
      <c r="F411" s="185" t="s">
        <v>93</v>
      </c>
      <c r="G411" s="185" t="s">
        <v>94</v>
      </c>
      <c r="H411" s="185" t="s">
        <v>95</v>
      </c>
      <c r="I411" s="184" t="s">
        <v>96</v>
      </c>
      <c r="J411" s="186" t="s">
        <v>97</v>
      </c>
      <c r="K411" s="187" t="s">
        <v>98</v>
      </c>
      <c r="L411" s="188" t="s">
        <v>29</v>
      </c>
      <c r="M411" s="189" t="s">
        <v>89</v>
      </c>
      <c r="N411" s="190" t="s">
        <v>99</v>
      </c>
      <c r="O411" s="191" t="s">
        <v>100</v>
      </c>
      <c r="P411" s="192" t="s">
        <v>99</v>
      </c>
    </row>
    <row r="412" spans="1:20">
      <c r="A412" s="169">
        <f>'Ben - No OT'!T1240</f>
        <v>8</v>
      </c>
      <c r="B412" s="318">
        <f>'Ben - No OT'!T1241</f>
        <v>0</v>
      </c>
      <c r="C412" s="195" t="s">
        <v>106</v>
      </c>
      <c r="D412" s="567">
        <f>'Ben - No OT'!K1246</f>
        <v>37864.720000000001</v>
      </c>
      <c r="E412" s="567">
        <f>'Ben - No OT'!L1246</f>
        <v>12110.769999999999</v>
      </c>
      <c r="F412" s="567">
        <f>'Ben - No OT'!M1246</f>
        <v>1566.2</v>
      </c>
      <c r="G412" s="567">
        <f>'Ben - No OT'!N1246</f>
        <v>3123.6</v>
      </c>
      <c r="H412" s="567">
        <f>'Ben - No OT'!O1246</f>
        <v>14457.73</v>
      </c>
      <c r="I412" s="567">
        <f>'Ben - No OT'!P1246</f>
        <v>69123.01999999999</v>
      </c>
      <c r="J412" s="197">
        <v>50000</v>
      </c>
      <c r="K412" s="198">
        <f>-J412+I412</f>
        <v>19123.01999999999</v>
      </c>
      <c r="L412" s="199">
        <f>'Ben - No OT'!Q1246</f>
        <v>5959.26</v>
      </c>
      <c r="M412" s="200">
        <f>I412</f>
        <v>69123.01999999999</v>
      </c>
      <c r="N412" s="201">
        <f>'Ben - No OT'!R1246</f>
        <v>44583.11</v>
      </c>
      <c r="O412" s="202">
        <f>M412-N412</f>
        <v>24539.909999999989</v>
      </c>
      <c r="P412" s="203">
        <f>'Ben - No OT'!S1246</f>
        <v>4537.96</v>
      </c>
    </row>
    <row r="413" spans="1:20">
      <c r="A413" s="169"/>
      <c r="B413" s="229"/>
      <c r="C413" s="204" t="s">
        <v>101</v>
      </c>
      <c r="D413" s="531" cm="1">
        <f t="array" ref="D413:D414">'Ben - No OT'!K1249:K1250</f>
        <v>0.8571428571428571</v>
      </c>
      <c r="E413" s="531" cm="1">
        <f t="array" ref="E413:E414">'Ben - No OT'!L1249:L1250</f>
        <v>0.42857142857142855</v>
      </c>
      <c r="F413" s="531" cm="1">
        <f t="array" ref="F413:F414">'Ben - No OT'!M1249:M1250</f>
        <v>0.4</v>
      </c>
      <c r="G413" s="531" cm="1">
        <f t="array" ref="G413:G414">'Ben - No OT'!N1249:N1250</f>
        <v>0.5</v>
      </c>
      <c r="H413" s="531" cm="1">
        <f t="array" ref="H413:H414">'Ben - No OT'!O1249:O1250</f>
        <v>0.83333333333333337</v>
      </c>
      <c r="I413" s="531" cm="1">
        <f t="array" ref="I413:I414">'Ben - No OT'!P1249:P1250</f>
        <v>0.61290322580645162</v>
      </c>
      <c r="J413" s="206"/>
      <c r="K413" s="207"/>
      <c r="L413" s="208" cm="1">
        <f t="array" ref="L413:L414">'Ben - No OT'!Q1249:Q1250</f>
        <v>0.4</v>
      </c>
      <c r="M413" s="189"/>
      <c r="N413" s="201"/>
      <c r="O413" s="191"/>
      <c r="P413" s="203"/>
    </row>
    <row r="414" spans="1:20">
      <c r="A414" s="169"/>
      <c r="B414" s="229"/>
      <c r="C414" s="204" t="s">
        <v>48</v>
      </c>
      <c r="D414" s="532">
        <v>6310.7866666666669</v>
      </c>
      <c r="E414" s="532">
        <v>4036.9233333333327</v>
      </c>
      <c r="F414" s="532">
        <v>783.1</v>
      </c>
      <c r="G414" s="532">
        <v>1041.2</v>
      </c>
      <c r="H414" s="532">
        <v>2891.5459999999998</v>
      </c>
      <c r="I414" s="532">
        <v>3638.0536842105257</v>
      </c>
      <c r="J414" s="210"/>
      <c r="K414" s="211"/>
      <c r="L414" s="212">
        <v>2979.63</v>
      </c>
      <c r="M414" s="213"/>
      <c r="N414" s="190"/>
      <c r="O414" s="214"/>
      <c r="P414" s="233"/>
    </row>
    <row r="415" spans="1:20">
      <c r="A415" s="169">
        <f>Bradley!T493</f>
        <v>0</v>
      </c>
      <c r="B415" s="318">
        <f>Bradley!T494</f>
        <v>0</v>
      </c>
      <c r="C415" s="195" t="s">
        <v>121</v>
      </c>
      <c r="D415" s="567">
        <f>Bradley!K499</f>
        <v>5267.57</v>
      </c>
      <c r="E415" s="567">
        <f>Bradley!L499</f>
        <v>7903.86</v>
      </c>
      <c r="F415" s="567">
        <f>Bradley!M499</f>
        <v>2418.3000000000002</v>
      </c>
      <c r="G415" s="567">
        <f>Bradley!N499</f>
        <v>5139.8999999999996</v>
      </c>
      <c r="H415" s="567">
        <f>Bradley!O499</f>
        <v>8113.72</v>
      </c>
      <c r="I415" s="567">
        <f>Bradley!P499</f>
        <v>28843.35</v>
      </c>
      <c r="J415" s="197">
        <v>50000</v>
      </c>
      <c r="K415" s="198">
        <f>-J415+I415</f>
        <v>-21156.65</v>
      </c>
      <c r="L415" s="199"/>
      <c r="M415" s="200">
        <f>I415</f>
        <v>28843.35</v>
      </c>
      <c r="N415" s="201">
        <f>Bradley!R499</f>
        <v>16036.89</v>
      </c>
      <c r="O415" s="191">
        <f>M415-N415</f>
        <v>12806.46</v>
      </c>
      <c r="P415" s="203">
        <f>Bradley!S499</f>
        <v>0</v>
      </c>
    </row>
    <row r="416" spans="1:20">
      <c r="A416" s="169"/>
      <c r="B416" s="318"/>
      <c r="C416" s="204" t="s">
        <v>101</v>
      </c>
      <c r="D416" s="531" cm="1">
        <f t="array" ref="D416:D417">Bradley!K502:K503</f>
        <v>0.5</v>
      </c>
      <c r="E416" s="531" cm="1">
        <f t="array" ref="E416:E417">Bradley!L502:L503</f>
        <v>0.2857142857142857</v>
      </c>
      <c r="F416" s="531" cm="1">
        <f t="array" ref="F416:F417">Bradley!M502:M503</f>
        <v>0.42857142857142855</v>
      </c>
      <c r="G416" s="531" cm="1">
        <f t="array" ref="G416:G417">Bradley!N502:N503</f>
        <v>0.375</v>
      </c>
      <c r="H416" s="531" cm="1">
        <f t="array" ref="H416:H417">Bradley!O502:O503</f>
        <v>0.5</v>
      </c>
      <c r="I416" s="531" cm="1">
        <f t="array" ref="I416:I417">Bradley!P502:P503</f>
        <v>0.40625</v>
      </c>
      <c r="J416" s="206"/>
      <c r="K416" s="207"/>
      <c r="L416" s="208"/>
      <c r="M416" s="189"/>
      <c r="N416" s="201"/>
      <c r="O416" s="191"/>
      <c r="P416" s="203"/>
    </row>
    <row r="417" spans="1:16">
      <c r="A417" s="169"/>
      <c r="B417" s="318"/>
      <c r="C417" s="204" t="s">
        <v>48</v>
      </c>
      <c r="D417" s="532">
        <v>1755.8566666666666</v>
      </c>
      <c r="E417" s="532">
        <v>3951.93</v>
      </c>
      <c r="F417" s="532">
        <v>806.1</v>
      </c>
      <c r="G417" s="532">
        <v>1713.3</v>
      </c>
      <c r="H417" s="532">
        <v>4056.86</v>
      </c>
      <c r="I417" s="532">
        <v>2218.7192307692308</v>
      </c>
      <c r="J417" s="210"/>
      <c r="K417" s="211"/>
      <c r="L417" s="212"/>
      <c r="M417" s="213"/>
      <c r="N417" s="201"/>
      <c r="O417" s="214"/>
      <c r="P417" s="203"/>
    </row>
    <row r="418" spans="1:16">
      <c r="A418" s="169">
        <f>Elliot!T828-1</f>
        <v>4</v>
      </c>
      <c r="B418" s="318">
        <f>Elliot!T829</f>
        <v>0</v>
      </c>
      <c r="C418" s="195" t="s">
        <v>116</v>
      </c>
      <c r="D418" s="567">
        <f>Elliot!K834</f>
        <v>13010.11</v>
      </c>
      <c r="E418" s="567">
        <f>Elliot!L834</f>
        <v>4593.3</v>
      </c>
      <c r="F418" s="567">
        <f>Elliot!M834</f>
        <v>1262</v>
      </c>
      <c r="G418" s="567">
        <f>Elliot!N834</f>
        <v>5108.87</v>
      </c>
      <c r="H418" s="567">
        <f>Elliot!O834</f>
        <v>2739.6</v>
      </c>
      <c r="I418" s="567">
        <f>Elliot!P834</f>
        <v>26713.879999999997</v>
      </c>
      <c r="J418" s="197">
        <v>50000</v>
      </c>
      <c r="K418" s="198">
        <f>-J418+I418</f>
        <v>-23286.120000000003</v>
      </c>
      <c r="L418" s="199"/>
      <c r="M418" s="215">
        <f>I418</f>
        <v>26713.879999999997</v>
      </c>
      <c r="N418" s="216">
        <f>Elliot!R834</f>
        <v>4872.6000000000004</v>
      </c>
      <c r="O418" s="217">
        <f>M418-N418</f>
        <v>21841.279999999999</v>
      </c>
      <c r="P418" s="216">
        <f>Elliot!S834</f>
        <v>0</v>
      </c>
    </row>
    <row r="419" spans="1:16">
      <c r="A419" s="169"/>
      <c r="B419" s="318"/>
      <c r="C419" s="204" t="s">
        <v>101</v>
      </c>
      <c r="D419" s="531" cm="1">
        <f t="array" ref="D419:D420">Elliot!K837:K838</f>
        <v>0.63636363636363635</v>
      </c>
      <c r="E419" s="531" cm="1">
        <f t="array" ref="E419:E420">Elliot!L837:L838</f>
        <v>0.2</v>
      </c>
      <c r="F419" s="531" cm="1">
        <f t="array" ref="F419:F420">Elliot!M837:M838</f>
        <v>0.2857142857142857</v>
      </c>
      <c r="G419" s="531" cm="1">
        <f t="array" ref="G419:G420">Elliot!N837:N838</f>
        <v>0.44444444444444442</v>
      </c>
      <c r="H419" s="531" cm="1">
        <f t="array" ref="H419:H420">Elliot!O837:O838</f>
        <v>0.2857142857142857</v>
      </c>
      <c r="I419" s="531" cm="1">
        <f t="array" ref="I419:I420">Elliot!P837:P838</f>
        <v>0.38636363636363635</v>
      </c>
      <c r="J419" s="206"/>
      <c r="K419" s="218"/>
      <c r="L419" s="208"/>
      <c r="M419" s="219"/>
      <c r="N419" s="220"/>
      <c r="O419" s="221"/>
      <c r="P419" s="220"/>
    </row>
    <row r="420" spans="1:16">
      <c r="A420" s="169"/>
      <c r="B420" s="318"/>
      <c r="C420" s="226" t="s">
        <v>48</v>
      </c>
      <c r="D420" s="532">
        <v>1858.5871428571429</v>
      </c>
      <c r="E420" s="532">
        <v>2296.65</v>
      </c>
      <c r="F420" s="532">
        <v>631</v>
      </c>
      <c r="G420" s="532">
        <v>1277.2175</v>
      </c>
      <c r="H420" s="532">
        <v>1369.8</v>
      </c>
      <c r="I420" s="532">
        <v>1571.4047058823528</v>
      </c>
      <c r="J420" s="206"/>
      <c r="K420" s="222"/>
      <c r="L420" s="212"/>
      <c r="M420" s="223"/>
      <c r="N420" s="192"/>
      <c r="O420" s="224"/>
      <c r="P420" s="192"/>
    </row>
    <row r="421" spans="1:16">
      <c r="A421" s="169">
        <f>'Jarrod - No OT'!T1167-1</f>
        <v>5</v>
      </c>
      <c r="B421" s="318">
        <f>'Jarrod - No OT'!T1168</f>
        <v>0</v>
      </c>
      <c r="C421" s="195" t="s">
        <v>112</v>
      </c>
      <c r="D421" s="567"/>
      <c r="E421" s="567">
        <f>'Jarrod - No OT'!L1173</f>
        <v>8601.1999999999989</v>
      </c>
      <c r="F421" s="567">
        <f>'Jarrod - No OT'!M1173</f>
        <v>2363.3000000000002</v>
      </c>
      <c r="G421" s="567">
        <f>'Jarrod - No OT'!N1173</f>
        <v>5433.9000000000005</v>
      </c>
      <c r="H421" s="567">
        <f>'Jarrod - No OT'!O1173</f>
        <v>22120.37</v>
      </c>
      <c r="I421" s="567">
        <f>'Jarrod - No OT'!P1173</f>
        <v>38518.770000000004</v>
      </c>
      <c r="J421" s="197">
        <v>50000</v>
      </c>
      <c r="K421" s="198">
        <f>-J421+I421</f>
        <v>-11481.229999999996</v>
      </c>
      <c r="L421" s="199"/>
      <c r="M421" s="215">
        <f>I421</f>
        <v>38518.770000000004</v>
      </c>
      <c r="N421" s="216">
        <f>'Jarrod - No OT'!R1173</f>
        <v>25355.879999999997</v>
      </c>
      <c r="O421" s="217">
        <f>M421-N421</f>
        <v>13162.890000000007</v>
      </c>
      <c r="P421" s="216">
        <f>'Jarrod - No OT'!S1173</f>
        <v>0</v>
      </c>
    </row>
    <row r="422" spans="1:16">
      <c r="A422" s="169"/>
      <c r="B422" s="318"/>
      <c r="C422" s="204" t="s">
        <v>101</v>
      </c>
      <c r="D422" s="531"/>
      <c r="E422" s="531" cm="1">
        <f t="array" ref="E422:E423">'Jarrod - No OT'!L1176:L1177</f>
        <v>0.5</v>
      </c>
      <c r="F422" s="531" cm="1">
        <f t="array" ref="F422:F423">'Jarrod - No OT'!M1176:M1177</f>
        <v>0.66666666666666663</v>
      </c>
      <c r="G422" s="531" cm="1">
        <f t="array" ref="G422:G423">'Jarrod - No OT'!N1176:N1177</f>
        <v>0.33333333333333331</v>
      </c>
      <c r="H422" s="531" cm="1">
        <f t="array" ref="H422:H423">'Jarrod - No OT'!O1176:O1177</f>
        <v>0.625</v>
      </c>
      <c r="I422" s="531" cm="1">
        <f t="array" ref="I422:I423">'Jarrod - No OT'!P1176:P1177</f>
        <v>0.5</v>
      </c>
      <c r="J422" s="206"/>
      <c r="K422" s="218"/>
      <c r="L422" s="208"/>
      <c r="M422" s="219"/>
      <c r="N422" s="220"/>
      <c r="O422" s="221"/>
      <c r="P422" s="220"/>
    </row>
    <row r="423" spans="1:16">
      <c r="A423" s="169"/>
      <c r="B423" s="318"/>
      <c r="C423" s="226" t="s">
        <v>48</v>
      </c>
      <c r="D423" s="532"/>
      <c r="E423" s="532">
        <v>2150.2999999999997</v>
      </c>
      <c r="F423" s="532">
        <v>1181.6500000000001</v>
      </c>
      <c r="G423" s="532">
        <v>1811.3000000000002</v>
      </c>
      <c r="H423" s="532">
        <v>4424.0739999999996</v>
      </c>
      <c r="I423" s="532">
        <v>2751.3407142857145</v>
      </c>
      <c r="J423" s="206"/>
      <c r="K423" s="222"/>
      <c r="L423" s="212"/>
      <c r="M423" s="223"/>
      <c r="N423" s="192"/>
      <c r="O423" s="224"/>
      <c r="P423" s="192"/>
    </row>
    <row r="424" spans="1:16">
      <c r="A424" s="169">
        <f>'Otheniel - Junior'!T130</f>
        <v>4</v>
      </c>
      <c r="B424" s="318">
        <f>'Otheniel - Junior'!T131</f>
        <v>0</v>
      </c>
      <c r="C424" s="195" t="s">
        <v>122</v>
      </c>
      <c r="D424" s="567">
        <f>'Otheniel - Junior'!K136</f>
        <v>5417.8</v>
      </c>
      <c r="E424" s="567">
        <f>'Otheniel - Junior'!L136</f>
        <v>5618.3</v>
      </c>
      <c r="F424" s="567">
        <f>'Otheniel - Junior'!M136</f>
        <v>3536.6</v>
      </c>
      <c r="G424" s="567">
        <f>'Otheniel - Junior'!N136</f>
        <v>2341.5699999999997</v>
      </c>
      <c r="H424" s="567">
        <f>'Otheniel - Junior'!O136</f>
        <v>4460.54</v>
      </c>
      <c r="I424" s="567">
        <f>'Otheniel - Junior'!P136</f>
        <v>21374.81</v>
      </c>
      <c r="J424" s="197">
        <v>50000</v>
      </c>
      <c r="K424" s="198">
        <f>-J424+I424</f>
        <v>-28625.19</v>
      </c>
      <c r="L424" s="199"/>
      <c r="M424" s="200">
        <f>I424</f>
        <v>21374.81</v>
      </c>
      <c r="N424" s="225">
        <f>'Otheniel - Junior'!R136</f>
        <v>2869.87</v>
      </c>
      <c r="O424" s="202">
        <f>M424-N424</f>
        <v>18504.940000000002</v>
      </c>
      <c r="P424" s="216">
        <f>'Otheniel - Junior'!S136</f>
        <v>0</v>
      </c>
    </row>
    <row r="425" spans="1:16">
      <c r="A425" s="169"/>
      <c r="B425" s="318"/>
      <c r="C425" s="204" t="s">
        <v>101</v>
      </c>
      <c r="D425" s="531" cm="1">
        <f t="array" ref="D425:D426">'Otheniel - Junior'!K139:K140</f>
        <v>0.83333333333333337</v>
      </c>
      <c r="E425" s="531" cm="1">
        <f t="array" ref="E425:E426">'Otheniel - Junior'!L139:L140</f>
        <v>0.625</v>
      </c>
      <c r="F425" s="531" cm="1">
        <f t="array" ref="F425:F426">'Otheniel - Junior'!M139:M140</f>
        <v>0.8</v>
      </c>
      <c r="G425" s="531" cm="1">
        <f t="array" ref="G425:G426">'Otheniel - Junior'!N139:N140</f>
        <v>0.4</v>
      </c>
      <c r="H425" s="531" cm="1">
        <f t="array" ref="H425:H426">'Otheniel - Junior'!O139:O140</f>
        <v>0.5</v>
      </c>
      <c r="I425" s="531" cm="1">
        <f t="array" ref="I425:I426">'Otheniel - Junior'!P139:P140</f>
        <v>0.6333333333333333</v>
      </c>
      <c r="J425" s="206"/>
      <c r="K425" s="207"/>
      <c r="L425" s="208"/>
      <c r="M425" s="189"/>
      <c r="N425" s="201"/>
      <c r="O425" s="191"/>
      <c r="P425" s="220"/>
    </row>
    <row r="426" spans="1:16">
      <c r="A426" s="169"/>
      <c r="B426" s="318"/>
      <c r="C426" s="226" t="s">
        <v>48</v>
      </c>
      <c r="D426" s="533">
        <v>1083.56</v>
      </c>
      <c r="E426" s="533">
        <v>1123.6600000000001</v>
      </c>
      <c r="F426" s="533">
        <v>884.15</v>
      </c>
      <c r="G426" s="533">
        <v>1170.7849999999999</v>
      </c>
      <c r="H426" s="533">
        <v>1486.8466666666666</v>
      </c>
      <c r="I426" s="533">
        <v>1124.99</v>
      </c>
      <c r="J426" s="210"/>
      <c r="K426" s="211"/>
      <c r="L426" s="228"/>
      <c r="M426" s="213"/>
      <c r="N426" s="201"/>
      <c r="O426" s="214"/>
      <c r="P426" s="220"/>
    </row>
    <row r="427" spans="1:16">
      <c r="A427" s="169">
        <f>Liam!T1305</f>
        <v>0</v>
      </c>
      <c r="B427" s="318">
        <f>Liam!T1306</f>
        <v>0</v>
      </c>
      <c r="C427" s="195" t="s">
        <v>109</v>
      </c>
      <c r="D427" s="567"/>
      <c r="E427" s="567"/>
      <c r="F427" s="567"/>
      <c r="G427" s="567">
        <f>Liam!N1311</f>
        <v>2272.11</v>
      </c>
      <c r="H427" s="567">
        <f>Liam!O1311</f>
        <v>8018.9100000000008</v>
      </c>
      <c r="I427" s="567">
        <f>Liam!P1311</f>
        <v>10291.02</v>
      </c>
      <c r="J427" s="197">
        <v>50000</v>
      </c>
      <c r="K427" s="198">
        <f>-J427+I427</f>
        <v>-39708.979999999996</v>
      </c>
      <c r="L427" s="199"/>
      <c r="M427" s="200">
        <f>I427</f>
        <v>10291.02</v>
      </c>
      <c r="N427" s="225">
        <f>Liam!R1311</f>
        <v>9610.02</v>
      </c>
      <c r="O427" s="202">
        <f>M427-N427</f>
        <v>681</v>
      </c>
      <c r="P427" s="216">
        <f>Liam!S1311</f>
        <v>0</v>
      </c>
    </row>
    <row r="428" spans="1:16">
      <c r="A428" s="169"/>
      <c r="B428" s="318"/>
      <c r="C428" s="204" t="s">
        <v>101</v>
      </c>
      <c r="D428" s="531"/>
      <c r="E428" s="531"/>
      <c r="F428" s="531"/>
      <c r="G428" s="531" cm="1">
        <f t="array" ref="G428:G429">Liam!N1314:N1315</f>
        <v>0.33333333333333331</v>
      </c>
      <c r="H428" s="531" cm="1">
        <f t="array" ref="H428:H429">Liam!O1314:O1315</f>
        <v>0.66666666666666663</v>
      </c>
      <c r="I428" s="531" cm="1">
        <f t="array" ref="I428:I429">Liam!P1314:P1315</f>
        <v>0.55555555555555558</v>
      </c>
      <c r="J428" s="206"/>
      <c r="K428" s="207"/>
      <c r="L428" s="208"/>
      <c r="M428" s="189"/>
      <c r="N428" s="201"/>
      <c r="O428" s="191"/>
      <c r="P428" s="220"/>
    </row>
    <row r="429" spans="1:16">
      <c r="A429" s="169"/>
      <c r="B429" s="318"/>
      <c r="C429" s="226" t="s">
        <v>48</v>
      </c>
      <c r="D429" s="533"/>
      <c r="E429" s="533"/>
      <c r="F429" s="533"/>
      <c r="G429" s="533">
        <v>2272.11</v>
      </c>
      <c r="H429" s="533">
        <v>2004.7275000000002</v>
      </c>
      <c r="I429" s="533">
        <v>2058.2040000000002</v>
      </c>
      <c r="J429" s="206"/>
      <c r="K429" s="211"/>
      <c r="L429" s="228"/>
      <c r="M429" s="213"/>
      <c r="N429" s="201"/>
      <c r="O429" s="214"/>
      <c r="P429" s="220"/>
    </row>
    <row r="430" spans="1:16">
      <c r="A430" s="169">
        <f>'Matthew H - No OT'!T382</f>
        <v>0</v>
      </c>
      <c r="B430" s="318">
        <f>'Matthew H - No OT'!T383</f>
        <v>0</v>
      </c>
      <c r="C430" s="195" t="s">
        <v>125</v>
      </c>
      <c r="D430" s="567">
        <f>'Matthew H - No OT'!K388</f>
        <v>1512.3</v>
      </c>
      <c r="E430" s="567"/>
      <c r="F430" s="567"/>
      <c r="G430" s="567"/>
      <c r="H430" s="567"/>
      <c r="I430" s="567">
        <f>'Matthew H - No OT'!P388</f>
        <v>1512.3</v>
      </c>
      <c r="J430" s="197">
        <v>50000</v>
      </c>
      <c r="K430" s="198">
        <f>-J430+I430</f>
        <v>-48487.7</v>
      </c>
      <c r="L430" s="199"/>
      <c r="M430" s="200">
        <f>I430</f>
        <v>1512.3</v>
      </c>
      <c r="N430" s="225">
        <f>'Matthew H - No OT'!R388</f>
        <v>0</v>
      </c>
      <c r="O430" s="202">
        <f>M430-N430</f>
        <v>1512.3</v>
      </c>
      <c r="P430" s="216">
        <f>'Matthew H - No OT'!S388</f>
        <v>0</v>
      </c>
    </row>
    <row r="431" spans="1:16">
      <c r="A431" s="169"/>
      <c r="B431" s="318"/>
      <c r="C431" s="204" t="s">
        <v>101</v>
      </c>
      <c r="D431" s="531" cm="1">
        <f t="array" ref="D431:D432">'Matthew H - No OT'!K391:K392</f>
        <v>1</v>
      </c>
      <c r="E431" s="531"/>
      <c r="F431" s="531"/>
      <c r="G431" s="531"/>
      <c r="H431" s="531"/>
      <c r="I431" s="531" cm="1">
        <f t="array" ref="I431:I432">'Matthew H - No OT'!P391:P392</f>
        <v>1</v>
      </c>
      <c r="J431" s="206"/>
      <c r="K431" s="207"/>
      <c r="L431" s="208"/>
      <c r="M431" s="189"/>
      <c r="N431" s="201"/>
      <c r="O431" s="191"/>
      <c r="P431" s="220"/>
    </row>
    <row r="432" spans="1:16">
      <c r="A432" s="169"/>
      <c r="B432" s="318"/>
      <c r="C432" s="226" t="s">
        <v>48</v>
      </c>
      <c r="D432" s="533">
        <v>1512.3</v>
      </c>
      <c r="E432" s="533"/>
      <c r="F432" s="533"/>
      <c r="G432" s="533"/>
      <c r="H432" s="533"/>
      <c r="I432" s="533">
        <v>1512.3</v>
      </c>
      <c r="J432" s="206"/>
      <c r="K432" s="211"/>
      <c r="L432" s="228"/>
      <c r="M432" s="213"/>
      <c r="N432" s="201"/>
      <c r="O432" s="214"/>
      <c r="P432" s="220"/>
    </row>
    <row r="433" spans="1:20">
      <c r="A433" s="229">
        <f>Nicholas!T62</f>
        <v>1</v>
      </c>
      <c r="B433" s="318">
        <f>Nicholas!T63</f>
        <v>0</v>
      </c>
      <c r="C433" s="195" t="s">
        <v>124</v>
      </c>
      <c r="D433" s="567"/>
      <c r="E433" s="567">
        <f>Nicholas!L68</f>
        <v>965.1</v>
      </c>
      <c r="F433" s="567"/>
      <c r="G433" s="567"/>
      <c r="H433" s="567"/>
      <c r="I433" s="567">
        <f>Nicholas!P68</f>
        <v>965.1</v>
      </c>
      <c r="J433" s="197">
        <v>50000</v>
      </c>
      <c r="K433" s="198">
        <f>-J433+I433</f>
        <v>-49034.9</v>
      </c>
      <c r="L433" s="199"/>
      <c r="M433" s="200">
        <f>I433</f>
        <v>965.1</v>
      </c>
      <c r="N433" s="225">
        <f>Nicholas!R68</f>
        <v>0</v>
      </c>
      <c r="O433" s="202">
        <f>M433-N433</f>
        <v>965.1</v>
      </c>
      <c r="P433" s="230">
        <f>Nicholas!S68</f>
        <v>0</v>
      </c>
    </row>
    <row r="434" spans="1:20">
      <c r="A434" s="229"/>
      <c r="B434" s="318"/>
      <c r="C434" s="204" t="s">
        <v>101</v>
      </c>
      <c r="D434" s="531"/>
      <c r="E434" s="531" cm="1">
        <f t="array" ref="E434:E435">Nicholas!L71:L72</f>
        <v>0.66666666666666663</v>
      </c>
      <c r="F434" s="531"/>
      <c r="G434" s="531"/>
      <c r="H434" s="531"/>
      <c r="I434" s="531" cm="1">
        <f t="array" ref="I434:I435">Nicholas!P71:P72</f>
        <v>0.66666666666666663</v>
      </c>
      <c r="J434" s="206"/>
      <c r="K434" s="207"/>
      <c r="L434" s="208"/>
      <c r="M434" s="189"/>
      <c r="N434" s="201"/>
      <c r="O434" s="191"/>
      <c r="P434" s="203"/>
    </row>
    <row r="435" spans="1:20">
      <c r="A435" s="229"/>
      <c r="B435" s="318"/>
      <c r="C435" s="226" t="s">
        <v>48</v>
      </c>
      <c r="D435" s="532"/>
      <c r="E435" s="532">
        <v>482.55</v>
      </c>
      <c r="F435" s="532"/>
      <c r="G435" s="532"/>
      <c r="H435" s="532"/>
      <c r="I435" s="532">
        <v>482.55</v>
      </c>
      <c r="J435" s="206"/>
      <c r="K435" s="207"/>
      <c r="L435" s="212"/>
      <c r="M435" s="189"/>
      <c r="N435" s="201"/>
      <c r="O435" s="191"/>
      <c r="P435" s="203"/>
    </row>
    <row r="436" spans="1:20">
      <c r="A436" s="169">
        <f>'Rhys C'!T960-0.5</f>
        <v>0.5</v>
      </c>
      <c r="B436" s="318">
        <f>'Rhys C'!T961</f>
        <v>0</v>
      </c>
      <c r="C436" s="195" t="s">
        <v>110</v>
      </c>
      <c r="D436" s="567">
        <f>'Rhys C'!K966</f>
        <v>11253.130000000001</v>
      </c>
      <c r="E436" s="567">
        <f>'Rhys C'!L966</f>
        <v>3321.16</v>
      </c>
      <c r="F436" s="567">
        <f>'Rhys C'!M966</f>
        <v>4904.17</v>
      </c>
      <c r="G436" s="567">
        <f>'Rhys C'!N966</f>
        <v>7704.5999999999995</v>
      </c>
      <c r="H436" s="567">
        <f>'Rhys C'!O966</f>
        <v>29446.120000000003</v>
      </c>
      <c r="I436" s="567">
        <f>'Rhys C'!P966</f>
        <v>56629.18</v>
      </c>
      <c r="J436" s="197">
        <v>50000</v>
      </c>
      <c r="K436" s="198">
        <f>-J436+I436</f>
        <v>6629.18</v>
      </c>
      <c r="L436" s="199"/>
      <c r="M436" s="200">
        <f>I436</f>
        <v>56629.18</v>
      </c>
      <c r="N436" s="225">
        <f>'Rhys C'!R966</f>
        <v>39519.720000000008</v>
      </c>
      <c r="O436" s="202">
        <f>M436-N436</f>
        <v>17109.459999999992</v>
      </c>
      <c r="P436" s="230">
        <f>'Rhys C'!S966</f>
        <v>0</v>
      </c>
    </row>
    <row r="437" spans="1:20">
      <c r="A437" s="169"/>
      <c r="B437" s="318"/>
      <c r="C437" s="204" t="s">
        <v>101</v>
      </c>
      <c r="D437" s="535" cm="1">
        <f t="array" ref="D437:D438">'Rhys C'!K969:K970</f>
        <v>0.44444444444444442</v>
      </c>
      <c r="E437" s="535" cm="1">
        <f t="array" ref="E437:E438">'Rhys C'!L969:L970</f>
        <v>0.22222222222222221</v>
      </c>
      <c r="F437" s="535" cm="1">
        <f t="array" ref="F437:F438">'Rhys C'!M969:M970</f>
        <v>0.8</v>
      </c>
      <c r="G437" s="535" cm="1">
        <f t="array" ref="G437:G438">'Rhys C'!N969:N970</f>
        <v>0.2857142857142857</v>
      </c>
      <c r="H437" s="535" cm="1">
        <f t="array" ref="H437:H438">'Rhys C'!O969:O970</f>
        <v>0.83333333333333337</v>
      </c>
      <c r="I437" s="535" cm="1">
        <f t="array" ref="I437:I438">'Rhys C'!P969:P970</f>
        <v>0.47222222222222221</v>
      </c>
      <c r="J437" s="206"/>
      <c r="K437" s="207"/>
      <c r="L437" s="208"/>
      <c r="M437" s="189"/>
      <c r="N437" s="201"/>
      <c r="O437" s="191"/>
      <c r="P437" s="203"/>
    </row>
    <row r="438" spans="1:20">
      <c r="A438" s="169"/>
      <c r="B438" s="318"/>
      <c r="C438" s="226" t="s">
        <v>48</v>
      </c>
      <c r="D438" s="536">
        <v>2813.2825000000003</v>
      </c>
      <c r="E438" s="536">
        <v>1660.58</v>
      </c>
      <c r="F438" s="536">
        <v>1226.0425</v>
      </c>
      <c r="G438" s="536">
        <v>3852.2999999999997</v>
      </c>
      <c r="H438" s="536">
        <v>5889.2240000000002</v>
      </c>
      <c r="I438" s="536">
        <v>3331.1282352941175</v>
      </c>
      <c r="J438" s="210"/>
      <c r="K438" s="211"/>
      <c r="L438" s="228"/>
      <c r="M438" s="213"/>
      <c r="N438" s="190"/>
      <c r="O438" s="214"/>
      <c r="P438" s="233"/>
    </row>
    <row r="439" spans="1:20">
      <c r="A439" s="229">
        <f>'Shaun - No OT'!T1225</f>
        <v>3</v>
      </c>
      <c r="B439" s="318">
        <f>'Shaun - No OT'!T1226</f>
        <v>0</v>
      </c>
      <c r="C439" s="195" t="s">
        <v>107</v>
      </c>
      <c r="D439" s="567"/>
      <c r="E439" s="567">
        <f>'Shaun - No OT'!L1231</f>
        <v>4776.21</v>
      </c>
      <c r="F439" s="567">
        <f>'Shaun - No OT'!M1231</f>
        <v>3892.1000000000004</v>
      </c>
      <c r="G439" s="567">
        <f>'Shaun - No OT'!N1231</f>
        <v>40275.82</v>
      </c>
      <c r="H439" s="567">
        <f>'Shaun - No OT'!O1231</f>
        <v>9294.119999999999</v>
      </c>
      <c r="I439" s="567">
        <f>'Shaun - No OT'!P1231</f>
        <v>58238.25</v>
      </c>
      <c r="J439" s="206">
        <v>50000</v>
      </c>
      <c r="K439" s="207">
        <f>-J439+I439</f>
        <v>8238.25</v>
      </c>
      <c r="L439" s="212"/>
      <c r="M439" s="189">
        <f>I439</f>
        <v>58238.25</v>
      </c>
      <c r="N439" s="201">
        <f>'Shaun - No OT'!R1231</f>
        <v>38343.050000000003</v>
      </c>
      <c r="O439" s="191">
        <f>M439-N439</f>
        <v>19895.199999999997</v>
      </c>
      <c r="P439" s="220">
        <f>'Shaun - No OT'!S1231</f>
        <v>0</v>
      </c>
    </row>
    <row r="440" spans="1:20">
      <c r="A440" s="229"/>
      <c r="B440" s="318"/>
      <c r="C440" s="204" t="s">
        <v>101</v>
      </c>
      <c r="D440" s="531"/>
      <c r="E440" s="531" cm="1">
        <f t="array" ref="E440:E441">'Shaun - No OT'!L1234:L1235</f>
        <v>0.42857142857142855</v>
      </c>
      <c r="F440" s="531" cm="1">
        <f t="array" ref="F440:F441">'Shaun - No OT'!M1234:M1235</f>
        <v>0.44444444444444442</v>
      </c>
      <c r="G440" s="531" cm="1">
        <f t="array" ref="G440:G441">'Shaun - No OT'!N1234:N1235</f>
        <v>0.8571428571428571</v>
      </c>
      <c r="H440" s="531" cm="1">
        <f t="array" ref="H440:H441">'Shaun - No OT'!O1234:O1235</f>
        <v>0.44444444444444442</v>
      </c>
      <c r="I440" s="531" cm="1">
        <f t="array" ref="I440:I441">'Shaun - No OT'!P1234:P1235</f>
        <v>0.53125</v>
      </c>
      <c r="J440" s="206"/>
      <c r="K440" s="207"/>
      <c r="L440" s="208"/>
      <c r="M440" s="189"/>
      <c r="N440" s="201"/>
      <c r="O440" s="234"/>
      <c r="P440" s="220"/>
    </row>
    <row r="441" spans="1:20">
      <c r="A441" s="229"/>
      <c r="B441" s="318"/>
      <c r="C441" s="226" t="s">
        <v>48</v>
      </c>
      <c r="D441" s="533"/>
      <c r="E441" s="533">
        <v>1592.07</v>
      </c>
      <c r="F441" s="533">
        <v>973.02500000000009</v>
      </c>
      <c r="G441" s="533">
        <v>6712.6366666666663</v>
      </c>
      <c r="H441" s="533">
        <v>2323.5299999999997</v>
      </c>
      <c r="I441" s="532">
        <v>3425.7794117647059</v>
      </c>
      <c r="J441" s="210"/>
      <c r="K441" s="211"/>
      <c r="L441" s="228"/>
      <c r="M441" s="213"/>
      <c r="N441" s="190"/>
      <c r="O441" s="235"/>
      <c r="P441" s="192"/>
    </row>
    <row r="442" spans="1:20">
      <c r="A442" s="236">
        <f>SUM(A412:A441)</f>
        <v>25.5</v>
      </c>
      <c r="B442" s="236">
        <f>SUM(B412:B441)</f>
        <v>0</v>
      </c>
      <c r="C442" s="237" t="s">
        <v>102</v>
      </c>
      <c r="D442" s="536">
        <f>D412+D415+D418+D421+D424+D427+D430+D433+D436+D439</f>
        <v>74325.63</v>
      </c>
      <c r="E442" s="536">
        <f>E412+E415+E418+E421+E424+E427+E430+E433+E436+E439</f>
        <v>47889.9</v>
      </c>
      <c r="F442" s="536">
        <f>F412+F415+F418+F421+F424+F427+F430+F433+F436+F439</f>
        <v>19942.669999999998</v>
      </c>
      <c r="G442" s="536">
        <f>G412+G415+G418+G421+G424+G427+G430+G433+G436+G439</f>
        <v>71400.37</v>
      </c>
      <c r="H442" s="536">
        <f>H412+H415+H418+H421+H424+H427+H430+H433+H436+H439</f>
        <v>98651.11</v>
      </c>
      <c r="I442" s="239">
        <f>I412+I415+I418+I421+I424+I427+I430+I433+I436+I439</f>
        <v>312209.68</v>
      </c>
      <c r="J442" s="238">
        <f>J412+J415+J418+J421+J424+J427+J430+J433+J436+J439</f>
        <v>500000</v>
      </c>
      <c r="K442" s="240">
        <f>K412+K415+K418+K421+K424+K427+K430+K433+K436+K439</f>
        <v>-187790.32</v>
      </c>
      <c r="L442" s="241">
        <f>L412+L415+L418+L421+L424+L427+L430+L433+L436+L439</f>
        <v>5959.26</v>
      </c>
      <c r="M442" s="239">
        <f>M412+M415+M418+M421+M424+M427+M430+M433+M436+M439</f>
        <v>312209.68</v>
      </c>
      <c r="N442" s="240">
        <f>N412+N415+N418+N421+N424+N427+N430+N433+N436+N439</f>
        <v>181191.14</v>
      </c>
      <c r="O442" s="241">
        <f>O412+O415+O418+O421+O424+O427+O430+O433+O436+O439</f>
        <v>131018.54</v>
      </c>
      <c r="P442" s="240">
        <f>P412+P415+P418+P421+P424+P427+P430+P433+P436+P439</f>
        <v>4537.96</v>
      </c>
    </row>
    <row r="443" spans="1:20">
      <c r="A443" s="243"/>
      <c r="B443" s="244"/>
      <c r="C443" s="244"/>
      <c r="D443" s="244"/>
      <c r="E443" s="244"/>
      <c r="F443" s="244"/>
      <c r="G443" s="244"/>
      <c r="H443" s="244"/>
      <c r="I443" s="245">
        <f>I442+L442</f>
        <v>318168.94</v>
      </c>
      <c r="J443" s="246">
        <f>J442+K442</f>
        <v>312209.68</v>
      </c>
      <c r="K443" s="247"/>
      <c r="L443" s="248"/>
      <c r="M443" s="249"/>
      <c r="N443" s="250">
        <f>M442-O442</f>
        <v>181191.14</v>
      </c>
      <c r="O443" s="251"/>
      <c r="P443" s="201"/>
    </row>
    <row r="444" spans="1:20">
      <c r="R444" s="294">
        <f>'Ben - No OT'!P1246+Bradley!P499+Elliot!P834+'Jarrod - No OT'!P1173+Liam!P1311+'Matthew H - No OT'!P388+Nicholas!P68+'Otheniel - Junior'!P136+'Rhys C'!P966+'Shaun - No OT'!P1231</f>
        <v>312209.68</v>
      </c>
      <c r="S444" s="294">
        <f>'Ben - No OT'!Q1246+Bradley!Q499+Elliot!Q834+'Jarrod - No OT'!Q1173+Liam!Q1311+'Matthew H - No OT'!Q388+Nicholas!Q68+'Otheniel - Junior'!Q136+'Rhys C'!Q966+'Shaun - No OT'!Q1231</f>
        <v>5959.26</v>
      </c>
      <c r="T444" s="294">
        <f>'Ben - No OT'!R1246+Bradley!R499+Elliot!R834+'Jarrod - No OT'!R1173+Liam!R1311+'Matthew H - No OT'!R388+Nicholas!R68+'Otheniel - Junior'!R136+'Rhys C'!R966+'Shaun - No OT'!R1231</f>
        <v>181191.14</v>
      </c>
    </row>
    <row r="445" spans="1:20">
      <c r="R445" s="294">
        <f>R444+S444</f>
        <v>318168.94</v>
      </c>
      <c r="S445" s="294"/>
      <c r="T445" s="294"/>
    </row>
    <row r="447" spans="1:20">
      <c r="A447" s="169"/>
      <c r="B447" s="170"/>
      <c r="C447" s="171" t="s">
        <v>87</v>
      </c>
      <c r="D447" s="172" t="s">
        <v>145</v>
      </c>
      <c r="E447" s="173"/>
      <c r="F447" s="173"/>
      <c r="G447" s="173"/>
      <c r="H447" s="173"/>
      <c r="I447" s="173"/>
      <c r="J447" s="174" t="s">
        <v>88</v>
      </c>
      <c r="K447" s="175"/>
      <c r="L447" s="176"/>
      <c r="M447" s="177"/>
      <c r="N447" s="178"/>
      <c r="O447" s="179" t="s">
        <v>89</v>
      </c>
      <c r="P447" s="180" t="s">
        <v>29</v>
      </c>
    </row>
    <row r="448" spans="1:20">
      <c r="A448" s="534" t="s">
        <v>90</v>
      </c>
      <c r="B448" s="534" t="s">
        <v>20</v>
      </c>
      <c r="C448" s="183"/>
      <c r="D448" s="184"/>
      <c r="E448" s="185"/>
      <c r="F448" s="185"/>
      <c r="G448" s="185"/>
      <c r="H448" s="185"/>
      <c r="I448" s="184"/>
      <c r="J448" s="186" t="s">
        <v>97</v>
      </c>
      <c r="K448" s="187" t="s">
        <v>98</v>
      </c>
      <c r="L448" s="188" t="s">
        <v>29</v>
      </c>
      <c r="M448" s="189" t="s">
        <v>89</v>
      </c>
      <c r="N448" s="190" t="s">
        <v>99</v>
      </c>
      <c r="O448" s="191" t="s">
        <v>100</v>
      </c>
      <c r="P448" s="192" t="s">
        <v>99</v>
      </c>
    </row>
    <row r="449" spans="1:16">
      <c r="A449" s="169">
        <f>'Ben - No OT'!T1339</f>
        <v>1</v>
      </c>
      <c r="B449" s="318">
        <f>'Ben - No OT'!T1340</f>
        <v>0</v>
      </c>
      <c r="C449" s="195" t="s">
        <v>106</v>
      </c>
      <c r="D449" s="567">
        <f>'Ben - No OT'!K1345</f>
        <v>5504.76</v>
      </c>
      <c r="E449" s="567">
        <f>'Ben - No OT'!L1345</f>
        <v>5251.39</v>
      </c>
      <c r="F449" s="567">
        <f>'Ben - No OT'!M1345</f>
        <v>12269.29</v>
      </c>
      <c r="G449" s="567">
        <f>'Ben - No OT'!N1345</f>
        <v>3339.6</v>
      </c>
      <c r="H449" s="567">
        <f>'Ben - No OT'!O1345</f>
        <v>2768.4</v>
      </c>
      <c r="I449" s="567">
        <f>'Ben - No OT'!P1345</f>
        <v>29133.440000000002</v>
      </c>
      <c r="J449" s="197">
        <v>50000</v>
      </c>
      <c r="K449" s="198">
        <f>-J449+I449</f>
        <v>-20866.559999999998</v>
      </c>
      <c r="L449" s="199"/>
      <c r="M449" s="200">
        <f>I449</f>
        <v>29133.440000000002</v>
      </c>
      <c r="N449" s="201">
        <f>'Ben - No OT'!R1345</f>
        <v>12706.09</v>
      </c>
      <c r="O449" s="202">
        <f>M449-N449</f>
        <v>16427.350000000002</v>
      </c>
      <c r="P449" s="203">
        <f>'Ben - No OT'!S1345</f>
        <v>0</v>
      </c>
    </row>
    <row r="450" spans="1:16">
      <c r="A450" s="169"/>
      <c r="B450" s="229"/>
      <c r="C450" s="204" t="s">
        <v>101</v>
      </c>
      <c r="D450" s="531" cm="1">
        <f t="array" ref="D450:D451">'Ben - No OT'!K1348:K1349</f>
        <v>0.75</v>
      </c>
      <c r="E450" s="531" cm="1">
        <f t="array" ref="E450:E451">'Ben - No OT'!L1348:L1349</f>
        <v>0.8</v>
      </c>
      <c r="F450" s="531" cm="1">
        <f t="array" ref="F450:F451">'Ben - No OT'!M1348:M1349</f>
        <v>0.5714285714285714</v>
      </c>
      <c r="G450" s="531" cm="1">
        <f t="array" ref="G450:G451">'Ben - No OT'!N1348:N1349</f>
        <v>0.44444444444444442</v>
      </c>
      <c r="H450" s="531" cm="1">
        <f t="array" ref="H450:H451">'Ben - No OT'!O1348:O1349</f>
        <v>0.33333333333333331</v>
      </c>
      <c r="I450" s="531" cm="1">
        <f t="array" ref="I450:I451">'Ben - No OT'!P1348:P1349</f>
        <v>0.54838709677419351</v>
      </c>
      <c r="J450" s="206"/>
      <c r="K450" s="207"/>
      <c r="L450" s="208"/>
      <c r="M450" s="189"/>
      <c r="N450" s="201"/>
      <c r="O450" s="191"/>
      <c r="P450" s="203"/>
    </row>
    <row r="451" spans="1:16">
      <c r="A451" s="169"/>
      <c r="B451" s="229"/>
      <c r="C451" s="204" t="s">
        <v>48</v>
      </c>
      <c r="D451" s="532">
        <v>1834.92</v>
      </c>
      <c r="E451" s="532">
        <v>1312.8475000000001</v>
      </c>
      <c r="F451" s="532">
        <v>3067.3225000000002</v>
      </c>
      <c r="G451" s="532">
        <v>834.9</v>
      </c>
      <c r="H451" s="532">
        <v>1384.2</v>
      </c>
      <c r="I451" s="532">
        <v>1713.7317647058826</v>
      </c>
      <c r="J451" s="210"/>
      <c r="K451" s="211"/>
      <c r="L451" s="212"/>
      <c r="M451" s="213"/>
      <c r="N451" s="190"/>
      <c r="O451" s="214"/>
      <c r="P451" s="233"/>
    </row>
    <row r="452" spans="1:16">
      <c r="A452" s="169">
        <f>Bradley!T578</f>
        <v>2</v>
      </c>
      <c r="B452" s="318">
        <f>Bradley!T579</f>
        <v>2</v>
      </c>
      <c r="C452" s="195" t="s">
        <v>121</v>
      </c>
      <c r="D452" s="567">
        <f>Bradley!K584</f>
        <v>22929.21</v>
      </c>
      <c r="E452" s="567">
        <f>Bradley!L584</f>
        <v>2082.8000000000002</v>
      </c>
      <c r="F452" s="567">
        <f>Bradley!M584</f>
        <v>2262.35</v>
      </c>
      <c r="G452" s="567">
        <f>Bradley!N584</f>
        <v>3781.6000000000004</v>
      </c>
      <c r="H452" s="567">
        <f>Bradley!O584</f>
        <v>461</v>
      </c>
      <c r="I452" s="567">
        <f>Bradley!P584</f>
        <v>31516.959999999999</v>
      </c>
      <c r="J452" s="197">
        <v>50000</v>
      </c>
      <c r="K452" s="198">
        <f>-J452+I452</f>
        <v>-18483.04</v>
      </c>
      <c r="L452" s="199"/>
      <c r="M452" s="200">
        <f>I452</f>
        <v>31516.959999999999</v>
      </c>
      <c r="N452" s="201">
        <f>Bradley!R584</f>
        <v>23669.51</v>
      </c>
      <c r="O452" s="191">
        <f>M452-N452</f>
        <v>7847.4500000000007</v>
      </c>
      <c r="P452" s="203">
        <f>Bradley!S584</f>
        <v>0</v>
      </c>
    </row>
    <row r="453" spans="1:16">
      <c r="A453" s="169"/>
      <c r="B453" s="318"/>
      <c r="C453" s="204" t="s">
        <v>101</v>
      </c>
      <c r="D453" s="531" cm="1">
        <f t="array" ref="D453:D454">Bradley!K587:K588</f>
        <v>0.6</v>
      </c>
      <c r="E453" s="531" cm="1">
        <f t="array" ref="E453:E454">Bradley!L587:L588</f>
        <v>0.25</v>
      </c>
      <c r="F453" s="531" cm="1">
        <f t="array" ref="F453:F454">Bradley!M587:M588</f>
        <v>0.2</v>
      </c>
      <c r="G453" s="531" cm="1">
        <f t="array" ref="G453:G454">Bradley!N587:N588</f>
        <v>0.5</v>
      </c>
      <c r="H453" s="531" cm="1">
        <f t="array" ref="H453:H454">Bradley!O587:O588</f>
        <v>0.2</v>
      </c>
      <c r="I453" s="531" cm="1">
        <f t="array" ref="I453:I454">Bradley!P587:P588</f>
        <v>0.35483870967741937</v>
      </c>
      <c r="J453" s="206"/>
      <c r="K453" s="207"/>
      <c r="L453" s="208"/>
      <c r="M453" s="189"/>
      <c r="N453" s="201"/>
      <c r="O453" s="191"/>
      <c r="P453" s="203"/>
    </row>
    <row r="454" spans="1:16">
      <c r="A454" s="169"/>
      <c r="B454" s="318"/>
      <c r="C454" s="204" t="s">
        <v>48</v>
      </c>
      <c r="D454" s="532">
        <v>7643.07</v>
      </c>
      <c r="E454" s="532">
        <v>1041.4000000000001</v>
      </c>
      <c r="F454" s="532">
        <v>2262.35</v>
      </c>
      <c r="G454" s="532">
        <v>945.40000000000009</v>
      </c>
      <c r="H454" s="532">
        <v>461</v>
      </c>
      <c r="I454" s="532">
        <v>2865.1781818181817</v>
      </c>
      <c r="J454" s="210"/>
      <c r="K454" s="211"/>
      <c r="L454" s="212"/>
      <c r="M454" s="213"/>
      <c r="N454" s="201"/>
      <c r="O454" s="214"/>
      <c r="P454" s="203"/>
    </row>
    <row r="455" spans="1:16">
      <c r="A455" s="169">
        <f>Elliot!T927-1</f>
        <v>6</v>
      </c>
      <c r="B455" s="318">
        <f>Elliot!T928</f>
        <v>0</v>
      </c>
      <c r="C455" s="195" t="s">
        <v>116</v>
      </c>
      <c r="D455" s="567">
        <f>Elliot!K933</f>
        <v>6746.36</v>
      </c>
      <c r="E455" s="567">
        <f>Elliot!L933</f>
        <v>20150.28</v>
      </c>
      <c r="F455" s="567">
        <f>Elliot!M933</f>
        <v>2929.9300000000003</v>
      </c>
      <c r="G455" s="567">
        <f>Elliot!N933</f>
        <v>5471.35</v>
      </c>
      <c r="H455" s="567">
        <f>Elliot!O933</f>
        <v>30159.040000000001</v>
      </c>
      <c r="I455" s="567">
        <f>Elliot!P933</f>
        <v>65456.959999999999</v>
      </c>
      <c r="J455" s="197">
        <v>50000</v>
      </c>
      <c r="K455" s="198">
        <f>-J455+I455</f>
        <v>15456.96</v>
      </c>
      <c r="L455" s="199">
        <f>Elliot!Q933</f>
        <v>11401.710000000001</v>
      </c>
      <c r="M455" s="215">
        <f>I455</f>
        <v>65456.959999999999</v>
      </c>
      <c r="N455" s="216">
        <f>Elliot!R941</f>
        <v>53334.400000000001</v>
      </c>
      <c r="O455" s="217">
        <f>M455-N455</f>
        <v>12122.559999999998</v>
      </c>
      <c r="P455" s="216">
        <f>Elliot!S941</f>
        <v>2901.6</v>
      </c>
    </row>
    <row r="456" spans="1:16">
      <c r="A456" s="169"/>
      <c r="B456" s="318"/>
      <c r="C456" s="204" t="s">
        <v>101</v>
      </c>
      <c r="D456" s="531" cm="1">
        <f t="array" ref="D456:D457">Elliot!K936:K937</f>
        <v>0.6</v>
      </c>
      <c r="E456" s="531" cm="1">
        <f t="array" ref="E456:E457">Elliot!L936:L937</f>
        <v>0.75</v>
      </c>
      <c r="F456" s="531" cm="1">
        <f t="array" ref="F456:F457">Elliot!M936:M937</f>
        <v>0.33333333333333331</v>
      </c>
      <c r="G456" s="531" cm="1">
        <f t="array" ref="G456:G457">Elliot!N936:N937</f>
        <v>0.5714285714285714</v>
      </c>
      <c r="H456" s="531" cm="1">
        <f t="array" ref="H456:H457">Elliot!O936:O937</f>
        <v>0.7142857142857143</v>
      </c>
      <c r="I456" s="531" cm="1">
        <f t="array" ref="I456:I457">Elliot!P936:P937</f>
        <v>0.58333333333333337</v>
      </c>
      <c r="J456" s="206"/>
      <c r="K456" s="218"/>
      <c r="L456" s="208" cm="1">
        <f t="array" ref="L456:L457">Elliot!Q936:Q937</f>
        <v>0.66666666666666663</v>
      </c>
      <c r="M456" s="219"/>
      <c r="N456" s="220"/>
      <c r="O456" s="221"/>
      <c r="P456" s="220"/>
    </row>
    <row r="457" spans="1:16">
      <c r="A457" s="169"/>
      <c r="B457" s="318"/>
      <c r="C457" s="226" t="s">
        <v>48</v>
      </c>
      <c r="D457" s="532">
        <v>2248.7866666666664</v>
      </c>
      <c r="E457" s="532">
        <v>3358.3799999999997</v>
      </c>
      <c r="F457" s="532">
        <v>976.64333333333343</v>
      </c>
      <c r="G457" s="532">
        <v>1367.8375000000001</v>
      </c>
      <c r="H457" s="532">
        <v>6031.808</v>
      </c>
      <c r="I457" s="532">
        <v>3116.9980952380952</v>
      </c>
      <c r="J457" s="206"/>
      <c r="K457" s="222"/>
      <c r="L457" s="212">
        <v>2850.4275000000002</v>
      </c>
      <c r="M457" s="223"/>
      <c r="N457" s="192"/>
      <c r="O457" s="224"/>
      <c r="P457" s="192"/>
    </row>
    <row r="458" spans="1:16">
      <c r="A458" s="169">
        <f>'Jarrod - No OT'!T1260</f>
        <v>6</v>
      </c>
      <c r="B458" s="318">
        <f>'Jarrod - No OT'!T1261</f>
        <v>0</v>
      </c>
      <c r="C458" s="195" t="s">
        <v>112</v>
      </c>
      <c r="D458" s="567">
        <f>'Jarrod - No OT'!K1266</f>
        <v>25225.49</v>
      </c>
      <c r="E458" s="567">
        <f>'Jarrod - No OT'!L1266</f>
        <v>11562.11</v>
      </c>
      <c r="F458" s="567">
        <f>'Jarrod - No OT'!M1266</f>
        <v>12907.349999999999</v>
      </c>
      <c r="G458" s="567">
        <f>'Jarrod - No OT'!N1266</f>
        <v>17594.969999999998</v>
      </c>
      <c r="H458" s="567">
        <f>'Jarrod - No OT'!O1266</f>
        <v>3970.8999999999996</v>
      </c>
      <c r="I458" s="567">
        <f>'Jarrod - No OT'!P1266</f>
        <v>71260.819999999992</v>
      </c>
      <c r="J458" s="197">
        <v>50000</v>
      </c>
      <c r="K458" s="198">
        <f>-J458+I458</f>
        <v>21260.819999999992</v>
      </c>
      <c r="L458" s="199"/>
      <c r="M458" s="215">
        <f>I458</f>
        <v>71260.819999999992</v>
      </c>
      <c r="N458" s="216">
        <f>'Jarrod - No OT'!R1266</f>
        <v>37586.559999999998</v>
      </c>
      <c r="O458" s="217">
        <f>M458-N458</f>
        <v>33674.259999999995</v>
      </c>
      <c r="P458" s="216">
        <f>'Jarrod - No OT'!S1266</f>
        <v>0</v>
      </c>
    </row>
    <row r="459" spans="1:16">
      <c r="A459" s="169"/>
      <c r="B459" s="318"/>
      <c r="C459" s="204" t="s">
        <v>101</v>
      </c>
      <c r="D459" s="531" cm="1">
        <f t="array" ref="D459:D460">'Jarrod - No OT'!K1269:K1270</f>
        <v>0.83333333333333337</v>
      </c>
      <c r="E459" s="531" cm="1">
        <f t="array" ref="E459:E460">'Jarrod - No OT'!L1269:L1270</f>
        <v>0.5714285714285714</v>
      </c>
      <c r="F459" s="531" cm="1">
        <f t="array" ref="F459:F460">'Jarrod - No OT'!M1269:M1270</f>
        <v>0.4</v>
      </c>
      <c r="G459" s="531" cm="1">
        <f t="array" ref="G459:G460">'Jarrod - No OT'!N1269:N1270</f>
        <v>0.42857142857142855</v>
      </c>
      <c r="H459" s="531" cm="1">
        <f t="array" ref="H459:H460">'Jarrod - No OT'!O1269:O1270</f>
        <v>0.42857142857142855</v>
      </c>
      <c r="I459" s="531" cm="1">
        <f t="array" ref="I459:I460">'Jarrod - No OT'!P1269:P1270</f>
        <v>0.53125</v>
      </c>
      <c r="J459" s="206"/>
      <c r="K459" s="218"/>
      <c r="L459" s="208"/>
      <c r="M459" s="219"/>
      <c r="N459" s="220"/>
      <c r="O459" s="221"/>
      <c r="P459" s="220"/>
    </row>
    <row r="460" spans="1:16">
      <c r="A460" s="169"/>
      <c r="B460" s="318"/>
      <c r="C460" s="226" t="s">
        <v>48</v>
      </c>
      <c r="D460" s="532">
        <v>5045.098</v>
      </c>
      <c r="E460" s="532">
        <v>2890.5275000000001</v>
      </c>
      <c r="F460" s="532">
        <v>6453.6749999999993</v>
      </c>
      <c r="G460" s="532">
        <v>5864.9899999999989</v>
      </c>
      <c r="H460" s="532">
        <v>1323.6333333333332</v>
      </c>
      <c r="I460" s="532">
        <v>4191.8129411764703</v>
      </c>
      <c r="J460" s="206"/>
      <c r="K460" s="222"/>
      <c r="L460" s="212"/>
      <c r="M460" s="223"/>
      <c r="N460" s="192"/>
      <c r="O460" s="224"/>
      <c r="P460" s="192"/>
    </row>
    <row r="461" spans="1:16">
      <c r="A461" s="169">
        <f>Liam!T1381</f>
        <v>0</v>
      </c>
      <c r="B461" s="318">
        <f>Liam!T1382</f>
        <v>0</v>
      </c>
      <c r="C461" s="195" t="s">
        <v>109</v>
      </c>
      <c r="D461" s="567"/>
      <c r="E461" s="567">
        <f>Liam!L1387</f>
        <v>9158.18</v>
      </c>
      <c r="F461" s="567"/>
      <c r="G461" s="567"/>
      <c r="H461" s="567"/>
      <c r="I461" s="567">
        <f>Liam!P1387</f>
        <v>9158.18</v>
      </c>
      <c r="J461" s="197">
        <v>50000</v>
      </c>
      <c r="K461" s="198">
        <f>-J461+I461</f>
        <v>-40841.82</v>
      </c>
      <c r="L461" s="199"/>
      <c r="M461" s="200">
        <f>I461</f>
        <v>9158.18</v>
      </c>
      <c r="N461" s="225">
        <f>Liam!R1387</f>
        <v>0</v>
      </c>
      <c r="O461" s="202">
        <f>M461-N461</f>
        <v>9158.18</v>
      </c>
      <c r="P461" s="216">
        <f>Liam!S1387</f>
        <v>0</v>
      </c>
    </row>
    <row r="462" spans="1:16">
      <c r="A462" s="169"/>
      <c r="B462" s="318"/>
      <c r="C462" s="204" t="s">
        <v>101</v>
      </c>
      <c r="D462" s="531"/>
      <c r="E462" s="531" cm="1">
        <f t="array" ref="E462:E463">Liam!L1390:L1391</f>
        <v>0.625</v>
      </c>
      <c r="F462" s="531"/>
      <c r="G462" s="531"/>
      <c r="H462" s="531"/>
      <c r="I462" s="531" cm="1">
        <f t="array" ref="I462:I463">Liam!P1390:P1391</f>
        <v>0.5</v>
      </c>
      <c r="J462" s="206"/>
      <c r="K462" s="207"/>
      <c r="L462" s="208"/>
      <c r="M462" s="189"/>
      <c r="N462" s="201"/>
      <c r="O462" s="191"/>
      <c r="P462" s="220"/>
    </row>
    <row r="463" spans="1:16">
      <c r="A463" s="169"/>
      <c r="B463" s="318"/>
      <c r="C463" s="226" t="s">
        <v>48</v>
      </c>
      <c r="D463" s="533"/>
      <c r="E463" s="533">
        <v>1831.636</v>
      </c>
      <c r="F463" s="533"/>
      <c r="G463" s="533"/>
      <c r="H463" s="533"/>
      <c r="I463" s="533">
        <v>1831.636</v>
      </c>
      <c r="J463" s="210"/>
      <c r="K463" s="211"/>
      <c r="L463" s="228"/>
      <c r="M463" s="213"/>
      <c r="N463" s="201"/>
      <c r="O463" s="214"/>
      <c r="P463" s="220"/>
    </row>
    <row r="464" spans="1:16">
      <c r="A464" s="169">
        <f>'Otheniel - Junior'!T209</f>
        <v>2</v>
      </c>
      <c r="B464" s="318">
        <f>'Otheniel - Junior'!T210</f>
        <v>0</v>
      </c>
      <c r="C464" s="195" t="s">
        <v>126</v>
      </c>
      <c r="D464" s="567">
        <f>'Otheniel - Junior'!K215</f>
        <v>1714.3</v>
      </c>
      <c r="E464" s="567">
        <f>'Otheniel - Junior'!L215</f>
        <v>3992.12</v>
      </c>
      <c r="F464" s="567">
        <f>'Otheniel - Junior'!M215</f>
        <v>4561.21</v>
      </c>
      <c r="G464" s="567">
        <f>'Otheniel - Junior'!N215</f>
        <v>3425.8999999999996</v>
      </c>
      <c r="H464" s="567">
        <f>'Otheniel - Junior'!O215</f>
        <v>6129.8</v>
      </c>
      <c r="I464" s="567">
        <f>'Otheniel - Junior'!P215</f>
        <v>19823.330000000002</v>
      </c>
      <c r="J464" s="197">
        <v>50000</v>
      </c>
      <c r="K464" s="198">
        <f>-J464+I464</f>
        <v>-30176.67</v>
      </c>
      <c r="L464" s="199"/>
      <c r="M464" s="200">
        <f>I464</f>
        <v>19823.330000000002</v>
      </c>
      <c r="N464" s="225">
        <f>'Otheniel - Junior'!R215</f>
        <v>4251.5000000000009</v>
      </c>
      <c r="O464" s="202">
        <f>M464-N464</f>
        <v>15571.830000000002</v>
      </c>
      <c r="P464" s="216">
        <f>'Otheniel - Junior'!S215</f>
        <v>0</v>
      </c>
    </row>
    <row r="465" spans="1:20">
      <c r="A465" s="169"/>
      <c r="B465" s="318"/>
      <c r="C465" s="204" t="s">
        <v>101</v>
      </c>
      <c r="D465" s="531" cm="1">
        <f t="array" ref="D465:D466">'Otheniel - Junior'!K218:K219</f>
        <v>0.33333333333333331</v>
      </c>
      <c r="E465" s="531" cm="1">
        <f t="array" ref="E465:E466">'Otheniel - Junior'!L218:L219</f>
        <v>0.3</v>
      </c>
      <c r="F465" s="531" cm="1">
        <f t="array" ref="F465:F466">'Otheniel - Junior'!M218:M219</f>
        <v>0.55555555555555558</v>
      </c>
      <c r="G465" s="531" cm="1">
        <f t="array" ref="G465:G466">'Otheniel - Junior'!N218:N219</f>
        <v>0.42857142857142855</v>
      </c>
      <c r="H465" s="531" cm="1">
        <f t="array" ref="H465:H466">'Otheniel - Junior'!O218:O219</f>
        <v>0.83333333333333337</v>
      </c>
      <c r="I465" s="531" cm="1">
        <f t="array" ref="I465:I466">'Otheniel - Junior'!P218:P219</f>
        <v>0.47368421052631576</v>
      </c>
      <c r="J465" s="206"/>
      <c r="K465" s="207"/>
      <c r="L465" s="208"/>
      <c r="M465" s="189"/>
      <c r="N465" s="201"/>
      <c r="O465" s="191"/>
      <c r="P465" s="220"/>
    </row>
    <row r="466" spans="1:20">
      <c r="A466" s="169"/>
      <c r="B466" s="318"/>
      <c r="C466" s="226" t="s">
        <v>48</v>
      </c>
      <c r="D466" s="533">
        <v>857.15</v>
      </c>
      <c r="E466" s="533">
        <v>1330.7066666666667</v>
      </c>
      <c r="F466" s="533">
        <v>912.24199999999996</v>
      </c>
      <c r="G466" s="533">
        <v>1141.9666666666665</v>
      </c>
      <c r="H466" s="533">
        <v>1225.96</v>
      </c>
      <c r="I466" s="533">
        <v>1101.2961111111113</v>
      </c>
      <c r="J466" s="206"/>
      <c r="K466" s="211"/>
      <c r="L466" s="228"/>
      <c r="M466" s="213"/>
      <c r="N466" s="201"/>
      <c r="O466" s="214"/>
      <c r="P466" s="220"/>
    </row>
    <row r="467" spans="1:20">
      <c r="A467" s="169">
        <f>'Rhys C'!T1077</f>
        <v>0</v>
      </c>
      <c r="B467" s="318">
        <f>'Rhys C'!T1078</f>
        <v>0</v>
      </c>
      <c r="C467" s="195" t="s">
        <v>110</v>
      </c>
      <c r="D467" s="567">
        <f>'Rhys C'!K1083</f>
        <v>5037.68</v>
      </c>
      <c r="E467" s="567"/>
      <c r="F467" s="567"/>
      <c r="G467" s="567"/>
      <c r="H467" s="567"/>
      <c r="I467" s="567">
        <f>'Rhys C'!P1083</f>
        <v>5037.68</v>
      </c>
      <c r="J467" s="197">
        <v>50000</v>
      </c>
      <c r="K467" s="198">
        <f>-J467+I467</f>
        <v>-44962.32</v>
      </c>
      <c r="L467" s="199"/>
      <c r="M467" s="200">
        <f>I467</f>
        <v>5037.68</v>
      </c>
      <c r="N467" s="225">
        <f>'Rhys C'!R1083</f>
        <v>681</v>
      </c>
      <c r="O467" s="202">
        <f>M467-N467</f>
        <v>4356.68</v>
      </c>
      <c r="P467" s="230">
        <f>'Rhys C'!S1083</f>
        <v>0</v>
      </c>
    </row>
    <row r="468" spans="1:20">
      <c r="A468" s="169"/>
      <c r="B468" s="318"/>
      <c r="C468" s="204" t="s">
        <v>101</v>
      </c>
      <c r="D468" s="535" cm="1">
        <f t="array" ref="D468:D469">'Rhys C'!K1086:K1087</f>
        <v>0.5</v>
      </c>
      <c r="E468" s="535"/>
      <c r="F468" s="535"/>
      <c r="G468" s="535"/>
      <c r="H468" s="535"/>
      <c r="I468" s="535" cm="1">
        <f t="array" ref="I468:I469">'Rhys C'!P1086:P1087</f>
        <v>0.5</v>
      </c>
      <c r="J468" s="206"/>
      <c r="K468" s="207"/>
      <c r="L468" s="208"/>
      <c r="M468" s="189"/>
      <c r="N468" s="201"/>
      <c r="O468" s="191"/>
      <c r="P468" s="203"/>
    </row>
    <row r="469" spans="1:20">
      <c r="A469" s="169"/>
      <c r="B469" s="318"/>
      <c r="C469" s="226" t="s">
        <v>48</v>
      </c>
      <c r="D469" s="536">
        <v>2518.84</v>
      </c>
      <c r="E469" s="536"/>
      <c r="F469" s="536"/>
      <c r="G469" s="536"/>
      <c r="H469" s="536"/>
      <c r="I469" s="536">
        <v>2518.84</v>
      </c>
      <c r="J469" s="210"/>
      <c r="K469" s="211"/>
      <c r="L469" s="228"/>
      <c r="M469" s="213"/>
      <c r="N469" s="190"/>
      <c r="O469" s="214"/>
      <c r="P469" s="233"/>
    </row>
    <row r="470" spans="1:20">
      <c r="A470" s="229">
        <f>'Shaun - No OT'!T1311</f>
        <v>5</v>
      </c>
      <c r="B470" s="318">
        <f>'Shaun - No OT'!T1312</f>
        <v>0</v>
      </c>
      <c r="C470" s="195" t="s">
        <v>107</v>
      </c>
      <c r="D470" s="567">
        <f>'Shaun - No OT'!K1317</f>
        <v>12324.869999999999</v>
      </c>
      <c r="E470" s="567">
        <f>'Shaun - No OT'!L1317</f>
        <v>8116.3</v>
      </c>
      <c r="F470" s="567">
        <f>'Shaun - No OT'!M1317</f>
        <v>8045.2099999999991</v>
      </c>
      <c r="G470" s="567">
        <f>'Shaun - No OT'!N1317</f>
        <v>7039.59</v>
      </c>
      <c r="H470" s="567">
        <f>'Shaun - No OT'!O1317</f>
        <v>6094.0199999999995</v>
      </c>
      <c r="I470" s="567">
        <f>'Shaun - No OT'!P1317</f>
        <v>41619.99</v>
      </c>
      <c r="J470" s="206">
        <v>50000</v>
      </c>
      <c r="K470" s="207">
        <f>-J470+I470</f>
        <v>-8380.010000000002</v>
      </c>
      <c r="L470" s="212">
        <f>'Shaun - No OT'!Q1317</f>
        <v>4672.3</v>
      </c>
      <c r="M470" s="189">
        <f>I470</f>
        <v>41619.99</v>
      </c>
      <c r="N470" s="201">
        <f>'Shaun - No OT'!R1317</f>
        <v>1098.3</v>
      </c>
      <c r="O470" s="191">
        <f>M470-N470</f>
        <v>40521.689999999995</v>
      </c>
      <c r="P470" s="220">
        <f>'Shaun - No OT'!S1317</f>
        <v>0</v>
      </c>
    </row>
    <row r="471" spans="1:20">
      <c r="A471" s="229"/>
      <c r="B471" s="318"/>
      <c r="C471" s="204" t="s">
        <v>101</v>
      </c>
      <c r="D471" s="531" cm="1">
        <f t="array" ref="D471:D472">'Shaun - No OT'!K1320:K1321</f>
        <v>0.6</v>
      </c>
      <c r="E471" s="531" cm="1">
        <f t="array" ref="E471:E472">'Shaun - No OT'!L1320:L1321</f>
        <v>0.6</v>
      </c>
      <c r="F471" s="531" cm="1">
        <f t="array" ref="F471:F472">'Shaun - No OT'!M1320:M1321</f>
        <v>0.5</v>
      </c>
      <c r="G471" s="531" cm="1">
        <f t="array" ref="G471:G472">'Shaun - No OT'!N1320:N1321</f>
        <v>0.55555555555555558</v>
      </c>
      <c r="H471" s="531" cm="1">
        <f t="array" ref="H471:H472">'Shaun - No OT'!O1320:O1321</f>
        <v>0.7142857142857143</v>
      </c>
      <c r="I471" s="531" cm="1">
        <f t="array" ref="I471:I472">'Shaun - No OT'!P1320:P1321</f>
        <v>0.59375</v>
      </c>
      <c r="J471" s="206"/>
      <c r="K471" s="207"/>
      <c r="L471" s="208" cm="1">
        <f t="array" ref="L471:L472">'Shaun - No OT'!Q1320:Q1321</f>
        <v>1</v>
      </c>
      <c r="M471" s="189"/>
      <c r="N471" s="201"/>
      <c r="O471" s="234"/>
      <c r="P471" s="220"/>
    </row>
    <row r="472" spans="1:20">
      <c r="A472" s="229"/>
      <c r="B472" s="318"/>
      <c r="C472" s="226" t="s">
        <v>48</v>
      </c>
      <c r="D472" s="533">
        <v>4108.29</v>
      </c>
      <c r="E472" s="533">
        <v>2705.4333333333334</v>
      </c>
      <c r="F472" s="533">
        <v>2681.7366666666662</v>
      </c>
      <c r="G472" s="533">
        <v>1407.9180000000001</v>
      </c>
      <c r="H472" s="533">
        <v>1218.8039999999999</v>
      </c>
      <c r="I472" s="533">
        <v>2190.5257894736842</v>
      </c>
      <c r="J472" s="210"/>
      <c r="K472" s="211"/>
      <c r="L472" s="228">
        <v>2336.15</v>
      </c>
      <c r="M472" s="213"/>
      <c r="N472" s="190"/>
      <c r="O472" s="235"/>
      <c r="P472" s="192"/>
    </row>
    <row r="473" spans="1:20">
      <c r="A473" s="236">
        <f>SUM(A449:A472)</f>
        <v>22</v>
      </c>
      <c r="B473" s="236">
        <f>SUM(B449:B472)</f>
        <v>2</v>
      </c>
      <c r="C473" s="237" t="s">
        <v>102</v>
      </c>
      <c r="D473" s="536">
        <f>D449+D452+D455+D458+D461+D464+D467+D470</f>
        <v>79482.670000000013</v>
      </c>
      <c r="E473" s="536">
        <f>E449+E452+E455+E458+E461+E464+E467+E470</f>
        <v>60313.180000000008</v>
      </c>
      <c r="F473" s="536">
        <f>F449+F452+F455+F458+F461+F464+F467+F470</f>
        <v>42975.34</v>
      </c>
      <c r="G473" s="536">
        <f>G449+G452+G455+G458+G461+G464+G467+G470</f>
        <v>40653.009999999995</v>
      </c>
      <c r="H473" s="536">
        <f>H449+H452+H455+H458+H461+H464+H467+H470</f>
        <v>49583.16</v>
      </c>
      <c r="I473" s="239">
        <f>I449+I452+I455+I458+I461+I464+I467+I470</f>
        <v>273007.35999999999</v>
      </c>
      <c r="J473" s="238">
        <f>J449+J452+J455+J458+J461+J464+J467+J470</f>
        <v>400000</v>
      </c>
      <c r="K473" s="240">
        <f>K449+K452+K455+K458+K461+K464+K467+K470</f>
        <v>-126992.64000000001</v>
      </c>
      <c r="L473" s="241">
        <f>L449+L452+L455+L458+L461+L464+L467+L470</f>
        <v>16074.010000000002</v>
      </c>
      <c r="M473" s="239">
        <f>M449+M452+M455+M458+M461+M464+M467+M470</f>
        <v>273007.35999999999</v>
      </c>
      <c r="N473" s="240">
        <f>N449+N452+N455+N458+N461+N464+N467+N470</f>
        <v>133327.35999999999</v>
      </c>
      <c r="O473" s="241">
        <f>O449+O452+O455+O458+O461+O464+O467+O470</f>
        <v>139680</v>
      </c>
      <c r="P473" s="240">
        <f>P449+P452+P455+P458+P461+P464+P467+P470</f>
        <v>2901.6</v>
      </c>
    </row>
    <row r="474" spans="1:20">
      <c r="A474" s="243"/>
      <c r="B474" s="244"/>
      <c r="C474" s="244"/>
      <c r="D474" s="244"/>
      <c r="E474" s="244"/>
      <c r="F474" s="244"/>
      <c r="G474" s="244"/>
      <c r="H474" s="244"/>
      <c r="I474" s="245">
        <f>I473+L473</f>
        <v>289081.37</v>
      </c>
      <c r="J474" s="246">
        <f>J473+K473</f>
        <v>273007.35999999999</v>
      </c>
      <c r="K474" s="247"/>
      <c r="L474" s="248"/>
      <c r="M474" s="249"/>
      <c r="N474" s="250">
        <f>M473-O473</f>
        <v>133327.35999999999</v>
      </c>
      <c r="O474" s="251"/>
      <c r="P474" s="201"/>
    </row>
    <row r="475" spans="1:20">
      <c r="R475" s="294">
        <f>'Ben - No OT'!P1345+Bradley!P584+Elliot!P933+'Jarrod - No OT'!P1266+Liam!P1387+Nicholas!P112+'Otheniel - Junior'!P215+'Rhys C'!P1083+'Shaun - No OT'!P1317</f>
        <v>273007.35999999999</v>
      </c>
      <c r="S475" s="294">
        <f>'Ben - No OT'!Q1345+Bradley!Q592+Elliot!Q933+'Jarrod - No OT'!Q1266+Liam!Q1387+Nicholas!Q112+'Otheniel - Junior'!Q215+'Rhys C'!Q1083+'Shaun - No OT'!Q1317</f>
        <v>16074.010000000002</v>
      </c>
      <c r="T475" s="294">
        <f>'Ben - No OT'!R1345+Bradley!R592+Elliot!R933+'Jarrod - No OT'!R1266+Liam!R1387+Nicholas!R112+'Otheniel - Junior'!R215+'Rhys C'!R1083+'Shaun - No OT'!R1317</f>
        <v>127866.17</v>
      </c>
    </row>
    <row r="476" spans="1:20">
      <c r="R476" s="294">
        <f>R475+S475</f>
        <v>289081.37</v>
      </c>
      <c r="S476" s="294"/>
      <c r="T476" s="294"/>
    </row>
    <row r="478" spans="1:20">
      <c r="A478" s="169"/>
      <c r="B478" s="170"/>
      <c r="C478" s="171" t="s">
        <v>87</v>
      </c>
      <c r="D478" s="172" t="s">
        <v>146</v>
      </c>
      <c r="E478" s="173"/>
      <c r="F478" s="173"/>
      <c r="G478" s="173"/>
      <c r="H478" s="173"/>
      <c r="I478" s="173"/>
      <c r="J478" s="174" t="s">
        <v>88</v>
      </c>
      <c r="K478" s="175"/>
      <c r="L478" s="176"/>
      <c r="M478" s="177"/>
      <c r="N478" s="178"/>
      <c r="O478" s="179" t="s">
        <v>89</v>
      </c>
      <c r="P478" s="180" t="s">
        <v>29</v>
      </c>
    </row>
    <row r="479" spans="1:20">
      <c r="A479" s="534" t="s">
        <v>90</v>
      </c>
      <c r="B479" s="534" t="s">
        <v>20</v>
      </c>
      <c r="C479" s="183"/>
      <c r="D479" s="184"/>
      <c r="E479" s="185"/>
      <c r="F479" s="185"/>
      <c r="G479" s="185"/>
      <c r="H479" s="185"/>
      <c r="I479" s="184"/>
      <c r="J479" s="186" t="s">
        <v>97</v>
      </c>
      <c r="K479" s="187" t="s">
        <v>98</v>
      </c>
      <c r="L479" s="188" t="s">
        <v>29</v>
      </c>
      <c r="M479" s="189" t="s">
        <v>89</v>
      </c>
      <c r="N479" s="190" t="s">
        <v>99</v>
      </c>
      <c r="O479" s="191" t="s">
        <v>100</v>
      </c>
      <c r="P479" s="192" t="s">
        <v>99</v>
      </c>
    </row>
    <row r="480" spans="1:20">
      <c r="A480" s="169">
        <f>'Ben - No OT'!T1426</f>
        <v>5</v>
      </c>
      <c r="B480" s="318">
        <f>'Ben - No OT'!T1427</f>
        <v>0</v>
      </c>
      <c r="C480" s="195" t="s">
        <v>106</v>
      </c>
      <c r="D480" s="567">
        <f>'Ben - No OT'!K1432</f>
        <v>2398.4499999999998</v>
      </c>
      <c r="E480" s="567">
        <f>'Ben - No OT'!L1432</f>
        <v>7634.79</v>
      </c>
      <c r="F480" s="567">
        <f>'Ben - No OT'!M1432</f>
        <v>3697.55</v>
      </c>
      <c r="G480" s="567">
        <f>'Ben - No OT'!N1432</f>
        <v>7478.8</v>
      </c>
      <c r="H480" s="567">
        <f>'Ben - No OT'!O1432</f>
        <v>5718.02</v>
      </c>
      <c r="I480" s="567">
        <f>'Ben - No OT'!P1432</f>
        <v>26927.61</v>
      </c>
      <c r="J480" s="197">
        <v>50000</v>
      </c>
      <c r="K480" s="198">
        <f>-J480+I480</f>
        <v>-23072.39</v>
      </c>
      <c r="L480" s="199">
        <f>'Ben - No OT'!Q1432</f>
        <v>3364.2</v>
      </c>
      <c r="M480" s="200">
        <f>I480</f>
        <v>26927.61</v>
      </c>
      <c r="N480" s="201">
        <f>'Ben - No OT'!R1432</f>
        <v>0</v>
      </c>
      <c r="O480" s="202">
        <f>M480-N480</f>
        <v>26927.61</v>
      </c>
      <c r="P480" s="203">
        <f>'Ben - No OT'!S1432</f>
        <v>1942.8999999999999</v>
      </c>
    </row>
    <row r="481" spans="1:16">
      <c r="A481" s="169"/>
      <c r="B481" s="229"/>
      <c r="C481" s="204" t="s">
        <v>101</v>
      </c>
      <c r="D481" s="531" cm="1">
        <f t="array" ref="D481:D482">'Ben - No OT'!K1435:K1436</f>
        <v>0.5</v>
      </c>
      <c r="E481" s="531" cm="1">
        <f t="array" ref="E481:E482">'Ben - No OT'!L1435:L1436</f>
        <v>0.5714285714285714</v>
      </c>
      <c r="F481" s="531" cm="1">
        <f t="array" ref="F481:F482">'Ben - No OT'!M1435:M1436</f>
        <v>0.5714285714285714</v>
      </c>
      <c r="G481" s="531" cm="1">
        <f t="array" ref="G481:G482">'Ben - No OT'!N1435:N1436</f>
        <v>0.83333333333333337</v>
      </c>
      <c r="H481" s="531" cm="1">
        <f t="array" ref="H481:H482">'Ben - No OT'!O1435:O1436</f>
        <v>0.5714285714285714</v>
      </c>
      <c r="I481" s="531" cm="1">
        <f t="array" ref="I481:I482">'Ben - No OT'!P1435:P1436</f>
        <v>0.60606060606060608</v>
      </c>
      <c r="J481" s="206"/>
      <c r="K481" s="207"/>
      <c r="L481" s="208" cm="1">
        <f t="array" ref="L481:L482">'Ben - No OT'!Q1435:Q1436</f>
        <v>0.5</v>
      </c>
      <c r="M481" s="189"/>
      <c r="N481" s="201"/>
      <c r="O481" s="191"/>
      <c r="P481" s="203"/>
    </row>
    <row r="482" spans="1:16">
      <c r="A482" s="169"/>
      <c r="B482" s="229"/>
      <c r="C482" s="204" t="s">
        <v>48</v>
      </c>
      <c r="D482" s="532">
        <v>799.48333333333323</v>
      </c>
      <c r="E482" s="532">
        <v>1908.6975</v>
      </c>
      <c r="F482" s="532">
        <v>924.38750000000005</v>
      </c>
      <c r="G482" s="532">
        <v>1495.76</v>
      </c>
      <c r="H482" s="532">
        <v>1429.5050000000001</v>
      </c>
      <c r="I482" s="532">
        <v>1346.3805</v>
      </c>
      <c r="J482" s="210"/>
      <c r="K482" s="211"/>
      <c r="L482" s="212">
        <v>1682.1</v>
      </c>
      <c r="M482" s="213"/>
      <c r="N482" s="190"/>
      <c r="O482" s="214"/>
      <c r="P482" s="233"/>
    </row>
    <row r="483" spans="1:16">
      <c r="A483" s="169">
        <f>Bradley!T664</f>
        <v>5</v>
      </c>
      <c r="B483" s="318">
        <f>Bradley!T665</f>
        <v>1</v>
      </c>
      <c r="C483" s="195" t="s">
        <v>121</v>
      </c>
      <c r="D483" s="567">
        <f>Bradley!K670</f>
        <v>1779.3</v>
      </c>
      <c r="E483" s="567">
        <f>Bradley!L670</f>
        <v>7010.54</v>
      </c>
      <c r="F483" s="567">
        <f>Bradley!M670</f>
        <v>6483.04</v>
      </c>
      <c r="G483" s="567">
        <f>Bradley!N670</f>
        <v>1362</v>
      </c>
      <c r="H483" s="567">
        <f>Bradley!O670</f>
        <v>2240.3000000000002</v>
      </c>
      <c r="I483" s="567">
        <f>Bradley!P670</f>
        <v>18875.18</v>
      </c>
      <c r="J483" s="197">
        <v>50000</v>
      </c>
      <c r="K483" s="198">
        <f>-J483+I483</f>
        <v>-31124.82</v>
      </c>
      <c r="L483" s="199"/>
      <c r="M483" s="200">
        <f>I483</f>
        <v>18875.18</v>
      </c>
      <c r="N483" s="201">
        <f>Bradley!R670</f>
        <v>1362</v>
      </c>
      <c r="O483" s="191">
        <f>M483-N483</f>
        <v>17513.18</v>
      </c>
      <c r="P483" s="203">
        <f>Bradley!S670</f>
        <v>0</v>
      </c>
    </row>
    <row r="484" spans="1:16">
      <c r="A484" s="169"/>
      <c r="B484" s="318"/>
      <c r="C484" s="204" t="s">
        <v>101</v>
      </c>
      <c r="D484" s="531" cm="1">
        <f t="array" ref="D484:D485">Bradley!K673:K674</f>
        <v>0.66666666666666663</v>
      </c>
      <c r="E484" s="531" cm="1">
        <f t="array" ref="E484:E485">Bradley!L673:L674</f>
        <v>0.5</v>
      </c>
      <c r="F484" s="531" cm="1">
        <f t="array" ref="F484:F485">Bradley!M673:M674</f>
        <v>0.5714285714285714</v>
      </c>
      <c r="G484" s="531" cm="1">
        <f t="array" ref="G484:G485">Bradley!N673:N674</f>
        <v>0.4</v>
      </c>
      <c r="H484" s="531" cm="1">
        <f t="array" ref="H484:H485">Bradley!O673:O674</f>
        <v>0.5</v>
      </c>
      <c r="I484" s="531" cm="1">
        <f t="array" ref="I484:I485">Bradley!P673:P674</f>
        <v>0.51851851851851849</v>
      </c>
      <c r="J484" s="206"/>
      <c r="K484" s="207"/>
      <c r="L484" s="208"/>
      <c r="M484" s="189"/>
      <c r="N484" s="201"/>
      <c r="O484" s="191"/>
      <c r="P484" s="203"/>
    </row>
    <row r="485" spans="1:16">
      <c r="A485" s="169"/>
      <c r="B485" s="318"/>
      <c r="C485" s="204" t="s">
        <v>48</v>
      </c>
      <c r="D485" s="532">
        <v>889.65</v>
      </c>
      <c r="E485" s="532">
        <v>2336.8466666666668</v>
      </c>
      <c r="F485" s="532">
        <v>1620.76</v>
      </c>
      <c r="G485" s="532">
        <v>681</v>
      </c>
      <c r="H485" s="532">
        <v>746.76666666666677</v>
      </c>
      <c r="I485" s="532">
        <v>1348.2271428571428</v>
      </c>
      <c r="J485" s="210"/>
      <c r="K485" s="211"/>
      <c r="L485" s="212"/>
      <c r="M485" s="213"/>
      <c r="N485" s="201"/>
      <c r="O485" s="214"/>
      <c r="P485" s="203"/>
    </row>
    <row r="486" spans="1:16">
      <c r="A486" s="169">
        <f>Elliot!T1036</f>
        <v>5</v>
      </c>
      <c r="B486" s="318">
        <f>Elliot!T1037</f>
        <v>0</v>
      </c>
      <c r="C486" s="195" t="s">
        <v>116</v>
      </c>
      <c r="D486" s="567">
        <f>Elliot!K1042</f>
        <v>2878.6</v>
      </c>
      <c r="E486" s="567">
        <f>Elliot!L1042</f>
        <v>2870.2</v>
      </c>
      <c r="F486" s="567">
        <f>Elliot!M1042</f>
        <v>7275.0000000000009</v>
      </c>
      <c r="G486" s="567">
        <f>Elliot!N1042</f>
        <v>27212.780000000002</v>
      </c>
      <c r="H486" s="567">
        <f>Elliot!O1042</f>
        <v>6486.41</v>
      </c>
      <c r="I486" s="567">
        <f>Elliot!P1042</f>
        <v>46722.990000000005</v>
      </c>
      <c r="J486" s="197">
        <v>50000</v>
      </c>
      <c r="K486" s="198">
        <f>-J486+I486</f>
        <v>-3277.0099999999948</v>
      </c>
      <c r="L486" s="199">
        <f>Elliot!Q1042</f>
        <v>2134.11</v>
      </c>
      <c r="M486" s="215">
        <f>I486</f>
        <v>46722.990000000005</v>
      </c>
      <c r="N486" s="216">
        <f>Elliot!R1042</f>
        <v>24950.68</v>
      </c>
      <c r="O486" s="217">
        <f>M486-N486</f>
        <v>21772.310000000005</v>
      </c>
      <c r="P486" s="216">
        <f>Elliot!S1042</f>
        <v>0</v>
      </c>
    </row>
    <row r="487" spans="1:16">
      <c r="A487" s="169"/>
      <c r="B487" s="318"/>
      <c r="C487" s="204" t="s">
        <v>101</v>
      </c>
      <c r="D487" s="531" cm="1">
        <f t="array" ref="D487:D488">Elliot!K1045:K1046</f>
        <v>0.42857142857142855</v>
      </c>
      <c r="E487" s="531" cm="1">
        <f t="array" ref="E487:E488">Elliot!L1045:L1046</f>
        <v>0.44444444444444442</v>
      </c>
      <c r="F487" s="531" cm="1">
        <f t="array" ref="F487:F488">Elliot!M1045:M1046</f>
        <v>0.6</v>
      </c>
      <c r="G487" s="531" cm="1">
        <f t="array" ref="G487:G488">Elliot!N1045:N1046</f>
        <v>0.66666666666666663</v>
      </c>
      <c r="H487" s="531" cm="1">
        <f t="array" ref="H487:H488">Elliot!O1045:O1046</f>
        <v>0.42857142857142855</v>
      </c>
      <c r="I487" s="531" cm="1">
        <f t="array" ref="I487:I488">Elliot!P1045:P1046</f>
        <v>0.51282051282051277</v>
      </c>
      <c r="J487" s="206"/>
      <c r="K487" s="218"/>
      <c r="L487" s="208" cm="1">
        <f t="array" ref="L487:L488">Elliot!Q1045:Q1046</f>
        <v>1</v>
      </c>
      <c r="M487" s="219"/>
      <c r="N487" s="220"/>
      <c r="O487" s="221"/>
      <c r="P487" s="220"/>
    </row>
    <row r="488" spans="1:16">
      <c r="A488" s="169"/>
      <c r="B488" s="318"/>
      <c r="C488" s="226" t="s">
        <v>48</v>
      </c>
      <c r="D488" s="532">
        <v>959.5333333333333</v>
      </c>
      <c r="E488" s="532">
        <v>717.55</v>
      </c>
      <c r="F488" s="532">
        <v>1212.5000000000002</v>
      </c>
      <c r="G488" s="532">
        <v>6803.1950000000006</v>
      </c>
      <c r="H488" s="532">
        <v>2162.1366666666668</v>
      </c>
      <c r="I488" s="532">
        <v>2336.1495000000004</v>
      </c>
      <c r="J488" s="206"/>
      <c r="K488" s="222"/>
      <c r="L488" s="212">
        <v>2134.11</v>
      </c>
      <c r="M488" s="223"/>
      <c r="N488" s="192"/>
      <c r="O488" s="224"/>
      <c r="P488" s="192"/>
    </row>
    <row r="489" spans="1:16">
      <c r="A489" s="169">
        <f>'Jarrod - No OT'!T1356</f>
        <v>3</v>
      </c>
      <c r="B489" s="318">
        <f>'Jarrod - No OT'!T1357</f>
        <v>0</v>
      </c>
      <c r="C489" s="195" t="s">
        <v>112</v>
      </c>
      <c r="D489" s="567">
        <f>'Jarrod - No OT'!K1362</f>
        <v>1098.3</v>
      </c>
      <c r="E489" s="567">
        <f>'Jarrod - No OT'!L1362</f>
        <v>4020.86</v>
      </c>
      <c r="F489" s="567">
        <f>'Jarrod - No OT'!M1362</f>
        <v>11946.07</v>
      </c>
      <c r="G489" s="567">
        <f>'Jarrod - No OT'!N1362</f>
        <v>6054.9599999999991</v>
      </c>
      <c r="H489" s="567"/>
      <c r="I489" s="567">
        <f>'Jarrod - No OT'!P1362</f>
        <v>23120.19</v>
      </c>
      <c r="J489" s="197">
        <v>50000</v>
      </c>
      <c r="K489" s="198">
        <f>-J489+I489</f>
        <v>-26879.81</v>
      </c>
      <c r="L489" s="199"/>
      <c r="M489" s="215">
        <f>I489</f>
        <v>23120.19</v>
      </c>
      <c r="N489" s="216">
        <f>'Jarrod - No OT'!R1362</f>
        <v>0</v>
      </c>
      <c r="O489" s="217">
        <f>M489-N489</f>
        <v>23120.19</v>
      </c>
      <c r="P489" s="216">
        <f>'Jarrod - No OT'!S1362</f>
        <v>0</v>
      </c>
    </row>
    <row r="490" spans="1:16">
      <c r="A490" s="169"/>
      <c r="B490" s="318"/>
      <c r="C490" s="204" t="s">
        <v>101</v>
      </c>
      <c r="D490" s="531" cm="1">
        <f t="array" ref="D490:D491">'Jarrod - No OT'!K1365:K1366</f>
        <v>0.25</v>
      </c>
      <c r="E490" s="531" cm="1">
        <f t="array" ref="E490:E491">'Jarrod - No OT'!L1365:L1366</f>
        <v>0.33333333333333331</v>
      </c>
      <c r="F490" s="531" cm="1">
        <f t="array" ref="F490:F491">'Jarrod - No OT'!M1365:M1366</f>
        <v>0.5</v>
      </c>
      <c r="G490" s="531" cm="1">
        <f t="array" ref="G490:G491">'Jarrod - No OT'!N1365:N1366</f>
        <v>0.42857142857142855</v>
      </c>
      <c r="H490" s="531"/>
      <c r="I490" s="531" cm="1">
        <f t="array" ref="I490:I491">'Jarrod - No OT'!P1365:P1366</f>
        <v>0.24242424242424243</v>
      </c>
      <c r="J490" s="206"/>
      <c r="K490" s="218"/>
      <c r="L490" s="208"/>
      <c r="M490" s="219"/>
      <c r="N490" s="220"/>
      <c r="O490" s="221"/>
      <c r="P490" s="220"/>
    </row>
    <row r="491" spans="1:16">
      <c r="A491" s="169"/>
      <c r="B491" s="318"/>
      <c r="C491" s="226" t="s">
        <v>48</v>
      </c>
      <c r="D491" s="532">
        <v>1098.3</v>
      </c>
      <c r="E491" s="532">
        <v>1340.2866666666666</v>
      </c>
      <c r="F491" s="532">
        <v>11946.07</v>
      </c>
      <c r="G491" s="532">
        <v>2018.3199999999997</v>
      </c>
      <c r="H491" s="532"/>
      <c r="I491" s="532">
        <v>2890.0237499999998</v>
      </c>
      <c r="J491" s="206"/>
      <c r="K491" s="222"/>
      <c r="L491" s="212"/>
      <c r="M491" s="223"/>
      <c r="N491" s="192"/>
      <c r="O491" s="224"/>
      <c r="P491" s="192"/>
    </row>
    <row r="492" spans="1:16">
      <c r="A492" s="169">
        <f>'Otheniel - Junior'!T297</f>
        <v>1</v>
      </c>
      <c r="B492" s="318">
        <f>'Otheniel - Junior'!T298</f>
        <v>0</v>
      </c>
      <c r="C492" s="195" t="s">
        <v>126</v>
      </c>
      <c r="D492" s="567">
        <f>'Otheniel - Junior'!K303</f>
        <v>3531.8099999999995</v>
      </c>
      <c r="E492" s="567">
        <f>'Otheniel - Junior'!L303</f>
        <v>9370.6</v>
      </c>
      <c r="F492" s="567"/>
      <c r="G492" s="567">
        <f>'Otheniel - Junior'!N303</f>
        <v>4787.3</v>
      </c>
      <c r="H492" s="567">
        <f>'Otheniel - Junior'!O303</f>
        <v>2699.05</v>
      </c>
      <c r="I492" s="567">
        <f>'Otheniel - Junior'!P303</f>
        <v>20388.759999999998</v>
      </c>
      <c r="J492" s="197">
        <v>50000</v>
      </c>
      <c r="K492" s="198">
        <f>-J492+I492</f>
        <v>-29611.24</v>
      </c>
      <c r="L492" s="199"/>
      <c r="M492" s="200">
        <f>I492</f>
        <v>20388.759999999998</v>
      </c>
      <c r="N492" s="225">
        <f>'Otheniel - Junior'!R303</f>
        <v>3636.1000000000004</v>
      </c>
      <c r="O492" s="202">
        <f>M492-N492</f>
        <v>16752.659999999996</v>
      </c>
      <c r="P492" s="216">
        <f>'Otheniel - Junior'!S303</f>
        <v>0</v>
      </c>
    </row>
    <row r="493" spans="1:16">
      <c r="A493" s="169"/>
      <c r="B493" s="318"/>
      <c r="C493" s="204" t="s">
        <v>101</v>
      </c>
      <c r="D493" s="531" cm="1">
        <f t="array" ref="D493:D494">'Otheniel - Junior'!K306:K307</f>
        <v>0.5</v>
      </c>
      <c r="E493" s="531" cm="1">
        <f t="array" ref="E493:E494">'Otheniel - Junior'!L306:L307</f>
        <v>0.6</v>
      </c>
      <c r="F493" s="531"/>
      <c r="G493" s="531" cm="1">
        <f t="array" ref="G493:G494">'Otheniel - Junior'!N306:N307</f>
        <v>0.625</v>
      </c>
      <c r="H493" s="531" cm="1">
        <f t="array" ref="H493:H494">'Otheniel - Junior'!O306:O307</f>
        <v>1</v>
      </c>
      <c r="I493" s="531" cm="1">
        <f t="array" ref="I493:I494">'Otheniel - Junior'!P306:P307</f>
        <v>0.62962962962962965</v>
      </c>
      <c r="J493" s="206"/>
      <c r="K493" s="207"/>
      <c r="L493" s="208"/>
      <c r="M493" s="189"/>
      <c r="N493" s="201"/>
      <c r="O493" s="191"/>
      <c r="P493" s="220"/>
    </row>
    <row r="494" spans="1:16">
      <c r="A494" s="169"/>
      <c r="B494" s="318"/>
      <c r="C494" s="226" t="s">
        <v>48</v>
      </c>
      <c r="D494" s="533">
        <v>1177.2699999999998</v>
      </c>
      <c r="E494" s="533">
        <v>1561.7666666666667</v>
      </c>
      <c r="F494" s="533"/>
      <c r="G494" s="533">
        <v>957.46</v>
      </c>
      <c r="H494" s="533">
        <v>899.68333333333339</v>
      </c>
      <c r="I494" s="533">
        <v>1199.3388235294117</v>
      </c>
      <c r="J494" s="210"/>
      <c r="K494" s="211"/>
      <c r="L494" s="228"/>
      <c r="M494" s="213"/>
      <c r="N494" s="190"/>
      <c r="O494" s="214"/>
      <c r="P494" s="192"/>
    </row>
    <row r="495" spans="1:16">
      <c r="A495" s="229">
        <f>'Shaun - No OT'!T1401</f>
        <v>4</v>
      </c>
      <c r="B495" s="318">
        <f>'Shaun - No OT'!T1402</f>
        <v>0</v>
      </c>
      <c r="C495" s="195" t="s">
        <v>107</v>
      </c>
      <c r="D495" s="567">
        <f>'Shaun - No OT'!K1407</f>
        <v>10280.61</v>
      </c>
      <c r="E495" s="567">
        <f>'Shaun - No OT'!L1407</f>
        <v>8845.7000000000007</v>
      </c>
      <c r="F495" s="567">
        <f>'Shaun - No OT'!M1407</f>
        <v>4691.7</v>
      </c>
      <c r="G495" s="567">
        <f>'Shaun - No OT'!N1407</f>
        <v>3348.5</v>
      </c>
      <c r="H495" s="567"/>
      <c r="I495" s="567">
        <f>'Shaun - No OT'!P1407</f>
        <v>27166.510000000002</v>
      </c>
      <c r="J495" s="206">
        <v>50000</v>
      </c>
      <c r="K495" s="207">
        <f>-J495+I495</f>
        <v>-22833.489999999998</v>
      </c>
      <c r="L495" s="212"/>
      <c r="M495" s="189">
        <f>I495</f>
        <v>27166.510000000002</v>
      </c>
      <c r="N495" s="201">
        <f>'Shaun - No OT'!R1407</f>
        <v>3394.2</v>
      </c>
      <c r="O495" s="191">
        <f>M495-N495</f>
        <v>23772.31</v>
      </c>
      <c r="P495" s="220">
        <f>'Shaun - No OT'!S1407</f>
        <v>0</v>
      </c>
    </row>
    <row r="496" spans="1:16">
      <c r="A496" s="229"/>
      <c r="B496" s="318"/>
      <c r="C496" s="204" t="s">
        <v>101</v>
      </c>
      <c r="D496" s="531" cm="1">
        <f t="array" ref="D496:D497">'Shaun - No OT'!K1410:K1411</f>
        <v>0.5</v>
      </c>
      <c r="E496" s="531" cm="1">
        <f t="array" ref="E496:E497">'Shaun - No OT'!L1410:L1411</f>
        <v>0.66666666666666663</v>
      </c>
      <c r="F496" s="531" cm="1">
        <f t="array" ref="F496:F497">'Shaun - No OT'!M1410:M1411</f>
        <v>0.6</v>
      </c>
      <c r="G496" s="531" cm="1">
        <f t="array" ref="G496:G497">'Shaun - No OT'!N1410:N1411</f>
        <v>0.33333333333333331</v>
      </c>
      <c r="H496" s="531"/>
      <c r="I496" s="531" cm="1">
        <f t="array" ref="I496:I497">'Shaun - No OT'!P1410:P1411</f>
        <v>0.46666666666666667</v>
      </c>
      <c r="J496" s="206"/>
      <c r="K496" s="207"/>
      <c r="L496" s="208"/>
      <c r="M496" s="189"/>
      <c r="N496" s="201"/>
      <c r="O496" s="234"/>
      <c r="P496" s="220"/>
    </row>
    <row r="497" spans="1:20">
      <c r="A497" s="229"/>
      <c r="B497" s="318"/>
      <c r="C497" s="226" t="s">
        <v>48</v>
      </c>
      <c r="D497" s="533">
        <v>2570.1525000000001</v>
      </c>
      <c r="E497" s="533">
        <v>2211.4250000000002</v>
      </c>
      <c r="F497" s="533">
        <v>1563.8999999999999</v>
      </c>
      <c r="G497" s="533">
        <v>1116.1666666666667</v>
      </c>
      <c r="H497" s="533"/>
      <c r="I497" s="533">
        <v>1940.4650000000001</v>
      </c>
      <c r="J497" s="210"/>
      <c r="K497" s="211"/>
      <c r="L497" s="228"/>
      <c r="M497" s="213"/>
      <c r="N497" s="190"/>
      <c r="O497" s="235"/>
      <c r="P497" s="192"/>
    </row>
    <row r="498" spans="1:20">
      <c r="A498" s="236">
        <f>SUM(A480:A497)</f>
        <v>23</v>
      </c>
      <c r="B498" s="236">
        <f>SUM(B480:B497)</f>
        <v>1</v>
      </c>
      <c r="C498" s="237" t="s">
        <v>102</v>
      </c>
      <c r="D498" s="536">
        <f>D480+D483+D486+D489+D492+D495</f>
        <v>21967.07</v>
      </c>
      <c r="E498" s="536">
        <f>E480+E483+E486+E489+E492+E495</f>
        <v>39752.69</v>
      </c>
      <c r="F498" s="536">
        <f>F480+F483+F486+F489+F492+F495</f>
        <v>34093.360000000001</v>
      </c>
      <c r="G498" s="536">
        <f>G480+G483+G486+G489+G492+G495</f>
        <v>50244.340000000004</v>
      </c>
      <c r="H498" s="536">
        <f>H480+H483+H486+H489+H492+H495</f>
        <v>17143.78</v>
      </c>
      <c r="I498" s="239">
        <f>I480+I483+I486+I489+I492+I495</f>
        <v>163201.24000000002</v>
      </c>
      <c r="J498" s="238">
        <f>J480+J483+J486+J489+J492+J495</f>
        <v>300000</v>
      </c>
      <c r="K498" s="240">
        <f>K480+K483+K486+K489+K492+K495</f>
        <v>-136798.76</v>
      </c>
      <c r="L498" s="241">
        <f>L480+L483+L486+L489+L492+L495</f>
        <v>5498.3099999999995</v>
      </c>
      <c r="M498" s="239">
        <f>M480+M483+M486+M489+M492+M495</f>
        <v>163201.24000000002</v>
      </c>
      <c r="N498" s="240">
        <f>N480+N483+N486+N489+N492+N495</f>
        <v>33342.979999999996</v>
      </c>
      <c r="O498" s="241">
        <f>O480+O483+O486+O489+O492+O495</f>
        <v>129858.26000000001</v>
      </c>
      <c r="P498" s="240">
        <f>P480+P483+P486+P489+P492+P495</f>
        <v>1942.8999999999999</v>
      </c>
    </row>
    <row r="499" spans="1:20">
      <c r="A499" s="243"/>
      <c r="B499" s="244"/>
      <c r="C499" s="244"/>
      <c r="D499" s="244"/>
      <c r="E499" s="244"/>
      <c r="F499" s="244"/>
      <c r="G499" s="244"/>
      <c r="H499" s="244"/>
      <c r="I499" s="245">
        <f>I498+L498</f>
        <v>168699.55000000002</v>
      </c>
      <c r="J499" s="246">
        <f>J498+K498</f>
        <v>163201.24</v>
      </c>
      <c r="K499" s="247"/>
      <c r="L499" s="248"/>
      <c r="M499" s="249"/>
      <c r="N499" s="250">
        <f>M498-O498</f>
        <v>33342.98000000001</v>
      </c>
      <c r="O499" s="251"/>
      <c r="P499" s="201"/>
    </row>
    <row r="500" spans="1:20">
      <c r="R500" s="294">
        <f>'Ben - No OT'!P1432+Bradley!P670+Elliot!P1042+'Jarrod - No OT'!P1362+Liam!P1462+'Otheniel - Junior'!P303+'Shaun - No OT'!P1407</f>
        <v>163201.24000000002</v>
      </c>
      <c r="S500" s="294">
        <f>'Ben - No OT'!Q1432+Bradley!Q670+Elliot!Q1042+'Jarrod - No OT'!Q1362+Liam!Q1462+'Otheniel - Junior'!Q303+'Shaun - No OT'!Q1407</f>
        <v>5498.3099999999995</v>
      </c>
      <c r="T500" s="294">
        <f>'Ben - No OT'!R1432+Bradley!R670+Elliot!R1042+'Jarrod - No OT'!R1362+Liam!R1462+'Otheniel - Junior'!R303+'Shaun - No OT'!R1407</f>
        <v>33342.979999999996</v>
      </c>
    </row>
    <row r="501" spans="1:20">
      <c r="R501" s="294">
        <f>R500+S500</f>
        <v>168699.55000000002</v>
      </c>
    </row>
    <row r="503" spans="1:20">
      <c r="A503" s="169"/>
      <c r="B503" s="170"/>
      <c r="C503" s="171" t="s">
        <v>87</v>
      </c>
      <c r="D503" s="172" t="s">
        <v>147</v>
      </c>
      <c r="E503" s="173"/>
      <c r="F503" s="173"/>
      <c r="G503" s="173"/>
      <c r="H503" s="173"/>
      <c r="I503" s="173"/>
      <c r="J503" s="174" t="s">
        <v>88</v>
      </c>
      <c r="K503" s="175"/>
      <c r="L503" s="176"/>
      <c r="M503" s="177"/>
      <c r="N503" s="178"/>
      <c r="O503" s="179" t="s">
        <v>89</v>
      </c>
      <c r="P503" s="180" t="s">
        <v>29</v>
      </c>
    </row>
    <row r="504" spans="1:20">
      <c r="A504" s="564" t="s">
        <v>90</v>
      </c>
      <c r="B504" s="565" t="s">
        <v>20</v>
      </c>
      <c r="C504" s="566"/>
      <c r="D504" s="184" t="s">
        <v>91</v>
      </c>
      <c r="E504" s="185" t="s">
        <v>92</v>
      </c>
      <c r="F504" s="185" t="s">
        <v>93</v>
      </c>
      <c r="G504" s="185" t="s">
        <v>94</v>
      </c>
      <c r="H504" s="185" t="s">
        <v>95</v>
      </c>
      <c r="I504" s="184" t="s">
        <v>96</v>
      </c>
      <c r="J504" s="186" t="s">
        <v>97</v>
      </c>
      <c r="K504" s="187" t="s">
        <v>98</v>
      </c>
      <c r="L504" s="188" t="s">
        <v>29</v>
      </c>
      <c r="M504" s="189" t="s">
        <v>89</v>
      </c>
      <c r="N504" s="190" t="s">
        <v>99</v>
      </c>
      <c r="O504" s="191" t="s">
        <v>100</v>
      </c>
      <c r="P504" s="192" t="s">
        <v>99</v>
      </c>
    </row>
    <row r="505" spans="1:20">
      <c r="A505" s="169">
        <f>'Ben - No OT'!T1531-0.5</f>
        <v>3.5</v>
      </c>
      <c r="B505" s="318">
        <f>'Ben - No OT'!T1532</f>
        <v>1</v>
      </c>
      <c r="C505" s="195" t="s">
        <v>106</v>
      </c>
      <c r="D505" s="567">
        <f>'Ben - No OT'!K1537</f>
        <v>6021.7000000000007</v>
      </c>
      <c r="E505" s="567">
        <f>'Ben - No OT'!L1537</f>
        <v>1711.1999999999998</v>
      </c>
      <c r="F505" s="567">
        <f>'Ben - No OT'!M1537</f>
        <v>1098.3</v>
      </c>
      <c r="G505" s="567">
        <f>'Ben - No OT'!N1537</f>
        <v>5782.2000000000007</v>
      </c>
      <c r="H505" s="567">
        <f>'Ben - No OT'!O1537</f>
        <v>10821.939999999999</v>
      </c>
      <c r="I505" s="567">
        <f>'Ben - No OT'!P1537</f>
        <v>25435.34</v>
      </c>
      <c r="J505" s="197">
        <v>50000</v>
      </c>
      <c r="K505" s="198">
        <f>-J505+I505</f>
        <v>-24564.66</v>
      </c>
      <c r="L505" s="199"/>
      <c r="M505" s="200">
        <f>I505</f>
        <v>25435.34</v>
      </c>
      <c r="N505" s="201">
        <f>'Ben - No OT'!R1537</f>
        <v>6937.62</v>
      </c>
      <c r="O505" s="202">
        <f>M505-N505</f>
        <v>18497.72</v>
      </c>
      <c r="P505" s="203">
        <f>'Ben - No OT'!S1537</f>
        <v>0</v>
      </c>
    </row>
    <row r="506" spans="1:20">
      <c r="A506" s="169"/>
      <c r="B506" s="318"/>
      <c r="C506" s="204" t="s">
        <v>101</v>
      </c>
      <c r="D506" s="531" cm="1">
        <f t="array" ref="D506:D507">'Ben - No OT'!K1540:K1541</f>
        <v>0.66666666666666663</v>
      </c>
      <c r="E506" s="531" cm="1">
        <f t="array" ref="E506:E507">'Ben - No OT'!L1540:L1541</f>
        <v>0.4</v>
      </c>
      <c r="F506" s="531" cm="1">
        <f t="array" ref="F506:F507">'Ben - No OT'!M1540:M1541</f>
        <v>0.2</v>
      </c>
      <c r="G506" s="531" cm="1">
        <f t="array" ref="G506:G507">'Ben - No OT'!N1540:N1541</f>
        <v>0.5</v>
      </c>
      <c r="H506" s="531" cm="1">
        <f t="array" ref="H506:H507">'Ben - No OT'!O1540:O1541</f>
        <v>0.4</v>
      </c>
      <c r="I506" s="531" cm="1">
        <f t="array" ref="I506:I507">'Ben - No OT'!P1540:P1541</f>
        <v>0.41935483870967744</v>
      </c>
      <c r="J506" s="206"/>
      <c r="K506" s="207"/>
      <c r="L506" s="208"/>
      <c r="M506" s="189"/>
      <c r="N506" s="201"/>
      <c r="O506" s="191"/>
      <c r="P506" s="203"/>
    </row>
    <row r="507" spans="1:20">
      <c r="A507" s="169"/>
      <c r="B507" s="318"/>
      <c r="C507" s="204" t="s">
        <v>48</v>
      </c>
      <c r="D507" s="532">
        <v>3010.8500000000004</v>
      </c>
      <c r="E507" s="532">
        <v>855.59999999999991</v>
      </c>
      <c r="F507" s="532">
        <v>1098.3</v>
      </c>
      <c r="G507" s="532">
        <v>1445.5500000000002</v>
      </c>
      <c r="H507" s="532">
        <v>2705.4849999999997</v>
      </c>
      <c r="I507" s="532">
        <v>1956.5646153846153</v>
      </c>
      <c r="J507" s="210"/>
      <c r="K507" s="211"/>
      <c r="L507" s="212"/>
      <c r="M507" s="213"/>
      <c r="N507" s="201"/>
      <c r="O507" s="214"/>
      <c r="P507" s="203"/>
    </row>
    <row r="508" spans="1:20">
      <c r="A508" s="169">
        <f>Bradley!T752</f>
        <v>5</v>
      </c>
      <c r="B508" s="318">
        <f>Bradley!T753</f>
        <v>0</v>
      </c>
      <c r="C508" s="195" t="s">
        <v>121</v>
      </c>
      <c r="D508" s="567">
        <f>Bradley!K758</f>
        <v>13101.68</v>
      </c>
      <c r="E508" s="567">
        <f>Bradley!L758</f>
        <v>2438.3000000000002</v>
      </c>
      <c r="F508" s="567">
        <f>Bradley!M758</f>
        <v>11600.279999999999</v>
      </c>
      <c r="G508" s="567">
        <f>Bradley!N758</f>
        <v>6932.9000000000005</v>
      </c>
      <c r="H508" s="567">
        <f>Bradley!O758</f>
        <v>1869.3</v>
      </c>
      <c r="I508" s="567">
        <f>Bradley!P758</f>
        <v>35942.46</v>
      </c>
      <c r="J508" s="197">
        <v>50000</v>
      </c>
      <c r="K508" s="198">
        <f>-J508+I508</f>
        <v>-14057.54</v>
      </c>
      <c r="L508" s="199"/>
      <c r="M508" s="215">
        <f>I508</f>
        <v>35942.46</v>
      </c>
      <c r="N508" s="216">
        <f>Bradley!R758</f>
        <v>6652.9000000000005</v>
      </c>
      <c r="O508" s="217">
        <f>M508-N508</f>
        <v>29289.559999999998</v>
      </c>
      <c r="P508" s="216">
        <f>Bradley!S758</f>
        <v>0</v>
      </c>
    </row>
    <row r="509" spans="1:20">
      <c r="A509" s="169"/>
      <c r="B509" s="318"/>
      <c r="C509" s="204" t="s">
        <v>101</v>
      </c>
      <c r="D509" s="531" cm="1">
        <f t="array" ref="D509:D510">Bradley!K761:K762</f>
        <v>0.7142857142857143</v>
      </c>
      <c r="E509" s="531" cm="1">
        <f t="array" ref="E509:E510">Bradley!L761:L762</f>
        <v>0.75</v>
      </c>
      <c r="F509" s="531" cm="1">
        <f t="array" ref="F509:F510">Bradley!M761:M762</f>
        <v>1</v>
      </c>
      <c r="G509" s="531" cm="1">
        <f t="array" ref="G509:G510">Bradley!N761:N762</f>
        <v>0.5</v>
      </c>
      <c r="H509" s="531" cm="1">
        <f t="array" ref="H509:H510">Bradley!O761:O762</f>
        <v>0.25</v>
      </c>
      <c r="I509" s="531" cm="1">
        <f t="array" ref="I509:I510">Bradley!P761:P762</f>
        <v>0.61764705882352944</v>
      </c>
      <c r="J509" s="206"/>
      <c r="K509" s="218"/>
      <c r="L509" s="208"/>
      <c r="M509" s="219"/>
      <c r="N509" s="220"/>
      <c r="O509" s="221"/>
      <c r="P509" s="220"/>
    </row>
    <row r="510" spans="1:20">
      <c r="A510" s="169"/>
      <c r="B510" s="318"/>
      <c r="C510" s="204" t="s">
        <v>48</v>
      </c>
      <c r="D510" s="532">
        <v>2620.3360000000002</v>
      </c>
      <c r="E510" s="532">
        <v>812.76666666666677</v>
      </c>
      <c r="F510" s="532">
        <v>1657.1828571428571</v>
      </c>
      <c r="G510" s="532">
        <v>1733.2250000000001</v>
      </c>
      <c r="H510" s="532">
        <v>934.65</v>
      </c>
      <c r="I510" s="532">
        <v>1711.5457142857142</v>
      </c>
      <c r="J510" s="206"/>
      <c r="K510" s="222"/>
      <c r="L510" s="212"/>
      <c r="M510" s="223"/>
      <c r="N510" s="192"/>
      <c r="O510" s="224"/>
      <c r="P510" s="192"/>
    </row>
    <row r="511" spans="1:20">
      <c r="A511" s="169">
        <f>Elliot!T1137</f>
        <v>3</v>
      </c>
      <c r="B511" s="318">
        <f>Elliot!T1138</f>
        <v>0</v>
      </c>
      <c r="C511" s="195" t="s">
        <v>116</v>
      </c>
      <c r="D511" s="567">
        <f>Elliot!K1143</f>
        <v>2053.14</v>
      </c>
      <c r="E511" s="567">
        <f>Elliot!L1143</f>
        <v>5910.52</v>
      </c>
      <c r="F511" s="567">
        <f>Elliot!M1143</f>
        <v>666.74</v>
      </c>
      <c r="G511" s="567"/>
      <c r="H511" s="567">
        <f>Elliot!O1143</f>
        <v>1185.3</v>
      </c>
      <c r="I511" s="567">
        <f>Elliot!P1143</f>
        <v>9815.6999999999989</v>
      </c>
      <c r="J511" s="197">
        <v>50000</v>
      </c>
      <c r="K511" s="198">
        <f>-J511+I511</f>
        <v>-40184.300000000003</v>
      </c>
      <c r="L511" s="199"/>
      <c r="M511" s="200">
        <f>I511</f>
        <v>9815.6999999999989</v>
      </c>
      <c r="N511" s="225">
        <f>Elliot!R1143</f>
        <v>0</v>
      </c>
      <c r="O511" s="202">
        <f>M511-N511</f>
        <v>9815.6999999999989</v>
      </c>
      <c r="P511" s="216">
        <f>Elliot!S1143</f>
        <v>0</v>
      </c>
    </row>
    <row r="512" spans="1:20">
      <c r="A512" s="169"/>
      <c r="B512" s="318"/>
      <c r="C512" s="204" t="s">
        <v>101</v>
      </c>
      <c r="D512" s="531" cm="1">
        <f t="array" ref="D512:D513">Elliot!K1146:K1147</f>
        <v>0.3</v>
      </c>
      <c r="E512" s="531" cm="1">
        <f t="array" ref="E512:E513">Elliot!L1146:L1147</f>
        <v>0.5</v>
      </c>
      <c r="F512" s="531" cm="1">
        <f t="array" ref="F512:F513">Elliot!M1146:M1147</f>
        <v>0.5</v>
      </c>
      <c r="G512" s="531"/>
      <c r="H512" s="531" cm="1">
        <f t="array" ref="H512:H513">Elliot!O1146:O1147</f>
        <v>0.125</v>
      </c>
      <c r="I512" s="531" cm="1">
        <f t="array" ref="I512:I513">Elliot!P1146:P1147</f>
        <v>0.30769230769230771</v>
      </c>
      <c r="J512" s="206"/>
      <c r="K512" s="207"/>
      <c r="L512" s="208"/>
      <c r="M512" s="189"/>
      <c r="N512" s="201"/>
      <c r="O512" s="191"/>
      <c r="P512" s="220"/>
    </row>
    <row r="513" spans="1:17">
      <c r="A513" s="169"/>
      <c r="B513" s="318"/>
      <c r="C513" s="226" t="s">
        <v>48</v>
      </c>
      <c r="D513" s="533">
        <v>684.38</v>
      </c>
      <c r="E513" s="533">
        <v>1970.1733333333334</v>
      </c>
      <c r="F513" s="533">
        <v>666.74</v>
      </c>
      <c r="G513" s="533"/>
      <c r="H513" s="533">
        <v>1185.3</v>
      </c>
      <c r="I513" s="533">
        <v>1226.9624999999999</v>
      </c>
      <c r="J513" s="210"/>
      <c r="K513" s="211"/>
      <c r="L513" s="228"/>
      <c r="M513" s="213"/>
      <c r="N513" s="201"/>
      <c r="O513" s="214"/>
      <c r="P513" s="220"/>
    </row>
    <row r="514" spans="1:17">
      <c r="A514" s="169">
        <f>'Jarrod - No OT'!T1449-0.5</f>
        <v>4.5</v>
      </c>
      <c r="B514" s="318">
        <f>'Jarrod - No OT'!T1450</f>
        <v>0</v>
      </c>
      <c r="C514" s="195" t="s">
        <v>112</v>
      </c>
      <c r="D514" s="567">
        <f>'Jarrod - No OT'!K1455</f>
        <v>7071.8899999999994</v>
      </c>
      <c r="E514" s="567">
        <f>'Jarrod - No OT'!L1455</f>
        <v>4952.8999999999996</v>
      </c>
      <c r="F514" s="567">
        <f>'Jarrod - No OT'!M1455</f>
        <v>10185.16</v>
      </c>
      <c r="G514" s="567">
        <f>'Jarrod - No OT'!N1455</f>
        <v>7704.28</v>
      </c>
      <c r="H514" s="567">
        <f>'Jarrod - No OT'!O1455</f>
        <v>3564.6000000000004</v>
      </c>
      <c r="I514" s="567">
        <f>'Jarrod - No OT'!P1455</f>
        <v>33478.829999999994</v>
      </c>
      <c r="J514" s="197">
        <v>50000</v>
      </c>
      <c r="K514" s="198">
        <f>-J514+I514</f>
        <v>-16521.170000000006</v>
      </c>
      <c r="L514" s="199"/>
      <c r="M514" s="200">
        <f>I514</f>
        <v>33478.829999999994</v>
      </c>
      <c r="N514" s="225">
        <f>'Jarrod - No OT'!R1455</f>
        <v>12676.189999999999</v>
      </c>
      <c r="O514" s="202">
        <f>M514-N514</f>
        <v>20802.639999999996</v>
      </c>
      <c r="P514" s="216">
        <f>'Jarrod - No OT'!S1455</f>
        <v>0</v>
      </c>
    </row>
    <row r="515" spans="1:17">
      <c r="A515" s="169"/>
      <c r="B515" s="318"/>
      <c r="C515" s="204" t="s">
        <v>101</v>
      </c>
      <c r="D515" s="531" cm="1">
        <f t="array" ref="D515:D516">'Jarrod - No OT'!K1458:K1459</f>
        <v>0.4</v>
      </c>
      <c r="E515" s="531" cm="1">
        <f t="array" ref="E515:E516">'Jarrod - No OT'!L1458:L1459</f>
        <v>0.8</v>
      </c>
      <c r="F515" s="531" cm="1">
        <f t="array" ref="F515:F516">'Jarrod - No OT'!M1458:M1459</f>
        <v>1</v>
      </c>
      <c r="G515" s="531" cm="1">
        <f t="array" ref="G515:G516">'Jarrod - No OT'!N1458:N1459</f>
        <v>0.2</v>
      </c>
      <c r="H515" s="531" cm="1">
        <f t="array" ref="H515:H516">'Jarrod - No OT'!O1458:O1459</f>
        <v>0.5714285714285714</v>
      </c>
      <c r="I515" s="531" cm="1">
        <f t="array" ref="I515:I516">'Jarrod - No OT'!P1458:P1459</f>
        <v>0.57692307692307687</v>
      </c>
      <c r="J515" s="206"/>
      <c r="K515" s="207"/>
      <c r="L515" s="208"/>
      <c r="M515" s="189"/>
      <c r="N515" s="201"/>
      <c r="O515" s="191"/>
      <c r="P515" s="220"/>
    </row>
    <row r="516" spans="1:17">
      <c r="A516" s="169"/>
      <c r="B516" s="318"/>
      <c r="C516" s="226" t="s">
        <v>48</v>
      </c>
      <c r="D516" s="533">
        <v>3535.9449999999997</v>
      </c>
      <c r="E516" s="533">
        <v>1238.2249999999999</v>
      </c>
      <c r="F516" s="533">
        <v>2546.29</v>
      </c>
      <c r="G516" s="533">
        <v>7704.28</v>
      </c>
      <c r="H516" s="533">
        <v>891.15000000000009</v>
      </c>
      <c r="I516" s="533">
        <v>2231.9219999999996</v>
      </c>
      <c r="J516" s="206"/>
      <c r="K516" s="211"/>
      <c r="L516" s="228"/>
      <c r="M516" s="213"/>
      <c r="N516" s="201"/>
      <c r="O516" s="214"/>
      <c r="P516" s="220"/>
    </row>
    <row r="517" spans="1:17">
      <c r="A517" s="169">
        <f>Liam!T1519</f>
        <v>7</v>
      </c>
      <c r="B517" s="318">
        <f>Liam!T1520</f>
        <v>1</v>
      </c>
      <c r="C517" s="195" t="s">
        <v>109</v>
      </c>
      <c r="D517" s="567">
        <f>Liam!K1525</f>
        <v>7691.0700000000006</v>
      </c>
      <c r="E517" s="567">
        <f>Liam!L1525</f>
        <v>5399.6</v>
      </c>
      <c r="F517" s="567">
        <f>Liam!M1525</f>
        <v>5477.6</v>
      </c>
      <c r="G517" s="567">
        <f>Liam!N1525</f>
        <v>7587.6</v>
      </c>
      <c r="H517" s="567">
        <f>Liam!O1525</f>
        <v>1096.1999999999998</v>
      </c>
      <c r="I517" s="567">
        <f>Liam!P1525</f>
        <v>27252.070000000003</v>
      </c>
      <c r="J517" s="197">
        <v>50000</v>
      </c>
      <c r="K517" s="198">
        <f>-J517+I517</f>
        <v>-22747.929999999997</v>
      </c>
      <c r="L517" s="541">
        <f>Liam!Q1525</f>
        <v>17355.650000000001</v>
      </c>
      <c r="M517" s="200">
        <f>I517</f>
        <v>27252.070000000003</v>
      </c>
      <c r="N517" s="225">
        <f>Liam!R1525</f>
        <v>9785.6</v>
      </c>
      <c r="O517" s="202">
        <f>M517-N517</f>
        <v>17466.47</v>
      </c>
      <c r="P517" s="216">
        <f>Liam!S1525</f>
        <v>10907.75</v>
      </c>
    </row>
    <row r="518" spans="1:17">
      <c r="A518" s="169"/>
      <c r="B518" s="318"/>
      <c r="C518" s="204" t="s">
        <v>101</v>
      </c>
      <c r="D518" s="531" cm="1">
        <f t="array" ref="D518:D519">Liam!K1528:K1529</f>
        <v>0.66666666666666663</v>
      </c>
      <c r="E518" s="531" cm="1">
        <f t="array" ref="E518:E519">Liam!L1528:L1529</f>
        <v>0.5</v>
      </c>
      <c r="F518" s="531" cm="1">
        <f t="array" ref="F518:F519">Liam!M1528:M1529</f>
        <v>0.33333333333333331</v>
      </c>
      <c r="G518" s="531" cm="1">
        <f t="array" ref="G518:G519">Liam!N1528:N1529</f>
        <v>0.4</v>
      </c>
      <c r="H518" s="531" cm="1">
        <f t="array" ref="H518:H519">Liam!O1528:O1529</f>
        <v>0.33333333333333331</v>
      </c>
      <c r="I518" s="531" cm="1">
        <f t="array" ref="I518:I519">Liam!P1528:P1529</f>
        <v>0.45714285714285713</v>
      </c>
      <c r="J518" s="206"/>
      <c r="K518" s="207"/>
      <c r="L518" s="542" cm="1">
        <f t="array" ref="L518:L519">Liam!Q1528:Q1529</f>
        <v>0.66666666666666663</v>
      </c>
      <c r="M518" s="189"/>
      <c r="N518" s="201"/>
      <c r="O518" s="191"/>
      <c r="P518" s="220"/>
    </row>
    <row r="519" spans="1:17">
      <c r="A519" s="169"/>
      <c r="B519" s="318"/>
      <c r="C519" s="226" t="s">
        <v>48</v>
      </c>
      <c r="D519" s="533">
        <v>1281.845</v>
      </c>
      <c r="E519" s="533">
        <v>2699.8</v>
      </c>
      <c r="F519" s="533">
        <v>2738.8</v>
      </c>
      <c r="G519" s="533">
        <v>1896.9</v>
      </c>
      <c r="H519" s="533">
        <v>548.09999999999991</v>
      </c>
      <c r="I519" s="533">
        <v>1703.2543750000002</v>
      </c>
      <c r="J519" s="206"/>
      <c r="K519" s="211"/>
      <c r="L519" s="543">
        <v>4338.9125000000004</v>
      </c>
      <c r="M519" s="213"/>
      <c r="N519" s="201"/>
      <c r="O519" s="214"/>
      <c r="P519" s="220"/>
    </row>
    <row r="520" spans="1:17">
      <c r="A520" s="169">
        <f>'Shaun - No OT'!T1486-0.5-1</f>
        <v>5.5</v>
      </c>
      <c r="B520" s="318">
        <f>'Shaun - No OT'!T1487</f>
        <v>0</v>
      </c>
      <c r="C520" s="195" t="s">
        <v>107</v>
      </c>
      <c r="D520" s="567">
        <f>'Shaun - No OT'!K1492</f>
        <v>11986.5</v>
      </c>
      <c r="E520" s="567">
        <f>'Shaun - No OT'!L1492</f>
        <v>1684.3</v>
      </c>
      <c r="F520" s="567">
        <f>'Shaun - No OT'!M1492</f>
        <v>12670.689999999999</v>
      </c>
      <c r="G520" s="567">
        <f>'Shaun - No OT'!N1492</f>
        <v>11544.75</v>
      </c>
      <c r="H520" s="567">
        <f>'Shaun - No OT'!O1492</f>
        <v>16030.060000000001</v>
      </c>
      <c r="I520" s="567">
        <f>'Shaun - No OT'!P1492</f>
        <v>53916.3</v>
      </c>
      <c r="J520" s="197">
        <v>50000</v>
      </c>
      <c r="K520" s="198">
        <f>-J520+I520</f>
        <v>3916.3000000000029</v>
      </c>
      <c r="L520" s="199"/>
      <c r="M520" s="200">
        <f>I520</f>
        <v>53916.3</v>
      </c>
      <c r="N520" s="225">
        <f>'Shaun - No OT'!R1492</f>
        <v>9832.76</v>
      </c>
      <c r="O520" s="202">
        <f>M520-N520</f>
        <v>44083.54</v>
      </c>
      <c r="P520" s="230">
        <f>'Shaun - No OT'!S1492</f>
        <v>0</v>
      </c>
    </row>
    <row r="521" spans="1:17">
      <c r="A521" s="169"/>
      <c r="B521" s="318"/>
      <c r="C521" s="204" t="s">
        <v>101</v>
      </c>
      <c r="D521" s="535" cm="1">
        <f t="array" ref="D521:D522">'Shaun - No OT'!K1495:K1496</f>
        <v>0.625</v>
      </c>
      <c r="E521" s="535" cm="1">
        <f t="array" ref="E521:E522">'Shaun - No OT'!L1495:L1496</f>
        <v>0.33333333333333331</v>
      </c>
      <c r="F521" s="535" cm="1">
        <f t="array" ref="F521:F522">'Shaun - No OT'!M1495:M1496</f>
        <v>0.5</v>
      </c>
      <c r="G521" s="535" cm="1">
        <f t="array" ref="G521:G522">'Shaun - No OT'!N1495:N1496</f>
        <v>0.5714285714285714</v>
      </c>
      <c r="H521" s="535" cm="1">
        <f t="array" ref="H521:H522">'Shaun - No OT'!O1495:O1496</f>
        <v>0.8</v>
      </c>
      <c r="I521" s="535" cm="1">
        <f t="array" ref="I521:I522">'Shaun - No OT'!P1495:P1496</f>
        <v>0.6</v>
      </c>
      <c r="J521" s="206"/>
      <c r="K521" s="207"/>
      <c r="L521" s="208"/>
      <c r="M521" s="189"/>
      <c r="N521" s="201"/>
      <c r="O521" s="191"/>
      <c r="P521" s="203"/>
    </row>
    <row r="522" spans="1:17">
      <c r="A522" s="169"/>
      <c r="B522" s="318"/>
      <c r="C522" s="226" t="s">
        <v>48</v>
      </c>
      <c r="D522" s="536">
        <v>2397.3000000000002</v>
      </c>
      <c r="E522" s="536">
        <v>842.15</v>
      </c>
      <c r="F522" s="536">
        <v>6335.3449999999993</v>
      </c>
      <c r="G522" s="536">
        <v>2886.1875</v>
      </c>
      <c r="H522" s="536">
        <v>2003.7575000000002</v>
      </c>
      <c r="I522" s="536">
        <v>2567.4428571428571</v>
      </c>
      <c r="J522" s="210"/>
      <c r="K522" s="211"/>
      <c r="L522" s="228"/>
      <c r="M522" s="213"/>
      <c r="N522" s="190"/>
      <c r="O522" s="214"/>
      <c r="P522" s="233"/>
    </row>
    <row r="523" spans="1:17">
      <c r="A523" s="236">
        <f>SUM(A505:A522)</f>
        <v>28.5</v>
      </c>
      <c r="B523" s="236">
        <f>SUM(B505:B522)</f>
        <v>2</v>
      </c>
      <c r="C523" s="237" t="s">
        <v>102</v>
      </c>
      <c r="D523" s="238">
        <f>D505+D508+D511+D514+D517+D520</f>
        <v>47925.98</v>
      </c>
      <c r="E523" s="238">
        <f t="shared" ref="E523:P523" si="8">E505+E508+E511+E514+E517+E520</f>
        <v>22096.82</v>
      </c>
      <c r="F523" s="238">
        <f t="shared" si="8"/>
        <v>41698.76999999999</v>
      </c>
      <c r="G523" s="238">
        <f t="shared" si="8"/>
        <v>39551.730000000003</v>
      </c>
      <c r="H523" s="238">
        <f t="shared" si="8"/>
        <v>34567.4</v>
      </c>
      <c r="I523" s="239">
        <f t="shared" si="8"/>
        <v>185840.7</v>
      </c>
      <c r="J523" s="238">
        <f t="shared" si="8"/>
        <v>300000</v>
      </c>
      <c r="K523" s="240">
        <f t="shared" si="8"/>
        <v>-114159.3</v>
      </c>
      <c r="L523" s="241">
        <f t="shared" si="8"/>
        <v>17355.650000000001</v>
      </c>
      <c r="M523" s="239">
        <f t="shared" si="8"/>
        <v>185840.7</v>
      </c>
      <c r="N523" s="240">
        <f t="shared" si="8"/>
        <v>45885.07</v>
      </c>
      <c r="O523" s="241">
        <f t="shared" si="8"/>
        <v>139955.63</v>
      </c>
      <c r="P523" s="240">
        <f t="shared" si="8"/>
        <v>10907.75</v>
      </c>
    </row>
    <row r="524" spans="1:17">
      <c r="A524" s="243"/>
      <c r="B524" s="244"/>
      <c r="C524" s="244" t="s">
        <v>103</v>
      </c>
      <c r="D524" s="244"/>
      <c r="E524" s="244"/>
      <c r="F524" s="244"/>
      <c r="G524" s="244"/>
      <c r="H524" s="244"/>
      <c r="I524" s="245">
        <f>I523+L523</f>
        <v>203196.35</v>
      </c>
      <c r="J524" s="246">
        <f>J523+K523</f>
        <v>185840.7</v>
      </c>
      <c r="K524" s="247"/>
      <c r="L524" s="248"/>
      <c r="M524" s="249"/>
      <c r="N524" s="250">
        <f>M523-O523</f>
        <v>45885.070000000007</v>
      </c>
      <c r="O524" s="251"/>
      <c r="P524" s="201"/>
    </row>
    <row r="525" spans="1:17">
      <c r="A525" s="2"/>
      <c r="B525" s="2"/>
      <c r="C525" s="2"/>
      <c r="D525" s="2"/>
      <c r="E525" s="2"/>
      <c r="F525" s="2"/>
      <c r="G525" s="2"/>
      <c r="H525" s="2"/>
      <c r="I525" s="2"/>
      <c r="J525" s="2"/>
      <c r="K525" s="2"/>
      <c r="L525" s="2"/>
      <c r="M525" s="2"/>
      <c r="N525" s="2"/>
      <c r="O525" s="2"/>
      <c r="P525" s="2"/>
    </row>
    <row r="527" spans="1:17">
      <c r="A527" s="169"/>
      <c r="B527" s="170"/>
      <c r="C527" s="171" t="s">
        <v>87</v>
      </c>
      <c r="D527" s="172" t="s">
        <v>148</v>
      </c>
      <c r="E527" s="173"/>
      <c r="F527" s="173"/>
      <c r="G527" s="173"/>
      <c r="H527" s="173"/>
      <c r="I527" s="173"/>
      <c r="J527" s="174" t="s">
        <v>88</v>
      </c>
      <c r="K527" s="175"/>
      <c r="L527" s="176"/>
      <c r="M527" s="177"/>
      <c r="N527" s="178"/>
      <c r="O527" s="179" t="s">
        <v>89</v>
      </c>
      <c r="P527" s="180" t="s">
        <v>29</v>
      </c>
      <c r="Q527" s="181"/>
    </row>
    <row r="528" spans="1:17">
      <c r="A528" s="534" t="s">
        <v>90</v>
      </c>
      <c r="B528" s="534" t="s">
        <v>20</v>
      </c>
      <c r="C528" s="183"/>
      <c r="D528" s="184" t="s">
        <v>91</v>
      </c>
      <c r="E528" s="185" t="s">
        <v>92</v>
      </c>
      <c r="F528" s="185" t="s">
        <v>93</v>
      </c>
      <c r="G528" s="185" t="s">
        <v>94</v>
      </c>
      <c r="H528" s="185" t="s">
        <v>95</v>
      </c>
      <c r="I528" s="184" t="s">
        <v>96</v>
      </c>
      <c r="J528" s="186" t="s">
        <v>97</v>
      </c>
      <c r="K528" s="187" t="s">
        <v>98</v>
      </c>
      <c r="L528" s="188" t="s">
        <v>29</v>
      </c>
      <c r="M528" s="189" t="s">
        <v>89</v>
      </c>
      <c r="N528" s="190" t="s">
        <v>99</v>
      </c>
      <c r="O528" s="191" t="s">
        <v>100</v>
      </c>
      <c r="P528" s="192" t="s">
        <v>99</v>
      </c>
      <c r="Q528" s="193"/>
    </row>
    <row r="529" spans="1:17">
      <c r="A529" s="169">
        <f>'Ben - No OT'!T1625</f>
        <v>0</v>
      </c>
      <c r="B529" s="318">
        <f>'Ben - No OT'!T1626</f>
        <v>1</v>
      </c>
      <c r="C529" s="195" t="s">
        <v>106</v>
      </c>
      <c r="D529" s="567">
        <f>'Ben - No OT'!K1631</f>
        <v>3658.6</v>
      </c>
      <c r="E529" s="567">
        <f>'Ben - No OT'!L1631</f>
        <v>0</v>
      </c>
      <c r="F529" s="567">
        <f>'Ben - No OT'!M1631</f>
        <v>0</v>
      </c>
      <c r="G529" s="567">
        <f>'Ben - No OT'!N1631</f>
        <v>0</v>
      </c>
      <c r="H529" s="567">
        <f>'Ben - No OT'!O1631</f>
        <v>0</v>
      </c>
      <c r="I529" s="567">
        <f>'Ben - No OT'!P1631</f>
        <v>3658.6</v>
      </c>
      <c r="J529" s="197">
        <v>50000</v>
      </c>
      <c r="K529" s="198">
        <f>-J529+I529</f>
        <v>-46341.4</v>
      </c>
      <c r="L529" s="199">
        <f>'Ben - No OT'!Q1631</f>
        <v>0</v>
      </c>
      <c r="M529" s="200">
        <f>I529</f>
        <v>3658.6</v>
      </c>
      <c r="N529" s="201">
        <f>'Ben - No OT'!R1631</f>
        <v>1756.3</v>
      </c>
      <c r="O529" s="202">
        <f>M529-N529</f>
        <v>1902.3</v>
      </c>
      <c r="P529" s="203">
        <f>'Ben - No OT'!S1631</f>
        <v>0</v>
      </c>
      <c r="Q529" s="193"/>
    </row>
    <row r="530" spans="1:17">
      <c r="A530" s="169"/>
      <c r="B530" s="229"/>
      <c r="C530" s="204" t="s">
        <v>101</v>
      </c>
      <c r="D530" s="531" cm="1">
        <f t="array" ref="D530:D531">'Ben - No OT'!K1634:K1635</f>
        <v>0.42857142857142855</v>
      </c>
      <c r="E530" s="531" t="e" cm="1">
        <f t="array" ref="E530:E531">'Ben - No OT'!L1634:L1635</f>
        <v>#DIV/0!</v>
      </c>
      <c r="F530" s="531" t="e" cm="1">
        <f t="array" ref="F530:F531">'Ben - No OT'!M1634:M1635</f>
        <v>#DIV/0!</v>
      </c>
      <c r="G530" s="531" t="e" cm="1">
        <f t="array" ref="G530:G531">'Ben - No OT'!N1634:N1635</f>
        <v>#DIV/0!</v>
      </c>
      <c r="H530" s="531" t="e" cm="1">
        <f t="array" ref="H530:H531">'Ben - No OT'!O1634:O1635</f>
        <v>#DIV/0!</v>
      </c>
      <c r="I530" s="531" cm="1">
        <f t="array" ref="I530:I531">'Ben - No OT'!P1634:P1635</f>
        <v>0.42857142857142855</v>
      </c>
      <c r="J530" s="206"/>
      <c r="K530" s="207"/>
      <c r="L530" s="208" t="e" cm="1">
        <f t="array" ref="L530:L531">'Ben - No OT'!Q1634:Q1635</f>
        <v>#DIV/0!</v>
      </c>
      <c r="M530" s="189"/>
      <c r="N530" s="201"/>
      <c r="O530" s="191"/>
      <c r="P530" s="203"/>
      <c r="Q530" s="181"/>
    </row>
    <row r="531" spans="1:17">
      <c r="A531" s="169"/>
      <c r="B531" s="229"/>
      <c r="C531" s="204" t="s">
        <v>48</v>
      </c>
      <c r="D531" s="532">
        <v>1219.5333333333333</v>
      </c>
      <c r="E531" s="532" t="e">
        <v>#DIV/0!</v>
      </c>
      <c r="F531" s="532" t="e">
        <v>#DIV/0!</v>
      </c>
      <c r="G531" s="532" t="e">
        <v>#DIV/0!</v>
      </c>
      <c r="H531" s="532" t="e">
        <v>#DIV/0!</v>
      </c>
      <c r="I531" s="532">
        <v>1219.5333333333333</v>
      </c>
      <c r="J531" s="210"/>
      <c r="K531" s="211"/>
      <c r="L531" s="212" t="e">
        <v>#DIV/0!</v>
      </c>
      <c r="M531" s="213"/>
      <c r="N531" s="201"/>
      <c r="O531" s="214"/>
      <c r="P531" s="203"/>
      <c r="Q531" s="181"/>
    </row>
    <row r="532" spans="1:17">
      <c r="A532" s="169">
        <f>Bradley!T859</f>
        <v>0</v>
      </c>
      <c r="B532" s="318">
        <f>Bradley!T860</f>
        <v>0</v>
      </c>
      <c r="C532" s="195" t="s">
        <v>121</v>
      </c>
      <c r="D532" s="567">
        <f>Bradley!K865</f>
        <v>23589.23</v>
      </c>
      <c r="E532" s="567">
        <f>Bradley!L865</f>
        <v>0</v>
      </c>
      <c r="F532" s="567">
        <f>Bradley!M865</f>
        <v>0</v>
      </c>
      <c r="G532" s="567">
        <f>Bradley!N865</f>
        <v>0</v>
      </c>
      <c r="H532" s="567">
        <f>Bradley!O865</f>
        <v>0</v>
      </c>
      <c r="I532" s="567">
        <f>Bradley!P865</f>
        <v>23589.23</v>
      </c>
      <c r="J532" s="197">
        <v>50000</v>
      </c>
      <c r="K532" s="198">
        <f>-J532+I532</f>
        <v>-26410.77</v>
      </c>
      <c r="L532" s="199">
        <f>Bradley!Q865</f>
        <v>0</v>
      </c>
      <c r="M532" s="215">
        <f>I532</f>
        <v>23589.23</v>
      </c>
      <c r="N532" s="216">
        <f>Bradley!R865</f>
        <v>20485.989999999998</v>
      </c>
      <c r="O532" s="217">
        <f>M532-N532</f>
        <v>3103.2400000000016</v>
      </c>
      <c r="P532" s="216">
        <f>Bradley!S865</f>
        <v>0</v>
      </c>
      <c r="Q532" s="193"/>
    </row>
    <row r="533" spans="1:17">
      <c r="A533" s="169"/>
      <c r="B533" s="229"/>
      <c r="C533" s="204" t="s">
        <v>101</v>
      </c>
      <c r="D533" s="531" cm="1">
        <f t="array" ref="D533:D534">Bradley!K868:K869</f>
        <v>0.77777777777777779</v>
      </c>
      <c r="E533" s="531" t="e" cm="1">
        <f t="array" ref="E533:E534">Bradley!L868:L869</f>
        <v>#DIV/0!</v>
      </c>
      <c r="F533" s="531" t="e" cm="1">
        <f t="array" ref="F533:F534">Bradley!M868:M869</f>
        <v>#DIV/0!</v>
      </c>
      <c r="G533" s="531" t="e" cm="1">
        <f t="array" ref="G533:G534">Bradley!N868:N869</f>
        <v>#DIV/0!</v>
      </c>
      <c r="H533" s="531" t="e" cm="1">
        <f t="array" ref="H533:H534">Bradley!O868:O869</f>
        <v>#DIV/0!</v>
      </c>
      <c r="I533" s="531" cm="1">
        <f t="array" ref="I533:I534">Bradley!P868:P869</f>
        <v>0.77777777777777779</v>
      </c>
      <c r="J533" s="206"/>
      <c r="K533" s="218"/>
      <c r="L533" s="208" t="e" cm="1">
        <f t="array" ref="L533:L534">Bradley!Q868:Q869</f>
        <v>#DIV/0!</v>
      </c>
      <c r="M533" s="219"/>
      <c r="N533" s="220"/>
      <c r="O533" s="221"/>
      <c r="P533" s="220"/>
      <c r="Q533" s="181"/>
    </row>
    <row r="534" spans="1:17">
      <c r="A534" s="169"/>
      <c r="B534" s="229"/>
      <c r="C534" s="204" t="s">
        <v>48</v>
      </c>
      <c r="D534" s="532">
        <v>3369.89</v>
      </c>
      <c r="E534" s="532" t="e">
        <v>#DIV/0!</v>
      </c>
      <c r="F534" s="532" t="e">
        <v>#DIV/0!</v>
      </c>
      <c r="G534" s="532" t="e">
        <v>#DIV/0!</v>
      </c>
      <c r="H534" s="532" t="e">
        <v>#DIV/0!</v>
      </c>
      <c r="I534" s="532">
        <v>3369.89</v>
      </c>
      <c r="J534" s="206"/>
      <c r="K534" s="222"/>
      <c r="L534" s="212" t="e">
        <v>#DIV/0!</v>
      </c>
      <c r="M534" s="223"/>
      <c r="N534" s="192"/>
      <c r="O534" s="224"/>
      <c r="P534" s="192"/>
      <c r="Q534" s="181"/>
    </row>
    <row r="535" spans="1:17">
      <c r="A535" s="169">
        <f>Elliot!T1228</f>
        <v>1</v>
      </c>
      <c r="B535" s="318">
        <f>Elliot!T1229</f>
        <v>0</v>
      </c>
      <c r="C535" s="195" t="s">
        <v>116</v>
      </c>
      <c r="D535" s="567">
        <f>Elliot!K1234</f>
        <v>4123.6000000000004</v>
      </c>
      <c r="E535" s="567">
        <f>Elliot!L1234</f>
        <v>0</v>
      </c>
      <c r="F535" s="567">
        <f>Elliot!M1234</f>
        <v>0</v>
      </c>
      <c r="G535" s="567">
        <f>Elliot!N1234</f>
        <v>0</v>
      </c>
      <c r="H535" s="567">
        <f>Elliot!O1234</f>
        <v>0</v>
      </c>
      <c r="I535" s="567">
        <f>Elliot!P1234</f>
        <v>4123.6000000000004</v>
      </c>
      <c r="J535" s="197">
        <v>50000</v>
      </c>
      <c r="K535" s="198">
        <f>-J535+I535</f>
        <v>-45876.4</v>
      </c>
      <c r="L535" s="199">
        <f>Elliot!Q1234</f>
        <v>0</v>
      </c>
      <c r="M535" s="200">
        <f>I535</f>
        <v>4123.6000000000004</v>
      </c>
      <c r="N535" s="225">
        <f>Elliot!R1234</f>
        <v>3642.6</v>
      </c>
      <c r="O535" s="202">
        <f>M535-N535</f>
        <v>481.00000000000045</v>
      </c>
      <c r="P535" s="216">
        <f>Elliot!S1234</f>
        <v>0</v>
      </c>
      <c r="Q535" s="193"/>
    </row>
    <row r="536" spans="1:17">
      <c r="A536" s="169"/>
      <c r="B536" s="229"/>
      <c r="C536" s="204" t="s">
        <v>101</v>
      </c>
      <c r="D536" s="531" cm="1">
        <f t="array" ref="D536:D537">Elliot!K1237:K1238</f>
        <v>0.1875</v>
      </c>
      <c r="E536" s="531" t="e" cm="1">
        <f t="array" ref="E536:E537">Elliot!L1237:L1238</f>
        <v>#DIV/0!</v>
      </c>
      <c r="F536" s="531" t="e" cm="1">
        <f t="array" ref="F536:F537">Elliot!M1237:M1238</f>
        <v>#DIV/0!</v>
      </c>
      <c r="G536" s="531" t="e" cm="1">
        <f t="array" ref="G536:G537">Elliot!N1237:N1238</f>
        <v>#DIV/0!</v>
      </c>
      <c r="H536" s="531" t="e" cm="1">
        <f t="array" ref="H536:H537">Elliot!O1237:O1238</f>
        <v>#DIV/0!</v>
      </c>
      <c r="I536" s="531" cm="1">
        <f t="array" ref="I536:I537">Elliot!P1237:P1238</f>
        <v>0.1875</v>
      </c>
      <c r="J536" s="206"/>
      <c r="K536" s="207"/>
      <c r="L536" s="208" t="e" cm="1">
        <f t="array" ref="L536:L537">Elliot!Q1237:Q1238</f>
        <v>#DIV/0!</v>
      </c>
      <c r="M536" s="189"/>
      <c r="N536" s="201"/>
      <c r="O536" s="191"/>
      <c r="P536" s="220"/>
      <c r="Q536" s="181"/>
    </row>
    <row r="537" spans="1:17">
      <c r="A537" s="169"/>
      <c r="B537" s="229"/>
      <c r="C537" s="226" t="s">
        <v>48</v>
      </c>
      <c r="D537" s="533">
        <v>1374.5333333333335</v>
      </c>
      <c r="E537" s="533" t="e">
        <v>#DIV/0!</v>
      </c>
      <c r="F537" s="533" t="e">
        <v>#DIV/0!</v>
      </c>
      <c r="G537" s="533" t="e">
        <v>#DIV/0!</v>
      </c>
      <c r="H537" s="533" t="e">
        <v>#DIV/0!</v>
      </c>
      <c r="I537" s="533">
        <v>1374.5333333333335</v>
      </c>
      <c r="J537" s="210"/>
      <c r="K537" s="211"/>
      <c r="L537" s="228" t="e">
        <v>#DIV/0!</v>
      </c>
      <c r="M537" s="213"/>
      <c r="N537" s="201"/>
      <c r="O537" s="214"/>
      <c r="P537" s="220"/>
      <c r="Q537" s="181"/>
    </row>
    <row r="538" spans="1:17">
      <c r="A538" s="169">
        <f>'Jarrod - No OT'!T1551</f>
        <v>0</v>
      </c>
      <c r="B538" s="318">
        <f>'Jarrod - No OT'!T1552</f>
        <v>0</v>
      </c>
      <c r="C538" s="195" t="s">
        <v>112</v>
      </c>
      <c r="D538" s="567">
        <f>'Jarrod - No OT'!K1557</f>
        <v>4920.83</v>
      </c>
      <c r="E538" s="567">
        <f>'Jarrod - No OT'!L1557</f>
        <v>0</v>
      </c>
      <c r="F538" s="567">
        <f>'Jarrod - No OT'!M1557</f>
        <v>0</v>
      </c>
      <c r="G538" s="567">
        <f>'Jarrod - No OT'!N1557</f>
        <v>0</v>
      </c>
      <c r="H538" s="567">
        <f>'Jarrod - No OT'!O1557</f>
        <v>0</v>
      </c>
      <c r="I538" s="567">
        <f>'Jarrod - No OT'!P1557</f>
        <v>4920.83</v>
      </c>
      <c r="J538" s="197">
        <v>50000</v>
      </c>
      <c r="K538" s="198">
        <f>-J538+I538</f>
        <v>-45079.17</v>
      </c>
      <c r="L538" s="199">
        <f>'Jarrod - No OT'!Q1557</f>
        <v>0</v>
      </c>
      <c r="M538" s="200">
        <f>I538</f>
        <v>4920.83</v>
      </c>
      <c r="N538" s="225">
        <f>'Jarrod - No OT'!R1557</f>
        <v>3599.5299999999997</v>
      </c>
      <c r="O538" s="202">
        <f>M538-N538</f>
        <v>1321.3000000000002</v>
      </c>
      <c r="P538" s="216">
        <f>'Jarrod - No OT'!S1557</f>
        <v>0</v>
      </c>
      <c r="Q538" s="193"/>
    </row>
    <row r="539" spans="1:17">
      <c r="A539" s="169"/>
      <c r="B539" s="229"/>
      <c r="C539" s="204" t="s">
        <v>101</v>
      </c>
      <c r="D539" s="531" cm="1">
        <f t="array" ref="D539:D540">'Jarrod - No OT'!K1560:K1561</f>
        <v>0.5</v>
      </c>
      <c r="E539" s="531" t="e" cm="1">
        <f t="array" ref="E539:E540">'Jarrod - No OT'!L1560:L1561</f>
        <v>#DIV/0!</v>
      </c>
      <c r="F539" s="531" t="e" cm="1">
        <f t="array" ref="F539:F540">'Jarrod - No OT'!M1560:M1561</f>
        <v>#DIV/0!</v>
      </c>
      <c r="G539" s="531" t="e" cm="1">
        <f t="array" ref="G539:G540">'Jarrod - No OT'!N1560:N1561</f>
        <v>#DIV/0!</v>
      </c>
      <c r="H539" s="531" t="e" cm="1">
        <f t="array" ref="H539:H540">'Jarrod - No OT'!O1560:O1561</f>
        <v>#DIV/0!</v>
      </c>
      <c r="I539" s="531" cm="1">
        <f t="array" ref="I539:I540">'Jarrod - No OT'!P1560:P1561</f>
        <v>0.5</v>
      </c>
      <c r="J539" s="206"/>
      <c r="K539" s="207"/>
      <c r="L539" s="208" t="e" cm="1">
        <f t="array" ref="L539:L540">'Jarrod - No OT'!Q1560:Q1561</f>
        <v>#DIV/0!</v>
      </c>
      <c r="M539" s="189"/>
      <c r="N539" s="201"/>
      <c r="O539" s="191"/>
      <c r="P539" s="220"/>
      <c r="Q539" s="181"/>
    </row>
    <row r="540" spans="1:17">
      <c r="A540" s="169"/>
      <c r="B540" s="229"/>
      <c r="C540" s="226" t="s">
        <v>48</v>
      </c>
      <c r="D540" s="533">
        <v>1640.2766666666666</v>
      </c>
      <c r="E540" s="533" t="e">
        <v>#DIV/0!</v>
      </c>
      <c r="F540" s="533" t="e">
        <v>#DIV/0!</v>
      </c>
      <c r="G540" s="533" t="e">
        <v>#DIV/0!</v>
      </c>
      <c r="H540" s="533" t="e">
        <v>#DIV/0!</v>
      </c>
      <c r="I540" s="533">
        <v>1640.2766666666666</v>
      </c>
      <c r="J540" s="206"/>
      <c r="K540" s="211"/>
      <c r="L540" s="228" t="e">
        <v>#DIV/0!</v>
      </c>
      <c r="M540" s="213"/>
      <c r="N540" s="201"/>
      <c r="O540" s="214"/>
      <c r="P540" s="220"/>
      <c r="Q540" s="181"/>
    </row>
    <row r="541" spans="1:17">
      <c r="A541" s="229">
        <f>Liam!T1652</f>
        <v>0</v>
      </c>
      <c r="B541" s="318">
        <f>Liam!T1653</f>
        <v>0</v>
      </c>
      <c r="C541" s="195" t="s">
        <v>109</v>
      </c>
      <c r="D541" s="567">
        <f>Liam!K1658</f>
        <v>2821.6</v>
      </c>
      <c r="E541" s="567">
        <f>Liam!L1658</f>
        <v>0</v>
      </c>
      <c r="F541" s="567">
        <f>Liam!M1658</f>
        <v>0</v>
      </c>
      <c r="G541" s="567">
        <f>Liam!N1658</f>
        <v>0</v>
      </c>
      <c r="H541" s="567">
        <f>Liam!O1658</f>
        <v>0</v>
      </c>
      <c r="I541" s="567">
        <f>Liam!P1658</f>
        <v>2821.6</v>
      </c>
      <c r="J541" s="197">
        <v>50000</v>
      </c>
      <c r="K541" s="198">
        <f>-J541+I541</f>
        <v>-47178.400000000001</v>
      </c>
      <c r="L541" s="199">
        <f>Liam!Q1658</f>
        <v>0</v>
      </c>
      <c r="M541" s="200">
        <f>I541</f>
        <v>2821.6</v>
      </c>
      <c r="N541" s="225">
        <f>Liam!R1658</f>
        <v>1635.3</v>
      </c>
      <c r="O541" s="202">
        <f>M541-N541</f>
        <v>1186.3</v>
      </c>
      <c r="P541" s="230">
        <f>Liam!S1658</f>
        <v>0</v>
      </c>
      <c r="Q541" s="193"/>
    </row>
    <row r="542" spans="1:17">
      <c r="A542" s="229"/>
      <c r="B542" s="229"/>
      <c r="C542" s="204" t="s">
        <v>101</v>
      </c>
      <c r="D542" s="531" cm="1">
        <f t="array" ref="D542:D543">Liam!K1661:K1662</f>
        <v>0.2</v>
      </c>
      <c r="E542" s="531" t="e" cm="1">
        <f t="array" ref="E542:E543">Liam!L1661:L1662</f>
        <v>#DIV/0!</v>
      </c>
      <c r="F542" s="531" t="e" cm="1">
        <f t="array" ref="F542:F543">Liam!M1661:M1662</f>
        <v>#DIV/0!</v>
      </c>
      <c r="G542" s="531" t="e" cm="1">
        <f t="array" ref="G542:G543">Liam!N1661:N1662</f>
        <v>#DIV/0!</v>
      </c>
      <c r="H542" s="531" t="e" cm="1">
        <f t="array" ref="H542:H543">Liam!O1661:O1662</f>
        <v>#DIV/0!</v>
      </c>
      <c r="I542" s="531" cm="1">
        <f t="array" ref="I542:I543">Liam!P1661:P1662</f>
        <v>0.2</v>
      </c>
      <c r="J542" s="206"/>
      <c r="K542" s="207"/>
      <c r="L542" s="208" t="e" cm="1">
        <f t="array" ref="L542:L543">Liam!Q1661:Q1662</f>
        <v>#DIV/0!</v>
      </c>
      <c r="M542" s="189"/>
      <c r="N542" s="201"/>
      <c r="O542" s="191"/>
      <c r="P542" s="203"/>
      <c r="Q542" s="181"/>
    </row>
    <row r="543" spans="1:17">
      <c r="A543" s="229"/>
      <c r="B543" s="229"/>
      <c r="C543" s="226" t="s">
        <v>48</v>
      </c>
      <c r="D543" s="532">
        <v>1410.8</v>
      </c>
      <c r="E543" s="532" t="e">
        <v>#DIV/0!</v>
      </c>
      <c r="F543" s="532" t="e">
        <v>#DIV/0!</v>
      </c>
      <c r="G543" s="532" t="e">
        <v>#DIV/0!</v>
      </c>
      <c r="H543" s="532" t="e">
        <v>#DIV/0!</v>
      </c>
      <c r="I543" s="532">
        <v>1410.8</v>
      </c>
      <c r="J543" s="206"/>
      <c r="K543" s="207"/>
      <c r="L543" s="212" t="e">
        <v>#DIV/0!</v>
      </c>
      <c r="M543" s="189"/>
      <c r="N543" s="201"/>
      <c r="O543" s="191"/>
      <c r="P543" s="203"/>
      <c r="Q543" s="181"/>
    </row>
    <row r="544" spans="1:17">
      <c r="A544" s="169">
        <f>'Shaun - No OT'!T1584</f>
        <v>0</v>
      </c>
      <c r="B544" s="318">
        <f>'Shaun - No OT'!T1585</f>
        <v>0</v>
      </c>
      <c r="C544" s="195" t="s">
        <v>107</v>
      </c>
      <c r="D544" s="567">
        <f>'Shaun - No OT'!K1590</f>
        <v>12827.79</v>
      </c>
      <c r="E544" s="567">
        <f>'Shaun - No OT'!L1590</f>
        <v>0</v>
      </c>
      <c r="F544" s="567">
        <f>'Shaun - No OT'!M1590</f>
        <v>0</v>
      </c>
      <c r="G544" s="567">
        <f>'Shaun - No OT'!N1590</f>
        <v>0</v>
      </c>
      <c r="H544" s="567">
        <f>'Shaun - No OT'!O1590</f>
        <v>0</v>
      </c>
      <c r="I544" s="567">
        <f>'Shaun - No OT'!P1590</f>
        <v>12827.79</v>
      </c>
      <c r="J544" s="197">
        <v>50000</v>
      </c>
      <c r="K544" s="198">
        <f>-J544+I544</f>
        <v>-37172.21</v>
      </c>
      <c r="L544" s="199">
        <f>'Shaun - No OT'!Q1590</f>
        <v>0</v>
      </c>
      <c r="M544" s="200">
        <f>I544</f>
        <v>12827.79</v>
      </c>
      <c r="N544" s="225">
        <f>'Shaun - No OT'!R1590</f>
        <v>4710.5</v>
      </c>
      <c r="O544" s="202">
        <f>M544-N544</f>
        <v>8117.2900000000009</v>
      </c>
      <c r="P544" s="230">
        <f>'Shaun - No OT'!S1590</f>
        <v>0</v>
      </c>
      <c r="Q544" s="193"/>
    </row>
    <row r="545" spans="1:17">
      <c r="A545" s="169"/>
      <c r="B545" s="229"/>
      <c r="C545" s="204" t="s">
        <v>101</v>
      </c>
      <c r="D545" s="535" cm="1">
        <f t="array" ref="D545:D546">'Shaun - No OT'!K1593:K1594</f>
        <v>0.5</v>
      </c>
      <c r="E545" s="535" t="e" cm="1">
        <f t="array" ref="E545:E546">'Shaun - No OT'!L1593:L1594</f>
        <v>#DIV/0!</v>
      </c>
      <c r="F545" s="535" t="e" cm="1">
        <f t="array" ref="F545:F546">'Shaun - No OT'!M1593:M1594</f>
        <v>#DIV/0!</v>
      </c>
      <c r="G545" s="535" t="e" cm="1">
        <f t="array" ref="G545:G546">'Shaun - No OT'!N1593:N1594</f>
        <v>#DIV/0!</v>
      </c>
      <c r="H545" s="535" t="e" cm="1">
        <f t="array" ref="H545:H546">'Shaun - No OT'!O1593:O1594</f>
        <v>#DIV/0!</v>
      </c>
      <c r="I545" s="535" cm="1">
        <f t="array" ref="I545:I546">'Shaun - No OT'!P1593:P1594</f>
        <v>0.5</v>
      </c>
      <c r="J545" s="206"/>
      <c r="K545" s="207"/>
      <c r="L545" s="208" t="e" cm="1">
        <f t="array" ref="L545:L546">'Shaun - No OT'!Q1593:Q1594</f>
        <v>#DIV/0!</v>
      </c>
      <c r="M545" s="189"/>
      <c r="N545" s="201"/>
      <c r="O545" s="191"/>
      <c r="P545" s="203"/>
      <c r="Q545" s="181"/>
    </row>
    <row r="546" spans="1:17">
      <c r="A546" s="169"/>
      <c r="B546" s="229"/>
      <c r="C546" s="226" t="s">
        <v>48</v>
      </c>
      <c r="D546" s="536">
        <v>4275.93</v>
      </c>
      <c r="E546" s="536" t="e">
        <v>#DIV/0!</v>
      </c>
      <c r="F546" s="536" t="e">
        <v>#DIV/0!</v>
      </c>
      <c r="G546" s="536" t="e">
        <v>#DIV/0!</v>
      </c>
      <c r="H546" s="536" t="e">
        <v>#DIV/0!</v>
      </c>
      <c r="I546" s="536">
        <v>4275.93</v>
      </c>
      <c r="J546" s="210"/>
      <c r="K546" s="211"/>
      <c r="L546" s="228" t="e">
        <v>#DIV/0!</v>
      </c>
      <c r="M546" s="213"/>
      <c r="N546" s="190"/>
      <c r="O546" s="214"/>
      <c r="P546" s="233"/>
      <c r="Q546" s="181"/>
    </row>
    <row r="547" spans="1:17">
      <c r="A547" s="236">
        <f>SUM(A529:A546)</f>
        <v>1</v>
      </c>
      <c r="B547" s="236">
        <f>SUM(B529:B546)</f>
        <v>1</v>
      </c>
      <c r="C547" s="237" t="s">
        <v>102</v>
      </c>
      <c r="D547" s="238">
        <f>D529+D532++D535+D538+D541+D544</f>
        <v>51941.65</v>
      </c>
      <c r="E547" s="238">
        <f t="shared" ref="E547:P547" si="9">E529+E532++E535+E538+E541+E544</f>
        <v>0</v>
      </c>
      <c r="F547" s="238">
        <f t="shared" si="9"/>
        <v>0</v>
      </c>
      <c r="G547" s="238">
        <f t="shared" si="9"/>
        <v>0</v>
      </c>
      <c r="H547" s="238">
        <f t="shared" si="9"/>
        <v>0</v>
      </c>
      <c r="I547" s="239">
        <f t="shared" si="9"/>
        <v>51941.65</v>
      </c>
      <c r="J547" s="238">
        <f t="shared" si="9"/>
        <v>300000</v>
      </c>
      <c r="K547" s="240">
        <f t="shared" si="9"/>
        <v>-248058.34999999998</v>
      </c>
      <c r="L547" s="241">
        <f t="shared" si="9"/>
        <v>0</v>
      </c>
      <c r="M547" s="239">
        <f t="shared" si="9"/>
        <v>51941.65</v>
      </c>
      <c r="N547" s="240">
        <f t="shared" si="9"/>
        <v>35830.219999999994</v>
      </c>
      <c r="O547" s="241">
        <f t="shared" si="9"/>
        <v>16111.430000000004</v>
      </c>
      <c r="P547" s="240">
        <f t="shared" si="9"/>
        <v>0</v>
      </c>
      <c r="Q547" s="242"/>
    </row>
    <row r="548" spans="1:17">
      <c r="A548" s="243"/>
      <c r="B548" s="244"/>
      <c r="C548" s="244" t="s">
        <v>103</v>
      </c>
      <c r="D548" s="244"/>
      <c r="E548" s="244"/>
      <c r="F548" s="244"/>
      <c r="G548" s="244"/>
      <c r="H548" s="244"/>
      <c r="I548" s="245">
        <f>I547+L547</f>
        <v>51941.65</v>
      </c>
      <c r="J548" s="246">
        <f>J547+K547</f>
        <v>51941.650000000023</v>
      </c>
      <c r="K548" s="247"/>
      <c r="L548" s="248"/>
      <c r="M548" s="249"/>
      <c r="N548" s="250">
        <f>M547-O547</f>
        <v>35830.22</v>
      </c>
      <c r="O548" s="251"/>
      <c r="P548" s="201"/>
      <c r="Q548" s="181"/>
    </row>
    <row r="549" spans="1:17">
      <c r="A549" s="2"/>
      <c r="B549" s="2"/>
      <c r="C549" s="2"/>
      <c r="D549" s="2"/>
      <c r="E549" s="2"/>
      <c r="F549" s="2"/>
      <c r="G549" s="2"/>
      <c r="H549" s="2"/>
      <c r="I549" s="2"/>
      <c r="J549" s="2"/>
      <c r="K549" s="2"/>
      <c r="L549" s="2"/>
      <c r="M549" s="2"/>
      <c r="N549" s="2"/>
      <c r="O549" s="2"/>
      <c r="P549" s="2"/>
      <c r="Q549" s="2"/>
    </row>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47D7A-556C-44AD-ACB6-0B77DFDD2821}">
  <sheetPr>
    <tabColor rgb="FFFFC000"/>
  </sheetPr>
  <dimension ref="A3:AA148"/>
  <sheetViews>
    <sheetView topLeftCell="A118" workbookViewId="0">
      <selection activeCell="B168" sqref="B168"/>
    </sheetView>
  </sheetViews>
  <sheetFormatPr defaultRowHeight="15"/>
  <cols>
    <col min="3" max="3" width="9.85546875" bestFit="1" customWidth="1"/>
    <col min="5" max="5" width="17.7109375" customWidth="1"/>
    <col min="6" max="6" width="15" customWidth="1"/>
    <col min="7" max="7" width="10" bestFit="1" customWidth="1"/>
    <col min="9" max="9" width="10.85546875" customWidth="1"/>
    <col min="23" max="23" width="12" customWidth="1"/>
  </cols>
  <sheetData>
    <row r="3" spans="2:24">
      <c r="B3" s="4" t="s">
        <v>1</v>
      </c>
      <c r="C3" s="5"/>
      <c r="D3" s="6"/>
      <c r="E3" s="6"/>
      <c r="F3" s="7" t="s">
        <v>2</v>
      </c>
      <c r="G3" s="8">
        <v>45886</v>
      </c>
      <c r="H3" s="7"/>
      <c r="I3" s="6"/>
      <c r="J3" s="6"/>
      <c r="K3" s="6"/>
      <c r="L3" s="6"/>
      <c r="M3" s="6"/>
      <c r="N3" s="6"/>
      <c r="O3" s="6"/>
      <c r="P3" s="6"/>
      <c r="Q3" s="6"/>
      <c r="R3" s="6"/>
      <c r="S3" s="6"/>
      <c r="T3" s="6"/>
      <c r="U3" s="9"/>
      <c r="V3" s="10"/>
      <c r="W3" s="10"/>
      <c r="X3" s="10"/>
    </row>
    <row r="4" spans="2:24">
      <c r="B4" s="11"/>
      <c r="C4" s="10"/>
      <c r="D4" s="10"/>
      <c r="E4" s="10"/>
      <c r="F4" s="10"/>
      <c r="G4" s="7"/>
      <c r="H4" s="12"/>
      <c r="I4" s="10"/>
      <c r="J4" s="10"/>
      <c r="K4" s="13" t="s">
        <v>3</v>
      </c>
      <c r="L4" s="14"/>
      <c r="M4" s="15"/>
      <c r="N4" s="13" t="s">
        <v>4</v>
      </c>
      <c r="O4" s="14"/>
      <c r="P4" s="15"/>
      <c r="Q4" s="13" t="s">
        <v>5</v>
      </c>
      <c r="R4" s="14"/>
      <c r="S4" s="15"/>
      <c r="T4" s="16"/>
      <c r="U4" s="17"/>
      <c r="V4" s="10"/>
      <c r="W4" s="10"/>
      <c r="X4" s="10"/>
    </row>
    <row r="5" spans="2:24">
      <c r="B5" s="18" t="s">
        <v>6</v>
      </c>
      <c r="C5" s="19">
        <f>C6+C7</f>
        <v>1</v>
      </c>
      <c r="D5" s="10"/>
      <c r="E5" s="18" t="s">
        <v>7</v>
      </c>
      <c r="F5" s="6"/>
      <c r="G5" s="9"/>
      <c r="H5" s="10"/>
      <c r="I5" s="10"/>
      <c r="J5" s="10"/>
      <c r="K5" s="20" t="s">
        <v>8</v>
      </c>
      <c r="L5" s="21" t="s">
        <v>9</v>
      </c>
      <c r="M5" s="21" t="s">
        <v>10</v>
      </c>
      <c r="N5" s="20" t="s">
        <v>11</v>
      </c>
      <c r="O5" s="21" t="s">
        <v>12</v>
      </c>
      <c r="P5" s="22" t="s">
        <v>13</v>
      </c>
      <c r="Q5" s="21" t="s">
        <v>11</v>
      </c>
      <c r="R5" s="21" t="s">
        <v>12</v>
      </c>
      <c r="S5" s="22" t="s">
        <v>13</v>
      </c>
      <c r="T5" s="23" t="s">
        <v>14</v>
      </c>
      <c r="U5" s="17"/>
      <c r="V5" s="10"/>
      <c r="W5" s="10"/>
      <c r="X5" s="10"/>
    </row>
    <row r="6" spans="2:24">
      <c r="B6" s="24" t="s">
        <v>15</v>
      </c>
      <c r="C6" s="25">
        <f>P13</f>
        <v>1</v>
      </c>
      <c r="D6" s="10"/>
      <c r="E6" s="26" t="s">
        <v>16</v>
      </c>
      <c r="F6" s="27">
        <v>0.05</v>
      </c>
      <c r="G6" s="28"/>
      <c r="H6" s="10"/>
      <c r="I6" s="10"/>
      <c r="J6" s="18" t="s">
        <v>17</v>
      </c>
      <c r="K6" s="29">
        <f>K32</f>
        <v>0</v>
      </c>
      <c r="L6" s="29">
        <f t="shared" ref="L6:S6" si="0">L32</f>
        <v>0</v>
      </c>
      <c r="M6" s="29">
        <f t="shared" si="0"/>
        <v>0</v>
      </c>
      <c r="N6" s="29">
        <f t="shared" si="0"/>
        <v>0</v>
      </c>
      <c r="O6" s="29">
        <f t="shared" si="0"/>
        <v>0</v>
      </c>
      <c r="P6" s="29">
        <f t="shared" si="0"/>
        <v>0</v>
      </c>
      <c r="Q6" s="29">
        <f t="shared" si="0"/>
        <v>0</v>
      </c>
      <c r="R6" s="29">
        <f t="shared" si="0"/>
        <v>0</v>
      </c>
      <c r="S6" s="29">
        <f t="shared" si="0"/>
        <v>0</v>
      </c>
      <c r="T6" s="30">
        <f>T37</f>
        <v>0</v>
      </c>
      <c r="U6" s="17"/>
      <c r="V6" s="10"/>
      <c r="W6" s="10"/>
      <c r="X6" s="10"/>
    </row>
    <row r="7" spans="2:24">
      <c r="B7" s="24" t="s">
        <v>18</v>
      </c>
      <c r="C7" s="25">
        <f>P14</f>
        <v>0</v>
      </c>
      <c r="D7" s="10"/>
      <c r="E7" s="10"/>
      <c r="F7" s="10"/>
      <c r="G7" s="31"/>
      <c r="H7" s="10"/>
      <c r="I7" s="10"/>
      <c r="J7" s="32" t="s">
        <v>19</v>
      </c>
      <c r="K7" s="33" t="e">
        <f>K32/K31</f>
        <v>#DIV/0!</v>
      </c>
      <c r="L7" s="33" t="e">
        <f t="shared" ref="L7:S7" si="1">L32/L31</f>
        <v>#DIV/0!</v>
      </c>
      <c r="M7" s="33" t="e">
        <f t="shared" si="1"/>
        <v>#DIV/0!</v>
      </c>
      <c r="N7" s="33" t="e">
        <f t="shared" si="1"/>
        <v>#DIV/0!</v>
      </c>
      <c r="O7" s="33" t="e">
        <f t="shared" si="1"/>
        <v>#DIV/0!</v>
      </c>
      <c r="P7" s="33" t="e">
        <f t="shared" si="1"/>
        <v>#DIV/0!</v>
      </c>
      <c r="Q7" s="33" t="e">
        <f t="shared" si="1"/>
        <v>#DIV/0!</v>
      </c>
      <c r="R7" s="33" t="e">
        <f t="shared" si="1"/>
        <v>#DIV/0!</v>
      </c>
      <c r="S7" s="33" t="e">
        <f t="shared" si="1"/>
        <v>#DIV/0!</v>
      </c>
      <c r="T7" s="23"/>
      <c r="U7" s="17" t="s">
        <v>20</v>
      </c>
      <c r="V7" s="10"/>
      <c r="W7" s="10"/>
      <c r="X7" s="10"/>
    </row>
    <row r="8" spans="2:24">
      <c r="B8" s="24" t="s">
        <v>21</v>
      </c>
      <c r="C8" s="34">
        <f>P15</f>
        <v>1</v>
      </c>
      <c r="D8" s="10"/>
      <c r="E8" s="10"/>
      <c r="F8" s="10"/>
      <c r="G8" s="10"/>
      <c r="H8" s="10"/>
      <c r="I8" s="10"/>
      <c r="J8" s="10"/>
      <c r="K8" s="10"/>
      <c r="L8" s="10"/>
      <c r="M8" s="10"/>
      <c r="N8" s="10"/>
      <c r="O8" s="10"/>
      <c r="P8" s="10"/>
      <c r="Q8" s="10"/>
      <c r="R8" s="10"/>
      <c r="S8" s="10"/>
      <c r="T8" s="10"/>
      <c r="U8" s="17"/>
      <c r="V8" s="10"/>
      <c r="W8" s="10"/>
      <c r="X8" s="10"/>
    </row>
    <row r="9" spans="2:24">
      <c r="B9" s="24"/>
      <c r="C9" s="25"/>
      <c r="D9" s="10"/>
      <c r="E9" s="10"/>
      <c r="F9" s="18" t="s">
        <v>22</v>
      </c>
      <c r="G9" s="19" t="s">
        <v>23</v>
      </c>
      <c r="H9" s="35" t="s">
        <v>24</v>
      </c>
      <c r="I9" s="10"/>
      <c r="J9" s="10"/>
      <c r="K9" s="36"/>
      <c r="L9" s="36"/>
      <c r="M9" s="36"/>
      <c r="N9" s="36"/>
      <c r="O9" s="36"/>
      <c r="P9" s="36"/>
      <c r="Q9" s="36"/>
      <c r="R9" s="10"/>
      <c r="S9" s="10"/>
      <c r="T9" s="10"/>
      <c r="U9" s="17"/>
      <c r="V9" s="10"/>
      <c r="W9" s="10"/>
      <c r="X9" s="10"/>
    </row>
    <row r="10" spans="2:24" ht="15.75" customHeight="1">
      <c r="B10" s="32" t="s">
        <v>25</v>
      </c>
      <c r="C10" s="37">
        <f>P16</f>
        <v>990</v>
      </c>
      <c r="D10" s="10"/>
      <c r="E10" s="18" t="s">
        <v>26</v>
      </c>
      <c r="F10" s="38">
        <f>P12</f>
        <v>990</v>
      </c>
      <c r="G10" s="39">
        <f>I31+I36</f>
        <v>990</v>
      </c>
      <c r="H10" s="40"/>
      <c r="I10" s="41"/>
      <c r="J10" s="42"/>
      <c r="K10" s="43" t="s">
        <v>27</v>
      </c>
      <c r="L10" s="44"/>
      <c r="M10" s="44"/>
      <c r="N10" s="44"/>
      <c r="O10" s="44"/>
      <c r="P10" s="44"/>
      <c r="Q10" s="45"/>
      <c r="R10" s="46" t="s">
        <v>28</v>
      </c>
      <c r="S10" s="47" t="s">
        <v>29</v>
      </c>
      <c r="T10" s="10"/>
      <c r="U10" s="17"/>
      <c r="V10" s="10"/>
      <c r="W10" s="10"/>
      <c r="X10" s="10"/>
    </row>
    <row r="11" spans="2:24">
      <c r="B11" s="11"/>
      <c r="C11" s="10"/>
      <c r="D11" s="10"/>
      <c r="E11" s="24" t="s">
        <v>30</v>
      </c>
      <c r="F11" s="48">
        <f>F6</f>
        <v>0.05</v>
      </c>
      <c r="G11" s="17"/>
      <c r="H11" s="40"/>
      <c r="I11" s="41"/>
      <c r="J11" s="42"/>
      <c r="K11" s="20" t="s">
        <v>31</v>
      </c>
      <c r="L11" s="21" t="s">
        <v>32</v>
      </c>
      <c r="M11" s="21" t="s">
        <v>33</v>
      </c>
      <c r="N11" s="21" t="s">
        <v>34</v>
      </c>
      <c r="O11" s="21" t="s">
        <v>35</v>
      </c>
      <c r="P11" s="21" t="s">
        <v>36</v>
      </c>
      <c r="Q11" s="49" t="s">
        <v>37</v>
      </c>
      <c r="R11" s="50" t="s">
        <v>38</v>
      </c>
      <c r="S11" s="50" t="s">
        <v>38</v>
      </c>
      <c r="T11" s="10"/>
      <c r="U11" s="17"/>
      <c r="V11" s="10"/>
      <c r="W11" s="10"/>
      <c r="X11" s="10"/>
    </row>
    <row r="12" spans="2:24">
      <c r="B12" s="11"/>
      <c r="C12" s="10"/>
      <c r="D12" s="10"/>
      <c r="E12" s="51" t="s">
        <v>39</v>
      </c>
      <c r="F12" s="52">
        <f>(F10-I35)*F11</f>
        <v>0</v>
      </c>
      <c r="G12" s="53" t="s">
        <v>40</v>
      </c>
      <c r="H12" s="54">
        <f>F12/1.12</f>
        <v>0</v>
      </c>
      <c r="I12" s="55"/>
      <c r="J12" s="42"/>
      <c r="K12" s="56"/>
      <c r="L12" s="57"/>
      <c r="M12" s="57"/>
      <c r="N12" s="57"/>
      <c r="O12" s="57">
        <f>I35</f>
        <v>990</v>
      </c>
      <c r="P12" s="57">
        <f>SUM(K12:O12)</f>
        <v>990</v>
      </c>
      <c r="Q12" s="58">
        <v>0</v>
      </c>
      <c r="R12" s="59">
        <f>I36</f>
        <v>990</v>
      </c>
      <c r="S12" s="59">
        <v>0</v>
      </c>
      <c r="T12" s="10"/>
      <c r="U12" s="17"/>
      <c r="V12" s="10"/>
      <c r="W12" s="10"/>
      <c r="X12" s="10"/>
    </row>
    <row r="13" spans="2:24">
      <c r="B13" s="11"/>
      <c r="C13" s="10"/>
      <c r="D13" s="10"/>
      <c r="E13" s="24" t="s">
        <v>41</v>
      </c>
      <c r="F13" s="60">
        <f>Q12</f>
        <v>0</v>
      </c>
      <c r="G13" s="61" t="s">
        <v>40</v>
      </c>
      <c r="H13" s="62"/>
      <c r="I13" s="62"/>
      <c r="J13" s="10" t="s">
        <v>42</v>
      </c>
      <c r="K13" s="63"/>
      <c r="L13" s="63"/>
      <c r="M13" s="63"/>
      <c r="N13" s="63"/>
      <c r="O13" s="63">
        <v>1</v>
      </c>
      <c r="P13" s="21">
        <f>SUM(K13:O13)</f>
        <v>1</v>
      </c>
      <c r="Q13" s="64"/>
      <c r="R13" s="63"/>
      <c r="S13" s="10"/>
      <c r="T13" s="10"/>
      <c r="U13" s="17"/>
      <c r="V13" s="10"/>
      <c r="W13" s="10"/>
      <c r="X13" s="10"/>
    </row>
    <row r="14" spans="2:24" ht="14.25">
      <c r="B14" s="11"/>
      <c r="C14" s="10"/>
      <c r="D14" s="10"/>
      <c r="E14" s="51" t="s">
        <v>43</v>
      </c>
      <c r="F14" s="52">
        <f>F13*0.25</f>
        <v>0</v>
      </c>
      <c r="G14" s="53" t="s">
        <v>40</v>
      </c>
      <c r="H14" s="54">
        <f>F14/1.12</f>
        <v>0</v>
      </c>
      <c r="I14" s="10"/>
      <c r="J14" s="10" t="s">
        <v>44</v>
      </c>
      <c r="K14" s="63"/>
      <c r="L14" s="63"/>
      <c r="M14" s="63"/>
      <c r="N14" s="63"/>
      <c r="O14" s="63">
        <v>0</v>
      </c>
      <c r="P14" s="21">
        <f>SUM(K14:O14)</f>
        <v>0</v>
      </c>
      <c r="Q14" s="64"/>
      <c r="R14" s="63"/>
      <c r="S14" s="10"/>
      <c r="T14" s="10"/>
      <c r="U14" s="17"/>
      <c r="V14" s="10"/>
      <c r="W14" s="10"/>
      <c r="X14" s="10"/>
    </row>
    <row r="15" spans="2:24">
      <c r="B15" s="11"/>
      <c r="C15" s="10"/>
      <c r="D15" s="10"/>
      <c r="E15" s="24" t="s">
        <v>45</v>
      </c>
      <c r="F15" s="60"/>
      <c r="G15" s="61" t="s">
        <v>40</v>
      </c>
      <c r="H15" s="62"/>
      <c r="I15" s="10"/>
      <c r="J15" s="10" t="s">
        <v>46</v>
      </c>
      <c r="K15" s="31" t="e">
        <f t="shared" ref="K15:Q15" si="2">K13/(K13+K14)</f>
        <v>#DIV/0!</v>
      </c>
      <c r="L15" s="31" t="e">
        <f t="shared" si="2"/>
        <v>#DIV/0!</v>
      </c>
      <c r="M15" s="31" t="e">
        <f t="shared" si="2"/>
        <v>#DIV/0!</v>
      </c>
      <c r="N15" s="31" t="e">
        <f t="shared" si="2"/>
        <v>#DIV/0!</v>
      </c>
      <c r="O15" s="31">
        <f t="shared" si="2"/>
        <v>1</v>
      </c>
      <c r="P15" s="31">
        <f t="shared" si="2"/>
        <v>1</v>
      </c>
      <c r="Q15" s="31" t="e">
        <f t="shared" si="2"/>
        <v>#DIV/0!</v>
      </c>
      <c r="R15" s="63"/>
      <c r="S15" s="10"/>
      <c r="T15" s="10"/>
      <c r="U15" s="17"/>
      <c r="V15" s="10"/>
      <c r="W15" s="10"/>
      <c r="X15" s="10"/>
    </row>
    <row r="16" spans="2:24" ht="14.25">
      <c r="B16" s="11"/>
      <c r="C16" s="10"/>
      <c r="D16" s="10"/>
      <c r="E16" s="51" t="s">
        <v>47</v>
      </c>
      <c r="F16" s="52">
        <f>F15*0.05</f>
        <v>0</v>
      </c>
      <c r="G16" s="65" t="s">
        <v>40</v>
      </c>
      <c r="H16" s="54">
        <f>F16/1.12</f>
        <v>0</v>
      </c>
      <c r="I16" s="42"/>
      <c r="J16" s="10" t="s">
        <v>48</v>
      </c>
      <c r="K16" s="66" t="e">
        <f>K12/K13</f>
        <v>#DIV/0!</v>
      </c>
      <c r="L16" s="66" t="e">
        <f t="shared" ref="L16:Q16" si="3">L12/L13</f>
        <v>#DIV/0!</v>
      </c>
      <c r="M16" s="66" t="e">
        <f t="shared" si="3"/>
        <v>#DIV/0!</v>
      </c>
      <c r="N16" s="66" t="e">
        <f t="shared" si="3"/>
        <v>#DIV/0!</v>
      </c>
      <c r="O16" s="66">
        <f t="shared" si="3"/>
        <v>990</v>
      </c>
      <c r="P16" s="66">
        <f t="shared" si="3"/>
        <v>990</v>
      </c>
      <c r="Q16" s="66" t="e">
        <f t="shared" si="3"/>
        <v>#DIV/0!</v>
      </c>
      <c r="R16" s="63"/>
      <c r="S16" s="10"/>
      <c r="T16" s="10"/>
      <c r="U16" s="17"/>
      <c r="V16" s="10"/>
      <c r="W16" s="10"/>
      <c r="X16" s="10"/>
    </row>
    <row r="17" spans="2:24">
      <c r="B17" s="11"/>
      <c r="C17" s="10"/>
      <c r="D17" s="10"/>
      <c r="E17" s="67" t="s">
        <v>14</v>
      </c>
      <c r="F17" s="68"/>
      <c r="G17" s="10"/>
      <c r="H17" s="54">
        <f>F17/1.12</f>
        <v>0</v>
      </c>
      <c r="I17" s="10"/>
      <c r="J17" s="10"/>
      <c r="K17" s="10"/>
      <c r="L17" s="10"/>
      <c r="M17" s="10"/>
      <c r="N17" s="10"/>
      <c r="O17" s="10"/>
      <c r="P17" s="10"/>
      <c r="Q17" s="10"/>
      <c r="R17" s="10"/>
      <c r="S17" s="10"/>
      <c r="T17" s="10"/>
      <c r="U17" s="17"/>
      <c r="V17" s="10"/>
      <c r="W17" s="10"/>
      <c r="X17" s="10"/>
    </row>
    <row r="18" spans="2:24">
      <c r="B18" s="11"/>
      <c r="C18" s="10"/>
      <c r="D18" s="10"/>
      <c r="E18" s="155" t="s">
        <v>49</v>
      </c>
      <c r="F18" s="364">
        <f>T7</f>
        <v>0</v>
      </c>
      <c r="G18" s="10"/>
      <c r="H18" s="54"/>
      <c r="I18" s="55"/>
      <c r="J18" s="42"/>
      <c r="K18" s="764" t="s">
        <v>50</v>
      </c>
      <c r="L18" s="765"/>
      <c r="M18" s="765"/>
      <c r="N18" s="765"/>
      <c r="O18" s="765"/>
      <c r="P18" s="765"/>
      <c r="Q18" s="766"/>
      <c r="R18" s="70" t="s">
        <v>28</v>
      </c>
      <c r="S18" s="71" t="s">
        <v>29</v>
      </c>
      <c r="T18" s="10"/>
      <c r="U18" s="17"/>
      <c r="V18" s="10"/>
      <c r="W18" s="10"/>
      <c r="X18" s="10"/>
    </row>
    <row r="19" spans="2:24">
      <c r="B19" s="11"/>
      <c r="C19" s="10"/>
      <c r="D19" s="10"/>
      <c r="E19" s="12"/>
      <c r="F19" s="76"/>
      <c r="G19" s="10"/>
      <c r="H19" s="10"/>
      <c r="I19" s="10"/>
      <c r="J19" s="42"/>
      <c r="K19" s="20" t="s">
        <v>31</v>
      </c>
      <c r="L19" s="21" t="s">
        <v>32</v>
      </c>
      <c r="M19" s="21" t="s">
        <v>33</v>
      </c>
      <c r="N19" s="21" t="s">
        <v>34</v>
      </c>
      <c r="O19" s="21" t="s">
        <v>35</v>
      </c>
      <c r="P19" s="21" t="s">
        <v>36</v>
      </c>
      <c r="Q19" s="49" t="s">
        <v>37</v>
      </c>
      <c r="R19" s="50" t="s">
        <v>38</v>
      </c>
      <c r="S19" s="50" t="s">
        <v>38</v>
      </c>
      <c r="T19" s="10"/>
      <c r="U19" s="17"/>
      <c r="V19" s="10"/>
      <c r="W19" s="10"/>
      <c r="X19" s="10"/>
    </row>
    <row r="20" spans="2:24">
      <c r="B20" s="11"/>
      <c r="C20" s="10"/>
      <c r="D20" s="10"/>
      <c r="E20" s="12"/>
      <c r="F20" s="76"/>
      <c r="G20" s="10"/>
      <c r="H20" s="10"/>
      <c r="I20" s="10"/>
      <c r="J20" s="42"/>
      <c r="K20" s="56"/>
      <c r="L20" s="57"/>
      <c r="M20" s="57"/>
      <c r="N20" s="57"/>
      <c r="O20" s="57">
        <f>F35</f>
        <v>1675</v>
      </c>
      <c r="P20" s="57">
        <f>SUM(K20:O20)</f>
        <v>1675</v>
      </c>
      <c r="Q20" s="58">
        <v>0</v>
      </c>
      <c r="R20" s="59">
        <f>+F36</f>
        <v>1675</v>
      </c>
      <c r="S20" s="59">
        <v>0</v>
      </c>
      <c r="T20" s="10"/>
      <c r="U20" s="17"/>
      <c r="V20" s="10"/>
      <c r="W20" s="10"/>
      <c r="X20" s="10"/>
    </row>
    <row r="21" spans="2:24">
      <c r="B21" s="11"/>
      <c r="C21" s="10"/>
      <c r="D21" s="10"/>
      <c r="E21" s="10"/>
      <c r="F21" s="10"/>
      <c r="G21" s="10"/>
      <c r="H21" s="10"/>
      <c r="I21" s="10"/>
      <c r="J21" s="10" t="s">
        <v>42</v>
      </c>
      <c r="K21" s="63">
        <f>K13</f>
        <v>0</v>
      </c>
      <c r="L21" s="63">
        <f t="shared" ref="L21:Q22" si="4">L13</f>
        <v>0</v>
      </c>
      <c r="M21" s="63">
        <f t="shared" si="4"/>
        <v>0</v>
      </c>
      <c r="N21" s="63">
        <f t="shared" si="4"/>
        <v>0</v>
      </c>
      <c r="O21" s="63">
        <f t="shared" si="4"/>
        <v>1</v>
      </c>
      <c r="P21" s="63">
        <f t="shared" si="4"/>
        <v>1</v>
      </c>
      <c r="Q21" s="63">
        <f t="shared" si="4"/>
        <v>0</v>
      </c>
      <c r="R21" s="63"/>
      <c r="S21" s="10"/>
      <c r="T21" s="10"/>
      <c r="U21" s="17"/>
      <c r="V21" s="10"/>
      <c r="W21" s="10"/>
      <c r="X21" s="10"/>
    </row>
    <row r="22" spans="2:24">
      <c r="B22" s="11"/>
      <c r="C22" s="10"/>
      <c r="D22" s="10"/>
      <c r="E22" s="10"/>
      <c r="F22" s="10"/>
      <c r="G22" s="10"/>
      <c r="H22" s="10"/>
      <c r="I22" s="10"/>
      <c r="J22" s="10" t="s">
        <v>44</v>
      </c>
      <c r="K22" s="63">
        <f>K14</f>
        <v>0</v>
      </c>
      <c r="L22" s="63">
        <f t="shared" si="4"/>
        <v>0</v>
      </c>
      <c r="M22" s="63">
        <f t="shared" si="4"/>
        <v>0</v>
      </c>
      <c r="N22" s="63">
        <f t="shared" si="4"/>
        <v>0</v>
      </c>
      <c r="O22" s="63">
        <f t="shared" si="4"/>
        <v>0</v>
      </c>
      <c r="P22" s="63">
        <f t="shared" si="4"/>
        <v>0</v>
      </c>
      <c r="Q22" s="63">
        <f t="shared" si="4"/>
        <v>0</v>
      </c>
      <c r="R22" s="63"/>
      <c r="S22" s="10"/>
      <c r="T22" s="10"/>
      <c r="U22" s="17"/>
      <c r="V22" s="10"/>
      <c r="W22" s="10"/>
      <c r="X22" s="10"/>
    </row>
    <row r="23" spans="2:24">
      <c r="B23" s="11"/>
      <c r="C23" s="10"/>
      <c r="D23" s="10"/>
      <c r="E23" s="12"/>
      <c r="F23" s="76"/>
      <c r="G23" s="10"/>
      <c r="H23" s="10"/>
      <c r="I23" s="10"/>
      <c r="J23" s="10" t="s">
        <v>46</v>
      </c>
      <c r="K23" s="31" t="e">
        <f t="shared" ref="K23:Q23" si="5">K21/(K21+K22)</f>
        <v>#DIV/0!</v>
      </c>
      <c r="L23" s="31" t="e">
        <f t="shared" si="5"/>
        <v>#DIV/0!</v>
      </c>
      <c r="M23" s="31" t="e">
        <f t="shared" si="5"/>
        <v>#DIV/0!</v>
      </c>
      <c r="N23" s="31" t="e">
        <f t="shared" si="5"/>
        <v>#DIV/0!</v>
      </c>
      <c r="O23" s="31">
        <f t="shared" si="5"/>
        <v>1</v>
      </c>
      <c r="P23" s="31">
        <f t="shared" si="5"/>
        <v>1</v>
      </c>
      <c r="Q23" s="31" t="e">
        <f t="shared" si="5"/>
        <v>#DIV/0!</v>
      </c>
      <c r="R23" s="63"/>
      <c r="S23" s="10"/>
      <c r="T23" s="10"/>
      <c r="U23" s="17"/>
      <c r="V23" s="10"/>
      <c r="W23" s="10"/>
      <c r="X23" s="10"/>
    </row>
    <row r="24" spans="2:24">
      <c r="B24" s="11"/>
      <c r="C24" s="10"/>
      <c r="D24" s="10"/>
      <c r="E24" s="10"/>
      <c r="F24" s="10"/>
      <c r="G24" s="10"/>
      <c r="H24" s="10"/>
      <c r="I24" s="10"/>
      <c r="J24" s="10" t="s">
        <v>48</v>
      </c>
      <c r="K24" s="66" t="e">
        <f t="shared" ref="K24:Q24" si="6">K20/K21</f>
        <v>#DIV/0!</v>
      </c>
      <c r="L24" s="66" t="e">
        <f t="shared" si="6"/>
        <v>#DIV/0!</v>
      </c>
      <c r="M24" s="66" t="e">
        <f t="shared" si="6"/>
        <v>#DIV/0!</v>
      </c>
      <c r="N24" s="66" t="e">
        <f t="shared" si="6"/>
        <v>#DIV/0!</v>
      </c>
      <c r="O24" s="66">
        <f t="shared" si="6"/>
        <v>1675</v>
      </c>
      <c r="P24" s="66">
        <f t="shared" si="6"/>
        <v>1675</v>
      </c>
      <c r="Q24" s="66" t="e">
        <f t="shared" si="6"/>
        <v>#DIV/0!</v>
      </c>
      <c r="R24" s="63"/>
      <c r="S24" s="10"/>
      <c r="T24" s="10"/>
      <c r="U24" s="17"/>
      <c r="V24" s="10"/>
      <c r="W24" s="10"/>
      <c r="X24" s="10"/>
    </row>
    <row r="25" spans="2:24">
      <c r="B25" s="11"/>
      <c r="C25" s="10"/>
      <c r="D25" s="10"/>
      <c r="E25" s="10"/>
      <c r="F25" s="10"/>
      <c r="G25" s="10"/>
      <c r="H25" s="10"/>
      <c r="I25" s="10"/>
      <c r="J25" s="10"/>
      <c r="K25" s="10"/>
      <c r="L25" s="10"/>
      <c r="M25" s="10"/>
      <c r="N25" s="10"/>
      <c r="O25" s="10"/>
      <c r="P25" s="10"/>
      <c r="Q25" s="10"/>
      <c r="R25" s="10"/>
      <c r="S25" s="10"/>
      <c r="T25" s="10"/>
      <c r="U25" s="17"/>
      <c r="V25" s="10"/>
      <c r="W25" s="10"/>
      <c r="X25" s="10"/>
    </row>
    <row r="26" spans="2:24">
      <c r="B26" s="11"/>
      <c r="C26" s="10"/>
      <c r="D26" s="10"/>
      <c r="E26" s="10"/>
      <c r="F26" s="10"/>
      <c r="G26" s="10"/>
      <c r="H26" s="10"/>
      <c r="I26" s="10"/>
      <c r="J26" s="10"/>
      <c r="K26" s="10"/>
      <c r="L26" s="10"/>
      <c r="M26" s="10"/>
      <c r="N26" s="10"/>
      <c r="O26" s="10"/>
      <c r="P26" s="10"/>
      <c r="Q26" s="10"/>
      <c r="R26" s="10"/>
      <c r="S26" s="10"/>
      <c r="T26" s="10"/>
      <c r="U26" s="17"/>
      <c r="V26" s="10"/>
      <c r="W26" s="10"/>
      <c r="X26" s="10"/>
    </row>
    <row r="27" spans="2:24">
      <c r="B27" s="18" t="s">
        <v>51</v>
      </c>
      <c r="C27" s="14"/>
      <c r="D27" s="14"/>
      <c r="E27" s="14"/>
      <c r="F27" s="13" t="s">
        <v>52</v>
      </c>
      <c r="G27" s="14"/>
      <c r="H27" s="14"/>
      <c r="I27" s="14"/>
      <c r="J27" s="14"/>
      <c r="K27" s="13" t="s">
        <v>3</v>
      </c>
      <c r="L27" s="14"/>
      <c r="M27" s="14"/>
      <c r="N27" s="13" t="s">
        <v>4</v>
      </c>
      <c r="O27" s="14"/>
      <c r="P27" s="14"/>
      <c r="Q27" s="13" t="s">
        <v>5</v>
      </c>
      <c r="R27" s="14"/>
      <c r="S27" s="14"/>
      <c r="T27" s="18"/>
      <c r="U27" s="16" t="s">
        <v>53</v>
      </c>
      <c r="V27" s="77"/>
      <c r="W27" s="77"/>
      <c r="X27" s="77"/>
    </row>
    <row r="28" spans="2:24">
      <c r="B28" s="24" t="s">
        <v>54</v>
      </c>
      <c r="C28" s="21" t="s">
        <v>55</v>
      </c>
      <c r="D28" s="21" t="s">
        <v>56</v>
      </c>
      <c r="E28" s="21" t="s">
        <v>57</v>
      </c>
      <c r="F28" s="20" t="s">
        <v>58</v>
      </c>
      <c r="G28" s="21" t="s">
        <v>59</v>
      </c>
      <c r="H28" s="21" t="s">
        <v>60</v>
      </c>
      <c r="I28" s="21" t="s">
        <v>26</v>
      </c>
      <c r="J28" s="22" t="s">
        <v>61</v>
      </c>
      <c r="K28" s="21" t="s">
        <v>8</v>
      </c>
      <c r="L28" s="21" t="s">
        <v>9</v>
      </c>
      <c r="M28" s="21" t="s">
        <v>10</v>
      </c>
      <c r="N28" s="20" t="s">
        <v>11</v>
      </c>
      <c r="O28" s="21" t="s">
        <v>12</v>
      </c>
      <c r="P28" s="22" t="s">
        <v>13</v>
      </c>
      <c r="Q28" s="21" t="s">
        <v>11</v>
      </c>
      <c r="R28" s="21" t="s">
        <v>12</v>
      </c>
      <c r="S28" s="21" t="s">
        <v>13</v>
      </c>
      <c r="T28" s="78" t="s">
        <v>14</v>
      </c>
      <c r="U28" s="30"/>
      <c r="V28" s="79" t="s">
        <v>62</v>
      </c>
      <c r="W28" s="80" t="s">
        <v>63</v>
      </c>
      <c r="X28" s="81" t="s">
        <v>64</v>
      </c>
    </row>
    <row r="29" spans="2:24">
      <c r="B29" s="4" t="s">
        <v>65</v>
      </c>
      <c r="C29" s="6"/>
      <c r="D29" s="6"/>
      <c r="E29" s="6"/>
      <c r="F29" s="6"/>
      <c r="G29" s="6"/>
      <c r="H29" s="6"/>
      <c r="I29" s="82"/>
      <c r="J29" s="6"/>
      <c r="K29" s="6"/>
      <c r="L29" s="6"/>
      <c r="M29" s="6"/>
      <c r="N29" s="6"/>
      <c r="O29" s="6"/>
      <c r="P29" s="6"/>
      <c r="Q29" s="6"/>
      <c r="R29" s="6"/>
      <c r="S29" s="6"/>
      <c r="T29" s="83"/>
      <c r="U29" s="6"/>
      <c r="V29" s="84"/>
      <c r="W29" s="85"/>
      <c r="X29" s="86"/>
    </row>
    <row r="30" spans="2:24">
      <c r="B30" s="87">
        <v>1</v>
      </c>
      <c r="C30" s="262"/>
      <c r="D30" s="271"/>
      <c r="E30" s="271"/>
      <c r="F30" s="265"/>
      <c r="G30" s="265"/>
      <c r="H30" s="365"/>
      <c r="I30" s="272">
        <f t="shared" ref="I30" si="7">F30-G30-H30</f>
        <v>0</v>
      </c>
      <c r="J30" s="267"/>
      <c r="K30" s="267"/>
      <c r="L30" s="267"/>
      <c r="M30" s="267"/>
      <c r="N30" s="267"/>
      <c r="O30" s="267"/>
      <c r="P30" s="267"/>
      <c r="Q30" s="267"/>
      <c r="R30" s="267"/>
      <c r="S30" s="269"/>
      <c r="T30" s="63"/>
      <c r="U30" s="10"/>
      <c r="V30" s="90"/>
      <c r="W30" s="91"/>
      <c r="X30" s="92"/>
    </row>
    <row r="31" spans="2:24">
      <c r="B31" s="87"/>
      <c r="C31" s="36"/>
      <c r="D31" s="10"/>
      <c r="E31" s="10"/>
      <c r="F31" s="97">
        <f>SUM(F30:F30)</f>
        <v>0</v>
      </c>
      <c r="G31" s="97">
        <f>SUM(G30:G30)</f>
        <v>0</v>
      </c>
      <c r="H31" s="97">
        <f>SUM(H30:H30)</f>
        <v>0</v>
      </c>
      <c r="I31" s="98">
        <f>SUM(I30:I30)</f>
        <v>0</v>
      </c>
      <c r="J31" s="63"/>
      <c r="K31" s="63">
        <f>COUNT(K30:K30)</f>
        <v>0</v>
      </c>
      <c r="L31" s="63">
        <f>COUNT(L30:L30)</f>
        <v>0</v>
      </c>
      <c r="M31" s="63">
        <f>COUNT(M30:M30)</f>
        <v>0</v>
      </c>
      <c r="N31" s="63">
        <f>COUNT(N30:N30)</f>
        <v>0</v>
      </c>
      <c r="O31" s="63">
        <f>COUNT(O30:O30)</f>
        <v>0</v>
      </c>
      <c r="P31" s="63">
        <f>COUNT(P30:P30)</f>
        <v>0</v>
      </c>
      <c r="Q31" s="63">
        <f>COUNT(Q30:Q30)</f>
        <v>0</v>
      </c>
      <c r="R31" s="63">
        <f>COUNT(R30:R30)</f>
        <v>0</v>
      </c>
      <c r="S31" s="63">
        <f>COUNT(S30:S30)</f>
        <v>0</v>
      </c>
      <c r="T31" s="63"/>
      <c r="U31" s="10"/>
      <c r="V31" s="90"/>
      <c r="W31" s="91"/>
      <c r="X31" s="92"/>
    </row>
    <row r="32" spans="2:24">
      <c r="B32" s="87"/>
      <c r="C32" s="36"/>
      <c r="D32" s="10"/>
      <c r="E32" s="10"/>
      <c r="F32" s="88"/>
      <c r="G32" s="88"/>
      <c r="H32" s="88"/>
      <c r="I32" s="99"/>
      <c r="J32" s="63"/>
      <c r="K32" s="21">
        <f>SUM(K30:K30)</f>
        <v>0</v>
      </c>
      <c r="L32" s="21">
        <f>SUM(L30:L30)</f>
        <v>0</v>
      </c>
      <c r="M32" s="21">
        <f>SUM(M30:M30)</f>
        <v>0</v>
      </c>
      <c r="N32" s="21">
        <f>SUM(N30:N30)</f>
        <v>0</v>
      </c>
      <c r="O32" s="21">
        <f>SUM(O30:O30)</f>
        <v>0</v>
      </c>
      <c r="P32" s="21">
        <f>SUM(P30:P30)</f>
        <v>0</v>
      </c>
      <c r="Q32" s="21">
        <f>SUM(Q30:Q30)</f>
        <v>0</v>
      </c>
      <c r="R32" s="21">
        <f>SUM(R30:R30)</f>
        <v>0</v>
      </c>
      <c r="S32" s="21">
        <f>SUM(S30:S30)</f>
        <v>0</v>
      </c>
      <c r="T32" s="63"/>
      <c r="U32" s="10"/>
      <c r="V32" s="90"/>
      <c r="W32" s="91"/>
      <c r="X32" s="92"/>
    </row>
    <row r="33" spans="1:24">
      <c r="B33" s="11"/>
      <c r="C33" s="36"/>
      <c r="D33" s="10"/>
      <c r="E33" s="10"/>
      <c r="F33" s="88"/>
      <c r="G33" s="88"/>
      <c r="H33" s="88"/>
      <c r="I33" s="99"/>
      <c r="J33" s="63"/>
      <c r="K33" s="21"/>
      <c r="L33" s="21"/>
      <c r="M33" s="21"/>
      <c r="N33" s="21"/>
      <c r="O33" s="21"/>
      <c r="P33" s="21"/>
      <c r="Q33" s="21"/>
      <c r="R33" s="21"/>
      <c r="S33" s="21"/>
      <c r="T33" s="63"/>
      <c r="U33" s="94"/>
      <c r="V33" s="90"/>
      <c r="W33" s="91"/>
      <c r="X33" s="92"/>
    </row>
    <row r="34" spans="1:24">
      <c r="B34" s="121" t="s">
        <v>70</v>
      </c>
      <c r="C34" s="122"/>
      <c r="D34" s="123"/>
      <c r="E34" s="128"/>
      <c r="F34" s="124"/>
      <c r="G34" s="124"/>
      <c r="H34" s="124"/>
      <c r="I34" s="126"/>
      <c r="J34" s="127"/>
      <c r="K34" s="64"/>
      <c r="L34" s="64"/>
      <c r="M34" s="64"/>
      <c r="N34" s="64"/>
      <c r="O34" s="64"/>
      <c r="P34" s="64"/>
      <c r="Q34" s="64"/>
      <c r="R34" s="64"/>
      <c r="S34" s="64"/>
      <c r="T34" s="127"/>
      <c r="U34" s="135"/>
      <c r="V34" s="129"/>
      <c r="W34" s="130"/>
      <c r="X34" s="131"/>
    </row>
    <row r="35" spans="1:24" s="342" customFormat="1">
      <c r="A35" s="572">
        <v>45887</v>
      </c>
      <c r="B35" s="333">
        <v>1</v>
      </c>
      <c r="C35" s="350">
        <v>45884</v>
      </c>
      <c r="D35" s="263">
        <v>72353</v>
      </c>
      <c r="E35" s="358" t="s">
        <v>149</v>
      </c>
      <c r="F35" s="352">
        <v>1675</v>
      </c>
      <c r="G35" s="352">
        <f>485+200</f>
        <v>685</v>
      </c>
      <c r="H35" s="352"/>
      <c r="I35" s="353">
        <f>F35-G35-H35</f>
        <v>990</v>
      </c>
      <c r="J35" s="354" t="s">
        <v>150</v>
      </c>
      <c r="K35" s="354">
        <v>1</v>
      </c>
      <c r="L35" s="354">
        <v>1</v>
      </c>
      <c r="M35" s="354">
        <v>1</v>
      </c>
      <c r="N35" s="354">
        <v>1</v>
      </c>
      <c r="O35" s="354">
        <v>1</v>
      </c>
      <c r="P35" s="314">
        <v>0</v>
      </c>
      <c r="Q35" s="354">
        <v>1</v>
      </c>
      <c r="R35" s="354">
        <v>1</v>
      </c>
      <c r="S35" s="366">
        <v>0</v>
      </c>
      <c r="T35" s="127"/>
      <c r="U35" s="135" t="s">
        <v>151</v>
      </c>
      <c r="V35" s="129"/>
      <c r="W35" s="382">
        <f>200+1457</f>
        <v>1657</v>
      </c>
      <c r="X35" s="341"/>
    </row>
    <row r="36" spans="1:24">
      <c r="B36" s="132"/>
      <c r="C36" s="122"/>
      <c r="D36" s="123"/>
      <c r="E36" s="123"/>
      <c r="F36" s="133">
        <f>SUM(F35:F35)</f>
        <v>1675</v>
      </c>
      <c r="G36" s="133">
        <f>SUM(G35:G35)</f>
        <v>685</v>
      </c>
      <c r="H36" s="133">
        <f>SUM(H35:H35)</f>
        <v>0</v>
      </c>
      <c r="I36" s="134">
        <f>SUM(I35:I35)</f>
        <v>990</v>
      </c>
      <c r="J36" s="127"/>
      <c r="K36" s="64"/>
      <c r="L36" s="64"/>
      <c r="M36" s="64"/>
      <c r="N36" s="64"/>
      <c r="O36" s="64"/>
      <c r="P36" s="64"/>
      <c r="Q36" s="64"/>
      <c r="R36" s="64"/>
      <c r="S36" s="64"/>
      <c r="T36" s="127"/>
      <c r="U36" s="135"/>
      <c r="V36" s="129"/>
      <c r="W36" s="130"/>
      <c r="X36" s="131"/>
    </row>
    <row r="37" spans="1:24">
      <c r="B37" s="26"/>
      <c r="C37" s="140"/>
      <c r="D37" s="141"/>
      <c r="E37" s="141"/>
      <c r="F37" s="141"/>
      <c r="G37" s="141"/>
      <c r="H37" s="141"/>
      <c r="I37" s="141"/>
      <c r="J37" s="141"/>
      <c r="K37" s="142"/>
      <c r="L37" s="142"/>
      <c r="M37" s="142"/>
      <c r="N37" s="142"/>
      <c r="O37" s="142"/>
      <c r="P37" s="142"/>
      <c r="Q37" s="142"/>
      <c r="R37" s="142"/>
      <c r="S37" s="142"/>
      <c r="T37" s="143">
        <f>SUM(T30:T36)</f>
        <v>0</v>
      </c>
      <c r="U37" s="141"/>
      <c r="V37" s="144">
        <f>SUM(V30:V36)</f>
        <v>0</v>
      </c>
      <c r="W37" s="145">
        <f>SUM(W30:W36)</f>
        <v>1657</v>
      </c>
      <c r="X37" s="146">
        <f>SUM(X30:X36)</f>
        <v>0</v>
      </c>
    </row>
    <row r="40" spans="1:24">
      <c r="A40" s="3"/>
      <c r="B40" s="4" t="s">
        <v>1</v>
      </c>
      <c r="C40" s="5"/>
      <c r="D40" s="6"/>
      <c r="E40" s="6"/>
      <c r="F40" s="7" t="s">
        <v>2</v>
      </c>
      <c r="G40" s="8">
        <v>45893</v>
      </c>
      <c r="H40" s="7"/>
      <c r="I40" s="6"/>
      <c r="J40" s="6"/>
      <c r="K40" s="6"/>
      <c r="L40" s="6"/>
      <c r="M40" s="6"/>
      <c r="N40" s="6"/>
      <c r="O40" s="6"/>
      <c r="P40" s="6"/>
      <c r="Q40" s="6"/>
      <c r="R40" s="6"/>
      <c r="S40" s="6"/>
      <c r="T40" s="6"/>
      <c r="U40" s="9"/>
      <c r="V40" s="10"/>
      <c r="W40" s="10"/>
      <c r="X40" s="10"/>
    </row>
    <row r="41" spans="1:24">
      <c r="A41" s="2"/>
      <c r="B41" s="11"/>
      <c r="C41" s="10"/>
      <c r="D41" s="10"/>
      <c r="E41" s="10"/>
      <c r="F41" s="10"/>
      <c r="G41" s="7"/>
      <c r="H41" s="12"/>
      <c r="I41" s="10"/>
      <c r="J41" s="10"/>
      <c r="K41" s="13" t="s">
        <v>3</v>
      </c>
      <c r="L41" s="14"/>
      <c r="M41" s="15"/>
      <c r="N41" s="13" t="s">
        <v>4</v>
      </c>
      <c r="O41" s="14"/>
      <c r="P41" s="15"/>
      <c r="Q41" s="13" t="s">
        <v>5</v>
      </c>
      <c r="R41" s="14"/>
      <c r="S41" s="15"/>
      <c r="T41" s="16"/>
      <c r="U41" s="17"/>
      <c r="V41" s="10"/>
      <c r="W41" s="10"/>
      <c r="X41" s="10"/>
    </row>
    <row r="42" spans="1:24">
      <c r="A42" s="2"/>
      <c r="B42" s="18" t="s">
        <v>6</v>
      </c>
      <c r="C42" s="19">
        <f>C43+C44</f>
        <v>0</v>
      </c>
      <c r="D42" s="10"/>
      <c r="E42" s="18" t="s">
        <v>7</v>
      </c>
      <c r="F42" s="6"/>
      <c r="G42" s="9"/>
      <c r="H42" s="10"/>
      <c r="I42" s="10"/>
      <c r="J42" s="10"/>
      <c r="K42" s="20" t="s">
        <v>8</v>
      </c>
      <c r="L42" s="21" t="s">
        <v>9</v>
      </c>
      <c r="M42" s="21" t="s">
        <v>10</v>
      </c>
      <c r="N42" s="20" t="s">
        <v>11</v>
      </c>
      <c r="O42" s="21" t="s">
        <v>12</v>
      </c>
      <c r="P42" s="22" t="s">
        <v>13</v>
      </c>
      <c r="Q42" s="21" t="s">
        <v>11</v>
      </c>
      <c r="R42" s="21" t="s">
        <v>12</v>
      </c>
      <c r="S42" s="22" t="s">
        <v>13</v>
      </c>
      <c r="T42" s="23" t="s">
        <v>14</v>
      </c>
      <c r="U42" s="17"/>
      <c r="V42" s="10"/>
      <c r="W42" s="10"/>
      <c r="X42" s="10"/>
    </row>
    <row r="43" spans="1:24">
      <c r="A43" s="2"/>
      <c r="B43" s="24" t="s">
        <v>15</v>
      </c>
      <c r="C43" s="25">
        <f>P50</f>
        <v>0</v>
      </c>
      <c r="D43" s="10"/>
      <c r="E43" s="26" t="s">
        <v>16</v>
      </c>
      <c r="F43" s="27">
        <v>0.05</v>
      </c>
      <c r="G43" s="28"/>
      <c r="H43" s="10"/>
      <c r="I43" s="10"/>
      <c r="J43" s="18" t="s">
        <v>17</v>
      </c>
      <c r="K43" s="29">
        <f>K69</f>
        <v>0</v>
      </c>
      <c r="L43" s="29">
        <f t="shared" ref="L43:S43" si="8">L69</f>
        <v>0</v>
      </c>
      <c r="M43" s="29">
        <f t="shared" si="8"/>
        <v>0</v>
      </c>
      <c r="N43" s="29">
        <f t="shared" si="8"/>
        <v>0</v>
      </c>
      <c r="O43" s="29">
        <f t="shared" si="8"/>
        <v>0</v>
      </c>
      <c r="P43" s="29">
        <f t="shared" si="8"/>
        <v>0</v>
      </c>
      <c r="Q43" s="29">
        <f t="shared" si="8"/>
        <v>0</v>
      </c>
      <c r="R43" s="29">
        <f t="shared" si="8"/>
        <v>0</v>
      </c>
      <c r="S43" s="29">
        <f t="shared" si="8"/>
        <v>0</v>
      </c>
      <c r="T43" s="30">
        <f>T73</f>
        <v>0</v>
      </c>
      <c r="U43" s="17"/>
      <c r="V43" s="10"/>
      <c r="W43" s="10"/>
      <c r="X43" s="10"/>
    </row>
    <row r="44" spans="1:24">
      <c r="A44" s="2"/>
      <c r="B44" s="24" t="s">
        <v>18</v>
      </c>
      <c r="C44" s="25">
        <f>P51</f>
        <v>0</v>
      </c>
      <c r="D44" s="10"/>
      <c r="E44" s="10"/>
      <c r="F44" s="10"/>
      <c r="G44" s="31"/>
      <c r="H44" s="10"/>
      <c r="I44" s="10"/>
      <c r="J44" s="32" t="s">
        <v>19</v>
      </c>
      <c r="K44" s="33" t="e">
        <f>K69/K68</f>
        <v>#DIV/0!</v>
      </c>
      <c r="L44" s="33" t="e">
        <f t="shared" ref="L44:S44" si="9">L69/L68</f>
        <v>#DIV/0!</v>
      </c>
      <c r="M44" s="33" t="e">
        <f t="shared" si="9"/>
        <v>#DIV/0!</v>
      </c>
      <c r="N44" s="33" t="e">
        <f t="shared" si="9"/>
        <v>#DIV/0!</v>
      </c>
      <c r="O44" s="33" t="e">
        <f t="shared" si="9"/>
        <v>#DIV/0!</v>
      </c>
      <c r="P44" s="33" t="e">
        <f t="shared" si="9"/>
        <v>#DIV/0!</v>
      </c>
      <c r="Q44" s="33" t="e">
        <f t="shared" si="9"/>
        <v>#DIV/0!</v>
      </c>
      <c r="R44" s="33" t="e">
        <f t="shared" si="9"/>
        <v>#DIV/0!</v>
      </c>
      <c r="S44" s="33" t="e">
        <f t="shared" si="9"/>
        <v>#DIV/0!</v>
      </c>
      <c r="T44" s="23"/>
      <c r="U44" s="17" t="s">
        <v>20</v>
      </c>
      <c r="V44" s="10"/>
      <c r="W44" s="10"/>
      <c r="X44" s="10"/>
    </row>
    <row r="45" spans="1:24">
      <c r="A45" s="2"/>
      <c r="B45" s="24" t="s">
        <v>21</v>
      </c>
      <c r="C45" s="34" t="e">
        <f>P52</f>
        <v>#DIV/0!</v>
      </c>
      <c r="D45" s="10"/>
      <c r="E45" s="10"/>
      <c r="F45" s="10"/>
      <c r="G45" s="10"/>
      <c r="H45" s="10"/>
      <c r="I45" s="10"/>
      <c r="J45" s="10"/>
      <c r="K45" s="10"/>
      <c r="L45" s="10"/>
      <c r="M45" s="10"/>
      <c r="N45" s="10"/>
      <c r="O45" s="10"/>
      <c r="P45" s="10"/>
      <c r="Q45" s="10"/>
      <c r="R45" s="10"/>
      <c r="S45" s="10"/>
      <c r="T45" s="10"/>
      <c r="U45" s="17"/>
      <c r="V45" s="10"/>
      <c r="W45" s="10"/>
      <c r="X45" s="10"/>
    </row>
    <row r="46" spans="1:24">
      <c r="A46" s="2"/>
      <c r="B46" s="24"/>
      <c r="C46" s="25"/>
      <c r="D46" s="10"/>
      <c r="E46" s="10"/>
      <c r="F46" s="18" t="s">
        <v>22</v>
      </c>
      <c r="G46" s="19" t="s">
        <v>23</v>
      </c>
      <c r="H46" s="35" t="s">
        <v>24</v>
      </c>
      <c r="I46" s="10"/>
      <c r="J46" s="10"/>
      <c r="K46" s="36"/>
      <c r="L46" s="36"/>
      <c r="M46" s="36"/>
      <c r="N46" s="36"/>
      <c r="O46" s="36"/>
      <c r="P46" s="36"/>
      <c r="Q46" s="36"/>
      <c r="R46" s="10"/>
      <c r="S46" s="10"/>
      <c r="T46" s="10"/>
      <c r="U46" s="17"/>
      <c r="V46" s="10"/>
      <c r="W46" s="10"/>
      <c r="X46" s="10"/>
    </row>
    <row r="47" spans="1:24">
      <c r="A47" s="2"/>
      <c r="B47" s="32" t="s">
        <v>25</v>
      </c>
      <c r="C47" s="37" t="e">
        <f>P53</f>
        <v>#DIV/0!</v>
      </c>
      <c r="D47" s="10"/>
      <c r="E47" s="18" t="s">
        <v>26</v>
      </c>
      <c r="F47" s="38">
        <f>P49</f>
        <v>0</v>
      </c>
      <c r="G47" s="39">
        <f>I68</f>
        <v>0</v>
      </c>
      <c r="H47" s="40"/>
      <c r="I47" s="41"/>
      <c r="J47" s="42"/>
      <c r="K47" s="43" t="s">
        <v>27</v>
      </c>
      <c r="L47" s="44"/>
      <c r="M47" s="44"/>
      <c r="N47" s="44"/>
      <c r="O47" s="44"/>
      <c r="P47" s="44"/>
      <c r="Q47" s="45"/>
      <c r="R47" s="46" t="s">
        <v>28</v>
      </c>
      <c r="S47" s="47" t="s">
        <v>29</v>
      </c>
      <c r="T47" s="10"/>
      <c r="U47" s="17"/>
      <c r="V47" s="10"/>
      <c r="W47" s="10"/>
      <c r="X47" s="10"/>
    </row>
    <row r="48" spans="1:24">
      <c r="A48" s="2"/>
      <c r="B48" s="11"/>
      <c r="C48" s="10"/>
      <c r="D48" s="10"/>
      <c r="E48" s="24" t="s">
        <v>30</v>
      </c>
      <c r="F48" s="48">
        <f>F43</f>
        <v>0.05</v>
      </c>
      <c r="G48" s="17"/>
      <c r="H48" s="40"/>
      <c r="I48" s="41"/>
      <c r="J48" s="42"/>
      <c r="K48" s="20" t="s">
        <v>31</v>
      </c>
      <c r="L48" s="21" t="s">
        <v>32</v>
      </c>
      <c r="M48" s="21" t="s">
        <v>33</v>
      </c>
      <c r="N48" s="21" t="s">
        <v>34</v>
      </c>
      <c r="O48" s="21" t="s">
        <v>35</v>
      </c>
      <c r="P48" s="21" t="s">
        <v>36</v>
      </c>
      <c r="Q48" s="49" t="s">
        <v>37</v>
      </c>
      <c r="R48" s="50" t="s">
        <v>38</v>
      </c>
      <c r="S48" s="50" t="s">
        <v>38</v>
      </c>
      <c r="T48" s="10"/>
      <c r="U48" s="17"/>
      <c r="V48" s="10"/>
      <c r="W48" s="10"/>
      <c r="X48" s="10"/>
    </row>
    <row r="49" spans="1:24">
      <c r="A49" s="2"/>
      <c r="B49" s="11"/>
      <c r="C49" s="10"/>
      <c r="D49" s="10"/>
      <c r="E49" s="51" t="s">
        <v>39</v>
      </c>
      <c r="F49" s="52">
        <f>F47*F48</f>
        <v>0</v>
      </c>
      <c r="G49" s="53" t="s">
        <v>40</v>
      </c>
      <c r="H49" s="54">
        <f>F49/1.12</f>
        <v>0</v>
      </c>
      <c r="I49" s="55"/>
      <c r="J49" s="42"/>
      <c r="K49" s="56"/>
      <c r="L49" s="57"/>
      <c r="M49" s="57"/>
      <c r="N49" s="57"/>
      <c r="O49" s="57"/>
      <c r="P49" s="57">
        <f>SUM(K49:O49)</f>
        <v>0</v>
      </c>
      <c r="Q49" s="58">
        <v>0</v>
      </c>
      <c r="R49" s="59">
        <f>0</f>
        <v>0</v>
      </c>
      <c r="S49" s="59">
        <f>0</f>
        <v>0</v>
      </c>
      <c r="T49" s="10"/>
      <c r="U49" s="17"/>
      <c r="V49" s="10"/>
      <c r="W49" s="10"/>
      <c r="X49" s="10"/>
    </row>
    <row r="50" spans="1:24">
      <c r="A50" s="2"/>
      <c r="B50" s="11"/>
      <c r="C50" s="10"/>
      <c r="D50" s="10"/>
      <c r="E50" s="24" t="s">
        <v>41</v>
      </c>
      <c r="F50" s="60">
        <f>Q49</f>
        <v>0</v>
      </c>
      <c r="G50" s="61" t="s">
        <v>40</v>
      </c>
      <c r="H50" s="62"/>
      <c r="I50" s="62"/>
      <c r="J50" s="10" t="s">
        <v>42</v>
      </c>
      <c r="K50" s="63"/>
      <c r="L50" s="63"/>
      <c r="M50" s="63"/>
      <c r="N50" s="63"/>
      <c r="O50" s="63"/>
      <c r="P50" s="21">
        <f>SUM(K50:O50)</f>
        <v>0</v>
      </c>
      <c r="Q50" s="64"/>
      <c r="R50" s="63"/>
      <c r="S50" s="10"/>
      <c r="T50" s="10"/>
      <c r="U50" s="17"/>
      <c r="V50" s="10"/>
      <c r="W50" s="10"/>
      <c r="X50" s="10"/>
    </row>
    <row r="51" spans="1:24">
      <c r="A51" s="2"/>
      <c r="B51" s="11"/>
      <c r="C51" s="10"/>
      <c r="D51" s="10"/>
      <c r="E51" s="51" t="s">
        <v>43</v>
      </c>
      <c r="F51" s="52">
        <f>F50*0.25</f>
        <v>0</v>
      </c>
      <c r="G51" s="53" t="s">
        <v>40</v>
      </c>
      <c r="H51" s="54">
        <f>F51/1.12</f>
        <v>0</v>
      </c>
      <c r="I51" s="10"/>
      <c r="J51" s="10" t="s">
        <v>44</v>
      </c>
      <c r="K51" s="63"/>
      <c r="L51" s="63"/>
      <c r="M51" s="63"/>
      <c r="N51" s="63"/>
      <c r="O51" s="63"/>
      <c r="P51" s="21">
        <f>SUM(K51:O51)</f>
        <v>0</v>
      </c>
      <c r="Q51" s="64"/>
      <c r="R51" s="63"/>
      <c r="S51" s="10"/>
      <c r="T51" s="10"/>
      <c r="U51" s="17"/>
      <c r="V51" s="10"/>
      <c r="W51" s="10"/>
      <c r="X51" s="10"/>
    </row>
    <row r="52" spans="1:24">
      <c r="A52" s="2"/>
      <c r="B52" s="11"/>
      <c r="C52" s="10"/>
      <c r="D52" s="10"/>
      <c r="E52" s="24" t="s">
        <v>45</v>
      </c>
      <c r="F52" s="60"/>
      <c r="G52" s="61" t="s">
        <v>40</v>
      </c>
      <c r="H52" s="62"/>
      <c r="I52" s="10"/>
      <c r="J52" s="10" t="s">
        <v>46</v>
      </c>
      <c r="K52" s="31" t="e">
        <f t="shared" ref="K52:Q52" si="10">K50/(K50+K51)</f>
        <v>#DIV/0!</v>
      </c>
      <c r="L52" s="31" t="e">
        <f t="shared" si="10"/>
        <v>#DIV/0!</v>
      </c>
      <c r="M52" s="31" t="e">
        <f t="shared" si="10"/>
        <v>#DIV/0!</v>
      </c>
      <c r="N52" s="31" t="e">
        <f t="shared" si="10"/>
        <v>#DIV/0!</v>
      </c>
      <c r="O52" s="31" t="e">
        <f t="shared" si="10"/>
        <v>#DIV/0!</v>
      </c>
      <c r="P52" s="31" t="e">
        <f t="shared" si="10"/>
        <v>#DIV/0!</v>
      </c>
      <c r="Q52" s="31" t="e">
        <f t="shared" si="10"/>
        <v>#DIV/0!</v>
      </c>
      <c r="R52" s="63"/>
      <c r="S52" s="10"/>
      <c r="T52" s="10"/>
      <c r="U52" s="17"/>
      <c r="V52" s="10"/>
      <c r="W52" s="10"/>
      <c r="X52" s="10"/>
    </row>
    <row r="53" spans="1:24">
      <c r="A53" s="2"/>
      <c r="B53" s="11"/>
      <c r="C53" s="10"/>
      <c r="D53" s="10"/>
      <c r="E53" s="51" t="s">
        <v>47</v>
      </c>
      <c r="F53" s="52">
        <f>F52*0.05</f>
        <v>0</v>
      </c>
      <c r="G53" s="65" t="s">
        <v>40</v>
      </c>
      <c r="H53" s="54">
        <f>F53/1.12</f>
        <v>0</v>
      </c>
      <c r="I53" s="42"/>
      <c r="J53" s="10" t="s">
        <v>48</v>
      </c>
      <c r="K53" s="66" t="e">
        <f>K49/K50</f>
        <v>#DIV/0!</v>
      </c>
      <c r="L53" s="66" t="e">
        <f t="shared" ref="L53:Q53" si="11">L49/L50</f>
        <v>#DIV/0!</v>
      </c>
      <c r="M53" s="66" t="e">
        <f t="shared" si="11"/>
        <v>#DIV/0!</v>
      </c>
      <c r="N53" s="66" t="e">
        <f t="shared" si="11"/>
        <v>#DIV/0!</v>
      </c>
      <c r="O53" s="66" t="e">
        <f t="shared" si="11"/>
        <v>#DIV/0!</v>
      </c>
      <c r="P53" s="66" t="e">
        <f t="shared" si="11"/>
        <v>#DIV/0!</v>
      </c>
      <c r="Q53" s="66" t="e">
        <f t="shared" si="11"/>
        <v>#DIV/0!</v>
      </c>
      <c r="R53" s="63"/>
      <c r="S53" s="10"/>
      <c r="T53" s="10"/>
      <c r="U53" s="17"/>
      <c r="V53" s="10"/>
      <c r="W53" s="10"/>
      <c r="X53" s="10"/>
    </row>
    <row r="54" spans="1:24">
      <c r="A54" s="2"/>
      <c r="B54" s="11"/>
      <c r="C54" s="10"/>
      <c r="D54" s="10"/>
      <c r="E54" s="67" t="s">
        <v>14</v>
      </c>
      <c r="F54" s="68"/>
      <c r="G54" s="10"/>
      <c r="H54" s="54">
        <f>F54/1.12</f>
        <v>0</v>
      </c>
      <c r="I54" s="10"/>
      <c r="J54" s="10"/>
      <c r="K54" s="10"/>
      <c r="L54" s="10"/>
      <c r="M54" s="10"/>
      <c r="N54" s="10"/>
      <c r="O54" s="10"/>
      <c r="P54" s="10"/>
      <c r="Q54" s="10"/>
      <c r="R54" s="10"/>
      <c r="S54" s="10"/>
      <c r="T54" s="10"/>
      <c r="U54" s="17"/>
      <c r="V54" s="10"/>
      <c r="W54" s="10"/>
      <c r="X54" s="10"/>
    </row>
    <row r="55" spans="1:24">
      <c r="A55" s="2"/>
      <c r="B55" s="11"/>
      <c r="C55" s="10"/>
      <c r="D55" s="10"/>
      <c r="E55" s="155" t="s">
        <v>49</v>
      </c>
      <c r="F55" s="364">
        <f>T44</f>
        <v>0</v>
      </c>
      <c r="G55" s="10"/>
      <c r="H55" s="54"/>
      <c r="I55" s="55"/>
      <c r="J55" s="42"/>
      <c r="K55" s="764" t="s">
        <v>50</v>
      </c>
      <c r="L55" s="765"/>
      <c r="M55" s="765"/>
      <c r="N55" s="765"/>
      <c r="O55" s="765"/>
      <c r="P55" s="765"/>
      <c r="Q55" s="766"/>
      <c r="R55" s="70" t="s">
        <v>28</v>
      </c>
      <c r="S55" s="71" t="s">
        <v>29</v>
      </c>
      <c r="T55" s="10"/>
      <c r="U55" s="17"/>
      <c r="V55" s="10"/>
      <c r="W55" s="10"/>
      <c r="X55" s="10"/>
    </row>
    <row r="56" spans="1:24">
      <c r="A56" s="2"/>
      <c r="B56" s="11"/>
      <c r="C56" s="10"/>
      <c r="D56" s="10"/>
      <c r="E56" s="12"/>
      <c r="F56" s="76"/>
      <c r="G56" s="10"/>
      <c r="H56" s="10"/>
      <c r="I56" s="10"/>
      <c r="J56" s="42"/>
      <c r="K56" s="20" t="s">
        <v>31</v>
      </c>
      <c r="L56" s="21" t="s">
        <v>32</v>
      </c>
      <c r="M56" s="21" t="s">
        <v>33</v>
      </c>
      <c r="N56" s="21" t="s">
        <v>34</v>
      </c>
      <c r="O56" s="21" t="s">
        <v>35</v>
      </c>
      <c r="P56" s="21" t="s">
        <v>36</v>
      </c>
      <c r="Q56" s="49" t="s">
        <v>37</v>
      </c>
      <c r="R56" s="50" t="s">
        <v>38</v>
      </c>
      <c r="S56" s="50" t="s">
        <v>38</v>
      </c>
      <c r="T56" s="10"/>
      <c r="U56" s="17"/>
      <c r="V56" s="10"/>
      <c r="W56" s="10"/>
      <c r="X56" s="10"/>
    </row>
    <row r="57" spans="1:24">
      <c r="A57" s="2"/>
      <c r="B57" s="11"/>
      <c r="C57" s="10"/>
      <c r="D57" s="10"/>
      <c r="E57" s="10"/>
      <c r="F57" s="10"/>
      <c r="G57" s="10"/>
      <c r="H57" s="10"/>
      <c r="I57" s="10"/>
      <c r="J57" s="42"/>
      <c r="K57" s="56"/>
      <c r="L57" s="57"/>
      <c r="M57" s="57"/>
      <c r="N57" s="57"/>
      <c r="O57" s="57"/>
      <c r="P57" s="57">
        <f>SUM(K57:O57)</f>
        <v>0</v>
      </c>
      <c r="Q57" s="58">
        <v>0</v>
      </c>
      <c r="R57" s="59">
        <f>0</f>
        <v>0</v>
      </c>
      <c r="S57" s="59">
        <f>0</f>
        <v>0</v>
      </c>
      <c r="T57" s="10"/>
      <c r="U57" s="17"/>
      <c r="V57" s="10"/>
      <c r="W57" s="10"/>
      <c r="X57" s="10"/>
    </row>
    <row r="58" spans="1:24">
      <c r="A58" s="2"/>
      <c r="B58" s="11"/>
      <c r="C58" s="10"/>
      <c r="D58" s="10"/>
      <c r="E58" s="10"/>
      <c r="F58" s="10"/>
      <c r="G58" s="10"/>
      <c r="H58" s="10"/>
      <c r="I58" s="10"/>
      <c r="J58" s="10" t="s">
        <v>42</v>
      </c>
      <c r="K58" s="63">
        <f>K50</f>
        <v>0</v>
      </c>
      <c r="L58" s="63">
        <f t="shared" ref="L58:Q59" si="12">L50</f>
        <v>0</v>
      </c>
      <c r="M58" s="63">
        <f t="shared" si="12"/>
        <v>0</v>
      </c>
      <c r="N58" s="63">
        <f t="shared" si="12"/>
        <v>0</v>
      </c>
      <c r="O58" s="63">
        <f t="shared" si="12"/>
        <v>0</v>
      </c>
      <c r="P58" s="63">
        <f t="shared" si="12"/>
        <v>0</v>
      </c>
      <c r="Q58" s="63">
        <f t="shared" si="12"/>
        <v>0</v>
      </c>
      <c r="R58" s="63"/>
      <c r="S58" s="10"/>
      <c r="T58" s="10"/>
      <c r="U58" s="17"/>
      <c r="V58" s="10"/>
      <c r="W58" s="10"/>
      <c r="X58" s="10"/>
    </row>
    <row r="59" spans="1:24">
      <c r="A59" s="2"/>
      <c r="B59" s="11"/>
      <c r="C59" s="10"/>
      <c r="D59" s="10"/>
      <c r="E59" s="10"/>
      <c r="F59" s="10"/>
      <c r="G59" s="10"/>
      <c r="H59" s="10"/>
      <c r="I59" s="10"/>
      <c r="J59" s="10" t="s">
        <v>44</v>
      </c>
      <c r="K59" s="63">
        <f>K51</f>
        <v>0</v>
      </c>
      <c r="L59" s="63">
        <f t="shared" si="12"/>
        <v>0</v>
      </c>
      <c r="M59" s="63">
        <f t="shared" si="12"/>
        <v>0</v>
      </c>
      <c r="N59" s="63">
        <f t="shared" si="12"/>
        <v>0</v>
      </c>
      <c r="O59" s="63">
        <f t="shared" si="12"/>
        <v>0</v>
      </c>
      <c r="P59" s="63">
        <f t="shared" si="12"/>
        <v>0</v>
      </c>
      <c r="Q59" s="63">
        <f t="shared" si="12"/>
        <v>0</v>
      </c>
      <c r="R59" s="63"/>
      <c r="S59" s="10"/>
      <c r="T59" s="10"/>
      <c r="U59" s="17"/>
      <c r="V59" s="10"/>
      <c r="W59" s="10"/>
      <c r="X59" s="10"/>
    </row>
    <row r="60" spans="1:24">
      <c r="A60" s="2"/>
      <c r="B60" s="11"/>
      <c r="C60" s="10"/>
      <c r="D60" s="10"/>
      <c r="E60" s="12"/>
      <c r="F60" s="76"/>
      <c r="G60" s="10"/>
      <c r="H60" s="10"/>
      <c r="I60" s="10"/>
      <c r="J60" s="10" t="s">
        <v>46</v>
      </c>
      <c r="K60" s="31" t="e">
        <f t="shared" ref="K60:Q60" si="13">K58/(K58+K59)</f>
        <v>#DIV/0!</v>
      </c>
      <c r="L60" s="31" t="e">
        <f t="shared" si="13"/>
        <v>#DIV/0!</v>
      </c>
      <c r="M60" s="31" t="e">
        <f t="shared" si="13"/>
        <v>#DIV/0!</v>
      </c>
      <c r="N60" s="31" t="e">
        <f t="shared" si="13"/>
        <v>#DIV/0!</v>
      </c>
      <c r="O60" s="31" t="e">
        <f t="shared" si="13"/>
        <v>#DIV/0!</v>
      </c>
      <c r="P60" s="31" t="e">
        <f t="shared" si="13"/>
        <v>#DIV/0!</v>
      </c>
      <c r="Q60" s="31" t="e">
        <f t="shared" si="13"/>
        <v>#DIV/0!</v>
      </c>
      <c r="R60" s="63"/>
      <c r="S60" s="10"/>
      <c r="T60" s="10"/>
      <c r="U60" s="17"/>
      <c r="V60" s="10"/>
      <c r="W60" s="10"/>
      <c r="X60" s="10"/>
    </row>
    <row r="61" spans="1:24">
      <c r="A61" s="2"/>
      <c r="B61" s="11"/>
      <c r="C61" s="10"/>
      <c r="D61" s="10"/>
      <c r="E61" s="10"/>
      <c r="F61" s="10"/>
      <c r="G61" s="10"/>
      <c r="H61" s="10"/>
      <c r="I61" s="10"/>
      <c r="J61" s="10" t="s">
        <v>48</v>
      </c>
      <c r="K61" s="66" t="e">
        <f t="shared" ref="K61:Q61" si="14">K57/K58</f>
        <v>#DIV/0!</v>
      </c>
      <c r="L61" s="66" t="e">
        <f t="shared" si="14"/>
        <v>#DIV/0!</v>
      </c>
      <c r="M61" s="66" t="e">
        <f t="shared" si="14"/>
        <v>#DIV/0!</v>
      </c>
      <c r="N61" s="66" t="e">
        <f t="shared" si="14"/>
        <v>#DIV/0!</v>
      </c>
      <c r="O61" s="66" t="e">
        <f t="shared" si="14"/>
        <v>#DIV/0!</v>
      </c>
      <c r="P61" s="66" t="e">
        <f t="shared" si="14"/>
        <v>#DIV/0!</v>
      </c>
      <c r="Q61" s="66" t="e">
        <f t="shared" si="14"/>
        <v>#DIV/0!</v>
      </c>
      <c r="R61" s="63"/>
      <c r="S61" s="10"/>
      <c r="T61" s="10"/>
      <c r="U61" s="17"/>
      <c r="V61" s="10"/>
      <c r="W61" s="10"/>
      <c r="X61" s="10"/>
    </row>
    <row r="62" spans="1:24">
      <c r="A62" s="2"/>
      <c r="B62" s="11"/>
      <c r="C62" s="10"/>
      <c r="D62" s="10"/>
      <c r="E62" s="10"/>
      <c r="F62" s="10"/>
      <c r="G62" s="10"/>
      <c r="H62" s="10"/>
      <c r="I62" s="10"/>
      <c r="J62" s="10"/>
      <c r="K62" s="10"/>
      <c r="L62" s="10"/>
      <c r="M62" s="10"/>
      <c r="N62" s="10"/>
      <c r="O62" s="10"/>
      <c r="P62" s="10"/>
      <c r="Q62" s="10"/>
      <c r="R62" s="10"/>
      <c r="S62" s="10"/>
      <c r="T62" s="10"/>
      <c r="U62" s="17"/>
      <c r="V62" s="10"/>
      <c r="W62" s="10"/>
      <c r="X62" s="10"/>
    </row>
    <row r="63" spans="1:24">
      <c r="A63" s="2"/>
      <c r="B63" s="11"/>
      <c r="C63" s="10"/>
      <c r="D63" s="10"/>
      <c r="E63" s="10"/>
      <c r="F63" s="10"/>
      <c r="G63" s="10"/>
      <c r="H63" s="10"/>
      <c r="I63" s="10"/>
      <c r="J63" s="10"/>
      <c r="K63" s="10"/>
      <c r="L63" s="10"/>
      <c r="M63" s="10"/>
      <c r="N63" s="10"/>
      <c r="O63" s="10"/>
      <c r="P63" s="10"/>
      <c r="Q63" s="10"/>
      <c r="R63" s="10"/>
      <c r="S63" s="10"/>
      <c r="T63" s="10"/>
      <c r="U63" s="17"/>
      <c r="V63" s="10"/>
      <c r="W63" s="10"/>
      <c r="X63" s="10"/>
    </row>
    <row r="64" spans="1:24">
      <c r="A64" s="2"/>
      <c r="B64" s="18" t="s">
        <v>51</v>
      </c>
      <c r="C64" s="14"/>
      <c r="D64" s="14"/>
      <c r="E64" s="14"/>
      <c r="F64" s="13" t="s">
        <v>52</v>
      </c>
      <c r="G64" s="14"/>
      <c r="H64" s="14"/>
      <c r="I64" s="14"/>
      <c r="J64" s="14"/>
      <c r="K64" s="13" t="s">
        <v>3</v>
      </c>
      <c r="L64" s="14"/>
      <c r="M64" s="14"/>
      <c r="N64" s="13" t="s">
        <v>4</v>
      </c>
      <c r="O64" s="14"/>
      <c r="P64" s="14"/>
      <c r="Q64" s="13" t="s">
        <v>5</v>
      </c>
      <c r="R64" s="14"/>
      <c r="S64" s="14"/>
      <c r="T64" s="18"/>
      <c r="U64" s="16" t="s">
        <v>53</v>
      </c>
      <c r="V64" s="77"/>
      <c r="W64" s="77"/>
      <c r="X64" s="77"/>
    </row>
    <row r="65" spans="1:27">
      <c r="A65" s="2"/>
      <c r="B65" s="24" t="s">
        <v>54</v>
      </c>
      <c r="C65" s="21" t="s">
        <v>55</v>
      </c>
      <c r="D65" s="21" t="s">
        <v>56</v>
      </c>
      <c r="E65" s="21" t="s">
        <v>57</v>
      </c>
      <c r="F65" s="20" t="s">
        <v>58</v>
      </c>
      <c r="G65" s="21" t="s">
        <v>59</v>
      </c>
      <c r="H65" s="21" t="s">
        <v>60</v>
      </c>
      <c r="I65" s="21" t="s">
        <v>26</v>
      </c>
      <c r="J65" s="22" t="s">
        <v>61</v>
      </c>
      <c r="K65" s="21" t="s">
        <v>8</v>
      </c>
      <c r="L65" s="21" t="s">
        <v>9</v>
      </c>
      <c r="M65" s="21" t="s">
        <v>10</v>
      </c>
      <c r="N65" s="20" t="s">
        <v>11</v>
      </c>
      <c r="O65" s="21" t="s">
        <v>12</v>
      </c>
      <c r="P65" s="22" t="s">
        <v>13</v>
      </c>
      <c r="Q65" s="21" t="s">
        <v>11</v>
      </c>
      <c r="R65" s="21" t="s">
        <v>12</v>
      </c>
      <c r="S65" s="21" t="s">
        <v>13</v>
      </c>
      <c r="T65" s="78" t="s">
        <v>14</v>
      </c>
      <c r="U65" s="30"/>
      <c r="V65" s="79" t="s">
        <v>62</v>
      </c>
      <c r="W65" s="80" t="s">
        <v>63</v>
      </c>
      <c r="X65" s="81" t="s">
        <v>64</v>
      </c>
    </row>
    <row r="66" spans="1:27">
      <c r="A66" s="2"/>
      <c r="B66" s="4" t="s">
        <v>65</v>
      </c>
      <c r="C66" s="6"/>
      <c r="D66" s="6"/>
      <c r="E66" s="6"/>
      <c r="F66" s="6"/>
      <c r="G66" s="6"/>
      <c r="H66" s="6"/>
      <c r="I66" s="82"/>
      <c r="J66" s="6"/>
      <c r="K66" s="6"/>
      <c r="L66" s="6"/>
      <c r="M66" s="6"/>
      <c r="N66" s="6"/>
      <c r="O66" s="6"/>
      <c r="P66" s="6"/>
      <c r="Q66" s="6"/>
      <c r="R66" s="6"/>
      <c r="S66" s="6"/>
      <c r="T66" s="83"/>
      <c r="U66" s="6"/>
      <c r="V66" s="84"/>
      <c r="W66" s="85"/>
      <c r="X66" s="86"/>
    </row>
    <row r="67" spans="1:27">
      <c r="A67" s="2"/>
      <c r="B67" s="87">
        <v>1</v>
      </c>
      <c r="C67" s="262"/>
      <c r="D67" s="271"/>
      <c r="E67" s="271"/>
      <c r="F67" s="265"/>
      <c r="G67" s="265"/>
      <c r="H67" s="365"/>
      <c r="I67" s="272">
        <f t="shared" ref="I67" si="15">F67-G67-H67</f>
        <v>0</v>
      </c>
      <c r="J67" s="267"/>
      <c r="K67" s="267"/>
      <c r="L67" s="267"/>
      <c r="M67" s="267"/>
      <c r="N67" s="267"/>
      <c r="O67" s="267"/>
      <c r="P67" s="267"/>
      <c r="Q67" s="267"/>
      <c r="R67" s="267"/>
      <c r="S67" s="269"/>
      <c r="T67" s="63"/>
      <c r="U67" s="10"/>
      <c r="V67" s="90"/>
      <c r="W67" s="91"/>
      <c r="X67" s="92"/>
    </row>
    <row r="68" spans="1:27">
      <c r="A68" s="2"/>
      <c r="B68" s="87"/>
      <c r="C68" s="36"/>
      <c r="D68" s="10"/>
      <c r="E68" s="10"/>
      <c r="F68" s="97">
        <f>SUM(F67:F67)</f>
        <v>0</v>
      </c>
      <c r="G68" s="97">
        <f>SUM(G67:G67)</f>
        <v>0</v>
      </c>
      <c r="H68" s="97">
        <f>SUM(H67:H67)</f>
        <v>0</v>
      </c>
      <c r="I68" s="98">
        <f>SUM(I67:I67)</f>
        <v>0</v>
      </c>
      <c r="J68" s="63"/>
      <c r="K68" s="63">
        <f>COUNT(K67:K67)</f>
        <v>0</v>
      </c>
      <c r="L68" s="63">
        <f>COUNT(L67:L67)</f>
        <v>0</v>
      </c>
      <c r="M68" s="63">
        <f>COUNT(M67:M67)</f>
        <v>0</v>
      </c>
      <c r="N68" s="63">
        <f>COUNT(N67:N67)</f>
        <v>0</v>
      </c>
      <c r="O68" s="63">
        <f>COUNT(O67:O67)</f>
        <v>0</v>
      </c>
      <c r="P68" s="63">
        <f>COUNT(P67:P67)</f>
        <v>0</v>
      </c>
      <c r="Q68" s="63">
        <f>COUNT(Q67:Q67)</f>
        <v>0</v>
      </c>
      <c r="R68" s="63">
        <f>COUNT(R67:R67)</f>
        <v>0</v>
      </c>
      <c r="S68" s="63">
        <f>COUNT(S67:S67)</f>
        <v>0</v>
      </c>
      <c r="T68" s="63"/>
      <c r="U68" s="10"/>
      <c r="V68" s="90"/>
      <c r="W68" s="91"/>
      <c r="X68" s="92"/>
    </row>
    <row r="69" spans="1:27">
      <c r="A69" s="2"/>
      <c r="B69" s="87"/>
      <c r="C69" s="36"/>
      <c r="D69" s="10"/>
      <c r="E69" s="10"/>
      <c r="F69" s="88"/>
      <c r="G69" s="88"/>
      <c r="H69" s="88"/>
      <c r="I69" s="99"/>
      <c r="J69" s="63"/>
      <c r="K69" s="21">
        <f>SUM(K67:K67)</f>
        <v>0</v>
      </c>
      <c r="L69" s="21">
        <f>SUM(L67:L67)</f>
        <v>0</v>
      </c>
      <c r="M69" s="21">
        <f>SUM(M67:M67)</f>
        <v>0</v>
      </c>
      <c r="N69" s="21">
        <f>SUM(N67:N67)</f>
        <v>0</v>
      </c>
      <c r="O69" s="21">
        <f>SUM(O67:O67)</f>
        <v>0</v>
      </c>
      <c r="P69" s="21">
        <f>SUM(P67:P67)</f>
        <v>0</v>
      </c>
      <c r="Q69" s="21">
        <f>SUM(Q67:Q67)</f>
        <v>0</v>
      </c>
      <c r="R69" s="21">
        <f>SUM(R67:R67)</f>
        <v>0</v>
      </c>
      <c r="S69" s="21">
        <f>SUM(S67:S67)</f>
        <v>0</v>
      </c>
      <c r="T69" s="63"/>
      <c r="U69" s="10"/>
      <c r="V69" s="90"/>
      <c r="W69" s="91"/>
      <c r="X69" s="92"/>
    </row>
    <row r="70" spans="1:27">
      <c r="B70" s="100" t="s">
        <v>152</v>
      </c>
      <c r="C70" s="122"/>
      <c r="D70" s="123"/>
      <c r="E70" s="128"/>
      <c r="F70" s="124"/>
      <c r="G70" s="124"/>
      <c r="H70" s="124"/>
      <c r="I70" s="126"/>
      <c r="J70" s="127"/>
      <c r="K70" s="64"/>
      <c r="L70" s="64"/>
      <c r="M70" s="64"/>
      <c r="N70" s="64"/>
      <c r="O70" s="64"/>
      <c r="P70" s="64"/>
      <c r="Q70" s="64"/>
      <c r="R70" s="64"/>
      <c r="S70" s="64"/>
      <c r="T70" s="127"/>
      <c r="U70" s="135"/>
      <c r="V70" s="129"/>
      <c r="W70" s="130"/>
      <c r="X70" s="131"/>
    </row>
    <row r="71" spans="1:27" s="260" customFormat="1">
      <c r="A71" s="530">
        <v>45887</v>
      </c>
      <c r="B71" s="87">
        <v>1</v>
      </c>
      <c r="C71" s="262">
        <v>45884</v>
      </c>
      <c r="D71" s="263">
        <v>72353</v>
      </c>
      <c r="E71" s="271" t="s">
        <v>149</v>
      </c>
      <c r="F71" s="265">
        <v>1675</v>
      </c>
      <c r="G71" s="265">
        <f>450+(126.6)+200</f>
        <v>776.6</v>
      </c>
      <c r="H71" s="265"/>
      <c r="I71" s="266">
        <f>F71-G71-H71</f>
        <v>898.4</v>
      </c>
      <c r="J71" s="267" t="s">
        <v>150</v>
      </c>
      <c r="K71" s="267">
        <v>1</v>
      </c>
      <c r="L71" s="267">
        <v>1</v>
      </c>
      <c r="M71" s="267">
        <v>1</v>
      </c>
      <c r="N71" s="267">
        <v>1</v>
      </c>
      <c r="O71" s="267">
        <v>1</v>
      </c>
      <c r="P71" s="314">
        <v>0</v>
      </c>
      <c r="Q71" s="267">
        <v>1</v>
      </c>
      <c r="R71" s="267">
        <v>1</v>
      </c>
      <c r="S71" s="366">
        <v>0</v>
      </c>
      <c r="T71" s="63"/>
      <c r="U71" s="94" t="s">
        <v>151</v>
      </c>
      <c r="V71" s="90"/>
      <c r="W71" s="456">
        <f>1457</f>
        <v>1457</v>
      </c>
      <c r="X71" s="137"/>
    </row>
    <row r="72" spans="1:27" s="260" customFormat="1">
      <c r="B72" s="11"/>
      <c r="C72" s="36"/>
      <c r="D72" s="10"/>
      <c r="E72" s="10"/>
      <c r="F72" s="97">
        <f>SUM(F71:F71)</f>
        <v>1675</v>
      </c>
      <c r="G72" s="97">
        <f>SUM(G71:G71)</f>
        <v>776.6</v>
      </c>
      <c r="H72" s="97">
        <f>SUM(H71:H71)</f>
        <v>0</v>
      </c>
      <c r="I72" s="98">
        <f>SUM(I71:I71)</f>
        <v>898.4</v>
      </c>
      <c r="J72" s="63"/>
      <c r="K72" s="21"/>
      <c r="L72" s="21"/>
      <c r="M72" s="21"/>
      <c r="N72" s="21"/>
      <c r="O72" s="21"/>
      <c r="P72" s="21"/>
      <c r="Q72" s="21"/>
      <c r="R72" s="21"/>
      <c r="S72" s="21"/>
      <c r="T72" s="63"/>
      <c r="U72" s="94"/>
      <c r="V72" s="90"/>
      <c r="W72" s="91"/>
      <c r="X72" s="92"/>
    </row>
    <row r="73" spans="1:27">
      <c r="A73" s="2"/>
      <c r="B73" s="26"/>
      <c r="C73" s="140"/>
      <c r="D73" s="141"/>
      <c r="E73" s="141"/>
      <c r="F73" s="141"/>
      <c r="G73" s="141"/>
      <c r="H73" s="141"/>
      <c r="I73" s="141"/>
      <c r="J73" s="141"/>
      <c r="K73" s="142"/>
      <c r="L73" s="142"/>
      <c r="M73" s="142"/>
      <c r="N73" s="142"/>
      <c r="O73" s="142"/>
      <c r="P73" s="142"/>
      <c r="Q73" s="142"/>
      <c r="R73" s="142"/>
      <c r="S73" s="142"/>
      <c r="T73" s="143">
        <f>SUM(T67:T72)</f>
        <v>0</v>
      </c>
      <c r="U73" s="141"/>
      <c r="V73" s="144">
        <f>SUM(V67:V72)</f>
        <v>0</v>
      </c>
      <c r="W73" s="145">
        <f>SUM(W67:W72)</f>
        <v>1457</v>
      </c>
      <c r="X73" s="146">
        <f>SUM(X67:X72)</f>
        <v>0</v>
      </c>
    </row>
    <row r="76" spans="1:27">
      <c r="A76" s="3"/>
      <c r="B76" s="4" t="s">
        <v>1</v>
      </c>
      <c r="C76" s="5"/>
      <c r="D76" s="6"/>
      <c r="E76" s="6"/>
      <c r="F76" s="7" t="s">
        <v>2</v>
      </c>
      <c r="G76" s="8">
        <v>45900</v>
      </c>
      <c r="H76" s="7"/>
      <c r="I76" s="6"/>
      <c r="J76" s="6"/>
      <c r="K76" s="6"/>
      <c r="L76" s="6"/>
      <c r="M76" s="6"/>
      <c r="N76" s="6"/>
      <c r="O76" s="6"/>
      <c r="P76" s="6"/>
      <c r="Q76" s="6"/>
      <c r="R76" s="6"/>
      <c r="S76" s="6"/>
      <c r="T76" s="6"/>
      <c r="U76" s="9"/>
      <c r="V76" s="10"/>
      <c r="W76" s="10"/>
      <c r="X76" s="10"/>
      <c r="Y76" s="2"/>
      <c r="Z76" s="2"/>
      <c r="AA76" s="2"/>
    </row>
    <row r="77" spans="1:27">
      <c r="A77" s="2"/>
      <c r="B77" s="11"/>
      <c r="C77" s="10"/>
      <c r="D77" s="10"/>
      <c r="E77" s="10"/>
      <c r="F77" s="10"/>
      <c r="G77" s="7"/>
      <c r="H77" s="12"/>
      <c r="I77" s="10"/>
      <c r="J77" s="10"/>
      <c r="K77" s="13" t="s">
        <v>3</v>
      </c>
      <c r="L77" s="14"/>
      <c r="M77" s="15"/>
      <c r="N77" s="13" t="s">
        <v>4</v>
      </c>
      <c r="O77" s="14"/>
      <c r="P77" s="15"/>
      <c r="Q77" s="13" t="s">
        <v>5</v>
      </c>
      <c r="R77" s="14"/>
      <c r="S77" s="15"/>
      <c r="T77" s="16"/>
      <c r="U77" s="17"/>
      <c r="V77" s="10"/>
      <c r="W77" s="10"/>
      <c r="X77" s="10"/>
      <c r="Y77" s="2"/>
      <c r="Z77" s="2"/>
      <c r="AA77" s="2"/>
    </row>
    <row r="78" spans="1:27">
      <c r="A78" s="2"/>
      <c r="B78" s="18" t="s">
        <v>6</v>
      </c>
      <c r="C78" s="19">
        <f>C79+C80</f>
        <v>0</v>
      </c>
      <c r="D78" s="10"/>
      <c r="E78" s="18" t="s">
        <v>7</v>
      </c>
      <c r="F78" s="6"/>
      <c r="G78" s="9"/>
      <c r="H78" s="10"/>
      <c r="I78" s="10"/>
      <c r="J78" s="10"/>
      <c r="K78" s="20" t="s">
        <v>8</v>
      </c>
      <c r="L78" s="21" t="s">
        <v>9</v>
      </c>
      <c r="M78" s="21" t="s">
        <v>10</v>
      </c>
      <c r="N78" s="20" t="s">
        <v>11</v>
      </c>
      <c r="O78" s="21" t="s">
        <v>12</v>
      </c>
      <c r="P78" s="22" t="s">
        <v>13</v>
      </c>
      <c r="Q78" s="21" t="s">
        <v>11</v>
      </c>
      <c r="R78" s="21" t="s">
        <v>12</v>
      </c>
      <c r="S78" s="22" t="s">
        <v>13</v>
      </c>
      <c r="T78" s="23" t="s">
        <v>14</v>
      </c>
      <c r="U78" s="17"/>
      <c r="V78" s="10"/>
      <c r="W78" s="10"/>
      <c r="X78" s="10"/>
      <c r="Y78" s="2"/>
      <c r="Z78" s="2"/>
      <c r="AA78" s="2"/>
    </row>
    <row r="79" spans="1:27">
      <c r="A79" s="2"/>
      <c r="B79" s="24" t="s">
        <v>15</v>
      </c>
      <c r="C79" s="25">
        <f>P86</f>
        <v>0</v>
      </c>
      <c r="D79" s="10"/>
      <c r="E79" s="26" t="s">
        <v>16</v>
      </c>
      <c r="F79" s="27">
        <v>0.05</v>
      </c>
      <c r="G79" s="28"/>
      <c r="H79" s="10"/>
      <c r="I79" s="10"/>
      <c r="J79" s="18" t="s">
        <v>17</v>
      </c>
      <c r="K79" s="29">
        <f>K105</f>
        <v>0</v>
      </c>
      <c r="L79" s="29">
        <f t="shared" ref="L79:S79" si="16">L105</f>
        <v>0</v>
      </c>
      <c r="M79" s="29">
        <f t="shared" si="16"/>
        <v>0</v>
      </c>
      <c r="N79" s="29">
        <f t="shared" si="16"/>
        <v>0</v>
      </c>
      <c r="O79" s="29">
        <f t="shared" si="16"/>
        <v>0</v>
      </c>
      <c r="P79" s="29">
        <f t="shared" si="16"/>
        <v>0</v>
      </c>
      <c r="Q79" s="29">
        <f t="shared" si="16"/>
        <v>0</v>
      </c>
      <c r="R79" s="29">
        <f t="shared" si="16"/>
        <v>0</v>
      </c>
      <c r="S79" s="29">
        <f t="shared" si="16"/>
        <v>0</v>
      </c>
      <c r="T79" s="30">
        <f>T110</f>
        <v>0</v>
      </c>
      <c r="U79" s="17"/>
      <c r="V79" s="10"/>
      <c r="W79" s="10"/>
      <c r="X79" s="10"/>
      <c r="Y79" s="2"/>
      <c r="Z79" s="2"/>
      <c r="AA79" s="2"/>
    </row>
    <row r="80" spans="1:27">
      <c r="A80" s="2"/>
      <c r="B80" s="24" t="s">
        <v>18</v>
      </c>
      <c r="C80" s="25">
        <f>P87</f>
        <v>0</v>
      </c>
      <c r="D80" s="10"/>
      <c r="E80" s="10"/>
      <c r="F80" s="10"/>
      <c r="G80" s="31"/>
      <c r="H80" s="10"/>
      <c r="I80" s="10"/>
      <c r="J80" s="32" t="s">
        <v>19</v>
      </c>
      <c r="K80" s="33" t="e">
        <f>K105/K104</f>
        <v>#DIV/0!</v>
      </c>
      <c r="L80" s="33" t="e">
        <f t="shared" ref="L80:S80" si="17">L105/L104</f>
        <v>#DIV/0!</v>
      </c>
      <c r="M80" s="33" t="e">
        <f t="shared" si="17"/>
        <v>#DIV/0!</v>
      </c>
      <c r="N80" s="33" t="e">
        <f t="shared" si="17"/>
        <v>#DIV/0!</v>
      </c>
      <c r="O80" s="33" t="e">
        <f t="shared" si="17"/>
        <v>#DIV/0!</v>
      </c>
      <c r="P80" s="33" t="e">
        <f t="shared" si="17"/>
        <v>#DIV/0!</v>
      </c>
      <c r="Q80" s="33" t="e">
        <f t="shared" si="17"/>
        <v>#DIV/0!</v>
      </c>
      <c r="R80" s="33" t="e">
        <f t="shared" si="17"/>
        <v>#DIV/0!</v>
      </c>
      <c r="S80" s="33" t="e">
        <f t="shared" si="17"/>
        <v>#DIV/0!</v>
      </c>
      <c r="T80" s="23"/>
      <c r="U80" s="17" t="s">
        <v>20</v>
      </c>
      <c r="V80" s="10"/>
      <c r="W80" s="10"/>
      <c r="X80" s="10"/>
      <c r="Y80" s="2"/>
      <c r="Z80" s="2"/>
      <c r="AA80" s="2"/>
    </row>
    <row r="81" spans="1:27">
      <c r="A81" s="2"/>
      <c r="B81" s="24" t="s">
        <v>21</v>
      </c>
      <c r="C81" s="34" t="e">
        <f>P88</f>
        <v>#DIV/0!</v>
      </c>
      <c r="D81" s="10"/>
      <c r="E81" s="10"/>
      <c r="F81" s="10"/>
      <c r="G81" s="10"/>
      <c r="H81" s="10"/>
      <c r="I81" s="10"/>
      <c r="J81" s="10"/>
      <c r="K81" s="10"/>
      <c r="L81" s="10"/>
      <c r="M81" s="10"/>
      <c r="N81" s="10"/>
      <c r="O81" s="10"/>
      <c r="P81" s="10"/>
      <c r="Q81" s="10"/>
      <c r="R81" s="10"/>
      <c r="S81" s="10"/>
      <c r="T81" s="10"/>
      <c r="U81" s="17"/>
      <c r="V81" s="10"/>
      <c r="W81" s="10"/>
      <c r="X81" s="10"/>
      <c r="Y81" s="2"/>
      <c r="Z81" s="2"/>
      <c r="AA81" s="2"/>
    </row>
    <row r="82" spans="1:27">
      <c r="A82" s="2"/>
      <c r="B82" s="24"/>
      <c r="C82" s="25"/>
      <c r="D82" s="10"/>
      <c r="E82" s="10"/>
      <c r="F82" s="18" t="s">
        <v>22</v>
      </c>
      <c r="G82" s="19" t="s">
        <v>23</v>
      </c>
      <c r="H82" s="35" t="s">
        <v>24</v>
      </c>
      <c r="I82" s="10"/>
      <c r="J82" s="10"/>
      <c r="K82" s="36"/>
      <c r="L82" s="36"/>
      <c r="M82" s="36"/>
      <c r="N82" s="36"/>
      <c r="O82" s="36"/>
      <c r="P82" s="36"/>
      <c r="Q82" s="36"/>
      <c r="R82" s="10"/>
      <c r="S82" s="10"/>
      <c r="T82" s="10"/>
      <c r="U82" s="17"/>
      <c r="V82" s="10"/>
      <c r="W82" s="10"/>
      <c r="X82" s="10"/>
      <c r="Y82" s="2"/>
      <c r="Z82" s="2"/>
      <c r="AA82" s="2"/>
    </row>
    <row r="83" spans="1:27">
      <c r="A83" s="2"/>
      <c r="B83" s="32" t="s">
        <v>25</v>
      </c>
      <c r="C83" s="37" t="e">
        <f>P89</f>
        <v>#DIV/0!</v>
      </c>
      <c r="D83" s="10"/>
      <c r="E83" s="18" t="s">
        <v>26</v>
      </c>
      <c r="F83" s="38">
        <f>P85</f>
        <v>0</v>
      </c>
      <c r="G83" s="39">
        <f>I104</f>
        <v>0</v>
      </c>
      <c r="H83" s="40"/>
      <c r="I83" s="41"/>
      <c r="J83" s="42"/>
      <c r="K83" s="43" t="s">
        <v>27</v>
      </c>
      <c r="L83" s="44"/>
      <c r="M83" s="44"/>
      <c r="N83" s="44"/>
      <c r="O83" s="44"/>
      <c r="P83" s="44"/>
      <c r="Q83" s="45"/>
      <c r="R83" s="46" t="s">
        <v>28</v>
      </c>
      <c r="S83" s="47" t="s">
        <v>29</v>
      </c>
      <c r="T83" s="10"/>
      <c r="U83" s="17"/>
      <c r="V83" s="10"/>
      <c r="W83" s="10"/>
      <c r="X83" s="10"/>
      <c r="Y83" s="2"/>
      <c r="Z83" s="2"/>
      <c r="AA83" s="2"/>
    </row>
    <row r="84" spans="1:27">
      <c r="A84" s="2"/>
      <c r="B84" s="11"/>
      <c r="C84" s="10"/>
      <c r="D84" s="10"/>
      <c r="E84" s="24" t="s">
        <v>30</v>
      </c>
      <c r="F84" s="48">
        <f>F79</f>
        <v>0.05</v>
      </c>
      <c r="G84" s="17"/>
      <c r="H84" s="40"/>
      <c r="I84" s="41"/>
      <c r="J84" s="42"/>
      <c r="K84" s="20" t="s">
        <v>31</v>
      </c>
      <c r="L84" s="21" t="s">
        <v>32</v>
      </c>
      <c r="M84" s="21" t="s">
        <v>33</v>
      </c>
      <c r="N84" s="21" t="s">
        <v>34</v>
      </c>
      <c r="O84" s="21" t="s">
        <v>35</v>
      </c>
      <c r="P84" s="21" t="s">
        <v>36</v>
      </c>
      <c r="Q84" s="49" t="s">
        <v>37</v>
      </c>
      <c r="R84" s="50" t="s">
        <v>38</v>
      </c>
      <c r="S84" s="50" t="s">
        <v>38</v>
      </c>
      <c r="T84" s="10"/>
      <c r="U84" s="17"/>
      <c r="V84" s="10"/>
      <c r="W84" s="10"/>
      <c r="X84" s="10"/>
      <c r="Y84" s="2"/>
      <c r="Z84" s="2"/>
      <c r="AA84" s="2"/>
    </row>
    <row r="85" spans="1:27">
      <c r="A85" s="2"/>
      <c r="B85" s="11"/>
      <c r="C85" s="10"/>
      <c r="D85" s="10"/>
      <c r="E85" s="51" t="s">
        <v>39</v>
      </c>
      <c r="F85" s="52">
        <f>F83*F84</f>
        <v>0</v>
      </c>
      <c r="G85" s="53" t="s">
        <v>40</v>
      </c>
      <c r="H85" s="54">
        <f>F85/1.12</f>
        <v>0</v>
      </c>
      <c r="I85" s="55"/>
      <c r="J85" s="42"/>
      <c r="K85" s="56">
        <v>0</v>
      </c>
      <c r="L85" s="57">
        <v>0</v>
      </c>
      <c r="M85" s="57">
        <v>0</v>
      </c>
      <c r="N85" s="57">
        <v>0</v>
      </c>
      <c r="O85" s="57">
        <v>0</v>
      </c>
      <c r="P85" s="57">
        <f>SUM(K85:O85)</f>
        <v>0</v>
      </c>
      <c r="Q85" s="58">
        <v>0</v>
      </c>
      <c r="R85" s="59">
        <v>0</v>
      </c>
      <c r="S85" s="59">
        <v>0</v>
      </c>
      <c r="T85" s="10"/>
      <c r="U85" s="17"/>
      <c r="V85" s="10"/>
      <c r="W85" s="10"/>
      <c r="X85" s="10"/>
      <c r="Y85" s="2"/>
      <c r="Z85" s="2"/>
      <c r="AA85" s="2"/>
    </row>
    <row r="86" spans="1:27">
      <c r="A86" s="2"/>
      <c r="B86" s="11"/>
      <c r="C86" s="10"/>
      <c r="D86" s="10"/>
      <c r="E86" s="24" t="s">
        <v>41</v>
      </c>
      <c r="F86" s="60">
        <f>Q85</f>
        <v>0</v>
      </c>
      <c r="G86" s="61" t="s">
        <v>40</v>
      </c>
      <c r="H86" s="62"/>
      <c r="I86" s="62"/>
      <c r="J86" s="10" t="s">
        <v>42</v>
      </c>
      <c r="K86" s="63">
        <v>0</v>
      </c>
      <c r="L86" s="63">
        <v>0</v>
      </c>
      <c r="M86" s="63">
        <v>0</v>
      </c>
      <c r="N86" s="63">
        <v>0</v>
      </c>
      <c r="O86" s="63">
        <v>0</v>
      </c>
      <c r="P86" s="21">
        <f>SUM(K86:O86)</f>
        <v>0</v>
      </c>
      <c r="Q86" s="64"/>
      <c r="R86" s="63"/>
      <c r="S86" s="10"/>
      <c r="T86" s="10"/>
      <c r="U86" s="17"/>
      <c r="V86" s="10"/>
      <c r="W86" s="10"/>
      <c r="X86" s="10"/>
      <c r="Y86" s="2"/>
      <c r="Z86" s="2"/>
      <c r="AA86" s="2"/>
    </row>
    <row r="87" spans="1:27">
      <c r="A87" s="2"/>
      <c r="B87" s="11"/>
      <c r="C87" s="10"/>
      <c r="D87" s="10"/>
      <c r="E87" s="51" t="s">
        <v>43</v>
      </c>
      <c r="F87" s="52">
        <f>F86*0.25</f>
        <v>0</v>
      </c>
      <c r="G87" s="53" t="s">
        <v>40</v>
      </c>
      <c r="H87" s="54">
        <f>F87/1.12</f>
        <v>0</v>
      </c>
      <c r="I87" s="10"/>
      <c r="J87" s="10" t="s">
        <v>44</v>
      </c>
      <c r="K87" s="63">
        <v>0</v>
      </c>
      <c r="L87" s="63">
        <v>0</v>
      </c>
      <c r="M87" s="63">
        <v>0</v>
      </c>
      <c r="N87" s="63">
        <v>0</v>
      </c>
      <c r="O87" s="63">
        <v>0</v>
      </c>
      <c r="P87" s="21">
        <f>SUM(K87:O87)</f>
        <v>0</v>
      </c>
      <c r="Q87" s="64"/>
      <c r="R87" s="63"/>
      <c r="S87" s="10"/>
      <c r="T87" s="10"/>
      <c r="U87" s="17"/>
      <c r="V87" s="10"/>
      <c r="W87" s="10"/>
      <c r="X87" s="10"/>
      <c r="Y87" s="2"/>
      <c r="Z87" s="2"/>
      <c r="AA87" s="2"/>
    </row>
    <row r="88" spans="1:27">
      <c r="A88" s="2"/>
      <c r="B88" s="11"/>
      <c r="C88" s="10"/>
      <c r="D88" s="10"/>
      <c r="E88" s="24" t="s">
        <v>45</v>
      </c>
      <c r="F88" s="60">
        <f>I108</f>
        <v>898.4</v>
      </c>
      <c r="G88" s="61" t="s">
        <v>40</v>
      </c>
      <c r="H88" s="62"/>
      <c r="I88" s="10"/>
      <c r="J88" s="10" t="s">
        <v>46</v>
      </c>
      <c r="K88" s="31" t="e">
        <f t="shared" ref="K88:Q88" si="18">K86/(K86+K87)</f>
        <v>#DIV/0!</v>
      </c>
      <c r="L88" s="31" t="e">
        <f t="shared" si="18"/>
        <v>#DIV/0!</v>
      </c>
      <c r="M88" s="31" t="e">
        <f t="shared" si="18"/>
        <v>#DIV/0!</v>
      </c>
      <c r="N88" s="31" t="e">
        <f t="shared" si="18"/>
        <v>#DIV/0!</v>
      </c>
      <c r="O88" s="31" t="e">
        <f t="shared" si="18"/>
        <v>#DIV/0!</v>
      </c>
      <c r="P88" s="31" t="e">
        <f t="shared" si="18"/>
        <v>#DIV/0!</v>
      </c>
      <c r="Q88" s="31" t="e">
        <f t="shared" si="18"/>
        <v>#DIV/0!</v>
      </c>
      <c r="R88" s="63"/>
      <c r="S88" s="10"/>
      <c r="T88" s="10"/>
      <c r="U88" s="17"/>
      <c r="V88" s="10"/>
      <c r="W88" s="10"/>
      <c r="X88" s="10"/>
      <c r="Y88" s="2"/>
      <c r="Z88" s="2"/>
      <c r="AA88" s="2"/>
    </row>
    <row r="89" spans="1:27">
      <c r="A89" s="2"/>
      <c r="B89" s="11"/>
      <c r="C89" s="10"/>
      <c r="D89" s="10"/>
      <c r="E89" s="51" t="s">
        <v>47</v>
      </c>
      <c r="F89" s="52">
        <f>F88*0.05</f>
        <v>44.92</v>
      </c>
      <c r="G89" s="65" t="s">
        <v>40</v>
      </c>
      <c r="H89" s="54">
        <f>F89/1.12</f>
        <v>40.107142857142854</v>
      </c>
      <c r="I89" s="42"/>
      <c r="J89" s="10" t="s">
        <v>48</v>
      </c>
      <c r="K89" s="66" t="e">
        <f>K85/K86</f>
        <v>#DIV/0!</v>
      </c>
      <c r="L89" s="66" t="e">
        <f t="shared" ref="L89:Q89" si="19">L85/L86</f>
        <v>#DIV/0!</v>
      </c>
      <c r="M89" s="66" t="e">
        <f t="shared" si="19"/>
        <v>#DIV/0!</v>
      </c>
      <c r="N89" s="66" t="e">
        <f t="shared" si="19"/>
        <v>#DIV/0!</v>
      </c>
      <c r="O89" s="66" t="e">
        <f t="shared" si="19"/>
        <v>#DIV/0!</v>
      </c>
      <c r="P89" s="66" t="e">
        <f t="shared" si="19"/>
        <v>#DIV/0!</v>
      </c>
      <c r="Q89" s="66" t="e">
        <f t="shared" si="19"/>
        <v>#DIV/0!</v>
      </c>
      <c r="R89" s="63"/>
      <c r="S89" s="10"/>
      <c r="T89" s="10"/>
      <c r="U89" s="17"/>
      <c r="V89" s="10"/>
      <c r="W89" s="10"/>
      <c r="X89" s="10"/>
      <c r="Y89" s="2"/>
      <c r="Z89" s="2"/>
      <c r="AA89" s="2"/>
    </row>
    <row r="90" spans="1:27">
      <c r="A90" s="2"/>
      <c r="B90" s="11"/>
      <c r="C90" s="10"/>
      <c r="D90" s="10"/>
      <c r="E90" s="67" t="s">
        <v>14</v>
      </c>
      <c r="F90" s="68">
        <f>1*50</f>
        <v>50</v>
      </c>
      <c r="G90" s="10"/>
      <c r="H90" s="54">
        <f>F90/1.12</f>
        <v>44.642857142857139</v>
      </c>
      <c r="I90" s="10"/>
      <c r="J90" s="10"/>
      <c r="K90" s="10"/>
      <c r="L90" s="10"/>
      <c r="M90" s="10"/>
      <c r="N90" s="10"/>
      <c r="O90" s="10"/>
      <c r="P90" s="10"/>
      <c r="Q90" s="10"/>
      <c r="R90" s="10"/>
      <c r="S90" s="10"/>
      <c r="T90" s="10"/>
      <c r="U90" s="17"/>
      <c r="V90" s="10"/>
      <c r="W90" s="10"/>
      <c r="X90" s="10"/>
      <c r="Y90" s="2"/>
      <c r="Z90" s="2"/>
      <c r="AA90" s="2"/>
    </row>
    <row r="91" spans="1:27">
      <c r="A91" s="2"/>
      <c r="B91" s="11"/>
      <c r="C91" s="10"/>
      <c r="D91" s="10"/>
      <c r="E91" s="155" t="s">
        <v>49</v>
      </c>
      <c r="F91" s="364">
        <f>T80</f>
        <v>0</v>
      </c>
      <c r="G91" s="10"/>
      <c r="H91" s="54"/>
      <c r="I91" s="55"/>
      <c r="J91" s="42"/>
      <c r="K91" s="764" t="s">
        <v>50</v>
      </c>
      <c r="L91" s="765"/>
      <c r="M91" s="765"/>
      <c r="N91" s="765"/>
      <c r="O91" s="765"/>
      <c r="P91" s="765"/>
      <c r="Q91" s="766"/>
      <c r="R91" s="70" t="s">
        <v>28</v>
      </c>
      <c r="S91" s="71" t="s">
        <v>29</v>
      </c>
      <c r="T91" s="10"/>
      <c r="U91" s="17"/>
      <c r="V91" s="10"/>
      <c r="W91" s="10"/>
      <c r="X91" s="10"/>
      <c r="Y91" s="2"/>
      <c r="Z91" s="2"/>
      <c r="AA91" s="2"/>
    </row>
    <row r="92" spans="1:27">
      <c r="A92" s="2"/>
      <c r="B92" s="11"/>
      <c r="C92" s="10"/>
      <c r="D92" s="10"/>
      <c r="E92" s="12"/>
      <c r="F92" s="76"/>
      <c r="G92" s="10"/>
      <c r="H92" s="10"/>
      <c r="I92" s="10"/>
      <c r="J92" s="42"/>
      <c r="K92" s="20" t="s">
        <v>31</v>
      </c>
      <c r="L92" s="21" t="s">
        <v>32</v>
      </c>
      <c r="M92" s="21" t="s">
        <v>33</v>
      </c>
      <c r="N92" s="21" t="s">
        <v>34</v>
      </c>
      <c r="O92" s="21" t="s">
        <v>35</v>
      </c>
      <c r="P92" s="21" t="s">
        <v>36</v>
      </c>
      <c r="Q92" s="49" t="s">
        <v>37</v>
      </c>
      <c r="R92" s="50" t="s">
        <v>38</v>
      </c>
      <c r="S92" s="50" t="s">
        <v>38</v>
      </c>
      <c r="T92" s="10"/>
      <c r="U92" s="17"/>
      <c r="V92" s="10"/>
      <c r="W92" s="10"/>
      <c r="X92" s="10"/>
      <c r="Y92" s="2"/>
      <c r="Z92" s="2"/>
      <c r="AA92" s="2"/>
    </row>
    <row r="93" spans="1:27">
      <c r="A93" s="2"/>
      <c r="B93" s="11"/>
      <c r="C93" s="10"/>
      <c r="D93" s="10"/>
      <c r="E93" s="12"/>
      <c r="F93" s="76"/>
      <c r="G93" s="10"/>
      <c r="H93" s="10"/>
      <c r="I93" s="10"/>
      <c r="J93" s="42"/>
      <c r="K93" s="56">
        <v>0</v>
      </c>
      <c r="L93" s="57">
        <v>0</v>
      </c>
      <c r="M93" s="57">
        <v>0</v>
      </c>
      <c r="N93" s="57">
        <v>0</v>
      </c>
      <c r="O93" s="57">
        <v>0</v>
      </c>
      <c r="P93" s="57">
        <f>SUM(K93:O93)</f>
        <v>0</v>
      </c>
      <c r="Q93" s="58">
        <v>0</v>
      </c>
      <c r="R93" s="59">
        <v>0</v>
      </c>
      <c r="S93" s="59">
        <v>0</v>
      </c>
      <c r="T93" s="10"/>
      <c r="U93" s="17"/>
      <c r="V93" s="10"/>
      <c r="W93" s="10"/>
      <c r="X93" s="10"/>
      <c r="Y93" s="2"/>
      <c r="Z93" s="2"/>
      <c r="AA93" s="2"/>
    </row>
    <row r="94" spans="1:27">
      <c r="A94" s="2"/>
      <c r="B94" s="11"/>
      <c r="C94" s="10"/>
      <c r="D94" s="10"/>
      <c r="E94" s="10"/>
      <c r="F94" s="10"/>
      <c r="G94" s="10"/>
      <c r="H94" s="10"/>
      <c r="I94" s="10"/>
      <c r="J94" s="10" t="s">
        <v>42</v>
      </c>
      <c r="K94" s="63">
        <f>K86</f>
        <v>0</v>
      </c>
      <c r="L94" s="63">
        <f t="shared" ref="L94:Q95" si="20">L86</f>
        <v>0</v>
      </c>
      <c r="M94" s="63">
        <f t="shared" si="20"/>
        <v>0</v>
      </c>
      <c r="N94" s="63">
        <f t="shared" si="20"/>
        <v>0</v>
      </c>
      <c r="O94" s="63">
        <f t="shared" si="20"/>
        <v>0</v>
      </c>
      <c r="P94" s="63">
        <f t="shared" si="20"/>
        <v>0</v>
      </c>
      <c r="Q94" s="63">
        <f t="shared" si="20"/>
        <v>0</v>
      </c>
      <c r="R94" s="63"/>
      <c r="S94" s="10"/>
      <c r="T94" s="10"/>
      <c r="U94" s="17"/>
      <c r="V94" s="10"/>
      <c r="W94" s="10"/>
      <c r="X94" s="10"/>
      <c r="Y94" s="2"/>
      <c r="Z94" s="2"/>
      <c r="AA94" s="2"/>
    </row>
    <row r="95" spans="1:27">
      <c r="A95" s="2"/>
      <c r="B95" s="11"/>
      <c r="C95" s="10"/>
      <c r="D95" s="10"/>
      <c r="E95" s="10"/>
      <c r="F95" s="10"/>
      <c r="G95" s="10"/>
      <c r="H95" s="10"/>
      <c r="I95" s="10"/>
      <c r="J95" s="10" t="s">
        <v>44</v>
      </c>
      <c r="K95" s="63">
        <f>K87</f>
        <v>0</v>
      </c>
      <c r="L95" s="63">
        <f t="shared" si="20"/>
        <v>0</v>
      </c>
      <c r="M95" s="63">
        <f t="shared" si="20"/>
        <v>0</v>
      </c>
      <c r="N95" s="63">
        <f t="shared" si="20"/>
        <v>0</v>
      </c>
      <c r="O95" s="63">
        <f t="shared" si="20"/>
        <v>0</v>
      </c>
      <c r="P95" s="63">
        <f t="shared" si="20"/>
        <v>0</v>
      </c>
      <c r="Q95" s="63">
        <f t="shared" si="20"/>
        <v>0</v>
      </c>
      <c r="R95" s="63"/>
      <c r="S95" s="10"/>
      <c r="T95" s="10"/>
      <c r="U95" s="17"/>
      <c r="V95" s="10"/>
      <c r="W95" s="10"/>
      <c r="X95" s="10"/>
      <c r="Y95" s="2"/>
      <c r="Z95" s="2"/>
      <c r="AA95" s="2"/>
    </row>
    <row r="96" spans="1:27">
      <c r="A96" s="2"/>
      <c r="B96" s="11"/>
      <c r="C96" s="10"/>
      <c r="D96" s="10"/>
      <c r="E96" s="12"/>
      <c r="F96" s="76"/>
      <c r="G96" s="10"/>
      <c r="H96" s="10"/>
      <c r="I96" s="10"/>
      <c r="J96" s="10" t="s">
        <v>46</v>
      </c>
      <c r="K96" s="31" t="e">
        <f t="shared" ref="K96:Q96" si="21">K94/(K94+K95)</f>
        <v>#DIV/0!</v>
      </c>
      <c r="L96" s="31" t="e">
        <f t="shared" si="21"/>
        <v>#DIV/0!</v>
      </c>
      <c r="M96" s="31" t="e">
        <f t="shared" si="21"/>
        <v>#DIV/0!</v>
      </c>
      <c r="N96" s="31" t="e">
        <f t="shared" si="21"/>
        <v>#DIV/0!</v>
      </c>
      <c r="O96" s="31" t="e">
        <f t="shared" si="21"/>
        <v>#DIV/0!</v>
      </c>
      <c r="P96" s="31" t="e">
        <f t="shared" si="21"/>
        <v>#DIV/0!</v>
      </c>
      <c r="Q96" s="31" t="e">
        <f t="shared" si="21"/>
        <v>#DIV/0!</v>
      </c>
      <c r="R96" s="63"/>
      <c r="S96" s="10"/>
      <c r="T96" s="10"/>
      <c r="U96" s="17"/>
      <c r="V96" s="10"/>
      <c r="W96" s="10"/>
      <c r="X96" s="10"/>
      <c r="Y96" s="2"/>
      <c r="Z96" s="2"/>
      <c r="AA96" s="2"/>
    </row>
    <row r="97" spans="1:27">
      <c r="A97" s="2"/>
      <c r="B97" s="11"/>
      <c r="C97" s="10"/>
      <c r="D97" s="10"/>
      <c r="E97" s="10"/>
      <c r="F97" s="10"/>
      <c r="G97" s="10"/>
      <c r="H97" s="10"/>
      <c r="I97" s="10"/>
      <c r="J97" s="10" t="s">
        <v>48</v>
      </c>
      <c r="K97" s="66" t="e">
        <f t="shared" ref="K97:Q97" si="22">K93/K94</f>
        <v>#DIV/0!</v>
      </c>
      <c r="L97" s="66" t="e">
        <f t="shared" si="22"/>
        <v>#DIV/0!</v>
      </c>
      <c r="M97" s="66" t="e">
        <f t="shared" si="22"/>
        <v>#DIV/0!</v>
      </c>
      <c r="N97" s="66" t="e">
        <f t="shared" si="22"/>
        <v>#DIV/0!</v>
      </c>
      <c r="O97" s="66" t="e">
        <f t="shared" si="22"/>
        <v>#DIV/0!</v>
      </c>
      <c r="P97" s="66" t="e">
        <f t="shared" si="22"/>
        <v>#DIV/0!</v>
      </c>
      <c r="Q97" s="66" t="e">
        <f t="shared" si="22"/>
        <v>#DIV/0!</v>
      </c>
      <c r="R97" s="63"/>
      <c r="S97" s="10"/>
      <c r="T97" s="10"/>
      <c r="U97" s="17"/>
      <c r="V97" s="10"/>
      <c r="W97" s="10"/>
      <c r="X97" s="10"/>
      <c r="Y97" s="2"/>
      <c r="Z97" s="2"/>
      <c r="AA97" s="2"/>
    </row>
    <row r="98" spans="1:27">
      <c r="A98" s="2"/>
      <c r="B98" s="11"/>
      <c r="C98" s="10"/>
      <c r="D98" s="10"/>
      <c r="E98" s="10"/>
      <c r="F98" s="10"/>
      <c r="G98" s="10"/>
      <c r="H98" s="10"/>
      <c r="I98" s="10"/>
      <c r="J98" s="10"/>
      <c r="K98" s="10"/>
      <c r="L98" s="10"/>
      <c r="M98" s="10"/>
      <c r="N98" s="10"/>
      <c r="O98" s="10"/>
      <c r="P98" s="10"/>
      <c r="Q98" s="10"/>
      <c r="R98" s="10"/>
      <c r="S98" s="10"/>
      <c r="T98" s="10"/>
      <c r="U98" s="17"/>
      <c r="V98" s="10"/>
      <c r="W98" s="10"/>
      <c r="X98" s="10"/>
      <c r="Y98" s="2"/>
      <c r="Z98" s="2"/>
      <c r="AA98" s="2"/>
    </row>
    <row r="99" spans="1:27">
      <c r="A99" s="2"/>
      <c r="B99" s="11"/>
      <c r="C99" s="10"/>
      <c r="D99" s="10"/>
      <c r="E99" s="10"/>
      <c r="F99" s="10"/>
      <c r="G99" s="10"/>
      <c r="H99" s="10"/>
      <c r="I99" s="10"/>
      <c r="J99" s="10"/>
      <c r="K99" s="10"/>
      <c r="L99" s="10"/>
      <c r="M99" s="10"/>
      <c r="N99" s="10"/>
      <c r="O99" s="10"/>
      <c r="P99" s="10"/>
      <c r="Q99" s="10"/>
      <c r="R99" s="10"/>
      <c r="S99" s="10"/>
      <c r="T99" s="10"/>
      <c r="U99" s="17"/>
      <c r="V99" s="10"/>
      <c r="W99" s="10"/>
      <c r="X99" s="10"/>
      <c r="Y99" s="2"/>
      <c r="Z99" s="2"/>
      <c r="AA99" s="2"/>
    </row>
    <row r="100" spans="1:27">
      <c r="A100" s="2"/>
      <c r="B100" s="18" t="s">
        <v>51</v>
      </c>
      <c r="C100" s="14"/>
      <c r="D100" s="14"/>
      <c r="E100" s="14"/>
      <c r="F100" s="13" t="s">
        <v>52</v>
      </c>
      <c r="G100" s="14"/>
      <c r="H100" s="14"/>
      <c r="I100" s="14"/>
      <c r="J100" s="14"/>
      <c r="K100" s="13" t="s">
        <v>3</v>
      </c>
      <c r="L100" s="14"/>
      <c r="M100" s="14"/>
      <c r="N100" s="13" t="s">
        <v>4</v>
      </c>
      <c r="O100" s="14"/>
      <c r="P100" s="14"/>
      <c r="Q100" s="13" t="s">
        <v>5</v>
      </c>
      <c r="R100" s="14"/>
      <c r="S100" s="14"/>
      <c r="T100" s="18"/>
      <c r="U100" s="16" t="s">
        <v>53</v>
      </c>
      <c r="V100" s="77"/>
      <c r="W100" s="77"/>
      <c r="X100" s="77"/>
      <c r="Y100" s="2"/>
      <c r="Z100" s="2"/>
      <c r="AA100" s="2"/>
    </row>
    <row r="101" spans="1:27">
      <c r="A101" s="2"/>
      <c r="B101" s="24" t="s">
        <v>54</v>
      </c>
      <c r="C101" s="21" t="s">
        <v>55</v>
      </c>
      <c r="D101" s="21" t="s">
        <v>56</v>
      </c>
      <c r="E101" s="21" t="s">
        <v>57</v>
      </c>
      <c r="F101" s="20" t="s">
        <v>58</v>
      </c>
      <c r="G101" s="21" t="s">
        <v>59</v>
      </c>
      <c r="H101" s="21" t="s">
        <v>60</v>
      </c>
      <c r="I101" s="21" t="s">
        <v>26</v>
      </c>
      <c r="J101" s="22" t="s">
        <v>61</v>
      </c>
      <c r="K101" s="21" t="s">
        <v>8</v>
      </c>
      <c r="L101" s="21" t="s">
        <v>9</v>
      </c>
      <c r="M101" s="21" t="s">
        <v>10</v>
      </c>
      <c r="N101" s="20" t="s">
        <v>11</v>
      </c>
      <c r="O101" s="21" t="s">
        <v>12</v>
      </c>
      <c r="P101" s="22" t="s">
        <v>13</v>
      </c>
      <c r="Q101" s="21" t="s">
        <v>11</v>
      </c>
      <c r="R101" s="21" t="s">
        <v>12</v>
      </c>
      <c r="S101" s="21" t="s">
        <v>13</v>
      </c>
      <c r="T101" s="78" t="s">
        <v>14</v>
      </c>
      <c r="U101" s="30"/>
      <c r="V101" s="79" t="s">
        <v>62</v>
      </c>
      <c r="W101" s="80" t="s">
        <v>63</v>
      </c>
      <c r="X101" s="81" t="s">
        <v>64</v>
      </c>
      <c r="Y101" s="2"/>
      <c r="Z101" s="2"/>
      <c r="AA101" s="2"/>
    </row>
    <row r="102" spans="1:27">
      <c r="A102" s="2"/>
      <c r="B102" s="4" t="s">
        <v>65</v>
      </c>
      <c r="C102" s="6"/>
      <c r="D102" s="6"/>
      <c r="E102" s="6"/>
      <c r="F102" s="6"/>
      <c r="G102" s="6"/>
      <c r="H102" s="6"/>
      <c r="I102" s="82"/>
      <c r="J102" s="6"/>
      <c r="K102" s="6"/>
      <c r="L102" s="6"/>
      <c r="M102" s="6"/>
      <c r="N102" s="6"/>
      <c r="O102" s="6"/>
      <c r="P102" s="6"/>
      <c r="Q102" s="6"/>
      <c r="R102" s="6"/>
      <c r="S102" s="6"/>
      <c r="T102" s="83"/>
      <c r="U102" s="6"/>
      <c r="V102" s="84"/>
      <c r="W102" s="85"/>
      <c r="X102" s="86"/>
      <c r="Y102" s="2"/>
      <c r="Z102" s="2"/>
      <c r="AA102" s="2"/>
    </row>
    <row r="103" spans="1:27">
      <c r="A103" s="2"/>
      <c r="B103" s="87">
        <v>1</v>
      </c>
      <c r="C103" s="262"/>
      <c r="D103" s="271"/>
      <c r="E103" s="271"/>
      <c r="F103" s="265"/>
      <c r="G103" s="265"/>
      <c r="H103" s="365"/>
      <c r="I103" s="272">
        <f t="shared" ref="I103" si="23">F103-G103-H103</f>
        <v>0</v>
      </c>
      <c r="J103" s="267"/>
      <c r="K103" s="267"/>
      <c r="L103" s="267"/>
      <c r="M103" s="267"/>
      <c r="N103" s="267"/>
      <c r="O103" s="267"/>
      <c r="P103" s="267"/>
      <c r="Q103" s="267"/>
      <c r="R103" s="267"/>
      <c r="S103" s="269"/>
      <c r="T103" s="63"/>
      <c r="U103" s="10"/>
      <c r="V103" s="90"/>
      <c r="W103" s="91"/>
      <c r="X103" s="92"/>
      <c r="Y103" s="2"/>
      <c r="Z103" s="2"/>
      <c r="AA103" s="2"/>
    </row>
    <row r="104" spans="1:27">
      <c r="A104" s="2"/>
      <c r="B104" s="87"/>
      <c r="C104" s="36"/>
      <c r="D104" s="10"/>
      <c r="E104" s="10"/>
      <c r="F104" s="97">
        <f>SUM(F103:F103)</f>
        <v>0</v>
      </c>
      <c r="G104" s="97">
        <f>SUM(G103:G103)</f>
        <v>0</v>
      </c>
      <c r="H104" s="97">
        <f>SUM(H103:H103)</f>
        <v>0</v>
      </c>
      <c r="I104" s="98">
        <f>SUM(I103:I103)</f>
        <v>0</v>
      </c>
      <c r="J104" s="63"/>
      <c r="K104" s="63">
        <f>COUNT(K103:K103)</f>
        <v>0</v>
      </c>
      <c r="L104" s="63">
        <f>COUNT(L103:L103)</f>
        <v>0</v>
      </c>
      <c r="M104" s="63">
        <f>COUNT(M103:M103)</f>
        <v>0</v>
      </c>
      <c r="N104" s="63">
        <f>COUNT(N103:N103)</f>
        <v>0</v>
      </c>
      <c r="O104" s="63">
        <f>COUNT(O103:O103)</f>
        <v>0</v>
      </c>
      <c r="P104" s="63">
        <f>COUNT(P103:P103)</f>
        <v>0</v>
      </c>
      <c r="Q104" s="63">
        <f>COUNT(Q103:Q103)</f>
        <v>0</v>
      </c>
      <c r="R104" s="63">
        <f>COUNT(R103:R103)</f>
        <v>0</v>
      </c>
      <c r="S104" s="63">
        <f>COUNT(S103:S103)</f>
        <v>0</v>
      </c>
      <c r="T104" s="63"/>
      <c r="U104" s="10"/>
      <c r="V104" s="90"/>
      <c r="W104" s="91"/>
      <c r="X104" s="92"/>
      <c r="Y104" s="2"/>
      <c r="Z104" s="2"/>
      <c r="AA104" s="2"/>
    </row>
    <row r="105" spans="1:27">
      <c r="A105" s="2"/>
      <c r="B105" s="87"/>
      <c r="C105" s="36"/>
      <c r="D105" s="10"/>
      <c r="E105" s="10"/>
      <c r="F105" s="88"/>
      <c r="G105" s="88"/>
      <c r="H105" s="88"/>
      <c r="I105" s="99"/>
      <c r="J105" s="63"/>
      <c r="K105" s="21">
        <f>SUM(K103:K103)</f>
        <v>0</v>
      </c>
      <c r="L105" s="21">
        <f>SUM(L103:L103)</f>
        <v>0</v>
      </c>
      <c r="M105" s="21">
        <f>SUM(M103:M103)</f>
        <v>0</v>
      </c>
      <c r="N105" s="21">
        <f>SUM(N103:N103)</f>
        <v>0</v>
      </c>
      <c r="O105" s="21">
        <f>SUM(O103:O103)</f>
        <v>0</v>
      </c>
      <c r="P105" s="21">
        <f>SUM(P103:P103)</f>
        <v>0</v>
      </c>
      <c r="Q105" s="21">
        <f>SUM(Q103:Q103)</f>
        <v>0</v>
      </c>
      <c r="R105" s="21">
        <f>SUM(R103:R103)</f>
        <v>0</v>
      </c>
      <c r="S105" s="21">
        <f>SUM(S103:S103)</f>
        <v>0</v>
      </c>
      <c r="T105" s="63"/>
      <c r="U105" s="10"/>
      <c r="V105" s="90"/>
      <c r="W105" s="91"/>
      <c r="X105" s="92"/>
      <c r="Y105" s="2"/>
      <c r="Z105" s="2"/>
      <c r="AA105" s="2"/>
    </row>
    <row r="106" spans="1:27">
      <c r="A106" s="2"/>
      <c r="B106" s="11"/>
      <c r="C106" s="36"/>
      <c r="D106" s="10"/>
      <c r="E106" s="10"/>
      <c r="F106" s="88"/>
      <c r="G106" s="88"/>
      <c r="H106" s="88"/>
      <c r="I106" s="99"/>
      <c r="J106" s="63"/>
      <c r="K106" s="21"/>
      <c r="L106" s="21"/>
      <c r="M106" s="21"/>
      <c r="N106" s="21"/>
      <c r="O106" s="21"/>
      <c r="P106" s="21"/>
      <c r="Q106" s="21"/>
      <c r="R106" s="21"/>
      <c r="S106" s="21"/>
      <c r="T106" s="63"/>
      <c r="U106" s="94"/>
      <c r="V106" s="90"/>
      <c r="W106" s="91"/>
      <c r="X106" s="92"/>
      <c r="Y106" s="2"/>
      <c r="Z106" s="2"/>
      <c r="AA106" s="2"/>
    </row>
    <row r="107" spans="1:27">
      <c r="A107" s="2"/>
      <c r="B107" s="100" t="s">
        <v>67</v>
      </c>
      <c r="C107" s="36"/>
      <c r="D107" s="10"/>
      <c r="E107" s="10"/>
      <c r="F107" s="88"/>
      <c r="G107" s="62"/>
      <c r="H107" s="88"/>
      <c r="I107" s="99"/>
      <c r="J107" s="63"/>
      <c r="K107" s="2"/>
      <c r="L107" s="2"/>
      <c r="M107" s="2"/>
      <c r="N107" s="2"/>
      <c r="O107" s="2"/>
      <c r="P107" s="2"/>
      <c r="Q107" s="2"/>
      <c r="R107" s="2"/>
      <c r="S107" s="2"/>
      <c r="T107" s="63"/>
      <c r="U107" s="94"/>
      <c r="V107" s="90"/>
      <c r="W107" s="91"/>
      <c r="X107" s="92"/>
      <c r="Y107" s="2"/>
      <c r="Z107" s="2"/>
      <c r="AA107" s="2"/>
    </row>
    <row r="108" spans="1:27">
      <c r="A108" s="530">
        <v>45887</v>
      </c>
      <c r="B108" s="87">
        <v>1</v>
      </c>
      <c r="C108" s="262">
        <v>45884</v>
      </c>
      <c r="D108" s="263">
        <v>72353</v>
      </c>
      <c r="E108" s="271" t="s">
        <v>149</v>
      </c>
      <c r="F108" s="265">
        <v>1675</v>
      </c>
      <c r="G108" s="265">
        <f>450+(126.6)+200</f>
        <v>776.6</v>
      </c>
      <c r="H108" s="265"/>
      <c r="I108" s="266">
        <f>F108-G108-H108</f>
        <v>898.4</v>
      </c>
      <c r="J108" s="267" t="s">
        <v>150</v>
      </c>
      <c r="K108" s="267">
        <v>1</v>
      </c>
      <c r="L108" s="267">
        <v>1</v>
      </c>
      <c r="M108" s="267">
        <v>1</v>
      </c>
      <c r="N108" s="267">
        <v>1</v>
      </c>
      <c r="O108" s="267">
        <v>1</v>
      </c>
      <c r="P108" s="314">
        <v>0</v>
      </c>
      <c r="Q108" s="267">
        <v>1</v>
      </c>
      <c r="R108" s="267">
        <v>1</v>
      </c>
      <c r="S108" s="366">
        <v>0</v>
      </c>
      <c r="T108" s="63"/>
      <c r="U108" s="94" t="s">
        <v>151</v>
      </c>
      <c r="V108" s="90"/>
      <c r="W108" s="91"/>
      <c r="X108" s="137"/>
      <c r="Y108" s="260"/>
      <c r="Z108" s="260"/>
      <c r="AA108" s="260"/>
    </row>
    <row r="109" spans="1:27">
      <c r="A109" s="2"/>
      <c r="B109" s="11"/>
      <c r="C109" s="36"/>
      <c r="D109" s="10"/>
      <c r="E109" s="10"/>
      <c r="F109" s="97">
        <f>SUM(F108:F108)</f>
        <v>1675</v>
      </c>
      <c r="G109" s="97">
        <f>SUM(G108:G108)</f>
        <v>776.6</v>
      </c>
      <c r="H109" s="97">
        <f>SUM(H108:H108)</f>
        <v>0</v>
      </c>
      <c r="I109" s="98">
        <f>SUM(I108:I108)</f>
        <v>898.4</v>
      </c>
      <c r="J109" s="63"/>
      <c r="K109" s="21"/>
      <c r="L109" s="21"/>
      <c r="M109" s="21"/>
      <c r="N109" s="21"/>
      <c r="O109" s="21"/>
      <c r="P109" s="21"/>
      <c r="Q109" s="21"/>
      <c r="R109" s="21"/>
      <c r="S109" s="21"/>
      <c r="T109" s="63"/>
      <c r="U109" s="94"/>
      <c r="V109" s="90"/>
      <c r="W109" s="91"/>
      <c r="X109" s="92"/>
      <c r="Y109" s="2"/>
      <c r="Z109" s="2"/>
      <c r="AA109" s="2"/>
    </row>
    <row r="110" spans="1:27">
      <c r="A110" s="2"/>
      <c r="B110" s="26"/>
      <c r="C110" s="140"/>
      <c r="D110" s="141"/>
      <c r="E110" s="141"/>
      <c r="F110" s="141"/>
      <c r="G110" s="141"/>
      <c r="H110" s="141"/>
      <c r="I110" s="141"/>
      <c r="J110" s="141"/>
      <c r="K110" s="142"/>
      <c r="L110" s="142"/>
      <c r="M110" s="142"/>
      <c r="N110" s="142"/>
      <c r="O110" s="142"/>
      <c r="P110" s="142"/>
      <c r="Q110" s="142"/>
      <c r="R110" s="142"/>
      <c r="S110" s="142"/>
      <c r="T110" s="143">
        <f>SUM(T103:T109)</f>
        <v>0</v>
      </c>
      <c r="U110" s="141"/>
      <c r="V110" s="144">
        <f>SUM(V103:V109)</f>
        <v>0</v>
      </c>
      <c r="W110" s="145">
        <f>SUM(W103:W109)</f>
        <v>0</v>
      </c>
      <c r="X110" s="146">
        <f>SUM(X103:X109)</f>
        <v>0</v>
      </c>
      <c r="Y110" s="2"/>
      <c r="Z110" s="2"/>
      <c r="AA110" s="2"/>
    </row>
    <row r="111" spans="1:27">
      <c r="A111" s="2"/>
      <c r="B111" s="10"/>
      <c r="C111" s="36"/>
      <c r="D111" s="10"/>
      <c r="E111" s="10"/>
      <c r="F111" s="10"/>
      <c r="G111" s="10"/>
      <c r="H111" s="10"/>
      <c r="I111" s="10"/>
      <c r="J111" s="10"/>
      <c r="K111" s="147"/>
      <c r="L111" s="147"/>
      <c r="M111" s="147"/>
      <c r="N111" s="147"/>
      <c r="O111" s="147"/>
      <c r="P111" s="147"/>
      <c r="Q111" s="147"/>
      <c r="R111" s="147"/>
      <c r="S111" s="147"/>
      <c r="T111" s="21"/>
      <c r="U111" s="10"/>
      <c r="V111" s="99"/>
      <c r="W111" s="99"/>
      <c r="X111" s="99"/>
      <c r="Y111" s="2"/>
      <c r="Z111" s="2"/>
      <c r="AA111" s="2"/>
    </row>
    <row r="113" spans="2:24">
      <c r="B113" s="4" t="s">
        <v>1</v>
      </c>
      <c r="C113" s="5"/>
      <c r="D113" s="6"/>
      <c r="E113" s="6"/>
      <c r="F113" s="7" t="s">
        <v>2</v>
      </c>
      <c r="G113" s="608">
        <v>45914</v>
      </c>
      <c r="H113" s="7"/>
      <c r="I113" s="6"/>
      <c r="J113" s="6"/>
      <c r="K113" s="6"/>
      <c r="L113" s="6"/>
      <c r="M113" s="6"/>
      <c r="N113" s="6"/>
      <c r="O113" s="6"/>
      <c r="P113" s="6"/>
      <c r="Q113" s="6"/>
      <c r="R113" s="6"/>
      <c r="S113" s="6"/>
      <c r="T113" s="6"/>
      <c r="U113" s="9"/>
      <c r="V113" s="10"/>
      <c r="W113" s="10"/>
      <c r="X113" s="10"/>
    </row>
    <row r="114" spans="2:24">
      <c r="B114" s="11"/>
      <c r="C114" s="10"/>
      <c r="D114" s="10"/>
      <c r="E114" s="10"/>
      <c r="F114" s="10"/>
      <c r="G114" s="7"/>
      <c r="H114" s="12"/>
      <c r="I114" s="10"/>
      <c r="J114" s="10"/>
      <c r="K114" s="13" t="s">
        <v>3</v>
      </c>
      <c r="L114" s="14"/>
      <c r="M114" s="15"/>
      <c r="N114" s="13" t="s">
        <v>4</v>
      </c>
      <c r="O114" s="14"/>
      <c r="P114" s="15"/>
      <c r="Q114" s="13" t="s">
        <v>5</v>
      </c>
      <c r="R114" s="14"/>
      <c r="S114" s="15"/>
      <c r="T114" s="16"/>
      <c r="U114" s="17"/>
      <c r="V114" s="10"/>
      <c r="W114" s="10"/>
      <c r="X114" s="10"/>
    </row>
    <row r="115" spans="2:24">
      <c r="B115" s="18" t="s">
        <v>6</v>
      </c>
      <c r="C115" s="19">
        <f>C116+C117</f>
        <v>0</v>
      </c>
      <c r="D115" s="10"/>
      <c r="E115" s="18" t="s">
        <v>7</v>
      </c>
      <c r="F115" s="6"/>
      <c r="G115" s="9"/>
      <c r="H115" s="10"/>
      <c r="I115" s="10"/>
      <c r="J115" s="10"/>
      <c r="K115" s="20" t="s">
        <v>8</v>
      </c>
      <c r="L115" s="21" t="s">
        <v>9</v>
      </c>
      <c r="M115" s="21" t="s">
        <v>10</v>
      </c>
      <c r="N115" s="20" t="s">
        <v>11</v>
      </c>
      <c r="O115" s="21" t="s">
        <v>12</v>
      </c>
      <c r="P115" s="22" t="s">
        <v>13</v>
      </c>
      <c r="Q115" s="21" t="s">
        <v>11</v>
      </c>
      <c r="R115" s="21" t="s">
        <v>12</v>
      </c>
      <c r="S115" s="22" t="s">
        <v>13</v>
      </c>
      <c r="T115" s="23" t="s">
        <v>14</v>
      </c>
      <c r="U115" s="17"/>
      <c r="V115" s="10"/>
      <c r="W115" s="10"/>
      <c r="X115" s="10"/>
    </row>
    <row r="116" spans="2:24">
      <c r="B116" s="24" t="s">
        <v>15</v>
      </c>
      <c r="C116" s="25">
        <f>P123</f>
        <v>0</v>
      </c>
      <c r="D116" s="10"/>
      <c r="E116" s="26" t="s">
        <v>16</v>
      </c>
      <c r="F116" s="27">
        <v>0.05</v>
      </c>
      <c r="G116" s="28"/>
      <c r="H116" s="10"/>
      <c r="I116" s="10"/>
      <c r="J116" s="18" t="s">
        <v>17</v>
      </c>
      <c r="K116" s="29">
        <f>K142</f>
        <v>0</v>
      </c>
      <c r="L116" s="29">
        <f t="shared" ref="L116:S116" si="24">L142</f>
        <v>0</v>
      </c>
      <c r="M116" s="29">
        <f t="shared" si="24"/>
        <v>0</v>
      </c>
      <c r="N116" s="29">
        <f t="shared" si="24"/>
        <v>0</v>
      </c>
      <c r="O116" s="29">
        <f t="shared" si="24"/>
        <v>0</v>
      </c>
      <c r="P116" s="29">
        <f t="shared" si="24"/>
        <v>0</v>
      </c>
      <c r="Q116" s="29">
        <f t="shared" si="24"/>
        <v>0</v>
      </c>
      <c r="R116" s="29">
        <f t="shared" si="24"/>
        <v>0</v>
      </c>
      <c r="S116" s="29">
        <f t="shared" si="24"/>
        <v>0</v>
      </c>
      <c r="T116" s="30">
        <f>T147</f>
        <v>0</v>
      </c>
      <c r="U116" s="17"/>
      <c r="V116" s="10"/>
      <c r="W116" s="10"/>
      <c r="X116" s="10"/>
    </row>
    <row r="117" spans="2:24">
      <c r="B117" s="24" t="s">
        <v>18</v>
      </c>
      <c r="C117" s="25">
        <f>P124</f>
        <v>0</v>
      </c>
      <c r="D117" s="10"/>
      <c r="E117" s="10"/>
      <c r="F117" s="10"/>
      <c r="G117" s="31"/>
      <c r="H117" s="10"/>
      <c r="I117" s="10"/>
      <c r="J117" s="32" t="s">
        <v>19</v>
      </c>
      <c r="K117" s="33" t="e">
        <f>K142/K141</f>
        <v>#DIV/0!</v>
      </c>
      <c r="L117" s="33" t="e">
        <f t="shared" ref="L117:S117" si="25">L142/L141</f>
        <v>#DIV/0!</v>
      </c>
      <c r="M117" s="33" t="e">
        <f t="shared" si="25"/>
        <v>#DIV/0!</v>
      </c>
      <c r="N117" s="33" t="e">
        <f t="shared" si="25"/>
        <v>#DIV/0!</v>
      </c>
      <c r="O117" s="33" t="e">
        <f t="shared" si="25"/>
        <v>#DIV/0!</v>
      </c>
      <c r="P117" s="33" t="e">
        <f t="shared" si="25"/>
        <v>#DIV/0!</v>
      </c>
      <c r="Q117" s="33" t="e">
        <f t="shared" si="25"/>
        <v>#DIV/0!</v>
      </c>
      <c r="R117" s="33" t="e">
        <f t="shared" si="25"/>
        <v>#DIV/0!</v>
      </c>
      <c r="S117" s="33" t="e">
        <f t="shared" si="25"/>
        <v>#DIV/0!</v>
      </c>
      <c r="T117" s="23"/>
      <c r="U117" s="17" t="s">
        <v>20</v>
      </c>
      <c r="V117" s="10"/>
      <c r="W117" s="10"/>
      <c r="X117" s="10"/>
    </row>
    <row r="118" spans="2:24">
      <c r="B118" s="24" t="s">
        <v>21</v>
      </c>
      <c r="C118" s="34" t="e">
        <f>P125</f>
        <v>#DIV/0!</v>
      </c>
      <c r="D118" s="10"/>
      <c r="E118" s="10"/>
      <c r="F118" s="10"/>
      <c r="G118" s="10"/>
      <c r="H118" s="10"/>
      <c r="I118" s="10"/>
      <c r="J118" s="10"/>
      <c r="K118" s="10"/>
      <c r="L118" s="10"/>
      <c r="M118" s="10"/>
      <c r="N118" s="10"/>
      <c r="O118" s="10"/>
      <c r="P118" s="10"/>
      <c r="Q118" s="10"/>
      <c r="R118" s="10"/>
      <c r="S118" s="10"/>
      <c r="T118" s="10"/>
      <c r="U118" s="17"/>
      <c r="V118" s="10"/>
      <c r="W118" s="10"/>
      <c r="X118" s="10"/>
    </row>
    <row r="119" spans="2:24">
      <c r="B119" s="24"/>
      <c r="C119" s="25"/>
      <c r="D119" s="10"/>
      <c r="E119" s="10"/>
      <c r="F119" s="18" t="s">
        <v>22</v>
      </c>
      <c r="G119" s="19" t="s">
        <v>23</v>
      </c>
      <c r="H119" s="35" t="s">
        <v>24</v>
      </c>
      <c r="I119" s="10"/>
      <c r="J119" s="10"/>
      <c r="K119" s="36"/>
      <c r="L119" s="36"/>
      <c r="M119" s="36"/>
      <c r="N119" s="36"/>
      <c r="O119" s="36"/>
      <c r="P119" s="36"/>
      <c r="Q119" s="36"/>
      <c r="R119" s="10"/>
      <c r="S119" s="10"/>
      <c r="T119" s="10"/>
      <c r="U119" s="17"/>
      <c r="V119" s="10"/>
      <c r="W119" s="10"/>
      <c r="X119" s="10"/>
    </row>
    <row r="120" spans="2:24">
      <c r="B120" s="32" t="s">
        <v>25</v>
      </c>
      <c r="C120" s="37" t="e">
        <f>P126</f>
        <v>#DIV/0!</v>
      </c>
      <c r="D120" s="10"/>
      <c r="E120" s="18" t="s">
        <v>26</v>
      </c>
      <c r="F120" s="38">
        <f>P122</f>
        <v>0</v>
      </c>
      <c r="G120" s="39">
        <f>I141</f>
        <v>0</v>
      </c>
      <c r="H120" s="40"/>
      <c r="I120" s="41"/>
      <c r="J120" s="42"/>
      <c r="K120" s="43" t="s">
        <v>27</v>
      </c>
      <c r="L120" s="44"/>
      <c r="M120" s="44"/>
      <c r="N120" s="44"/>
      <c r="O120" s="44"/>
      <c r="P120" s="44"/>
      <c r="Q120" s="45"/>
      <c r="R120" s="46" t="s">
        <v>28</v>
      </c>
      <c r="S120" s="47" t="s">
        <v>29</v>
      </c>
      <c r="T120" s="10"/>
      <c r="U120" s="17"/>
      <c r="V120" s="10"/>
      <c r="W120" s="10"/>
      <c r="X120" s="10"/>
    </row>
    <row r="121" spans="2:24">
      <c r="B121" s="11"/>
      <c r="C121" s="10"/>
      <c r="D121" s="10"/>
      <c r="E121" s="24" t="s">
        <v>30</v>
      </c>
      <c r="F121" s="48">
        <f>F116</f>
        <v>0.05</v>
      </c>
      <c r="G121" s="17"/>
      <c r="H121" s="40"/>
      <c r="I121" s="41"/>
      <c r="J121" s="42"/>
      <c r="K121" s="20" t="s">
        <v>31</v>
      </c>
      <c r="L121" s="21" t="s">
        <v>32</v>
      </c>
      <c r="M121" s="21" t="s">
        <v>33</v>
      </c>
      <c r="N121" s="21" t="s">
        <v>34</v>
      </c>
      <c r="O121" s="21" t="s">
        <v>35</v>
      </c>
      <c r="P121" s="21" t="s">
        <v>36</v>
      </c>
      <c r="Q121" s="49" t="s">
        <v>37</v>
      </c>
      <c r="R121" s="50" t="s">
        <v>38</v>
      </c>
      <c r="S121" s="50" t="s">
        <v>38</v>
      </c>
      <c r="T121" s="10"/>
      <c r="U121" s="17"/>
      <c r="V121" s="10"/>
      <c r="W121" s="10"/>
      <c r="X121" s="10"/>
    </row>
    <row r="122" spans="2:24">
      <c r="B122" s="11"/>
      <c r="C122" s="10"/>
      <c r="D122" s="10"/>
      <c r="E122" s="51" t="s">
        <v>39</v>
      </c>
      <c r="F122" s="52">
        <f>F120*F121</f>
        <v>0</v>
      </c>
      <c r="G122" s="53" t="s">
        <v>40</v>
      </c>
      <c r="H122" s="54">
        <f>F122/1.12</f>
        <v>0</v>
      </c>
      <c r="I122" s="55"/>
      <c r="J122" s="42"/>
      <c r="K122" s="56"/>
      <c r="L122" s="57"/>
      <c r="M122" s="57"/>
      <c r="N122" s="57"/>
      <c r="O122" s="57"/>
      <c r="P122" s="57">
        <f>SUM(K122:O122)</f>
        <v>0</v>
      </c>
      <c r="Q122" s="58">
        <v>0</v>
      </c>
      <c r="R122" s="59">
        <v>0</v>
      </c>
      <c r="S122" s="59">
        <v>0</v>
      </c>
      <c r="T122" s="10"/>
      <c r="U122" s="17"/>
      <c r="V122" s="10"/>
      <c r="W122" s="10"/>
      <c r="X122" s="10"/>
    </row>
    <row r="123" spans="2:24">
      <c r="B123" s="11"/>
      <c r="C123" s="10"/>
      <c r="D123" s="10"/>
      <c r="E123" s="24" t="s">
        <v>41</v>
      </c>
      <c r="F123" s="60">
        <f>Q122</f>
        <v>0</v>
      </c>
      <c r="G123" s="61" t="s">
        <v>40</v>
      </c>
      <c r="H123" s="62"/>
      <c r="I123" s="62"/>
      <c r="J123" s="10" t="s">
        <v>42</v>
      </c>
      <c r="K123" s="63"/>
      <c r="L123" s="63"/>
      <c r="M123" s="63"/>
      <c r="N123" s="63"/>
      <c r="O123" s="63"/>
      <c r="P123" s="21">
        <f>SUM(K123:O123)</f>
        <v>0</v>
      </c>
      <c r="Q123" s="64"/>
      <c r="R123" s="63"/>
      <c r="S123" s="10"/>
      <c r="T123" s="10"/>
      <c r="U123" s="17"/>
      <c r="V123" s="10"/>
      <c r="W123" s="10"/>
      <c r="X123" s="10"/>
    </row>
    <row r="124" spans="2:24">
      <c r="B124" s="11"/>
      <c r="C124" s="10"/>
      <c r="D124" s="10"/>
      <c r="E124" s="51" t="s">
        <v>43</v>
      </c>
      <c r="F124" s="52">
        <f>F123*0.25</f>
        <v>0</v>
      </c>
      <c r="G124" s="53" t="s">
        <v>40</v>
      </c>
      <c r="H124" s="54">
        <f>F124/1.12</f>
        <v>0</v>
      </c>
      <c r="I124" s="10"/>
      <c r="J124" s="10" t="s">
        <v>44</v>
      </c>
      <c r="K124" s="63"/>
      <c r="L124" s="63"/>
      <c r="M124" s="63"/>
      <c r="N124" s="63"/>
      <c r="O124" s="63"/>
      <c r="P124" s="21">
        <f>SUM(K124:O124)</f>
        <v>0</v>
      </c>
      <c r="Q124" s="64"/>
      <c r="R124" s="63"/>
      <c r="S124" s="10"/>
      <c r="T124" s="10"/>
      <c r="U124" s="17"/>
      <c r="V124" s="10"/>
      <c r="W124" s="10"/>
      <c r="X124" s="10"/>
    </row>
    <row r="125" spans="2:24">
      <c r="B125" s="11"/>
      <c r="C125" s="10"/>
      <c r="D125" s="10"/>
      <c r="E125" s="24" t="s">
        <v>45</v>
      </c>
      <c r="F125" s="60">
        <f>I146</f>
        <v>898.4</v>
      </c>
      <c r="G125" s="61" t="s">
        <v>40</v>
      </c>
      <c r="H125" s="62"/>
      <c r="I125" s="10"/>
      <c r="J125" s="10" t="s">
        <v>46</v>
      </c>
      <c r="K125" s="31" t="e">
        <f t="shared" ref="K125:Q125" si="26">K123/(K123+K124)</f>
        <v>#DIV/0!</v>
      </c>
      <c r="L125" s="31" t="e">
        <f t="shared" si="26"/>
        <v>#DIV/0!</v>
      </c>
      <c r="M125" s="31" t="e">
        <f t="shared" si="26"/>
        <v>#DIV/0!</v>
      </c>
      <c r="N125" s="31" t="e">
        <f t="shared" si="26"/>
        <v>#DIV/0!</v>
      </c>
      <c r="O125" s="31" t="e">
        <f t="shared" si="26"/>
        <v>#DIV/0!</v>
      </c>
      <c r="P125" s="31" t="e">
        <f t="shared" si="26"/>
        <v>#DIV/0!</v>
      </c>
      <c r="Q125" s="31" t="e">
        <f t="shared" si="26"/>
        <v>#DIV/0!</v>
      </c>
      <c r="R125" s="63"/>
      <c r="S125" s="10"/>
      <c r="T125" s="10"/>
      <c r="U125" s="17"/>
      <c r="V125" s="10"/>
      <c r="W125" s="10"/>
      <c r="X125" s="10"/>
    </row>
    <row r="126" spans="2:24">
      <c r="B126" s="11"/>
      <c r="C126" s="10"/>
      <c r="D126" s="10"/>
      <c r="E126" s="51" t="s">
        <v>47</v>
      </c>
      <c r="F126" s="52">
        <f>F125*0.05</f>
        <v>44.92</v>
      </c>
      <c r="G126" s="65" t="s">
        <v>40</v>
      </c>
      <c r="H126" s="54">
        <f>F126/1.12</f>
        <v>40.107142857142854</v>
      </c>
      <c r="I126" s="42"/>
      <c r="J126" s="10" t="s">
        <v>48</v>
      </c>
      <c r="K126" s="66" t="e">
        <f>K122/K123</f>
        <v>#DIV/0!</v>
      </c>
      <c r="L126" s="66" t="e">
        <f t="shared" ref="L126:Q126" si="27">L122/L123</f>
        <v>#DIV/0!</v>
      </c>
      <c r="M126" s="66" t="e">
        <f t="shared" si="27"/>
        <v>#DIV/0!</v>
      </c>
      <c r="N126" s="66" t="e">
        <f t="shared" si="27"/>
        <v>#DIV/0!</v>
      </c>
      <c r="O126" s="66" t="e">
        <f t="shared" si="27"/>
        <v>#DIV/0!</v>
      </c>
      <c r="P126" s="66" t="e">
        <f t="shared" si="27"/>
        <v>#DIV/0!</v>
      </c>
      <c r="Q126" s="66" t="e">
        <f t="shared" si="27"/>
        <v>#DIV/0!</v>
      </c>
      <c r="R126" s="63"/>
      <c r="S126" s="10"/>
      <c r="T126" s="10"/>
      <c r="U126" s="17"/>
      <c r="V126" s="10"/>
      <c r="W126" s="10"/>
      <c r="X126" s="10"/>
    </row>
    <row r="127" spans="2:24">
      <c r="B127" s="11"/>
      <c r="C127" s="10"/>
      <c r="D127" s="10"/>
      <c r="E127" s="67" t="s">
        <v>14</v>
      </c>
      <c r="F127" s="68"/>
      <c r="G127" s="10"/>
      <c r="H127" s="54">
        <f>F127/1.12</f>
        <v>0</v>
      </c>
      <c r="I127" s="10"/>
      <c r="J127" s="10"/>
      <c r="K127" s="10"/>
      <c r="L127" s="10"/>
      <c r="M127" s="10"/>
      <c r="N127" s="10"/>
      <c r="O127" s="10"/>
      <c r="P127" s="10"/>
      <c r="Q127" s="10"/>
      <c r="R127" s="10"/>
      <c r="S127" s="10"/>
      <c r="T127" s="10"/>
      <c r="U127" s="17"/>
      <c r="V127" s="10"/>
      <c r="W127" s="10"/>
      <c r="X127" s="10"/>
    </row>
    <row r="128" spans="2:24">
      <c r="B128" s="11"/>
      <c r="C128" s="10"/>
      <c r="D128" s="10"/>
      <c r="E128" s="155" t="s">
        <v>49</v>
      </c>
      <c r="F128" s="364">
        <f>T117</f>
        <v>0</v>
      </c>
      <c r="G128" s="10"/>
      <c r="H128" s="54"/>
      <c r="I128" s="55"/>
      <c r="J128" s="42"/>
      <c r="K128" s="764" t="s">
        <v>50</v>
      </c>
      <c r="L128" s="765"/>
      <c r="M128" s="765"/>
      <c r="N128" s="765"/>
      <c r="O128" s="765"/>
      <c r="P128" s="765"/>
      <c r="Q128" s="766"/>
      <c r="R128" s="70" t="s">
        <v>28</v>
      </c>
      <c r="S128" s="71" t="s">
        <v>29</v>
      </c>
      <c r="T128" s="10"/>
      <c r="U128" s="17"/>
      <c r="V128" s="10"/>
      <c r="W128" s="10"/>
      <c r="X128" s="10"/>
    </row>
    <row r="129" spans="2:24">
      <c r="B129" s="11"/>
      <c r="C129" s="10"/>
      <c r="D129" s="10"/>
      <c r="E129" s="12"/>
      <c r="F129" s="76"/>
      <c r="G129" s="10"/>
      <c r="H129" s="10"/>
      <c r="I129" s="10"/>
      <c r="J129" s="42"/>
      <c r="K129" s="20" t="s">
        <v>31</v>
      </c>
      <c r="L129" s="21" t="s">
        <v>32</v>
      </c>
      <c r="M129" s="21" t="s">
        <v>33</v>
      </c>
      <c r="N129" s="21" t="s">
        <v>34</v>
      </c>
      <c r="O129" s="21" t="s">
        <v>35</v>
      </c>
      <c r="P129" s="21" t="s">
        <v>36</v>
      </c>
      <c r="Q129" s="49" t="s">
        <v>37</v>
      </c>
      <c r="R129" s="50" t="s">
        <v>38</v>
      </c>
      <c r="S129" s="50" t="s">
        <v>38</v>
      </c>
      <c r="T129" s="10"/>
      <c r="U129" s="17"/>
      <c r="V129" s="10"/>
      <c r="W129" s="10"/>
      <c r="X129" s="10"/>
    </row>
    <row r="130" spans="2:24">
      <c r="B130" s="11"/>
      <c r="C130" s="10"/>
      <c r="D130" s="10"/>
      <c r="E130" s="10"/>
      <c r="F130" s="10"/>
      <c r="G130" s="10"/>
      <c r="H130" s="10"/>
      <c r="I130" s="10"/>
      <c r="J130" s="42"/>
      <c r="K130" s="56"/>
      <c r="L130" s="57"/>
      <c r="M130" s="57"/>
      <c r="N130" s="57"/>
      <c r="O130" s="57"/>
      <c r="P130" s="57">
        <f>SUM(K130:O130)</f>
        <v>0</v>
      </c>
      <c r="Q130" s="58">
        <v>0</v>
      </c>
      <c r="R130" s="59">
        <v>0</v>
      </c>
      <c r="S130" s="59">
        <v>0</v>
      </c>
      <c r="T130" s="10"/>
      <c r="U130" s="17"/>
      <c r="V130" s="10"/>
      <c r="W130" s="10"/>
      <c r="X130" s="10"/>
    </row>
    <row r="131" spans="2:24">
      <c r="B131" s="11"/>
      <c r="C131" s="10"/>
      <c r="D131" s="10"/>
      <c r="E131" s="10"/>
      <c r="F131" s="10"/>
      <c r="G131" s="10"/>
      <c r="H131" s="10"/>
      <c r="I131" s="10"/>
      <c r="J131" s="10" t="s">
        <v>42</v>
      </c>
      <c r="K131" s="63">
        <f>K123</f>
        <v>0</v>
      </c>
      <c r="L131" s="63">
        <f t="shared" ref="L131:Q132" si="28">L123</f>
        <v>0</v>
      </c>
      <c r="M131" s="63">
        <f t="shared" si="28"/>
        <v>0</v>
      </c>
      <c r="N131" s="63">
        <f t="shared" si="28"/>
        <v>0</v>
      </c>
      <c r="O131" s="63">
        <f t="shared" si="28"/>
        <v>0</v>
      </c>
      <c r="P131" s="63">
        <f t="shared" si="28"/>
        <v>0</v>
      </c>
      <c r="Q131" s="63">
        <f t="shared" si="28"/>
        <v>0</v>
      </c>
      <c r="R131" s="63"/>
      <c r="S131" s="10"/>
      <c r="T131" s="10"/>
      <c r="U131" s="17"/>
      <c r="V131" s="10"/>
      <c r="W131" s="10"/>
      <c r="X131" s="10"/>
    </row>
    <row r="132" spans="2:24">
      <c r="B132" s="11"/>
      <c r="C132" s="10"/>
      <c r="D132" s="10"/>
      <c r="E132" s="10"/>
      <c r="F132" s="10"/>
      <c r="G132" s="10"/>
      <c r="H132" s="10"/>
      <c r="I132" s="10"/>
      <c r="J132" s="10" t="s">
        <v>44</v>
      </c>
      <c r="K132" s="63">
        <f>K124</f>
        <v>0</v>
      </c>
      <c r="L132" s="63">
        <f t="shared" si="28"/>
        <v>0</v>
      </c>
      <c r="M132" s="63">
        <f t="shared" si="28"/>
        <v>0</v>
      </c>
      <c r="N132" s="63">
        <f t="shared" si="28"/>
        <v>0</v>
      </c>
      <c r="O132" s="63">
        <f t="shared" si="28"/>
        <v>0</v>
      </c>
      <c r="P132" s="63">
        <f t="shared" si="28"/>
        <v>0</v>
      </c>
      <c r="Q132" s="63">
        <f t="shared" si="28"/>
        <v>0</v>
      </c>
      <c r="R132" s="63"/>
      <c r="S132" s="10"/>
      <c r="T132" s="10"/>
      <c r="U132" s="17"/>
      <c r="V132" s="10"/>
      <c r="W132" s="10"/>
      <c r="X132" s="10"/>
    </row>
    <row r="133" spans="2:24">
      <c r="B133" s="11"/>
      <c r="C133" s="10"/>
      <c r="D133" s="10"/>
      <c r="E133" s="12"/>
      <c r="F133" s="76"/>
      <c r="G133" s="10"/>
      <c r="H133" s="10"/>
      <c r="I133" s="10"/>
      <c r="J133" s="10" t="s">
        <v>46</v>
      </c>
      <c r="K133" s="31" t="e">
        <f t="shared" ref="K133:Q133" si="29">K131/(K131+K132)</f>
        <v>#DIV/0!</v>
      </c>
      <c r="L133" s="31" t="e">
        <f t="shared" si="29"/>
        <v>#DIV/0!</v>
      </c>
      <c r="M133" s="31" t="e">
        <f t="shared" si="29"/>
        <v>#DIV/0!</v>
      </c>
      <c r="N133" s="31" t="e">
        <f t="shared" si="29"/>
        <v>#DIV/0!</v>
      </c>
      <c r="O133" s="31" t="e">
        <f t="shared" si="29"/>
        <v>#DIV/0!</v>
      </c>
      <c r="P133" s="31" t="e">
        <f t="shared" si="29"/>
        <v>#DIV/0!</v>
      </c>
      <c r="Q133" s="31" t="e">
        <f t="shared" si="29"/>
        <v>#DIV/0!</v>
      </c>
      <c r="R133" s="63"/>
      <c r="S133" s="10"/>
      <c r="T133" s="10"/>
      <c r="U133" s="17"/>
      <c r="V133" s="10"/>
      <c r="W133" s="10"/>
      <c r="X133" s="10"/>
    </row>
    <row r="134" spans="2:24">
      <c r="B134" s="11"/>
      <c r="C134" s="10"/>
      <c r="D134" s="10"/>
      <c r="E134" s="10"/>
      <c r="F134" s="10"/>
      <c r="G134" s="10"/>
      <c r="H134" s="10"/>
      <c r="I134" s="10"/>
      <c r="J134" s="10" t="s">
        <v>48</v>
      </c>
      <c r="K134" s="66" t="e">
        <f t="shared" ref="K134:Q134" si="30">K130/K131</f>
        <v>#DIV/0!</v>
      </c>
      <c r="L134" s="66" t="e">
        <f t="shared" si="30"/>
        <v>#DIV/0!</v>
      </c>
      <c r="M134" s="66" t="e">
        <f t="shared" si="30"/>
        <v>#DIV/0!</v>
      </c>
      <c r="N134" s="66" t="e">
        <f t="shared" si="30"/>
        <v>#DIV/0!</v>
      </c>
      <c r="O134" s="66" t="e">
        <f t="shared" si="30"/>
        <v>#DIV/0!</v>
      </c>
      <c r="P134" s="66" t="e">
        <f t="shared" si="30"/>
        <v>#DIV/0!</v>
      </c>
      <c r="Q134" s="66" t="e">
        <f t="shared" si="30"/>
        <v>#DIV/0!</v>
      </c>
      <c r="R134" s="63"/>
      <c r="S134" s="10"/>
      <c r="T134" s="10"/>
      <c r="U134" s="17"/>
      <c r="V134" s="10"/>
      <c r="W134" s="10"/>
      <c r="X134" s="10"/>
    </row>
    <row r="135" spans="2:24">
      <c r="B135" s="11"/>
      <c r="C135" s="10"/>
      <c r="D135" s="10"/>
      <c r="E135" s="10"/>
      <c r="F135" s="10"/>
      <c r="G135" s="10"/>
      <c r="H135" s="10"/>
      <c r="I135" s="10"/>
      <c r="J135" s="10"/>
      <c r="K135" s="10"/>
      <c r="L135" s="10"/>
      <c r="M135" s="10"/>
      <c r="N135" s="10"/>
      <c r="O135" s="10"/>
      <c r="P135" s="10"/>
      <c r="Q135" s="10"/>
      <c r="R135" s="10"/>
      <c r="S135" s="10"/>
      <c r="T135" s="10"/>
      <c r="U135" s="17"/>
      <c r="V135" s="10"/>
      <c r="W135" s="10"/>
      <c r="X135" s="10"/>
    </row>
    <row r="136" spans="2:24">
      <c r="B136" s="11"/>
      <c r="C136" s="10"/>
      <c r="D136" s="10"/>
      <c r="E136" s="10"/>
      <c r="F136" s="10"/>
      <c r="G136" s="10"/>
      <c r="H136" s="10"/>
      <c r="I136" s="10"/>
      <c r="J136" s="10"/>
      <c r="K136" s="10"/>
      <c r="L136" s="10"/>
      <c r="M136" s="10"/>
      <c r="N136" s="10"/>
      <c r="O136" s="10"/>
      <c r="P136" s="10"/>
      <c r="Q136" s="10"/>
      <c r="R136" s="10"/>
      <c r="S136" s="10"/>
      <c r="T136" s="10"/>
      <c r="U136" s="17"/>
      <c r="V136" s="10"/>
      <c r="W136" s="10"/>
      <c r="X136" s="10"/>
    </row>
    <row r="137" spans="2:24">
      <c r="B137" s="18" t="s">
        <v>51</v>
      </c>
      <c r="C137" s="14"/>
      <c r="D137" s="14"/>
      <c r="E137" s="14"/>
      <c r="F137" s="13" t="s">
        <v>52</v>
      </c>
      <c r="G137" s="14"/>
      <c r="H137" s="14"/>
      <c r="I137" s="14"/>
      <c r="J137" s="14"/>
      <c r="K137" s="13" t="s">
        <v>3</v>
      </c>
      <c r="L137" s="14"/>
      <c r="M137" s="14"/>
      <c r="N137" s="13" t="s">
        <v>4</v>
      </c>
      <c r="O137" s="14"/>
      <c r="P137" s="14"/>
      <c r="Q137" s="13" t="s">
        <v>5</v>
      </c>
      <c r="R137" s="14"/>
      <c r="S137" s="14"/>
      <c r="T137" s="18"/>
      <c r="U137" s="16" t="s">
        <v>53</v>
      </c>
      <c r="V137" s="77"/>
      <c r="W137" s="77"/>
      <c r="X137" s="77"/>
    </row>
    <row r="138" spans="2:24">
      <c r="B138" s="24" t="s">
        <v>54</v>
      </c>
      <c r="C138" s="21" t="s">
        <v>55</v>
      </c>
      <c r="D138" s="21" t="s">
        <v>56</v>
      </c>
      <c r="E138" s="21" t="s">
        <v>57</v>
      </c>
      <c r="F138" s="20" t="s">
        <v>58</v>
      </c>
      <c r="G138" s="21" t="s">
        <v>59</v>
      </c>
      <c r="H138" s="21" t="s">
        <v>60</v>
      </c>
      <c r="I138" s="21" t="s">
        <v>26</v>
      </c>
      <c r="J138" s="22" t="s">
        <v>61</v>
      </c>
      <c r="K138" s="21" t="s">
        <v>8</v>
      </c>
      <c r="L138" s="21" t="s">
        <v>9</v>
      </c>
      <c r="M138" s="21" t="s">
        <v>10</v>
      </c>
      <c r="N138" s="20" t="s">
        <v>11</v>
      </c>
      <c r="O138" s="21" t="s">
        <v>12</v>
      </c>
      <c r="P138" s="22" t="s">
        <v>13</v>
      </c>
      <c r="Q138" s="21" t="s">
        <v>11</v>
      </c>
      <c r="R138" s="21" t="s">
        <v>12</v>
      </c>
      <c r="S138" s="21" t="s">
        <v>13</v>
      </c>
      <c r="T138" s="78" t="s">
        <v>14</v>
      </c>
      <c r="U138" s="30"/>
      <c r="V138" s="79" t="s">
        <v>62</v>
      </c>
      <c r="W138" s="80" t="s">
        <v>63</v>
      </c>
      <c r="X138" s="81" t="s">
        <v>64</v>
      </c>
    </row>
    <row r="139" spans="2:24">
      <c r="B139" s="4" t="s">
        <v>65</v>
      </c>
      <c r="C139" s="6"/>
      <c r="D139" s="6"/>
      <c r="E139" s="6"/>
      <c r="F139" s="6"/>
      <c r="G139" s="6"/>
      <c r="H139" s="6"/>
      <c r="I139" s="82"/>
      <c r="J139" s="6"/>
      <c r="K139" s="6"/>
      <c r="L139" s="6"/>
      <c r="M139" s="6"/>
      <c r="N139" s="6"/>
      <c r="O139" s="6"/>
      <c r="P139" s="6"/>
      <c r="Q139" s="6"/>
      <c r="R139" s="6"/>
      <c r="S139" s="6"/>
      <c r="T139" s="83"/>
      <c r="U139" s="6"/>
      <c r="V139" s="84"/>
      <c r="W139" s="85"/>
      <c r="X139" s="86"/>
    </row>
    <row r="140" spans="2:24">
      <c r="B140" s="87">
        <v>1</v>
      </c>
      <c r="C140" s="609"/>
      <c r="D140" s="10"/>
      <c r="E140" s="10"/>
      <c r="F140" s="62"/>
      <c r="G140" s="62"/>
      <c r="H140" s="88"/>
      <c r="I140" s="89">
        <f t="shared" ref="I140" si="31">F140-G140-H140</f>
        <v>0</v>
      </c>
      <c r="J140" s="63"/>
      <c r="K140" s="63"/>
      <c r="L140" s="63"/>
      <c r="M140" s="63"/>
      <c r="N140" s="63"/>
      <c r="O140" s="63"/>
      <c r="P140" s="63"/>
      <c r="Q140" s="63"/>
      <c r="R140" s="63"/>
      <c r="S140" s="63"/>
      <c r="T140" s="63"/>
      <c r="U140" s="10"/>
      <c r="V140" s="90"/>
      <c r="W140" s="91"/>
      <c r="X140" s="92"/>
    </row>
    <row r="141" spans="2:24">
      <c r="B141" s="87"/>
      <c r="C141" s="609"/>
      <c r="D141" s="10"/>
      <c r="E141" s="10"/>
      <c r="F141" s="97">
        <f>SUM(F140:F140)</f>
        <v>0</v>
      </c>
      <c r="G141" s="97">
        <f>SUM(G140:G140)</f>
        <v>0</v>
      </c>
      <c r="H141" s="97">
        <f>SUM(H140:H140)</f>
        <v>0</v>
      </c>
      <c r="I141" s="98">
        <f>SUM(I140:I140)</f>
        <v>0</v>
      </c>
      <c r="J141" s="63"/>
      <c r="K141" s="63">
        <f>COUNT(K140:K140)</f>
        <v>0</v>
      </c>
      <c r="L141" s="63">
        <f>COUNT(L140:L140)</f>
        <v>0</v>
      </c>
      <c r="M141" s="63">
        <f>COUNT(M140:M140)</f>
        <v>0</v>
      </c>
      <c r="N141" s="63">
        <f>COUNT(N140:N140)</f>
        <v>0</v>
      </c>
      <c r="O141" s="63">
        <f>COUNT(O140:O140)</f>
        <v>0</v>
      </c>
      <c r="P141" s="63">
        <f>COUNT(P140:P140)</f>
        <v>0</v>
      </c>
      <c r="Q141" s="63">
        <f>COUNT(Q140:Q140)</f>
        <v>0</v>
      </c>
      <c r="R141" s="63">
        <f>COUNT(R140:R140)</f>
        <v>0</v>
      </c>
      <c r="S141" s="63">
        <f>COUNT(S140:S140)</f>
        <v>0</v>
      </c>
      <c r="T141" s="63"/>
      <c r="U141" s="10"/>
      <c r="V141" s="90"/>
      <c r="W141" s="91"/>
      <c r="X141" s="92"/>
    </row>
    <row r="142" spans="2:24">
      <c r="B142" s="87"/>
      <c r="C142" s="609"/>
      <c r="D142" s="10"/>
      <c r="E142" s="10"/>
      <c r="F142" s="88"/>
      <c r="G142" s="88"/>
      <c r="H142" s="88"/>
      <c r="I142" s="99"/>
      <c r="J142" s="63"/>
      <c r="K142" s="21">
        <f>SUM(K140:K140)</f>
        <v>0</v>
      </c>
      <c r="L142" s="21">
        <f>SUM(L140:L140)</f>
        <v>0</v>
      </c>
      <c r="M142" s="21">
        <f>SUM(M140:M140)</f>
        <v>0</v>
      </c>
      <c r="N142" s="21">
        <f>SUM(N140:N140)</f>
        <v>0</v>
      </c>
      <c r="O142" s="21">
        <f>SUM(O140:O140)</f>
        <v>0</v>
      </c>
      <c r="P142" s="21">
        <f>SUM(P140:P140)</f>
        <v>0</v>
      </c>
      <c r="Q142" s="21">
        <f>SUM(Q140:Q140)</f>
        <v>0</v>
      </c>
      <c r="R142" s="21">
        <f>SUM(R140:R140)</f>
        <v>0</v>
      </c>
      <c r="S142" s="21">
        <f>SUM(S140:S140)</f>
        <v>0</v>
      </c>
      <c r="T142" s="63"/>
      <c r="U142" s="10"/>
      <c r="V142" s="90"/>
      <c r="W142" s="91"/>
      <c r="X142" s="92"/>
    </row>
    <row r="143" spans="2:24">
      <c r="B143" s="11"/>
      <c r="C143" s="609"/>
      <c r="D143" s="10"/>
      <c r="E143" s="10"/>
      <c r="F143" s="88"/>
      <c r="G143" s="88"/>
      <c r="H143" s="88"/>
      <c r="I143" s="99"/>
      <c r="J143" s="63"/>
      <c r="K143" s="21"/>
      <c r="L143" s="21"/>
      <c r="M143" s="21"/>
      <c r="N143" s="21"/>
      <c r="O143" s="21"/>
      <c r="P143" s="21"/>
      <c r="Q143" s="21"/>
      <c r="R143" s="21"/>
      <c r="S143" s="21"/>
      <c r="T143" s="63"/>
      <c r="U143" s="94"/>
      <c r="V143" s="90"/>
      <c r="W143" s="91"/>
      <c r="X143" s="92"/>
    </row>
    <row r="144" spans="2:24">
      <c r="B144" s="100" t="s">
        <v>67</v>
      </c>
      <c r="C144" s="609"/>
      <c r="D144" s="10"/>
      <c r="E144" s="10"/>
      <c r="F144" s="88"/>
      <c r="G144" s="62"/>
      <c r="H144" s="88"/>
      <c r="I144" s="99"/>
      <c r="J144" s="63"/>
      <c r="K144" s="2"/>
      <c r="L144" s="2"/>
      <c r="M144" s="2"/>
      <c r="N144" s="2"/>
      <c r="O144" s="2"/>
      <c r="P144" s="2"/>
      <c r="Q144" s="2"/>
      <c r="R144" s="2"/>
      <c r="S144" s="2"/>
      <c r="T144" s="63"/>
      <c r="U144" s="94"/>
      <c r="V144" s="90"/>
      <c r="W144" s="91"/>
      <c r="X144" s="92"/>
    </row>
    <row r="145" spans="1:27">
      <c r="A145" s="530">
        <v>45887</v>
      </c>
      <c r="B145" s="87">
        <v>1</v>
      </c>
      <c r="C145" s="262">
        <v>45884</v>
      </c>
      <c r="D145" s="263">
        <v>72353</v>
      </c>
      <c r="E145" s="271" t="s">
        <v>149</v>
      </c>
      <c r="F145" s="265">
        <v>1675</v>
      </c>
      <c r="G145" s="265">
        <f>450+(126.6)+200</f>
        <v>776.6</v>
      </c>
      <c r="H145" s="265"/>
      <c r="I145" s="266">
        <f>F145-G145-H145</f>
        <v>898.4</v>
      </c>
      <c r="J145" s="267" t="s">
        <v>150</v>
      </c>
      <c r="K145" s="267">
        <v>1</v>
      </c>
      <c r="L145" s="267">
        <v>1</v>
      </c>
      <c r="M145" s="267">
        <v>1</v>
      </c>
      <c r="N145" s="267">
        <v>1</v>
      </c>
      <c r="O145" s="267">
        <v>1</v>
      </c>
      <c r="P145" s="314">
        <v>0</v>
      </c>
      <c r="Q145" s="267">
        <v>1</v>
      </c>
      <c r="R145" s="267">
        <v>1</v>
      </c>
      <c r="S145" s="366">
        <v>0</v>
      </c>
      <c r="T145" s="63"/>
      <c r="U145" s="94" t="s">
        <v>151</v>
      </c>
      <c r="V145" s="90"/>
      <c r="W145" s="91"/>
      <c r="X145" s="137"/>
      <c r="Y145" s="260"/>
      <c r="Z145" s="260"/>
      <c r="AA145" s="260"/>
    </row>
    <row r="146" spans="1:27">
      <c r="B146" s="11"/>
      <c r="C146" s="609"/>
      <c r="D146" s="10"/>
      <c r="E146" s="10"/>
      <c r="F146" s="97">
        <f>SUM(F145:F145)</f>
        <v>1675</v>
      </c>
      <c r="G146" s="97">
        <f>SUM(G145:G145)</f>
        <v>776.6</v>
      </c>
      <c r="H146" s="97">
        <f>SUM(H145:H145)</f>
        <v>0</v>
      </c>
      <c r="I146" s="98">
        <f>SUM(I145:I145)</f>
        <v>898.4</v>
      </c>
      <c r="J146" s="63"/>
      <c r="K146" s="21"/>
      <c r="L146" s="21"/>
      <c r="M146" s="21"/>
      <c r="N146" s="21"/>
      <c r="O146" s="21"/>
      <c r="P146" s="21"/>
      <c r="Q146" s="21"/>
      <c r="R146" s="21"/>
      <c r="S146" s="21"/>
      <c r="T146" s="63"/>
      <c r="U146" s="94"/>
      <c r="V146" s="90"/>
      <c r="W146" s="91"/>
      <c r="X146" s="92"/>
    </row>
    <row r="147" spans="1:27">
      <c r="B147" s="26"/>
      <c r="C147" s="612"/>
      <c r="D147" s="141"/>
      <c r="E147" s="141"/>
      <c r="F147" s="141"/>
      <c r="G147" s="141"/>
      <c r="H147" s="141"/>
      <c r="I147" s="141"/>
      <c r="J147" s="141"/>
      <c r="K147" s="142"/>
      <c r="L147" s="142"/>
      <c r="M147" s="142"/>
      <c r="N147" s="142"/>
      <c r="O147" s="142"/>
      <c r="P147" s="142"/>
      <c r="Q147" s="142"/>
      <c r="R147" s="142"/>
      <c r="S147" s="142"/>
      <c r="T147" s="143">
        <f>SUM(T140:T146)</f>
        <v>0</v>
      </c>
      <c r="U147" s="141"/>
      <c r="V147" s="144">
        <f>SUM(V140:V146)</f>
        <v>0</v>
      </c>
      <c r="W147" s="145">
        <f>SUM(W140:W146)</f>
        <v>0</v>
      </c>
      <c r="X147" s="146">
        <f>SUM(X140:X146)</f>
        <v>0</v>
      </c>
    </row>
    <row r="148" spans="1:27">
      <c r="B148" s="10"/>
      <c r="C148" s="36"/>
      <c r="D148" s="10"/>
      <c r="E148" s="10"/>
      <c r="F148" s="10"/>
      <c r="G148" s="10"/>
      <c r="H148" s="10"/>
      <c r="I148" s="10"/>
      <c r="J148" s="10"/>
      <c r="K148" s="147"/>
      <c r="L148" s="147"/>
      <c r="M148" s="147"/>
      <c r="N148" s="147"/>
      <c r="O148" s="147"/>
      <c r="P148" s="147"/>
      <c r="Q148" s="147"/>
      <c r="R148" s="147"/>
      <c r="S148" s="147"/>
      <c r="T148" s="21"/>
      <c r="U148" s="10"/>
      <c r="V148" s="99"/>
      <c r="W148" s="99"/>
      <c r="X148" s="99"/>
    </row>
  </sheetData>
  <mergeCells count="4">
    <mergeCell ref="K18:Q18"/>
    <mergeCell ref="K55:Q55"/>
    <mergeCell ref="K91:Q91"/>
    <mergeCell ref="K128:Q128"/>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83D14-7486-4DED-AF44-312BB8FB0B65}">
  <sheetPr>
    <tabColor rgb="FFFF0000"/>
  </sheetPr>
  <dimension ref="A3:Y1765"/>
  <sheetViews>
    <sheetView topLeftCell="A1528" workbookViewId="0">
      <selection activeCell="V1643" sqref="V1643"/>
    </sheetView>
  </sheetViews>
  <sheetFormatPr defaultRowHeight="15"/>
  <cols>
    <col min="1" max="1" width="9.5703125" customWidth="1"/>
    <col min="3" max="3" width="9.85546875" bestFit="1" customWidth="1"/>
    <col min="4" max="4" width="14.5703125" customWidth="1"/>
    <col min="5" max="5" width="29" customWidth="1"/>
    <col min="6" max="6" width="13.7109375" customWidth="1"/>
    <col min="7" max="7" width="12.42578125" customWidth="1"/>
    <col min="8" max="8" width="11" customWidth="1"/>
    <col min="9" max="9" width="10.5703125" customWidth="1"/>
    <col min="11" max="11" width="10.42578125" customWidth="1"/>
    <col min="12" max="12" width="10" customWidth="1"/>
    <col min="13" max="13" width="12.140625" customWidth="1"/>
    <col min="14" max="14" width="11.42578125" customWidth="1"/>
    <col min="15" max="15" width="11.140625" customWidth="1"/>
    <col min="16" max="16" width="11.28515625" customWidth="1"/>
    <col min="18" max="18" width="10.7109375" customWidth="1"/>
    <col min="20" max="20" width="10.42578125" customWidth="1"/>
    <col min="21" max="21" width="12.42578125" customWidth="1"/>
    <col min="22" max="22" width="17.140625" customWidth="1"/>
    <col min="23" max="23" width="11.140625" customWidth="1"/>
    <col min="24" max="24" width="14.85546875" customWidth="1"/>
  </cols>
  <sheetData>
    <row r="3" spans="1:24">
      <c r="A3" s="3"/>
      <c r="B3" s="4" t="s">
        <v>1</v>
      </c>
      <c r="C3" s="5"/>
      <c r="D3" s="6"/>
      <c r="E3" s="6"/>
      <c r="F3" s="7" t="s">
        <v>2</v>
      </c>
      <c r="G3" s="8">
        <v>45837</v>
      </c>
      <c r="H3" s="7"/>
      <c r="I3" s="6"/>
      <c r="J3" s="6"/>
      <c r="K3" s="6"/>
      <c r="L3" s="6"/>
      <c r="M3" s="6"/>
      <c r="N3" s="6"/>
      <c r="O3" s="6"/>
      <c r="P3" s="6"/>
      <c r="Q3" s="6"/>
      <c r="R3" s="6"/>
      <c r="S3" s="6"/>
      <c r="T3" s="6"/>
      <c r="U3" s="9"/>
      <c r="V3" s="10"/>
      <c r="W3" s="10"/>
      <c r="X3" s="10"/>
    </row>
    <row r="4" spans="1:24">
      <c r="A4" s="2"/>
      <c r="B4" s="11"/>
      <c r="C4" s="10"/>
      <c r="D4" s="10"/>
      <c r="E4" s="10"/>
      <c r="F4" s="10"/>
      <c r="G4" s="7"/>
      <c r="H4" s="12"/>
      <c r="I4" s="10"/>
      <c r="J4" s="10"/>
      <c r="K4" s="13" t="s">
        <v>3</v>
      </c>
      <c r="L4" s="14"/>
      <c r="M4" s="15"/>
      <c r="N4" s="13" t="s">
        <v>4</v>
      </c>
      <c r="O4" s="14"/>
      <c r="P4" s="15"/>
      <c r="Q4" s="13" t="s">
        <v>5</v>
      </c>
      <c r="R4" s="14"/>
      <c r="S4" s="15"/>
      <c r="T4" s="16"/>
      <c r="U4" s="17"/>
      <c r="V4" s="10"/>
      <c r="W4" s="10"/>
      <c r="X4" s="10"/>
    </row>
    <row r="5" spans="1:24">
      <c r="A5" s="2"/>
      <c r="B5" s="18" t="s">
        <v>6</v>
      </c>
      <c r="C5" s="19">
        <f>C6+C7</f>
        <v>28</v>
      </c>
      <c r="D5" s="10"/>
      <c r="E5" s="18" t="s">
        <v>7</v>
      </c>
      <c r="F5" s="6"/>
      <c r="G5" s="9"/>
      <c r="H5" s="10"/>
      <c r="I5" s="10"/>
      <c r="J5" s="10"/>
      <c r="K5" s="20" t="s">
        <v>8</v>
      </c>
      <c r="L5" s="21" t="s">
        <v>9</v>
      </c>
      <c r="M5" s="21" t="s">
        <v>10</v>
      </c>
      <c r="N5" s="20" t="s">
        <v>11</v>
      </c>
      <c r="O5" s="21" t="s">
        <v>12</v>
      </c>
      <c r="P5" s="22" t="s">
        <v>13</v>
      </c>
      <c r="Q5" s="21" t="s">
        <v>11</v>
      </c>
      <c r="R5" s="21" t="s">
        <v>12</v>
      </c>
      <c r="S5" s="22" t="s">
        <v>13</v>
      </c>
      <c r="T5" s="23" t="s">
        <v>14</v>
      </c>
      <c r="U5" s="17"/>
      <c r="V5" s="10"/>
      <c r="W5" s="10"/>
      <c r="X5" s="10"/>
    </row>
    <row r="6" spans="1:24">
      <c r="A6" s="2"/>
      <c r="B6" s="24" t="s">
        <v>15</v>
      </c>
      <c r="C6" s="25">
        <f>P13</f>
        <v>15</v>
      </c>
      <c r="D6" s="10"/>
      <c r="E6" s="26" t="s">
        <v>16</v>
      </c>
      <c r="F6" s="27">
        <v>0.05</v>
      </c>
      <c r="G6" s="28"/>
      <c r="H6" s="10"/>
      <c r="I6" s="10"/>
      <c r="J6" s="18" t="s">
        <v>17</v>
      </c>
      <c r="K6" s="29">
        <f>K39</f>
        <v>8</v>
      </c>
      <c r="L6" s="29">
        <f t="shared" ref="L6:S6" si="0">L39</f>
        <v>7</v>
      </c>
      <c r="M6" s="29">
        <f t="shared" si="0"/>
        <v>7</v>
      </c>
      <c r="N6" s="29">
        <f t="shared" si="0"/>
        <v>8</v>
      </c>
      <c r="O6" s="29">
        <f t="shared" si="0"/>
        <v>8</v>
      </c>
      <c r="P6" s="29">
        <f t="shared" si="0"/>
        <v>5</v>
      </c>
      <c r="Q6" s="29">
        <f t="shared" si="0"/>
        <v>8</v>
      </c>
      <c r="R6" s="29">
        <f t="shared" si="0"/>
        <v>7</v>
      </c>
      <c r="S6" s="29">
        <f t="shared" si="0"/>
        <v>6</v>
      </c>
      <c r="T6" s="30">
        <f>T80</f>
        <v>2</v>
      </c>
      <c r="U6" s="17"/>
      <c r="V6" s="10"/>
      <c r="W6" s="10"/>
      <c r="X6" s="10"/>
    </row>
    <row r="7" spans="1:24">
      <c r="A7" s="2"/>
      <c r="B7" s="24" t="s">
        <v>18</v>
      </c>
      <c r="C7" s="25">
        <f>P14</f>
        <v>13</v>
      </c>
      <c r="D7" s="10"/>
      <c r="E7" s="10"/>
      <c r="F7" s="10"/>
      <c r="G7" s="31"/>
      <c r="H7" s="10"/>
      <c r="I7" s="10"/>
      <c r="J7" s="32" t="s">
        <v>19</v>
      </c>
      <c r="K7" s="33">
        <f>K39/K38</f>
        <v>1</v>
      </c>
      <c r="L7" s="33">
        <f t="shared" ref="L7:S7" si="1">L39/L38</f>
        <v>0.875</v>
      </c>
      <c r="M7" s="33">
        <f t="shared" si="1"/>
        <v>0.875</v>
      </c>
      <c r="N7" s="33">
        <f t="shared" si="1"/>
        <v>1</v>
      </c>
      <c r="O7" s="33">
        <f t="shared" si="1"/>
        <v>1</v>
      </c>
      <c r="P7" s="33">
        <f t="shared" si="1"/>
        <v>0.625</v>
      </c>
      <c r="Q7" s="33">
        <f t="shared" si="1"/>
        <v>1</v>
      </c>
      <c r="R7" s="33">
        <f t="shared" si="1"/>
        <v>0.875</v>
      </c>
      <c r="S7" s="33">
        <f t="shared" si="1"/>
        <v>0.75</v>
      </c>
      <c r="T7" s="23"/>
      <c r="U7" s="17" t="s">
        <v>20</v>
      </c>
      <c r="V7" s="10"/>
      <c r="W7" s="10"/>
      <c r="X7" s="10"/>
    </row>
    <row r="8" spans="1:24">
      <c r="A8" s="2"/>
      <c r="B8" s="24" t="s">
        <v>21</v>
      </c>
      <c r="C8" s="34">
        <f>P15</f>
        <v>0.5357142857142857</v>
      </c>
      <c r="D8" s="10"/>
      <c r="E8" s="10"/>
      <c r="F8" s="10"/>
      <c r="G8" s="10"/>
      <c r="H8" s="10"/>
      <c r="I8" s="10"/>
      <c r="J8" s="10"/>
      <c r="K8" s="10"/>
      <c r="L8" s="10"/>
      <c r="M8" s="10"/>
      <c r="N8" s="10"/>
      <c r="O8" s="10"/>
      <c r="P8" s="10"/>
      <c r="Q8" s="10"/>
      <c r="R8" s="10"/>
      <c r="S8" s="10"/>
      <c r="T8" s="10"/>
      <c r="U8" s="17"/>
      <c r="V8" s="10"/>
      <c r="W8" s="10"/>
      <c r="X8" s="10"/>
    </row>
    <row r="9" spans="1:24">
      <c r="A9" s="2"/>
      <c r="B9" s="24"/>
      <c r="C9" s="25"/>
      <c r="D9" s="10"/>
      <c r="E9" s="10"/>
      <c r="F9" s="18" t="s">
        <v>22</v>
      </c>
      <c r="G9" s="19" t="s">
        <v>23</v>
      </c>
      <c r="H9" s="35" t="s">
        <v>24</v>
      </c>
      <c r="I9" s="10"/>
      <c r="J9" s="10"/>
      <c r="K9" s="36"/>
      <c r="L9" s="36"/>
      <c r="M9" s="36"/>
      <c r="N9" s="36"/>
      <c r="O9" s="36"/>
      <c r="P9" s="36"/>
      <c r="Q9" s="36"/>
      <c r="R9" s="10"/>
      <c r="S9" s="10"/>
      <c r="T9" s="10"/>
      <c r="U9" s="17"/>
      <c r="V9" s="10"/>
      <c r="W9" s="10"/>
      <c r="X9" s="10"/>
    </row>
    <row r="10" spans="1:24">
      <c r="A10" s="2"/>
      <c r="B10" s="32" t="s">
        <v>25</v>
      </c>
      <c r="C10" s="37">
        <f>P16</f>
        <v>2164.7640000000001</v>
      </c>
      <c r="D10" s="10"/>
      <c r="E10" s="18" t="s">
        <v>26</v>
      </c>
      <c r="F10" s="38">
        <f>P12</f>
        <v>32471.46</v>
      </c>
      <c r="G10" s="39">
        <f>I38+I48+I52</f>
        <v>32471.459999999995</v>
      </c>
      <c r="H10" s="40"/>
      <c r="I10" s="41"/>
      <c r="J10" s="42"/>
      <c r="K10" s="43" t="s">
        <v>27</v>
      </c>
      <c r="L10" s="44"/>
      <c r="M10" s="44"/>
      <c r="N10" s="44"/>
      <c r="O10" s="44"/>
      <c r="P10" s="44"/>
      <c r="Q10" s="45"/>
      <c r="R10" s="46" t="s">
        <v>28</v>
      </c>
      <c r="S10" s="47" t="s">
        <v>29</v>
      </c>
      <c r="T10" s="10"/>
      <c r="U10" s="17"/>
      <c r="V10" s="10"/>
      <c r="W10" s="10"/>
      <c r="X10" s="10"/>
    </row>
    <row r="11" spans="1:24">
      <c r="A11" s="2"/>
      <c r="B11" s="11"/>
      <c r="C11" s="10"/>
      <c r="D11" s="10"/>
      <c r="E11" s="24" t="s">
        <v>30</v>
      </c>
      <c r="F11" s="48">
        <f>F6</f>
        <v>0.05</v>
      </c>
      <c r="G11" s="17"/>
      <c r="H11" s="40"/>
      <c r="I11" s="41"/>
      <c r="J11" s="42"/>
      <c r="K11" s="20" t="s">
        <v>31</v>
      </c>
      <c r="L11" s="21" t="s">
        <v>32</v>
      </c>
      <c r="M11" s="21" t="s">
        <v>33</v>
      </c>
      <c r="N11" s="21" t="s">
        <v>34</v>
      </c>
      <c r="O11" s="21" t="s">
        <v>35</v>
      </c>
      <c r="P11" s="21" t="s">
        <v>36</v>
      </c>
      <c r="Q11" s="49" t="s">
        <v>37</v>
      </c>
      <c r="R11" s="50" t="s">
        <v>38</v>
      </c>
      <c r="S11" s="50" t="s">
        <v>38</v>
      </c>
      <c r="T11" s="10"/>
      <c r="U11" s="17"/>
      <c r="V11" s="10"/>
      <c r="W11" s="10"/>
      <c r="X11" s="10"/>
    </row>
    <row r="12" spans="1:24">
      <c r="A12" s="2"/>
      <c r="B12" s="11"/>
      <c r="C12" s="10"/>
      <c r="D12" s="10"/>
      <c r="E12" s="51" t="s">
        <v>39</v>
      </c>
      <c r="F12" s="52">
        <f>(F10+F19-I37-I36-I42-I43-I44-I45-I46-I47-I51)*F11</f>
        <v>615.15000000000009</v>
      </c>
      <c r="G12" s="53" t="s">
        <v>40</v>
      </c>
      <c r="H12" s="54">
        <f>F12/1.12</f>
        <v>549.24107142857144</v>
      </c>
      <c r="I12" s="55"/>
      <c r="J12" s="42"/>
      <c r="K12" s="56">
        <f>I30+I31+I42</f>
        <v>4595.05</v>
      </c>
      <c r="L12" s="57">
        <f>I43+I32+I44</f>
        <v>6204.86</v>
      </c>
      <c r="M12" s="57">
        <f>I34+I45+I33+I46</f>
        <v>9344.35</v>
      </c>
      <c r="N12" s="57">
        <f>I35+I51</f>
        <v>7726.6</v>
      </c>
      <c r="O12" s="57">
        <f>I36+I37+I47</f>
        <v>4600.6000000000004</v>
      </c>
      <c r="P12" s="57">
        <f>SUM(K12:O12)</f>
        <v>32471.46</v>
      </c>
      <c r="Q12" s="58">
        <v>0</v>
      </c>
      <c r="R12" s="59">
        <f>I48+I52</f>
        <v>17939.16</v>
      </c>
      <c r="S12" s="59">
        <v>0</v>
      </c>
      <c r="T12" s="10"/>
      <c r="U12" s="17"/>
      <c r="V12" s="10"/>
      <c r="W12" s="10"/>
      <c r="X12" s="10"/>
    </row>
    <row r="13" spans="1:24">
      <c r="A13" s="2"/>
      <c r="B13" s="11"/>
      <c r="C13" s="10"/>
      <c r="D13" s="10"/>
      <c r="E13" s="24" t="s">
        <v>41</v>
      </c>
      <c r="F13" s="60">
        <f>Q12</f>
        <v>0</v>
      </c>
      <c r="G13" s="61" t="s">
        <v>40</v>
      </c>
      <c r="H13" s="62"/>
      <c r="I13" s="62"/>
      <c r="J13" s="10" t="s">
        <v>42</v>
      </c>
      <c r="K13" s="63">
        <v>3</v>
      </c>
      <c r="L13" s="63">
        <v>3</v>
      </c>
      <c r="M13" s="63">
        <v>4</v>
      </c>
      <c r="N13" s="63">
        <v>2</v>
      </c>
      <c r="O13" s="63">
        <v>3</v>
      </c>
      <c r="P13" s="21">
        <f>SUM(K13:O13)</f>
        <v>15</v>
      </c>
      <c r="Q13" s="64"/>
      <c r="R13" s="63"/>
      <c r="S13" s="10"/>
      <c r="T13" s="10"/>
      <c r="U13" s="17"/>
      <c r="V13" s="10"/>
      <c r="W13" s="10"/>
      <c r="X13" s="10"/>
    </row>
    <row r="14" spans="1:24">
      <c r="A14" s="2"/>
      <c r="B14" s="11"/>
      <c r="C14" s="10"/>
      <c r="D14" s="10"/>
      <c r="E14" s="51" t="s">
        <v>43</v>
      </c>
      <c r="F14" s="52">
        <f>F13*0.25</f>
        <v>0</v>
      </c>
      <c r="G14" s="53" t="s">
        <v>40</v>
      </c>
      <c r="H14" s="54">
        <f>F14/1.12</f>
        <v>0</v>
      </c>
      <c r="I14" s="10"/>
      <c r="J14" s="10" t="s">
        <v>44</v>
      </c>
      <c r="K14" s="63">
        <v>2</v>
      </c>
      <c r="L14" s="63">
        <v>2</v>
      </c>
      <c r="M14" s="63">
        <v>1</v>
      </c>
      <c r="N14" s="63">
        <v>2</v>
      </c>
      <c r="O14" s="63">
        <v>6</v>
      </c>
      <c r="P14" s="21">
        <f>SUM(K14:O14)</f>
        <v>13</v>
      </c>
      <c r="Q14" s="64"/>
      <c r="R14" s="63"/>
      <c r="S14" s="10"/>
      <c r="T14" s="10"/>
      <c r="U14" s="17"/>
      <c r="V14" s="10"/>
      <c r="W14" s="10"/>
      <c r="X14" s="10"/>
    </row>
    <row r="15" spans="1:24">
      <c r="A15" s="2"/>
      <c r="B15" s="11"/>
      <c r="C15" s="10"/>
      <c r="D15" s="10"/>
      <c r="E15" s="24" t="s">
        <v>45</v>
      </c>
      <c r="F15" s="60"/>
      <c r="G15" s="61" t="s">
        <v>40</v>
      </c>
      <c r="H15" s="62"/>
      <c r="I15" s="10"/>
      <c r="J15" s="10" t="s">
        <v>46</v>
      </c>
      <c r="K15" s="31">
        <f t="shared" ref="K15:Q15" si="2">K13/(K13+K14)</f>
        <v>0.6</v>
      </c>
      <c r="L15" s="31">
        <f t="shared" si="2"/>
        <v>0.6</v>
      </c>
      <c r="M15" s="31">
        <f t="shared" si="2"/>
        <v>0.8</v>
      </c>
      <c r="N15" s="31">
        <f t="shared" si="2"/>
        <v>0.5</v>
      </c>
      <c r="O15" s="31">
        <f t="shared" si="2"/>
        <v>0.33333333333333331</v>
      </c>
      <c r="P15" s="31">
        <f t="shared" si="2"/>
        <v>0.5357142857142857</v>
      </c>
      <c r="Q15" s="31" t="e">
        <f t="shared" si="2"/>
        <v>#DIV/0!</v>
      </c>
      <c r="R15" s="63"/>
      <c r="S15" s="10"/>
      <c r="T15" s="10"/>
      <c r="U15" s="17"/>
      <c r="V15" s="10"/>
      <c r="W15" s="10"/>
      <c r="X15" s="10"/>
    </row>
    <row r="16" spans="1:24">
      <c r="A16" s="2"/>
      <c r="B16" s="11"/>
      <c r="C16" s="10"/>
      <c r="D16" s="10"/>
      <c r="E16" s="51" t="s">
        <v>47</v>
      </c>
      <c r="F16" s="52">
        <f>F15*0.05</f>
        <v>0</v>
      </c>
      <c r="G16" s="65" t="s">
        <v>40</v>
      </c>
      <c r="H16" s="54">
        <f>F16/1.12</f>
        <v>0</v>
      </c>
      <c r="I16" s="42"/>
      <c r="J16" s="10" t="s">
        <v>48</v>
      </c>
      <c r="K16" s="66">
        <f>K12/K13</f>
        <v>1531.6833333333334</v>
      </c>
      <c r="L16" s="66">
        <f t="shared" ref="L16:Q16" si="3">L12/L13</f>
        <v>2068.2866666666664</v>
      </c>
      <c r="M16" s="66">
        <f t="shared" si="3"/>
        <v>2336.0875000000001</v>
      </c>
      <c r="N16" s="66">
        <f t="shared" si="3"/>
        <v>3863.3</v>
      </c>
      <c r="O16" s="66">
        <f t="shared" si="3"/>
        <v>1533.5333333333335</v>
      </c>
      <c r="P16" s="66">
        <f t="shared" si="3"/>
        <v>2164.7640000000001</v>
      </c>
      <c r="Q16" s="66" t="e">
        <f t="shared" si="3"/>
        <v>#DIV/0!</v>
      </c>
      <c r="R16" s="63"/>
      <c r="S16" s="10"/>
      <c r="T16" s="10"/>
      <c r="U16" s="17"/>
      <c r="V16" s="10"/>
      <c r="W16" s="10"/>
      <c r="X16" s="10"/>
    </row>
    <row r="17" spans="1:24">
      <c r="A17" s="2"/>
      <c r="B17" s="11"/>
      <c r="C17" s="10"/>
      <c r="D17" s="10"/>
      <c r="E17" s="67" t="s">
        <v>14</v>
      </c>
      <c r="F17" s="68">
        <f>1*50</f>
        <v>50</v>
      </c>
      <c r="G17" s="10"/>
      <c r="H17" s="54">
        <f>F17/1.12</f>
        <v>44.642857142857139</v>
      </c>
      <c r="I17" s="10"/>
      <c r="J17" s="10"/>
      <c r="K17" s="10"/>
      <c r="L17" s="10"/>
      <c r="M17" s="10"/>
      <c r="N17" s="10"/>
      <c r="O17" s="10"/>
      <c r="P17" s="10"/>
      <c r="Q17" s="10"/>
      <c r="R17" s="10"/>
      <c r="S17" s="10"/>
      <c r="T17" s="10"/>
      <c r="U17" s="17"/>
      <c r="V17" s="10"/>
      <c r="W17" s="10"/>
      <c r="X17" s="10"/>
    </row>
    <row r="18" spans="1:24">
      <c r="A18" s="2"/>
      <c r="B18" s="11"/>
      <c r="C18" s="10"/>
      <c r="D18" s="10"/>
      <c r="E18" s="67" t="s">
        <v>49</v>
      </c>
      <c r="F18" s="69">
        <f>T7</f>
        <v>0</v>
      </c>
      <c r="G18" s="10"/>
      <c r="H18" s="54"/>
      <c r="I18" s="55"/>
      <c r="J18" s="42"/>
      <c r="K18" s="764" t="s">
        <v>50</v>
      </c>
      <c r="L18" s="765"/>
      <c r="M18" s="765"/>
      <c r="N18" s="765"/>
      <c r="O18" s="765"/>
      <c r="P18" s="765"/>
      <c r="Q18" s="766"/>
      <c r="R18" s="70" t="s">
        <v>28</v>
      </c>
      <c r="S18" s="71" t="s">
        <v>29</v>
      </c>
      <c r="T18" s="10"/>
      <c r="U18" s="17"/>
      <c r="V18" s="10"/>
      <c r="W18" s="10"/>
      <c r="X18" s="10"/>
    </row>
    <row r="19" spans="1:24">
      <c r="A19" s="2"/>
      <c r="B19" s="11"/>
      <c r="C19" s="10"/>
      <c r="D19" s="10"/>
      <c r="E19" s="74" t="s">
        <v>153</v>
      </c>
      <c r="F19" s="75">
        <f>-450</f>
        <v>-450</v>
      </c>
      <c r="G19" s="10"/>
      <c r="H19" s="10"/>
      <c r="I19" s="10"/>
      <c r="J19" s="42"/>
      <c r="K19" s="20" t="s">
        <v>31</v>
      </c>
      <c r="L19" s="21" t="s">
        <v>32</v>
      </c>
      <c r="M19" s="21" t="s">
        <v>33</v>
      </c>
      <c r="N19" s="21" t="s">
        <v>34</v>
      </c>
      <c r="O19" s="21" t="s">
        <v>35</v>
      </c>
      <c r="P19" s="21" t="s">
        <v>36</v>
      </c>
      <c r="Q19" s="49" t="s">
        <v>37</v>
      </c>
      <c r="R19" s="50" t="s">
        <v>38</v>
      </c>
      <c r="S19" s="50" t="s">
        <v>38</v>
      </c>
      <c r="T19" s="10"/>
      <c r="U19" s="17"/>
      <c r="V19" s="10"/>
      <c r="W19" s="10"/>
      <c r="X19" s="10"/>
    </row>
    <row r="20" spans="1:24">
      <c r="A20" s="2"/>
      <c r="B20" s="11"/>
      <c r="C20" s="10"/>
      <c r="D20" s="10"/>
      <c r="E20" s="12"/>
      <c r="F20" s="76"/>
      <c r="G20" s="10"/>
      <c r="H20" s="10"/>
      <c r="I20" s="10"/>
      <c r="J20" s="42"/>
      <c r="K20" s="56">
        <f>F30+F31+F42</f>
        <v>7075</v>
      </c>
      <c r="L20" s="57">
        <f>F43+F32+F44</f>
        <v>8608</v>
      </c>
      <c r="M20" s="57">
        <f>F34+F45+F33+F46</f>
        <v>12993</v>
      </c>
      <c r="N20" s="57">
        <f>F35+F51</f>
        <v>12606</v>
      </c>
      <c r="O20" s="57">
        <f>F36+F37+F47</f>
        <v>4680</v>
      </c>
      <c r="P20" s="57">
        <f>SUM(K20:O20)</f>
        <v>45962</v>
      </c>
      <c r="Q20" s="58">
        <v>0</v>
      </c>
      <c r="R20" s="59">
        <f>F48+F52</f>
        <v>26236</v>
      </c>
      <c r="S20" s="59">
        <v>0</v>
      </c>
      <c r="T20" s="10"/>
      <c r="U20" s="17"/>
      <c r="V20" s="10"/>
      <c r="W20" s="10"/>
      <c r="X20" s="10"/>
    </row>
    <row r="21" spans="1:24">
      <c r="A21" s="2"/>
      <c r="B21" s="11"/>
      <c r="C21" s="10"/>
      <c r="D21" s="10"/>
      <c r="E21" s="10"/>
      <c r="F21" s="10"/>
      <c r="G21" s="10"/>
      <c r="H21" s="10"/>
      <c r="I21" s="10"/>
      <c r="J21" s="10" t="s">
        <v>42</v>
      </c>
      <c r="K21" s="63">
        <f>K13</f>
        <v>3</v>
      </c>
      <c r="L21" s="63">
        <f t="shared" ref="L21:Q22" si="4">L13</f>
        <v>3</v>
      </c>
      <c r="M21" s="63">
        <f t="shared" si="4"/>
        <v>4</v>
      </c>
      <c r="N21" s="63">
        <f t="shared" si="4"/>
        <v>2</v>
      </c>
      <c r="O21" s="63">
        <f t="shared" si="4"/>
        <v>3</v>
      </c>
      <c r="P21" s="63">
        <f t="shared" si="4"/>
        <v>15</v>
      </c>
      <c r="Q21" s="63">
        <f t="shared" si="4"/>
        <v>0</v>
      </c>
      <c r="R21" s="63"/>
      <c r="S21" s="10"/>
      <c r="T21" s="10"/>
      <c r="U21" s="17"/>
      <c r="V21" s="10"/>
      <c r="W21" s="10"/>
      <c r="X21" s="10"/>
    </row>
    <row r="22" spans="1:24">
      <c r="A22" s="2"/>
      <c r="B22" s="11"/>
      <c r="C22" s="10"/>
      <c r="D22" s="10"/>
      <c r="E22" s="10"/>
      <c r="F22" s="10"/>
      <c r="G22" s="10"/>
      <c r="H22" s="10"/>
      <c r="I22" s="10"/>
      <c r="J22" s="10" t="s">
        <v>44</v>
      </c>
      <c r="K22" s="63">
        <f>K14</f>
        <v>2</v>
      </c>
      <c r="L22" s="63">
        <f t="shared" si="4"/>
        <v>2</v>
      </c>
      <c r="M22" s="63">
        <f t="shared" si="4"/>
        <v>1</v>
      </c>
      <c r="N22" s="63">
        <f t="shared" si="4"/>
        <v>2</v>
      </c>
      <c r="O22" s="63">
        <f t="shared" si="4"/>
        <v>6</v>
      </c>
      <c r="P22" s="63">
        <f t="shared" si="4"/>
        <v>13</v>
      </c>
      <c r="Q22" s="63">
        <f t="shared" si="4"/>
        <v>0</v>
      </c>
      <c r="R22" s="63"/>
      <c r="S22" s="10"/>
      <c r="T22" s="10"/>
      <c r="U22" s="17"/>
      <c r="V22" s="10"/>
      <c r="W22" s="10"/>
      <c r="X22" s="10"/>
    </row>
    <row r="23" spans="1:24">
      <c r="A23" s="2"/>
      <c r="B23" s="11"/>
      <c r="C23" s="10"/>
      <c r="D23" s="10"/>
      <c r="E23" s="10"/>
      <c r="F23" s="10"/>
      <c r="G23" s="10"/>
      <c r="H23" s="10"/>
      <c r="I23" s="10"/>
      <c r="J23" s="10" t="s">
        <v>46</v>
      </c>
      <c r="K23" s="31">
        <f t="shared" ref="K23:Q23" si="5">K21/(K21+K22)</f>
        <v>0.6</v>
      </c>
      <c r="L23" s="31">
        <f t="shared" si="5"/>
        <v>0.6</v>
      </c>
      <c r="M23" s="31">
        <f t="shared" si="5"/>
        <v>0.8</v>
      </c>
      <c r="N23" s="31">
        <f t="shared" si="5"/>
        <v>0.5</v>
      </c>
      <c r="O23" s="31">
        <f t="shared" si="5"/>
        <v>0.33333333333333331</v>
      </c>
      <c r="P23" s="31">
        <f t="shared" si="5"/>
        <v>0.5357142857142857</v>
      </c>
      <c r="Q23" s="31" t="e">
        <f t="shared" si="5"/>
        <v>#DIV/0!</v>
      </c>
      <c r="R23" s="63"/>
      <c r="S23" s="10"/>
      <c r="T23" s="10"/>
      <c r="U23" s="17"/>
      <c r="V23" s="10"/>
      <c r="W23" s="10"/>
      <c r="X23" s="10"/>
    </row>
    <row r="24" spans="1:24">
      <c r="A24" s="2"/>
      <c r="B24" s="11"/>
      <c r="C24" s="10"/>
      <c r="D24" s="10"/>
      <c r="E24" s="10"/>
      <c r="F24" s="10"/>
      <c r="G24" s="10"/>
      <c r="H24" s="10"/>
      <c r="I24" s="10"/>
      <c r="J24" s="10" t="s">
        <v>48</v>
      </c>
      <c r="K24" s="66">
        <f t="shared" ref="K24:Q24" si="6">K20/K21</f>
        <v>2358.3333333333335</v>
      </c>
      <c r="L24" s="66">
        <f t="shared" si="6"/>
        <v>2869.3333333333335</v>
      </c>
      <c r="M24" s="66">
        <f t="shared" si="6"/>
        <v>3248.25</v>
      </c>
      <c r="N24" s="66">
        <f t="shared" si="6"/>
        <v>6303</v>
      </c>
      <c r="O24" s="66">
        <f t="shared" si="6"/>
        <v>1560</v>
      </c>
      <c r="P24" s="66">
        <f t="shared" si="6"/>
        <v>3064.1333333333332</v>
      </c>
      <c r="Q24" s="66" t="e">
        <f t="shared" si="6"/>
        <v>#DIV/0!</v>
      </c>
      <c r="R24" s="63"/>
      <c r="S24" s="10"/>
      <c r="T24" s="10"/>
      <c r="U24" s="17"/>
      <c r="V24" s="10"/>
      <c r="W24" s="10"/>
      <c r="X24" s="10"/>
    </row>
    <row r="25" spans="1:24">
      <c r="A25" s="2"/>
      <c r="B25" s="11"/>
      <c r="C25" s="10"/>
      <c r="D25" s="10"/>
      <c r="E25" s="10"/>
      <c r="F25" s="10"/>
      <c r="G25" s="10"/>
      <c r="H25" s="10"/>
      <c r="I25" s="10"/>
      <c r="J25" s="10"/>
      <c r="K25" s="10"/>
      <c r="L25" s="10"/>
      <c r="M25" s="10"/>
      <c r="N25" s="10"/>
      <c r="O25" s="10"/>
      <c r="P25" s="10"/>
      <c r="Q25" s="10"/>
      <c r="R25" s="10"/>
      <c r="S25" s="10"/>
      <c r="T25" s="10"/>
      <c r="U25" s="17"/>
      <c r="V25" s="10"/>
      <c r="W25" s="10"/>
      <c r="X25" s="10"/>
    </row>
    <row r="26" spans="1:24">
      <c r="A26" s="2"/>
      <c r="B26" s="11"/>
      <c r="C26" s="10"/>
      <c r="D26" s="10"/>
      <c r="E26" s="10"/>
      <c r="F26" s="10"/>
      <c r="G26" s="10"/>
      <c r="H26" s="10"/>
      <c r="I26" s="10"/>
      <c r="J26" s="10"/>
      <c r="K26" s="10"/>
      <c r="L26" s="10"/>
      <c r="M26" s="10"/>
      <c r="N26" s="10"/>
      <c r="O26" s="10"/>
      <c r="P26" s="10"/>
      <c r="Q26" s="10"/>
      <c r="R26" s="10"/>
      <c r="S26" s="10"/>
      <c r="T26" s="10"/>
      <c r="U26" s="17"/>
      <c r="V26" s="10"/>
      <c r="W26" s="10"/>
      <c r="X26" s="10"/>
    </row>
    <row r="27" spans="1:24">
      <c r="A27" s="2"/>
      <c r="B27" s="18" t="s">
        <v>51</v>
      </c>
      <c r="C27" s="14"/>
      <c r="D27" s="14"/>
      <c r="E27" s="14"/>
      <c r="F27" s="13" t="s">
        <v>52</v>
      </c>
      <c r="G27" s="14"/>
      <c r="H27" s="14"/>
      <c r="I27" s="14"/>
      <c r="J27" s="14"/>
      <c r="K27" s="13" t="s">
        <v>3</v>
      </c>
      <c r="L27" s="14"/>
      <c r="M27" s="14"/>
      <c r="N27" s="13" t="s">
        <v>4</v>
      </c>
      <c r="O27" s="14"/>
      <c r="P27" s="14"/>
      <c r="Q27" s="13" t="s">
        <v>5</v>
      </c>
      <c r="R27" s="14"/>
      <c r="S27" s="14"/>
      <c r="T27" s="18"/>
      <c r="U27" s="16" t="s">
        <v>53</v>
      </c>
      <c r="V27" s="77"/>
      <c r="W27" s="77"/>
      <c r="X27" s="77"/>
    </row>
    <row r="28" spans="1:24">
      <c r="A28" s="2"/>
      <c r="B28" s="24" t="s">
        <v>54</v>
      </c>
      <c r="C28" s="21" t="s">
        <v>55</v>
      </c>
      <c r="D28" s="21" t="s">
        <v>56</v>
      </c>
      <c r="E28" s="21" t="s">
        <v>57</v>
      </c>
      <c r="F28" s="20" t="s">
        <v>58</v>
      </c>
      <c r="G28" s="21" t="s">
        <v>59</v>
      </c>
      <c r="H28" s="21" t="s">
        <v>60</v>
      </c>
      <c r="I28" s="21" t="s">
        <v>26</v>
      </c>
      <c r="J28" s="22" t="s">
        <v>61</v>
      </c>
      <c r="K28" s="21" t="s">
        <v>8</v>
      </c>
      <c r="L28" s="21" t="s">
        <v>9</v>
      </c>
      <c r="M28" s="21" t="s">
        <v>10</v>
      </c>
      <c r="N28" s="20" t="s">
        <v>11</v>
      </c>
      <c r="O28" s="21" t="s">
        <v>12</v>
      </c>
      <c r="P28" s="22" t="s">
        <v>13</v>
      </c>
      <c r="Q28" s="21" t="s">
        <v>11</v>
      </c>
      <c r="R28" s="21" t="s">
        <v>12</v>
      </c>
      <c r="S28" s="21" t="s">
        <v>13</v>
      </c>
      <c r="T28" s="78" t="s">
        <v>14</v>
      </c>
      <c r="U28" s="30"/>
      <c r="V28" s="79" t="s">
        <v>62</v>
      </c>
      <c r="W28" s="80" t="s">
        <v>63</v>
      </c>
      <c r="X28" s="81" t="s">
        <v>64</v>
      </c>
    </row>
    <row r="29" spans="1:24">
      <c r="A29" s="2"/>
      <c r="B29" s="4" t="s">
        <v>65</v>
      </c>
      <c r="C29" s="6"/>
      <c r="D29" s="6"/>
      <c r="E29" s="6"/>
      <c r="F29" s="6"/>
      <c r="G29" s="6"/>
      <c r="H29" s="6"/>
      <c r="I29" s="82"/>
      <c r="J29" s="6"/>
      <c r="K29" s="6"/>
      <c r="L29" s="6"/>
      <c r="M29" s="6"/>
      <c r="N29" s="6"/>
      <c r="O29" s="6"/>
      <c r="P29" s="6"/>
      <c r="Q29" s="6"/>
      <c r="R29" s="6"/>
      <c r="S29" s="6"/>
      <c r="T29" s="83"/>
      <c r="U29" s="6"/>
      <c r="V29" s="84"/>
      <c r="W29" s="85"/>
      <c r="X29" s="86"/>
    </row>
    <row r="30" spans="1:24">
      <c r="A30" s="2"/>
      <c r="B30" s="87">
        <v>1</v>
      </c>
      <c r="C30" s="274">
        <v>45831</v>
      </c>
      <c r="D30" s="320" t="s">
        <v>154</v>
      </c>
      <c r="E30" s="276" t="s">
        <v>155</v>
      </c>
      <c r="F30" s="277">
        <v>681</v>
      </c>
      <c r="G30" s="277"/>
      <c r="H30" s="297"/>
      <c r="I30" s="321">
        <f t="shared" ref="I30:I37" si="7">F30-G30-H30</f>
        <v>681</v>
      </c>
      <c r="J30" s="279" t="s">
        <v>156</v>
      </c>
      <c r="K30" s="279">
        <v>1</v>
      </c>
      <c r="L30" s="279">
        <v>1</v>
      </c>
      <c r="M30" s="279">
        <v>1</v>
      </c>
      <c r="N30" s="279">
        <v>1</v>
      </c>
      <c r="O30" s="279">
        <v>1</v>
      </c>
      <c r="P30" s="322">
        <v>0</v>
      </c>
      <c r="Q30" s="279">
        <v>1</v>
      </c>
      <c r="R30" s="322">
        <v>0</v>
      </c>
      <c r="S30" s="280">
        <v>1</v>
      </c>
      <c r="T30" s="63"/>
      <c r="U30" s="10" t="s">
        <v>157</v>
      </c>
      <c r="V30" s="90">
        <v>749.1</v>
      </c>
      <c r="W30" s="91"/>
      <c r="X30" s="92"/>
    </row>
    <row r="31" spans="1:24">
      <c r="A31" s="2"/>
      <c r="B31" s="87">
        <f t="shared" ref="B31:B37" si="8">B30+1</f>
        <v>2</v>
      </c>
      <c r="C31" s="295">
        <v>45831</v>
      </c>
      <c r="D31" s="323">
        <v>70960</v>
      </c>
      <c r="E31" s="10" t="s">
        <v>158</v>
      </c>
      <c r="F31" s="62">
        <v>1261</v>
      </c>
      <c r="G31" s="62">
        <v>39.700000000000003</v>
      </c>
      <c r="H31" s="62"/>
      <c r="I31" s="324">
        <f t="shared" si="7"/>
        <v>1221.3</v>
      </c>
      <c r="J31" s="63" t="s">
        <v>156</v>
      </c>
      <c r="K31" s="63">
        <v>1</v>
      </c>
      <c r="L31" s="63">
        <v>1</v>
      </c>
      <c r="M31" s="63">
        <v>1</v>
      </c>
      <c r="N31" s="63">
        <v>1</v>
      </c>
      <c r="O31" s="63">
        <v>1</v>
      </c>
      <c r="P31" s="325">
        <v>0</v>
      </c>
      <c r="Q31" s="63">
        <v>1</v>
      </c>
      <c r="R31" s="63">
        <v>1</v>
      </c>
      <c r="S31" s="326">
        <v>0</v>
      </c>
      <c r="T31" s="63"/>
      <c r="U31" s="10"/>
      <c r="V31" s="90">
        <v>1387.1</v>
      </c>
      <c r="W31" s="91"/>
      <c r="X31" s="92"/>
    </row>
    <row r="32" spans="1:24">
      <c r="A32" s="2"/>
      <c r="B32" s="87">
        <f>B31+1</f>
        <v>3</v>
      </c>
      <c r="C32" s="274">
        <v>45832</v>
      </c>
      <c r="D32" s="327">
        <v>70985</v>
      </c>
      <c r="E32" s="276" t="s">
        <v>159</v>
      </c>
      <c r="F32" s="277">
        <v>5814</v>
      </c>
      <c r="G32" s="277">
        <f>39.7+(1430.19)+250</f>
        <v>1719.89</v>
      </c>
      <c r="H32" s="277"/>
      <c r="I32" s="278">
        <f>F32-G32-H32</f>
        <v>4094.1099999999997</v>
      </c>
      <c r="J32" s="279" t="s">
        <v>156</v>
      </c>
      <c r="K32" s="279">
        <v>1</v>
      </c>
      <c r="L32" s="279">
        <v>1</v>
      </c>
      <c r="M32" s="279">
        <v>1</v>
      </c>
      <c r="N32" s="279">
        <v>1</v>
      </c>
      <c r="O32" s="279">
        <v>1</v>
      </c>
      <c r="P32" s="279">
        <v>1</v>
      </c>
      <c r="Q32" s="279">
        <v>1</v>
      </c>
      <c r="R32" s="279">
        <v>1</v>
      </c>
      <c r="S32" s="280">
        <v>1</v>
      </c>
      <c r="T32" s="63"/>
      <c r="U32" s="10" t="s">
        <v>160</v>
      </c>
      <c r="V32" s="90">
        <f>640+5500+255.4</f>
        <v>6395.4</v>
      </c>
      <c r="W32" s="136"/>
      <c r="X32" s="137"/>
    </row>
    <row r="33" spans="1:24">
      <c r="A33" s="2"/>
      <c r="B33" s="87">
        <f>B32+1</f>
        <v>4</v>
      </c>
      <c r="C33" s="274">
        <v>45833</v>
      </c>
      <c r="D33" s="320" t="s">
        <v>161</v>
      </c>
      <c r="E33" s="276" t="s">
        <v>162</v>
      </c>
      <c r="F33" s="277">
        <v>7075</v>
      </c>
      <c r="G33" s="277">
        <f>39.7+(78.67)+(1.6+2365.41+143.43+41.8)+500</f>
        <v>3170.6099999999997</v>
      </c>
      <c r="H33" s="277"/>
      <c r="I33" s="278">
        <f>F33-G33-H33</f>
        <v>3904.3900000000003</v>
      </c>
      <c r="J33" s="279" t="s">
        <v>156</v>
      </c>
      <c r="K33" s="279">
        <v>1</v>
      </c>
      <c r="L33" s="279">
        <v>1</v>
      </c>
      <c r="M33" s="279">
        <v>1</v>
      </c>
      <c r="N33" s="279">
        <v>1</v>
      </c>
      <c r="O33" s="279">
        <v>1</v>
      </c>
      <c r="P33" s="322">
        <v>0</v>
      </c>
      <c r="Q33" s="279">
        <v>1</v>
      </c>
      <c r="R33" s="279">
        <v>1</v>
      </c>
      <c r="S33" s="328">
        <v>0</v>
      </c>
      <c r="T33" s="63"/>
      <c r="U33" s="10" t="s">
        <v>163</v>
      </c>
      <c r="V33" s="90">
        <f>75+674.1+783+6250.4</f>
        <v>7782.5</v>
      </c>
      <c r="W33" s="91"/>
      <c r="X33" s="92"/>
    </row>
    <row r="34" spans="1:24">
      <c r="A34" s="2" t="s">
        <v>164</v>
      </c>
      <c r="B34" s="87">
        <f>B33+1</f>
        <v>5</v>
      </c>
      <c r="C34" s="295">
        <v>45833</v>
      </c>
      <c r="D34" s="346" t="s">
        <v>165</v>
      </c>
      <c r="E34" s="101" t="s">
        <v>166</v>
      </c>
      <c r="F34" s="62">
        <v>2023</v>
      </c>
      <c r="G34" s="62">
        <f>39.7+(144.4)</f>
        <v>184.10000000000002</v>
      </c>
      <c r="H34" s="62"/>
      <c r="I34" s="324">
        <f>F34-G34-H34</f>
        <v>1838.9</v>
      </c>
      <c r="J34" s="63" t="s">
        <v>156</v>
      </c>
      <c r="K34" s="63">
        <v>1</v>
      </c>
      <c r="L34" s="63">
        <v>1</v>
      </c>
      <c r="M34" s="325">
        <v>0</v>
      </c>
      <c r="N34" s="63">
        <v>1</v>
      </c>
      <c r="O34" s="63">
        <v>1</v>
      </c>
      <c r="P34" s="63">
        <v>1</v>
      </c>
      <c r="Q34" s="63">
        <v>1</v>
      </c>
      <c r="R34" s="63">
        <v>1</v>
      </c>
      <c r="S34" s="296">
        <v>1</v>
      </c>
      <c r="T34" s="63"/>
      <c r="U34" s="10" t="s">
        <v>167</v>
      </c>
      <c r="V34" s="90">
        <f>226+1999.3</f>
        <v>2225.3000000000002</v>
      </c>
      <c r="W34" s="91"/>
      <c r="X34" s="92"/>
    </row>
    <row r="35" spans="1:24">
      <c r="A35" s="2"/>
      <c r="B35" s="87">
        <f>B34+1</f>
        <v>6</v>
      </c>
      <c r="C35" s="274">
        <v>45834</v>
      </c>
      <c r="D35" s="327">
        <v>71018</v>
      </c>
      <c r="E35" s="276" t="s">
        <v>168</v>
      </c>
      <c r="F35" s="277">
        <v>1053</v>
      </c>
      <c r="G35" s="277">
        <v>39.700000000000003</v>
      </c>
      <c r="H35" s="277"/>
      <c r="I35" s="278">
        <f t="shared" si="7"/>
        <v>1013.3</v>
      </c>
      <c r="J35" s="279" t="s">
        <v>156</v>
      </c>
      <c r="K35" s="279">
        <v>1</v>
      </c>
      <c r="L35" s="279">
        <v>1</v>
      </c>
      <c r="M35" s="279">
        <v>1</v>
      </c>
      <c r="N35" s="279">
        <v>1</v>
      </c>
      <c r="O35" s="279">
        <v>1</v>
      </c>
      <c r="P35" s="279">
        <v>1</v>
      </c>
      <c r="Q35" s="279">
        <v>1</v>
      </c>
      <c r="R35" s="279">
        <v>1</v>
      </c>
      <c r="S35" s="280">
        <v>1</v>
      </c>
      <c r="T35" s="63">
        <v>1</v>
      </c>
      <c r="U35" s="10"/>
      <c r="V35" s="90">
        <f>119+1039.3</f>
        <v>1158.3</v>
      </c>
      <c r="W35" s="91"/>
      <c r="X35" s="92"/>
    </row>
    <row r="36" spans="1:24">
      <c r="A36" s="2"/>
      <c r="B36" s="87">
        <f t="shared" si="8"/>
        <v>7</v>
      </c>
      <c r="C36" s="274">
        <v>45835</v>
      </c>
      <c r="D36" s="327">
        <v>71065</v>
      </c>
      <c r="E36" s="276" t="s">
        <v>169</v>
      </c>
      <c r="F36" s="277">
        <v>681</v>
      </c>
      <c r="G36" s="277"/>
      <c r="H36" s="297"/>
      <c r="I36" s="329">
        <f t="shared" si="7"/>
        <v>681</v>
      </c>
      <c r="J36" s="279" t="s">
        <v>156</v>
      </c>
      <c r="K36" s="279">
        <v>1</v>
      </c>
      <c r="L36" s="279">
        <v>1</v>
      </c>
      <c r="M36" s="279">
        <v>1</v>
      </c>
      <c r="N36" s="279">
        <v>1</v>
      </c>
      <c r="O36" s="279">
        <v>1</v>
      </c>
      <c r="P36" s="279">
        <v>1</v>
      </c>
      <c r="Q36" s="279">
        <v>1</v>
      </c>
      <c r="R36" s="279">
        <v>1</v>
      </c>
      <c r="S36" s="280">
        <v>1</v>
      </c>
      <c r="T36" s="63"/>
      <c r="U36" s="10" t="s">
        <v>170</v>
      </c>
      <c r="V36" s="90">
        <f>75+674.1</f>
        <v>749.1</v>
      </c>
      <c r="W36" s="91"/>
      <c r="X36" s="92"/>
    </row>
    <row r="37" spans="1:24">
      <c r="A37" s="2"/>
      <c r="B37" s="87">
        <f t="shared" si="8"/>
        <v>8</v>
      </c>
      <c r="C37" s="282">
        <v>45835</v>
      </c>
      <c r="D37" s="330" t="s">
        <v>171</v>
      </c>
      <c r="E37" s="283" t="s">
        <v>172</v>
      </c>
      <c r="F37" s="284">
        <v>1138</v>
      </c>
      <c r="G37" s="284">
        <v>39.700000000000003</v>
      </c>
      <c r="H37" s="315"/>
      <c r="I37" s="331">
        <f t="shared" si="7"/>
        <v>1098.3</v>
      </c>
      <c r="J37" s="286" t="s">
        <v>156</v>
      </c>
      <c r="K37" s="286">
        <v>1</v>
      </c>
      <c r="L37" s="332">
        <v>0</v>
      </c>
      <c r="M37" s="286">
        <v>1</v>
      </c>
      <c r="N37" s="286">
        <v>1</v>
      </c>
      <c r="O37" s="286">
        <v>1</v>
      </c>
      <c r="P37" s="286">
        <v>1</v>
      </c>
      <c r="Q37" s="286">
        <v>1</v>
      </c>
      <c r="R37" s="286">
        <v>1</v>
      </c>
      <c r="S37" s="287">
        <v>1</v>
      </c>
      <c r="T37" s="63"/>
      <c r="U37" s="10" t="s">
        <v>173</v>
      </c>
      <c r="V37" s="90">
        <v>1251.8</v>
      </c>
      <c r="W37" s="91"/>
      <c r="X37" s="92"/>
    </row>
    <row r="38" spans="1:24">
      <c r="A38" s="2"/>
      <c r="B38" s="87"/>
      <c r="C38" s="36"/>
      <c r="D38" s="10"/>
      <c r="E38" s="10"/>
      <c r="F38" s="97">
        <f>SUM(F30:F37)</f>
        <v>19726</v>
      </c>
      <c r="G38" s="97">
        <f>SUM(G30:G37)</f>
        <v>5193.7</v>
      </c>
      <c r="H38" s="97">
        <f>SUM(H30:H37)</f>
        <v>0</v>
      </c>
      <c r="I38" s="98">
        <f>SUM(I30:I37)</f>
        <v>14532.299999999997</v>
      </c>
      <c r="J38" s="63"/>
      <c r="K38" s="63">
        <f t="shared" ref="K38:S38" si="9">COUNT(K30:K37)</f>
        <v>8</v>
      </c>
      <c r="L38" s="63">
        <f t="shared" si="9"/>
        <v>8</v>
      </c>
      <c r="M38" s="63">
        <f t="shared" si="9"/>
        <v>8</v>
      </c>
      <c r="N38" s="63">
        <f t="shared" si="9"/>
        <v>8</v>
      </c>
      <c r="O38" s="63">
        <f t="shared" si="9"/>
        <v>8</v>
      </c>
      <c r="P38" s="63">
        <f t="shared" si="9"/>
        <v>8</v>
      </c>
      <c r="Q38" s="63">
        <f t="shared" si="9"/>
        <v>8</v>
      </c>
      <c r="R38" s="63">
        <f t="shared" si="9"/>
        <v>8</v>
      </c>
      <c r="S38" s="63">
        <f t="shared" si="9"/>
        <v>8</v>
      </c>
      <c r="T38" s="63"/>
      <c r="U38" s="10"/>
      <c r="V38" s="90"/>
      <c r="W38" s="91"/>
      <c r="X38" s="92"/>
    </row>
    <row r="39" spans="1:24">
      <c r="A39" s="2"/>
      <c r="B39" s="87"/>
      <c r="C39" s="36"/>
      <c r="D39" s="10"/>
      <c r="E39" s="10"/>
      <c r="F39" s="88"/>
      <c r="G39" s="88"/>
      <c r="H39" s="88"/>
      <c r="I39" s="99"/>
      <c r="J39" s="63"/>
      <c r="K39" s="21">
        <f t="shared" ref="K39:S39" si="10">SUM(K30:K37)</f>
        <v>8</v>
      </c>
      <c r="L39" s="21">
        <f t="shared" si="10"/>
        <v>7</v>
      </c>
      <c r="M39" s="21">
        <f t="shared" si="10"/>
        <v>7</v>
      </c>
      <c r="N39" s="21">
        <f t="shared" si="10"/>
        <v>8</v>
      </c>
      <c r="O39" s="21">
        <f t="shared" si="10"/>
        <v>8</v>
      </c>
      <c r="P39" s="21">
        <f t="shared" si="10"/>
        <v>5</v>
      </c>
      <c r="Q39" s="21">
        <f t="shared" si="10"/>
        <v>8</v>
      </c>
      <c r="R39" s="21">
        <f t="shared" si="10"/>
        <v>7</v>
      </c>
      <c r="S39" s="21">
        <f t="shared" si="10"/>
        <v>6</v>
      </c>
      <c r="T39" s="63"/>
      <c r="U39" s="10"/>
      <c r="V39" s="90"/>
      <c r="W39" s="91"/>
      <c r="X39" s="92"/>
    </row>
    <row r="40" spans="1:24">
      <c r="A40" s="2"/>
      <c r="B40" s="11"/>
      <c r="C40" s="36"/>
      <c r="D40" s="10"/>
      <c r="E40" s="10"/>
      <c r="F40" s="88"/>
      <c r="G40" s="88"/>
      <c r="H40" s="88"/>
      <c r="I40" s="99"/>
      <c r="J40" s="63"/>
      <c r="K40" s="21"/>
      <c r="L40" s="21"/>
      <c r="M40" s="21"/>
      <c r="N40" s="21"/>
      <c r="O40" s="21"/>
      <c r="P40" s="21"/>
      <c r="Q40" s="21"/>
      <c r="R40" s="21"/>
      <c r="S40" s="21"/>
      <c r="T40" s="63"/>
      <c r="U40" s="10"/>
      <c r="V40" s="90"/>
      <c r="W40" s="91"/>
      <c r="X40" s="92"/>
    </row>
    <row r="41" spans="1:24">
      <c r="A41" s="128"/>
      <c r="B41" s="121" t="s">
        <v>68</v>
      </c>
      <c r="C41" s="122"/>
      <c r="D41" s="123"/>
      <c r="E41" s="123"/>
      <c r="F41" s="124"/>
      <c r="G41" s="125"/>
      <c r="H41" s="124"/>
      <c r="I41" s="126"/>
      <c r="J41" s="127"/>
      <c r="K41" s="128"/>
      <c r="L41" s="128"/>
      <c r="M41" s="128"/>
      <c r="N41" s="128"/>
      <c r="O41" s="128"/>
      <c r="P41" s="128"/>
      <c r="Q41" s="128"/>
      <c r="R41" s="128"/>
      <c r="S41" s="128"/>
      <c r="T41" s="127"/>
      <c r="U41" s="123"/>
      <c r="V41" s="129"/>
      <c r="W41" s="130"/>
      <c r="X41" s="131"/>
    </row>
    <row r="42" spans="1:24" s="342" customFormat="1">
      <c r="A42" s="128" t="s">
        <v>174</v>
      </c>
      <c r="B42" s="333">
        <v>1</v>
      </c>
      <c r="C42" s="334">
        <v>45831</v>
      </c>
      <c r="D42" s="320" t="s">
        <v>175</v>
      </c>
      <c r="E42" s="335" t="s">
        <v>155</v>
      </c>
      <c r="F42" s="336">
        <v>5133</v>
      </c>
      <c r="G42" s="336">
        <f>39.7+(1906.7+43.85)+250+200</f>
        <v>2440.25</v>
      </c>
      <c r="H42" s="336"/>
      <c r="I42" s="337">
        <f>F42-G42-H42</f>
        <v>2692.75</v>
      </c>
      <c r="J42" s="338" t="s">
        <v>156</v>
      </c>
      <c r="K42" s="338">
        <v>1</v>
      </c>
      <c r="L42" s="338">
        <v>1</v>
      </c>
      <c r="M42" s="322">
        <v>0</v>
      </c>
      <c r="N42" s="338">
        <v>1</v>
      </c>
      <c r="O42" s="338">
        <v>1</v>
      </c>
      <c r="P42" s="338">
        <v>0</v>
      </c>
      <c r="Q42" s="338">
        <v>1</v>
      </c>
      <c r="R42" s="322">
        <v>0</v>
      </c>
      <c r="S42" s="339">
        <v>1</v>
      </c>
      <c r="T42" s="127"/>
      <c r="U42" s="123" t="s">
        <v>176</v>
      </c>
      <c r="V42" s="129">
        <f>565+2500</f>
        <v>3065</v>
      </c>
      <c r="W42" s="340"/>
      <c r="X42" s="341"/>
    </row>
    <row r="43" spans="1:24" s="342" customFormat="1">
      <c r="A43" s="343"/>
      <c r="B43" s="333">
        <f>B42+1</f>
        <v>2</v>
      </c>
      <c r="C43" s="334">
        <v>45832</v>
      </c>
      <c r="D43" s="320" t="s">
        <v>177</v>
      </c>
      <c r="E43" s="335" t="s">
        <v>178</v>
      </c>
      <c r="F43" s="336">
        <f>681-681</f>
        <v>0</v>
      </c>
      <c r="G43" s="336"/>
      <c r="H43" s="336"/>
      <c r="I43" s="337">
        <f>F43-G43-H43</f>
        <v>0</v>
      </c>
      <c r="J43" s="338"/>
      <c r="K43" s="338">
        <v>1</v>
      </c>
      <c r="L43" s="338">
        <v>1</v>
      </c>
      <c r="M43" s="338"/>
      <c r="N43" s="338">
        <v>1</v>
      </c>
      <c r="O43" s="338">
        <v>1</v>
      </c>
      <c r="P43" s="338">
        <v>0</v>
      </c>
      <c r="Q43" s="338">
        <v>0</v>
      </c>
      <c r="R43" s="338">
        <v>0</v>
      </c>
      <c r="S43" s="339">
        <v>0</v>
      </c>
      <c r="T43" s="127"/>
      <c r="U43" s="344" t="s">
        <v>179</v>
      </c>
      <c r="V43" s="129"/>
      <c r="W43" s="130"/>
      <c r="X43" s="131"/>
    </row>
    <row r="44" spans="1:24" s="342" customFormat="1">
      <c r="A44" s="128"/>
      <c r="B44" s="333">
        <f>B43+1</f>
        <v>3</v>
      </c>
      <c r="C44" s="345">
        <v>45832</v>
      </c>
      <c r="D44" s="346" t="s">
        <v>180</v>
      </c>
      <c r="E44" s="123" t="s">
        <v>178</v>
      </c>
      <c r="F44" s="125">
        <v>2794</v>
      </c>
      <c r="G44" s="125">
        <f>39.7+(46.62+153.12+243.81)+200</f>
        <v>683.25</v>
      </c>
      <c r="H44" s="125"/>
      <c r="I44" s="347">
        <f>F44-G44-H44</f>
        <v>2110.75</v>
      </c>
      <c r="J44" s="127" t="s">
        <v>156</v>
      </c>
      <c r="K44" s="127">
        <v>1</v>
      </c>
      <c r="L44" s="127">
        <v>1</v>
      </c>
      <c r="M44" s="127">
        <v>1</v>
      </c>
      <c r="N44" s="127">
        <v>1</v>
      </c>
      <c r="O44" s="127">
        <v>1</v>
      </c>
      <c r="P44" s="325">
        <v>0</v>
      </c>
      <c r="Q44" s="127">
        <v>1</v>
      </c>
      <c r="R44" s="127">
        <v>1</v>
      </c>
      <c r="S44" s="326">
        <v>0</v>
      </c>
      <c r="T44" s="127">
        <v>1</v>
      </c>
      <c r="U44" s="123" t="s">
        <v>181</v>
      </c>
      <c r="V44" s="129">
        <f>75+674.01+307.5+255.5</f>
        <v>1312.01</v>
      </c>
      <c r="W44" s="340"/>
      <c r="X44" s="341"/>
    </row>
    <row r="45" spans="1:24" s="342" customFormat="1">
      <c r="A45" s="128"/>
      <c r="B45" s="333">
        <f>B44+1</f>
        <v>4</v>
      </c>
      <c r="C45" s="334">
        <v>45833</v>
      </c>
      <c r="D45" s="320" t="s">
        <v>182</v>
      </c>
      <c r="E45" s="335" t="s">
        <v>162</v>
      </c>
      <c r="F45" s="336">
        <v>681</v>
      </c>
      <c r="G45" s="336"/>
      <c r="H45" s="336"/>
      <c r="I45" s="337">
        <f>F45-G45-H45</f>
        <v>681</v>
      </c>
      <c r="J45" s="338"/>
      <c r="K45" s="338">
        <v>1</v>
      </c>
      <c r="L45" s="338">
        <v>1</v>
      </c>
      <c r="M45" s="338"/>
      <c r="N45" s="338">
        <v>1</v>
      </c>
      <c r="O45" s="338">
        <v>1</v>
      </c>
      <c r="P45" s="338">
        <v>1</v>
      </c>
      <c r="Q45" s="338">
        <v>1</v>
      </c>
      <c r="R45" s="338">
        <v>1</v>
      </c>
      <c r="S45" s="339">
        <v>1</v>
      </c>
      <c r="T45" s="127"/>
      <c r="U45" s="123" t="s">
        <v>183</v>
      </c>
      <c r="V45" s="129"/>
      <c r="W45" s="130"/>
      <c r="X45" s="131"/>
    </row>
    <row r="46" spans="1:24" s="342" customFormat="1">
      <c r="A46" s="128"/>
      <c r="B46" s="333">
        <f>B33+1</f>
        <v>5</v>
      </c>
      <c r="C46" s="345">
        <v>45833</v>
      </c>
      <c r="D46" s="323">
        <v>71021</v>
      </c>
      <c r="E46" s="348" t="s">
        <v>184</v>
      </c>
      <c r="F46" s="125">
        <v>3214</v>
      </c>
      <c r="G46" s="125">
        <f>39.7+(54.24)+200</f>
        <v>293.94</v>
      </c>
      <c r="H46" s="125"/>
      <c r="I46" s="347">
        <f t="shared" ref="I46:I47" si="11">F46-G46-H46</f>
        <v>2920.06</v>
      </c>
      <c r="J46" s="127" t="s">
        <v>185</v>
      </c>
      <c r="K46" s="127">
        <v>1</v>
      </c>
      <c r="L46" s="127">
        <v>1</v>
      </c>
      <c r="M46" s="325">
        <v>0</v>
      </c>
      <c r="N46" s="127">
        <v>1</v>
      </c>
      <c r="O46" s="127">
        <v>1</v>
      </c>
      <c r="P46" s="127">
        <v>1</v>
      </c>
      <c r="Q46" s="127">
        <v>1</v>
      </c>
      <c r="R46" s="127">
        <v>1</v>
      </c>
      <c r="S46" s="349">
        <v>1</v>
      </c>
      <c r="T46" s="127"/>
      <c r="U46" s="123" t="s">
        <v>186</v>
      </c>
      <c r="V46" s="129">
        <v>354</v>
      </c>
      <c r="W46" s="130"/>
      <c r="X46" s="131"/>
    </row>
    <row r="47" spans="1:24" s="342" customFormat="1">
      <c r="A47" s="128"/>
      <c r="B47" s="333">
        <f t="shared" ref="B47" si="12">B46+1</f>
        <v>6</v>
      </c>
      <c r="C47" s="350">
        <v>45835</v>
      </c>
      <c r="D47" s="263">
        <v>70987</v>
      </c>
      <c r="E47" s="351" t="s">
        <v>187</v>
      </c>
      <c r="F47" s="352">
        <v>2861</v>
      </c>
      <c r="G47" s="352">
        <v>39.700000000000003</v>
      </c>
      <c r="H47" s="352"/>
      <c r="I47" s="353">
        <f t="shared" si="11"/>
        <v>2821.3</v>
      </c>
      <c r="J47" s="354" t="s">
        <v>156</v>
      </c>
      <c r="K47" s="354">
        <v>1</v>
      </c>
      <c r="L47" s="354">
        <v>1</v>
      </c>
      <c r="M47" s="354">
        <v>1</v>
      </c>
      <c r="N47" s="354">
        <v>1</v>
      </c>
      <c r="O47" s="354">
        <v>1</v>
      </c>
      <c r="P47" s="354">
        <v>0</v>
      </c>
      <c r="Q47" s="354">
        <v>1</v>
      </c>
      <c r="R47" s="354">
        <v>1</v>
      </c>
      <c r="S47" s="355">
        <v>1</v>
      </c>
      <c r="T47" s="127"/>
      <c r="U47" s="123"/>
      <c r="V47" s="129">
        <v>315</v>
      </c>
      <c r="W47" s="130"/>
      <c r="X47" s="131"/>
    </row>
    <row r="48" spans="1:24" s="342" customFormat="1">
      <c r="A48" s="128"/>
      <c r="B48" s="132"/>
      <c r="C48" s="122"/>
      <c r="D48" s="123"/>
      <c r="E48" s="123"/>
      <c r="F48" s="134">
        <f>SUM(F42:F47)</f>
        <v>14683</v>
      </c>
      <c r="G48" s="134">
        <f>SUM(G42:G47)</f>
        <v>3457.14</v>
      </c>
      <c r="H48" s="134">
        <f>SUM(H42:H47)</f>
        <v>0</v>
      </c>
      <c r="I48" s="134">
        <f>SUM(I42:I47)</f>
        <v>11225.86</v>
      </c>
      <c r="J48" s="127"/>
      <c r="K48" s="64"/>
      <c r="L48" s="64"/>
      <c r="M48" s="64"/>
      <c r="N48" s="64"/>
      <c r="O48" s="64"/>
      <c r="P48" s="64"/>
      <c r="Q48" s="64"/>
      <c r="R48" s="64"/>
      <c r="S48" s="64"/>
      <c r="T48" s="127"/>
      <c r="U48" s="123"/>
      <c r="V48" s="129"/>
      <c r="W48" s="130"/>
      <c r="X48" s="131"/>
    </row>
    <row r="49" spans="1:24" s="342" customFormat="1">
      <c r="A49" s="128"/>
      <c r="B49" s="132"/>
      <c r="C49" s="123"/>
      <c r="D49" s="123"/>
      <c r="E49" s="123"/>
      <c r="F49" s="124"/>
      <c r="G49" s="124"/>
      <c r="H49" s="124"/>
      <c r="I49" s="126"/>
      <c r="J49" s="127"/>
      <c r="K49" s="64"/>
      <c r="L49" s="64"/>
      <c r="M49" s="64"/>
      <c r="N49" s="64"/>
      <c r="O49" s="64"/>
      <c r="P49" s="64"/>
      <c r="Q49" s="64"/>
      <c r="R49" s="64"/>
      <c r="S49" s="64"/>
      <c r="T49" s="127"/>
      <c r="U49" s="123"/>
      <c r="V49" s="129"/>
      <c r="W49" s="130"/>
      <c r="X49" s="131"/>
    </row>
    <row r="50" spans="1:24" s="342" customFormat="1">
      <c r="A50" s="128"/>
      <c r="B50" s="121" t="s">
        <v>70</v>
      </c>
      <c r="C50" s="122"/>
      <c r="D50" s="123"/>
      <c r="E50" s="128"/>
      <c r="F50" s="124"/>
      <c r="G50" s="124"/>
      <c r="H50" s="124"/>
      <c r="I50" s="126"/>
      <c r="J50" s="127"/>
      <c r="K50" s="64"/>
      <c r="L50" s="64"/>
      <c r="M50" s="64"/>
      <c r="N50" s="64"/>
      <c r="O50" s="64"/>
      <c r="P50" s="64"/>
      <c r="Q50" s="64"/>
      <c r="R50" s="64"/>
      <c r="S50" s="64"/>
      <c r="T50" s="127"/>
      <c r="U50" s="123"/>
      <c r="V50" s="129"/>
      <c r="W50" s="130"/>
      <c r="X50" s="131"/>
    </row>
    <row r="51" spans="1:24" s="342" customFormat="1">
      <c r="A51" s="356">
        <v>0.05</v>
      </c>
      <c r="B51" s="333">
        <v>1</v>
      </c>
      <c r="C51" s="350">
        <v>45834</v>
      </c>
      <c r="D51" s="357" t="s">
        <v>188</v>
      </c>
      <c r="E51" s="358" t="s">
        <v>189</v>
      </c>
      <c r="F51" s="352">
        <v>11553</v>
      </c>
      <c r="G51" s="352">
        <f>39.7+4500+300</f>
        <v>4839.7</v>
      </c>
      <c r="H51" s="352"/>
      <c r="I51" s="353">
        <f t="shared" ref="I51" si="13">F51-G51-H51</f>
        <v>6713.3</v>
      </c>
      <c r="J51" s="354" t="s">
        <v>156</v>
      </c>
      <c r="K51" s="354">
        <v>1</v>
      </c>
      <c r="L51" s="354"/>
      <c r="M51" s="354">
        <v>1</v>
      </c>
      <c r="N51" s="354">
        <v>1</v>
      </c>
      <c r="O51" s="354">
        <v>1</v>
      </c>
      <c r="P51" s="354">
        <v>0</v>
      </c>
      <c r="Q51" s="354"/>
      <c r="R51" s="354"/>
      <c r="S51" s="355"/>
      <c r="T51" s="127"/>
      <c r="U51" s="123" t="s">
        <v>190</v>
      </c>
      <c r="V51" s="129">
        <v>1270</v>
      </c>
      <c r="W51" s="340"/>
      <c r="X51" s="341"/>
    </row>
    <row r="52" spans="1:24" s="342" customFormat="1">
      <c r="A52" s="128"/>
      <c r="B52" s="132"/>
      <c r="C52" s="122"/>
      <c r="D52" s="123"/>
      <c r="E52" s="123"/>
      <c r="F52" s="134">
        <f>SUM(F51:F51)</f>
        <v>11553</v>
      </c>
      <c r="G52" s="134">
        <f>SUM(G51:G51)</f>
        <v>4839.7</v>
      </c>
      <c r="H52" s="134">
        <f>SUM(H51:H51)</f>
        <v>0</v>
      </c>
      <c r="I52" s="134">
        <f>SUM(I51:I51)</f>
        <v>6713.3</v>
      </c>
      <c r="K52" s="64"/>
      <c r="L52" s="64"/>
      <c r="M52" s="64"/>
      <c r="N52" s="64"/>
      <c r="O52" s="64"/>
      <c r="P52" s="64"/>
      <c r="Q52" s="64"/>
      <c r="R52" s="64"/>
      <c r="S52" s="64"/>
      <c r="T52" s="127"/>
      <c r="U52" s="123"/>
      <c r="V52" s="129"/>
      <c r="W52" s="130"/>
      <c r="X52" s="131"/>
    </row>
    <row r="53" spans="1:24">
      <c r="A53" s="2"/>
      <c r="B53" s="11"/>
      <c r="C53" s="36"/>
      <c r="D53" s="10"/>
      <c r="E53" s="10"/>
      <c r="F53" s="88"/>
      <c r="G53" s="88"/>
      <c r="H53" s="88"/>
      <c r="I53" s="99"/>
      <c r="J53" s="127"/>
      <c r="K53" s="63"/>
      <c r="L53" s="63"/>
      <c r="M53" s="63"/>
      <c r="N53" s="63"/>
      <c r="O53" s="63"/>
      <c r="P53" s="63"/>
      <c r="Q53" s="63"/>
      <c r="R53" s="63"/>
      <c r="S53" s="63"/>
      <c r="T53" s="63"/>
      <c r="U53" s="10"/>
      <c r="V53" s="90"/>
      <c r="W53" s="91"/>
      <c r="X53" s="92"/>
    </row>
    <row r="54" spans="1:24" s="260" customFormat="1">
      <c r="A54" s="181"/>
      <c r="B54" s="100" t="s">
        <v>152</v>
      </c>
      <c r="C54" s="36"/>
      <c r="D54" s="10"/>
      <c r="E54" s="10"/>
      <c r="F54" s="88"/>
      <c r="G54" s="62"/>
      <c r="H54" s="88"/>
      <c r="I54" s="99"/>
      <c r="J54" s="10"/>
      <c r="K54" s="181"/>
      <c r="L54" s="181"/>
      <c r="M54" s="181"/>
      <c r="N54" s="181"/>
      <c r="O54" s="181"/>
      <c r="P54" s="181"/>
      <c r="Q54" s="181"/>
      <c r="R54" s="181"/>
      <c r="S54" s="181"/>
      <c r="T54" s="63"/>
      <c r="U54" s="10"/>
      <c r="V54" s="90"/>
      <c r="W54" s="91"/>
      <c r="X54" s="92"/>
    </row>
    <row r="55" spans="1:24" s="260" customFormat="1">
      <c r="A55" s="261">
        <v>0.05</v>
      </c>
      <c r="B55" s="87">
        <v>1</v>
      </c>
      <c r="C55" s="274">
        <v>45800</v>
      </c>
      <c r="D55" s="320">
        <v>70335</v>
      </c>
      <c r="E55" s="276" t="s">
        <v>191</v>
      </c>
      <c r="F55" s="277">
        <v>1619</v>
      </c>
      <c r="G55" s="277">
        <v>39.700000000000003</v>
      </c>
      <c r="H55" s="297"/>
      <c r="I55" s="278">
        <f>F55-G55-H55</f>
        <v>1579.3</v>
      </c>
      <c r="J55" s="279" t="s">
        <v>192</v>
      </c>
      <c r="K55" s="279">
        <v>1</v>
      </c>
      <c r="L55" s="279">
        <v>1</v>
      </c>
      <c r="M55" s="279">
        <v>1</v>
      </c>
      <c r="N55" s="279">
        <v>1</v>
      </c>
      <c r="O55" s="279">
        <v>1</v>
      </c>
      <c r="P55" s="279">
        <v>1</v>
      </c>
      <c r="Q55" s="279">
        <v>1</v>
      </c>
      <c r="R55" s="279">
        <v>0</v>
      </c>
      <c r="S55" s="280">
        <v>1</v>
      </c>
      <c r="T55" s="63"/>
      <c r="U55" s="10" t="s">
        <v>193</v>
      </c>
      <c r="V55" s="90"/>
      <c r="W55" s="91"/>
      <c r="X55" s="92"/>
    </row>
    <row r="56" spans="1:24" s="260" customFormat="1">
      <c r="A56" s="312" t="s">
        <v>194</v>
      </c>
      <c r="B56" s="87">
        <f>B55+1</f>
        <v>2</v>
      </c>
      <c r="C56" s="262">
        <v>45805</v>
      </c>
      <c r="D56" s="357" t="s">
        <v>195</v>
      </c>
      <c r="E56" s="271" t="s">
        <v>196</v>
      </c>
      <c r="F56" s="265">
        <v>2999.1</v>
      </c>
      <c r="G56" s="265">
        <v>39.700000000000003</v>
      </c>
      <c r="H56" s="265">
        <f>F56*0.2</f>
        <v>599.82000000000005</v>
      </c>
      <c r="I56" s="272">
        <f>F56-G56-H56</f>
        <v>2359.58</v>
      </c>
      <c r="J56" s="267" t="s">
        <v>197</v>
      </c>
      <c r="K56" s="267">
        <v>1</v>
      </c>
      <c r="L56" s="267">
        <v>1</v>
      </c>
      <c r="M56" s="267">
        <v>1</v>
      </c>
      <c r="N56" s="267">
        <v>1</v>
      </c>
      <c r="O56" s="267">
        <v>1</v>
      </c>
      <c r="P56" s="267">
        <v>0</v>
      </c>
      <c r="Q56" s="267">
        <v>0</v>
      </c>
      <c r="R56" s="267">
        <v>0</v>
      </c>
      <c r="S56" s="269">
        <v>0</v>
      </c>
      <c r="T56" s="63"/>
      <c r="U56" s="10" t="s">
        <v>198</v>
      </c>
      <c r="V56" s="90"/>
      <c r="W56" s="91"/>
      <c r="X56" s="92"/>
    </row>
    <row r="57" spans="1:24" s="260" customFormat="1">
      <c r="A57" s="312" t="s">
        <v>194</v>
      </c>
      <c r="B57" s="87">
        <f>B56+1</f>
        <v>3</v>
      </c>
      <c r="C57" s="262">
        <v>45805</v>
      </c>
      <c r="D57" s="357" t="s">
        <v>199</v>
      </c>
      <c r="E57" s="271" t="s">
        <v>196</v>
      </c>
      <c r="F57" s="265">
        <v>16214</v>
      </c>
      <c r="G57" s="265">
        <f>39.7+44+36.26+(33.82+55.44)+(102.43+254.2+84.43+10.82+125.93)+1500</f>
        <v>2287.0299999999997</v>
      </c>
      <c r="H57" s="265">
        <f>F57*0.2</f>
        <v>3242.8</v>
      </c>
      <c r="I57" s="272">
        <f>F57-G57-H57</f>
        <v>10684.170000000002</v>
      </c>
      <c r="J57" s="267" t="s">
        <v>197</v>
      </c>
      <c r="K57" s="267">
        <v>1</v>
      </c>
      <c r="L57" s="267"/>
      <c r="M57" s="267">
        <v>1</v>
      </c>
      <c r="N57" s="267">
        <v>1</v>
      </c>
      <c r="O57" s="267">
        <v>1</v>
      </c>
      <c r="P57" s="267">
        <v>0</v>
      </c>
      <c r="Q57" s="267">
        <v>1</v>
      </c>
      <c r="R57" s="267">
        <v>1</v>
      </c>
      <c r="S57" s="269">
        <v>0</v>
      </c>
      <c r="T57" s="63"/>
      <c r="U57" s="10" t="s">
        <v>200</v>
      </c>
      <c r="V57" s="90"/>
      <c r="W57" s="136"/>
      <c r="X57" s="313">
        <v>219.33</v>
      </c>
    </row>
    <row r="58" spans="1:24" s="260" customFormat="1">
      <c r="A58" s="261">
        <v>0.05</v>
      </c>
      <c r="B58" s="87">
        <f>B57+1</f>
        <v>4</v>
      </c>
      <c r="C58" s="262">
        <v>45826</v>
      </c>
      <c r="D58" s="263">
        <v>70849</v>
      </c>
      <c r="E58" s="271" t="s">
        <v>189</v>
      </c>
      <c r="F58" s="265">
        <v>1261</v>
      </c>
      <c r="G58" s="265">
        <v>39.700000000000003</v>
      </c>
      <c r="H58" s="265"/>
      <c r="I58" s="272">
        <f>F58-G58-H58</f>
        <v>1221.3</v>
      </c>
      <c r="J58" s="267" t="s">
        <v>156</v>
      </c>
      <c r="K58" s="267">
        <v>1</v>
      </c>
      <c r="L58" s="267"/>
      <c r="M58" s="267">
        <v>1</v>
      </c>
      <c r="N58" s="267">
        <v>1</v>
      </c>
      <c r="O58" s="267">
        <v>1</v>
      </c>
      <c r="P58" s="267">
        <v>1</v>
      </c>
      <c r="Q58" s="267"/>
      <c r="R58" s="267"/>
      <c r="S58" s="269"/>
      <c r="T58" s="63"/>
      <c r="U58" s="10" t="s">
        <v>201</v>
      </c>
      <c r="V58" s="90"/>
      <c r="W58" s="136"/>
      <c r="X58" s="137"/>
    </row>
    <row r="59" spans="1:24" s="260" customFormat="1">
      <c r="A59" s="181"/>
      <c r="B59" s="11"/>
      <c r="C59" s="36"/>
      <c r="D59" s="77"/>
      <c r="E59" s="10"/>
      <c r="F59" s="97">
        <f>SUM(F55:F58)</f>
        <v>22093.1</v>
      </c>
      <c r="G59" s="97">
        <f>SUM(G55:G58)</f>
        <v>2406.1299999999997</v>
      </c>
      <c r="H59" s="97">
        <f>SUM(H55:H58)</f>
        <v>3842.6200000000003</v>
      </c>
      <c r="I59" s="97">
        <f>SUM(I55:I58)</f>
        <v>15844.350000000002</v>
      </c>
      <c r="K59" s="21"/>
      <c r="L59" s="21"/>
      <c r="M59" s="21"/>
      <c r="N59" s="21"/>
      <c r="O59" s="21"/>
      <c r="P59" s="21"/>
      <c r="Q59" s="21"/>
      <c r="R59" s="21"/>
      <c r="S59" s="21"/>
      <c r="T59" s="63"/>
      <c r="U59" s="10"/>
      <c r="V59" s="90"/>
      <c r="W59" s="91"/>
      <c r="X59" s="92"/>
    </row>
    <row r="60" spans="1:24" s="260" customFormat="1">
      <c r="A60" s="181"/>
      <c r="B60" s="11"/>
      <c r="C60" s="36"/>
      <c r="D60" s="77"/>
      <c r="E60" s="10"/>
      <c r="F60" s="88"/>
      <c r="G60" s="88"/>
      <c r="H60" s="88"/>
      <c r="I60" s="99"/>
      <c r="J60" s="63"/>
      <c r="K60" s="21"/>
      <c r="L60" s="21"/>
      <c r="M60" s="21"/>
      <c r="N60" s="21"/>
      <c r="O60" s="21"/>
      <c r="P60" s="21"/>
      <c r="Q60" s="21"/>
      <c r="R60" s="21"/>
      <c r="S60" s="21"/>
      <c r="T60" s="63"/>
      <c r="U60" s="10"/>
      <c r="V60" s="90"/>
      <c r="W60" s="91"/>
      <c r="X60" s="92"/>
    </row>
    <row r="61" spans="1:24" s="260" customFormat="1">
      <c r="A61" s="181"/>
      <c r="B61" s="100" t="s">
        <v>202</v>
      </c>
      <c r="C61" s="299"/>
      <c r="D61" s="77"/>
      <c r="E61" s="181"/>
      <c r="F61" s="88"/>
      <c r="G61" s="88"/>
      <c r="H61" s="88"/>
      <c r="I61" s="99"/>
      <c r="J61" s="63"/>
      <c r="K61" s="21"/>
      <c r="L61" s="21"/>
      <c r="M61" s="21"/>
      <c r="N61" s="21"/>
      <c r="O61" s="21"/>
      <c r="P61" s="21"/>
      <c r="Q61" s="21"/>
      <c r="R61" s="21"/>
      <c r="S61" s="21"/>
      <c r="T61" s="63"/>
      <c r="U61" s="10"/>
      <c r="V61" s="90"/>
      <c r="W61" s="91"/>
      <c r="X61" s="92"/>
    </row>
    <row r="62" spans="1:24" s="260" customFormat="1">
      <c r="A62" s="261">
        <v>0.05</v>
      </c>
      <c r="B62" s="87">
        <v>1</v>
      </c>
      <c r="C62" s="262">
        <v>45789</v>
      </c>
      <c r="D62" s="357">
        <v>70067</v>
      </c>
      <c r="E62" s="271" t="s">
        <v>203</v>
      </c>
      <c r="F62" s="265">
        <v>481</v>
      </c>
      <c r="G62" s="265"/>
      <c r="H62" s="265"/>
      <c r="I62" s="272">
        <f>F62-G62-H62</f>
        <v>481</v>
      </c>
      <c r="J62" s="267"/>
      <c r="K62" s="267">
        <v>1</v>
      </c>
      <c r="L62" s="267"/>
      <c r="M62" s="267"/>
      <c r="N62" s="267">
        <v>1</v>
      </c>
      <c r="O62" s="267">
        <v>1</v>
      </c>
      <c r="P62" s="267">
        <v>0</v>
      </c>
      <c r="Q62" s="267"/>
      <c r="R62" s="267"/>
      <c r="S62" s="269"/>
      <c r="T62" s="63"/>
      <c r="U62" s="10"/>
      <c r="V62" s="90"/>
      <c r="W62" s="136"/>
      <c r="X62" s="137"/>
    </row>
    <row r="63" spans="1:24" s="260" customFormat="1">
      <c r="B63" s="11"/>
      <c r="C63" s="36"/>
      <c r="D63" s="10"/>
      <c r="E63" s="10"/>
      <c r="F63" s="97">
        <f>SUM(F62:F62)</f>
        <v>481</v>
      </c>
      <c r="G63" s="97">
        <f>SUM(G62:G62)</f>
        <v>0</v>
      </c>
      <c r="H63" s="97">
        <f>SUM(H62:H62)</f>
        <v>0</v>
      </c>
      <c r="I63" s="97">
        <f>SUM(I62:I62)</f>
        <v>481</v>
      </c>
      <c r="J63" s="63"/>
      <c r="K63" s="21"/>
      <c r="L63" s="21"/>
      <c r="M63" s="21"/>
      <c r="N63" s="21"/>
      <c r="O63" s="21"/>
      <c r="P63" s="21"/>
      <c r="Q63" s="21"/>
      <c r="R63" s="21"/>
      <c r="S63" s="21"/>
      <c r="T63" s="63"/>
      <c r="U63" s="10"/>
      <c r="V63" s="90"/>
      <c r="W63" s="91"/>
      <c r="X63" s="92"/>
    </row>
    <row r="64" spans="1:24" s="260" customFormat="1">
      <c r="B64" s="11"/>
      <c r="C64" s="36"/>
      <c r="D64" s="10"/>
      <c r="E64" s="10"/>
      <c r="F64" s="88"/>
      <c r="G64" s="88"/>
      <c r="H64" s="88"/>
      <c r="I64" s="88"/>
      <c r="J64" s="63"/>
      <c r="K64" s="21"/>
      <c r="L64" s="21"/>
      <c r="M64" s="21"/>
      <c r="N64" s="21"/>
      <c r="O64" s="21"/>
      <c r="P64" s="21"/>
      <c r="Q64" s="21"/>
      <c r="R64" s="21"/>
      <c r="S64" s="21"/>
      <c r="T64" s="63"/>
      <c r="U64" s="10"/>
      <c r="V64" s="90"/>
      <c r="W64" s="91"/>
      <c r="X64" s="92"/>
    </row>
    <row r="65" spans="1:24">
      <c r="A65" s="2"/>
      <c r="B65" s="100" t="s">
        <v>72</v>
      </c>
      <c r="C65" s="36"/>
      <c r="D65" s="10"/>
      <c r="E65" s="10"/>
      <c r="F65" s="88"/>
      <c r="G65" s="88"/>
      <c r="H65" s="88"/>
      <c r="I65" s="99"/>
      <c r="J65" s="63"/>
      <c r="K65" s="63"/>
      <c r="L65" s="63"/>
      <c r="M65" s="63"/>
      <c r="N65" s="63"/>
      <c r="O65" s="63"/>
      <c r="P65" s="63"/>
      <c r="Q65" s="63"/>
      <c r="R65" s="63"/>
      <c r="S65" s="63"/>
      <c r="T65" s="63"/>
      <c r="U65" s="10"/>
      <c r="V65" s="90"/>
      <c r="W65" s="91"/>
      <c r="X65" s="92"/>
    </row>
    <row r="66" spans="1:24">
      <c r="A66" s="2"/>
      <c r="B66" s="87">
        <v>1</v>
      </c>
      <c r="C66" s="274">
        <v>45831</v>
      </c>
      <c r="D66" s="276">
        <v>70691</v>
      </c>
      <c r="E66" s="276" t="s">
        <v>204</v>
      </c>
      <c r="F66" s="277">
        <v>16214</v>
      </c>
      <c r="G66" s="277">
        <v>39.700000000000003</v>
      </c>
      <c r="H66" s="277"/>
      <c r="I66" s="278">
        <f t="shared" ref="I66:I78" si="14">F66-G66-H66</f>
        <v>16174.3</v>
      </c>
      <c r="J66" s="279" t="s">
        <v>205</v>
      </c>
      <c r="K66" s="279">
        <v>1</v>
      </c>
      <c r="L66" s="279"/>
      <c r="M66" s="279"/>
      <c r="N66" s="279">
        <v>1</v>
      </c>
      <c r="O66" s="279"/>
      <c r="P66" s="279"/>
      <c r="Q66" s="279">
        <v>1</v>
      </c>
      <c r="R66" s="279">
        <v>1</v>
      </c>
      <c r="S66" s="280">
        <v>1</v>
      </c>
      <c r="T66" s="63"/>
      <c r="U66" s="3"/>
      <c r="V66" s="90"/>
      <c r="W66" s="91"/>
      <c r="X66" s="92"/>
    </row>
    <row r="67" spans="1:24">
      <c r="A67" s="2"/>
      <c r="B67" s="87">
        <f t="shared" ref="B67:B78" si="15">B66+1</f>
        <v>2</v>
      </c>
      <c r="C67" s="295">
        <v>45831</v>
      </c>
      <c r="D67" s="10">
        <v>70950</v>
      </c>
      <c r="E67" s="10" t="s">
        <v>206</v>
      </c>
      <c r="F67" s="62">
        <v>28614</v>
      </c>
      <c r="G67" s="62">
        <v>39.700000000000003</v>
      </c>
      <c r="H67" s="62"/>
      <c r="I67" s="89">
        <f t="shared" si="14"/>
        <v>28574.3</v>
      </c>
      <c r="J67" s="63" t="s">
        <v>205</v>
      </c>
      <c r="K67" s="63">
        <v>1</v>
      </c>
      <c r="L67" s="63"/>
      <c r="M67" s="63"/>
      <c r="N67" s="63">
        <v>1</v>
      </c>
      <c r="O67" s="63"/>
      <c r="P67" s="63"/>
      <c r="Q67" s="63">
        <v>1</v>
      </c>
      <c r="R67" s="63">
        <v>1</v>
      </c>
      <c r="S67" s="296">
        <v>1</v>
      </c>
      <c r="T67" s="63"/>
      <c r="U67" s="10"/>
      <c r="V67" s="90"/>
      <c r="W67" s="136"/>
      <c r="X67" s="137"/>
    </row>
    <row r="68" spans="1:24">
      <c r="A68" s="2"/>
      <c r="B68" s="87">
        <f t="shared" si="15"/>
        <v>3</v>
      </c>
      <c r="C68" s="274">
        <v>45832</v>
      </c>
      <c r="D68" s="276">
        <v>70965</v>
      </c>
      <c r="E68" s="276" t="s">
        <v>207</v>
      </c>
      <c r="F68" s="277">
        <v>16214</v>
      </c>
      <c r="G68" s="277">
        <v>39.700000000000003</v>
      </c>
      <c r="H68" s="277"/>
      <c r="I68" s="278">
        <f t="shared" si="14"/>
        <v>16174.3</v>
      </c>
      <c r="J68" s="279" t="s">
        <v>205</v>
      </c>
      <c r="K68" s="279">
        <v>1</v>
      </c>
      <c r="L68" s="279"/>
      <c r="M68" s="279"/>
      <c r="N68" s="279">
        <v>1</v>
      </c>
      <c r="O68" s="279"/>
      <c r="P68" s="279"/>
      <c r="Q68" s="279">
        <v>1</v>
      </c>
      <c r="R68" s="279">
        <v>1</v>
      </c>
      <c r="S68" s="280">
        <v>1</v>
      </c>
      <c r="T68" s="63"/>
      <c r="U68" s="10" t="s">
        <v>208</v>
      </c>
      <c r="V68" s="90"/>
      <c r="W68" s="136"/>
      <c r="X68" s="137"/>
    </row>
    <row r="69" spans="1:24">
      <c r="A69" s="2"/>
      <c r="B69" s="87">
        <f t="shared" si="15"/>
        <v>4</v>
      </c>
      <c r="C69" s="295">
        <v>45832</v>
      </c>
      <c r="D69" s="10">
        <v>70973</v>
      </c>
      <c r="E69" s="10" t="s">
        <v>209</v>
      </c>
      <c r="F69" s="62">
        <v>4376</v>
      </c>
      <c r="G69" s="62">
        <v>39.700000000000003</v>
      </c>
      <c r="H69" s="62"/>
      <c r="I69" s="89">
        <f t="shared" si="14"/>
        <v>4336.3</v>
      </c>
      <c r="J69" s="63" t="s">
        <v>205</v>
      </c>
      <c r="K69" s="63">
        <v>1</v>
      </c>
      <c r="L69" s="63"/>
      <c r="M69" s="63"/>
      <c r="N69" s="63">
        <v>1</v>
      </c>
      <c r="O69" s="63"/>
      <c r="P69" s="63"/>
      <c r="Q69" s="63">
        <v>1</v>
      </c>
      <c r="R69" s="63">
        <v>1</v>
      </c>
      <c r="S69" s="296">
        <v>1</v>
      </c>
      <c r="T69" s="63"/>
      <c r="U69" s="10"/>
      <c r="V69" s="90"/>
      <c r="W69" s="136"/>
      <c r="X69" s="137"/>
    </row>
    <row r="70" spans="1:24">
      <c r="A70" s="2"/>
      <c r="B70" s="87">
        <f t="shared" si="15"/>
        <v>5</v>
      </c>
      <c r="C70" s="274">
        <v>45833</v>
      </c>
      <c r="D70" s="276">
        <v>71023</v>
      </c>
      <c r="E70" s="276" t="s">
        <v>210</v>
      </c>
      <c r="F70" s="277">
        <v>616</v>
      </c>
      <c r="G70" s="277"/>
      <c r="H70" s="277"/>
      <c r="I70" s="278">
        <f t="shared" si="14"/>
        <v>616</v>
      </c>
      <c r="J70" s="279" t="s">
        <v>205</v>
      </c>
      <c r="K70" s="279">
        <v>1</v>
      </c>
      <c r="L70" s="279"/>
      <c r="M70" s="279"/>
      <c r="N70" s="279">
        <v>1</v>
      </c>
      <c r="O70" s="279"/>
      <c r="P70" s="279"/>
      <c r="Q70" s="279">
        <v>1</v>
      </c>
      <c r="R70" s="279">
        <v>1</v>
      </c>
      <c r="S70" s="280">
        <v>1</v>
      </c>
      <c r="T70" s="63"/>
      <c r="U70" s="10"/>
      <c r="V70" s="90"/>
      <c r="W70" s="136"/>
      <c r="X70" s="137"/>
    </row>
    <row r="71" spans="1:24">
      <c r="A71" s="2"/>
      <c r="B71" s="87">
        <f t="shared" si="15"/>
        <v>6</v>
      </c>
      <c r="C71" s="274">
        <v>45834</v>
      </c>
      <c r="D71" s="276">
        <v>71019</v>
      </c>
      <c r="E71" s="281" t="s">
        <v>211</v>
      </c>
      <c r="F71" s="277">
        <v>5559</v>
      </c>
      <c r="G71" s="277">
        <v>39.700000000000003</v>
      </c>
      <c r="H71" s="277"/>
      <c r="I71" s="278">
        <f t="shared" si="14"/>
        <v>5519.3</v>
      </c>
      <c r="J71" s="279" t="s">
        <v>205</v>
      </c>
      <c r="K71" s="279">
        <v>1</v>
      </c>
      <c r="L71" s="279"/>
      <c r="M71" s="279"/>
      <c r="N71" s="279">
        <v>1</v>
      </c>
      <c r="O71" s="279"/>
      <c r="P71" s="279"/>
      <c r="Q71" s="279">
        <v>1</v>
      </c>
      <c r="R71" s="279">
        <v>1</v>
      </c>
      <c r="S71" s="280">
        <v>1</v>
      </c>
      <c r="T71" s="63"/>
      <c r="U71" s="10"/>
      <c r="V71" s="90"/>
      <c r="W71" s="136"/>
      <c r="X71" s="137"/>
    </row>
    <row r="72" spans="1:24">
      <c r="A72" s="2"/>
      <c r="B72" s="87">
        <f t="shared" si="15"/>
        <v>7</v>
      </c>
      <c r="C72" s="295">
        <v>45834</v>
      </c>
      <c r="D72" s="10">
        <v>71038</v>
      </c>
      <c r="E72" s="101" t="s">
        <v>207</v>
      </c>
      <c r="F72" s="62">
        <v>596</v>
      </c>
      <c r="G72" s="62"/>
      <c r="H72" s="62"/>
      <c r="I72" s="89">
        <f t="shared" si="14"/>
        <v>596</v>
      </c>
      <c r="J72" s="63" t="s">
        <v>205</v>
      </c>
      <c r="K72" s="63">
        <v>1</v>
      </c>
      <c r="L72" s="63"/>
      <c r="M72" s="63"/>
      <c r="N72" s="63">
        <v>1</v>
      </c>
      <c r="O72" s="63"/>
      <c r="P72" s="63"/>
      <c r="Q72" s="63">
        <v>1</v>
      </c>
      <c r="R72" s="63">
        <v>1</v>
      </c>
      <c r="S72" s="296">
        <v>1</v>
      </c>
      <c r="T72" s="63"/>
      <c r="U72" s="10"/>
      <c r="V72" s="90"/>
      <c r="W72" s="136"/>
      <c r="X72" s="137"/>
    </row>
    <row r="73" spans="1:24">
      <c r="A73" s="2"/>
      <c r="B73" s="87">
        <f t="shared" si="15"/>
        <v>8</v>
      </c>
      <c r="C73" s="274">
        <v>45835</v>
      </c>
      <c r="D73" s="276">
        <v>71036</v>
      </c>
      <c r="E73" s="281" t="s">
        <v>212</v>
      </c>
      <c r="F73" s="277">
        <v>2176</v>
      </c>
      <c r="G73" s="277">
        <v>39.700000000000003</v>
      </c>
      <c r="H73" s="277"/>
      <c r="I73" s="278">
        <f t="shared" si="14"/>
        <v>2136.3000000000002</v>
      </c>
      <c r="J73" s="279" t="s">
        <v>205</v>
      </c>
      <c r="K73" s="279">
        <v>1</v>
      </c>
      <c r="L73" s="279"/>
      <c r="M73" s="279"/>
      <c r="N73" s="279">
        <v>1</v>
      </c>
      <c r="O73" s="279"/>
      <c r="P73" s="279"/>
      <c r="Q73" s="279">
        <v>1</v>
      </c>
      <c r="R73" s="279">
        <v>1</v>
      </c>
      <c r="S73" s="280">
        <v>1</v>
      </c>
      <c r="T73" s="63"/>
      <c r="U73" s="10"/>
      <c r="V73" s="90"/>
      <c r="W73" s="136"/>
      <c r="X73" s="137"/>
    </row>
    <row r="74" spans="1:24">
      <c r="A74" s="2"/>
      <c r="B74" s="87">
        <f t="shared" si="15"/>
        <v>9</v>
      </c>
      <c r="C74" s="295">
        <v>45835</v>
      </c>
      <c r="D74" s="10">
        <v>71015</v>
      </c>
      <c r="E74" s="101" t="s">
        <v>213</v>
      </c>
      <c r="F74" s="62">
        <v>681</v>
      </c>
      <c r="G74" s="62"/>
      <c r="H74" s="62"/>
      <c r="I74" s="89">
        <f t="shared" si="14"/>
        <v>681</v>
      </c>
      <c r="J74" s="63" t="s">
        <v>205</v>
      </c>
      <c r="K74" s="63">
        <v>1</v>
      </c>
      <c r="L74" s="63"/>
      <c r="M74" s="63"/>
      <c r="N74" s="63">
        <v>1</v>
      </c>
      <c r="O74" s="63"/>
      <c r="P74" s="63"/>
      <c r="Q74" s="63">
        <v>1</v>
      </c>
      <c r="R74" s="63">
        <v>1</v>
      </c>
      <c r="S74" s="296">
        <v>1</v>
      </c>
      <c r="T74" s="63"/>
      <c r="U74" s="10"/>
      <c r="V74" s="90"/>
      <c r="W74" s="136"/>
      <c r="X74" s="137"/>
    </row>
    <row r="75" spans="1:24">
      <c r="A75" s="388">
        <v>45847</v>
      </c>
      <c r="B75" s="87">
        <f t="shared" si="15"/>
        <v>10</v>
      </c>
      <c r="C75" s="295">
        <v>45835</v>
      </c>
      <c r="D75" s="10">
        <v>71049</v>
      </c>
      <c r="E75" s="101" t="s">
        <v>214</v>
      </c>
      <c r="F75" s="62">
        <v>4461</v>
      </c>
      <c r="G75" s="62">
        <v>39.700000000000003</v>
      </c>
      <c r="H75" s="62"/>
      <c r="I75" s="89">
        <f t="shared" si="14"/>
        <v>4421.3</v>
      </c>
      <c r="J75" s="63" t="s">
        <v>156</v>
      </c>
      <c r="K75" s="63">
        <v>1</v>
      </c>
      <c r="L75" s="63"/>
      <c r="M75" s="63">
        <v>1</v>
      </c>
      <c r="N75" s="63">
        <v>1</v>
      </c>
      <c r="O75" s="63">
        <v>1</v>
      </c>
      <c r="P75" s="63"/>
      <c r="Q75" s="63"/>
      <c r="R75" s="63"/>
      <c r="S75" s="296"/>
      <c r="T75" s="63"/>
      <c r="U75" s="10" t="s">
        <v>215</v>
      </c>
      <c r="V75" s="90">
        <v>491</v>
      </c>
      <c r="W75" s="136"/>
      <c r="X75" s="137"/>
    </row>
    <row r="76" spans="1:24">
      <c r="A76" s="2"/>
      <c r="B76" s="87">
        <f t="shared" si="15"/>
        <v>11</v>
      </c>
      <c r="C76" s="295">
        <v>45835</v>
      </c>
      <c r="D76" s="10">
        <v>71050</v>
      </c>
      <c r="E76" s="101" t="s">
        <v>216</v>
      </c>
      <c r="F76" s="62">
        <v>12814</v>
      </c>
      <c r="G76" s="62">
        <v>39.700000000000003</v>
      </c>
      <c r="H76" s="62"/>
      <c r="I76" s="89">
        <f t="shared" si="14"/>
        <v>12774.3</v>
      </c>
      <c r="J76" s="63" t="s">
        <v>205</v>
      </c>
      <c r="K76" s="63">
        <v>1</v>
      </c>
      <c r="L76" s="63"/>
      <c r="M76" s="63"/>
      <c r="N76" s="63">
        <v>1</v>
      </c>
      <c r="O76" s="63"/>
      <c r="P76" s="63"/>
      <c r="Q76" s="63">
        <v>1</v>
      </c>
      <c r="R76" s="63">
        <v>1</v>
      </c>
      <c r="S76" s="296">
        <v>1</v>
      </c>
      <c r="T76" s="63"/>
      <c r="U76" s="10"/>
      <c r="V76" s="90"/>
      <c r="W76" s="136"/>
      <c r="X76" s="137"/>
    </row>
    <row r="77" spans="1:24">
      <c r="A77" s="2"/>
      <c r="B77" s="87">
        <f t="shared" si="15"/>
        <v>12</v>
      </c>
      <c r="C77" s="295">
        <v>45835</v>
      </c>
      <c r="D77" s="77" t="s">
        <v>217</v>
      </c>
      <c r="E77" s="10" t="s">
        <v>172</v>
      </c>
      <c r="F77" s="62">
        <v>5592.6</v>
      </c>
      <c r="G77" s="62">
        <v>39.700000000000003</v>
      </c>
      <c r="H77" s="62"/>
      <c r="I77" s="89">
        <f t="shared" si="14"/>
        <v>5552.9000000000005</v>
      </c>
      <c r="J77" s="63" t="s">
        <v>205</v>
      </c>
      <c r="K77" s="63">
        <v>1</v>
      </c>
      <c r="L77" s="63"/>
      <c r="M77" s="63"/>
      <c r="N77" s="63">
        <v>1</v>
      </c>
      <c r="O77" s="63"/>
      <c r="P77" s="63"/>
      <c r="Q77" s="63"/>
      <c r="R77" s="63"/>
      <c r="S77" s="296"/>
      <c r="T77" s="63"/>
      <c r="U77" s="10"/>
      <c r="V77" s="90"/>
      <c r="W77" s="136"/>
      <c r="X77" s="137"/>
    </row>
    <row r="78" spans="1:24">
      <c r="A78" s="2"/>
      <c r="B78" s="87">
        <f t="shared" si="15"/>
        <v>13</v>
      </c>
      <c r="C78" s="282">
        <v>45835</v>
      </c>
      <c r="D78" s="283">
        <v>71066</v>
      </c>
      <c r="E78" s="319" t="s">
        <v>218</v>
      </c>
      <c r="F78" s="284">
        <v>0</v>
      </c>
      <c r="G78" s="284"/>
      <c r="H78" s="284"/>
      <c r="I78" s="285">
        <f t="shared" si="14"/>
        <v>0</v>
      </c>
      <c r="J78" s="286" t="s">
        <v>219</v>
      </c>
      <c r="K78" s="286"/>
      <c r="L78" s="286"/>
      <c r="M78" s="286"/>
      <c r="N78" s="286"/>
      <c r="O78" s="286"/>
      <c r="P78" s="286"/>
      <c r="Q78" s="286"/>
      <c r="R78" s="286"/>
      <c r="S78" s="287"/>
      <c r="T78" s="63"/>
      <c r="U78" s="10"/>
      <c r="V78" s="90"/>
      <c r="W78" s="136"/>
      <c r="X78" s="137"/>
    </row>
    <row r="79" spans="1:24">
      <c r="A79" s="2"/>
      <c r="B79" s="11"/>
      <c r="C79" s="36"/>
      <c r="D79" s="10"/>
      <c r="E79" s="10"/>
      <c r="F79" s="97">
        <f>SUM(F66:F78)</f>
        <v>97913.600000000006</v>
      </c>
      <c r="G79" s="97">
        <f>SUM(G66:G78)</f>
        <v>357.29999999999995</v>
      </c>
      <c r="H79" s="97">
        <f>SUM(H66:H78)</f>
        <v>0</v>
      </c>
      <c r="I79" s="98">
        <f>SUM(I66:I78)</f>
        <v>97556.3</v>
      </c>
      <c r="J79" s="10"/>
      <c r="K79" s="10"/>
      <c r="L79" s="10"/>
      <c r="M79" s="10"/>
      <c r="N79" s="10"/>
      <c r="O79" s="10"/>
      <c r="P79" s="10"/>
      <c r="Q79" s="10"/>
      <c r="R79" s="10"/>
      <c r="S79" s="10"/>
      <c r="T79" s="63"/>
      <c r="U79" s="10"/>
      <c r="V79" s="138"/>
      <c r="W79" s="136"/>
      <c r="X79" s="137"/>
    </row>
    <row r="80" spans="1:24">
      <c r="A80" s="2"/>
      <c r="B80" s="26"/>
      <c r="C80" s="140"/>
      <c r="D80" s="141"/>
      <c r="E80" s="141"/>
      <c r="F80" s="141"/>
      <c r="G80" s="141"/>
      <c r="H80" s="141"/>
      <c r="I80" s="141"/>
      <c r="J80" s="141"/>
      <c r="K80" s="142"/>
      <c r="L80" s="142"/>
      <c r="M80" s="142"/>
      <c r="N80" s="142"/>
      <c r="O80" s="142"/>
      <c r="P80" s="142"/>
      <c r="Q80" s="142"/>
      <c r="R80" s="142"/>
      <c r="S80" s="142"/>
      <c r="T80" s="143">
        <f>SUM(T30:T79)</f>
        <v>2</v>
      </c>
      <c r="U80" s="141"/>
      <c r="V80" s="144">
        <f>SUM(V30:V79)</f>
        <v>28505.609999999993</v>
      </c>
      <c r="W80" s="145">
        <f>SUM(W30:W79)</f>
        <v>0</v>
      </c>
      <c r="X80" s="146">
        <f>SUM(X30:X79)</f>
        <v>219.33</v>
      </c>
    </row>
    <row r="81" spans="1:24">
      <c r="A81" s="2"/>
      <c r="B81" s="359"/>
      <c r="C81" s="360"/>
      <c r="D81" s="359"/>
      <c r="E81" s="359"/>
      <c r="F81" s="359"/>
      <c r="G81" s="359"/>
      <c r="H81" s="359"/>
      <c r="I81" s="359"/>
      <c r="J81" s="359"/>
      <c r="K81" s="361"/>
      <c r="L81" s="361"/>
      <c r="M81" s="361"/>
      <c r="N81" s="361"/>
      <c r="O81" s="361"/>
      <c r="P81" s="361"/>
      <c r="Q81" s="361"/>
      <c r="R81" s="361"/>
      <c r="S81" s="361"/>
      <c r="T81" s="362"/>
      <c r="U81" s="359"/>
      <c r="V81" s="363"/>
      <c r="W81" s="363"/>
      <c r="X81" s="363"/>
    </row>
    <row r="84" spans="1:24">
      <c r="A84" s="3"/>
      <c r="B84" s="4" t="s">
        <v>1</v>
      </c>
      <c r="C84" s="5"/>
      <c r="D84" s="6"/>
      <c r="E84" s="6"/>
      <c r="F84" s="7" t="s">
        <v>2</v>
      </c>
      <c r="G84" s="8">
        <v>45844</v>
      </c>
      <c r="H84" s="7"/>
      <c r="I84" s="6"/>
      <c r="J84" s="6"/>
      <c r="K84" s="6"/>
      <c r="L84" s="6"/>
      <c r="M84" s="6"/>
      <c r="N84" s="6"/>
      <c r="O84" s="6"/>
      <c r="P84" s="6"/>
      <c r="Q84" s="6"/>
      <c r="R84" s="6"/>
      <c r="S84" s="6"/>
      <c r="T84" s="6"/>
      <c r="U84" s="9"/>
      <c r="V84" s="10"/>
      <c r="W84" s="10"/>
      <c r="X84" s="10"/>
    </row>
    <row r="85" spans="1:24">
      <c r="A85" s="2"/>
      <c r="B85" s="11"/>
      <c r="C85" s="10"/>
      <c r="D85" s="10"/>
      <c r="E85" s="10"/>
      <c r="F85" s="10"/>
      <c r="G85" s="7"/>
      <c r="H85" s="12"/>
      <c r="I85" s="10"/>
      <c r="J85" s="10"/>
      <c r="K85" s="13" t="s">
        <v>3</v>
      </c>
      <c r="L85" s="14"/>
      <c r="M85" s="15"/>
      <c r="N85" s="13" t="s">
        <v>4</v>
      </c>
      <c r="O85" s="14"/>
      <c r="P85" s="15"/>
      <c r="Q85" s="13" t="s">
        <v>5</v>
      </c>
      <c r="R85" s="14"/>
      <c r="S85" s="15"/>
      <c r="T85" s="16"/>
      <c r="U85" s="17"/>
      <c r="V85" s="10"/>
      <c r="W85" s="10"/>
      <c r="X85" s="10"/>
    </row>
    <row r="86" spans="1:24">
      <c r="A86" s="2"/>
      <c r="B86" s="18" t="s">
        <v>6</v>
      </c>
      <c r="C86" s="19">
        <f>C87+C88</f>
        <v>27</v>
      </c>
      <c r="D86" s="10"/>
      <c r="E86" s="18" t="s">
        <v>7</v>
      </c>
      <c r="F86" s="6"/>
      <c r="G86" s="9"/>
      <c r="H86" s="10"/>
      <c r="I86" s="10"/>
      <c r="J86" s="10"/>
      <c r="K86" s="20" t="s">
        <v>8</v>
      </c>
      <c r="L86" s="21" t="s">
        <v>9</v>
      </c>
      <c r="M86" s="21" t="s">
        <v>10</v>
      </c>
      <c r="N86" s="20" t="s">
        <v>11</v>
      </c>
      <c r="O86" s="21" t="s">
        <v>12</v>
      </c>
      <c r="P86" s="22" t="s">
        <v>13</v>
      </c>
      <c r="Q86" s="21" t="s">
        <v>11</v>
      </c>
      <c r="R86" s="21" t="s">
        <v>12</v>
      </c>
      <c r="S86" s="22" t="s">
        <v>13</v>
      </c>
      <c r="T86" s="23" t="s">
        <v>14</v>
      </c>
      <c r="U86" s="17"/>
      <c r="V86" s="10"/>
      <c r="W86" s="10"/>
      <c r="X86" s="10"/>
    </row>
    <row r="87" spans="1:24">
      <c r="A87" s="2"/>
      <c r="B87" s="24" t="s">
        <v>15</v>
      </c>
      <c r="C87" s="25">
        <f>P94</f>
        <v>15</v>
      </c>
      <c r="D87" s="10"/>
      <c r="E87" s="26" t="s">
        <v>16</v>
      </c>
      <c r="F87" s="27">
        <v>0.05</v>
      </c>
      <c r="G87" s="28"/>
      <c r="H87" s="10"/>
      <c r="I87" s="10"/>
      <c r="J87" s="18" t="s">
        <v>17</v>
      </c>
      <c r="K87" s="29">
        <f>K123</f>
        <v>11</v>
      </c>
      <c r="L87" s="29">
        <f t="shared" ref="L87:S87" si="16">L123</f>
        <v>10</v>
      </c>
      <c r="M87" s="29">
        <f t="shared" si="16"/>
        <v>10</v>
      </c>
      <c r="N87" s="29">
        <f t="shared" si="16"/>
        <v>11</v>
      </c>
      <c r="O87" s="29">
        <f t="shared" si="16"/>
        <v>10</v>
      </c>
      <c r="P87" s="29">
        <f t="shared" si="16"/>
        <v>8</v>
      </c>
      <c r="Q87" s="29">
        <f t="shared" si="16"/>
        <v>8</v>
      </c>
      <c r="R87" s="29">
        <f t="shared" si="16"/>
        <v>5</v>
      </c>
      <c r="S87" s="29">
        <f t="shared" si="16"/>
        <v>8</v>
      </c>
      <c r="T87" s="30">
        <f>T183</f>
        <v>0</v>
      </c>
      <c r="U87" s="17"/>
      <c r="V87" s="10"/>
      <c r="W87" s="10"/>
      <c r="X87" s="10"/>
    </row>
    <row r="88" spans="1:24">
      <c r="A88" s="2"/>
      <c r="B88" s="24" t="s">
        <v>18</v>
      </c>
      <c r="C88" s="25">
        <f>P95</f>
        <v>12</v>
      </c>
      <c r="D88" s="10"/>
      <c r="E88" s="10"/>
      <c r="F88" s="10"/>
      <c r="G88" s="31"/>
      <c r="H88" s="10"/>
      <c r="I88" s="10"/>
      <c r="J88" s="32" t="s">
        <v>19</v>
      </c>
      <c r="K88" s="33">
        <f>K123/K122</f>
        <v>1</v>
      </c>
      <c r="L88" s="33">
        <f t="shared" ref="L88:S88" si="17">L123/L122</f>
        <v>0.90909090909090906</v>
      </c>
      <c r="M88" s="33">
        <f t="shared" si="17"/>
        <v>0.90909090909090906</v>
      </c>
      <c r="N88" s="33">
        <f t="shared" si="17"/>
        <v>1</v>
      </c>
      <c r="O88" s="33">
        <f t="shared" si="17"/>
        <v>0.90909090909090906</v>
      </c>
      <c r="P88" s="33">
        <f t="shared" si="17"/>
        <v>0.72727272727272729</v>
      </c>
      <c r="Q88" s="33">
        <f t="shared" si="17"/>
        <v>0.72727272727272729</v>
      </c>
      <c r="R88" s="33">
        <f t="shared" si="17"/>
        <v>0.45454545454545453</v>
      </c>
      <c r="S88" s="33">
        <f t="shared" si="17"/>
        <v>0.72727272727272729</v>
      </c>
      <c r="T88" s="23"/>
      <c r="U88" s="17" t="s">
        <v>20</v>
      </c>
      <c r="V88" s="10"/>
      <c r="W88" s="10"/>
      <c r="X88" s="10"/>
    </row>
    <row r="89" spans="1:24">
      <c r="A89" s="2"/>
      <c r="B89" s="24" t="s">
        <v>21</v>
      </c>
      <c r="C89" s="34">
        <f>P96</f>
        <v>0.55555555555555558</v>
      </c>
      <c r="D89" s="10"/>
      <c r="E89" s="10"/>
      <c r="F89" s="10"/>
      <c r="G89" s="10"/>
      <c r="H89" s="10"/>
      <c r="I89" s="10"/>
      <c r="J89" s="10"/>
      <c r="K89" s="10"/>
      <c r="L89" s="10"/>
      <c r="M89" s="10"/>
      <c r="N89" s="10"/>
      <c r="O89" s="10"/>
      <c r="P89" s="10"/>
      <c r="Q89" s="10"/>
      <c r="R89" s="10"/>
      <c r="S89" s="10"/>
      <c r="T89" s="10"/>
      <c r="U89" s="17"/>
      <c r="V89" s="10"/>
      <c r="W89" s="10"/>
      <c r="X89" s="10"/>
    </row>
    <row r="90" spans="1:24">
      <c r="A90" s="2"/>
      <c r="B90" s="24"/>
      <c r="C90" s="25"/>
      <c r="D90" s="10"/>
      <c r="E90" s="10"/>
      <c r="F90" s="18" t="s">
        <v>22</v>
      </c>
      <c r="G90" s="19" t="s">
        <v>23</v>
      </c>
      <c r="H90" s="35" t="s">
        <v>24</v>
      </c>
      <c r="I90" s="10"/>
      <c r="J90" s="10"/>
      <c r="K90" s="36"/>
      <c r="L90" s="36"/>
      <c r="M90" s="36"/>
      <c r="N90" s="36"/>
      <c r="O90" s="36"/>
      <c r="P90" s="36"/>
      <c r="Q90" s="36"/>
      <c r="R90" s="10"/>
      <c r="S90" s="10"/>
      <c r="T90" s="10"/>
      <c r="U90" s="17"/>
      <c r="V90" s="10"/>
      <c r="W90" s="10"/>
      <c r="X90" s="10"/>
    </row>
    <row r="91" spans="1:24">
      <c r="A91" s="2"/>
      <c r="B91" s="32" t="s">
        <v>25</v>
      </c>
      <c r="C91" s="37">
        <f>P97</f>
        <v>1959.5819999999997</v>
      </c>
      <c r="D91" s="10"/>
      <c r="E91" s="18" t="s">
        <v>26</v>
      </c>
      <c r="F91" s="38">
        <f>P93</f>
        <v>29393.729999999996</v>
      </c>
      <c r="G91" s="39">
        <f>I122+I142+I147</f>
        <v>29393.73</v>
      </c>
      <c r="H91" s="40"/>
      <c r="I91" s="41"/>
      <c r="J91" s="42"/>
      <c r="K91" s="43" t="s">
        <v>27</v>
      </c>
      <c r="L91" s="44"/>
      <c r="M91" s="44"/>
      <c r="N91" s="44"/>
      <c r="O91" s="44"/>
      <c r="P91" s="44"/>
      <c r="Q91" s="45"/>
      <c r="R91" s="46" t="s">
        <v>28</v>
      </c>
      <c r="S91" s="47" t="s">
        <v>29</v>
      </c>
      <c r="T91" s="10"/>
      <c r="U91" s="17"/>
      <c r="V91" s="10"/>
      <c r="W91" s="10"/>
      <c r="X91" s="10"/>
    </row>
    <row r="92" spans="1:24">
      <c r="A92" s="2"/>
      <c r="B92" s="11"/>
      <c r="C92" s="10"/>
      <c r="D92" s="10"/>
      <c r="E92" s="24" t="s">
        <v>30</v>
      </c>
      <c r="F92" s="48">
        <f>F87</f>
        <v>0.05</v>
      </c>
      <c r="G92" s="17"/>
      <c r="H92" s="40"/>
      <c r="I92" s="41"/>
      <c r="J92" s="42"/>
      <c r="K92" s="20" t="s">
        <v>31</v>
      </c>
      <c r="L92" s="21" t="s">
        <v>32</v>
      </c>
      <c r="M92" s="21" t="s">
        <v>33</v>
      </c>
      <c r="N92" s="21" t="s">
        <v>34</v>
      </c>
      <c r="O92" s="21" t="s">
        <v>35</v>
      </c>
      <c r="P92" s="21" t="s">
        <v>36</v>
      </c>
      <c r="Q92" s="49" t="s">
        <v>37</v>
      </c>
      <c r="R92" s="50" t="s">
        <v>38</v>
      </c>
      <c r="S92" s="50" t="s">
        <v>38</v>
      </c>
      <c r="T92" s="10"/>
      <c r="U92" s="17"/>
      <c r="V92" s="10"/>
      <c r="W92" s="10"/>
      <c r="X92" s="10"/>
    </row>
    <row r="93" spans="1:24">
      <c r="A93" s="2"/>
      <c r="B93" s="11"/>
      <c r="C93" s="10"/>
      <c r="D93" s="10"/>
      <c r="E93" s="51" t="s">
        <v>39</v>
      </c>
      <c r="F93" s="52">
        <f>(F91-I113-I114-I118-I119-I140-I141-I145-I146)*F92</f>
        <v>469.20600000000007</v>
      </c>
      <c r="G93" s="53" t="s">
        <v>40</v>
      </c>
      <c r="H93" s="54">
        <f>F93/1.12</f>
        <v>418.93392857142862</v>
      </c>
      <c r="I93" s="55"/>
      <c r="J93" s="42"/>
      <c r="K93" s="56">
        <f>I111+I113+I114+I140+I112</f>
        <v>7859.14</v>
      </c>
      <c r="L93" s="57">
        <f>+I115+I141+I145</f>
        <v>4000.6000000000004</v>
      </c>
      <c r="M93" s="57">
        <f>+I116+I117+I146</f>
        <v>14266.039999999999</v>
      </c>
      <c r="N93" s="57">
        <f>I118</f>
        <v>898.3</v>
      </c>
      <c r="O93" s="57">
        <f>I119+I121+I120</f>
        <v>2369.6499999999996</v>
      </c>
      <c r="P93" s="57">
        <f>SUM(K93:O93)</f>
        <v>29393.729999999996</v>
      </c>
      <c r="Q93" s="58">
        <f>+I126+I127+I128</f>
        <v>2903.17</v>
      </c>
      <c r="R93" s="59">
        <f>I142+I147</f>
        <v>16875.34</v>
      </c>
      <c r="S93" s="59">
        <f>0</f>
        <v>0</v>
      </c>
      <c r="T93" s="10"/>
      <c r="U93" s="17"/>
      <c r="V93" s="10"/>
      <c r="W93" s="10"/>
      <c r="X93" s="10"/>
    </row>
    <row r="94" spans="1:24">
      <c r="A94" s="2"/>
      <c r="B94" s="11"/>
      <c r="C94" s="10"/>
      <c r="D94" s="10"/>
      <c r="E94" s="24" t="s">
        <v>41</v>
      </c>
      <c r="F94" s="60">
        <f>Q93</f>
        <v>2903.17</v>
      </c>
      <c r="G94" s="61" t="s">
        <v>40</v>
      </c>
      <c r="H94" s="62"/>
      <c r="I94" s="384" t="s">
        <v>220</v>
      </c>
      <c r="J94" s="10" t="s">
        <v>42</v>
      </c>
      <c r="K94" s="63">
        <v>5</v>
      </c>
      <c r="L94" s="63">
        <v>3</v>
      </c>
      <c r="M94" s="63">
        <v>3</v>
      </c>
      <c r="N94" s="63">
        <v>1</v>
      </c>
      <c r="O94" s="63">
        <v>3</v>
      </c>
      <c r="P94" s="21">
        <f>SUM(K94:O94)</f>
        <v>15</v>
      </c>
      <c r="Q94" s="64">
        <v>3</v>
      </c>
      <c r="R94" s="63"/>
      <c r="S94" s="10"/>
      <c r="T94" s="10"/>
      <c r="U94" s="17"/>
      <c r="V94" s="10"/>
      <c r="W94" s="10"/>
      <c r="X94" s="10"/>
    </row>
    <row r="95" spans="1:24">
      <c r="A95" s="2"/>
      <c r="B95" s="11"/>
      <c r="C95" s="10"/>
      <c r="D95" s="10"/>
      <c r="E95" s="51" t="s">
        <v>43</v>
      </c>
      <c r="F95" s="52">
        <f>F94*0.25</f>
        <v>725.79250000000002</v>
      </c>
      <c r="G95" s="53" t="s">
        <v>40</v>
      </c>
      <c r="H95" s="54">
        <f>F95/1.12</f>
        <v>648.02901785714278</v>
      </c>
      <c r="I95" s="385">
        <f>67.5*8.75</f>
        <v>590.625</v>
      </c>
      <c r="J95" s="10" t="s">
        <v>44</v>
      </c>
      <c r="K95" s="63">
        <v>2</v>
      </c>
      <c r="L95" s="63">
        <v>3</v>
      </c>
      <c r="M95" s="63">
        <v>2</v>
      </c>
      <c r="N95" s="63">
        <v>2</v>
      </c>
      <c r="O95" s="63">
        <v>3</v>
      </c>
      <c r="P95" s="21">
        <f>SUM(K95:O95)</f>
        <v>12</v>
      </c>
      <c r="Q95" s="64">
        <v>2</v>
      </c>
      <c r="R95" s="63"/>
      <c r="S95" s="10"/>
      <c r="T95" s="10"/>
      <c r="U95" s="17"/>
      <c r="V95" s="10"/>
      <c r="W95" s="10"/>
      <c r="X95" s="10"/>
    </row>
    <row r="96" spans="1:24">
      <c r="A96" s="2"/>
      <c r="B96" s="11"/>
      <c r="C96" s="10"/>
      <c r="D96" s="10"/>
      <c r="E96" s="24" t="s">
        <v>45</v>
      </c>
      <c r="F96" s="60">
        <f>I137</f>
        <v>21273.54</v>
      </c>
      <c r="G96" s="61" t="s">
        <v>40</v>
      </c>
      <c r="H96" s="62"/>
      <c r="I96" s="10"/>
      <c r="J96" s="10" t="s">
        <v>46</v>
      </c>
      <c r="K96" s="31">
        <f t="shared" ref="K96:Q96" si="18">K94/(K94+K95)</f>
        <v>0.7142857142857143</v>
      </c>
      <c r="L96" s="31">
        <f t="shared" si="18"/>
        <v>0.5</v>
      </c>
      <c r="M96" s="31">
        <f t="shared" si="18"/>
        <v>0.6</v>
      </c>
      <c r="N96" s="31">
        <f t="shared" si="18"/>
        <v>0.33333333333333331</v>
      </c>
      <c r="O96" s="31">
        <f t="shared" si="18"/>
        <v>0.5</v>
      </c>
      <c r="P96" s="31">
        <f t="shared" si="18"/>
        <v>0.55555555555555558</v>
      </c>
      <c r="Q96" s="31">
        <f t="shared" si="18"/>
        <v>0.6</v>
      </c>
      <c r="R96" s="63"/>
      <c r="S96" s="10"/>
      <c r="T96" s="10"/>
      <c r="U96" s="17"/>
      <c r="V96" s="10"/>
      <c r="W96" s="10"/>
      <c r="X96" s="10"/>
    </row>
    <row r="97" spans="1:24">
      <c r="A97" s="2"/>
      <c r="B97" s="11"/>
      <c r="C97" s="10"/>
      <c r="D97" s="10"/>
      <c r="E97" s="51" t="s">
        <v>47</v>
      </c>
      <c r="F97" s="52">
        <f>(F96+F100+F101+F102+F103-I133-I134)*0.05</f>
        <v>901.06349999999986</v>
      </c>
      <c r="G97" s="65" t="s">
        <v>40</v>
      </c>
      <c r="H97" s="54">
        <f>F97/1.12</f>
        <v>804.52098214285695</v>
      </c>
      <c r="I97" s="42"/>
      <c r="J97" s="10" t="s">
        <v>48</v>
      </c>
      <c r="K97" s="66">
        <f>K93/K94</f>
        <v>1571.828</v>
      </c>
      <c r="L97" s="66">
        <f t="shared" ref="L97:Q97" si="19">L93/L94</f>
        <v>1333.5333333333335</v>
      </c>
      <c r="M97" s="66">
        <f t="shared" si="19"/>
        <v>4755.3466666666664</v>
      </c>
      <c r="N97" s="66">
        <f t="shared" si="19"/>
        <v>898.3</v>
      </c>
      <c r="O97" s="66">
        <f t="shared" si="19"/>
        <v>789.88333333333321</v>
      </c>
      <c r="P97" s="66">
        <f t="shared" si="19"/>
        <v>1959.5819999999997</v>
      </c>
      <c r="Q97" s="66">
        <f t="shared" si="19"/>
        <v>967.72333333333336</v>
      </c>
      <c r="R97" s="63"/>
      <c r="S97" s="10"/>
      <c r="T97" s="10"/>
      <c r="U97" s="17"/>
      <c r="V97" s="10"/>
      <c r="W97" s="10"/>
      <c r="X97" s="10"/>
    </row>
    <row r="98" spans="1:24">
      <c r="A98" s="2"/>
      <c r="B98" s="11"/>
      <c r="C98" s="10"/>
      <c r="D98" s="10"/>
      <c r="E98" s="67" t="s">
        <v>14</v>
      </c>
      <c r="F98" s="68"/>
      <c r="G98" s="10"/>
      <c r="H98" s="54">
        <f>F98/1.12</f>
        <v>0</v>
      </c>
      <c r="I98" s="10"/>
      <c r="J98" s="10"/>
      <c r="K98" s="10"/>
      <c r="L98" s="10"/>
      <c r="M98" s="10"/>
      <c r="N98" s="10"/>
      <c r="O98" s="10"/>
      <c r="P98" s="10"/>
      <c r="Q98" s="10"/>
      <c r="R98" s="10"/>
      <c r="S98" s="10"/>
      <c r="T98" s="10"/>
      <c r="U98" s="17"/>
      <c r="V98" s="10"/>
      <c r="W98" s="10"/>
      <c r="X98" s="10"/>
    </row>
    <row r="99" spans="1:24">
      <c r="A99" s="2"/>
      <c r="B99" s="11"/>
      <c r="C99" s="10"/>
      <c r="D99" s="10"/>
      <c r="E99" s="67" t="s">
        <v>49</v>
      </c>
      <c r="F99" s="69">
        <f>T88</f>
        <v>0</v>
      </c>
      <c r="G99" s="10"/>
      <c r="H99" s="54"/>
      <c r="I99" s="55"/>
      <c r="J99" s="42"/>
      <c r="K99" s="764" t="s">
        <v>50</v>
      </c>
      <c r="L99" s="765"/>
      <c r="M99" s="765"/>
      <c r="N99" s="765"/>
      <c r="O99" s="765"/>
      <c r="P99" s="765"/>
      <c r="Q99" s="766"/>
      <c r="R99" s="70" t="s">
        <v>28</v>
      </c>
      <c r="S99" s="71" t="s">
        <v>29</v>
      </c>
      <c r="T99" s="10"/>
      <c r="U99" s="17"/>
      <c r="V99" s="10"/>
      <c r="W99" s="10"/>
      <c r="X99" s="10"/>
    </row>
    <row r="100" spans="1:24">
      <c r="A100" s="2"/>
      <c r="B100" s="11"/>
      <c r="C100" s="10"/>
      <c r="D100" s="10"/>
      <c r="E100" s="72" t="s">
        <v>221</v>
      </c>
      <c r="F100" s="73">
        <v>-119.56</v>
      </c>
      <c r="G100" s="10"/>
      <c r="H100" s="10"/>
      <c r="I100" s="10"/>
      <c r="J100" s="42"/>
      <c r="K100" s="20" t="s">
        <v>31</v>
      </c>
      <c r="L100" s="21" t="s">
        <v>32</v>
      </c>
      <c r="M100" s="21" t="s">
        <v>33</v>
      </c>
      <c r="N100" s="21" t="s">
        <v>34</v>
      </c>
      <c r="O100" s="21" t="s">
        <v>35</v>
      </c>
      <c r="P100" s="21" t="s">
        <v>36</v>
      </c>
      <c r="Q100" s="49" t="s">
        <v>37</v>
      </c>
      <c r="R100" s="50" t="s">
        <v>38</v>
      </c>
      <c r="S100" s="50" t="s">
        <v>38</v>
      </c>
      <c r="T100" s="10"/>
      <c r="U100" s="17"/>
      <c r="V100" s="10"/>
      <c r="W100" s="10"/>
      <c r="X100" s="10"/>
    </row>
    <row r="101" spans="1:24">
      <c r="A101" s="2"/>
      <c r="B101" s="11"/>
      <c r="C101" s="10"/>
      <c r="D101" s="10"/>
      <c r="E101" s="74" t="s">
        <v>222</v>
      </c>
      <c r="F101" s="75">
        <v>-86.99</v>
      </c>
      <c r="G101" s="10"/>
      <c r="H101" s="10"/>
      <c r="I101" s="10"/>
      <c r="J101" s="42"/>
      <c r="K101" s="56">
        <f>F111+F113+F114+F140+F112</f>
        <v>8233</v>
      </c>
      <c r="L101" s="57">
        <f>+F115+F141+F145</f>
        <v>4080</v>
      </c>
      <c r="M101" s="57">
        <f>+F116+F117+F146</f>
        <v>16035</v>
      </c>
      <c r="N101" s="57">
        <f>F118</f>
        <v>1138</v>
      </c>
      <c r="O101" s="57">
        <f>F119+F121+F120</f>
        <v>2457.0500000000002</v>
      </c>
      <c r="P101" s="57">
        <f>SUM(K101:O101)</f>
        <v>31943.05</v>
      </c>
      <c r="Q101" s="58">
        <f>+F140+F141+F120</f>
        <v>3206</v>
      </c>
      <c r="R101" s="59">
        <f>F142+F147</f>
        <v>18484</v>
      </c>
      <c r="S101" s="59">
        <f>0</f>
        <v>0</v>
      </c>
      <c r="T101" s="10"/>
      <c r="U101" s="17"/>
      <c r="V101" s="10"/>
      <c r="W101" s="10"/>
      <c r="X101" s="10"/>
    </row>
    <row r="102" spans="1:24">
      <c r="A102" s="2"/>
      <c r="B102" s="11"/>
      <c r="C102" s="10"/>
      <c r="D102" s="10"/>
      <c r="E102" s="72" t="s">
        <v>223</v>
      </c>
      <c r="F102" s="73">
        <f>-129</f>
        <v>-129</v>
      </c>
      <c r="G102" s="10"/>
      <c r="H102" s="10"/>
      <c r="I102" s="10"/>
      <c r="J102" s="10" t="s">
        <v>42</v>
      </c>
      <c r="K102" s="63">
        <f>K94</f>
        <v>5</v>
      </c>
      <c r="L102" s="63">
        <f t="shared" ref="L102:Q103" si="20">L94</f>
        <v>3</v>
      </c>
      <c r="M102" s="63">
        <f t="shared" si="20"/>
        <v>3</v>
      </c>
      <c r="N102" s="63">
        <f t="shared" si="20"/>
        <v>1</v>
      </c>
      <c r="O102" s="63">
        <f t="shared" si="20"/>
        <v>3</v>
      </c>
      <c r="P102" s="63">
        <f t="shared" si="20"/>
        <v>15</v>
      </c>
      <c r="Q102" s="63">
        <f t="shared" si="20"/>
        <v>3</v>
      </c>
      <c r="R102" s="63"/>
      <c r="S102" s="10"/>
      <c r="T102" s="10"/>
      <c r="U102" s="17"/>
      <c r="V102" s="10"/>
      <c r="W102" s="10"/>
      <c r="X102" s="10"/>
    </row>
    <row r="103" spans="1:24">
      <c r="A103" s="2"/>
      <c r="B103" s="11"/>
      <c r="C103" s="10"/>
      <c r="D103" s="10"/>
      <c r="E103" s="74" t="s">
        <v>224</v>
      </c>
      <c r="F103" s="75">
        <v>-124.97</v>
      </c>
      <c r="G103" s="10"/>
      <c r="H103" s="10"/>
      <c r="I103" s="10"/>
      <c r="J103" s="10" t="s">
        <v>44</v>
      </c>
      <c r="K103" s="63">
        <f>K95</f>
        <v>2</v>
      </c>
      <c r="L103" s="63">
        <f t="shared" si="20"/>
        <v>3</v>
      </c>
      <c r="M103" s="63">
        <f t="shared" si="20"/>
        <v>2</v>
      </c>
      <c r="N103" s="63">
        <f t="shared" si="20"/>
        <v>2</v>
      </c>
      <c r="O103" s="63">
        <f t="shared" si="20"/>
        <v>3</v>
      </c>
      <c r="P103" s="63">
        <f t="shared" si="20"/>
        <v>12</v>
      </c>
      <c r="Q103" s="63">
        <f t="shared" si="20"/>
        <v>2</v>
      </c>
      <c r="R103" s="63"/>
      <c r="S103" s="10"/>
      <c r="T103" s="10"/>
      <c r="U103" s="17"/>
      <c r="V103" s="10"/>
      <c r="W103" s="10"/>
      <c r="X103" s="10"/>
    </row>
    <row r="104" spans="1:24">
      <c r="A104" s="2"/>
      <c r="B104" s="11"/>
      <c r="C104" s="10"/>
      <c r="D104" s="10"/>
      <c r="E104" s="12"/>
      <c r="F104" s="76"/>
      <c r="G104" s="10"/>
      <c r="H104" s="10"/>
      <c r="I104" s="10"/>
      <c r="J104" s="10" t="s">
        <v>46</v>
      </c>
      <c r="K104" s="31">
        <f t="shared" ref="K104:Q104" si="21">K102/(K102+K103)</f>
        <v>0.7142857142857143</v>
      </c>
      <c r="L104" s="31">
        <f t="shared" si="21"/>
        <v>0.5</v>
      </c>
      <c r="M104" s="31">
        <f t="shared" si="21"/>
        <v>0.6</v>
      </c>
      <c r="N104" s="31">
        <f t="shared" si="21"/>
        <v>0.33333333333333331</v>
      </c>
      <c r="O104" s="31">
        <f t="shared" si="21"/>
        <v>0.5</v>
      </c>
      <c r="P104" s="31">
        <f t="shared" si="21"/>
        <v>0.55555555555555558</v>
      </c>
      <c r="Q104" s="31">
        <f t="shared" si="21"/>
        <v>0.6</v>
      </c>
      <c r="R104" s="63"/>
      <c r="S104" s="10"/>
      <c r="T104" s="10"/>
      <c r="U104" s="17"/>
      <c r="V104" s="10"/>
      <c r="W104" s="10"/>
      <c r="X104" s="10"/>
    </row>
    <row r="105" spans="1:24">
      <c r="A105" s="2"/>
      <c r="B105" s="11"/>
      <c r="C105" s="10"/>
      <c r="D105" s="10"/>
      <c r="E105" s="10"/>
      <c r="F105" s="10"/>
      <c r="G105" s="10"/>
      <c r="H105" s="10"/>
      <c r="I105" s="10"/>
      <c r="J105" s="10" t="s">
        <v>48</v>
      </c>
      <c r="K105" s="66">
        <f t="shared" ref="K105:Q105" si="22">K101/K102</f>
        <v>1646.6</v>
      </c>
      <c r="L105" s="66">
        <f t="shared" si="22"/>
        <v>1360</v>
      </c>
      <c r="M105" s="66">
        <f t="shared" si="22"/>
        <v>5345</v>
      </c>
      <c r="N105" s="66">
        <f t="shared" si="22"/>
        <v>1138</v>
      </c>
      <c r="O105" s="66">
        <f t="shared" si="22"/>
        <v>819.01666666666677</v>
      </c>
      <c r="P105" s="66">
        <f t="shared" si="22"/>
        <v>2129.5366666666664</v>
      </c>
      <c r="Q105" s="66">
        <f t="shared" si="22"/>
        <v>1068.6666666666667</v>
      </c>
      <c r="R105" s="63"/>
      <c r="S105" s="10"/>
      <c r="T105" s="10"/>
      <c r="U105" s="17"/>
      <c r="V105" s="10"/>
      <c r="W105" s="10"/>
      <c r="X105" s="10"/>
    </row>
    <row r="106" spans="1:24">
      <c r="A106" s="2"/>
      <c r="B106" s="11"/>
      <c r="C106" s="10"/>
      <c r="D106" s="10"/>
      <c r="E106" s="10"/>
      <c r="F106" s="10"/>
      <c r="G106" s="10"/>
      <c r="H106" s="10"/>
      <c r="I106" s="10"/>
      <c r="J106" s="10"/>
      <c r="K106" s="10"/>
      <c r="L106" s="10"/>
      <c r="M106" s="10"/>
      <c r="N106" s="10"/>
      <c r="O106" s="10"/>
      <c r="P106" s="10"/>
      <c r="Q106" s="10"/>
      <c r="R106" s="10"/>
      <c r="S106" s="10"/>
      <c r="T106" s="10"/>
      <c r="U106" s="17"/>
      <c r="V106" s="10"/>
      <c r="W106" s="10"/>
      <c r="X106" s="10"/>
    </row>
    <row r="107" spans="1:24">
      <c r="A107" s="2"/>
      <c r="B107" s="11"/>
      <c r="C107" s="10"/>
      <c r="D107" s="10"/>
      <c r="E107" s="10"/>
      <c r="F107" s="10"/>
      <c r="G107" s="10"/>
      <c r="H107" s="10"/>
      <c r="I107" s="10"/>
      <c r="J107" s="10"/>
      <c r="K107" s="10"/>
      <c r="L107" s="10"/>
      <c r="M107" s="10"/>
      <c r="N107" s="10"/>
      <c r="O107" s="10"/>
      <c r="P107" s="10"/>
      <c r="Q107" s="10"/>
      <c r="R107" s="10"/>
      <c r="S107" s="10"/>
      <c r="T107" s="10"/>
      <c r="U107" s="17"/>
      <c r="V107" s="10"/>
      <c r="W107" s="10"/>
      <c r="X107" s="10"/>
    </row>
    <row r="108" spans="1:24">
      <c r="A108" s="2"/>
      <c r="B108" s="18" t="s">
        <v>51</v>
      </c>
      <c r="C108" s="14"/>
      <c r="D108" s="14"/>
      <c r="E108" s="14"/>
      <c r="F108" s="13" t="s">
        <v>52</v>
      </c>
      <c r="G108" s="14"/>
      <c r="H108" s="14"/>
      <c r="I108" s="14"/>
      <c r="J108" s="14"/>
      <c r="K108" s="13" t="s">
        <v>3</v>
      </c>
      <c r="L108" s="14"/>
      <c r="M108" s="14"/>
      <c r="N108" s="13" t="s">
        <v>4</v>
      </c>
      <c r="O108" s="14"/>
      <c r="P108" s="14"/>
      <c r="Q108" s="13" t="s">
        <v>5</v>
      </c>
      <c r="R108" s="14"/>
      <c r="S108" s="14"/>
      <c r="T108" s="18"/>
      <c r="U108" s="16" t="s">
        <v>53</v>
      </c>
      <c r="V108" s="77"/>
      <c r="W108" s="77"/>
      <c r="X108" s="77"/>
    </row>
    <row r="109" spans="1:24">
      <c r="A109" s="2"/>
      <c r="B109" s="24" t="s">
        <v>54</v>
      </c>
      <c r="C109" s="21" t="s">
        <v>55</v>
      </c>
      <c r="D109" s="21" t="s">
        <v>56</v>
      </c>
      <c r="E109" s="21" t="s">
        <v>57</v>
      </c>
      <c r="F109" s="20" t="s">
        <v>58</v>
      </c>
      <c r="G109" s="21" t="s">
        <v>59</v>
      </c>
      <c r="H109" s="21" t="s">
        <v>60</v>
      </c>
      <c r="I109" s="21" t="s">
        <v>26</v>
      </c>
      <c r="J109" s="22" t="s">
        <v>61</v>
      </c>
      <c r="K109" s="21" t="s">
        <v>8</v>
      </c>
      <c r="L109" s="21" t="s">
        <v>9</v>
      </c>
      <c r="M109" s="21" t="s">
        <v>10</v>
      </c>
      <c r="N109" s="20" t="s">
        <v>11</v>
      </c>
      <c r="O109" s="21" t="s">
        <v>12</v>
      </c>
      <c r="P109" s="22" t="s">
        <v>13</v>
      </c>
      <c r="Q109" s="21" t="s">
        <v>11</v>
      </c>
      <c r="R109" s="21" t="s">
        <v>12</v>
      </c>
      <c r="S109" s="21" t="s">
        <v>13</v>
      </c>
      <c r="T109" s="78" t="s">
        <v>14</v>
      </c>
      <c r="U109" s="30"/>
      <c r="V109" s="79" t="s">
        <v>62</v>
      </c>
      <c r="W109" s="80" t="s">
        <v>63</v>
      </c>
      <c r="X109" s="81" t="s">
        <v>64</v>
      </c>
    </row>
    <row r="110" spans="1:24">
      <c r="A110" s="2"/>
      <c r="B110" s="4" t="s">
        <v>65</v>
      </c>
      <c r="C110" s="6"/>
      <c r="D110" s="6"/>
      <c r="E110" s="6"/>
      <c r="F110" s="6"/>
      <c r="G110" s="6"/>
      <c r="H110" s="6"/>
      <c r="I110" s="82"/>
      <c r="J110" s="6"/>
      <c r="K110" s="6"/>
      <c r="L110" s="6"/>
      <c r="M110" s="6"/>
      <c r="N110" s="6"/>
      <c r="O110" s="6"/>
      <c r="P110" s="6"/>
      <c r="Q110" s="6"/>
      <c r="R110" s="6"/>
      <c r="S110" s="6"/>
      <c r="T110" s="83"/>
      <c r="U110" s="6"/>
      <c r="V110" s="84"/>
      <c r="W110" s="85"/>
      <c r="X110" s="86"/>
    </row>
    <row r="111" spans="1:24">
      <c r="A111" s="2"/>
      <c r="B111" s="87">
        <v>1</v>
      </c>
      <c r="C111" s="274">
        <v>45838</v>
      </c>
      <c r="D111" s="327">
        <v>71076</v>
      </c>
      <c r="E111" s="276" t="s">
        <v>225</v>
      </c>
      <c r="F111" s="277">
        <v>814</v>
      </c>
      <c r="G111" s="277">
        <f>39.7+(14.68)</f>
        <v>54.38</v>
      </c>
      <c r="H111" s="297"/>
      <c r="I111" s="321">
        <f t="shared" ref="I111:I121" si="23">F111-G111-H111</f>
        <v>759.62</v>
      </c>
      <c r="J111" s="279" t="s">
        <v>156</v>
      </c>
      <c r="K111" s="279">
        <v>1</v>
      </c>
      <c r="L111" s="279">
        <v>1</v>
      </c>
      <c r="M111" s="279">
        <v>1</v>
      </c>
      <c r="N111" s="279">
        <v>1</v>
      </c>
      <c r="O111" s="279">
        <v>1</v>
      </c>
      <c r="P111" s="279">
        <v>1</v>
      </c>
      <c r="Q111" s="279">
        <v>1</v>
      </c>
      <c r="R111" s="322">
        <v>0</v>
      </c>
      <c r="S111" s="280">
        <v>1</v>
      </c>
      <c r="T111" s="63"/>
      <c r="U111" s="10"/>
      <c r="V111" s="90">
        <f>90+805.4</f>
        <v>895.4</v>
      </c>
      <c r="W111" s="91"/>
      <c r="X111" s="92"/>
    </row>
    <row r="112" spans="1:24">
      <c r="A112" s="2"/>
      <c r="B112" s="87">
        <f>B111+1</f>
        <v>2</v>
      </c>
      <c r="C112" s="295">
        <v>45838</v>
      </c>
      <c r="D112" s="346" t="s">
        <v>226</v>
      </c>
      <c r="E112" s="10" t="s">
        <v>227</v>
      </c>
      <c r="F112" s="62">
        <v>4261</v>
      </c>
      <c r="G112" s="62">
        <v>39.700000000000003</v>
      </c>
      <c r="H112" s="62"/>
      <c r="I112" s="89">
        <f>F112-G112-H112</f>
        <v>4221.3</v>
      </c>
      <c r="J112" s="63" t="s">
        <v>228</v>
      </c>
      <c r="K112" s="63">
        <v>1</v>
      </c>
      <c r="L112" s="63">
        <v>1</v>
      </c>
      <c r="M112" s="63">
        <v>1</v>
      </c>
      <c r="N112" s="63">
        <v>1</v>
      </c>
      <c r="O112" s="325">
        <v>0</v>
      </c>
      <c r="P112" s="325">
        <v>0</v>
      </c>
      <c r="Q112" s="325">
        <v>0</v>
      </c>
      <c r="R112" s="325">
        <v>0</v>
      </c>
      <c r="S112" s="326">
        <v>0</v>
      </c>
      <c r="T112" s="63"/>
      <c r="U112" s="10" t="s">
        <v>229</v>
      </c>
      <c r="V112" s="90">
        <f>468.71+4218.39</f>
        <v>4687.1000000000004</v>
      </c>
      <c r="W112" s="136"/>
      <c r="X112" s="137"/>
    </row>
    <row r="113" spans="1:24">
      <c r="A113" s="2" t="s">
        <v>230</v>
      </c>
      <c r="B113" s="87">
        <f>B112+1</f>
        <v>3</v>
      </c>
      <c r="C113" s="295">
        <v>45838</v>
      </c>
      <c r="D113" s="346" t="s">
        <v>231</v>
      </c>
      <c r="E113" s="10" t="s">
        <v>155</v>
      </c>
      <c r="F113" s="62">
        <v>616</v>
      </c>
      <c r="G113" s="62"/>
      <c r="H113" s="62"/>
      <c r="I113" s="369">
        <f t="shared" si="23"/>
        <v>616</v>
      </c>
      <c r="J113" s="63" t="s">
        <v>156</v>
      </c>
      <c r="K113" s="63">
        <v>1</v>
      </c>
      <c r="L113" s="63">
        <v>1</v>
      </c>
      <c r="M113" s="63">
        <v>0</v>
      </c>
      <c r="N113" s="63">
        <v>1</v>
      </c>
      <c r="O113" s="63">
        <v>1</v>
      </c>
      <c r="P113" s="63">
        <v>1</v>
      </c>
      <c r="Q113" s="63">
        <v>1</v>
      </c>
      <c r="R113" s="325">
        <v>0</v>
      </c>
      <c r="S113" s="296">
        <v>1</v>
      </c>
      <c r="T113" s="63"/>
      <c r="U113" s="10"/>
      <c r="V113" s="90">
        <f>68+609.6</f>
        <v>677.6</v>
      </c>
      <c r="W113" s="91"/>
      <c r="X113" s="92"/>
    </row>
    <row r="114" spans="1:24">
      <c r="A114" s="93" t="s">
        <v>230</v>
      </c>
      <c r="B114" s="87">
        <f t="shared" ref="B114:B119" si="24">B113+1</f>
        <v>4</v>
      </c>
      <c r="C114" s="295">
        <v>45838</v>
      </c>
      <c r="D114" s="346" t="s">
        <v>232</v>
      </c>
      <c r="E114" s="10" t="s">
        <v>155</v>
      </c>
      <c r="F114" s="62">
        <v>1281</v>
      </c>
      <c r="G114" s="62">
        <f>39.7+(200.38)</f>
        <v>240.07999999999998</v>
      </c>
      <c r="H114" s="62"/>
      <c r="I114" s="369">
        <f t="shared" si="23"/>
        <v>1040.92</v>
      </c>
      <c r="J114" s="63" t="s">
        <v>156</v>
      </c>
      <c r="K114" s="63">
        <v>1</v>
      </c>
      <c r="L114" s="63">
        <v>1</v>
      </c>
      <c r="M114" s="63">
        <v>1</v>
      </c>
      <c r="N114" s="63">
        <v>1</v>
      </c>
      <c r="O114" s="63">
        <v>1</v>
      </c>
      <c r="P114" s="63">
        <v>1</v>
      </c>
      <c r="Q114" s="63">
        <v>1</v>
      </c>
      <c r="R114" s="325">
        <v>0</v>
      </c>
      <c r="S114" s="296">
        <v>1</v>
      </c>
      <c r="T114" s="63"/>
      <c r="U114" s="10"/>
      <c r="V114" s="90">
        <f>140.9+1268.2</f>
        <v>1409.1000000000001</v>
      </c>
      <c r="W114" s="91"/>
      <c r="X114" s="92"/>
    </row>
    <row r="115" spans="1:24">
      <c r="A115" s="2"/>
      <c r="B115" s="87">
        <f t="shared" si="24"/>
        <v>5</v>
      </c>
      <c r="C115" s="274">
        <v>45839</v>
      </c>
      <c r="D115" s="320" t="s">
        <v>233</v>
      </c>
      <c r="E115" s="404" t="s">
        <v>216</v>
      </c>
      <c r="F115" s="277">
        <v>1138</v>
      </c>
      <c r="G115" s="277">
        <v>39.700000000000003</v>
      </c>
      <c r="H115" s="277"/>
      <c r="I115" s="278">
        <f t="shared" si="23"/>
        <v>1098.3</v>
      </c>
      <c r="J115" s="279" t="s">
        <v>156</v>
      </c>
      <c r="K115" s="279">
        <v>1</v>
      </c>
      <c r="L115" s="279">
        <v>1</v>
      </c>
      <c r="M115" s="279">
        <v>1</v>
      </c>
      <c r="N115" s="279">
        <v>1</v>
      </c>
      <c r="O115" s="279">
        <v>1</v>
      </c>
      <c r="P115" s="279">
        <v>1</v>
      </c>
      <c r="Q115" s="279">
        <v>1</v>
      </c>
      <c r="R115" s="279">
        <v>1</v>
      </c>
      <c r="S115" s="280">
        <v>1</v>
      </c>
      <c r="T115" s="63"/>
      <c r="U115" s="10"/>
      <c r="V115" s="90">
        <f>126+1125.8</f>
        <v>1251.8</v>
      </c>
      <c r="W115" s="91"/>
      <c r="X115" s="92"/>
    </row>
    <row r="116" spans="1:24">
      <c r="A116" s="2" t="s">
        <v>234</v>
      </c>
      <c r="B116" s="87">
        <f t="shared" si="24"/>
        <v>6</v>
      </c>
      <c r="C116" s="274">
        <v>45840</v>
      </c>
      <c r="D116" s="320" t="s">
        <v>235</v>
      </c>
      <c r="E116" s="276" t="s">
        <v>168</v>
      </c>
      <c r="F116" s="277">
        <v>616</v>
      </c>
      <c r="G116" s="277">
        <f>200</f>
        <v>200</v>
      </c>
      <c r="H116" s="277"/>
      <c r="I116" s="321">
        <f t="shared" si="23"/>
        <v>416</v>
      </c>
      <c r="J116" s="279" t="s">
        <v>236</v>
      </c>
      <c r="K116" s="279">
        <v>1</v>
      </c>
      <c r="L116" s="322">
        <v>0</v>
      </c>
      <c r="M116" s="279">
        <v>1</v>
      </c>
      <c r="N116" s="279">
        <v>1</v>
      </c>
      <c r="O116" s="279">
        <v>1</v>
      </c>
      <c r="P116" s="279">
        <v>1</v>
      </c>
      <c r="Q116" s="279">
        <v>1</v>
      </c>
      <c r="R116" s="279">
        <v>1</v>
      </c>
      <c r="S116" s="280">
        <v>1</v>
      </c>
      <c r="T116" s="63"/>
      <c r="U116" s="10" t="s">
        <v>237</v>
      </c>
      <c r="V116" s="90">
        <f>68+309.6</f>
        <v>377.6</v>
      </c>
      <c r="W116" s="440">
        <v>300</v>
      </c>
      <c r="X116" s="92"/>
    </row>
    <row r="117" spans="1:24">
      <c r="A117" s="2"/>
      <c r="B117" s="87">
        <f t="shared" si="24"/>
        <v>7</v>
      </c>
      <c r="C117" s="295">
        <v>45840</v>
      </c>
      <c r="D117" s="346" t="s">
        <v>238</v>
      </c>
      <c r="E117" s="10" t="s">
        <v>239</v>
      </c>
      <c r="F117" s="62">
        <v>1138</v>
      </c>
      <c r="G117" s="62">
        <v>39.700000000000003</v>
      </c>
      <c r="H117" s="88"/>
      <c r="I117" s="89">
        <f t="shared" si="23"/>
        <v>1098.3</v>
      </c>
      <c r="J117" s="63" t="s">
        <v>156</v>
      </c>
      <c r="K117" s="63">
        <v>1</v>
      </c>
      <c r="L117" s="63">
        <v>1</v>
      </c>
      <c r="M117" s="63">
        <v>1</v>
      </c>
      <c r="N117" s="63">
        <v>1</v>
      </c>
      <c r="O117" s="63">
        <v>1</v>
      </c>
      <c r="P117" s="325">
        <v>0</v>
      </c>
      <c r="Q117" s="325">
        <v>0</v>
      </c>
      <c r="R117" s="325">
        <v>0</v>
      </c>
      <c r="S117" s="326">
        <v>0</v>
      </c>
      <c r="T117" s="63"/>
      <c r="U117" s="10"/>
      <c r="V117" s="90">
        <f>126+1125.8</f>
        <v>1251.8</v>
      </c>
      <c r="W117" s="91"/>
      <c r="X117" s="92"/>
    </row>
    <row r="118" spans="1:24">
      <c r="A118" s="2" t="s">
        <v>240</v>
      </c>
      <c r="B118" s="87">
        <f t="shared" si="24"/>
        <v>8</v>
      </c>
      <c r="C118" s="274">
        <v>45841</v>
      </c>
      <c r="D118" s="327">
        <v>71183</v>
      </c>
      <c r="E118" s="276" t="s">
        <v>225</v>
      </c>
      <c r="F118" s="277">
        <v>1138</v>
      </c>
      <c r="G118" s="277">
        <f>39.7+200</f>
        <v>239.7</v>
      </c>
      <c r="H118" s="297"/>
      <c r="I118" s="329">
        <f t="shared" si="23"/>
        <v>898.3</v>
      </c>
      <c r="J118" s="279" t="s">
        <v>228</v>
      </c>
      <c r="K118" s="279">
        <v>1</v>
      </c>
      <c r="L118" s="279">
        <v>1</v>
      </c>
      <c r="M118" s="279">
        <v>1</v>
      </c>
      <c r="N118" s="279">
        <v>1</v>
      </c>
      <c r="O118" s="279">
        <v>1</v>
      </c>
      <c r="P118" s="279">
        <v>1</v>
      </c>
      <c r="Q118" s="279">
        <v>1</v>
      </c>
      <c r="R118" s="279">
        <v>1</v>
      </c>
      <c r="S118" s="280">
        <v>1</v>
      </c>
      <c r="T118" s="63"/>
      <c r="U118" s="10" t="s">
        <v>241</v>
      </c>
      <c r="V118" s="90">
        <f>125.2+1126.8</f>
        <v>1252</v>
      </c>
      <c r="W118" s="91"/>
      <c r="X118" s="92"/>
    </row>
    <row r="119" spans="1:24">
      <c r="A119" s="2" t="s">
        <v>230</v>
      </c>
      <c r="B119" s="87">
        <f t="shared" si="24"/>
        <v>9</v>
      </c>
      <c r="C119" s="274">
        <v>45842</v>
      </c>
      <c r="D119" s="327">
        <v>71228</v>
      </c>
      <c r="E119" s="276" t="s">
        <v>158</v>
      </c>
      <c r="F119" s="277">
        <v>579.04999999999995</v>
      </c>
      <c r="G119" s="277"/>
      <c r="H119" s="297"/>
      <c r="I119" s="329">
        <f t="shared" si="23"/>
        <v>579.04999999999995</v>
      </c>
      <c r="J119" s="279" t="s">
        <v>156</v>
      </c>
      <c r="K119" s="279">
        <v>1</v>
      </c>
      <c r="L119" s="279">
        <v>1</v>
      </c>
      <c r="M119" s="279">
        <v>1</v>
      </c>
      <c r="N119" s="279">
        <v>1</v>
      </c>
      <c r="O119" s="279">
        <v>1</v>
      </c>
      <c r="P119" s="322">
        <v>0</v>
      </c>
      <c r="Q119" s="322">
        <v>0</v>
      </c>
      <c r="R119" s="322">
        <v>0</v>
      </c>
      <c r="S119" s="328">
        <v>0</v>
      </c>
      <c r="T119" s="63"/>
      <c r="U119" s="10" t="s">
        <v>242</v>
      </c>
      <c r="V119" s="90">
        <f>75+561.96</f>
        <v>636.96</v>
      </c>
      <c r="W119" s="91"/>
      <c r="X119" s="92"/>
    </row>
    <row r="120" spans="1:24" s="342" customFormat="1">
      <c r="A120" s="388">
        <v>45853</v>
      </c>
      <c r="B120" s="87">
        <f>B119+1</f>
        <v>10</v>
      </c>
      <c r="C120" s="295">
        <v>45842</v>
      </c>
      <c r="D120" s="346">
        <v>71212</v>
      </c>
      <c r="E120" s="10" t="s">
        <v>239</v>
      </c>
      <c r="F120" s="62">
        <v>1264</v>
      </c>
      <c r="G120" s="62">
        <f>39.7+(47.7)</f>
        <v>87.4</v>
      </c>
      <c r="H120" s="62"/>
      <c r="I120" s="89">
        <f>F120-G120-H120</f>
        <v>1176.5999999999999</v>
      </c>
      <c r="J120" s="63" t="s">
        <v>228</v>
      </c>
      <c r="K120" s="63">
        <v>1</v>
      </c>
      <c r="L120" s="63">
        <v>1</v>
      </c>
      <c r="M120" s="63">
        <v>1</v>
      </c>
      <c r="N120" s="63">
        <v>1</v>
      </c>
      <c r="O120" s="63">
        <v>1</v>
      </c>
      <c r="P120" s="63">
        <v>1</v>
      </c>
      <c r="Q120" s="63">
        <v>1</v>
      </c>
      <c r="R120" s="63">
        <v>1</v>
      </c>
      <c r="S120" s="296">
        <v>1</v>
      </c>
      <c r="T120" s="63"/>
      <c r="U120" s="10" t="s">
        <v>243</v>
      </c>
      <c r="V120" s="90">
        <f>140+1250.4</f>
        <v>1390.4</v>
      </c>
      <c r="W120" s="136"/>
      <c r="X120" s="137"/>
    </row>
    <row r="121" spans="1:24">
      <c r="A121" s="2"/>
      <c r="B121" s="87">
        <f>B120+1</f>
        <v>11</v>
      </c>
      <c r="C121" s="282">
        <v>45842</v>
      </c>
      <c r="D121" s="368">
        <v>71231</v>
      </c>
      <c r="E121" s="283" t="s">
        <v>244</v>
      </c>
      <c r="F121" s="284">
        <v>614</v>
      </c>
      <c r="G121" s="284"/>
      <c r="H121" s="315"/>
      <c r="I121" s="285">
        <f t="shared" si="23"/>
        <v>614</v>
      </c>
      <c r="J121" s="286" t="s">
        <v>156</v>
      </c>
      <c r="K121" s="286">
        <v>1</v>
      </c>
      <c r="L121" s="286">
        <v>1</v>
      </c>
      <c r="M121" s="286">
        <v>1</v>
      </c>
      <c r="N121" s="286">
        <v>1</v>
      </c>
      <c r="O121" s="286">
        <v>1</v>
      </c>
      <c r="P121" s="286">
        <v>1</v>
      </c>
      <c r="Q121" s="286">
        <v>1</v>
      </c>
      <c r="R121" s="286">
        <v>1</v>
      </c>
      <c r="S121" s="287">
        <v>1</v>
      </c>
      <c r="T121" s="63"/>
      <c r="U121" s="10"/>
      <c r="V121" s="90">
        <f>68+607.4</f>
        <v>675.4</v>
      </c>
      <c r="W121" s="91"/>
      <c r="X121" s="92"/>
    </row>
    <row r="122" spans="1:24">
      <c r="A122" s="2"/>
      <c r="B122" s="87"/>
      <c r="C122" s="36"/>
      <c r="D122" s="10"/>
      <c r="E122" s="10"/>
      <c r="F122" s="97">
        <f>SUM(F111:F121)</f>
        <v>13459.05</v>
      </c>
      <c r="G122" s="97">
        <f>SUM(G111:G121)</f>
        <v>940.66</v>
      </c>
      <c r="H122" s="97">
        <f>SUM(H111:H121)</f>
        <v>0</v>
      </c>
      <c r="I122" s="98">
        <f>SUM(I111:I121)</f>
        <v>12518.39</v>
      </c>
      <c r="J122" s="63"/>
      <c r="K122" s="63">
        <f t="shared" ref="K122:S122" si="25">COUNT(K111:K121)</f>
        <v>11</v>
      </c>
      <c r="L122" s="63">
        <f t="shared" si="25"/>
        <v>11</v>
      </c>
      <c r="M122" s="63">
        <f t="shared" si="25"/>
        <v>11</v>
      </c>
      <c r="N122" s="63">
        <f t="shared" si="25"/>
        <v>11</v>
      </c>
      <c r="O122" s="63">
        <f t="shared" si="25"/>
        <v>11</v>
      </c>
      <c r="P122" s="63">
        <f t="shared" si="25"/>
        <v>11</v>
      </c>
      <c r="Q122" s="63">
        <f t="shared" si="25"/>
        <v>11</v>
      </c>
      <c r="R122" s="63">
        <f t="shared" si="25"/>
        <v>11</v>
      </c>
      <c r="S122" s="63">
        <f t="shared" si="25"/>
        <v>11</v>
      </c>
      <c r="T122" s="63"/>
      <c r="U122" s="10"/>
      <c r="V122" s="90"/>
      <c r="W122" s="91"/>
      <c r="X122" s="92"/>
    </row>
    <row r="123" spans="1:24">
      <c r="A123" s="2"/>
      <c r="B123" s="87"/>
      <c r="C123" s="36"/>
      <c r="D123" s="10"/>
      <c r="E123" s="10"/>
      <c r="F123" s="88"/>
      <c r="G123" s="88"/>
      <c r="H123" s="88"/>
      <c r="I123" s="99"/>
      <c r="J123" s="63"/>
      <c r="K123" s="21">
        <f t="shared" ref="K123:S123" si="26">SUM(K111:K121)</f>
        <v>11</v>
      </c>
      <c r="L123" s="21">
        <f t="shared" si="26"/>
        <v>10</v>
      </c>
      <c r="M123" s="21">
        <f t="shared" si="26"/>
        <v>10</v>
      </c>
      <c r="N123" s="21">
        <f t="shared" si="26"/>
        <v>11</v>
      </c>
      <c r="O123" s="21">
        <f t="shared" si="26"/>
        <v>10</v>
      </c>
      <c r="P123" s="21">
        <f t="shared" si="26"/>
        <v>8</v>
      </c>
      <c r="Q123" s="21">
        <f t="shared" si="26"/>
        <v>8</v>
      </c>
      <c r="R123" s="21">
        <f t="shared" si="26"/>
        <v>5</v>
      </c>
      <c r="S123" s="21">
        <f t="shared" si="26"/>
        <v>8</v>
      </c>
      <c r="T123" s="63"/>
      <c r="U123" s="10"/>
      <c r="V123" s="90"/>
      <c r="W123" s="91"/>
      <c r="X123" s="92"/>
    </row>
    <row r="124" spans="1:24">
      <c r="A124" s="2"/>
      <c r="B124" s="11"/>
      <c r="C124" s="36"/>
      <c r="D124" s="10"/>
      <c r="E124" s="10"/>
      <c r="F124" s="88"/>
      <c r="G124" s="88"/>
      <c r="H124" s="88"/>
      <c r="I124" s="99"/>
      <c r="J124" s="63"/>
      <c r="K124" s="21"/>
      <c r="L124" s="21"/>
      <c r="M124" s="21"/>
      <c r="N124" s="21"/>
      <c r="O124" s="21"/>
      <c r="P124" s="21"/>
      <c r="Q124" s="21"/>
      <c r="R124" s="21"/>
      <c r="S124" s="21"/>
      <c r="T124" s="63"/>
      <c r="U124" s="10"/>
      <c r="V124" s="90"/>
      <c r="W124" s="91"/>
      <c r="X124" s="92"/>
    </row>
    <row r="125" spans="1:24">
      <c r="A125" s="2"/>
      <c r="B125" s="100" t="s">
        <v>66</v>
      </c>
      <c r="C125" s="36"/>
      <c r="D125" s="10"/>
      <c r="E125" s="10"/>
      <c r="F125" s="88"/>
      <c r="G125" s="62"/>
      <c r="H125" s="88"/>
      <c r="I125" s="99"/>
      <c r="J125" s="63"/>
      <c r="K125" s="2"/>
      <c r="L125" s="2"/>
      <c r="M125" s="2"/>
      <c r="N125" s="2"/>
      <c r="O125" s="2"/>
      <c r="P125" s="2"/>
      <c r="Q125" s="2"/>
      <c r="R125" s="2"/>
      <c r="S125" s="2"/>
      <c r="T125" s="63"/>
      <c r="U125" s="94"/>
      <c r="V125" s="90"/>
      <c r="W125" s="91"/>
      <c r="X125" s="92"/>
    </row>
    <row r="126" spans="1:24">
      <c r="A126" s="2"/>
      <c r="B126" s="87">
        <v>1</v>
      </c>
      <c r="C126" s="274">
        <v>45843</v>
      </c>
      <c r="D126" s="327">
        <v>71221</v>
      </c>
      <c r="E126" s="281" t="s">
        <v>245</v>
      </c>
      <c r="F126" s="277">
        <v>1281</v>
      </c>
      <c r="G126" s="277">
        <f>39.7+(117.43)</f>
        <v>157.13</v>
      </c>
      <c r="H126" s="277"/>
      <c r="I126" s="278">
        <f t="shared" ref="I126:I128" si="27">F126-G126-H126</f>
        <v>1123.8699999999999</v>
      </c>
      <c r="J126" s="279" t="s">
        <v>156</v>
      </c>
      <c r="K126" s="279">
        <v>1</v>
      </c>
      <c r="L126" s="279">
        <v>1</v>
      </c>
      <c r="M126" s="279">
        <v>1</v>
      </c>
      <c r="N126" s="279">
        <v>1</v>
      </c>
      <c r="O126" s="279">
        <v>1</v>
      </c>
      <c r="P126" s="279">
        <v>1</v>
      </c>
      <c r="Q126" s="279">
        <v>1</v>
      </c>
      <c r="R126" s="279">
        <v>1</v>
      </c>
      <c r="S126" s="280">
        <v>1</v>
      </c>
      <c r="T126" s="63"/>
      <c r="U126" s="94"/>
      <c r="V126" s="90">
        <f>150+1259.1</f>
        <v>1409.1</v>
      </c>
      <c r="W126" s="91"/>
      <c r="X126" s="92"/>
    </row>
    <row r="127" spans="1:24">
      <c r="A127" s="2"/>
      <c r="B127" s="87">
        <f t="shared" ref="B127:B128" si="28">B126+1</f>
        <v>2</v>
      </c>
      <c r="C127" s="295">
        <v>45843</v>
      </c>
      <c r="D127" s="323">
        <v>71255</v>
      </c>
      <c r="E127" s="101" t="s">
        <v>246</v>
      </c>
      <c r="F127" s="62">
        <v>681</v>
      </c>
      <c r="G127" s="62"/>
      <c r="H127" s="62"/>
      <c r="I127" s="89">
        <f t="shared" si="27"/>
        <v>681</v>
      </c>
      <c r="J127" s="63" t="s">
        <v>156</v>
      </c>
      <c r="K127" s="63">
        <v>1</v>
      </c>
      <c r="L127" s="63">
        <v>1</v>
      </c>
      <c r="M127" s="63">
        <v>1</v>
      </c>
      <c r="N127" s="63">
        <v>1</v>
      </c>
      <c r="O127" s="63">
        <v>1</v>
      </c>
      <c r="P127" s="63">
        <v>1</v>
      </c>
      <c r="Q127" s="63">
        <v>1</v>
      </c>
      <c r="R127" s="63">
        <v>1</v>
      </c>
      <c r="S127" s="296">
        <v>1</v>
      </c>
      <c r="T127" s="63"/>
      <c r="U127" s="94"/>
      <c r="V127" s="90">
        <f>93.5+75+580.6</f>
        <v>749.1</v>
      </c>
      <c r="W127" s="91"/>
      <c r="X127" s="92"/>
    </row>
    <row r="128" spans="1:24">
      <c r="A128" s="2"/>
      <c r="B128" s="87">
        <f t="shared" si="28"/>
        <v>3</v>
      </c>
      <c r="C128" s="282">
        <v>45843</v>
      </c>
      <c r="D128" s="368">
        <v>71259</v>
      </c>
      <c r="E128" s="319" t="s">
        <v>247</v>
      </c>
      <c r="F128" s="284">
        <f>1223-85</f>
        <v>1138</v>
      </c>
      <c r="G128" s="284">
        <v>39.700000000000003</v>
      </c>
      <c r="H128" s="284"/>
      <c r="I128" s="285">
        <f t="shared" si="27"/>
        <v>1098.3</v>
      </c>
      <c r="J128" s="286" t="s">
        <v>156</v>
      </c>
      <c r="K128" s="286">
        <v>1</v>
      </c>
      <c r="L128" s="286">
        <v>1</v>
      </c>
      <c r="M128" s="286">
        <v>1</v>
      </c>
      <c r="N128" s="286">
        <v>1</v>
      </c>
      <c r="O128" s="286">
        <v>1</v>
      </c>
      <c r="P128" s="286">
        <v>1</v>
      </c>
      <c r="Q128" s="286">
        <v>1</v>
      </c>
      <c r="R128" s="286">
        <v>1</v>
      </c>
      <c r="S128" s="287">
        <v>1</v>
      </c>
      <c r="T128" s="63"/>
      <c r="U128" s="94"/>
      <c r="V128" s="90">
        <f>93.5+126+1125.8</f>
        <v>1345.3</v>
      </c>
      <c r="W128" s="91"/>
      <c r="X128" s="92"/>
    </row>
    <row r="129" spans="1:24">
      <c r="A129" s="2"/>
      <c r="B129" s="11"/>
      <c r="C129" s="36"/>
      <c r="D129" s="10"/>
      <c r="E129" s="10"/>
      <c r="F129" s="97">
        <f>SUM(F126:F128)</f>
        <v>3100</v>
      </c>
      <c r="G129" s="97">
        <f>SUM(G126:G128)</f>
        <v>196.82999999999998</v>
      </c>
      <c r="H129" s="97">
        <f>SUM(H126:H128)</f>
        <v>0</v>
      </c>
      <c r="I129" s="98">
        <f>SUM(I126:I128)</f>
        <v>2903.17</v>
      </c>
      <c r="J129" s="63"/>
      <c r="K129" s="21"/>
      <c r="L129" s="21"/>
      <c r="M129" s="21"/>
      <c r="N129" s="21"/>
      <c r="O129" s="21"/>
      <c r="P129" s="21"/>
      <c r="Q129" s="21"/>
      <c r="R129" s="21"/>
      <c r="S129" s="21"/>
      <c r="T129" s="63"/>
      <c r="U129" s="94"/>
      <c r="V129" s="90"/>
      <c r="W129" s="91"/>
      <c r="X129" s="92"/>
    </row>
    <row r="130" spans="1:24">
      <c r="A130" s="2"/>
      <c r="B130" s="11"/>
      <c r="C130" s="36"/>
      <c r="D130" s="10"/>
      <c r="E130" s="10"/>
      <c r="F130" s="88"/>
      <c r="G130" s="88"/>
      <c r="H130" s="88"/>
      <c r="I130" s="99"/>
      <c r="J130" s="63"/>
      <c r="K130" s="21"/>
      <c r="L130" s="21"/>
      <c r="M130" s="21"/>
      <c r="N130" s="21"/>
      <c r="O130" s="21"/>
      <c r="P130" s="21"/>
      <c r="Q130" s="21"/>
      <c r="R130" s="21"/>
      <c r="S130" s="21"/>
      <c r="T130" s="63"/>
      <c r="U130" s="94"/>
      <c r="V130" s="90"/>
      <c r="W130" s="91"/>
      <c r="X130" s="92"/>
    </row>
    <row r="131" spans="1:24">
      <c r="A131" s="2"/>
      <c r="B131" s="100" t="s">
        <v>67</v>
      </c>
      <c r="C131" s="36"/>
      <c r="D131" s="10"/>
      <c r="E131" s="10"/>
      <c r="F131" s="88"/>
      <c r="G131" s="62"/>
      <c r="H131" s="88"/>
      <c r="I131" s="99"/>
      <c r="J131" s="63"/>
      <c r="K131" s="2"/>
      <c r="L131" s="2"/>
      <c r="M131" s="2"/>
      <c r="N131" s="2"/>
      <c r="O131" s="2"/>
      <c r="P131" s="2"/>
      <c r="Q131" s="2"/>
      <c r="R131" s="2"/>
      <c r="S131" s="2"/>
      <c r="T131" s="63"/>
      <c r="U131" s="94"/>
      <c r="V131" s="90"/>
      <c r="W131" s="91"/>
      <c r="X131" s="92"/>
    </row>
    <row r="132" spans="1:24">
      <c r="A132" s="181" t="s">
        <v>248</v>
      </c>
      <c r="B132" s="87">
        <v>1</v>
      </c>
      <c r="C132" s="274">
        <v>45831</v>
      </c>
      <c r="D132" s="320" t="s">
        <v>175</v>
      </c>
      <c r="E132" s="276" t="s">
        <v>155</v>
      </c>
      <c r="F132" s="277">
        <v>5133</v>
      </c>
      <c r="G132" s="277">
        <f>39.7+(1906.7+43.85)+250+200</f>
        <v>2440.25</v>
      </c>
      <c r="H132" s="277"/>
      <c r="I132" s="278">
        <f>F132-G132-H132</f>
        <v>2692.75</v>
      </c>
      <c r="J132" s="279" t="s">
        <v>156</v>
      </c>
      <c r="K132" s="279">
        <v>1</v>
      </c>
      <c r="L132" s="279">
        <v>1</v>
      </c>
      <c r="M132" s="279">
        <v>0</v>
      </c>
      <c r="N132" s="279">
        <v>1</v>
      </c>
      <c r="O132" s="279">
        <v>1</v>
      </c>
      <c r="P132" s="279">
        <v>0</v>
      </c>
      <c r="Q132" s="279">
        <v>1</v>
      </c>
      <c r="R132" s="279">
        <v>0</v>
      </c>
      <c r="S132" s="280">
        <v>1</v>
      </c>
      <c r="T132" s="63"/>
      <c r="U132" s="10" t="s">
        <v>176</v>
      </c>
      <c r="V132" s="90"/>
      <c r="W132" s="136"/>
      <c r="X132" s="137"/>
    </row>
    <row r="133" spans="1:24" s="381" customFormat="1">
      <c r="A133" s="448" t="s">
        <v>249</v>
      </c>
      <c r="B133" s="372">
        <f>B132+1</f>
        <v>2</v>
      </c>
      <c r="C133" s="442">
        <v>45832</v>
      </c>
      <c r="D133" s="320" t="s">
        <v>177</v>
      </c>
      <c r="E133" s="444" t="s">
        <v>178</v>
      </c>
      <c r="F133" s="445">
        <v>681</v>
      </c>
      <c r="G133" s="445"/>
      <c r="H133" s="445"/>
      <c r="I133" s="329">
        <f>F133-G133-H133</f>
        <v>681</v>
      </c>
      <c r="J133" s="322"/>
      <c r="K133" s="322">
        <v>1</v>
      </c>
      <c r="L133" s="322">
        <v>1</v>
      </c>
      <c r="M133" s="322"/>
      <c r="N133" s="322">
        <v>1</v>
      </c>
      <c r="O133" s="322">
        <v>1</v>
      </c>
      <c r="P133" s="322">
        <v>0</v>
      </c>
      <c r="Q133" s="322">
        <v>0</v>
      </c>
      <c r="R133" s="322">
        <v>0</v>
      </c>
      <c r="S133" s="328">
        <v>0</v>
      </c>
      <c r="T133" s="325"/>
      <c r="U133" s="449" t="s">
        <v>179</v>
      </c>
      <c r="V133" s="377"/>
      <c r="W133" s="378"/>
      <c r="X133" s="393"/>
    </row>
    <row r="134" spans="1:24" s="381" customFormat="1">
      <c r="A134" s="448" t="s">
        <v>249</v>
      </c>
      <c r="B134" s="372">
        <f>B133+1</f>
        <v>3</v>
      </c>
      <c r="C134" s="450">
        <v>45832</v>
      </c>
      <c r="D134" s="346" t="s">
        <v>180</v>
      </c>
      <c r="E134" s="42" t="s">
        <v>178</v>
      </c>
      <c r="F134" s="451">
        <v>2794</v>
      </c>
      <c r="G134" s="451">
        <f>39.7+(46.62+153.12+243.81)+200</f>
        <v>683.25</v>
      </c>
      <c r="H134" s="451"/>
      <c r="I134" s="369">
        <f>F134-G134-H134</f>
        <v>2110.75</v>
      </c>
      <c r="J134" s="325" t="s">
        <v>156</v>
      </c>
      <c r="K134" s="325">
        <v>1</v>
      </c>
      <c r="L134" s="325">
        <v>1</v>
      </c>
      <c r="M134" s="325">
        <v>1</v>
      </c>
      <c r="N134" s="325">
        <v>1</v>
      </c>
      <c r="O134" s="325">
        <v>1</v>
      </c>
      <c r="P134" s="325">
        <v>0</v>
      </c>
      <c r="Q134" s="325">
        <v>1</v>
      </c>
      <c r="R134" s="325">
        <v>1</v>
      </c>
      <c r="S134" s="326">
        <v>0</v>
      </c>
      <c r="T134" s="325"/>
      <c r="U134" s="42" t="s">
        <v>250</v>
      </c>
      <c r="V134" s="377"/>
      <c r="W134" s="392"/>
      <c r="X134" s="379"/>
    </row>
    <row r="135" spans="1:24">
      <c r="A135" s="261" t="s">
        <v>251</v>
      </c>
      <c r="B135" s="87">
        <f>B134+1</f>
        <v>4</v>
      </c>
      <c r="C135" s="274">
        <v>45834</v>
      </c>
      <c r="D135" s="320" t="s">
        <v>252</v>
      </c>
      <c r="E135" s="276" t="s">
        <v>253</v>
      </c>
      <c r="F135" s="277">
        <v>5956</v>
      </c>
      <c r="G135" s="277">
        <f>39.7+(101.75+99.17+92.52)+(17.71+284.61+439.62)+300</f>
        <v>1375.08</v>
      </c>
      <c r="H135" s="277"/>
      <c r="I135" s="278">
        <f>F135-G135-H135</f>
        <v>4580.92</v>
      </c>
      <c r="J135" s="279" t="s">
        <v>156</v>
      </c>
      <c r="K135" s="279">
        <v>1</v>
      </c>
      <c r="L135" s="279">
        <v>1</v>
      </c>
      <c r="M135" s="279">
        <v>1</v>
      </c>
      <c r="N135" s="279">
        <v>1</v>
      </c>
      <c r="O135" s="279">
        <v>1</v>
      </c>
      <c r="P135" s="279">
        <v>0</v>
      </c>
      <c r="Q135" s="279">
        <v>0</v>
      </c>
      <c r="R135" s="279">
        <v>0</v>
      </c>
      <c r="S135" s="280">
        <v>0</v>
      </c>
      <c r="T135" s="63"/>
      <c r="U135" s="10" t="s">
        <v>254</v>
      </c>
      <c r="V135" s="90"/>
      <c r="W135" s="136"/>
      <c r="X135" s="137"/>
    </row>
    <row r="136" spans="1:24">
      <c r="A136" s="261" t="s">
        <v>251</v>
      </c>
      <c r="B136" s="87">
        <f>B135+1</f>
        <v>5</v>
      </c>
      <c r="C136" s="282">
        <v>45834</v>
      </c>
      <c r="D136" s="330" t="s">
        <v>255</v>
      </c>
      <c r="E136" s="283" t="s">
        <v>253</v>
      </c>
      <c r="F136" s="284">
        <v>12814</v>
      </c>
      <c r="G136" s="284">
        <f>39.7+112.8+(453.38)+1000</f>
        <v>1605.88</v>
      </c>
      <c r="H136" s="284"/>
      <c r="I136" s="285">
        <f>F136-G136-H136</f>
        <v>11208.119999999999</v>
      </c>
      <c r="J136" s="286" t="s">
        <v>156</v>
      </c>
      <c r="K136" s="286">
        <v>1</v>
      </c>
      <c r="L136" s="286">
        <v>1</v>
      </c>
      <c r="M136" s="286">
        <v>1</v>
      </c>
      <c r="N136" s="286">
        <v>1</v>
      </c>
      <c r="O136" s="286">
        <v>1</v>
      </c>
      <c r="P136" s="286">
        <v>0</v>
      </c>
      <c r="Q136" s="286">
        <v>0</v>
      </c>
      <c r="R136" s="286">
        <v>0</v>
      </c>
      <c r="S136" s="287">
        <v>0</v>
      </c>
      <c r="T136" s="63"/>
      <c r="U136" s="10" t="s">
        <v>256</v>
      </c>
      <c r="V136" s="90">
        <f>17992.66</f>
        <v>17992.66</v>
      </c>
      <c r="W136" s="136"/>
      <c r="X136" s="137"/>
    </row>
    <row r="137" spans="1:24">
      <c r="A137" s="2"/>
      <c r="B137" s="11"/>
      <c r="C137" s="36"/>
      <c r="D137" s="10"/>
      <c r="E137" s="10"/>
      <c r="F137" s="97">
        <f>SUM(F132:F136)</f>
        <v>27378</v>
      </c>
      <c r="G137" s="97">
        <f>SUM(G132:G136)</f>
        <v>6104.46</v>
      </c>
      <c r="H137" s="97">
        <f>SUM(H132:H136)</f>
        <v>0</v>
      </c>
      <c r="I137" s="98">
        <f>SUM(I132:I136)</f>
        <v>21273.54</v>
      </c>
      <c r="J137" s="63"/>
      <c r="K137" s="21"/>
      <c r="L137" s="21"/>
      <c r="M137" s="21"/>
      <c r="N137" s="21"/>
      <c r="O137" s="21"/>
      <c r="P137" s="21"/>
      <c r="Q137" s="21"/>
      <c r="R137" s="21"/>
      <c r="S137" s="21"/>
      <c r="T137" s="63"/>
      <c r="U137" s="94"/>
      <c r="V137" s="90"/>
      <c r="W137" s="91"/>
      <c r="X137" s="92"/>
    </row>
    <row r="138" spans="1:24">
      <c r="A138" s="2"/>
      <c r="B138" s="11"/>
      <c r="C138" s="36"/>
      <c r="D138" s="10"/>
      <c r="E138" s="10"/>
      <c r="F138" s="88"/>
      <c r="G138" s="88"/>
      <c r="H138" s="88"/>
      <c r="I138" s="99"/>
      <c r="J138" s="63"/>
      <c r="K138" s="21"/>
      <c r="L138" s="21"/>
      <c r="M138" s="21"/>
      <c r="N138" s="21"/>
      <c r="O138" s="21"/>
      <c r="P138" s="21"/>
      <c r="Q138" s="21"/>
      <c r="R138" s="21"/>
      <c r="S138" s="21"/>
      <c r="T138" s="63"/>
      <c r="U138" s="94"/>
      <c r="V138" s="90"/>
      <c r="W138" s="91"/>
      <c r="X138" s="92"/>
    </row>
    <row r="139" spans="1:24" s="342" customFormat="1">
      <c r="A139" s="128"/>
      <c r="B139" s="121" t="s">
        <v>68</v>
      </c>
      <c r="C139" s="122"/>
      <c r="D139" s="123"/>
      <c r="E139" s="123"/>
      <c r="F139" s="124"/>
      <c r="G139" s="125"/>
      <c r="H139" s="124"/>
      <c r="I139" s="126"/>
      <c r="J139" s="127"/>
      <c r="K139" s="128"/>
      <c r="L139" s="128"/>
      <c r="M139" s="128"/>
      <c r="N139" s="128"/>
      <c r="O139" s="128"/>
      <c r="P139" s="128"/>
      <c r="Q139" s="128"/>
      <c r="R139" s="128"/>
      <c r="S139" s="128"/>
      <c r="T139" s="127"/>
      <c r="U139" s="123"/>
      <c r="V139" s="129"/>
      <c r="W139" s="130"/>
      <c r="X139" s="131"/>
    </row>
    <row r="140" spans="1:24" s="342" customFormat="1">
      <c r="A140" s="356">
        <v>0.05</v>
      </c>
      <c r="B140" s="333">
        <v>1</v>
      </c>
      <c r="C140" s="334">
        <v>45838</v>
      </c>
      <c r="D140" s="320" t="s">
        <v>257</v>
      </c>
      <c r="E140" s="394" t="s">
        <v>227</v>
      </c>
      <c r="F140" s="336">
        <v>1261</v>
      </c>
      <c r="G140" s="336">
        <v>39.700000000000003</v>
      </c>
      <c r="H140" s="336"/>
      <c r="I140" s="337">
        <f t="shared" ref="I140:I141" si="29">F140-G140-H140</f>
        <v>1221.3</v>
      </c>
      <c r="J140" s="338" t="s">
        <v>156</v>
      </c>
      <c r="K140" s="338">
        <v>1</v>
      </c>
      <c r="L140" s="338">
        <v>1</v>
      </c>
      <c r="M140" s="338">
        <v>1</v>
      </c>
      <c r="N140" s="338">
        <v>1</v>
      </c>
      <c r="O140" s="338">
        <v>1</v>
      </c>
      <c r="P140" s="322">
        <v>0</v>
      </c>
      <c r="Q140" s="338">
        <v>1</v>
      </c>
      <c r="R140" s="338">
        <v>1</v>
      </c>
      <c r="S140" s="328">
        <v>0</v>
      </c>
      <c r="T140" s="127"/>
      <c r="U140" s="123" t="s">
        <v>258</v>
      </c>
      <c r="V140" s="129">
        <v>126.1</v>
      </c>
      <c r="W140" s="130"/>
      <c r="X140" s="131"/>
    </row>
    <row r="141" spans="1:24" s="381" customFormat="1">
      <c r="A141" s="380" t="s">
        <v>259</v>
      </c>
      <c r="B141" s="372">
        <f t="shared" ref="B141" si="30">B140+1</f>
        <v>2</v>
      </c>
      <c r="C141" s="373">
        <v>45839</v>
      </c>
      <c r="D141" s="263">
        <v>71139</v>
      </c>
      <c r="E141" s="374" t="s">
        <v>260</v>
      </c>
      <c r="F141" s="375">
        <v>681</v>
      </c>
      <c r="G141" s="375"/>
      <c r="H141" s="375"/>
      <c r="I141" s="376">
        <f t="shared" si="29"/>
        <v>681</v>
      </c>
      <c r="J141" s="314" t="s">
        <v>156</v>
      </c>
      <c r="K141" s="314">
        <v>1</v>
      </c>
      <c r="L141" s="314">
        <v>0</v>
      </c>
      <c r="M141" s="314">
        <v>1</v>
      </c>
      <c r="N141" s="314">
        <v>1</v>
      </c>
      <c r="O141" s="314">
        <v>1</v>
      </c>
      <c r="P141" s="314">
        <v>0</v>
      </c>
      <c r="Q141" s="314">
        <v>0</v>
      </c>
      <c r="R141" s="314">
        <v>0</v>
      </c>
      <c r="S141" s="366">
        <v>0</v>
      </c>
      <c r="T141" s="325"/>
      <c r="U141" s="42" t="s">
        <v>261</v>
      </c>
      <c r="V141" s="377">
        <f>93.5+75</f>
        <v>168.5</v>
      </c>
      <c r="W141" s="378"/>
      <c r="X141" s="393"/>
    </row>
    <row r="142" spans="1:24" s="342" customFormat="1">
      <c r="A142" s="128"/>
      <c r="B142" s="132"/>
      <c r="C142" s="122"/>
      <c r="D142" s="123"/>
      <c r="E142" s="123"/>
      <c r="F142" s="133">
        <f>SUM(F140:F141)</f>
        <v>1942</v>
      </c>
      <c r="G142" s="133">
        <f>SUM(G140:G141)</f>
        <v>39.700000000000003</v>
      </c>
      <c r="H142" s="133">
        <f>SUM(H140:H141)</f>
        <v>0</v>
      </c>
      <c r="I142" s="134">
        <f>SUM(I140:I141)</f>
        <v>1902.3</v>
      </c>
      <c r="J142" s="127"/>
      <c r="K142" s="64"/>
      <c r="L142" s="64"/>
      <c r="M142" s="64"/>
      <c r="N142" s="64"/>
      <c r="O142" s="64"/>
      <c r="P142" s="64"/>
      <c r="Q142" s="64"/>
      <c r="R142" s="64"/>
      <c r="S142" s="64"/>
      <c r="T142" s="127"/>
      <c r="U142" s="123"/>
      <c r="V142" s="129"/>
      <c r="W142" s="130"/>
      <c r="X142" s="131"/>
    </row>
    <row r="143" spans="1:24" s="342" customFormat="1">
      <c r="A143" s="128"/>
      <c r="B143" s="132"/>
      <c r="C143" s="122"/>
      <c r="D143" s="123"/>
      <c r="E143" s="123"/>
      <c r="F143" s="124"/>
      <c r="G143" s="124"/>
      <c r="H143" s="124"/>
      <c r="I143" s="126"/>
      <c r="J143" s="127"/>
      <c r="K143" s="64"/>
      <c r="L143" s="64"/>
      <c r="M143" s="64"/>
      <c r="N143" s="64"/>
      <c r="O143" s="64"/>
      <c r="P143" s="64"/>
      <c r="Q143" s="64"/>
      <c r="R143" s="64"/>
      <c r="S143" s="64"/>
      <c r="T143" s="127"/>
      <c r="U143" s="123"/>
      <c r="V143" s="129"/>
      <c r="W143" s="130"/>
      <c r="X143" s="131"/>
    </row>
    <row r="144" spans="1:24" s="342" customFormat="1">
      <c r="A144" s="128"/>
      <c r="B144" s="121" t="s">
        <v>70</v>
      </c>
      <c r="C144" s="122"/>
      <c r="D144" s="123"/>
      <c r="E144" s="128"/>
      <c r="F144" s="124"/>
      <c r="G144" s="124"/>
      <c r="H144" s="124"/>
      <c r="I144" s="126"/>
      <c r="J144" s="127"/>
      <c r="K144" s="64"/>
      <c r="L144" s="64"/>
      <c r="M144" s="64"/>
      <c r="N144" s="64"/>
      <c r="O144" s="64"/>
      <c r="P144" s="64"/>
      <c r="Q144" s="64"/>
      <c r="R144" s="64"/>
      <c r="S144" s="64"/>
      <c r="T144" s="127"/>
      <c r="U144" s="135"/>
      <c r="V144" s="129"/>
      <c r="W144" s="130"/>
      <c r="X144" s="131"/>
    </row>
    <row r="145" spans="1:24" s="342" customFormat="1">
      <c r="A145" s="356">
        <v>0.05</v>
      </c>
      <c r="B145" s="333">
        <v>1</v>
      </c>
      <c r="C145" s="350">
        <v>45839</v>
      </c>
      <c r="D145" s="263">
        <v>71075</v>
      </c>
      <c r="E145" s="351" t="s">
        <v>262</v>
      </c>
      <c r="F145" s="352">
        <v>2261</v>
      </c>
      <c r="G145" s="352">
        <f>39.7</f>
        <v>39.700000000000003</v>
      </c>
      <c r="H145" s="352"/>
      <c r="I145" s="353">
        <f>F145-G145-H145</f>
        <v>2221.3000000000002</v>
      </c>
      <c r="J145" s="354"/>
      <c r="K145" s="354">
        <v>1</v>
      </c>
      <c r="L145" s="354"/>
      <c r="M145" s="354"/>
      <c r="N145" s="354">
        <v>1</v>
      </c>
      <c r="O145" s="354">
        <v>1</v>
      </c>
      <c r="P145" s="354">
        <v>0</v>
      </c>
      <c r="Q145" s="354"/>
      <c r="R145" s="354"/>
      <c r="S145" s="355"/>
      <c r="T145" s="127"/>
      <c r="U145" s="123" t="s">
        <v>263</v>
      </c>
      <c r="V145" s="129"/>
      <c r="W145" s="130"/>
      <c r="X145" s="131"/>
    </row>
    <row r="146" spans="1:24" s="342" customFormat="1">
      <c r="A146" s="356">
        <v>0.05</v>
      </c>
      <c r="B146" s="333">
        <f>B145+1</f>
        <v>2</v>
      </c>
      <c r="C146" s="395">
        <v>45840</v>
      </c>
      <c r="D146" s="452" t="s">
        <v>264</v>
      </c>
      <c r="E146" s="396" t="s">
        <v>239</v>
      </c>
      <c r="F146" s="397">
        <v>14281</v>
      </c>
      <c r="G146" s="397">
        <f>39.7+160+(105.44+126.14+97.98)+1000</f>
        <v>1529.26</v>
      </c>
      <c r="H146" s="397"/>
      <c r="I146" s="398">
        <f t="shared" ref="I146" si="31">F146-G146-H146</f>
        <v>12751.74</v>
      </c>
      <c r="J146" s="399" t="s">
        <v>185</v>
      </c>
      <c r="K146" s="399">
        <v>1</v>
      </c>
      <c r="L146" s="399"/>
      <c r="M146" s="399">
        <v>1</v>
      </c>
      <c r="N146" s="399">
        <v>1</v>
      </c>
      <c r="O146" s="399">
        <v>1</v>
      </c>
      <c r="P146" s="332">
        <v>0</v>
      </c>
      <c r="Q146" s="399"/>
      <c r="R146" s="399"/>
      <c r="S146" s="400"/>
      <c r="T146" s="127"/>
      <c r="U146" s="135" t="s">
        <v>265</v>
      </c>
      <c r="V146" s="129">
        <v>1571</v>
      </c>
      <c r="W146" s="340"/>
      <c r="X146" s="341"/>
    </row>
    <row r="147" spans="1:24" s="342" customFormat="1">
      <c r="A147" s="128"/>
      <c r="B147" s="132"/>
      <c r="C147" s="122"/>
      <c r="D147" s="123"/>
      <c r="E147" s="123"/>
      <c r="F147" s="134">
        <f>SUM(F145:F146)</f>
        <v>16542</v>
      </c>
      <c r="G147" s="134">
        <f>SUM(G145:G146)</f>
        <v>1568.96</v>
      </c>
      <c r="H147" s="134">
        <f>SUM(H145:H146)</f>
        <v>0</v>
      </c>
      <c r="I147" s="134">
        <f>SUM(I145:I146)</f>
        <v>14973.04</v>
      </c>
      <c r="J147" s="127"/>
      <c r="K147" s="64"/>
      <c r="L147" s="64"/>
      <c r="M147" s="64"/>
      <c r="N147" s="64"/>
      <c r="O147" s="64"/>
      <c r="P147" s="64"/>
      <c r="Q147" s="64"/>
      <c r="R147" s="64"/>
      <c r="S147" s="64"/>
      <c r="T147" s="127"/>
      <c r="U147" s="135"/>
      <c r="V147" s="129"/>
      <c r="W147" s="130"/>
      <c r="X147" s="131"/>
    </row>
    <row r="148" spans="1:24">
      <c r="A148" s="2"/>
      <c r="B148" s="11"/>
      <c r="C148" s="36"/>
      <c r="D148" s="10"/>
      <c r="E148" s="10"/>
      <c r="F148" s="88"/>
      <c r="G148" s="88"/>
      <c r="H148" s="88"/>
      <c r="I148" s="99"/>
      <c r="J148" s="10"/>
      <c r="K148" s="63"/>
      <c r="L148" s="63"/>
      <c r="M148" s="63"/>
      <c r="N148" s="63"/>
      <c r="O148" s="63"/>
      <c r="P148" s="63"/>
      <c r="Q148" s="63"/>
      <c r="R148" s="63"/>
      <c r="S148" s="63"/>
      <c r="T148" s="63"/>
      <c r="U148" s="94"/>
      <c r="V148" s="90"/>
      <c r="W148" s="91"/>
      <c r="X148" s="92"/>
    </row>
    <row r="149" spans="1:24" s="260" customFormat="1">
      <c r="A149" s="181"/>
      <c r="B149" s="100" t="s">
        <v>152</v>
      </c>
      <c r="C149" s="36"/>
      <c r="D149" s="10"/>
      <c r="E149" s="10"/>
      <c r="F149" s="88"/>
      <c r="G149" s="62"/>
      <c r="H149" s="88"/>
      <c r="I149" s="99"/>
      <c r="J149" s="10"/>
      <c r="K149" s="181"/>
      <c r="L149" s="181"/>
      <c r="M149" s="181"/>
      <c r="N149" s="181"/>
      <c r="O149" s="181"/>
      <c r="P149" s="181"/>
      <c r="Q149" s="181"/>
      <c r="R149" s="181"/>
      <c r="S149" s="181"/>
      <c r="T149" s="63"/>
      <c r="U149" s="10"/>
      <c r="V149" s="90"/>
      <c r="W149" s="91"/>
      <c r="X149" s="92"/>
    </row>
    <row r="150" spans="1:24" s="260" customFormat="1">
      <c r="A150" s="261">
        <v>0.05</v>
      </c>
      <c r="B150" s="87">
        <v>1</v>
      </c>
      <c r="C150" s="274">
        <v>45800</v>
      </c>
      <c r="D150" s="275">
        <v>70335</v>
      </c>
      <c r="E150" s="276" t="s">
        <v>191</v>
      </c>
      <c r="F150" s="277">
        <v>1619</v>
      </c>
      <c r="G150" s="277">
        <v>39.700000000000003</v>
      </c>
      <c r="H150" s="297"/>
      <c r="I150" s="278">
        <f>F150-G150-H150</f>
        <v>1579.3</v>
      </c>
      <c r="J150" s="279" t="s">
        <v>192</v>
      </c>
      <c r="K150" s="279">
        <v>1</v>
      </c>
      <c r="L150" s="279">
        <v>1</v>
      </c>
      <c r="M150" s="279">
        <v>1</v>
      </c>
      <c r="N150" s="279">
        <v>1</v>
      </c>
      <c r="O150" s="279">
        <v>1</v>
      </c>
      <c r="P150" s="279">
        <v>1</v>
      </c>
      <c r="Q150" s="279">
        <v>1</v>
      </c>
      <c r="R150" s="279">
        <v>0</v>
      </c>
      <c r="S150" s="280">
        <v>1</v>
      </c>
      <c r="T150" s="63"/>
      <c r="U150" s="10" t="s">
        <v>193</v>
      </c>
      <c r="V150" s="90"/>
      <c r="W150" s="91"/>
      <c r="X150" s="92"/>
    </row>
    <row r="151" spans="1:24" s="260" customFormat="1">
      <c r="A151" s="312" t="s">
        <v>194</v>
      </c>
      <c r="B151" s="87">
        <f t="shared" ref="B151:B156" si="32">B150+1</f>
        <v>2</v>
      </c>
      <c r="C151" s="262">
        <v>45805</v>
      </c>
      <c r="D151" s="273" t="s">
        <v>195</v>
      </c>
      <c r="E151" s="271" t="s">
        <v>196</v>
      </c>
      <c r="F151" s="265">
        <v>2999.1</v>
      </c>
      <c r="G151" s="265">
        <v>39.700000000000003</v>
      </c>
      <c r="H151" s="265">
        <f>F151*0.2</f>
        <v>599.82000000000005</v>
      </c>
      <c r="I151" s="272">
        <f>F151-G151-H151</f>
        <v>2359.58</v>
      </c>
      <c r="J151" s="267" t="s">
        <v>197</v>
      </c>
      <c r="K151" s="267">
        <v>1</v>
      </c>
      <c r="L151" s="267">
        <v>1</v>
      </c>
      <c r="M151" s="267">
        <v>1</v>
      </c>
      <c r="N151" s="267">
        <v>1</v>
      </c>
      <c r="O151" s="267">
        <v>1</v>
      </c>
      <c r="P151" s="267">
        <v>0</v>
      </c>
      <c r="Q151" s="267">
        <v>0</v>
      </c>
      <c r="R151" s="267">
        <v>0</v>
      </c>
      <c r="S151" s="269">
        <v>0</v>
      </c>
      <c r="T151" s="63"/>
      <c r="U151" s="10" t="s">
        <v>198</v>
      </c>
      <c r="V151" s="90"/>
      <c r="W151" s="91"/>
      <c r="X151" s="92"/>
    </row>
    <row r="152" spans="1:24" s="260" customFormat="1">
      <c r="A152" s="312" t="s">
        <v>194</v>
      </c>
      <c r="B152" s="87">
        <f t="shared" si="32"/>
        <v>3</v>
      </c>
      <c r="C152" s="262">
        <v>45805</v>
      </c>
      <c r="D152" s="273" t="s">
        <v>199</v>
      </c>
      <c r="E152" s="271" t="s">
        <v>196</v>
      </c>
      <c r="F152" s="265">
        <v>16214</v>
      </c>
      <c r="G152" s="265">
        <f>39.7+44+36.26+(33.82+55.44)+(102.43+254.2+84.43+10.82+125.93)+1500</f>
        <v>2287.0299999999997</v>
      </c>
      <c r="H152" s="265">
        <f>F152*0.2</f>
        <v>3242.8</v>
      </c>
      <c r="I152" s="272">
        <f>F152-G152-H152</f>
        <v>10684.170000000002</v>
      </c>
      <c r="J152" s="267" t="s">
        <v>197</v>
      </c>
      <c r="K152" s="267">
        <v>1</v>
      </c>
      <c r="L152" s="267"/>
      <c r="M152" s="267">
        <v>1</v>
      </c>
      <c r="N152" s="267">
        <v>1</v>
      </c>
      <c r="O152" s="267">
        <v>1</v>
      </c>
      <c r="P152" s="267">
        <v>0</v>
      </c>
      <c r="Q152" s="267">
        <v>1</v>
      </c>
      <c r="R152" s="267">
        <v>1</v>
      </c>
      <c r="S152" s="269">
        <v>0</v>
      </c>
      <c r="T152" s="63"/>
      <c r="U152" s="10" t="s">
        <v>200</v>
      </c>
      <c r="V152" s="90"/>
      <c r="W152" s="136"/>
      <c r="X152" s="313">
        <v>219.33</v>
      </c>
    </row>
    <row r="153" spans="1:24" s="260" customFormat="1">
      <c r="A153" s="261">
        <v>0.05</v>
      </c>
      <c r="B153" s="87">
        <f t="shared" si="32"/>
        <v>4</v>
      </c>
      <c r="C153" s="262">
        <v>45826</v>
      </c>
      <c r="D153" s="271">
        <v>70849</v>
      </c>
      <c r="E153" s="271" t="s">
        <v>189</v>
      </c>
      <c r="F153" s="265">
        <f>1261</f>
        <v>1261</v>
      </c>
      <c r="G153" s="265">
        <v>39.700000000000003</v>
      </c>
      <c r="H153" s="265"/>
      <c r="I153" s="272">
        <f>F153-G153-H153</f>
        <v>1221.3</v>
      </c>
      <c r="J153" s="267" t="s">
        <v>156</v>
      </c>
      <c r="K153" s="267">
        <v>1</v>
      </c>
      <c r="L153" s="267"/>
      <c r="M153" s="267">
        <v>1</v>
      </c>
      <c r="N153" s="267">
        <v>1</v>
      </c>
      <c r="O153" s="267">
        <v>1</v>
      </c>
      <c r="P153" s="267">
        <v>1</v>
      </c>
      <c r="Q153" s="267"/>
      <c r="R153" s="267"/>
      <c r="S153" s="269"/>
      <c r="T153" s="63"/>
      <c r="U153" s="10" t="s">
        <v>201</v>
      </c>
      <c r="V153" s="90"/>
      <c r="W153" s="136"/>
      <c r="X153" s="137"/>
    </row>
    <row r="154" spans="1:24" s="260" customFormat="1">
      <c r="A154" s="31">
        <v>0.05</v>
      </c>
      <c r="B154" s="87">
        <f t="shared" si="32"/>
        <v>5</v>
      </c>
      <c r="C154" s="295">
        <v>45833</v>
      </c>
      <c r="D154" s="10">
        <v>71021</v>
      </c>
      <c r="E154" s="101" t="s">
        <v>184</v>
      </c>
      <c r="F154" s="62">
        <v>3214</v>
      </c>
      <c r="G154" s="62">
        <f>39.7+(54.24)+200</f>
        <v>293.94</v>
      </c>
      <c r="H154" s="62"/>
      <c r="I154" s="89">
        <f t="shared" ref="I154:I156" si="33">F154-G154-H154</f>
        <v>2920.06</v>
      </c>
      <c r="J154" s="63" t="s">
        <v>185</v>
      </c>
      <c r="K154" s="63">
        <v>1</v>
      </c>
      <c r="L154" s="63">
        <v>1</v>
      </c>
      <c r="M154" s="63">
        <v>0</v>
      </c>
      <c r="N154" s="63">
        <v>1</v>
      </c>
      <c r="O154" s="63">
        <v>1</v>
      </c>
      <c r="P154" s="63">
        <v>1</v>
      </c>
      <c r="Q154" s="63">
        <v>1</v>
      </c>
      <c r="R154" s="63">
        <v>1</v>
      </c>
      <c r="S154" s="296">
        <v>1</v>
      </c>
      <c r="T154" s="63"/>
      <c r="U154" s="10" t="s">
        <v>186</v>
      </c>
      <c r="V154" s="90"/>
      <c r="W154" s="91"/>
      <c r="X154" s="92"/>
    </row>
    <row r="155" spans="1:24" s="260" customFormat="1">
      <c r="A155" s="261">
        <v>0.05</v>
      </c>
      <c r="B155" s="87">
        <f t="shared" si="32"/>
        <v>6</v>
      </c>
      <c r="C155" s="262">
        <v>45834</v>
      </c>
      <c r="D155" s="273" t="s">
        <v>188</v>
      </c>
      <c r="E155" s="271" t="s">
        <v>189</v>
      </c>
      <c r="F155" s="265">
        <f>11553-160.9</f>
        <v>11392.1</v>
      </c>
      <c r="G155" s="265">
        <f>39.7+4500+300</f>
        <v>4839.7</v>
      </c>
      <c r="H155" s="265">
        <f>F155*0.2</f>
        <v>2278.42</v>
      </c>
      <c r="I155" s="272">
        <f t="shared" ref="I155" si="34">F155-G155-H155</f>
        <v>4273.9800000000005</v>
      </c>
      <c r="J155" s="267" t="s">
        <v>185</v>
      </c>
      <c r="K155" s="267">
        <v>1</v>
      </c>
      <c r="L155" s="267">
        <v>1</v>
      </c>
      <c r="M155" s="267">
        <v>1</v>
      </c>
      <c r="N155" s="267">
        <v>1</v>
      </c>
      <c r="O155" s="267">
        <v>1</v>
      </c>
      <c r="P155" s="267">
        <v>0</v>
      </c>
      <c r="Q155" s="267">
        <v>0</v>
      </c>
      <c r="R155" s="267">
        <v>0</v>
      </c>
      <c r="S155" s="269">
        <v>0</v>
      </c>
      <c r="T155" s="63"/>
      <c r="U155" s="10" t="s">
        <v>266</v>
      </c>
      <c r="V155" s="90"/>
      <c r="W155" s="136"/>
      <c r="X155" s="137"/>
    </row>
    <row r="156" spans="1:24" s="260" customFormat="1">
      <c r="A156" s="31">
        <v>0.05</v>
      </c>
      <c r="B156" s="87">
        <f t="shared" si="32"/>
        <v>7</v>
      </c>
      <c r="C156" s="262">
        <v>45835</v>
      </c>
      <c r="D156" s="271">
        <v>70987</v>
      </c>
      <c r="E156" s="264" t="s">
        <v>187</v>
      </c>
      <c r="F156" s="265">
        <v>2861</v>
      </c>
      <c r="G156" s="265">
        <v>39.700000000000003</v>
      </c>
      <c r="H156" s="265"/>
      <c r="I156" s="272">
        <f t="shared" si="33"/>
        <v>2821.3</v>
      </c>
      <c r="J156" s="267" t="s">
        <v>156</v>
      </c>
      <c r="K156" s="267">
        <v>1</v>
      </c>
      <c r="L156" s="267">
        <v>1</v>
      </c>
      <c r="M156" s="267">
        <v>1</v>
      </c>
      <c r="N156" s="267">
        <v>1</v>
      </c>
      <c r="O156" s="267">
        <v>1</v>
      </c>
      <c r="P156" s="267">
        <v>0</v>
      </c>
      <c r="Q156" s="267">
        <v>1</v>
      </c>
      <c r="R156" s="267">
        <v>1</v>
      </c>
      <c r="S156" s="269">
        <v>1</v>
      </c>
      <c r="T156" s="63"/>
      <c r="U156" s="10"/>
      <c r="V156" s="90"/>
      <c r="W156" s="91"/>
      <c r="X156" s="92"/>
    </row>
    <row r="157" spans="1:24" s="260" customFormat="1">
      <c r="A157" s="181"/>
      <c r="B157" s="11"/>
      <c r="C157" s="36"/>
      <c r="D157" s="77"/>
      <c r="E157" s="10"/>
      <c r="F157" s="97">
        <f>SUM(F150:F156)</f>
        <v>39560.199999999997</v>
      </c>
      <c r="G157" s="97">
        <f t="shared" ref="G157:I157" si="35">SUM(G150:G156)</f>
        <v>7579.4699999999993</v>
      </c>
      <c r="H157" s="97">
        <f t="shared" si="35"/>
        <v>6121.0400000000009</v>
      </c>
      <c r="I157" s="97">
        <f t="shared" si="35"/>
        <v>25859.690000000002</v>
      </c>
      <c r="K157" s="21"/>
      <c r="L157" s="21"/>
      <c r="M157" s="21"/>
      <c r="N157" s="21"/>
      <c r="O157" s="21"/>
      <c r="P157" s="21"/>
      <c r="Q157" s="21"/>
      <c r="R157" s="21"/>
      <c r="S157" s="21"/>
      <c r="T157" s="63"/>
      <c r="U157" s="10"/>
      <c r="V157" s="90"/>
      <c r="W157" s="91"/>
      <c r="X157" s="92"/>
    </row>
    <row r="158" spans="1:24" s="260" customFormat="1">
      <c r="A158" s="181"/>
      <c r="B158" s="11"/>
      <c r="C158" s="36"/>
      <c r="D158" s="77"/>
      <c r="E158" s="10"/>
      <c r="F158" s="88"/>
      <c r="G158" s="88"/>
      <c r="H158" s="88"/>
      <c r="I158" s="99"/>
      <c r="J158" s="63"/>
      <c r="K158" s="21"/>
      <c r="L158" s="21"/>
      <c r="M158" s="21"/>
      <c r="N158" s="21"/>
      <c r="O158" s="21"/>
      <c r="P158" s="21"/>
      <c r="Q158" s="21"/>
      <c r="R158" s="21"/>
      <c r="S158" s="21"/>
      <c r="T158" s="63"/>
      <c r="U158" s="10"/>
      <c r="V158" s="90"/>
      <c r="W158" s="91"/>
      <c r="X158" s="92"/>
    </row>
    <row r="159" spans="1:24" s="260" customFormat="1">
      <c r="A159" s="181"/>
      <c r="B159" s="100" t="s">
        <v>202</v>
      </c>
      <c r="C159" s="299"/>
      <c r="D159" s="77"/>
      <c r="E159" s="181"/>
      <c r="F159" s="88"/>
      <c r="G159" s="88"/>
      <c r="H159" s="88"/>
      <c r="I159" s="99"/>
      <c r="J159" s="63"/>
      <c r="K159" s="21"/>
      <c r="L159" s="21"/>
      <c r="M159" s="21"/>
      <c r="N159" s="21"/>
      <c r="O159" s="21"/>
      <c r="P159" s="21"/>
      <c r="Q159" s="21"/>
      <c r="R159" s="21"/>
      <c r="S159" s="21"/>
      <c r="T159" s="63"/>
      <c r="U159" s="10"/>
      <c r="V159" s="90"/>
      <c r="W159" s="91"/>
      <c r="X159" s="92"/>
    </row>
    <row r="160" spans="1:24" s="260" customFormat="1">
      <c r="A160" s="31">
        <v>0.05</v>
      </c>
      <c r="B160" s="87">
        <v>1</v>
      </c>
      <c r="C160" s="262">
        <v>45789</v>
      </c>
      <c r="D160" s="273">
        <v>70067</v>
      </c>
      <c r="E160" s="271" t="s">
        <v>203</v>
      </c>
      <c r="F160" s="265">
        <v>481</v>
      </c>
      <c r="G160" s="265"/>
      <c r="H160" s="265"/>
      <c r="I160" s="272">
        <f>F160-G160-H160</f>
        <v>481</v>
      </c>
      <c r="J160" s="267"/>
      <c r="K160" s="267">
        <v>1</v>
      </c>
      <c r="L160" s="267"/>
      <c r="M160" s="267"/>
      <c r="N160" s="267">
        <v>1</v>
      </c>
      <c r="O160" s="267">
        <v>1</v>
      </c>
      <c r="P160" s="267">
        <v>0</v>
      </c>
      <c r="Q160" s="267"/>
      <c r="R160" s="267"/>
      <c r="S160" s="269"/>
      <c r="T160" s="63"/>
      <c r="U160" s="10"/>
      <c r="V160" s="90"/>
      <c r="W160" s="136"/>
      <c r="X160" s="137"/>
    </row>
    <row r="161" spans="1:24" s="260" customFormat="1">
      <c r="A161" s="261">
        <v>0.05</v>
      </c>
      <c r="B161" s="87">
        <f>B160+1</f>
        <v>2</v>
      </c>
      <c r="C161" s="262">
        <v>45835</v>
      </c>
      <c r="D161" s="273">
        <v>71077</v>
      </c>
      <c r="E161" s="271" t="s">
        <v>204</v>
      </c>
      <c r="F161" s="265">
        <v>5814</v>
      </c>
      <c r="G161" s="265">
        <f>39.7+(727.51)</f>
        <v>767.21</v>
      </c>
      <c r="H161" s="265"/>
      <c r="I161" s="272">
        <f>F161-G161-H161</f>
        <v>5046.79</v>
      </c>
      <c r="J161" s="267" t="s">
        <v>236</v>
      </c>
      <c r="K161" s="267">
        <v>1</v>
      </c>
      <c r="L161" s="267"/>
      <c r="M161" s="267">
        <v>1</v>
      </c>
      <c r="N161" s="267">
        <v>1</v>
      </c>
      <c r="O161" s="267">
        <v>1</v>
      </c>
      <c r="P161" s="267">
        <v>0</v>
      </c>
      <c r="Q161" s="267"/>
      <c r="R161" s="267"/>
      <c r="S161" s="269"/>
      <c r="T161" s="63"/>
      <c r="U161" s="10" t="s">
        <v>267</v>
      </c>
      <c r="V161" s="90"/>
      <c r="W161" s="136"/>
      <c r="X161" s="137"/>
    </row>
    <row r="162" spans="1:24" s="260" customFormat="1">
      <c r="B162" s="11"/>
      <c r="C162" s="36"/>
      <c r="D162" s="10"/>
      <c r="E162" s="10"/>
      <c r="F162" s="97">
        <f>SUM(F160:F161)</f>
        <v>6295</v>
      </c>
      <c r="G162" s="97">
        <f>SUM(G160:G161)</f>
        <v>767.21</v>
      </c>
      <c r="H162" s="97">
        <f>SUM(H160:H161)</f>
        <v>0</v>
      </c>
      <c r="I162" s="97">
        <f>SUM(I160:I161)</f>
        <v>5527.79</v>
      </c>
      <c r="J162" s="63"/>
      <c r="K162" s="21"/>
      <c r="L162" s="21"/>
      <c r="M162" s="21"/>
      <c r="N162" s="21"/>
      <c r="O162" s="21"/>
      <c r="P162" s="21"/>
      <c r="Q162" s="21"/>
      <c r="R162" s="21"/>
      <c r="S162" s="21"/>
      <c r="T162" s="63"/>
      <c r="U162" s="10"/>
      <c r="V162" s="90"/>
      <c r="W162" s="91"/>
      <c r="X162" s="92"/>
    </row>
    <row r="163" spans="1:24" s="260" customFormat="1">
      <c r="B163" s="11"/>
      <c r="C163" s="36"/>
      <c r="D163" s="10"/>
      <c r="E163" s="10"/>
      <c r="F163" s="88"/>
      <c r="G163" s="88"/>
      <c r="H163" s="88"/>
      <c r="I163" s="88"/>
      <c r="J163" s="63"/>
      <c r="K163" s="21"/>
      <c r="L163" s="21"/>
      <c r="M163" s="21"/>
      <c r="N163" s="21"/>
      <c r="O163" s="21"/>
      <c r="P163" s="21"/>
      <c r="Q163" s="21"/>
      <c r="R163" s="21"/>
      <c r="S163" s="21"/>
      <c r="T163" s="63"/>
      <c r="U163" s="10"/>
      <c r="V163" s="90"/>
      <c r="W163" s="91"/>
      <c r="X163" s="92"/>
    </row>
    <row r="164" spans="1:24">
      <c r="A164" s="2"/>
      <c r="B164" s="100" t="s">
        <v>72</v>
      </c>
      <c r="C164" s="36"/>
      <c r="D164" s="10"/>
      <c r="E164" s="10"/>
      <c r="F164" s="88"/>
      <c r="G164" s="88"/>
      <c r="H164" s="88"/>
      <c r="I164" s="99"/>
      <c r="J164" s="63"/>
      <c r="K164" s="63"/>
      <c r="L164" s="63"/>
      <c r="M164" s="63"/>
      <c r="N164" s="63"/>
      <c r="O164" s="63"/>
      <c r="P164" s="63"/>
      <c r="Q164" s="63"/>
      <c r="R164" s="63"/>
      <c r="S164" s="63"/>
      <c r="T164" s="63"/>
      <c r="U164" s="10"/>
      <c r="V164" s="90"/>
      <c r="W164" s="91"/>
      <c r="X164" s="92"/>
    </row>
    <row r="165" spans="1:24">
      <c r="A165" s="2"/>
      <c r="B165" s="87">
        <v>1</v>
      </c>
      <c r="C165" s="274">
        <v>45838</v>
      </c>
      <c r="D165" s="276">
        <v>71104</v>
      </c>
      <c r="E165" s="276" t="s">
        <v>155</v>
      </c>
      <c r="F165" s="277">
        <v>1372</v>
      </c>
      <c r="G165" s="277">
        <v>39.700000000000003</v>
      </c>
      <c r="H165" s="277"/>
      <c r="I165" s="278">
        <f t="shared" ref="I165:I176" si="36">F165-G165-H165</f>
        <v>1332.3</v>
      </c>
      <c r="J165" s="279" t="s">
        <v>205</v>
      </c>
      <c r="K165" s="279">
        <v>1</v>
      </c>
      <c r="L165" s="279"/>
      <c r="M165" s="279"/>
      <c r="N165" s="279">
        <v>1</v>
      </c>
      <c r="O165" s="279"/>
      <c r="P165" s="279"/>
      <c r="Q165" s="279">
        <v>1</v>
      </c>
      <c r="R165" s="279">
        <v>1</v>
      </c>
      <c r="S165" s="280">
        <v>1</v>
      </c>
      <c r="T165" s="63"/>
      <c r="U165" s="3"/>
      <c r="V165" s="90"/>
      <c r="W165" s="91"/>
      <c r="X165" s="92"/>
    </row>
    <row r="166" spans="1:24">
      <c r="A166" s="2"/>
      <c r="B166" s="87">
        <f t="shared" ref="B166:B176" si="37">B165+1</f>
        <v>2</v>
      </c>
      <c r="C166" s="295">
        <v>45838</v>
      </c>
      <c r="D166" s="10">
        <v>71106</v>
      </c>
      <c r="E166" s="10" t="s">
        <v>268</v>
      </c>
      <c r="F166" s="62">
        <v>0</v>
      </c>
      <c r="G166" s="62"/>
      <c r="H166" s="62"/>
      <c r="I166" s="89">
        <f t="shared" si="36"/>
        <v>0</v>
      </c>
      <c r="J166" s="63" t="s">
        <v>219</v>
      </c>
      <c r="K166" s="63">
        <v>1</v>
      </c>
      <c r="L166" s="63"/>
      <c r="M166" s="63"/>
      <c r="N166" s="63"/>
      <c r="O166" s="63"/>
      <c r="P166" s="63"/>
      <c r="Q166" s="63">
        <v>1</v>
      </c>
      <c r="R166" s="63">
        <v>1</v>
      </c>
      <c r="S166" s="296">
        <v>1</v>
      </c>
      <c r="T166" s="63"/>
      <c r="U166" s="10" t="s">
        <v>269</v>
      </c>
      <c r="V166" s="90"/>
      <c r="W166" s="136"/>
      <c r="X166" s="137"/>
    </row>
    <row r="167" spans="1:24">
      <c r="A167" s="2"/>
      <c r="B167" s="87">
        <f t="shared" si="37"/>
        <v>3</v>
      </c>
      <c r="C167" s="274">
        <v>45839</v>
      </c>
      <c r="D167" s="276">
        <v>71101</v>
      </c>
      <c r="E167" s="276" t="s">
        <v>270</v>
      </c>
      <c r="F167" s="277">
        <v>1175</v>
      </c>
      <c r="G167" s="277">
        <v>39.700000000000003</v>
      </c>
      <c r="H167" s="277"/>
      <c r="I167" s="278">
        <f t="shared" si="36"/>
        <v>1135.3</v>
      </c>
      <c r="J167" s="279" t="s">
        <v>219</v>
      </c>
      <c r="K167" s="279">
        <v>1</v>
      </c>
      <c r="L167" s="279"/>
      <c r="M167" s="279"/>
      <c r="N167" s="279">
        <v>1</v>
      </c>
      <c r="O167" s="279"/>
      <c r="P167" s="279"/>
      <c r="Q167" s="279">
        <v>1</v>
      </c>
      <c r="R167" s="279">
        <v>1</v>
      </c>
      <c r="S167" s="280">
        <v>1</v>
      </c>
      <c r="T167" s="63"/>
      <c r="U167" s="10"/>
      <c r="V167" s="90"/>
      <c r="W167" s="136"/>
      <c r="X167" s="137"/>
    </row>
    <row r="168" spans="1:24">
      <c r="A168" s="2"/>
      <c r="B168" s="87">
        <f t="shared" si="37"/>
        <v>4</v>
      </c>
      <c r="C168" s="295">
        <v>45839</v>
      </c>
      <c r="D168" s="10" t="s">
        <v>233</v>
      </c>
      <c r="E168" s="10" t="s">
        <v>216</v>
      </c>
      <c r="F168" s="62">
        <v>12814</v>
      </c>
      <c r="G168" s="62">
        <v>39.700000000000003</v>
      </c>
      <c r="H168" s="62"/>
      <c r="I168" s="89">
        <f t="shared" si="36"/>
        <v>12774.3</v>
      </c>
      <c r="J168" s="63" t="s">
        <v>219</v>
      </c>
      <c r="K168" s="63">
        <v>1</v>
      </c>
      <c r="L168" s="63"/>
      <c r="M168" s="63"/>
      <c r="N168" s="63">
        <v>1</v>
      </c>
      <c r="O168" s="63"/>
      <c r="P168" s="63"/>
      <c r="Q168" s="63"/>
      <c r="R168" s="63"/>
      <c r="S168" s="296"/>
      <c r="T168" s="63"/>
      <c r="U168" s="10"/>
      <c r="V168" s="90"/>
      <c r="W168" s="136"/>
      <c r="X168" s="137"/>
    </row>
    <row r="169" spans="1:24">
      <c r="A169" s="2"/>
      <c r="B169" s="87">
        <f t="shared" si="37"/>
        <v>5</v>
      </c>
      <c r="C169" s="295">
        <v>45839</v>
      </c>
      <c r="D169" s="10">
        <v>71115</v>
      </c>
      <c r="E169" s="101" t="s">
        <v>271</v>
      </c>
      <c r="F169" s="62">
        <v>0</v>
      </c>
      <c r="G169" s="62"/>
      <c r="H169" s="62"/>
      <c r="I169" s="89">
        <f t="shared" si="36"/>
        <v>0</v>
      </c>
      <c r="J169" s="63" t="s">
        <v>205</v>
      </c>
      <c r="K169" s="63"/>
      <c r="L169" s="63"/>
      <c r="M169" s="63"/>
      <c r="N169" s="63"/>
      <c r="O169" s="63"/>
      <c r="P169" s="63"/>
      <c r="Q169" s="63"/>
      <c r="R169" s="63"/>
      <c r="S169" s="296"/>
      <c r="T169" s="63"/>
      <c r="U169" s="10"/>
      <c r="V169" s="90"/>
      <c r="W169" s="136"/>
      <c r="X169" s="137"/>
    </row>
    <row r="170" spans="1:24">
      <c r="A170" s="2"/>
      <c r="B170" s="87">
        <f t="shared" si="37"/>
        <v>6</v>
      </c>
      <c r="C170" s="274">
        <v>45840</v>
      </c>
      <c r="D170" s="276">
        <v>71143</v>
      </c>
      <c r="E170" s="281" t="s">
        <v>272</v>
      </c>
      <c r="F170" s="277">
        <v>616</v>
      </c>
      <c r="G170" s="277"/>
      <c r="H170" s="277"/>
      <c r="I170" s="278">
        <f t="shared" si="36"/>
        <v>616</v>
      </c>
      <c r="J170" s="279" t="s">
        <v>219</v>
      </c>
      <c r="K170" s="279">
        <v>1</v>
      </c>
      <c r="L170" s="279"/>
      <c r="M170" s="279"/>
      <c r="N170" s="279">
        <v>1</v>
      </c>
      <c r="O170" s="279"/>
      <c r="P170" s="279"/>
      <c r="Q170" s="279">
        <v>1</v>
      </c>
      <c r="R170" s="279">
        <v>1</v>
      </c>
      <c r="S170" s="280">
        <v>1</v>
      </c>
      <c r="T170" s="63"/>
      <c r="U170" s="10"/>
      <c r="V170" s="90"/>
      <c r="W170" s="136"/>
      <c r="X170" s="137"/>
    </row>
    <row r="171" spans="1:24">
      <c r="A171" s="2"/>
      <c r="B171" s="87">
        <f t="shared" si="37"/>
        <v>7</v>
      </c>
      <c r="C171" s="295">
        <v>45840</v>
      </c>
      <c r="D171" s="10">
        <v>71177</v>
      </c>
      <c r="E171" s="101" t="s">
        <v>239</v>
      </c>
      <c r="F171" s="62">
        <v>481</v>
      </c>
      <c r="G171" s="62"/>
      <c r="H171" s="62"/>
      <c r="I171" s="89">
        <f t="shared" si="36"/>
        <v>481</v>
      </c>
      <c r="J171" s="63" t="s">
        <v>219</v>
      </c>
      <c r="K171" s="63">
        <v>1</v>
      </c>
      <c r="L171" s="63"/>
      <c r="M171" s="63"/>
      <c r="N171" s="63">
        <v>1</v>
      </c>
      <c r="O171" s="63"/>
      <c r="P171" s="63"/>
      <c r="Q171" s="63">
        <v>1</v>
      </c>
      <c r="R171" s="63">
        <v>1</v>
      </c>
      <c r="S171" s="296">
        <v>1</v>
      </c>
      <c r="T171" s="63"/>
      <c r="U171" s="10"/>
      <c r="V171" s="90"/>
      <c r="W171" s="136"/>
      <c r="X171" s="137"/>
    </row>
    <row r="172" spans="1:24">
      <c r="A172" s="2"/>
      <c r="B172" s="87">
        <f t="shared" si="37"/>
        <v>8</v>
      </c>
      <c r="C172" s="274">
        <v>45841</v>
      </c>
      <c r="D172" s="276">
        <v>71167</v>
      </c>
      <c r="E172" s="281" t="s">
        <v>273</v>
      </c>
      <c r="F172" s="277">
        <v>1199</v>
      </c>
      <c r="G172" s="277">
        <v>39.700000000000003</v>
      </c>
      <c r="H172" s="277"/>
      <c r="I172" s="278">
        <f t="shared" si="36"/>
        <v>1159.3</v>
      </c>
      <c r="J172" s="279" t="s">
        <v>205</v>
      </c>
      <c r="K172" s="279">
        <v>1</v>
      </c>
      <c r="L172" s="279"/>
      <c r="M172" s="279"/>
      <c r="N172" s="279">
        <v>1</v>
      </c>
      <c r="O172" s="279"/>
      <c r="P172" s="279"/>
      <c r="Q172" s="279">
        <v>1</v>
      </c>
      <c r="R172" s="279">
        <v>1</v>
      </c>
      <c r="S172" s="280">
        <v>1</v>
      </c>
      <c r="T172" s="63"/>
      <c r="U172" s="10"/>
      <c r="V172" s="90"/>
      <c r="W172" s="136"/>
      <c r="X172" s="137"/>
    </row>
    <row r="173" spans="1:24">
      <c r="A173" s="2"/>
      <c r="B173" s="87">
        <f t="shared" si="37"/>
        <v>9</v>
      </c>
      <c r="C173" s="295">
        <v>45841</v>
      </c>
      <c r="D173" s="10">
        <v>71205</v>
      </c>
      <c r="E173" s="101" t="s">
        <v>274</v>
      </c>
      <c r="F173" s="62">
        <v>681</v>
      </c>
      <c r="G173" s="62"/>
      <c r="H173" s="62"/>
      <c r="I173" s="89">
        <f t="shared" si="36"/>
        <v>681</v>
      </c>
      <c r="J173" s="63" t="s">
        <v>205</v>
      </c>
      <c r="K173" s="63">
        <v>1</v>
      </c>
      <c r="L173" s="63"/>
      <c r="M173" s="63"/>
      <c r="N173" s="63">
        <v>1</v>
      </c>
      <c r="O173" s="63"/>
      <c r="P173" s="63"/>
      <c r="Q173" s="63">
        <v>1</v>
      </c>
      <c r="R173" s="63">
        <v>1</v>
      </c>
      <c r="S173" s="296">
        <v>1</v>
      </c>
      <c r="T173" s="63"/>
      <c r="U173" s="10"/>
      <c r="V173" s="90"/>
      <c r="W173" s="136"/>
      <c r="X173" s="137"/>
    </row>
    <row r="174" spans="1:24">
      <c r="A174" s="2"/>
      <c r="B174" s="87">
        <f t="shared" si="37"/>
        <v>10</v>
      </c>
      <c r="C174" s="274">
        <v>45842</v>
      </c>
      <c r="D174" s="276">
        <v>71240</v>
      </c>
      <c r="E174" s="281" t="s">
        <v>275</v>
      </c>
      <c r="F174" s="277">
        <v>9192.6</v>
      </c>
      <c r="G174" s="277">
        <v>39.700000000000003</v>
      </c>
      <c r="H174" s="277"/>
      <c r="I174" s="278">
        <f t="shared" si="36"/>
        <v>9152.9</v>
      </c>
      <c r="J174" s="279" t="s">
        <v>205</v>
      </c>
      <c r="K174" s="279">
        <v>1</v>
      </c>
      <c r="L174" s="279"/>
      <c r="M174" s="279"/>
      <c r="N174" s="279">
        <v>1</v>
      </c>
      <c r="O174" s="279"/>
      <c r="P174" s="279"/>
      <c r="Q174" s="279">
        <v>1</v>
      </c>
      <c r="R174" s="279">
        <v>1</v>
      </c>
      <c r="S174" s="280">
        <v>1</v>
      </c>
      <c r="T174" s="63"/>
      <c r="U174" s="10"/>
      <c r="V174" s="90"/>
      <c r="W174" s="136"/>
      <c r="X174" s="137"/>
    </row>
    <row r="175" spans="1:24">
      <c r="A175" s="2"/>
      <c r="B175" s="87">
        <f t="shared" si="37"/>
        <v>11</v>
      </c>
      <c r="C175" s="295">
        <v>45842</v>
      </c>
      <c r="D175" s="10">
        <v>71242</v>
      </c>
      <c r="E175" s="101" t="s">
        <v>155</v>
      </c>
      <c r="F175" s="62">
        <v>0</v>
      </c>
      <c r="G175" s="62"/>
      <c r="H175" s="62"/>
      <c r="I175" s="89">
        <f t="shared" si="36"/>
        <v>0</v>
      </c>
      <c r="J175" s="63" t="s">
        <v>219</v>
      </c>
      <c r="K175" s="63"/>
      <c r="L175" s="63"/>
      <c r="M175" s="63"/>
      <c r="N175" s="63"/>
      <c r="O175" s="63"/>
      <c r="P175" s="63"/>
      <c r="Q175" s="63"/>
      <c r="R175" s="63"/>
      <c r="S175" s="296"/>
      <c r="T175" s="63"/>
      <c r="U175" s="10" t="s">
        <v>276</v>
      </c>
      <c r="V175" s="90"/>
      <c r="W175" s="136"/>
      <c r="X175" s="137"/>
    </row>
    <row r="176" spans="1:24">
      <c r="A176" s="2"/>
      <c r="B176" s="87">
        <f t="shared" si="37"/>
        <v>12</v>
      </c>
      <c r="C176" s="282">
        <v>45842</v>
      </c>
      <c r="D176" s="283">
        <v>71249</v>
      </c>
      <c r="E176" s="283" t="s">
        <v>196</v>
      </c>
      <c r="F176" s="284">
        <v>0</v>
      </c>
      <c r="G176" s="284"/>
      <c r="H176" s="284"/>
      <c r="I176" s="285">
        <f t="shared" si="36"/>
        <v>0</v>
      </c>
      <c r="J176" s="286" t="s">
        <v>219</v>
      </c>
      <c r="K176" s="286">
        <v>1</v>
      </c>
      <c r="L176" s="286"/>
      <c r="M176" s="286"/>
      <c r="N176" s="286"/>
      <c r="O176" s="286"/>
      <c r="P176" s="286"/>
      <c r="Q176" s="286"/>
      <c r="R176" s="286"/>
      <c r="S176" s="287"/>
      <c r="T176" s="63"/>
      <c r="U176" s="10" t="s">
        <v>277</v>
      </c>
      <c r="V176" s="90"/>
      <c r="W176" s="136"/>
      <c r="X176" s="137"/>
    </row>
    <row r="177" spans="1:24">
      <c r="A177" s="2"/>
      <c r="B177" s="11"/>
      <c r="C177" s="36"/>
      <c r="D177" s="10"/>
      <c r="E177" s="10"/>
      <c r="F177" s="97">
        <f>SUM(F165:F176)</f>
        <v>27530.6</v>
      </c>
      <c r="G177" s="97">
        <f>SUM(G165:G176)</f>
        <v>198.5</v>
      </c>
      <c r="H177" s="97">
        <f>SUM(H165:H176)</f>
        <v>0</v>
      </c>
      <c r="I177" s="98">
        <f>SUM(I165:I176)</f>
        <v>27332.1</v>
      </c>
      <c r="J177" s="10"/>
      <c r="K177" s="10"/>
      <c r="L177" s="10"/>
      <c r="M177" s="10"/>
      <c r="N177" s="10"/>
      <c r="O177" s="10"/>
      <c r="P177" s="10"/>
      <c r="Q177" s="10"/>
      <c r="R177" s="10"/>
      <c r="S177" s="10"/>
      <c r="T177" s="63"/>
      <c r="U177" s="10"/>
      <c r="V177" s="138"/>
      <c r="W177" s="136"/>
      <c r="X177" s="137"/>
    </row>
    <row r="178" spans="1:24">
      <c r="A178" s="2"/>
      <c r="B178" s="11"/>
      <c r="C178" s="36"/>
      <c r="D178" s="10"/>
      <c r="E178" s="10"/>
      <c r="F178" s="88"/>
      <c r="G178" s="88"/>
      <c r="H178" s="88"/>
      <c r="I178" s="99"/>
      <c r="J178" s="10"/>
      <c r="K178" s="10"/>
      <c r="L178" s="10"/>
      <c r="M178" s="10"/>
      <c r="N178" s="10"/>
      <c r="O178" s="10"/>
      <c r="P178" s="10"/>
      <c r="Q178" s="10"/>
      <c r="R178" s="10"/>
      <c r="S178" s="10"/>
      <c r="T178" s="63"/>
      <c r="U178" s="10"/>
      <c r="V178" s="138"/>
      <c r="W178" s="136"/>
      <c r="X178" s="137"/>
    </row>
    <row r="179" spans="1:24">
      <c r="A179" s="2"/>
      <c r="B179" s="100" t="s">
        <v>73</v>
      </c>
      <c r="C179" s="36"/>
      <c r="D179" s="10"/>
      <c r="E179" s="10"/>
      <c r="F179" s="88"/>
      <c r="G179" s="88"/>
      <c r="H179" s="88"/>
      <c r="I179" s="99"/>
      <c r="J179" s="63"/>
      <c r="K179" s="63"/>
      <c r="L179" s="63"/>
      <c r="M179" s="63"/>
      <c r="N179" s="63"/>
      <c r="O179" s="63"/>
      <c r="P179" s="63"/>
      <c r="Q179" s="63"/>
      <c r="R179" s="63"/>
      <c r="S179" s="63"/>
      <c r="T179" s="63"/>
      <c r="U179" s="94"/>
      <c r="V179" s="90"/>
      <c r="W179" s="91"/>
      <c r="X179" s="92"/>
    </row>
    <row r="180" spans="1:24">
      <c r="A180" s="2"/>
      <c r="B180" s="87">
        <v>1</v>
      </c>
      <c r="C180" s="274">
        <v>45843</v>
      </c>
      <c r="D180" s="276">
        <v>71220</v>
      </c>
      <c r="E180" s="276" t="s">
        <v>278</v>
      </c>
      <c r="F180" s="277">
        <v>4014.9</v>
      </c>
      <c r="G180" s="277">
        <v>39.700000000000003</v>
      </c>
      <c r="H180" s="277"/>
      <c r="I180" s="278">
        <f t="shared" ref="I180:I181" si="38">F180-G180-H180</f>
        <v>3975.2000000000003</v>
      </c>
      <c r="J180" s="279" t="s">
        <v>219</v>
      </c>
      <c r="K180" s="279">
        <v>1</v>
      </c>
      <c r="L180" s="279"/>
      <c r="M180" s="279"/>
      <c r="N180" s="279">
        <v>1</v>
      </c>
      <c r="O180" s="279"/>
      <c r="P180" s="279"/>
      <c r="Q180" s="279">
        <v>1</v>
      </c>
      <c r="R180" s="279">
        <v>1</v>
      </c>
      <c r="S180" s="280">
        <v>1</v>
      </c>
      <c r="T180" s="63"/>
      <c r="U180" s="139"/>
      <c r="V180" s="90"/>
      <c r="W180" s="91"/>
      <c r="X180" s="92"/>
    </row>
    <row r="181" spans="1:24">
      <c r="A181" s="2"/>
      <c r="B181" s="87">
        <f>B180+1</f>
        <v>2</v>
      </c>
      <c r="C181" s="282">
        <v>45843</v>
      </c>
      <c r="D181" s="283">
        <v>71249</v>
      </c>
      <c r="E181" s="283" t="s">
        <v>196</v>
      </c>
      <c r="F181" s="284">
        <v>0</v>
      </c>
      <c r="G181" s="284"/>
      <c r="H181" s="284"/>
      <c r="I181" s="285">
        <f t="shared" si="38"/>
        <v>0</v>
      </c>
      <c r="J181" s="286" t="s">
        <v>205</v>
      </c>
      <c r="K181" s="286"/>
      <c r="L181" s="286"/>
      <c r="M181" s="286"/>
      <c r="N181" s="286"/>
      <c r="O181" s="286"/>
      <c r="P181" s="286"/>
      <c r="Q181" s="286"/>
      <c r="R181" s="286"/>
      <c r="S181" s="287"/>
      <c r="T181" s="63"/>
      <c r="U181" s="94" t="s">
        <v>279</v>
      </c>
      <c r="V181" s="90"/>
      <c r="W181" s="136"/>
      <c r="X181" s="137"/>
    </row>
    <row r="182" spans="1:24">
      <c r="A182" s="2"/>
      <c r="B182" s="11"/>
      <c r="C182" s="36"/>
      <c r="D182" s="10"/>
      <c r="E182" s="10"/>
      <c r="F182" s="97">
        <f>SUM(F180:F181)</f>
        <v>4014.9</v>
      </c>
      <c r="G182" s="97">
        <f>SUM(G180:G181)</f>
        <v>39.700000000000003</v>
      </c>
      <c r="H182" s="97">
        <f>SUM(H180:H181)</f>
        <v>0</v>
      </c>
      <c r="I182" s="98">
        <f>SUM(I180:I181)</f>
        <v>3975.2000000000003</v>
      </c>
      <c r="J182" s="10"/>
      <c r="K182" s="10"/>
      <c r="L182" s="10"/>
      <c r="M182" s="10"/>
      <c r="N182" s="10"/>
      <c r="O182" s="10"/>
      <c r="P182" s="10"/>
      <c r="Q182" s="10"/>
      <c r="R182" s="10"/>
      <c r="S182" s="10"/>
      <c r="T182" s="63"/>
      <c r="U182" s="94"/>
      <c r="V182" s="90"/>
      <c r="W182" s="91"/>
      <c r="X182" s="92"/>
    </row>
    <row r="183" spans="1:24">
      <c r="A183" s="2"/>
      <c r="B183" s="26"/>
      <c r="C183" s="140"/>
      <c r="D183" s="141"/>
      <c r="E183" s="141"/>
      <c r="F183" s="141"/>
      <c r="G183" s="141"/>
      <c r="H183" s="141"/>
      <c r="I183" s="141"/>
      <c r="J183" s="141"/>
      <c r="K183" s="142"/>
      <c r="L183" s="142"/>
      <c r="M183" s="142"/>
      <c r="N183" s="142"/>
      <c r="O183" s="142"/>
      <c r="P183" s="142"/>
      <c r="Q183" s="142"/>
      <c r="R183" s="142"/>
      <c r="S183" s="142"/>
      <c r="T183" s="143">
        <f>SUM(T111:T182)</f>
        <v>0</v>
      </c>
      <c r="U183" s="141"/>
      <c r="V183" s="144">
        <f>SUM(V111:V182)</f>
        <v>37866.92</v>
      </c>
      <c r="W183" s="144">
        <f>SUM(W111:W182)</f>
        <v>300</v>
      </c>
      <c r="X183" s="144">
        <f>SUM(X111:X182)</f>
        <v>219.33</v>
      </c>
    </row>
    <row r="186" spans="1:24">
      <c r="A186" s="3"/>
      <c r="B186" s="4" t="s">
        <v>1</v>
      </c>
      <c r="C186" s="5"/>
      <c r="D186" s="6"/>
      <c r="E186" s="6"/>
      <c r="F186" s="7" t="s">
        <v>2</v>
      </c>
      <c r="G186" s="8">
        <v>45851</v>
      </c>
      <c r="H186" s="7"/>
      <c r="I186" s="6"/>
      <c r="J186" s="6"/>
      <c r="K186" s="6"/>
      <c r="L186" s="6"/>
      <c r="M186" s="6"/>
      <c r="N186" s="6"/>
      <c r="O186" s="6"/>
      <c r="P186" s="6"/>
      <c r="Q186" s="6"/>
      <c r="R186" s="6"/>
      <c r="S186" s="6"/>
      <c r="T186" s="6"/>
      <c r="U186" s="9"/>
      <c r="V186" s="10"/>
      <c r="W186" s="10"/>
      <c r="X186" s="10"/>
    </row>
    <row r="187" spans="1:24">
      <c r="A187" s="2"/>
      <c r="B187" s="11"/>
      <c r="C187" s="10"/>
      <c r="D187" s="10"/>
      <c r="E187" s="10"/>
      <c r="F187" s="10"/>
      <c r="G187" s="7"/>
      <c r="H187" s="12"/>
      <c r="I187" s="10"/>
      <c r="J187" s="10"/>
      <c r="K187" s="13" t="s">
        <v>3</v>
      </c>
      <c r="L187" s="14"/>
      <c r="M187" s="15"/>
      <c r="N187" s="13" t="s">
        <v>4</v>
      </c>
      <c r="O187" s="14"/>
      <c r="P187" s="15"/>
      <c r="Q187" s="13" t="s">
        <v>5</v>
      </c>
      <c r="R187" s="14"/>
      <c r="S187" s="15"/>
      <c r="T187" s="16"/>
      <c r="U187" s="17"/>
      <c r="V187" s="10"/>
      <c r="W187" s="10"/>
      <c r="X187" s="10"/>
    </row>
    <row r="188" spans="1:24">
      <c r="A188" s="2"/>
      <c r="B188" s="18" t="s">
        <v>6</v>
      </c>
      <c r="C188" s="19">
        <f>C189+C190</f>
        <v>35</v>
      </c>
      <c r="D188" s="10"/>
      <c r="E188" s="18" t="s">
        <v>7</v>
      </c>
      <c r="F188" s="6"/>
      <c r="G188" s="9"/>
      <c r="H188" s="10"/>
      <c r="I188" s="10"/>
      <c r="J188" s="10"/>
      <c r="K188" s="20" t="s">
        <v>8</v>
      </c>
      <c r="L188" s="21" t="s">
        <v>9</v>
      </c>
      <c r="M188" s="21" t="s">
        <v>10</v>
      </c>
      <c r="N188" s="20" t="s">
        <v>11</v>
      </c>
      <c r="O188" s="21" t="s">
        <v>12</v>
      </c>
      <c r="P188" s="22" t="s">
        <v>13</v>
      </c>
      <c r="Q188" s="21" t="s">
        <v>11</v>
      </c>
      <c r="R188" s="21" t="s">
        <v>12</v>
      </c>
      <c r="S188" s="22" t="s">
        <v>13</v>
      </c>
      <c r="T188" s="23" t="s">
        <v>14</v>
      </c>
      <c r="U188" s="17"/>
      <c r="V188" s="10"/>
      <c r="W188" s="10"/>
      <c r="X188" s="10"/>
    </row>
    <row r="189" spans="1:24">
      <c r="A189" s="2"/>
      <c r="B189" s="24" t="s">
        <v>15</v>
      </c>
      <c r="C189" s="25">
        <f>P196</f>
        <v>15</v>
      </c>
      <c r="D189" s="10"/>
      <c r="E189" s="26" t="s">
        <v>16</v>
      </c>
      <c r="F189" s="27">
        <v>0.05</v>
      </c>
      <c r="G189" s="28"/>
      <c r="H189" s="10"/>
      <c r="I189" s="10"/>
      <c r="J189" s="18" t="s">
        <v>17</v>
      </c>
      <c r="K189" s="29">
        <f>K227</f>
        <v>13</v>
      </c>
      <c r="L189" s="29">
        <f t="shared" ref="L189:S189" si="39">L227</f>
        <v>11</v>
      </c>
      <c r="M189" s="29">
        <f t="shared" si="39"/>
        <v>10</v>
      </c>
      <c r="N189" s="29">
        <f t="shared" si="39"/>
        <v>13</v>
      </c>
      <c r="O189" s="29">
        <f t="shared" si="39"/>
        <v>13</v>
      </c>
      <c r="P189" s="29">
        <f t="shared" si="39"/>
        <v>10</v>
      </c>
      <c r="Q189" s="29">
        <f t="shared" si="39"/>
        <v>13</v>
      </c>
      <c r="R189" s="29">
        <f t="shared" si="39"/>
        <v>13</v>
      </c>
      <c r="S189" s="29">
        <f t="shared" si="39"/>
        <v>13</v>
      </c>
      <c r="T189" s="30">
        <f ca="1">T291</f>
        <v>0</v>
      </c>
      <c r="U189" s="17"/>
      <c r="V189" s="10"/>
      <c r="W189" s="10"/>
      <c r="X189" s="10"/>
    </row>
    <row r="190" spans="1:24">
      <c r="A190" s="2"/>
      <c r="B190" s="24" t="s">
        <v>18</v>
      </c>
      <c r="C190" s="25">
        <f>P197</f>
        <v>20</v>
      </c>
      <c r="D190" s="10"/>
      <c r="E190" s="10"/>
      <c r="F190" s="10"/>
      <c r="G190" s="31"/>
      <c r="H190" s="10"/>
      <c r="I190" s="10"/>
      <c r="J190" s="32" t="s">
        <v>19</v>
      </c>
      <c r="K190" s="33">
        <f>K227/K226</f>
        <v>1</v>
      </c>
      <c r="L190" s="33">
        <f t="shared" ref="L190:S190" si="40">L227/L226</f>
        <v>0.84615384615384615</v>
      </c>
      <c r="M190" s="33">
        <f t="shared" si="40"/>
        <v>0.76923076923076927</v>
      </c>
      <c r="N190" s="33">
        <f t="shared" si="40"/>
        <v>1</v>
      </c>
      <c r="O190" s="33">
        <f t="shared" si="40"/>
        <v>1</v>
      </c>
      <c r="P190" s="33">
        <f t="shared" si="40"/>
        <v>0.76923076923076927</v>
      </c>
      <c r="Q190" s="33">
        <f t="shared" si="40"/>
        <v>1</v>
      </c>
      <c r="R190" s="33">
        <f t="shared" si="40"/>
        <v>1</v>
      </c>
      <c r="S190" s="33">
        <f t="shared" si="40"/>
        <v>1</v>
      </c>
      <c r="T190" s="23"/>
      <c r="U190" s="17" t="s">
        <v>20</v>
      </c>
      <c r="V190" s="10"/>
      <c r="W190" s="10"/>
      <c r="X190" s="10"/>
    </row>
    <row r="191" spans="1:24">
      <c r="A191" s="2"/>
      <c r="B191" s="24" t="s">
        <v>21</v>
      </c>
      <c r="C191" s="34">
        <f>P198</f>
        <v>0.42857142857142855</v>
      </c>
      <c r="D191" s="10"/>
      <c r="E191" s="10"/>
      <c r="F191" s="10"/>
      <c r="G191" s="10"/>
      <c r="H191" s="10"/>
      <c r="I191" s="10"/>
      <c r="J191" s="10"/>
      <c r="K191" s="10"/>
      <c r="L191" s="10"/>
      <c r="M191" s="10"/>
      <c r="N191" s="10"/>
      <c r="O191" s="10"/>
      <c r="P191" s="10"/>
      <c r="Q191" s="10"/>
      <c r="R191" s="10"/>
      <c r="S191" s="10"/>
      <c r="T191" s="10"/>
      <c r="U191" s="17"/>
      <c r="V191" s="10"/>
      <c r="W191" s="10"/>
      <c r="X191" s="10"/>
    </row>
    <row r="192" spans="1:24">
      <c r="A192" s="2"/>
      <c r="B192" s="24"/>
      <c r="C192" s="25"/>
      <c r="D192" s="10"/>
      <c r="E192" s="10"/>
      <c r="F192" s="18" t="s">
        <v>22</v>
      </c>
      <c r="G192" s="19" t="s">
        <v>23</v>
      </c>
      <c r="H192" s="35" t="s">
        <v>24</v>
      </c>
      <c r="I192" s="10"/>
      <c r="J192" s="10"/>
      <c r="K192" s="36"/>
      <c r="L192" s="36"/>
      <c r="M192" s="36"/>
      <c r="N192" s="36"/>
      <c r="O192" s="36"/>
      <c r="P192" s="36"/>
      <c r="Q192" s="36"/>
      <c r="R192" s="10"/>
      <c r="S192" s="10"/>
      <c r="T192" s="10"/>
      <c r="U192" s="17"/>
      <c r="V192" s="10"/>
      <c r="W192" s="10"/>
      <c r="X192" s="10"/>
    </row>
    <row r="193" spans="1:24">
      <c r="A193" s="2"/>
      <c r="B193" s="32" t="s">
        <v>25</v>
      </c>
      <c r="C193" s="37">
        <f>P199</f>
        <v>1789.4700000000003</v>
      </c>
      <c r="D193" s="10"/>
      <c r="E193" s="18" t="s">
        <v>26</v>
      </c>
      <c r="F193" s="38">
        <f>P195</f>
        <v>26842.050000000003</v>
      </c>
      <c r="G193" s="39">
        <f>I226+I243+I247</f>
        <v>26842.05</v>
      </c>
      <c r="H193" s="40"/>
      <c r="I193" s="41"/>
      <c r="J193" s="42"/>
      <c r="K193" s="43" t="s">
        <v>27</v>
      </c>
      <c r="L193" s="44"/>
      <c r="M193" s="44"/>
      <c r="N193" s="44"/>
      <c r="O193" s="44"/>
      <c r="P193" s="44"/>
      <c r="Q193" s="45"/>
      <c r="R193" s="46" t="s">
        <v>28</v>
      </c>
      <c r="S193" s="47" t="s">
        <v>29</v>
      </c>
      <c r="T193" s="10"/>
      <c r="U193" s="17"/>
      <c r="V193" s="10"/>
      <c r="W193" s="10"/>
      <c r="X193" s="10"/>
    </row>
    <row r="194" spans="1:24">
      <c r="A194" s="2"/>
      <c r="B194" s="11"/>
      <c r="C194" s="10"/>
      <c r="D194" s="10"/>
      <c r="E194" s="24" t="s">
        <v>30</v>
      </c>
      <c r="F194" s="48">
        <f>F189</f>
        <v>0.05</v>
      </c>
      <c r="G194" s="17"/>
      <c r="H194" s="40"/>
      <c r="I194" s="41"/>
      <c r="J194" s="42"/>
      <c r="K194" s="20" t="s">
        <v>31</v>
      </c>
      <c r="L194" s="21" t="s">
        <v>32</v>
      </c>
      <c r="M194" s="21" t="s">
        <v>33</v>
      </c>
      <c r="N194" s="21" t="s">
        <v>34</v>
      </c>
      <c r="O194" s="21" t="s">
        <v>35</v>
      </c>
      <c r="P194" s="21" t="s">
        <v>36</v>
      </c>
      <c r="Q194" s="49" t="s">
        <v>37</v>
      </c>
      <c r="R194" s="50" t="s">
        <v>38</v>
      </c>
      <c r="S194" s="50" t="s">
        <v>38</v>
      </c>
      <c r="T194" s="10"/>
      <c r="U194" s="17"/>
      <c r="V194" s="10"/>
      <c r="W194" s="10"/>
      <c r="X194" s="10"/>
    </row>
    <row r="195" spans="1:24">
      <c r="A195" s="2"/>
      <c r="B195" s="11"/>
      <c r="C195" s="10"/>
      <c r="D195" s="10"/>
      <c r="E195" s="51" t="s">
        <v>39</v>
      </c>
      <c r="F195" s="52">
        <f>(F193-I242-I246)*F194</f>
        <v>939.21300000000019</v>
      </c>
      <c r="G195" s="53" t="s">
        <v>40</v>
      </c>
      <c r="H195" s="54">
        <f>F195/1.12</f>
        <v>838.58303571428576</v>
      </c>
      <c r="I195" s="55"/>
      <c r="J195" s="42"/>
      <c r="K195" s="56">
        <f>I213+I214+I215</f>
        <v>2719.58</v>
      </c>
      <c r="L195" s="57">
        <f>I216</f>
        <v>474.48</v>
      </c>
      <c r="M195" s="57">
        <f>I217+I219+I218+I246</f>
        <v>7489.4700000000012</v>
      </c>
      <c r="N195" s="57">
        <f>I221+I220</f>
        <v>2319.6</v>
      </c>
      <c r="O195" s="57">
        <f>I222+I223+I224+I242+I225</f>
        <v>13838.92</v>
      </c>
      <c r="P195" s="57">
        <f>SUM(K195:O195)</f>
        <v>26842.050000000003</v>
      </c>
      <c r="Q195" s="58">
        <f>I230+I231+I232</f>
        <v>3666.8999999999996</v>
      </c>
      <c r="R195" s="59">
        <f>I243+I247</f>
        <v>8057.7900000000009</v>
      </c>
      <c r="S195" s="59"/>
      <c r="T195" s="10"/>
      <c r="U195" s="17"/>
      <c r="V195" s="10"/>
      <c r="W195" s="10"/>
      <c r="X195" s="10"/>
    </row>
    <row r="196" spans="1:24">
      <c r="A196" s="2"/>
      <c r="B196" s="11"/>
      <c r="C196" s="10"/>
      <c r="D196" s="10"/>
      <c r="E196" s="24" t="s">
        <v>41</v>
      </c>
      <c r="F196" s="60">
        <f>Q195</f>
        <v>3666.8999999999996</v>
      </c>
      <c r="G196" s="61" t="s">
        <v>40</v>
      </c>
      <c r="H196" s="62"/>
      <c r="I196" s="384" t="s">
        <v>280</v>
      </c>
      <c r="J196" s="10" t="s">
        <v>42</v>
      </c>
      <c r="K196" s="63">
        <v>3</v>
      </c>
      <c r="L196" s="63">
        <v>1</v>
      </c>
      <c r="M196" s="63">
        <v>4</v>
      </c>
      <c r="N196" s="63">
        <v>2</v>
      </c>
      <c r="O196" s="63">
        <v>5</v>
      </c>
      <c r="P196" s="21">
        <f>SUM(K196:O196)</f>
        <v>15</v>
      </c>
      <c r="Q196" s="64">
        <v>3</v>
      </c>
      <c r="R196" s="63"/>
      <c r="S196" s="10"/>
      <c r="T196" s="10"/>
      <c r="U196" s="17"/>
      <c r="V196" s="10"/>
      <c r="W196" s="10"/>
      <c r="X196" s="10"/>
    </row>
    <row r="197" spans="1:24">
      <c r="A197" s="2"/>
      <c r="B197" s="11"/>
      <c r="C197" s="10"/>
      <c r="D197" s="10"/>
      <c r="E197" s="51" t="s">
        <v>43</v>
      </c>
      <c r="F197" s="52">
        <f>F196*0.25</f>
        <v>916.72499999999991</v>
      </c>
      <c r="G197" s="53" t="s">
        <v>40</v>
      </c>
      <c r="H197" s="54">
        <f>F197/1.12</f>
        <v>818.50446428571411</v>
      </c>
      <c r="I197" s="385">
        <f>6*67.5</f>
        <v>405</v>
      </c>
      <c r="J197" s="10" t="s">
        <v>44</v>
      </c>
      <c r="K197" s="63">
        <v>1</v>
      </c>
      <c r="L197" s="63">
        <v>3</v>
      </c>
      <c r="M197" s="63">
        <v>7</v>
      </c>
      <c r="N197" s="63">
        <v>5</v>
      </c>
      <c r="O197" s="63">
        <v>4</v>
      </c>
      <c r="P197" s="21">
        <f>SUM(K197:O197)</f>
        <v>20</v>
      </c>
      <c r="Q197" s="64">
        <v>2</v>
      </c>
      <c r="R197" s="63"/>
      <c r="S197" s="10"/>
      <c r="T197" s="10"/>
      <c r="U197" s="17"/>
      <c r="V197" s="10"/>
      <c r="W197" s="10"/>
      <c r="X197" s="10"/>
    </row>
    <row r="198" spans="1:24">
      <c r="A198" s="2"/>
      <c r="B198" s="11"/>
      <c r="C198" s="10"/>
      <c r="D198" s="10"/>
      <c r="E198" s="24" t="s">
        <v>45</v>
      </c>
      <c r="F198" s="60">
        <f>I239</f>
        <v>6885.6500000000005</v>
      </c>
      <c r="G198" s="61" t="s">
        <v>40</v>
      </c>
      <c r="H198" s="62"/>
      <c r="I198" s="10"/>
      <c r="J198" s="10" t="s">
        <v>46</v>
      </c>
      <c r="K198" s="31">
        <f t="shared" ref="K198:Q198" si="41">K196/(K196+K197)</f>
        <v>0.75</v>
      </c>
      <c r="L198" s="31">
        <f t="shared" si="41"/>
        <v>0.25</v>
      </c>
      <c r="M198" s="31">
        <f t="shared" si="41"/>
        <v>0.36363636363636365</v>
      </c>
      <c r="N198" s="31">
        <f t="shared" si="41"/>
        <v>0.2857142857142857</v>
      </c>
      <c r="O198" s="31">
        <f t="shared" si="41"/>
        <v>0.55555555555555558</v>
      </c>
      <c r="P198" s="31">
        <f t="shared" si="41"/>
        <v>0.42857142857142855</v>
      </c>
      <c r="Q198" s="31">
        <f t="shared" si="41"/>
        <v>0.6</v>
      </c>
      <c r="R198" s="63"/>
      <c r="S198" s="10"/>
      <c r="T198" s="10"/>
      <c r="U198" s="17"/>
      <c r="V198" s="10"/>
      <c r="W198" s="10"/>
      <c r="X198" s="10"/>
    </row>
    <row r="199" spans="1:24">
      <c r="A199" s="2"/>
      <c r="B199" s="11"/>
      <c r="C199" s="10"/>
      <c r="D199" s="10"/>
      <c r="E199" s="51" t="s">
        <v>47</v>
      </c>
      <c r="F199" s="52">
        <f>(F198+F202+F203+F204+F205)*0.05</f>
        <v>324.90350000000007</v>
      </c>
      <c r="G199" s="65" t="s">
        <v>40</v>
      </c>
      <c r="H199" s="54">
        <f>F199/1.12</f>
        <v>290.09241071428573</v>
      </c>
      <c r="I199" s="42"/>
      <c r="J199" s="10" t="s">
        <v>48</v>
      </c>
      <c r="K199" s="66">
        <f>K195/K196</f>
        <v>906.52666666666664</v>
      </c>
      <c r="L199" s="66">
        <f t="shared" ref="L199:Q199" si="42">L195/L196</f>
        <v>474.48</v>
      </c>
      <c r="M199" s="66">
        <f t="shared" si="42"/>
        <v>1872.3675000000003</v>
      </c>
      <c r="N199" s="66">
        <f t="shared" si="42"/>
        <v>1159.8</v>
      </c>
      <c r="O199" s="66">
        <f t="shared" si="42"/>
        <v>2767.7840000000001</v>
      </c>
      <c r="P199" s="66">
        <f t="shared" si="42"/>
        <v>1789.4700000000003</v>
      </c>
      <c r="Q199" s="66">
        <f t="shared" si="42"/>
        <v>1222.3</v>
      </c>
      <c r="R199" s="63"/>
      <c r="S199" s="10"/>
      <c r="T199" s="10"/>
      <c r="U199" s="17"/>
      <c r="V199" s="10"/>
      <c r="W199" s="10"/>
      <c r="X199" s="10"/>
    </row>
    <row r="200" spans="1:24">
      <c r="A200" s="2"/>
      <c r="B200" s="11"/>
      <c r="C200" s="10"/>
      <c r="D200" s="10"/>
      <c r="E200" s="67" t="s">
        <v>14</v>
      </c>
      <c r="F200" s="68">
        <f>1*50</f>
        <v>50</v>
      </c>
      <c r="G200" s="10"/>
      <c r="H200" s="54">
        <f>F200/1.12</f>
        <v>44.642857142857139</v>
      </c>
      <c r="I200" s="10"/>
      <c r="J200" s="10"/>
      <c r="K200" s="10"/>
      <c r="L200" s="10"/>
      <c r="M200" s="10"/>
      <c r="N200" s="10"/>
      <c r="O200" s="10"/>
      <c r="P200" s="10"/>
      <c r="Q200" s="10"/>
      <c r="R200" s="10"/>
      <c r="S200" s="10"/>
      <c r="T200" s="10"/>
      <c r="U200" s="17"/>
      <c r="V200" s="10"/>
      <c r="W200" s="10"/>
      <c r="X200" s="10"/>
    </row>
    <row r="201" spans="1:24">
      <c r="A201" s="2"/>
      <c r="B201" s="11"/>
      <c r="C201" s="10"/>
      <c r="D201" s="10"/>
      <c r="E201" s="67" t="s">
        <v>49</v>
      </c>
      <c r="F201" s="69">
        <f>T190</f>
        <v>0</v>
      </c>
      <c r="G201" s="10"/>
      <c r="H201" s="54"/>
      <c r="I201" s="55"/>
      <c r="J201" s="42"/>
      <c r="K201" s="764" t="s">
        <v>50</v>
      </c>
      <c r="L201" s="765"/>
      <c r="M201" s="765"/>
      <c r="N201" s="765"/>
      <c r="O201" s="765"/>
      <c r="P201" s="765"/>
      <c r="Q201" s="766"/>
      <c r="R201" s="70" t="s">
        <v>28</v>
      </c>
      <c r="S201" s="71" t="s">
        <v>29</v>
      </c>
      <c r="T201" s="10"/>
      <c r="U201" s="17"/>
      <c r="V201" s="10"/>
      <c r="W201" s="10"/>
      <c r="X201" s="10"/>
    </row>
    <row r="202" spans="1:24">
      <c r="A202" s="2"/>
      <c r="B202" s="11"/>
      <c r="C202" s="10"/>
      <c r="D202" s="10"/>
      <c r="E202" s="72" t="s">
        <v>281</v>
      </c>
      <c r="F202" s="73">
        <v>-8</v>
      </c>
      <c r="G202" s="10"/>
      <c r="H202" s="10"/>
      <c r="I202" s="10"/>
      <c r="J202" s="42"/>
      <c r="K202" s="20" t="s">
        <v>31</v>
      </c>
      <c r="L202" s="21" t="s">
        <v>32</v>
      </c>
      <c r="M202" s="21" t="s">
        <v>33</v>
      </c>
      <c r="N202" s="21" t="s">
        <v>34</v>
      </c>
      <c r="O202" s="21" t="s">
        <v>35</v>
      </c>
      <c r="P202" s="21" t="s">
        <v>36</v>
      </c>
      <c r="Q202" s="49" t="s">
        <v>37</v>
      </c>
      <c r="R202" s="50" t="s">
        <v>38</v>
      </c>
      <c r="S202" s="50" t="s">
        <v>38</v>
      </c>
      <c r="T202" s="10"/>
      <c r="U202" s="17"/>
      <c r="V202" s="10"/>
      <c r="W202" s="10"/>
      <c r="X202" s="10"/>
    </row>
    <row r="203" spans="1:24">
      <c r="A203" s="2"/>
      <c r="B203" s="11"/>
      <c r="C203" s="10"/>
      <c r="D203" s="10"/>
      <c r="E203" s="72" t="s">
        <v>282</v>
      </c>
      <c r="F203" s="73">
        <v>-33.86</v>
      </c>
      <c r="G203" s="10"/>
      <c r="H203" s="10"/>
      <c r="I203" s="10"/>
      <c r="J203" s="42"/>
      <c r="K203" s="56">
        <f>F213+F214+F215</f>
        <v>3003</v>
      </c>
      <c r="L203" s="57">
        <f>F216</f>
        <v>481</v>
      </c>
      <c r="M203" s="57">
        <f>F217+F219+F218+F246</f>
        <v>8094</v>
      </c>
      <c r="N203" s="57">
        <f>F221+F220</f>
        <v>2399</v>
      </c>
      <c r="O203" s="57">
        <f>F222+F223+F224+F242+F225</f>
        <v>15264</v>
      </c>
      <c r="P203" s="57">
        <f>SUM(K203:O203)</f>
        <v>29241</v>
      </c>
      <c r="Q203" s="58">
        <f>F230+F231+F232</f>
        <v>3786</v>
      </c>
      <c r="R203" s="59">
        <f>F243+F247</f>
        <v>9043</v>
      </c>
      <c r="S203" s="59"/>
      <c r="T203" s="10"/>
      <c r="U203" s="17"/>
      <c r="V203" s="10"/>
      <c r="W203" s="10"/>
      <c r="X203" s="10"/>
    </row>
    <row r="204" spans="1:24">
      <c r="A204" s="2"/>
      <c r="B204" s="11"/>
      <c r="C204" s="10"/>
      <c r="D204" s="10"/>
      <c r="E204" s="455" t="s">
        <v>283</v>
      </c>
      <c r="F204" s="75">
        <v>-256.72000000000003</v>
      </c>
      <c r="G204" s="10"/>
      <c r="H204" s="10"/>
      <c r="I204" s="10"/>
      <c r="J204" s="10" t="s">
        <v>42</v>
      </c>
      <c r="K204" s="63">
        <f>K196</f>
        <v>3</v>
      </c>
      <c r="L204" s="63">
        <f t="shared" ref="L204:Q205" si="43">L196</f>
        <v>1</v>
      </c>
      <c r="M204" s="63">
        <f t="shared" si="43"/>
        <v>4</v>
      </c>
      <c r="N204" s="63">
        <f t="shared" si="43"/>
        <v>2</v>
      </c>
      <c r="O204" s="63">
        <f t="shared" si="43"/>
        <v>5</v>
      </c>
      <c r="P204" s="63">
        <f t="shared" si="43"/>
        <v>15</v>
      </c>
      <c r="Q204" s="63">
        <f t="shared" si="43"/>
        <v>3</v>
      </c>
      <c r="R204" s="63"/>
      <c r="S204" s="10"/>
      <c r="T204" s="10"/>
      <c r="U204" s="17"/>
      <c r="V204" s="10"/>
      <c r="W204" s="10"/>
      <c r="X204" s="10"/>
    </row>
    <row r="205" spans="1:24">
      <c r="A205" s="2"/>
      <c r="B205" s="11"/>
      <c r="C205" s="10"/>
      <c r="D205" s="10"/>
      <c r="E205" s="455" t="s">
        <v>284</v>
      </c>
      <c r="F205" s="75">
        <f>-89</f>
        <v>-89</v>
      </c>
      <c r="G205" s="10"/>
      <c r="H205" s="10"/>
      <c r="I205" s="10"/>
      <c r="J205" s="10" t="s">
        <v>44</v>
      </c>
      <c r="K205" s="63">
        <f>K197</f>
        <v>1</v>
      </c>
      <c r="L205" s="63">
        <f t="shared" si="43"/>
        <v>3</v>
      </c>
      <c r="M205" s="63">
        <f t="shared" si="43"/>
        <v>7</v>
      </c>
      <c r="N205" s="63">
        <f t="shared" si="43"/>
        <v>5</v>
      </c>
      <c r="O205" s="63">
        <f t="shared" si="43"/>
        <v>4</v>
      </c>
      <c r="P205" s="63">
        <f t="shared" si="43"/>
        <v>20</v>
      </c>
      <c r="Q205" s="63">
        <f t="shared" si="43"/>
        <v>2</v>
      </c>
      <c r="R205" s="63"/>
      <c r="S205" s="10"/>
      <c r="T205" s="10"/>
      <c r="U205" s="17"/>
      <c r="V205" s="10"/>
      <c r="W205" s="10"/>
      <c r="X205" s="10"/>
    </row>
    <row r="206" spans="1:24">
      <c r="A206" s="2"/>
      <c r="B206" s="11"/>
      <c r="C206" s="10"/>
      <c r="D206" s="10"/>
      <c r="E206" s="155" t="s">
        <v>285</v>
      </c>
      <c r="F206" s="156">
        <f>180</f>
        <v>180</v>
      </c>
      <c r="G206" s="10"/>
      <c r="H206" s="10"/>
      <c r="I206" s="10"/>
      <c r="J206" s="10" t="s">
        <v>46</v>
      </c>
      <c r="K206" s="31">
        <f t="shared" ref="K206:Q206" si="44">K204/(K204+K205)</f>
        <v>0.75</v>
      </c>
      <c r="L206" s="31">
        <f t="shared" si="44"/>
        <v>0.25</v>
      </c>
      <c r="M206" s="31">
        <f t="shared" si="44"/>
        <v>0.36363636363636365</v>
      </c>
      <c r="N206" s="31">
        <f t="shared" si="44"/>
        <v>0.2857142857142857</v>
      </c>
      <c r="O206" s="31">
        <f t="shared" si="44"/>
        <v>0.55555555555555558</v>
      </c>
      <c r="P206" s="31">
        <f t="shared" si="44"/>
        <v>0.42857142857142855</v>
      </c>
      <c r="Q206" s="31">
        <f t="shared" si="44"/>
        <v>0.6</v>
      </c>
      <c r="R206" s="63"/>
      <c r="S206" s="10"/>
      <c r="T206" s="10"/>
      <c r="U206" s="17"/>
      <c r="V206" s="10"/>
      <c r="W206" s="10"/>
      <c r="X206" s="10"/>
    </row>
    <row r="207" spans="1:24">
      <c r="A207" s="2"/>
      <c r="B207" s="11"/>
      <c r="C207" s="10"/>
      <c r="D207" s="10"/>
      <c r="E207" s="10"/>
      <c r="F207" s="10"/>
      <c r="G207" s="10"/>
      <c r="H207" s="10"/>
      <c r="I207" s="10"/>
      <c r="J207" s="10" t="s">
        <v>48</v>
      </c>
      <c r="K207" s="66">
        <f t="shared" ref="K207:Q207" si="45">K203/K204</f>
        <v>1001</v>
      </c>
      <c r="L207" s="66">
        <f t="shared" si="45"/>
        <v>481</v>
      </c>
      <c r="M207" s="66">
        <f t="shared" si="45"/>
        <v>2023.5</v>
      </c>
      <c r="N207" s="66">
        <f t="shared" si="45"/>
        <v>1199.5</v>
      </c>
      <c r="O207" s="66">
        <f t="shared" si="45"/>
        <v>3052.8</v>
      </c>
      <c r="P207" s="66">
        <f t="shared" si="45"/>
        <v>1949.4</v>
      </c>
      <c r="Q207" s="66">
        <f t="shared" si="45"/>
        <v>1262</v>
      </c>
      <c r="R207" s="63"/>
      <c r="S207" s="10"/>
      <c r="T207" s="10"/>
      <c r="U207" s="17"/>
      <c r="V207" s="10"/>
      <c r="W207" s="10"/>
      <c r="X207" s="10"/>
    </row>
    <row r="208" spans="1:24">
      <c r="A208" s="2"/>
      <c r="B208" s="11"/>
      <c r="C208" s="10"/>
      <c r="D208" s="10"/>
      <c r="E208" s="10"/>
      <c r="F208" s="10"/>
      <c r="G208" s="10"/>
      <c r="H208" s="10"/>
      <c r="I208" s="10"/>
      <c r="J208" s="10"/>
      <c r="K208" s="10"/>
      <c r="L208" s="10"/>
      <c r="M208" s="10"/>
      <c r="N208" s="10"/>
      <c r="O208" s="10"/>
      <c r="P208" s="10"/>
      <c r="Q208" s="10"/>
      <c r="R208" s="10"/>
      <c r="S208" s="10"/>
      <c r="T208" s="10"/>
      <c r="U208" s="17"/>
      <c r="V208" s="10"/>
      <c r="W208" s="10"/>
      <c r="X208" s="10"/>
    </row>
    <row r="209" spans="1:24">
      <c r="A209" s="2"/>
      <c r="B209" s="11"/>
      <c r="C209" s="10"/>
      <c r="D209" s="10"/>
      <c r="E209" s="10"/>
      <c r="F209" s="10"/>
      <c r="G209" s="10"/>
      <c r="H209" s="10"/>
      <c r="I209" s="10"/>
      <c r="J209" s="10"/>
      <c r="K209" s="10"/>
      <c r="L209" s="10"/>
      <c r="M209" s="10"/>
      <c r="N209" s="10"/>
      <c r="O209" s="10"/>
      <c r="P209" s="10"/>
      <c r="Q209" s="10"/>
      <c r="R209" s="10"/>
      <c r="S209" s="10"/>
      <c r="T209" s="10"/>
      <c r="U209" s="17"/>
      <c r="V209" s="10"/>
      <c r="W209" s="10"/>
      <c r="X209" s="10"/>
    </row>
    <row r="210" spans="1:24">
      <c r="A210" s="2"/>
      <c r="B210" s="18" t="s">
        <v>51</v>
      </c>
      <c r="C210" s="14"/>
      <c r="D210" s="14"/>
      <c r="E210" s="14"/>
      <c r="F210" s="13" t="s">
        <v>52</v>
      </c>
      <c r="G210" s="14"/>
      <c r="H210" s="14"/>
      <c r="I210" s="14"/>
      <c r="J210" s="14"/>
      <c r="K210" s="13" t="s">
        <v>3</v>
      </c>
      <c r="L210" s="14"/>
      <c r="M210" s="14"/>
      <c r="N210" s="13" t="s">
        <v>4</v>
      </c>
      <c r="O210" s="14"/>
      <c r="P210" s="14"/>
      <c r="Q210" s="13" t="s">
        <v>5</v>
      </c>
      <c r="R210" s="14"/>
      <c r="S210" s="14"/>
      <c r="T210" s="18"/>
      <c r="U210" s="16" t="s">
        <v>53</v>
      </c>
      <c r="V210" s="77"/>
      <c r="W210" s="77"/>
      <c r="X210" s="77"/>
    </row>
    <row r="211" spans="1:24">
      <c r="A211" s="2"/>
      <c r="B211" s="24" t="s">
        <v>54</v>
      </c>
      <c r="C211" s="21" t="s">
        <v>55</v>
      </c>
      <c r="D211" s="21" t="s">
        <v>56</v>
      </c>
      <c r="E211" s="21" t="s">
        <v>57</v>
      </c>
      <c r="F211" s="20" t="s">
        <v>58</v>
      </c>
      <c r="G211" s="21" t="s">
        <v>59</v>
      </c>
      <c r="H211" s="21" t="s">
        <v>60</v>
      </c>
      <c r="I211" s="21" t="s">
        <v>26</v>
      </c>
      <c r="J211" s="22" t="s">
        <v>61</v>
      </c>
      <c r="K211" s="21" t="s">
        <v>8</v>
      </c>
      <c r="L211" s="21" t="s">
        <v>9</v>
      </c>
      <c r="M211" s="21" t="s">
        <v>10</v>
      </c>
      <c r="N211" s="20" t="s">
        <v>11</v>
      </c>
      <c r="O211" s="21" t="s">
        <v>12</v>
      </c>
      <c r="P211" s="22" t="s">
        <v>13</v>
      </c>
      <c r="Q211" s="21" t="s">
        <v>11</v>
      </c>
      <c r="R211" s="21" t="s">
        <v>12</v>
      </c>
      <c r="S211" s="21" t="s">
        <v>13</v>
      </c>
      <c r="T211" s="78" t="s">
        <v>14</v>
      </c>
      <c r="U211" s="30"/>
      <c r="V211" s="79" t="s">
        <v>62</v>
      </c>
      <c r="W211" s="80" t="s">
        <v>63</v>
      </c>
      <c r="X211" s="81" t="s">
        <v>64</v>
      </c>
    </row>
    <row r="212" spans="1:24">
      <c r="A212" s="2"/>
      <c r="B212" s="4" t="s">
        <v>65</v>
      </c>
      <c r="C212" s="6"/>
      <c r="D212" s="6"/>
      <c r="E212" s="6"/>
      <c r="F212" s="6"/>
      <c r="G212" s="6"/>
      <c r="H212" s="6"/>
      <c r="I212" s="82"/>
      <c r="J212" s="6"/>
      <c r="K212" s="6"/>
      <c r="L212" s="6"/>
      <c r="M212" s="6"/>
      <c r="N212" s="6"/>
      <c r="O212" s="6"/>
      <c r="P212" s="6"/>
      <c r="Q212" s="6"/>
      <c r="R212" s="6"/>
      <c r="S212" s="6"/>
      <c r="T212" s="83"/>
      <c r="U212" s="6"/>
      <c r="V212" s="84"/>
      <c r="W212" s="85"/>
      <c r="X212" s="86"/>
    </row>
    <row r="213" spans="1:24">
      <c r="A213" s="2"/>
      <c r="B213" s="87">
        <v>1</v>
      </c>
      <c r="C213" s="274">
        <v>45845</v>
      </c>
      <c r="D213" s="327">
        <v>71178</v>
      </c>
      <c r="E213" s="276" t="s">
        <v>286</v>
      </c>
      <c r="F213" s="277">
        <v>861</v>
      </c>
      <c r="G213" s="277">
        <f>39.7+(164.32)</f>
        <v>204.01999999999998</v>
      </c>
      <c r="H213" s="297"/>
      <c r="I213" s="278">
        <f t="shared" ref="I213:I224" si="46">F213-G213-H213</f>
        <v>656.98</v>
      </c>
      <c r="J213" s="279" t="s">
        <v>156</v>
      </c>
      <c r="K213" s="279">
        <v>1</v>
      </c>
      <c r="L213" s="279">
        <v>1</v>
      </c>
      <c r="M213" s="279">
        <v>1</v>
      </c>
      <c r="N213" s="279">
        <v>1</v>
      </c>
      <c r="O213" s="279">
        <v>1</v>
      </c>
      <c r="P213" s="279">
        <v>1</v>
      </c>
      <c r="Q213" s="279">
        <v>1</v>
      </c>
      <c r="R213" s="279">
        <v>1</v>
      </c>
      <c r="S213" s="280">
        <v>1</v>
      </c>
      <c r="T213" s="63"/>
      <c r="U213" s="10"/>
      <c r="V213" s="90">
        <f>95+852.1</f>
        <v>947.1</v>
      </c>
      <c r="W213" s="91"/>
      <c r="X213" s="92"/>
    </row>
    <row r="214" spans="1:24">
      <c r="A214" s="2"/>
      <c r="B214" s="87">
        <f t="shared" ref="B214:B219" si="47">B213+1</f>
        <v>2</v>
      </c>
      <c r="C214" s="295">
        <v>45845</v>
      </c>
      <c r="D214" s="323">
        <v>71263</v>
      </c>
      <c r="E214" s="10" t="s">
        <v>275</v>
      </c>
      <c r="F214" s="62">
        <v>1281</v>
      </c>
      <c r="G214" s="62">
        <v>39.700000000000003</v>
      </c>
      <c r="H214" s="62"/>
      <c r="I214" s="324">
        <f t="shared" si="46"/>
        <v>1241.3</v>
      </c>
      <c r="J214" s="63" t="s">
        <v>156</v>
      </c>
      <c r="K214" s="63">
        <v>1</v>
      </c>
      <c r="L214" s="325">
        <v>0</v>
      </c>
      <c r="M214" s="325">
        <v>0</v>
      </c>
      <c r="N214" s="63">
        <v>1</v>
      </c>
      <c r="O214" s="63">
        <v>1</v>
      </c>
      <c r="P214" s="325">
        <v>0</v>
      </c>
      <c r="Q214" s="63">
        <v>1</v>
      </c>
      <c r="R214" s="63">
        <v>1</v>
      </c>
      <c r="S214" s="296">
        <v>1</v>
      </c>
      <c r="T214" s="63"/>
      <c r="U214" s="10" t="s">
        <v>287</v>
      </c>
      <c r="V214" s="90">
        <f>141+1268.1</f>
        <v>1409.1</v>
      </c>
      <c r="W214" s="91"/>
      <c r="X214" s="92"/>
    </row>
    <row r="215" spans="1:24">
      <c r="A215" s="93"/>
      <c r="B215" s="87">
        <f t="shared" si="47"/>
        <v>3</v>
      </c>
      <c r="C215" s="295">
        <v>45845</v>
      </c>
      <c r="D215" s="323">
        <v>71283</v>
      </c>
      <c r="E215" s="10" t="s">
        <v>184</v>
      </c>
      <c r="F215" s="62">
        <v>861</v>
      </c>
      <c r="G215" s="62">
        <v>39.700000000000003</v>
      </c>
      <c r="H215" s="62"/>
      <c r="I215" s="89">
        <f t="shared" si="46"/>
        <v>821.3</v>
      </c>
      <c r="J215" s="63" t="s">
        <v>156</v>
      </c>
      <c r="K215" s="63">
        <v>1</v>
      </c>
      <c r="L215" s="63">
        <v>1</v>
      </c>
      <c r="M215" s="63">
        <v>1</v>
      </c>
      <c r="N215" s="63">
        <v>1</v>
      </c>
      <c r="O215" s="63">
        <v>1</v>
      </c>
      <c r="P215" s="63">
        <v>1</v>
      </c>
      <c r="Q215" s="63">
        <v>1</v>
      </c>
      <c r="R215" s="63">
        <v>1</v>
      </c>
      <c r="S215" s="296">
        <v>1</v>
      </c>
      <c r="T215" s="63"/>
      <c r="U215" s="10" t="s">
        <v>288</v>
      </c>
      <c r="V215" s="90">
        <f>95+852.1</f>
        <v>947.1</v>
      </c>
      <c r="W215" s="91"/>
      <c r="X215" s="92"/>
    </row>
    <row r="216" spans="1:24">
      <c r="A216" s="2"/>
      <c r="B216" s="87">
        <f t="shared" si="47"/>
        <v>4</v>
      </c>
      <c r="C216" s="274">
        <v>45846</v>
      </c>
      <c r="D216" s="327">
        <v>71295</v>
      </c>
      <c r="E216" s="404" t="s">
        <v>289</v>
      </c>
      <c r="F216" s="277">
        <v>481</v>
      </c>
      <c r="G216" s="277">
        <f>1.84+2.34+2.34</f>
        <v>6.52</v>
      </c>
      <c r="H216" s="277"/>
      <c r="I216" s="321">
        <f t="shared" si="46"/>
        <v>474.48</v>
      </c>
      <c r="J216" s="279" t="s">
        <v>156</v>
      </c>
      <c r="K216" s="279">
        <v>1</v>
      </c>
      <c r="L216" s="322">
        <v>0</v>
      </c>
      <c r="M216" s="279">
        <v>1</v>
      </c>
      <c r="N216" s="279">
        <v>1</v>
      </c>
      <c r="O216" s="279">
        <v>1</v>
      </c>
      <c r="P216" s="279">
        <v>1</v>
      </c>
      <c r="Q216" s="279">
        <v>1</v>
      </c>
      <c r="R216" s="279">
        <v>1</v>
      </c>
      <c r="S216" s="280">
        <v>1</v>
      </c>
      <c r="T216" s="63">
        <v>1</v>
      </c>
      <c r="U216" s="10" t="s">
        <v>290</v>
      </c>
      <c r="V216" s="90">
        <v>529.1</v>
      </c>
      <c r="W216" s="91"/>
      <c r="X216" s="92"/>
    </row>
    <row r="217" spans="1:24">
      <c r="A217" s="2"/>
      <c r="B217" s="87">
        <f t="shared" si="47"/>
        <v>5</v>
      </c>
      <c r="C217" s="274">
        <v>45847</v>
      </c>
      <c r="D217" s="327">
        <v>71293</v>
      </c>
      <c r="E217" s="276" t="s">
        <v>203</v>
      </c>
      <c r="F217" s="277">
        <v>1138</v>
      </c>
      <c r="G217" s="277">
        <v>39.700000000000003</v>
      </c>
      <c r="H217" s="277"/>
      <c r="I217" s="278">
        <f t="shared" si="46"/>
        <v>1098.3</v>
      </c>
      <c r="J217" s="279" t="s">
        <v>156</v>
      </c>
      <c r="K217" s="279">
        <v>1</v>
      </c>
      <c r="L217" s="279">
        <v>1</v>
      </c>
      <c r="M217" s="279">
        <v>1</v>
      </c>
      <c r="N217" s="279">
        <v>1</v>
      </c>
      <c r="O217" s="279">
        <v>1</v>
      </c>
      <c r="P217" s="279">
        <v>1</v>
      </c>
      <c r="Q217" s="279">
        <v>1</v>
      </c>
      <c r="R217" s="279">
        <v>1</v>
      </c>
      <c r="S217" s="280">
        <v>1</v>
      </c>
      <c r="T217" s="63"/>
      <c r="U217" s="10"/>
      <c r="V217" s="90">
        <f>126+1125.8</f>
        <v>1251.8</v>
      </c>
      <c r="W217" s="91"/>
      <c r="X217" s="92"/>
    </row>
    <row r="218" spans="1:24">
      <c r="A218" s="2"/>
      <c r="B218" s="87">
        <f t="shared" si="47"/>
        <v>6</v>
      </c>
      <c r="C218" s="295">
        <v>45847</v>
      </c>
      <c r="D218" s="323">
        <v>71324</v>
      </c>
      <c r="E218" s="101" t="s">
        <v>291</v>
      </c>
      <c r="F218" s="62">
        <v>1281</v>
      </c>
      <c r="G218" s="62">
        <f>39.7+(186.58)</f>
        <v>226.28000000000003</v>
      </c>
      <c r="H218" s="62"/>
      <c r="I218" s="89">
        <f>F218-G218-H218</f>
        <v>1054.72</v>
      </c>
      <c r="J218" s="63" t="s">
        <v>156</v>
      </c>
      <c r="K218" s="63">
        <v>1</v>
      </c>
      <c r="L218" s="63">
        <v>1</v>
      </c>
      <c r="M218" s="63">
        <v>1</v>
      </c>
      <c r="N218" s="63">
        <v>1</v>
      </c>
      <c r="O218" s="63">
        <v>1</v>
      </c>
      <c r="P218" s="325">
        <v>0</v>
      </c>
      <c r="Q218" s="63">
        <v>1</v>
      </c>
      <c r="R218" s="63">
        <v>1</v>
      </c>
      <c r="S218" s="296">
        <v>1</v>
      </c>
      <c r="T218" s="63"/>
      <c r="U218" s="10"/>
      <c r="V218" s="90">
        <f>140+1269.1</f>
        <v>1409.1</v>
      </c>
      <c r="W218" s="91"/>
      <c r="X218" s="92"/>
    </row>
    <row r="219" spans="1:24">
      <c r="A219" s="2"/>
      <c r="B219" s="87">
        <f t="shared" si="47"/>
        <v>7</v>
      </c>
      <c r="C219" s="295">
        <v>45847</v>
      </c>
      <c r="D219" s="323">
        <v>71260</v>
      </c>
      <c r="E219" s="10" t="s">
        <v>292</v>
      </c>
      <c r="F219" s="62">
        <v>2861</v>
      </c>
      <c r="G219" s="62">
        <v>39.700000000000003</v>
      </c>
      <c r="H219" s="88"/>
      <c r="I219" s="324">
        <f t="shared" si="46"/>
        <v>2821.3</v>
      </c>
      <c r="J219" s="63" t="s">
        <v>156</v>
      </c>
      <c r="K219" s="63">
        <v>1</v>
      </c>
      <c r="L219" s="63">
        <v>1</v>
      </c>
      <c r="M219" s="325">
        <v>0</v>
      </c>
      <c r="N219" s="63">
        <v>1</v>
      </c>
      <c r="O219" s="63">
        <v>1</v>
      </c>
      <c r="P219" s="63">
        <v>1</v>
      </c>
      <c r="Q219" s="63">
        <v>1</v>
      </c>
      <c r="R219" s="63">
        <v>1</v>
      </c>
      <c r="S219" s="296">
        <v>1</v>
      </c>
      <c r="T219" s="63"/>
      <c r="U219" s="10" t="s">
        <v>293</v>
      </c>
      <c r="V219" s="90">
        <f>315+2832.1</f>
        <v>3147.1</v>
      </c>
      <c r="W219" s="91"/>
      <c r="X219" s="92"/>
    </row>
    <row r="220" spans="1:24">
      <c r="A220" s="2"/>
      <c r="B220" s="87">
        <f t="shared" ref="B220:B224" si="48">B219+1</f>
        <v>8</v>
      </c>
      <c r="C220" s="274">
        <v>45848</v>
      </c>
      <c r="D220" s="327">
        <v>71372</v>
      </c>
      <c r="E220" s="276" t="s">
        <v>294</v>
      </c>
      <c r="F220" s="277">
        <f>1346-85</f>
        <v>1261</v>
      </c>
      <c r="G220" s="277">
        <v>39.700000000000003</v>
      </c>
      <c r="H220" s="277"/>
      <c r="I220" s="278">
        <f>F220-G220-H220</f>
        <v>1221.3</v>
      </c>
      <c r="J220" s="279" t="s">
        <v>156</v>
      </c>
      <c r="K220" s="279">
        <v>1</v>
      </c>
      <c r="L220" s="279">
        <v>1</v>
      </c>
      <c r="M220" s="279">
        <v>1</v>
      </c>
      <c r="N220" s="279">
        <v>1</v>
      </c>
      <c r="O220" s="279">
        <v>1</v>
      </c>
      <c r="P220" s="322">
        <v>0</v>
      </c>
      <c r="Q220" s="279">
        <v>1</v>
      </c>
      <c r="R220" s="279">
        <v>1</v>
      </c>
      <c r="S220" s="280">
        <v>1</v>
      </c>
      <c r="T220" s="63"/>
      <c r="U220" s="94" t="s">
        <v>295</v>
      </c>
      <c r="V220" s="90">
        <f>93.5+148+1239.1</f>
        <v>1480.6</v>
      </c>
      <c r="W220" s="136"/>
      <c r="X220" s="137"/>
    </row>
    <row r="221" spans="1:24">
      <c r="A221" s="2"/>
      <c r="B221" s="87">
        <f t="shared" si="48"/>
        <v>9</v>
      </c>
      <c r="C221" s="295">
        <v>45848</v>
      </c>
      <c r="D221" s="323">
        <v>71390</v>
      </c>
      <c r="E221" s="10" t="s">
        <v>296</v>
      </c>
      <c r="F221" s="62">
        <f>1323-185</f>
        <v>1138</v>
      </c>
      <c r="G221" s="62">
        <v>39.700000000000003</v>
      </c>
      <c r="H221" s="88"/>
      <c r="I221" s="89">
        <f t="shared" si="46"/>
        <v>1098.3</v>
      </c>
      <c r="J221" s="63" t="s">
        <v>156</v>
      </c>
      <c r="K221" s="63">
        <v>1</v>
      </c>
      <c r="L221" s="63">
        <v>1</v>
      </c>
      <c r="M221" s="63">
        <v>1</v>
      </c>
      <c r="N221" s="63">
        <v>1</v>
      </c>
      <c r="O221" s="63">
        <v>1</v>
      </c>
      <c r="P221" s="63">
        <v>1</v>
      </c>
      <c r="Q221" s="63">
        <v>1</v>
      </c>
      <c r="R221" s="63">
        <v>1</v>
      </c>
      <c r="S221" s="296">
        <v>1</v>
      </c>
      <c r="T221" s="63"/>
      <c r="U221" s="10" t="s">
        <v>297</v>
      </c>
      <c r="V221" s="90">
        <f>203.5+145.5+1106.3</f>
        <v>1455.3</v>
      </c>
      <c r="W221" s="91"/>
      <c r="X221" s="92"/>
    </row>
    <row r="222" spans="1:24">
      <c r="A222" s="2"/>
      <c r="B222" s="87">
        <f t="shared" si="48"/>
        <v>10</v>
      </c>
      <c r="C222" s="274">
        <v>45849</v>
      </c>
      <c r="D222" s="320" t="s">
        <v>298</v>
      </c>
      <c r="E222" s="276" t="s">
        <v>299</v>
      </c>
      <c r="F222" s="277">
        <v>1461</v>
      </c>
      <c r="G222" s="277">
        <v>39.700000000000003</v>
      </c>
      <c r="H222" s="297"/>
      <c r="I222" s="278">
        <f t="shared" si="46"/>
        <v>1421.3</v>
      </c>
      <c r="J222" s="279" t="s">
        <v>156</v>
      </c>
      <c r="K222" s="279">
        <v>1</v>
      </c>
      <c r="L222" s="279">
        <v>1</v>
      </c>
      <c r="M222" s="279">
        <v>1</v>
      </c>
      <c r="N222" s="279">
        <v>1</v>
      </c>
      <c r="O222" s="279">
        <v>1</v>
      </c>
      <c r="P222" s="279">
        <v>1</v>
      </c>
      <c r="Q222" s="279">
        <v>1</v>
      </c>
      <c r="R222" s="279">
        <v>1</v>
      </c>
      <c r="S222" s="280">
        <v>1</v>
      </c>
      <c r="T222" s="63"/>
      <c r="U222" s="462" t="s">
        <v>300</v>
      </c>
      <c r="V222" s="90">
        <f>161+1446.1</f>
        <v>1607.1</v>
      </c>
      <c r="W222" s="91"/>
      <c r="X222" s="92"/>
    </row>
    <row r="223" spans="1:24">
      <c r="A223" s="2"/>
      <c r="B223" s="87">
        <f t="shared" si="48"/>
        <v>11</v>
      </c>
      <c r="C223" s="295">
        <v>45849</v>
      </c>
      <c r="D223" s="346" t="s">
        <v>301</v>
      </c>
      <c r="E223" s="10" t="s">
        <v>299</v>
      </c>
      <c r="F223" s="62">
        <v>5075</v>
      </c>
      <c r="G223" s="62">
        <f>39.7+450</f>
        <v>489.7</v>
      </c>
      <c r="H223" s="88"/>
      <c r="I223" s="324">
        <f t="shared" si="46"/>
        <v>4585.3</v>
      </c>
      <c r="J223" s="63" t="s">
        <v>156</v>
      </c>
      <c r="K223" s="63">
        <v>1</v>
      </c>
      <c r="L223" s="63">
        <v>1</v>
      </c>
      <c r="M223" s="325">
        <v>0</v>
      </c>
      <c r="N223" s="63">
        <v>1</v>
      </c>
      <c r="O223" s="63">
        <v>1</v>
      </c>
      <c r="P223" s="63">
        <v>1</v>
      </c>
      <c r="Q223" s="63">
        <v>1</v>
      </c>
      <c r="R223" s="63">
        <v>1</v>
      </c>
      <c r="S223" s="296">
        <v>1</v>
      </c>
      <c r="T223" s="63"/>
      <c r="U223" s="462" t="s">
        <v>300</v>
      </c>
      <c r="V223" s="90">
        <f>558.2+5024.3</f>
        <v>5582.5</v>
      </c>
      <c r="W223" s="91"/>
      <c r="X223" s="92"/>
    </row>
    <row r="224" spans="1:24">
      <c r="A224" s="2"/>
      <c r="B224" s="87">
        <f t="shared" si="48"/>
        <v>12</v>
      </c>
      <c r="C224" s="295">
        <v>45849</v>
      </c>
      <c r="D224" s="323">
        <v>71254</v>
      </c>
      <c r="E224" s="10" t="s">
        <v>302</v>
      </c>
      <c r="F224" s="95">
        <v>1038</v>
      </c>
      <c r="G224" s="62">
        <f>39.7+(129.92)</f>
        <v>169.62</v>
      </c>
      <c r="H224" s="62"/>
      <c r="I224" s="89">
        <f t="shared" si="46"/>
        <v>868.38</v>
      </c>
      <c r="J224" s="63" t="s">
        <v>156</v>
      </c>
      <c r="K224" s="63">
        <v>1</v>
      </c>
      <c r="L224" s="63">
        <v>1</v>
      </c>
      <c r="M224" s="63">
        <v>1</v>
      </c>
      <c r="N224" s="63">
        <v>1</v>
      </c>
      <c r="O224" s="63">
        <v>1</v>
      </c>
      <c r="P224" s="63">
        <v>1</v>
      </c>
      <c r="Q224" s="63">
        <v>1</v>
      </c>
      <c r="R224" s="63">
        <v>1</v>
      </c>
      <c r="S224" s="296">
        <v>1</v>
      </c>
      <c r="T224" s="63"/>
      <c r="U224" s="10"/>
      <c r="V224" s="90">
        <f>145+996.8</f>
        <v>1141.8</v>
      </c>
      <c r="W224" s="91"/>
      <c r="X224" s="92"/>
    </row>
    <row r="225" spans="1:24" s="260" customFormat="1">
      <c r="A225" s="463">
        <v>45850</v>
      </c>
      <c r="B225" s="87">
        <f>B224+1</f>
        <v>13</v>
      </c>
      <c r="C225" s="282">
        <v>45849</v>
      </c>
      <c r="D225" s="368">
        <v>71286</v>
      </c>
      <c r="E225" s="319" t="s">
        <v>292</v>
      </c>
      <c r="F225" s="284">
        <v>1461</v>
      </c>
      <c r="G225" s="284">
        <v>39.700000000000003</v>
      </c>
      <c r="H225" s="284"/>
      <c r="I225" s="285">
        <f t="shared" ref="I225" si="49">F225-G225-H225</f>
        <v>1421.3</v>
      </c>
      <c r="J225" s="286" t="s">
        <v>156</v>
      </c>
      <c r="K225" s="286">
        <v>1</v>
      </c>
      <c r="L225" s="286">
        <v>1</v>
      </c>
      <c r="M225" s="286">
        <v>1</v>
      </c>
      <c r="N225" s="286">
        <v>1</v>
      </c>
      <c r="O225" s="286">
        <v>1</v>
      </c>
      <c r="P225" s="286">
        <v>1</v>
      </c>
      <c r="Q225" s="286">
        <v>1</v>
      </c>
      <c r="R225" s="286">
        <v>1</v>
      </c>
      <c r="S225" s="287">
        <v>1</v>
      </c>
      <c r="T225" s="63"/>
      <c r="U225" s="10" t="s">
        <v>303</v>
      </c>
      <c r="V225" s="90">
        <f>160.71+1446.39</f>
        <v>1607.1000000000001</v>
      </c>
      <c r="W225" s="91"/>
      <c r="X225" s="92"/>
    </row>
    <row r="226" spans="1:24">
      <c r="A226" s="2"/>
      <c r="B226" s="87"/>
      <c r="C226" s="36"/>
      <c r="D226" s="10"/>
      <c r="E226" s="10"/>
      <c r="F226" s="98">
        <f t="shared" ref="F226:H226" si="50">SUM(F213:F225)</f>
        <v>20198</v>
      </c>
      <c r="G226" s="98">
        <f t="shared" si="50"/>
        <v>1413.74</v>
      </c>
      <c r="H226" s="98">
        <f t="shared" si="50"/>
        <v>0</v>
      </c>
      <c r="I226" s="98">
        <f>SUM(I213:I225)</f>
        <v>18784.259999999998</v>
      </c>
      <c r="J226" s="63"/>
      <c r="K226" s="63">
        <f>COUNT(K213:K225)</f>
        <v>13</v>
      </c>
      <c r="L226" s="63">
        <f t="shared" ref="L226:S226" si="51">COUNT(L213:L225)</f>
        <v>13</v>
      </c>
      <c r="M226" s="63">
        <f t="shared" si="51"/>
        <v>13</v>
      </c>
      <c r="N226" s="63">
        <f t="shared" si="51"/>
        <v>13</v>
      </c>
      <c r="O226" s="63">
        <f t="shared" si="51"/>
        <v>13</v>
      </c>
      <c r="P226" s="63">
        <f t="shared" si="51"/>
        <v>13</v>
      </c>
      <c r="Q226" s="63">
        <f t="shared" si="51"/>
        <v>13</v>
      </c>
      <c r="R226" s="63">
        <f t="shared" si="51"/>
        <v>13</v>
      </c>
      <c r="S226" s="63">
        <f t="shared" si="51"/>
        <v>13</v>
      </c>
      <c r="T226" s="63"/>
      <c r="U226" s="10"/>
      <c r="V226" s="90"/>
      <c r="W226" s="91"/>
      <c r="X226" s="92"/>
    </row>
    <row r="227" spans="1:24">
      <c r="A227" s="2"/>
      <c r="B227" s="87"/>
      <c r="C227" s="36"/>
      <c r="D227" s="10"/>
      <c r="E227" s="10"/>
      <c r="F227" s="88"/>
      <c r="G227" s="88"/>
      <c r="H227" s="88"/>
      <c r="I227" s="99"/>
      <c r="J227" s="63"/>
      <c r="K227" s="21">
        <f>SUM(K213:K225)</f>
        <v>13</v>
      </c>
      <c r="L227" s="21">
        <f t="shared" ref="L227:S227" si="52">SUM(L213:L225)</f>
        <v>11</v>
      </c>
      <c r="M227" s="21">
        <f t="shared" si="52"/>
        <v>10</v>
      </c>
      <c r="N227" s="21">
        <f t="shared" si="52"/>
        <v>13</v>
      </c>
      <c r="O227" s="21">
        <f t="shared" si="52"/>
        <v>13</v>
      </c>
      <c r="P227" s="21">
        <f t="shared" si="52"/>
        <v>10</v>
      </c>
      <c r="Q227" s="21">
        <f t="shared" si="52"/>
        <v>13</v>
      </c>
      <c r="R227" s="21">
        <f t="shared" si="52"/>
        <v>13</v>
      </c>
      <c r="S227" s="21">
        <f t="shared" si="52"/>
        <v>13</v>
      </c>
      <c r="T227" s="63"/>
      <c r="U227" s="10"/>
      <c r="V227" s="90"/>
      <c r="W227" s="91"/>
      <c r="X227" s="92"/>
    </row>
    <row r="228" spans="1:24">
      <c r="A228" s="2"/>
      <c r="B228" s="11"/>
      <c r="C228" s="36"/>
      <c r="D228" s="10"/>
      <c r="E228" s="10"/>
      <c r="F228" s="88"/>
      <c r="G228" s="88"/>
      <c r="H228" s="88"/>
      <c r="I228" s="99"/>
      <c r="J228" s="63"/>
      <c r="K228" s="21"/>
      <c r="L228" s="21"/>
      <c r="M228" s="21"/>
      <c r="N228" s="21"/>
      <c r="O228" s="21"/>
      <c r="P228" s="21"/>
      <c r="Q228" s="21"/>
      <c r="R228" s="21"/>
      <c r="S228" s="21"/>
      <c r="T228" s="63"/>
      <c r="U228" s="10"/>
      <c r="V228" s="90"/>
      <c r="W228" s="91"/>
      <c r="X228" s="92"/>
    </row>
    <row r="229" spans="1:24">
      <c r="A229" s="2"/>
      <c r="B229" s="100" t="s">
        <v>66</v>
      </c>
      <c r="C229" s="36"/>
      <c r="D229" s="10"/>
      <c r="E229" s="10"/>
      <c r="F229" s="88"/>
      <c r="G229" s="62"/>
      <c r="H229" s="88"/>
      <c r="I229" s="99"/>
      <c r="J229" s="63"/>
      <c r="K229" s="2"/>
      <c r="L229" s="2"/>
      <c r="M229" s="2"/>
      <c r="N229" s="2"/>
      <c r="O229" s="2"/>
      <c r="P229" s="2"/>
      <c r="Q229" s="2"/>
      <c r="R229" s="2"/>
      <c r="S229" s="2"/>
      <c r="T229" s="63"/>
      <c r="U229" s="94"/>
      <c r="V229" s="90"/>
      <c r="W229" s="91"/>
      <c r="X229" s="92"/>
    </row>
    <row r="230" spans="1:24">
      <c r="A230" s="2"/>
      <c r="B230" s="87">
        <v>1</v>
      </c>
      <c r="C230" s="274">
        <v>45850</v>
      </c>
      <c r="D230" s="327">
        <v>71408</v>
      </c>
      <c r="E230" s="281" t="s">
        <v>304</v>
      </c>
      <c r="F230" s="277">
        <f>1461-85</f>
        <v>1376</v>
      </c>
      <c r="G230" s="277">
        <v>39.700000000000003</v>
      </c>
      <c r="H230" s="277"/>
      <c r="I230" s="321">
        <f t="shared" ref="I230:I232" si="53">F230-G230-H230</f>
        <v>1336.3</v>
      </c>
      <c r="J230" s="279" t="s">
        <v>156</v>
      </c>
      <c r="K230" s="279">
        <v>1</v>
      </c>
      <c r="L230" s="279">
        <v>1</v>
      </c>
      <c r="M230" s="279">
        <v>1</v>
      </c>
      <c r="N230" s="279">
        <v>1</v>
      </c>
      <c r="O230" s="279">
        <v>1</v>
      </c>
      <c r="P230" s="322">
        <v>0</v>
      </c>
      <c r="Q230" s="279">
        <v>1</v>
      </c>
      <c r="R230" s="279">
        <v>1</v>
      </c>
      <c r="S230" s="280">
        <v>1</v>
      </c>
      <c r="T230" s="63"/>
      <c r="U230" s="94"/>
      <c r="V230" s="90">
        <f>93.5+151+1362.6</f>
        <v>1607.1</v>
      </c>
      <c r="W230" s="91"/>
      <c r="X230" s="92"/>
    </row>
    <row r="231" spans="1:24">
      <c r="A231" s="2"/>
      <c r="B231" s="87">
        <f t="shared" ref="B231:B232" si="54">B230+1</f>
        <v>2</v>
      </c>
      <c r="C231" s="295">
        <v>45850</v>
      </c>
      <c r="D231" s="323">
        <v>71406</v>
      </c>
      <c r="E231" s="101" t="s">
        <v>305</v>
      </c>
      <c r="F231" s="62">
        <f>814-85</f>
        <v>729</v>
      </c>
      <c r="G231" s="62">
        <v>39.700000000000003</v>
      </c>
      <c r="H231" s="62"/>
      <c r="I231" s="324">
        <f t="shared" si="53"/>
        <v>689.3</v>
      </c>
      <c r="J231" s="63" t="s">
        <v>156</v>
      </c>
      <c r="K231" s="63">
        <v>1</v>
      </c>
      <c r="L231" s="63">
        <v>1</v>
      </c>
      <c r="M231" s="63">
        <v>1</v>
      </c>
      <c r="N231" s="63">
        <v>1</v>
      </c>
      <c r="O231" s="63">
        <v>1</v>
      </c>
      <c r="P231" s="63">
        <v>1</v>
      </c>
      <c r="Q231" s="63">
        <v>1</v>
      </c>
      <c r="R231" s="63">
        <v>1</v>
      </c>
      <c r="S231" s="296">
        <v>1</v>
      </c>
      <c r="T231" s="63">
        <v>1</v>
      </c>
      <c r="U231" s="94"/>
      <c r="V231" s="90">
        <f>93.5+90+711.9</f>
        <v>895.4</v>
      </c>
      <c r="W231" s="91"/>
      <c r="X231" s="92"/>
    </row>
    <row r="232" spans="1:24">
      <c r="A232" s="2"/>
      <c r="B232" s="87">
        <f t="shared" si="54"/>
        <v>3</v>
      </c>
      <c r="C232" s="282">
        <v>45850</v>
      </c>
      <c r="D232" s="368">
        <v>71409</v>
      </c>
      <c r="E232" s="283" t="s">
        <v>306</v>
      </c>
      <c r="F232" s="284">
        <f>1766-85</f>
        <v>1681</v>
      </c>
      <c r="G232" s="284">
        <v>39.700000000000003</v>
      </c>
      <c r="H232" s="284"/>
      <c r="I232" s="285">
        <f t="shared" si="53"/>
        <v>1641.3</v>
      </c>
      <c r="J232" s="286" t="s">
        <v>228</v>
      </c>
      <c r="K232" s="286">
        <v>1</v>
      </c>
      <c r="L232" s="286">
        <v>1</v>
      </c>
      <c r="M232" s="286">
        <v>1</v>
      </c>
      <c r="N232" s="286">
        <v>1</v>
      </c>
      <c r="O232" s="286">
        <v>1</v>
      </c>
      <c r="P232" s="286">
        <v>1</v>
      </c>
      <c r="Q232" s="286">
        <v>1</v>
      </c>
      <c r="R232" s="286">
        <v>1</v>
      </c>
      <c r="S232" s="287">
        <v>1</v>
      </c>
      <c r="T232" s="63"/>
      <c r="U232" s="94"/>
      <c r="V232" s="90">
        <f>93.5+184+1665.1</f>
        <v>1942.6</v>
      </c>
      <c r="W232" s="91"/>
      <c r="X232" s="92"/>
    </row>
    <row r="233" spans="1:24">
      <c r="A233" s="2"/>
      <c r="B233" s="11"/>
      <c r="C233" s="36"/>
      <c r="D233" s="10"/>
      <c r="E233" s="10"/>
      <c r="F233" s="97">
        <f>SUM(F230:F232)</f>
        <v>3786</v>
      </c>
      <c r="G233" s="97">
        <f>SUM(G230:G232)</f>
        <v>119.10000000000001</v>
      </c>
      <c r="H233" s="97">
        <f>SUM(H230:H232)</f>
        <v>0</v>
      </c>
      <c r="I233" s="98">
        <f>SUM(I230:I232)</f>
        <v>3666.8999999999996</v>
      </c>
      <c r="J233" s="63"/>
      <c r="K233" s="21"/>
      <c r="L233" s="21"/>
      <c r="M233" s="21"/>
      <c r="N233" s="21"/>
      <c r="O233" s="21"/>
      <c r="P233" s="21"/>
      <c r="Q233" s="21"/>
      <c r="R233" s="21"/>
      <c r="S233" s="21"/>
      <c r="T233" s="63"/>
      <c r="U233" s="94"/>
      <c r="V233" s="90"/>
      <c r="W233" s="91"/>
      <c r="X233" s="92"/>
    </row>
    <row r="234" spans="1:24">
      <c r="A234" s="2"/>
      <c r="B234" s="11"/>
      <c r="C234" s="36"/>
      <c r="D234" s="10"/>
      <c r="E234" s="10"/>
      <c r="F234" s="88"/>
      <c r="G234" s="88"/>
      <c r="H234" s="88"/>
      <c r="I234" s="99"/>
      <c r="J234" s="63"/>
      <c r="K234" s="21"/>
      <c r="L234" s="21"/>
      <c r="M234" s="21"/>
      <c r="N234" s="21"/>
      <c r="O234" s="21"/>
      <c r="P234" s="21"/>
      <c r="Q234" s="21"/>
      <c r="R234" s="21"/>
      <c r="S234" s="21"/>
      <c r="T234" s="63"/>
      <c r="U234" s="94"/>
      <c r="V234" s="90"/>
      <c r="W234" s="91"/>
      <c r="X234" s="92"/>
    </row>
    <row r="235" spans="1:24">
      <c r="A235" s="2"/>
      <c r="B235" s="100" t="s">
        <v>67</v>
      </c>
      <c r="C235" s="36"/>
      <c r="D235" s="10"/>
      <c r="E235" s="10"/>
      <c r="F235" s="88"/>
      <c r="G235" s="62"/>
      <c r="H235" s="88"/>
      <c r="I235" s="99"/>
      <c r="J235" s="63"/>
      <c r="K235" s="2"/>
      <c r="L235" s="2"/>
      <c r="M235" s="2"/>
      <c r="N235" s="2"/>
      <c r="O235" s="2"/>
      <c r="P235" s="2"/>
      <c r="Q235" s="2"/>
      <c r="R235" s="2"/>
      <c r="S235" s="2"/>
      <c r="T235" s="63"/>
      <c r="U235" s="94"/>
      <c r="V235" s="90"/>
      <c r="W235" s="91"/>
      <c r="X235" s="92"/>
    </row>
    <row r="236" spans="1:24">
      <c r="A236" s="261" t="s">
        <v>307</v>
      </c>
      <c r="B236" s="87">
        <v>1</v>
      </c>
      <c r="C236" s="274">
        <v>45800</v>
      </c>
      <c r="D236" s="320">
        <v>70335</v>
      </c>
      <c r="E236" s="276" t="s">
        <v>191</v>
      </c>
      <c r="F236" s="277">
        <f>1619-85</f>
        <v>1534</v>
      </c>
      <c r="G236" s="277">
        <v>39.700000000000003</v>
      </c>
      <c r="H236" s="297"/>
      <c r="I236" s="321">
        <f>F236-G236-H236</f>
        <v>1494.3</v>
      </c>
      <c r="J236" s="279" t="s">
        <v>192</v>
      </c>
      <c r="K236" s="279">
        <v>1</v>
      </c>
      <c r="L236" s="279">
        <v>1</v>
      </c>
      <c r="M236" s="279">
        <v>1</v>
      </c>
      <c r="N236" s="279">
        <v>1</v>
      </c>
      <c r="O236" s="279">
        <v>1</v>
      </c>
      <c r="P236" s="279">
        <v>1</v>
      </c>
      <c r="Q236" s="279">
        <v>1</v>
      </c>
      <c r="R236" s="322">
        <v>0</v>
      </c>
      <c r="S236" s="280">
        <v>1</v>
      </c>
      <c r="T236" s="63"/>
      <c r="U236" s="10" t="s">
        <v>308</v>
      </c>
      <c r="V236" s="90"/>
      <c r="W236" s="91"/>
      <c r="X236" s="92"/>
    </row>
    <row r="237" spans="1:24">
      <c r="A237" s="31" t="s">
        <v>309</v>
      </c>
      <c r="B237" s="87">
        <f>B236+1</f>
        <v>2</v>
      </c>
      <c r="C237" s="262">
        <v>45833</v>
      </c>
      <c r="D237" s="263">
        <v>71021</v>
      </c>
      <c r="E237" s="264" t="s">
        <v>184</v>
      </c>
      <c r="F237" s="265">
        <v>3214</v>
      </c>
      <c r="G237" s="265">
        <f>39.7+(54.24)+200</f>
        <v>293.94</v>
      </c>
      <c r="H237" s="265">
        <f>318.19+31.82</f>
        <v>350.01</v>
      </c>
      <c r="I237" s="272">
        <f>F237-G237-H237</f>
        <v>2570.0500000000002</v>
      </c>
      <c r="J237" s="267" t="s">
        <v>185</v>
      </c>
      <c r="K237" s="267">
        <v>1</v>
      </c>
      <c r="L237" s="267">
        <v>1</v>
      </c>
      <c r="M237" s="267">
        <v>1</v>
      </c>
      <c r="N237" s="267">
        <v>1</v>
      </c>
      <c r="O237" s="267">
        <v>1</v>
      </c>
      <c r="P237" s="267">
        <v>1</v>
      </c>
      <c r="Q237" s="267">
        <v>1</v>
      </c>
      <c r="R237" s="267">
        <v>1</v>
      </c>
      <c r="S237" s="269">
        <v>1</v>
      </c>
      <c r="T237" s="63"/>
      <c r="U237" s="10" t="s">
        <v>186</v>
      </c>
      <c r="V237" s="90"/>
      <c r="W237" s="91"/>
      <c r="X237" s="92">
        <f>2835.38</f>
        <v>2835.38</v>
      </c>
    </row>
    <row r="238" spans="1:24">
      <c r="A238" s="31" t="s">
        <v>310</v>
      </c>
      <c r="B238" s="87">
        <f>B237+1</f>
        <v>3</v>
      </c>
      <c r="C238" s="262">
        <v>45835</v>
      </c>
      <c r="D238" s="263">
        <v>70987</v>
      </c>
      <c r="E238" s="264" t="s">
        <v>187</v>
      </c>
      <c r="F238" s="265">
        <v>2861</v>
      </c>
      <c r="G238" s="265">
        <v>39.700000000000003</v>
      </c>
      <c r="H238" s="265"/>
      <c r="I238" s="266">
        <f>F238-G238-H238</f>
        <v>2821.3</v>
      </c>
      <c r="J238" s="267" t="s">
        <v>228</v>
      </c>
      <c r="K238" s="267">
        <v>1</v>
      </c>
      <c r="L238" s="267">
        <v>1</v>
      </c>
      <c r="M238" s="267">
        <v>1</v>
      </c>
      <c r="N238" s="267">
        <v>1</v>
      </c>
      <c r="O238" s="267">
        <v>1</v>
      </c>
      <c r="P238" s="314">
        <v>0</v>
      </c>
      <c r="Q238" s="267">
        <v>1</v>
      </c>
      <c r="R238" s="267">
        <v>1</v>
      </c>
      <c r="S238" s="269">
        <v>1</v>
      </c>
      <c r="T238" s="63"/>
      <c r="U238" s="10"/>
      <c r="V238" s="90">
        <f>2832.1</f>
        <v>2832.1</v>
      </c>
      <c r="W238" s="91"/>
      <c r="X238" s="92"/>
    </row>
    <row r="239" spans="1:24">
      <c r="A239" s="2"/>
      <c r="B239" s="11"/>
      <c r="C239" s="36"/>
      <c r="D239" s="10"/>
      <c r="E239" s="10"/>
      <c r="F239" s="97">
        <f>SUM(F236:F238)</f>
        <v>7609</v>
      </c>
      <c r="G239" s="97">
        <f>SUM(G236:G238)</f>
        <v>373.34</v>
      </c>
      <c r="H239" s="97">
        <f>SUM(H236:H238)</f>
        <v>350.01</v>
      </c>
      <c r="I239" s="98">
        <f>SUM(I236:I238)</f>
        <v>6885.6500000000005</v>
      </c>
      <c r="J239" s="63"/>
      <c r="K239" s="21"/>
      <c r="L239" s="21"/>
      <c r="M239" s="21"/>
      <c r="N239" s="21"/>
      <c r="O239" s="21"/>
      <c r="P239" s="21"/>
      <c r="Q239" s="21"/>
      <c r="R239" s="21"/>
      <c r="S239" s="21"/>
      <c r="T239" s="63"/>
      <c r="U239" s="94"/>
      <c r="V239" s="90"/>
      <c r="W239" s="91"/>
      <c r="X239" s="92"/>
    </row>
    <row r="240" spans="1:24">
      <c r="A240" s="2"/>
      <c r="B240" s="11"/>
      <c r="C240" s="36"/>
      <c r="D240" s="10"/>
      <c r="E240" s="10"/>
      <c r="F240" s="88"/>
      <c r="G240" s="88"/>
      <c r="H240" s="88"/>
      <c r="I240" s="99"/>
      <c r="J240" s="63"/>
      <c r="K240" s="21"/>
      <c r="L240" s="21"/>
      <c r="M240" s="21"/>
      <c r="N240" s="21"/>
      <c r="O240" s="21"/>
      <c r="P240" s="21"/>
      <c r="Q240" s="21"/>
      <c r="R240" s="21"/>
      <c r="S240" s="21"/>
      <c r="T240" s="63"/>
      <c r="U240" s="94"/>
      <c r="V240" s="90"/>
      <c r="W240" s="91"/>
      <c r="X240" s="92"/>
    </row>
    <row r="241" spans="1:24" s="342" customFormat="1">
      <c r="A241" s="128"/>
      <c r="B241" s="121" t="s">
        <v>68</v>
      </c>
      <c r="C241" s="122"/>
      <c r="D241" s="123"/>
      <c r="E241" s="123"/>
      <c r="F241" s="124"/>
      <c r="G241" s="125"/>
      <c r="H241" s="124"/>
      <c r="I241" s="126"/>
      <c r="J241" s="127"/>
      <c r="K241" s="128"/>
      <c r="L241" s="128"/>
      <c r="M241" s="128"/>
      <c r="N241" s="128"/>
      <c r="O241" s="128"/>
      <c r="P241" s="128"/>
      <c r="Q241" s="128"/>
      <c r="R241" s="128"/>
      <c r="S241" s="128"/>
      <c r="T241" s="127"/>
      <c r="U241" s="123"/>
      <c r="V241" s="129"/>
      <c r="W241" s="130"/>
      <c r="X241" s="131"/>
    </row>
    <row r="242" spans="1:24" s="342" customFormat="1">
      <c r="A242" s="356">
        <v>0.05</v>
      </c>
      <c r="B242" s="333">
        <v>1</v>
      </c>
      <c r="C242" s="350">
        <v>45849</v>
      </c>
      <c r="D242" s="357" t="s">
        <v>311</v>
      </c>
      <c r="E242" s="358" t="s">
        <v>299</v>
      </c>
      <c r="F242" s="352">
        <v>6229</v>
      </c>
      <c r="G242" s="352">
        <f>39.7+(146.66)+500</f>
        <v>686.36</v>
      </c>
      <c r="H242" s="486"/>
      <c r="I242" s="353">
        <f>F242-G242-H242</f>
        <v>5542.64</v>
      </c>
      <c r="J242" s="354" t="s">
        <v>156</v>
      </c>
      <c r="K242" s="354">
        <v>1</v>
      </c>
      <c r="L242" s="354"/>
      <c r="M242" s="354">
        <v>1</v>
      </c>
      <c r="N242" s="354">
        <v>1</v>
      </c>
      <c r="O242" s="354">
        <v>1</v>
      </c>
      <c r="P242" s="354">
        <v>0</v>
      </c>
      <c r="Q242" s="354"/>
      <c r="R242" s="354"/>
      <c r="S242" s="355"/>
      <c r="T242" s="127"/>
      <c r="U242" s="123" t="s">
        <v>312</v>
      </c>
      <c r="V242" s="129">
        <v>685.1</v>
      </c>
      <c r="W242" s="130"/>
      <c r="X242" s="131"/>
    </row>
    <row r="243" spans="1:24" s="342" customFormat="1">
      <c r="A243" s="128"/>
      <c r="B243" s="132"/>
      <c r="C243" s="122"/>
      <c r="D243" s="123"/>
      <c r="E243" s="123"/>
      <c r="F243" s="134">
        <f>SUM(F242:F242)</f>
        <v>6229</v>
      </c>
      <c r="G243" s="134">
        <f>SUM(G242:G242)</f>
        <v>686.36</v>
      </c>
      <c r="H243" s="134">
        <f>SUM(H242:H242)</f>
        <v>0</v>
      </c>
      <c r="I243" s="134">
        <f>SUM(I242:I242)</f>
        <v>5542.64</v>
      </c>
      <c r="J243" s="127"/>
      <c r="K243" s="64"/>
      <c r="L243" s="64"/>
      <c r="M243" s="64"/>
      <c r="N243" s="64"/>
      <c r="O243" s="64"/>
      <c r="P243" s="64"/>
      <c r="Q243" s="64"/>
      <c r="R243" s="64"/>
      <c r="S243" s="64"/>
      <c r="T243" s="127"/>
      <c r="U243" s="123"/>
      <c r="V243" s="129"/>
      <c r="W243" s="130"/>
      <c r="X243" s="131"/>
    </row>
    <row r="244" spans="1:24">
      <c r="A244" s="2"/>
      <c r="B244" s="11"/>
      <c r="C244" s="36"/>
      <c r="D244" s="10"/>
      <c r="E244" s="10"/>
      <c r="F244" s="88"/>
      <c r="G244" s="88"/>
      <c r="H244" s="88"/>
      <c r="I244" s="99"/>
      <c r="J244" s="63"/>
      <c r="K244" s="21"/>
      <c r="L244" s="21"/>
      <c r="M244" s="21"/>
      <c r="N244" s="21"/>
      <c r="O244" s="21"/>
      <c r="P244" s="21"/>
      <c r="Q244" s="21"/>
      <c r="R244" s="21"/>
      <c r="S244" s="21"/>
      <c r="T244" s="63"/>
      <c r="U244" s="10"/>
      <c r="V244" s="90"/>
      <c r="W244" s="91"/>
      <c r="X244" s="92"/>
    </row>
    <row r="245" spans="1:24" s="342" customFormat="1">
      <c r="A245" s="128"/>
      <c r="B245" s="121" t="s">
        <v>70</v>
      </c>
      <c r="C245" s="122"/>
      <c r="D245" s="123"/>
      <c r="E245" s="128"/>
      <c r="F245" s="124"/>
      <c r="G245" s="124"/>
      <c r="H245" s="124"/>
      <c r="I245" s="126"/>
      <c r="J245" s="127"/>
      <c r="K245" s="64"/>
      <c r="L245" s="64"/>
      <c r="M245" s="64"/>
      <c r="N245" s="64"/>
      <c r="O245" s="64"/>
      <c r="P245" s="64"/>
      <c r="Q245" s="64"/>
      <c r="R245" s="64"/>
      <c r="S245" s="64"/>
      <c r="T245" s="127"/>
      <c r="U245" s="135"/>
      <c r="V245" s="129"/>
      <c r="W245" s="130"/>
      <c r="X245" s="131"/>
    </row>
    <row r="246" spans="1:24" s="342" customFormat="1">
      <c r="A246" s="356">
        <v>0.05</v>
      </c>
      <c r="B246" s="333">
        <v>1</v>
      </c>
      <c r="C246" s="350">
        <v>45847</v>
      </c>
      <c r="D246" s="263">
        <v>71343</v>
      </c>
      <c r="E246" s="358" t="s">
        <v>184</v>
      </c>
      <c r="F246" s="352">
        <v>2814</v>
      </c>
      <c r="G246" s="352">
        <f>39.7+(36.22+222.93)</f>
        <v>298.84999999999997</v>
      </c>
      <c r="H246" s="352"/>
      <c r="I246" s="353">
        <f>F246-G246-H246</f>
        <v>2515.15</v>
      </c>
      <c r="J246" s="354" t="s">
        <v>156</v>
      </c>
      <c r="K246" s="354">
        <v>1</v>
      </c>
      <c r="L246" s="354"/>
      <c r="M246" s="354">
        <v>1</v>
      </c>
      <c r="N246" s="354">
        <v>1</v>
      </c>
      <c r="O246" s="354">
        <v>1</v>
      </c>
      <c r="P246" s="314">
        <v>0</v>
      </c>
      <c r="Q246" s="354"/>
      <c r="R246" s="354"/>
      <c r="S246" s="355"/>
      <c r="T246" s="127"/>
      <c r="U246" s="135"/>
      <c r="V246" s="129">
        <f>309.54+1000</f>
        <v>1309.54</v>
      </c>
      <c r="W246" s="340"/>
      <c r="X246" s="341"/>
    </row>
    <row r="247" spans="1:24" s="342" customFormat="1">
      <c r="A247" s="128"/>
      <c r="B247" s="132"/>
      <c r="C247" s="122"/>
      <c r="D247" s="123"/>
      <c r="E247" s="123"/>
      <c r="F247" s="133">
        <f>SUM(F246:F246)</f>
        <v>2814</v>
      </c>
      <c r="G247" s="133">
        <f>SUM(G246:G246)</f>
        <v>298.84999999999997</v>
      </c>
      <c r="H247" s="133">
        <f>SUM(H246:H246)</f>
        <v>0</v>
      </c>
      <c r="I247" s="134">
        <f>SUM(I246:I246)</f>
        <v>2515.15</v>
      </c>
      <c r="J247" s="127"/>
      <c r="K247" s="64"/>
      <c r="L247" s="64"/>
      <c r="M247" s="64"/>
      <c r="N247" s="64"/>
      <c r="O247" s="64"/>
      <c r="P247" s="64"/>
      <c r="Q247" s="64"/>
      <c r="R247" s="64"/>
      <c r="S247" s="64"/>
      <c r="T247" s="127"/>
      <c r="U247" s="135"/>
      <c r="V247" s="129"/>
      <c r="W247" s="130"/>
      <c r="X247" s="131"/>
    </row>
    <row r="248" spans="1:24">
      <c r="A248" s="2"/>
      <c r="B248" s="11"/>
      <c r="C248" s="36"/>
      <c r="D248" s="10"/>
      <c r="E248" s="10"/>
      <c r="F248" s="88"/>
      <c r="G248" s="88"/>
      <c r="H248" s="88"/>
      <c r="I248" s="99"/>
      <c r="J248" s="10"/>
      <c r="K248" s="63"/>
      <c r="L248" s="63"/>
      <c r="M248" s="63"/>
      <c r="N248" s="63"/>
      <c r="O248" s="63"/>
      <c r="P248" s="63"/>
      <c r="Q248" s="63"/>
      <c r="R248" s="63"/>
      <c r="S248" s="63"/>
      <c r="T248" s="63"/>
      <c r="U248" s="94"/>
      <c r="V248" s="90"/>
      <c r="W248" s="91"/>
      <c r="X248" s="92"/>
    </row>
    <row r="249" spans="1:24" s="260" customFormat="1">
      <c r="A249" s="181"/>
      <c r="B249" s="100" t="s">
        <v>152</v>
      </c>
      <c r="C249" s="36"/>
      <c r="D249" s="10"/>
      <c r="E249" s="10"/>
      <c r="F249" s="88"/>
      <c r="G249" s="62"/>
      <c r="H249" s="88"/>
      <c r="I249" s="99"/>
      <c r="J249" s="10"/>
      <c r="K249" s="181"/>
      <c r="L249" s="181"/>
      <c r="M249" s="181"/>
      <c r="N249" s="181"/>
      <c r="O249" s="181"/>
      <c r="P249" s="181"/>
      <c r="Q249" s="181"/>
      <c r="R249" s="181"/>
      <c r="S249" s="181"/>
      <c r="T249" s="63"/>
      <c r="U249" s="10"/>
      <c r="V249" s="90"/>
      <c r="W249" s="91"/>
      <c r="X249" s="92"/>
    </row>
    <row r="250" spans="1:24" s="260" customFormat="1">
      <c r="A250" s="312" t="s">
        <v>194</v>
      </c>
      <c r="B250" s="87">
        <v>1</v>
      </c>
      <c r="C250" s="262">
        <v>45805</v>
      </c>
      <c r="D250" s="273" t="s">
        <v>195</v>
      </c>
      <c r="E250" s="271" t="s">
        <v>196</v>
      </c>
      <c r="F250" s="265">
        <v>2999.1</v>
      </c>
      <c r="G250" s="265">
        <v>39.700000000000003</v>
      </c>
      <c r="H250" s="265">
        <f>F250*0.2</f>
        <v>599.82000000000005</v>
      </c>
      <c r="I250" s="272">
        <f>F250-G250-H250</f>
        <v>2359.58</v>
      </c>
      <c r="J250" s="267" t="s">
        <v>197</v>
      </c>
      <c r="K250" s="267">
        <v>1</v>
      </c>
      <c r="L250" s="267">
        <v>1</v>
      </c>
      <c r="M250" s="267">
        <v>1</v>
      </c>
      <c r="N250" s="267">
        <v>1</v>
      </c>
      <c r="O250" s="267">
        <v>1</v>
      </c>
      <c r="P250" s="267">
        <v>0</v>
      </c>
      <c r="Q250" s="267">
        <v>0</v>
      </c>
      <c r="R250" s="267">
        <v>0</v>
      </c>
      <c r="S250" s="269">
        <v>0</v>
      </c>
      <c r="T250" s="63"/>
      <c r="U250" s="10" t="s">
        <v>198</v>
      </c>
      <c r="V250" s="90"/>
      <c r="W250" s="91"/>
      <c r="X250" s="92"/>
    </row>
    <row r="251" spans="1:24" s="260" customFormat="1">
      <c r="A251" s="312" t="s">
        <v>194</v>
      </c>
      <c r="B251" s="87">
        <f t="shared" ref="B251:B257" si="55">B250+1</f>
        <v>2</v>
      </c>
      <c r="C251" s="262">
        <v>45805</v>
      </c>
      <c r="D251" s="273" t="s">
        <v>199</v>
      </c>
      <c r="E251" s="271" t="s">
        <v>196</v>
      </c>
      <c r="F251" s="265">
        <v>16214</v>
      </c>
      <c r="G251" s="265">
        <f>39.7+44+36.26+(33.82+55.44)+(102.43+254.2+84.43+10.82+125.93)+1500</f>
        <v>2287.0299999999997</v>
      </c>
      <c r="H251" s="265">
        <f>F251*0.2</f>
        <v>3242.8</v>
      </c>
      <c r="I251" s="272">
        <f>F251-G251-H251</f>
        <v>10684.170000000002</v>
      </c>
      <c r="J251" s="267" t="s">
        <v>197</v>
      </c>
      <c r="K251" s="267">
        <v>1</v>
      </c>
      <c r="L251" s="267"/>
      <c r="M251" s="267">
        <v>1</v>
      </c>
      <c r="N251" s="267">
        <v>1</v>
      </c>
      <c r="O251" s="267">
        <v>1</v>
      </c>
      <c r="P251" s="267">
        <v>0</v>
      </c>
      <c r="Q251" s="267">
        <v>1</v>
      </c>
      <c r="R251" s="267">
        <v>1</v>
      </c>
      <c r="S251" s="269">
        <v>0</v>
      </c>
      <c r="T251" s="63"/>
      <c r="U251" s="10" t="s">
        <v>200</v>
      </c>
      <c r="V251" s="90"/>
      <c r="W251" s="136"/>
      <c r="X251" s="137"/>
    </row>
    <row r="252" spans="1:24" s="260" customFormat="1">
      <c r="A252" s="261">
        <v>0.05</v>
      </c>
      <c r="B252" s="87">
        <f t="shared" si="55"/>
        <v>3</v>
      </c>
      <c r="C252" s="262">
        <v>45826</v>
      </c>
      <c r="D252" s="271">
        <v>70849</v>
      </c>
      <c r="E252" s="271" t="s">
        <v>189</v>
      </c>
      <c r="F252" s="265">
        <f>1261</f>
        <v>1261</v>
      </c>
      <c r="G252" s="265">
        <v>39.700000000000003</v>
      </c>
      <c r="H252" s="265"/>
      <c r="I252" s="272">
        <f>F252-G252-H252</f>
        <v>1221.3</v>
      </c>
      <c r="J252" s="267" t="s">
        <v>156</v>
      </c>
      <c r="K252" s="267">
        <v>1</v>
      </c>
      <c r="L252" s="267"/>
      <c r="M252" s="267">
        <v>1</v>
      </c>
      <c r="N252" s="267">
        <v>1</v>
      </c>
      <c r="O252" s="267">
        <v>1</v>
      </c>
      <c r="P252" s="267">
        <v>1</v>
      </c>
      <c r="Q252" s="267"/>
      <c r="R252" s="267"/>
      <c r="S252" s="269"/>
      <c r="T252" s="63"/>
      <c r="U252" s="10" t="s">
        <v>201</v>
      </c>
      <c r="V252" s="90"/>
      <c r="W252" s="136"/>
      <c r="X252" s="137"/>
    </row>
    <row r="253" spans="1:24" s="260" customFormat="1">
      <c r="A253" s="261">
        <v>0.05</v>
      </c>
      <c r="B253" s="87">
        <f t="shared" si="55"/>
        <v>4</v>
      </c>
      <c r="C253" s="262">
        <v>45834</v>
      </c>
      <c r="D253" s="273" t="s">
        <v>188</v>
      </c>
      <c r="E253" s="271" t="s">
        <v>189</v>
      </c>
      <c r="F253" s="265">
        <f>11553-160.9</f>
        <v>11392.1</v>
      </c>
      <c r="G253" s="265">
        <f>39.7+4500+300</f>
        <v>4839.7</v>
      </c>
      <c r="H253" s="265">
        <f>F253*0.2</f>
        <v>2278.42</v>
      </c>
      <c r="I253" s="272">
        <f t="shared" ref="I253:I254" si="56">F253-G253-H253</f>
        <v>4273.9800000000005</v>
      </c>
      <c r="J253" s="267" t="s">
        <v>185</v>
      </c>
      <c r="K253" s="267">
        <v>1</v>
      </c>
      <c r="L253" s="267">
        <v>1</v>
      </c>
      <c r="M253" s="267">
        <v>1</v>
      </c>
      <c r="N253" s="267">
        <v>1</v>
      </c>
      <c r="O253" s="267">
        <v>1</v>
      </c>
      <c r="P253" s="267">
        <v>0</v>
      </c>
      <c r="Q253" s="267">
        <v>0</v>
      </c>
      <c r="R253" s="267">
        <v>0</v>
      </c>
      <c r="S253" s="269">
        <v>0</v>
      </c>
      <c r="T253" s="63"/>
      <c r="U253" s="10" t="s">
        <v>266</v>
      </c>
      <c r="V253" s="90"/>
      <c r="W253" s="136"/>
      <c r="X253" s="137"/>
    </row>
    <row r="254" spans="1:24" s="342" customFormat="1">
      <c r="A254" s="31">
        <v>0.05</v>
      </c>
      <c r="B254" s="87">
        <f t="shared" si="55"/>
        <v>5</v>
      </c>
      <c r="C254" s="262">
        <v>45838</v>
      </c>
      <c r="D254" s="271" t="s">
        <v>257</v>
      </c>
      <c r="E254" s="264" t="s">
        <v>227</v>
      </c>
      <c r="F254" s="265">
        <v>1261</v>
      </c>
      <c r="G254" s="265">
        <v>39.700000000000003</v>
      </c>
      <c r="H254" s="265"/>
      <c r="I254" s="272">
        <f t="shared" si="56"/>
        <v>1221.3</v>
      </c>
      <c r="J254" s="267" t="s">
        <v>156</v>
      </c>
      <c r="K254" s="267">
        <v>1</v>
      </c>
      <c r="L254" s="267">
        <v>1</v>
      </c>
      <c r="M254" s="267">
        <v>1</v>
      </c>
      <c r="N254" s="267">
        <v>1</v>
      </c>
      <c r="O254" s="267">
        <v>1</v>
      </c>
      <c r="P254" s="267">
        <v>0</v>
      </c>
      <c r="Q254" s="267">
        <v>1</v>
      </c>
      <c r="R254" s="267">
        <v>1</v>
      </c>
      <c r="S254" s="269">
        <v>0</v>
      </c>
      <c r="T254" s="63"/>
      <c r="U254" s="10" t="s">
        <v>258</v>
      </c>
      <c r="V254" s="90"/>
      <c r="W254" s="91"/>
      <c r="X254" s="92"/>
    </row>
    <row r="255" spans="1:24" s="260" customFormat="1">
      <c r="A255" s="261">
        <v>0.05</v>
      </c>
      <c r="B255" s="87">
        <f t="shared" si="55"/>
        <v>6</v>
      </c>
      <c r="C255" s="262">
        <v>45835</v>
      </c>
      <c r="D255" s="273">
        <v>71077</v>
      </c>
      <c r="E255" s="271" t="s">
        <v>204</v>
      </c>
      <c r="F255" s="265">
        <v>5814</v>
      </c>
      <c r="G255" s="265">
        <f>39.7+(727.51)</f>
        <v>767.21</v>
      </c>
      <c r="H255" s="265"/>
      <c r="I255" s="272">
        <f>F255-G255-H255</f>
        <v>5046.79</v>
      </c>
      <c r="J255" s="267" t="s">
        <v>236</v>
      </c>
      <c r="K255" s="267">
        <v>1</v>
      </c>
      <c r="L255" s="267">
        <v>1</v>
      </c>
      <c r="M255" s="267">
        <v>1</v>
      </c>
      <c r="N255" s="267">
        <v>1</v>
      </c>
      <c r="O255" s="267">
        <v>1</v>
      </c>
      <c r="P255" s="267">
        <v>0</v>
      </c>
      <c r="Q255" s="267">
        <v>0</v>
      </c>
      <c r="R255" s="267">
        <v>0</v>
      </c>
      <c r="S255" s="269">
        <v>0</v>
      </c>
      <c r="T255" s="63"/>
      <c r="U255" s="10" t="s">
        <v>267</v>
      </c>
      <c r="V255" s="90"/>
      <c r="W255" s="136"/>
      <c r="X255" s="137"/>
    </row>
    <row r="256" spans="1:24" s="260" customFormat="1">
      <c r="A256" s="261">
        <v>0.05</v>
      </c>
      <c r="B256" s="87">
        <f t="shared" si="55"/>
        <v>7</v>
      </c>
      <c r="C256" s="262">
        <v>45839</v>
      </c>
      <c r="D256" s="271">
        <v>71075</v>
      </c>
      <c r="E256" s="264" t="s">
        <v>262</v>
      </c>
      <c r="F256" s="265">
        <v>2261</v>
      </c>
      <c r="G256" s="265">
        <f>39.7+(68.49+164.51)</f>
        <v>272.7</v>
      </c>
      <c r="H256" s="265">
        <f>F256*0.2</f>
        <v>452.20000000000005</v>
      </c>
      <c r="I256" s="272">
        <f>F256-G256-H256</f>
        <v>1536.1</v>
      </c>
      <c r="J256" s="267" t="s">
        <v>313</v>
      </c>
      <c r="K256" s="267">
        <v>1</v>
      </c>
      <c r="L256" s="267"/>
      <c r="M256" s="267"/>
      <c r="N256" s="267">
        <v>1</v>
      </c>
      <c r="O256" s="267">
        <v>1</v>
      </c>
      <c r="P256" s="267">
        <v>0</v>
      </c>
      <c r="Q256" s="267"/>
      <c r="R256" s="267"/>
      <c r="S256" s="269"/>
      <c r="T256" s="63"/>
      <c r="U256" s="10" t="s">
        <v>314</v>
      </c>
      <c r="V256" s="90"/>
      <c r="W256" s="91"/>
      <c r="X256" s="92"/>
    </row>
    <row r="257" spans="1:24" s="260" customFormat="1">
      <c r="A257" s="261">
        <v>0.05</v>
      </c>
      <c r="B257" s="87">
        <f t="shared" si="55"/>
        <v>8</v>
      </c>
      <c r="C257" s="282">
        <v>45840</v>
      </c>
      <c r="D257" s="441" t="s">
        <v>264</v>
      </c>
      <c r="E257" s="283" t="s">
        <v>239</v>
      </c>
      <c r="F257" s="284">
        <v>14281</v>
      </c>
      <c r="G257" s="284">
        <f>39.7+160+108.8+62+420.4+62+(105.44+126.14+97.98+162.34+19.98+19.98)+(143.13+220.83-23.66)+1000</f>
        <v>2725.06</v>
      </c>
      <c r="H257" s="284">
        <f>F257*0.2</f>
        <v>2856.2000000000003</v>
      </c>
      <c r="I257" s="285">
        <f t="shared" ref="I257" si="57">F257-G257-H257</f>
        <v>8699.74</v>
      </c>
      <c r="J257" s="286" t="s">
        <v>185</v>
      </c>
      <c r="K257" s="286">
        <v>1</v>
      </c>
      <c r="L257" s="286">
        <v>1</v>
      </c>
      <c r="M257" s="286">
        <v>1</v>
      </c>
      <c r="N257" s="286">
        <v>1</v>
      </c>
      <c r="O257" s="286">
        <v>1</v>
      </c>
      <c r="P257" s="286">
        <v>0</v>
      </c>
      <c r="Q257" s="286">
        <v>1</v>
      </c>
      <c r="R257" s="286">
        <v>1</v>
      </c>
      <c r="S257" s="287">
        <v>1</v>
      </c>
      <c r="T257" s="63"/>
      <c r="U257" s="94" t="s">
        <v>315</v>
      </c>
      <c r="V257" s="90"/>
      <c r="W257" s="136"/>
      <c r="X257" s="137"/>
    </row>
    <row r="258" spans="1:24" s="260" customFormat="1">
      <c r="A258" s="181"/>
      <c r="B258" s="11"/>
      <c r="C258" s="36"/>
      <c r="D258" s="77"/>
      <c r="E258" s="10"/>
      <c r="F258" s="97">
        <f>SUM(F250:F257)</f>
        <v>55483.199999999997</v>
      </c>
      <c r="G258" s="97">
        <f t="shared" ref="G258:I258" si="58">SUM(G250:G257)</f>
        <v>11010.8</v>
      </c>
      <c r="H258" s="97">
        <f t="shared" si="58"/>
        <v>9429.44</v>
      </c>
      <c r="I258" s="97">
        <f t="shared" si="58"/>
        <v>35042.959999999999</v>
      </c>
      <c r="K258" s="21"/>
      <c r="L258" s="21"/>
      <c r="M258" s="21"/>
      <c r="N258" s="21"/>
      <c r="O258" s="21"/>
      <c r="P258" s="21"/>
      <c r="Q258" s="21"/>
      <c r="R258" s="21"/>
      <c r="S258" s="21"/>
      <c r="T258" s="63"/>
      <c r="U258" s="10"/>
      <c r="V258" s="90"/>
      <c r="W258" s="91"/>
      <c r="X258" s="92"/>
    </row>
    <row r="259" spans="1:24" s="260" customFormat="1">
      <c r="A259" s="181"/>
      <c r="B259" s="11"/>
      <c r="C259" s="36"/>
      <c r="D259" s="77"/>
      <c r="E259" s="10"/>
      <c r="F259" s="88"/>
      <c r="G259" s="88"/>
      <c r="H259" s="88"/>
      <c r="I259" s="99"/>
      <c r="J259" s="63"/>
      <c r="K259" s="21"/>
      <c r="L259" s="21"/>
      <c r="M259" s="21"/>
      <c r="N259" s="21"/>
      <c r="O259" s="21"/>
      <c r="P259" s="21"/>
      <c r="Q259" s="21"/>
      <c r="R259" s="21"/>
      <c r="S259" s="21"/>
      <c r="T259" s="63"/>
      <c r="U259" s="10"/>
      <c r="V259" s="90"/>
      <c r="W259" s="91"/>
      <c r="X259" s="92"/>
    </row>
    <row r="260" spans="1:24" s="260" customFormat="1">
      <c r="A260" s="181"/>
      <c r="B260" s="100" t="s">
        <v>202</v>
      </c>
      <c r="C260" s="299"/>
      <c r="D260" s="77"/>
      <c r="E260" s="181"/>
      <c r="F260" s="88"/>
      <c r="G260" s="88"/>
      <c r="H260" s="88"/>
      <c r="I260" s="99"/>
      <c r="J260" s="63"/>
      <c r="K260" s="21"/>
      <c r="L260" s="21"/>
      <c r="M260" s="21"/>
      <c r="N260" s="21"/>
      <c r="O260" s="21"/>
      <c r="P260" s="21"/>
      <c r="Q260" s="21"/>
      <c r="R260" s="21"/>
      <c r="S260" s="21"/>
      <c r="T260" s="63"/>
      <c r="U260" s="10"/>
      <c r="V260" s="90"/>
      <c r="W260" s="91"/>
      <c r="X260" s="92"/>
    </row>
    <row r="261" spans="1:24" s="260" customFormat="1">
      <c r="A261" s="31">
        <v>0.05</v>
      </c>
      <c r="B261" s="87">
        <v>1</v>
      </c>
      <c r="C261" s="262">
        <v>45789</v>
      </c>
      <c r="D261" s="273">
        <v>70067</v>
      </c>
      <c r="E261" s="271" t="s">
        <v>203</v>
      </c>
      <c r="F261" s="265">
        <v>481</v>
      </c>
      <c r="G261" s="265"/>
      <c r="H261" s="265"/>
      <c r="I261" s="272">
        <f>F261-G261-H261</f>
        <v>481</v>
      </c>
      <c r="J261" s="267"/>
      <c r="K261" s="267">
        <v>1</v>
      </c>
      <c r="L261" s="267"/>
      <c r="M261" s="267"/>
      <c r="N261" s="267">
        <v>1</v>
      </c>
      <c r="O261" s="267">
        <v>1</v>
      </c>
      <c r="P261" s="267">
        <v>0</v>
      </c>
      <c r="Q261" s="267"/>
      <c r="R261" s="267"/>
      <c r="S261" s="269"/>
      <c r="T261" s="63"/>
      <c r="U261" s="10"/>
      <c r="V261" s="90"/>
      <c r="W261" s="136"/>
      <c r="X261" s="137"/>
    </row>
    <row r="262" spans="1:24" s="260" customFormat="1">
      <c r="B262" s="11"/>
      <c r="C262" s="36"/>
      <c r="D262" s="10"/>
      <c r="E262" s="10"/>
      <c r="F262" s="97">
        <f>SUM(F261:F261)</f>
        <v>481</v>
      </c>
      <c r="G262" s="97">
        <f>SUM(G261:G261)</f>
        <v>0</v>
      </c>
      <c r="H262" s="97">
        <f>SUM(H261:H261)</f>
        <v>0</v>
      </c>
      <c r="I262" s="97">
        <f>SUM(I261:I261)</f>
        <v>481</v>
      </c>
      <c r="J262" s="63"/>
      <c r="K262" s="21"/>
      <c r="L262" s="21"/>
      <c r="M262" s="21"/>
      <c r="N262" s="21"/>
      <c r="O262" s="21"/>
      <c r="P262" s="21"/>
      <c r="Q262" s="21"/>
      <c r="R262" s="21"/>
      <c r="S262" s="21"/>
      <c r="T262" s="63"/>
      <c r="U262" s="10"/>
      <c r="V262" s="90"/>
      <c r="W262" s="91"/>
      <c r="X262" s="92"/>
    </row>
    <row r="263" spans="1:24" s="260" customFormat="1">
      <c r="B263" s="11"/>
      <c r="C263" s="36"/>
      <c r="D263" s="10"/>
      <c r="E263" s="10"/>
      <c r="F263" s="88"/>
      <c r="G263" s="88"/>
      <c r="H263" s="88"/>
      <c r="I263" s="88"/>
      <c r="J263" s="63"/>
      <c r="K263" s="21"/>
      <c r="L263" s="21"/>
      <c r="M263" s="21"/>
      <c r="N263" s="21"/>
      <c r="O263" s="21"/>
      <c r="P263" s="21"/>
      <c r="Q263" s="21"/>
      <c r="R263" s="21"/>
      <c r="S263" s="21"/>
      <c r="T263" s="63"/>
      <c r="U263" s="10"/>
      <c r="V263" s="90"/>
      <c r="W263" s="91"/>
      <c r="X263" s="92"/>
    </row>
    <row r="264" spans="1:24">
      <c r="A264" s="2"/>
      <c r="B264" s="100" t="s">
        <v>72</v>
      </c>
      <c r="C264" s="36"/>
      <c r="D264" s="10"/>
      <c r="E264" s="10"/>
      <c r="F264" s="88"/>
      <c r="G264" s="88"/>
      <c r="H264" s="88"/>
      <c r="I264" s="99"/>
      <c r="J264" s="63"/>
      <c r="K264" s="63"/>
      <c r="L264" s="63"/>
      <c r="M264" s="63"/>
      <c r="N264" s="63"/>
      <c r="O264" s="63"/>
      <c r="P264" s="63"/>
      <c r="Q264" s="63"/>
      <c r="R264" s="63"/>
      <c r="S264" s="63"/>
      <c r="T264" s="63"/>
      <c r="U264" s="10"/>
      <c r="V264" s="90"/>
      <c r="W264" s="91"/>
      <c r="X264" s="92"/>
    </row>
    <row r="265" spans="1:24">
      <c r="A265" s="2"/>
      <c r="B265" s="87">
        <v>1</v>
      </c>
      <c r="C265" s="274">
        <v>45845</v>
      </c>
      <c r="D265" s="460" t="s">
        <v>316</v>
      </c>
      <c r="E265" s="276" t="s">
        <v>184</v>
      </c>
      <c r="F265" s="277">
        <v>11953</v>
      </c>
      <c r="G265" s="277">
        <v>39.700000000000003</v>
      </c>
      <c r="H265" s="277"/>
      <c r="I265" s="278">
        <f t="shared" ref="I265:I284" si="59">F265-G265-H265</f>
        <v>11913.3</v>
      </c>
      <c r="J265" s="279" t="s">
        <v>205</v>
      </c>
      <c r="K265" s="279">
        <v>1</v>
      </c>
      <c r="L265" s="279"/>
      <c r="M265" s="279"/>
      <c r="N265" s="279">
        <v>1</v>
      </c>
      <c r="O265" s="279"/>
      <c r="P265" s="279"/>
      <c r="Q265" s="279">
        <v>1</v>
      </c>
      <c r="R265" s="279">
        <v>1</v>
      </c>
      <c r="S265" s="280">
        <v>1</v>
      </c>
      <c r="T265" s="63"/>
      <c r="U265" s="3"/>
      <c r="V265" s="90"/>
      <c r="W265" s="91"/>
      <c r="X265" s="92"/>
    </row>
    <row r="266" spans="1:24">
      <c r="A266" s="2"/>
      <c r="B266" s="87">
        <f t="shared" ref="B266:B282" si="60">B265+1</f>
        <v>2</v>
      </c>
      <c r="C266" s="274">
        <v>45846</v>
      </c>
      <c r="D266" s="276">
        <v>71309</v>
      </c>
      <c r="E266" s="276" t="s">
        <v>260</v>
      </c>
      <c r="F266" s="277">
        <v>12814</v>
      </c>
      <c r="G266" s="277">
        <v>39.700000000000003</v>
      </c>
      <c r="H266" s="277"/>
      <c r="I266" s="278">
        <f t="shared" si="59"/>
        <v>12774.3</v>
      </c>
      <c r="J266" s="279" t="s">
        <v>156</v>
      </c>
      <c r="K266" s="279">
        <v>1</v>
      </c>
      <c r="L266" s="279"/>
      <c r="M266" s="279"/>
      <c r="N266" s="279">
        <v>1</v>
      </c>
      <c r="O266" s="279"/>
      <c r="P266" s="279"/>
      <c r="Q266" s="279"/>
      <c r="R266" s="279"/>
      <c r="S266" s="280"/>
      <c r="T266" s="63"/>
      <c r="U266" s="10"/>
      <c r="V266" s="90">
        <v>93.5</v>
      </c>
      <c r="W266" s="136"/>
      <c r="X266" s="137"/>
    </row>
    <row r="267" spans="1:24">
      <c r="A267" s="2"/>
      <c r="B267" s="87">
        <f t="shared" si="60"/>
        <v>3</v>
      </c>
      <c r="C267" s="295">
        <v>45846</v>
      </c>
      <c r="D267" s="10">
        <v>71321</v>
      </c>
      <c r="E267" s="10" t="s">
        <v>317</v>
      </c>
      <c r="F267" s="62">
        <v>0</v>
      </c>
      <c r="G267" s="62"/>
      <c r="H267" s="62"/>
      <c r="I267" s="89">
        <f t="shared" si="59"/>
        <v>0</v>
      </c>
      <c r="J267" s="63" t="s">
        <v>219</v>
      </c>
      <c r="K267" s="63"/>
      <c r="L267" s="63"/>
      <c r="M267" s="63"/>
      <c r="N267" s="63"/>
      <c r="O267" s="63"/>
      <c r="P267" s="63"/>
      <c r="Q267" s="63"/>
      <c r="R267" s="63"/>
      <c r="S267" s="296"/>
      <c r="T267" s="63"/>
      <c r="U267" s="10" t="s">
        <v>318</v>
      </c>
      <c r="V267" s="90"/>
      <c r="W267" s="136"/>
      <c r="X267" s="137"/>
    </row>
    <row r="268" spans="1:24">
      <c r="A268" s="2"/>
      <c r="B268" s="87">
        <f t="shared" si="60"/>
        <v>4</v>
      </c>
      <c r="C268" s="295">
        <v>45846</v>
      </c>
      <c r="D268" s="10">
        <v>71326</v>
      </c>
      <c r="E268" s="10" t="s">
        <v>319</v>
      </c>
      <c r="F268" s="62">
        <v>500</v>
      </c>
      <c r="G268" s="62"/>
      <c r="H268" s="62"/>
      <c r="I268" s="89">
        <f t="shared" si="59"/>
        <v>500</v>
      </c>
      <c r="J268" s="63" t="s">
        <v>205</v>
      </c>
      <c r="K268" s="63"/>
      <c r="L268" s="63"/>
      <c r="M268" s="63"/>
      <c r="N268" s="63">
        <v>1</v>
      </c>
      <c r="O268" s="63"/>
      <c r="P268" s="63"/>
      <c r="Q268" s="63">
        <v>1</v>
      </c>
      <c r="R268" s="63">
        <v>1</v>
      </c>
      <c r="S268" s="296">
        <v>1</v>
      </c>
      <c r="T268" s="63"/>
      <c r="U268" s="10"/>
      <c r="V268" s="90"/>
      <c r="W268" s="136"/>
      <c r="X268" s="137"/>
    </row>
    <row r="269" spans="1:24">
      <c r="A269" s="2"/>
      <c r="B269" s="87">
        <f t="shared" si="60"/>
        <v>5</v>
      </c>
      <c r="C269" s="274">
        <v>45847</v>
      </c>
      <c r="D269" s="275" t="s">
        <v>320</v>
      </c>
      <c r="E269" s="276" t="s">
        <v>203</v>
      </c>
      <c r="F269" s="277">
        <v>15076</v>
      </c>
      <c r="G269" s="277">
        <v>39.700000000000003</v>
      </c>
      <c r="H269" s="277"/>
      <c r="I269" s="278">
        <f t="shared" si="59"/>
        <v>15036.3</v>
      </c>
      <c r="J269" s="279" t="s">
        <v>205</v>
      </c>
      <c r="K269" s="279">
        <v>1</v>
      </c>
      <c r="L269" s="279"/>
      <c r="M269" s="279"/>
      <c r="N269" s="279">
        <v>1</v>
      </c>
      <c r="O269" s="279"/>
      <c r="P269" s="279"/>
      <c r="Q269" s="279"/>
      <c r="R269" s="279"/>
      <c r="S269" s="280"/>
      <c r="T269" s="63"/>
      <c r="U269" s="10"/>
      <c r="V269" s="90"/>
      <c r="W269" s="136"/>
      <c r="X269" s="137"/>
    </row>
    <row r="270" spans="1:24">
      <c r="A270" s="2"/>
      <c r="B270" s="87">
        <f t="shared" si="60"/>
        <v>6</v>
      </c>
      <c r="C270" s="295">
        <v>45847</v>
      </c>
      <c r="D270" s="10">
        <v>71336</v>
      </c>
      <c r="E270" s="101" t="s">
        <v>245</v>
      </c>
      <c r="F270" s="62">
        <v>6749</v>
      </c>
      <c r="G270" s="62">
        <v>39.700000000000003</v>
      </c>
      <c r="H270" s="62"/>
      <c r="I270" s="89">
        <f t="shared" si="59"/>
        <v>6709.3</v>
      </c>
      <c r="J270" s="63" t="s">
        <v>205</v>
      </c>
      <c r="K270" s="63">
        <v>1</v>
      </c>
      <c r="L270" s="63"/>
      <c r="M270" s="63"/>
      <c r="N270" s="63"/>
      <c r="O270" s="63"/>
      <c r="P270" s="63"/>
      <c r="Q270" s="63">
        <v>1</v>
      </c>
      <c r="R270" s="63">
        <v>1</v>
      </c>
      <c r="S270" s="296">
        <v>1</v>
      </c>
      <c r="T270" s="63"/>
      <c r="U270" s="10"/>
      <c r="V270" s="90"/>
      <c r="W270" s="136"/>
      <c r="X270" s="137"/>
    </row>
    <row r="271" spans="1:24">
      <c r="A271" s="2"/>
      <c r="B271" s="87">
        <f t="shared" si="60"/>
        <v>7</v>
      </c>
      <c r="C271" s="295">
        <v>45847</v>
      </c>
      <c r="D271" s="10">
        <v>71310</v>
      </c>
      <c r="E271" s="101" t="s">
        <v>204</v>
      </c>
      <c r="F271" s="62">
        <v>0</v>
      </c>
      <c r="G271" s="62"/>
      <c r="H271" s="62"/>
      <c r="I271" s="89">
        <f t="shared" si="59"/>
        <v>0</v>
      </c>
      <c r="J271" s="63" t="s">
        <v>219</v>
      </c>
      <c r="K271" s="63">
        <v>1</v>
      </c>
      <c r="L271" s="63"/>
      <c r="M271" s="63"/>
      <c r="N271" s="63"/>
      <c r="O271" s="63"/>
      <c r="P271" s="63"/>
      <c r="Q271" s="63"/>
      <c r="R271" s="63"/>
      <c r="S271" s="296"/>
      <c r="T271" s="63"/>
      <c r="U271" s="10"/>
      <c r="V271" s="90"/>
      <c r="W271" s="136"/>
      <c r="X271" s="137"/>
    </row>
    <row r="272" spans="1:24">
      <c r="A272" s="2"/>
      <c r="B272" s="87">
        <f>B271+1</f>
        <v>8</v>
      </c>
      <c r="C272" s="295">
        <v>45847</v>
      </c>
      <c r="D272" s="10" t="s">
        <v>321</v>
      </c>
      <c r="E272" s="10" t="s">
        <v>292</v>
      </c>
      <c r="F272" s="62">
        <v>8614</v>
      </c>
      <c r="G272" s="62">
        <v>39.700000000000003</v>
      </c>
      <c r="H272" s="62"/>
      <c r="I272" s="89">
        <f t="shared" si="59"/>
        <v>8574.2999999999993</v>
      </c>
      <c r="J272" s="63" t="s">
        <v>205</v>
      </c>
      <c r="K272" s="63">
        <v>1</v>
      </c>
      <c r="L272" s="63"/>
      <c r="M272" s="63"/>
      <c r="N272" s="63">
        <v>1</v>
      </c>
      <c r="O272" s="63"/>
      <c r="P272" s="63"/>
      <c r="Q272" s="63"/>
      <c r="R272" s="63"/>
      <c r="S272" s="296"/>
      <c r="T272" s="63"/>
      <c r="U272" s="10"/>
      <c r="V272" s="90"/>
      <c r="W272" s="136"/>
      <c r="X272" s="137"/>
    </row>
    <row r="273" spans="1:24">
      <c r="A273" s="2"/>
      <c r="B273" s="87">
        <f t="shared" si="60"/>
        <v>9</v>
      </c>
      <c r="C273" s="295">
        <v>45847</v>
      </c>
      <c r="D273" s="10">
        <v>71340</v>
      </c>
      <c r="E273" s="101" t="s">
        <v>322</v>
      </c>
      <c r="F273" s="62">
        <v>0</v>
      </c>
      <c r="G273" s="62"/>
      <c r="H273" s="62"/>
      <c r="I273" s="89">
        <f t="shared" si="59"/>
        <v>0</v>
      </c>
      <c r="J273" s="63" t="s">
        <v>219</v>
      </c>
      <c r="K273" s="63"/>
      <c r="L273" s="63"/>
      <c r="M273" s="63"/>
      <c r="N273" s="63"/>
      <c r="O273" s="63"/>
      <c r="P273" s="63"/>
      <c r="Q273" s="63"/>
      <c r="R273" s="63"/>
      <c r="S273" s="296"/>
      <c r="T273" s="63"/>
      <c r="U273" s="10" t="s">
        <v>323</v>
      </c>
      <c r="V273" s="90"/>
      <c r="W273" s="136"/>
      <c r="X273" s="137"/>
    </row>
    <row r="274" spans="1:24">
      <c r="A274" s="2"/>
      <c r="B274" s="87">
        <f t="shared" si="60"/>
        <v>10</v>
      </c>
      <c r="C274" s="295">
        <v>45847</v>
      </c>
      <c r="D274" s="77" t="s">
        <v>324</v>
      </c>
      <c r="E274" s="101" t="s">
        <v>325</v>
      </c>
      <c r="F274" s="62">
        <v>12814</v>
      </c>
      <c r="G274" s="62">
        <v>39.700000000000003</v>
      </c>
      <c r="H274" s="62"/>
      <c r="I274" s="89">
        <f t="shared" si="59"/>
        <v>12774.3</v>
      </c>
      <c r="J274" s="63" t="s">
        <v>205</v>
      </c>
      <c r="K274" s="63">
        <v>1</v>
      </c>
      <c r="L274" s="63"/>
      <c r="M274" s="63"/>
      <c r="N274" s="63">
        <v>1</v>
      </c>
      <c r="O274" s="63"/>
      <c r="P274" s="63"/>
      <c r="Q274" s="63">
        <v>1</v>
      </c>
      <c r="R274" s="63">
        <v>1</v>
      </c>
      <c r="S274" s="296">
        <v>1</v>
      </c>
      <c r="T274" s="63"/>
      <c r="U274" s="10"/>
      <c r="V274" s="90"/>
      <c r="W274" s="136"/>
      <c r="X274" s="137"/>
    </row>
    <row r="275" spans="1:24">
      <c r="A275" s="2"/>
      <c r="B275" s="87">
        <f t="shared" si="60"/>
        <v>11</v>
      </c>
      <c r="C275" s="295">
        <v>45847</v>
      </c>
      <c r="D275" s="77" t="s">
        <v>326</v>
      </c>
      <c r="E275" s="101" t="s">
        <v>325</v>
      </c>
      <c r="F275" s="62">
        <v>3814</v>
      </c>
      <c r="G275" s="62">
        <v>39.700000000000003</v>
      </c>
      <c r="H275" s="62"/>
      <c r="I275" s="89">
        <f t="shared" si="59"/>
        <v>3774.3</v>
      </c>
      <c r="J275" s="63" t="s">
        <v>205</v>
      </c>
      <c r="K275" s="63">
        <v>1</v>
      </c>
      <c r="L275" s="63"/>
      <c r="M275" s="63"/>
      <c r="N275" s="63">
        <v>1</v>
      </c>
      <c r="O275" s="63"/>
      <c r="P275" s="63"/>
      <c r="Q275" s="63">
        <v>1</v>
      </c>
      <c r="R275" s="63">
        <v>1</v>
      </c>
      <c r="S275" s="296">
        <v>1</v>
      </c>
      <c r="T275" s="63"/>
      <c r="U275" s="10"/>
      <c r="V275" s="90"/>
      <c r="W275" s="136"/>
      <c r="X275" s="137"/>
    </row>
    <row r="276" spans="1:24">
      <c r="A276" s="2"/>
      <c r="B276" s="87">
        <f t="shared" si="60"/>
        <v>12</v>
      </c>
      <c r="C276" s="274">
        <v>45848</v>
      </c>
      <c r="D276" s="276">
        <v>71346</v>
      </c>
      <c r="E276" s="281" t="s">
        <v>302</v>
      </c>
      <c r="F276" s="277">
        <v>1216</v>
      </c>
      <c r="G276" s="277">
        <v>39.700000000000003</v>
      </c>
      <c r="H276" s="277"/>
      <c r="I276" s="278">
        <f t="shared" si="59"/>
        <v>1176.3</v>
      </c>
      <c r="J276" s="279" t="s">
        <v>205</v>
      </c>
      <c r="K276" s="279">
        <v>1</v>
      </c>
      <c r="L276" s="279"/>
      <c r="M276" s="279"/>
      <c r="N276" s="279">
        <v>1</v>
      </c>
      <c r="O276" s="279"/>
      <c r="P276" s="279"/>
      <c r="Q276" s="279">
        <v>1</v>
      </c>
      <c r="R276" s="279">
        <v>1</v>
      </c>
      <c r="S276" s="280">
        <v>1</v>
      </c>
      <c r="T276" s="63"/>
      <c r="U276" s="10"/>
      <c r="V276" s="90"/>
      <c r="W276" s="136"/>
      <c r="X276" s="137"/>
    </row>
    <row r="277" spans="1:24">
      <c r="A277" s="2"/>
      <c r="B277" s="87">
        <f t="shared" si="60"/>
        <v>13</v>
      </c>
      <c r="C277" s="295">
        <v>45848</v>
      </c>
      <c r="D277" s="10">
        <v>71366</v>
      </c>
      <c r="E277" s="101" t="s">
        <v>327</v>
      </c>
      <c r="F277" s="62">
        <v>2814</v>
      </c>
      <c r="G277" s="62">
        <v>39.700000000000003</v>
      </c>
      <c r="H277" s="62"/>
      <c r="I277" s="89">
        <f t="shared" si="59"/>
        <v>2774.3</v>
      </c>
      <c r="J277" s="63" t="s">
        <v>205</v>
      </c>
      <c r="K277" s="63">
        <v>1</v>
      </c>
      <c r="L277" s="63"/>
      <c r="M277" s="63"/>
      <c r="N277" s="63">
        <v>1</v>
      </c>
      <c r="O277" s="63"/>
      <c r="P277" s="63"/>
      <c r="Q277" s="63">
        <v>1</v>
      </c>
      <c r="R277" s="63">
        <v>1</v>
      </c>
      <c r="S277" s="296">
        <v>1</v>
      </c>
      <c r="T277" s="63"/>
      <c r="U277" s="10"/>
      <c r="V277" s="90"/>
      <c r="W277" s="136"/>
      <c r="X277" s="137"/>
    </row>
    <row r="278" spans="1:24">
      <c r="A278" s="2"/>
      <c r="B278" s="87">
        <f t="shared" si="60"/>
        <v>14</v>
      </c>
      <c r="C278" s="295">
        <v>45848</v>
      </c>
      <c r="D278" s="10">
        <v>71345</v>
      </c>
      <c r="E278" s="10" t="s">
        <v>178</v>
      </c>
      <c r="F278" s="62">
        <v>1073</v>
      </c>
      <c r="G278" s="62">
        <v>39.700000000000003</v>
      </c>
      <c r="H278" s="62"/>
      <c r="I278" s="89">
        <f t="shared" si="59"/>
        <v>1033.3</v>
      </c>
      <c r="J278" s="63" t="s">
        <v>205</v>
      </c>
      <c r="K278" s="63">
        <v>1</v>
      </c>
      <c r="L278" s="63"/>
      <c r="M278" s="63"/>
      <c r="N278" s="63">
        <v>1</v>
      </c>
      <c r="O278" s="63"/>
      <c r="P278" s="63"/>
      <c r="Q278" s="63">
        <v>1</v>
      </c>
      <c r="R278" s="63">
        <v>1</v>
      </c>
      <c r="S278" s="296">
        <v>1</v>
      </c>
      <c r="T278" s="63"/>
      <c r="U278" s="10"/>
      <c r="V278" s="90"/>
      <c r="W278" s="136"/>
      <c r="X278" s="137"/>
    </row>
    <row r="279" spans="1:24">
      <c r="A279" s="2"/>
      <c r="B279" s="87">
        <f>B278+1</f>
        <v>15</v>
      </c>
      <c r="C279" s="295">
        <v>45848</v>
      </c>
      <c r="D279" s="77" t="s">
        <v>328</v>
      </c>
      <c r="E279" s="10" t="s">
        <v>296</v>
      </c>
      <c r="F279" s="62">
        <v>11676</v>
      </c>
      <c r="G279" s="62">
        <v>39.700000000000003</v>
      </c>
      <c r="H279" s="62"/>
      <c r="I279" s="89">
        <f t="shared" si="59"/>
        <v>11636.3</v>
      </c>
      <c r="J279" s="63" t="s">
        <v>205</v>
      </c>
      <c r="K279" s="63">
        <v>1</v>
      </c>
      <c r="L279" s="63"/>
      <c r="M279" s="63"/>
      <c r="N279" s="63">
        <v>1</v>
      </c>
      <c r="O279" s="63"/>
      <c r="P279" s="63"/>
      <c r="Q279" s="63"/>
      <c r="R279" s="63"/>
      <c r="S279" s="296"/>
      <c r="T279" s="63"/>
      <c r="U279" s="10"/>
      <c r="V279" s="90"/>
      <c r="W279" s="136"/>
      <c r="X279" s="137"/>
    </row>
    <row r="280" spans="1:24">
      <c r="A280" s="2"/>
      <c r="B280" s="87">
        <f>B279+1</f>
        <v>16</v>
      </c>
      <c r="C280" s="295">
        <v>45848</v>
      </c>
      <c r="D280" s="10">
        <v>71379</v>
      </c>
      <c r="E280" s="10" t="s">
        <v>184</v>
      </c>
      <c r="F280" s="62">
        <v>2681</v>
      </c>
      <c r="G280" s="62">
        <v>39.700000000000003</v>
      </c>
      <c r="H280" s="62"/>
      <c r="I280" s="89">
        <f t="shared" si="59"/>
        <v>2641.3</v>
      </c>
      <c r="J280" s="63" t="s">
        <v>205</v>
      </c>
      <c r="K280" s="63">
        <v>1</v>
      </c>
      <c r="L280" s="63"/>
      <c r="M280" s="63"/>
      <c r="N280" s="63">
        <v>1</v>
      </c>
      <c r="O280" s="63"/>
      <c r="P280" s="63"/>
      <c r="Q280" s="63">
        <v>1</v>
      </c>
      <c r="R280" s="63">
        <v>1</v>
      </c>
      <c r="S280" s="296">
        <v>1</v>
      </c>
      <c r="T280" s="63"/>
      <c r="U280" s="10"/>
      <c r="V280" s="90"/>
      <c r="W280" s="136"/>
      <c r="X280" s="137"/>
    </row>
    <row r="281" spans="1:24">
      <c r="A281" s="2"/>
      <c r="B281" s="87">
        <f t="shared" si="60"/>
        <v>17</v>
      </c>
      <c r="C281" s="274">
        <v>45849</v>
      </c>
      <c r="D281" s="276">
        <v>71389</v>
      </c>
      <c r="E281" s="276" t="s">
        <v>329</v>
      </c>
      <c r="F281" s="277">
        <v>3977.1</v>
      </c>
      <c r="G281" s="277">
        <v>39.700000000000003</v>
      </c>
      <c r="H281" s="277"/>
      <c r="I281" s="278">
        <f t="shared" si="59"/>
        <v>3937.4</v>
      </c>
      <c r="J281" s="279" t="s">
        <v>205</v>
      </c>
      <c r="K281" s="279">
        <v>1</v>
      </c>
      <c r="L281" s="279"/>
      <c r="M281" s="279"/>
      <c r="N281" s="279">
        <v>1</v>
      </c>
      <c r="O281" s="279"/>
      <c r="P281" s="279"/>
      <c r="Q281" s="279">
        <v>1</v>
      </c>
      <c r="R281" s="279">
        <v>1</v>
      </c>
      <c r="S281" s="280">
        <v>1</v>
      </c>
      <c r="T281" s="63"/>
      <c r="U281" s="10"/>
      <c r="V281" s="90"/>
      <c r="W281" s="136"/>
      <c r="X281" s="137"/>
    </row>
    <row r="282" spans="1:24">
      <c r="A282" s="2"/>
      <c r="B282" s="87">
        <f t="shared" si="60"/>
        <v>18</v>
      </c>
      <c r="C282" s="295">
        <v>45849</v>
      </c>
      <c r="D282" s="10">
        <v>71388</v>
      </c>
      <c r="E282" s="10" t="s">
        <v>330</v>
      </c>
      <c r="F282" s="62">
        <v>681</v>
      </c>
      <c r="G282" s="62"/>
      <c r="H282" s="62"/>
      <c r="I282" s="89">
        <f t="shared" si="59"/>
        <v>681</v>
      </c>
      <c r="J282" s="63" t="s">
        <v>205</v>
      </c>
      <c r="K282" s="63">
        <v>1</v>
      </c>
      <c r="L282" s="63"/>
      <c r="M282" s="63"/>
      <c r="N282" s="63">
        <v>1</v>
      </c>
      <c r="O282" s="63"/>
      <c r="P282" s="63"/>
      <c r="Q282" s="63">
        <v>1</v>
      </c>
      <c r="R282" s="63">
        <v>1</v>
      </c>
      <c r="S282" s="296">
        <v>1</v>
      </c>
      <c r="T282" s="63"/>
      <c r="U282" s="10"/>
      <c r="V282" s="90"/>
      <c r="W282" s="136"/>
      <c r="X282" s="137"/>
    </row>
    <row r="283" spans="1:24">
      <c r="A283" s="2"/>
      <c r="B283" s="87">
        <f>B282+1</f>
        <v>19</v>
      </c>
      <c r="C283" s="295">
        <v>45849</v>
      </c>
      <c r="D283" s="77" t="s">
        <v>331</v>
      </c>
      <c r="E283" s="10" t="s">
        <v>294</v>
      </c>
      <c r="F283" s="62">
        <v>14953</v>
      </c>
      <c r="G283" s="62">
        <v>39.700000000000003</v>
      </c>
      <c r="H283" s="62"/>
      <c r="I283" s="89">
        <f t="shared" si="59"/>
        <v>14913.3</v>
      </c>
      <c r="J283" s="63" t="s">
        <v>205</v>
      </c>
      <c r="K283" s="63">
        <v>1</v>
      </c>
      <c r="L283" s="63"/>
      <c r="M283" s="63"/>
      <c r="N283" s="63">
        <v>1</v>
      </c>
      <c r="O283" s="63"/>
      <c r="P283" s="63"/>
      <c r="Q283" s="63"/>
      <c r="R283" s="63"/>
      <c r="S283" s="296"/>
      <c r="T283" s="63"/>
      <c r="U283" s="10"/>
      <c r="V283" s="90"/>
      <c r="W283" s="136"/>
      <c r="X283" s="137"/>
    </row>
    <row r="284" spans="1:24">
      <c r="A284" s="2"/>
      <c r="B284" s="87">
        <f>B283+1</f>
        <v>20</v>
      </c>
      <c r="C284" s="282">
        <v>45849</v>
      </c>
      <c r="D284" s="283">
        <v>71376</v>
      </c>
      <c r="E284" s="283" t="s">
        <v>292</v>
      </c>
      <c r="F284" s="284">
        <v>0</v>
      </c>
      <c r="G284" s="284"/>
      <c r="H284" s="284"/>
      <c r="I284" s="285">
        <f t="shared" si="59"/>
        <v>0</v>
      </c>
      <c r="J284" s="286" t="s">
        <v>219</v>
      </c>
      <c r="K284" s="286">
        <v>1</v>
      </c>
      <c r="L284" s="286"/>
      <c r="M284" s="286"/>
      <c r="N284" s="286"/>
      <c r="O284" s="286"/>
      <c r="P284" s="286"/>
      <c r="Q284" s="286"/>
      <c r="R284" s="286"/>
      <c r="S284" s="287"/>
      <c r="T284" s="63"/>
      <c r="U284" s="10" t="s">
        <v>332</v>
      </c>
      <c r="V284" s="90"/>
      <c r="W284" s="136"/>
      <c r="X284" s="137"/>
    </row>
    <row r="285" spans="1:24">
      <c r="A285" s="2"/>
      <c r="B285" s="11"/>
      <c r="C285" s="36"/>
      <c r="D285" s="10"/>
      <c r="E285" s="10"/>
      <c r="F285" s="97">
        <f>SUM(F265:F284)</f>
        <v>111405.1</v>
      </c>
      <c r="G285" s="97">
        <f>SUM(G265:G284)</f>
        <v>555.79999999999995</v>
      </c>
      <c r="H285" s="97">
        <f>SUM(H265:H284)</f>
        <v>0</v>
      </c>
      <c r="I285" s="98">
        <f>SUM(I265:I284)</f>
        <v>110849.30000000002</v>
      </c>
      <c r="J285" s="10"/>
      <c r="K285" s="10"/>
      <c r="L285" s="10"/>
      <c r="M285" s="10"/>
      <c r="N285" s="10"/>
      <c r="O285" s="10"/>
      <c r="P285" s="10"/>
      <c r="Q285" s="10"/>
      <c r="R285" s="10"/>
      <c r="S285" s="10"/>
      <c r="T285" s="63"/>
      <c r="U285" s="10"/>
      <c r="V285" s="138"/>
      <c r="W285" s="136"/>
      <c r="X285" s="137"/>
    </row>
    <row r="286" spans="1:24">
      <c r="A286" s="2"/>
      <c r="B286" s="11"/>
      <c r="C286" s="36"/>
      <c r="D286" s="10"/>
      <c r="E286" s="10"/>
      <c r="F286" s="88"/>
      <c r="G286" s="88"/>
      <c r="H286" s="88"/>
      <c r="I286" s="99"/>
      <c r="J286" s="10"/>
      <c r="K286" s="10"/>
      <c r="L286" s="10"/>
      <c r="M286" s="10"/>
      <c r="N286" s="10"/>
      <c r="O286" s="10"/>
      <c r="P286" s="10"/>
      <c r="Q286" s="10"/>
      <c r="R286" s="10"/>
      <c r="S286" s="10"/>
      <c r="T286" s="63"/>
      <c r="U286" s="10"/>
      <c r="V286" s="138"/>
      <c r="W286" s="136"/>
      <c r="X286" s="137"/>
    </row>
    <row r="287" spans="1:24">
      <c r="A287" s="2"/>
      <c r="B287" s="100" t="s">
        <v>73</v>
      </c>
      <c r="C287" s="36"/>
      <c r="D287" s="10"/>
      <c r="E287" s="10"/>
      <c r="F287" s="88"/>
      <c r="G287" s="88"/>
      <c r="H287" s="88"/>
      <c r="I287" s="99"/>
      <c r="J287" s="63"/>
      <c r="K287" s="63"/>
      <c r="L287" s="63"/>
      <c r="M287" s="63"/>
      <c r="N287" s="63"/>
      <c r="O287" s="63"/>
      <c r="P287" s="63"/>
      <c r="Q287" s="63"/>
      <c r="R287" s="63"/>
      <c r="S287" s="63"/>
      <c r="T287" s="63"/>
      <c r="U287" s="94"/>
      <c r="V287" s="90"/>
      <c r="W287" s="91"/>
      <c r="X287" s="92"/>
    </row>
    <row r="288" spans="1:24">
      <c r="A288" s="2"/>
      <c r="B288" s="87">
        <v>1</v>
      </c>
      <c r="C288" s="274">
        <v>45850</v>
      </c>
      <c r="D288" s="276">
        <v>71397</v>
      </c>
      <c r="E288" s="276" t="s">
        <v>333</v>
      </c>
      <c r="F288" s="277">
        <v>612.9</v>
      </c>
      <c r="G288" s="277"/>
      <c r="H288" s="277"/>
      <c r="I288" s="278">
        <f t="shared" ref="I288:I289" si="61">F288-G288-H288</f>
        <v>612.9</v>
      </c>
      <c r="J288" s="279" t="s">
        <v>205</v>
      </c>
      <c r="K288" s="279">
        <v>1</v>
      </c>
      <c r="L288" s="279"/>
      <c r="M288" s="279"/>
      <c r="N288" s="279">
        <v>1</v>
      </c>
      <c r="O288" s="279"/>
      <c r="P288" s="279"/>
      <c r="Q288" s="279"/>
      <c r="R288" s="279"/>
      <c r="S288" s="280"/>
      <c r="T288" s="63"/>
      <c r="U288" s="139"/>
      <c r="V288" s="90"/>
      <c r="W288" s="91"/>
      <c r="X288" s="92"/>
    </row>
    <row r="289" spans="1:24">
      <c r="A289" s="2"/>
      <c r="B289" s="87">
        <f>B288+1</f>
        <v>2</v>
      </c>
      <c r="C289" s="282">
        <v>45850</v>
      </c>
      <c r="D289" s="283">
        <v>71335</v>
      </c>
      <c r="E289" s="283" t="s">
        <v>334</v>
      </c>
      <c r="F289" s="284">
        <v>814</v>
      </c>
      <c r="G289" s="284"/>
      <c r="H289" s="284"/>
      <c r="I289" s="285">
        <f t="shared" si="61"/>
        <v>814</v>
      </c>
      <c r="J289" s="286" t="s">
        <v>205</v>
      </c>
      <c r="K289" s="286">
        <v>1</v>
      </c>
      <c r="L289" s="286"/>
      <c r="M289" s="286"/>
      <c r="N289" s="286">
        <v>1</v>
      </c>
      <c r="O289" s="286"/>
      <c r="P289" s="286"/>
      <c r="Q289" s="286"/>
      <c r="R289" s="286"/>
      <c r="S289" s="287"/>
      <c r="T289" s="63"/>
      <c r="U289" s="94"/>
      <c r="V289" s="90"/>
      <c r="W289" s="136"/>
      <c r="X289" s="137"/>
    </row>
    <row r="290" spans="1:24">
      <c r="A290" s="2"/>
      <c r="B290" s="11"/>
      <c r="C290" s="36"/>
      <c r="D290" s="10"/>
      <c r="E290" s="10"/>
      <c r="F290" s="97">
        <f>SUM(F288:F289)</f>
        <v>1426.9</v>
      </c>
      <c r="G290" s="97">
        <f>SUM(G288:G289)</f>
        <v>0</v>
      </c>
      <c r="H290" s="97">
        <f>SUM(H288:H289)</f>
        <v>0</v>
      </c>
      <c r="I290" s="98">
        <f>SUM(I288:I289)</f>
        <v>1426.9</v>
      </c>
      <c r="J290" s="10"/>
      <c r="K290" s="10"/>
      <c r="L290" s="10"/>
      <c r="M290" s="10"/>
      <c r="N290" s="10"/>
      <c r="O290" s="10"/>
      <c r="P290" s="10"/>
      <c r="Q290" s="10"/>
      <c r="R290" s="10"/>
      <c r="S290" s="10"/>
      <c r="T290" s="63"/>
      <c r="U290" s="94"/>
      <c r="V290" s="90"/>
      <c r="W290" s="91"/>
      <c r="X290" s="92"/>
    </row>
    <row r="291" spans="1:24">
      <c r="A291" s="2"/>
      <c r="B291" s="26"/>
      <c r="C291" s="140"/>
      <c r="D291" s="141"/>
      <c r="E291" s="141"/>
      <c r="F291" s="141"/>
      <c r="G291" s="141"/>
      <c r="H291" s="141"/>
      <c r="I291" s="141"/>
      <c r="J291" s="141"/>
      <c r="K291" s="142"/>
      <c r="L291" s="142"/>
      <c r="M291" s="142"/>
      <c r="N291" s="142"/>
      <c r="O291" s="142"/>
      <c r="P291" s="142"/>
      <c r="Q291" s="142"/>
      <c r="R291" s="142"/>
      <c r="S291" s="142"/>
      <c r="T291" s="143">
        <f ca="1">SUM(T212:T291)</f>
        <v>0</v>
      </c>
      <c r="U291" s="141"/>
      <c r="V291" s="144">
        <f>SUM(V212:V290)</f>
        <v>31880.139999999996</v>
      </c>
      <c r="W291" s="145">
        <f>SUM(W212:W290)</f>
        <v>0</v>
      </c>
      <c r="X291" s="146">
        <f>SUM(X212:X290)</f>
        <v>2835.38</v>
      </c>
    </row>
    <row r="294" spans="1:24">
      <c r="A294" s="3"/>
      <c r="B294" s="4" t="s">
        <v>1</v>
      </c>
      <c r="C294" s="5"/>
      <c r="D294" s="6"/>
      <c r="E294" s="6"/>
      <c r="F294" s="7" t="s">
        <v>2</v>
      </c>
      <c r="G294" s="8">
        <v>45858</v>
      </c>
      <c r="H294" s="7"/>
      <c r="I294" s="6"/>
      <c r="J294" s="6"/>
      <c r="K294" s="6"/>
      <c r="L294" s="6"/>
      <c r="M294" s="6"/>
      <c r="N294" s="6"/>
      <c r="O294" s="6"/>
      <c r="P294" s="6"/>
      <c r="Q294" s="6"/>
      <c r="R294" s="6"/>
      <c r="S294" s="6"/>
      <c r="T294" s="6"/>
      <c r="U294" s="9"/>
      <c r="V294" s="10"/>
      <c r="W294" s="10"/>
      <c r="X294" s="10"/>
    </row>
    <row r="295" spans="1:24">
      <c r="A295" s="2"/>
      <c r="B295" s="11"/>
      <c r="C295" s="10"/>
      <c r="D295" s="10"/>
      <c r="E295" s="10"/>
      <c r="F295" s="10"/>
      <c r="G295" s="7"/>
      <c r="H295" s="12"/>
      <c r="I295" s="10"/>
      <c r="J295" s="10"/>
      <c r="K295" s="13" t="s">
        <v>3</v>
      </c>
      <c r="L295" s="14"/>
      <c r="M295" s="15"/>
      <c r="N295" s="13" t="s">
        <v>4</v>
      </c>
      <c r="O295" s="14"/>
      <c r="P295" s="15"/>
      <c r="Q295" s="13" t="s">
        <v>5</v>
      </c>
      <c r="R295" s="14"/>
      <c r="S295" s="15"/>
      <c r="T295" s="16"/>
      <c r="U295" s="17"/>
      <c r="V295" s="10"/>
      <c r="W295" s="10"/>
      <c r="X295" s="10"/>
    </row>
    <row r="296" spans="1:24">
      <c r="A296" s="2"/>
      <c r="B296" s="18" t="s">
        <v>6</v>
      </c>
      <c r="C296" s="19">
        <f>C297+C298</f>
        <v>29</v>
      </c>
      <c r="D296" s="10"/>
      <c r="E296" s="18" t="s">
        <v>7</v>
      </c>
      <c r="F296" s="6"/>
      <c r="G296" s="9"/>
      <c r="H296" s="10"/>
      <c r="I296" s="10"/>
      <c r="J296" s="10"/>
      <c r="K296" s="20" t="s">
        <v>8</v>
      </c>
      <c r="L296" s="21" t="s">
        <v>9</v>
      </c>
      <c r="M296" s="21" t="s">
        <v>10</v>
      </c>
      <c r="N296" s="20" t="s">
        <v>11</v>
      </c>
      <c r="O296" s="21" t="s">
        <v>12</v>
      </c>
      <c r="P296" s="22" t="s">
        <v>13</v>
      </c>
      <c r="Q296" s="21" t="s">
        <v>11</v>
      </c>
      <c r="R296" s="21" t="s">
        <v>12</v>
      </c>
      <c r="S296" s="22" t="s">
        <v>13</v>
      </c>
      <c r="T296" s="23" t="s">
        <v>14</v>
      </c>
      <c r="U296" s="17"/>
      <c r="V296" s="10"/>
      <c r="W296" s="10"/>
      <c r="X296" s="10"/>
    </row>
    <row r="297" spans="1:24">
      <c r="A297" s="2"/>
      <c r="B297" s="24" t="s">
        <v>15</v>
      </c>
      <c r="C297" s="25">
        <f>P304</f>
        <v>15</v>
      </c>
      <c r="D297" s="10"/>
      <c r="E297" s="26" t="s">
        <v>16</v>
      </c>
      <c r="F297" s="27">
        <v>0.05</v>
      </c>
      <c r="G297" s="28"/>
      <c r="H297" s="10"/>
      <c r="I297" s="10"/>
      <c r="J297" s="18" t="s">
        <v>17</v>
      </c>
      <c r="K297" s="29">
        <f>K336</f>
        <v>14</v>
      </c>
      <c r="L297" s="29">
        <f t="shared" ref="L297:S297" si="62">L336</f>
        <v>13</v>
      </c>
      <c r="M297" s="29">
        <f t="shared" si="62"/>
        <v>14</v>
      </c>
      <c r="N297" s="29">
        <f t="shared" si="62"/>
        <v>14</v>
      </c>
      <c r="O297" s="29">
        <f t="shared" si="62"/>
        <v>14</v>
      </c>
      <c r="P297" s="29">
        <f t="shared" si="62"/>
        <v>12</v>
      </c>
      <c r="Q297" s="29">
        <f t="shared" si="62"/>
        <v>11</v>
      </c>
      <c r="R297" s="29">
        <f t="shared" si="62"/>
        <v>11</v>
      </c>
      <c r="S297" s="29">
        <f t="shared" si="62"/>
        <v>10</v>
      </c>
      <c r="T297" s="30">
        <f>T378</f>
        <v>0</v>
      </c>
      <c r="U297" s="17"/>
      <c r="V297" s="10"/>
      <c r="W297" s="10"/>
      <c r="X297" s="10"/>
    </row>
    <row r="298" spans="1:24">
      <c r="A298" s="2"/>
      <c r="B298" s="24" t="s">
        <v>18</v>
      </c>
      <c r="C298" s="25">
        <f>P305</f>
        <v>14</v>
      </c>
      <c r="D298" s="10"/>
      <c r="E298" s="10"/>
      <c r="F298" s="10"/>
      <c r="G298" s="31"/>
      <c r="H298" s="10"/>
      <c r="I298" s="10"/>
      <c r="J298" s="32" t="s">
        <v>19</v>
      </c>
      <c r="K298" s="33">
        <f>K336/K335</f>
        <v>1</v>
      </c>
      <c r="L298" s="33">
        <f t="shared" ref="L298:S298" si="63">L336/L335</f>
        <v>0.9285714285714286</v>
      </c>
      <c r="M298" s="33">
        <f t="shared" si="63"/>
        <v>1</v>
      </c>
      <c r="N298" s="33">
        <f t="shared" si="63"/>
        <v>1</v>
      </c>
      <c r="O298" s="33">
        <f t="shared" si="63"/>
        <v>1</v>
      </c>
      <c r="P298" s="33">
        <f t="shared" si="63"/>
        <v>0.8571428571428571</v>
      </c>
      <c r="Q298" s="33">
        <f t="shared" si="63"/>
        <v>0.7857142857142857</v>
      </c>
      <c r="R298" s="33">
        <f t="shared" si="63"/>
        <v>0.7857142857142857</v>
      </c>
      <c r="S298" s="33">
        <f t="shared" si="63"/>
        <v>0.7142857142857143</v>
      </c>
      <c r="T298" s="23"/>
      <c r="U298" s="17" t="s">
        <v>20</v>
      </c>
      <c r="V298" s="10"/>
      <c r="W298" s="10"/>
      <c r="X298" s="10"/>
    </row>
    <row r="299" spans="1:24">
      <c r="A299" s="2"/>
      <c r="B299" s="24" t="s">
        <v>21</v>
      </c>
      <c r="C299" s="34">
        <f>P306</f>
        <v>0.51724137931034486</v>
      </c>
      <c r="D299" s="10"/>
      <c r="E299" s="10"/>
      <c r="F299" s="10"/>
      <c r="G299" s="10"/>
      <c r="H299" s="10"/>
      <c r="I299" s="10"/>
      <c r="J299" s="10"/>
      <c r="K299" s="10"/>
      <c r="L299" s="10"/>
      <c r="M299" s="10"/>
      <c r="N299" s="10"/>
      <c r="O299" s="10"/>
      <c r="P299" s="10"/>
      <c r="Q299" s="10"/>
      <c r="R299" s="10"/>
      <c r="S299" s="10"/>
      <c r="T299" s="10"/>
      <c r="U299" s="17"/>
      <c r="V299" s="10"/>
      <c r="W299" s="10"/>
      <c r="X299" s="10"/>
    </row>
    <row r="300" spans="1:24">
      <c r="A300" s="2"/>
      <c r="B300" s="24"/>
      <c r="C300" s="25"/>
      <c r="D300" s="10"/>
      <c r="E300" s="10"/>
      <c r="F300" s="18" t="s">
        <v>22</v>
      </c>
      <c r="G300" s="19" t="s">
        <v>23</v>
      </c>
      <c r="H300" s="35" t="s">
        <v>24</v>
      </c>
      <c r="I300" s="10"/>
      <c r="J300" s="10"/>
      <c r="K300" s="36"/>
      <c r="L300" s="36"/>
      <c r="M300" s="36"/>
      <c r="N300" s="36"/>
      <c r="O300" s="36"/>
      <c r="P300" s="36"/>
      <c r="Q300" s="36"/>
      <c r="R300" s="10"/>
      <c r="S300" s="10"/>
      <c r="T300" s="10"/>
      <c r="U300" s="17"/>
      <c r="V300" s="10"/>
      <c r="W300" s="10"/>
      <c r="X300" s="10"/>
    </row>
    <row r="301" spans="1:24">
      <c r="A301" s="2"/>
      <c r="B301" s="32" t="s">
        <v>25</v>
      </c>
      <c r="C301" s="37">
        <f>P307</f>
        <v>2544.7653333333337</v>
      </c>
      <c r="D301" s="10"/>
      <c r="E301" s="18" t="s">
        <v>26</v>
      </c>
      <c r="F301" s="38">
        <f>P303</f>
        <v>38171.480000000003</v>
      </c>
      <c r="G301" s="39">
        <f>I335+I344</f>
        <v>38171.479999999996</v>
      </c>
      <c r="H301" s="40"/>
      <c r="I301" s="41"/>
      <c r="J301" s="42"/>
      <c r="K301" s="43" t="s">
        <v>27</v>
      </c>
      <c r="L301" s="44"/>
      <c r="M301" s="44"/>
      <c r="N301" s="44"/>
      <c r="O301" s="44"/>
      <c r="P301" s="44"/>
      <c r="Q301" s="45"/>
      <c r="R301" s="46" t="s">
        <v>28</v>
      </c>
      <c r="S301" s="47" t="s">
        <v>29</v>
      </c>
      <c r="T301" s="10"/>
      <c r="U301" s="17"/>
      <c r="V301" s="10"/>
      <c r="W301" s="10"/>
      <c r="X301" s="10"/>
    </row>
    <row r="302" spans="1:24">
      <c r="A302" s="2"/>
      <c r="B302" s="11"/>
      <c r="C302" s="10"/>
      <c r="D302" s="10"/>
      <c r="E302" s="24" t="s">
        <v>30</v>
      </c>
      <c r="F302" s="48">
        <f>F297</f>
        <v>0.05</v>
      </c>
      <c r="G302" s="17"/>
      <c r="H302" s="40"/>
      <c r="I302" s="41"/>
      <c r="J302" s="42"/>
      <c r="K302" s="20" t="s">
        <v>31</v>
      </c>
      <c r="L302" s="21" t="s">
        <v>32</v>
      </c>
      <c r="M302" s="21" t="s">
        <v>33</v>
      </c>
      <c r="N302" s="21" t="s">
        <v>34</v>
      </c>
      <c r="O302" s="21" t="s">
        <v>35</v>
      </c>
      <c r="P302" s="21" t="s">
        <v>36</v>
      </c>
      <c r="Q302" s="49" t="s">
        <v>37</v>
      </c>
      <c r="R302" s="50" t="s">
        <v>38</v>
      </c>
      <c r="S302" s="50" t="s">
        <v>38</v>
      </c>
      <c r="T302" s="10"/>
      <c r="U302" s="17"/>
      <c r="V302" s="10"/>
      <c r="W302" s="10"/>
      <c r="X302" s="10"/>
    </row>
    <row r="303" spans="1:24">
      <c r="A303" s="2"/>
      <c r="B303" s="11"/>
      <c r="C303" s="10"/>
      <c r="D303" s="10"/>
      <c r="E303" s="51" t="s">
        <v>39</v>
      </c>
      <c r="F303" s="52">
        <f>(F301-I325-I331-I343)*F302</f>
        <v>867.24850000000015</v>
      </c>
      <c r="G303" s="53" t="s">
        <v>40</v>
      </c>
      <c r="H303" s="54">
        <f>F303/1.12</f>
        <v>774.32901785714296</v>
      </c>
      <c r="I303" s="55"/>
      <c r="J303" s="42"/>
      <c r="K303" s="56">
        <f>I321+I323+I322+I324</f>
        <v>9210.5600000000013</v>
      </c>
      <c r="L303" s="57">
        <f>I325+I327+I326</f>
        <v>2955.6</v>
      </c>
      <c r="M303" s="57">
        <f>I328+I329+I330+I331+I343</f>
        <v>23749.019999999997</v>
      </c>
      <c r="N303" s="57">
        <f>I332</f>
        <v>1094.3</v>
      </c>
      <c r="O303" s="57">
        <f>I333+I334</f>
        <v>1162</v>
      </c>
      <c r="P303" s="57">
        <f>SUM(K303:O303)</f>
        <v>38171.480000000003</v>
      </c>
      <c r="Q303" s="58">
        <v>0</v>
      </c>
      <c r="R303" s="59">
        <f>I344</f>
        <v>19047.21</v>
      </c>
      <c r="S303" s="59">
        <v>0</v>
      </c>
      <c r="T303" s="10"/>
      <c r="U303" s="17"/>
      <c r="V303" s="10"/>
      <c r="W303" s="10"/>
      <c r="X303" s="10"/>
    </row>
    <row r="304" spans="1:24">
      <c r="A304" s="2"/>
      <c r="B304" s="11"/>
      <c r="C304" s="10"/>
      <c r="D304" s="10"/>
      <c r="E304" s="24" t="s">
        <v>41</v>
      </c>
      <c r="F304" s="60">
        <f>Q303</f>
        <v>0</v>
      </c>
      <c r="G304" s="61" t="s">
        <v>40</v>
      </c>
      <c r="H304" s="62"/>
      <c r="I304" s="62"/>
      <c r="J304" s="10" t="s">
        <v>42</v>
      </c>
      <c r="K304" s="63">
        <v>4</v>
      </c>
      <c r="L304" s="63">
        <v>3</v>
      </c>
      <c r="M304" s="63">
        <v>5</v>
      </c>
      <c r="N304" s="63">
        <v>1</v>
      </c>
      <c r="O304" s="63">
        <v>2</v>
      </c>
      <c r="P304" s="21">
        <f>SUM(K304:O304)</f>
        <v>15</v>
      </c>
      <c r="Q304" s="64"/>
      <c r="R304" s="63"/>
      <c r="S304" s="10"/>
      <c r="T304" s="10"/>
      <c r="U304" s="17"/>
      <c r="V304" s="10"/>
      <c r="W304" s="10"/>
      <c r="X304" s="10"/>
    </row>
    <row r="305" spans="1:24">
      <c r="A305" s="2"/>
      <c r="B305" s="11"/>
      <c r="C305" s="10"/>
      <c r="D305" s="10"/>
      <c r="E305" s="51" t="s">
        <v>43</v>
      </c>
      <c r="F305" s="52">
        <f>F304*0.25</f>
        <v>0</v>
      </c>
      <c r="G305" s="53" t="s">
        <v>40</v>
      </c>
      <c r="H305" s="54">
        <f>F305/1.12</f>
        <v>0</v>
      </c>
      <c r="I305" s="10"/>
      <c r="J305" s="10" t="s">
        <v>44</v>
      </c>
      <c r="K305" s="63">
        <v>1</v>
      </c>
      <c r="L305" s="63">
        <v>3</v>
      </c>
      <c r="M305" s="63">
        <v>4</v>
      </c>
      <c r="N305" s="63">
        <v>5</v>
      </c>
      <c r="O305" s="63">
        <v>1</v>
      </c>
      <c r="P305" s="21">
        <f>SUM(K305:O305)</f>
        <v>14</v>
      </c>
      <c r="Q305" s="64"/>
      <c r="R305" s="63"/>
      <c r="S305" s="10"/>
      <c r="T305" s="10"/>
      <c r="U305" s="17"/>
      <c r="V305" s="10"/>
      <c r="W305" s="10"/>
      <c r="X305" s="10"/>
    </row>
    <row r="306" spans="1:24">
      <c r="A306" s="2"/>
      <c r="B306" s="11"/>
      <c r="C306" s="10"/>
      <c r="D306" s="10"/>
      <c r="E306" s="24" t="s">
        <v>45</v>
      </c>
      <c r="F306" s="60">
        <f>I340</f>
        <v>5204.9400000000005</v>
      </c>
      <c r="G306" s="61" t="s">
        <v>40</v>
      </c>
      <c r="H306" s="62"/>
      <c r="I306" s="10"/>
      <c r="J306" s="10" t="s">
        <v>46</v>
      </c>
      <c r="K306" s="31">
        <f t="shared" ref="K306:Q306" si="64">K304/(K304+K305)</f>
        <v>0.8</v>
      </c>
      <c r="L306" s="31">
        <f t="shared" si="64"/>
        <v>0.5</v>
      </c>
      <c r="M306" s="31">
        <f t="shared" si="64"/>
        <v>0.55555555555555558</v>
      </c>
      <c r="N306" s="31">
        <f t="shared" si="64"/>
        <v>0.16666666666666666</v>
      </c>
      <c r="O306" s="31">
        <f t="shared" si="64"/>
        <v>0.66666666666666663</v>
      </c>
      <c r="P306" s="31">
        <f t="shared" si="64"/>
        <v>0.51724137931034486</v>
      </c>
      <c r="Q306" s="31" t="e">
        <f t="shared" si="64"/>
        <v>#DIV/0!</v>
      </c>
      <c r="R306" s="63"/>
      <c r="S306" s="10"/>
      <c r="T306" s="10"/>
      <c r="U306" s="17"/>
      <c r="V306" s="10"/>
      <c r="W306" s="10"/>
      <c r="X306" s="10"/>
    </row>
    <row r="307" spans="1:24">
      <c r="A307" s="2"/>
      <c r="B307" s="11"/>
      <c r="C307" s="10"/>
      <c r="D307" s="10"/>
      <c r="E307" s="51" t="s">
        <v>47</v>
      </c>
      <c r="F307" s="52">
        <f>(F306+F310+F311+F312)*0.05</f>
        <v>209.57000000000005</v>
      </c>
      <c r="G307" s="65" t="s">
        <v>40</v>
      </c>
      <c r="H307" s="54">
        <f>F307/1.12</f>
        <v>187.11607142857144</v>
      </c>
      <c r="I307" s="42"/>
      <c r="J307" s="10" t="s">
        <v>48</v>
      </c>
      <c r="K307" s="66">
        <f>K303/K304</f>
        <v>2302.6400000000003</v>
      </c>
      <c r="L307" s="66">
        <f t="shared" ref="L307:Q307" si="65">L303/L304</f>
        <v>985.19999999999993</v>
      </c>
      <c r="M307" s="66">
        <f t="shared" si="65"/>
        <v>4749.8039999999992</v>
      </c>
      <c r="N307" s="66">
        <f t="shared" si="65"/>
        <v>1094.3</v>
      </c>
      <c r="O307" s="66">
        <f t="shared" si="65"/>
        <v>581</v>
      </c>
      <c r="P307" s="66">
        <f t="shared" si="65"/>
        <v>2544.7653333333337</v>
      </c>
      <c r="Q307" s="66" t="e">
        <f t="shared" si="65"/>
        <v>#DIV/0!</v>
      </c>
      <c r="R307" s="63"/>
      <c r="S307" s="10"/>
      <c r="T307" s="10"/>
      <c r="U307" s="17"/>
      <c r="V307" s="10"/>
      <c r="W307" s="10"/>
      <c r="X307" s="10"/>
    </row>
    <row r="308" spans="1:24">
      <c r="A308" s="2"/>
      <c r="B308" s="11"/>
      <c r="C308" s="10"/>
      <c r="D308" s="10"/>
      <c r="E308" s="67" t="s">
        <v>14</v>
      </c>
      <c r="F308" s="68">
        <f>1*50</f>
        <v>50</v>
      </c>
      <c r="G308" s="10"/>
      <c r="H308" s="54">
        <f>F308/1.12</f>
        <v>44.642857142857139</v>
      </c>
      <c r="I308" s="10"/>
      <c r="J308" s="10"/>
      <c r="K308" s="10"/>
      <c r="L308" s="10"/>
      <c r="M308" s="10"/>
      <c r="N308" s="10"/>
      <c r="O308" s="10"/>
      <c r="P308" s="10"/>
      <c r="Q308" s="10"/>
      <c r="R308" s="10"/>
      <c r="S308" s="10"/>
      <c r="T308" s="10"/>
      <c r="U308" s="17"/>
      <c r="V308" s="10"/>
      <c r="W308" s="10"/>
      <c r="X308" s="10"/>
    </row>
    <row r="309" spans="1:24">
      <c r="A309" s="2"/>
      <c r="B309" s="11"/>
      <c r="C309" s="10"/>
      <c r="D309" s="10"/>
      <c r="E309" s="67" t="s">
        <v>49</v>
      </c>
      <c r="F309" s="69">
        <f>T298</f>
        <v>0</v>
      </c>
      <c r="G309" s="10"/>
      <c r="H309" s="54"/>
      <c r="I309" s="55"/>
      <c r="J309" s="42"/>
      <c r="K309" s="764" t="s">
        <v>50</v>
      </c>
      <c r="L309" s="765"/>
      <c r="M309" s="765"/>
      <c r="N309" s="765"/>
      <c r="O309" s="765"/>
      <c r="P309" s="765"/>
      <c r="Q309" s="766"/>
      <c r="R309" s="70" t="s">
        <v>28</v>
      </c>
      <c r="S309" s="71" t="s">
        <v>29</v>
      </c>
      <c r="T309" s="10"/>
      <c r="U309" s="17"/>
      <c r="V309" s="10"/>
      <c r="W309" s="10"/>
      <c r="X309" s="10"/>
    </row>
    <row r="310" spans="1:24">
      <c r="A310" s="2"/>
      <c r="B310" s="11"/>
      <c r="C310" s="10"/>
      <c r="D310" s="10"/>
      <c r="E310" s="72" t="s">
        <v>335</v>
      </c>
      <c r="F310" s="73">
        <v>-443.15</v>
      </c>
      <c r="G310" s="10"/>
      <c r="H310" s="10"/>
      <c r="I310" s="10"/>
      <c r="J310" s="42"/>
      <c r="K310" s="20" t="s">
        <v>31</v>
      </c>
      <c r="L310" s="21" t="s">
        <v>32</v>
      </c>
      <c r="M310" s="21" t="s">
        <v>33</v>
      </c>
      <c r="N310" s="21" t="s">
        <v>34</v>
      </c>
      <c r="O310" s="21" t="s">
        <v>35</v>
      </c>
      <c r="P310" s="21" t="s">
        <v>36</v>
      </c>
      <c r="Q310" s="49" t="s">
        <v>37</v>
      </c>
      <c r="R310" s="50" t="s">
        <v>38</v>
      </c>
      <c r="S310" s="50" t="s">
        <v>38</v>
      </c>
      <c r="T310" s="10"/>
      <c r="U310" s="17"/>
      <c r="V310" s="10"/>
      <c r="W310" s="10"/>
      <c r="X310" s="10"/>
    </row>
    <row r="311" spans="1:24">
      <c r="A311" s="2"/>
      <c r="B311" s="11"/>
      <c r="C311" s="10"/>
      <c r="D311" s="10"/>
      <c r="E311" s="74" t="s">
        <v>336</v>
      </c>
      <c r="F311" s="75">
        <v>-290.39</v>
      </c>
      <c r="G311" s="10"/>
      <c r="H311" s="10"/>
      <c r="I311" s="10"/>
      <c r="J311" s="42"/>
      <c r="K311" s="56">
        <f>F321+F323+F322+F324</f>
        <v>11698</v>
      </c>
      <c r="L311" s="57">
        <f>F325+F327+F326</f>
        <v>3035</v>
      </c>
      <c r="M311" s="57">
        <f>F328+F329+F330+F331+F343</f>
        <v>34038.6</v>
      </c>
      <c r="N311" s="57">
        <f>F332</f>
        <v>1134</v>
      </c>
      <c r="O311" s="57">
        <f>F333+F334</f>
        <v>1162</v>
      </c>
      <c r="P311" s="57">
        <f>SUM(K311:O311)</f>
        <v>51067.6</v>
      </c>
      <c r="Q311" s="58">
        <v>0</v>
      </c>
      <c r="R311" s="59">
        <f>F344</f>
        <v>29233</v>
      </c>
      <c r="S311" s="59">
        <v>0</v>
      </c>
      <c r="T311" s="10"/>
      <c r="U311" s="17"/>
      <c r="V311" s="10"/>
      <c r="W311" s="10"/>
      <c r="X311" s="10"/>
    </row>
    <row r="312" spans="1:24">
      <c r="A312" s="2"/>
      <c r="B312" s="11"/>
      <c r="C312" s="10"/>
      <c r="D312" s="10"/>
      <c r="E312" s="74" t="s">
        <v>337</v>
      </c>
      <c r="F312" s="75">
        <f>-280</f>
        <v>-280</v>
      </c>
      <c r="G312" s="10"/>
      <c r="H312" s="10"/>
      <c r="I312" s="10"/>
      <c r="J312" s="10" t="s">
        <v>42</v>
      </c>
      <c r="K312" s="63">
        <f>K304</f>
        <v>4</v>
      </c>
      <c r="L312" s="63">
        <f t="shared" ref="L312:Q313" si="66">L304</f>
        <v>3</v>
      </c>
      <c r="M312" s="63">
        <f t="shared" si="66"/>
        <v>5</v>
      </c>
      <c r="N312" s="63">
        <f t="shared" si="66"/>
        <v>1</v>
      </c>
      <c r="O312" s="63">
        <f t="shared" si="66"/>
        <v>2</v>
      </c>
      <c r="P312" s="63">
        <f t="shared" si="66"/>
        <v>15</v>
      </c>
      <c r="Q312" s="63">
        <f t="shared" si="66"/>
        <v>0</v>
      </c>
      <c r="R312" s="63"/>
      <c r="S312" s="10"/>
      <c r="T312" s="10"/>
      <c r="U312" s="17"/>
      <c r="V312" s="10"/>
      <c r="W312" s="10"/>
      <c r="X312" s="10"/>
    </row>
    <row r="313" spans="1:24">
      <c r="A313" s="2"/>
      <c r="B313" s="11"/>
      <c r="C313" s="10"/>
      <c r="D313" s="10"/>
      <c r="E313" s="10"/>
      <c r="F313" s="10"/>
      <c r="G313" s="10"/>
      <c r="H313" s="10"/>
      <c r="I313" s="10"/>
      <c r="J313" s="10" t="s">
        <v>44</v>
      </c>
      <c r="K313" s="63">
        <f>K305</f>
        <v>1</v>
      </c>
      <c r="L313" s="63">
        <f t="shared" si="66"/>
        <v>3</v>
      </c>
      <c r="M313" s="63">
        <f t="shared" si="66"/>
        <v>4</v>
      </c>
      <c r="N313" s="63">
        <f t="shared" si="66"/>
        <v>5</v>
      </c>
      <c r="O313" s="63">
        <f t="shared" si="66"/>
        <v>1</v>
      </c>
      <c r="P313" s="63">
        <f t="shared" si="66"/>
        <v>14</v>
      </c>
      <c r="Q313" s="63">
        <f t="shared" si="66"/>
        <v>0</v>
      </c>
      <c r="R313" s="63"/>
      <c r="S313" s="10"/>
      <c r="T313" s="10"/>
      <c r="U313" s="17"/>
      <c r="V313" s="10"/>
      <c r="W313" s="10"/>
      <c r="X313" s="10"/>
    </row>
    <row r="314" spans="1:24">
      <c r="A314" s="2"/>
      <c r="B314" s="11"/>
      <c r="C314" s="10"/>
      <c r="D314" s="10"/>
      <c r="E314" s="12"/>
      <c r="F314" s="76"/>
      <c r="G314" s="10"/>
      <c r="H314" s="10"/>
      <c r="I314" s="10"/>
      <c r="J314" s="10" t="s">
        <v>46</v>
      </c>
      <c r="K314" s="31">
        <f t="shared" ref="K314:Q314" si="67">K312/(K312+K313)</f>
        <v>0.8</v>
      </c>
      <c r="L314" s="31">
        <f t="shared" si="67"/>
        <v>0.5</v>
      </c>
      <c r="M314" s="31">
        <f t="shared" si="67"/>
        <v>0.55555555555555558</v>
      </c>
      <c r="N314" s="31">
        <f t="shared" si="67"/>
        <v>0.16666666666666666</v>
      </c>
      <c r="O314" s="31">
        <f t="shared" si="67"/>
        <v>0.66666666666666663</v>
      </c>
      <c r="P314" s="31">
        <f t="shared" si="67"/>
        <v>0.51724137931034486</v>
      </c>
      <c r="Q314" s="31" t="e">
        <f t="shared" si="67"/>
        <v>#DIV/0!</v>
      </c>
      <c r="R314" s="63"/>
      <c r="S314" s="10"/>
      <c r="T314" s="10"/>
      <c r="U314" s="17"/>
      <c r="V314" s="10"/>
      <c r="W314" s="10"/>
      <c r="X314" s="10"/>
    </row>
    <row r="315" spans="1:24">
      <c r="A315" s="2"/>
      <c r="B315" s="11"/>
      <c r="C315" s="10"/>
      <c r="D315" s="10"/>
      <c r="E315" s="10"/>
      <c r="F315" s="10"/>
      <c r="G315" s="10"/>
      <c r="H315" s="10"/>
      <c r="I315" s="10"/>
      <c r="J315" s="10" t="s">
        <v>48</v>
      </c>
      <c r="K315" s="66">
        <f t="shared" ref="K315:Q315" si="68">K311/K312</f>
        <v>2924.5</v>
      </c>
      <c r="L315" s="66">
        <f t="shared" si="68"/>
        <v>1011.6666666666666</v>
      </c>
      <c r="M315" s="66">
        <f t="shared" si="68"/>
        <v>6807.7199999999993</v>
      </c>
      <c r="N315" s="66">
        <f t="shared" si="68"/>
        <v>1134</v>
      </c>
      <c r="O315" s="66">
        <f t="shared" si="68"/>
        <v>581</v>
      </c>
      <c r="P315" s="66">
        <f t="shared" si="68"/>
        <v>3404.5066666666667</v>
      </c>
      <c r="Q315" s="66" t="e">
        <f t="shared" si="68"/>
        <v>#DIV/0!</v>
      </c>
      <c r="R315" s="63"/>
      <c r="S315" s="10"/>
      <c r="T315" s="10"/>
      <c r="U315" s="17"/>
      <c r="V315" s="10"/>
      <c r="W315" s="10"/>
      <c r="X315" s="10"/>
    </row>
    <row r="316" spans="1:24">
      <c r="A316" s="2"/>
      <c r="B316" s="11"/>
      <c r="C316" s="10"/>
      <c r="D316" s="10"/>
      <c r="E316" s="10"/>
      <c r="F316" s="10"/>
      <c r="G316" s="10"/>
      <c r="H316" s="10"/>
      <c r="I316" s="10"/>
      <c r="J316" s="10"/>
      <c r="K316" s="10"/>
      <c r="L316" s="10"/>
      <c r="M316" s="10"/>
      <c r="N316" s="10"/>
      <c r="O316" s="10"/>
      <c r="P316" s="10"/>
      <c r="Q316" s="10"/>
      <c r="R316" s="10"/>
      <c r="S316" s="10"/>
      <c r="T316" s="10"/>
      <c r="U316" s="17"/>
      <c r="V316" s="10"/>
      <c r="W316" s="10"/>
      <c r="X316" s="10"/>
    </row>
    <row r="317" spans="1:24">
      <c r="A317" s="2"/>
      <c r="B317" s="11"/>
      <c r="C317" s="10"/>
      <c r="D317" s="10"/>
      <c r="E317" s="10"/>
      <c r="F317" s="10"/>
      <c r="G317" s="10"/>
      <c r="H317" s="10"/>
      <c r="I317" s="10"/>
      <c r="J317" s="10"/>
      <c r="K317" s="10"/>
      <c r="L317" s="10"/>
      <c r="M317" s="10"/>
      <c r="N317" s="10"/>
      <c r="O317" s="10"/>
      <c r="P317" s="10"/>
      <c r="Q317" s="10"/>
      <c r="R317" s="10"/>
      <c r="S317" s="10"/>
      <c r="T317" s="10"/>
      <c r="U317" s="17"/>
      <c r="V317" s="10"/>
      <c r="W317" s="10"/>
      <c r="X317" s="10"/>
    </row>
    <row r="318" spans="1:24">
      <c r="A318" s="2"/>
      <c r="B318" s="18" t="s">
        <v>51</v>
      </c>
      <c r="C318" s="14"/>
      <c r="D318" s="14"/>
      <c r="E318" s="14"/>
      <c r="F318" s="13" t="s">
        <v>52</v>
      </c>
      <c r="G318" s="14"/>
      <c r="H318" s="14"/>
      <c r="I318" s="14"/>
      <c r="J318" s="14"/>
      <c r="K318" s="13" t="s">
        <v>3</v>
      </c>
      <c r="L318" s="14"/>
      <c r="M318" s="14"/>
      <c r="N318" s="13" t="s">
        <v>4</v>
      </c>
      <c r="O318" s="14"/>
      <c r="P318" s="14"/>
      <c r="Q318" s="13" t="s">
        <v>5</v>
      </c>
      <c r="R318" s="14"/>
      <c r="S318" s="14"/>
      <c r="T318" s="18"/>
      <c r="U318" s="16" t="s">
        <v>53</v>
      </c>
      <c r="V318" s="77"/>
      <c r="W318" s="77"/>
      <c r="X318" s="77"/>
    </row>
    <row r="319" spans="1:24">
      <c r="A319" s="2"/>
      <c r="B319" s="24" t="s">
        <v>54</v>
      </c>
      <c r="C319" s="21" t="s">
        <v>55</v>
      </c>
      <c r="D319" s="21" t="s">
        <v>56</v>
      </c>
      <c r="E319" s="21" t="s">
        <v>57</v>
      </c>
      <c r="F319" s="20" t="s">
        <v>58</v>
      </c>
      <c r="G319" s="21" t="s">
        <v>59</v>
      </c>
      <c r="H319" s="21" t="s">
        <v>60</v>
      </c>
      <c r="I319" s="21" t="s">
        <v>26</v>
      </c>
      <c r="J319" s="22" t="s">
        <v>61</v>
      </c>
      <c r="K319" s="21" t="s">
        <v>8</v>
      </c>
      <c r="L319" s="21" t="s">
        <v>9</v>
      </c>
      <c r="M319" s="21" t="s">
        <v>10</v>
      </c>
      <c r="N319" s="20" t="s">
        <v>11</v>
      </c>
      <c r="O319" s="21" t="s">
        <v>12</v>
      </c>
      <c r="P319" s="22" t="s">
        <v>13</v>
      </c>
      <c r="Q319" s="21" t="s">
        <v>11</v>
      </c>
      <c r="R319" s="21" t="s">
        <v>12</v>
      </c>
      <c r="S319" s="21" t="s">
        <v>13</v>
      </c>
      <c r="T319" s="78" t="s">
        <v>14</v>
      </c>
      <c r="U319" s="30"/>
      <c r="V319" s="79" t="s">
        <v>62</v>
      </c>
      <c r="W319" s="80" t="s">
        <v>63</v>
      </c>
      <c r="X319" s="81" t="s">
        <v>64</v>
      </c>
    </row>
    <row r="320" spans="1:24">
      <c r="A320" s="2"/>
      <c r="B320" s="4" t="s">
        <v>65</v>
      </c>
      <c r="C320" s="6"/>
      <c r="D320" s="6"/>
      <c r="E320" s="6"/>
      <c r="F320" s="6"/>
      <c r="G320" s="6"/>
      <c r="H320" s="6"/>
      <c r="I320" s="82"/>
      <c r="J320" s="6"/>
      <c r="K320" s="6"/>
      <c r="L320" s="6"/>
      <c r="M320" s="6"/>
      <c r="N320" s="6"/>
      <c r="O320" s="6"/>
      <c r="P320" s="6"/>
      <c r="Q320" s="6"/>
      <c r="R320" s="6"/>
      <c r="S320" s="6"/>
      <c r="T320" s="83"/>
      <c r="U320" s="6"/>
      <c r="V320" s="84"/>
      <c r="W320" s="85"/>
      <c r="X320" s="86"/>
    </row>
    <row r="321" spans="1:24">
      <c r="A321" s="2"/>
      <c r="B321" s="87">
        <v>1</v>
      </c>
      <c r="C321" s="274">
        <v>45852</v>
      </c>
      <c r="D321" s="327">
        <v>71417</v>
      </c>
      <c r="E321" s="276" t="s">
        <v>338</v>
      </c>
      <c r="F321" s="277">
        <v>681</v>
      </c>
      <c r="G321" s="277"/>
      <c r="H321" s="297"/>
      <c r="I321" s="278">
        <f t="shared" ref="I321:I334" si="69">F321-G321-H321</f>
        <v>681</v>
      </c>
      <c r="J321" s="279" t="s">
        <v>156</v>
      </c>
      <c r="K321" s="279">
        <v>1</v>
      </c>
      <c r="L321" s="279">
        <v>1</v>
      </c>
      <c r="M321" s="279">
        <v>1</v>
      </c>
      <c r="N321" s="279">
        <v>1</v>
      </c>
      <c r="O321" s="279">
        <v>1</v>
      </c>
      <c r="P321" s="279">
        <v>1</v>
      </c>
      <c r="Q321" s="279">
        <v>1</v>
      </c>
      <c r="R321" s="279">
        <v>1</v>
      </c>
      <c r="S321" s="280">
        <v>1</v>
      </c>
      <c r="T321" s="63"/>
      <c r="U321" s="10"/>
      <c r="V321" s="90">
        <f>75+674.1</f>
        <v>749.1</v>
      </c>
      <c r="W321" s="91"/>
      <c r="X321" s="92"/>
    </row>
    <row r="322" spans="1:24">
      <c r="A322" s="2"/>
      <c r="B322" s="87">
        <f t="shared" ref="B322:B327" si="70">B321+1</f>
        <v>2</v>
      </c>
      <c r="C322" s="295">
        <v>45852</v>
      </c>
      <c r="D322" s="323">
        <v>71422</v>
      </c>
      <c r="E322" s="10" t="s">
        <v>299</v>
      </c>
      <c r="F322" s="62">
        <f>3346-85</f>
        <v>3261</v>
      </c>
      <c r="G322" s="62">
        <f>39.7+(198.51)</f>
        <v>238.20999999999998</v>
      </c>
      <c r="H322" s="62"/>
      <c r="I322" s="324">
        <f>F322-G322-H322</f>
        <v>3022.79</v>
      </c>
      <c r="J322" s="63" t="s">
        <v>228</v>
      </c>
      <c r="K322" s="63">
        <v>1</v>
      </c>
      <c r="L322" s="63">
        <v>1</v>
      </c>
      <c r="M322" s="63">
        <v>1</v>
      </c>
      <c r="N322" s="63">
        <v>1</v>
      </c>
      <c r="O322" s="63">
        <v>1</v>
      </c>
      <c r="P322" s="63">
        <v>1</v>
      </c>
      <c r="Q322" s="325">
        <v>0</v>
      </c>
      <c r="R322" s="325">
        <v>0</v>
      </c>
      <c r="S322" s="326">
        <v>0</v>
      </c>
      <c r="T322" s="63"/>
      <c r="U322" s="94" t="s">
        <v>339</v>
      </c>
      <c r="V322" s="90">
        <f>93.5+358.71+3228.39</f>
        <v>3680.6</v>
      </c>
      <c r="W322" s="91"/>
      <c r="X322" s="92"/>
    </row>
    <row r="323" spans="1:24">
      <c r="A323" s="2"/>
      <c r="B323" s="87">
        <f t="shared" si="70"/>
        <v>3</v>
      </c>
      <c r="C323" s="295">
        <v>45852</v>
      </c>
      <c r="D323" s="346" t="s">
        <v>340</v>
      </c>
      <c r="E323" s="10" t="s">
        <v>203</v>
      </c>
      <c r="F323" s="62">
        <v>681</v>
      </c>
      <c r="G323" s="62"/>
      <c r="H323" s="62"/>
      <c r="I323" s="89">
        <f t="shared" si="69"/>
        <v>681</v>
      </c>
      <c r="J323" s="63" t="s">
        <v>156</v>
      </c>
      <c r="K323" s="63">
        <v>1</v>
      </c>
      <c r="L323" s="63">
        <v>1</v>
      </c>
      <c r="M323" s="63">
        <v>1</v>
      </c>
      <c r="N323" s="63">
        <v>1</v>
      </c>
      <c r="O323" s="63">
        <v>1</v>
      </c>
      <c r="P323" s="63">
        <v>1</v>
      </c>
      <c r="Q323" s="63">
        <v>1</v>
      </c>
      <c r="R323" s="63">
        <v>1</v>
      </c>
      <c r="S323" s="296">
        <v>1</v>
      </c>
      <c r="T323" s="63"/>
      <c r="U323" s="10"/>
      <c r="V323" s="90">
        <v>749.1</v>
      </c>
      <c r="W323" s="91"/>
      <c r="X323" s="92"/>
    </row>
    <row r="324" spans="1:24">
      <c r="A324" s="2"/>
      <c r="B324" s="87">
        <f t="shared" si="70"/>
        <v>4</v>
      </c>
      <c r="C324" s="295">
        <v>45852</v>
      </c>
      <c r="D324" s="346" t="s">
        <v>341</v>
      </c>
      <c r="E324" s="10" t="s">
        <v>203</v>
      </c>
      <c r="F324" s="62">
        <v>7075</v>
      </c>
      <c r="G324" s="62">
        <f>39.7+(1959.53)+250</f>
        <v>2249.23</v>
      </c>
      <c r="H324" s="62"/>
      <c r="I324" s="324">
        <f>F324-G324-H324</f>
        <v>4825.7700000000004</v>
      </c>
      <c r="J324" s="63" t="s">
        <v>228</v>
      </c>
      <c r="K324" s="63">
        <v>1</v>
      </c>
      <c r="L324" s="325">
        <v>0</v>
      </c>
      <c r="M324" s="63">
        <v>1</v>
      </c>
      <c r="N324" s="63">
        <v>1</v>
      </c>
      <c r="O324" s="63">
        <v>1</v>
      </c>
      <c r="P324" s="63">
        <v>1</v>
      </c>
      <c r="Q324" s="325">
        <v>0</v>
      </c>
      <c r="R324" s="325">
        <v>0</v>
      </c>
      <c r="S324" s="326">
        <v>0</v>
      </c>
      <c r="T324" s="63"/>
      <c r="U324" s="10" t="s">
        <v>342</v>
      </c>
      <c r="V324" s="90">
        <f>778+1004.5+6000</f>
        <v>7782.5</v>
      </c>
      <c r="W324" s="136"/>
      <c r="X324" s="137"/>
    </row>
    <row r="325" spans="1:24">
      <c r="A325" s="93" t="s">
        <v>343</v>
      </c>
      <c r="B325" s="87">
        <f t="shared" si="70"/>
        <v>5</v>
      </c>
      <c r="C325" s="274">
        <v>45853</v>
      </c>
      <c r="D325" s="327">
        <v>71458</v>
      </c>
      <c r="E325" s="404" t="s">
        <v>344</v>
      </c>
      <c r="F325" s="277">
        <f>1323-185</f>
        <v>1138</v>
      </c>
      <c r="G325" s="277">
        <f>39.7</f>
        <v>39.700000000000003</v>
      </c>
      <c r="H325" s="277"/>
      <c r="I325" s="329">
        <f t="shared" ref="I325" si="71">F325-G325-H325</f>
        <v>1098.3</v>
      </c>
      <c r="J325" s="279" t="s">
        <v>156</v>
      </c>
      <c r="K325" s="279">
        <v>1</v>
      </c>
      <c r="L325" s="279">
        <v>1</v>
      </c>
      <c r="M325" s="279">
        <v>1</v>
      </c>
      <c r="N325" s="279">
        <v>1</v>
      </c>
      <c r="O325" s="279">
        <v>1</v>
      </c>
      <c r="P325" s="279">
        <v>1</v>
      </c>
      <c r="Q325" s="279">
        <v>1</v>
      </c>
      <c r="R325" s="279">
        <v>1</v>
      </c>
      <c r="S325" s="280">
        <v>1</v>
      </c>
      <c r="T325" s="63"/>
      <c r="U325" s="10" t="s">
        <v>345</v>
      </c>
      <c r="V325" s="90">
        <f>203.5+125.2+1126.6</f>
        <v>1455.3</v>
      </c>
      <c r="W325" s="91"/>
      <c r="X325" s="92"/>
    </row>
    <row r="326" spans="1:24">
      <c r="A326" s="93"/>
      <c r="B326" s="87">
        <f t="shared" si="70"/>
        <v>6</v>
      </c>
      <c r="C326" s="295">
        <v>45853</v>
      </c>
      <c r="D326" s="323">
        <v>71423</v>
      </c>
      <c r="E326" s="10" t="s">
        <v>346</v>
      </c>
      <c r="F326" s="62">
        <v>1216</v>
      </c>
      <c r="G326" s="62">
        <f>39.7</f>
        <v>39.700000000000003</v>
      </c>
      <c r="H326" s="62"/>
      <c r="I326" s="324">
        <f>F326-G326-H326</f>
        <v>1176.3</v>
      </c>
      <c r="J326" s="63" t="s">
        <v>156</v>
      </c>
      <c r="K326" s="63">
        <v>1</v>
      </c>
      <c r="L326" s="63">
        <v>1</v>
      </c>
      <c r="M326" s="63">
        <v>1</v>
      </c>
      <c r="N326" s="63">
        <v>1</v>
      </c>
      <c r="O326" s="63">
        <v>1</v>
      </c>
      <c r="P326" s="325">
        <v>0</v>
      </c>
      <c r="Q326" s="325">
        <v>0</v>
      </c>
      <c r="R326" s="325">
        <v>0</v>
      </c>
      <c r="S326" s="326">
        <v>0</v>
      </c>
      <c r="T326" s="63"/>
      <c r="U326" s="3" t="s">
        <v>347</v>
      </c>
      <c r="V326" s="90">
        <f>140.91+1196.69</f>
        <v>1337.6000000000001</v>
      </c>
      <c r="W326" s="91"/>
      <c r="X326" s="92"/>
    </row>
    <row r="327" spans="1:24">
      <c r="A327" s="2"/>
      <c r="B327" s="87">
        <f t="shared" si="70"/>
        <v>7</v>
      </c>
      <c r="C327" s="282">
        <v>45853</v>
      </c>
      <c r="D327" s="368">
        <v>71440</v>
      </c>
      <c r="E327" s="283" t="s">
        <v>329</v>
      </c>
      <c r="F327" s="284">
        <v>681</v>
      </c>
      <c r="G327" s="284"/>
      <c r="H327" s="284"/>
      <c r="I327" s="285">
        <f t="shared" si="69"/>
        <v>681</v>
      </c>
      <c r="J327" s="286" t="s">
        <v>156</v>
      </c>
      <c r="K327" s="286">
        <v>1</v>
      </c>
      <c r="L327" s="286">
        <v>1</v>
      </c>
      <c r="M327" s="286">
        <v>1</v>
      </c>
      <c r="N327" s="286">
        <v>1</v>
      </c>
      <c r="O327" s="286">
        <v>1</v>
      </c>
      <c r="P327" s="286">
        <v>1</v>
      </c>
      <c r="Q327" s="286">
        <v>1</v>
      </c>
      <c r="R327" s="286">
        <v>1</v>
      </c>
      <c r="S327" s="287">
        <v>1</v>
      </c>
      <c r="T327" s="63"/>
      <c r="U327" s="10"/>
      <c r="V327" s="90">
        <f>75+674.1</f>
        <v>749.1</v>
      </c>
      <c r="W327" s="91"/>
      <c r="X327" s="92"/>
    </row>
    <row r="328" spans="1:24">
      <c r="A328" s="2"/>
      <c r="B328" s="87">
        <f t="shared" ref="B328:B334" si="72">B327+1</f>
        <v>8</v>
      </c>
      <c r="C328" s="295">
        <v>45854</v>
      </c>
      <c r="D328" s="323">
        <v>71463</v>
      </c>
      <c r="E328" s="101" t="s">
        <v>348</v>
      </c>
      <c r="F328" s="62">
        <v>681</v>
      </c>
      <c r="G328" s="62"/>
      <c r="H328" s="62"/>
      <c r="I328" s="89">
        <f t="shared" si="69"/>
        <v>681</v>
      </c>
      <c r="J328" s="63" t="s">
        <v>156</v>
      </c>
      <c r="K328" s="63">
        <v>1</v>
      </c>
      <c r="L328" s="63">
        <v>1</v>
      </c>
      <c r="M328" s="63">
        <v>1</v>
      </c>
      <c r="N328" s="63">
        <v>1</v>
      </c>
      <c r="O328" s="63">
        <v>1</v>
      </c>
      <c r="P328" s="63">
        <v>1</v>
      </c>
      <c r="Q328" s="63">
        <v>1</v>
      </c>
      <c r="R328" s="63">
        <v>1</v>
      </c>
      <c r="S328" s="296">
        <v>1</v>
      </c>
      <c r="T328" s="63"/>
      <c r="U328" s="10"/>
      <c r="V328" s="90">
        <f>75+674.1</f>
        <v>749.1</v>
      </c>
      <c r="W328" s="91"/>
      <c r="X328" s="92"/>
    </row>
    <row r="329" spans="1:24">
      <c r="A329" s="2"/>
      <c r="B329" s="87">
        <f t="shared" si="72"/>
        <v>9</v>
      </c>
      <c r="C329" s="295">
        <v>45854</v>
      </c>
      <c r="D329" s="323">
        <v>71441</v>
      </c>
      <c r="E329" s="10" t="s">
        <v>349</v>
      </c>
      <c r="F329" s="62">
        <v>667.6</v>
      </c>
      <c r="G329" s="62">
        <f>+(16.5)</f>
        <v>16.5</v>
      </c>
      <c r="H329" s="88"/>
      <c r="I329" s="89">
        <f t="shared" si="69"/>
        <v>651.1</v>
      </c>
      <c r="J329" s="63" t="s">
        <v>156</v>
      </c>
      <c r="K329" s="63">
        <v>1</v>
      </c>
      <c r="L329" s="63">
        <v>1</v>
      </c>
      <c r="M329" s="63">
        <v>1</v>
      </c>
      <c r="N329" s="63">
        <v>1</v>
      </c>
      <c r="O329" s="63">
        <v>1</v>
      </c>
      <c r="P329" s="63">
        <v>1</v>
      </c>
      <c r="Q329" s="63">
        <v>1</v>
      </c>
      <c r="R329" s="63">
        <v>1</v>
      </c>
      <c r="S329" s="296">
        <v>1</v>
      </c>
      <c r="T329" s="63"/>
      <c r="U329" s="10"/>
      <c r="V329" s="90">
        <f>73.4+660.96</f>
        <v>734.36</v>
      </c>
      <c r="W329" s="91"/>
      <c r="X329" s="92"/>
    </row>
    <row r="330" spans="1:24">
      <c r="A330" s="2"/>
      <c r="B330" s="87">
        <f t="shared" si="72"/>
        <v>10</v>
      </c>
      <c r="C330" s="295">
        <v>45854</v>
      </c>
      <c r="D330" s="323">
        <v>71447</v>
      </c>
      <c r="E330" s="10" t="s">
        <v>349</v>
      </c>
      <c r="F330" s="62">
        <v>2776</v>
      </c>
      <c r="G330" s="62">
        <f>39.7+(47.59)</f>
        <v>87.29</v>
      </c>
      <c r="H330" s="88"/>
      <c r="I330" s="324">
        <f t="shared" si="69"/>
        <v>2688.71</v>
      </c>
      <c r="J330" s="63" t="s">
        <v>156</v>
      </c>
      <c r="K330" s="63">
        <v>1</v>
      </c>
      <c r="L330" s="63">
        <v>1</v>
      </c>
      <c r="M330" s="63">
        <v>1</v>
      </c>
      <c r="N330" s="63">
        <v>1</v>
      </c>
      <c r="O330" s="63">
        <v>1</v>
      </c>
      <c r="P330" s="325">
        <v>0</v>
      </c>
      <c r="Q330" s="63">
        <v>1</v>
      </c>
      <c r="R330" s="63">
        <v>1</v>
      </c>
      <c r="S330" s="326">
        <v>0</v>
      </c>
      <c r="T330" s="63"/>
      <c r="U330" s="10" t="s">
        <v>350</v>
      </c>
      <c r="V330" s="90">
        <f>305+2748.6</f>
        <v>3053.6</v>
      </c>
      <c r="W330" s="91"/>
      <c r="X330" s="92"/>
    </row>
    <row r="331" spans="1:24">
      <c r="A331" s="2"/>
      <c r="B331" s="87">
        <f t="shared" si="72"/>
        <v>11</v>
      </c>
      <c r="C331" s="295">
        <v>45854</v>
      </c>
      <c r="D331" s="323" t="s">
        <v>351</v>
      </c>
      <c r="E331" s="10" t="s">
        <v>352</v>
      </c>
      <c r="F331" s="62">
        <v>681</v>
      </c>
      <c r="G331" s="62"/>
      <c r="H331" s="88"/>
      <c r="I331" s="369">
        <f t="shared" si="69"/>
        <v>681</v>
      </c>
      <c r="J331" s="63" t="s">
        <v>156</v>
      </c>
      <c r="K331" s="63">
        <v>1</v>
      </c>
      <c r="L331" s="63">
        <v>1</v>
      </c>
      <c r="M331" s="63">
        <v>1</v>
      </c>
      <c r="N331" s="63">
        <v>1</v>
      </c>
      <c r="O331" s="63">
        <v>1</v>
      </c>
      <c r="P331" s="63">
        <v>1</v>
      </c>
      <c r="Q331" s="63">
        <v>1</v>
      </c>
      <c r="R331" s="63">
        <v>1</v>
      </c>
      <c r="S331" s="296">
        <v>1</v>
      </c>
      <c r="T331" s="63"/>
      <c r="U331" s="10" t="s">
        <v>353</v>
      </c>
      <c r="V331" s="90">
        <f>75+674.1</f>
        <v>749.1</v>
      </c>
      <c r="W331" s="91"/>
      <c r="X331" s="92"/>
    </row>
    <row r="332" spans="1:24">
      <c r="A332" s="2"/>
      <c r="B332" s="87">
        <f t="shared" si="72"/>
        <v>12</v>
      </c>
      <c r="C332" s="274">
        <v>45855</v>
      </c>
      <c r="D332" s="327">
        <v>71527</v>
      </c>
      <c r="E332" s="281" t="s">
        <v>354</v>
      </c>
      <c r="F332" s="277">
        <v>1134</v>
      </c>
      <c r="G332" s="277">
        <f>39.7</f>
        <v>39.700000000000003</v>
      </c>
      <c r="H332" s="297"/>
      <c r="I332" s="278">
        <f t="shared" ref="I332" si="73">F332-G332-H332</f>
        <v>1094.3</v>
      </c>
      <c r="J332" s="279" t="s">
        <v>156</v>
      </c>
      <c r="K332" s="279">
        <v>1</v>
      </c>
      <c r="L332" s="279">
        <v>1</v>
      </c>
      <c r="M332" s="279">
        <v>1</v>
      </c>
      <c r="N332" s="279">
        <v>1</v>
      </c>
      <c r="O332" s="279">
        <v>1</v>
      </c>
      <c r="P332" s="279">
        <v>1</v>
      </c>
      <c r="Q332" s="279">
        <v>1</v>
      </c>
      <c r="R332" s="279">
        <v>1</v>
      </c>
      <c r="S332" s="280">
        <v>1</v>
      </c>
      <c r="T332" s="63"/>
      <c r="U332" s="10"/>
      <c r="V332" s="90">
        <f>124.7+1122.7</f>
        <v>1247.4000000000001</v>
      </c>
      <c r="W332" s="91"/>
      <c r="X332" s="92"/>
    </row>
    <row r="333" spans="1:24">
      <c r="A333" s="2"/>
      <c r="B333" s="87">
        <f t="shared" si="72"/>
        <v>13</v>
      </c>
      <c r="C333" s="274">
        <v>45856</v>
      </c>
      <c r="D333" s="327">
        <v>71544</v>
      </c>
      <c r="E333" s="276" t="s">
        <v>355</v>
      </c>
      <c r="F333" s="277">
        <v>481</v>
      </c>
      <c r="G333" s="277"/>
      <c r="H333" s="297"/>
      <c r="I333" s="278">
        <f t="shared" si="69"/>
        <v>481</v>
      </c>
      <c r="J333" s="279" t="s">
        <v>156</v>
      </c>
      <c r="K333" s="279">
        <v>1</v>
      </c>
      <c r="L333" s="279">
        <v>1</v>
      </c>
      <c r="M333" s="279">
        <v>1</v>
      </c>
      <c r="N333" s="279">
        <v>1</v>
      </c>
      <c r="O333" s="279">
        <v>1</v>
      </c>
      <c r="P333" s="279">
        <v>1</v>
      </c>
      <c r="Q333" s="279">
        <v>1</v>
      </c>
      <c r="R333" s="279">
        <v>1</v>
      </c>
      <c r="S333" s="280">
        <v>1</v>
      </c>
      <c r="T333" s="63"/>
      <c r="U333" s="10"/>
      <c r="V333" s="90">
        <f>52.9+476.2</f>
        <v>529.1</v>
      </c>
      <c r="W333" s="91"/>
      <c r="X333" s="92"/>
    </row>
    <row r="334" spans="1:24">
      <c r="A334" s="2"/>
      <c r="B334" s="87">
        <f t="shared" si="72"/>
        <v>14</v>
      </c>
      <c r="C334" s="282">
        <v>45856</v>
      </c>
      <c r="D334" s="368">
        <v>71495</v>
      </c>
      <c r="E334" s="283" t="s">
        <v>322</v>
      </c>
      <c r="F334" s="423">
        <v>681</v>
      </c>
      <c r="G334" s="284"/>
      <c r="H334" s="284"/>
      <c r="I334" s="285">
        <f t="shared" si="69"/>
        <v>681</v>
      </c>
      <c r="J334" s="286" t="s">
        <v>156</v>
      </c>
      <c r="K334" s="286">
        <v>1</v>
      </c>
      <c r="L334" s="286">
        <v>1</v>
      </c>
      <c r="M334" s="286">
        <v>1</v>
      </c>
      <c r="N334" s="286">
        <v>1</v>
      </c>
      <c r="O334" s="286">
        <v>1</v>
      </c>
      <c r="P334" s="286">
        <v>1</v>
      </c>
      <c r="Q334" s="286">
        <v>1</v>
      </c>
      <c r="R334" s="286">
        <v>1</v>
      </c>
      <c r="S334" s="287">
        <v>1</v>
      </c>
      <c r="T334" s="63"/>
      <c r="U334" s="10"/>
      <c r="V334" s="90">
        <f>75+674.1</f>
        <v>749.1</v>
      </c>
      <c r="W334" s="91"/>
      <c r="X334" s="92"/>
    </row>
    <row r="335" spans="1:24">
      <c r="A335" s="2"/>
      <c r="B335" s="87"/>
      <c r="C335" s="36"/>
      <c r="D335" s="10"/>
      <c r="E335" s="10"/>
      <c r="F335" s="97">
        <f>SUM(F321:F334)</f>
        <v>21834.6</v>
      </c>
      <c r="G335" s="97">
        <f>SUM(G321:G334)</f>
        <v>2710.3299999999995</v>
      </c>
      <c r="H335" s="97">
        <f>SUM(H321:H334)</f>
        <v>0</v>
      </c>
      <c r="I335" s="98">
        <f>SUM(I321:I334)</f>
        <v>19124.27</v>
      </c>
      <c r="J335" s="63"/>
      <c r="K335" s="63">
        <f t="shared" ref="K335:S335" si="74">COUNT(K321:K334)</f>
        <v>14</v>
      </c>
      <c r="L335" s="63">
        <f t="shared" si="74"/>
        <v>14</v>
      </c>
      <c r="M335" s="63">
        <f t="shared" si="74"/>
        <v>14</v>
      </c>
      <c r="N335" s="63">
        <f t="shared" si="74"/>
        <v>14</v>
      </c>
      <c r="O335" s="63">
        <f t="shared" si="74"/>
        <v>14</v>
      </c>
      <c r="P335" s="63">
        <f t="shared" si="74"/>
        <v>14</v>
      </c>
      <c r="Q335" s="63">
        <f t="shared" si="74"/>
        <v>14</v>
      </c>
      <c r="R335" s="63">
        <f t="shared" si="74"/>
        <v>14</v>
      </c>
      <c r="S335" s="63">
        <f t="shared" si="74"/>
        <v>14</v>
      </c>
      <c r="T335" s="63"/>
      <c r="U335" s="10"/>
      <c r="V335" s="90"/>
      <c r="W335" s="91"/>
      <c r="X335" s="92"/>
    </row>
    <row r="336" spans="1:24">
      <c r="A336" s="2"/>
      <c r="B336" s="87"/>
      <c r="C336" s="36"/>
      <c r="E336" s="10"/>
      <c r="F336" s="88"/>
      <c r="G336" s="88"/>
      <c r="H336" s="88"/>
      <c r="I336" s="99"/>
      <c r="J336" s="63"/>
      <c r="K336" s="21">
        <f t="shared" ref="K336:S336" si="75">SUM(K321:K334)</f>
        <v>14</v>
      </c>
      <c r="L336" s="21">
        <f t="shared" si="75"/>
        <v>13</v>
      </c>
      <c r="M336" s="21">
        <f t="shared" si="75"/>
        <v>14</v>
      </c>
      <c r="N336" s="21">
        <f t="shared" si="75"/>
        <v>14</v>
      </c>
      <c r="O336" s="21">
        <f t="shared" si="75"/>
        <v>14</v>
      </c>
      <c r="P336" s="21">
        <f t="shared" si="75"/>
        <v>12</v>
      </c>
      <c r="Q336" s="21">
        <f t="shared" si="75"/>
        <v>11</v>
      </c>
      <c r="R336" s="21">
        <f t="shared" si="75"/>
        <v>11</v>
      </c>
      <c r="S336" s="21">
        <f t="shared" si="75"/>
        <v>10</v>
      </c>
      <c r="T336" s="63"/>
      <c r="U336" s="10"/>
      <c r="V336" s="90"/>
      <c r="W336" s="91"/>
      <c r="X336" s="92"/>
    </row>
    <row r="337" spans="1:24">
      <c r="A337" s="2"/>
      <c r="B337" s="11"/>
      <c r="C337" s="36"/>
      <c r="D337" s="10"/>
      <c r="E337" s="10"/>
      <c r="F337" s="88"/>
      <c r="G337" s="88"/>
      <c r="H337" s="88"/>
      <c r="I337" s="99"/>
      <c r="J337" s="63"/>
      <c r="K337" s="21"/>
      <c r="L337" s="21"/>
      <c r="M337" s="21"/>
      <c r="N337" s="21"/>
      <c r="O337" s="21"/>
      <c r="P337" s="21"/>
      <c r="Q337" s="21"/>
      <c r="R337" s="21"/>
      <c r="S337" s="21"/>
      <c r="T337" s="63"/>
      <c r="U337" s="94"/>
      <c r="V337" s="90"/>
      <c r="W337" s="91"/>
      <c r="X337" s="92"/>
    </row>
    <row r="338" spans="1:24">
      <c r="A338" s="2"/>
      <c r="B338" s="100" t="s">
        <v>67</v>
      </c>
      <c r="C338" s="36"/>
      <c r="D338" s="10"/>
      <c r="E338" s="10"/>
      <c r="F338" s="88"/>
      <c r="G338" s="62"/>
      <c r="H338" s="88"/>
      <c r="I338" s="99"/>
      <c r="J338" s="63"/>
      <c r="K338" s="2"/>
      <c r="L338" s="2"/>
      <c r="M338" s="2"/>
      <c r="N338" s="2"/>
      <c r="O338" s="2"/>
      <c r="P338" s="2"/>
      <c r="Q338" s="2"/>
      <c r="R338" s="2"/>
      <c r="S338" s="2"/>
      <c r="T338" s="63"/>
      <c r="U338" s="94"/>
      <c r="V338" s="90"/>
      <c r="W338" s="91"/>
      <c r="X338" s="92"/>
    </row>
    <row r="339" spans="1:24">
      <c r="A339" s="261" t="s">
        <v>356</v>
      </c>
      <c r="B339" s="87">
        <v>1</v>
      </c>
      <c r="C339" s="262">
        <v>45849</v>
      </c>
      <c r="D339" s="357" t="s">
        <v>311</v>
      </c>
      <c r="E339" s="271" t="s">
        <v>299</v>
      </c>
      <c r="F339" s="265">
        <f>6229-337.7</f>
        <v>5891.3</v>
      </c>
      <c r="G339" s="265">
        <f>39.7+(146.66)+500</f>
        <v>686.36</v>
      </c>
      <c r="H339" s="365"/>
      <c r="I339" s="266">
        <f>F339-G339-H339</f>
        <v>5204.9400000000005</v>
      </c>
      <c r="J339" s="267" t="s">
        <v>156</v>
      </c>
      <c r="K339" s="267">
        <v>1</v>
      </c>
      <c r="L339" s="267">
        <v>1</v>
      </c>
      <c r="M339" s="267">
        <v>1</v>
      </c>
      <c r="N339" s="267">
        <v>1</v>
      </c>
      <c r="O339" s="267">
        <v>1</v>
      </c>
      <c r="P339" s="314">
        <v>0</v>
      </c>
      <c r="Q339" s="267">
        <v>1</v>
      </c>
      <c r="R339" s="267">
        <v>1</v>
      </c>
      <c r="S339" s="269">
        <v>1</v>
      </c>
      <c r="T339" s="63"/>
      <c r="U339" s="10" t="s">
        <v>312</v>
      </c>
      <c r="V339" s="90"/>
      <c r="W339" s="91"/>
      <c r="X339" s="92"/>
    </row>
    <row r="340" spans="1:24">
      <c r="A340" s="2"/>
      <c r="B340" s="11"/>
      <c r="C340" s="36"/>
      <c r="D340" s="10"/>
      <c r="E340" s="10"/>
      <c r="F340" s="97">
        <f>SUM(F339:F339)</f>
        <v>5891.3</v>
      </c>
      <c r="G340" s="97">
        <f>SUM(G339:G339)</f>
        <v>686.36</v>
      </c>
      <c r="H340" s="97">
        <f>SUM(H339:H339)</f>
        <v>0</v>
      </c>
      <c r="I340" s="98">
        <f>SUM(I339:I339)</f>
        <v>5204.9400000000005</v>
      </c>
      <c r="J340" s="63"/>
      <c r="K340" s="21"/>
      <c r="L340" s="21"/>
      <c r="M340" s="21"/>
      <c r="N340" s="21"/>
      <c r="O340" s="21"/>
      <c r="P340" s="21"/>
      <c r="Q340" s="21"/>
      <c r="R340" s="21"/>
      <c r="S340" s="21"/>
      <c r="T340" s="63"/>
      <c r="U340" s="94"/>
      <c r="V340" s="90"/>
      <c r="W340" s="91"/>
      <c r="X340" s="92"/>
    </row>
    <row r="341" spans="1:24">
      <c r="A341" s="2"/>
      <c r="B341" s="11"/>
      <c r="C341" s="36"/>
      <c r="D341" s="10"/>
      <c r="E341" s="10"/>
      <c r="F341" s="88"/>
      <c r="G341" s="88"/>
      <c r="H341" s="88"/>
      <c r="I341" s="99"/>
      <c r="J341" s="63"/>
      <c r="K341" s="21"/>
      <c r="L341" s="21"/>
      <c r="M341" s="21"/>
      <c r="N341" s="21"/>
      <c r="O341" s="21"/>
      <c r="P341" s="21"/>
      <c r="Q341" s="21"/>
      <c r="R341" s="21"/>
      <c r="S341" s="21"/>
      <c r="T341" s="63"/>
      <c r="U341" s="94"/>
      <c r="V341" s="90"/>
      <c r="W341" s="91"/>
      <c r="X341" s="92"/>
    </row>
    <row r="342" spans="1:24">
      <c r="A342" s="128"/>
      <c r="B342" s="121" t="s">
        <v>68</v>
      </c>
      <c r="C342" s="122"/>
      <c r="D342" s="123"/>
      <c r="E342" s="123"/>
      <c r="F342" s="124"/>
      <c r="G342" s="125"/>
      <c r="H342" s="124"/>
      <c r="I342" s="126"/>
      <c r="J342" s="127"/>
      <c r="K342" s="128"/>
      <c r="L342" s="128"/>
      <c r="M342" s="128"/>
      <c r="N342" s="128"/>
      <c r="O342" s="128"/>
      <c r="P342" s="128"/>
      <c r="Q342" s="128"/>
      <c r="R342" s="128"/>
      <c r="S342" s="128"/>
      <c r="T342" s="127"/>
      <c r="U342" s="123"/>
      <c r="V342" s="129"/>
      <c r="W342" s="130"/>
      <c r="X342" s="131"/>
    </row>
    <row r="343" spans="1:24" s="342" customFormat="1">
      <c r="A343" s="356">
        <v>0.05</v>
      </c>
      <c r="B343" s="333">
        <v>1</v>
      </c>
      <c r="C343" s="350">
        <v>45854</v>
      </c>
      <c r="D343" s="263" t="s">
        <v>357</v>
      </c>
      <c r="E343" s="358" t="s">
        <v>352</v>
      </c>
      <c r="F343" s="352">
        <v>29233</v>
      </c>
      <c r="G343" s="352">
        <f>39.7+(38.13+228.23+2506.69+64.79)+(F343*0.25)</f>
        <v>10185.790000000001</v>
      </c>
      <c r="H343" s="486"/>
      <c r="I343" s="353">
        <f>F343-G343-H343</f>
        <v>19047.21</v>
      </c>
      <c r="J343" s="354" t="s">
        <v>156</v>
      </c>
      <c r="K343" s="354">
        <v>1</v>
      </c>
      <c r="L343" s="354">
        <v>1</v>
      </c>
      <c r="M343" s="354">
        <v>1</v>
      </c>
      <c r="N343" s="354">
        <v>1</v>
      </c>
      <c r="O343" s="354">
        <v>1</v>
      </c>
      <c r="P343" s="354">
        <v>1</v>
      </c>
      <c r="Q343" s="354">
        <v>1</v>
      </c>
      <c r="R343" s="354">
        <v>1</v>
      </c>
      <c r="S343" s="366">
        <v>0</v>
      </c>
      <c r="T343" s="127"/>
      <c r="U343" s="123" t="s">
        <v>358</v>
      </c>
      <c r="V343" s="129">
        <f>3215.7</f>
        <v>3215.7</v>
      </c>
      <c r="W343" s="130"/>
      <c r="X343" s="131"/>
    </row>
    <row r="344" spans="1:24">
      <c r="A344" s="128"/>
      <c r="B344" s="132"/>
      <c r="C344" s="122"/>
      <c r="D344" s="123"/>
      <c r="E344" s="123"/>
      <c r="F344" s="134">
        <f>SUM(F343:F343)</f>
        <v>29233</v>
      </c>
      <c r="G344" s="134">
        <f>SUM(G343:G343)</f>
        <v>10185.790000000001</v>
      </c>
      <c r="H344" s="134">
        <f>SUM(H343:H343)</f>
        <v>0</v>
      </c>
      <c r="I344" s="134">
        <f>SUM(I343:I343)</f>
        <v>19047.21</v>
      </c>
      <c r="J344" s="127"/>
      <c r="K344" s="64"/>
      <c r="L344" s="64"/>
      <c r="M344" s="64"/>
      <c r="N344" s="64"/>
      <c r="O344" s="64"/>
      <c r="P344" s="64"/>
      <c r="Q344" s="64"/>
      <c r="R344" s="64"/>
      <c r="S344" s="64"/>
      <c r="T344" s="127"/>
      <c r="U344" s="123"/>
      <c r="V344" s="129"/>
      <c r="W344" s="130"/>
      <c r="X344" s="131"/>
    </row>
    <row r="345" spans="1:24">
      <c r="A345" s="2"/>
      <c r="B345" s="11"/>
      <c r="C345" s="36"/>
      <c r="D345" s="10"/>
      <c r="E345" s="10"/>
      <c r="F345" s="88"/>
      <c r="G345" s="88"/>
      <c r="H345" s="88"/>
      <c r="I345" s="99"/>
      <c r="J345" s="63"/>
      <c r="K345" s="21"/>
      <c r="L345" s="21"/>
      <c r="M345" s="21"/>
      <c r="N345" s="21"/>
      <c r="O345" s="21"/>
      <c r="P345" s="21"/>
      <c r="Q345" s="21"/>
      <c r="R345" s="21"/>
      <c r="S345" s="21"/>
      <c r="T345" s="63"/>
      <c r="U345" s="10"/>
      <c r="V345" s="90"/>
      <c r="W345" s="91"/>
      <c r="X345" s="92"/>
    </row>
    <row r="346" spans="1:24" s="260" customFormat="1">
      <c r="A346" s="181"/>
      <c r="B346" s="100" t="s">
        <v>152</v>
      </c>
      <c r="C346" s="36"/>
      <c r="D346" s="10"/>
      <c r="E346" s="10"/>
      <c r="F346" s="88"/>
      <c r="G346" s="62"/>
      <c r="H346" s="88"/>
      <c r="I346" s="99"/>
      <c r="J346" s="10"/>
      <c r="K346" s="181"/>
      <c r="L346" s="181"/>
      <c r="M346" s="181"/>
      <c r="N346" s="181"/>
      <c r="O346" s="181"/>
      <c r="P346" s="181"/>
      <c r="Q346" s="181"/>
      <c r="R346" s="181"/>
      <c r="S346" s="181"/>
      <c r="T346" s="63"/>
      <c r="U346" s="10"/>
      <c r="V346" s="90"/>
      <c r="W346" s="91"/>
      <c r="X346" s="92"/>
    </row>
    <row r="347" spans="1:24" s="260" customFormat="1">
      <c r="A347" s="312" t="s">
        <v>194</v>
      </c>
      <c r="B347" s="87">
        <v>1</v>
      </c>
      <c r="C347" s="262">
        <v>45805</v>
      </c>
      <c r="D347" s="357" t="s">
        <v>195</v>
      </c>
      <c r="E347" s="271" t="s">
        <v>196</v>
      </c>
      <c r="F347" s="265">
        <v>2999.1</v>
      </c>
      <c r="G347" s="265">
        <v>39.700000000000003</v>
      </c>
      <c r="H347" s="265">
        <f>F347*0.2</f>
        <v>599.82000000000005</v>
      </c>
      <c r="I347" s="272">
        <f>F347-G347-H347</f>
        <v>2359.58</v>
      </c>
      <c r="J347" s="267" t="s">
        <v>197</v>
      </c>
      <c r="K347" s="267">
        <v>1</v>
      </c>
      <c r="L347" s="267">
        <v>1</v>
      </c>
      <c r="M347" s="267">
        <v>1</v>
      </c>
      <c r="N347" s="267">
        <v>1</v>
      </c>
      <c r="O347" s="267">
        <v>1</v>
      </c>
      <c r="P347" s="267">
        <v>0</v>
      </c>
      <c r="Q347" s="267">
        <v>0</v>
      </c>
      <c r="R347" s="267">
        <v>0</v>
      </c>
      <c r="S347" s="269">
        <v>0</v>
      </c>
      <c r="T347" s="63"/>
      <c r="U347" s="10" t="s">
        <v>198</v>
      </c>
      <c r="V347" s="90"/>
      <c r="W347" s="91"/>
      <c r="X347" s="92"/>
    </row>
    <row r="348" spans="1:24" s="260" customFormat="1">
      <c r="A348" s="312" t="s">
        <v>194</v>
      </c>
      <c r="B348" s="87">
        <f t="shared" ref="B348:B354" si="76">B347+1</f>
        <v>2</v>
      </c>
      <c r="C348" s="262">
        <v>45805</v>
      </c>
      <c r="D348" s="357" t="s">
        <v>199</v>
      </c>
      <c r="E348" s="271" t="s">
        <v>196</v>
      </c>
      <c r="F348" s="265">
        <v>16214</v>
      </c>
      <c r="G348" s="265">
        <f>39.7+44+36.26+(33.82+55.44)+(102.43+254.2+84.43+10.82+125.93)+1500</f>
        <v>2287.0299999999997</v>
      </c>
      <c r="H348" s="265">
        <f>F348*0.2</f>
        <v>3242.8</v>
      </c>
      <c r="I348" s="272">
        <f>F348-G348-H348</f>
        <v>10684.170000000002</v>
      </c>
      <c r="J348" s="267" t="s">
        <v>197</v>
      </c>
      <c r="K348" s="267">
        <v>1</v>
      </c>
      <c r="L348" s="267"/>
      <c r="M348" s="267">
        <v>1</v>
      </c>
      <c r="N348" s="267">
        <v>1</v>
      </c>
      <c r="O348" s="267">
        <v>1</v>
      </c>
      <c r="P348" s="267">
        <v>0</v>
      </c>
      <c r="Q348" s="267">
        <v>1</v>
      </c>
      <c r="R348" s="267">
        <v>1</v>
      </c>
      <c r="S348" s="269">
        <v>0</v>
      </c>
      <c r="T348" s="63"/>
      <c r="U348" s="10" t="s">
        <v>200</v>
      </c>
      <c r="V348" s="90"/>
      <c r="W348" s="136"/>
      <c r="X348" s="137"/>
    </row>
    <row r="349" spans="1:24" s="260" customFormat="1">
      <c r="A349" s="261">
        <v>0.05</v>
      </c>
      <c r="B349" s="87">
        <f t="shared" si="76"/>
        <v>3</v>
      </c>
      <c r="C349" s="262">
        <v>45826</v>
      </c>
      <c r="D349" s="263">
        <v>70849</v>
      </c>
      <c r="E349" s="271" t="s">
        <v>189</v>
      </c>
      <c r="F349" s="265">
        <f>1261</f>
        <v>1261</v>
      </c>
      <c r="G349" s="265">
        <v>39.700000000000003</v>
      </c>
      <c r="H349" s="265"/>
      <c r="I349" s="272">
        <f>F349-G349-H349</f>
        <v>1221.3</v>
      </c>
      <c r="J349" s="267" t="s">
        <v>156</v>
      </c>
      <c r="K349" s="267">
        <v>1</v>
      </c>
      <c r="L349" s="267"/>
      <c r="M349" s="267">
        <v>1</v>
      </c>
      <c r="N349" s="267">
        <v>1</v>
      </c>
      <c r="O349" s="267">
        <v>1</v>
      </c>
      <c r="P349" s="267">
        <v>1</v>
      </c>
      <c r="Q349" s="267"/>
      <c r="R349" s="267"/>
      <c r="S349" s="269"/>
      <c r="T349" s="63"/>
      <c r="U349" s="10" t="s">
        <v>201</v>
      </c>
      <c r="V349" s="90"/>
      <c r="W349" s="136"/>
      <c r="X349" s="137"/>
    </row>
    <row r="350" spans="1:24" s="260" customFormat="1">
      <c r="A350" s="261">
        <v>0.05</v>
      </c>
      <c r="B350" s="87">
        <f t="shared" si="76"/>
        <v>4</v>
      </c>
      <c r="C350" s="262">
        <v>45834</v>
      </c>
      <c r="D350" s="357" t="s">
        <v>188</v>
      </c>
      <c r="E350" s="271" t="s">
        <v>189</v>
      </c>
      <c r="F350" s="265">
        <f>11553-160.9</f>
        <v>11392.1</v>
      </c>
      <c r="G350" s="265">
        <f>39.7+4500+300</f>
        <v>4839.7</v>
      </c>
      <c r="H350" s="265">
        <f>F350*0.2</f>
        <v>2278.42</v>
      </c>
      <c r="I350" s="272">
        <f t="shared" ref="I350:I351" si="77">F350-G350-H350</f>
        <v>4273.9800000000005</v>
      </c>
      <c r="J350" s="267" t="s">
        <v>185</v>
      </c>
      <c r="K350" s="267">
        <v>1</v>
      </c>
      <c r="L350" s="267">
        <v>1</v>
      </c>
      <c r="M350" s="267">
        <v>1</v>
      </c>
      <c r="N350" s="267">
        <v>1</v>
      </c>
      <c r="O350" s="267">
        <v>1</v>
      </c>
      <c r="P350" s="267">
        <v>0</v>
      </c>
      <c r="Q350" s="267">
        <v>0</v>
      </c>
      <c r="R350" s="267">
        <v>0</v>
      </c>
      <c r="S350" s="269">
        <v>0</v>
      </c>
      <c r="T350" s="63"/>
      <c r="U350" s="10" t="s">
        <v>266</v>
      </c>
      <c r="V350" s="90"/>
      <c r="W350" s="136"/>
      <c r="X350" s="137"/>
    </row>
    <row r="351" spans="1:24" s="342" customFormat="1">
      <c r="A351" s="31">
        <v>0.05</v>
      </c>
      <c r="B351" s="87">
        <f t="shared" si="76"/>
        <v>5</v>
      </c>
      <c r="C351" s="262">
        <v>45838</v>
      </c>
      <c r="D351" s="357" t="s">
        <v>257</v>
      </c>
      <c r="E351" s="264" t="s">
        <v>227</v>
      </c>
      <c r="F351" s="265">
        <v>1261</v>
      </c>
      <c r="G351" s="265">
        <v>39.700000000000003</v>
      </c>
      <c r="H351" s="265"/>
      <c r="I351" s="272">
        <f t="shared" si="77"/>
        <v>1221.3</v>
      </c>
      <c r="J351" s="267" t="s">
        <v>156</v>
      </c>
      <c r="K351" s="267">
        <v>1</v>
      </c>
      <c r="L351" s="267">
        <v>1</v>
      </c>
      <c r="M351" s="267">
        <v>1</v>
      </c>
      <c r="N351" s="267">
        <v>1</v>
      </c>
      <c r="O351" s="267">
        <v>1</v>
      </c>
      <c r="P351" s="267">
        <v>0</v>
      </c>
      <c r="Q351" s="267">
        <v>1</v>
      </c>
      <c r="R351" s="267">
        <v>1</v>
      </c>
      <c r="S351" s="269">
        <v>0</v>
      </c>
      <c r="T351" s="63"/>
      <c r="U351" s="10" t="s">
        <v>258</v>
      </c>
      <c r="V351" s="90"/>
      <c r="W351" s="91"/>
      <c r="X351" s="92"/>
    </row>
    <row r="352" spans="1:24" s="260" customFormat="1">
      <c r="A352" s="261">
        <v>0.05</v>
      </c>
      <c r="B352" s="87">
        <f t="shared" si="76"/>
        <v>6</v>
      </c>
      <c r="C352" s="262">
        <v>45835</v>
      </c>
      <c r="D352" s="357">
        <v>71077</v>
      </c>
      <c r="E352" s="271" t="s">
        <v>204</v>
      </c>
      <c r="F352" s="265">
        <v>5814</v>
      </c>
      <c r="G352" s="265">
        <f>39.7+(727.51)</f>
        <v>767.21</v>
      </c>
      <c r="H352" s="265"/>
      <c r="I352" s="272">
        <f>F352-G352-H352</f>
        <v>5046.79</v>
      </c>
      <c r="J352" s="267" t="s">
        <v>236</v>
      </c>
      <c r="K352" s="267">
        <v>1</v>
      </c>
      <c r="L352" s="267">
        <v>1</v>
      </c>
      <c r="M352" s="267">
        <v>1</v>
      </c>
      <c r="N352" s="267">
        <v>1</v>
      </c>
      <c r="O352" s="267">
        <v>1</v>
      </c>
      <c r="P352" s="267">
        <v>0</v>
      </c>
      <c r="Q352" s="267">
        <v>0</v>
      </c>
      <c r="R352" s="267">
        <v>0</v>
      </c>
      <c r="S352" s="269">
        <v>0</v>
      </c>
      <c r="T352" s="63"/>
      <c r="U352" s="10" t="s">
        <v>267</v>
      </c>
      <c r="V352" s="90"/>
      <c r="W352" s="136"/>
      <c r="X352" s="137"/>
    </row>
    <row r="353" spans="1:24" s="260" customFormat="1">
      <c r="A353" s="261">
        <v>0.05</v>
      </c>
      <c r="B353" s="87">
        <f t="shared" si="76"/>
        <v>7</v>
      </c>
      <c r="C353" s="262">
        <v>45839</v>
      </c>
      <c r="D353" s="357">
        <v>71075</v>
      </c>
      <c r="E353" s="264" t="s">
        <v>262</v>
      </c>
      <c r="F353" s="265">
        <v>2261</v>
      </c>
      <c r="G353" s="265">
        <f>39.7+(68.49+164.51)</f>
        <v>272.7</v>
      </c>
      <c r="H353" s="265">
        <f>F353*0.2</f>
        <v>452.20000000000005</v>
      </c>
      <c r="I353" s="272">
        <f>F353-G353-H353</f>
        <v>1536.1</v>
      </c>
      <c r="J353" s="267" t="s">
        <v>313</v>
      </c>
      <c r="K353" s="267">
        <v>1</v>
      </c>
      <c r="L353" s="267"/>
      <c r="M353" s="267"/>
      <c r="N353" s="267">
        <v>1</v>
      </c>
      <c r="O353" s="267">
        <v>1</v>
      </c>
      <c r="P353" s="267">
        <v>0</v>
      </c>
      <c r="Q353" s="267"/>
      <c r="R353" s="267"/>
      <c r="S353" s="269"/>
      <c r="T353" s="63"/>
      <c r="U353" s="10" t="s">
        <v>314</v>
      </c>
      <c r="V353" s="90"/>
      <c r="W353" s="91"/>
      <c r="X353" s="92"/>
    </row>
    <row r="354" spans="1:24" s="260" customFormat="1">
      <c r="A354" s="261">
        <v>0.05</v>
      </c>
      <c r="B354" s="87">
        <f t="shared" si="76"/>
        <v>8</v>
      </c>
      <c r="C354" s="282">
        <v>45840</v>
      </c>
      <c r="D354" s="330" t="s">
        <v>264</v>
      </c>
      <c r="E354" s="283" t="s">
        <v>239</v>
      </c>
      <c r="F354" s="284">
        <v>14281</v>
      </c>
      <c r="G354" s="284">
        <f>39.7+160+108.8+62+420.4+62+(105.44+126.14+97.98+162.34+19.98+19.98)+(143.13+220.83-23.66)+1000</f>
        <v>2725.06</v>
      </c>
      <c r="H354" s="284">
        <f>F354*0.2</f>
        <v>2856.2000000000003</v>
      </c>
      <c r="I354" s="285">
        <f t="shared" ref="I354" si="78">F354-G354-H354</f>
        <v>8699.74</v>
      </c>
      <c r="J354" s="286" t="s">
        <v>185</v>
      </c>
      <c r="K354" s="286">
        <v>1</v>
      </c>
      <c r="L354" s="286">
        <v>1</v>
      </c>
      <c r="M354" s="286">
        <v>1</v>
      </c>
      <c r="N354" s="286">
        <v>1</v>
      </c>
      <c r="O354" s="286">
        <v>1</v>
      </c>
      <c r="P354" s="286">
        <v>0</v>
      </c>
      <c r="Q354" s="286">
        <v>1</v>
      </c>
      <c r="R354" s="286">
        <v>1</v>
      </c>
      <c r="S354" s="287">
        <v>1</v>
      </c>
      <c r="T354" s="63"/>
      <c r="U354" s="94" t="s">
        <v>315</v>
      </c>
      <c r="V354" s="90"/>
      <c r="W354" s="136"/>
      <c r="X354" s="137"/>
    </row>
    <row r="355" spans="1:24" s="260" customFormat="1">
      <c r="A355" s="181"/>
      <c r="B355" s="11"/>
      <c r="C355" s="36"/>
      <c r="D355" s="77"/>
      <c r="E355" s="10"/>
      <c r="F355" s="97">
        <f>SUM(F347:F354)</f>
        <v>55483.199999999997</v>
      </c>
      <c r="G355" s="97">
        <f>SUM(G347:G354)</f>
        <v>11010.8</v>
      </c>
      <c r="H355" s="97">
        <f>SUM(H347:H354)</f>
        <v>9429.44</v>
      </c>
      <c r="I355" s="97">
        <f>SUM(I347:I354)</f>
        <v>35042.959999999999</v>
      </c>
      <c r="K355" s="21"/>
      <c r="L355" s="21"/>
      <c r="M355" s="21"/>
      <c r="N355" s="21"/>
      <c r="O355" s="21"/>
      <c r="P355" s="21"/>
      <c r="Q355" s="21"/>
      <c r="R355" s="21"/>
      <c r="S355" s="21"/>
      <c r="T355" s="63"/>
      <c r="U355" s="10"/>
      <c r="V355" s="90"/>
      <c r="W355" s="91"/>
      <c r="X355" s="92"/>
    </row>
    <row r="356" spans="1:24" s="260" customFormat="1">
      <c r="A356" s="181"/>
      <c r="B356" s="11"/>
      <c r="C356" s="36"/>
      <c r="D356" s="77"/>
      <c r="E356" s="10"/>
      <c r="F356" s="88"/>
      <c r="G356" s="88"/>
      <c r="H356" s="88"/>
      <c r="I356" s="99"/>
      <c r="J356" s="63"/>
      <c r="K356" s="21"/>
      <c r="L356" s="21"/>
      <c r="M356" s="21"/>
      <c r="N356" s="21"/>
      <c r="O356" s="21"/>
      <c r="P356" s="21"/>
      <c r="Q356" s="21"/>
      <c r="R356" s="21"/>
      <c r="S356" s="21"/>
      <c r="T356" s="63"/>
      <c r="U356" s="10"/>
      <c r="V356" s="90"/>
      <c r="W356" s="91"/>
      <c r="X356" s="92"/>
    </row>
    <row r="357" spans="1:24" s="260" customFormat="1">
      <c r="A357" s="181"/>
      <c r="B357" s="100" t="s">
        <v>202</v>
      </c>
      <c r="C357" s="299"/>
      <c r="D357" s="77"/>
      <c r="E357" s="181"/>
      <c r="F357" s="88"/>
      <c r="G357" s="88"/>
      <c r="H357" s="88"/>
      <c r="I357" s="99"/>
      <c r="J357" s="63"/>
      <c r="K357" s="21"/>
      <c r="L357" s="21"/>
      <c r="M357" s="21"/>
      <c r="N357" s="21"/>
      <c r="O357" s="21"/>
      <c r="P357" s="21"/>
      <c r="Q357" s="21"/>
      <c r="R357" s="21"/>
      <c r="S357" s="21"/>
      <c r="T357" s="63"/>
      <c r="U357" s="10"/>
      <c r="V357" s="90"/>
      <c r="W357" s="91"/>
      <c r="X357" s="92"/>
    </row>
    <row r="358" spans="1:24" s="260" customFormat="1">
      <c r="A358" s="31">
        <v>0.05</v>
      </c>
      <c r="B358" s="87">
        <v>1</v>
      </c>
      <c r="C358" s="262">
        <v>45789</v>
      </c>
      <c r="D358" s="357">
        <v>70067</v>
      </c>
      <c r="E358" s="271" t="s">
        <v>203</v>
      </c>
      <c r="F358" s="265">
        <v>481</v>
      </c>
      <c r="G358" s="265"/>
      <c r="H358" s="265"/>
      <c r="I358" s="272">
        <f>F358-G358-H358</f>
        <v>481</v>
      </c>
      <c r="J358" s="267"/>
      <c r="K358" s="267">
        <v>1</v>
      </c>
      <c r="L358" s="267"/>
      <c r="M358" s="267"/>
      <c r="N358" s="267">
        <v>1</v>
      </c>
      <c r="O358" s="267">
        <v>1</v>
      </c>
      <c r="P358" s="267">
        <v>0</v>
      </c>
      <c r="Q358" s="267"/>
      <c r="R358" s="267"/>
      <c r="S358" s="269"/>
      <c r="T358" s="63"/>
      <c r="U358" s="10"/>
      <c r="V358" s="90"/>
      <c r="W358" s="136"/>
      <c r="X358" s="137"/>
    </row>
    <row r="359" spans="1:24" s="260" customFormat="1">
      <c r="A359" s="261">
        <v>0.05</v>
      </c>
      <c r="B359" s="87">
        <f>B358+1</f>
        <v>2</v>
      </c>
      <c r="C359" s="262">
        <v>45847</v>
      </c>
      <c r="D359" s="263">
        <v>71343</v>
      </c>
      <c r="E359" s="271" t="s">
        <v>184</v>
      </c>
      <c r="F359" s="265">
        <v>2814</v>
      </c>
      <c r="G359" s="265">
        <f>39.7+(36.22+222.93)</f>
        <v>298.84999999999997</v>
      </c>
      <c r="H359" s="265"/>
      <c r="I359" s="272">
        <f>F359-G359-H359</f>
        <v>2515.15</v>
      </c>
      <c r="J359" s="267" t="s">
        <v>156</v>
      </c>
      <c r="K359" s="267">
        <v>1</v>
      </c>
      <c r="L359" s="267"/>
      <c r="M359" s="267">
        <v>1</v>
      </c>
      <c r="N359" s="267">
        <v>1</v>
      </c>
      <c r="O359" s="267">
        <v>1</v>
      </c>
      <c r="P359" s="267">
        <v>0</v>
      </c>
      <c r="Q359" s="267"/>
      <c r="R359" s="267"/>
      <c r="S359" s="269"/>
      <c r="T359" s="63"/>
      <c r="U359" s="94" t="s">
        <v>359</v>
      </c>
      <c r="V359" s="90">
        <f>1785.86</f>
        <v>1785.86</v>
      </c>
      <c r="W359" s="136"/>
      <c r="X359" s="137"/>
    </row>
    <row r="360" spans="1:24" s="260" customFormat="1">
      <c r="B360" s="11"/>
      <c r="C360" s="36"/>
      <c r="D360" s="10"/>
      <c r="E360" s="10"/>
      <c r="F360" s="97">
        <f>SUM(F358:F359)</f>
        <v>3295</v>
      </c>
      <c r="G360" s="97">
        <f>SUM(G358:G359)</f>
        <v>298.84999999999997</v>
      </c>
      <c r="H360" s="97">
        <f>SUM(H358:H359)</f>
        <v>0</v>
      </c>
      <c r="I360" s="97">
        <f>SUM(I358:I359)</f>
        <v>2996.15</v>
      </c>
      <c r="J360" s="63"/>
      <c r="K360" s="21"/>
      <c r="L360" s="21"/>
      <c r="M360" s="21"/>
      <c r="N360" s="21"/>
      <c r="O360" s="21"/>
      <c r="P360" s="21"/>
      <c r="Q360" s="21"/>
      <c r="R360" s="21"/>
      <c r="S360" s="21"/>
      <c r="T360" s="63"/>
      <c r="U360" s="10"/>
      <c r="V360" s="90"/>
      <c r="W360" s="91"/>
      <c r="X360" s="92"/>
    </row>
    <row r="361" spans="1:24" s="260" customFormat="1">
      <c r="B361" s="11"/>
      <c r="C361" s="36"/>
      <c r="D361" s="10"/>
      <c r="E361" s="10"/>
      <c r="F361" s="88"/>
      <c r="G361" s="88"/>
      <c r="H361" s="88"/>
      <c r="I361" s="88"/>
      <c r="J361" s="63"/>
      <c r="K361" s="21"/>
      <c r="L361" s="21"/>
      <c r="M361" s="21"/>
      <c r="N361" s="21"/>
      <c r="O361" s="21"/>
      <c r="P361" s="21"/>
      <c r="Q361" s="21"/>
      <c r="R361" s="21"/>
      <c r="S361" s="21"/>
      <c r="T361" s="63"/>
      <c r="U361" s="10"/>
      <c r="V361" s="90"/>
      <c r="W361" s="91"/>
      <c r="X361" s="92"/>
    </row>
    <row r="362" spans="1:24">
      <c r="A362" s="2"/>
      <c r="B362" s="100" t="s">
        <v>72</v>
      </c>
      <c r="C362" s="36"/>
      <c r="D362" s="10"/>
      <c r="E362" s="10"/>
      <c r="F362" s="88"/>
      <c r="G362" s="88"/>
      <c r="H362" s="88"/>
      <c r="I362" s="99"/>
      <c r="J362" s="63"/>
      <c r="K362" s="63"/>
      <c r="L362" s="63"/>
      <c r="M362" s="63"/>
      <c r="N362" s="63"/>
      <c r="O362" s="63"/>
      <c r="P362" s="63"/>
      <c r="Q362" s="63"/>
      <c r="R362" s="63"/>
      <c r="S362" s="63"/>
      <c r="T362" s="63"/>
      <c r="U362" s="10"/>
      <c r="V362" s="90"/>
      <c r="W362" s="91"/>
      <c r="X362" s="92"/>
    </row>
    <row r="363" spans="1:24">
      <c r="A363" s="2"/>
      <c r="B363" s="87">
        <v>1</v>
      </c>
      <c r="C363" s="274">
        <v>45852</v>
      </c>
      <c r="D363" s="276" t="s">
        <v>360</v>
      </c>
      <c r="E363" s="276" t="s">
        <v>338</v>
      </c>
      <c r="F363" s="277">
        <v>5814</v>
      </c>
      <c r="G363" s="277">
        <f t="shared" ref="G363:G370" si="79">39.7</f>
        <v>39.700000000000003</v>
      </c>
      <c r="H363" s="277"/>
      <c r="I363" s="278">
        <f t="shared" ref="I363:I376" si="80">F363-G363-H363</f>
        <v>5774.3</v>
      </c>
      <c r="J363" s="279" t="s">
        <v>205</v>
      </c>
      <c r="K363" s="279">
        <v>1</v>
      </c>
      <c r="L363" s="279"/>
      <c r="M363" s="279"/>
      <c r="N363" s="279">
        <v>1</v>
      </c>
      <c r="O363" s="279"/>
      <c r="P363" s="279"/>
      <c r="Q363" s="279"/>
      <c r="R363" s="279"/>
      <c r="S363" s="280"/>
      <c r="T363" s="63"/>
      <c r="U363" s="10"/>
      <c r="V363" s="90"/>
      <c r="W363" s="136"/>
      <c r="X363" s="137"/>
    </row>
    <row r="364" spans="1:24">
      <c r="A364" s="2"/>
      <c r="B364" s="87">
        <f t="shared" ref="B364:B376" si="81">B363+1</f>
        <v>2</v>
      </c>
      <c r="C364" s="274">
        <v>45853</v>
      </c>
      <c r="D364" s="276" t="s">
        <v>361</v>
      </c>
      <c r="E364" s="276" t="s">
        <v>344</v>
      </c>
      <c r="F364" s="277">
        <v>2861</v>
      </c>
      <c r="G364" s="277">
        <f t="shared" si="79"/>
        <v>39.700000000000003</v>
      </c>
      <c r="H364" s="277"/>
      <c r="I364" s="278">
        <f t="shared" si="80"/>
        <v>2821.3</v>
      </c>
      <c r="J364" s="279" t="s">
        <v>205</v>
      </c>
      <c r="K364" s="279">
        <v>1</v>
      </c>
      <c r="L364" s="279"/>
      <c r="M364" s="279"/>
      <c r="N364" s="279">
        <v>1</v>
      </c>
      <c r="O364" s="279"/>
      <c r="P364" s="279"/>
      <c r="Q364" s="279"/>
      <c r="R364" s="279"/>
      <c r="S364" s="280"/>
      <c r="T364" s="63"/>
      <c r="U364" s="10"/>
      <c r="V364" s="90"/>
      <c r="W364" s="136"/>
      <c r="X364" s="137"/>
    </row>
    <row r="365" spans="1:24">
      <c r="A365" s="2"/>
      <c r="B365" s="87">
        <f t="shared" si="81"/>
        <v>3</v>
      </c>
      <c r="C365" s="295">
        <v>45853</v>
      </c>
      <c r="D365" s="10" t="s">
        <v>362</v>
      </c>
      <c r="E365" s="10" t="s">
        <v>329</v>
      </c>
      <c r="F365" s="62">
        <v>6394</v>
      </c>
      <c r="G365" s="62">
        <f t="shared" si="79"/>
        <v>39.700000000000003</v>
      </c>
      <c r="H365" s="62"/>
      <c r="I365" s="89">
        <f t="shared" si="80"/>
        <v>6354.3</v>
      </c>
      <c r="J365" s="63" t="s">
        <v>205</v>
      </c>
      <c r="K365" s="63">
        <v>1</v>
      </c>
      <c r="L365" s="63"/>
      <c r="M365" s="63"/>
      <c r="N365" s="63">
        <v>1</v>
      </c>
      <c r="O365" s="63"/>
      <c r="P365" s="63"/>
      <c r="Q365" s="63"/>
      <c r="R365" s="63"/>
      <c r="S365" s="296"/>
      <c r="T365" s="63"/>
      <c r="U365" s="10"/>
      <c r="V365" s="90"/>
      <c r="W365" s="136"/>
      <c r="X365" s="137"/>
    </row>
    <row r="366" spans="1:24">
      <c r="A366" s="2"/>
      <c r="B366" s="87">
        <f t="shared" si="81"/>
        <v>4</v>
      </c>
      <c r="C366" s="295">
        <v>45853</v>
      </c>
      <c r="D366" s="10">
        <v>71318</v>
      </c>
      <c r="E366" s="10" t="s">
        <v>363</v>
      </c>
      <c r="F366" s="62">
        <v>1861</v>
      </c>
      <c r="G366" s="62">
        <f t="shared" si="79"/>
        <v>39.700000000000003</v>
      </c>
      <c r="H366" s="62"/>
      <c r="I366" s="89">
        <f t="shared" si="80"/>
        <v>1821.3</v>
      </c>
      <c r="J366" s="63" t="s">
        <v>205</v>
      </c>
      <c r="K366" s="63">
        <v>1</v>
      </c>
      <c r="L366" s="63"/>
      <c r="M366" s="63"/>
      <c r="N366" s="63">
        <v>1</v>
      </c>
      <c r="O366" s="63"/>
      <c r="P366" s="63"/>
      <c r="Q366" s="63"/>
      <c r="R366" s="63"/>
      <c r="S366" s="296"/>
      <c r="T366" s="63"/>
      <c r="U366" s="10"/>
      <c r="V366" s="90"/>
      <c r="W366" s="136"/>
      <c r="X366" s="137"/>
    </row>
    <row r="367" spans="1:24">
      <c r="A367" s="2"/>
      <c r="B367" s="87">
        <f t="shared" si="81"/>
        <v>5</v>
      </c>
      <c r="C367" s="274">
        <v>45854</v>
      </c>
      <c r="D367" s="276" t="s">
        <v>364</v>
      </c>
      <c r="E367" s="281" t="s">
        <v>348</v>
      </c>
      <c r="F367" s="277">
        <v>7752.6</v>
      </c>
      <c r="G367" s="277">
        <f t="shared" si="79"/>
        <v>39.700000000000003</v>
      </c>
      <c r="H367" s="277"/>
      <c r="I367" s="278">
        <f t="shared" si="80"/>
        <v>7712.9000000000005</v>
      </c>
      <c r="J367" s="279" t="s">
        <v>205</v>
      </c>
      <c r="K367" s="279">
        <v>1</v>
      </c>
      <c r="L367" s="279"/>
      <c r="M367" s="279"/>
      <c r="N367" s="279">
        <v>1</v>
      </c>
      <c r="O367" s="279"/>
      <c r="P367" s="279"/>
      <c r="Q367" s="279"/>
      <c r="R367" s="279"/>
      <c r="S367" s="280"/>
      <c r="T367" s="63"/>
      <c r="U367" s="10"/>
      <c r="V367" s="90"/>
      <c r="W367" s="136"/>
      <c r="X367" s="137"/>
    </row>
    <row r="368" spans="1:24">
      <c r="A368" s="2"/>
      <c r="B368" s="87">
        <f t="shared" si="81"/>
        <v>6</v>
      </c>
      <c r="C368" s="295">
        <v>45854</v>
      </c>
      <c r="D368" s="10">
        <v>71473</v>
      </c>
      <c r="E368" s="101" t="s">
        <v>365</v>
      </c>
      <c r="F368" s="62">
        <v>6214</v>
      </c>
      <c r="G368" s="62">
        <f t="shared" si="79"/>
        <v>39.700000000000003</v>
      </c>
      <c r="H368" s="62"/>
      <c r="I368" s="89">
        <f t="shared" si="80"/>
        <v>6174.3</v>
      </c>
      <c r="J368" s="63" t="s">
        <v>205</v>
      </c>
      <c r="K368" s="63">
        <v>1</v>
      </c>
      <c r="L368" s="63"/>
      <c r="M368" s="63"/>
      <c r="N368" s="63">
        <v>1</v>
      </c>
      <c r="O368" s="63"/>
      <c r="P368" s="63"/>
      <c r="Q368" s="63">
        <v>1</v>
      </c>
      <c r="R368" s="63">
        <v>1</v>
      </c>
      <c r="S368" s="296">
        <v>1</v>
      </c>
      <c r="T368" s="63"/>
      <c r="U368" s="10"/>
      <c r="V368" s="90"/>
      <c r="W368" s="136"/>
      <c r="X368" s="137"/>
    </row>
    <row r="369" spans="1:24">
      <c r="A369" s="2"/>
      <c r="B369" s="87">
        <f t="shared" si="81"/>
        <v>7</v>
      </c>
      <c r="C369" s="295">
        <v>45854</v>
      </c>
      <c r="D369" s="10">
        <v>71479</v>
      </c>
      <c r="E369" s="101" t="s">
        <v>184</v>
      </c>
      <c r="F369" s="62">
        <v>5592.6</v>
      </c>
      <c r="G369" s="62">
        <f t="shared" si="79"/>
        <v>39.700000000000003</v>
      </c>
      <c r="H369" s="62"/>
      <c r="I369" s="89">
        <f t="shared" si="80"/>
        <v>5552.9000000000005</v>
      </c>
      <c r="J369" s="63" t="s">
        <v>205</v>
      </c>
      <c r="K369" s="63">
        <v>1</v>
      </c>
      <c r="L369" s="63"/>
      <c r="M369" s="63"/>
      <c r="N369" s="63">
        <v>1</v>
      </c>
      <c r="O369" s="63"/>
      <c r="P369" s="63"/>
      <c r="Q369" s="63"/>
      <c r="R369" s="63"/>
      <c r="S369" s="296"/>
      <c r="T369" s="63"/>
      <c r="U369" s="10"/>
      <c r="V369" s="90"/>
      <c r="W369" s="136"/>
      <c r="X369" s="137"/>
    </row>
    <row r="370" spans="1:24">
      <c r="A370" s="2"/>
      <c r="B370" s="87">
        <f t="shared" si="81"/>
        <v>8</v>
      </c>
      <c r="C370" s="295">
        <v>45854</v>
      </c>
      <c r="D370" s="10">
        <v>71482</v>
      </c>
      <c r="E370" s="101" t="s">
        <v>366</v>
      </c>
      <c r="F370" s="62">
        <v>861</v>
      </c>
      <c r="G370" s="62">
        <f t="shared" si="79"/>
        <v>39.700000000000003</v>
      </c>
      <c r="H370" s="62"/>
      <c r="I370" s="89">
        <f t="shared" si="80"/>
        <v>821.3</v>
      </c>
      <c r="J370" s="63" t="s">
        <v>205</v>
      </c>
      <c r="K370" s="63">
        <v>1</v>
      </c>
      <c r="L370" s="63"/>
      <c r="M370" s="63"/>
      <c r="N370" s="63">
        <v>1</v>
      </c>
      <c r="O370" s="63"/>
      <c r="P370" s="63"/>
      <c r="Q370" s="63">
        <v>1</v>
      </c>
      <c r="R370" s="63">
        <v>1</v>
      </c>
      <c r="S370" s="296">
        <v>1</v>
      </c>
      <c r="T370" s="63"/>
      <c r="U370" s="10"/>
      <c r="V370" s="90"/>
      <c r="W370" s="136"/>
      <c r="X370" s="137"/>
    </row>
    <row r="371" spans="1:24">
      <c r="A371" s="2"/>
      <c r="B371" s="87">
        <f t="shared" si="81"/>
        <v>9</v>
      </c>
      <c r="C371" s="274">
        <v>45855</v>
      </c>
      <c r="D371" s="276">
        <v>71493</v>
      </c>
      <c r="E371" s="281" t="s">
        <v>367</v>
      </c>
      <c r="F371" s="277">
        <v>8614</v>
      </c>
      <c r="G371" s="277">
        <v>39.700000000000003</v>
      </c>
      <c r="H371" s="277"/>
      <c r="I371" s="278">
        <f t="shared" si="80"/>
        <v>8574.2999999999993</v>
      </c>
      <c r="J371" s="279" t="s">
        <v>205</v>
      </c>
      <c r="K371" s="279">
        <v>1</v>
      </c>
      <c r="L371" s="279"/>
      <c r="M371" s="279"/>
      <c r="N371" s="279">
        <v>1</v>
      </c>
      <c r="O371" s="279"/>
      <c r="P371" s="279"/>
      <c r="Q371" s="279">
        <v>1</v>
      </c>
      <c r="R371" s="279">
        <v>1</v>
      </c>
      <c r="S371" s="280">
        <v>1</v>
      </c>
      <c r="T371" s="63"/>
      <c r="U371" s="10"/>
      <c r="V371" s="90"/>
      <c r="W371" s="136"/>
      <c r="X371" s="137"/>
    </row>
    <row r="372" spans="1:24">
      <c r="A372" s="2"/>
      <c r="B372" s="87">
        <f t="shared" si="81"/>
        <v>10</v>
      </c>
      <c r="C372" s="295">
        <v>45855</v>
      </c>
      <c r="D372" s="10" t="s">
        <v>368</v>
      </c>
      <c r="E372" s="101" t="s">
        <v>354</v>
      </c>
      <c r="F372" s="62">
        <v>4127</v>
      </c>
      <c r="G372" s="62">
        <v>39.700000000000003</v>
      </c>
      <c r="H372" s="62"/>
      <c r="I372" s="89">
        <f t="shared" si="80"/>
        <v>4087.3</v>
      </c>
      <c r="J372" s="63" t="s">
        <v>205</v>
      </c>
      <c r="K372" s="63">
        <v>1</v>
      </c>
      <c r="L372" s="63"/>
      <c r="M372" s="63"/>
      <c r="N372" s="63">
        <v>1</v>
      </c>
      <c r="O372" s="63"/>
      <c r="P372" s="63"/>
      <c r="Q372" s="63"/>
      <c r="R372" s="63"/>
      <c r="S372" s="296"/>
      <c r="T372" s="63"/>
      <c r="U372" s="10"/>
      <c r="V372" s="90"/>
      <c r="W372" s="136"/>
      <c r="X372" s="137"/>
    </row>
    <row r="373" spans="1:24">
      <c r="A373" s="2"/>
      <c r="B373" s="87">
        <f t="shared" si="81"/>
        <v>11</v>
      </c>
      <c r="C373" s="295">
        <v>45855</v>
      </c>
      <c r="D373" s="10">
        <v>71542</v>
      </c>
      <c r="E373" s="101" t="s">
        <v>369</v>
      </c>
      <c r="F373" s="62">
        <v>2861</v>
      </c>
      <c r="G373" s="62">
        <v>39.700000000000003</v>
      </c>
      <c r="H373" s="62"/>
      <c r="I373" s="89">
        <f t="shared" si="80"/>
        <v>2821.3</v>
      </c>
      <c r="J373" s="63" t="s">
        <v>156</v>
      </c>
      <c r="K373" s="63">
        <v>1</v>
      </c>
      <c r="L373" s="63"/>
      <c r="M373" s="63">
        <v>1</v>
      </c>
      <c r="N373" s="63">
        <v>1</v>
      </c>
      <c r="O373" s="63"/>
      <c r="P373" s="63"/>
      <c r="Q373" s="63"/>
      <c r="R373" s="63"/>
      <c r="S373" s="296"/>
      <c r="T373" s="63"/>
      <c r="U373" s="10"/>
      <c r="V373" s="90">
        <v>93.5</v>
      </c>
      <c r="W373" s="136"/>
      <c r="X373" s="137"/>
    </row>
    <row r="374" spans="1:24">
      <c r="A374" s="2"/>
      <c r="B374" s="87">
        <f t="shared" si="81"/>
        <v>12</v>
      </c>
      <c r="C374" s="295">
        <v>45855</v>
      </c>
      <c r="D374" s="10">
        <v>71538</v>
      </c>
      <c r="E374" s="101" t="s">
        <v>370</v>
      </c>
      <c r="F374" s="62">
        <v>1020.6</v>
      </c>
      <c r="G374" s="62">
        <v>39.700000000000003</v>
      </c>
      <c r="H374" s="62"/>
      <c r="I374" s="89">
        <f t="shared" si="80"/>
        <v>980.9</v>
      </c>
      <c r="J374" s="63" t="s">
        <v>205</v>
      </c>
      <c r="K374" s="63">
        <v>1</v>
      </c>
      <c r="L374" s="63"/>
      <c r="M374" s="63"/>
      <c r="N374" s="63">
        <v>1</v>
      </c>
      <c r="O374" s="63"/>
      <c r="P374" s="63"/>
      <c r="Q374" s="63">
        <v>1</v>
      </c>
      <c r="R374" s="63">
        <v>1</v>
      </c>
      <c r="S374" s="296">
        <v>1</v>
      </c>
      <c r="T374" s="63"/>
      <c r="U374" s="10"/>
      <c r="V374" s="90"/>
      <c r="W374" s="136"/>
      <c r="X374" s="137"/>
    </row>
    <row r="375" spans="1:24">
      <c r="A375" s="2"/>
      <c r="B375" s="87">
        <f t="shared" si="81"/>
        <v>13</v>
      </c>
      <c r="C375" s="295">
        <v>45855</v>
      </c>
      <c r="D375" s="10">
        <v>71530</v>
      </c>
      <c r="E375" s="10" t="s">
        <v>206</v>
      </c>
      <c r="F375" s="62">
        <v>0</v>
      </c>
      <c r="G375" s="62"/>
      <c r="H375" s="62"/>
      <c r="I375" s="89">
        <f t="shared" si="80"/>
        <v>0</v>
      </c>
      <c r="J375" s="63" t="s">
        <v>219</v>
      </c>
      <c r="K375" s="63"/>
      <c r="L375" s="63"/>
      <c r="M375" s="63"/>
      <c r="N375" s="63"/>
      <c r="O375" s="63"/>
      <c r="P375" s="63"/>
      <c r="Q375" s="63"/>
      <c r="R375" s="63"/>
      <c r="S375" s="296"/>
      <c r="T375" s="63"/>
      <c r="U375" s="10"/>
      <c r="V375" s="90"/>
      <c r="W375" s="136"/>
      <c r="X375" s="137"/>
    </row>
    <row r="376" spans="1:24">
      <c r="A376" s="2"/>
      <c r="B376" s="87">
        <f t="shared" si="81"/>
        <v>14</v>
      </c>
      <c r="C376" s="262">
        <v>45856</v>
      </c>
      <c r="D376" s="271">
        <v>71566</v>
      </c>
      <c r="E376" s="271" t="s">
        <v>352</v>
      </c>
      <c r="F376" s="265">
        <v>3704.4</v>
      </c>
      <c r="G376" s="265">
        <v>39.700000000000003</v>
      </c>
      <c r="H376" s="265"/>
      <c r="I376" s="272">
        <f t="shared" si="80"/>
        <v>3664.7000000000003</v>
      </c>
      <c r="J376" s="267" t="s">
        <v>205</v>
      </c>
      <c r="K376" s="267">
        <v>1</v>
      </c>
      <c r="L376" s="267"/>
      <c r="M376" s="267"/>
      <c r="N376" s="267">
        <v>1</v>
      </c>
      <c r="O376" s="267"/>
      <c r="P376" s="267"/>
      <c r="Q376" s="267"/>
      <c r="R376" s="267"/>
      <c r="S376" s="269"/>
      <c r="T376" s="63"/>
      <c r="U376" s="10"/>
      <c r="V376" s="90"/>
      <c r="W376" s="136"/>
      <c r="X376" s="137"/>
    </row>
    <row r="377" spans="1:24">
      <c r="A377" s="2"/>
      <c r="B377" s="11"/>
      <c r="C377" s="36"/>
      <c r="D377" s="10"/>
      <c r="E377" s="10"/>
      <c r="F377" s="98">
        <f>SUM(F363:F376)</f>
        <v>57677.2</v>
      </c>
      <c r="G377" s="98">
        <f>SUM(G363:G376)</f>
        <v>516.09999999999991</v>
      </c>
      <c r="H377" s="98">
        <f>SUM(H363:H376)</f>
        <v>0</v>
      </c>
      <c r="I377" s="98">
        <f>SUM(I363:I376)</f>
        <v>57161.100000000013</v>
      </c>
      <c r="J377" s="10"/>
      <c r="K377" s="10"/>
      <c r="L377" s="10"/>
      <c r="M377" s="10"/>
      <c r="N377" s="10"/>
      <c r="O377" s="10"/>
      <c r="P377" s="10"/>
      <c r="Q377" s="10"/>
      <c r="R377" s="10"/>
      <c r="S377" s="10"/>
      <c r="T377" s="63"/>
      <c r="U377" s="10"/>
      <c r="V377" s="138"/>
      <c r="W377" s="136"/>
      <c r="X377" s="137"/>
    </row>
    <row r="378" spans="1:24">
      <c r="A378" s="2"/>
      <c r="B378" s="26"/>
      <c r="C378" s="140"/>
      <c r="D378" s="141"/>
      <c r="E378" s="141"/>
      <c r="F378" s="141"/>
      <c r="G378" s="141"/>
      <c r="H378" s="141"/>
      <c r="I378" s="141"/>
      <c r="J378" s="141"/>
      <c r="K378" s="142"/>
      <c r="L378" s="142"/>
      <c r="M378" s="142"/>
      <c r="N378" s="142"/>
      <c r="O378" s="142"/>
      <c r="P378" s="142"/>
      <c r="Q378" s="142"/>
      <c r="R378" s="142"/>
      <c r="S378" s="142"/>
      <c r="T378" s="143">
        <f>SUM(T320:T377)</f>
        <v>0</v>
      </c>
      <c r="U378" s="141"/>
      <c r="V378" s="144">
        <f>SUM(V320:V377)</f>
        <v>29410.119999999995</v>
      </c>
      <c r="W378" s="145">
        <f>SUM(W320:W377)</f>
        <v>0</v>
      </c>
      <c r="X378" s="146">
        <f>SUM(X320:X377)</f>
        <v>0</v>
      </c>
    </row>
    <row r="381" spans="1:24">
      <c r="A381" s="3"/>
      <c r="B381" s="4" t="s">
        <v>1</v>
      </c>
      <c r="C381" s="5"/>
      <c r="D381" s="6"/>
      <c r="E381" s="6"/>
      <c r="F381" s="7" t="s">
        <v>2</v>
      </c>
      <c r="G381" s="8">
        <v>45865</v>
      </c>
      <c r="H381" s="7"/>
      <c r="I381" s="6"/>
      <c r="J381" s="6"/>
      <c r="K381" s="6"/>
      <c r="L381" s="6"/>
      <c r="M381" s="6"/>
      <c r="N381" s="6"/>
      <c r="O381" s="6"/>
      <c r="P381" s="6"/>
      <c r="Q381" s="6"/>
      <c r="R381" s="6"/>
      <c r="S381" s="6"/>
      <c r="T381" s="6"/>
      <c r="U381" s="9"/>
      <c r="V381" s="10"/>
      <c r="W381" s="10"/>
      <c r="X381" s="10"/>
    </row>
    <row r="382" spans="1:24">
      <c r="A382" s="2"/>
      <c r="B382" s="11"/>
      <c r="C382" s="10"/>
      <c r="D382" s="10"/>
      <c r="E382" s="10"/>
      <c r="F382" s="10"/>
      <c r="G382" s="7"/>
      <c r="H382" s="12"/>
      <c r="I382" s="10"/>
      <c r="J382" s="10"/>
      <c r="K382" s="13" t="s">
        <v>3</v>
      </c>
      <c r="L382" s="14"/>
      <c r="M382" s="15"/>
      <c r="N382" s="13" t="s">
        <v>4</v>
      </c>
      <c r="O382" s="14"/>
      <c r="P382" s="15"/>
      <c r="Q382" s="13" t="s">
        <v>5</v>
      </c>
      <c r="R382" s="14"/>
      <c r="S382" s="15"/>
      <c r="T382" s="16"/>
      <c r="U382" s="17"/>
      <c r="V382" s="10"/>
      <c r="W382" s="10"/>
      <c r="X382" s="10"/>
    </row>
    <row r="383" spans="1:24">
      <c r="A383" s="2"/>
      <c r="B383" s="18" t="s">
        <v>6</v>
      </c>
      <c r="C383" s="19">
        <f>C384+C385</f>
        <v>20</v>
      </c>
      <c r="D383" s="10"/>
      <c r="E383" s="18" t="s">
        <v>7</v>
      </c>
      <c r="F383" s="6"/>
      <c r="G383" s="9"/>
      <c r="H383" s="10"/>
      <c r="I383" s="10"/>
      <c r="J383" s="10"/>
      <c r="K383" s="20" t="s">
        <v>8</v>
      </c>
      <c r="L383" s="21" t="s">
        <v>9</v>
      </c>
      <c r="M383" s="21" t="s">
        <v>10</v>
      </c>
      <c r="N383" s="20" t="s">
        <v>11</v>
      </c>
      <c r="O383" s="21" t="s">
        <v>12</v>
      </c>
      <c r="P383" s="22" t="s">
        <v>13</v>
      </c>
      <c r="Q383" s="21" t="s">
        <v>11</v>
      </c>
      <c r="R383" s="21" t="s">
        <v>12</v>
      </c>
      <c r="S383" s="22" t="s">
        <v>13</v>
      </c>
      <c r="T383" s="23" t="s">
        <v>14</v>
      </c>
      <c r="U383" s="17"/>
      <c r="V383" s="10"/>
      <c r="W383" s="10"/>
      <c r="X383" s="10"/>
    </row>
    <row r="384" spans="1:24">
      <c r="A384" s="2"/>
      <c r="B384" s="24" t="s">
        <v>15</v>
      </c>
      <c r="C384" s="25">
        <f>P391</f>
        <v>8</v>
      </c>
      <c r="D384" s="10"/>
      <c r="E384" s="26" t="s">
        <v>16</v>
      </c>
      <c r="F384" s="27">
        <v>0.05</v>
      </c>
      <c r="G384" s="28"/>
      <c r="H384" s="10"/>
      <c r="I384" s="10"/>
      <c r="J384" s="18" t="s">
        <v>17</v>
      </c>
      <c r="K384" s="29">
        <f>K417</f>
        <v>8</v>
      </c>
      <c r="L384" s="29">
        <f t="shared" ref="L384:S384" si="82">L417</f>
        <v>8</v>
      </c>
      <c r="M384" s="29">
        <f t="shared" si="82"/>
        <v>6</v>
      </c>
      <c r="N384" s="29">
        <f t="shared" si="82"/>
        <v>8</v>
      </c>
      <c r="O384" s="29">
        <f t="shared" si="82"/>
        <v>8</v>
      </c>
      <c r="P384" s="29">
        <f t="shared" si="82"/>
        <v>7</v>
      </c>
      <c r="Q384" s="29">
        <f t="shared" si="82"/>
        <v>8</v>
      </c>
      <c r="R384" s="29">
        <f t="shared" si="82"/>
        <v>8</v>
      </c>
      <c r="S384" s="29">
        <f t="shared" si="82"/>
        <v>7</v>
      </c>
      <c r="T384" s="30">
        <f>T453</f>
        <v>1</v>
      </c>
      <c r="U384" s="17"/>
      <c r="V384" s="10"/>
      <c r="W384" s="10"/>
      <c r="X384" s="10"/>
    </row>
    <row r="385" spans="1:24">
      <c r="A385" s="2"/>
      <c r="B385" s="24" t="s">
        <v>18</v>
      </c>
      <c r="C385" s="25">
        <f>P392</f>
        <v>12</v>
      </c>
      <c r="D385" s="10"/>
      <c r="E385" s="10"/>
      <c r="F385" s="10"/>
      <c r="G385" s="31"/>
      <c r="H385" s="10"/>
      <c r="I385" s="10"/>
      <c r="J385" s="32" t="s">
        <v>19</v>
      </c>
      <c r="K385" s="33">
        <f>K417/K416</f>
        <v>1</v>
      </c>
      <c r="L385" s="33">
        <f t="shared" ref="L385:S385" si="83">L417/L416</f>
        <v>1</v>
      </c>
      <c r="M385" s="33">
        <f t="shared" si="83"/>
        <v>0.75</v>
      </c>
      <c r="N385" s="33">
        <f t="shared" si="83"/>
        <v>1</v>
      </c>
      <c r="O385" s="33">
        <f t="shared" si="83"/>
        <v>1</v>
      </c>
      <c r="P385" s="33">
        <f t="shared" si="83"/>
        <v>0.875</v>
      </c>
      <c r="Q385" s="33">
        <f t="shared" si="83"/>
        <v>1</v>
      </c>
      <c r="R385" s="33">
        <f t="shared" si="83"/>
        <v>1</v>
      </c>
      <c r="S385" s="33">
        <f t="shared" si="83"/>
        <v>0.875</v>
      </c>
      <c r="T385" s="23"/>
      <c r="U385" s="17" t="s">
        <v>20</v>
      </c>
      <c r="V385" s="10"/>
      <c r="W385" s="10"/>
      <c r="X385" s="10"/>
    </row>
    <row r="386" spans="1:24">
      <c r="A386" s="2"/>
      <c r="B386" s="24" t="s">
        <v>21</v>
      </c>
      <c r="C386" s="34">
        <f>P393</f>
        <v>0.4</v>
      </c>
      <c r="D386" s="10"/>
      <c r="E386" s="10"/>
      <c r="F386" s="10"/>
      <c r="G386" s="10"/>
      <c r="H386" s="10"/>
      <c r="I386" s="10"/>
      <c r="J386" s="10"/>
      <c r="K386" s="10"/>
      <c r="L386" s="10"/>
      <c r="M386" s="10"/>
      <c r="N386" s="10"/>
      <c r="O386" s="10"/>
      <c r="P386" s="10"/>
      <c r="Q386" s="10"/>
      <c r="R386" s="10"/>
      <c r="S386" s="10"/>
      <c r="T386" s="10"/>
      <c r="U386" s="17"/>
      <c r="V386" s="10"/>
      <c r="W386" s="10"/>
      <c r="X386" s="10"/>
    </row>
    <row r="387" spans="1:24">
      <c r="A387" s="2"/>
      <c r="B387" s="24"/>
      <c r="C387" s="25"/>
      <c r="D387" s="10"/>
      <c r="E387" s="10"/>
      <c r="F387" s="18" t="s">
        <v>22</v>
      </c>
      <c r="G387" s="19" t="s">
        <v>23</v>
      </c>
      <c r="H387" s="35" t="s">
        <v>24</v>
      </c>
      <c r="I387" s="10"/>
      <c r="J387" s="10"/>
      <c r="K387" s="36"/>
      <c r="L387" s="36"/>
      <c r="M387" s="36"/>
      <c r="N387" s="36"/>
      <c r="O387" s="36"/>
      <c r="P387" s="36"/>
      <c r="Q387" s="36"/>
      <c r="R387" s="10"/>
      <c r="S387" s="10"/>
      <c r="T387" s="10"/>
      <c r="U387" s="17"/>
      <c r="V387" s="10"/>
      <c r="W387" s="10"/>
      <c r="X387" s="10"/>
    </row>
    <row r="388" spans="1:24">
      <c r="A388" s="2"/>
      <c r="B388" s="32" t="s">
        <v>25</v>
      </c>
      <c r="C388" s="37">
        <f>P394</f>
        <v>991.82375000000002</v>
      </c>
      <c r="D388" s="10"/>
      <c r="E388" s="18" t="s">
        <v>26</v>
      </c>
      <c r="F388" s="38">
        <f>P390</f>
        <v>7934.59</v>
      </c>
      <c r="G388" s="39">
        <f>I416</f>
        <v>7934.5900000000011</v>
      </c>
      <c r="H388" s="40"/>
      <c r="I388" s="41"/>
      <c r="J388" s="42"/>
      <c r="K388" s="43" t="s">
        <v>27</v>
      </c>
      <c r="L388" s="44"/>
      <c r="M388" s="44"/>
      <c r="N388" s="44"/>
      <c r="O388" s="44"/>
      <c r="P388" s="44"/>
      <c r="Q388" s="45"/>
      <c r="R388" s="46" t="s">
        <v>28</v>
      </c>
      <c r="S388" s="47" t="s">
        <v>29</v>
      </c>
      <c r="T388" s="10"/>
      <c r="U388" s="17"/>
      <c r="V388" s="10"/>
      <c r="W388" s="10"/>
      <c r="X388" s="10"/>
    </row>
    <row r="389" spans="1:24">
      <c r="A389" s="2"/>
      <c r="B389" s="11"/>
      <c r="C389" s="10"/>
      <c r="D389" s="10"/>
      <c r="E389" s="24" t="s">
        <v>30</v>
      </c>
      <c r="F389" s="48">
        <f>F384</f>
        <v>0.05</v>
      </c>
      <c r="G389" s="17"/>
      <c r="H389" s="40"/>
      <c r="I389" s="41"/>
      <c r="J389" s="42"/>
      <c r="K389" s="20" t="s">
        <v>31</v>
      </c>
      <c r="L389" s="21" t="s">
        <v>32</v>
      </c>
      <c r="M389" s="21" t="s">
        <v>33</v>
      </c>
      <c r="N389" s="21" t="s">
        <v>34</v>
      </c>
      <c r="O389" s="21" t="s">
        <v>35</v>
      </c>
      <c r="P389" s="21" t="s">
        <v>36</v>
      </c>
      <c r="Q389" s="49" t="s">
        <v>37</v>
      </c>
      <c r="R389" s="50" t="s">
        <v>38</v>
      </c>
      <c r="S389" s="50" t="s">
        <v>38</v>
      </c>
      <c r="T389" s="10"/>
      <c r="U389" s="17"/>
      <c r="V389" s="10"/>
      <c r="W389" s="10"/>
      <c r="X389" s="10"/>
    </row>
    <row r="390" spans="1:24">
      <c r="A390" s="2"/>
      <c r="B390" s="11"/>
      <c r="C390" s="10"/>
      <c r="D390" s="10"/>
      <c r="E390" s="51" t="s">
        <v>39</v>
      </c>
      <c r="F390" s="52">
        <f>(F388-I408-I409)*F389</f>
        <v>337.77950000000004</v>
      </c>
      <c r="G390" s="53" t="s">
        <v>40</v>
      </c>
      <c r="H390" s="54">
        <f>F390/1.12</f>
        <v>301.5888392857143</v>
      </c>
      <c r="I390" s="55"/>
      <c r="J390" s="42"/>
      <c r="K390" s="56">
        <v>0</v>
      </c>
      <c r="L390" s="57">
        <f>I408</f>
        <v>563</v>
      </c>
      <c r="M390" s="57">
        <f>I409</f>
        <v>616</v>
      </c>
      <c r="N390" s="57">
        <f>I411+I412+I410</f>
        <v>3619.26</v>
      </c>
      <c r="O390" s="57">
        <f>I413+I414+I415</f>
        <v>3136.33</v>
      </c>
      <c r="P390" s="57">
        <f>SUM(K390:O390)</f>
        <v>7934.59</v>
      </c>
      <c r="Q390" s="58">
        <v>0</v>
      </c>
      <c r="R390" s="59">
        <v>0</v>
      </c>
      <c r="S390" s="59">
        <v>0</v>
      </c>
      <c r="T390" s="10"/>
      <c r="U390" s="17"/>
      <c r="V390" s="10"/>
      <c r="W390" s="10"/>
      <c r="X390" s="10"/>
    </row>
    <row r="391" spans="1:24">
      <c r="A391" s="2"/>
      <c r="B391" s="11"/>
      <c r="C391" s="10"/>
      <c r="D391" s="10"/>
      <c r="E391" s="24" t="s">
        <v>41</v>
      </c>
      <c r="F391" s="60">
        <f>Q390</f>
        <v>0</v>
      </c>
      <c r="G391" s="61" t="s">
        <v>40</v>
      </c>
      <c r="H391" s="62"/>
      <c r="I391" s="62"/>
      <c r="J391" s="10" t="s">
        <v>42</v>
      </c>
      <c r="K391" s="63">
        <v>0</v>
      </c>
      <c r="L391" s="63">
        <v>1</v>
      </c>
      <c r="M391" s="63">
        <v>1</v>
      </c>
      <c r="N391" s="63">
        <v>3</v>
      </c>
      <c r="O391" s="63">
        <v>3</v>
      </c>
      <c r="P391" s="21">
        <f>SUM(K391:O391)</f>
        <v>8</v>
      </c>
      <c r="Q391" s="64"/>
      <c r="R391" s="63"/>
      <c r="S391" s="10"/>
      <c r="T391" s="10"/>
      <c r="U391" s="17"/>
      <c r="V391" s="10"/>
      <c r="W391" s="10"/>
      <c r="X391" s="10"/>
    </row>
    <row r="392" spans="1:24">
      <c r="A392" s="2"/>
      <c r="B392" s="11"/>
      <c r="C392" s="10"/>
      <c r="D392" s="10"/>
      <c r="E392" s="51" t="s">
        <v>43</v>
      </c>
      <c r="F392" s="52">
        <f>F391*0.25</f>
        <v>0</v>
      </c>
      <c r="G392" s="53" t="s">
        <v>40</v>
      </c>
      <c r="H392" s="54">
        <f>F392/1.12</f>
        <v>0</v>
      </c>
      <c r="I392" s="10"/>
      <c r="J392" s="10" t="s">
        <v>44</v>
      </c>
      <c r="K392" s="63">
        <v>0</v>
      </c>
      <c r="L392" s="63">
        <v>3</v>
      </c>
      <c r="M392" s="63">
        <v>5</v>
      </c>
      <c r="N392" s="63">
        <v>2</v>
      </c>
      <c r="O392" s="63">
        <v>2</v>
      </c>
      <c r="P392" s="21">
        <f>SUM(K392:O392)</f>
        <v>12</v>
      </c>
      <c r="Q392" s="64"/>
      <c r="R392" s="63"/>
      <c r="S392" s="10"/>
      <c r="T392" s="10"/>
      <c r="U392" s="17"/>
      <c r="V392" s="10"/>
      <c r="W392" s="10"/>
      <c r="X392" s="10"/>
    </row>
    <row r="393" spans="1:24">
      <c r="A393" s="2"/>
      <c r="B393" s="11"/>
      <c r="C393" s="10"/>
      <c r="D393" s="10"/>
      <c r="E393" s="24" t="s">
        <v>45</v>
      </c>
      <c r="F393" s="60">
        <f>I422</f>
        <v>20789.29</v>
      </c>
      <c r="G393" s="61" t="s">
        <v>40</v>
      </c>
      <c r="H393" s="62"/>
      <c r="I393" s="10"/>
      <c r="J393" s="10" t="s">
        <v>46</v>
      </c>
      <c r="K393" s="31" t="e">
        <f t="shared" ref="K393:Q393" si="84">K391/(K391+K392)</f>
        <v>#DIV/0!</v>
      </c>
      <c r="L393" s="31">
        <f t="shared" si="84"/>
        <v>0.25</v>
      </c>
      <c r="M393" s="31">
        <f t="shared" si="84"/>
        <v>0.16666666666666666</v>
      </c>
      <c r="N393" s="31">
        <f t="shared" si="84"/>
        <v>0.6</v>
      </c>
      <c r="O393" s="31">
        <f t="shared" si="84"/>
        <v>0.6</v>
      </c>
      <c r="P393" s="31">
        <f t="shared" si="84"/>
        <v>0.4</v>
      </c>
      <c r="Q393" s="31" t="e">
        <f t="shared" si="84"/>
        <v>#DIV/0!</v>
      </c>
      <c r="R393" s="63"/>
      <c r="S393" s="10"/>
      <c r="T393" s="10"/>
      <c r="U393" s="17"/>
      <c r="V393" s="10"/>
      <c r="W393" s="10"/>
      <c r="X393" s="10"/>
    </row>
    <row r="394" spans="1:24">
      <c r="A394" s="2"/>
      <c r="B394" s="11"/>
      <c r="C394" s="10"/>
      <c r="D394" s="10"/>
      <c r="E394" s="51" t="s">
        <v>47</v>
      </c>
      <c r="F394" s="52">
        <f>(F393+F397+F398)*0.05</f>
        <v>1037.7540000000001</v>
      </c>
      <c r="G394" s="65" t="s">
        <v>40</v>
      </c>
      <c r="H394" s="54">
        <f>F394/1.12</f>
        <v>926.56607142857149</v>
      </c>
      <c r="I394" s="42"/>
      <c r="J394" s="10" t="s">
        <v>48</v>
      </c>
      <c r="K394" s="66" t="e">
        <f>K390/K391</f>
        <v>#DIV/0!</v>
      </c>
      <c r="L394" s="66">
        <f t="shared" ref="L394:Q394" si="85">L390/L391</f>
        <v>563</v>
      </c>
      <c r="M394" s="66">
        <f t="shared" si="85"/>
        <v>616</v>
      </c>
      <c r="N394" s="66">
        <f t="shared" si="85"/>
        <v>1206.42</v>
      </c>
      <c r="O394" s="66">
        <f t="shared" si="85"/>
        <v>1045.4433333333334</v>
      </c>
      <c r="P394" s="66">
        <f t="shared" si="85"/>
        <v>991.82375000000002</v>
      </c>
      <c r="Q394" s="66" t="e">
        <f t="shared" si="85"/>
        <v>#DIV/0!</v>
      </c>
      <c r="R394" s="63"/>
      <c r="S394" s="10"/>
      <c r="T394" s="10"/>
      <c r="U394" s="17"/>
      <c r="V394" s="10"/>
      <c r="W394" s="10"/>
      <c r="X394" s="10"/>
    </row>
    <row r="395" spans="1:24">
      <c r="A395" s="2"/>
      <c r="B395" s="11"/>
      <c r="C395" s="10"/>
      <c r="D395" s="10"/>
      <c r="E395" s="67" t="s">
        <v>14</v>
      </c>
      <c r="F395" s="68">
        <f>1*50</f>
        <v>50</v>
      </c>
      <c r="G395" s="10"/>
      <c r="H395" s="54">
        <f>F395/1.12</f>
        <v>44.642857142857139</v>
      </c>
      <c r="I395" s="10"/>
      <c r="J395" s="10"/>
      <c r="K395" s="10"/>
      <c r="L395" s="10"/>
      <c r="M395" s="10"/>
      <c r="N395" s="10"/>
      <c r="O395" s="10"/>
      <c r="P395" s="10"/>
      <c r="Q395" s="10"/>
      <c r="R395" s="10"/>
      <c r="S395" s="10"/>
      <c r="T395" s="10"/>
      <c r="U395" s="17"/>
      <c r="V395" s="10"/>
      <c r="W395" s="10"/>
      <c r="X395" s="10"/>
    </row>
    <row r="396" spans="1:24">
      <c r="A396" s="2"/>
      <c r="B396" s="11"/>
      <c r="C396" s="10"/>
      <c r="D396" s="10"/>
      <c r="E396" s="67" t="s">
        <v>49</v>
      </c>
      <c r="F396" s="69">
        <f>T385</f>
        <v>0</v>
      </c>
      <c r="G396" s="10"/>
      <c r="H396" s="54"/>
      <c r="I396" s="55"/>
      <c r="J396" s="42"/>
      <c r="K396" s="764" t="s">
        <v>50</v>
      </c>
      <c r="L396" s="765"/>
      <c r="M396" s="765"/>
      <c r="N396" s="765"/>
      <c r="O396" s="765"/>
      <c r="P396" s="765"/>
      <c r="Q396" s="766"/>
      <c r="R396" s="70" t="s">
        <v>28</v>
      </c>
      <c r="S396" s="71" t="s">
        <v>29</v>
      </c>
      <c r="T396" s="10"/>
      <c r="U396" s="17"/>
      <c r="V396" s="10"/>
      <c r="W396" s="10"/>
      <c r="X396" s="10"/>
    </row>
    <row r="397" spans="1:24">
      <c r="A397" s="2"/>
      <c r="B397" s="11"/>
      <c r="C397" s="10"/>
      <c r="D397" s="10"/>
      <c r="E397" s="72" t="s">
        <v>371</v>
      </c>
      <c r="F397" s="73">
        <v>-4.07</v>
      </c>
      <c r="G397" s="10"/>
      <c r="H397" s="10"/>
      <c r="I397" s="10"/>
      <c r="J397" s="42"/>
      <c r="K397" s="20" t="s">
        <v>31</v>
      </c>
      <c r="L397" s="21" t="s">
        <v>32</v>
      </c>
      <c r="M397" s="21" t="s">
        <v>33</v>
      </c>
      <c r="N397" s="21" t="s">
        <v>34</v>
      </c>
      <c r="O397" s="21" t="s">
        <v>35</v>
      </c>
      <c r="P397" s="21" t="s">
        <v>36</v>
      </c>
      <c r="Q397" s="49" t="s">
        <v>37</v>
      </c>
      <c r="R397" s="50" t="s">
        <v>38</v>
      </c>
      <c r="S397" s="50" t="s">
        <v>38</v>
      </c>
      <c r="T397" s="10"/>
      <c r="U397" s="17"/>
      <c r="V397" s="10"/>
      <c r="W397" s="10"/>
      <c r="X397" s="10"/>
    </row>
    <row r="398" spans="1:24">
      <c r="A398" s="2"/>
      <c r="B398" s="11"/>
      <c r="C398" s="10"/>
      <c r="D398" s="10"/>
      <c r="E398" s="74" t="s">
        <v>372</v>
      </c>
      <c r="F398" s="75">
        <v>-30.14</v>
      </c>
      <c r="G398" s="10"/>
      <c r="H398" s="10"/>
      <c r="I398" s="10"/>
      <c r="J398" s="42"/>
      <c r="K398" s="56">
        <v>0</v>
      </c>
      <c r="L398" s="57">
        <f>F408</f>
        <v>563</v>
      </c>
      <c r="M398" s="57">
        <f>F409</f>
        <v>616</v>
      </c>
      <c r="N398" s="57">
        <f>F411+F412+F410</f>
        <v>3938</v>
      </c>
      <c r="O398" s="57">
        <f>F413+F414+F415</f>
        <v>3517.9</v>
      </c>
      <c r="P398" s="57">
        <f>SUM(K398:O398)</f>
        <v>8634.9</v>
      </c>
      <c r="Q398" s="58">
        <v>0</v>
      </c>
      <c r="R398" s="59">
        <v>0</v>
      </c>
      <c r="S398" s="59">
        <v>0</v>
      </c>
      <c r="T398" s="10"/>
      <c r="U398" s="17"/>
      <c r="V398" s="10"/>
      <c r="W398" s="10"/>
      <c r="X398" s="10"/>
    </row>
    <row r="399" spans="1:24">
      <c r="A399" s="2"/>
      <c r="B399" s="11"/>
      <c r="C399" s="10"/>
      <c r="D399" s="10"/>
      <c r="E399" s="12"/>
      <c r="F399" s="76"/>
      <c r="G399" s="10"/>
      <c r="H399" s="10"/>
      <c r="I399" s="10"/>
      <c r="J399" s="10" t="s">
        <v>42</v>
      </c>
      <c r="K399" s="63">
        <f>K391</f>
        <v>0</v>
      </c>
      <c r="L399" s="63">
        <f t="shared" ref="L399:Q400" si="86">L391</f>
        <v>1</v>
      </c>
      <c r="M399" s="63">
        <f t="shared" si="86"/>
        <v>1</v>
      </c>
      <c r="N399" s="63">
        <f t="shared" si="86"/>
        <v>3</v>
      </c>
      <c r="O399" s="63">
        <f t="shared" si="86"/>
        <v>3</v>
      </c>
      <c r="P399" s="63">
        <f t="shared" si="86"/>
        <v>8</v>
      </c>
      <c r="Q399" s="63">
        <f t="shared" si="86"/>
        <v>0</v>
      </c>
      <c r="R399" s="63"/>
      <c r="S399" s="10"/>
      <c r="T399" s="10"/>
      <c r="U399" s="17"/>
      <c r="V399" s="10"/>
      <c r="W399" s="10"/>
      <c r="X399" s="10"/>
    </row>
    <row r="400" spans="1:24">
      <c r="A400" s="2"/>
      <c r="B400" s="11"/>
      <c r="C400" s="10"/>
      <c r="D400" s="10"/>
      <c r="E400" s="10"/>
      <c r="F400" s="10"/>
      <c r="G400" s="10"/>
      <c r="H400" s="10"/>
      <c r="I400" s="10"/>
      <c r="J400" s="10" t="s">
        <v>44</v>
      </c>
      <c r="K400" s="63">
        <f>K392</f>
        <v>0</v>
      </c>
      <c r="L400" s="63">
        <f t="shared" si="86"/>
        <v>3</v>
      </c>
      <c r="M400" s="63">
        <f t="shared" si="86"/>
        <v>5</v>
      </c>
      <c r="N400" s="63">
        <f t="shared" si="86"/>
        <v>2</v>
      </c>
      <c r="O400" s="63">
        <f t="shared" si="86"/>
        <v>2</v>
      </c>
      <c r="P400" s="63">
        <f t="shared" si="86"/>
        <v>12</v>
      </c>
      <c r="Q400" s="63">
        <f t="shared" si="86"/>
        <v>0</v>
      </c>
      <c r="R400" s="63"/>
      <c r="S400" s="10"/>
      <c r="T400" s="10"/>
      <c r="U400" s="17"/>
      <c r="V400" s="10"/>
      <c r="W400" s="10"/>
      <c r="X400" s="10"/>
    </row>
    <row r="401" spans="1:24">
      <c r="A401" s="2"/>
      <c r="B401" s="11"/>
      <c r="C401" s="10"/>
      <c r="D401" s="10"/>
      <c r="E401" s="10"/>
      <c r="F401" s="10"/>
      <c r="G401" s="10"/>
      <c r="H401" s="10"/>
      <c r="I401" s="10"/>
      <c r="J401" s="10" t="s">
        <v>46</v>
      </c>
      <c r="K401" s="31" t="e">
        <f t="shared" ref="K401:Q401" si="87">K399/(K399+K400)</f>
        <v>#DIV/0!</v>
      </c>
      <c r="L401" s="31">
        <f t="shared" si="87"/>
        <v>0.25</v>
      </c>
      <c r="M401" s="31">
        <f t="shared" si="87"/>
        <v>0.16666666666666666</v>
      </c>
      <c r="N401" s="31">
        <f t="shared" si="87"/>
        <v>0.6</v>
      </c>
      <c r="O401" s="31">
        <f t="shared" si="87"/>
        <v>0.6</v>
      </c>
      <c r="P401" s="31">
        <f t="shared" si="87"/>
        <v>0.4</v>
      </c>
      <c r="Q401" s="31" t="e">
        <f t="shared" si="87"/>
        <v>#DIV/0!</v>
      </c>
      <c r="R401" s="63"/>
      <c r="S401" s="10"/>
      <c r="T401" s="10"/>
      <c r="U401" s="17"/>
      <c r="V401" s="10"/>
      <c r="W401" s="10"/>
      <c r="X401" s="10"/>
    </row>
    <row r="402" spans="1:24">
      <c r="A402" s="2"/>
      <c r="B402" s="11"/>
      <c r="C402" s="10"/>
      <c r="D402" s="10"/>
      <c r="E402" s="10"/>
      <c r="F402" s="10"/>
      <c r="G402" s="10"/>
      <c r="H402" s="10"/>
      <c r="I402" s="10"/>
      <c r="J402" s="10" t="s">
        <v>48</v>
      </c>
      <c r="K402" s="66" t="e">
        <f t="shared" ref="K402:Q402" si="88">K398/K399</f>
        <v>#DIV/0!</v>
      </c>
      <c r="L402" s="66">
        <f t="shared" si="88"/>
        <v>563</v>
      </c>
      <c r="M402" s="66">
        <f t="shared" si="88"/>
        <v>616</v>
      </c>
      <c r="N402" s="66">
        <f t="shared" si="88"/>
        <v>1312.6666666666667</v>
      </c>
      <c r="O402" s="66">
        <f t="shared" si="88"/>
        <v>1172.6333333333334</v>
      </c>
      <c r="P402" s="66">
        <f t="shared" si="88"/>
        <v>1079.3625</v>
      </c>
      <c r="Q402" s="66" t="e">
        <f t="shared" si="88"/>
        <v>#DIV/0!</v>
      </c>
      <c r="R402" s="63"/>
      <c r="S402" s="10"/>
      <c r="T402" s="10"/>
      <c r="U402" s="17"/>
      <c r="V402" s="10"/>
      <c r="W402" s="10"/>
      <c r="X402" s="10"/>
    </row>
    <row r="403" spans="1:24">
      <c r="A403" s="2"/>
      <c r="B403" s="11"/>
      <c r="C403" s="10"/>
      <c r="D403" s="10"/>
      <c r="E403" s="10"/>
      <c r="F403" s="10"/>
      <c r="G403" s="10"/>
      <c r="H403" s="10"/>
      <c r="I403" s="10"/>
      <c r="J403" s="10"/>
      <c r="K403" s="10"/>
      <c r="L403" s="10"/>
      <c r="M403" s="10"/>
      <c r="N403" s="10"/>
      <c r="O403" s="10"/>
      <c r="P403" s="10"/>
      <c r="Q403" s="10"/>
      <c r="R403" s="10"/>
      <c r="S403" s="10"/>
      <c r="T403" s="10"/>
      <c r="U403" s="17"/>
      <c r="V403" s="10"/>
      <c r="W403" s="10"/>
      <c r="X403" s="10"/>
    </row>
    <row r="404" spans="1:24">
      <c r="A404" s="2"/>
      <c r="B404" s="11"/>
      <c r="C404" s="10"/>
      <c r="D404" s="10"/>
      <c r="E404" s="10"/>
      <c r="F404" s="10"/>
      <c r="G404" s="10"/>
      <c r="H404" s="10"/>
      <c r="I404" s="10"/>
      <c r="J404" s="10"/>
      <c r="K404" s="10"/>
      <c r="L404" s="10"/>
      <c r="M404" s="10"/>
      <c r="N404" s="10"/>
      <c r="O404" s="10"/>
      <c r="P404" s="10"/>
      <c r="Q404" s="10"/>
      <c r="R404" s="10"/>
      <c r="S404" s="10"/>
      <c r="T404" s="10"/>
      <c r="U404" s="17"/>
      <c r="V404" s="10"/>
      <c r="W404" s="10"/>
      <c r="X404" s="10"/>
    </row>
    <row r="405" spans="1:24">
      <c r="A405" s="2"/>
      <c r="B405" s="18" t="s">
        <v>51</v>
      </c>
      <c r="C405" s="14"/>
      <c r="D405" s="14"/>
      <c r="E405" s="14"/>
      <c r="F405" s="13" t="s">
        <v>52</v>
      </c>
      <c r="G405" s="14"/>
      <c r="H405" s="14"/>
      <c r="I405" s="14"/>
      <c r="J405" s="14"/>
      <c r="K405" s="13" t="s">
        <v>3</v>
      </c>
      <c r="L405" s="14"/>
      <c r="M405" s="14"/>
      <c r="N405" s="13" t="s">
        <v>4</v>
      </c>
      <c r="O405" s="14"/>
      <c r="P405" s="14"/>
      <c r="Q405" s="13" t="s">
        <v>5</v>
      </c>
      <c r="R405" s="14"/>
      <c r="S405" s="14"/>
      <c r="T405" s="18"/>
      <c r="U405" s="16" t="s">
        <v>53</v>
      </c>
      <c r="V405" s="77"/>
      <c r="W405" s="77"/>
      <c r="X405" s="77"/>
    </row>
    <row r="406" spans="1:24">
      <c r="A406" s="2"/>
      <c r="B406" s="24" t="s">
        <v>54</v>
      </c>
      <c r="C406" s="21" t="s">
        <v>55</v>
      </c>
      <c r="D406" s="21" t="s">
        <v>56</v>
      </c>
      <c r="E406" s="21" t="s">
        <v>57</v>
      </c>
      <c r="F406" s="20" t="s">
        <v>58</v>
      </c>
      <c r="G406" s="21" t="s">
        <v>59</v>
      </c>
      <c r="H406" s="21" t="s">
        <v>60</v>
      </c>
      <c r="I406" s="21" t="s">
        <v>26</v>
      </c>
      <c r="J406" s="22" t="s">
        <v>61</v>
      </c>
      <c r="K406" s="21" t="s">
        <v>8</v>
      </c>
      <c r="L406" s="21" t="s">
        <v>9</v>
      </c>
      <c r="M406" s="21" t="s">
        <v>10</v>
      </c>
      <c r="N406" s="20" t="s">
        <v>11</v>
      </c>
      <c r="O406" s="21" t="s">
        <v>12</v>
      </c>
      <c r="P406" s="22" t="s">
        <v>13</v>
      </c>
      <c r="Q406" s="21" t="s">
        <v>11</v>
      </c>
      <c r="R406" s="21" t="s">
        <v>12</v>
      </c>
      <c r="S406" s="21" t="s">
        <v>13</v>
      </c>
      <c r="T406" s="78" t="s">
        <v>14</v>
      </c>
      <c r="U406" s="30"/>
      <c r="V406" s="79" t="s">
        <v>62</v>
      </c>
      <c r="W406" s="80" t="s">
        <v>63</v>
      </c>
      <c r="X406" s="81" t="s">
        <v>64</v>
      </c>
    </row>
    <row r="407" spans="1:24">
      <c r="A407" s="2"/>
      <c r="B407" s="4" t="s">
        <v>65</v>
      </c>
      <c r="C407" s="6"/>
      <c r="D407" s="6"/>
      <c r="E407" s="6"/>
      <c r="F407" s="6"/>
      <c r="G407" s="6"/>
      <c r="H407" s="6"/>
      <c r="I407" s="82"/>
      <c r="J407" s="6"/>
      <c r="K407" s="6"/>
      <c r="L407" s="6"/>
      <c r="M407" s="6"/>
      <c r="N407" s="6"/>
      <c r="O407" s="6"/>
      <c r="P407" s="6"/>
      <c r="Q407" s="6"/>
      <c r="R407" s="6"/>
      <c r="S407" s="6"/>
      <c r="T407" s="83"/>
      <c r="U407" s="6"/>
      <c r="V407" s="84"/>
      <c r="W407" s="85"/>
      <c r="X407" s="86"/>
    </row>
    <row r="408" spans="1:24">
      <c r="A408" s="2" t="s">
        <v>230</v>
      </c>
      <c r="B408" s="87">
        <v>1</v>
      </c>
      <c r="C408" s="274">
        <v>45860</v>
      </c>
      <c r="D408" s="327">
        <v>71615</v>
      </c>
      <c r="E408" s="276" t="s">
        <v>178</v>
      </c>
      <c r="F408" s="277">
        <v>563</v>
      </c>
      <c r="G408" s="277"/>
      <c r="H408" s="297"/>
      <c r="I408" s="329">
        <f t="shared" ref="I408:I415" si="89">F408-G408-H408</f>
        <v>563</v>
      </c>
      <c r="J408" s="279" t="s">
        <v>156</v>
      </c>
      <c r="K408" s="279">
        <v>1</v>
      </c>
      <c r="L408" s="279">
        <v>1</v>
      </c>
      <c r="M408" s="279">
        <v>1</v>
      </c>
      <c r="N408" s="279">
        <v>1</v>
      </c>
      <c r="O408" s="279">
        <v>1</v>
      </c>
      <c r="P408" s="279">
        <v>1</v>
      </c>
      <c r="Q408" s="279">
        <v>1</v>
      </c>
      <c r="R408" s="279">
        <v>1</v>
      </c>
      <c r="S408" s="280">
        <v>1</v>
      </c>
      <c r="T408" s="63"/>
      <c r="U408" s="10"/>
      <c r="V408" s="90">
        <f>62+557.3</f>
        <v>619.29999999999995</v>
      </c>
      <c r="W408" s="91"/>
      <c r="X408" s="92"/>
    </row>
    <row r="409" spans="1:24">
      <c r="A409" s="2" t="s">
        <v>230</v>
      </c>
      <c r="B409" s="87">
        <f t="shared" ref="B409:B415" si="90">B408+1</f>
        <v>2</v>
      </c>
      <c r="C409" s="274">
        <v>45861</v>
      </c>
      <c r="D409" s="327">
        <v>71670</v>
      </c>
      <c r="E409" s="276" t="s">
        <v>329</v>
      </c>
      <c r="F409" s="277">
        <f>681-65</f>
        <v>616</v>
      </c>
      <c r="G409" s="277"/>
      <c r="H409" s="277"/>
      <c r="I409" s="329">
        <f t="shared" si="89"/>
        <v>616</v>
      </c>
      <c r="J409" s="279" t="s">
        <v>156</v>
      </c>
      <c r="K409" s="279">
        <v>1</v>
      </c>
      <c r="L409" s="279">
        <v>1</v>
      </c>
      <c r="M409" s="279">
        <v>1</v>
      </c>
      <c r="N409" s="279">
        <v>1</v>
      </c>
      <c r="O409" s="279">
        <v>1</v>
      </c>
      <c r="P409" s="279">
        <v>1</v>
      </c>
      <c r="Q409" s="279">
        <v>1</v>
      </c>
      <c r="R409" s="279">
        <v>1</v>
      </c>
      <c r="S409" s="280">
        <v>1</v>
      </c>
      <c r="T409" s="63"/>
      <c r="U409" s="10" t="s">
        <v>373</v>
      </c>
      <c r="V409" s="90">
        <v>749.1</v>
      </c>
      <c r="W409" s="91"/>
      <c r="X409" s="92"/>
    </row>
    <row r="410" spans="1:24">
      <c r="A410" s="2"/>
      <c r="B410" s="87">
        <f>B409+1</f>
        <v>3</v>
      </c>
      <c r="C410" s="274">
        <v>45862</v>
      </c>
      <c r="D410" s="327">
        <v>71602</v>
      </c>
      <c r="E410" s="281" t="s">
        <v>292</v>
      </c>
      <c r="F410" s="277">
        <v>2196</v>
      </c>
      <c r="G410" s="277">
        <f>39.7+(39.34)+200</f>
        <v>279.04000000000002</v>
      </c>
      <c r="H410" s="277"/>
      <c r="I410" s="321">
        <f>F410-G410-H410</f>
        <v>1916.96</v>
      </c>
      <c r="J410" s="279" t="s">
        <v>374</v>
      </c>
      <c r="K410" s="279">
        <v>1</v>
      </c>
      <c r="L410" s="279">
        <v>1</v>
      </c>
      <c r="M410" s="279">
        <v>1</v>
      </c>
      <c r="N410" s="279">
        <v>1</v>
      </c>
      <c r="O410" s="279">
        <v>1</v>
      </c>
      <c r="P410" s="322">
        <v>0</v>
      </c>
      <c r="Q410" s="279">
        <v>1</v>
      </c>
      <c r="R410" s="279">
        <v>1</v>
      </c>
      <c r="S410" s="328">
        <v>0</v>
      </c>
      <c r="T410" s="63"/>
      <c r="U410" s="10" t="s">
        <v>375</v>
      </c>
      <c r="V410" s="90">
        <v>2415.6</v>
      </c>
      <c r="W410" s="91"/>
      <c r="X410" s="92"/>
    </row>
    <row r="411" spans="1:24">
      <c r="A411" s="2"/>
      <c r="B411" s="87">
        <f>B410+1</f>
        <v>4</v>
      </c>
      <c r="C411" s="295">
        <v>45862</v>
      </c>
      <c r="D411" s="323">
        <v>71720</v>
      </c>
      <c r="E411" s="94" t="s">
        <v>203</v>
      </c>
      <c r="F411" s="62">
        <v>1261</v>
      </c>
      <c r="G411" s="62">
        <f>39.7</f>
        <v>39.700000000000003</v>
      </c>
      <c r="H411" s="62"/>
      <c r="I411" s="89">
        <f t="shared" ref="I411" si="91">F411-G411-H411</f>
        <v>1221.3</v>
      </c>
      <c r="J411" s="63" t="s">
        <v>156</v>
      </c>
      <c r="K411" s="63">
        <v>1</v>
      </c>
      <c r="L411" s="63">
        <v>1</v>
      </c>
      <c r="M411" s="63">
        <v>1</v>
      </c>
      <c r="N411" s="63">
        <v>1</v>
      </c>
      <c r="O411" s="63">
        <v>1</v>
      </c>
      <c r="P411" s="63">
        <v>1</v>
      </c>
      <c r="Q411" s="63">
        <v>1</v>
      </c>
      <c r="R411" s="63">
        <v>1</v>
      </c>
      <c r="S411" s="296">
        <v>1</v>
      </c>
      <c r="T411" s="63"/>
      <c r="U411" s="10"/>
      <c r="V411" s="90">
        <f>113.9+1273.2</f>
        <v>1387.1000000000001</v>
      </c>
      <c r="W411" s="91"/>
      <c r="X411" s="92"/>
    </row>
    <row r="412" spans="1:24">
      <c r="A412" s="2"/>
      <c r="B412" s="87">
        <f>B411+1</f>
        <v>5</v>
      </c>
      <c r="C412" s="295">
        <v>45862</v>
      </c>
      <c r="D412" s="323">
        <v>71728</v>
      </c>
      <c r="E412" s="94" t="s">
        <v>273</v>
      </c>
      <c r="F412" s="62">
        <v>481</v>
      </c>
      <c r="G412" s="62"/>
      <c r="H412" s="62"/>
      <c r="I412" s="89">
        <f t="shared" si="89"/>
        <v>481</v>
      </c>
      <c r="J412" s="63" t="s">
        <v>156</v>
      </c>
      <c r="K412" s="63">
        <v>1</v>
      </c>
      <c r="L412" s="63">
        <v>1</v>
      </c>
      <c r="M412" s="63">
        <v>1</v>
      </c>
      <c r="N412" s="63">
        <v>1</v>
      </c>
      <c r="O412" s="63">
        <v>1</v>
      </c>
      <c r="P412" s="63">
        <v>1</v>
      </c>
      <c r="Q412" s="63">
        <v>1</v>
      </c>
      <c r="R412" s="63">
        <v>1</v>
      </c>
      <c r="S412" s="296">
        <v>1</v>
      </c>
      <c r="T412" s="63"/>
      <c r="U412" s="10"/>
      <c r="V412" s="90">
        <f>53+476.1</f>
        <v>529.1</v>
      </c>
      <c r="W412" s="91"/>
      <c r="X412" s="92"/>
    </row>
    <row r="413" spans="1:24">
      <c r="A413" s="2"/>
      <c r="B413" s="87">
        <f t="shared" si="90"/>
        <v>6</v>
      </c>
      <c r="C413" s="274">
        <v>45863</v>
      </c>
      <c r="D413" s="327">
        <v>71740</v>
      </c>
      <c r="E413" s="276" t="s">
        <v>376</v>
      </c>
      <c r="F413" s="277">
        <v>861</v>
      </c>
      <c r="G413" s="277">
        <f>39.7+(51.53)</f>
        <v>91.23</v>
      </c>
      <c r="H413" s="277"/>
      <c r="I413" s="278">
        <f t="shared" si="89"/>
        <v>769.77</v>
      </c>
      <c r="J413" s="279" t="s">
        <v>156</v>
      </c>
      <c r="K413" s="279">
        <v>1</v>
      </c>
      <c r="L413" s="279">
        <v>1</v>
      </c>
      <c r="M413" s="279">
        <v>1</v>
      </c>
      <c r="N413" s="279">
        <v>1</v>
      </c>
      <c r="O413" s="279">
        <v>1</v>
      </c>
      <c r="P413" s="279">
        <v>1</v>
      </c>
      <c r="Q413" s="279">
        <v>1</v>
      </c>
      <c r="R413" s="279">
        <v>1</v>
      </c>
      <c r="S413" s="280">
        <v>1</v>
      </c>
      <c r="T413" s="21">
        <v>1</v>
      </c>
      <c r="U413" s="10"/>
      <c r="V413" s="90">
        <f>95+852.1</f>
        <v>947.1</v>
      </c>
      <c r="W413" s="91"/>
      <c r="X413" s="92"/>
    </row>
    <row r="414" spans="1:24">
      <c r="A414" s="2"/>
      <c r="B414" s="87">
        <f t="shared" si="90"/>
        <v>7</v>
      </c>
      <c r="C414" s="295">
        <v>45863</v>
      </c>
      <c r="D414" s="323">
        <v>71749</v>
      </c>
      <c r="E414" s="10" t="s">
        <v>327</v>
      </c>
      <c r="F414" s="62">
        <v>1144</v>
      </c>
      <c r="G414" s="62">
        <v>39.700000000000003</v>
      </c>
      <c r="H414" s="88"/>
      <c r="I414" s="324">
        <f t="shared" si="89"/>
        <v>1104.3</v>
      </c>
      <c r="J414" s="63" t="s">
        <v>156</v>
      </c>
      <c r="K414" s="63">
        <v>1</v>
      </c>
      <c r="L414" s="63">
        <v>1</v>
      </c>
      <c r="M414" s="325">
        <v>0</v>
      </c>
      <c r="N414" s="63">
        <v>1</v>
      </c>
      <c r="O414" s="63">
        <v>1</v>
      </c>
      <c r="P414" s="63">
        <v>1</v>
      </c>
      <c r="Q414" s="63">
        <v>1</v>
      </c>
      <c r="R414" s="63">
        <v>1</v>
      </c>
      <c r="S414" s="296">
        <v>1</v>
      </c>
      <c r="T414" s="63"/>
      <c r="U414" s="10"/>
      <c r="V414" s="90">
        <f>125.6+1132.8</f>
        <v>1258.3999999999999</v>
      </c>
      <c r="W414" s="91"/>
      <c r="X414" s="92"/>
    </row>
    <row r="415" spans="1:24">
      <c r="A415" s="2"/>
      <c r="B415" s="87">
        <f t="shared" si="90"/>
        <v>8</v>
      </c>
      <c r="C415" s="282">
        <v>45863</v>
      </c>
      <c r="D415" s="368">
        <v>71750</v>
      </c>
      <c r="E415" s="283" t="s">
        <v>377</v>
      </c>
      <c r="F415" s="284">
        <v>1512.9</v>
      </c>
      <c r="G415" s="284">
        <f>39.7+(48.44+69.71+92.79)</f>
        <v>250.64</v>
      </c>
      <c r="H415" s="315"/>
      <c r="I415" s="300">
        <f t="shared" si="89"/>
        <v>1262.2600000000002</v>
      </c>
      <c r="J415" s="286" t="s">
        <v>156</v>
      </c>
      <c r="K415" s="286">
        <v>1</v>
      </c>
      <c r="L415" s="286">
        <v>1</v>
      </c>
      <c r="M415" s="332">
        <v>0</v>
      </c>
      <c r="N415" s="286">
        <v>1</v>
      </c>
      <c r="O415" s="286">
        <v>1</v>
      </c>
      <c r="P415" s="286">
        <v>1</v>
      </c>
      <c r="Q415" s="286">
        <v>1</v>
      </c>
      <c r="R415" s="286">
        <v>1</v>
      </c>
      <c r="S415" s="287">
        <v>1</v>
      </c>
      <c r="T415" s="63"/>
      <c r="U415" s="10" t="s">
        <v>378</v>
      </c>
      <c r="V415" s="90">
        <f>166.4+1497.79</f>
        <v>1664.19</v>
      </c>
      <c r="W415" s="91"/>
      <c r="X415" s="92"/>
    </row>
    <row r="416" spans="1:24">
      <c r="A416" s="2"/>
      <c r="B416" s="87"/>
      <c r="C416" s="36"/>
      <c r="D416" s="10"/>
      <c r="E416" s="10"/>
      <c r="F416" s="97">
        <f>SUM(F408:F415)</f>
        <v>8634.9</v>
      </c>
      <c r="G416" s="97">
        <f>SUM(G408:G415)</f>
        <v>700.31</v>
      </c>
      <c r="H416" s="97">
        <f>SUM(H408:H415)</f>
        <v>0</v>
      </c>
      <c r="I416" s="98">
        <f>SUM(I408:I415)</f>
        <v>7934.5900000000011</v>
      </c>
      <c r="J416" s="63"/>
      <c r="K416" s="63">
        <f t="shared" ref="K416:S416" si="92">COUNT(K408:K415)</f>
        <v>8</v>
      </c>
      <c r="L416" s="63">
        <f t="shared" si="92"/>
        <v>8</v>
      </c>
      <c r="M416" s="63">
        <f t="shared" si="92"/>
        <v>8</v>
      </c>
      <c r="N416" s="63">
        <f t="shared" si="92"/>
        <v>8</v>
      </c>
      <c r="O416" s="63">
        <f t="shared" si="92"/>
        <v>8</v>
      </c>
      <c r="P416" s="63">
        <f t="shared" si="92"/>
        <v>8</v>
      </c>
      <c r="Q416" s="63">
        <f t="shared" si="92"/>
        <v>8</v>
      </c>
      <c r="R416" s="63">
        <f t="shared" si="92"/>
        <v>8</v>
      </c>
      <c r="S416" s="63">
        <f t="shared" si="92"/>
        <v>8</v>
      </c>
      <c r="T416" s="63"/>
      <c r="U416" s="10"/>
      <c r="V416" s="90"/>
      <c r="W416" s="91"/>
      <c r="X416" s="92"/>
    </row>
    <row r="417" spans="1:24">
      <c r="A417" s="2"/>
      <c r="B417" s="87"/>
      <c r="C417" s="36"/>
      <c r="D417" s="10"/>
      <c r="E417" s="10"/>
      <c r="F417" s="88"/>
      <c r="G417" s="88"/>
      <c r="H417" s="88"/>
      <c r="I417" s="99"/>
      <c r="J417" s="63"/>
      <c r="K417" s="21">
        <f t="shared" ref="K417:S417" si="93">SUM(K408:K415)</f>
        <v>8</v>
      </c>
      <c r="L417" s="21">
        <f t="shared" si="93"/>
        <v>8</v>
      </c>
      <c r="M417" s="21">
        <f t="shared" si="93"/>
        <v>6</v>
      </c>
      <c r="N417" s="21">
        <f t="shared" si="93"/>
        <v>8</v>
      </c>
      <c r="O417" s="21">
        <f t="shared" si="93"/>
        <v>8</v>
      </c>
      <c r="P417" s="21">
        <f t="shared" si="93"/>
        <v>7</v>
      </c>
      <c r="Q417" s="21">
        <f t="shared" si="93"/>
        <v>8</v>
      </c>
      <c r="R417" s="21">
        <f t="shared" si="93"/>
        <v>8</v>
      </c>
      <c r="S417" s="21">
        <f t="shared" si="93"/>
        <v>7</v>
      </c>
      <c r="T417" s="63"/>
      <c r="U417" s="10"/>
      <c r="V417" s="90"/>
      <c r="W417" s="91"/>
      <c r="X417" s="92"/>
    </row>
    <row r="418" spans="1:24">
      <c r="A418" s="2"/>
      <c r="B418" s="11"/>
      <c r="C418" s="36"/>
      <c r="D418" s="10"/>
      <c r="E418" s="10"/>
      <c r="F418" s="88"/>
      <c r="G418" s="88"/>
      <c r="H418" s="88"/>
      <c r="I418" s="99"/>
      <c r="J418" s="63"/>
      <c r="K418" s="21"/>
      <c r="L418" s="21"/>
      <c r="M418" s="21"/>
      <c r="N418" s="21"/>
      <c r="O418" s="21"/>
      <c r="P418" s="21"/>
      <c r="Q418" s="21"/>
      <c r="R418" s="21"/>
      <c r="S418" s="21"/>
      <c r="T418" s="63"/>
      <c r="U418" s="10"/>
      <c r="V418" s="90"/>
      <c r="W418" s="91"/>
      <c r="X418" s="92"/>
    </row>
    <row r="419" spans="1:24">
      <c r="A419" s="2"/>
      <c r="B419" s="100" t="s">
        <v>67</v>
      </c>
      <c r="C419" s="36"/>
      <c r="D419" s="10"/>
      <c r="E419" s="10"/>
      <c r="F419" s="88"/>
      <c r="G419" s="62"/>
      <c r="H419" s="88"/>
      <c r="I419" s="99"/>
      <c r="J419" s="63"/>
      <c r="K419" s="2"/>
      <c r="L419" s="2"/>
      <c r="M419" s="2"/>
      <c r="N419" s="2"/>
      <c r="O419" s="2"/>
      <c r="P419" s="2"/>
      <c r="Q419" s="2"/>
      <c r="R419" s="2"/>
      <c r="S419" s="2"/>
      <c r="T419" s="63"/>
      <c r="U419" s="94"/>
      <c r="V419" s="90"/>
      <c r="W419" s="91"/>
      <c r="X419" s="92"/>
    </row>
    <row r="420" spans="1:24">
      <c r="A420" s="261" t="s">
        <v>379</v>
      </c>
      <c r="B420" s="87">
        <v>1</v>
      </c>
      <c r="C420" s="262">
        <v>45839</v>
      </c>
      <c r="D420" s="357">
        <v>71075</v>
      </c>
      <c r="E420" s="264" t="s">
        <v>262</v>
      </c>
      <c r="F420" s="265">
        <v>2261</v>
      </c>
      <c r="G420" s="265">
        <f>39.7+(68.49+164.51)</f>
        <v>272.7</v>
      </c>
      <c r="H420" s="265">
        <f>223.84+22.38</f>
        <v>246.22</v>
      </c>
      <c r="I420" s="266">
        <f>F420-G420-H420</f>
        <v>1742.08</v>
      </c>
      <c r="J420" s="267" t="s">
        <v>313</v>
      </c>
      <c r="K420" s="267">
        <v>1</v>
      </c>
      <c r="L420" s="267">
        <v>1</v>
      </c>
      <c r="M420" s="267">
        <v>1</v>
      </c>
      <c r="N420" s="267">
        <v>1</v>
      </c>
      <c r="O420" s="267">
        <v>1</v>
      </c>
      <c r="P420" s="314">
        <v>0</v>
      </c>
      <c r="Q420" s="314">
        <v>0</v>
      </c>
      <c r="R420" s="314">
        <v>0</v>
      </c>
      <c r="S420" s="366">
        <v>0</v>
      </c>
      <c r="T420" s="63"/>
      <c r="U420" s="10" t="s">
        <v>314</v>
      </c>
      <c r="V420" s="90"/>
      <c r="W420" s="91"/>
      <c r="X420" s="92">
        <f>2240.88</f>
        <v>2240.88</v>
      </c>
    </row>
    <row r="421" spans="1:24">
      <c r="A421" s="261" t="s">
        <v>380</v>
      </c>
      <c r="B421" s="87">
        <f>B420+1</f>
        <v>2</v>
      </c>
      <c r="C421" s="282">
        <v>45854</v>
      </c>
      <c r="D421" s="330" t="s">
        <v>357</v>
      </c>
      <c r="E421" s="283" t="s">
        <v>352</v>
      </c>
      <c r="F421" s="284">
        <v>29233</v>
      </c>
      <c r="G421" s="284">
        <f>39.7+(38.13+228.23+2506.69+64.79)+(F421*0.25)</f>
        <v>10185.790000000001</v>
      </c>
      <c r="H421" s="284"/>
      <c r="I421" s="285">
        <f>F421-G421-H421</f>
        <v>19047.21</v>
      </c>
      <c r="J421" s="286" t="s">
        <v>228</v>
      </c>
      <c r="K421" s="286">
        <v>1</v>
      </c>
      <c r="L421" s="286">
        <v>1</v>
      </c>
      <c r="M421" s="286">
        <v>1</v>
      </c>
      <c r="N421" s="286">
        <v>1</v>
      </c>
      <c r="O421" s="286">
        <v>1</v>
      </c>
      <c r="P421" s="286">
        <v>1</v>
      </c>
      <c r="Q421" s="286">
        <v>1</v>
      </c>
      <c r="R421" s="286">
        <v>1</v>
      </c>
      <c r="S421" s="287">
        <v>0</v>
      </c>
      <c r="T421" s="63"/>
      <c r="U421" s="94" t="s">
        <v>358</v>
      </c>
      <c r="V421" s="90">
        <f>10000+18191.5</f>
        <v>28191.5</v>
      </c>
      <c r="W421" s="136"/>
      <c r="X421" s="137"/>
    </row>
    <row r="422" spans="1:24">
      <c r="A422" s="2"/>
      <c r="B422" s="11"/>
      <c r="C422" s="36"/>
      <c r="D422" s="10"/>
      <c r="E422" s="10"/>
      <c r="F422" s="97">
        <f>SUM(F420:F421)</f>
        <v>31494</v>
      </c>
      <c r="G422" s="97">
        <f>SUM(G420:G421)</f>
        <v>10458.490000000002</v>
      </c>
      <c r="H422" s="97">
        <f>SUM(H420:H421)</f>
        <v>246.22</v>
      </c>
      <c r="I422" s="98">
        <f>SUM(I420:I421)</f>
        <v>20789.29</v>
      </c>
      <c r="J422" s="63"/>
      <c r="K422" s="21"/>
      <c r="L422" s="21"/>
      <c r="M422" s="21"/>
      <c r="N422" s="21"/>
      <c r="O422" s="21"/>
      <c r="P422" s="21"/>
      <c r="Q422" s="21"/>
      <c r="R422" s="21"/>
      <c r="S422" s="21"/>
      <c r="T422" s="63"/>
      <c r="U422" s="94"/>
      <c r="V422" s="90"/>
      <c r="W422" s="91"/>
      <c r="X422" s="92"/>
    </row>
    <row r="423" spans="1:24">
      <c r="A423" s="2"/>
      <c r="B423" s="11"/>
      <c r="C423" s="36"/>
      <c r="D423" s="10"/>
      <c r="E423" s="10"/>
      <c r="F423" s="88"/>
      <c r="G423" s="88"/>
      <c r="H423" s="88"/>
      <c r="I423" s="99"/>
      <c r="J423" s="63"/>
      <c r="K423" s="21"/>
      <c r="L423" s="21"/>
      <c r="M423" s="21"/>
      <c r="N423" s="21"/>
      <c r="O423" s="21"/>
      <c r="P423" s="21"/>
      <c r="Q423" s="21"/>
      <c r="R423" s="21"/>
      <c r="S423" s="21"/>
      <c r="T423" s="63"/>
      <c r="U423" s="94"/>
      <c r="V423" s="90"/>
      <c r="W423" s="91"/>
      <c r="X423" s="92"/>
    </row>
    <row r="424" spans="1:24" s="260" customFormat="1">
      <c r="A424" s="181"/>
      <c r="B424" s="100" t="s">
        <v>152</v>
      </c>
      <c r="C424" s="36"/>
      <c r="D424" s="10"/>
      <c r="E424" s="10"/>
      <c r="F424" s="88"/>
      <c r="G424" s="62"/>
      <c r="H424" s="88"/>
      <c r="I424" s="99"/>
      <c r="J424" s="10"/>
      <c r="K424" s="181"/>
      <c r="L424" s="181"/>
      <c r="M424" s="181"/>
      <c r="N424" s="181"/>
      <c r="O424" s="181"/>
      <c r="P424" s="181"/>
      <c r="Q424" s="181"/>
      <c r="R424" s="181"/>
      <c r="S424" s="181"/>
      <c r="T424" s="63"/>
      <c r="U424" s="10"/>
      <c r="V424" s="90"/>
      <c r="W424" s="91"/>
      <c r="X424" s="92"/>
    </row>
    <row r="425" spans="1:24" s="260" customFormat="1">
      <c r="A425" s="312" t="s">
        <v>194</v>
      </c>
      <c r="B425" s="87">
        <v>1</v>
      </c>
      <c r="C425" s="262">
        <v>45805</v>
      </c>
      <c r="D425" s="357" t="s">
        <v>195</v>
      </c>
      <c r="E425" s="271" t="s">
        <v>196</v>
      </c>
      <c r="F425" s="265">
        <v>2999.1</v>
      </c>
      <c r="G425" s="265">
        <v>39.700000000000003</v>
      </c>
      <c r="H425" s="265">
        <f>F425*0.2</f>
        <v>599.82000000000005</v>
      </c>
      <c r="I425" s="272">
        <f>F425-G425-H425</f>
        <v>2359.58</v>
      </c>
      <c r="J425" s="267" t="s">
        <v>197</v>
      </c>
      <c r="K425" s="267">
        <v>1</v>
      </c>
      <c r="L425" s="267">
        <v>1</v>
      </c>
      <c r="M425" s="267">
        <v>1</v>
      </c>
      <c r="N425" s="267">
        <v>1</v>
      </c>
      <c r="O425" s="267">
        <v>1</v>
      </c>
      <c r="P425" s="267">
        <v>0</v>
      </c>
      <c r="Q425" s="267">
        <v>0</v>
      </c>
      <c r="R425" s="267">
        <v>0</v>
      </c>
      <c r="S425" s="269">
        <v>0</v>
      </c>
      <c r="T425" s="63"/>
      <c r="U425" s="10" t="s">
        <v>198</v>
      </c>
      <c r="V425" s="90"/>
      <c r="W425" s="91"/>
      <c r="X425" s="92"/>
    </row>
    <row r="426" spans="1:24" s="260" customFormat="1">
      <c r="A426" s="312" t="s">
        <v>194</v>
      </c>
      <c r="B426" s="87">
        <f t="shared" ref="B426:B428" si="94">B425+1</f>
        <v>2</v>
      </c>
      <c r="C426" s="262">
        <v>45805</v>
      </c>
      <c r="D426" s="357" t="s">
        <v>199</v>
      </c>
      <c r="E426" s="271" t="s">
        <v>196</v>
      </c>
      <c r="F426" s="265">
        <v>16214</v>
      </c>
      <c r="G426" s="265">
        <f>39.7+44+36.26+(33.82+55.44)+(102.43+254.2+84.43+10.82+125.93)+1500</f>
        <v>2287.0299999999997</v>
      </c>
      <c r="H426" s="265">
        <f>F426*0.2</f>
        <v>3242.8</v>
      </c>
      <c r="I426" s="272">
        <f>F426-G426-H426</f>
        <v>10684.170000000002</v>
      </c>
      <c r="J426" s="267" t="s">
        <v>197</v>
      </c>
      <c r="K426" s="267">
        <v>1</v>
      </c>
      <c r="L426" s="267"/>
      <c r="M426" s="267">
        <v>1</v>
      </c>
      <c r="N426" s="267">
        <v>1</v>
      </c>
      <c r="O426" s="267">
        <v>1</v>
      </c>
      <c r="P426" s="267">
        <v>0</v>
      </c>
      <c r="Q426" s="267">
        <v>1</v>
      </c>
      <c r="R426" s="267">
        <v>1</v>
      </c>
      <c r="S426" s="269">
        <v>0</v>
      </c>
      <c r="T426" s="63"/>
      <c r="U426" s="10" t="s">
        <v>200</v>
      </c>
      <c r="V426" s="90"/>
      <c r="W426" s="136"/>
      <c r="X426" s="137"/>
    </row>
    <row r="427" spans="1:24" s="260" customFormat="1">
      <c r="A427" s="261">
        <v>0.05</v>
      </c>
      <c r="B427" s="87">
        <f t="shared" si="94"/>
        <v>3</v>
      </c>
      <c r="C427" s="262">
        <v>45826</v>
      </c>
      <c r="D427" s="263">
        <v>70849</v>
      </c>
      <c r="E427" s="271" t="s">
        <v>189</v>
      </c>
      <c r="F427" s="265">
        <f>1261</f>
        <v>1261</v>
      </c>
      <c r="G427" s="265">
        <v>39.700000000000003</v>
      </c>
      <c r="H427" s="265"/>
      <c r="I427" s="272">
        <f>F427-G427-H427</f>
        <v>1221.3</v>
      </c>
      <c r="J427" s="267" t="s">
        <v>156</v>
      </c>
      <c r="K427" s="267">
        <v>1</v>
      </c>
      <c r="L427" s="267"/>
      <c r="M427" s="267">
        <v>1</v>
      </c>
      <c r="N427" s="267">
        <v>1</v>
      </c>
      <c r="O427" s="267">
        <v>1</v>
      </c>
      <c r="P427" s="267">
        <v>1</v>
      </c>
      <c r="Q427" s="267"/>
      <c r="R427" s="267"/>
      <c r="S427" s="269"/>
      <c r="T427" s="63"/>
      <c r="U427" s="10" t="s">
        <v>201</v>
      </c>
      <c r="V427" s="90"/>
      <c r="W427" s="136"/>
      <c r="X427" s="137"/>
    </row>
    <row r="428" spans="1:24" s="260" customFormat="1">
      <c r="A428" s="261">
        <v>0.05</v>
      </c>
      <c r="B428" s="87">
        <f t="shared" si="94"/>
        <v>4</v>
      </c>
      <c r="C428" s="262">
        <v>45834</v>
      </c>
      <c r="D428" s="357" t="s">
        <v>188</v>
      </c>
      <c r="E428" s="271" t="s">
        <v>189</v>
      </c>
      <c r="F428" s="265">
        <f>11553-160.9</f>
        <v>11392.1</v>
      </c>
      <c r="G428" s="265">
        <f>39.7+4500+300</f>
        <v>4839.7</v>
      </c>
      <c r="H428" s="265">
        <f>F428*0.2</f>
        <v>2278.42</v>
      </c>
      <c r="I428" s="272">
        <f t="shared" ref="I428:I429" si="95">F428-G428-H428</f>
        <v>4273.9800000000005</v>
      </c>
      <c r="J428" s="267" t="s">
        <v>185</v>
      </c>
      <c r="K428" s="267">
        <v>1</v>
      </c>
      <c r="L428" s="267">
        <v>1</v>
      </c>
      <c r="M428" s="267">
        <v>1</v>
      </c>
      <c r="N428" s="267">
        <v>1</v>
      </c>
      <c r="O428" s="267">
        <v>1</v>
      </c>
      <c r="P428" s="267">
        <v>0</v>
      </c>
      <c r="Q428" s="267">
        <v>0</v>
      </c>
      <c r="R428" s="267">
        <v>0</v>
      </c>
      <c r="S428" s="269">
        <v>0</v>
      </c>
      <c r="T428" s="63"/>
      <c r="U428" s="10" t="s">
        <v>266</v>
      </c>
      <c r="V428" s="90"/>
      <c r="W428" s="136"/>
      <c r="X428" s="137"/>
    </row>
    <row r="429" spans="1:24" s="342" customFormat="1">
      <c r="A429" s="31">
        <v>0.05</v>
      </c>
      <c r="B429" s="87">
        <f>B428+1</f>
        <v>5</v>
      </c>
      <c r="C429" s="262">
        <v>45838</v>
      </c>
      <c r="D429" s="357" t="s">
        <v>257</v>
      </c>
      <c r="E429" s="264" t="s">
        <v>227</v>
      </c>
      <c r="F429" s="265">
        <v>1261</v>
      </c>
      <c r="G429" s="265">
        <v>39.700000000000003</v>
      </c>
      <c r="H429" s="265"/>
      <c r="I429" s="272">
        <f t="shared" si="95"/>
        <v>1221.3</v>
      </c>
      <c r="J429" s="267" t="s">
        <v>156</v>
      </c>
      <c r="K429" s="267">
        <v>1</v>
      </c>
      <c r="L429" s="267">
        <v>1</v>
      </c>
      <c r="M429" s="267">
        <v>1</v>
      </c>
      <c r="N429" s="267">
        <v>1</v>
      </c>
      <c r="O429" s="267">
        <v>1</v>
      </c>
      <c r="P429" s="267">
        <v>0</v>
      </c>
      <c r="Q429" s="267">
        <v>1</v>
      </c>
      <c r="R429" s="267">
        <v>1</v>
      </c>
      <c r="S429" s="269">
        <v>0</v>
      </c>
      <c r="T429" s="63"/>
      <c r="U429" s="10" t="s">
        <v>258</v>
      </c>
      <c r="V429" s="90"/>
      <c r="W429" s="91"/>
      <c r="X429" s="92"/>
    </row>
    <row r="430" spans="1:24" s="260" customFormat="1">
      <c r="A430" s="261">
        <v>0.05</v>
      </c>
      <c r="B430" s="87">
        <f>B429+1</f>
        <v>6</v>
      </c>
      <c r="C430" s="262">
        <v>45835</v>
      </c>
      <c r="D430" s="357">
        <v>71077</v>
      </c>
      <c r="E430" s="271" t="s">
        <v>204</v>
      </c>
      <c r="F430" s="265">
        <v>5814</v>
      </c>
      <c r="G430" s="265">
        <f>39.7+(727.51)</f>
        <v>767.21</v>
      </c>
      <c r="H430" s="265"/>
      <c r="I430" s="272">
        <f>F430-G430-H430</f>
        <v>5046.79</v>
      </c>
      <c r="J430" s="267" t="s">
        <v>236</v>
      </c>
      <c r="K430" s="267">
        <v>1</v>
      </c>
      <c r="L430" s="267">
        <v>1</v>
      </c>
      <c r="M430" s="267">
        <v>1</v>
      </c>
      <c r="N430" s="267">
        <v>1</v>
      </c>
      <c r="O430" s="267">
        <v>1</v>
      </c>
      <c r="P430" s="267">
        <v>0</v>
      </c>
      <c r="Q430" s="267">
        <v>0</v>
      </c>
      <c r="R430" s="267">
        <v>0</v>
      </c>
      <c r="S430" s="269">
        <v>0</v>
      </c>
      <c r="T430" s="63"/>
      <c r="U430" s="10" t="s">
        <v>267</v>
      </c>
      <c r="V430" s="90"/>
      <c r="W430" s="136"/>
      <c r="X430" s="137"/>
    </row>
    <row r="431" spans="1:24" s="260" customFormat="1">
      <c r="A431" s="261">
        <v>0.05</v>
      </c>
      <c r="B431" s="87">
        <f>B430+1</f>
        <v>7</v>
      </c>
      <c r="C431" s="282">
        <v>45840</v>
      </c>
      <c r="D431" s="330" t="s">
        <v>264</v>
      </c>
      <c r="E431" s="283" t="s">
        <v>239</v>
      </c>
      <c r="F431" s="284">
        <v>14281</v>
      </c>
      <c r="G431" s="284">
        <f>39.7+160+108.8+62+420.4+62+(105.44+126.14+97.98+162.34+19.98+19.98)+(143.13+220.83-23.66)+1000</f>
        <v>2725.06</v>
      </c>
      <c r="H431" s="284">
        <f>F431*0.2</f>
        <v>2856.2000000000003</v>
      </c>
      <c r="I431" s="285">
        <f t="shared" ref="I431" si="96">F431-G431-H431</f>
        <v>8699.74</v>
      </c>
      <c r="J431" s="286" t="s">
        <v>185</v>
      </c>
      <c r="K431" s="286">
        <v>1</v>
      </c>
      <c r="L431" s="286">
        <v>1</v>
      </c>
      <c r="M431" s="286">
        <v>1</v>
      </c>
      <c r="N431" s="286">
        <v>1</v>
      </c>
      <c r="O431" s="286">
        <v>1</v>
      </c>
      <c r="P431" s="286">
        <v>0</v>
      </c>
      <c r="Q431" s="286">
        <v>1</v>
      </c>
      <c r="R431" s="286">
        <v>1</v>
      </c>
      <c r="S431" s="287">
        <v>1</v>
      </c>
      <c r="T431" s="63"/>
      <c r="U431" s="94" t="s">
        <v>315</v>
      </c>
      <c r="V431" s="90"/>
      <c r="W431" s="136"/>
      <c r="X431" s="137"/>
    </row>
    <row r="432" spans="1:24" s="260" customFormat="1">
      <c r="A432" s="181"/>
      <c r="B432" s="11"/>
      <c r="C432" s="36"/>
      <c r="D432" s="77"/>
      <c r="E432" s="10"/>
      <c r="F432" s="97">
        <f>SUM(F425:F431)</f>
        <v>53222.2</v>
      </c>
      <c r="G432" s="97">
        <f>SUM(G425:G431)</f>
        <v>10738.099999999999</v>
      </c>
      <c r="H432" s="97">
        <f>SUM(H425:H431)</f>
        <v>8977.2400000000016</v>
      </c>
      <c r="I432" s="97">
        <f>SUM(I425:I431)</f>
        <v>33506.86</v>
      </c>
      <c r="K432" s="21"/>
      <c r="L432" s="21"/>
      <c r="M432" s="21"/>
      <c r="N432" s="21"/>
      <c r="O432" s="21"/>
      <c r="P432" s="21"/>
      <c r="Q432" s="21"/>
      <c r="R432" s="21"/>
      <c r="S432" s="21"/>
      <c r="T432" s="63"/>
      <c r="U432" s="10"/>
      <c r="V432" s="90"/>
      <c r="W432" s="91"/>
      <c r="X432" s="92"/>
    </row>
    <row r="433" spans="1:24" s="260" customFormat="1">
      <c r="A433" s="181"/>
      <c r="B433" s="11"/>
      <c r="C433" s="36"/>
      <c r="D433" s="77"/>
      <c r="E433" s="10"/>
      <c r="F433" s="88"/>
      <c r="G433" s="88"/>
      <c r="H433" s="88"/>
      <c r="I433" s="99"/>
      <c r="J433" s="63"/>
      <c r="K433" s="21"/>
      <c r="L433" s="21"/>
      <c r="M433" s="21"/>
      <c r="N433" s="21"/>
      <c r="O433" s="21"/>
      <c r="P433" s="21"/>
      <c r="Q433" s="21"/>
      <c r="R433" s="21"/>
      <c r="S433" s="21"/>
      <c r="T433" s="63"/>
      <c r="U433" s="10"/>
      <c r="V433" s="90"/>
      <c r="W433" s="91"/>
      <c r="X433" s="92"/>
    </row>
    <row r="434" spans="1:24" s="260" customFormat="1">
      <c r="A434" s="181"/>
      <c r="B434" s="100" t="s">
        <v>202</v>
      </c>
      <c r="C434" s="299"/>
      <c r="D434" s="77"/>
      <c r="E434" s="181"/>
      <c r="F434" s="88"/>
      <c r="G434" s="88"/>
      <c r="H434" s="88"/>
      <c r="I434" s="99"/>
      <c r="J434" s="63"/>
      <c r="K434" s="21"/>
      <c r="L434" s="21"/>
      <c r="M434" s="21"/>
      <c r="N434" s="21"/>
      <c r="O434" s="21"/>
      <c r="P434" s="21"/>
      <c r="Q434" s="21"/>
      <c r="R434" s="21"/>
      <c r="S434" s="21"/>
      <c r="T434" s="63"/>
      <c r="U434" s="10"/>
      <c r="V434" s="90"/>
      <c r="W434" s="91"/>
      <c r="X434" s="92"/>
    </row>
    <row r="435" spans="1:24" s="260" customFormat="1">
      <c r="A435" s="31">
        <v>0.05</v>
      </c>
      <c r="B435" s="87">
        <v>1</v>
      </c>
      <c r="C435" s="262">
        <v>45789</v>
      </c>
      <c r="D435" s="357">
        <v>70067</v>
      </c>
      <c r="E435" s="271" t="s">
        <v>203</v>
      </c>
      <c r="F435" s="265">
        <v>481</v>
      </c>
      <c r="G435" s="265"/>
      <c r="H435" s="265"/>
      <c r="I435" s="272">
        <f>F435-G435-H435</f>
        <v>481</v>
      </c>
      <c r="J435" s="267"/>
      <c r="K435" s="267">
        <v>1</v>
      </c>
      <c r="L435" s="267"/>
      <c r="M435" s="267"/>
      <c r="N435" s="267">
        <v>1</v>
      </c>
      <c r="O435" s="267">
        <v>1</v>
      </c>
      <c r="P435" s="267">
        <v>0</v>
      </c>
      <c r="Q435" s="267"/>
      <c r="R435" s="267"/>
      <c r="S435" s="269"/>
      <c r="T435" s="63"/>
      <c r="U435" s="10"/>
      <c r="V435" s="90"/>
      <c r="W435" s="136"/>
      <c r="X435" s="137"/>
    </row>
    <row r="436" spans="1:24" s="260" customFormat="1">
      <c r="A436" s="261">
        <v>0.05</v>
      </c>
      <c r="B436" s="87">
        <f>B435+1</f>
        <v>2</v>
      </c>
      <c r="C436" s="262">
        <v>45847</v>
      </c>
      <c r="D436" s="263">
        <v>71343</v>
      </c>
      <c r="E436" s="271" t="s">
        <v>184</v>
      </c>
      <c r="F436" s="265">
        <v>2814</v>
      </c>
      <c r="G436" s="265">
        <f>39.7+(36.22+222.93)</f>
        <v>298.84999999999997</v>
      </c>
      <c r="H436" s="265"/>
      <c r="I436" s="272">
        <f>F436-G436-H436</f>
        <v>2515.15</v>
      </c>
      <c r="J436" s="267" t="s">
        <v>156</v>
      </c>
      <c r="K436" s="267">
        <v>1</v>
      </c>
      <c r="L436" s="267"/>
      <c r="M436" s="267">
        <v>1</v>
      </c>
      <c r="N436" s="267">
        <v>1</v>
      </c>
      <c r="O436" s="267">
        <v>1</v>
      </c>
      <c r="P436" s="267">
        <v>0</v>
      </c>
      <c r="Q436" s="267"/>
      <c r="R436" s="267"/>
      <c r="S436" s="269"/>
      <c r="T436" s="63"/>
      <c r="U436" s="94" t="s">
        <v>359</v>
      </c>
      <c r="V436" s="90"/>
      <c r="W436" s="136"/>
      <c r="X436" s="137"/>
    </row>
    <row r="437" spans="1:24" s="260" customFormat="1">
      <c r="B437" s="11"/>
      <c r="C437" s="36"/>
      <c r="D437" s="10"/>
      <c r="E437" s="10"/>
      <c r="F437" s="97">
        <f>SUM(F435:F436)</f>
        <v>3295</v>
      </c>
      <c r="G437" s="97">
        <f>SUM(G435:G436)</f>
        <v>298.84999999999997</v>
      </c>
      <c r="H437" s="97">
        <f>SUM(H435:H436)</f>
        <v>0</v>
      </c>
      <c r="I437" s="97">
        <f>SUM(I435:I436)</f>
        <v>2996.15</v>
      </c>
      <c r="J437" s="63"/>
      <c r="K437" s="21"/>
      <c r="L437" s="21"/>
      <c r="M437" s="21"/>
      <c r="N437" s="21"/>
      <c r="O437" s="21"/>
      <c r="P437" s="21"/>
      <c r="Q437" s="21"/>
      <c r="R437" s="21"/>
      <c r="S437" s="21"/>
      <c r="T437" s="63"/>
      <c r="U437" s="10"/>
      <c r="V437" s="90"/>
      <c r="W437" s="91"/>
      <c r="X437" s="92"/>
    </row>
    <row r="438" spans="1:24" s="260" customFormat="1">
      <c r="B438" s="11"/>
      <c r="C438" s="36"/>
      <c r="D438" s="10"/>
      <c r="E438" s="10"/>
      <c r="F438" s="88"/>
      <c r="G438" s="88"/>
      <c r="H438" s="88"/>
      <c r="I438" s="88"/>
      <c r="J438" s="63"/>
      <c r="K438" s="21"/>
      <c r="L438" s="21"/>
      <c r="M438" s="21"/>
      <c r="N438" s="21"/>
      <c r="O438" s="21"/>
      <c r="P438" s="21"/>
      <c r="Q438" s="21"/>
      <c r="R438" s="21"/>
      <c r="S438" s="21"/>
      <c r="T438" s="63"/>
      <c r="U438" s="10"/>
      <c r="V438" s="90"/>
      <c r="W438" s="91"/>
      <c r="X438" s="92"/>
    </row>
    <row r="439" spans="1:24">
      <c r="A439" s="2"/>
      <c r="B439" s="100" t="s">
        <v>72</v>
      </c>
      <c r="C439" s="36"/>
      <c r="D439" s="10"/>
      <c r="E439" s="10"/>
      <c r="F439" s="88"/>
      <c r="G439" s="88"/>
      <c r="H439" s="88"/>
      <c r="I439" s="99"/>
      <c r="J439" s="63"/>
      <c r="K439" s="63"/>
      <c r="L439" s="63"/>
      <c r="M439" s="63"/>
      <c r="N439" s="63"/>
      <c r="O439" s="63"/>
      <c r="P439" s="63"/>
      <c r="Q439" s="63"/>
      <c r="R439" s="63"/>
      <c r="S439" s="63"/>
      <c r="T439" s="63"/>
      <c r="U439" s="10"/>
      <c r="V439" s="90"/>
      <c r="W439" s="91"/>
      <c r="X439" s="92"/>
    </row>
    <row r="440" spans="1:24">
      <c r="A440" s="2"/>
      <c r="B440" s="87">
        <v>1</v>
      </c>
      <c r="C440" s="274">
        <v>45860</v>
      </c>
      <c r="D440" s="276">
        <v>71627</v>
      </c>
      <c r="E440" s="276" t="s">
        <v>158</v>
      </c>
      <c r="F440" s="277">
        <v>6100</v>
      </c>
      <c r="G440" s="277">
        <f>39.7</f>
        <v>39.700000000000003</v>
      </c>
      <c r="H440" s="277"/>
      <c r="I440" s="278">
        <f t="shared" ref="I440:I451" si="97">F440-G440-H440</f>
        <v>6060.3</v>
      </c>
      <c r="J440" s="279" t="s">
        <v>205</v>
      </c>
      <c r="K440" s="279">
        <v>1</v>
      </c>
      <c r="L440" s="279"/>
      <c r="M440" s="279"/>
      <c r="N440" s="279">
        <v>1</v>
      </c>
      <c r="O440" s="279">
        <v>1</v>
      </c>
      <c r="P440" s="279">
        <v>1</v>
      </c>
      <c r="Q440" s="279">
        <v>1</v>
      </c>
      <c r="R440" s="279">
        <v>1</v>
      </c>
      <c r="S440" s="280">
        <v>1</v>
      </c>
      <c r="T440" s="63"/>
      <c r="U440" s="3"/>
      <c r="V440" s="90"/>
      <c r="W440" s="91"/>
      <c r="X440" s="92"/>
    </row>
    <row r="441" spans="1:24">
      <c r="A441" s="2"/>
      <c r="B441" s="87">
        <f t="shared" ref="B441:B451" si="98">B440+1</f>
        <v>2</v>
      </c>
      <c r="C441" s="295">
        <v>45860</v>
      </c>
      <c r="D441" s="10">
        <v>71624</v>
      </c>
      <c r="E441" s="10" t="s">
        <v>349</v>
      </c>
      <c r="F441" s="62">
        <v>1196</v>
      </c>
      <c r="G441" s="62">
        <f>39.7</f>
        <v>39.700000000000003</v>
      </c>
      <c r="H441" s="62"/>
      <c r="I441" s="89">
        <f t="shared" si="97"/>
        <v>1156.3</v>
      </c>
      <c r="J441" s="63" t="s">
        <v>205</v>
      </c>
      <c r="K441" s="63">
        <v>1</v>
      </c>
      <c r="L441" s="63"/>
      <c r="M441" s="63"/>
      <c r="N441" s="63">
        <v>1</v>
      </c>
      <c r="O441" s="63"/>
      <c r="P441" s="63"/>
      <c r="Q441" s="63">
        <v>1</v>
      </c>
      <c r="R441" s="63">
        <v>1</v>
      </c>
      <c r="S441" s="296">
        <v>1</v>
      </c>
      <c r="T441" s="63"/>
      <c r="U441" s="10"/>
      <c r="V441" s="90"/>
      <c r="W441" s="136"/>
      <c r="X441" s="137"/>
    </row>
    <row r="442" spans="1:24">
      <c r="A442" s="2"/>
      <c r="B442" s="87">
        <f t="shared" si="98"/>
        <v>3</v>
      </c>
      <c r="C442" s="295">
        <v>45860</v>
      </c>
      <c r="D442" s="10">
        <v>71656</v>
      </c>
      <c r="E442" s="10" t="s">
        <v>376</v>
      </c>
      <c r="F442" s="62">
        <v>12814</v>
      </c>
      <c r="G442" s="62">
        <f>39.7</f>
        <v>39.700000000000003</v>
      </c>
      <c r="H442" s="62"/>
      <c r="I442" s="89">
        <f t="shared" si="97"/>
        <v>12774.3</v>
      </c>
      <c r="J442" s="63" t="s">
        <v>205</v>
      </c>
      <c r="K442" s="63">
        <v>1</v>
      </c>
      <c r="L442" s="63"/>
      <c r="M442" s="63"/>
      <c r="N442" s="63">
        <v>1</v>
      </c>
      <c r="O442" s="63"/>
      <c r="P442" s="63"/>
      <c r="Q442" s="63">
        <v>1</v>
      </c>
      <c r="R442" s="63">
        <v>1</v>
      </c>
      <c r="S442" s="296">
        <v>1</v>
      </c>
      <c r="T442" s="63"/>
      <c r="U442" s="10"/>
      <c r="V442" s="90"/>
      <c r="W442" s="136"/>
      <c r="X442" s="137"/>
    </row>
    <row r="443" spans="1:24">
      <c r="A443" s="2"/>
      <c r="B443" s="87">
        <f t="shared" si="98"/>
        <v>4</v>
      </c>
      <c r="C443" s="274">
        <v>45861</v>
      </c>
      <c r="D443" s="276">
        <v>71664</v>
      </c>
      <c r="E443" s="276" t="s">
        <v>381</v>
      </c>
      <c r="F443" s="277">
        <v>2616</v>
      </c>
      <c r="G443" s="277">
        <v>39.700000000000003</v>
      </c>
      <c r="H443" s="277"/>
      <c r="I443" s="278">
        <f t="shared" si="97"/>
        <v>2576.3000000000002</v>
      </c>
      <c r="J443" s="279" t="s">
        <v>205</v>
      </c>
      <c r="K443" s="279">
        <v>1</v>
      </c>
      <c r="L443" s="279"/>
      <c r="M443" s="279"/>
      <c r="N443" s="279">
        <v>1</v>
      </c>
      <c r="O443" s="279"/>
      <c r="P443" s="279"/>
      <c r="Q443" s="279">
        <v>1</v>
      </c>
      <c r="R443" s="279">
        <v>1</v>
      </c>
      <c r="S443" s="280">
        <v>1</v>
      </c>
      <c r="T443" s="63"/>
      <c r="U443" s="10"/>
      <c r="V443" s="90"/>
      <c r="W443" s="136"/>
      <c r="X443" s="137"/>
    </row>
    <row r="444" spans="1:24">
      <c r="A444" s="2"/>
      <c r="B444" s="87">
        <f t="shared" si="98"/>
        <v>5</v>
      </c>
      <c r="C444" s="295">
        <v>45861</v>
      </c>
      <c r="D444" s="10">
        <v>71680</v>
      </c>
      <c r="E444" s="10" t="s">
        <v>382</v>
      </c>
      <c r="F444" s="62">
        <v>1138</v>
      </c>
      <c r="G444" s="62">
        <v>39.700000000000003</v>
      </c>
      <c r="H444" s="62"/>
      <c r="I444" s="89">
        <f t="shared" si="97"/>
        <v>1098.3</v>
      </c>
      <c r="J444" s="63" t="s">
        <v>205</v>
      </c>
      <c r="K444" s="63">
        <v>1</v>
      </c>
      <c r="L444" s="63"/>
      <c r="M444" s="63"/>
      <c r="N444" s="63">
        <v>1</v>
      </c>
      <c r="O444" s="63"/>
      <c r="P444" s="63"/>
      <c r="Q444" s="63">
        <v>1</v>
      </c>
      <c r="R444" s="63">
        <v>1</v>
      </c>
      <c r="S444" s="296">
        <v>1</v>
      </c>
      <c r="T444" s="63"/>
      <c r="U444" s="10"/>
      <c r="V444" s="90"/>
      <c r="W444" s="136"/>
      <c r="X444" s="137"/>
    </row>
    <row r="445" spans="1:24">
      <c r="A445" s="93" t="s">
        <v>383</v>
      </c>
      <c r="B445" s="87">
        <f>B444+1</f>
        <v>6</v>
      </c>
      <c r="C445" s="295">
        <v>45861</v>
      </c>
      <c r="D445" s="3">
        <v>71682</v>
      </c>
      <c r="E445" s="10" t="s">
        <v>384</v>
      </c>
      <c r="F445" s="62">
        <v>1000.2</v>
      </c>
      <c r="G445" s="62">
        <v>39.700000000000003</v>
      </c>
      <c r="H445" s="62"/>
      <c r="I445" s="89">
        <f>F445-G445-H445</f>
        <v>960.5</v>
      </c>
      <c r="J445" s="63" t="s">
        <v>150</v>
      </c>
      <c r="K445" s="63">
        <v>1</v>
      </c>
      <c r="L445" s="63"/>
      <c r="M445" s="63">
        <v>1</v>
      </c>
      <c r="N445" s="63">
        <v>1</v>
      </c>
      <c r="O445" s="63">
        <v>1</v>
      </c>
      <c r="P445" s="63"/>
      <c r="Q445" s="63">
        <v>1</v>
      </c>
      <c r="R445" s="63">
        <v>1</v>
      </c>
      <c r="S445" s="296">
        <v>1</v>
      </c>
      <c r="T445" s="63"/>
      <c r="U445" s="10" t="s">
        <v>385</v>
      </c>
      <c r="V445" s="90"/>
      <c r="W445" s="367">
        <v>1100.22</v>
      </c>
      <c r="X445" s="137"/>
    </row>
    <row r="446" spans="1:24">
      <c r="A446" s="2"/>
      <c r="B446" s="87">
        <f>B445+1</f>
        <v>7</v>
      </c>
      <c r="C446" s="295">
        <v>45861</v>
      </c>
      <c r="D446" s="10">
        <v>71707</v>
      </c>
      <c r="E446" s="101" t="s">
        <v>330</v>
      </c>
      <c r="F446" s="62">
        <v>616</v>
      </c>
      <c r="G446" s="62"/>
      <c r="H446" s="62"/>
      <c r="I446" s="89">
        <f t="shared" si="97"/>
        <v>616</v>
      </c>
      <c r="J446" s="63" t="s">
        <v>205</v>
      </c>
      <c r="K446" s="63">
        <v>1</v>
      </c>
      <c r="L446" s="63"/>
      <c r="M446" s="63"/>
      <c r="N446" s="63">
        <v>1</v>
      </c>
      <c r="O446" s="63"/>
      <c r="P446" s="63"/>
      <c r="Q446" s="63"/>
      <c r="R446" s="63"/>
      <c r="S446" s="296"/>
      <c r="T446" s="63"/>
      <c r="U446" s="10"/>
      <c r="V446" s="90"/>
      <c r="W446" s="136"/>
      <c r="X446" s="137"/>
    </row>
    <row r="447" spans="1:24">
      <c r="A447" s="2"/>
      <c r="B447" s="87">
        <f t="shared" si="98"/>
        <v>8</v>
      </c>
      <c r="C447" s="295">
        <v>45861</v>
      </c>
      <c r="D447" s="10">
        <v>71693</v>
      </c>
      <c r="E447" s="101" t="s">
        <v>386</v>
      </c>
      <c r="F447" s="62">
        <v>11138</v>
      </c>
      <c r="G447" s="62">
        <v>39.700000000000003</v>
      </c>
      <c r="H447" s="62"/>
      <c r="I447" s="89">
        <f t="shared" si="97"/>
        <v>11098.3</v>
      </c>
      <c r="J447" s="63" t="s">
        <v>205</v>
      </c>
      <c r="K447" s="63">
        <v>1</v>
      </c>
      <c r="L447" s="63"/>
      <c r="M447" s="63"/>
      <c r="N447" s="63">
        <v>1</v>
      </c>
      <c r="O447" s="63"/>
      <c r="P447" s="63"/>
      <c r="Q447" s="63">
        <v>1</v>
      </c>
      <c r="R447" s="63">
        <v>1</v>
      </c>
      <c r="S447" s="296">
        <v>1</v>
      </c>
      <c r="T447" s="63"/>
      <c r="U447" s="10"/>
      <c r="V447" s="90"/>
      <c r="W447" s="136"/>
      <c r="X447" s="137"/>
    </row>
    <row r="448" spans="1:24">
      <c r="A448" s="2"/>
      <c r="B448" s="87">
        <f t="shared" si="98"/>
        <v>9</v>
      </c>
      <c r="C448" s="274">
        <v>45862</v>
      </c>
      <c r="D448" s="276">
        <v>71703</v>
      </c>
      <c r="E448" s="281" t="s">
        <v>338</v>
      </c>
      <c r="F448" s="277">
        <v>1134</v>
      </c>
      <c r="G448" s="277">
        <f>39.7</f>
        <v>39.700000000000003</v>
      </c>
      <c r="H448" s="277"/>
      <c r="I448" s="278">
        <f t="shared" si="97"/>
        <v>1094.3</v>
      </c>
      <c r="J448" s="279" t="s">
        <v>205</v>
      </c>
      <c r="K448" s="279">
        <v>1</v>
      </c>
      <c r="L448" s="279"/>
      <c r="M448" s="279"/>
      <c r="N448" s="279">
        <v>1</v>
      </c>
      <c r="O448" s="279"/>
      <c r="P448" s="279"/>
      <c r="Q448" s="279"/>
      <c r="R448" s="279"/>
      <c r="S448" s="280"/>
      <c r="T448" s="63"/>
      <c r="U448" s="10" t="s">
        <v>387</v>
      </c>
      <c r="V448" s="90"/>
      <c r="W448" s="136"/>
      <c r="X448" s="137"/>
    </row>
    <row r="449" spans="1:24">
      <c r="A449" s="2"/>
      <c r="B449" s="87">
        <f t="shared" si="98"/>
        <v>10</v>
      </c>
      <c r="C449" s="295">
        <v>45862</v>
      </c>
      <c r="D449" s="10">
        <v>71696</v>
      </c>
      <c r="E449" s="101" t="s">
        <v>245</v>
      </c>
      <c r="F449" s="62">
        <v>2196</v>
      </c>
      <c r="G449" s="62">
        <f>39.7</f>
        <v>39.700000000000003</v>
      </c>
      <c r="H449" s="62"/>
      <c r="I449" s="89">
        <f t="shared" si="97"/>
        <v>2156.3000000000002</v>
      </c>
      <c r="J449" s="63" t="s">
        <v>205</v>
      </c>
      <c r="K449" s="63">
        <v>1</v>
      </c>
      <c r="L449" s="63"/>
      <c r="M449" s="63"/>
      <c r="N449" s="63">
        <v>1</v>
      </c>
      <c r="O449" s="63"/>
      <c r="P449" s="63"/>
      <c r="Q449" s="63">
        <v>1</v>
      </c>
      <c r="R449" s="63">
        <v>1</v>
      </c>
      <c r="S449" s="296">
        <v>1</v>
      </c>
      <c r="T449" s="63"/>
      <c r="U449" s="10"/>
      <c r="V449" s="90"/>
      <c r="W449" s="136"/>
      <c r="X449" s="137"/>
    </row>
    <row r="450" spans="1:24">
      <c r="A450" s="2"/>
      <c r="B450" s="87">
        <f t="shared" si="98"/>
        <v>11</v>
      </c>
      <c r="C450" s="274">
        <v>45863</v>
      </c>
      <c r="D450" s="276">
        <v>71761</v>
      </c>
      <c r="E450" s="281" t="s">
        <v>299</v>
      </c>
      <c r="F450" s="277">
        <v>416</v>
      </c>
      <c r="G450" s="277"/>
      <c r="H450" s="277"/>
      <c r="I450" s="278">
        <f t="shared" si="97"/>
        <v>416</v>
      </c>
      <c r="J450" s="279" t="s">
        <v>205</v>
      </c>
      <c r="K450" s="279">
        <v>1</v>
      </c>
      <c r="L450" s="279"/>
      <c r="M450" s="279"/>
      <c r="N450" s="279">
        <v>1</v>
      </c>
      <c r="O450" s="279"/>
      <c r="P450" s="279"/>
      <c r="Q450" s="279">
        <v>1</v>
      </c>
      <c r="R450" s="279">
        <v>1</v>
      </c>
      <c r="S450" s="280">
        <v>1</v>
      </c>
      <c r="T450" s="63"/>
      <c r="U450" s="10"/>
      <c r="V450" s="90"/>
      <c r="W450" s="136"/>
      <c r="X450" s="137"/>
    </row>
    <row r="451" spans="1:24">
      <c r="A451" s="2"/>
      <c r="B451" s="87">
        <f t="shared" si="98"/>
        <v>12</v>
      </c>
      <c r="C451" s="282">
        <v>45863</v>
      </c>
      <c r="D451" s="283">
        <v>71773</v>
      </c>
      <c r="E451" s="319" t="s">
        <v>388</v>
      </c>
      <c r="F451" s="284">
        <v>0</v>
      </c>
      <c r="G451" s="284"/>
      <c r="H451" s="284"/>
      <c r="I451" s="285">
        <f t="shared" si="97"/>
        <v>0</v>
      </c>
      <c r="J451" s="286" t="s">
        <v>219</v>
      </c>
      <c r="K451" s="286"/>
      <c r="L451" s="286"/>
      <c r="M451" s="286"/>
      <c r="N451" s="286"/>
      <c r="O451" s="286"/>
      <c r="P451" s="286"/>
      <c r="Q451" s="286"/>
      <c r="R451" s="286"/>
      <c r="S451" s="287"/>
      <c r="T451" s="63"/>
      <c r="U451" s="10"/>
      <c r="V451" s="90"/>
      <c r="W451" s="136"/>
      <c r="X451" s="137"/>
    </row>
    <row r="452" spans="1:24">
      <c r="A452" s="2"/>
      <c r="B452" s="11"/>
      <c r="C452" s="36"/>
      <c r="D452" s="10"/>
      <c r="E452" s="10"/>
      <c r="F452" s="97">
        <f>SUM(F440:F451)</f>
        <v>40364.199999999997</v>
      </c>
      <c r="G452" s="97">
        <f>SUM(G440:G451)</f>
        <v>357.29999999999995</v>
      </c>
      <c r="H452" s="97">
        <f>SUM(H440:H451)</f>
        <v>0</v>
      </c>
      <c r="I452" s="98">
        <f>SUM(I440:I451)</f>
        <v>40006.900000000009</v>
      </c>
      <c r="J452" s="10"/>
      <c r="K452" s="10"/>
      <c r="L452" s="10"/>
      <c r="M452" s="10"/>
      <c r="N452" s="10"/>
      <c r="O452" s="10"/>
      <c r="P452" s="10"/>
      <c r="Q452" s="10"/>
      <c r="R452" s="10"/>
      <c r="S452" s="10"/>
      <c r="T452" s="63"/>
      <c r="U452" s="10"/>
      <c r="V452" s="138"/>
      <c r="W452" s="136"/>
      <c r="X452" s="137"/>
    </row>
    <row r="453" spans="1:24">
      <c r="A453" s="2"/>
      <c r="B453" s="26"/>
      <c r="C453" s="140"/>
      <c r="D453" s="141"/>
      <c r="E453" s="141"/>
      <c r="F453" s="141"/>
      <c r="G453" s="141"/>
      <c r="H453" s="141"/>
      <c r="I453" s="141"/>
      <c r="J453" s="141"/>
      <c r="K453" s="142"/>
      <c r="L453" s="142"/>
      <c r="M453" s="142"/>
      <c r="N453" s="142"/>
      <c r="O453" s="142"/>
      <c r="P453" s="142"/>
      <c r="Q453" s="142"/>
      <c r="R453" s="142"/>
      <c r="S453" s="142"/>
      <c r="T453" s="143">
        <f>SUM(T407:T452)</f>
        <v>1</v>
      </c>
      <c r="U453" s="141"/>
      <c r="V453" s="144">
        <f>SUM(V407:V452)</f>
        <v>37761.39</v>
      </c>
      <c r="W453" s="144">
        <f>SUM(W407:W452)</f>
        <v>1100.22</v>
      </c>
      <c r="X453" s="144">
        <f>SUM(X407:X452)</f>
        <v>2240.88</v>
      </c>
    </row>
    <row r="456" spans="1:24">
      <c r="A456" s="3"/>
      <c r="B456" s="4" t="s">
        <v>1</v>
      </c>
      <c r="C456" s="5"/>
      <c r="D456" s="6"/>
      <c r="E456" s="6"/>
      <c r="F456" s="7" t="s">
        <v>2</v>
      </c>
      <c r="G456" s="8">
        <v>45872</v>
      </c>
      <c r="H456" s="7"/>
      <c r="I456" s="6"/>
      <c r="J456" s="6"/>
      <c r="K456" s="6"/>
      <c r="L456" s="6"/>
      <c r="M456" s="6"/>
      <c r="N456" s="6"/>
      <c r="O456" s="6"/>
      <c r="P456" s="6"/>
      <c r="Q456" s="6"/>
      <c r="R456" s="6"/>
      <c r="S456" s="6"/>
      <c r="T456" s="6"/>
      <c r="U456" s="9"/>
      <c r="V456" s="10"/>
      <c r="W456" s="10"/>
      <c r="X456" s="10"/>
    </row>
    <row r="457" spans="1:24">
      <c r="A457" s="2"/>
      <c r="B457" s="11"/>
      <c r="C457" s="10"/>
      <c r="D457" s="10"/>
      <c r="E457" s="10"/>
      <c r="F457" s="10"/>
      <c r="G457" s="7"/>
      <c r="H457" s="12"/>
      <c r="I457" s="10"/>
      <c r="J457" s="10"/>
      <c r="K457" s="13" t="s">
        <v>3</v>
      </c>
      <c r="L457" s="14"/>
      <c r="M457" s="15"/>
      <c r="N457" s="13" t="s">
        <v>4</v>
      </c>
      <c r="O457" s="14"/>
      <c r="P457" s="15"/>
      <c r="Q457" s="13" t="s">
        <v>5</v>
      </c>
      <c r="R457" s="14"/>
      <c r="S457" s="15"/>
      <c r="T457" s="16"/>
      <c r="U457" s="17"/>
      <c r="V457" s="10"/>
      <c r="W457" s="10"/>
      <c r="X457" s="10"/>
    </row>
    <row r="458" spans="1:24">
      <c r="A458" s="2"/>
      <c r="B458" s="18" t="s">
        <v>6</v>
      </c>
      <c r="C458" s="19">
        <f>C459+C460</f>
        <v>18</v>
      </c>
      <c r="D458" s="10"/>
      <c r="E458" s="18" t="s">
        <v>7</v>
      </c>
      <c r="F458" s="6"/>
      <c r="G458" s="9"/>
      <c r="H458" s="10"/>
      <c r="I458" s="10"/>
      <c r="J458" s="10"/>
      <c r="K458" s="20" t="s">
        <v>8</v>
      </c>
      <c r="L458" s="21" t="s">
        <v>9</v>
      </c>
      <c r="M458" s="21" t="s">
        <v>10</v>
      </c>
      <c r="N458" s="20" t="s">
        <v>11</v>
      </c>
      <c r="O458" s="21" t="s">
        <v>12</v>
      </c>
      <c r="P458" s="22" t="s">
        <v>13</v>
      </c>
      <c r="Q458" s="21" t="s">
        <v>11</v>
      </c>
      <c r="R458" s="21" t="s">
        <v>12</v>
      </c>
      <c r="S458" s="22" t="s">
        <v>13</v>
      </c>
      <c r="T458" s="23" t="s">
        <v>14</v>
      </c>
      <c r="U458" s="17"/>
      <c r="V458" s="10"/>
      <c r="W458" s="10"/>
      <c r="X458" s="10"/>
    </row>
    <row r="459" spans="1:24">
      <c r="A459" s="2"/>
      <c r="B459" s="24" t="s">
        <v>15</v>
      </c>
      <c r="C459" s="25">
        <f>P466</f>
        <v>9</v>
      </c>
      <c r="D459" s="10"/>
      <c r="E459" s="26" t="s">
        <v>16</v>
      </c>
      <c r="F459" s="27">
        <v>0.05</v>
      </c>
      <c r="G459" s="28"/>
      <c r="H459" s="10"/>
      <c r="I459" s="10"/>
      <c r="J459" s="18" t="s">
        <v>17</v>
      </c>
      <c r="K459" s="29">
        <f t="shared" ref="K459:S459" si="99">K492</f>
        <v>8</v>
      </c>
      <c r="L459" s="29">
        <f t="shared" si="99"/>
        <v>8</v>
      </c>
      <c r="M459" s="29">
        <f t="shared" si="99"/>
        <v>5</v>
      </c>
      <c r="N459" s="29">
        <f t="shared" si="99"/>
        <v>8</v>
      </c>
      <c r="O459" s="29">
        <f t="shared" si="99"/>
        <v>8</v>
      </c>
      <c r="P459" s="29">
        <f t="shared" si="99"/>
        <v>8</v>
      </c>
      <c r="Q459" s="29">
        <f t="shared" si="99"/>
        <v>8</v>
      </c>
      <c r="R459" s="29">
        <f t="shared" si="99"/>
        <v>8</v>
      </c>
      <c r="S459" s="29">
        <f t="shared" si="99"/>
        <v>8</v>
      </c>
      <c r="T459" s="30">
        <f>T527</f>
        <v>1</v>
      </c>
      <c r="U459" s="17" t="s">
        <v>389</v>
      </c>
      <c r="V459" s="10"/>
      <c r="W459" s="10"/>
      <c r="X459" s="10"/>
    </row>
    <row r="460" spans="1:24">
      <c r="A460" s="2"/>
      <c r="B460" s="24" t="s">
        <v>18</v>
      </c>
      <c r="C460" s="25">
        <f>P467</f>
        <v>9</v>
      </c>
      <c r="D460" s="10"/>
      <c r="E460" s="10"/>
      <c r="F460" s="10"/>
      <c r="G460" s="31"/>
      <c r="H460" s="10"/>
      <c r="I460" s="10"/>
      <c r="J460" s="32" t="s">
        <v>19</v>
      </c>
      <c r="K460" s="33">
        <f t="shared" ref="K460:S460" si="100">K492/K491</f>
        <v>1</v>
      </c>
      <c r="L460" s="33">
        <f t="shared" si="100"/>
        <v>1</v>
      </c>
      <c r="M460" s="33">
        <f t="shared" si="100"/>
        <v>0.625</v>
      </c>
      <c r="N460" s="33">
        <f t="shared" si="100"/>
        <v>1</v>
      </c>
      <c r="O460" s="33">
        <f t="shared" si="100"/>
        <v>1</v>
      </c>
      <c r="P460" s="33">
        <f t="shared" si="100"/>
        <v>1</v>
      </c>
      <c r="Q460" s="33">
        <f t="shared" si="100"/>
        <v>1</v>
      </c>
      <c r="R460" s="33">
        <f t="shared" si="100"/>
        <v>1</v>
      </c>
      <c r="S460" s="33">
        <f t="shared" si="100"/>
        <v>1</v>
      </c>
      <c r="T460" s="23"/>
      <c r="U460" s="17" t="s">
        <v>20</v>
      </c>
      <c r="V460" s="10"/>
      <c r="W460" s="10"/>
      <c r="X460" s="10"/>
    </row>
    <row r="461" spans="1:24">
      <c r="A461" s="2"/>
      <c r="B461" s="24" t="s">
        <v>21</v>
      </c>
      <c r="C461" s="34">
        <f>P468</f>
        <v>0.5</v>
      </c>
      <c r="D461" s="10"/>
      <c r="E461" s="10"/>
      <c r="F461" s="10"/>
      <c r="G461" s="10"/>
      <c r="H461" s="10"/>
      <c r="I461" s="10"/>
      <c r="J461" s="10"/>
      <c r="K461" s="10"/>
      <c r="L461" s="10"/>
      <c r="M461" s="10"/>
      <c r="N461" s="10"/>
      <c r="O461" s="10"/>
      <c r="P461" s="10"/>
      <c r="Q461" s="10"/>
      <c r="R461" s="10"/>
      <c r="S461" s="10"/>
      <c r="T461" s="10"/>
      <c r="U461" s="17"/>
      <c r="V461" s="10"/>
      <c r="W461" s="10"/>
      <c r="X461" s="10"/>
    </row>
    <row r="462" spans="1:24">
      <c r="A462" s="2"/>
      <c r="B462" s="24"/>
      <c r="C462" s="25"/>
      <c r="D462" s="10"/>
      <c r="E462" s="10"/>
      <c r="F462" s="18" t="s">
        <v>22</v>
      </c>
      <c r="G462" s="19" t="s">
        <v>23</v>
      </c>
      <c r="H462" s="35" t="s">
        <v>24</v>
      </c>
      <c r="I462" s="10"/>
      <c r="J462" s="10"/>
      <c r="K462" s="36"/>
      <c r="L462" s="36"/>
      <c r="M462" s="36"/>
      <c r="N462" s="36"/>
      <c r="O462" s="36"/>
      <c r="P462" s="36"/>
      <c r="Q462" s="36"/>
      <c r="R462" s="10"/>
      <c r="S462" s="10"/>
      <c r="T462" s="10"/>
      <c r="U462" s="17"/>
      <c r="V462" s="10"/>
      <c r="W462" s="10"/>
      <c r="X462" s="10"/>
    </row>
    <row r="463" spans="1:24">
      <c r="A463" s="2"/>
      <c r="B463" s="32" t="s">
        <v>25</v>
      </c>
      <c r="C463" s="37">
        <f>P469</f>
        <v>1507.3044444444445</v>
      </c>
      <c r="D463" s="10"/>
      <c r="E463" s="18" t="s">
        <v>26</v>
      </c>
      <c r="F463" s="38">
        <f>P465</f>
        <v>13565.74</v>
      </c>
      <c r="G463" s="39">
        <f>I491+I501</f>
        <v>13565.74</v>
      </c>
      <c r="H463" s="40"/>
      <c r="I463" s="41"/>
      <c r="J463" s="42"/>
      <c r="K463" s="43" t="s">
        <v>27</v>
      </c>
      <c r="L463" s="44"/>
      <c r="M463" s="44"/>
      <c r="N463" s="44"/>
      <c r="O463" s="44"/>
      <c r="P463" s="44"/>
      <c r="Q463" s="45"/>
      <c r="R463" s="46" t="s">
        <v>28</v>
      </c>
      <c r="S463" s="47" t="s">
        <v>29</v>
      </c>
      <c r="T463" s="10"/>
      <c r="U463" s="17"/>
      <c r="V463" s="10"/>
      <c r="W463" s="10"/>
      <c r="X463" s="10"/>
    </row>
    <row r="464" spans="1:24">
      <c r="A464" s="2"/>
      <c r="B464" s="11"/>
      <c r="C464" s="10"/>
      <c r="D464" s="10"/>
      <c r="E464" s="24" t="s">
        <v>30</v>
      </c>
      <c r="F464" s="48">
        <f>F459</f>
        <v>0.05</v>
      </c>
      <c r="G464" s="17"/>
      <c r="H464" s="40"/>
      <c r="I464" s="41"/>
      <c r="J464" s="42"/>
      <c r="K464" s="20" t="s">
        <v>31</v>
      </c>
      <c r="L464" s="21" t="s">
        <v>32</v>
      </c>
      <c r="M464" s="21" t="s">
        <v>33</v>
      </c>
      <c r="N464" s="21" t="s">
        <v>34</v>
      </c>
      <c r="O464" s="21" t="s">
        <v>35</v>
      </c>
      <c r="P464" s="21" t="s">
        <v>36</v>
      </c>
      <c r="Q464" s="49" t="s">
        <v>37</v>
      </c>
      <c r="R464" s="50" t="s">
        <v>38</v>
      </c>
      <c r="S464" s="50" t="s">
        <v>38</v>
      </c>
      <c r="T464" s="10"/>
      <c r="U464" s="17"/>
      <c r="V464" s="10"/>
      <c r="W464" s="10"/>
      <c r="X464" s="10"/>
    </row>
    <row r="465" spans="1:24">
      <c r="A465" s="2"/>
      <c r="B465" s="11"/>
      <c r="C465" s="10"/>
      <c r="D465" s="10"/>
      <c r="E465" s="51" t="s">
        <v>39</v>
      </c>
      <c r="F465" s="52">
        <f>(F463-I483-I500)*F464</f>
        <v>442.73400000000004</v>
      </c>
      <c r="G465" s="53" t="s">
        <v>40</v>
      </c>
      <c r="H465" s="54">
        <f>F465/1.12</f>
        <v>395.29821428571427</v>
      </c>
      <c r="I465" s="55"/>
      <c r="J465" s="42"/>
      <c r="K465" s="56"/>
      <c r="L465" s="57">
        <f>I483+I484+I486+I485+I500</f>
        <v>9736.85</v>
      </c>
      <c r="M465" s="57">
        <f>I487</f>
        <v>1216.24</v>
      </c>
      <c r="N465" s="57">
        <f>I488+I489+I490</f>
        <v>2612.6499999999996</v>
      </c>
      <c r="O465" s="57"/>
      <c r="P465" s="57">
        <f>SUM(K465:O465)</f>
        <v>13565.74</v>
      </c>
      <c r="Q465" s="58">
        <v>0</v>
      </c>
      <c r="R465" s="59">
        <f>+I501</f>
        <v>3339.76</v>
      </c>
      <c r="S465" s="59">
        <v>0</v>
      </c>
      <c r="T465" s="10"/>
      <c r="U465" s="17"/>
      <c r="V465" s="10"/>
      <c r="W465" s="10"/>
      <c r="X465" s="10"/>
    </row>
    <row r="466" spans="1:24">
      <c r="A466" s="2"/>
      <c r="B466" s="11"/>
      <c r="C466" s="10"/>
      <c r="D466" s="10"/>
      <c r="E466" s="24" t="s">
        <v>41</v>
      </c>
      <c r="F466" s="60">
        <f>Q465</f>
        <v>0</v>
      </c>
      <c r="G466" s="61" t="s">
        <v>40</v>
      </c>
      <c r="H466" s="62"/>
      <c r="I466" s="62"/>
      <c r="J466" s="10" t="s">
        <v>42</v>
      </c>
      <c r="K466" s="63"/>
      <c r="L466" s="63">
        <v>5</v>
      </c>
      <c r="M466" s="63">
        <v>1</v>
      </c>
      <c r="N466" s="63">
        <v>3</v>
      </c>
      <c r="O466" s="63"/>
      <c r="P466" s="21">
        <f>SUM(K466:O466)</f>
        <v>9</v>
      </c>
      <c r="Q466" s="64"/>
      <c r="R466" s="63"/>
      <c r="S466" s="10"/>
      <c r="T466" s="10"/>
      <c r="U466" s="17"/>
      <c r="V466" s="10"/>
      <c r="W466" s="10"/>
      <c r="X466" s="10"/>
    </row>
    <row r="467" spans="1:24">
      <c r="A467" s="2"/>
      <c r="B467" s="11"/>
      <c r="C467" s="10"/>
      <c r="D467" s="10"/>
      <c r="E467" s="51" t="s">
        <v>43</v>
      </c>
      <c r="F467" s="52">
        <f>F466*0.25</f>
        <v>0</v>
      </c>
      <c r="G467" s="53" t="s">
        <v>40</v>
      </c>
      <c r="H467" s="54">
        <f>F467/1.12</f>
        <v>0</v>
      </c>
      <c r="I467" s="10"/>
      <c r="J467" s="10" t="s">
        <v>44</v>
      </c>
      <c r="K467" s="63"/>
      <c r="L467" s="63">
        <v>1</v>
      </c>
      <c r="M467" s="63">
        <v>4</v>
      </c>
      <c r="N467" s="63">
        <v>4</v>
      </c>
      <c r="O467" s="63"/>
      <c r="P467" s="21">
        <f>SUM(K467:O467)</f>
        <v>9</v>
      </c>
      <c r="Q467" s="64"/>
      <c r="R467" s="63"/>
      <c r="S467" s="10"/>
      <c r="T467" s="10"/>
      <c r="U467" s="17"/>
      <c r="V467" s="10"/>
      <c r="W467" s="10"/>
      <c r="X467" s="10"/>
    </row>
    <row r="468" spans="1:24">
      <c r="A468" s="2"/>
      <c r="B468" s="11"/>
      <c r="C468" s="10"/>
      <c r="D468" s="10"/>
      <c r="E468" s="24" t="s">
        <v>45</v>
      </c>
      <c r="F468" s="60">
        <f>I497</f>
        <v>9393.11</v>
      </c>
      <c r="G468" s="61" t="s">
        <v>40</v>
      </c>
      <c r="H468" s="62"/>
      <c r="I468" s="10"/>
      <c r="J468" s="10" t="s">
        <v>46</v>
      </c>
      <c r="K468" s="31" t="e">
        <f t="shared" ref="K468:Q468" si="101">K466/(K466+K467)</f>
        <v>#DIV/0!</v>
      </c>
      <c r="L468" s="31">
        <f t="shared" si="101"/>
        <v>0.83333333333333337</v>
      </c>
      <c r="M468" s="31">
        <f t="shared" si="101"/>
        <v>0.2</v>
      </c>
      <c r="N468" s="31">
        <f t="shared" si="101"/>
        <v>0.42857142857142855</v>
      </c>
      <c r="O468" s="31" t="e">
        <f t="shared" si="101"/>
        <v>#DIV/0!</v>
      </c>
      <c r="P468" s="31">
        <f t="shared" si="101"/>
        <v>0.5</v>
      </c>
      <c r="Q468" s="31" t="e">
        <f t="shared" si="101"/>
        <v>#DIV/0!</v>
      </c>
      <c r="R468" s="63"/>
      <c r="S468" s="10"/>
      <c r="T468" s="10"/>
      <c r="U468" s="17"/>
      <c r="V468" s="10"/>
      <c r="W468" s="10"/>
      <c r="X468" s="10"/>
    </row>
    <row r="469" spans="1:24">
      <c r="A469" s="2"/>
      <c r="B469" s="11"/>
      <c r="C469" s="10"/>
      <c r="D469" s="10"/>
      <c r="E469" s="51" t="s">
        <v>47</v>
      </c>
      <c r="F469" s="52">
        <f>(F468+F472+F473+F474-I496)*0.05</f>
        <v>408.69499999999999</v>
      </c>
      <c r="G469" s="65" t="s">
        <v>40</v>
      </c>
      <c r="H469" s="54">
        <f>F469/1.12</f>
        <v>364.90624999999994</v>
      </c>
      <c r="I469" s="42"/>
      <c r="J469" s="10" t="s">
        <v>48</v>
      </c>
      <c r="K469" s="66" t="e">
        <f t="shared" ref="K469:Q469" si="102">K465/K466</f>
        <v>#DIV/0!</v>
      </c>
      <c r="L469" s="66">
        <f t="shared" si="102"/>
        <v>1947.3700000000001</v>
      </c>
      <c r="M469" s="66">
        <f t="shared" si="102"/>
        <v>1216.24</v>
      </c>
      <c r="N469" s="66">
        <f t="shared" si="102"/>
        <v>870.88333333333321</v>
      </c>
      <c r="O469" s="66" t="e">
        <f t="shared" si="102"/>
        <v>#DIV/0!</v>
      </c>
      <c r="P469" s="66">
        <f t="shared" si="102"/>
        <v>1507.3044444444445</v>
      </c>
      <c r="Q469" s="66" t="e">
        <f t="shared" si="102"/>
        <v>#DIV/0!</v>
      </c>
      <c r="R469" s="63"/>
      <c r="S469" s="10"/>
      <c r="T469" s="10"/>
      <c r="U469" s="17"/>
      <c r="V469" s="10"/>
      <c r="W469" s="10"/>
      <c r="X469" s="10"/>
    </row>
    <row r="470" spans="1:24">
      <c r="A470" s="2"/>
      <c r="B470" s="11"/>
      <c r="C470" s="10"/>
      <c r="D470" s="10"/>
      <c r="E470" s="67" t="s">
        <v>14</v>
      </c>
      <c r="F470" s="68">
        <f>1*50</f>
        <v>50</v>
      </c>
      <c r="G470" s="10"/>
      <c r="H470" s="54">
        <f>F470/1.12</f>
        <v>44.642857142857139</v>
      </c>
      <c r="I470" s="10"/>
      <c r="J470" s="10"/>
      <c r="K470" s="10"/>
      <c r="L470" s="10"/>
      <c r="M470" s="10"/>
      <c r="N470" s="10"/>
      <c r="O470" s="10"/>
      <c r="P470" s="10"/>
      <c r="Q470" s="10"/>
      <c r="R470" s="10"/>
      <c r="S470" s="10"/>
      <c r="T470" s="10"/>
      <c r="U470" s="17"/>
      <c r="V470" s="10"/>
      <c r="W470" s="10"/>
      <c r="X470" s="10"/>
    </row>
    <row r="471" spans="1:24">
      <c r="A471" s="2"/>
      <c r="B471" s="11"/>
      <c r="C471" s="10"/>
      <c r="D471" s="10"/>
      <c r="E471" s="67" t="s">
        <v>49</v>
      </c>
      <c r="F471" s="69">
        <f>T460</f>
        <v>0</v>
      </c>
      <c r="G471" s="10"/>
      <c r="H471" s="54"/>
      <c r="I471" s="55"/>
      <c r="J471" s="42"/>
      <c r="K471" s="764" t="s">
        <v>50</v>
      </c>
      <c r="L471" s="765"/>
      <c r="M471" s="765"/>
      <c r="N471" s="765"/>
      <c r="O471" s="765"/>
      <c r="P471" s="765"/>
      <c r="Q471" s="766"/>
      <c r="R471" s="70" t="s">
        <v>28</v>
      </c>
      <c r="S471" s="71" t="s">
        <v>29</v>
      </c>
      <c r="T471" s="10"/>
      <c r="U471" s="17"/>
      <c r="V471" s="10"/>
      <c r="W471" s="10"/>
      <c r="X471" s="10"/>
    </row>
    <row r="472" spans="1:24">
      <c r="A472" s="2"/>
      <c r="B472" s="11"/>
      <c r="C472" s="10"/>
      <c r="D472" s="10"/>
      <c r="E472" s="72" t="s">
        <v>390</v>
      </c>
      <c r="F472" s="73">
        <v>-93.95</v>
      </c>
      <c r="G472" s="10"/>
      <c r="H472" s="10"/>
      <c r="I472" s="10"/>
      <c r="J472" s="42"/>
      <c r="K472" s="20" t="s">
        <v>31</v>
      </c>
      <c r="L472" s="21" t="s">
        <v>32</v>
      </c>
      <c r="M472" s="21" t="s">
        <v>33</v>
      </c>
      <c r="N472" s="21" t="s">
        <v>34</v>
      </c>
      <c r="O472" s="21" t="s">
        <v>35</v>
      </c>
      <c r="P472" s="21" t="s">
        <v>36</v>
      </c>
      <c r="Q472" s="49" t="s">
        <v>37</v>
      </c>
      <c r="R472" s="50" t="s">
        <v>38</v>
      </c>
      <c r="S472" s="50" t="s">
        <v>38</v>
      </c>
      <c r="T472" s="10"/>
      <c r="U472" s="17"/>
      <c r="V472" s="10"/>
      <c r="W472" s="10"/>
      <c r="X472" s="10"/>
    </row>
    <row r="473" spans="1:24">
      <c r="A473" s="2"/>
      <c r="B473" s="11"/>
      <c r="C473" s="10"/>
      <c r="D473" s="10"/>
      <c r="E473" s="72" t="s">
        <v>391</v>
      </c>
      <c r="F473" s="73">
        <v>-223.69</v>
      </c>
      <c r="G473" s="10"/>
      <c r="H473" s="10"/>
      <c r="I473" s="10"/>
      <c r="J473" s="42"/>
      <c r="K473" s="56"/>
      <c r="L473" s="57">
        <f>F483+F484+F486+F485+F500</f>
        <v>15913.2</v>
      </c>
      <c r="M473" s="57">
        <f>F487</f>
        <v>1396</v>
      </c>
      <c r="N473" s="57">
        <f>F488+F489+F490</f>
        <v>2759</v>
      </c>
      <c r="O473" s="57"/>
      <c r="P473" s="57">
        <f>SUM(K473:O473)</f>
        <v>20068.2</v>
      </c>
      <c r="Q473" s="58">
        <v>0</v>
      </c>
      <c r="R473" s="59">
        <f>+F501</f>
        <v>6133</v>
      </c>
      <c r="S473" s="59">
        <v>0</v>
      </c>
      <c r="T473" s="10"/>
      <c r="U473" s="17"/>
      <c r="V473" s="10"/>
      <c r="W473" s="10"/>
      <c r="X473" s="10"/>
    </row>
    <row r="474" spans="1:24">
      <c r="A474" s="2"/>
      <c r="B474" s="11"/>
      <c r="C474" s="10"/>
      <c r="D474" s="10"/>
      <c r="E474" s="74" t="s">
        <v>392</v>
      </c>
      <c r="F474" s="75">
        <v>-420.57</v>
      </c>
      <c r="G474" s="10"/>
      <c r="H474" s="10"/>
      <c r="I474" s="10"/>
      <c r="J474" s="10" t="s">
        <v>42</v>
      </c>
      <c r="K474" s="63">
        <f t="shared" ref="K474:Q475" si="103">K466</f>
        <v>0</v>
      </c>
      <c r="L474" s="63">
        <f t="shared" si="103"/>
        <v>5</v>
      </c>
      <c r="M474" s="63">
        <f t="shared" si="103"/>
        <v>1</v>
      </c>
      <c r="N474" s="63">
        <f t="shared" si="103"/>
        <v>3</v>
      </c>
      <c r="O474" s="63">
        <f t="shared" si="103"/>
        <v>0</v>
      </c>
      <c r="P474" s="63">
        <f t="shared" si="103"/>
        <v>9</v>
      </c>
      <c r="Q474" s="63">
        <f t="shared" si="103"/>
        <v>0</v>
      </c>
      <c r="R474" s="63"/>
      <c r="S474" s="10"/>
      <c r="T474" s="10"/>
      <c r="U474" s="17"/>
      <c r="V474" s="10"/>
      <c r="W474" s="10"/>
      <c r="X474" s="10"/>
    </row>
    <row r="475" spans="1:24">
      <c r="A475" s="2"/>
      <c r="B475" s="11"/>
      <c r="C475" s="10"/>
      <c r="D475" s="10"/>
      <c r="E475" s="10"/>
      <c r="F475" s="10"/>
      <c r="G475" s="10"/>
      <c r="H475" s="10"/>
      <c r="I475" s="10"/>
      <c r="J475" s="10" t="s">
        <v>44</v>
      </c>
      <c r="K475" s="63">
        <f t="shared" si="103"/>
        <v>0</v>
      </c>
      <c r="L475" s="63">
        <f t="shared" si="103"/>
        <v>1</v>
      </c>
      <c r="M475" s="63">
        <f t="shared" si="103"/>
        <v>4</v>
      </c>
      <c r="N475" s="63">
        <f t="shared" si="103"/>
        <v>4</v>
      </c>
      <c r="O475" s="63">
        <f t="shared" si="103"/>
        <v>0</v>
      </c>
      <c r="P475" s="63">
        <f t="shared" si="103"/>
        <v>9</v>
      </c>
      <c r="Q475" s="63">
        <f t="shared" si="103"/>
        <v>0</v>
      </c>
      <c r="R475" s="63"/>
      <c r="S475" s="10"/>
      <c r="T475" s="10"/>
      <c r="U475" s="17"/>
      <c r="V475" s="10"/>
      <c r="W475" s="10"/>
      <c r="X475" s="10"/>
    </row>
    <row r="476" spans="1:24">
      <c r="A476" s="2"/>
      <c r="B476" s="11"/>
      <c r="C476" s="10"/>
      <c r="D476" s="10"/>
      <c r="E476" s="10"/>
      <c r="F476" s="10"/>
      <c r="G476" s="10"/>
      <c r="H476" s="10"/>
      <c r="I476" s="10"/>
      <c r="J476" s="10" t="s">
        <v>46</v>
      </c>
      <c r="K476" s="31" t="e">
        <f t="shared" ref="K476:Q476" si="104">K474/(K474+K475)</f>
        <v>#DIV/0!</v>
      </c>
      <c r="L476" s="31">
        <f t="shared" si="104"/>
        <v>0.83333333333333337</v>
      </c>
      <c r="M476" s="31">
        <f t="shared" si="104"/>
        <v>0.2</v>
      </c>
      <c r="N476" s="31">
        <f t="shared" si="104"/>
        <v>0.42857142857142855</v>
      </c>
      <c r="O476" s="31" t="e">
        <f t="shared" si="104"/>
        <v>#DIV/0!</v>
      </c>
      <c r="P476" s="31">
        <f t="shared" si="104"/>
        <v>0.5</v>
      </c>
      <c r="Q476" s="31" t="e">
        <f t="shared" si="104"/>
        <v>#DIV/0!</v>
      </c>
      <c r="R476" s="63"/>
      <c r="S476" s="10"/>
      <c r="T476" s="10"/>
      <c r="U476" s="17"/>
      <c r="V476" s="10"/>
      <c r="W476" s="10"/>
      <c r="X476" s="10"/>
    </row>
    <row r="477" spans="1:24">
      <c r="A477" s="2"/>
      <c r="B477" s="11"/>
      <c r="C477" s="10"/>
      <c r="D477" s="10"/>
      <c r="E477" s="10"/>
      <c r="F477" s="10"/>
      <c r="G477" s="10"/>
      <c r="H477" s="10"/>
      <c r="I477" s="10"/>
      <c r="J477" s="10" t="s">
        <v>48</v>
      </c>
      <c r="K477" s="66" t="e">
        <f t="shared" ref="K477:Q477" si="105">K473/K474</f>
        <v>#DIV/0!</v>
      </c>
      <c r="L477" s="66">
        <f t="shared" si="105"/>
        <v>3182.6400000000003</v>
      </c>
      <c r="M477" s="66">
        <f t="shared" si="105"/>
        <v>1396</v>
      </c>
      <c r="N477" s="66">
        <f t="shared" si="105"/>
        <v>919.66666666666663</v>
      </c>
      <c r="O477" s="66" t="e">
        <f t="shared" si="105"/>
        <v>#DIV/0!</v>
      </c>
      <c r="P477" s="66">
        <f t="shared" si="105"/>
        <v>2229.8000000000002</v>
      </c>
      <c r="Q477" s="66" t="e">
        <f t="shared" si="105"/>
        <v>#DIV/0!</v>
      </c>
      <c r="R477" s="63"/>
      <c r="S477" s="10"/>
      <c r="T477" s="10"/>
      <c r="U477" s="17"/>
      <c r="V477" s="10"/>
      <c r="W477" s="10"/>
      <c r="X477" s="10"/>
    </row>
    <row r="478" spans="1:24">
      <c r="A478" s="2"/>
      <c r="B478" s="11"/>
      <c r="C478" s="10"/>
      <c r="D478" s="10"/>
      <c r="E478" s="10"/>
      <c r="F478" s="10"/>
      <c r="G478" s="10"/>
      <c r="H478" s="10"/>
      <c r="I478" s="10"/>
      <c r="J478" s="10"/>
      <c r="K478" s="10"/>
      <c r="L478" s="10"/>
      <c r="M478" s="10"/>
      <c r="N478" s="10"/>
      <c r="O478" s="10"/>
      <c r="P478" s="10"/>
      <c r="Q478" s="10"/>
      <c r="R478" s="10"/>
      <c r="S478" s="10"/>
      <c r="T478" s="10"/>
      <c r="U478" s="17"/>
      <c r="V478" s="10"/>
      <c r="W478" s="10"/>
      <c r="X478" s="10"/>
    </row>
    <row r="479" spans="1:24">
      <c r="A479" s="2"/>
      <c r="B479" s="11"/>
      <c r="C479" s="10"/>
      <c r="D479" s="10"/>
      <c r="E479" s="10"/>
      <c r="F479" s="10"/>
      <c r="G479" s="10"/>
      <c r="H479" s="10"/>
      <c r="I479" s="10"/>
      <c r="J479" s="10"/>
      <c r="K479" s="10"/>
      <c r="L479" s="10"/>
      <c r="M479" s="10"/>
      <c r="N479" s="10"/>
      <c r="O479" s="10"/>
      <c r="P479" s="10"/>
      <c r="Q479" s="10"/>
      <c r="R479" s="10"/>
      <c r="S479" s="10"/>
      <c r="T479" s="10"/>
      <c r="U479" s="17"/>
      <c r="V479" s="10"/>
      <c r="W479" s="10"/>
      <c r="X479" s="10"/>
    </row>
    <row r="480" spans="1:24">
      <c r="A480" s="2"/>
      <c r="B480" s="18" t="s">
        <v>51</v>
      </c>
      <c r="C480" s="14"/>
      <c r="D480" s="14"/>
      <c r="E480" s="14"/>
      <c r="F480" s="13" t="s">
        <v>52</v>
      </c>
      <c r="G480" s="14"/>
      <c r="H480" s="14"/>
      <c r="I480" s="14"/>
      <c r="J480" s="14"/>
      <c r="K480" s="13" t="s">
        <v>3</v>
      </c>
      <c r="L480" s="14"/>
      <c r="M480" s="14"/>
      <c r="N480" s="13" t="s">
        <v>4</v>
      </c>
      <c r="O480" s="14"/>
      <c r="P480" s="14"/>
      <c r="Q480" s="13" t="s">
        <v>5</v>
      </c>
      <c r="R480" s="14"/>
      <c r="S480" s="14"/>
      <c r="T480" s="18"/>
      <c r="U480" s="16" t="s">
        <v>53</v>
      </c>
      <c r="V480" s="77"/>
      <c r="W480" s="77"/>
      <c r="X480" s="77"/>
    </row>
    <row r="481" spans="1:24">
      <c r="A481" s="2"/>
      <c r="B481" s="24" t="s">
        <v>54</v>
      </c>
      <c r="C481" s="21" t="s">
        <v>55</v>
      </c>
      <c r="D481" s="21" t="s">
        <v>56</v>
      </c>
      <c r="E481" s="21" t="s">
        <v>57</v>
      </c>
      <c r="F481" s="20" t="s">
        <v>58</v>
      </c>
      <c r="G481" s="21" t="s">
        <v>59</v>
      </c>
      <c r="H481" s="21" t="s">
        <v>60</v>
      </c>
      <c r="I481" s="21" t="s">
        <v>26</v>
      </c>
      <c r="J481" s="22" t="s">
        <v>61</v>
      </c>
      <c r="K481" s="21" t="s">
        <v>8</v>
      </c>
      <c r="L481" s="21" t="s">
        <v>9</v>
      </c>
      <c r="M481" s="21" t="s">
        <v>10</v>
      </c>
      <c r="N481" s="20" t="s">
        <v>11</v>
      </c>
      <c r="O481" s="21" t="s">
        <v>12</v>
      </c>
      <c r="P481" s="22" t="s">
        <v>13</v>
      </c>
      <c r="Q481" s="21" t="s">
        <v>11</v>
      </c>
      <c r="R481" s="21" t="s">
        <v>12</v>
      </c>
      <c r="S481" s="21" t="s">
        <v>13</v>
      </c>
      <c r="T481" s="78" t="s">
        <v>14</v>
      </c>
      <c r="U481" s="30"/>
      <c r="V481" s="79" t="s">
        <v>62</v>
      </c>
      <c r="W481" s="80" t="s">
        <v>63</v>
      </c>
      <c r="X481" s="81" t="s">
        <v>64</v>
      </c>
    </row>
    <row r="482" spans="1:24">
      <c r="A482" s="2"/>
      <c r="B482" s="4" t="s">
        <v>65</v>
      </c>
      <c r="C482" s="6"/>
      <c r="D482" s="6"/>
      <c r="E482" s="6"/>
      <c r="F482" s="6"/>
      <c r="G482" s="6"/>
      <c r="H482" s="6"/>
      <c r="I482" s="82"/>
      <c r="J482" s="6"/>
      <c r="K482" s="6"/>
      <c r="L482" s="6"/>
      <c r="M482" s="6"/>
      <c r="N482" s="6"/>
      <c r="O482" s="6"/>
      <c r="P482" s="6"/>
      <c r="Q482" s="6"/>
      <c r="R482" s="6"/>
      <c r="S482" s="6"/>
      <c r="T482" s="83"/>
      <c r="U482" s="6"/>
      <c r="V482" s="84"/>
      <c r="W482" s="85"/>
      <c r="X482" s="86"/>
    </row>
    <row r="483" spans="1:24">
      <c r="A483" s="2" t="s">
        <v>383</v>
      </c>
      <c r="B483" s="87">
        <v>1</v>
      </c>
      <c r="C483" s="274">
        <v>45867</v>
      </c>
      <c r="D483" s="327">
        <v>71816</v>
      </c>
      <c r="E483" s="276" t="s">
        <v>369</v>
      </c>
      <c r="F483" s="277">
        <v>1861</v>
      </c>
      <c r="G483" s="277">
        <f>39.7+450</f>
        <v>489.7</v>
      </c>
      <c r="H483" s="297"/>
      <c r="I483" s="329">
        <f t="shared" ref="I483:I490" si="106">F483-G483-H483</f>
        <v>1371.3</v>
      </c>
      <c r="J483" s="279" t="s">
        <v>156</v>
      </c>
      <c r="K483" s="279">
        <v>1</v>
      </c>
      <c r="L483" s="279">
        <v>1</v>
      </c>
      <c r="M483" s="322">
        <v>0</v>
      </c>
      <c r="N483" s="279">
        <v>1</v>
      </c>
      <c r="O483" s="279">
        <v>1</v>
      </c>
      <c r="P483" s="279">
        <v>1</v>
      </c>
      <c r="Q483" s="279">
        <v>1</v>
      </c>
      <c r="R483" s="279">
        <v>1</v>
      </c>
      <c r="S483" s="280">
        <v>1</v>
      </c>
      <c r="T483" s="63"/>
      <c r="U483" s="10" t="s">
        <v>393</v>
      </c>
      <c r="V483" s="90">
        <f>205+1842.1</f>
        <v>2047.1</v>
      </c>
      <c r="W483" s="91"/>
      <c r="X483" s="92"/>
    </row>
    <row r="484" spans="1:24">
      <c r="A484" s="2"/>
      <c r="B484" s="87">
        <f t="shared" ref="B484:B490" si="107">B483+1</f>
        <v>2</v>
      </c>
      <c r="C484" s="295">
        <v>45867</v>
      </c>
      <c r="D484" s="346" t="s">
        <v>394</v>
      </c>
      <c r="E484" s="10" t="s">
        <v>395</v>
      </c>
      <c r="F484" s="62">
        <v>681</v>
      </c>
      <c r="G484" s="62"/>
      <c r="H484" s="62"/>
      <c r="I484" s="324">
        <f t="shared" si="106"/>
        <v>681</v>
      </c>
      <c r="J484" s="63" t="s">
        <v>156</v>
      </c>
      <c r="K484" s="63">
        <v>1</v>
      </c>
      <c r="L484" s="63">
        <v>1</v>
      </c>
      <c r="M484" s="325">
        <v>0</v>
      </c>
      <c r="N484" s="63">
        <v>1</v>
      </c>
      <c r="O484" s="63">
        <v>1</v>
      </c>
      <c r="P484" s="63">
        <v>1</v>
      </c>
      <c r="Q484" s="63">
        <v>1</v>
      </c>
      <c r="R484" s="63">
        <v>1</v>
      </c>
      <c r="S484" s="296">
        <v>1</v>
      </c>
      <c r="T484" s="63"/>
      <c r="U484" s="10" t="s">
        <v>396</v>
      </c>
      <c r="V484" s="90">
        <f>75+674.1</f>
        <v>749.1</v>
      </c>
      <c r="W484" s="91"/>
      <c r="X484" s="92"/>
    </row>
    <row r="485" spans="1:24">
      <c r="A485" s="2"/>
      <c r="B485" s="87">
        <f t="shared" si="107"/>
        <v>3</v>
      </c>
      <c r="C485" s="295">
        <v>45867</v>
      </c>
      <c r="D485" s="323">
        <v>71840</v>
      </c>
      <c r="E485" s="10" t="s">
        <v>395</v>
      </c>
      <c r="F485" s="62">
        <v>6214</v>
      </c>
      <c r="G485" s="62">
        <f>39.7+81.05+935+(51.72+1183.95+1496.24-1183.95)+250</f>
        <v>2853.71</v>
      </c>
      <c r="H485" s="62"/>
      <c r="I485" s="89">
        <f t="shared" si="106"/>
        <v>3360.29</v>
      </c>
      <c r="J485" s="63" t="s">
        <v>228</v>
      </c>
      <c r="K485" s="63">
        <v>1</v>
      </c>
      <c r="L485" s="63">
        <v>1</v>
      </c>
      <c r="M485" s="63">
        <v>1</v>
      </c>
      <c r="N485" s="63">
        <v>1</v>
      </c>
      <c r="O485" s="63">
        <v>1</v>
      </c>
      <c r="P485" s="63">
        <v>1</v>
      </c>
      <c r="Q485" s="63">
        <v>1</v>
      </c>
      <c r="R485" s="63">
        <v>1</v>
      </c>
      <c r="S485" s="296">
        <v>1</v>
      </c>
      <c r="T485" s="21">
        <v>1</v>
      </c>
      <c r="U485" s="94" t="s">
        <v>397</v>
      </c>
      <c r="V485" s="90">
        <f>684+6151.4</f>
        <v>6835.4</v>
      </c>
      <c r="W485" s="91"/>
      <c r="X485" s="92"/>
    </row>
    <row r="486" spans="1:24">
      <c r="A486" s="2"/>
      <c r="B486" s="87">
        <f t="shared" si="107"/>
        <v>4</v>
      </c>
      <c r="C486" s="282">
        <v>45867</v>
      </c>
      <c r="D486" s="368">
        <v>71866</v>
      </c>
      <c r="E486" s="441" t="s">
        <v>398</v>
      </c>
      <c r="F486" s="284">
        <v>1024.2</v>
      </c>
      <c r="G486" s="284">
        <f>39.7</f>
        <v>39.700000000000003</v>
      </c>
      <c r="H486" s="284"/>
      <c r="I486" s="300">
        <f t="shared" si="106"/>
        <v>984.5</v>
      </c>
      <c r="J486" s="286" t="s">
        <v>156</v>
      </c>
      <c r="K486" s="286">
        <v>1</v>
      </c>
      <c r="L486" s="286">
        <v>1</v>
      </c>
      <c r="M486" s="332">
        <v>0</v>
      </c>
      <c r="N486" s="286">
        <v>1</v>
      </c>
      <c r="O486" s="286">
        <v>1</v>
      </c>
      <c r="P486" s="286">
        <v>1</v>
      </c>
      <c r="Q486" s="286">
        <v>1</v>
      </c>
      <c r="R486" s="286">
        <v>1</v>
      </c>
      <c r="S486" s="287">
        <v>1</v>
      </c>
      <c r="T486" s="63"/>
      <c r="U486" s="10"/>
      <c r="V486" s="90">
        <f>112.6+1014.02</f>
        <v>1126.6199999999999</v>
      </c>
      <c r="W486" s="91"/>
      <c r="X486" s="92"/>
    </row>
    <row r="487" spans="1:24">
      <c r="A487" s="388">
        <v>45873</v>
      </c>
      <c r="B487" s="87">
        <f t="shared" si="107"/>
        <v>5</v>
      </c>
      <c r="C487" s="274">
        <v>45868</v>
      </c>
      <c r="D487" s="327">
        <v>71873</v>
      </c>
      <c r="E487" s="281" t="s">
        <v>327</v>
      </c>
      <c r="F487" s="277">
        <v>1396</v>
      </c>
      <c r="G487" s="277">
        <f>39.7+(140.06)</f>
        <v>179.76</v>
      </c>
      <c r="H487" s="277"/>
      <c r="I487" s="278">
        <f t="shared" si="106"/>
        <v>1216.24</v>
      </c>
      <c r="J487" s="279" t="s">
        <v>374</v>
      </c>
      <c r="K487" s="279">
        <v>1</v>
      </c>
      <c r="L487" s="279">
        <v>1</v>
      </c>
      <c r="M487" s="279">
        <v>1</v>
      </c>
      <c r="N487" s="279">
        <v>1</v>
      </c>
      <c r="O487" s="279">
        <v>1</v>
      </c>
      <c r="P487" s="279">
        <v>1</v>
      </c>
      <c r="Q487" s="279">
        <v>1</v>
      </c>
      <c r="R487" s="279">
        <v>1</v>
      </c>
      <c r="S487" s="280">
        <v>1</v>
      </c>
      <c r="T487" s="63"/>
      <c r="U487" s="10" t="s">
        <v>399</v>
      </c>
      <c r="V487" s="90">
        <f>1535.6</f>
        <v>1535.6</v>
      </c>
      <c r="W487" s="91"/>
      <c r="X487" s="92"/>
    </row>
    <row r="488" spans="1:24">
      <c r="A488" s="2"/>
      <c r="B488" s="87">
        <f t="shared" si="107"/>
        <v>6</v>
      </c>
      <c r="C488" s="274">
        <v>45869</v>
      </c>
      <c r="D488" s="320" t="s">
        <v>400</v>
      </c>
      <c r="E488" s="276" t="s">
        <v>381</v>
      </c>
      <c r="F488" s="277">
        <v>681</v>
      </c>
      <c r="G488" s="277"/>
      <c r="H488" s="297"/>
      <c r="I488" s="278">
        <f t="shared" si="106"/>
        <v>681</v>
      </c>
      <c r="J488" s="279" t="s">
        <v>156</v>
      </c>
      <c r="K488" s="279">
        <v>1</v>
      </c>
      <c r="L488" s="279">
        <v>1</v>
      </c>
      <c r="M488" s="279">
        <v>1</v>
      </c>
      <c r="N488" s="279">
        <v>1</v>
      </c>
      <c r="O488" s="279">
        <v>1</v>
      </c>
      <c r="P488" s="279">
        <v>1</v>
      </c>
      <c r="Q488" s="279">
        <v>1</v>
      </c>
      <c r="R488" s="279">
        <v>1</v>
      </c>
      <c r="S488" s="280">
        <v>1</v>
      </c>
      <c r="T488" s="63"/>
      <c r="U488" s="10"/>
      <c r="V488" s="90">
        <f>75+674.1</f>
        <v>749.1</v>
      </c>
      <c r="W488" s="91"/>
      <c r="X488" s="92"/>
    </row>
    <row r="489" spans="1:24">
      <c r="A489" s="2"/>
      <c r="B489" s="87">
        <f t="shared" si="107"/>
        <v>7</v>
      </c>
      <c r="C489" s="295">
        <v>45869</v>
      </c>
      <c r="D489" s="323">
        <v>71901</v>
      </c>
      <c r="E489" s="10" t="s">
        <v>401</v>
      </c>
      <c r="F489" s="62">
        <v>1264</v>
      </c>
      <c r="G489" s="62">
        <f>39.7+(47.7)</f>
        <v>87.4</v>
      </c>
      <c r="H489" s="88"/>
      <c r="I489" s="89">
        <f t="shared" si="106"/>
        <v>1176.5999999999999</v>
      </c>
      <c r="J489" s="63" t="s">
        <v>156</v>
      </c>
      <c r="K489" s="63">
        <v>1</v>
      </c>
      <c r="L489" s="63">
        <v>1</v>
      </c>
      <c r="M489" s="63">
        <v>1</v>
      </c>
      <c r="N489" s="63">
        <v>1</v>
      </c>
      <c r="O489" s="63">
        <v>1</v>
      </c>
      <c r="P489" s="63">
        <v>1</v>
      </c>
      <c r="Q489" s="63">
        <v>1</v>
      </c>
      <c r="R489" s="63">
        <v>1</v>
      </c>
      <c r="S489" s="296">
        <v>1</v>
      </c>
      <c r="T489" s="63"/>
      <c r="U489" s="10"/>
      <c r="V489" s="90">
        <f>139+1251.4</f>
        <v>1390.4</v>
      </c>
      <c r="W489" s="91"/>
      <c r="X489" s="92"/>
    </row>
    <row r="490" spans="1:24">
      <c r="A490" s="2"/>
      <c r="B490" s="87">
        <f t="shared" si="107"/>
        <v>8</v>
      </c>
      <c r="C490" s="282">
        <v>45869</v>
      </c>
      <c r="D490" s="368">
        <v>71902</v>
      </c>
      <c r="E490" s="283" t="s">
        <v>384</v>
      </c>
      <c r="F490" s="284">
        <f>899-85</f>
        <v>814</v>
      </c>
      <c r="G490" s="284">
        <f>39.7+(19.25)</f>
        <v>58.95</v>
      </c>
      <c r="H490" s="315"/>
      <c r="I490" s="285">
        <f t="shared" si="106"/>
        <v>755.05</v>
      </c>
      <c r="J490" s="286" t="s">
        <v>228</v>
      </c>
      <c r="K490" s="286">
        <v>1</v>
      </c>
      <c r="L490" s="286">
        <v>1</v>
      </c>
      <c r="M490" s="286">
        <v>1</v>
      </c>
      <c r="N490" s="286">
        <v>1</v>
      </c>
      <c r="O490" s="286">
        <v>1</v>
      </c>
      <c r="P490" s="286">
        <v>1</v>
      </c>
      <c r="Q490" s="286">
        <v>1</v>
      </c>
      <c r="R490" s="286">
        <v>1</v>
      </c>
      <c r="S490" s="287">
        <v>1</v>
      </c>
      <c r="T490" s="63"/>
      <c r="U490" s="10"/>
      <c r="V490" s="90">
        <f>93.5+895.4</f>
        <v>988.9</v>
      </c>
      <c r="W490" s="91"/>
      <c r="X490" s="92"/>
    </row>
    <row r="491" spans="1:24">
      <c r="A491" s="2"/>
      <c r="B491" s="87"/>
      <c r="C491" s="36"/>
      <c r="D491" s="10"/>
      <c r="E491" s="10"/>
      <c r="F491" s="97">
        <f>SUM(F483:F490)</f>
        <v>13935.2</v>
      </c>
      <c r="G491" s="97">
        <f>SUM(G483:G490)</f>
        <v>3709.22</v>
      </c>
      <c r="H491" s="97">
        <f>SUM(H483:H490)</f>
        <v>0</v>
      </c>
      <c r="I491" s="98">
        <f>SUM(I483:I490)</f>
        <v>10225.98</v>
      </c>
      <c r="J491" s="63"/>
      <c r="K491" s="63">
        <f t="shared" ref="K491:S491" si="108">COUNT(K483:K490)</f>
        <v>8</v>
      </c>
      <c r="L491" s="63">
        <f t="shared" si="108"/>
        <v>8</v>
      </c>
      <c r="M491" s="63">
        <f t="shared" si="108"/>
        <v>8</v>
      </c>
      <c r="N491" s="63">
        <f t="shared" si="108"/>
        <v>8</v>
      </c>
      <c r="O491" s="63">
        <f t="shared" si="108"/>
        <v>8</v>
      </c>
      <c r="P491" s="63">
        <f t="shared" si="108"/>
        <v>8</v>
      </c>
      <c r="Q491" s="63">
        <f t="shared" si="108"/>
        <v>8</v>
      </c>
      <c r="R491" s="63">
        <f t="shared" si="108"/>
        <v>8</v>
      </c>
      <c r="S491" s="63">
        <f t="shared" si="108"/>
        <v>8</v>
      </c>
      <c r="T491" s="63"/>
      <c r="U491" s="10"/>
      <c r="V491" s="90"/>
      <c r="W491" s="91"/>
      <c r="X491" s="92"/>
    </row>
    <row r="492" spans="1:24">
      <c r="A492" s="2"/>
      <c r="B492" s="87"/>
      <c r="C492" s="36"/>
      <c r="D492" s="10"/>
      <c r="E492" s="10"/>
      <c r="F492" s="88"/>
      <c r="G492" s="88"/>
      <c r="H492" s="88"/>
      <c r="I492" s="99"/>
      <c r="J492" s="63"/>
      <c r="K492" s="21">
        <f t="shared" ref="K492:S492" si="109">SUM(K483:K490)</f>
        <v>8</v>
      </c>
      <c r="L492" s="21">
        <f t="shared" si="109"/>
        <v>8</v>
      </c>
      <c r="M492" s="21">
        <f t="shared" si="109"/>
        <v>5</v>
      </c>
      <c r="N492" s="21">
        <f t="shared" si="109"/>
        <v>8</v>
      </c>
      <c r="O492" s="21">
        <f t="shared" si="109"/>
        <v>8</v>
      </c>
      <c r="P492" s="21">
        <f t="shared" si="109"/>
        <v>8</v>
      </c>
      <c r="Q492" s="21">
        <f t="shared" si="109"/>
        <v>8</v>
      </c>
      <c r="R492" s="21">
        <f t="shared" si="109"/>
        <v>8</v>
      </c>
      <c r="S492" s="21">
        <f t="shared" si="109"/>
        <v>8</v>
      </c>
      <c r="T492" s="63"/>
      <c r="U492" s="10"/>
      <c r="V492" s="90"/>
      <c r="W492" s="91"/>
      <c r="X492" s="92"/>
    </row>
    <row r="493" spans="1:24">
      <c r="A493" s="2"/>
      <c r="B493" s="11"/>
      <c r="C493" s="36"/>
      <c r="D493" s="10"/>
      <c r="E493" s="10"/>
      <c r="F493" s="88"/>
      <c r="G493" s="88"/>
      <c r="H493" s="88"/>
      <c r="I493" s="99"/>
      <c r="J493" s="63"/>
      <c r="K493" s="21"/>
      <c r="L493" s="21"/>
      <c r="M493" s="21"/>
      <c r="N493" s="21"/>
      <c r="O493" s="21"/>
      <c r="P493" s="21"/>
      <c r="Q493" s="21"/>
      <c r="R493" s="21"/>
      <c r="S493" s="21"/>
      <c r="T493" s="63"/>
      <c r="U493" s="94"/>
      <c r="V493" s="90"/>
      <c r="W493" s="91"/>
      <c r="X493" s="92"/>
    </row>
    <row r="494" spans="1:24">
      <c r="A494" s="2"/>
      <c r="B494" s="100" t="s">
        <v>67</v>
      </c>
      <c r="C494" s="36"/>
      <c r="D494" s="10"/>
      <c r="E494" s="10"/>
      <c r="F494" s="88"/>
      <c r="G494" s="62"/>
      <c r="H494" s="88"/>
      <c r="I494" s="99"/>
      <c r="J494" s="63"/>
      <c r="K494" s="2"/>
      <c r="L494" s="2"/>
      <c r="M494" s="2"/>
      <c r="N494" s="2"/>
      <c r="O494" s="2"/>
      <c r="P494" s="2"/>
      <c r="Q494" s="2"/>
      <c r="R494" s="2"/>
      <c r="S494" s="2"/>
      <c r="T494" s="63"/>
      <c r="U494" s="94"/>
      <c r="V494" s="90"/>
      <c r="W494" s="91"/>
      <c r="X494" s="92"/>
    </row>
    <row r="495" spans="1:24">
      <c r="A495" s="261" t="s">
        <v>402</v>
      </c>
      <c r="B495" s="87">
        <v>1</v>
      </c>
      <c r="C495" s="262">
        <v>45840</v>
      </c>
      <c r="D495" s="357" t="s">
        <v>264</v>
      </c>
      <c r="E495" s="271" t="s">
        <v>239</v>
      </c>
      <c r="F495" s="265">
        <v>14281</v>
      </c>
      <c r="G495" s="265">
        <f>39.7+160+108.8+62+420.4+62+(105.44+126.14+97.98+162.34+19.98+19.98)+(143.13+220.83-23.66)+1000</f>
        <v>2725.06</v>
      </c>
      <c r="H495" s="265">
        <f>2403.48+240.35</f>
        <v>2643.83</v>
      </c>
      <c r="I495" s="272">
        <f>F495-G495-H495</f>
        <v>8912.11</v>
      </c>
      <c r="J495" s="267" t="s">
        <v>185</v>
      </c>
      <c r="K495" s="267">
        <v>1</v>
      </c>
      <c r="L495" s="267">
        <v>1</v>
      </c>
      <c r="M495" s="267">
        <v>1</v>
      </c>
      <c r="N495" s="267">
        <v>1</v>
      </c>
      <c r="O495" s="267">
        <v>1</v>
      </c>
      <c r="P495" s="267">
        <v>0</v>
      </c>
      <c r="Q495" s="267">
        <v>1</v>
      </c>
      <c r="R495" s="267">
        <v>1</v>
      </c>
      <c r="S495" s="269">
        <v>1</v>
      </c>
      <c r="T495" s="63"/>
      <c r="U495" s="94" t="s">
        <v>403</v>
      </c>
      <c r="V495" s="90"/>
      <c r="W495" s="136"/>
      <c r="X495" s="137">
        <f>11494.27</f>
        <v>11494.27</v>
      </c>
    </row>
    <row r="496" spans="1:24" s="381" customFormat="1">
      <c r="A496" s="448" t="s">
        <v>249</v>
      </c>
      <c r="B496" s="372">
        <f>B495+1</f>
        <v>2</v>
      </c>
      <c r="C496" s="373">
        <v>45789</v>
      </c>
      <c r="D496" s="357">
        <v>70067</v>
      </c>
      <c r="E496" s="391" t="s">
        <v>203</v>
      </c>
      <c r="F496" s="375">
        <v>481</v>
      </c>
      <c r="G496" s="375"/>
      <c r="H496" s="375"/>
      <c r="I496" s="376">
        <f>F496-G496-H496</f>
        <v>481</v>
      </c>
      <c r="J496" s="314"/>
      <c r="K496" s="314">
        <v>1</v>
      </c>
      <c r="L496" s="314"/>
      <c r="M496" s="314"/>
      <c r="N496" s="314">
        <v>1</v>
      </c>
      <c r="O496" s="314">
        <v>1</v>
      </c>
      <c r="P496" s="314">
        <v>0</v>
      </c>
      <c r="Q496" s="314"/>
      <c r="R496" s="314"/>
      <c r="S496" s="366"/>
      <c r="T496" s="325"/>
      <c r="U496" s="42"/>
      <c r="V496" s="377"/>
      <c r="W496" s="392"/>
      <c r="X496" s="379"/>
    </row>
    <row r="497" spans="1:24">
      <c r="A497" s="2"/>
      <c r="B497" s="11"/>
      <c r="C497" s="36"/>
      <c r="D497" s="10"/>
      <c r="E497" s="10"/>
      <c r="F497" s="97">
        <f>SUM(F495:F496)</f>
        <v>14762</v>
      </c>
      <c r="G497" s="97">
        <f>SUM(G495:G496)</f>
        <v>2725.06</v>
      </c>
      <c r="H497" s="97">
        <f>SUM(H495:H496)</f>
        <v>2643.83</v>
      </c>
      <c r="I497" s="98">
        <f>SUM(I495:I496)</f>
        <v>9393.11</v>
      </c>
      <c r="J497" s="63"/>
      <c r="K497" s="21"/>
      <c r="L497" s="21"/>
      <c r="M497" s="21"/>
      <c r="N497" s="21"/>
      <c r="O497" s="21"/>
      <c r="P497" s="21"/>
      <c r="Q497" s="21"/>
      <c r="R497" s="21"/>
      <c r="S497" s="21"/>
      <c r="T497" s="63"/>
      <c r="U497" s="94"/>
      <c r="V497" s="90"/>
      <c r="W497" s="91"/>
      <c r="X497" s="92"/>
    </row>
    <row r="498" spans="1:24">
      <c r="A498" s="2"/>
      <c r="B498" s="11"/>
      <c r="C498" s="36"/>
      <c r="D498" s="10"/>
      <c r="E498" s="10"/>
      <c r="F498" s="88"/>
      <c r="G498" s="88"/>
      <c r="H498" s="88"/>
      <c r="I498" s="99"/>
      <c r="J498" s="63"/>
      <c r="K498" s="21"/>
      <c r="L498" s="21"/>
      <c r="M498" s="21"/>
      <c r="N498" s="21"/>
      <c r="O498" s="21"/>
      <c r="P498" s="21"/>
      <c r="Q498" s="21"/>
      <c r="R498" s="21"/>
      <c r="S498" s="21"/>
      <c r="T498" s="63"/>
      <c r="U498" s="94"/>
      <c r="V498" s="90"/>
      <c r="W498" s="91"/>
      <c r="X498" s="92"/>
    </row>
    <row r="499" spans="1:24" s="342" customFormat="1">
      <c r="A499" s="128"/>
      <c r="B499" s="121" t="s">
        <v>70</v>
      </c>
      <c r="C499" s="122"/>
      <c r="D499" s="123"/>
      <c r="E499" s="128"/>
      <c r="F499" s="124"/>
      <c r="G499" s="124"/>
      <c r="H499" s="124"/>
      <c r="I499" s="126"/>
      <c r="J499" s="127"/>
      <c r="K499" s="64"/>
      <c r="L499" s="64"/>
      <c r="M499" s="64"/>
      <c r="N499" s="64"/>
      <c r="O499" s="64"/>
      <c r="P499" s="64"/>
      <c r="Q499" s="64"/>
      <c r="R499" s="64"/>
      <c r="S499" s="64"/>
      <c r="T499" s="127"/>
      <c r="U499" s="135"/>
      <c r="V499" s="129"/>
      <c r="W499" s="130"/>
      <c r="X499" s="131"/>
    </row>
    <row r="500" spans="1:24" s="342" customFormat="1">
      <c r="A500" s="457" t="s">
        <v>404</v>
      </c>
      <c r="B500" s="333">
        <v>1</v>
      </c>
      <c r="C500" s="350">
        <v>45867</v>
      </c>
      <c r="D500" s="358" t="s">
        <v>405</v>
      </c>
      <c r="E500" s="358" t="s">
        <v>395</v>
      </c>
      <c r="F500" s="352">
        <v>6133</v>
      </c>
      <c r="G500" s="352">
        <f>39.7+(1480.32+178.54+43.52)+250</f>
        <v>1992.08</v>
      </c>
      <c r="H500" s="352">
        <f>728.56+72.6</f>
        <v>801.16</v>
      </c>
      <c r="I500" s="353">
        <f>F500-G500-H500</f>
        <v>3339.76</v>
      </c>
      <c r="J500" s="354" t="s">
        <v>185</v>
      </c>
      <c r="K500" s="354">
        <v>1</v>
      </c>
      <c r="L500" s="354"/>
      <c r="M500" s="354">
        <v>1</v>
      </c>
      <c r="N500" s="354">
        <v>1</v>
      </c>
      <c r="O500" s="354">
        <v>1</v>
      </c>
      <c r="P500" s="354">
        <v>1</v>
      </c>
      <c r="Q500" s="354"/>
      <c r="R500" s="354"/>
      <c r="S500" s="355"/>
      <c r="T500" s="127"/>
      <c r="U500" s="123" t="s">
        <v>406</v>
      </c>
      <c r="V500" s="129">
        <v>675</v>
      </c>
      <c r="W500" s="340"/>
      <c r="X500" s="341">
        <v>5269.88</v>
      </c>
    </row>
    <row r="501" spans="1:24" s="342" customFormat="1">
      <c r="A501" s="128"/>
      <c r="B501" s="132"/>
      <c r="C501" s="122"/>
      <c r="D501" s="123"/>
      <c r="E501" s="123"/>
      <c r="F501" s="134">
        <f>SUM(F500:F500)</f>
        <v>6133</v>
      </c>
      <c r="G501" s="134">
        <f>SUM(G500:G500)</f>
        <v>1992.08</v>
      </c>
      <c r="H501" s="134">
        <f>SUM(H500:H500)</f>
        <v>801.16</v>
      </c>
      <c r="I501" s="134">
        <f>SUM(I500:I500)</f>
        <v>3339.76</v>
      </c>
      <c r="J501" s="127"/>
      <c r="K501" s="64"/>
      <c r="L501" s="64"/>
      <c r="M501" s="64"/>
      <c r="N501" s="64"/>
      <c r="O501" s="64"/>
      <c r="P501" s="64"/>
      <c r="Q501" s="64"/>
      <c r="R501" s="64"/>
      <c r="S501" s="64"/>
      <c r="T501" s="127"/>
      <c r="U501" s="135"/>
      <c r="V501" s="129"/>
      <c r="W501" s="130"/>
      <c r="X501" s="131"/>
    </row>
    <row r="502" spans="1:24">
      <c r="A502" s="2"/>
      <c r="B502" s="11"/>
      <c r="C502" s="36"/>
      <c r="D502" s="10"/>
      <c r="E502" s="10"/>
      <c r="F502" s="88"/>
      <c r="G502" s="88"/>
      <c r="H502" s="88"/>
      <c r="I502" s="99"/>
      <c r="J502" s="63"/>
      <c r="K502" s="21"/>
      <c r="L502" s="21"/>
      <c r="M502" s="21"/>
      <c r="N502" s="21"/>
      <c r="O502" s="21"/>
      <c r="P502" s="21"/>
      <c r="Q502" s="21"/>
      <c r="R502" s="21"/>
      <c r="S502" s="21"/>
      <c r="T502" s="63"/>
      <c r="U502" s="94"/>
      <c r="V502" s="90"/>
      <c r="W502" s="91"/>
      <c r="X502" s="92"/>
    </row>
    <row r="503" spans="1:24" s="260" customFormat="1">
      <c r="A503" s="181"/>
      <c r="B503" s="100" t="s">
        <v>152</v>
      </c>
      <c r="C503" s="36"/>
      <c r="D503" s="10"/>
      <c r="E503" s="10"/>
      <c r="F503" s="88"/>
      <c r="G503" s="62"/>
      <c r="H503" s="88"/>
      <c r="I503" s="99"/>
      <c r="J503" s="10"/>
      <c r="K503" s="181"/>
      <c r="L503" s="181"/>
      <c r="M503" s="181"/>
      <c r="N503" s="181"/>
      <c r="O503" s="181"/>
      <c r="P503" s="181"/>
      <c r="Q503" s="181"/>
      <c r="R503" s="181"/>
      <c r="S503" s="181"/>
      <c r="T503" s="63"/>
      <c r="U503" s="10"/>
      <c r="V503" s="90"/>
      <c r="W503" s="91"/>
      <c r="X503" s="92"/>
    </row>
    <row r="504" spans="1:24" s="260" customFormat="1">
      <c r="A504" s="312" t="s">
        <v>194</v>
      </c>
      <c r="B504" s="87">
        <v>1</v>
      </c>
      <c r="C504" s="262">
        <v>45805</v>
      </c>
      <c r="D504" s="357" t="s">
        <v>195</v>
      </c>
      <c r="E504" s="271" t="s">
        <v>196</v>
      </c>
      <c r="F504" s="265">
        <v>2999.1</v>
      </c>
      <c r="G504" s="265">
        <v>39.700000000000003</v>
      </c>
      <c r="H504" s="265">
        <f>F504*0.2</f>
        <v>599.82000000000005</v>
      </c>
      <c r="I504" s="272">
        <f t="shared" ref="I504:I509" si="110">F504-G504-H504</f>
        <v>2359.58</v>
      </c>
      <c r="J504" s="267" t="s">
        <v>197</v>
      </c>
      <c r="K504" s="267">
        <v>1</v>
      </c>
      <c r="L504" s="267">
        <v>1</v>
      </c>
      <c r="M504" s="267">
        <v>1</v>
      </c>
      <c r="N504" s="267">
        <v>1</v>
      </c>
      <c r="O504" s="267">
        <v>1</v>
      </c>
      <c r="P504" s="267">
        <v>0</v>
      </c>
      <c r="Q504" s="267">
        <v>0</v>
      </c>
      <c r="R504" s="267">
        <v>0</v>
      </c>
      <c r="S504" s="269">
        <v>0</v>
      </c>
      <c r="T504" s="63"/>
      <c r="U504" s="10" t="s">
        <v>198</v>
      </c>
      <c r="V504" s="90"/>
      <c r="W504" s="91"/>
      <c r="X504" s="92"/>
    </row>
    <row r="505" spans="1:24" s="260" customFormat="1">
      <c r="A505" s="312" t="s">
        <v>194</v>
      </c>
      <c r="B505" s="87">
        <f>B504+1</f>
        <v>2</v>
      </c>
      <c r="C505" s="262">
        <v>45805</v>
      </c>
      <c r="D505" s="357" t="s">
        <v>199</v>
      </c>
      <c r="E505" s="271" t="s">
        <v>196</v>
      </c>
      <c r="F505" s="265">
        <v>16214</v>
      </c>
      <c r="G505" s="265">
        <f>39.7+44+36.26+(33.82+55.44)+(102.43+254.2+84.43+10.82+125.93)+1500</f>
        <v>2287.0299999999997</v>
      </c>
      <c r="H505" s="265">
        <f>F505*0.2</f>
        <v>3242.8</v>
      </c>
      <c r="I505" s="272">
        <f t="shared" si="110"/>
        <v>10684.170000000002</v>
      </c>
      <c r="J505" s="267" t="s">
        <v>197</v>
      </c>
      <c r="K505" s="267">
        <v>1</v>
      </c>
      <c r="L505" s="267"/>
      <c r="M505" s="267">
        <v>1</v>
      </c>
      <c r="N505" s="267">
        <v>1</v>
      </c>
      <c r="O505" s="267">
        <v>1</v>
      </c>
      <c r="P505" s="267">
        <v>0</v>
      </c>
      <c r="Q505" s="267">
        <v>1</v>
      </c>
      <c r="R505" s="267">
        <v>1</v>
      </c>
      <c r="S505" s="269">
        <v>0</v>
      </c>
      <c r="T505" s="63"/>
      <c r="U505" s="10" t="s">
        <v>200</v>
      </c>
      <c r="V505" s="90"/>
      <c r="W505" s="136"/>
      <c r="X505" s="137"/>
    </row>
    <row r="506" spans="1:24" s="260" customFormat="1">
      <c r="A506" s="261">
        <v>0.05</v>
      </c>
      <c r="B506" s="87">
        <f>B505+1</f>
        <v>3</v>
      </c>
      <c r="C506" s="262">
        <v>45826</v>
      </c>
      <c r="D506" s="263">
        <v>70849</v>
      </c>
      <c r="E506" s="271" t="s">
        <v>189</v>
      </c>
      <c r="F506" s="265">
        <f>1261</f>
        <v>1261</v>
      </c>
      <c r="G506" s="265">
        <v>39.700000000000003</v>
      </c>
      <c r="H506" s="265"/>
      <c r="I506" s="272">
        <f t="shared" si="110"/>
        <v>1221.3</v>
      </c>
      <c r="J506" s="267" t="s">
        <v>156</v>
      </c>
      <c r="K506" s="267">
        <v>1</v>
      </c>
      <c r="L506" s="267"/>
      <c r="M506" s="267">
        <v>1</v>
      </c>
      <c r="N506" s="267">
        <v>1</v>
      </c>
      <c r="O506" s="267">
        <v>1</v>
      </c>
      <c r="P506" s="267">
        <v>1</v>
      </c>
      <c r="Q506" s="267"/>
      <c r="R506" s="267"/>
      <c r="S506" s="269"/>
      <c r="T506" s="63"/>
      <c r="U506" s="10" t="s">
        <v>201</v>
      </c>
      <c r="V506" s="90"/>
      <c r="W506" s="136"/>
      <c r="X506" s="137"/>
    </row>
    <row r="507" spans="1:24" s="260" customFormat="1">
      <c r="A507" s="261">
        <v>0.05</v>
      </c>
      <c r="B507" s="87">
        <f>B506+1</f>
        <v>4</v>
      </c>
      <c r="C507" s="262">
        <v>45834</v>
      </c>
      <c r="D507" s="357" t="s">
        <v>188</v>
      </c>
      <c r="E507" s="271" t="s">
        <v>189</v>
      </c>
      <c r="F507" s="265">
        <f>11553-160.9</f>
        <v>11392.1</v>
      </c>
      <c r="G507" s="265">
        <f>39.7+4500+300</f>
        <v>4839.7</v>
      </c>
      <c r="H507" s="265">
        <f>F507*0.2</f>
        <v>2278.42</v>
      </c>
      <c r="I507" s="272">
        <f t="shared" si="110"/>
        <v>4273.9800000000005</v>
      </c>
      <c r="J507" s="267" t="s">
        <v>185</v>
      </c>
      <c r="K507" s="267">
        <v>1</v>
      </c>
      <c r="L507" s="267">
        <v>1</v>
      </c>
      <c r="M507" s="267">
        <v>1</v>
      </c>
      <c r="N507" s="267">
        <v>1</v>
      </c>
      <c r="O507" s="267">
        <v>1</v>
      </c>
      <c r="P507" s="267">
        <v>0</v>
      </c>
      <c r="Q507" s="267">
        <v>0</v>
      </c>
      <c r="R507" s="267">
        <v>0</v>
      </c>
      <c r="S507" s="269">
        <v>0</v>
      </c>
      <c r="T507" s="63"/>
      <c r="U507" s="10" t="s">
        <v>266</v>
      </c>
      <c r="V507" s="90"/>
      <c r="W507" s="136"/>
      <c r="X507" s="137"/>
    </row>
    <row r="508" spans="1:24" s="342" customFormat="1">
      <c r="A508" s="31">
        <v>0.05</v>
      </c>
      <c r="B508" s="87">
        <f>B507+1</f>
        <v>5</v>
      </c>
      <c r="C508" s="262">
        <v>45838</v>
      </c>
      <c r="D508" s="357" t="s">
        <v>257</v>
      </c>
      <c r="E508" s="264" t="s">
        <v>227</v>
      </c>
      <c r="F508" s="265">
        <v>1261</v>
      </c>
      <c r="G508" s="265">
        <v>39.700000000000003</v>
      </c>
      <c r="H508" s="265"/>
      <c r="I508" s="272">
        <f t="shared" si="110"/>
        <v>1221.3</v>
      </c>
      <c r="J508" s="267" t="s">
        <v>156</v>
      </c>
      <c r="K508" s="267">
        <v>1</v>
      </c>
      <c r="L508" s="267">
        <v>1</v>
      </c>
      <c r="M508" s="267">
        <v>1</v>
      </c>
      <c r="N508" s="267">
        <v>1</v>
      </c>
      <c r="O508" s="267">
        <v>1</v>
      </c>
      <c r="P508" s="267">
        <v>0</v>
      </c>
      <c r="Q508" s="267">
        <v>1</v>
      </c>
      <c r="R508" s="267">
        <v>1</v>
      </c>
      <c r="S508" s="269">
        <v>0</v>
      </c>
      <c r="T508" s="63"/>
      <c r="U508" s="10" t="s">
        <v>258</v>
      </c>
      <c r="V508" s="90"/>
      <c r="W508" s="91"/>
      <c r="X508" s="92"/>
    </row>
    <row r="509" spans="1:24" s="260" customFormat="1">
      <c r="A509" s="261">
        <v>0.05</v>
      </c>
      <c r="B509" s="87">
        <f>B508+1</f>
        <v>6</v>
      </c>
      <c r="C509" s="262">
        <v>45835</v>
      </c>
      <c r="D509" s="357">
        <v>71077</v>
      </c>
      <c r="E509" s="271" t="s">
        <v>204</v>
      </c>
      <c r="F509" s="265">
        <v>5814</v>
      </c>
      <c r="G509" s="265">
        <f>39.7+(727.51)</f>
        <v>767.21</v>
      </c>
      <c r="H509" s="265"/>
      <c r="I509" s="272">
        <f t="shared" si="110"/>
        <v>5046.79</v>
      </c>
      <c r="J509" s="267" t="s">
        <v>236</v>
      </c>
      <c r="K509" s="267">
        <v>1</v>
      </c>
      <c r="L509" s="267">
        <v>1</v>
      </c>
      <c r="M509" s="267">
        <v>1</v>
      </c>
      <c r="N509" s="267">
        <v>1</v>
      </c>
      <c r="O509" s="267">
        <v>1</v>
      </c>
      <c r="P509" s="267">
        <v>0</v>
      </c>
      <c r="Q509" s="267">
        <v>0</v>
      </c>
      <c r="R509" s="267">
        <v>0</v>
      </c>
      <c r="S509" s="269">
        <v>0</v>
      </c>
      <c r="T509" s="63"/>
      <c r="U509" s="10" t="s">
        <v>267</v>
      </c>
      <c r="V509" s="90"/>
      <c r="W509" s="136"/>
      <c r="X509" s="137"/>
    </row>
    <row r="510" spans="1:24" s="260" customFormat="1">
      <c r="A510" s="181"/>
      <c r="B510" s="11"/>
      <c r="C510" s="36"/>
      <c r="D510" s="77"/>
      <c r="E510" s="10"/>
      <c r="F510" s="97">
        <f>SUM(F504:F509)</f>
        <v>38941.199999999997</v>
      </c>
      <c r="G510" s="97">
        <f>SUM(G504:G509)</f>
        <v>8013.0399999999991</v>
      </c>
      <c r="H510" s="97">
        <f>SUM(H504:H509)</f>
        <v>6121.0400000000009</v>
      </c>
      <c r="I510" s="97">
        <f>SUM(I504:I509)</f>
        <v>24807.120000000003</v>
      </c>
      <c r="K510" s="21"/>
      <c r="L510" s="21"/>
      <c r="M510" s="21"/>
      <c r="N510" s="21"/>
      <c r="O510" s="21"/>
      <c r="P510" s="21"/>
      <c r="Q510" s="21"/>
      <c r="R510" s="21"/>
      <c r="S510" s="21"/>
      <c r="T510" s="63"/>
      <c r="U510" s="10"/>
      <c r="V510" s="90"/>
      <c r="W510" s="91"/>
      <c r="X510" s="92"/>
    </row>
    <row r="511" spans="1:24" s="260" customFormat="1">
      <c r="A511" s="181"/>
      <c r="B511" s="11"/>
      <c r="C511" s="36"/>
      <c r="D511" s="77"/>
      <c r="E511" s="10"/>
      <c r="F511" s="88"/>
      <c r="G511" s="88"/>
      <c r="H511" s="88"/>
      <c r="I511" s="99"/>
      <c r="J511" s="63"/>
      <c r="K511" s="21"/>
      <c r="L511" s="21"/>
      <c r="M511" s="21"/>
      <c r="N511" s="21"/>
      <c r="O511" s="21"/>
      <c r="P511" s="21"/>
      <c r="Q511" s="21"/>
      <c r="R511" s="21"/>
      <c r="S511" s="21"/>
      <c r="T511" s="63"/>
      <c r="U511" s="10"/>
      <c r="V511" s="90"/>
      <c r="W511" s="91"/>
      <c r="X511" s="92"/>
    </row>
    <row r="512" spans="1:24" s="260" customFormat="1">
      <c r="A512" s="181"/>
      <c r="B512" s="100" t="s">
        <v>202</v>
      </c>
      <c r="C512" s="299"/>
      <c r="D512" s="77"/>
      <c r="E512" s="181"/>
      <c r="F512" s="88"/>
      <c r="G512" s="88"/>
      <c r="H512" s="88"/>
      <c r="I512" s="99"/>
      <c r="J512" s="63"/>
      <c r="K512" s="21"/>
      <c r="L512" s="21"/>
      <c r="M512" s="21"/>
      <c r="N512" s="21"/>
      <c r="O512" s="21"/>
      <c r="P512" s="21"/>
      <c r="Q512" s="21"/>
      <c r="R512" s="21"/>
      <c r="S512" s="21"/>
      <c r="T512" s="63"/>
      <c r="U512" s="10"/>
      <c r="V512" s="90"/>
      <c r="W512" s="91"/>
      <c r="X512" s="92"/>
    </row>
    <row r="513" spans="1:24" s="260" customFormat="1">
      <c r="A513" s="261">
        <v>0.05</v>
      </c>
      <c r="B513" s="87">
        <v>1</v>
      </c>
      <c r="C513" s="262">
        <v>45847</v>
      </c>
      <c r="D513" s="263">
        <v>71343</v>
      </c>
      <c r="E513" s="271" t="s">
        <v>184</v>
      </c>
      <c r="F513" s="265">
        <v>2814</v>
      </c>
      <c r="G513" s="265">
        <f>39.7+(36.22+222.93)</f>
        <v>298.84999999999997</v>
      </c>
      <c r="H513" s="265"/>
      <c r="I513" s="272">
        <f>F513-G513-H513</f>
        <v>2515.15</v>
      </c>
      <c r="J513" s="267" t="s">
        <v>156</v>
      </c>
      <c r="K513" s="267">
        <v>1</v>
      </c>
      <c r="L513" s="267"/>
      <c r="M513" s="267">
        <v>1</v>
      </c>
      <c r="N513" s="267">
        <v>1</v>
      </c>
      <c r="O513" s="267">
        <v>1</v>
      </c>
      <c r="P513" s="267">
        <v>0</v>
      </c>
      <c r="Q513" s="267"/>
      <c r="R513" s="267"/>
      <c r="S513" s="269"/>
      <c r="T513" s="63"/>
      <c r="U513" s="94" t="s">
        <v>359</v>
      </c>
      <c r="V513" s="90"/>
      <c r="W513" s="136"/>
      <c r="X513" s="137"/>
    </row>
    <row r="514" spans="1:24" s="260" customFormat="1">
      <c r="B514" s="11"/>
      <c r="C514" s="36"/>
      <c r="D514" s="10"/>
      <c r="E514" s="10"/>
      <c r="F514" s="97">
        <f>SUM(F513)</f>
        <v>2814</v>
      </c>
      <c r="G514" s="97">
        <f t="shared" ref="G514:I514" si="111">SUM(G513)</f>
        <v>298.84999999999997</v>
      </c>
      <c r="H514" s="97">
        <f t="shared" si="111"/>
        <v>0</v>
      </c>
      <c r="I514" s="97">
        <f t="shared" si="111"/>
        <v>2515.15</v>
      </c>
      <c r="J514" s="63"/>
      <c r="K514" s="21"/>
      <c r="L514" s="21"/>
      <c r="M514" s="21"/>
      <c r="N514" s="21"/>
      <c r="O514" s="21"/>
      <c r="P514" s="21"/>
      <c r="Q514" s="21"/>
      <c r="R514" s="21"/>
      <c r="S514" s="21"/>
      <c r="T514" s="63"/>
      <c r="U514" s="10"/>
      <c r="V514" s="90"/>
      <c r="W514" s="91"/>
      <c r="X514" s="92"/>
    </row>
    <row r="515" spans="1:24" s="260" customFormat="1">
      <c r="B515" s="11"/>
      <c r="C515" s="36"/>
      <c r="D515" s="10"/>
      <c r="E515" s="10"/>
      <c r="F515" s="88"/>
      <c r="G515" s="88"/>
      <c r="H515" s="88"/>
      <c r="I515" s="88"/>
      <c r="J515" s="63"/>
      <c r="K515" s="21"/>
      <c r="L515" s="21"/>
      <c r="M515" s="21"/>
      <c r="N515" s="21"/>
      <c r="O515" s="21"/>
      <c r="P515" s="21"/>
      <c r="Q515" s="21"/>
      <c r="R515" s="21"/>
      <c r="S515" s="21"/>
      <c r="T515" s="63"/>
      <c r="U515" s="10"/>
      <c r="V515" s="90"/>
      <c r="W515" s="91"/>
      <c r="X515" s="92"/>
    </row>
    <row r="516" spans="1:24">
      <c r="A516" s="2"/>
      <c r="B516" s="100" t="s">
        <v>72</v>
      </c>
      <c r="C516" s="36"/>
      <c r="D516" s="10"/>
      <c r="E516" s="10"/>
      <c r="F516" s="88"/>
      <c r="G516" s="88"/>
      <c r="H516" s="88"/>
      <c r="I516" s="99"/>
      <c r="J516" s="63"/>
      <c r="K516" s="63"/>
      <c r="L516" s="63"/>
      <c r="M516" s="63"/>
      <c r="N516" s="63"/>
      <c r="O516" s="63"/>
      <c r="P516" s="63"/>
      <c r="Q516" s="63"/>
      <c r="R516" s="63"/>
      <c r="S516" s="63"/>
      <c r="T516" s="63"/>
      <c r="U516" s="10"/>
      <c r="V516" s="90"/>
      <c r="W516" s="91"/>
      <c r="X516" s="92"/>
    </row>
    <row r="517" spans="1:24">
      <c r="A517" s="2"/>
      <c r="B517" s="87">
        <v>1</v>
      </c>
      <c r="C517" s="274">
        <v>45867</v>
      </c>
      <c r="D517" s="276">
        <v>71788</v>
      </c>
      <c r="E517" s="276" t="s">
        <v>407</v>
      </c>
      <c r="F517" s="277">
        <v>1419</v>
      </c>
      <c r="G517" s="277">
        <f>39.7</f>
        <v>39.700000000000003</v>
      </c>
      <c r="H517" s="277"/>
      <c r="I517" s="278">
        <f t="shared" ref="I517:I525" si="112">F517-G517-H517</f>
        <v>1379.3</v>
      </c>
      <c r="J517" s="279" t="s">
        <v>205</v>
      </c>
      <c r="K517" s="279">
        <v>1</v>
      </c>
      <c r="L517" s="279"/>
      <c r="M517" s="279"/>
      <c r="N517" s="279">
        <v>1</v>
      </c>
      <c r="O517" s="279"/>
      <c r="P517" s="279"/>
      <c r="Q517" s="279"/>
      <c r="R517" s="279"/>
      <c r="S517" s="280"/>
      <c r="T517" s="63"/>
      <c r="U517" s="3"/>
      <c r="V517" s="90"/>
      <c r="W517" s="91"/>
      <c r="X517" s="92"/>
    </row>
    <row r="518" spans="1:24">
      <c r="A518" s="2"/>
      <c r="B518" s="87">
        <f t="shared" ref="B518:B525" si="113">B517+1</f>
        <v>2</v>
      </c>
      <c r="C518" s="274">
        <v>45868</v>
      </c>
      <c r="D518" s="276">
        <v>71882</v>
      </c>
      <c r="E518" s="276" t="s">
        <v>327</v>
      </c>
      <c r="F518" s="277">
        <v>1138</v>
      </c>
      <c r="G518" s="277">
        <v>39.700000000000003</v>
      </c>
      <c r="H518" s="277"/>
      <c r="I518" s="278">
        <f t="shared" si="112"/>
        <v>1098.3</v>
      </c>
      <c r="J518" s="279" t="s">
        <v>205</v>
      </c>
      <c r="K518" s="279">
        <v>1</v>
      </c>
      <c r="L518" s="279"/>
      <c r="M518" s="279"/>
      <c r="N518" s="279">
        <v>1</v>
      </c>
      <c r="O518" s="279"/>
      <c r="P518" s="279"/>
      <c r="Q518" s="279"/>
      <c r="R518" s="279"/>
      <c r="S518" s="280"/>
      <c r="T518" s="63"/>
      <c r="U518" s="10"/>
      <c r="V518" s="90"/>
      <c r="W518" s="136"/>
      <c r="X518" s="137"/>
    </row>
    <row r="519" spans="1:24">
      <c r="A519" s="2"/>
      <c r="B519" s="87">
        <f t="shared" si="113"/>
        <v>3</v>
      </c>
      <c r="C519" s="295">
        <v>45868</v>
      </c>
      <c r="D519" s="77">
        <v>71872</v>
      </c>
      <c r="E519" s="10" t="s">
        <v>327</v>
      </c>
      <c r="F519" s="62">
        <v>616</v>
      </c>
      <c r="G519" s="62"/>
      <c r="H519" s="62"/>
      <c r="I519" s="89">
        <f t="shared" si="112"/>
        <v>616</v>
      </c>
      <c r="J519" s="63" t="s">
        <v>205</v>
      </c>
      <c r="K519" s="63">
        <v>1</v>
      </c>
      <c r="L519" s="63"/>
      <c r="M519" s="63"/>
      <c r="N519" s="63">
        <v>1</v>
      </c>
      <c r="O519" s="63"/>
      <c r="P519" s="63"/>
      <c r="Q519" s="63">
        <v>1</v>
      </c>
      <c r="R519" s="63">
        <v>1</v>
      </c>
      <c r="S519" s="296">
        <v>1</v>
      </c>
      <c r="T519" s="63"/>
      <c r="U519" s="10"/>
      <c r="V519" s="90"/>
      <c r="W519" s="136"/>
      <c r="X519" s="137"/>
    </row>
    <row r="520" spans="1:24">
      <c r="A520" s="2"/>
      <c r="B520" s="87">
        <f t="shared" si="113"/>
        <v>4</v>
      </c>
      <c r="C520" s="295">
        <v>45868</v>
      </c>
      <c r="D520" s="77" t="s">
        <v>408</v>
      </c>
      <c r="E520" s="10" t="s">
        <v>409</v>
      </c>
      <c r="F520" s="62">
        <v>3675</v>
      </c>
      <c r="G520" s="62">
        <v>39.700000000000003</v>
      </c>
      <c r="H520" s="62"/>
      <c r="I520" s="89">
        <f t="shared" si="112"/>
        <v>3635.3</v>
      </c>
      <c r="J520" s="63" t="s">
        <v>205</v>
      </c>
      <c r="K520" s="63">
        <v>1</v>
      </c>
      <c r="L520" s="63"/>
      <c r="M520" s="63"/>
      <c r="N520" s="63">
        <v>1</v>
      </c>
      <c r="O520" s="63"/>
      <c r="P520" s="63"/>
      <c r="Q520" s="63"/>
      <c r="R520" s="63"/>
      <c r="S520" s="296"/>
      <c r="T520" s="63"/>
      <c r="U520" s="10"/>
      <c r="V520" s="90"/>
      <c r="W520" s="136"/>
      <c r="X520" s="137"/>
    </row>
    <row r="521" spans="1:24">
      <c r="A521" s="2"/>
      <c r="B521" s="87">
        <f t="shared" si="113"/>
        <v>5</v>
      </c>
      <c r="C521" s="295">
        <v>45868</v>
      </c>
      <c r="D521" s="77" t="s">
        <v>410</v>
      </c>
      <c r="E521" s="10" t="s">
        <v>409</v>
      </c>
      <c r="F521" s="62">
        <v>5275</v>
      </c>
      <c r="G521" s="62">
        <v>39.700000000000003</v>
      </c>
      <c r="H521" s="62"/>
      <c r="I521" s="89">
        <f t="shared" si="112"/>
        <v>5235.3</v>
      </c>
      <c r="J521" s="63" t="s">
        <v>205</v>
      </c>
      <c r="K521" s="63">
        <v>1</v>
      </c>
      <c r="L521" s="63"/>
      <c r="M521" s="63"/>
      <c r="N521" s="63">
        <v>1</v>
      </c>
      <c r="O521" s="63"/>
      <c r="P521" s="63"/>
      <c r="Q521" s="63"/>
      <c r="R521" s="63"/>
      <c r="S521" s="296"/>
      <c r="T521" s="63"/>
      <c r="U521" s="10"/>
      <c r="V521" s="90"/>
      <c r="W521" s="136"/>
      <c r="X521" s="137"/>
    </row>
    <row r="522" spans="1:24">
      <c r="A522" s="2"/>
      <c r="B522" s="87">
        <f t="shared" si="113"/>
        <v>6</v>
      </c>
      <c r="C522" s="274">
        <v>45869</v>
      </c>
      <c r="D522" s="275" t="s">
        <v>411</v>
      </c>
      <c r="E522" s="276" t="s">
        <v>381</v>
      </c>
      <c r="F522" s="277">
        <v>12133</v>
      </c>
      <c r="G522" s="277">
        <v>39.700000000000003</v>
      </c>
      <c r="H522" s="277"/>
      <c r="I522" s="278">
        <f t="shared" si="112"/>
        <v>12093.3</v>
      </c>
      <c r="J522" s="279" t="s">
        <v>205</v>
      </c>
      <c r="K522" s="279">
        <v>1</v>
      </c>
      <c r="L522" s="279"/>
      <c r="M522" s="279"/>
      <c r="N522" s="279">
        <v>1</v>
      </c>
      <c r="O522" s="279"/>
      <c r="P522" s="279"/>
      <c r="Q522" s="279"/>
      <c r="R522" s="279"/>
      <c r="S522" s="280"/>
      <c r="T522" s="63"/>
      <c r="U522" s="10"/>
      <c r="V522" s="90"/>
      <c r="W522" s="136"/>
      <c r="X522" s="137"/>
    </row>
    <row r="523" spans="1:24">
      <c r="A523" s="2"/>
      <c r="B523" s="87">
        <f t="shared" si="113"/>
        <v>7</v>
      </c>
      <c r="C523" s="295">
        <v>45869</v>
      </c>
      <c r="D523" s="77" t="s">
        <v>412</v>
      </c>
      <c r="E523" s="101" t="s">
        <v>327</v>
      </c>
      <c r="F523" s="62">
        <v>681</v>
      </c>
      <c r="G523" s="62"/>
      <c r="H523" s="62"/>
      <c r="I523" s="89">
        <f t="shared" si="112"/>
        <v>681</v>
      </c>
      <c r="J523" s="63" t="s">
        <v>205</v>
      </c>
      <c r="K523" s="63">
        <v>1</v>
      </c>
      <c r="L523" s="63"/>
      <c r="M523" s="63"/>
      <c r="N523" s="63">
        <v>1</v>
      </c>
      <c r="O523" s="63"/>
      <c r="P523" s="63"/>
      <c r="Q523" s="63">
        <v>1</v>
      </c>
      <c r="R523" s="63">
        <v>1</v>
      </c>
      <c r="S523" s="296">
        <v>1</v>
      </c>
      <c r="T523" s="63"/>
      <c r="U523" s="10"/>
      <c r="V523" s="90"/>
      <c r="W523" s="136"/>
      <c r="X523" s="137"/>
    </row>
    <row r="524" spans="1:24">
      <c r="A524" s="2"/>
      <c r="B524" s="87">
        <f t="shared" si="113"/>
        <v>8</v>
      </c>
      <c r="C524" s="295">
        <v>45869</v>
      </c>
      <c r="D524" s="77" t="s">
        <v>413</v>
      </c>
      <c r="E524" s="101" t="s">
        <v>327</v>
      </c>
      <c r="F524" s="62">
        <v>8614</v>
      </c>
      <c r="G524" s="62">
        <v>39.700000000000003</v>
      </c>
      <c r="H524" s="62"/>
      <c r="I524" s="89">
        <f t="shared" si="112"/>
        <v>8574.2999999999993</v>
      </c>
      <c r="J524" s="63" t="s">
        <v>205</v>
      </c>
      <c r="K524" s="63">
        <v>1</v>
      </c>
      <c r="L524" s="63"/>
      <c r="M524" s="63"/>
      <c r="N524" s="63">
        <v>1</v>
      </c>
      <c r="O524" s="63"/>
      <c r="P524" s="63"/>
      <c r="Q524" s="63">
        <v>1</v>
      </c>
      <c r="R524" s="63">
        <v>1</v>
      </c>
      <c r="S524" s="296">
        <v>1</v>
      </c>
      <c r="T524" s="63"/>
      <c r="U524" s="10"/>
      <c r="V524" s="90"/>
      <c r="W524" s="136"/>
      <c r="X524" s="137"/>
    </row>
    <row r="525" spans="1:24">
      <c r="A525" s="2"/>
      <c r="B525" s="87">
        <f t="shared" si="113"/>
        <v>9</v>
      </c>
      <c r="C525" s="282">
        <v>45869</v>
      </c>
      <c r="D525" s="283">
        <v>71929</v>
      </c>
      <c r="E525" s="319" t="s">
        <v>354</v>
      </c>
      <c r="F525" s="284">
        <v>1073</v>
      </c>
      <c r="G525" s="284">
        <v>39.700000000000003</v>
      </c>
      <c r="H525" s="284"/>
      <c r="I525" s="285">
        <f t="shared" si="112"/>
        <v>1033.3</v>
      </c>
      <c r="J525" s="286" t="s">
        <v>205</v>
      </c>
      <c r="K525" s="286">
        <v>1</v>
      </c>
      <c r="L525" s="286"/>
      <c r="M525" s="286"/>
      <c r="N525" s="286">
        <v>1</v>
      </c>
      <c r="O525" s="286"/>
      <c r="P525" s="286"/>
      <c r="Q525" s="286">
        <v>1</v>
      </c>
      <c r="R525" s="286">
        <v>1</v>
      </c>
      <c r="S525" s="287">
        <v>1</v>
      </c>
      <c r="T525" s="63"/>
      <c r="U525" s="10"/>
      <c r="V525" s="90"/>
      <c r="W525" s="136"/>
      <c r="X525" s="137"/>
    </row>
    <row r="526" spans="1:24">
      <c r="A526" s="2"/>
      <c r="B526" s="11"/>
      <c r="C526" s="36"/>
      <c r="D526" s="10"/>
      <c r="E526" s="10"/>
      <c r="F526" s="97">
        <f>SUM(F517:F525)</f>
        <v>34624</v>
      </c>
      <c r="G526" s="97">
        <f>SUM(G517:G525)</f>
        <v>277.89999999999998</v>
      </c>
      <c r="H526" s="97">
        <f>SUM(H517:H525)</f>
        <v>0</v>
      </c>
      <c r="I526" s="98">
        <f>SUM(I517:I525)</f>
        <v>34346.100000000006</v>
      </c>
      <c r="J526" s="10"/>
      <c r="K526" s="10"/>
      <c r="L526" s="10"/>
      <c r="M526" s="10"/>
      <c r="N526" s="10"/>
      <c r="O526" s="10"/>
      <c r="P526" s="10"/>
      <c r="Q526" s="10"/>
      <c r="R526" s="10"/>
      <c r="S526" s="10"/>
      <c r="T526" s="63"/>
      <c r="U526" s="10"/>
      <c r="V526" s="138"/>
      <c r="W526" s="136"/>
      <c r="X526" s="137"/>
    </row>
    <row r="527" spans="1:24">
      <c r="A527" s="2"/>
      <c r="B527" s="26"/>
      <c r="C527" s="140"/>
      <c r="D527" s="141"/>
      <c r="E527" s="141"/>
      <c r="F527" s="141"/>
      <c r="G527" s="141"/>
      <c r="H527" s="141"/>
      <c r="I527" s="141"/>
      <c r="J527" s="141"/>
      <c r="K527" s="142"/>
      <c r="L527" s="142"/>
      <c r="M527" s="142"/>
      <c r="N527" s="142"/>
      <c r="O527" s="142"/>
      <c r="P527" s="142"/>
      <c r="Q527" s="142"/>
      <c r="R527" s="142"/>
      <c r="S527" s="142"/>
      <c r="T527" s="143">
        <f>SUM(T482:T526)</f>
        <v>1</v>
      </c>
      <c r="U527" s="141"/>
      <c r="V527" s="144">
        <f>SUM(V482:V526)</f>
        <v>16097.219999999998</v>
      </c>
      <c r="W527" s="145">
        <f>SUM(W482:W526)</f>
        <v>0</v>
      </c>
      <c r="X527" s="146">
        <f>SUM(X482:X526)</f>
        <v>16764.150000000001</v>
      </c>
    </row>
    <row r="530" spans="1:24">
      <c r="A530" s="3"/>
      <c r="B530" s="4" t="s">
        <v>1</v>
      </c>
      <c r="C530" s="5"/>
      <c r="D530" s="6"/>
      <c r="E530" s="6"/>
      <c r="F530" s="7" t="s">
        <v>2</v>
      </c>
      <c r="G530" s="8">
        <v>45879</v>
      </c>
      <c r="H530" s="7"/>
      <c r="I530" s="6"/>
      <c r="J530" s="6"/>
      <c r="K530" s="6"/>
      <c r="L530" s="6"/>
      <c r="M530" s="6"/>
      <c r="N530" s="6"/>
      <c r="O530" s="6"/>
      <c r="P530" s="6"/>
      <c r="Q530" s="6"/>
      <c r="R530" s="6"/>
      <c r="S530" s="6"/>
      <c r="T530" s="6"/>
      <c r="U530" s="9"/>
      <c r="V530" s="10"/>
      <c r="W530" s="10"/>
      <c r="X530" s="10"/>
    </row>
    <row r="531" spans="1:24">
      <c r="A531" s="2"/>
      <c r="B531" s="11"/>
      <c r="C531" s="10"/>
      <c r="D531" s="10"/>
      <c r="E531" s="10"/>
      <c r="F531" s="10"/>
      <c r="G531" s="7"/>
      <c r="H531" s="12"/>
      <c r="I531" s="10"/>
      <c r="J531" s="10"/>
      <c r="K531" s="13" t="s">
        <v>3</v>
      </c>
      <c r="L531" s="14"/>
      <c r="M531" s="15"/>
      <c r="N531" s="13" t="s">
        <v>4</v>
      </c>
      <c r="O531" s="14"/>
      <c r="P531" s="15"/>
      <c r="Q531" s="13" t="s">
        <v>5</v>
      </c>
      <c r="R531" s="14"/>
      <c r="S531" s="15"/>
      <c r="T531" s="16"/>
      <c r="U531" s="17"/>
      <c r="V531" s="10"/>
      <c r="W531" s="10"/>
      <c r="X531" s="10"/>
    </row>
    <row r="532" spans="1:24">
      <c r="A532" s="2"/>
      <c r="B532" s="18" t="s">
        <v>6</v>
      </c>
      <c r="C532" s="19">
        <f>C533+C534</f>
        <v>34</v>
      </c>
      <c r="D532" s="10"/>
      <c r="E532" s="18" t="s">
        <v>7</v>
      </c>
      <c r="F532" s="6"/>
      <c r="G532" s="9"/>
      <c r="H532" s="10"/>
      <c r="I532" s="10"/>
      <c r="J532" s="10"/>
      <c r="K532" s="20" t="s">
        <v>8</v>
      </c>
      <c r="L532" s="21" t="s">
        <v>9</v>
      </c>
      <c r="M532" s="21" t="s">
        <v>10</v>
      </c>
      <c r="N532" s="20" t="s">
        <v>11</v>
      </c>
      <c r="O532" s="21" t="s">
        <v>12</v>
      </c>
      <c r="P532" s="22" t="s">
        <v>13</v>
      </c>
      <c r="Q532" s="21" t="s">
        <v>11</v>
      </c>
      <c r="R532" s="21" t="s">
        <v>12</v>
      </c>
      <c r="S532" s="22" t="s">
        <v>13</v>
      </c>
      <c r="T532" s="23" t="s">
        <v>14</v>
      </c>
      <c r="U532" s="17"/>
      <c r="V532" s="10"/>
      <c r="W532" s="10"/>
      <c r="X532" s="10"/>
    </row>
    <row r="533" spans="1:24">
      <c r="A533" s="2"/>
      <c r="B533" s="24" t="s">
        <v>15</v>
      </c>
      <c r="C533" s="25">
        <f>P540</f>
        <v>18</v>
      </c>
      <c r="D533" s="10"/>
      <c r="E533" s="26" t="s">
        <v>16</v>
      </c>
      <c r="F533" s="27">
        <v>0.05</v>
      </c>
      <c r="G533" s="28"/>
      <c r="H533" s="10"/>
      <c r="I533" s="10"/>
      <c r="J533" s="18" t="s">
        <v>17</v>
      </c>
      <c r="K533" s="29">
        <f>K574</f>
        <v>16</v>
      </c>
      <c r="L533" s="29">
        <f t="shared" ref="L533:S533" si="114">L574</f>
        <v>14</v>
      </c>
      <c r="M533" s="29">
        <f t="shared" si="114"/>
        <v>15</v>
      </c>
      <c r="N533" s="29">
        <f t="shared" si="114"/>
        <v>16</v>
      </c>
      <c r="O533" s="29">
        <f t="shared" si="114"/>
        <v>16</v>
      </c>
      <c r="P533" s="29">
        <f t="shared" si="114"/>
        <v>13</v>
      </c>
      <c r="Q533" s="29">
        <f t="shared" si="114"/>
        <v>15</v>
      </c>
      <c r="R533" s="29">
        <f t="shared" si="114"/>
        <v>15</v>
      </c>
      <c r="S533" s="29">
        <f t="shared" si="114"/>
        <v>13</v>
      </c>
      <c r="T533" s="30">
        <f>T626</f>
        <v>2</v>
      </c>
      <c r="U533" s="17" t="s">
        <v>414</v>
      </c>
      <c r="V533" s="10"/>
      <c r="W533" s="10"/>
      <c r="X533" s="10"/>
    </row>
    <row r="534" spans="1:24">
      <c r="A534" s="2"/>
      <c r="B534" s="24" t="s">
        <v>18</v>
      </c>
      <c r="C534" s="25">
        <f>P541</f>
        <v>16</v>
      </c>
      <c r="D534" s="10"/>
      <c r="E534" s="10"/>
      <c r="F534" s="10"/>
      <c r="G534" s="31"/>
      <c r="H534" s="10"/>
      <c r="I534" s="10"/>
      <c r="J534" s="32" t="s">
        <v>19</v>
      </c>
      <c r="K534" s="33">
        <f>K574/K573</f>
        <v>1</v>
      </c>
      <c r="L534" s="33">
        <f t="shared" ref="L534:S534" si="115">L574/L573</f>
        <v>0.875</v>
      </c>
      <c r="M534" s="33">
        <f t="shared" si="115"/>
        <v>0.9375</v>
      </c>
      <c r="N534" s="33">
        <f t="shared" si="115"/>
        <v>1</v>
      </c>
      <c r="O534" s="33">
        <f t="shared" si="115"/>
        <v>1</v>
      </c>
      <c r="P534" s="33">
        <f t="shared" si="115"/>
        <v>0.8125</v>
      </c>
      <c r="Q534" s="33">
        <f t="shared" si="115"/>
        <v>0.9375</v>
      </c>
      <c r="R534" s="33">
        <f t="shared" si="115"/>
        <v>0.9375</v>
      </c>
      <c r="S534" s="33">
        <f t="shared" si="115"/>
        <v>0.8125</v>
      </c>
      <c r="T534" s="23">
        <v>2</v>
      </c>
      <c r="U534" s="17" t="s">
        <v>20</v>
      </c>
      <c r="V534" s="10"/>
      <c r="W534" s="10"/>
      <c r="X534" s="10"/>
    </row>
    <row r="535" spans="1:24">
      <c r="A535" s="2"/>
      <c r="B535" s="24" t="s">
        <v>21</v>
      </c>
      <c r="C535" s="34">
        <f>P542</f>
        <v>0.52941176470588236</v>
      </c>
      <c r="D535" s="10"/>
      <c r="E535" s="10"/>
      <c r="F535" s="10"/>
      <c r="G535" s="10"/>
      <c r="H535" s="10"/>
      <c r="I535" s="10"/>
      <c r="J535" s="10"/>
      <c r="K535" s="10"/>
      <c r="L535" s="10"/>
      <c r="M535" s="10"/>
      <c r="N535" s="10"/>
      <c r="O535" s="10"/>
      <c r="P535" s="10"/>
      <c r="Q535" s="10"/>
      <c r="R535" s="10"/>
      <c r="S535" s="10"/>
      <c r="T535" s="10"/>
      <c r="U535" s="17"/>
      <c r="V535" s="10"/>
      <c r="W535" s="10"/>
      <c r="X535" s="10"/>
    </row>
    <row r="536" spans="1:24">
      <c r="A536" s="2"/>
      <c r="B536" s="24"/>
      <c r="C536" s="25"/>
      <c r="D536" s="10"/>
      <c r="E536" s="10"/>
      <c r="F536" s="18" t="s">
        <v>22</v>
      </c>
      <c r="G536" s="19" t="s">
        <v>23</v>
      </c>
      <c r="H536" s="35" t="s">
        <v>24</v>
      </c>
      <c r="I536" s="10"/>
      <c r="J536" s="10"/>
      <c r="K536" s="36"/>
      <c r="L536" s="36"/>
      <c r="M536" s="36"/>
      <c r="N536" s="36"/>
      <c r="O536" s="36"/>
      <c r="P536" s="36"/>
      <c r="Q536" s="36"/>
      <c r="R536" s="10"/>
      <c r="S536" s="10"/>
      <c r="T536" s="10"/>
      <c r="U536" s="17"/>
      <c r="V536" s="10"/>
      <c r="W536" s="10"/>
      <c r="X536" s="10"/>
    </row>
    <row r="537" spans="1:24">
      <c r="A537" s="2"/>
      <c r="B537" s="32" t="s">
        <v>25</v>
      </c>
      <c r="C537" s="37">
        <f>P543</f>
        <v>2669.9983333333334</v>
      </c>
      <c r="D537" s="10"/>
      <c r="E537" s="18" t="s">
        <v>26</v>
      </c>
      <c r="F537" s="38">
        <f>P539</f>
        <v>48059.97</v>
      </c>
      <c r="G537" s="39">
        <f>I573+I589</f>
        <v>48059.969999999994</v>
      </c>
      <c r="H537" s="767" t="s">
        <v>415</v>
      </c>
      <c r="I537" s="767"/>
      <c r="J537" s="767"/>
      <c r="K537" s="43" t="s">
        <v>27</v>
      </c>
      <c r="L537" s="44"/>
      <c r="M537" s="44"/>
      <c r="N537" s="44"/>
      <c r="O537" s="44"/>
      <c r="P537" s="44"/>
      <c r="Q537" s="45"/>
      <c r="R537" s="46" t="s">
        <v>28</v>
      </c>
      <c r="S537" s="47" t="s">
        <v>29</v>
      </c>
      <c r="T537" s="10"/>
      <c r="U537" s="17"/>
      <c r="V537" s="10"/>
      <c r="W537" s="10"/>
      <c r="X537" s="10"/>
    </row>
    <row r="538" spans="1:24">
      <c r="A538" s="2"/>
      <c r="B538" s="11"/>
      <c r="C538" s="10"/>
      <c r="D538" s="10"/>
      <c r="E538" s="24" t="s">
        <v>30</v>
      </c>
      <c r="F538" s="48">
        <f>F533</f>
        <v>0.05</v>
      </c>
      <c r="G538" s="17"/>
      <c r="H538" s="767"/>
      <c r="I538" s="767"/>
      <c r="J538" s="767"/>
      <c r="K538" s="20" t="s">
        <v>31</v>
      </c>
      <c r="L538" s="21" t="s">
        <v>32</v>
      </c>
      <c r="M538" s="21" t="s">
        <v>33</v>
      </c>
      <c r="N538" s="21" t="s">
        <v>34</v>
      </c>
      <c r="O538" s="21" t="s">
        <v>35</v>
      </c>
      <c r="P538" s="21" t="s">
        <v>36</v>
      </c>
      <c r="Q538" s="49" t="s">
        <v>37</v>
      </c>
      <c r="R538" s="50" t="s">
        <v>38</v>
      </c>
      <c r="S538" s="50" t="s">
        <v>38</v>
      </c>
      <c r="T538" s="10"/>
      <c r="U538" s="17"/>
      <c r="V538" s="10"/>
      <c r="W538" s="10"/>
      <c r="X538" s="10"/>
    </row>
    <row r="539" spans="1:24">
      <c r="A539" s="2"/>
      <c r="B539" s="11"/>
      <c r="C539" s="10"/>
      <c r="D539" s="10"/>
      <c r="E539" s="51" t="s">
        <v>39</v>
      </c>
      <c r="F539" s="52">
        <f>(F537-I557-I564-I587-I588)*F538</f>
        <v>1042.92</v>
      </c>
      <c r="G539" s="53" t="s">
        <v>40</v>
      </c>
      <c r="H539" s="54">
        <f>F539/1.12</f>
        <v>931.17857142857144</v>
      </c>
      <c r="I539" s="570" t="s">
        <v>416</v>
      </c>
      <c r="J539" s="42"/>
      <c r="K539" s="56">
        <f>I557+I558+I559+I560+I587</f>
        <v>17939.79</v>
      </c>
      <c r="L539" s="57">
        <f>I561+I562</f>
        <v>2824.21</v>
      </c>
      <c r="M539" s="57">
        <f>I564+I565+I563+I566</f>
        <v>6435.9000000000005</v>
      </c>
      <c r="N539" s="57">
        <f>I567+I568+I569+I570</f>
        <v>4984.9000000000005</v>
      </c>
      <c r="O539" s="57">
        <f>I571+I572+I588</f>
        <v>15875.169999999998</v>
      </c>
      <c r="P539" s="57">
        <f>SUM(K539:O539)</f>
        <v>48059.97</v>
      </c>
      <c r="Q539" s="58">
        <f>+I577+I578+I579</f>
        <v>4266.8999999999996</v>
      </c>
      <c r="R539" s="59">
        <f>+I589</f>
        <v>24987.949999999997</v>
      </c>
      <c r="S539" s="59">
        <f>0</f>
        <v>0</v>
      </c>
      <c r="T539" s="10"/>
      <c r="U539" s="17"/>
      <c r="V539" s="10"/>
      <c r="W539" s="10"/>
      <c r="X539" s="10"/>
    </row>
    <row r="540" spans="1:24">
      <c r="A540" s="2"/>
      <c r="B540" s="11"/>
      <c r="C540" s="10"/>
      <c r="D540" s="10"/>
      <c r="E540" s="24" t="s">
        <v>41</v>
      </c>
      <c r="F540" s="60">
        <f>Q539</f>
        <v>4266.8999999999996</v>
      </c>
      <c r="G540" s="61" t="s">
        <v>40</v>
      </c>
      <c r="H540" s="62"/>
      <c r="I540" s="384" t="s">
        <v>417</v>
      </c>
      <c r="J540" s="10" t="s">
        <v>42</v>
      </c>
      <c r="K540" s="63">
        <v>5</v>
      </c>
      <c r="L540" s="63">
        <v>2</v>
      </c>
      <c r="M540" s="63">
        <v>4</v>
      </c>
      <c r="N540" s="63">
        <v>4</v>
      </c>
      <c r="O540" s="63">
        <v>3</v>
      </c>
      <c r="P540" s="21">
        <f>SUM(K540:O540)</f>
        <v>18</v>
      </c>
      <c r="Q540" s="64">
        <v>3</v>
      </c>
      <c r="R540" s="63"/>
      <c r="S540" s="10"/>
      <c r="T540" s="10"/>
      <c r="U540" s="17"/>
      <c r="V540" s="10"/>
      <c r="W540" s="10"/>
      <c r="X540" s="10"/>
    </row>
    <row r="541" spans="1:24">
      <c r="A541" s="2"/>
      <c r="B541" s="11"/>
      <c r="C541" s="10"/>
      <c r="D541" s="10"/>
      <c r="E541" s="51" t="s">
        <v>43</v>
      </c>
      <c r="F541" s="52">
        <f>F540*0.25</f>
        <v>1066.7249999999999</v>
      </c>
      <c r="G541" s="53" t="s">
        <v>40</v>
      </c>
      <c r="H541" s="54">
        <f>F541/1.12</f>
        <v>952.43303571428555</v>
      </c>
      <c r="I541" s="385">
        <f>7*67.5</f>
        <v>472.5</v>
      </c>
      <c r="J541" s="10" t="s">
        <v>44</v>
      </c>
      <c r="K541" s="63">
        <v>4</v>
      </c>
      <c r="L541" s="63">
        <v>0</v>
      </c>
      <c r="M541" s="63">
        <v>3</v>
      </c>
      <c r="N541" s="63">
        <v>4</v>
      </c>
      <c r="O541" s="63">
        <v>5</v>
      </c>
      <c r="P541" s="21">
        <f>SUM(K541:O541)</f>
        <v>16</v>
      </c>
      <c r="Q541" s="64">
        <v>1</v>
      </c>
      <c r="R541" s="63"/>
      <c r="S541" s="10"/>
      <c r="T541" s="10"/>
      <c r="U541" s="17"/>
      <c r="V541" s="10"/>
      <c r="W541" s="10"/>
      <c r="X541" s="10"/>
    </row>
    <row r="542" spans="1:24">
      <c r="A542" s="2"/>
      <c r="B542" s="11"/>
      <c r="C542" s="10"/>
      <c r="D542" s="10"/>
      <c r="E542" s="24" t="s">
        <v>45</v>
      </c>
      <c r="F542" s="60">
        <f>I584</f>
        <v>3339.76</v>
      </c>
      <c r="G542" s="61" t="s">
        <v>40</v>
      </c>
      <c r="H542" s="62"/>
      <c r="I542" s="10"/>
      <c r="J542" s="10" t="s">
        <v>46</v>
      </c>
      <c r="K542" s="31">
        <f t="shared" ref="K542:Q542" si="116">K540/(K540+K541)</f>
        <v>0.55555555555555558</v>
      </c>
      <c r="L542" s="31">
        <f t="shared" si="116"/>
        <v>1</v>
      </c>
      <c r="M542" s="31">
        <f t="shared" si="116"/>
        <v>0.5714285714285714</v>
      </c>
      <c r="N542" s="31">
        <f t="shared" si="116"/>
        <v>0.5</v>
      </c>
      <c r="O542" s="31">
        <f t="shared" si="116"/>
        <v>0.375</v>
      </c>
      <c r="P542" s="31">
        <f t="shared" si="116"/>
        <v>0.52941176470588236</v>
      </c>
      <c r="Q542" s="31">
        <f t="shared" si="116"/>
        <v>0.75</v>
      </c>
      <c r="R542" s="63"/>
      <c r="S542" s="10"/>
      <c r="T542" s="10"/>
      <c r="U542" s="17"/>
      <c r="V542" s="10"/>
      <c r="W542" s="10"/>
      <c r="X542" s="10"/>
    </row>
    <row r="543" spans="1:24">
      <c r="A543" s="2"/>
      <c r="B543" s="11"/>
      <c r="C543" s="10"/>
      <c r="D543" s="10"/>
      <c r="E543" s="51" t="s">
        <v>47</v>
      </c>
      <c r="F543" s="52">
        <f>(F542+F547+F548+F549+F550)*0.05</f>
        <v>129.91250000000002</v>
      </c>
      <c r="G543" s="65" t="s">
        <v>40</v>
      </c>
      <c r="H543" s="54">
        <f>F543/1.12</f>
        <v>115.99330357142858</v>
      </c>
      <c r="I543" s="42"/>
      <c r="J543" s="10" t="s">
        <v>48</v>
      </c>
      <c r="K543" s="66">
        <f>K539/K540</f>
        <v>3587.9580000000001</v>
      </c>
      <c r="L543" s="66">
        <f t="shared" ref="L543:Q543" si="117">L539/L540</f>
        <v>1412.105</v>
      </c>
      <c r="M543" s="66">
        <f t="shared" si="117"/>
        <v>1608.9750000000001</v>
      </c>
      <c r="N543" s="66">
        <f t="shared" si="117"/>
        <v>1246.2250000000001</v>
      </c>
      <c r="O543" s="66">
        <f t="shared" si="117"/>
        <v>5291.7233333333324</v>
      </c>
      <c r="P543" s="66">
        <f t="shared" si="117"/>
        <v>2669.9983333333334</v>
      </c>
      <c r="Q543" s="66">
        <f t="shared" si="117"/>
        <v>1422.3</v>
      </c>
      <c r="R543" s="63"/>
      <c r="S543" s="10"/>
      <c r="T543" s="10"/>
      <c r="U543" s="17"/>
      <c r="V543" s="10"/>
      <c r="W543" s="10"/>
      <c r="X543" s="10"/>
    </row>
    <row r="544" spans="1:24">
      <c r="A544" s="2"/>
      <c r="B544" s="11"/>
      <c r="C544" s="10"/>
      <c r="D544" s="10"/>
      <c r="E544" s="67" t="s">
        <v>14</v>
      </c>
      <c r="F544" s="68">
        <f>50*2/2</f>
        <v>50</v>
      </c>
      <c r="G544" s="10"/>
      <c r="H544" s="54">
        <f>F544/1.12</f>
        <v>44.642857142857139</v>
      </c>
      <c r="I544" s="10"/>
      <c r="J544" s="10"/>
      <c r="K544" s="10"/>
      <c r="L544" s="10"/>
      <c r="M544" s="10"/>
      <c r="N544" s="10"/>
      <c r="O544" s="10"/>
      <c r="P544" s="10"/>
      <c r="Q544" s="10"/>
      <c r="R544" s="10"/>
      <c r="S544" s="10"/>
      <c r="T544" s="10"/>
      <c r="U544" s="17"/>
      <c r="V544" s="10"/>
      <c r="W544" s="10"/>
      <c r="X544" s="10"/>
    </row>
    <row r="545" spans="1:24">
      <c r="A545" s="2"/>
      <c r="B545" s="11"/>
      <c r="C545" s="10"/>
      <c r="D545" s="10"/>
      <c r="E545" s="67" t="s">
        <v>49</v>
      </c>
      <c r="F545" s="69">
        <f>T534</f>
        <v>2</v>
      </c>
      <c r="G545" s="10"/>
      <c r="H545" s="54"/>
      <c r="I545" s="55"/>
      <c r="J545" s="42"/>
      <c r="K545" s="764" t="s">
        <v>50</v>
      </c>
      <c r="L545" s="765"/>
      <c r="M545" s="765"/>
      <c r="N545" s="765"/>
      <c r="O545" s="765"/>
      <c r="P545" s="765"/>
      <c r="Q545" s="766"/>
      <c r="R545" s="70" t="s">
        <v>28</v>
      </c>
      <c r="S545" s="71" t="s">
        <v>29</v>
      </c>
      <c r="T545" s="10"/>
      <c r="U545" s="17"/>
      <c r="V545" s="10"/>
      <c r="W545" s="10"/>
      <c r="X545" s="10"/>
    </row>
    <row r="546" spans="1:24">
      <c r="A546" s="2"/>
      <c r="B546" s="11"/>
      <c r="C546" s="10"/>
      <c r="D546" s="10"/>
      <c r="E546" s="67" t="s">
        <v>285</v>
      </c>
      <c r="F546" s="68">
        <f>180</f>
        <v>180</v>
      </c>
      <c r="G546" s="10"/>
      <c r="H546" s="10"/>
      <c r="I546" s="10"/>
      <c r="J546" s="42"/>
      <c r="K546" s="20" t="s">
        <v>31</v>
      </c>
      <c r="L546" s="21" t="s">
        <v>32</v>
      </c>
      <c r="M546" s="21" t="s">
        <v>33</v>
      </c>
      <c r="N546" s="21" t="s">
        <v>34</v>
      </c>
      <c r="O546" s="21" t="s">
        <v>35</v>
      </c>
      <c r="P546" s="21" t="s">
        <v>36</v>
      </c>
      <c r="Q546" s="49" t="s">
        <v>37</v>
      </c>
      <c r="R546" s="50" t="s">
        <v>38</v>
      </c>
      <c r="S546" s="50" t="s">
        <v>38</v>
      </c>
      <c r="T546" s="10"/>
      <c r="U546" s="17"/>
      <c r="V546" s="10"/>
      <c r="W546" s="10"/>
      <c r="X546" s="10"/>
    </row>
    <row r="547" spans="1:24">
      <c r="A547" s="2"/>
      <c r="B547" s="11"/>
      <c r="C547" s="10"/>
      <c r="D547" s="10"/>
      <c r="E547" s="72" t="s">
        <v>418</v>
      </c>
      <c r="F547" s="73">
        <f>-65</f>
        <v>-65</v>
      </c>
      <c r="G547" s="10"/>
      <c r="H547" s="10"/>
      <c r="I547" s="10"/>
      <c r="J547" s="42"/>
      <c r="K547" s="56">
        <f>F557+F558+F559+F560+F587</f>
        <v>21013.360000000001</v>
      </c>
      <c r="L547" s="57">
        <f>F561+F562</f>
        <v>2999</v>
      </c>
      <c r="M547" s="57">
        <f>F564+F565+F563+F566</f>
        <v>7098.05</v>
      </c>
      <c r="N547" s="57">
        <f>F567+F568+F569+F570</f>
        <v>5104</v>
      </c>
      <c r="O547" s="57">
        <f>F571+F572+F588</f>
        <v>17575.900000000001</v>
      </c>
      <c r="P547" s="57">
        <f>SUM(K547:O547)</f>
        <v>53790.310000000005</v>
      </c>
      <c r="Q547" s="58">
        <f>+F577+F578+F579</f>
        <v>4386</v>
      </c>
      <c r="R547" s="59">
        <f>+F589</f>
        <v>29028</v>
      </c>
      <c r="S547" s="59">
        <f>0</f>
        <v>0</v>
      </c>
      <c r="T547" s="10"/>
      <c r="U547" s="17"/>
      <c r="V547" s="10"/>
      <c r="W547" s="10"/>
      <c r="X547" s="10"/>
    </row>
    <row r="548" spans="1:24">
      <c r="A548" s="2"/>
      <c r="B548" s="11"/>
      <c r="C548" s="10"/>
      <c r="D548" s="10"/>
      <c r="E548" s="72" t="s">
        <v>419</v>
      </c>
      <c r="F548" s="73">
        <v>-407.77</v>
      </c>
      <c r="G548" s="10"/>
      <c r="H548" s="10"/>
      <c r="I548" s="10"/>
      <c r="J548" s="10" t="s">
        <v>42</v>
      </c>
      <c r="K548" s="63">
        <f>K540</f>
        <v>5</v>
      </c>
      <c r="L548" s="63">
        <f t="shared" ref="L548:Q549" si="118">L540</f>
        <v>2</v>
      </c>
      <c r="M548" s="63">
        <f t="shared" si="118"/>
        <v>4</v>
      </c>
      <c r="N548" s="63">
        <f t="shared" si="118"/>
        <v>4</v>
      </c>
      <c r="O548" s="63">
        <f t="shared" si="118"/>
        <v>3</v>
      </c>
      <c r="P548" s="63">
        <f t="shared" si="118"/>
        <v>18</v>
      </c>
      <c r="Q548" s="63">
        <f t="shared" si="118"/>
        <v>3</v>
      </c>
      <c r="R548" s="63"/>
      <c r="S548" s="10"/>
      <c r="T548" s="10"/>
      <c r="U548" s="17"/>
      <c r="V548" s="10"/>
      <c r="W548" s="10"/>
      <c r="X548" s="10"/>
    </row>
    <row r="549" spans="1:24">
      <c r="A549" s="2"/>
      <c r="B549" s="11"/>
      <c r="C549" s="10"/>
      <c r="D549" s="10"/>
      <c r="E549" s="72" t="s">
        <v>420</v>
      </c>
      <c r="F549" s="73">
        <v>-118.6</v>
      </c>
      <c r="G549" s="10"/>
      <c r="H549" s="10"/>
      <c r="I549" s="10"/>
      <c r="J549" s="10" t="s">
        <v>44</v>
      </c>
      <c r="K549" s="63">
        <f>K541</f>
        <v>4</v>
      </c>
      <c r="L549" s="63">
        <f t="shared" si="118"/>
        <v>0</v>
      </c>
      <c r="M549" s="63">
        <f t="shared" si="118"/>
        <v>3</v>
      </c>
      <c r="N549" s="63">
        <f t="shared" si="118"/>
        <v>4</v>
      </c>
      <c r="O549" s="63">
        <f t="shared" si="118"/>
        <v>5</v>
      </c>
      <c r="P549" s="63">
        <f t="shared" si="118"/>
        <v>16</v>
      </c>
      <c r="Q549" s="63">
        <f t="shared" si="118"/>
        <v>1</v>
      </c>
      <c r="R549" s="63"/>
      <c r="S549" s="10"/>
      <c r="T549" s="10"/>
      <c r="U549" s="17"/>
      <c r="V549" s="10"/>
      <c r="W549" s="10"/>
      <c r="X549" s="10"/>
    </row>
    <row r="550" spans="1:24">
      <c r="A550" s="2"/>
      <c r="B550" s="11"/>
      <c r="C550" s="10"/>
      <c r="D550" s="10"/>
      <c r="E550" s="74" t="s">
        <v>421</v>
      </c>
      <c r="F550" s="75">
        <v>-150.13999999999999</v>
      </c>
      <c r="G550" s="10"/>
      <c r="H550" s="10"/>
      <c r="I550" s="10"/>
      <c r="J550" s="10" t="s">
        <v>46</v>
      </c>
      <c r="K550" s="31">
        <f t="shared" ref="K550:Q550" si="119">K548/(K548+K549)</f>
        <v>0.55555555555555558</v>
      </c>
      <c r="L550" s="31">
        <f t="shared" si="119"/>
        <v>1</v>
      </c>
      <c r="M550" s="31">
        <f t="shared" si="119"/>
        <v>0.5714285714285714</v>
      </c>
      <c r="N550" s="31">
        <f t="shared" si="119"/>
        <v>0.5</v>
      </c>
      <c r="O550" s="31">
        <f t="shared" si="119"/>
        <v>0.375</v>
      </c>
      <c r="P550" s="31">
        <f t="shared" si="119"/>
        <v>0.52941176470588236</v>
      </c>
      <c r="Q550" s="31">
        <f t="shared" si="119"/>
        <v>0.75</v>
      </c>
      <c r="R550" s="63"/>
      <c r="S550" s="10"/>
      <c r="T550" s="10"/>
      <c r="U550" s="17"/>
      <c r="V550" s="10"/>
      <c r="W550" s="10"/>
      <c r="X550" s="10"/>
    </row>
    <row r="551" spans="1:24">
      <c r="A551" s="2"/>
      <c r="B551" s="11"/>
      <c r="C551" s="10"/>
      <c r="D551" s="10"/>
      <c r="E551" s="10"/>
      <c r="F551" s="10"/>
      <c r="G551" s="10"/>
      <c r="H551" s="10"/>
      <c r="I551" s="10"/>
      <c r="J551" s="10" t="s">
        <v>48</v>
      </c>
      <c r="K551" s="66">
        <f t="shared" ref="K551:Q551" si="120">K547/K548</f>
        <v>4202.6720000000005</v>
      </c>
      <c r="L551" s="66">
        <f t="shared" si="120"/>
        <v>1499.5</v>
      </c>
      <c r="M551" s="66">
        <f t="shared" si="120"/>
        <v>1774.5125</v>
      </c>
      <c r="N551" s="66">
        <f t="shared" si="120"/>
        <v>1276</v>
      </c>
      <c r="O551" s="66">
        <f t="shared" si="120"/>
        <v>5858.6333333333341</v>
      </c>
      <c r="P551" s="66">
        <f t="shared" si="120"/>
        <v>2988.3505555555557</v>
      </c>
      <c r="Q551" s="66">
        <f t="shared" si="120"/>
        <v>1462</v>
      </c>
      <c r="R551" s="63"/>
      <c r="S551" s="10"/>
      <c r="T551" s="10"/>
      <c r="U551" s="17"/>
      <c r="V551" s="10"/>
      <c r="W551" s="10"/>
      <c r="X551" s="10"/>
    </row>
    <row r="552" spans="1:24">
      <c r="A552" s="2"/>
      <c r="B552" s="11"/>
      <c r="C552" s="10"/>
      <c r="D552" s="10"/>
      <c r="E552" s="10"/>
      <c r="F552" s="10"/>
      <c r="G552" s="10"/>
      <c r="H552" s="10"/>
      <c r="I552" s="10"/>
      <c r="J552" s="10"/>
      <c r="K552" s="10"/>
      <c r="L552" s="10"/>
      <c r="M552" s="10"/>
      <c r="N552" s="10"/>
      <c r="O552" s="10"/>
      <c r="P552" s="10"/>
      <c r="Q552" s="10"/>
      <c r="R552" s="10"/>
      <c r="S552" s="10"/>
      <c r="T552" s="10"/>
      <c r="U552" s="17"/>
      <c r="V552" s="10"/>
      <c r="W552" s="10"/>
      <c r="X552" s="10"/>
    </row>
    <row r="553" spans="1:24">
      <c r="A553" s="2"/>
      <c r="B553" s="11"/>
      <c r="C553" s="10"/>
      <c r="D553" s="10"/>
      <c r="E553" s="10"/>
      <c r="F553" s="10"/>
      <c r="G553" s="10"/>
      <c r="H553" s="10"/>
      <c r="I553" s="10"/>
      <c r="J553" s="10"/>
      <c r="K553" s="10"/>
      <c r="L553" s="10"/>
      <c r="M553" s="10"/>
      <c r="N553" s="10"/>
      <c r="O553" s="10"/>
      <c r="P553" s="10"/>
      <c r="Q553" s="10"/>
      <c r="R553" s="10"/>
      <c r="S553" s="10"/>
      <c r="T553" s="10"/>
      <c r="U553" s="17"/>
      <c r="V553" s="10"/>
      <c r="W553" s="10"/>
      <c r="X553" s="10"/>
    </row>
    <row r="554" spans="1:24">
      <c r="A554" s="2"/>
      <c r="B554" s="18" t="s">
        <v>51</v>
      </c>
      <c r="C554" s="14"/>
      <c r="D554" s="14"/>
      <c r="E554" s="14"/>
      <c r="F554" s="13" t="s">
        <v>52</v>
      </c>
      <c r="G554" s="14"/>
      <c r="H554" s="14"/>
      <c r="I554" s="14"/>
      <c r="J554" s="14"/>
      <c r="K554" s="13" t="s">
        <v>3</v>
      </c>
      <c r="L554" s="14"/>
      <c r="M554" s="14"/>
      <c r="N554" s="13" t="s">
        <v>4</v>
      </c>
      <c r="O554" s="14"/>
      <c r="P554" s="14"/>
      <c r="Q554" s="13" t="s">
        <v>5</v>
      </c>
      <c r="R554" s="14"/>
      <c r="S554" s="14"/>
      <c r="T554" s="18"/>
      <c r="U554" s="16" t="s">
        <v>53</v>
      </c>
      <c r="V554" s="77"/>
      <c r="W554" s="77"/>
      <c r="X554" s="77"/>
    </row>
    <row r="555" spans="1:24">
      <c r="A555" s="2"/>
      <c r="B555" s="24" t="s">
        <v>54</v>
      </c>
      <c r="C555" s="21" t="s">
        <v>55</v>
      </c>
      <c r="D555" s="21" t="s">
        <v>56</v>
      </c>
      <c r="E555" s="21" t="s">
        <v>57</v>
      </c>
      <c r="F555" s="20" t="s">
        <v>58</v>
      </c>
      <c r="G555" s="21" t="s">
        <v>59</v>
      </c>
      <c r="H555" s="21" t="s">
        <v>60</v>
      </c>
      <c r="I555" s="21" t="s">
        <v>26</v>
      </c>
      <c r="J555" s="22" t="s">
        <v>61</v>
      </c>
      <c r="K555" s="21" t="s">
        <v>8</v>
      </c>
      <c r="L555" s="21" t="s">
        <v>9</v>
      </c>
      <c r="M555" s="21" t="s">
        <v>10</v>
      </c>
      <c r="N555" s="20" t="s">
        <v>11</v>
      </c>
      <c r="O555" s="21" t="s">
        <v>12</v>
      </c>
      <c r="P555" s="22" t="s">
        <v>13</v>
      </c>
      <c r="Q555" s="21" t="s">
        <v>11</v>
      </c>
      <c r="R555" s="21" t="s">
        <v>12</v>
      </c>
      <c r="S555" s="21" t="s">
        <v>13</v>
      </c>
      <c r="T555" s="78" t="s">
        <v>14</v>
      </c>
      <c r="U555" s="30"/>
      <c r="V555" s="79" t="s">
        <v>62</v>
      </c>
      <c r="W555" s="80" t="s">
        <v>63</v>
      </c>
      <c r="X555" s="81" t="s">
        <v>64</v>
      </c>
    </row>
    <row r="556" spans="1:24">
      <c r="A556" s="2"/>
      <c r="B556" s="4" t="s">
        <v>65</v>
      </c>
      <c r="C556" s="6"/>
      <c r="D556" s="6"/>
      <c r="E556" s="6"/>
      <c r="F556" s="6"/>
      <c r="G556" s="6"/>
      <c r="H556" s="6"/>
      <c r="I556" s="82"/>
      <c r="J556" s="6"/>
      <c r="K556" s="6"/>
      <c r="L556" s="6"/>
      <c r="M556" s="6"/>
      <c r="N556" s="6"/>
      <c r="O556" s="6"/>
      <c r="P556" s="6"/>
      <c r="Q556" s="6"/>
      <c r="R556" s="6"/>
      <c r="S556" s="6"/>
      <c r="T556" s="83"/>
      <c r="U556" s="6"/>
      <c r="V556" s="84"/>
      <c r="W556" s="85"/>
      <c r="X556" s="86"/>
    </row>
    <row r="557" spans="1:24">
      <c r="A557" s="2" t="s">
        <v>230</v>
      </c>
      <c r="B557" s="87">
        <v>1</v>
      </c>
      <c r="C557" s="274">
        <v>45873</v>
      </c>
      <c r="D557" s="320" t="s">
        <v>422</v>
      </c>
      <c r="E557" s="276" t="s">
        <v>327</v>
      </c>
      <c r="F557" s="277">
        <v>1261</v>
      </c>
      <c r="G557" s="277">
        <f>39.7</f>
        <v>39.700000000000003</v>
      </c>
      <c r="H557" s="297"/>
      <c r="I557" s="329">
        <f t="shared" ref="I557:I572" si="121">F557-G557-H557</f>
        <v>1221.3</v>
      </c>
      <c r="J557" s="279" t="s">
        <v>156</v>
      </c>
      <c r="K557" s="279">
        <v>1</v>
      </c>
      <c r="L557" s="322">
        <v>0</v>
      </c>
      <c r="M557" s="279">
        <v>1</v>
      </c>
      <c r="N557" s="279">
        <v>1</v>
      </c>
      <c r="O557" s="279">
        <v>1</v>
      </c>
      <c r="P557" s="279">
        <v>1</v>
      </c>
      <c r="Q557" s="279">
        <v>1</v>
      </c>
      <c r="R557" s="279">
        <v>1</v>
      </c>
      <c r="S557" s="280">
        <v>1</v>
      </c>
      <c r="T557" s="63"/>
      <c r="U557" s="10"/>
      <c r="V557" s="90">
        <f>139+1248.1</f>
        <v>1387.1</v>
      </c>
      <c r="W557" s="91"/>
      <c r="X557" s="92"/>
    </row>
    <row r="558" spans="1:24">
      <c r="A558" s="2"/>
      <c r="B558" s="87">
        <f t="shared" ref="B558:B570" si="122">B557+1</f>
        <v>2</v>
      </c>
      <c r="C558" s="295">
        <v>45873</v>
      </c>
      <c r="D558" s="346" t="s">
        <v>423</v>
      </c>
      <c r="E558" s="10" t="s">
        <v>245</v>
      </c>
      <c r="F558" s="62">
        <v>1138</v>
      </c>
      <c r="G558" s="62">
        <f>39.7</f>
        <v>39.700000000000003</v>
      </c>
      <c r="H558" s="62"/>
      <c r="I558" s="324">
        <f t="shared" si="121"/>
        <v>1098.3</v>
      </c>
      <c r="J558" s="63" t="s">
        <v>156</v>
      </c>
      <c r="K558" s="63">
        <v>1</v>
      </c>
      <c r="L558" s="63">
        <v>1</v>
      </c>
      <c r="M558" s="63">
        <v>1</v>
      </c>
      <c r="N558" s="63">
        <v>1</v>
      </c>
      <c r="O558" s="63">
        <v>1</v>
      </c>
      <c r="P558" s="325">
        <v>0</v>
      </c>
      <c r="Q558" s="325">
        <v>0</v>
      </c>
      <c r="R558" s="325">
        <v>0</v>
      </c>
      <c r="S558" s="326">
        <v>0</v>
      </c>
      <c r="T558" s="63"/>
      <c r="U558" s="10"/>
      <c r="V558" s="90">
        <f>125.2+1126.6</f>
        <v>1251.8</v>
      </c>
      <c r="W558" s="91"/>
      <c r="X558" s="92"/>
    </row>
    <row r="559" spans="1:24">
      <c r="A559" s="93"/>
      <c r="B559" s="87">
        <f t="shared" si="122"/>
        <v>3</v>
      </c>
      <c r="C559" s="295">
        <v>45873</v>
      </c>
      <c r="D559" s="323">
        <v>72017</v>
      </c>
      <c r="E559" s="10" t="s">
        <v>158</v>
      </c>
      <c r="F559" s="62">
        <v>1136.3599999999999</v>
      </c>
      <c r="G559" s="62">
        <f>39.7+(88.09)</f>
        <v>127.79</v>
      </c>
      <c r="H559" s="62"/>
      <c r="I559" s="89">
        <f t="shared" si="121"/>
        <v>1008.5699999999999</v>
      </c>
      <c r="J559" s="63" t="s">
        <v>150</v>
      </c>
      <c r="K559" s="63">
        <v>1</v>
      </c>
      <c r="L559" s="63">
        <v>1</v>
      </c>
      <c r="M559" s="63">
        <v>1</v>
      </c>
      <c r="N559" s="63">
        <v>1</v>
      </c>
      <c r="O559" s="63">
        <v>1</v>
      </c>
      <c r="P559" s="63">
        <v>1</v>
      </c>
      <c r="Q559" s="63">
        <v>1</v>
      </c>
      <c r="R559" s="63">
        <v>1</v>
      </c>
      <c r="S559" s="296">
        <v>1</v>
      </c>
      <c r="T559" s="63"/>
      <c r="U559" s="10" t="s">
        <v>424</v>
      </c>
      <c r="V559" s="90">
        <v>0</v>
      </c>
      <c r="W559" s="440">
        <f>150+1100</f>
        <v>1250</v>
      </c>
      <c r="X559" s="92"/>
    </row>
    <row r="560" spans="1:24">
      <c r="A560" s="2"/>
      <c r="B560" s="87">
        <f t="shared" si="122"/>
        <v>4</v>
      </c>
      <c r="C560" s="295">
        <v>45873</v>
      </c>
      <c r="D560" s="346" t="s">
        <v>425</v>
      </c>
      <c r="E560" s="94" t="s">
        <v>426</v>
      </c>
      <c r="F560" s="62">
        <v>1264</v>
      </c>
      <c r="G560" s="62">
        <f>39.7+200</f>
        <v>239.7</v>
      </c>
      <c r="H560" s="62"/>
      <c r="I560" s="89">
        <f t="shared" si="121"/>
        <v>1024.3</v>
      </c>
      <c r="J560" s="63" t="s">
        <v>150</v>
      </c>
      <c r="K560" s="63">
        <v>1</v>
      </c>
      <c r="L560" s="63">
        <v>1</v>
      </c>
      <c r="M560" s="63">
        <v>1</v>
      </c>
      <c r="N560" s="63">
        <v>1</v>
      </c>
      <c r="O560" s="63">
        <v>1</v>
      </c>
      <c r="P560" s="63">
        <v>1</v>
      </c>
      <c r="Q560" s="63">
        <v>1</v>
      </c>
      <c r="R560" s="63">
        <v>1</v>
      </c>
      <c r="S560" s="296">
        <v>1</v>
      </c>
      <c r="T560" s="63"/>
      <c r="U560" s="10" t="s">
        <v>427</v>
      </c>
      <c r="V560" s="90">
        <v>0</v>
      </c>
      <c r="W560" s="440">
        <f>150+1240.4</f>
        <v>1390.4</v>
      </c>
      <c r="X560" s="92"/>
    </row>
    <row r="561" spans="1:24">
      <c r="A561" s="2"/>
      <c r="B561" s="87">
        <f t="shared" si="122"/>
        <v>5</v>
      </c>
      <c r="C561" s="274">
        <v>45874</v>
      </c>
      <c r="D561" s="327">
        <v>72021</v>
      </c>
      <c r="E561" s="276" t="s">
        <v>428</v>
      </c>
      <c r="F561" s="277">
        <v>1861</v>
      </c>
      <c r="G561" s="277">
        <f>39.7+(95.39)</f>
        <v>135.09</v>
      </c>
      <c r="H561" s="277"/>
      <c r="I561" s="278">
        <f t="shared" si="121"/>
        <v>1725.91</v>
      </c>
      <c r="J561" s="279" t="s">
        <v>156</v>
      </c>
      <c r="K561" s="279">
        <v>1</v>
      </c>
      <c r="L561" s="279">
        <v>1</v>
      </c>
      <c r="M561" s="279">
        <v>1</v>
      </c>
      <c r="N561" s="279">
        <v>1</v>
      </c>
      <c r="O561" s="279">
        <v>1</v>
      </c>
      <c r="P561" s="279">
        <v>1</v>
      </c>
      <c r="Q561" s="279">
        <v>1</v>
      </c>
      <c r="R561" s="279">
        <v>1</v>
      </c>
      <c r="S561" s="280">
        <v>1</v>
      </c>
      <c r="T561" s="63"/>
      <c r="U561" s="10" t="s">
        <v>429</v>
      </c>
      <c r="V561" s="90">
        <v>2047.1</v>
      </c>
      <c r="W561" s="91"/>
      <c r="X561" s="92"/>
    </row>
    <row r="562" spans="1:24">
      <c r="A562" s="2"/>
      <c r="B562" s="87">
        <f t="shared" si="122"/>
        <v>6</v>
      </c>
      <c r="C562" s="295">
        <v>45874</v>
      </c>
      <c r="D562" s="323">
        <v>72030</v>
      </c>
      <c r="E562" s="10" t="s">
        <v>330</v>
      </c>
      <c r="F562" s="62">
        <f>1223-85</f>
        <v>1138</v>
      </c>
      <c r="G562" s="62">
        <f>39.7</f>
        <v>39.700000000000003</v>
      </c>
      <c r="H562" s="88"/>
      <c r="I562" s="89">
        <f t="shared" si="121"/>
        <v>1098.3</v>
      </c>
      <c r="J562" s="63" t="s">
        <v>156</v>
      </c>
      <c r="K562" s="63">
        <v>1</v>
      </c>
      <c r="L562" s="63">
        <v>1</v>
      </c>
      <c r="M562" s="63">
        <v>1</v>
      </c>
      <c r="N562" s="63">
        <v>1</v>
      </c>
      <c r="O562" s="63">
        <v>1</v>
      </c>
      <c r="P562" s="63">
        <v>1</v>
      </c>
      <c r="Q562" s="63">
        <v>1</v>
      </c>
      <c r="R562" s="63">
        <v>1</v>
      </c>
      <c r="S562" s="296">
        <v>1</v>
      </c>
      <c r="T562" s="63"/>
      <c r="U562" s="10"/>
      <c r="V562" s="90">
        <f>93.5+125.18+500+500+126.62</f>
        <v>1345.3000000000002</v>
      </c>
      <c r="W562" s="91"/>
      <c r="X562" s="92"/>
    </row>
    <row r="563" spans="1:24">
      <c r="A563" s="2"/>
      <c r="B563" s="87">
        <f>B562+1</f>
        <v>7</v>
      </c>
      <c r="C563" s="274">
        <v>45875</v>
      </c>
      <c r="D563" s="327">
        <v>72053</v>
      </c>
      <c r="E563" s="276" t="s">
        <v>430</v>
      </c>
      <c r="F563" s="277">
        <v>3603</v>
      </c>
      <c r="G563" s="277">
        <f>39.7+(42.18)</f>
        <v>81.88</v>
      </c>
      <c r="H563" s="297"/>
      <c r="I563" s="278">
        <f t="shared" ref="I563" si="123">F563-G563-H563</f>
        <v>3521.12</v>
      </c>
      <c r="J563" s="279" t="s">
        <v>228</v>
      </c>
      <c r="K563" s="279">
        <v>1</v>
      </c>
      <c r="L563" s="279">
        <v>1</v>
      </c>
      <c r="M563" s="279">
        <v>1</v>
      </c>
      <c r="N563" s="279">
        <v>1</v>
      </c>
      <c r="O563" s="279">
        <v>1</v>
      </c>
      <c r="P563" s="279">
        <v>1</v>
      </c>
      <c r="Q563" s="279">
        <v>1</v>
      </c>
      <c r="R563" s="279">
        <v>1</v>
      </c>
      <c r="S563" s="280">
        <v>1</v>
      </c>
      <c r="T563" s="21">
        <v>1</v>
      </c>
      <c r="U563" s="10"/>
      <c r="V563" s="90">
        <f>397+3566.3</f>
        <v>3963.3</v>
      </c>
      <c r="W563" s="91"/>
      <c r="X563" s="92"/>
    </row>
    <row r="564" spans="1:24">
      <c r="A564" s="2"/>
      <c r="B564" s="87">
        <f>B563+1</f>
        <v>8</v>
      </c>
      <c r="C564" s="295">
        <v>45875</v>
      </c>
      <c r="D564" s="323" t="s">
        <v>431</v>
      </c>
      <c r="E564" s="10" t="s">
        <v>401</v>
      </c>
      <c r="F564" s="62">
        <v>1138</v>
      </c>
      <c r="G564" s="62">
        <f>39.7+(105.98)</f>
        <v>145.68</v>
      </c>
      <c r="H564" s="88"/>
      <c r="I564" s="369">
        <f t="shared" si="121"/>
        <v>992.31999999999994</v>
      </c>
      <c r="J564" s="63" t="s">
        <v>236</v>
      </c>
      <c r="K564" s="63">
        <v>1</v>
      </c>
      <c r="L564" s="63">
        <v>1</v>
      </c>
      <c r="M564" s="63">
        <v>1</v>
      </c>
      <c r="N564" s="63">
        <v>1</v>
      </c>
      <c r="O564" s="63">
        <v>1</v>
      </c>
      <c r="P564" s="325">
        <v>0</v>
      </c>
      <c r="Q564" s="63">
        <v>1</v>
      </c>
      <c r="R564" s="63">
        <v>1</v>
      </c>
      <c r="S564" s="326">
        <v>0</v>
      </c>
      <c r="T564" s="21"/>
      <c r="U564" s="10"/>
      <c r="V564" s="90">
        <v>1126.8</v>
      </c>
      <c r="W564" s="440">
        <v>125</v>
      </c>
      <c r="X564" s="92"/>
    </row>
    <row r="565" spans="1:24">
      <c r="A565" s="2"/>
      <c r="B565" s="87">
        <f t="shared" si="122"/>
        <v>9</v>
      </c>
      <c r="C565" s="295">
        <v>45875</v>
      </c>
      <c r="D565" s="323" t="s">
        <v>432</v>
      </c>
      <c r="E565" s="10" t="s">
        <v>430</v>
      </c>
      <c r="F565" s="62">
        <v>1071.8499999999999</v>
      </c>
      <c r="G565" s="62">
        <f>39.7</f>
        <v>39.700000000000003</v>
      </c>
      <c r="H565" s="88"/>
      <c r="I565" s="324">
        <f t="shared" si="121"/>
        <v>1032.1499999999999</v>
      </c>
      <c r="J565" s="63" t="s">
        <v>156</v>
      </c>
      <c r="K565" s="63">
        <v>1</v>
      </c>
      <c r="L565" s="325">
        <v>0</v>
      </c>
      <c r="M565" s="63">
        <v>1</v>
      </c>
      <c r="N565" s="63">
        <v>1</v>
      </c>
      <c r="O565" s="63">
        <v>1</v>
      </c>
      <c r="P565" s="63">
        <v>1</v>
      </c>
      <c r="Q565" s="63">
        <v>1</v>
      </c>
      <c r="R565" s="63">
        <v>1</v>
      </c>
      <c r="S565" s="296">
        <v>1</v>
      </c>
      <c r="T565" s="63"/>
      <c r="U565" s="10" t="s">
        <v>433</v>
      </c>
      <c r="V565" s="90">
        <f>139+1040.04</f>
        <v>1179.04</v>
      </c>
      <c r="W565" s="91"/>
      <c r="X565" s="92"/>
    </row>
    <row r="566" spans="1:24">
      <c r="A566" s="2"/>
      <c r="B566" s="87">
        <f t="shared" si="122"/>
        <v>10</v>
      </c>
      <c r="C566" s="295">
        <v>45875</v>
      </c>
      <c r="D566" s="323">
        <v>72096</v>
      </c>
      <c r="E566" s="10" t="s">
        <v>329</v>
      </c>
      <c r="F566" s="62">
        <v>1285.2</v>
      </c>
      <c r="G566" s="62">
        <f>39.7+(155.19)+200</f>
        <v>394.89</v>
      </c>
      <c r="H566" s="62"/>
      <c r="I566" s="89">
        <f>F566-G566-H566</f>
        <v>890.31000000000006</v>
      </c>
      <c r="J566" s="63" t="s">
        <v>150</v>
      </c>
      <c r="K566" s="63">
        <v>1</v>
      </c>
      <c r="L566" s="63">
        <v>1</v>
      </c>
      <c r="M566" s="63">
        <v>1</v>
      </c>
      <c r="N566" s="63">
        <v>1</v>
      </c>
      <c r="O566" s="63">
        <v>1</v>
      </c>
      <c r="P566" s="63">
        <v>1</v>
      </c>
      <c r="Q566" s="63">
        <v>1</v>
      </c>
      <c r="R566" s="63">
        <v>1</v>
      </c>
      <c r="S566" s="296">
        <v>1</v>
      </c>
      <c r="T566" s="94" t="s">
        <v>434</v>
      </c>
      <c r="U566" s="94" t="s">
        <v>435</v>
      </c>
      <c r="V566" s="90">
        <v>0</v>
      </c>
      <c r="W566" s="456">
        <f>150+1263.72</f>
        <v>1413.72</v>
      </c>
      <c r="X566" s="92"/>
    </row>
    <row r="567" spans="1:24">
      <c r="A567" s="2" t="s">
        <v>436</v>
      </c>
      <c r="B567" s="87">
        <f t="shared" si="122"/>
        <v>11</v>
      </c>
      <c r="C567" s="274">
        <v>45876</v>
      </c>
      <c r="D567" s="320" t="s">
        <v>437</v>
      </c>
      <c r="E567" s="276" t="s">
        <v>349</v>
      </c>
      <c r="F567" s="277">
        <v>681</v>
      </c>
      <c r="G567" s="277"/>
      <c r="H567" s="297"/>
      <c r="I567" s="278">
        <f t="shared" si="121"/>
        <v>681</v>
      </c>
      <c r="J567" s="279" t="s">
        <v>156</v>
      </c>
      <c r="K567" s="279">
        <v>1</v>
      </c>
      <c r="L567" s="279">
        <v>1</v>
      </c>
      <c r="M567" s="279">
        <v>1</v>
      </c>
      <c r="N567" s="279">
        <v>1</v>
      </c>
      <c r="O567" s="279">
        <v>1</v>
      </c>
      <c r="P567" s="279">
        <v>1</v>
      </c>
      <c r="Q567" s="279">
        <v>1</v>
      </c>
      <c r="R567" s="279">
        <v>1</v>
      </c>
      <c r="S567" s="280">
        <v>1</v>
      </c>
      <c r="T567" s="94" t="s">
        <v>438</v>
      </c>
      <c r="U567" s="10" t="s">
        <v>439</v>
      </c>
      <c r="V567" s="90">
        <f>75+674.1</f>
        <v>749.1</v>
      </c>
      <c r="W567" s="91"/>
      <c r="X567" s="92"/>
    </row>
    <row r="568" spans="1:24">
      <c r="A568" s="2"/>
      <c r="B568" s="87">
        <f t="shared" si="122"/>
        <v>12</v>
      </c>
      <c r="C568" s="295">
        <v>45876</v>
      </c>
      <c r="D568" s="346" t="s">
        <v>440</v>
      </c>
      <c r="E568" s="10" t="s">
        <v>352</v>
      </c>
      <c r="F568" s="95">
        <v>1681</v>
      </c>
      <c r="G568" s="62">
        <f>39.7</f>
        <v>39.700000000000003</v>
      </c>
      <c r="H568" s="62"/>
      <c r="I568" s="324">
        <f t="shared" si="121"/>
        <v>1641.3</v>
      </c>
      <c r="J568" s="63" t="s">
        <v>156</v>
      </c>
      <c r="K568" s="63">
        <v>1</v>
      </c>
      <c r="L568" s="63">
        <v>1</v>
      </c>
      <c r="M568" s="325">
        <v>0</v>
      </c>
      <c r="N568" s="63">
        <v>1</v>
      </c>
      <c r="O568" s="63">
        <v>1</v>
      </c>
      <c r="P568" s="63">
        <v>1</v>
      </c>
      <c r="Q568" s="63">
        <v>1</v>
      </c>
      <c r="R568" s="63">
        <v>1</v>
      </c>
      <c r="S568" s="296">
        <v>1</v>
      </c>
      <c r="T568" s="63"/>
      <c r="U568" s="10"/>
      <c r="V568" s="90">
        <f>185+1664.1</f>
        <v>1849.1</v>
      </c>
      <c r="W568" s="91"/>
      <c r="X568" s="92"/>
    </row>
    <row r="569" spans="1:24">
      <c r="A569" s="2"/>
      <c r="B569" s="87">
        <f t="shared" si="122"/>
        <v>13</v>
      </c>
      <c r="C569" s="295">
        <v>45876</v>
      </c>
      <c r="D569" s="346" t="s">
        <v>441</v>
      </c>
      <c r="E569" s="10" t="s">
        <v>203</v>
      </c>
      <c r="F569" s="95">
        <v>1481</v>
      </c>
      <c r="G569" s="62">
        <f>39.7</f>
        <v>39.700000000000003</v>
      </c>
      <c r="H569" s="62"/>
      <c r="I569" s="89">
        <f t="shared" si="121"/>
        <v>1441.3</v>
      </c>
      <c r="J569" s="63" t="s">
        <v>156</v>
      </c>
      <c r="K569" s="63">
        <v>1</v>
      </c>
      <c r="L569" s="63">
        <v>1</v>
      </c>
      <c r="M569" s="63">
        <v>1</v>
      </c>
      <c r="N569" s="63">
        <v>1</v>
      </c>
      <c r="O569" s="63">
        <v>1</v>
      </c>
      <c r="P569" s="63">
        <v>1</v>
      </c>
      <c r="Q569" s="63">
        <v>1</v>
      </c>
      <c r="R569" s="63">
        <v>1</v>
      </c>
      <c r="S569" s="296">
        <v>1</v>
      </c>
      <c r="T569" s="63"/>
      <c r="U569" s="10" t="s">
        <v>442</v>
      </c>
      <c r="V569" s="90">
        <f>163+1466.1</f>
        <v>1629.1</v>
      </c>
      <c r="W569" s="91"/>
      <c r="X569" s="92"/>
    </row>
    <row r="570" spans="1:24">
      <c r="A570" s="2"/>
      <c r="B570" s="87">
        <f t="shared" si="122"/>
        <v>14</v>
      </c>
      <c r="C570" s="295">
        <v>45876</v>
      </c>
      <c r="D570" s="346" t="s">
        <v>443</v>
      </c>
      <c r="E570" s="10" t="s">
        <v>369</v>
      </c>
      <c r="F570" s="95">
        <v>1261</v>
      </c>
      <c r="G570" s="62">
        <f>39.7</f>
        <v>39.700000000000003</v>
      </c>
      <c r="H570" s="62"/>
      <c r="I570" s="324">
        <f t="shared" si="121"/>
        <v>1221.3</v>
      </c>
      <c r="J570" s="63" t="s">
        <v>156</v>
      </c>
      <c r="K570" s="63">
        <v>1</v>
      </c>
      <c r="L570" s="63">
        <v>1</v>
      </c>
      <c r="M570" s="63">
        <v>1</v>
      </c>
      <c r="N570" s="63">
        <v>1</v>
      </c>
      <c r="O570" s="63">
        <v>1</v>
      </c>
      <c r="P570" s="325">
        <v>0</v>
      </c>
      <c r="Q570" s="63">
        <v>1</v>
      </c>
      <c r="R570" s="63">
        <v>1</v>
      </c>
      <c r="S570" s="326">
        <v>0</v>
      </c>
      <c r="T570" s="63"/>
      <c r="U570" s="10"/>
      <c r="V570" s="90">
        <v>1387.1</v>
      </c>
      <c r="W570" s="91"/>
      <c r="X570" s="92"/>
    </row>
    <row r="571" spans="1:24">
      <c r="A571" s="2"/>
      <c r="B571" s="87">
        <f>B570+1</f>
        <v>15</v>
      </c>
      <c r="C571" s="274">
        <v>45877</v>
      </c>
      <c r="D571" s="320">
        <v>72163</v>
      </c>
      <c r="E571" s="276" t="s">
        <v>444</v>
      </c>
      <c r="F571" s="447">
        <v>3624.3</v>
      </c>
      <c r="G571" s="277">
        <f>39.7+(207.96)</f>
        <v>247.66000000000003</v>
      </c>
      <c r="H571" s="277"/>
      <c r="I571" s="278">
        <f t="shared" si="121"/>
        <v>3376.6400000000003</v>
      </c>
      <c r="J571" s="279" t="s">
        <v>156</v>
      </c>
      <c r="K571" s="279">
        <v>1</v>
      </c>
      <c r="L571" s="279">
        <v>1</v>
      </c>
      <c r="M571" s="279">
        <v>1</v>
      </c>
      <c r="N571" s="279">
        <v>1</v>
      </c>
      <c r="O571" s="279">
        <v>1</v>
      </c>
      <c r="P571" s="279">
        <v>1</v>
      </c>
      <c r="Q571" s="279">
        <v>1</v>
      </c>
      <c r="R571" s="279">
        <v>1</v>
      </c>
      <c r="S571" s="280">
        <v>1</v>
      </c>
      <c r="T571" s="21">
        <v>1</v>
      </c>
      <c r="U571" s="10"/>
      <c r="V571" s="90">
        <f>399+3587.73</f>
        <v>3986.73</v>
      </c>
      <c r="W571" s="91"/>
      <c r="X571" s="92"/>
    </row>
    <row r="572" spans="1:24">
      <c r="A572" s="2"/>
      <c r="B572" s="87">
        <f>B571+1</f>
        <v>16</v>
      </c>
      <c r="C572" s="282">
        <v>45877</v>
      </c>
      <c r="D572" s="330" t="s">
        <v>445</v>
      </c>
      <c r="E572" s="283" t="s">
        <v>203</v>
      </c>
      <c r="F572" s="423">
        <v>1137.5999999999999</v>
      </c>
      <c r="G572" s="284">
        <f>39.7</f>
        <v>39.700000000000003</v>
      </c>
      <c r="H572" s="284"/>
      <c r="I572" s="285">
        <f t="shared" si="121"/>
        <v>1097.8999999999999</v>
      </c>
      <c r="J572" s="286" t="s">
        <v>156</v>
      </c>
      <c r="K572" s="286">
        <v>1</v>
      </c>
      <c r="L572" s="286">
        <v>1</v>
      </c>
      <c r="M572" s="286">
        <v>1</v>
      </c>
      <c r="N572" s="286">
        <v>1</v>
      </c>
      <c r="O572" s="286">
        <v>1</v>
      </c>
      <c r="P572" s="286">
        <v>1</v>
      </c>
      <c r="Q572" s="286">
        <v>1</v>
      </c>
      <c r="R572" s="286">
        <v>1</v>
      </c>
      <c r="S572" s="287">
        <v>1</v>
      </c>
      <c r="T572" s="63"/>
      <c r="U572" s="10"/>
      <c r="V572" s="90">
        <f>125.2+1126.16</f>
        <v>1251.3600000000001</v>
      </c>
      <c r="W572" s="91"/>
      <c r="X572" s="92"/>
    </row>
    <row r="573" spans="1:24">
      <c r="A573" s="2"/>
      <c r="B573" s="87"/>
      <c r="C573" s="36"/>
      <c r="D573" s="10"/>
      <c r="E573" s="10"/>
      <c r="F573" s="97">
        <f>SUM(F557:F572)</f>
        <v>24762.31</v>
      </c>
      <c r="G573" s="97">
        <f>SUM(G557:G572)</f>
        <v>1690.2900000000002</v>
      </c>
      <c r="H573" s="97">
        <f>SUM(H557:H572)</f>
        <v>0</v>
      </c>
      <c r="I573" s="98">
        <f>SUM(I557:I572)</f>
        <v>23072.019999999997</v>
      </c>
      <c r="J573" s="63"/>
      <c r="K573" s="63">
        <f>COUNT(K557:K572)</f>
        <v>16</v>
      </c>
      <c r="L573" s="63">
        <f>COUNT(L557:L572)</f>
        <v>16</v>
      </c>
      <c r="M573" s="63">
        <f>COUNT(M557:M572)</f>
        <v>16</v>
      </c>
      <c r="N573" s="63">
        <f>COUNT(N557:N572)</f>
        <v>16</v>
      </c>
      <c r="O573" s="63">
        <f>COUNT(O557:O572)</f>
        <v>16</v>
      </c>
      <c r="P573" s="63">
        <f>COUNT(P557:P572)</f>
        <v>16</v>
      </c>
      <c r="Q573" s="63">
        <f>COUNT(Q557:Q572)</f>
        <v>16</v>
      </c>
      <c r="R573" s="63">
        <f>COUNT(R557:R572)</f>
        <v>16</v>
      </c>
      <c r="S573" s="63">
        <f>COUNT(S557:S572)</f>
        <v>16</v>
      </c>
      <c r="T573" s="63"/>
      <c r="U573" s="10"/>
      <c r="V573" s="90"/>
      <c r="W573" s="91"/>
      <c r="X573" s="92"/>
    </row>
    <row r="574" spans="1:24">
      <c r="A574" s="2"/>
      <c r="B574" s="87"/>
      <c r="C574" s="36"/>
      <c r="D574" s="10"/>
      <c r="E574" s="10"/>
      <c r="F574" s="88"/>
      <c r="G574" s="88"/>
      <c r="H574" s="88"/>
      <c r="I574" s="99"/>
      <c r="J574" s="63"/>
      <c r="K574" s="21">
        <f>SUM(K557:K572)</f>
        <v>16</v>
      </c>
      <c r="L574" s="21">
        <f>SUM(L557:L572)</f>
        <v>14</v>
      </c>
      <c r="M574" s="21">
        <f>SUM(M557:M572)</f>
        <v>15</v>
      </c>
      <c r="N574" s="21">
        <f>SUM(N557:N572)</f>
        <v>16</v>
      </c>
      <c r="O574" s="21">
        <f>SUM(O557:O572)</f>
        <v>16</v>
      </c>
      <c r="P574" s="21">
        <f>SUM(P557:P572)</f>
        <v>13</v>
      </c>
      <c r="Q574" s="21">
        <f>SUM(Q557:Q572)</f>
        <v>15</v>
      </c>
      <c r="R574" s="21">
        <f>SUM(R557:R572)</f>
        <v>15</v>
      </c>
      <c r="S574" s="21">
        <f>SUM(S557:S572)</f>
        <v>13</v>
      </c>
      <c r="T574" s="63"/>
      <c r="U574" s="10"/>
      <c r="V574" s="90"/>
      <c r="W574" s="91"/>
      <c r="X574" s="92"/>
    </row>
    <row r="575" spans="1:24">
      <c r="A575" s="2"/>
      <c r="B575" s="11"/>
      <c r="C575" s="36"/>
      <c r="D575" s="10"/>
      <c r="E575" s="10"/>
      <c r="F575" s="88"/>
      <c r="G575" s="88"/>
      <c r="H575" s="88"/>
      <c r="I575" s="99"/>
      <c r="J575" s="63"/>
      <c r="K575" s="21"/>
      <c r="L575" s="21"/>
      <c r="M575" s="21"/>
      <c r="N575" s="21"/>
      <c r="O575" s="21"/>
      <c r="P575" s="21"/>
      <c r="Q575" s="21"/>
      <c r="R575" s="21"/>
      <c r="S575" s="21"/>
      <c r="T575" s="63"/>
      <c r="U575" s="10"/>
      <c r="V575" s="90"/>
      <c r="W575" s="91"/>
      <c r="X575" s="92"/>
    </row>
    <row r="576" spans="1:24">
      <c r="A576" s="2"/>
      <c r="B576" s="100" t="s">
        <v>66</v>
      </c>
      <c r="C576" s="36"/>
      <c r="D576" s="10"/>
      <c r="E576" s="10"/>
      <c r="F576" s="88"/>
      <c r="G576" s="62"/>
      <c r="H576" s="88"/>
      <c r="I576" s="99"/>
      <c r="J576" s="63"/>
      <c r="K576" s="2"/>
      <c r="L576" s="2"/>
      <c r="M576" s="2"/>
      <c r="N576" s="2"/>
      <c r="O576" s="2"/>
      <c r="P576" s="2"/>
      <c r="Q576" s="2"/>
      <c r="R576" s="2"/>
      <c r="S576" s="2"/>
      <c r="T576" s="63"/>
      <c r="U576" s="94"/>
      <c r="V576" s="90"/>
      <c r="W576" s="91"/>
      <c r="X576" s="92"/>
    </row>
    <row r="577" spans="1:24">
      <c r="A577" s="2"/>
      <c r="B577" s="87">
        <v>1</v>
      </c>
      <c r="C577" s="274">
        <v>45878</v>
      </c>
      <c r="D577" s="327">
        <v>72173</v>
      </c>
      <c r="E577" s="281" t="s">
        <v>446</v>
      </c>
      <c r="F577" s="277">
        <v>1261</v>
      </c>
      <c r="G577" s="277">
        <f>39.7</f>
        <v>39.700000000000003</v>
      </c>
      <c r="H577" s="277"/>
      <c r="I577" s="278">
        <f t="shared" ref="I577:I579" si="124">F577-G577-H577</f>
        <v>1221.3</v>
      </c>
      <c r="J577" s="279" t="s">
        <v>156</v>
      </c>
      <c r="K577" s="279">
        <v>1</v>
      </c>
      <c r="L577" s="279">
        <v>1</v>
      </c>
      <c r="M577" s="279">
        <v>1</v>
      </c>
      <c r="N577" s="279">
        <v>1</v>
      </c>
      <c r="O577" s="279">
        <v>1</v>
      </c>
      <c r="P577" s="279">
        <v>1</v>
      </c>
      <c r="Q577" s="279">
        <v>1</v>
      </c>
      <c r="R577" s="279">
        <v>1</v>
      </c>
      <c r="S577" s="280">
        <v>1</v>
      </c>
      <c r="T577" s="63"/>
      <c r="U577" s="94"/>
      <c r="V577" s="90">
        <f>139+1248.1</f>
        <v>1387.1</v>
      </c>
      <c r="W577" s="91"/>
      <c r="X577" s="92"/>
    </row>
    <row r="578" spans="1:24">
      <c r="A578" s="2"/>
      <c r="B578" s="87">
        <f t="shared" ref="B578:B579" si="125">B577+1</f>
        <v>2</v>
      </c>
      <c r="C578" s="295">
        <v>45878</v>
      </c>
      <c r="D578" s="323">
        <v>72201</v>
      </c>
      <c r="E578" s="101" t="s">
        <v>447</v>
      </c>
      <c r="F578" s="62">
        <v>1861</v>
      </c>
      <c r="G578" s="62">
        <f>39.7</f>
        <v>39.700000000000003</v>
      </c>
      <c r="H578" s="62"/>
      <c r="I578" s="89">
        <f t="shared" si="124"/>
        <v>1821.3</v>
      </c>
      <c r="J578" s="63" t="s">
        <v>156</v>
      </c>
      <c r="K578" s="63">
        <v>1</v>
      </c>
      <c r="L578" s="63">
        <v>1</v>
      </c>
      <c r="M578" s="63">
        <v>1</v>
      </c>
      <c r="N578" s="63">
        <v>1</v>
      </c>
      <c r="O578" s="63">
        <v>1</v>
      </c>
      <c r="P578" s="63">
        <v>1</v>
      </c>
      <c r="Q578" s="63">
        <v>1</v>
      </c>
      <c r="R578" s="63">
        <v>1</v>
      </c>
      <c r="S578" s="296">
        <v>1</v>
      </c>
      <c r="T578" s="63"/>
      <c r="U578" s="94"/>
      <c r="V578" s="90">
        <f>93.5+1842.1+205</f>
        <v>2140.6</v>
      </c>
      <c r="W578" s="91"/>
      <c r="X578" s="92"/>
    </row>
    <row r="579" spans="1:24">
      <c r="A579" s="2"/>
      <c r="B579" s="87">
        <f t="shared" si="125"/>
        <v>3</v>
      </c>
      <c r="C579" s="282">
        <v>45878</v>
      </c>
      <c r="D579" s="368">
        <v>72134</v>
      </c>
      <c r="E579" s="319" t="s">
        <v>169</v>
      </c>
      <c r="F579" s="284">
        <v>1264</v>
      </c>
      <c r="G579" s="284">
        <f>39.7</f>
        <v>39.700000000000003</v>
      </c>
      <c r="H579" s="284"/>
      <c r="I579" s="285">
        <f t="shared" si="124"/>
        <v>1224.3</v>
      </c>
      <c r="J579" s="286" t="s">
        <v>156</v>
      </c>
      <c r="K579" s="286">
        <v>1</v>
      </c>
      <c r="L579" s="286">
        <v>1</v>
      </c>
      <c r="M579" s="286">
        <v>1</v>
      </c>
      <c r="N579" s="286">
        <v>1</v>
      </c>
      <c r="O579" s="286">
        <v>1</v>
      </c>
      <c r="P579" s="286">
        <v>1</v>
      </c>
      <c r="Q579" s="286">
        <v>1</v>
      </c>
      <c r="R579" s="286">
        <v>1</v>
      </c>
      <c r="S579" s="287">
        <v>1</v>
      </c>
      <c r="T579" s="63"/>
      <c r="U579" s="94"/>
      <c r="V579" s="90">
        <f>139.4+1251</f>
        <v>1390.4</v>
      </c>
      <c r="W579" s="91"/>
      <c r="X579" s="92"/>
    </row>
    <row r="580" spans="1:24">
      <c r="A580" s="2"/>
      <c r="B580" s="11"/>
      <c r="C580" s="36"/>
      <c r="D580" s="10"/>
      <c r="E580" s="10"/>
      <c r="F580" s="97">
        <f>SUM(F577:F579)</f>
        <v>4386</v>
      </c>
      <c r="G580" s="97">
        <f>SUM(G577:G579)</f>
        <v>119.10000000000001</v>
      </c>
      <c r="H580" s="97">
        <f>SUM(H577:H579)</f>
        <v>0</v>
      </c>
      <c r="I580" s="98">
        <f>SUM(I577:I579)</f>
        <v>4266.8999999999996</v>
      </c>
      <c r="J580" s="63"/>
      <c r="K580" s="21"/>
      <c r="L580" s="21"/>
      <c r="M580" s="21"/>
      <c r="N580" s="21"/>
      <c r="O580" s="21"/>
      <c r="P580" s="21"/>
      <c r="Q580" s="21"/>
      <c r="R580" s="21"/>
      <c r="S580" s="21"/>
      <c r="T580" s="63"/>
      <c r="U580" s="94"/>
      <c r="V580" s="90"/>
      <c r="W580" s="91"/>
      <c r="X580" s="92"/>
    </row>
    <row r="581" spans="1:24">
      <c r="A581" s="2"/>
      <c r="B581" s="11"/>
      <c r="C581" s="36"/>
      <c r="D581" s="10"/>
      <c r="E581" s="10"/>
      <c r="F581" s="88"/>
      <c r="G581" s="88"/>
      <c r="H581" s="88"/>
      <c r="I581" s="99"/>
      <c r="J581" s="63"/>
      <c r="K581" s="21"/>
      <c r="L581" s="21"/>
      <c r="M581" s="21"/>
      <c r="N581" s="21"/>
      <c r="O581" s="21"/>
      <c r="P581" s="21"/>
      <c r="Q581" s="21"/>
      <c r="R581" s="21"/>
      <c r="S581" s="21"/>
      <c r="T581" s="63"/>
      <c r="U581" s="94"/>
      <c r="V581" s="90"/>
      <c r="W581" s="91"/>
      <c r="X581" s="92"/>
    </row>
    <row r="582" spans="1:24">
      <c r="A582" s="2"/>
      <c r="B582" s="100" t="s">
        <v>67</v>
      </c>
      <c r="C582" s="36"/>
      <c r="D582" s="10"/>
      <c r="E582" s="10"/>
      <c r="F582" s="88"/>
      <c r="G582" s="62"/>
      <c r="H582" s="88"/>
      <c r="I582" s="99"/>
      <c r="J582" s="63"/>
      <c r="K582" s="2"/>
      <c r="L582" s="2"/>
      <c r="M582" s="2"/>
      <c r="N582" s="2"/>
      <c r="O582" s="2"/>
      <c r="P582" s="2"/>
      <c r="Q582" s="2"/>
      <c r="R582" s="2"/>
      <c r="S582" s="2"/>
      <c r="T582" s="63"/>
      <c r="U582" s="94"/>
      <c r="V582" s="90"/>
      <c r="W582" s="91"/>
      <c r="X582" s="92"/>
    </row>
    <row r="583" spans="1:24">
      <c r="A583" s="463" t="s">
        <v>404</v>
      </c>
      <c r="B583" s="87">
        <v>1</v>
      </c>
      <c r="C583" s="262">
        <v>45867</v>
      </c>
      <c r="D583" s="263" t="s">
        <v>405</v>
      </c>
      <c r="E583" s="271" t="s">
        <v>395</v>
      </c>
      <c r="F583" s="265">
        <v>6133</v>
      </c>
      <c r="G583" s="265">
        <f>39.7+(1480.32+178.54+43.52)+250</f>
        <v>1992.08</v>
      </c>
      <c r="H583" s="265">
        <f>728.56+72.6</f>
        <v>801.16</v>
      </c>
      <c r="I583" s="272">
        <f>F583-G583-H583</f>
        <v>3339.76</v>
      </c>
      <c r="J583" s="267" t="s">
        <v>185</v>
      </c>
      <c r="K583" s="267">
        <v>1</v>
      </c>
      <c r="L583" s="267"/>
      <c r="M583" s="267">
        <v>1</v>
      </c>
      <c r="N583" s="267">
        <v>1</v>
      </c>
      <c r="O583" s="267">
        <v>1</v>
      </c>
      <c r="P583" s="267">
        <v>1</v>
      </c>
      <c r="Q583" s="267"/>
      <c r="R583" s="267"/>
      <c r="S583" s="269"/>
      <c r="T583" s="63"/>
      <c r="U583" s="10" t="s">
        <v>406</v>
      </c>
      <c r="V583" s="90"/>
      <c r="W583" s="136"/>
      <c r="X583" s="137"/>
    </row>
    <row r="584" spans="1:24">
      <c r="A584" s="2"/>
      <c r="B584" s="11"/>
      <c r="C584" s="36"/>
      <c r="D584" s="10"/>
      <c r="E584" s="10"/>
      <c r="F584" s="97">
        <f>SUM(F583:F583)</f>
        <v>6133</v>
      </c>
      <c r="G584" s="97">
        <f>SUM(G583:G583)</f>
        <v>1992.08</v>
      </c>
      <c r="H584" s="97">
        <f>SUM(H583:H583)</f>
        <v>801.16</v>
      </c>
      <c r="I584" s="98">
        <f>SUM(I583:I583)</f>
        <v>3339.76</v>
      </c>
      <c r="J584" s="63"/>
      <c r="K584" s="21"/>
      <c r="L584" s="21"/>
      <c r="M584" s="21"/>
      <c r="N584" s="21"/>
      <c r="O584" s="21"/>
      <c r="P584" s="21"/>
      <c r="Q584" s="21"/>
      <c r="R584" s="21"/>
      <c r="S584" s="21"/>
      <c r="T584" s="63"/>
      <c r="U584" s="94"/>
      <c r="V584" s="90"/>
      <c r="W584" s="91"/>
      <c r="X584" s="92"/>
    </row>
    <row r="585" spans="1:24">
      <c r="A585" s="2"/>
      <c r="B585" s="11"/>
      <c r="C585" s="36"/>
      <c r="D585" s="10"/>
      <c r="E585" s="10"/>
      <c r="F585" s="88"/>
      <c r="G585" s="88"/>
      <c r="H585" s="88"/>
      <c r="I585" s="99"/>
      <c r="J585" s="63"/>
      <c r="K585" s="21"/>
      <c r="L585" s="21"/>
      <c r="M585" s="21"/>
      <c r="N585" s="21"/>
      <c r="O585" s="21"/>
      <c r="P585" s="21"/>
      <c r="Q585" s="21"/>
      <c r="R585" s="21"/>
      <c r="S585" s="21"/>
      <c r="T585" s="63"/>
      <c r="U585" s="94"/>
      <c r="V585" s="90"/>
      <c r="W585" s="91"/>
      <c r="X585" s="92"/>
    </row>
    <row r="586" spans="1:24">
      <c r="A586" s="128"/>
      <c r="B586" s="121" t="s">
        <v>70</v>
      </c>
      <c r="C586" s="122"/>
      <c r="D586" s="123"/>
      <c r="E586" s="128"/>
      <c r="F586" s="124"/>
      <c r="G586" s="124"/>
      <c r="H586" s="124"/>
      <c r="I586" s="126"/>
      <c r="J586" s="127"/>
      <c r="K586" s="64"/>
      <c r="L586" s="64"/>
      <c r="M586" s="64"/>
      <c r="N586" s="64"/>
      <c r="O586" s="64"/>
      <c r="P586" s="64"/>
      <c r="Q586" s="64"/>
      <c r="R586" s="64"/>
      <c r="S586" s="64"/>
      <c r="T586" s="127"/>
      <c r="U586" s="135"/>
      <c r="V586" s="129"/>
      <c r="W586" s="130"/>
      <c r="X586" s="131"/>
    </row>
    <row r="587" spans="1:24" s="342" customFormat="1">
      <c r="A587" s="356">
        <v>0.05</v>
      </c>
      <c r="B587" s="333">
        <v>1</v>
      </c>
      <c r="C587" s="334">
        <v>45873</v>
      </c>
      <c r="D587" s="327" t="s">
        <v>448</v>
      </c>
      <c r="E587" s="335" t="s">
        <v>245</v>
      </c>
      <c r="F587" s="336">
        <v>16214</v>
      </c>
      <c r="G587" s="336">
        <f>39.7+334+(37.9+110.12+72.67+137.98)+(161.68+232.63)+1500</f>
        <v>2626.68</v>
      </c>
      <c r="H587" s="336"/>
      <c r="I587" s="337">
        <f>F587-G587-H587</f>
        <v>13587.32</v>
      </c>
      <c r="J587" s="338" t="s">
        <v>228</v>
      </c>
      <c r="K587" s="338">
        <v>1</v>
      </c>
      <c r="L587" s="338"/>
      <c r="M587" s="338">
        <v>1</v>
      </c>
      <c r="N587" s="338">
        <v>1</v>
      </c>
      <c r="O587" s="338">
        <v>1</v>
      </c>
      <c r="P587" s="338">
        <v>1</v>
      </c>
      <c r="Q587" s="338"/>
      <c r="R587" s="338"/>
      <c r="S587" s="339"/>
      <c r="T587" s="127"/>
      <c r="U587" s="135" t="s">
        <v>449</v>
      </c>
      <c r="V587" s="129">
        <f>1783.5+2000+3500</f>
        <v>7283.5</v>
      </c>
      <c r="W587" s="340"/>
      <c r="X587" s="341"/>
    </row>
    <row r="588" spans="1:24" s="342" customFormat="1">
      <c r="A588" s="356">
        <v>0.05</v>
      </c>
      <c r="B588" s="333">
        <f>B587+1</f>
        <v>2</v>
      </c>
      <c r="C588" s="350">
        <v>45877</v>
      </c>
      <c r="D588" s="263" t="s">
        <v>450</v>
      </c>
      <c r="E588" s="358" t="s">
        <v>203</v>
      </c>
      <c r="F588" s="352">
        <v>12814</v>
      </c>
      <c r="G588" s="352">
        <f>39.7+1000+(95.68+286.2-8.21)</f>
        <v>1413.3700000000001</v>
      </c>
      <c r="H588" s="352"/>
      <c r="I588" s="353">
        <f>F588-G588-H588</f>
        <v>11400.63</v>
      </c>
      <c r="J588" s="354" t="s">
        <v>228</v>
      </c>
      <c r="K588" s="354">
        <v>1</v>
      </c>
      <c r="L588" s="354"/>
      <c r="M588" s="354">
        <v>1</v>
      </c>
      <c r="N588" s="354">
        <v>1</v>
      </c>
      <c r="O588" s="354">
        <v>1</v>
      </c>
      <c r="P588" s="354">
        <v>1</v>
      </c>
      <c r="Q588" s="354"/>
      <c r="R588" s="354"/>
      <c r="S588" s="355"/>
      <c r="T588" s="127"/>
      <c r="U588" s="135" t="s">
        <v>451</v>
      </c>
      <c r="V588" s="129">
        <f>1409.54+2085.86+5500</f>
        <v>8995.4</v>
      </c>
      <c r="W588" s="340"/>
      <c r="X588" s="341"/>
    </row>
    <row r="589" spans="1:24">
      <c r="A589" s="128"/>
      <c r="B589" s="132"/>
      <c r="C589" s="122"/>
      <c r="D589" s="123"/>
      <c r="E589" s="123"/>
      <c r="F589" s="133">
        <f>SUM(F587:F588)</f>
        <v>29028</v>
      </c>
      <c r="G589" s="133">
        <f>SUM(G587:G588)</f>
        <v>4040.05</v>
      </c>
      <c r="H589" s="133">
        <f>SUM(H587:H588)</f>
        <v>0</v>
      </c>
      <c r="I589" s="134">
        <f>SUM(I587:I588)</f>
        <v>24987.949999999997</v>
      </c>
      <c r="J589" s="127"/>
      <c r="K589" s="64"/>
      <c r="L589" s="64"/>
      <c r="M589" s="64"/>
      <c r="N589" s="64"/>
      <c r="O589" s="64"/>
      <c r="P589" s="64"/>
      <c r="Q589" s="64"/>
      <c r="R589" s="64"/>
      <c r="S589" s="64"/>
      <c r="T589" s="127"/>
      <c r="U589" s="135"/>
      <c r="V589" s="129"/>
      <c r="W589" s="130"/>
      <c r="X589" s="131"/>
    </row>
    <row r="590" spans="1:24">
      <c r="A590" s="2"/>
      <c r="B590" s="11"/>
      <c r="C590" s="36"/>
      <c r="D590" s="10"/>
      <c r="E590" s="10"/>
      <c r="F590" s="88"/>
      <c r="G590" s="88"/>
      <c r="H590" s="88"/>
      <c r="I590" s="99"/>
      <c r="J590" s="10"/>
      <c r="K590" s="63"/>
      <c r="L590" s="63"/>
      <c r="M590" s="63"/>
      <c r="N590" s="63"/>
      <c r="O590" s="63"/>
      <c r="P590" s="63"/>
      <c r="Q590" s="63"/>
      <c r="R590" s="63"/>
      <c r="S590" s="63"/>
      <c r="T590" s="63"/>
      <c r="U590" s="94"/>
      <c r="V590" s="90"/>
      <c r="W590" s="91"/>
      <c r="X590" s="92"/>
    </row>
    <row r="591" spans="1:24" s="260" customFormat="1">
      <c r="A591" s="181"/>
      <c r="B591" s="100" t="s">
        <v>152</v>
      </c>
      <c r="C591" s="36"/>
      <c r="D591" s="10"/>
      <c r="E591" s="10"/>
      <c r="F591" s="88"/>
      <c r="G591" s="62"/>
      <c r="H591" s="88"/>
      <c r="I591" s="99"/>
      <c r="J591" s="10"/>
      <c r="K591" s="181"/>
      <c r="L591" s="181"/>
      <c r="M591" s="181"/>
      <c r="N591" s="181"/>
      <c r="O591" s="181"/>
      <c r="P591" s="181"/>
      <c r="Q591" s="181"/>
      <c r="R591" s="181"/>
      <c r="S591" s="181"/>
      <c r="T591" s="63"/>
      <c r="U591" s="10"/>
      <c r="V591" s="90"/>
      <c r="W591" s="91"/>
      <c r="X591" s="92"/>
    </row>
    <row r="592" spans="1:24" s="260" customFormat="1">
      <c r="A592" s="312" t="s">
        <v>194</v>
      </c>
      <c r="B592" s="87">
        <v>1</v>
      </c>
      <c r="C592" s="262">
        <v>45805</v>
      </c>
      <c r="D592" s="273" t="s">
        <v>195</v>
      </c>
      <c r="E592" s="271" t="s">
        <v>196</v>
      </c>
      <c r="F592" s="265">
        <v>2999.1</v>
      </c>
      <c r="G592" s="265">
        <v>39.700000000000003</v>
      </c>
      <c r="H592" s="265">
        <f>F592*0.2</f>
        <v>599.82000000000005</v>
      </c>
      <c r="I592" s="272">
        <f t="shared" ref="I592:I597" si="126">F592-G592-H592</f>
        <v>2359.58</v>
      </c>
      <c r="J592" s="267" t="s">
        <v>197</v>
      </c>
      <c r="K592" s="267">
        <v>1</v>
      </c>
      <c r="L592" s="267">
        <v>1</v>
      </c>
      <c r="M592" s="267">
        <v>1</v>
      </c>
      <c r="N592" s="267">
        <v>1</v>
      </c>
      <c r="O592" s="267">
        <v>1</v>
      </c>
      <c r="P592" s="267">
        <v>0</v>
      </c>
      <c r="Q592" s="267">
        <v>0</v>
      </c>
      <c r="R592" s="267">
        <v>0</v>
      </c>
      <c r="S592" s="269">
        <v>0</v>
      </c>
      <c r="T592" s="63"/>
      <c r="U592" s="10" t="s">
        <v>198</v>
      </c>
      <c r="V592" s="90"/>
      <c r="W592" s="91"/>
      <c r="X592" s="92"/>
    </row>
    <row r="593" spans="1:24" s="260" customFormat="1">
      <c r="A593" s="312" t="s">
        <v>194</v>
      </c>
      <c r="B593" s="87">
        <f>B592+1</f>
        <v>2</v>
      </c>
      <c r="C593" s="262">
        <v>45805</v>
      </c>
      <c r="D593" s="273" t="s">
        <v>199</v>
      </c>
      <c r="E593" s="271" t="s">
        <v>196</v>
      </c>
      <c r="F593" s="265">
        <v>16214</v>
      </c>
      <c r="G593" s="265">
        <f>39.7+44+36.26+(33.82+55.44)+(102.43+254.2+84.43+10.82+125.93)+1500</f>
        <v>2287.0299999999997</v>
      </c>
      <c r="H593" s="265">
        <f>F593*0.2</f>
        <v>3242.8</v>
      </c>
      <c r="I593" s="272">
        <f t="shared" si="126"/>
        <v>10684.170000000002</v>
      </c>
      <c r="J593" s="267" t="s">
        <v>197</v>
      </c>
      <c r="K593" s="267">
        <v>1</v>
      </c>
      <c r="L593" s="267">
        <v>1</v>
      </c>
      <c r="M593" s="267">
        <v>1</v>
      </c>
      <c r="N593" s="267">
        <v>1</v>
      </c>
      <c r="O593" s="267">
        <v>1</v>
      </c>
      <c r="P593" s="267">
        <v>0</v>
      </c>
      <c r="Q593" s="267">
        <v>1</v>
      </c>
      <c r="R593" s="267">
        <v>1</v>
      </c>
      <c r="S593" s="269">
        <v>0</v>
      </c>
      <c r="T593" s="63"/>
      <c r="U593" s="10" t="s">
        <v>200</v>
      </c>
      <c r="V593" s="90"/>
      <c r="W593" s="136"/>
      <c r="X593" s="137"/>
    </row>
    <row r="594" spans="1:24" s="260" customFormat="1">
      <c r="A594" s="261">
        <v>0.05</v>
      </c>
      <c r="B594" s="87">
        <f>B593+1</f>
        <v>3</v>
      </c>
      <c r="C594" s="262">
        <v>45826</v>
      </c>
      <c r="D594" s="271">
        <v>70849</v>
      </c>
      <c r="E594" s="271" t="s">
        <v>189</v>
      </c>
      <c r="F594" s="265">
        <f>1261</f>
        <v>1261</v>
      </c>
      <c r="G594" s="265">
        <v>39.700000000000003</v>
      </c>
      <c r="H594" s="265"/>
      <c r="I594" s="272">
        <f t="shared" si="126"/>
        <v>1221.3</v>
      </c>
      <c r="J594" s="267" t="s">
        <v>156</v>
      </c>
      <c r="K594" s="267">
        <v>1</v>
      </c>
      <c r="L594" s="267">
        <v>1</v>
      </c>
      <c r="M594" s="267">
        <v>1</v>
      </c>
      <c r="N594" s="267">
        <v>1</v>
      </c>
      <c r="O594" s="267">
        <v>1</v>
      </c>
      <c r="P594" s="267">
        <v>1</v>
      </c>
      <c r="Q594" s="267">
        <v>0</v>
      </c>
      <c r="R594" s="267">
        <v>0</v>
      </c>
      <c r="S594" s="269">
        <v>0</v>
      </c>
      <c r="T594" s="63"/>
      <c r="U594" s="10" t="s">
        <v>201</v>
      </c>
      <c r="V594" s="90"/>
      <c r="W594" s="136"/>
      <c r="X594" s="137"/>
    </row>
    <row r="595" spans="1:24" s="260" customFormat="1">
      <c r="A595" s="261">
        <v>0.05</v>
      </c>
      <c r="B595" s="87">
        <f>B594+1</f>
        <v>4</v>
      </c>
      <c r="C595" s="262">
        <v>45834</v>
      </c>
      <c r="D595" s="273" t="s">
        <v>188</v>
      </c>
      <c r="E595" s="271" t="s">
        <v>189</v>
      </c>
      <c r="F595" s="265">
        <f>11553-160.9</f>
        <v>11392.1</v>
      </c>
      <c r="G595" s="265">
        <f>39.7+4500+300</f>
        <v>4839.7</v>
      </c>
      <c r="H595" s="265">
        <f>F595*0.2</f>
        <v>2278.42</v>
      </c>
      <c r="I595" s="272">
        <f t="shared" si="126"/>
        <v>4273.9800000000005</v>
      </c>
      <c r="J595" s="267" t="s">
        <v>185</v>
      </c>
      <c r="K595" s="267">
        <v>1</v>
      </c>
      <c r="L595" s="267">
        <v>1</v>
      </c>
      <c r="M595" s="267">
        <v>1</v>
      </c>
      <c r="N595" s="267">
        <v>1</v>
      </c>
      <c r="O595" s="267">
        <v>1</v>
      </c>
      <c r="P595" s="267">
        <v>0</v>
      </c>
      <c r="Q595" s="267">
        <v>0</v>
      </c>
      <c r="R595" s="267">
        <v>0</v>
      </c>
      <c r="S595" s="269">
        <v>0</v>
      </c>
      <c r="T595" s="63"/>
      <c r="U595" s="10" t="s">
        <v>266</v>
      </c>
      <c r="V595" s="90"/>
      <c r="W595" s="136"/>
      <c r="X595" s="137"/>
    </row>
    <row r="596" spans="1:24" s="342" customFormat="1">
      <c r="A596" s="31">
        <v>0.05</v>
      </c>
      <c r="B596" s="87">
        <f>B595+1</f>
        <v>5</v>
      </c>
      <c r="C596" s="262">
        <v>45838</v>
      </c>
      <c r="D596" s="273" t="s">
        <v>257</v>
      </c>
      <c r="E596" s="264" t="s">
        <v>227</v>
      </c>
      <c r="F596" s="265">
        <v>1261</v>
      </c>
      <c r="G596" s="265">
        <v>39.700000000000003</v>
      </c>
      <c r="H596" s="265"/>
      <c r="I596" s="272">
        <f t="shared" si="126"/>
        <v>1221.3</v>
      </c>
      <c r="J596" s="267" t="s">
        <v>156</v>
      </c>
      <c r="K596" s="267">
        <v>1</v>
      </c>
      <c r="L596" s="267">
        <v>1</v>
      </c>
      <c r="M596" s="267">
        <v>1</v>
      </c>
      <c r="N596" s="267">
        <v>1</v>
      </c>
      <c r="O596" s="267">
        <v>1</v>
      </c>
      <c r="P596" s="267">
        <v>0</v>
      </c>
      <c r="Q596" s="267">
        <v>1</v>
      </c>
      <c r="R596" s="267">
        <v>1</v>
      </c>
      <c r="S596" s="269">
        <v>0</v>
      </c>
      <c r="T596" s="63"/>
      <c r="U596" s="10" t="s">
        <v>258</v>
      </c>
      <c r="V596" s="90"/>
      <c r="W596" s="91"/>
      <c r="X596" s="92"/>
    </row>
    <row r="597" spans="1:24" s="260" customFormat="1">
      <c r="A597" s="261">
        <v>0.05</v>
      </c>
      <c r="B597" s="87">
        <f t="shared" ref="B597" si="127">B596+1</f>
        <v>6</v>
      </c>
      <c r="C597" s="262">
        <v>45835</v>
      </c>
      <c r="D597" s="273">
        <v>71077</v>
      </c>
      <c r="E597" s="271" t="s">
        <v>204</v>
      </c>
      <c r="F597" s="265">
        <v>5814</v>
      </c>
      <c r="G597" s="265">
        <f>39.7+(727.51)</f>
        <v>767.21</v>
      </c>
      <c r="H597" s="265"/>
      <c r="I597" s="272">
        <f t="shared" si="126"/>
        <v>5046.79</v>
      </c>
      <c r="J597" s="267" t="s">
        <v>236</v>
      </c>
      <c r="K597" s="267">
        <v>1</v>
      </c>
      <c r="L597" s="267">
        <v>1</v>
      </c>
      <c r="M597" s="267">
        <v>1</v>
      </c>
      <c r="N597" s="267">
        <v>1</v>
      </c>
      <c r="O597" s="267">
        <v>1</v>
      </c>
      <c r="P597" s="267">
        <v>0</v>
      </c>
      <c r="Q597" s="267">
        <v>0</v>
      </c>
      <c r="R597" s="267">
        <v>0</v>
      </c>
      <c r="S597" s="269">
        <v>0</v>
      </c>
      <c r="T597" s="63"/>
      <c r="U597" s="10" t="s">
        <v>267</v>
      </c>
      <c r="V597" s="90"/>
      <c r="W597" s="136"/>
      <c r="X597" s="137"/>
    </row>
    <row r="598" spans="1:24" s="260" customFormat="1">
      <c r="A598" s="181"/>
      <c r="B598" s="11"/>
      <c r="C598" s="36"/>
      <c r="D598" s="77"/>
      <c r="E598" s="10"/>
      <c r="F598" s="97">
        <f>SUM(F592:F597)</f>
        <v>38941.199999999997</v>
      </c>
      <c r="G598" s="97">
        <f>SUM(G592:G597)</f>
        <v>8013.0399999999991</v>
      </c>
      <c r="H598" s="97">
        <f>SUM(H592:H597)</f>
        <v>6121.0400000000009</v>
      </c>
      <c r="I598" s="97">
        <f>SUM(I592:I597)</f>
        <v>24807.120000000003</v>
      </c>
      <c r="K598" s="21"/>
      <c r="L598" s="21"/>
      <c r="M598" s="21"/>
      <c r="N598" s="21"/>
      <c r="O598" s="21"/>
      <c r="P598" s="21"/>
      <c r="Q598" s="21"/>
      <c r="R598" s="21"/>
      <c r="S598" s="21"/>
      <c r="T598" s="63"/>
      <c r="U598" s="10"/>
      <c r="V598" s="90"/>
      <c r="W598" s="91"/>
      <c r="X598" s="92"/>
    </row>
    <row r="599" spans="1:24" s="260" customFormat="1">
      <c r="A599" s="181"/>
      <c r="B599" s="11"/>
      <c r="C599" s="36"/>
      <c r="D599" s="77"/>
      <c r="E599" s="10"/>
      <c r="F599" s="88"/>
      <c r="G599" s="88"/>
      <c r="H599" s="88"/>
      <c r="I599" s="99"/>
      <c r="J599" s="63"/>
      <c r="K599" s="21"/>
      <c r="L599" s="21"/>
      <c r="M599" s="21"/>
      <c r="N599" s="21"/>
      <c r="O599" s="21"/>
      <c r="P599" s="21"/>
      <c r="Q599" s="21"/>
      <c r="R599" s="21"/>
      <c r="S599" s="21"/>
      <c r="T599" s="63"/>
      <c r="U599" s="10"/>
      <c r="V599" s="90"/>
      <c r="W599" s="91"/>
      <c r="X599" s="92"/>
    </row>
    <row r="600" spans="1:24" s="260" customFormat="1">
      <c r="A600" s="181"/>
      <c r="B600" s="100" t="s">
        <v>202</v>
      </c>
      <c r="C600" s="299"/>
      <c r="D600" s="77"/>
      <c r="E600" s="181"/>
      <c r="F600" s="88"/>
      <c r="G600" s="88"/>
      <c r="H600" s="88"/>
      <c r="I600" s="99"/>
      <c r="J600" s="63"/>
      <c r="K600" s="21"/>
      <c r="L600" s="21"/>
      <c r="M600" s="21"/>
      <c r="N600" s="21"/>
      <c r="O600" s="21"/>
      <c r="P600" s="21"/>
      <c r="Q600" s="21"/>
      <c r="R600" s="21"/>
      <c r="S600" s="21"/>
      <c r="T600" s="63"/>
      <c r="U600" s="10"/>
      <c r="V600" s="90"/>
      <c r="W600" s="91"/>
      <c r="X600" s="92"/>
    </row>
    <row r="601" spans="1:24" s="260" customFormat="1">
      <c r="A601" s="261">
        <v>0.05</v>
      </c>
      <c r="B601" s="87">
        <v>1</v>
      </c>
      <c r="C601" s="262">
        <v>45847</v>
      </c>
      <c r="D601" s="271">
        <v>71343</v>
      </c>
      <c r="E601" s="271" t="s">
        <v>184</v>
      </c>
      <c r="F601" s="265">
        <v>2814</v>
      </c>
      <c r="G601" s="265">
        <f>39.7+(36.22+222.93)</f>
        <v>298.84999999999997</v>
      </c>
      <c r="H601" s="265"/>
      <c r="I601" s="272">
        <f>F601-G601-H601</f>
        <v>2515.15</v>
      </c>
      <c r="J601" s="267" t="s">
        <v>156</v>
      </c>
      <c r="K601" s="267">
        <v>1</v>
      </c>
      <c r="L601" s="267"/>
      <c r="M601" s="267">
        <v>1</v>
      </c>
      <c r="N601" s="267">
        <v>1</v>
      </c>
      <c r="O601" s="267">
        <v>1</v>
      </c>
      <c r="P601" s="267">
        <v>0</v>
      </c>
      <c r="Q601" s="267"/>
      <c r="R601" s="267"/>
      <c r="S601" s="269"/>
      <c r="T601" s="63"/>
      <c r="U601" s="94" t="s">
        <v>359</v>
      </c>
      <c r="V601" s="90"/>
      <c r="W601" s="136"/>
      <c r="X601" s="137"/>
    </row>
    <row r="602" spans="1:24" s="260" customFormat="1">
      <c r="B602" s="11"/>
      <c r="C602" s="36"/>
      <c r="D602" s="10"/>
      <c r="E602" s="10"/>
      <c r="F602" s="97">
        <f>SUM(F601)</f>
        <v>2814</v>
      </c>
      <c r="G602" s="97">
        <f t="shared" ref="G602" si="128">SUM(G601)</f>
        <v>298.84999999999997</v>
      </c>
      <c r="H602" s="97">
        <f t="shared" ref="H602" si="129">SUM(H601)</f>
        <v>0</v>
      </c>
      <c r="I602" s="97">
        <f t="shared" ref="I602" si="130">SUM(I601)</f>
        <v>2515.15</v>
      </c>
      <c r="J602" s="63"/>
      <c r="K602" s="21"/>
      <c r="L602" s="21"/>
      <c r="M602" s="21"/>
      <c r="N602" s="21"/>
      <c r="O602" s="21"/>
      <c r="P602" s="21"/>
      <c r="Q602" s="21"/>
      <c r="R602" s="21"/>
      <c r="S602" s="21"/>
      <c r="T602" s="63"/>
      <c r="U602" s="10"/>
      <c r="V602" s="90"/>
      <c r="W602" s="91"/>
      <c r="X602" s="92"/>
    </row>
    <row r="603" spans="1:24" s="260" customFormat="1">
      <c r="B603" s="11"/>
      <c r="C603" s="36"/>
      <c r="D603" s="10"/>
      <c r="E603" s="10"/>
      <c r="F603" s="88"/>
      <c r="G603" s="88"/>
      <c r="H603" s="88"/>
      <c r="I603" s="88"/>
      <c r="J603" s="63"/>
      <c r="K603" s="21"/>
      <c r="L603" s="21"/>
      <c r="M603" s="21"/>
      <c r="N603" s="21"/>
      <c r="O603" s="21"/>
      <c r="P603" s="21"/>
      <c r="Q603" s="21"/>
      <c r="R603" s="21"/>
      <c r="S603" s="21"/>
      <c r="T603" s="63"/>
      <c r="U603" s="10"/>
      <c r="V603" s="90"/>
      <c r="W603" s="91"/>
      <c r="X603" s="92"/>
    </row>
    <row r="604" spans="1:24">
      <c r="A604" s="2"/>
      <c r="B604" s="100" t="s">
        <v>72</v>
      </c>
      <c r="C604" s="36"/>
      <c r="D604" s="10"/>
      <c r="E604" s="10"/>
      <c r="F604" s="88"/>
      <c r="G604" s="88"/>
      <c r="H604" s="88"/>
      <c r="I604" s="99"/>
      <c r="J604" s="63"/>
      <c r="K604" s="63"/>
      <c r="L604" s="63"/>
      <c r="M604" s="63"/>
      <c r="N604" s="63"/>
      <c r="O604" s="63"/>
      <c r="P604" s="63"/>
      <c r="Q604" s="63"/>
      <c r="R604" s="63"/>
      <c r="S604" s="63"/>
      <c r="T604" s="63"/>
      <c r="U604" s="10"/>
      <c r="V604" s="90"/>
      <c r="W604" s="91"/>
      <c r="X604" s="92"/>
    </row>
    <row r="605" spans="1:24">
      <c r="A605" s="2"/>
      <c r="B605" s="87">
        <v>1</v>
      </c>
      <c r="C605" s="274">
        <v>45873</v>
      </c>
      <c r="D605" s="275" t="s">
        <v>452</v>
      </c>
      <c r="E605" s="276" t="s">
        <v>327</v>
      </c>
      <c r="F605" s="277">
        <v>6953</v>
      </c>
      <c r="G605" s="277">
        <f>39.7</f>
        <v>39.700000000000003</v>
      </c>
      <c r="H605" s="277"/>
      <c r="I605" s="278">
        <f t="shared" ref="I605:I620" si="131">F605-G605-H605</f>
        <v>6913.3</v>
      </c>
      <c r="J605" s="279" t="s">
        <v>205</v>
      </c>
      <c r="K605" s="279">
        <v>1</v>
      </c>
      <c r="L605" s="279"/>
      <c r="M605" s="279"/>
      <c r="N605" s="279">
        <v>1</v>
      </c>
      <c r="O605" s="279"/>
      <c r="P605" s="279"/>
      <c r="Q605" s="279"/>
      <c r="R605" s="279"/>
      <c r="S605" s="280"/>
      <c r="T605" s="63"/>
      <c r="U605" s="3"/>
      <c r="V605" s="90"/>
      <c r="W605" s="91"/>
      <c r="X605" s="92"/>
    </row>
    <row r="606" spans="1:24">
      <c r="A606" s="2"/>
      <c r="B606" s="87">
        <f t="shared" ref="B606:B620" si="132">B605+1</f>
        <v>2</v>
      </c>
      <c r="C606" s="295">
        <v>45873</v>
      </c>
      <c r="D606" s="10">
        <v>71991</v>
      </c>
      <c r="E606" s="10" t="s">
        <v>327</v>
      </c>
      <c r="F606" s="62">
        <v>400</v>
      </c>
      <c r="G606" s="62"/>
      <c r="H606" s="62"/>
      <c r="I606" s="89">
        <f t="shared" si="131"/>
        <v>400</v>
      </c>
      <c r="J606" s="63" t="s">
        <v>205</v>
      </c>
      <c r="K606" s="63">
        <v>1</v>
      </c>
      <c r="L606" s="63"/>
      <c r="M606" s="63"/>
      <c r="N606" s="63">
        <v>1</v>
      </c>
      <c r="O606" s="63"/>
      <c r="P606" s="63"/>
      <c r="Q606" s="63">
        <v>1</v>
      </c>
      <c r="R606" s="63">
        <v>1</v>
      </c>
      <c r="S606" s="296">
        <v>1</v>
      </c>
      <c r="T606" s="63"/>
      <c r="U606" s="10"/>
      <c r="V606" s="90"/>
      <c r="W606" s="136"/>
      <c r="X606" s="137"/>
    </row>
    <row r="607" spans="1:24">
      <c r="A607" s="2"/>
      <c r="B607" s="87">
        <f t="shared" si="132"/>
        <v>3</v>
      </c>
      <c r="C607" s="295">
        <v>45873</v>
      </c>
      <c r="D607" s="10">
        <v>72010</v>
      </c>
      <c r="E607" s="10" t="s">
        <v>329</v>
      </c>
      <c r="F607" s="62">
        <v>556</v>
      </c>
      <c r="G607" s="62"/>
      <c r="H607" s="62"/>
      <c r="I607" s="89">
        <f t="shared" si="131"/>
        <v>556</v>
      </c>
      <c r="J607" s="63" t="s">
        <v>205</v>
      </c>
      <c r="K607" s="63">
        <v>1</v>
      </c>
      <c r="L607" s="63"/>
      <c r="M607" s="63"/>
      <c r="N607" s="63">
        <v>1</v>
      </c>
      <c r="O607" s="63"/>
      <c r="P607" s="63"/>
      <c r="Q607" s="63">
        <v>1</v>
      </c>
      <c r="R607" s="63">
        <v>1</v>
      </c>
      <c r="S607" s="296">
        <v>1</v>
      </c>
      <c r="T607" s="63"/>
      <c r="U607" s="10"/>
      <c r="V607" s="90"/>
      <c r="W607" s="136"/>
      <c r="X607" s="137"/>
    </row>
    <row r="608" spans="1:24">
      <c r="A608" s="2"/>
      <c r="B608" s="87">
        <f t="shared" si="132"/>
        <v>4</v>
      </c>
      <c r="C608" s="295">
        <v>45873</v>
      </c>
      <c r="D608" s="77" t="s">
        <v>453</v>
      </c>
      <c r="E608" s="94" t="s">
        <v>426</v>
      </c>
      <c r="F608" s="62">
        <v>15075</v>
      </c>
      <c r="G608" s="62">
        <f>39.7</f>
        <v>39.700000000000003</v>
      </c>
      <c r="H608" s="62"/>
      <c r="I608" s="89">
        <f t="shared" si="131"/>
        <v>15035.3</v>
      </c>
      <c r="J608" s="63" t="s">
        <v>205</v>
      </c>
      <c r="K608" s="63">
        <v>1</v>
      </c>
      <c r="L608" s="63"/>
      <c r="M608" s="63"/>
      <c r="N608" s="63">
        <v>1</v>
      </c>
      <c r="O608" s="63"/>
      <c r="P608" s="63"/>
      <c r="Q608" s="63"/>
      <c r="R608" s="63"/>
      <c r="S608" s="296"/>
      <c r="T608" s="63"/>
      <c r="U608" s="10"/>
      <c r="V608" s="90"/>
      <c r="W608" s="136"/>
      <c r="X608" s="137"/>
    </row>
    <row r="609" spans="1:24" ht="14.25" customHeight="1">
      <c r="A609" s="2"/>
      <c r="B609" s="87">
        <f t="shared" si="132"/>
        <v>5</v>
      </c>
      <c r="C609" s="274">
        <v>45875</v>
      </c>
      <c r="D609" s="275" t="s">
        <v>454</v>
      </c>
      <c r="E609" s="276" t="s">
        <v>401</v>
      </c>
      <c r="F609" s="277">
        <v>6814</v>
      </c>
      <c r="G609" s="277">
        <f>39.7</f>
        <v>39.700000000000003</v>
      </c>
      <c r="H609" s="277"/>
      <c r="I609" s="278">
        <f>F609-G610-H609</f>
        <v>6774.3</v>
      </c>
      <c r="J609" s="279" t="s">
        <v>205</v>
      </c>
      <c r="K609" s="279">
        <v>1</v>
      </c>
      <c r="L609" s="279"/>
      <c r="M609" s="279"/>
      <c r="N609" s="279">
        <v>1</v>
      </c>
      <c r="O609" s="279"/>
      <c r="P609" s="279"/>
      <c r="Q609" s="279"/>
      <c r="R609" s="279"/>
      <c r="S609" s="280"/>
      <c r="T609" s="63"/>
      <c r="U609" s="10"/>
      <c r="V609" s="90"/>
      <c r="W609" s="136"/>
      <c r="X609" s="137"/>
    </row>
    <row r="610" spans="1:24">
      <c r="A610" s="2"/>
      <c r="B610" s="87">
        <f t="shared" si="132"/>
        <v>6</v>
      </c>
      <c r="C610" s="295">
        <v>45875</v>
      </c>
      <c r="D610" s="77" t="s">
        <v>455</v>
      </c>
      <c r="E610" s="10" t="s">
        <v>430</v>
      </c>
      <c r="F610" s="62">
        <v>7142.15</v>
      </c>
      <c r="G610" s="62">
        <f>39.7</f>
        <v>39.700000000000003</v>
      </c>
      <c r="H610" s="62"/>
      <c r="I610" s="89">
        <f>F611-G611-H610</f>
        <v>7763.6</v>
      </c>
      <c r="J610" s="63" t="s">
        <v>205</v>
      </c>
      <c r="K610" s="63">
        <v>1</v>
      </c>
      <c r="L610" s="63"/>
      <c r="M610" s="63"/>
      <c r="N610" s="63">
        <v>1</v>
      </c>
      <c r="O610" s="63"/>
      <c r="P610" s="63"/>
      <c r="Q610" s="63"/>
      <c r="R610" s="63"/>
      <c r="S610" s="296"/>
      <c r="T610" s="63"/>
      <c r="U610" s="10"/>
      <c r="V610" s="90"/>
      <c r="W610" s="136"/>
      <c r="X610" s="137"/>
    </row>
    <row r="611" spans="1:24">
      <c r="A611" s="2"/>
      <c r="B611" s="87">
        <f t="shared" si="132"/>
        <v>7</v>
      </c>
      <c r="C611" s="295">
        <v>45875</v>
      </c>
      <c r="D611" s="10">
        <v>72088</v>
      </c>
      <c r="E611" s="101" t="s">
        <v>456</v>
      </c>
      <c r="F611" s="62">
        <v>7803.3</v>
      </c>
      <c r="G611" s="62">
        <f>39.7</f>
        <v>39.700000000000003</v>
      </c>
      <c r="H611" s="62"/>
      <c r="I611" s="89">
        <f>F612-G612-H611</f>
        <v>12517.099999999999</v>
      </c>
      <c r="J611" s="63" t="s">
        <v>205</v>
      </c>
      <c r="K611" s="63">
        <v>1</v>
      </c>
      <c r="L611" s="63"/>
      <c r="M611" s="63"/>
      <c r="N611" s="63">
        <v>1</v>
      </c>
      <c r="O611" s="63"/>
      <c r="P611" s="63"/>
      <c r="Q611" s="63">
        <v>1</v>
      </c>
      <c r="R611" s="63">
        <v>1</v>
      </c>
      <c r="S611" s="296">
        <v>1</v>
      </c>
      <c r="T611" s="63"/>
      <c r="U611" s="10"/>
      <c r="V611" s="90"/>
      <c r="W611" s="136"/>
      <c r="X611" s="137"/>
    </row>
    <row r="612" spans="1:24">
      <c r="A612" s="2"/>
      <c r="B612" s="87">
        <f t="shared" si="132"/>
        <v>8</v>
      </c>
      <c r="C612" s="274">
        <v>45876</v>
      </c>
      <c r="D612" s="275" t="s">
        <v>457</v>
      </c>
      <c r="E612" s="276" t="s">
        <v>352</v>
      </c>
      <c r="F612" s="277">
        <v>12556.8</v>
      </c>
      <c r="G612" s="277">
        <f>39.7</f>
        <v>39.700000000000003</v>
      </c>
      <c r="H612" s="277"/>
      <c r="I612" s="278">
        <f t="shared" si="131"/>
        <v>12517.099999999999</v>
      </c>
      <c r="J612" s="279" t="s">
        <v>205</v>
      </c>
      <c r="K612" s="279">
        <v>1</v>
      </c>
      <c r="L612" s="279"/>
      <c r="M612" s="279"/>
      <c r="N612" s="279">
        <v>1</v>
      </c>
      <c r="O612" s="279"/>
      <c r="P612" s="279"/>
      <c r="Q612" s="279"/>
      <c r="R612" s="279"/>
      <c r="S612" s="280"/>
      <c r="T612" s="63"/>
      <c r="U612" s="10"/>
      <c r="V612" s="90"/>
      <c r="W612" s="136"/>
      <c r="X612" s="137"/>
    </row>
    <row r="613" spans="1:24">
      <c r="A613" s="2"/>
      <c r="B613" s="87">
        <f t="shared" si="132"/>
        <v>9</v>
      </c>
      <c r="C613" s="295">
        <v>45876</v>
      </c>
      <c r="D613" s="10">
        <v>72113</v>
      </c>
      <c r="E613" s="101" t="s">
        <v>458</v>
      </c>
      <c r="F613" s="62">
        <v>681</v>
      </c>
      <c r="G613" s="62"/>
      <c r="H613" s="62"/>
      <c r="I613" s="89">
        <f t="shared" si="131"/>
        <v>681</v>
      </c>
      <c r="J613" s="63" t="s">
        <v>205</v>
      </c>
      <c r="K613" s="63">
        <v>1</v>
      </c>
      <c r="L613" s="63"/>
      <c r="M613" s="63"/>
      <c r="N613" s="63">
        <v>1</v>
      </c>
      <c r="O613" s="63"/>
      <c r="P613" s="63"/>
      <c r="Q613" s="63">
        <v>1</v>
      </c>
      <c r="R613" s="63">
        <v>1</v>
      </c>
      <c r="S613" s="296">
        <v>1</v>
      </c>
      <c r="T613" s="63"/>
      <c r="U613" s="10"/>
      <c r="V613" s="90"/>
      <c r="W613" s="136"/>
      <c r="X613" s="137"/>
    </row>
    <row r="614" spans="1:24">
      <c r="A614" s="2"/>
      <c r="B614" s="87">
        <f t="shared" si="132"/>
        <v>10</v>
      </c>
      <c r="C614" s="295">
        <v>45876</v>
      </c>
      <c r="D614" s="77" t="s">
        <v>459</v>
      </c>
      <c r="E614" s="10" t="s">
        <v>203</v>
      </c>
      <c r="F614" s="62">
        <v>11333</v>
      </c>
      <c r="G614" s="62">
        <f>39.7</f>
        <v>39.700000000000003</v>
      </c>
      <c r="H614" s="62"/>
      <c r="I614" s="89">
        <f t="shared" si="131"/>
        <v>11293.3</v>
      </c>
      <c r="J614" s="63" t="s">
        <v>205</v>
      </c>
      <c r="K614" s="63">
        <v>1</v>
      </c>
      <c r="L614" s="63"/>
      <c r="M614" s="63"/>
      <c r="N614" s="63">
        <v>1</v>
      </c>
      <c r="O614" s="63"/>
      <c r="P614" s="63"/>
      <c r="Q614" s="63"/>
      <c r="R614" s="63"/>
      <c r="S614" s="296"/>
      <c r="T614" s="63"/>
      <c r="U614" s="10"/>
      <c r="V614" s="90"/>
      <c r="W614" s="136"/>
      <c r="X614" s="137"/>
    </row>
    <row r="615" spans="1:24">
      <c r="A615" s="2"/>
      <c r="B615" s="87">
        <f t="shared" si="132"/>
        <v>11</v>
      </c>
      <c r="C615" s="295">
        <v>45876</v>
      </c>
      <c r="D615" s="77" t="s">
        <v>460</v>
      </c>
      <c r="E615" s="10" t="s">
        <v>369</v>
      </c>
      <c r="F615" s="62">
        <v>1419</v>
      </c>
      <c r="G615" s="62">
        <f>39.7</f>
        <v>39.700000000000003</v>
      </c>
      <c r="H615" s="62"/>
      <c r="I615" s="89">
        <f t="shared" si="131"/>
        <v>1379.3</v>
      </c>
      <c r="J615" s="63" t="s">
        <v>205</v>
      </c>
      <c r="K615" s="63">
        <v>1</v>
      </c>
      <c r="L615" s="63"/>
      <c r="M615" s="63"/>
      <c r="N615" s="63">
        <v>1</v>
      </c>
      <c r="O615" s="63"/>
      <c r="P615" s="63"/>
      <c r="Q615" s="63"/>
      <c r="R615" s="63"/>
      <c r="S615" s="296"/>
      <c r="T615" s="63"/>
      <c r="U615" s="10"/>
      <c r="V615" s="90"/>
      <c r="W615" s="136"/>
      <c r="X615" s="137"/>
    </row>
    <row r="616" spans="1:24">
      <c r="A616" s="2"/>
      <c r="B616" s="87">
        <f t="shared" si="132"/>
        <v>12</v>
      </c>
      <c r="C616" s="274">
        <v>45877</v>
      </c>
      <c r="D616" s="275" t="s">
        <v>461</v>
      </c>
      <c r="E616" s="281" t="s">
        <v>245</v>
      </c>
      <c r="F616" s="277">
        <v>20177.099999999999</v>
      </c>
      <c r="G616" s="277">
        <f>39.7</f>
        <v>39.700000000000003</v>
      </c>
      <c r="H616" s="277"/>
      <c r="I616" s="278">
        <f t="shared" si="131"/>
        <v>20137.399999999998</v>
      </c>
      <c r="J616" s="279" t="s">
        <v>205</v>
      </c>
      <c r="K616" s="279">
        <v>1</v>
      </c>
      <c r="L616" s="279"/>
      <c r="M616" s="279"/>
      <c r="N616" s="279">
        <v>1</v>
      </c>
      <c r="O616" s="279"/>
      <c r="P616" s="279"/>
      <c r="Q616" s="279"/>
      <c r="R616" s="279"/>
      <c r="S616" s="280"/>
      <c r="T616" s="63"/>
      <c r="U616" s="10"/>
      <c r="V616" s="90"/>
      <c r="W616" s="136"/>
      <c r="X616" s="137"/>
    </row>
    <row r="617" spans="1:24">
      <c r="A617" s="2"/>
      <c r="B617" s="87">
        <f t="shared" si="132"/>
        <v>13</v>
      </c>
      <c r="C617" s="295">
        <v>45877</v>
      </c>
      <c r="D617" s="10">
        <v>72185</v>
      </c>
      <c r="E617" s="101" t="s">
        <v>462</v>
      </c>
      <c r="F617" s="62">
        <v>1481</v>
      </c>
      <c r="G617" s="62">
        <f>39.7</f>
        <v>39.700000000000003</v>
      </c>
      <c r="H617" s="62"/>
      <c r="I617" s="89">
        <f t="shared" si="131"/>
        <v>1441.3</v>
      </c>
      <c r="J617" s="63" t="s">
        <v>205</v>
      </c>
      <c r="K617" s="63">
        <v>1</v>
      </c>
      <c r="L617" s="63"/>
      <c r="M617" s="63"/>
      <c r="N617" s="63">
        <v>1</v>
      </c>
      <c r="O617" s="63"/>
      <c r="P617" s="63"/>
      <c r="Q617" s="63">
        <v>1</v>
      </c>
      <c r="R617" s="63">
        <v>1</v>
      </c>
      <c r="S617" s="296">
        <v>1</v>
      </c>
      <c r="T617" s="63"/>
      <c r="U617" s="10"/>
      <c r="V617" s="90"/>
      <c r="W617" s="136"/>
      <c r="X617" s="137"/>
    </row>
    <row r="618" spans="1:24">
      <c r="A618" s="2"/>
      <c r="B618" s="87">
        <f t="shared" si="132"/>
        <v>14</v>
      </c>
      <c r="C618" s="295">
        <v>45877</v>
      </c>
      <c r="D618" s="10">
        <v>72180</v>
      </c>
      <c r="E618" s="10" t="s">
        <v>292</v>
      </c>
      <c r="F618" s="62">
        <v>895.69</v>
      </c>
      <c r="G618" s="62">
        <f>39.7</f>
        <v>39.700000000000003</v>
      </c>
      <c r="H618" s="62"/>
      <c r="I618" s="89">
        <f t="shared" si="131"/>
        <v>855.99</v>
      </c>
      <c r="J618" s="63" t="s">
        <v>205</v>
      </c>
      <c r="K618" s="63">
        <v>1</v>
      </c>
      <c r="L618" s="63"/>
      <c r="M618" s="63"/>
      <c r="N618" s="63">
        <v>1</v>
      </c>
      <c r="O618" s="63"/>
      <c r="P618" s="63"/>
      <c r="Q618" s="63"/>
      <c r="R618" s="63"/>
      <c r="S618" s="296"/>
      <c r="T618" s="63"/>
      <c r="U618" s="10"/>
      <c r="V618" s="90"/>
      <c r="W618" s="136"/>
      <c r="X618" s="137"/>
    </row>
    <row r="619" spans="1:24">
      <c r="A619" s="2"/>
      <c r="B619" s="87">
        <f t="shared" si="132"/>
        <v>15</v>
      </c>
      <c r="C619" s="295">
        <v>45877</v>
      </c>
      <c r="D619" s="10">
        <v>72174</v>
      </c>
      <c r="E619" s="10" t="s">
        <v>456</v>
      </c>
      <c r="F619" s="62">
        <v>1616.9</v>
      </c>
      <c r="G619" s="62">
        <v>39.700000000000003</v>
      </c>
      <c r="H619" s="62"/>
      <c r="I619" s="89">
        <f t="shared" si="131"/>
        <v>1577.2</v>
      </c>
      <c r="J619" s="63" t="s">
        <v>205</v>
      </c>
      <c r="K619" s="63">
        <v>1</v>
      </c>
      <c r="L619" s="63"/>
      <c r="M619" s="63"/>
      <c r="N619" s="63">
        <v>1</v>
      </c>
      <c r="O619" s="63"/>
      <c r="P619" s="63"/>
      <c r="Q619" s="63">
        <v>1</v>
      </c>
      <c r="R619" s="63">
        <v>1</v>
      </c>
      <c r="S619" s="296">
        <v>1</v>
      </c>
      <c r="T619" s="63"/>
      <c r="U619" s="10"/>
      <c r="V619" s="90"/>
      <c r="W619" s="136"/>
      <c r="X619" s="137"/>
    </row>
    <row r="620" spans="1:24">
      <c r="A620" s="2"/>
      <c r="B620" s="87">
        <f t="shared" si="132"/>
        <v>16</v>
      </c>
      <c r="C620" s="282">
        <v>45877</v>
      </c>
      <c r="D620" s="283">
        <v>72187</v>
      </c>
      <c r="E620" s="283" t="s">
        <v>463</v>
      </c>
      <c r="F620" s="284">
        <v>1277.0999999999999</v>
      </c>
      <c r="G620" s="284">
        <v>39.700000000000003</v>
      </c>
      <c r="H620" s="284"/>
      <c r="I620" s="285">
        <f t="shared" si="131"/>
        <v>1237.3999999999999</v>
      </c>
      <c r="J620" s="286" t="s">
        <v>205</v>
      </c>
      <c r="K620" s="286">
        <v>1</v>
      </c>
      <c r="L620" s="286"/>
      <c r="M620" s="286"/>
      <c r="N620" s="286">
        <v>1</v>
      </c>
      <c r="O620" s="286"/>
      <c r="P620" s="286"/>
      <c r="Q620" s="286">
        <v>1</v>
      </c>
      <c r="R620" s="286">
        <v>1</v>
      </c>
      <c r="S620" s="287">
        <v>1</v>
      </c>
      <c r="T620" s="63"/>
      <c r="U620" s="10"/>
      <c r="V620" s="90"/>
      <c r="W620" s="136"/>
      <c r="X620" s="137"/>
    </row>
    <row r="621" spans="1:24">
      <c r="A621" s="2"/>
      <c r="B621" s="11"/>
      <c r="C621" s="36"/>
      <c r="D621" s="10"/>
      <c r="E621" s="10"/>
      <c r="F621" s="97">
        <f>SUM(F605:F620)</f>
        <v>96181.040000000008</v>
      </c>
      <c r="G621" s="97">
        <f>SUM(G605:G620)</f>
        <v>516.09999999999991</v>
      </c>
      <c r="H621" s="97">
        <f>SUM(H605:H620)</f>
        <v>0</v>
      </c>
      <c r="I621" s="98">
        <f>SUM(I605:I620)</f>
        <v>101079.59</v>
      </c>
      <c r="J621" s="10"/>
      <c r="K621" s="10"/>
      <c r="L621" s="10"/>
      <c r="M621" s="10"/>
      <c r="N621" s="10"/>
      <c r="O621" s="10"/>
      <c r="P621" s="10"/>
      <c r="Q621" s="10"/>
      <c r="R621" s="10"/>
      <c r="S621" s="10"/>
      <c r="T621" s="63"/>
      <c r="U621" s="10"/>
      <c r="V621" s="138"/>
      <c r="W621" s="136"/>
      <c r="X621" s="137"/>
    </row>
    <row r="622" spans="1:24">
      <c r="A622" s="2"/>
      <c r="B622" s="11"/>
      <c r="C622" s="36"/>
      <c r="D622" s="10"/>
      <c r="E622" s="10"/>
      <c r="F622" s="88"/>
      <c r="G622" s="88"/>
      <c r="H622" s="88"/>
      <c r="I622" s="99"/>
      <c r="J622" s="10"/>
      <c r="K622" s="10"/>
      <c r="L622" s="10"/>
      <c r="M622" s="10"/>
      <c r="N622" s="10"/>
      <c r="O622" s="10"/>
      <c r="P622" s="10"/>
      <c r="Q622" s="10"/>
      <c r="R622" s="10"/>
      <c r="S622" s="10"/>
      <c r="T622" s="63"/>
      <c r="U622" s="10"/>
      <c r="V622" s="138"/>
      <c r="W622" s="136"/>
      <c r="X622" s="137"/>
    </row>
    <row r="623" spans="1:24">
      <c r="A623" s="2"/>
      <c r="B623" s="100" t="s">
        <v>73</v>
      </c>
      <c r="C623" s="36"/>
      <c r="D623" s="10"/>
      <c r="E623" s="10"/>
      <c r="F623" s="88"/>
      <c r="G623" s="88"/>
      <c r="H623" s="88"/>
      <c r="I623" s="99"/>
      <c r="J623" s="63"/>
      <c r="K623" s="63"/>
      <c r="L623" s="63"/>
      <c r="M623" s="63"/>
      <c r="N623" s="63"/>
      <c r="O623" s="63"/>
      <c r="P623" s="63"/>
      <c r="Q623" s="63"/>
      <c r="R623" s="63"/>
      <c r="S623" s="63"/>
      <c r="T623" s="63"/>
      <c r="U623" s="94"/>
      <c r="V623" s="90"/>
      <c r="W623" s="91"/>
      <c r="X623" s="92"/>
    </row>
    <row r="624" spans="1:24">
      <c r="A624" s="2"/>
      <c r="B624" s="87">
        <v>1</v>
      </c>
      <c r="C624" s="262">
        <v>45878</v>
      </c>
      <c r="D624" s="263">
        <v>72145</v>
      </c>
      <c r="E624" s="271" t="s">
        <v>464</v>
      </c>
      <c r="F624" s="265">
        <v>0</v>
      </c>
      <c r="G624" s="265"/>
      <c r="H624" s="265"/>
      <c r="I624" s="272">
        <f t="shared" ref="I624" si="133">F624-G624-H624</f>
        <v>0</v>
      </c>
      <c r="J624" s="267" t="s">
        <v>465</v>
      </c>
      <c r="K624" s="267"/>
      <c r="L624" s="267"/>
      <c r="M624" s="267"/>
      <c r="N624" s="267"/>
      <c r="O624" s="267"/>
      <c r="P624" s="267"/>
      <c r="Q624" s="267"/>
      <c r="R624" s="267"/>
      <c r="S624" s="269"/>
      <c r="T624" s="63"/>
      <c r="U624" s="139"/>
      <c r="V624" s="90"/>
      <c r="W624" s="91"/>
      <c r="X624" s="92"/>
    </row>
    <row r="625" spans="1:24">
      <c r="A625" s="2"/>
      <c r="B625" s="11"/>
      <c r="C625" s="36"/>
      <c r="D625" s="10"/>
      <c r="E625" s="10"/>
      <c r="F625" s="97">
        <f>SUM(F624:F624)</f>
        <v>0</v>
      </c>
      <c r="G625" s="97">
        <f>SUM(G624:G624)</f>
        <v>0</v>
      </c>
      <c r="H625" s="97">
        <f>SUM(H624:H624)</f>
        <v>0</v>
      </c>
      <c r="I625" s="98">
        <f>SUM(I624:I624)</f>
        <v>0</v>
      </c>
      <c r="J625" s="10"/>
      <c r="K625" s="10"/>
      <c r="L625" s="10"/>
      <c r="M625" s="10"/>
      <c r="N625" s="10"/>
      <c r="O625" s="10"/>
      <c r="P625" s="10"/>
      <c r="Q625" s="10"/>
      <c r="R625" s="10"/>
      <c r="S625" s="10"/>
      <c r="T625" s="63"/>
      <c r="U625" s="94"/>
      <c r="V625" s="90"/>
      <c r="W625" s="91"/>
      <c r="X625" s="92"/>
    </row>
    <row r="626" spans="1:24">
      <c r="A626" s="2"/>
      <c r="B626" s="26"/>
      <c r="C626" s="140"/>
      <c r="D626" s="141"/>
      <c r="E626" s="141"/>
      <c r="F626" s="141"/>
      <c r="G626" s="141"/>
      <c r="H626" s="141"/>
      <c r="I626" s="141"/>
      <c r="J626" s="141"/>
      <c r="K626" s="142"/>
      <c r="L626" s="142"/>
      <c r="M626" s="142"/>
      <c r="N626" s="142"/>
      <c r="O626" s="142"/>
      <c r="P626" s="142"/>
      <c r="Q626" s="142"/>
      <c r="R626" s="142"/>
      <c r="S626" s="142"/>
      <c r="T626" s="143">
        <f>SUM(T557:T625)</f>
        <v>2</v>
      </c>
      <c r="U626" s="141"/>
      <c r="V626" s="144">
        <f>SUM(V557:V625)</f>
        <v>44349.93</v>
      </c>
      <c r="W626" s="145">
        <f>SUM(W557:W625)</f>
        <v>4179.12</v>
      </c>
      <c r="X626" s="146">
        <f>SUM(X557:X625)</f>
        <v>0</v>
      </c>
    </row>
    <row r="629" spans="1:24">
      <c r="A629" s="3"/>
      <c r="B629" s="4" t="s">
        <v>1</v>
      </c>
      <c r="C629" s="5"/>
      <c r="D629" s="6"/>
      <c r="E629" s="6"/>
      <c r="F629" s="7" t="s">
        <v>2</v>
      </c>
      <c r="G629" s="8">
        <v>45886</v>
      </c>
      <c r="H629" s="7"/>
      <c r="I629" s="6"/>
      <c r="J629" s="6"/>
      <c r="K629" s="6"/>
      <c r="L629" s="6"/>
      <c r="M629" s="6"/>
      <c r="N629" s="6"/>
      <c r="O629" s="6"/>
      <c r="P629" s="6"/>
      <c r="Q629" s="6"/>
      <c r="R629" s="6"/>
      <c r="S629" s="6"/>
      <c r="T629" s="6"/>
      <c r="U629" s="9"/>
      <c r="V629" s="10"/>
      <c r="W629" s="10"/>
      <c r="X629" s="10"/>
    </row>
    <row r="630" spans="1:24">
      <c r="A630" s="2"/>
      <c r="B630" s="11"/>
      <c r="C630" s="10"/>
      <c r="D630" s="10"/>
      <c r="E630" s="10"/>
      <c r="F630" s="10"/>
      <c r="G630" s="7"/>
      <c r="H630" s="12"/>
      <c r="I630" s="10"/>
      <c r="J630" s="10"/>
      <c r="K630" s="13" t="s">
        <v>3</v>
      </c>
      <c r="L630" s="14"/>
      <c r="M630" s="15"/>
      <c r="N630" s="13" t="s">
        <v>4</v>
      </c>
      <c r="O630" s="14"/>
      <c r="P630" s="15"/>
      <c r="Q630" s="13" t="s">
        <v>5</v>
      </c>
      <c r="R630" s="14"/>
      <c r="S630" s="15"/>
      <c r="T630" s="16"/>
      <c r="U630" s="17"/>
      <c r="V630" s="10"/>
      <c r="W630" s="10"/>
      <c r="X630" s="10"/>
    </row>
    <row r="631" spans="1:24">
      <c r="A631" s="2"/>
      <c r="B631" s="18" t="s">
        <v>6</v>
      </c>
      <c r="C631" s="19">
        <f>C632+C633</f>
        <v>21</v>
      </c>
      <c r="D631" s="10"/>
      <c r="E631" s="18" t="s">
        <v>7</v>
      </c>
      <c r="F631" s="6"/>
      <c r="G631" s="9"/>
      <c r="H631" s="10"/>
      <c r="I631" s="10"/>
      <c r="J631" s="10"/>
      <c r="K631" s="20" t="s">
        <v>8</v>
      </c>
      <c r="L631" s="21" t="s">
        <v>9</v>
      </c>
      <c r="M631" s="21" t="s">
        <v>10</v>
      </c>
      <c r="N631" s="20" t="s">
        <v>11</v>
      </c>
      <c r="O631" s="21" t="s">
        <v>12</v>
      </c>
      <c r="P631" s="22" t="s">
        <v>13</v>
      </c>
      <c r="Q631" s="21" t="s">
        <v>11</v>
      </c>
      <c r="R631" s="21" t="s">
        <v>12</v>
      </c>
      <c r="S631" s="22" t="s">
        <v>13</v>
      </c>
      <c r="T631" s="23" t="s">
        <v>14</v>
      </c>
      <c r="U631" s="17"/>
      <c r="V631" s="10"/>
      <c r="W631" s="10"/>
      <c r="X631" s="10"/>
    </row>
    <row r="632" spans="1:24">
      <c r="A632" s="2"/>
      <c r="B632" s="24" t="s">
        <v>15</v>
      </c>
      <c r="C632" s="25">
        <f>P639</f>
        <v>9</v>
      </c>
      <c r="D632" s="10"/>
      <c r="E632" s="26" t="s">
        <v>16</v>
      </c>
      <c r="F632" s="27">
        <v>0.05</v>
      </c>
      <c r="G632" s="28"/>
      <c r="H632" s="10"/>
      <c r="I632" s="10"/>
      <c r="J632" s="18" t="s">
        <v>17</v>
      </c>
      <c r="K632" s="29">
        <f>K665</f>
        <v>8</v>
      </c>
      <c r="L632" s="29">
        <f t="shared" ref="L632:S632" si="134">L665</f>
        <v>7</v>
      </c>
      <c r="M632" s="29">
        <f t="shared" si="134"/>
        <v>7</v>
      </c>
      <c r="N632" s="29">
        <f t="shared" si="134"/>
        <v>8</v>
      </c>
      <c r="O632" s="29">
        <f t="shared" si="134"/>
        <v>8</v>
      </c>
      <c r="P632" s="29">
        <f t="shared" si="134"/>
        <v>7</v>
      </c>
      <c r="Q632" s="29">
        <f t="shared" si="134"/>
        <v>8</v>
      </c>
      <c r="R632" s="29">
        <f t="shared" si="134"/>
        <v>8</v>
      </c>
      <c r="S632" s="29">
        <f t="shared" si="134"/>
        <v>8</v>
      </c>
      <c r="T632" s="30">
        <f>T700</f>
        <v>2</v>
      </c>
      <c r="U632" s="17" t="s">
        <v>466</v>
      </c>
      <c r="V632" s="10"/>
      <c r="W632" s="10"/>
      <c r="X632" s="10"/>
    </row>
    <row r="633" spans="1:24">
      <c r="A633" s="2"/>
      <c r="B633" s="24" t="s">
        <v>18</v>
      </c>
      <c r="C633" s="25">
        <f>P640</f>
        <v>12</v>
      </c>
      <c r="D633" s="10"/>
      <c r="E633" s="10"/>
      <c r="F633" s="10"/>
      <c r="G633" s="31"/>
      <c r="H633" s="10"/>
      <c r="I633" s="10"/>
      <c r="J633" s="32" t="s">
        <v>19</v>
      </c>
      <c r="K633" s="33">
        <f>K665/K664</f>
        <v>1</v>
      </c>
      <c r="L633" s="33">
        <f t="shared" ref="L633:S633" si="135">L665/L664</f>
        <v>0.875</v>
      </c>
      <c r="M633" s="33">
        <f t="shared" si="135"/>
        <v>0.875</v>
      </c>
      <c r="N633" s="33">
        <f t="shared" si="135"/>
        <v>1</v>
      </c>
      <c r="O633" s="33">
        <f t="shared" si="135"/>
        <v>1</v>
      </c>
      <c r="P633" s="33">
        <f t="shared" si="135"/>
        <v>0.875</v>
      </c>
      <c r="Q633" s="33">
        <f t="shared" si="135"/>
        <v>1</v>
      </c>
      <c r="R633" s="33">
        <f t="shared" si="135"/>
        <v>1</v>
      </c>
      <c r="S633" s="33">
        <f t="shared" si="135"/>
        <v>1</v>
      </c>
      <c r="T633" s="23"/>
      <c r="U633" s="17" t="s">
        <v>20</v>
      </c>
      <c r="V633" s="10"/>
      <c r="W633" s="10"/>
      <c r="X633" s="10"/>
    </row>
    <row r="634" spans="1:24">
      <c r="A634" s="2"/>
      <c r="B634" s="24" t="s">
        <v>21</v>
      </c>
      <c r="C634" s="34">
        <f>P641</f>
        <v>0.42857142857142855</v>
      </c>
      <c r="D634" s="10"/>
      <c r="E634" s="10"/>
      <c r="F634" s="10"/>
      <c r="G634" s="10"/>
      <c r="H634" s="10"/>
      <c r="I634" s="10"/>
      <c r="J634" s="10"/>
      <c r="K634" s="10"/>
      <c r="L634" s="10"/>
      <c r="M634" s="10"/>
      <c r="N634" s="10"/>
      <c r="O634" s="10"/>
      <c r="P634" s="10"/>
      <c r="Q634" s="10"/>
      <c r="R634" s="10"/>
      <c r="S634" s="10"/>
      <c r="T634" s="10"/>
      <c r="U634" s="17"/>
      <c r="V634" s="10"/>
      <c r="W634" s="10"/>
      <c r="X634" s="10"/>
    </row>
    <row r="635" spans="1:24">
      <c r="A635" s="2"/>
      <c r="B635" s="24"/>
      <c r="C635" s="25"/>
      <c r="D635" s="10"/>
      <c r="E635" s="10"/>
      <c r="F635" s="18" t="s">
        <v>22</v>
      </c>
      <c r="G635" s="19" t="s">
        <v>23</v>
      </c>
      <c r="H635" s="35" t="s">
        <v>24</v>
      </c>
      <c r="I635" s="10"/>
      <c r="J635" s="10"/>
      <c r="K635" s="36"/>
      <c r="L635" s="36"/>
      <c r="M635" s="36"/>
      <c r="N635" s="36"/>
      <c r="O635" s="36"/>
      <c r="P635" s="36"/>
      <c r="Q635" s="36"/>
      <c r="R635" s="10"/>
      <c r="S635" s="10"/>
      <c r="T635" s="10"/>
      <c r="U635" s="17"/>
      <c r="V635" s="10"/>
      <c r="W635" s="10"/>
      <c r="X635" s="10"/>
    </row>
    <row r="636" spans="1:24" ht="15.75" customHeight="1">
      <c r="A636" s="2"/>
      <c r="B636" s="32" t="s">
        <v>25</v>
      </c>
      <c r="C636" s="37">
        <f>P642</f>
        <v>2220.0066666666662</v>
      </c>
      <c r="D636" s="10"/>
      <c r="E636" s="18" t="s">
        <v>26</v>
      </c>
      <c r="F636" s="38">
        <f>P638</f>
        <v>19980.059999999998</v>
      </c>
      <c r="G636" s="39">
        <f>I664+I669</f>
        <v>19980.060000000001</v>
      </c>
      <c r="H636" s="767" t="s">
        <v>467</v>
      </c>
      <c r="I636" s="767"/>
      <c r="J636" s="767"/>
      <c r="K636" s="43" t="s">
        <v>27</v>
      </c>
      <c r="L636" s="44"/>
      <c r="M636" s="44"/>
      <c r="N636" s="44"/>
      <c r="O636" s="44"/>
      <c r="P636" s="44"/>
      <c r="Q636" s="45"/>
      <c r="R636" s="46" t="s">
        <v>28</v>
      </c>
      <c r="S636" s="47" t="s">
        <v>29</v>
      </c>
      <c r="T636" s="10"/>
      <c r="U636" s="17"/>
      <c r="V636" s="10"/>
      <c r="W636" s="10"/>
      <c r="X636" s="10"/>
    </row>
    <row r="637" spans="1:24">
      <c r="A637" s="2"/>
      <c r="B637" s="11"/>
      <c r="C637" s="10"/>
      <c r="D637" s="10"/>
      <c r="E637" s="24" t="s">
        <v>30</v>
      </c>
      <c r="F637" s="48">
        <f>F632</f>
        <v>0.05</v>
      </c>
      <c r="G637" s="17"/>
      <c r="H637" s="767"/>
      <c r="I637" s="767"/>
      <c r="J637" s="767"/>
      <c r="K637" s="20" t="s">
        <v>31</v>
      </c>
      <c r="L637" s="21" t="s">
        <v>32</v>
      </c>
      <c r="M637" s="21" t="s">
        <v>33</v>
      </c>
      <c r="N637" s="21" t="s">
        <v>34</v>
      </c>
      <c r="O637" s="21" t="s">
        <v>35</v>
      </c>
      <c r="P637" s="21" t="s">
        <v>36</v>
      </c>
      <c r="Q637" s="49" t="s">
        <v>37</v>
      </c>
      <c r="R637" s="50" t="s">
        <v>38</v>
      </c>
      <c r="S637" s="50" t="s">
        <v>38</v>
      </c>
      <c r="T637" s="10"/>
      <c r="U637" s="17"/>
      <c r="V637" s="10"/>
      <c r="W637" s="10"/>
      <c r="X637" s="10"/>
    </row>
    <row r="638" spans="1:24">
      <c r="A638" s="2"/>
      <c r="B638" s="11"/>
      <c r="C638" s="10"/>
      <c r="D638" s="10"/>
      <c r="E638" s="51" t="s">
        <v>39</v>
      </c>
      <c r="F638" s="52">
        <f>(F636+F645+F646-I668)*F637</f>
        <v>648.92049999999983</v>
      </c>
      <c r="G638" s="53" t="s">
        <v>40</v>
      </c>
      <c r="H638" s="54">
        <f>F638/1.12</f>
        <v>579.39330357142842</v>
      </c>
      <c r="I638" s="570" t="s">
        <v>416</v>
      </c>
      <c r="J638" s="42"/>
      <c r="K638" s="56">
        <f>I656+I657+I658</f>
        <v>3627.3999999999996</v>
      </c>
      <c r="L638" s="57">
        <f>I659+I668</f>
        <v>7659.25</v>
      </c>
      <c r="M638" s="57">
        <f>I660+I661</f>
        <v>1832.73</v>
      </c>
      <c r="N638" s="57">
        <f>I662+I663</f>
        <v>6860.68</v>
      </c>
      <c r="O638" s="57"/>
      <c r="P638" s="57">
        <f>SUM(K638:O638)</f>
        <v>19980.059999999998</v>
      </c>
      <c r="Q638" s="58">
        <v>0</v>
      </c>
      <c r="R638" s="59">
        <f>I669</f>
        <v>6837.95</v>
      </c>
      <c r="S638" s="59">
        <v>0</v>
      </c>
      <c r="T638" s="10"/>
      <c r="U638" s="17"/>
      <c r="V638" s="10"/>
      <c r="W638" s="10"/>
      <c r="X638" s="10"/>
    </row>
    <row r="639" spans="1:24">
      <c r="A639" s="2"/>
      <c r="B639" s="11"/>
      <c r="C639" s="10"/>
      <c r="D639" s="10"/>
      <c r="E639" s="24" t="s">
        <v>41</v>
      </c>
      <c r="F639" s="60">
        <f>Q638</f>
        <v>0</v>
      </c>
      <c r="G639" s="61" t="s">
        <v>40</v>
      </c>
      <c r="H639" s="62"/>
      <c r="I639" s="62"/>
      <c r="J639" s="10" t="s">
        <v>42</v>
      </c>
      <c r="K639" s="63">
        <v>3</v>
      </c>
      <c r="L639" s="63">
        <v>2</v>
      </c>
      <c r="M639" s="63">
        <v>2</v>
      </c>
      <c r="N639" s="63">
        <v>2</v>
      </c>
      <c r="O639" s="63"/>
      <c r="P639" s="21">
        <f>SUM(K639:O639)</f>
        <v>9</v>
      </c>
      <c r="Q639" s="64"/>
      <c r="R639" s="63"/>
      <c r="S639" s="10"/>
      <c r="T639" s="10"/>
      <c r="U639" s="17"/>
      <c r="V639" s="10"/>
      <c r="W639" s="10"/>
      <c r="X639" s="10"/>
    </row>
    <row r="640" spans="1:24">
      <c r="A640" s="2"/>
      <c r="B640" s="11"/>
      <c r="C640" s="10"/>
      <c r="D640" s="10"/>
      <c r="E640" s="51" t="s">
        <v>43</v>
      </c>
      <c r="F640" s="52">
        <f>F639*0.25</f>
        <v>0</v>
      </c>
      <c r="G640" s="53" t="s">
        <v>40</v>
      </c>
      <c r="H640" s="54">
        <f>F640/1.12</f>
        <v>0</v>
      </c>
      <c r="I640" s="10"/>
      <c r="J640" s="10" t="s">
        <v>44</v>
      </c>
      <c r="K640" s="63">
        <v>3</v>
      </c>
      <c r="L640" s="63">
        <v>3</v>
      </c>
      <c r="M640" s="63">
        <v>6</v>
      </c>
      <c r="N640" s="63">
        <v>0</v>
      </c>
      <c r="O640" s="63"/>
      <c r="P640" s="21">
        <f>SUM(K640:O640)</f>
        <v>12</v>
      </c>
      <c r="Q640" s="64"/>
      <c r="R640" s="63"/>
      <c r="S640" s="10"/>
      <c r="T640" s="10"/>
      <c r="U640" s="17"/>
      <c r="V640" s="10"/>
      <c r="W640" s="10"/>
      <c r="X640" s="10"/>
    </row>
    <row r="641" spans="1:24">
      <c r="A641" s="2"/>
      <c r="B641" s="11"/>
      <c r="C641" s="10"/>
      <c r="D641" s="10"/>
      <c r="E641" s="24" t="s">
        <v>45</v>
      </c>
      <c r="F641" s="60"/>
      <c r="G641" s="61" t="s">
        <v>40</v>
      </c>
      <c r="H641" s="62"/>
      <c r="I641" s="10"/>
      <c r="J641" s="10" t="s">
        <v>46</v>
      </c>
      <c r="K641" s="31">
        <f t="shared" ref="K641:Q641" si="136">K639/(K639+K640)</f>
        <v>0.5</v>
      </c>
      <c r="L641" s="31">
        <f t="shared" si="136"/>
        <v>0.4</v>
      </c>
      <c r="M641" s="31">
        <f t="shared" si="136"/>
        <v>0.25</v>
      </c>
      <c r="N641" s="31">
        <f t="shared" si="136"/>
        <v>1</v>
      </c>
      <c r="O641" s="31" t="e">
        <f t="shared" si="136"/>
        <v>#DIV/0!</v>
      </c>
      <c r="P641" s="31">
        <f t="shared" si="136"/>
        <v>0.42857142857142855</v>
      </c>
      <c r="Q641" s="31" t="e">
        <f t="shared" si="136"/>
        <v>#DIV/0!</v>
      </c>
      <c r="R641" s="63"/>
      <c r="S641" s="10"/>
      <c r="T641" s="10"/>
      <c r="U641" s="17"/>
      <c r="V641" s="10"/>
      <c r="W641" s="10"/>
      <c r="X641" s="10"/>
    </row>
    <row r="642" spans="1:24">
      <c r="A642" s="2"/>
      <c r="B642" s="11"/>
      <c r="C642" s="10"/>
      <c r="D642" s="10"/>
      <c r="E642" s="51" t="s">
        <v>47</v>
      </c>
      <c r="F642" s="52">
        <f>F641*0.05</f>
        <v>0</v>
      </c>
      <c r="G642" s="65" t="s">
        <v>40</v>
      </c>
      <c r="H642" s="54">
        <f>F642/1.12</f>
        <v>0</v>
      </c>
      <c r="I642" s="42"/>
      <c r="J642" s="10" t="s">
        <v>48</v>
      </c>
      <c r="K642" s="66">
        <f>K638/K639</f>
        <v>1209.1333333333332</v>
      </c>
      <c r="L642" s="66">
        <f t="shared" ref="L642:Q642" si="137">L638/L639</f>
        <v>3829.625</v>
      </c>
      <c r="M642" s="66">
        <f t="shared" si="137"/>
        <v>916.36500000000001</v>
      </c>
      <c r="N642" s="66">
        <f t="shared" si="137"/>
        <v>3430.34</v>
      </c>
      <c r="O642" s="66" t="e">
        <f t="shared" si="137"/>
        <v>#DIV/0!</v>
      </c>
      <c r="P642" s="66">
        <f t="shared" si="137"/>
        <v>2220.0066666666662</v>
      </c>
      <c r="Q642" s="66" t="e">
        <f t="shared" si="137"/>
        <v>#DIV/0!</v>
      </c>
      <c r="R642" s="63"/>
      <c r="S642" s="10"/>
      <c r="T642" s="10"/>
      <c r="U642" s="17"/>
      <c r="V642" s="10"/>
      <c r="W642" s="10"/>
      <c r="X642" s="10"/>
    </row>
    <row r="643" spans="1:24">
      <c r="A643" s="2"/>
      <c r="B643" s="11"/>
      <c r="C643" s="10"/>
      <c r="D643" s="10"/>
      <c r="E643" s="67" t="s">
        <v>14</v>
      </c>
      <c r="F643" s="68">
        <f>2*50</f>
        <v>100</v>
      </c>
      <c r="G643" s="10"/>
      <c r="H643" s="54">
        <f>F643/1.12</f>
        <v>89.285714285714278</v>
      </c>
      <c r="I643" s="10"/>
      <c r="J643" s="10"/>
      <c r="K643" s="10"/>
      <c r="L643" s="10"/>
      <c r="M643" s="10"/>
      <c r="N643" s="10"/>
      <c r="O643" s="10"/>
      <c r="P643" s="10"/>
      <c r="Q643" s="10"/>
      <c r="R643" s="10"/>
      <c r="S643" s="10"/>
      <c r="T643" s="10"/>
      <c r="U643" s="17"/>
      <c r="V643" s="10"/>
      <c r="W643" s="10"/>
      <c r="X643" s="10"/>
    </row>
    <row r="644" spans="1:24">
      <c r="A644" s="2"/>
      <c r="B644" s="11"/>
      <c r="C644" s="10"/>
      <c r="D644" s="10"/>
      <c r="E644" s="67" t="s">
        <v>49</v>
      </c>
      <c r="F644" s="69">
        <f>T633</f>
        <v>0</v>
      </c>
      <c r="G644" s="10"/>
      <c r="H644" s="54"/>
      <c r="I644" s="55"/>
      <c r="J644" s="42"/>
      <c r="K644" s="764" t="s">
        <v>50</v>
      </c>
      <c r="L644" s="765"/>
      <c r="M644" s="765"/>
      <c r="N644" s="765"/>
      <c r="O644" s="765"/>
      <c r="P644" s="765"/>
      <c r="Q644" s="766"/>
      <c r="R644" s="70" t="s">
        <v>28</v>
      </c>
      <c r="S644" s="71" t="s">
        <v>29</v>
      </c>
      <c r="T644" s="10"/>
      <c r="U644" s="17"/>
      <c r="V644" s="10"/>
      <c r="W644" s="10"/>
      <c r="X644" s="10"/>
    </row>
    <row r="645" spans="1:24">
      <c r="A645" s="2"/>
      <c r="B645" s="11"/>
      <c r="C645" s="10"/>
      <c r="D645" s="10"/>
      <c r="E645" s="571" t="s">
        <v>468</v>
      </c>
      <c r="F645" s="75">
        <v>-150.94999999999999</v>
      </c>
      <c r="G645" s="10"/>
      <c r="H645" s="10"/>
      <c r="I645" s="10"/>
      <c r="J645" s="42"/>
      <c r="K645" s="20" t="s">
        <v>31</v>
      </c>
      <c r="L645" s="21" t="s">
        <v>32</v>
      </c>
      <c r="M645" s="21" t="s">
        <v>33</v>
      </c>
      <c r="N645" s="21" t="s">
        <v>34</v>
      </c>
      <c r="O645" s="21" t="s">
        <v>35</v>
      </c>
      <c r="P645" s="21" t="s">
        <v>36</v>
      </c>
      <c r="Q645" s="49" t="s">
        <v>37</v>
      </c>
      <c r="R645" s="50" t="s">
        <v>38</v>
      </c>
      <c r="S645" s="50" t="s">
        <v>38</v>
      </c>
      <c r="T645" s="10"/>
      <c r="U645" s="17"/>
      <c r="V645" s="10"/>
      <c r="W645" s="10"/>
      <c r="X645" s="10"/>
    </row>
    <row r="646" spans="1:24">
      <c r="A646" s="2"/>
      <c r="B646" s="11"/>
      <c r="C646" s="10"/>
      <c r="D646" s="10"/>
      <c r="E646" s="571" t="s">
        <v>469</v>
      </c>
      <c r="F646" s="75">
        <v>-12.75</v>
      </c>
      <c r="G646" s="10"/>
      <c r="H646" s="10"/>
      <c r="I646" s="10"/>
      <c r="J646" s="42"/>
      <c r="K646" s="56">
        <f>F656+F657+F658</f>
        <v>3794.2</v>
      </c>
      <c r="L646" s="57">
        <f>F659+F668</f>
        <v>9475</v>
      </c>
      <c r="M646" s="57">
        <f>F660+F661</f>
        <v>1905.74</v>
      </c>
      <c r="N646" s="57">
        <f>F662+F663</f>
        <v>7275</v>
      </c>
      <c r="O646" s="57"/>
      <c r="P646" s="57">
        <f>SUM(K646:O646)</f>
        <v>22449.940000000002</v>
      </c>
      <c r="Q646" s="58">
        <v>0</v>
      </c>
      <c r="R646" s="59">
        <f>F669</f>
        <v>8614</v>
      </c>
      <c r="S646" s="59">
        <v>0</v>
      </c>
      <c r="T646" s="10"/>
      <c r="U646" s="17"/>
      <c r="V646" s="10"/>
      <c r="W646" s="10"/>
      <c r="X646" s="10"/>
    </row>
    <row r="647" spans="1:24">
      <c r="A647" s="2"/>
      <c r="B647" s="11"/>
      <c r="C647" s="10"/>
      <c r="D647" s="10"/>
      <c r="E647" s="10"/>
      <c r="F647" s="10"/>
      <c r="G647" s="10"/>
      <c r="H647" s="10"/>
      <c r="I647" s="10"/>
      <c r="J647" s="10" t="s">
        <v>42</v>
      </c>
      <c r="K647" s="63">
        <f>K639</f>
        <v>3</v>
      </c>
      <c r="L647" s="63">
        <f t="shared" ref="L647:Q648" si="138">L639</f>
        <v>2</v>
      </c>
      <c r="M647" s="63">
        <f t="shared" si="138"/>
        <v>2</v>
      </c>
      <c r="N647" s="63">
        <f t="shared" si="138"/>
        <v>2</v>
      </c>
      <c r="O647" s="63">
        <f t="shared" si="138"/>
        <v>0</v>
      </c>
      <c r="P647" s="63">
        <f t="shared" si="138"/>
        <v>9</v>
      </c>
      <c r="Q647" s="63">
        <f t="shared" si="138"/>
        <v>0</v>
      </c>
      <c r="R647" s="63"/>
      <c r="S647" s="10"/>
      <c r="T647" s="10"/>
      <c r="U647" s="17"/>
      <c r="V647" s="10"/>
      <c r="W647" s="10"/>
      <c r="X647" s="10"/>
    </row>
    <row r="648" spans="1:24">
      <c r="A648" s="2"/>
      <c r="B648" s="11"/>
      <c r="C648" s="10"/>
      <c r="D648" s="10"/>
      <c r="E648" s="10"/>
      <c r="F648" s="10"/>
      <c r="G648" s="10"/>
      <c r="H648" s="10"/>
      <c r="I648" s="10"/>
      <c r="J648" s="10" t="s">
        <v>44</v>
      </c>
      <c r="K648" s="63">
        <f>K640</f>
        <v>3</v>
      </c>
      <c r="L648" s="63">
        <f t="shared" si="138"/>
        <v>3</v>
      </c>
      <c r="M648" s="63">
        <f t="shared" si="138"/>
        <v>6</v>
      </c>
      <c r="N648" s="63">
        <f t="shared" si="138"/>
        <v>0</v>
      </c>
      <c r="O648" s="63">
        <f t="shared" si="138"/>
        <v>0</v>
      </c>
      <c r="P648" s="63">
        <f t="shared" si="138"/>
        <v>12</v>
      </c>
      <c r="Q648" s="63">
        <f t="shared" si="138"/>
        <v>0</v>
      </c>
      <c r="R648" s="63"/>
      <c r="S648" s="10"/>
      <c r="T648" s="10"/>
      <c r="U648" s="17"/>
      <c r="V648" s="10"/>
      <c r="W648" s="10"/>
      <c r="X648" s="10"/>
    </row>
    <row r="649" spans="1:24">
      <c r="A649" s="2"/>
      <c r="B649" s="11"/>
      <c r="C649" s="10"/>
      <c r="D649" s="10"/>
      <c r="E649" s="10"/>
      <c r="F649" s="10"/>
      <c r="G649" s="10"/>
      <c r="H649" s="10"/>
      <c r="I649" s="10"/>
      <c r="J649" s="10" t="s">
        <v>46</v>
      </c>
      <c r="K649" s="31">
        <f t="shared" ref="K649:Q649" si="139">K647/(K647+K648)</f>
        <v>0.5</v>
      </c>
      <c r="L649" s="31">
        <f t="shared" si="139"/>
        <v>0.4</v>
      </c>
      <c r="M649" s="31">
        <f t="shared" si="139"/>
        <v>0.25</v>
      </c>
      <c r="N649" s="31">
        <f t="shared" si="139"/>
        <v>1</v>
      </c>
      <c r="O649" s="31" t="e">
        <f t="shared" si="139"/>
        <v>#DIV/0!</v>
      </c>
      <c r="P649" s="31">
        <f t="shared" si="139"/>
        <v>0.42857142857142855</v>
      </c>
      <c r="Q649" s="31" t="e">
        <f t="shared" si="139"/>
        <v>#DIV/0!</v>
      </c>
      <c r="R649" s="63"/>
      <c r="S649" s="10"/>
      <c r="T649" s="10"/>
      <c r="U649" s="17"/>
      <c r="V649" s="10"/>
      <c r="W649" s="10"/>
      <c r="X649" s="10"/>
    </row>
    <row r="650" spans="1:24">
      <c r="A650" s="2"/>
      <c r="B650" s="11"/>
      <c r="C650" s="10"/>
      <c r="D650" s="10"/>
      <c r="E650" s="10"/>
      <c r="F650" s="10"/>
      <c r="G650" s="10"/>
      <c r="H650" s="10"/>
      <c r="I650" s="10"/>
      <c r="J650" s="10" t="s">
        <v>48</v>
      </c>
      <c r="K650" s="66">
        <f t="shared" ref="K650:Q650" si="140">K646/K647</f>
        <v>1264.7333333333333</v>
      </c>
      <c r="L650" s="66">
        <f t="shared" si="140"/>
        <v>4737.5</v>
      </c>
      <c r="M650" s="66">
        <f t="shared" si="140"/>
        <v>952.87</v>
      </c>
      <c r="N650" s="66">
        <f t="shared" si="140"/>
        <v>3637.5</v>
      </c>
      <c r="O650" s="66" t="e">
        <f t="shared" si="140"/>
        <v>#DIV/0!</v>
      </c>
      <c r="P650" s="66">
        <f t="shared" si="140"/>
        <v>2494.4377777777781</v>
      </c>
      <c r="Q650" s="66" t="e">
        <f t="shared" si="140"/>
        <v>#DIV/0!</v>
      </c>
      <c r="R650" s="63"/>
      <c r="S650" s="10"/>
      <c r="T650" s="10"/>
      <c r="U650" s="17"/>
      <c r="V650" s="10"/>
      <c r="W650" s="10"/>
      <c r="X650" s="10"/>
    </row>
    <row r="651" spans="1:24">
      <c r="A651" s="2"/>
      <c r="B651" s="11"/>
      <c r="C651" s="10"/>
      <c r="D651" s="10"/>
      <c r="E651" s="10"/>
      <c r="F651" s="10"/>
      <c r="G651" s="10"/>
      <c r="H651" s="10"/>
      <c r="I651" s="10"/>
      <c r="J651" s="10"/>
      <c r="K651" s="10"/>
      <c r="L651" s="10"/>
      <c r="M651" s="10"/>
      <c r="N651" s="10"/>
      <c r="O651" s="10"/>
      <c r="P651" s="10"/>
      <c r="Q651" s="10"/>
      <c r="R651" s="10"/>
      <c r="S651" s="10"/>
      <c r="T651" s="10"/>
      <c r="U651" s="17"/>
      <c r="V651" s="10"/>
      <c r="W651" s="10"/>
      <c r="X651" s="10"/>
    </row>
    <row r="652" spans="1:24">
      <c r="A652" s="2"/>
      <c r="B652" s="11"/>
      <c r="C652" s="10"/>
      <c r="D652" s="10"/>
      <c r="E652" s="10"/>
      <c r="F652" s="10"/>
      <c r="G652" s="10"/>
      <c r="H652" s="10"/>
      <c r="I652" s="10"/>
      <c r="J652" s="10"/>
      <c r="K652" s="10"/>
      <c r="L652" s="10"/>
      <c r="M652" s="10"/>
      <c r="N652" s="10"/>
      <c r="O652" s="10"/>
      <c r="P652" s="10"/>
      <c r="Q652" s="10"/>
      <c r="R652" s="10"/>
      <c r="S652" s="10"/>
      <c r="T652" s="10"/>
      <c r="U652" s="17"/>
      <c r="V652" s="10"/>
      <c r="W652" s="10"/>
      <c r="X652" s="10"/>
    </row>
    <row r="653" spans="1:24">
      <c r="A653" s="2"/>
      <c r="B653" s="18" t="s">
        <v>51</v>
      </c>
      <c r="C653" s="14"/>
      <c r="D653" s="14"/>
      <c r="E653" s="14"/>
      <c r="F653" s="13" t="s">
        <v>52</v>
      </c>
      <c r="G653" s="14"/>
      <c r="H653" s="14"/>
      <c r="I653" s="14"/>
      <c r="J653" s="14"/>
      <c r="K653" s="13" t="s">
        <v>3</v>
      </c>
      <c r="L653" s="14"/>
      <c r="M653" s="14"/>
      <c r="N653" s="13" t="s">
        <v>4</v>
      </c>
      <c r="O653" s="14"/>
      <c r="P653" s="14"/>
      <c r="Q653" s="13" t="s">
        <v>5</v>
      </c>
      <c r="R653" s="14"/>
      <c r="S653" s="14"/>
      <c r="T653" s="18"/>
      <c r="U653" s="16" t="s">
        <v>53</v>
      </c>
      <c r="V653" s="77"/>
      <c r="W653" s="77"/>
      <c r="X653" s="77"/>
    </row>
    <row r="654" spans="1:24">
      <c r="A654" s="2"/>
      <c r="B654" s="24" t="s">
        <v>54</v>
      </c>
      <c r="C654" s="21" t="s">
        <v>55</v>
      </c>
      <c r="D654" s="21" t="s">
        <v>56</v>
      </c>
      <c r="E654" s="21" t="s">
        <v>57</v>
      </c>
      <c r="F654" s="20" t="s">
        <v>58</v>
      </c>
      <c r="G654" s="21" t="s">
        <v>59</v>
      </c>
      <c r="H654" s="21" t="s">
        <v>60</v>
      </c>
      <c r="I654" s="21" t="s">
        <v>26</v>
      </c>
      <c r="J654" s="22" t="s">
        <v>61</v>
      </c>
      <c r="K654" s="21" t="s">
        <v>8</v>
      </c>
      <c r="L654" s="21" t="s">
        <v>9</v>
      </c>
      <c r="M654" s="21" t="s">
        <v>10</v>
      </c>
      <c r="N654" s="20" t="s">
        <v>11</v>
      </c>
      <c r="O654" s="21" t="s">
        <v>12</v>
      </c>
      <c r="P654" s="22" t="s">
        <v>13</v>
      </c>
      <c r="Q654" s="21" t="s">
        <v>11</v>
      </c>
      <c r="R654" s="21" t="s">
        <v>12</v>
      </c>
      <c r="S654" s="21" t="s">
        <v>13</v>
      </c>
      <c r="T654" s="78" t="s">
        <v>14</v>
      </c>
      <c r="U654" s="30"/>
      <c r="V654" s="79" t="s">
        <v>62</v>
      </c>
      <c r="W654" s="80" t="s">
        <v>63</v>
      </c>
      <c r="X654" s="81" t="s">
        <v>64</v>
      </c>
    </row>
    <row r="655" spans="1:24">
      <c r="A655" s="2"/>
      <c r="B655" s="4" t="s">
        <v>65</v>
      </c>
      <c r="C655" s="6"/>
      <c r="D655" s="6"/>
      <c r="E655" s="6"/>
      <c r="F655" s="6"/>
      <c r="G655" s="6"/>
      <c r="H655" s="6"/>
      <c r="I655" s="82"/>
      <c r="J655" s="6"/>
      <c r="K655" s="6"/>
      <c r="L655" s="6"/>
      <c r="M655" s="6"/>
      <c r="N655" s="6"/>
      <c r="O655" s="6"/>
      <c r="P655" s="6"/>
      <c r="Q655" s="6"/>
      <c r="R655" s="6"/>
      <c r="S655" s="6"/>
      <c r="T655" s="83"/>
      <c r="U655" s="6"/>
      <c r="V655" s="84"/>
      <c r="W655" s="85"/>
      <c r="X655" s="86"/>
    </row>
    <row r="656" spans="1:24">
      <c r="A656" s="2"/>
      <c r="B656" s="87">
        <v>1</v>
      </c>
      <c r="C656" s="274">
        <v>45880</v>
      </c>
      <c r="D656" s="320" t="s">
        <v>470</v>
      </c>
      <c r="E656" s="276" t="s">
        <v>227</v>
      </c>
      <c r="F656" s="277">
        <v>1481</v>
      </c>
      <c r="G656" s="277">
        <f>39.7+(47.7)</f>
        <v>87.4</v>
      </c>
      <c r="H656" s="297"/>
      <c r="I656" s="278">
        <f t="shared" ref="I656:I663" si="141">F656-G656-H656</f>
        <v>1393.6</v>
      </c>
      <c r="J656" s="279" t="s">
        <v>156</v>
      </c>
      <c r="K656" s="279">
        <v>1</v>
      </c>
      <c r="L656" s="279">
        <v>1</v>
      </c>
      <c r="M656" s="279">
        <v>1</v>
      </c>
      <c r="N656" s="279">
        <v>1</v>
      </c>
      <c r="O656" s="279">
        <v>1</v>
      </c>
      <c r="P656" s="279">
        <v>1</v>
      </c>
      <c r="Q656" s="279">
        <v>1</v>
      </c>
      <c r="R656" s="279">
        <v>1</v>
      </c>
      <c r="S656" s="280">
        <v>1</v>
      </c>
      <c r="T656" s="63"/>
      <c r="U656" s="10"/>
      <c r="V656" s="90">
        <f>163+1466.1</f>
        <v>1629.1</v>
      </c>
      <c r="W656" s="91"/>
      <c r="X656" s="92"/>
    </row>
    <row r="657" spans="1:24">
      <c r="A657" s="2"/>
      <c r="B657" s="87">
        <f t="shared" ref="B657:B663" si="142">B656+1</f>
        <v>2</v>
      </c>
      <c r="C657" s="295">
        <v>45880</v>
      </c>
      <c r="D657" s="323">
        <v>72102</v>
      </c>
      <c r="E657" s="10" t="s">
        <v>471</v>
      </c>
      <c r="F657" s="62">
        <v>1199</v>
      </c>
      <c r="G657" s="62">
        <f>39.7</f>
        <v>39.700000000000003</v>
      </c>
      <c r="H657" s="62"/>
      <c r="I657" s="324">
        <f t="shared" si="141"/>
        <v>1159.3</v>
      </c>
      <c r="J657" s="63" t="s">
        <v>236</v>
      </c>
      <c r="K657" s="63">
        <v>1</v>
      </c>
      <c r="L657" s="325">
        <v>0</v>
      </c>
      <c r="M657" s="63">
        <v>1</v>
      </c>
      <c r="N657" s="63">
        <v>1</v>
      </c>
      <c r="O657" s="63">
        <v>1</v>
      </c>
      <c r="P657" s="63">
        <v>1</v>
      </c>
      <c r="Q657" s="63">
        <v>1</v>
      </c>
      <c r="R657" s="63">
        <v>1</v>
      </c>
      <c r="S657" s="296">
        <v>1</v>
      </c>
      <c r="T657" s="21">
        <v>1</v>
      </c>
      <c r="U657" s="10"/>
      <c r="V657" s="90">
        <v>18.899999999999999</v>
      </c>
      <c r="W657" s="367">
        <v>1300</v>
      </c>
      <c r="X657" s="92"/>
    </row>
    <row r="658" spans="1:24">
      <c r="A658" s="93"/>
      <c r="B658" s="87">
        <f t="shared" si="142"/>
        <v>3</v>
      </c>
      <c r="C658" s="295">
        <v>45880</v>
      </c>
      <c r="D658" s="323">
        <v>72219</v>
      </c>
      <c r="E658" s="10" t="s">
        <v>384</v>
      </c>
      <c r="F658" s="62">
        <v>1114.2</v>
      </c>
      <c r="G658" s="62">
        <f>39.7</f>
        <v>39.700000000000003</v>
      </c>
      <c r="H658" s="62"/>
      <c r="I658" s="89">
        <f t="shared" si="141"/>
        <v>1074.5</v>
      </c>
      <c r="J658" s="63" t="s">
        <v>156</v>
      </c>
      <c r="K658" s="63">
        <v>1</v>
      </c>
      <c r="L658" s="63">
        <v>1</v>
      </c>
      <c r="M658" s="63">
        <v>1</v>
      </c>
      <c r="N658" s="63">
        <v>1</v>
      </c>
      <c r="O658" s="63">
        <v>1</v>
      </c>
      <c r="P658" s="63">
        <v>1</v>
      </c>
      <c r="Q658" s="63">
        <v>1</v>
      </c>
      <c r="R658" s="63">
        <v>1</v>
      </c>
      <c r="S658" s="296">
        <v>1</v>
      </c>
      <c r="T658" s="63"/>
      <c r="U658" s="10"/>
      <c r="V658" s="90">
        <f>126+1225.62</f>
        <v>1351.62</v>
      </c>
      <c r="W658" s="91"/>
      <c r="X658" s="92"/>
    </row>
    <row r="659" spans="1:24">
      <c r="A659" s="2"/>
      <c r="B659" s="87">
        <f t="shared" si="142"/>
        <v>4</v>
      </c>
      <c r="C659" s="274">
        <v>45881</v>
      </c>
      <c r="D659" s="327" t="s">
        <v>472</v>
      </c>
      <c r="E659" s="404" t="s">
        <v>456</v>
      </c>
      <c r="F659" s="277">
        <v>861</v>
      </c>
      <c r="G659" s="277">
        <f>39.7</f>
        <v>39.700000000000003</v>
      </c>
      <c r="H659" s="277"/>
      <c r="I659" s="278">
        <f t="shared" si="141"/>
        <v>821.3</v>
      </c>
      <c r="J659" s="279" t="s">
        <v>156</v>
      </c>
      <c r="K659" s="279">
        <v>1</v>
      </c>
      <c r="L659" s="279">
        <v>1</v>
      </c>
      <c r="M659" s="279">
        <v>1</v>
      </c>
      <c r="N659" s="279">
        <v>1</v>
      </c>
      <c r="O659" s="279">
        <v>1</v>
      </c>
      <c r="P659" s="279">
        <v>1</v>
      </c>
      <c r="Q659" s="279">
        <v>1</v>
      </c>
      <c r="R659" s="279">
        <v>1</v>
      </c>
      <c r="S659" s="280">
        <v>1</v>
      </c>
      <c r="T659" s="63"/>
      <c r="U659" s="10"/>
      <c r="V659" s="90">
        <f>95+852.1</f>
        <v>947.1</v>
      </c>
      <c r="W659" s="91"/>
      <c r="X659" s="92"/>
    </row>
    <row r="660" spans="1:24">
      <c r="A660" s="2"/>
      <c r="B660" s="87">
        <f t="shared" si="142"/>
        <v>5</v>
      </c>
      <c r="C660" s="274">
        <v>45882</v>
      </c>
      <c r="D660" s="327" t="s">
        <v>473</v>
      </c>
      <c r="E660" s="276" t="s">
        <v>474</v>
      </c>
      <c r="F660" s="277">
        <v>681</v>
      </c>
      <c r="G660" s="277"/>
      <c r="H660" s="277"/>
      <c r="I660" s="278">
        <f t="shared" si="141"/>
        <v>681</v>
      </c>
      <c r="J660" s="279" t="s">
        <v>156</v>
      </c>
      <c r="K660" s="279">
        <v>1</v>
      </c>
      <c r="L660" s="279">
        <v>1</v>
      </c>
      <c r="M660" s="279">
        <v>1</v>
      </c>
      <c r="N660" s="279">
        <v>1</v>
      </c>
      <c r="O660" s="279">
        <v>1</v>
      </c>
      <c r="P660" s="279">
        <v>1</v>
      </c>
      <c r="Q660" s="279">
        <v>1</v>
      </c>
      <c r="R660" s="279">
        <v>1</v>
      </c>
      <c r="S660" s="280">
        <v>1</v>
      </c>
      <c r="T660" s="63"/>
      <c r="U660" s="10"/>
      <c r="V660" s="90">
        <f>75+674.1</f>
        <v>749.1</v>
      </c>
      <c r="W660" s="91"/>
      <c r="X660" s="92"/>
    </row>
    <row r="661" spans="1:24">
      <c r="A661" s="2"/>
      <c r="B661" s="87">
        <f t="shared" si="142"/>
        <v>6</v>
      </c>
      <c r="C661" s="295">
        <v>45882</v>
      </c>
      <c r="D661" s="323" t="s">
        <v>475</v>
      </c>
      <c r="E661" s="10" t="s">
        <v>158</v>
      </c>
      <c r="F661" s="62">
        <f>1224.74</f>
        <v>1224.74</v>
      </c>
      <c r="G661" s="62">
        <f>39.7+(33.31)</f>
        <v>73.010000000000005</v>
      </c>
      <c r="H661" s="88"/>
      <c r="I661" s="324">
        <f t="shared" si="141"/>
        <v>1151.73</v>
      </c>
      <c r="J661" s="63" t="s">
        <v>156</v>
      </c>
      <c r="K661" s="63">
        <v>1</v>
      </c>
      <c r="L661" s="63">
        <v>1</v>
      </c>
      <c r="M661" s="325">
        <v>0</v>
      </c>
      <c r="N661" s="63">
        <v>1</v>
      </c>
      <c r="O661" s="63">
        <v>1</v>
      </c>
      <c r="P661" s="325">
        <v>0</v>
      </c>
      <c r="Q661" s="63">
        <v>1</v>
      </c>
      <c r="R661" s="63">
        <v>1</v>
      </c>
      <c r="S661" s="296">
        <v>1</v>
      </c>
      <c r="T661" s="63"/>
      <c r="U661" s="10" t="s">
        <v>476</v>
      </c>
      <c r="V661" s="90">
        <f>271.5+1075.71</f>
        <v>1347.21</v>
      </c>
      <c r="W661" s="91"/>
      <c r="X661" s="92"/>
    </row>
    <row r="662" spans="1:24">
      <c r="A662" s="2"/>
      <c r="B662" s="87">
        <f t="shared" si="142"/>
        <v>7</v>
      </c>
      <c r="C662" s="274">
        <v>45883</v>
      </c>
      <c r="D662" s="327" t="s">
        <v>477</v>
      </c>
      <c r="E662" s="276" t="s">
        <v>203</v>
      </c>
      <c r="F662" s="277">
        <f>4646-185</f>
        <v>4461</v>
      </c>
      <c r="G662" s="277">
        <f>39.7+(173.03+161.89)</f>
        <v>374.61999999999995</v>
      </c>
      <c r="H662" s="297"/>
      <c r="I662" s="278">
        <f t="shared" si="141"/>
        <v>4086.38</v>
      </c>
      <c r="J662" s="279" t="s">
        <v>156</v>
      </c>
      <c r="K662" s="279">
        <v>1</v>
      </c>
      <c r="L662" s="279">
        <v>1</v>
      </c>
      <c r="M662" s="279">
        <v>1</v>
      </c>
      <c r="N662" s="279">
        <v>1</v>
      </c>
      <c r="O662" s="279">
        <v>1</v>
      </c>
      <c r="P662" s="279">
        <v>1</v>
      </c>
      <c r="Q662" s="279">
        <v>1</v>
      </c>
      <c r="R662" s="279">
        <v>1</v>
      </c>
      <c r="S662" s="280">
        <v>1</v>
      </c>
      <c r="T662" s="21">
        <v>1</v>
      </c>
      <c r="U662" s="10"/>
      <c r="V662" s="90">
        <f>203.5+490.8+4416.3</f>
        <v>5110.6000000000004</v>
      </c>
      <c r="W662" s="91"/>
      <c r="X662" s="92"/>
    </row>
    <row r="663" spans="1:24">
      <c r="A663" s="2"/>
      <c r="B663" s="87">
        <f t="shared" si="142"/>
        <v>8</v>
      </c>
      <c r="C663" s="282">
        <v>45883</v>
      </c>
      <c r="D663" s="368" t="s">
        <v>478</v>
      </c>
      <c r="E663" s="283" t="s">
        <v>203</v>
      </c>
      <c r="F663" s="284">
        <v>2814</v>
      </c>
      <c r="G663" s="284">
        <v>39.700000000000003</v>
      </c>
      <c r="H663" s="315"/>
      <c r="I663" s="285">
        <f t="shared" si="141"/>
        <v>2774.3</v>
      </c>
      <c r="J663" s="286" t="s">
        <v>156</v>
      </c>
      <c r="K663" s="286">
        <v>1</v>
      </c>
      <c r="L663" s="286">
        <v>1</v>
      </c>
      <c r="M663" s="286">
        <v>1</v>
      </c>
      <c r="N663" s="286">
        <v>1</v>
      </c>
      <c r="O663" s="286">
        <v>1</v>
      </c>
      <c r="P663" s="286">
        <v>1</v>
      </c>
      <c r="Q663" s="286">
        <v>1</v>
      </c>
      <c r="R663" s="286">
        <v>1</v>
      </c>
      <c r="S663" s="287">
        <v>1</v>
      </c>
      <c r="T663" s="63"/>
      <c r="U663" s="10" t="s">
        <v>479</v>
      </c>
      <c r="V663" s="90">
        <f>3094.8</f>
        <v>3094.8</v>
      </c>
      <c r="W663" s="91"/>
      <c r="X663" s="92"/>
    </row>
    <row r="664" spans="1:24">
      <c r="A664" s="2"/>
      <c r="B664" s="87"/>
      <c r="C664" s="36"/>
      <c r="D664" s="10"/>
      <c r="E664" s="10"/>
      <c r="F664" s="97">
        <f>SUM(F656:F663)</f>
        <v>13835.939999999999</v>
      </c>
      <c r="G664" s="97">
        <f>SUM(G656:G663)</f>
        <v>693.82999999999993</v>
      </c>
      <c r="H664" s="97">
        <f>SUM(H656:H663)</f>
        <v>0</v>
      </c>
      <c r="I664" s="98">
        <f>SUM(I656:I663)</f>
        <v>13142.11</v>
      </c>
      <c r="J664" s="63"/>
      <c r="K664" s="63">
        <f>COUNT(K656:K663)</f>
        <v>8</v>
      </c>
      <c r="L664" s="63">
        <f>COUNT(L656:L663)</f>
        <v>8</v>
      </c>
      <c r="M664" s="63">
        <f>COUNT(M656:M663)</f>
        <v>8</v>
      </c>
      <c r="N664" s="63">
        <f>COUNT(N656:N663)</f>
        <v>8</v>
      </c>
      <c r="O664" s="63">
        <f>COUNT(O656:O663)</f>
        <v>8</v>
      </c>
      <c r="P664" s="63">
        <f>COUNT(P656:P663)</f>
        <v>8</v>
      </c>
      <c r="Q664" s="63">
        <f>COUNT(Q656:Q663)</f>
        <v>8</v>
      </c>
      <c r="R664" s="63">
        <f>COUNT(R656:R663)</f>
        <v>8</v>
      </c>
      <c r="S664" s="63">
        <f>COUNT(S656:S663)</f>
        <v>8</v>
      </c>
      <c r="T664" s="63"/>
      <c r="U664" s="10"/>
      <c r="V664" s="90"/>
      <c r="W664" s="91"/>
      <c r="X664" s="92"/>
    </row>
    <row r="665" spans="1:24">
      <c r="A665" s="2"/>
      <c r="B665" s="87"/>
      <c r="C665" s="36"/>
      <c r="D665" s="10"/>
      <c r="E665" s="10"/>
      <c r="F665" s="88"/>
      <c r="G665" s="88"/>
      <c r="H665" s="88"/>
      <c r="I665" s="99"/>
      <c r="J665" s="63"/>
      <c r="K665" s="21">
        <f>SUM(K656:K663)</f>
        <v>8</v>
      </c>
      <c r="L665" s="21">
        <f>SUM(L656:L663)</f>
        <v>7</v>
      </c>
      <c r="M665" s="21">
        <f>SUM(M656:M663)</f>
        <v>7</v>
      </c>
      <c r="N665" s="21">
        <f>SUM(N656:N663)</f>
        <v>8</v>
      </c>
      <c r="O665" s="21">
        <f>SUM(O656:O663)</f>
        <v>8</v>
      </c>
      <c r="P665" s="21">
        <f>SUM(P656:P663)</f>
        <v>7</v>
      </c>
      <c r="Q665" s="21">
        <f>SUM(Q656:Q663)</f>
        <v>8</v>
      </c>
      <c r="R665" s="21">
        <f>SUM(R656:R663)</f>
        <v>8</v>
      </c>
      <c r="S665" s="21">
        <f>SUM(S656:S663)</f>
        <v>8</v>
      </c>
      <c r="T665" s="63"/>
      <c r="U665" s="10"/>
      <c r="V665" s="90"/>
      <c r="W665" s="91"/>
      <c r="X665" s="92"/>
    </row>
    <row r="666" spans="1:24">
      <c r="A666" s="2"/>
      <c r="B666" s="11"/>
      <c r="C666" s="36"/>
      <c r="D666" s="10"/>
      <c r="E666" s="10"/>
      <c r="F666" s="88"/>
      <c r="G666" s="88"/>
      <c r="H666" s="88"/>
      <c r="I666" s="99"/>
      <c r="J666" s="63"/>
      <c r="K666" s="21"/>
      <c r="L666" s="21"/>
      <c r="M666" s="21"/>
      <c r="N666" s="21"/>
      <c r="O666" s="21"/>
      <c r="P666" s="21"/>
      <c r="Q666" s="21"/>
      <c r="R666" s="21"/>
      <c r="S666" s="21"/>
      <c r="T666" s="63"/>
      <c r="U666" s="10"/>
      <c r="V666" s="90"/>
      <c r="W666" s="91"/>
      <c r="X666" s="92"/>
    </row>
    <row r="667" spans="1:24">
      <c r="A667" s="128"/>
      <c r="B667" s="121" t="s">
        <v>70</v>
      </c>
      <c r="C667" s="122"/>
      <c r="D667" s="123"/>
      <c r="E667" s="128"/>
      <c r="F667" s="124"/>
      <c r="G667" s="124"/>
      <c r="H667" s="124"/>
      <c r="I667" s="126"/>
      <c r="J667" s="127"/>
      <c r="K667" s="64"/>
      <c r="L667" s="64"/>
      <c r="M667" s="64"/>
      <c r="N667" s="64"/>
      <c r="O667" s="64"/>
      <c r="P667" s="64"/>
      <c r="Q667" s="64"/>
      <c r="R667" s="64"/>
      <c r="S667" s="64"/>
      <c r="T667" s="127"/>
      <c r="U667" s="135"/>
      <c r="V667" s="129"/>
      <c r="W667" s="130"/>
      <c r="X667" s="131"/>
    </row>
    <row r="668" spans="1:24" s="342" customFormat="1">
      <c r="A668" s="356">
        <v>0.05</v>
      </c>
      <c r="B668" s="333">
        <v>1</v>
      </c>
      <c r="C668" s="350">
        <v>45881</v>
      </c>
      <c r="D668" s="263" t="s">
        <v>480</v>
      </c>
      <c r="E668" s="498" t="s">
        <v>456</v>
      </c>
      <c r="F668" s="352">
        <v>8614</v>
      </c>
      <c r="G668" s="352">
        <f>39.7+(278.1+41.8-83.55)+1500</f>
        <v>1776.05</v>
      </c>
      <c r="H668" s="352"/>
      <c r="I668" s="353">
        <f t="shared" ref="I668" si="143">F668-G668-H668</f>
        <v>6837.95</v>
      </c>
      <c r="J668" s="354" t="s">
        <v>228</v>
      </c>
      <c r="K668" s="354">
        <v>1</v>
      </c>
      <c r="L668" s="354"/>
      <c r="M668" s="354">
        <v>1</v>
      </c>
      <c r="N668" s="354">
        <v>1</v>
      </c>
      <c r="O668" s="354">
        <v>1</v>
      </c>
      <c r="P668" s="354">
        <v>1</v>
      </c>
      <c r="Q668" s="354"/>
      <c r="R668" s="354"/>
      <c r="S668" s="355"/>
      <c r="T668" s="127"/>
      <c r="U668" s="135" t="s">
        <v>481</v>
      </c>
      <c r="V668" s="129">
        <f>947.5+5200</f>
        <v>6147.5</v>
      </c>
      <c r="W668" s="340"/>
      <c r="X668" s="341"/>
    </row>
    <row r="669" spans="1:24">
      <c r="A669" s="128"/>
      <c r="B669" s="132"/>
      <c r="C669" s="122"/>
      <c r="D669" s="123"/>
      <c r="E669" s="123"/>
      <c r="F669" s="133">
        <f>SUM(F668:F668)</f>
        <v>8614</v>
      </c>
      <c r="G669" s="133">
        <f>SUM(G668:G668)</f>
        <v>1776.05</v>
      </c>
      <c r="H669" s="133">
        <f>SUM(H668:H668)</f>
        <v>0</v>
      </c>
      <c r="I669" s="134">
        <f>SUM(I668:I668)</f>
        <v>6837.95</v>
      </c>
      <c r="J669" s="127"/>
      <c r="K669" s="64"/>
      <c r="L669" s="64"/>
      <c r="M669" s="64"/>
      <c r="N669" s="64"/>
      <c r="O669" s="64"/>
      <c r="P669" s="64"/>
      <c r="Q669" s="64"/>
      <c r="R669" s="64"/>
      <c r="S669" s="64"/>
      <c r="T669" s="127"/>
      <c r="U669" s="135"/>
      <c r="V669" s="129"/>
      <c r="W669" s="130"/>
      <c r="X669" s="131"/>
    </row>
    <row r="670" spans="1:24">
      <c r="A670" s="2"/>
      <c r="B670" s="11"/>
      <c r="C670" s="36"/>
      <c r="D670" s="10"/>
      <c r="E670" s="10"/>
      <c r="F670" s="88"/>
      <c r="G670" s="88"/>
      <c r="H670" s="88"/>
      <c r="I670" s="99"/>
      <c r="J670" s="10"/>
      <c r="K670" s="63"/>
      <c r="L670" s="63"/>
      <c r="M670" s="63"/>
      <c r="N670" s="63"/>
      <c r="O670" s="63"/>
      <c r="P670" s="63"/>
      <c r="Q670" s="63"/>
      <c r="R670" s="63"/>
      <c r="S670" s="63"/>
      <c r="T670" s="63"/>
      <c r="U670" s="94"/>
      <c r="V670" s="90"/>
      <c r="W670" s="91"/>
      <c r="X670" s="92"/>
    </row>
    <row r="671" spans="1:24" s="260" customFormat="1">
      <c r="A671" s="181"/>
      <c r="B671" s="100" t="s">
        <v>152</v>
      </c>
      <c r="C671" s="36"/>
      <c r="D671" s="10"/>
      <c r="E671" s="10"/>
      <c r="F671" s="88"/>
      <c r="G671" s="62"/>
      <c r="H671" s="88"/>
      <c r="I671" s="99"/>
      <c r="J671" s="10"/>
      <c r="K671" s="181"/>
      <c r="L671" s="181"/>
      <c r="M671" s="181"/>
      <c r="N671" s="181"/>
      <c r="O671" s="181"/>
      <c r="P671" s="181"/>
      <c r="Q671" s="181"/>
      <c r="R671" s="181"/>
      <c r="S671" s="181"/>
      <c r="T671" s="63"/>
      <c r="U671" s="10"/>
      <c r="V671" s="90"/>
      <c r="W671" s="91"/>
      <c r="X671" s="92"/>
    </row>
    <row r="672" spans="1:24" s="260" customFormat="1">
      <c r="A672" s="312" t="s">
        <v>194</v>
      </c>
      <c r="B672" s="87">
        <v>1</v>
      </c>
      <c r="C672" s="262">
        <v>45805</v>
      </c>
      <c r="D672" s="273" t="s">
        <v>195</v>
      </c>
      <c r="E672" s="271" t="s">
        <v>196</v>
      </c>
      <c r="F672" s="265">
        <v>2999.1</v>
      </c>
      <c r="G672" s="265">
        <v>39.700000000000003</v>
      </c>
      <c r="H672" s="265">
        <f>F672*0.2</f>
        <v>599.82000000000005</v>
      </c>
      <c r="I672" s="266">
        <f t="shared" ref="I672:I677" si="144">F672-G672-H672</f>
        <v>2359.58</v>
      </c>
      <c r="J672" s="267" t="s">
        <v>197</v>
      </c>
      <c r="K672" s="267">
        <v>1</v>
      </c>
      <c r="L672" s="267">
        <v>1</v>
      </c>
      <c r="M672" s="267">
        <v>1</v>
      </c>
      <c r="N672" s="267">
        <v>1</v>
      </c>
      <c r="O672" s="267">
        <v>1</v>
      </c>
      <c r="P672" s="314">
        <v>0</v>
      </c>
      <c r="Q672" s="314">
        <v>0</v>
      </c>
      <c r="R672" s="314">
        <v>0</v>
      </c>
      <c r="S672" s="366">
        <v>0</v>
      </c>
      <c r="T672" s="63"/>
      <c r="U672" s="10" t="s">
        <v>198</v>
      </c>
      <c r="V672" s="90"/>
      <c r="W672" s="91"/>
      <c r="X672" s="92"/>
    </row>
    <row r="673" spans="1:24" s="260" customFormat="1">
      <c r="A673" s="312" t="s">
        <v>194</v>
      </c>
      <c r="B673" s="87">
        <f>B672+1</f>
        <v>2</v>
      </c>
      <c r="C673" s="262">
        <v>45805</v>
      </c>
      <c r="D673" s="273" t="s">
        <v>199</v>
      </c>
      <c r="E673" s="271" t="s">
        <v>196</v>
      </c>
      <c r="F673" s="265">
        <v>16214</v>
      </c>
      <c r="G673" s="265">
        <f>39.7+44+36.26+(33.82+55.44)+(102.43+254.2+84.43+10.82+125.93)+1500</f>
        <v>2287.0299999999997</v>
      </c>
      <c r="H673" s="265">
        <f>F673*0.2</f>
        <v>3242.8</v>
      </c>
      <c r="I673" s="266">
        <f t="shared" si="144"/>
        <v>10684.170000000002</v>
      </c>
      <c r="J673" s="267" t="s">
        <v>197</v>
      </c>
      <c r="K673" s="267">
        <v>1</v>
      </c>
      <c r="L673" s="267">
        <v>1</v>
      </c>
      <c r="M673" s="267">
        <v>1</v>
      </c>
      <c r="N673" s="267">
        <v>1</v>
      </c>
      <c r="O673" s="267">
        <v>1</v>
      </c>
      <c r="P673" s="314">
        <v>0</v>
      </c>
      <c r="Q673" s="267">
        <v>1</v>
      </c>
      <c r="R673" s="267">
        <v>1</v>
      </c>
      <c r="S673" s="366">
        <v>0</v>
      </c>
      <c r="T673" s="63"/>
      <c r="U673" s="10" t="s">
        <v>200</v>
      </c>
      <c r="V673" s="90"/>
      <c r="W673" s="136"/>
      <c r="X673" s="137"/>
    </row>
    <row r="674" spans="1:24" s="260" customFormat="1">
      <c r="A674" s="261">
        <v>0.05</v>
      </c>
      <c r="B674" s="87">
        <f>B673+1</f>
        <v>3</v>
      </c>
      <c r="C674" s="262">
        <v>45826</v>
      </c>
      <c r="D674" s="271">
        <v>70849</v>
      </c>
      <c r="E674" s="271" t="s">
        <v>189</v>
      </c>
      <c r="F674" s="265">
        <f>1261</f>
        <v>1261</v>
      </c>
      <c r="G674" s="265">
        <v>39.700000000000003</v>
      </c>
      <c r="H674" s="265"/>
      <c r="I674" s="266">
        <f t="shared" si="144"/>
        <v>1221.3</v>
      </c>
      <c r="J674" s="267" t="s">
        <v>156</v>
      </c>
      <c r="K674" s="267">
        <v>1</v>
      </c>
      <c r="L674" s="267">
        <v>1</v>
      </c>
      <c r="M674" s="267">
        <v>1</v>
      </c>
      <c r="N674" s="267">
        <v>1</v>
      </c>
      <c r="O674" s="267">
        <v>1</v>
      </c>
      <c r="P674" s="267">
        <v>1</v>
      </c>
      <c r="Q674" s="314">
        <v>0</v>
      </c>
      <c r="R674" s="314">
        <v>0</v>
      </c>
      <c r="S674" s="366">
        <v>0</v>
      </c>
      <c r="T674" s="63"/>
      <c r="U674" s="10" t="s">
        <v>201</v>
      </c>
      <c r="V674" s="90"/>
      <c r="W674" s="136"/>
      <c r="X674" s="137"/>
    </row>
    <row r="675" spans="1:24" s="260" customFormat="1">
      <c r="A675" s="261">
        <v>0.05</v>
      </c>
      <c r="B675" s="87">
        <f>B674+1</f>
        <v>4</v>
      </c>
      <c r="C675" s="262">
        <v>45834</v>
      </c>
      <c r="D675" s="273" t="s">
        <v>188</v>
      </c>
      <c r="E675" s="271" t="s">
        <v>189</v>
      </c>
      <c r="F675" s="265">
        <f>11553-160.9</f>
        <v>11392.1</v>
      </c>
      <c r="G675" s="265">
        <f>39.7+4500+300</f>
        <v>4839.7</v>
      </c>
      <c r="H675" s="265">
        <f>F675*0.2</f>
        <v>2278.42</v>
      </c>
      <c r="I675" s="266">
        <f t="shared" si="144"/>
        <v>4273.9800000000005</v>
      </c>
      <c r="J675" s="267" t="s">
        <v>185</v>
      </c>
      <c r="K675" s="267">
        <v>1</v>
      </c>
      <c r="L675" s="267">
        <v>1</v>
      </c>
      <c r="M675" s="267">
        <v>1</v>
      </c>
      <c r="N675" s="267">
        <v>1</v>
      </c>
      <c r="O675" s="267">
        <v>1</v>
      </c>
      <c r="P675" s="314">
        <v>0</v>
      </c>
      <c r="Q675" s="314">
        <v>0</v>
      </c>
      <c r="R675" s="314">
        <v>0</v>
      </c>
      <c r="S675" s="366">
        <v>0</v>
      </c>
      <c r="T675" s="63"/>
      <c r="U675" s="10" t="s">
        <v>266</v>
      </c>
      <c r="V675" s="90"/>
      <c r="W675" s="136"/>
      <c r="X675" s="137"/>
    </row>
    <row r="676" spans="1:24" s="342" customFormat="1">
      <c r="A676" s="31">
        <v>0.05</v>
      </c>
      <c r="B676" s="87">
        <f>B675+1</f>
        <v>5</v>
      </c>
      <c r="C676" s="262">
        <v>45838</v>
      </c>
      <c r="D676" s="273" t="s">
        <v>257</v>
      </c>
      <c r="E676" s="264" t="s">
        <v>227</v>
      </c>
      <c r="F676" s="265">
        <v>1261</v>
      </c>
      <c r="G676" s="265">
        <v>39.700000000000003</v>
      </c>
      <c r="H676" s="265"/>
      <c r="I676" s="266">
        <f t="shared" si="144"/>
        <v>1221.3</v>
      </c>
      <c r="J676" s="267" t="s">
        <v>156</v>
      </c>
      <c r="K676" s="267">
        <v>1</v>
      </c>
      <c r="L676" s="267">
        <v>1</v>
      </c>
      <c r="M676" s="267">
        <v>1</v>
      </c>
      <c r="N676" s="267">
        <v>1</v>
      </c>
      <c r="O676" s="267">
        <v>1</v>
      </c>
      <c r="P676" s="314">
        <v>0</v>
      </c>
      <c r="Q676" s="267">
        <v>1</v>
      </c>
      <c r="R676" s="267">
        <v>1</v>
      </c>
      <c r="S676" s="366">
        <v>0</v>
      </c>
      <c r="T676" s="63"/>
      <c r="U676" s="10" t="s">
        <v>482</v>
      </c>
      <c r="V676" s="90"/>
      <c r="W676" s="91"/>
      <c r="X676" s="92"/>
    </row>
    <row r="677" spans="1:24" s="260" customFormat="1">
      <c r="A677" s="261" t="s">
        <v>483</v>
      </c>
      <c r="B677" s="87">
        <f t="shared" ref="B677:B678" si="145">B676+1</f>
        <v>6</v>
      </c>
      <c r="C677" s="274">
        <v>45835</v>
      </c>
      <c r="D677" s="275">
        <v>71077</v>
      </c>
      <c r="E677" s="276" t="s">
        <v>204</v>
      </c>
      <c r="F677" s="277">
        <v>5814</v>
      </c>
      <c r="G677" s="277">
        <f>39.7+(727.51)</f>
        <v>767.21</v>
      </c>
      <c r="H677" s="277"/>
      <c r="I677" s="321">
        <f t="shared" si="144"/>
        <v>5046.79</v>
      </c>
      <c r="J677" s="279" t="s">
        <v>236</v>
      </c>
      <c r="K677" s="279">
        <v>1</v>
      </c>
      <c r="L677" s="279">
        <v>1</v>
      </c>
      <c r="M677" s="279">
        <v>1</v>
      </c>
      <c r="N677" s="279">
        <v>1</v>
      </c>
      <c r="O677" s="279">
        <v>1</v>
      </c>
      <c r="P677" s="322">
        <v>0</v>
      </c>
      <c r="Q677" s="322">
        <v>0</v>
      </c>
      <c r="R677" s="322">
        <v>0</v>
      </c>
      <c r="S677" s="328">
        <v>0</v>
      </c>
      <c r="T677" s="63"/>
      <c r="U677" s="10" t="s">
        <v>484</v>
      </c>
      <c r="V677" s="90"/>
      <c r="W677" s="136"/>
      <c r="X677" s="137"/>
    </row>
    <row r="678" spans="1:24" s="260" customFormat="1">
      <c r="A678" s="261">
        <v>0.05</v>
      </c>
      <c r="B678" s="87">
        <f t="shared" si="145"/>
        <v>7</v>
      </c>
      <c r="C678" s="262">
        <v>45873</v>
      </c>
      <c r="D678" s="271" t="s">
        <v>448</v>
      </c>
      <c r="E678" s="271" t="s">
        <v>245</v>
      </c>
      <c r="F678" s="265">
        <v>16214</v>
      </c>
      <c r="G678" s="265">
        <f>39.7+334+(37.9+110.12+72.67+137.98)+(161.68+232.63)+1500</f>
        <v>2626.68</v>
      </c>
      <c r="H678" s="265"/>
      <c r="I678" s="266">
        <f>F678-G678-H678</f>
        <v>13587.32</v>
      </c>
      <c r="J678" s="267" t="s">
        <v>228</v>
      </c>
      <c r="K678" s="267">
        <v>1</v>
      </c>
      <c r="L678" s="267">
        <v>1</v>
      </c>
      <c r="M678" s="267">
        <v>1</v>
      </c>
      <c r="N678" s="267">
        <v>1</v>
      </c>
      <c r="O678" s="267">
        <v>1</v>
      </c>
      <c r="P678" s="267">
        <v>1</v>
      </c>
      <c r="Q678" s="314">
        <v>0</v>
      </c>
      <c r="R678" s="314">
        <v>0</v>
      </c>
      <c r="S678" s="366">
        <v>0</v>
      </c>
      <c r="T678" s="63"/>
      <c r="U678" s="94" t="s">
        <v>485</v>
      </c>
      <c r="V678" s="90"/>
      <c r="W678" s="136"/>
      <c r="X678" s="137"/>
    </row>
    <row r="679" spans="1:24" s="260" customFormat="1">
      <c r="A679" s="181"/>
      <c r="B679" s="11"/>
      <c r="C679" s="36"/>
      <c r="D679" s="77"/>
      <c r="E679" s="10"/>
      <c r="F679" s="97">
        <f>SUM(F672:F678)</f>
        <v>55155.199999999997</v>
      </c>
      <c r="G679" s="97">
        <f t="shared" ref="G679:I679" si="146">SUM(G672:G678)</f>
        <v>10639.72</v>
      </c>
      <c r="H679" s="97">
        <f t="shared" si="146"/>
        <v>6121.0400000000009</v>
      </c>
      <c r="I679" s="97">
        <f t="shared" si="146"/>
        <v>38394.44</v>
      </c>
      <c r="K679" s="21"/>
      <c r="L679" s="21"/>
      <c r="M679" s="21"/>
      <c r="N679" s="21"/>
      <c r="O679" s="21"/>
      <c r="P679" s="21"/>
      <c r="Q679" s="21"/>
      <c r="R679" s="21"/>
      <c r="S679" s="21"/>
      <c r="T679" s="63"/>
      <c r="U679" s="10"/>
      <c r="V679" s="90"/>
      <c r="W679" s="91"/>
      <c r="X679" s="92"/>
    </row>
    <row r="680" spans="1:24" s="260" customFormat="1">
      <c r="A680" s="181"/>
      <c r="B680" s="11"/>
      <c r="C680" s="36"/>
      <c r="D680" s="77"/>
      <c r="E680" s="10"/>
      <c r="F680" s="88"/>
      <c r="G680" s="88"/>
      <c r="H680" s="88"/>
      <c r="I680" s="99"/>
      <c r="J680" s="63"/>
      <c r="K680" s="21"/>
      <c r="L680" s="21"/>
      <c r="M680" s="21"/>
      <c r="N680" s="21"/>
      <c r="O680" s="21"/>
      <c r="P680" s="21"/>
      <c r="Q680" s="21"/>
      <c r="R680" s="21"/>
      <c r="S680" s="21"/>
      <c r="T680" s="63"/>
      <c r="U680" s="10"/>
      <c r="V680" s="90"/>
      <c r="W680" s="91"/>
      <c r="X680" s="92"/>
    </row>
    <row r="681" spans="1:24" s="260" customFormat="1">
      <c r="A681" s="181"/>
      <c r="B681" s="100" t="s">
        <v>202</v>
      </c>
      <c r="C681" s="299"/>
      <c r="D681" s="77"/>
      <c r="E681" s="181"/>
      <c r="F681" s="88"/>
      <c r="G681" s="88"/>
      <c r="H681" s="88"/>
      <c r="I681" s="99"/>
      <c r="J681" s="63"/>
      <c r="K681" s="21"/>
      <c r="L681" s="21"/>
      <c r="M681" s="21"/>
      <c r="N681" s="21"/>
      <c r="O681" s="21"/>
      <c r="P681" s="21"/>
      <c r="Q681" s="21"/>
      <c r="R681" s="21"/>
      <c r="S681" s="21"/>
      <c r="T681" s="63"/>
      <c r="U681" s="10"/>
      <c r="V681" s="90"/>
      <c r="W681" s="91"/>
      <c r="X681" s="92"/>
    </row>
    <row r="682" spans="1:24" s="260" customFormat="1">
      <c r="A682" s="261">
        <v>0.05</v>
      </c>
      <c r="B682" s="87">
        <v>1</v>
      </c>
      <c r="C682" s="262">
        <v>45847</v>
      </c>
      <c r="D682" s="271">
        <v>71343</v>
      </c>
      <c r="E682" s="271" t="s">
        <v>184</v>
      </c>
      <c r="F682" s="265">
        <v>2814</v>
      </c>
      <c r="G682" s="265">
        <f>39.7+(36.22+222.93)</f>
        <v>298.84999999999997</v>
      </c>
      <c r="H682" s="265"/>
      <c r="I682" s="266">
        <f>F682-G682-H682</f>
        <v>2515.15</v>
      </c>
      <c r="J682" s="267" t="s">
        <v>156</v>
      </c>
      <c r="K682" s="267">
        <v>1</v>
      </c>
      <c r="L682" s="267"/>
      <c r="M682" s="267">
        <v>1</v>
      </c>
      <c r="N682" s="267">
        <v>1</v>
      </c>
      <c r="O682" s="267">
        <v>1</v>
      </c>
      <c r="P682" s="314">
        <v>0</v>
      </c>
      <c r="Q682" s="267"/>
      <c r="R682" s="267"/>
      <c r="S682" s="269"/>
      <c r="T682" s="63"/>
      <c r="U682" s="94" t="s">
        <v>359</v>
      </c>
      <c r="V682" s="90"/>
      <c r="W682" s="136"/>
      <c r="X682" s="137"/>
    </row>
    <row r="683" spans="1:24" s="260" customFormat="1">
      <c r="A683" s="261">
        <v>0.05</v>
      </c>
      <c r="B683" s="87">
        <f>B682+1</f>
        <v>2</v>
      </c>
      <c r="C683" s="262">
        <v>45877</v>
      </c>
      <c r="D683" s="271" t="s">
        <v>450</v>
      </c>
      <c r="E683" s="271" t="s">
        <v>203</v>
      </c>
      <c r="F683" s="265">
        <v>12814</v>
      </c>
      <c r="G683" s="265">
        <f>39.7+(112.49+76.96+145.18+14.16+69.11-131.35)+(95.68+286.2-8.21+27.54+29.97+79.15+27.04+302.46+51.78+24.62)+1000</f>
        <v>2242.48</v>
      </c>
      <c r="H683" s="265"/>
      <c r="I683" s="272">
        <f>F683-G683-H683</f>
        <v>10571.52</v>
      </c>
      <c r="J683" s="267" t="s">
        <v>228</v>
      </c>
      <c r="K683" s="267">
        <v>1</v>
      </c>
      <c r="L683" s="267"/>
      <c r="M683" s="267">
        <v>1</v>
      </c>
      <c r="N683" s="267">
        <v>1</v>
      </c>
      <c r="O683" s="267">
        <v>1</v>
      </c>
      <c r="P683" s="267">
        <v>1</v>
      </c>
      <c r="Q683" s="267"/>
      <c r="R683" s="267"/>
      <c r="S683" s="269"/>
      <c r="T683" s="63"/>
      <c r="U683" s="94" t="s">
        <v>486</v>
      </c>
      <c r="V683" s="90"/>
      <c r="W683" s="136"/>
      <c r="X683" s="137"/>
    </row>
    <row r="684" spans="1:24" s="260" customFormat="1">
      <c r="B684" s="11"/>
      <c r="C684" s="36"/>
      <c r="D684" s="10"/>
      <c r="E684" s="10"/>
      <c r="F684" s="97">
        <f>SUM(F682:F683)</f>
        <v>15628</v>
      </c>
      <c r="G684" s="97">
        <f>SUM(G682:G683)</f>
        <v>2541.33</v>
      </c>
      <c r="H684" s="97">
        <f>SUM(H682:H683)</f>
        <v>0</v>
      </c>
      <c r="I684" s="97">
        <f>SUM(I682:I683)</f>
        <v>13086.67</v>
      </c>
      <c r="J684" s="63"/>
      <c r="K684" s="21"/>
      <c r="L684" s="21"/>
      <c r="M684" s="21"/>
      <c r="N684" s="21"/>
      <c r="O684" s="21"/>
      <c r="P684" s="21"/>
      <c r="Q684" s="21"/>
      <c r="R684" s="21"/>
      <c r="S684" s="21"/>
      <c r="T684" s="63"/>
      <c r="U684" s="10"/>
      <c r="V684" s="90"/>
      <c r="W684" s="91"/>
      <c r="X684" s="92"/>
    </row>
    <row r="685" spans="1:24" s="260" customFormat="1">
      <c r="B685" s="11"/>
      <c r="C685" s="36"/>
      <c r="D685" s="10"/>
      <c r="E685" s="10"/>
      <c r="F685" s="88"/>
      <c r="G685" s="88"/>
      <c r="H685" s="88"/>
      <c r="I685" s="88"/>
      <c r="J685" s="63"/>
      <c r="K685" s="21"/>
      <c r="L685" s="21"/>
      <c r="M685" s="21"/>
      <c r="N685" s="21"/>
      <c r="O685" s="21"/>
      <c r="P685" s="21"/>
      <c r="Q685" s="21"/>
      <c r="R685" s="21"/>
      <c r="S685" s="21"/>
      <c r="T685" s="63"/>
      <c r="U685" s="10"/>
      <c r="V685" s="90"/>
      <c r="W685" s="91"/>
      <c r="X685" s="92"/>
    </row>
    <row r="686" spans="1:24">
      <c r="A686" s="2"/>
      <c r="B686" s="100" t="s">
        <v>72</v>
      </c>
      <c r="C686" s="36"/>
      <c r="D686" s="10"/>
      <c r="E686" s="10"/>
      <c r="F686" s="88"/>
      <c r="G686" s="88"/>
      <c r="H686" s="88"/>
      <c r="I686" s="99"/>
      <c r="J686" s="63"/>
      <c r="K686" s="63"/>
      <c r="L686" s="63"/>
      <c r="M686" s="63"/>
      <c r="N686" s="63"/>
      <c r="O686" s="63"/>
      <c r="P686" s="63"/>
      <c r="Q686" s="63"/>
      <c r="R686" s="63"/>
      <c r="S686" s="63"/>
      <c r="T686" s="63"/>
      <c r="U686" s="10"/>
      <c r="V686" s="90"/>
      <c r="W686" s="91"/>
      <c r="X686" s="92"/>
    </row>
    <row r="687" spans="1:24">
      <c r="A687" s="2"/>
      <c r="B687" s="87">
        <v>1</v>
      </c>
      <c r="C687" s="274">
        <v>45880</v>
      </c>
      <c r="D687" s="275" t="s">
        <v>487</v>
      </c>
      <c r="E687" s="276" t="s">
        <v>227</v>
      </c>
      <c r="F687" s="277">
        <v>11333</v>
      </c>
      <c r="G687" s="277">
        <f>39.7</f>
        <v>39.700000000000003</v>
      </c>
      <c r="H687" s="277"/>
      <c r="I687" s="278">
        <f t="shared" ref="I687:I698" si="147">F687-G687-H687</f>
        <v>11293.3</v>
      </c>
      <c r="J687" s="279" t="s">
        <v>205</v>
      </c>
      <c r="K687" s="279">
        <v>1</v>
      </c>
      <c r="L687" s="279"/>
      <c r="M687" s="279"/>
      <c r="N687" s="279">
        <v>1</v>
      </c>
      <c r="O687" s="279"/>
      <c r="P687" s="279"/>
      <c r="Q687" s="279"/>
      <c r="R687" s="279"/>
      <c r="S687" s="280"/>
      <c r="T687" s="63"/>
      <c r="U687" s="3"/>
      <c r="V687" s="90"/>
      <c r="W687" s="91"/>
      <c r="X687" s="92"/>
    </row>
    <row r="688" spans="1:24">
      <c r="A688" s="2"/>
      <c r="B688" s="87">
        <f t="shared" ref="B688:B698" si="148">B687+1</f>
        <v>2</v>
      </c>
      <c r="C688" s="295">
        <v>45880</v>
      </c>
      <c r="D688" s="10">
        <v>72224</v>
      </c>
      <c r="E688" s="10" t="s">
        <v>334</v>
      </c>
      <c r="F688" s="62">
        <v>1264</v>
      </c>
      <c r="G688" s="62">
        <f>39.7</f>
        <v>39.700000000000003</v>
      </c>
      <c r="H688" s="62"/>
      <c r="I688" s="89">
        <f t="shared" si="147"/>
        <v>1224.3</v>
      </c>
      <c r="J688" s="63" t="s">
        <v>205</v>
      </c>
      <c r="K688" s="63">
        <v>1</v>
      </c>
      <c r="L688" s="63"/>
      <c r="M688" s="63"/>
      <c r="N688" s="63">
        <v>1</v>
      </c>
      <c r="O688" s="63"/>
      <c r="P688" s="63"/>
      <c r="Q688" s="63">
        <v>1</v>
      </c>
      <c r="R688" s="63">
        <v>1</v>
      </c>
      <c r="S688" s="296">
        <v>1</v>
      </c>
      <c r="T688" s="63"/>
      <c r="U688" s="10"/>
      <c r="V688" s="90"/>
      <c r="W688" s="136"/>
      <c r="X688" s="137"/>
    </row>
    <row r="689" spans="1:24">
      <c r="A689" s="388">
        <v>45891</v>
      </c>
      <c r="B689" s="87">
        <f>B688+1</f>
        <v>3</v>
      </c>
      <c r="C689" s="282">
        <v>45880</v>
      </c>
      <c r="D689" s="283">
        <v>72220</v>
      </c>
      <c r="E689" s="283" t="s">
        <v>471</v>
      </c>
      <c r="F689" s="284">
        <v>681</v>
      </c>
      <c r="G689" s="284"/>
      <c r="H689" s="284"/>
      <c r="I689" s="285">
        <f>F689-G689-H689</f>
        <v>681</v>
      </c>
      <c r="J689" s="286" t="s">
        <v>156</v>
      </c>
      <c r="K689" s="286">
        <v>1</v>
      </c>
      <c r="L689" s="286"/>
      <c r="M689" s="286">
        <v>1</v>
      </c>
      <c r="N689" s="286">
        <v>1</v>
      </c>
      <c r="O689" s="286"/>
      <c r="P689" s="286"/>
      <c r="Q689" s="286"/>
      <c r="R689" s="286"/>
      <c r="S689" s="287"/>
      <c r="T689" s="63"/>
      <c r="U689" s="94" t="s">
        <v>488</v>
      </c>
      <c r="V689" s="90">
        <f>75</f>
        <v>75</v>
      </c>
      <c r="W689" s="136"/>
      <c r="X689" s="137"/>
    </row>
    <row r="690" spans="1:24">
      <c r="A690" s="2"/>
      <c r="B690" s="87">
        <f>B689+1</f>
        <v>4</v>
      </c>
      <c r="C690" s="295">
        <v>45881</v>
      </c>
      <c r="D690" s="10">
        <v>72209</v>
      </c>
      <c r="E690" s="10" t="s">
        <v>489</v>
      </c>
      <c r="F690" s="62">
        <v>2749</v>
      </c>
      <c r="G690" s="62">
        <v>39.700000000000003</v>
      </c>
      <c r="H690" s="62"/>
      <c r="I690" s="89">
        <f t="shared" si="147"/>
        <v>2709.3</v>
      </c>
      <c r="J690" s="63" t="s">
        <v>205</v>
      </c>
      <c r="K690" s="63">
        <v>1</v>
      </c>
      <c r="L690" s="63"/>
      <c r="M690" s="63"/>
      <c r="N690" s="63">
        <v>1</v>
      </c>
      <c r="O690" s="63"/>
      <c r="P690" s="63"/>
      <c r="Q690" s="63">
        <v>1</v>
      </c>
      <c r="R690" s="63">
        <v>1</v>
      </c>
      <c r="S690" s="296"/>
      <c r="T690" s="21"/>
      <c r="U690" s="10"/>
      <c r="V690" s="90"/>
      <c r="W690" s="136"/>
      <c r="X690" s="137"/>
    </row>
    <row r="691" spans="1:24">
      <c r="A691" s="2"/>
      <c r="B691" s="87">
        <f t="shared" si="148"/>
        <v>5</v>
      </c>
      <c r="C691" s="295">
        <v>45881</v>
      </c>
      <c r="D691" s="10">
        <v>72236</v>
      </c>
      <c r="E691" s="10" t="s">
        <v>327</v>
      </c>
      <c r="F691" s="62">
        <v>5295</v>
      </c>
      <c r="G691" s="62">
        <v>39.700000000000003</v>
      </c>
      <c r="H691" s="62"/>
      <c r="I691" s="89">
        <f t="shared" si="147"/>
        <v>5255.3</v>
      </c>
      <c r="J691" s="63" t="s">
        <v>205</v>
      </c>
      <c r="K691" s="63">
        <v>1</v>
      </c>
      <c r="L691" s="63"/>
      <c r="M691" s="63"/>
      <c r="N691" s="63">
        <v>1</v>
      </c>
      <c r="O691" s="63"/>
      <c r="P691" s="63"/>
      <c r="Q691" s="63">
        <v>1</v>
      </c>
      <c r="R691" s="63">
        <v>1</v>
      </c>
      <c r="S691" s="296">
        <v>1</v>
      </c>
      <c r="T691" s="63"/>
      <c r="U691" s="10"/>
      <c r="V691" s="90"/>
      <c r="W691" s="136"/>
      <c r="X691" s="137"/>
    </row>
    <row r="692" spans="1:24">
      <c r="A692" s="2"/>
      <c r="B692" s="87">
        <f t="shared" si="148"/>
        <v>6</v>
      </c>
      <c r="C692" s="295">
        <v>45881</v>
      </c>
      <c r="D692" s="10">
        <v>72206</v>
      </c>
      <c r="E692" s="10" t="s">
        <v>369</v>
      </c>
      <c r="F692" s="62">
        <v>1024.2</v>
      </c>
      <c r="G692" s="62">
        <v>39.700000000000003</v>
      </c>
      <c r="H692" s="62"/>
      <c r="I692" s="89">
        <f t="shared" si="147"/>
        <v>984.5</v>
      </c>
      <c r="J692" s="63" t="s">
        <v>205</v>
      </c>
      <c r="K692" s="63">
        <v>1</v>
      </c>
      <c r="L692" s="63"/>
      <c r="M692" s="63"/>
      <c r="N692" s="63">
        <v>1</v>
      </c>
      <c r="O692" s="63"/>
      <c r="P692" s="63"/>
      <c r="Q692" s="63">
        <v>1</v>
      </c>
      <c r="R692" s="63">
        <v>1</v>
      </c>
      <c r="S692" s="296">
        <v>1</v>
      </c>
      <c r="T692" s="63"/>
      <c r="U692" s="10"/>
      <c r="V692" s="90"/>
      <c r="W692" s="136"/>
      <c r="X692" s="137"/>
    </row>
    <row r="693" spans="1:24">
      <c r="A693" s="2"/>
      <c r="B693" s="87">
        <f t="shared" si="148"/>
        <v>7</v>
      </c>
      <c r="C693" s="274">
        <v>45882</v>
      </c>
      <c r="D693" s="275" t="s">
        <v>490</v>
      </c>
      <c r="E693" s="281" t="s">
        <v>474</v>
      </c>
      <c r="F693" s="277">
        <v>6218</v>
      </c>
      <c r="G693" s="277">
        <f>39.7</f>
        <v>39.700000000000003</v>
      </c>
      <c r="H693" s="277"/>
      <c r="I693" s="278">
        <f t="shared" si="147"/>
        <v>6178.3</v>
      </c>
      <c r="J693" s="279" t="s">
        <v>205</v>
      </c>
      <c r="K693" s="279">
        <v>1</v>
      </c>
      <c r="L693" s="279"/>
      <c r="M693" s="279"/>
      <c r="N693" s="279">
        <v>1</v>
      </c>
      <c r="O693" s="279"/>
      <c r="P693" s="279"/>
      <c r="Q693" s="279"/>
      <c r="R693" s="279"/>
      <c r="S693" s="280"/>
      <c r="T693" s="63"/>
      <c r="U693" s="10"/>
      <c r="V693" s="90"/>
      <c r="W693" s="136"/>
      <c r="X693" s="137"/>
    </row>
    <row r="694" spans="1:24">
      <c r="A694" s="2"/>
      <c r="B694" s="87">
        <f t="shared" si="148"/>
        <v>8</v>
      </c>
      <c r="C694" s="295">
        <v>45882</v>
      </c>
      <c r="D694" s="10">
        <v>72122</v>
      </c>
      <c r="E694" s="101" t="s">
        <v>388</v>
      </c>
      <c r="F694" s="62">
        <v>10568</v>
      </c>
      <c r="G694" s="62">
        <f>39.7</f>
        <v>39.700000000000003</v>
      </c>
      <c r="H694" s="62"/>
      <c r="I694" s="89">
        <f t="shared" si="147"/>
        <v>10528.3</v>
      </c>
      <c r="J694" s="63" t="s">
        <v>205</v>
      </c>
      <c r="K694" s="63">
        <v>1</v>
      </c>
      <c r="L694" s="63"/>
      <c r="M694" s="63"/>
      <c r="N694" s="63">
        <v>1</v>
      </c>
      <c r="O694" s="63"/>
      <c r="P694" s="63"/>
      <c r="Q694" s="63">
        <v>1</v>
      </c>
      <c r="R694" s="63">
        <v>1</v>
      </c>
      <c r="S694" s="296">
        <v>1</v>
      </c>
      <c r="T694" s="63"/>
      <c r="U694" s="10"/>
      <c r="V694" s="90"/>
      <c r="W694" s="136"/>
      <c r="X694" s="137"/>
    </row>
    <row r="695" spans="1:24">
      <c r="A695" s="2"/>
      <c r="B695" s="87">
        <f t="shared" si="148"/>
        <v>9</v>
      </c>
      <c r="C695" s="295">
        <v>45882</v>
      </c>
      <c r="D695" s="10">
        <v>72227</v>
      </c>
      <c r="E695" s="101" t="s">
        <v>168</v>
      </c>
      <c r="F695" s="62">
        <v>1861</v>
      </c>
      <c r="G695" s="62">
        <f>39.7</f>
        <v>39.700000000000003</v>
      </c>
      <c r="H695" s="62"/>
      <c r="I695" s="89">
        <f t="shared" si="147"/>
        <v>1821.3</v>
      </c>
      <c r="J695" s="63" t="s">
        <v>205</v>
      </c>
      <c r="K695" s="63">
        <v>1</v>
      </c>
      <c r="L695" s="63"/>
      <c r="M695" s="63"/>
      <c r="N695" s="63">
        <v>1</v>
      </c>
      <c r="O695" s="63"/>
      <c r="P695" s="63"/>
      <c r="Q695" s="63">
        <v>1</v>
      </c>
      <c r="R695" s="63">
        <v>1</v>
      </c>
      <c r="S695" s="296">
        <v>1</v>
      </c>
      <c r="T695" s="63"/>
      <c r="U695" s="10"/>
      <c r="V695" s="90"/>
      <c r="W695" s="136"/>
      <c r="X695" s="137"/>
    </row>
    <row r="696" spans="1:24">
      <c r="A696" s="2"/>
      <c r="B696" s="87">
        <f t="shared" si="148"/>
        <v>10</v>
      </c>
      <c r="C696" s="295">
        <v>45882</v>
      </c>
      <c r="D696" s="10">
        <v>72310</v>
      </c>
      <c r="E696" s="101" t="s">
        <v>168</v>
      </c>
      <c r="F696" s="62">
        <v>0</v>
      </c>
      <c r="G696" s="62"/>
      <c r="H696" s="62"/>
      <c r="I696" s="89">
        <f t="shared" si="147"/>
        <v>0</v>
      </c>
      <c r="J696" s="63" t="s">
        <v>219</v>
      </c>
      <c r="K696" s="63"/>
      <c r="L696" s="63"/>
      <c r="M696" s="63"/>
      <c r="N696" s="63"/>
      <c r="O696" s="63"/>
      <c r="P696" s="63"/>
      <c r="Q696" s="63"/>
      <c r="R696" s="63"/>
      <c r="S696" s="296"/>
      <c r="T696" s="63"/>
      <c r="U696" s="10" t="s">
        <v>491</v>
      </c>
      <c r="V696" s="90"/>
      <c r="W696" s="136"/>
      <c r="X696" s="137"/>
    </row>
    <row r="697" spans="1:24">
      <c r="A697" s="2"/>
      <c r="B697" s="87">
        <f t="shared" si="148"/>
        <v>11</v>
      </c>
      <c r="C697" s="295">
        <v>45882</v>
      </c>
      <c r="D697" s="10" t="s">
        <v>492</v>
      </c>
      <c r="E697" s="101" t="s">
        <v>158</v>
      </c>
      <c r="F697" s="62">
        <v>12813</v>
      </c>
      <c r="G697" s="62">
        <v>39.700000000000003</v>
      </c>
      <c r="H697" s="62"/>
      <c r="I697" s="89">
        <f t="shared" si="147"/>
        <v>12773.3</v>
      </c>
      <c r="J697" s="63" t="s">
        <v>205</v>
      </c>
      <c r="K697" s="63">
        <v>1</v>
      </c>
      <c r="L697" s="63"/>
      <c r="M697" s="63"/>
      <c r="N697" s="63">
        <v>1</v>
      </c>
      <c r="O697" s="63"/>
      <c r="P697" s="63"/>
      <c r="Q697" s="63"/>
      <c r="R697" s="63"/>
      <c r="S697" s="296"/>
      <c r="T697" s="63"/>
      <c r="U697" s="10"/>
      <c r="V697" s="90"/>
      <c r="W697" s="136"/>
      <c r="X697" s="137"/>
    </row>
    <row r="698" spans="1:24">
      <c r="A698" s="2"/>
      <c r="B698" s="87">
        <f t="shared" si="148"/>
        <v>12</v>
      </c>
      <c r="C698" s="282">
        <v>45882</v>
      </c>
      <c r="D698" s="283">
        <v>72295</v>
      </c>
      <c r="E698" s="319" t="s">
        <v>227</v>
      </c>
      <c r="F698" s="284">
        <v>1681</v>
      </c>
      <c r="G698" s="284">
        <v>39.700000000000003</v>
      </c>
      <c r="H698" s="284"/>
      <c r="I698" s="285">
        <f t="shared" si="147"/>
        <v>1641.3</v>
      </c>
      <c r="J698" s="286" t="s">
        <v>205</v>
      </c>
      <c r="K698" s="286">
        <v>1</v>
      </c>
      <c r="L698" s="286"/>
      <c r="M698" s="286"/>
      <c r="N698" s="286">
        <v>1</v>
      </c>
      <c r="O698" s="286"/>
      <c r="P698" s="286"/>
      <c r="Q698" s="286">
        <v>1</v>
      </c>
      <c r="R698" s="286">
        <v>1</v>
      </c>
      <c r="S698" s="287">
        <v>1</v>
      </c>
      <c r="T698" s="63"/>
      <c r="U698" s="10"/>
      <c r="V698" s="90"/>
      <c r="W698" s="136"/>
      <c r="X698" s="137"/>
    </row>
    <row r="699" spans="1:24">
      <c r="A699" s="2"/>
      <c r="B699" s="11"/>
      <c r="C699" s="36"/>
      <c r="D699" s="10"/>
      <c r="E699" s="10"/>
      <c r="F699" s="97">
        <f>SUM(F687:F698)</f>
        <v>55487.199999999997</v>
      </c>
      <c r="G699" s="97">
        <f>SUM(G687:G698)</f>
        <v>396.99999999999994</v>
      </c>
      <c r="H699" s="97">
        <f>SUM(H687:H698)</f>
        <v>0</v>
      </c>
      <c r="I699" s="98">
        <f>SUM(I687:I698)</f>
        <v>55090.2</v>
      </c>
      <c r="J699" s="10"/>
      <c r="K699" s="10"/>
      <c r="L699" s="10"/>
      <c r="M699" s="10"/>
      <c r="N699" s="10"/>
      <c r="O699" s="10"/>
      <c r="P699" s="10"/>
      <c r="Q699" s="10"/>
      <c r="R699" s="10"/>
      <c r="S699" s="10"/>
      <c r="T699" s="63"/>
      <c r="U699" s="10"/>
      <c r="V699" s="138"/>
      <c r="W699" s="136"/>
      <c r="X699" s="137"/>
    </row>
    <row r="700" spans="1:24">
      <c r="A700" s="2"/>
      <c r="B700" s="26"/>
      <c r="C700" s="140"/>
      <c r="D700" s="141"/>
      <c r="E700" s="141"/>
      <c r="F700" s="141"/>
      <c r="G700" s="141"/>
      <c r="H700" s="141"/>
      <c r="I700" s="141"/>
      <c r="J700" s="141"/>
      <c r="K700" s="142"/>
      <c r="L700" s="142"/>
      <c r="M700" s="142"/>
      <c r="N700" s="142"/>
      <c r="O700" s="142"/>
      <c r="P700" s="142"/>
      <c r="Q700" s="142"/>
      <c r="R700" s="142"/>
      <c r="S700" s="142"/>
      <c r="T700" s="143">
        <f>SUM(T655:T699)</f>
        <v>2</v>
      </c>
      <c r="U700" s="141"/>
      <c r="V700" s="144">
        <f>SUM(V655:V699)</f>
        <v>20470.93</v>
      </c>
      <c r="W700" s="145">
        <f>SUM(W655:W699)</f>
        <v>1300</v>
      </c>
      <c r="X700" s="146">
        <f>SUM(X655:X699)</f>
        <v>0</v>
      </c>
    </row>
    <row r="703" spans="1:24">
      <c r="A703" s="3"/>
      <c r="B703" s="4" t="s">
        <v>1</v>
      </c>
      <c r="C703" s="5"/>
      <c r="D703" s="6"/>
      <c r="E703" s="6"/>
      <c r="F703" s="7" t="s">
        <v>2</v>
      </c>
      <c r="G703" s="8">
        <v>45893</v>
      </c>
      <c r="H703" s="7"/>
      <c r="I703" s="6"/>
      <c r="J703" s="6"/>
      <c r="K703" s="6"/>
      <c r="L703" s="6"/>
      <c r="M703" s="6"/>
      <c r="N703" s="6"/>
      <c r="O703" s="6"/>
      <c r="P703" s="6"/>
      <c r="Q703" s="6"/>
      <c r="R703" s="6"/>
      <c r="S703" s="6"/>
      <c r="T703" s="6"/>
      <c r="U703" s="9"/>
      <c r="V703" s="10"/>
      <c r="W703" s="10"/>
      <c r="X703" s="10"/>
    </row>
    <row r="704" spans="1:24">
      <c r="A704" s="2"/>
      <c r="B704" s="11"/>
      <c r="C704" s="10"/>
      <c r="D704" s="10"/>
      <c r="E704" s="10"/>
      <c r="F704" s="10"/>
      <c r="G704" s="7"/>
      <c r="H704" s="12"/>
      <c r="I704" s="10"/>
      <c r="J704" s="10"/>
      <c r="K704" s="13" t="s">
        <v>3</v>
      </c>
      <c r="L704" s="14"/>
      <c r="M704" s="15"/>
      <c r="N704" s="13" t="s">
        <v>4</v>
      </c>
      <c r="O704" s="14"/>
      <c r="P704" s="15"/>
      <c r="Q704" s="13" t="s">
        <v>5</v>
      </c>
      <c r="R704" s="14"/>
      <c r="S704" s="15"/>
      <c r="T704" s="16"/>
      <c r="U704" s="17"/>
      <c r="V704" s="10"/>
      <c r="W704" s="10"/>
      <c r="X704" s="10"/>
    </row>
    <row r="705" spans="1:24">
      <c r="A705" s="2"/>
      <c r="B705" s="18" t="s">
        <v>6</v>
      </c>
      <c r="C705" s="19">
        <f>C706+C707</f>
        <v>35</v>
      </c>
      <c r="D705" s="10"/>
      <c r="E705" s="18" t="s">
        <v>7</v>
      </c>
      <c r="F705" s="6"/>
      <c r="G705" s="9"/>
      <c r="H705" s="10"/>
      <c r="I705" s="10"/>
      <c r="J705" s="10"/>
      <c r="K705" s="20" t="s">
        <v>8</v>
      </c>
      <c r="L705" s="21" t="s">
        <v>9</v>
      </c>
      <c r="M705" s="21" t="s">
        <v>10</v>
      </c>
      <c r="N705" s="20" t="s">
        <v>11</v>
      </c>
      <c r="O705" s="21" t="s">
        <v>12</v>
      </c>
      <c r="P705" s="22" t="s">
        <v>13</v>
      </c>
      <c r="Q705" s="21" t="s">
        <v>11</v>
      </c>
      <c r="R705" s="21" t="s">
        <v>12</v>
      </c>
      <c r="S705" s="22" t="s">
        <v>13</v>
      </c>
      <c r="T705" s="23" t="s">
        <v>14</v>
      </c>
      <c r="U705" s="17"/>
      <c r="V705" s="10"/>
      <c r="W705" s="10"/>
      <c r="X705" s="10"/>
    </row>
    <row r="706" spans="1:24">
      <c r="A706" s="2"/>
      <c r="B706" s="24" t="s">
        <v>15</v>
      </c>
      <c r="C706" s="25">
        <f>P713</f>
        <v>8</v>
      </c>
      <c r="D706" s="10"/>
      <c r="E706" s="26" t="s">
        <v>16</v>
      </c>
      <c r="F706" s="27">
        <v>0.05</v>
      </c>
      <c r="G706" s="28"/>
      <c r="H706" s="10"/>
      <c r="I706" s="10"/>
      <c r="J706" s="18" t="s">
        <v>17</v>
      </c>
      <c r="K706" s="29">
        <f>K739</f>
        <v>8</v>
      </c>
      <c r="L706" s="29">
        <f t="shared" ref="L706:S706" si="149">L739</f>
        <v>8</v>
      </c>
      <c r="M706" s="29">
        <f t="shared" si="149"/>
        <v>5</v>
      </c>
      <c r="N706" s="29">
        <f t="shared" si="149"/>
        <v>8</v>
      </c>
      <c r="O706" s="29">
        <f t="shared" si="149"/>
        <v>8</v>
      </c>
      <c r="P706" s="29">
        <f t="shared" si="149"/>
        <v>7</v>
      </c>
      <c r="Q706" s="29">
        <f t="shared" si="149"/>
        <v>8</v>
      </c>
      <c r="R706" s="29">
        <f t="shared" si="149"/>
        <v>8</v>
      </c>
      <c r="S706" s="29">
        <f t="shared" si="149"/>
        <v>7</v>
      </c>
      <c r="T706" s="30">
        <f>T786</f>
        <v>2</v>
      </c>
      <c r="U706" s="17"/>
      <c r="V706" s="10"/>
      <c r="W706" s="10"/>
      <c r="X706" s="10"/>
    </row>
    <row r="707" spans="1:24">
      <c r="A707" s="2"/>
      <c r="B707" s="24" t="s">
        <v>18</v>
      </c>
      <c r="C707" s="25">
        <f>P714</f>
        <v>27</v>
      </c>
      <c r="D707" s="10"/>
      <c r="E707" s="10"/>
      <c r="F707" s="10"/>
      <c r="G707" s="31"/>
      <c r="H707" s="10"/>
      <c r="I707" s="10"/>
      <c r="J707" s="32" t="s">
        <v>19</v>
      </c>
      <c r="K707" s="33">
        <f>K739/K738</f>
        <v>1</v>
      </c>
      <c r="L707" s="33">
        <f t="shared" ref="L707:S707" si="150">L739/L738</f>
        <v>1</v>
      </c>
      <c r="M707" s="33">
        <f t="shared" si="150"/>
        <v>0.625</v>
      </c>
      <c r="N707" s="33">
        <f t="shared" si="150"/>
        <v>1</v>
      </c>
      <c r="O707" s="33">
        <f t="shared" si="150"/>
        <v>1</v>
      </c>
      <c r="P707" s="33">
        <f t="shared" si="150"/>
        <v>0.875</v>
      </c>
      <c r="Q707" s="33">
        <f t="shared" si="150"/>
        <v>1</v>
      </c>
      <c r="R707" s="33">
        <f t="shared" si="150"/>
        <v>1</v>
      </c>
      <c r="S707" s="33">
        <f t="shared" si="150"/>
        <v>0.875</v>
      </c>
      <c r="T707" s="23"/>
      <c r="U707" s="17" t="s">
        <v>20</v>
      </c>
      <c r="V707" s="10"/>
      <c r="W707" s="10"/>
      <c r="X707" s="10"/>
    </row>
    <row r="708" spans="1:24">
      <c r="A708" s="2"/>
      <c r="B708" s="24" t="s">
        <v>21</v>
      </c>
      <c r="C708" s="34">
        <f>P715</f>
        <v>0.22857142857142856</v>
      </c>
      <c r="D708" s="10"/>
      <c r="E708" s="10"/>
      <c r="F708" s="10"/>
      <c r="G708" s="10"/>
      <c r="H708" s="10"/>
      <c r="I708" s="10"/>
      <c r="J708" s="10"/>
      <c r="K708" s="10"/>
      <c r="L708" s="10"/>
      <c r="M708" s="10"/>
      <c r="N708" s="10"/>
      <c r="O708" s="10"/>
      <c r="P708" s="10"/>
      <c r="Q708" s="10"/>
      <c r="R708" s="10"/>
      <c r="S708" s="10"/>
      <c r="T708" s="10"/>
      <c r="U708" s="17"/>
      <c r="V708" s="10"/>
      <c r="W708" s="10"/>
      <c r="X708" s="10"/>
    </row>
    <row r="709" spans="1:24">
      <c r="A709" s="2"/>
      <c r="B709" s="24"/>
      <c r="C709" s="25"/>
      <c r="D709" s="10"/>
      <c r="E709" s="10"/>
      <c r="F709" s="18" t="s">
        <v>22</v>
      </c>
      <c r="G709" s="19" t="s">
        <v>23</v>
      </c>
      <c r="H709" s="35" t="s">
        <v>24</v>
      </c>
      <c r="I709" s="10"/>
      <c r="J709" s="10"/>
      <c r="K709" s="36"/>
      <c r="L709" s="36"/>
      <c r="M709" s="36"/>
      <c r="N709" s="36"/>
      <c r="O709" s="36"/>
      <c r="P709" s="36"/>
      <c r="Q709" s="36"/>
      <c r="R709" s="10"/>
      <c r="S709" s="10"/>
      <c r="T709" s="10"/>
      <c r="U709" s="17"/>
      <c r="V709" s="10"/>
      <c r="W709" s="10"/>
      <c r="X709" s="10"/>
    </row>
    <row r="710" spans="1:24">
      <c r="A710" s="2"/>
      <c r="B710" s="32" t="s">
        <v>25</v>
      </c>
      <c r="C710" s="37">
        <f>P716</f>
        <v>1076.55</v>
      </c>
      <c r="D710" s="10"/>
      <c r="E710" s="18" t="s">
        <v>26</v>
      </c>
      <c r="F710" s="38">
        <f>P712</f>
        <v>8612.4</v>
      </c>
      <c r="G710" s="39">
        <f>I738</f>
        <v>8612.4</v>
      </c>
      <c r="H710" s="767" t="s">
        <v>493</v>
      </c>
      <c r="I710" s="767"/>
      <c r="J710" s="767"/>
      <c r="K710" s="43" t="s">
        <v>27</v>
      </c>
      <c r="L710" s="44"/>
      <c r="M710" s="44"/>
      <c r="N710" s="44"/>
      <c r="O710" s="44"/>
      <c r="P710" s="44"/>
      <c r="Q710" s="45"/>
      <c r="R710" s="46" t="s">
        <v>28</v>
      </c>
      <c r="S710" s="47" t="s">
        <v>29</v>
      </c>
      <c r="T710" s="10"/>
      <c r="U710" s="17"/>
      <c r="V710" s="10"/>
      <c r="W710" s="10"/>
      <c r="X710" s="10"/>
    </row>
    <row r="711" spans="1:24">
      <c r="A711" s="2"/>
      <c r="B711" s="11"/>
      <c r="C711" s="10"/>
      <c r="D711" s="10"/>
      <c r="E711" s="24" t="s">
        <v>30</v>
      </c>
      <c r="F711" s="48">
        <f>F706</f>
        <v>0.05</v>
      </c>
      <c r="G711" s="17"/>
      <c r="H711" s="767"/>
      <c r="I711" s="767"/>
      <c r="J711" s="767"/>
      <c r="K711" s="20" t="s">
        <v>31</v>
      </c>
      <c r="L711" s="21" t="s">
        <v>32</v>
      </c>
      <c r="M711" s="21" t="s">
        <v>33</v>
      </c>
      <c r="N711" s="21" t="s">
        <v>34</v>
      </c>
      <c r="O711" s="21" t="s">
        <v>35</v>
      </c>
      <c r="P711" s="21" t="s">
        <v>36</v>
      </c>
      <c r="Q711" s="49" t="s">
        <v>37</v>
      </c>
      <c r="R711" s="50" t="s">
        <v>38</v>
      </c>
      <c r="S711" s="50" t="s">
        <v>38</v>
      </c>
      <c r="T711" s="10"/>
      <c r="U711" s="17"/>
      <c r="V711" s="10"/>
      <c r="W711" s="10"/>
      <c r="X711" s="10"/>
    </row>
    <row r="712" spans="1:24">
      <c r="A712" s="2"/>
      <c r="B712" s="11"/>
      <c r="C712" s="10"/>
      <c r="D712" s="10"/>
      <c r="E712" s="51" t="s">
        <v>39</v>
      </c>
      <c r="F712" s="52">
        <f>(F710-I730)*F711</f>
        <v>369.40499999999997</v>
      </c>
      <c r="G712" s="53" t="s">
        <v>40</v>
      </c>
      <c r="H712" s="54">
        <f>F712/1.12</f>
        <v>329.82589285714278</v>
      </c>
      <c r="I712" s="570" t="s">
        <v>494</v>
      </c>
      <c r="J712" s="42"/>
      <c r="K712" s="56">
        <f>I730+I731</f>
        <v>2322.6</v>
      </c>
      <c r="L712" s="57">
        <f>I732</f>
        <v>681</v>
      </c>
      <c r="M712" s="57">
        <f>I733+I734</f>
        <v>1779.3</v>
      </c>
      <c r="N712" s="57">
        <f>I735+I736</f>
        <v>2731.2</v>
      </c>
      <c r="O712" s="57">
        <f>I737</f>
        <v>1098.3</v>
      </c>
      <c r="P712" s="57">
        <f>SUM(K712:O712)</f>
        <v>8612.4</v>
      </c>
      <c r="Q712" s="58">
        <v>0</v>
      </c>
      <c r="R712" s="59">
        <v>0</v>
      </c>
      <c r="S712" s="59">
        <v>0</v>
      </c>
      <c r="T712" s="10"/>
      <c r="U712" s="17"/>
      <c r="V712" s="10"/>
      <c r="W712" s="10"/>
      <c r="X712" s="10"/>
    </row>
    <row r="713" spans="1:24">
      <c r="A713" s="2"/>
      <c r="B713" s="11"/>
      <c r="C713" s="10"/>
      <c r="D713" s="10"/>
      <c r="E713" s="24" t="s">
        <v>41</v>
      </c>
      <c r="F713" s="60">
        <f>Q712</f>
        <v>0</v>
      </c>
      <c r="G713" s="61" t="s">
        <v>40</v>
      </c>
      <c r="H713" s="62"/>
      <c r="I713" s="62"/>
      <c r="J713" s="10" t="s">
        <v>42</v>
      </c>
      <c r="K713" s="63">
        <v>2</v>
      </c>
      <c r="L713" s="63">
        <v>1</v>
      </c>
      <c r="M713" s="63">
        <v>2</v>
      </c>
      <c r="N713" s="63">
        <v>2</v>
      </c>
      <c r="O713" s="63">
        <v>1</v>
      </c>
      <c r="P713" s="21">
        <f>SUM(K713:O713)</f>
        <v>8</v>
      </c>
      <c r="Q713" s="64"/>
      <c r="R713" s="63"/>
      <c r="S713" s="10"/>
      <c r="T713" s="10"/>
      <c r="U713" s="17"/>
      <c r="V713" s="10"/>
      <c r="W713" s="10"/>
      <c r="X713" s="10"/>
    </row>
    <row r="714" spans="1:24">
      <c r="A714" s="2"/>
      <c r="B714" s="11"/>
      <c r="C714" s="10"/>
      <c r="D714" s="10"/>
      <c r="E714" s="51" t="s">
        <v>43</v>
      </c>
      <c r="F714" s="52">
        <f>F713*0.25</f>
        <v>0</v>
      </c>
      <c r="G714" s="53" t="s">
        <v>40</v>
      </c>
      <c r="H714" s="54">
        <f>F714/1.12</f>
        <v>0</v>
      </c>
      <c r="I714" s="10"/>
      <c r="J714" s="10" t="s">
        <v>44</v>
      </c>
      <c r="K714" s="63">
        <v>7</v>
      </c>
      <c r="L714" s="63">
        <v>3</v>
      </c>
      <c r="M714" s="63">
        <v>7</v>
      </c>
      <c r="N714" s="63">
        <v>4</v>
      </c>
      <c r="O714" s="63">
        <v>6</v>
      </c>
      <c r="P714" s="21">
        <f>SUM(K714:O714)</f>
        <v>27</v>
      </c>
      <c r="Q714" s="64"/>
      <c r="R714" s="63"/>
      <c r="S714" s="10"/>
      <c r="T714" s="10"/>
      <c r="U714" s="17"/>
      <c r="V714" s="10"/>
      <c r="W714" s="10"/>
      <c r="X714" s="10"/>
    </row>
    <row r="715" spans="1:24">
      <c r="A715" s="2"/>
      <c r="B715" s="11"/>
      <c r="C715" s="10"/>
      <c r="D715" s="10"/>
      <c r="E715" s="24" t="s">
        <v>45</v>
      </c>
      <c r="F715" s="60"/>
      <c r="G715" s="61" t="s">
        <v>40</v>
      </c>
      <c r="H715" s="62"/>
      <c r="I715" s="10"/>
      <c r="J715" s="10" t="s">
        <v>46</v>
      </c>
      <c r="K715" s="31">
        <f t="shared" ref="K715:Q715" si="151">K713/(K713+K714)</f>
        <v>0.22222222222222221</v>
      </c>
      <c r="L715" s="31">
        <f t="shared" si="151"/>
        <v>0.25</v>
      </c>
      <c r="M715" s="31">
        <f t="shared" si="151"/>
        <v>0.22222222222222221</v>
      </c>
      <c r="N715" s="31">
        <f t="shared" si="151"/>
        <v>0.33333333333333331</v>
      </c>
      <c r="O715" s="31">
        <f t="shared" si="151"/>
        <v>0.14285714285714285</v>
      </c>
      <c r="P715" s="31">
        <f t="shared" si="151"/>
        <v>0.22857142857142856</v>
      </c>
      <c r="Q715" s="31" t="e">
        <f t="shared" si="151"/>
        <v>#DIV/0!</v>
      </c>
      <c r="R715" s="63"/>
      <c r="S715" s="10"/>
      <c r="T715" s="10"/>
      <c r="U715" s="17"/>
      <c r="V715" s="10"/>
      <c r="W715" s="10"/>
      <c r="X715" s="10"/>
    </row>
    <row r="716" spans="1:24">
      <c r="A716" s="2"/>
      <c r="B716" s="11"/>
      <c r="C716" s="10"/>
      <c r="D716" s="10"/>
      <c r="E716" s="51" t="s">
        <v>47</v>
      </c>
      <c r="F716" s="52">
        <f>F715*0.05</f>
        <v>0</v>
      </c>
      <c r="G716" s="65" t="s">
        <v>40</v>
      </c>
      <c r="H716" s="54">
        <f>F716/1.12</f>
        <v>0</v>
      </c>
      <c r="I716" s="42"/>
      <c r="J716" s="10" t="s">
        <v>48</v>
      </c>
      <c r="K716" s="66">
        <f>K712/K713</f>
        <v>1161.3</v>
      </c>
      <c r="L716" s="66">
        <f t="shared" ref="L716:Q716" si="152">L712/L713</f>
        <v>681</v>
      </c>
      <c r="M716" s="66">
        <f t="shared" si="152"/>
        <v>889.65</v>
      </c>
      <c r="N716" s="66">
        <f t="shared" si="152"/>
        <v>1365.6</v>
      </c>
      <c r="O716" s="66">
        <f t="shared" si="152"/>
        <v>1098.3</v>
      </c>
      <c r="P716" s="66">
        <f t="shared" si="152"/>
        <v>1076.55</v>
      </c>
      <c r="Q716" s="66" t="e">
        <f t="shared" si="152"/>
        <v>#DIV/0!</v>
      </c>
      <c r="R716" s="63"/>
      <c r="S716" s="10"/>
      <c r="T716" s="10"/>
      <c r="U716" s="17"/>
      <c r="V716" s="10"/>
      <c r="W716" s="10"/>
      <c r="X716" s="10"/>
    </row>
    <row r="717" spans="1:24">
      <c r="A717" s="2"/>
      <c r="B717" s="11"/>
      <c r="C717" s="10"/>
      <c r="D717" s="10"/>
      <c r="E717" s="67" t="s">
        <v>14</v>
      </c>
      <c r="F717" s="68">
        <f>2*50</f>
        <v>100</v>
      </c>
      <c r="G717" s="10"/>
      <c r="H717" s="54">
        <f>F717/1.12</f>
        <v>89.285714285714278</v>
      </c>
      <c r="I717" s="10"/>
      <c r="J717" s="10"/>
      <c r="K717" s="10"/>
      <c r="L717" s="10"/>
      <c r="M717" s="10"/>
      <c r="N717" s="10"/>
      <c r="O717" s="10"/>
      <c r="P717" s="10"/>
      <c r="Q717" s="10"/>
      <c r="R717" s="10"/>
      <c r="S717" s="10"/>
      <c r="T717" s="10"/>
      <c r="U717" s="17"/>
      <c r="V717" s="10"/>
      <c r="W717" s="10"/>
      <c r="X717" s="10"/>
    </row>
    <row r="718" spans="1:24">
      <c r="A718" s="2"/>
      <c r="B718" s="11"/>
      <c r="C718" s="10"/>
      <c r="D718" s="10"/>
      <c r="E718" s="155" t="s">
        <v>49</v>
      </c>
      <c r="F718" s="364">
        <f>T707</f>
        <v>0</v>
      </c>
      <c r="G718" s="10"/>
      <c r="H718" s="54"/>
      <c r="I718" s="55"/>
      <c r="J718" s="42"/>
      <c r="K718" s="764" t="s">
        <v>50</v>
      </c>
      <c r="L718" s="765"/>
      <c r="M718" s="765"/>
      <c r="N718" s="765"/>
      <c r="O718" s="765"/>
      <c r="P718" s="765"/>
      <c r="Q718" s="766"/>
      <c r="R718" s="70" t="s">
        <v>28</v>
      </c>
      <c r="S718" s="71" t="s">
        <v>29</v>
      </c>
      <c r="T718" s="10"/>
      <c r="U718" s="17"/>
      <c r="V718" s="10"/>
      <c r="W718" s="10"/>
      <c r="X718" s="10"/>
    </row>
    <row r="719" spans="1:24">
      <c r="A719" s="2"/>
      <c r="B719" s="11"/>
      <c r="C719" s="10"/>
      <c r="D719" s="10"/>
      <c r="E719" s="12"/>
      <c r="F719" s="76"/>
      <c r="G719" s="10"/>
      <c r="H719" s="10"/>
      <c r="I719" s="10"/>
      <c r="J719" s="42"/>
      <c r="K719" s="20" t="s">
        <v>31</v>
      </c>
      <c r="L719" s="21" t="s">
        <v>32</v>
      </c>
      <c r="M719" s="21" t="s">
        <v>33</v>
      </c>
      <c r="N719" s="21" t="s">
        <v>34</v>
      </c>
      <c r="O719" s="21" t="s">
        <v>35</v>
      </c>
      <c r="P719" s="21" t="s">
        <v>36</v>
      </c>
      <c r="Q719" s="49" t="s">
        <v>37</v>
      </c>
      <c r="R719" s="50" t="s">
        <v>38</v>
      </c>
      <c r="S719" s="50" t="s">
        <v>38</v>
      </c>
      <c r="T719" s="10"/>
      <c r="U719" s="17"/>
      <c r="V719" s="10"/>
      <c r="W719" s="10"/>
      <c r="X719" s="10"/>
    </row>
    <row r="720" spans="1:24">
      <c r="A720" s="2"/>
      <c r="B720" s="11"/>
      <c r="C720" s="10"/>
      <c r="D720" s="10"/>
      <c r="E720" s="10"/>
      <c r="F720" s="10"/>
      <c r="G720" s="10"/>
      <c r="H720" s="10"/>
      <c r="I720" s="10"/>
      <c r="J720" s="42"/>
      <c r="K720" s="56">
        <f>F730+F731</f>
        <v>2402</v>
      </c>
      <c r="L720" s="57">
        <f>F732</f>
        <v>681</v>
      </c>
      <c r="M720" s="57">
        <f>F733+F734</f>
        <v>1819</v>
      </c>
      <c r="N720" s="57">
        <f>F735+F736</f>
        <v>3122</v>
      </c>
      <c r="O720" s="57">
        <f>F737</f>
        <v>1138</v>
      </c>
      <c r="P720" s="57">
        <f>SUM(K720:O720)</f>
        <v>9162</v>
      </c>
      <c r="Q720" s="58">
        <v>0</v>
      </c>
      <c r="R720" s="59">
        <v>0</v>
      </c>
      <c r="S720" s="59">
        <v>0</v>
      </c>
      <c r="T720" s="10"/>
      <c r="U720" s="17"/>
      <c r="V720" s="10"/>
      <c r="W720" s="10"/>
      <c r="X720" s="10"/>
    </row>
    <row r="721" spans="1:24">
      <c r="A721" s="2"/>
      <c r="B721" s="11"/>
      <c r="C721" s="10"/>
      <c r="D721" s="10"/>
      <c r="E721" s="10"/>
      <c r="F721" s="10"/>
      <c r="G721" s="10"/>
      <c r="H721" s="10"/>
      <c r="I721" s="10"/>
      <c r="J721" s="10" t="s">
        <v>42</v>
      </c>
      <c r="K721" s="63">
        <f>K713</f>
        <v>2</v>
      </c>
      <c r="L721" s="63">
        <f t="shared" ref="L721:Q722" si="153">L713</f>
        <v>1</v>
      </c>
      <c r="M721" s="63">
        <f t="shared" si="153"/>
        <v>2</v>
      </c>
      <c r="N721" s="63">
        <f t="shared" si="153"/>
        <v>2</v>
      </c>
      <c r="O721" s="63">
        <f t="shared" si="153"/>
        <v>1</v>
      </c>
      <c r="P721" s="63">
        <f t="shared" si="153"/>
        <v>8</v>
      </c>
      <c r="Q721" s="63">
        <f t="shared" si="153"/>
        <v>0</v>
      </c>
      <c r="R721" s="63"/>
      <c r="S721" s="10"/>
      <c r="T721" s="10"/>
      <c r="U721" s="17"/>
      <c r="V721" s="10"/>
      <c r="W721" s="10"/>
      <c r="X721" s="10"/>
    </row>
    <row r="722" spans="1:24">
      <c r="A722" s="2"/>
      <c r="B722" s="11"/>
      <c r="C722" s="10"/>
      <c r="D722" s="10"/>
      <c r="E722" s="10"/>
      <c r="F722" s="10"/>
      <c r="G722" s="10"/>
      <c r="H722" s="10"/>
      <c r="I722" s="10"/>
      <c r="J722" s="10" t="s">
        <v>44</v>
      </c>
      <c r="K722" s="63">
        <f>K714</f>
        <v>7</v>
      </c>
      <c r="L722" s="63">
        <f t="shared" si="153"/>
        <v>3</v>
      </c>
      <c r="M722" s="63">
        <f t="shared" si="153"/>
        <v>7</v>
      </c>
      <c r="N722" s="63">
        <f t="shared" si="153"/>
        <v>4</v>
      </c>
      <c r="O722" s="63">
        <f t="shared" si="153"/>
        <v>6</v>
      </c>
      <c r="P722" s="63">
        <f t="shared" si="153"/>
        <v>27</v>
      </c>
      <c r="Q722" s="63">
        <f t="shared" si="153"/>
        <v>0</v>
      </c>
      <c r="R722" s="63"/>
      <c r="S722" s="10"/>
      <c r="T722" s="10"/>
      <c r="U722" s="17"/>
      <c r="V722" s="10"/>
      <c r="W722" s="10"/>
      <c r="X722" s="10"/>
    </row>
    <row r="723" spans="1:24">
      <c r="A723" s="2"/>
      <c r="B723" s="11"/>
      <c r="C723" s="10"/>
      <c r="D723" s="10"/>
      <c r="E723" s="10"/>
      <c r="F723" s="10"/>
      <c r="G723" s="10"/>
      <c r="H723" s="10"/>
      <c r="I723" s="10"/>
      <c r="J723" s="10" t="s">
        <v>46</v>
      </c>
      <c r="K723" s="31">
        <f t="shared" ref="K723:Q723" si="154">K721/(K721+K722)</f>
        <v>0.22222222222222221</v>
      </c>
      <c r="L723" s="31">
        <f t="shared" si="154"/>
        <v>0.25</v>
      </c>
      <c r="M723" s="31">
        <f t="shared" si="154"/>
        <v>0.22222222222222221</v>
      </c>
      <c r="N723" s="31">
        <f t="shared" si="154"/>
        <v>0.33333333333333331</v>
      </c>
      <c r="O723" s="31">
        <f t="shared" si="154"/>
        <v>0.14285714285714285</v>
      </c>
      <c r="P723" s="31">
        <f t="shared" si="154"/>
        <v>0.22857142857142856</v>
      </c>
      <c r="Q723" s="31" t="e">
        <f t="shared" si="154"/>
        <v>#DIV/0!</v>
      </c>
      <c r="R723" s="63"/>
      <c r="S723" s="10"/>
      <c r="T723" s="10"/>
      <c r="U723" s="17"/>
      <c r="V723" s="10"/>
      <c r="W723" s="10"/>
      <c r="X723" s="10"/>
    </row>
    <row r="724" spans="1:24">
      <c r="A724" s="2"/>
      <c r="B724" s="11"/>
      <c r="C724" s="10"/>
      <c r="D724" s="10"/>
      <c r="E724" s="10"/>
      <c r="F724" s="10"/>
      <c r="G724" s="10"/>
      <c r="H724" s="10"/>
      <c r="I724" s="10"/>
      <c r="J724" s="10" t="s">
        <v>48</v>
      </c>
      <c r="K724" s="66">
        <f t="shared" ref="K724:Q724" si="155">K720/K721</f>
        <v>1201</v>
      </c>
      <c r="L724" s="66">
        <f t="shared" si="155"/>
        <v>681</v>
      </c>
      <c r="M724" s="66">
        <f t="shared" si="155"/>
        <v>909.5</v>
      </c>
      <c r="N724" s="66">
        <f t="shared" si="155"/>
        <v>1561</v>
      </c>
      <c r="O724" s="66">
        <f t="shared" si="155"/>
        <v>1138</v>
      </c>
      <c r="P724" s="66">
        <f t="shared" si="155"/>
        <v>1145.25</v>
      </c>
      <c r="Q724" s="66" t="e">
        <f t="shared" si="155"/>
        <v>#DIV/0!</v>
      </c>
      <c r="R724" s="63"/>
      <c r="S724" s="10"/>
      <c r="T724" s="10"/>
      <c r="U724" s="17"/>
      <c r="V724" s="10"/>
      <c r="W724" s="10"/>
      <c r="X724" s="10"/>
    </row>
    <row r="725" spans="1:24">
      <c r="A725" s="2"/>
      <c r="B725" s="11"/>
      <c r="C725" s="10"/>
      <c r="D725" s="10"/>
      <c r="E725" s="10"/>
      <c r="F725" s="10"/>
      <c r="G725" s="10"/>
      <c r="H725" s="10"/>
      <c r="I725" s="10"/>
      <c r="J725" s="10"/>
      <c r="K725" s="10"/>
      <c r="L725" s="10"/>
      <c r="M725" s="10"/>
      <c r="N725" s="10"/>
      <c r="O725" s="10"/>
      <c r="P725" s="10"/>
      <c r="Q725" s="10"/>
      <c r="R725" s="10"/>
      <c r="S725" s="10"/>
      <c r="T725" s="10"/>
      <c r="U725" s="17"/>
      <c r="V725" s="10"/>
      <c r="W725" s="10"/>
      <c r="X725" s="10"/>
    </row>
    <row r="726" spans="1:24">
      <c r="A726" s="2"/>
      <c r="B726" s="11"/>
      <c r="C726" s="10"/>
      <c r="D726" s="10"/>
      <c r="E726" s="10"/>
      <c r="F726" s="10"/>
      <c r="G726" s="10"/>
      <c r="H726" s="10"/>
      <c r="I726" s="10"/>
      <c r="J726" s="10"/>
      <c r="K726" s="10"/>
      <c r="L726" s="10"/>
      <c r="M726" s="10"/>
      <c r="N726" s="10"/>
      <c r="O726" s="10"/>
      <c r="P726" s="10"/>
      <c r="Q726" s="10"/>
      <c r="R726" s="10"/>
      <c r="S726" s="10"/>
      <c r="T726" s="10"/>
      <c r="U726" s="17"/>
      <c r="V726" s="10"/>
      <c r="W726" s="10"/>
      <c r="X726" s="10"/>
    </row>
    <row r="727" spans="1:24">
      <c r="A727" s="2"/>
      <c r="B727" s="18" t="s">
        <v>51</v>
      </c>
      <c r="C727" s="14"/>
      <c r="D727" s="14"/>
      <c r="E727" s="14"/>
      <c r="F727" s="13" t="s">
        <v>52</v>
      </c>
      <c r="G727" s="14"/>
      <c r="H727" s="14"/>
      <c r="I727" s="14"/>
      <c r="J727" s="14"/>
      <c r="K727" s="13" t="s">
        <v>3</v>
      </c>
      <c r="L727" s="14"/>
      <c r="M727" s="14"/>
      <c r="N727" s="13" t="s">
        <v>4</v>
      </c>
      <c r="O727" s="14"/>
      <c r="P727" s="14"/>
      <c r="Q727" s="13" t="s">
        <v>5</v>
      </c>
      <c r="R727" s="14"/>
      <c r="S727" s="14"/>
      <c r="T727" s="18"/>
      <c r="U727" s="16" t="s">
        <v>53</v>
      </c>
      <c r="V727" s="77"/>
      <c r="W727" s="77"/>
      <c r="X727" s="77"/>
    </row>
    <row r="728" spans="1:24">
      <c r="A728" s="2"/>
      <c r="B728" s="24" t="s">
        <v>54</v>
      </c>
      <c r="C728" s="21" t="s">
        <v>55</v>
      </c>
      <c r="D728" s="21" t="s">
        <v>56</v>
      </c>
      <c r="E728" s="21" t="s">
        <v>57</v>
      </c>
      <c r="F728" s="20" t="s">
        <v>58</v>
      </c>
      <c r="G728" s="21" t="s">
        <v>59</v>
      </c>
      <c r="H728" s="21" t="s">
        <v>60</v>
      </c>
      <c r="I728" s="21" t="s">
        <v>26</v>
      </c>
      <c r="J728" s="22" t="s">
        <v>61</v>
      </c>
      <c r="K728" s="21" t="s">
        <v>8</v>
      </c>
      <c r="L728" s="21" t="s">
        <v>9</v>
      </c>
      <c r="M728" s="21" t="s">
        <v>10</v>
      </c>
      <c r="N728" s="20" t="s">
        <v>11</v>
      </c>
      <c r="O728" s="21" t="s">
        <v>12</v>
      </c>
      <c r="P728" s="22" t="s">
        <v>13</v>
      </c>
      <c r="Q728" s="21" t="s">
        <v>11</v>
      </c>
      <c r="R728" s="21" t="s">
        <v>12</v>
      </c>
      <c r="S728" s="21" t="s">
        <v>13</v>
      </c>
      <c r="T728" s="78" t="s">
        <v>14</v>
      </c>
      <c r="U728" s="30"/>
      <c r="V728" s="79" t="s">
        <v>62</v>
      </c>
      <c r="W728" s="80" t="s">
        <v>63</v>
      </c>
      <c r="X728" s="81" t="s">
        <v>64</v>
      </c>
    </row>
    <row r="729" spans="1:24">
      <c r="A729" s="2"/>
      <c r="B729" s="4" t="s">
        <v>65</v>
      </c>
      <c r="C729" s="6"/>
      <c r="D729" s="6"/>
      <c r="E729" s="6"/>
      <c r="F729" s="6"/>
      <c r="G729" s="6"/>
      <c r="H729" s="6"/>
      <c r="I729" s="82"/>
      <c r="J729" s="6"/>
      <c r="K729" s="6"/>
      <c r="L729" s="6"/>
      <c r="M729" s="6"/>
      <c r="N729" s="6"/>
      <c r="O729" s="6"/>
      <c r="P729" s="6"/>
      <c r="Q729" s="6"/>
      <c r="R729" s="6"/>
      <c r="S729" s="6"/>
      <c r="T729" s="83"/>
      <c r="U729" s="6"/>
      <c r="V729" s="84"/>
      <c r="W729" s="85"/>
      <c r="X729" s="86"/>
    </row>
    <row r="730" spans="1:24">
      <c r="A730" s="2" t="s">
        <v>230</v>
      </c>
      <c r="B730" s="87">
        <v>1</v>
      </c>
      <c r="C730" s="274">
        <v>45887</v>
      </c>
      <c r="D730" s="320" t="s">
        <v>495</v>
      </c>
      <c r="E730" s="276" t="s">
        <v>377</v>
      </c>
      <c r="F730" s="277">
        <v>1264</v>
      </c>
      <c r="G730" s="277">
        <f>39.7</f>
        <v>39.700000000000003</v>
      </c>
      <c r="H730" s="297"/>
      <c r="I730" s="329">
        <f t="shared" ref="I730:I737" si="156">F730-G730-H730</f>
        <v>1224.3</v>
      </c>
      <c r="J730" s="279" t="s">
        <v>156</v>
      </c>
      <c r="K730" s="279">
        <v>1</v>
      </c>
      <c r="L730" s="279">
        <v>1</v>
      </c>
      <c r="M730" s="322">
        <v>0</v>
      </c>
      <c r="N730" s="279">
        <v>1</v>
      </c>
      <c r="O730" s="279">
        <v>1</v>
      </c>
      <c r="P730" s="279">
        <v>1</v>
      </c>
      <c r="Q730" s="279">
        <v>1</v>
      </c>
      <c r="R730" s="279">
        <v>1</v>
      </c>
      <c r="S730" s="280">
        <v>1</v>
      </c>
      <c r="T730" s="63"/>
      <c r="U730" s="10"/>
      <c r="V730" s="90">
        <f>139+1251.4</f>
        <v>1390.4</v>
      </c>
      <c r="W730" s="91"/>
      <c r="X730" s="92"/>
    </row>
    <row r="731" spans="1:24">
      <c r="A731" s="2"/>
      <c r="B731" s="87">
        <f t="shared" ref="B731:B737" si="157">B730+1</f>
        <v>2</v>
      </c>
      <c r="C731" s="295">
        <v>45887</v>
      </c>
      <c r="D731" s="346" t="s">
        <v>496</v>
      </c>
      <c r="E731" s="10" t="s">
        <v>497</v>
      </c>
      <c r="F731" s="62">
        <v>1138</v>
      </c>
      <c r="G731" s="62">
        <f>39.7</f>
        <v>39.700000000000003</v>
      </c>
      <c r="H731" s="62"/>
      <c r="I731" s="324">
        <f t="shared" si="156"/>
        <v>1098.3</v>
      </c>
      <c r="J731" s="63" t="s">
        <v>156</v>
      </c>
      <c r="K731" s="63">
        <v>1</v>
      </c>
      <c r="L731" s="63">
        <v>1</v>
      </c>
      <c r="M731" s="325">
        <v>0</v>
      </c>
      <c r="N731" s="63">
        <v>1</v>
      </c>
      <c r="O731" s="63">
        <v>1</v>
      </c>
      <c r="P731" s="325">
        <v>0</v>
      </c>
      <c r="Q731" s="63">
        <v>1</v>
      </c>
      <c r="R731" s="63">
        <v>1</v>
      </c>
      <c r="S731" s="326">
        <v>0</v>
      </c>
      <c r="T731" s="63"/>
      <c r="U731" s="10" t="s">
        <v>498</v>
      </c>
      <c r="V731" s="90">
        <f>125.1+1126.7</f>
        <v>1251.8</v>
      </c>
      <c r="W731" s="91"/>
      <c r="X731" s="92"/>
    </row>
    <row r="732" spans="1:24">
      <c r="A732" s="93"/>
      <c r="B732" s="87">
        <f t="shared" si="157"/>
        <v>3</v>
      </c>
      <c r="C732" s="274">
        <v>45888</v>
      </c>
      <c r="D732" s="327" t="s">
        <v>499</v>
      </c>
      <c r="E732" s="281" t="s">
        <v>327</v>
      </c>
      <c r="F732" s="277">
        <v>681</v>
      </c>
      <c r="G732" s="277"/>
      <c r="H732" s="277"/>
      <c r="I732" s="321">
        <f t="shared" si="156"/>
        <v>681</v>
      </c>
      <c r="J732" s="279" t="s">
        <v>156</v>
      </c>
      <c r="K732" s="279">
        <v>1</v>
      </c>
      <c r="L732" s="279">
        <v>1</v>
      </c>
      <c r="M732" s="322">
        <v>0</v>
      </c>
      <c r="N732" s="279">
        <v>1</v>
      </c>
      <c r="O732" s="279">
        <v>1</v>
      </c>
      <c r="P732" s="279">
        <v>1</v>
      </c>
      <c r="Q732" s="279">
        <v>1</v>
      </c>
      <c r="R732" s="279">
        <v>1</v>
      </c>
      <c r="S732" s="280">
        <v>1</v>
      </c>
      <c r="T732" s="63"/>
      <c r="U732" s="10"/>
      <c r="V732" s="90">
        <f>75+674.1</f>
        <v>749.1</v>
      </c>
      <c r="W732" s="91"/>
      <c r="X732" s="92"/>
    </row>
    <row r="733" spans="1:24">
      <c r="A733" s="2"/>
      <c r="B733" s="87">
        <f t="shared" si="157"/>
        <v>4</v>
      </c>
      <c r="C733" s="274">
        <v>45889</v>
      </c>
      <c r="D733" s="327" t="s">
        <v>500</v>
      </c>
      <c r="E733" s="404" t="s">
        <v>354</v>
      </c>
      <c r="F733" s="277">
        <v>1138</v>
      </c>
      <c r="G733" s="277">
        <f>39.7</f>
        <v>39.700000000000003</v>
      </c>
      <c r="H733" s="277"/>
      <c r="I733" s="278">
        <f t="shared" si="156"/>
        <v>1098.3</v>
      </c>
      <c r="J733" s="279" t="s">
        <v>156</v>
      </c>
      <c r="K733" s="279">
        <v>1</v>
      </c>
      <c r="L733" s="279">
        <v>1</v>
      </c>
      <c r="M733" s="279">
        <v>1</v>
      </c>
      <c r="N733" s="279">
        <v>1</v>
      </c>
      <c r="O733" s="279">
        <v>1</v>
      </c>
      <c r="P733" s="279">
        <v>1</v>
      </c>
      <c r="Q733" s="279">
        <v>1</v>
      </c>
      <c r="R733" s="279">
        <v>1</v>
      </c>
      <c r="S733" s="280">
        <v>1</v>
      </c>
      <c r="T733" s="63"/>
      <c r="U733" s="10"/>
      <c r="V733" s="90">
        <f>125.18+1126.62</f>
        <v>1251.8</v>
      </c>
      <c r="W733" s="91"/>
      <c r="X733" s="92"/>
    </row>
    <row r="734" spans="1:24">
      <c r="A734" s="2"/>
      <c r="B734" s="87">
        <f t="shared" si="157"/>
        <v>5</v>
      </c>
      <c r="C734" s="295">
        <v>45889</v>
      </c>
      <c r="D734" s="323" t="s">
        <v>501</v>
      </c>
      <c r="E734" s="94" t="s">
        <v>354</v>
      </c>
      <c r="F734" s="62">
        <v>681</v>
      </c>
      <c r="G734" s="62"/>
      <c r="H734" s="62"/>
      <c r="I734" s="89">
        <f t="shared" si="156"/>
        <v>681</v>
      </c>
      <c r="J734" s="63" t="s">
        <v>156</v>
      </c>
      <c r="K734" s="63">
        <v>1</v>
      </c>
      <c r="L734" s="63">
        <v>1</v>
      </c>
      <c r="M734" s="63">
        <v>1</v>
      </c>
      <c r="N734" s="63">
        <v>1</v>
      </c>
      <c r="O734" s="63">
        <v>1</v>
      </c>
      <c r="P734" s="63">
        <v>1</v>
      </c>
      <c r="Q734" s="63">
        <v>1</v>
      </c>
      <c r="R734" s="63">
        <v>1</v>
      </c>
      <c r="S734" s="296">
        <v>1</v>
      </c>
      <c r="T734" s="21">
        <v>1</v>
      </c>
      <c r="U734" s="10"/>
      <c r="V734" s="90">
        <v>749.1</v>
      </c>
      <c r="W734" s="91"/>
      <c r="X734" s="92"/>
    </row>
    <row r="735" spans="1:24">
      <c r="A735" s="2"/>
      <c r="B735" s="87">
        <f t="shared" si="157"/>
        <v>6</v>
      </c>
      <c r="C735" s="274">
        <v>45890</v>
      </c>
      <c r="D735" s="327">
        <v>72502</v>
      </c>
      <c r="E735" s="276" t="s">
        <v>159</v>
      </c>
      <c r="F735" s="277">
        <v>1861</v>
      </c>
      <c r="G735" s="277">
        <f>39.7+(311.4)</f>
        <v>351.09999999999997</v>
      </c>
      <c r="H735" s="297"/>
      <c r="I735" s="278">
        <f t="shared" si="156"/>
        <v>1509.9</v>
      </c>
      <c r="J735" s="279" t="s">
        <v>156</v>
      </c>
      <c r="K735" s="279">
        <v>1</v>
      </c>
      <c r="L735" s="279">
        <v>1</v>
      </c>
      <c r="M735" s="279">
        <v>1</v>
      </c>
      <c r="N735" s="279">
        <v>1</v>
      </c>
      <c r="O735" s="279">
        <v>1</v>
      </c>
      <c r="P735" s="279">
        <v>1</v>
      </c>
      <c r="Q735" s="279">
        <v>1</v>
      </c>
      <c r="R735" s="279">
        <v>1</v>
      </c>
      <c r="S735" s="280">
        <v>1</v>
      </c>
      <c r="T735" s="21">
        <v>1</v>
      </c>
      <c r="U735" s="10"/>
      <c r="V735" s="90">
        <f>205+1842.1</f>
        <v>2047.1</v>
      </c>
      <c r="W735" s="91"/>
      <c r="X735" s="92"/>
    </row>
    <row r="736" spans="1:24">
      <c r="A736" s="2"/>
      <c r="B736" s="87">
        <f t="shared" si="157"/>
        <v>7</v>
      </c>
      <c r="C736" s="295">
        <v>45890</v>
      </c>
      <c r="D736" s="323">
        <v>72510</v>
      </c>
      <c r="E736" s="10" t="s">
        <v>502</v>
      </c>
      <c r="F736" s="62">
        <v>1261</v>
      </c>
      <c r="G736" s="62">
        <v>39.700000000000003</v>
      </c>
      <c r="H736" s="88"/>
      <c r="I736" s="89">
        <f t="shared" si="156"/>
        <v>1221.3</v>
      </c>
      <c r="J736" s="63" t="s">
        <v>156</v>
      </c>
      <c r="K736" s="63">
        <v>1</v>
      </c>
      <c r="L736" s="63">
        <v>1</v>
      </c>
      <c r="M736" s="63">
        <v>1</v>
      </c>
      <c r="N736" s="63">
        <v>1</v>
      </c>
      <c r="O736" s="63">
        <v>1</v>
      </c>
      <c r="P736" s="63">
        <v>1</v>
      </c>
      <c r="Q736" s="63">
        <v>1</v>
      </c>
      <c r="R736" s="63">
        <v>1</v>
      </c>
      <c r="S736" s="296">
        <v>1</v>
      </c>
      <c r="T736" s="63"/>
      <c r="U736" s="10" t="s">
        <v>503</v>
      </c>
      <c r="V736" s="90">
        <f>139+1248.1</f>
        <v>1387.1</v>
      </c>
      <c r="W736" s="91"/>
      <c r="X736" s="92"/>
    </row>
    <row r="737" spans="1:24">
      <c r="A737" s="2"/>
      <c r="B737" s="87">
        <f t="shared" si="157"/>
        <v>8</v>
      </c>
      <c r="C737" s="262">
        <v>45891</v>
      </c>
      <c r="D737" s="263">
        <v>72553</v>
      </c>
      <c r="E737" s="271" t="s">
        <v>407</v>
      </c>
      <c r="F737" s="265">
        <v>1138</v>
      </c>
      <c r="G737" s="265">
        <v>39.700000000000003</v>
      </c>
      <c r="H737" s="365"/>
      <c r="I737" s="272">
        <f t="shared" si="156"/>
        <v>1098.3</v>
      </c>
      <c r="J737" s="267" t="s">
        <v>156</v>
      </c>
      <c r="K737" s="267">
        <v>1</v>
      </c>
      <c r="L737" s="267">
        <v>1</v>
      </c>
      <c r="M737" s="267">
        <v>1</v>
      </c>
      <c r="N737" s="267">
        <v>1</v>
      </c>
      <c r="O737" s="267">
        <v>1</v>
      </c>
      <c r="P737" s="267">
        <v>1</v>
      </c>
      <c r="Q737" s="267">
        <v>1</v>
      </c>
      <c r="R737" s="267">
        <v>1</v>
      </c>
      <c r="S737" s="269">
        <v>1</v>
      </c>
      <c r="T737" s="63"/>
      <c r="U737" s="10"/>
      <c r="V737" s="90">
        <f>125.2+1126.6</f>
        <v>1251.8</v>
      </c>
      <c r="W737" s="91"/>
      <c r="X737" s="92"/>
    </row>
    <row r="738" spans="1:24">
      <c r="A738" s="2"/>
      <c r="B738" s="87"/>
      <c r="C738" s="36"/>
      <c r="D738" s="10"/>
      <c r="E738" s="10"/>
      <c r="F738" s="97">
        <f>SUM(F730:F737)</f>
        <v>9162</v>
      </c>
      <c r="G738" s="97">
        <f>SUM(G730:G737)</f>
        <v>549.6</v>
      </c>
      <c r="H738" s="97">
        <f>SUM(H730:H737)</f>
        <v>0</v>
      </c>
      <c r="I738" s="98">
        <f>SUM(I730:I737)</f>
        <v>8612.4</v>
      </c>
      <c r="J738" s="63"/>
      <c r="K738" s="63">
        <f>COUNT(K730:K737)</f>
        <v>8</v>
      </c>
      <c r="L738" s="63">
        <f>COUNT(L730:L737)</f>
        <v>8</v>
      </c>
      <c r="M738" s="63">
        <f>COUNT(M730:M737)</f>
        <v>8</v>
      </c>
      <c r="N738" s="63">
        <f>COUNT(N730:N737)</f>
        <v>8</v>
      </c>
      <c r="O738" s="63">
        <f>COUNT(O730:O737)</f>
        <v>8</v>
      </c>
      <c r="P738" s="63">
        <f>COUNT(P730:P737)</f>
        <v>8</v>
      </c>
      <c r="Q738" s="63">
        <f>COUNT(Q730:Q737)</f>
        <v>8</v>
      </c>
      <c r="R738" s="63">
        <f>COUNT(R730:R737)</f>
        <v>8</v>
      </c>
      <c r="S738" s="63">
        <f>COUNT(S730:S737)</f>
        <v>8</v>
      </c>
      <c r="T738" s="63"/>
      <c r="U738" s="10"/>
      <c r="V738" s="90"/>
      <c r="W738" s="91"/>
      <c r="X738" s="92"/>
    </row>
    <row r="739" spans="1:24">
      <c r="A739" s="2"/>
      <c r="B739" s="87"/>
      <c r="C739" s="36"/>
      <c r="D739" s="10"/>
      <c r="E739" s="10"/>
      <c r="F739" s="88"/>
      <c r="G739" s="88"/>
      <c r="H739" s="88"/>
      <c r="I739" s="99"/>
      <c r="J739" s="63"/>
      <c r="K739" s="21">
        <f>SUM(K730:K737)</f>
        <v>8</v>
      </c>
      <c r="L739" s="21">
        <f>SUM(L730:L737)</f>
        <v>8</v>
      </c>
      <c r="M739" s="21">
        <f>SUM(M730:M737)</f>
        <v>5</v>
      </c>
      <c r="N739" s="21">
        <f>SUM(N730:N737)</f>
        <v>8</v>
      </c>
      <c r="O739" s="21">
        <f>SUM(O730:O737)</f>
        <v>8</v>
      </c>
      <c r="P739" s="21">
        <f>SUM(P730:P737)</f>
        <v>7</v>
      </c>
      <c r="Q739" s="21">
        <f>SUM(Q730:Q737)</f>
        <v>8</v>
      </c>
      <c r="R739" s="21">
        <f>SUM(R730:R737)</f>
        <v>8</v>
      </c>
      <c r="S739" s="21">
        <f>SUM(S730:S737)</f>
        <v>7</v>
      </c>
      <c r="T739" s="63"/>
      <c r="U739" s="10"/>
      <c r="V739" s="90"/>
      <c r="W739" s="91"/>
      <c r="X739" s="92"/>
    </row>
    <row r="740" spans="1:24">
      <c r="A740" s="2"/>
      <c r="B740" s="11"/>
      <c r="C740" s="36"/>
      <c r="D740" s="10"/>
      <c r="E740" s="10"/>
      <c r="F740" s="88"/>
      <c r="G740" s="88"/>
      <c r="H740" s="88"/>
      <c r="I740" s="99"/>
      <c r="J740" s="63"/>
      <c r="K740" s="21"/>
      <c r="L740" s="21"/>
      <c r="M740" s="21"/>
      <c r="N740" s="21"/>
      <c r="O740" s="21"/>
      <c r="P740" s="21"/>
      <c r="Q740" s="21"/>
      <c r="R740" s="21"/>
      <c r="S740" s="21"/>
      <c r="T740" s="63"/>
      <c r="U740" s="94"/>
      <c r="V740" s="90"/>
      <c r="W740" s="91"/>
      <c r="X740" s="92"/>
    </row>
    <row r="741" spans="1:24" s="260" customFormat="1">
      <c r="A741" s="181"/>
      <c r="B741" s="100" t="s">
        <v>152</v>
      </c>
      <c r="C741" s="36"/>
      <c r="D741" s="10"/>
      <c r="E741" s="10"/>
      <c r="F741" s="88"/>
      <c r="G741" s="62"/>
      <c r="H741" s="88"/>
      <c r="I741" s="99"/>
      <c r="J741" s="10"/>
      <c r="K741" s="181"/>
      <c r="L741" s="181"/>
      <c r="M741" s="181"/>
      <c r="N741" s="181"/>
      <c r="O741" s="181"/>
      <c r="P741" s="181"/>
      <c r="Q741" s="181"/>
      <c r="R741" s="181"/>
      <c r="S741" s="181"/>
      <c r="T741" s="63"/>
      <c r="U741" s="10"/>
      <c r="V741" s="90"/>
      <c r="W741" s="91"/>
      <c r="X741" s="92"/>
    </row>
    <row r="742" spans="1:24" s="260" customFormat="1">
      <c r="A742" s="312" t="s">
        <v>194</v>
      </c>
      <c r="B742" s="87">
        <v>1</v>
      </c>
      <c r="C742" s="262">
        <v>45805</v>
      </c>
      <c r="D742" s="357" t="s">
        <v>195</v>
      </c>
      <c r="E742" s="271" t="s">
        <v>196</v>
      </c>
      <c r="F742" s="265">
        <v>2999.1</v>
      </c>
      <c r="G742" s="265">
        <v>39.700000000000003</v>
      </c>
      <c r="H742" s="265">
        <f>F742*0.2</f>
        <v>599.82000000000005</v>
      </c>
      <c r="I742" s="266">
        <f t="shared" ref="I742:I747" si="158">F742-G742-H742</f>
        <v>2359.58</v>
      </c>
      <c r="J742" s="267" t="s">
        <v>197</v>
      </c>
      <c r="K742" s="267">
        <v>1</v>
      </c>
      <c r="L742" s="267">
        <v>1</v>
      </c>
      <c r="M742" s="267">
        <v>1</v>
      </c>
      <c r="N742" s="267">
        <v>1</v>
      </c>
      <c r="O742" s="267">
        <v>1</v>
      </c>
      <c r="P742" s="314">
        <v>0</v>
      </c>
      <c r="Q742" s="314">
        <v>0</v>
      </c>
      <c r="R742" s="314">
        <v>0</v>
      </c>
      <c r="S742" s="366">
        <v>0</v>
      </c>
      <c r="T742" s="63"/>
      <c r="U742" s="10" t="s">
        <v>198</v>
      </c>
      <c r="V742" s="90"/>
      <c r="W742" s="91"/>
      <c r="X742" s="92"/>
    </row>
    <row r="743" spans="1:24" s="260" customFormat="1">
      <c r="A743" s="312" t="s">
        <v>194</v>
      </c>
      <c r="B743" s="87">
        <f>B742+1</f>
        <v>2</v>
      </c>
      <c r="C743" s="262">
        <v>45805</v>
      </c>
      <c r="D743" s="357" t="s">
        <v>199</v>
      </c>
      <c r="E743" s="271" t="s">
        <v>196</v>
      </c>
      <c r="F743" s="265">
        <v>16214</v>
      </c>
      <c r="G743" s="265">
        <f>39.7+44+36.26+(33.82+55.44)+(102.43+254.2+84.43+10.82+125.93)+1500</f>
        <v>2287.0299999999997</v>
      </c>
      <c r="H743" s="265">
        <f>F743*0.2</f>
        <v>3242.8</v>
      </c>
      <c r="I743" s="266">
        <f t="shared" si="158"/>
        <v>10684.170000000002</v>
      </c>
      <c r="J743" s="267" t="s">
        <v>197</v>
      </c>
      <c r="K743" s="267">
        <v>1</v>
      </c>
      <c r="L743" s="267">
        <v>1</v>
      </c>
      <c r="M743" s="267">
        <v>1</v>
      </c>
      <c r="N743" s="267">
        <v>1</v>
      </c>
      <c r="O743" s="267">
        <v>1</v>
      </c>
      <c r="P743" s="314">
        <v>0</v>
      </c>
      <c r="Q743" s="267">
        <v>1</v>
      </c>
      <c r="R743" s="267">
        <v>1</v>
      </c>
      <c r="S743" s="366">
        <v>0</v>
      </c>
      <c r="T743" s="63"/>
      <c r="U743" s="10" t="s">
        <v>200</v>
      </c>
      <c r="V743" s="90"/>
      <c r="W743" s="136"/>
      <c r="X743" s="137"/>
    </row>
    <row r="744" spans="1:24" s="260" customFormat="1">
      <c r="A744" s="261">
        <v>0.05</v>
      </c>
      <c r="B744" s="87">
        <f>B743+1</f>
        <v>3</v>
      </c>
      <c r="C744" s="262">
        <v>45826</v>
      </c>
      <c r="D744" s="263">
        <v>70849</v>
      </c>
      <c r="E744" s="271" t="s">
        <v>189</v>
      </c>
      <c r="F744" s="265">
        <f>1261</f>
        <v>1261</v>
      </c>
      <c r="G744" s="265">
        <v>39.700000000000003</v>
      </c>
      <c r="H744" s="265"/>
      <c r="I744" s="266">
        <f t="shared" si="158"/>
        <v>1221.3</v>
      </c>
      <c r="J744" s="267" t="s">
        <v>156</v>
      </c>
      <c r="K744" s="267">
        <v>1</v>
      </c>
      <c r="L744" s="267">
        <v>1</v>
      </c>
      <c r="M744" s="267">
        <v>1</v>
      </c>
      <c r="N744" s="267">
        <v>1</v>
      </c>
      <c r="O744" s="267">
        <v>1</v>
      </c>
      <c r="P744" s="267">
        <v>1</v>
      </c>
      <c r="Q744" s="314">
        <v>0</v>
      </c>
      <c r="R744" s="314">
        <v>0</v>
      </c>
      <c r="S744" s="366">
        <v>0</v>
      </c>
      <c r="T744" s="63"/>
      <c r="U744" s="10" t="s">
        <v>201</v>
      </c>
      <c r="V744" s="90"/>
      <c r="W744" s="136"/>
      <c r="X744" s="137"/>
    </row>
    <row r="745" spans="1:24" s="260" customFormat="1">
      <c r="A745" s="261">
        <v>0.05</v>
      </c>
      <c r="B745" s="87">
        <f>B744+1</f>
        <v>4</v>
      </c>
      <c r="C745" s="262">
        <v>45834</v>
      </c>
      <c r="D745" s="357" t="s">
        <v>188</v>
      </c>
      <c r="E745" s="271" t="s">
        <v>189</v>
      </c>
      <c r="F745" s="265">
        <f>11553-160.9</f>
        <v>11392.1</v>
      </c>
      <c r="G745" s="265">
        <f>39.7+4500+300</f>
        <v>4839.7</v>
      </c>
      <c r="H745" s="265">
        <f>F745*0.2</f>
        <v>2278.42</v>
      </c>
      <c r="I745" s="266">
        <f t="shared" si="158"/>
        <v>4273.9800000000005</v>
      </c>
      <c r="J745" s="267" t="s">
        <v>185</v>
      </c>
      <c r="K745" s="267">
        <v>1</v>
      </c>
      <c r="L745" s="267">
        <v>1</v>
      </c>
      <c r="M745" s="267">
        <v>1</v>
      </c>
      <c r="N745" s="267">
        <v>1</v>
      </c>
      <c r="O745" s="267">
        <v>1</v>
      </c>
      <c r="P745" s="314">
        <v>0</v>
      </c>
      <c r="Q745" s="314">
        <v>0</v>
      </c>
      <c r="R745" s="314">
        <v>0</v>
      </c>
      <c r="S745" s="366">
        <v>0</v>
      </c>
      <c r="T745" s="63"/>
      <c r="U745" s="10" t="s">
        <v>266</v>
      </c>
      <c r="V745" s="90"/>
      <c r="W745" s="136"/>
      <c r="X745" s="137"/>
    </row>
    <row r="746" spans="1:24" s="342" customFormat="1">
      <c r="A746" s="31">
        <v>0.05</v>
      </c>
      <c r="B746" s="87">
        <f>B745+1</f>
        <v>5</v>
      </c>
      <c r="C746" s="262">
        <v>45838</v>
      </c>
      <c r="D746" s="357" t="s">
        <v>257</v>
      </c>
      <c r="E746" s="264" t="s">
        <v>227</v>
      </c>
      <c r="F746" s="265">
        <v>1261</v>
      </c>
      <c r="G746" s="265">
        <v>39.700000000000003</v>
      </c>
      <c r="H746" s="265"/>
      <c r="I746" s="266">
        <f t="shared" si="158"/>
        <v>1221.3</v>
      </c>
      <c r="J746" s="267" t="s">
        <v>156</v>
      </c>
      <c r="K746" s="267">
        <v>1</v>
      </c>
      <c r="L746" s="267">
        <v>1</v>
      </c>
      <c r="M746" s="267">
        <v>1</v>
      </c>
      <c r="N746" s="267">
        <v>1</v>
      </c>
      <c r="O746" s="267">
        <v>1</v>
      </c>
      <c r="P746" s="314">
        <v>0</v>
      </c>
      <c r="Q746" s="267">
        <v>1</v>
      </c>
      <c r="R746" s="267">
        <v>1</v>
      </c>
      <c r="S746" s="366">
        <v>0</v>
      </c>
      <c r="T746" s="63"/>
      <c r="U746" s="10" t="s">
        <v>504</v>
      </c>
      <c r="V746" s="90"/>
      <c r="W746" s="91"/>
      <c r="X746" s="92"/>
    </row>
    <row r="747" spans="1:24" s="260" customFormat="1">
      <c r="A747" s="261" t="s">
        <v>483</v>
      </c>
      <c r="B747" s="87">
        <f t="shared" ref="B747:B748" si="159">B746+1</f>
        <v>6</v>
      </c>
      <c r="C747" s="274">
        <v>45835</v>
      </c>
      <c r="D747" s="320">
        <v>71077</v>
      </c>
      <c r="E747" s="276" t="s">
        <v>204</v>
      </c>
      <c r="F747" s="277">
        <v>5814</v>
      </c>
      <c r="G747" s="277">
        <f>39.7+(727.51)</f>
        <v>767.21</v>
      </c>
      <c r="H747" s="277"/>
      <c r="I747" s="321">
        <f t="shared" si="158"/>
        <v>5046.79</v>
      </c>
      <c r="J747" s="279" t="s">
        <v>236</v>
      </c>
      <c r="K747" s="279">
        <v>1</v>
      </c>
      <c r="L747" s="279">
        <v>1</v>
      </c>
      <c r="M747" s="279">
        <v>1</v>
      </c>
      <c r="N747" s="279">
        <v>1</v>
      </c>
      <c r="O747" s="279">
        <v>1</v>
      </c>
      <c r="P747" s="322">
        <v>0</v>
      </c>
      <c r="Q747" s="322">
        <v>0</v>
      </c>
      <c r="R747" s="322">
        <v>0</v>
      </c>
      <c r="S747" s="328">
        <v>0</v>
      </c>
      <c r="T747" s="63"/>
      <c r="U747" s="10" t="s">
        <v>484</v>
      </c>
      <c r="V747" s="90"/>
      <c r="W747" s="136"/>
      <c r="X747" s="137"/>
    </row>
    <row r="748" spans="1:24" s="260" customFormat="1">
      <c r="A748" s="261">
        <v>0.05</v>
      </c>
      <c r="B748" s="87">
        <f t="shared" si="159"/>
        <v>7</v>
      </c>
      <c r="C748" s="262">
        <v>45873</v>
      </c>
      <c r="D748" s="263" t="s">
        <v>448</v>
      </c>
      <c r="E748" s="271" t="s">
        <v>245</v>
      </c>
      <c r="F748" s="265">
        <v>16214</v>
      </c>
      <c r="G748" s="265">
        <f>39.7+334+(37.9+110.12+72.67+137.98)+(161.68+232.63)+1500</f>
        <v>2626.68</v>
      </c>
      <c r="H748" s="265"/>
      <c r="I748" s="266">
        <f>F748-G748-H748</f>
        <v>13587.32</v>
      </c>
      <c r="J748" s="267" t="s">
        <v>228</v>
      </c>
      <c r="K748" s="267">
        <v>1</v>
      </c>
      <c r="L748" s="267">
        <v>1</v>
      </c>
      <c r="M748" s="267">
        <v>1</v>
      </c>
      <c r="N748" s="267">
        <v>1</v>
      </c>
      <c r="O748" s="267">
        <v>1</v>
      </c>
      <c r="P748" s="267">
        <v>1</v>
      </c>
      <c r="Q748" s="314">
        <v>0</v>
      </c>
      <c r="R748" s="314">
        <v>0</v>
      </c>
      <c r="S748" s="366">
        <v>0</v>
      </c>
      <c r="T748" s="63"/>
      <c r="U748" s="94" t="s">
        <v>485</v>
      </c>
      <c r="V748" s="90"/>
      <c r="W748" s="136"/>
      <c r="X748" s="137"/>
    </row>
    <row r="749" spans="1:24" s="260" customFormat="1">
      <c r="A749" s="181"/>
      <c r="B749" s="11"/>
      <c r="C749" s="36"/>
      <c r="D749" s="77"/>
      <c r="E749" s="10"/>
      <c r="F749" s="97">
        <f>SUM(F742:F748)</f>
        <v>55155.199999999997</v>
      </c>
      <c r="G749" s="97">
        <f t="shared" ref="G749" si="160">SUM(G742:G748)</f>
        <v>10639.72</v>
      </c>
      <c r="H749" s="97">
        <f t="shared" ref="H749" si="161">SUM(H742:H748)</f>
        <v>6121.0400000000009</v>
      </c>
      <c r="I749" s="97">
        <f t="shared" ref="I749" si="162">SUM(I742:I748)</f>
        <v>38394.44</v>
      </c>
      <c r="K749" s="21"/>
      <c r="L749" s="21"/>
      <c r="M749" s="21"/>
      <c r="N749" s="21"/>
      <c r="O749" s="21"/>
      <c r="P749" s="21"/>
      <c r="Q749" s="21"/>
      <c r="R749" s="21"/>
      <c r="S749" s="21"/>
      <c r="T749" s="63"/>
      <c r="U749" s="10"/>
      <c r="V749" s="90"/>
      <c r="W749" s="91"/>
      <c r="X749" s="92"/>
    </row>
    <row r="750" spans="1:24" s="260" customFormat="1">
      <c r="A750" s="181"/>
      <c r="B750" s="11"/>
      <c r="C750" s="36"/>
      <c r="D750" s="77"/>
      <c r="E750" s="10"/>
      <c r="F750" s="88"/>
      <c r="G750" s="88"/>
      <c r="H750" s="88"/>
      <c r="I750" s="99"/>
      <c r="J750" s="63"/>
      <c r="K750" s="21"/>
      <c r="L750" s="21"/>
      <c r="M750" s="21"/>
      <c r="N750" s="21"/>
      <c r="O750" s="21"/>
      <c r="P750" s="21"/>
      <c r="Q750" s="21"/>
      <c r="R750" s="21"/>
      <c r="S750" s="21"/>
      <c r="T750" s="63"/>
      <c r="U750" s="10"/>
      <c r="V750" s="90"/>
      <c r="W750" s="91"/>
      <c r="X750" s="92"/>
    </row>
    <row r="751" spans="1:24" s="260" customFormat="1">
      <c r="A751" s="181"/>
      <c r="B751" s="100" t="s">
        <v>202</v>
      </c>
      <c r="C751" s="299"/>
      <c r="D751" s="77"/>
      <c r="E751" s="181"/>
      <c r="F751" s="88"/>
      <c r="G751" s="88"/>
      <c r="H751" s="88"/>
      <c r="I751" s="99"/>
      <c r="J751" s="63"/>
      <c r="K751" s="21"/>
      <c r="L751" s="21"/>
      <c r="M751" s="21"/>
      <c r="N751" s="21"/>
      <c r="O751" s="21"/>
      <c r="P751" s="21"/>
      <c r="Q751" s="21"/>
      <c r="R751" s="21"/>
      <c r="S751" s="21"/>
      <c r="T751" s="63"/>
      <c r="U751" s="10"/>
      <c r="V751" s="90"/>
      <c r="W751" s="91"/>
      <c r="X751" s="92"/>
    </row>
    <row r="752" spans="1:24" s="260" customFormat="1">
      <c r="A752" s="261">
        <v>0.05</v>
      </c>
      <c r="B752" s="87">
        <v>1</v>
      </c>
      <c r="C752" s="262">
        <v>45847</v>
      </c>
      <c r="D752" s="263">
        <v>71343</v>
      </c>
      <c r="E752" s="271" t="s">
        <v>184</v>
      </c>
      <c r="F752" s="265">
        <v>2814</v>
      </c>
      <c r="G752" s="265">
        <f>39.7+(36.22+222.93)</f>
        <v>298.84999999999997</v>
      </c>
      <c r="H752" s="265"/>
      <c r="I752" s="266">
        <f>F752-G752-H752</f>
        <v>2515.15</v>
      </c>
      <c r="J752" s="267" t="s">
        <v>156</v>
      </c>
      <c r="K752" s="267">
        <v>1</v>
      </c>
      <c r="L752" s="267"/>
      <c r="M752" s="267">
        <v>1</v>
      </c>
      <c r="N752" s="267">
        <v>1</v>
      </c>
      <c r="O752" s="267">
        <v>1</v>
      </c>
      <c r="P752" s="314">
        <v>0</v>
      </c>
      <c r="Q752" s="267"/>
      <c r="R752" s="267"/>
      <c r="S752" s="269"/>
      <c r="T752" s="63"/>
      <c r="U752" s="94" t="s">
        <v>359</v>
      </c>
      <c r="V752" s="90"/>
      <c r="W752" s="136"/>
      <c r="X752" s="137"/>
    </row>
    <row r="753" spans="1:24" s="260" customFormat="1">
      <c r="A753" s="261">
        <v>0.05</v>
      </c>
      <c r="B753" s="87">
        <f>B752+1</f>
        <v>2</v>
      </c>
      <c r="C753" s="262">
        <v>45877</v>
      </c>
      <c r="D753" s="263" t="s">
        <v>450</v>
      </c>
      <c r="E753" s="271" t="s">
        <v>203</v>
      </c>
      <c r="F753" s="265">
        <v>12814</v>
      </c>
      <c r="G753" s="265">
        <f>39.7+169+169+(112.49+76.96+145.18+14.16+69.11-131.35)+(95.68+286.2-8.21+27.54+29.97+79.15+27.04+302.46+51.78+24.62)+1000</f>
        <v>2580.48</v>
      </c>
      <c r="H753" s="265"/>
      <c r="I753" s="272">
        <f>F753-G753-H753</f>
        <v>10233.52</v>
      </c>
      <c r="J753" s="267" t="s">
        <v>228</v>
      </c>
      <c r="K753" s="267">
        <v>1</v>
      </c>
      <c r="L753" s="267"/>
      <c r="M753" s="267">
        <v>1</v>
      </c>
      <c r="N753" s="267">
        <v>1</v>
      </c>
      <c r="O753" s="267">
        <v>1</v>
      </c>
      <c r="P753" s="267">
        <v>1</v>
      </c>
      <c r="Q753" s="267"/>
      <c r="R753" s="267"/>
      <c r="S753" s="269"/>
      <c r="T753" s="63"/>
      <c r="U753" s="94" t="s">
        <v>486</v>
      </c>
      <c r="V753" s="90"/>
      <c r="W753" s="136"/>
      <c r="X753" s="137"/>
    </row>
    <row r="754" spans="1:24" s="260" customFormat="1">
      <c r="A754" s="261">
        <v>0.05</v>
      </c>
      <c r="B754" s="87">
        <f>B753+1</f>
        <v>3</v>
      </c>
      <c r="C754" s="262">
        <v>45881</v>
      </c>
      <c r="D754" s="263" t="s">
        <v>480</v>
      </c>
      <c r="E754" s="309" t="s">
        <v>456</v>
      </c>
      <c r="F754" s="265">
        <v>8614</v>
      </c>
      <c r="G754" s="265">
        <f>39.7+(278.1+41.8-83.55)+1500</f>
        <v>1776.05</v>
      </c>
      <c r="H754" s="265"/>
      <c r="I754" s="272">
        <f t="shared" ref="I754" si="163">F754-G754-H754</f>
        <v>6837.95</v>
      </c>
      <c r="J754" s="267" t="s">
        <v>228</v>
      </c>
      <c r="K754" s="267">
        <v>1</v>
      </c>
      <c r="L754" s="267"/>
      <c r="M754" s="267">
        <v>1</v>
      </c>
      <c r="N754" s="267">
        <v>1</v>
      </c>
      <c r="O754" s="267">
        <v>1</v>
      </c>
      <c r="P754" s="267">
        <v>1</v>
      </c>
      <c r="Q754" s="267"/>
      <c r="R754" s="267"/>
      <c r="S754" s="269"/>
      <c r="T754" s="63"/>
      <c r="U754" s="94" t="s">
        <v>505</v>
      </c>
      <c r="V754" s="90"/>
      <c r="W754" s="136"/>
      <c r="X754" s="137"/>
    </row>
    <row r="755" spans="1:24" s="260" customFormat="1">
      <c r="B755" s="11"/>
      <c r="C755" s="36"/>
      <c r="D755" s="10"/>
      <c r="E755" s="10"/>
      <c r="F755" s="97">
        <f>SUM(F752:F754)</f>
        <v>24242</v>
      </c>
      <c r="G755" s="97">
        <f t="shared" ref="G755:I755" si="164">SUM(G752:G754)</f>
        <v>4655.38</v>
      </c>
      <c r="H755" s="97">
        <f t="shared" si="164"/>
        <v>0</v>
      </c>
      <c r="I755" s="97">
        <f t="shared" si="164"/>
        <v>19586.62</v>
      </c>
      <c r="J755" s="63"/>
      <c r="K755" s="21"/>
      <c r="L755" s="21"/>
      <c r="M755" s="21"/>
      <c r="N755" s="21"/>
      <c r="O755" s="21"/>
      <c r="P755" s="21"/>
      <c r="Q755" s="21"/>
      <c r="R755" s="21"/>
      <c r="S755" s="21"/>
      <c r="T755" s="63"/>
      <c r="U755" s="10"/>
      <c r="V755" s="90"/>
      <c r="W755" s="91"/>
      <c r="X755" s="92"/>
    </row>
    <row r="756" spans="1:24" s="260" customFormat="1">
      <c r="B756" s="11"/>
      <c r="C756" s="36"/>
      <c r="D756" s="10"/>
      <c r="E756" s="10"/>
      <c r="F756" s="88"/>
      <c r="G756" s="88"/>
      <c r="H756" s="88"/>
      <c r="I756" s="88"/>
      <c r="J756" s="63"/>
      <c r="K756" s="21"/>
      <c r="L756" s="21"/>
      <c r="M756" s="21"/>
      <c r="N756" s="21"/>
      <c r="O756" s="21"/>
      <c r="P756" s="21"/>
      <c r="Q756" s="21"/>
      <c r="R756" s="21"/>
      <c r="S756" s="21"/>
      <c r="T756" s="63"/>
      <c r="U756" s="10"/>
      <c r="V756" s="90"/>
      <c r="W756" s="91"/>
      <c r="X756" s="92"/>
    </row>
    <row r="757" spans="1:24">
      <c r="A757" s="2"/>
      <c r="B757" s="100" t="s">
        <v>72</v>
      </c>
      <c r="C757" s="36"/>
      <c r="D757" s="10"/>
      <c r="E757" s="10"/>
      <c r="F757" s="88"/>
      <c r="G757" s="88"/>
      <c r="H757" s="88"/>
      <c r="I757" s="99"/>
      <c r="J757" s="63"/>
      <c r="K757" s="63"/>
      <c r="L757" s="63"/>
      <c r="M757" s="63"/>
      <c r="N757" s="63"/>
      <c r="O757" s="63"/>
      <c r="P757" s="63"/>
      <c r="Q757" s="63"/>
      <c r="R757" s="63"/>
      <c r="S757" s="63"/>
      <c r="T757" s="63"/>
      <c r="U757" s="10"/>
      <c r="V757" s="90"/>
      <c r="W757" s="91"/>
      <c r="X757" s="92"/>
    </row>
    <row r="758" spans="1:24">
      <c r="A758" s="2"/>
      <c r="B758" s="87">
        <v>1</v>
      </c>
      <c r="C758" s="274">
        <v>45887</v>
      </c>
      <c r="D758" s="275" t="s">
        <v>506</v>
      </c>
      <c r="E758" s="276" t="s">
        <v>377</v>
      </c>
      <c r="F758" s="277">
        <v>12792.6</v>
      </c>
      <c r="G758" s="277">
        <f>39.7</f>
        <v>39.700000000000003</v>
      </c>
      <c r="H758" s="277"/>
      <c r="I758" s="278">
        <f t="shared" ref="I758:I784" si="165">F758-G758-H758</f>
        <v>12752.9</v>
      </c>
      <c r="J758" s="279" t="s">
        <v>205</v>
      </c>
      <c r="K758" s="279">
        <v>1</v>
      </c>
      <c r="L758" s="279"/>
      <c r="M758" s="279"/>
      <c r="N758" s="279">
        <v>1</v>
      </c>
      <c r="O758" s="279"/>
      <c r="P758" s="279"/>
      <c r="Q758" s="279"/>
      <c r="R758" s="279"/>
      <c r="S758" s="280"/>
      <c r="T758" s="63"/>
      <c r="U758" s="3"/>
      <c r="V758" s="90"/>
      <c r="W758" s="91"/>
      <c r="X758" s="92"/>
    </row>
    <row r="759" spans="1:24">
      <c r="A759" s="2"/>
      <c r="B759" s="87">
        <f t="shared" ref="B759:B774" si="166">B758+1</f>
        <v>2</v>
      </c>
      <c r="C759" s="295">
        <v>45887</v>
      </c>
      <c r="D759" s="10">
        <v>72152</v>
      </c>
      <c r="E759" s="10" t="s">
        <v>507</v>
      </c>
      <c r="F759" s="62">
        <v>1552</v>
      </c>
      <c r="G759" s="62">
        <v>39.700000000000003</v>
      </c>
      <c r="H759" s="62"/>
      <c r="I759" s="89">
        <f t="shared" si="165"/>
        <v>1512.3</v>
      </c>
      <c r="J759" s="63" t="s">
        <v>205</v>
      </c>
      <c r="K759" s="63">
        <v>1</v>
      </c>
      <c r="L759" s="63"/>
      <c r="M759" s="63"/>
      <c r="N759" s="63">
        <v>1</v>
      </c>
      <c r="O759" s="63"/>
      <c r="P759" s="63"/>
      <c r="Q759" s="63">
        <v>1</v>
      </c>
      <c r="R759" s="63">
        <v>1</v>
      </c>
      <c r="S759" s="296">
        <v>1</v>
      </c>
      <c r="T759" s="63"/>
      <c r="U759" s="10"/>
      <c r="V759" s="90"/>
      <c r="W759" s="136"/>
      <c r="X759" s="137"/>
    </row>
    <row r="760" spans="1:24">
      <c r="A760" s="2"/>
      <c r="B760" s="87">
        <f t="shared" si="166"/>
        <v>3</v>
      </c>
      <c r="C760" s="295">
        <v>45887</v>
      </c>
      <c r="D760" s="10">
        <v>72389</v>
      </c>
      <c r="E760" s="10" t="s">
        <v>329</v>
      </c>
      <c r="F760" s="62">
        <v>861</v>
      </c>
      <c r="G760" s="62">
        <v>39.700000000000003</v>
      </c>
      <c r="H760" s="62"/>
      <c r="I760" s="89">
        <f t="shared" si="165"/>
        <v>821.3</v>
      </c>
      <c r="J760" s="63" t="s">
        <v>205</v>
      </c>
      <c r="K760" s="63">
        <v>1</v>
      </c>
      <c r="L760" s="63"/>
      <c r="M760" s="63"/>
      <c r="N760" s="63">
        <v>1</v>
      </c>
      <c r="O760" s="63"/>
      <c r="P760" s="63"/>
      <c r="Q760" s="63">
        <v>1</v>
      </c>
      <c r="R760" s="63">
        <v>1</v>
      </c>
      <c r="S760" s="296">
        <v>1</v>
      </c>
      <c r="T760" s="63"/>
      <c r="U760" s="10"/>
      <c r="V760" s="90"/>
      <c r="W760" s="136"/>
      <c r="X760" s="137"/>
    </row>
    <row r="761" spans="1:24">
      <c r="A761" s="2"/>
      <c r="B761" s="87">
        <f t="shared" si="166"/>
        <v>4</v>
      </c>
      <c r="C761" s="295">
        <v>45887</v>
      </c>
      <c r="D761" s="10">
        <v>72394</v>
      </c>
      <c r="E761" s="10" t="s">
        <v>444</v>
      </c>
      <c r="F761" s="62">
        <v>681</v>
      </c>
      <c r="G761" s="62"/>
      <c r="H761" s="62"/>
      <c r="I761" s="89">
        <f t="shared" si="165"/>
        <v>681</v>
      </c>
      <c r="J761" s="63" t="s">
        <v>205</v>
      </c>
      <c r="K761" s="63">
        <v>1</v>
      </c>
      <c r="L761" s="63"/>
      <c r="M761" s="63"/>
      <c r="N761" s="63">
        <v>1</v>
      </c>
      <c r="O761" s="63"/>
      <c r="P761" s="63"/>
      <c r="Q761" s="63">
        <v>1</v>
      </c>
      <c r="R761" s="63">
        <v>1</v>
      </c>
      <c r="S761" s="296">
        <v>1</v>
      </c>
      <c r="T761" s="63"/>
      <c r="U761" s="10"/>
      <c r="V761" s="90"/>
      <c r="W761" s="136"/>
      <c r="X761" s="137"/>
    </row>
    <row r="762" spans="1:24">
      <c r="A762" s="2"/>
      <c r="B762" s="87">
        <f t="shared" si="166"/>
        <v>5</v>
      </c>
      <c r="C762" s="295">
        <v>45887</v>
      </c>
      <c r="D762" s="10">
        <v>72387</v>
      </c>
      <c r="E762" s="10" t="s">
        <v>508</v>
      </c>
      <c r="F762" s="62">
        <v>0</v>
      </c>
      <c r="G762" s="62">
        <v>0</v>
      </c>
      <c r="H762" s="62"/>
      <c r="I762" s="89">
        <f t="shared" si="165"/>
        <v>0</v>
      </c>
      <c r="J762" s="63" t="s">
        <v>205</v>
      </c>
      <c r="K762" s="63">
        <v>1</v>
      </c>
      <c r="L762" s="63"/>
      <c r="M762" s="63"/>
      <c r="N762" s="63"/>
      <c r="O762" s="63"/>
      <c r="P762" s="63"/>
      <c r="Q762" s="63">
        <v>1</v>
      </c>
      <c r="R762" s="63">
        <v>1</v>
      </c>
      <c r="S762" s="296"/>
      <c r="T762" s="63"/>
      <c r="U762" s="10"/>
      <c r="V762" s="90"/>
      <c r="W762" s="136"/>
      <c r="X762" s="137"/>
    </row>
    <row r="763" spans="1:24">
      <c r="A763" s="2"/>
      <c r="B763" s="87">
        <f t="shared" si="166"/>
        <v>6</v>
      </c>
      <c r="C763" s="295">
        <v>45887</v>
      </c>
      <c r="D763" s="10">
        <v>72382</v>
      </c>
      <c r="E763" s="101" t="s">
        <v>509</v>
      </c>
      <c r="F763" s="62">
        <v>681</v>
      </c>
      <c r="G763" s="62"/>
      <c r="H763" s="62"/>
      <c r="I763" s="89">
        <f t="shared" si="165"/>
        <v>681</v>
      </c>
      <c r="J763" s="63" t="s">
        <v>205</v>
      </c>
      <c r="K763" s="63">
        <v>1</v>
      </c>
      <c r="L763" s="63"/>
      <c r="M763" s="63"/>
      <c r="N763" s="63">
        <v>1</v>
      </c>
      <c r="O763" s="63"/>
      <c r="P763" s="63"/>
      <c r="Q763" s="63">
        <v>1</v>
      </c>
      <c r="R763" s="63">
        <v>1</v>
      </c>
      <c r="S763" s="296">
        <v>1</v>
      </c>
      <c r="T763" s="63"/>
      <c r="U763" s="10"/>
      <c r="V763" s="90"/>
      <c r="W763" s="136"/>
      <c r="X763" s="137"/>
    </row>
    <row r="764" spans="1:24">
      <c r="A764" s="2"/>
      <c r="B764" s="87">
        <f t="shared" si="166"/>
        <v>7</v>
      </c>
      <c r="C764" s="295">
        <v>45887</v>
      </c>
      <c r="D764" s="10">
        <v>72383</v>
      </c>
      <c r="E764" s="101" t="s">
        <v>189</v>
      </c>
      <c r="F764" s="62">
        <v>1461</v>
      </c>
      <c r="G764" s="62">
        <f>39.7</f>
        <v>39.700000000000003</v>
      </c>
      <c r="H764" s="62"/>
      <c r="I764" s="89">
        <f t="shared" si="165"/>
        <v>1421.3</v>
      </c>
      <c r="J764" s="63" t="s">
        <v>156</v>
      </c>
      <c r="K764" s="63">
        <v>1</v>
      </c>
      <c r="L764" s="63"/>
      <c r="M764" s="63">
        <v>1</v>
      </c>
      <c r="N764" s="63">
        <v>1</v>
      </c>
      <c r="O764" s="63"/>
      <c r="P764" s="63"/>
      <c r="Q764" s="63">
        <v>1</v>
      </c>
      <c r="R764" s="63">
        <v>1</v>
      </c>
      <c r="S764" s="296">
        <v>1</v>
      </c>
      <c r="T764" s="63"/>
      <c r="U764" s="10"/>
      <c r="V764" s="90">
        <v>93.5</v>
      </c>
      <c r="W764" s="136"/>
      <c r="X764" s="137"/>
    </row>
    <row r="765" spans="1:24">
      <c r="A765" s="2"/>
      <c r="B765" s="87">
        <f t="shared" si="166"/>
        <v>8</v>
      </c>
      <c r="C765" s="274">
        <v>45888</v>
      </c>
      <c r="D765" s="276">
        <v>72416</v>
      </c>
      <c r="E765" s="281" t="s">
        <v>363</v>
      </c>
      <c r="F765" s="277">
        <v>616</v>
      </c>
      <c r="G765" s="277"/>
      <c r="H765" s="277"/>
      <c r="I765" s="278">
        <f t="shared" si="165"/>
        <v>616</v>
      </c>
      <c r="J765" s="279" t="s">
        <v>205</v>
      </c>
      <c r="K765" s="279">
        <v>1</v>
      </c>
      <c r="L765" s="279"/>
      <c r="M765" s="279"/>
      <c r="N765" s="279">
        <v>1</v>
      </c>
      <c r="O765" s="279"/>
      <c r="P765" s="279"/>
      <c r="Q765" s="279">
        <v>1</v>
      </c>
      <c r="R765" s="279">
        <v>1</v>
      </c>
      <c r="S765" s="280">
        <v>1</v>
      </c>
      <c r="T765" s="63"/>
      <c r="U765" s="10"/>
      <c r="V765" s="90"/>
      <c r="W765" s="136"/>
      <c r="X765" s="137"/>
    </row>
    <row r="766" spans="1:24">
      <c r="A766" s="2"/>
      <c r="B766" s="87">
        <f t="shared" si="166"/>
        <v>9</v>
      </c>
      <c r="C766" s="295">
        <v>45888</v>
      </c>
      <c r="D766" s="10" t="s">
        <v>510</v>
      </c>
      <c r="E766" s="101" t="s">
        <v>327</v>
      </c>
      <c r="F766" s="62">
        <v>9875</v>
      </c>
      <c r="G766" s="62">
        <v>39.700000000000003</v>
      </c>
      <c r="H766" s="62"/>
      <c r="I766" s="89">
        <f t="shared" si="165"/>
        <v>9835.2999999999993</v>
      </c>
      <c r="J766" s="63" t="s">
        <v>205</v>
      </c>
      <c r="K766" s="63">
        <v>1</v>
      </c>
      <c r="L766" s="63"/>
      <c r="M766" s="63"/>
      <c r="N766" s="63">
        <v>1</v>
      </c>
      <c r="O766" s="63"/>
      <c r="P766" s="63"/>
      <c r="Q766" s="63"/>
      <c r="R766" s="63"/>
      <c r="S766" s="296"/>
      <c r="T766" s="63"/>
      <c r="U766" s="10"/>
      <c r="V766" s="90"/>
      <c r="W766" s="136"/>
      <c r="X766" s="137"/>
    </row>
    <row r="767" spans="1:24">
      <c r="A767" s="2"/>
      <c r="B767" s="87">
        <f t="shared" si="166"/>
        <v>10</v>
      </c>
      <c r="C767" s="295">
        <v>45888</v>
      </c>
      <c r="D767" s="10">
        <v>72425</v>
      </c>
      <c r="E767" s="101" t="s">
        <v>327</v>
      </c>
      <c r="F767" s="62">
        <v>1396</v>
      </c>
      <c r="G767" s="62">
        <v>39.700000000000003</v>
      </c>
      <c r="H767" s="62"/>
      <c r="I767" s="89">
        <f t="shared" si="165"/>
        <v>1356.3</v>
      </c>
      <c r="J767" s="63" t="s">
        <v>205</v>
      </c>
      <c r="K767" s="63">
        <v>1</v>
      </c>
      <c r="L767" s="63"/>
      <c r="M767" s="63"/>
      <c r="N767" s="63">
        <v>1</v>
      </c>
      <c r="O767" s="63"/>
      <c r="P767" s="63"/>
      <c r="Q767" s="63">
        <v>1</v>
      </c>
      <c r="R767" s="63">
        <v>1</v>
      </c>
      <c r="S767" s="296">
        <v>1</v>
      </c>
      <c r="T767" s="63"/>
      <c r="U767" s="10"/>
      <c r="V767" s="90"/>
      <c r="W767" s="136"/>
      <c r="X767" s="137"/>
    </row>
    <row r="768" spans="1:24">
      <c r="A768" s="2"/>
      <c r="B768" s="87">
        <f t="shared" si="166"/>
        <v>11</v>
      </c>
      <c r="C768" s="274">
        <v>45889</v>
      </c>
      <c r="D768" s="276">
        <v>72439</v>
      </c>
      <c r="E768" s="281" t="s">
        <v>299</v>
      </c>
      <c r="F768" s="277">
        <v>2796</v>
      </c>
      <c r="G768" s="277">
        <v>39.700000000000003</v>
      </c>
      <c r="H768" s="277"/>
      <c r="I768" s="278">
        <f t="shared" si="165"/>
        <v>2756.3</v>
      </c>
      <c r="J768" s="279" t="s">
        <v>205</v>
      </c>
      <c r="K768" s="279">
        <v>1</v>
      </c>
      <c r="L768" s="279"/>
      <c r="M768" s="279"/>
      <c r="N768" s="279">
        <v>1</v>
      </c>
      <c r="O768" s="279"/>
      <c r="P768" s="279"/>
      <c r="Q768" s="279">
        <v>1</v>
      </c>
      <c r="R768" s="279">
        <v>1</v>
      </c>
      <c r="S768" s="280">
        <v>1</v>
      </c>
      <c r="T768" s="63"/>
      <c r="U768" s="10"/>
      <c r="V768" s="90"/>
      <c r="W768" s="136"/>
      <c r="X768" s="137"/>
    </row>
    <row r="769" spans="1:24">
      <c r="A769" s="2"/>
      <c r="B769" s="87">
        <f t="shared" si="166"/>
        <v>12</v>
      </c>
      <c r="C769" s="295">
        <v>45889</v>
      </c>
      <c r="D769" s="10">
        <v>72448</v>
      </c>
      <c r="E769" s="101" t="s">
        <v>299</v>
      </c>
      <c r="F769" s="62">
        <v>1073</v>
      </c>
      <c r="G769" s="62">
        <v>39.700000000000003</v>
      </c>
      <c r="H769" s="62"/>
      <c r="I769" s="89">
        <f t="shared" si="165"/>
        <v>1033.3</v>
      </c>
      <c r="J769" s="63" t="s">
        <v>205</v>
      </c>
      <c r="K769" s="63">
        <v>1</v>
      </c>
      <c r="L769" s="63"/>
      <c r="M769" s="63"/>
      <c r="N769" s="63">
        <v>1</v>
      </c>
      <c r="O769" s="63"/>
      <c r="P769" s="63"/>
      <c r="Q769" s="63"/>
      <c r="R769" s="63"/>
      <c r="S769" s="296"/>
      <c r="T769" s="63"/>
      <c r="U769" s="10"/>
      <c r="V769" s="90"/>
      <c r="W769" s="136"/>
      <c r="X769" s="137"/>
    </row>
    <row r="770" spans="1:24">
      <c r="A770" s="2"/>
      <c r="B770" s="87">
        <f t="shared" si="166"/>
        <v>13</v>
      </c>
      <c r="C770" s="295">
        <v>45889</v>
      </c>
      <c r="D770" s="10">
        <v>72418</v>
      </c>
      <c r="E770" s="101" t="s">
        <v>511</v>
      </c>
      <c r="F770" s="62">
        <v>0</v>
      </c>
      <c r="G770" s="62">
        <v>0</v>
      </c>
      <c r="H770" s="62"/>
      <c r="I770" s="89">
        <f t="shared" si="165"/>
        <v>0</v>
      </c>
      <c r="J770" s="63" t="s">
        <v>205</v>
      </c>
      <c r="K770" s="63">
        <v>1</v>
      </c>
      <c r="L770" s="63"/>
      <c r="M770" s="63"/>
      <c r="N770" s="63"/>
      <c r="O770" s="63"/>
      <c r="P770" s="63"/>
      <c r="Q770" s="63"/>
      <c r="R770" s="63"/>
      <c r="S770" s="296"/>
      <c r="T770" s="63"/>
      <c r="U770" s="10"/>
      <c r="V770" s="90"/>
      <c r="W770" s="136"/>
      <c r="X770" s="137"/>
    </row>
    <row r="771" spans="1:24">
      <c r="A771" s="2"/>
      <c r="B771" s="87">
        <f t="shared" si="166"/>
        <v>14</v>
      </c>
      <c r="C771" s="295">
        <v>45889</v>
      </c>
      <c r="D771" s="10">
        <v>72458</v>
      </c>
      <c r="E771" s="10" t="s">
        <v>512</v>
      </c>
      <c r="F771" s="62">
        <v>681</v>
      </c>
      <c r="G771" s="62"/>
      <c r="H771" s="62"/>
      <c r="I771" s="89">
        <f t="shared" si="165"/>
        <v>681</v>
      </c>
      <c r="J771" s="63" t="s">
        <v>205</v>
      </c>
      <c r="K771" s="63">
        <v>1</v>
      </c>
      <c r="L771" s="63"/>
      <c r="M771" s="63"/>
      <c r="N771" s="63">
        <v>1</v>
      </c>
      <c r="O771" s="63"/>
      <c r="P771" s="63"/>
      <c r="Q771" s="63">
        <v>1</v>
      </c>
      <c r="R771" s="63">
        <v>1</v>
      </c>
      <c r="S771" s="296">
        <v>1</v>
      </c>
      <c r="T771" s="63"/>
      <c r="U771" s="10"/>
      <c r="V771" s="90"/>
      <c r="W771" s="136"/>
      <c r="X771" s="137"/>
    </row>
    <row r="772" spans="1:24">
      <c r="A772" s="2"/>
      <c r="B772" s="87">
        <f t="shared" si="166"/>
        <v>15</v>
      </c>
      <c r="C772" s="295">
        <v>45889</v>
      </c>
      <c r="D772" s="10">
        <v>72459</v>
      </c>
      <c r="E772" s="10" t="s">
        <v>184</v>
      </c>
      <c r="F772" s="62">
        <v>4461</v>
      </c>
      <c r="G772" s="62">
        <v>39.700000000000003</v>
      </c>
      <c r="H772" s="62"/>
      <c r="I772" s="89">
        <f t="shared" si="165"/>
        <v>4421.3</v>
      </c>
      <c r="J772" s="63" t="s">
        <v>205</v>
      </c>
      <c r="K772" s="63">
        <v>1</v>
      </c>
      <c r="L772" s="63"/>
      <c r="M772" s="63"/>
      <c r="N772" s="63">
        <v>1</v>
      </c>
      <c r="O772" s="63"/>
      <c r="P772" s="63"/>
      <c r="Q772" s="63">
        <v>1</v>
      </c>
      <c r="R772" s="63">
        <v>1</v>
      </c>
      <c r="S772" s="296">
        <v>1</v>
      </c>
      <c r="T772" s="63"/>
      <c r="U772" s="10"/>
      <c r="V772" s="90"/>
      <c r="W772" s="136"/>
      <c r="X772" s="137"/>
    </row>
    <row r="773" spans="1:24">
      <c r="A773" s="2"/>
      <c r="B773" s="87">
        <f t="shared" si="166"/>
        <v>16</v>
      </c>
      <c r="C773" s="295">
        <v>45889</v>
      </c>
      <c r="D773" s="10">
        <v>72477</v>
      </c>
      <c r="E773" s="10" t="s">
        <v>513</v>
      </c>
      <c r="F773" s="62">
        <v>2261</v>
      </c>
      <c r="G773" s="62">
        <v>39.700000000000003</v>
      </c>
      <c r="H773" s="62"/>
      <c r="I773" s="89">
        <f t="shared" si="165"/>
        <v>2221.3000000000002</v>
      </c>
      <c r="J773" s="63" t="s">
        <v>205</v>
      </c>
      <c r="K773" s="63">
        <v>1</v>
      </c>
      <c r="L773" s="63"/>
      <c r="M773" s="63"/>
      <c r="N773" s="63">
        <v>1</v>
      </c>
      <c r="O773" s="63"/>
      <c r="P773" s="63"/>
      <c r="Q773" s="63"/>
      <c r="R773" s="63"/>
      <c r="S773" s="296"/>
      <c r="T773" s="63"/>
      <c r="U773" s="10"/>
      <c r="V773" s="90"/>
      <c r="W773" s="136"/>
      <c r="X773" s="137"/>
    </row>
    <row r="774" spans="1:24">
      <c r="A774" s="2"/>
      <c r="B774" s="87">
        <f t="shared" si="166"/>
        <v>17</v>
      </c>
      <c r="C774" s="295">
        <v>45889</v>
      </c>
      <c r="D774" s="10">
        <v>72490</v>
      </c>
      <c r="E774" s="10" t="s">
        <v>514</v>
      </c>
      <c r="F774" s="62">
        <v>1024.2</v>
      </c>
      <c r="G774" s="62">
        <v>39.700000000000003</v>
      </c>
      <c r="H774" s="62"/>
      <c r="I774" s="89">
        <f t="shared" si="165"/>
        <v>984.5</v>
      </c>
      <c r="J774" s="63" t="s">
        <v>205</v>
      </c>
      <c r="K774" s="63">
        <v>1</v>
      </c>
      <c r="L774" s="63"/>
      <c r="M774" s="63"/>
      <c r="N774" s="63">
        <v>1</v>
      </c>
      <c r="O774" s="63"/>
      <c r="P774" s="63"/>
      <c r="Q774" s="63">
        <v>1</v>
      </c>
      <c r="R774" s="63">
        <v>1</v>
      </c>
      <c r="S774" s="296">
        <v>1</v>
      </c>
      <c r="T774" s="63"/>
      <c r="U774" s="10"/>
      <c r="V774" s="90"/>
      <c r="W774" s="136"/>
      <c r="X774" s="137"/>
    </row>
    <row r="775" spans="1:24">
      <c r="A775" s="2"/>
      <c r="B775" s="87">
        <f>B774+1</f>
        <v>18</v>
      </c>
      <c r="C775" s="274">
        <v>45890</v>
      </c>
      <c r="D775" s="276">
        <v>72486</v>
      </c>
      <c r="E775" s="276" t="s">
        <v>159</v>
      </c>
      <c r="F775" s="277">
        <v>796</v>
      </c>
      <c r="G775" s="277">
        <v>39.700000000000003</v>
      </c>
      <c r="H775" s="277"/>
      <c r="I775" s="278">
        <f t="shared" si="165"/>
        <v>756.3</v>
      </c>
      <c r="J775" s="279" t="s">
        <v>205</v>
      </c>
      <c r="K775" s="279">
        <v>1</v>
      </c>
      <c r="L775" s="279"/>
      <c r="M775" s="279"/>
      <c r="N775" s="279">
        <v>1</v>
      </c>
      <c r="O775" s="279"/>
      <c r="P775" s="279"/>
      <c r="Q775" s="279">
        <v>1</v>
      </c>
      <c r="R775" s="279">
        <v>1</v>
      </c>
      <c r="S775" s="280">
        <v>1</v>
      </c>
      <c r="T775" s="63"/>
      <c r="U775" s="10"/>
      <c r="V775" s="90"/>
      <c r="W775" s="136"/>
      <c r="X775" s="137"/>
    </row>
    <row r="776" spans="1:24">
      <c r="A776" s="2"/>
      <c r="B776" s="87">
        <f>B775+1</f>
        <v>19</v>
      </c>
      <c r="C776" s="295">
        <v>45890</v>
      </c>
      <c r="D776" s="10">
        <v>72440</v>
      </c>
      <c r="E776" s="10" t="s">
        <v>159</v>
      </c>
      <c r="F776" s="62">
        <v>2196</v>
      </c>
      <c r="G776" s="62">
        <v>39.700000000000003</v>
      </c>
      <c r="H776" s="62"/>
      <c r="I776" s="89">
        <f t="shared" si="165"/>
        <v>2156.3000000000002</v>
      </c>
      <c r="J776" s="63" t="s">
        <v>205</v>
      </c>
      <c r="K776" s="63">
        <v>1</v>
      </c>
      <c r="L776" s="63"/>
      <c r="M776" s="63"/>
      <c r="N776" s="63">
        <v>1</v>
      </c>
      <c r="O776" s="63"/>
      <c r="P776" s="63"/>
      <c r="Q776" s="63">
        <v>1</v>
      </c>
      <c r="R776" s="63">
        <v>1</v>
      </c>
      <c r="S776" s="296">
        <v>1</v>
      </c>
      <c r="T776" s="63"/>
      <c r="U776" s="10"/>
      <c r="V776" s="90"/>
      <c r="W776" s="136"/>
      <c r="X776" s="137"/>
    </row>
    <row r="777" spans="1:24">
      <c r="A777" s="2"/>
      <c r="B777" s="87">
        <f>B776+1</f>
        <v>20</v>
      </c>
      <c r="C777" s="295">
        <v>45890</v>
      </c>
      <c r="D777" s="10">
        <v>72489</v>
      </c>
      <c r="E777" s="10" t="s">
        <v>246</v>
      </c>
      <c r="F777" s="62">
        <v>516</v>
      </c>
      <c r="G777" s="62"/>
      <c r="H777" s="62"/>
      <c r="I777" s="89">
        <f t="shared" si="165"/>
        <v>516</v>
      </c>
      <c r="J777" s="63" t="s">
        <v>205</v>
      </c>
      <c r="K777" s="63">
        <v>1</v>
      </c>
      <c r="L777" s="63"/>
      <c r="M777" s="63"/>
      <c r="N777" s="63">
        <v>1</v>
      </c>
      <c r="O777" s="63"/>
      <c r="P777" s="63"/>
      <c r="Q777" s="63">
        <v>1</v>
      </c>
      <c r="R777" s="63">
        <v>1</v>
      </c>
      <c r="S777" s="296">
        <v>1</v>
      </c>
      <c r="T777" s="63"/>
      <c r="U777" s="10"/>
      <c r="V777" s="90"/>
      <c r="W777" s="136"/>
      <c r="X777" s="137"/>
    </row>
    <row r="778" spans="1:24">
      <c r="A778" s="2"/>
      <c r="B778" s="87">
        <f>B777+1</f>
        <v>21</v>
      </c>
      <c r="C778" s="295">
        <v>45890</v>
      </c>
      <c r="D778" s="10">
        <v>72499</v>
      </c>
      <c r="E778" s="10" t="s">
        <v>515</v>
      </c>
      <c r="F778" s="62">
        <v>4814</v>
      </c>
      <c r="G778" s="62">
        <v>39.700000000000003</v>
      </c>
      <c r="H778" s="62"/>
      <c r="I778" s="89">
        <f t="shared" si="165"/>
        <v>4774.3</v>
      </c>
      <c r="J778" s="63" t="s">
        <v>205</v>
      </c>
      <c r="K778" s="63">
        <v>1</v>
      </c>
      <c r="L778" s="63"/>
      <c r="M778" s="63"/>
      <c r="N778" s="63">
        <v>1</v>
      </c>
      <c r="O778" s="63"/>
      <c r="P778" s="63"/>
      <c r="Q778" s="63">
        <v>1</v>
      </c>
      <c r="R778" s="63">
        <v>1</v>
      </c>
      <c r="S778" s="296">
        <v>1</v>
      </c>
      <c r="T778" s="63"/>
      <c r="U778" s="10"/>
      <c r="V778" s="90"/>
      <c r="W778" s="136"/>
      <c r="X778" s="137"/>
    </row>
    <row r="779" spans="1:24">
      <c r="A779" s="2"/>
      <c r="B779" s="87">
        <f>B778+1</f>
        <v>22</v>
      </c>
      <c r="C779" s="274">
        <v>45891</v>
      </c>
      <c r="D779" s="276">
        <v>72526</v>
      </c>
      <c r="E779" s="276" t="s">
        <v>516</v>
      </c>
      <c r="F779" s="277">
        <v>616</v>
      </c>
      <c r="G779" s="277"/>
      <c r="H779" s="277"/>
      <c r="I779" s="278">
        <f t="shared" si="165"/>
        <v>616</v>
      </c>
      <c r="J779" s="279" t="s">
        <v>205</v>
      </c>
      <c r="K779" s="279">
        <v>1</v>
      </c>
      <c r="L779" s="279"/>
      <c r="M779" s="279"/>
      <c r="N779" s="279">
        <v>1</v>
      </c>
      <c r="O779" s="279"/>
      <c r="P779" s="279"/>
      <c r="Q779" s="279">
        <v>1</v>
      </c>
      <c r="R779" s="279">
        <v>1</v>
      </c>
      <c r="S779" s="280">
        <v>1</v>
      </c>
      <c r="T779" s="63"/>
      <c r="U779" s="10"/>
      <c r="V779" s="90"/>
      <c r="W779" s="136"/>
      <c r="X779" s="137"/>
    </row>
    <row r="780" spans="1:24">
      <c r="A780" s="2"/>
      <c r="B780" s="87">
        <f>B779+1</f>
        <v>23</v>
      </c>
      <c r="C780" s="295">
        <v>45891</v>
      </c>
      <c r="D780" s="10">
        <v>72525</v>
      </c>
      <c r="E780" s="10" t="s">
        <v>386</v>
      </c>
      <c r="F780" s="62">
        <v>1138</v>
      </c>
      <c r="G780" s="62">
        <v>39.869999999999997</v>
      </c>
      <c r="H780" s="62"/>
      <c r="I780" s="89">
        <f t="shared" si="165"/>
        <v>1098.1300000000001</v>
      </c>
      <c r="J780" s="63" t="s">
        <v>205</v>
      </c>
      <c r="K780" s="63">
        <v>1</v>
      </c>
      <c r="L780" s="63"/>
      <c r="M780" s="63"/>
      <c r="N780" s="63">
        <v>1</v>
      </c>
      <c r="O780" s="63"/>
      <c r="P780" s="63"/>
      <c r="Q780" s="63">
        <v>1</v>
      </c>
      <c r="R780" s="63">
        <v>1</v>
      </c>
      <c r="S780" s="296">
        <v>1</v>
      </c>
      <c r="T780" s="63"/>
      <c r="U780" s="10"/>
      <c r="V780" s="90"/>
      <c r="W780" s="136"/>
      <c r="X780" s="137"/>
    </row>
    <row r="781" spans="1:24">
      <c r="A781" s="2"/>
      <c r="B781" s="87">
        <f>B780+1</f>
        <v>24</v>
      </c>
      <c r="C781" s="295">
        <v>45891</v>
      </c>
      <c r="D781" s="10" t="s">
        <v>517</v>
      </c>
      <c r="E781" s="10" t="s">
        <v>407</v>
      </c>
      <c r="F781" s="62">
        <v>12814</v>
      </c>
      <c r="G781" s="62">
        <v>39.700000000000003</v>
      </c>
      <c r="H781" s="62"/>
      <c r="I781" s="89">
        <f t="shared" si="165"/>
        <v>12774.3</v>
      </c>
      <c r="J781" s="63" t="s">
        <v>205</v>
      </c>
      <c r="K781" s="63">
        <v>1</v>
      </c>
      <c r="L781" s="63"/>
      <c r="M781" s="63"/>
      <c r="N781" s="63">
        <v>1</v>
      </c>
      <c r="O781" s="63"/>
      <c r="P781" s="63"/>
      <c r="Q781" s="63"/>
      <c r="R781" s="63"/>
      <c r="S781" s="296"/>
      <c r="T781" s="63"/>
      <c r="U781" s="10"/>
      <c r="V781" s="90"/>
      <c r="W781" s="136"/>
      <c r="X781" s="137"/>
    </row>
    <row r="782" spans="1:24">
      <c r="A782" s="2"/>
      <c r="B782" s="87">
        <f>B781+1</f>
        <v>25</v>
      </c>
      <c r="C782" s="295">
        <v>45891</v>
      </c>
      <c r="D782" s="10">
        <v>72559</v>
      </c>
      <c r="E782" s="10" t="s">
        <v>206</v>
      </c>
      <c r="F782" s="62">
        <v>1196</v>
      </c>
      <c r="G782" s="62">
        <v>39.700000000000003</v>
      </c>
      <c r="H782" s="62"/>
      <c r="I782" s="89">
        <f t="shared" si="165"/>
        <v>1156.3</v>
      </c>
      <c r="J782" s="63" t="s">
        <v>205</v>
      </c>
      <c r="K782" s="63">
        <v>1</v>
      </c>
      <c r="L782" s="63"/>
      <c r="M782" s="63"/>
      <c r="N782" s="63">
        <v>1</v>
      </c>
      <c r="O782" s="63"/>
      <c r="P782" s="63"/>
      <c r="Q782" s="63">
        <v>1</v>
      </c>
      <c r="R782" s="63">
        <v>1</v>
      </c>
      <c r="S782" s="296">
        <v>1</v>
      </c>
      <c r="T782" s="63"/>
      <c r="U782" s="10"/>
      <c r="V782" s="90"/>
      <c r="W782" s="136"/>
      <c r="X782" s="137"/>
    </row>
    <row r="783" spans="1:24">
      <c r="A783" s="2"/>
      <c r="B783" s="87">
        <f>B782+1</f>
        <v>26</v>
      </c>
      <c r="C783" s="295">
        <v>45891</v>
      </c>
      <c r="D783" s="10">
        <v>72534</v>
      </c>
      <c r="E783" s="10" t="s">
        <v>377</v>
      </c>
      <c r="F783" s="62">
        <v>2574.9</v>
      </c>
      <c r="G783" s="62">
        <v>39.700000000000003</v>
      </c>
      <c r="H783" s="62"/>
      <c r="I783" s="89">
        <f t="shared" si="165"/>
        <v>2535.2000000000003</v>
      </c>
      <c r="J783" s="63" t="s">
        <v>205</v>
      </c>
      <c r="K783" s="63">
        <v>1</v>
      </c>
      <c r="L783" s="63"/>
      <c r="M783" s="63"/>
      <c r="N783" s="63">
        <v>1</v>
      </c>
      <c r="O783" s="63"/>
      <c r="P783" s="63"/>
      <c r="Q783" s="63">
        <v>1</v>
      </c>
      <c r="R783" s="63">
        <v>1</v>
      </c>
      <c r="S783" s="296">
        <v>1</v>
      </c>
      <c r="T783" s="63"/>
      <c r="U783" s="10"/>
      <c r="V783" s="138"/>
      <c r="W783" s="136"/>
      <c r="X783" s="137"/>
    </row>
    <row r="784" spans="1:24">
      <c r="A784" s="2"/>
      <c r="B784" s="87">
        <f>B783+1</f>
        <v>27</v>
      </c>
      <c r="C784" s="282">
        <v>45891</v>
      </c>
      <c r="D784" s="283">
        <v>72549</v>
      </c>
      <c r="E784" s="283" t="s">
        <v>327</v>
      </c>
      <c r="F784" s="284">
        <v>2196</v>
      </c>
      <c r="G784" s="284">
        <v>39.700000000000003</v>
      </c>
      <c r="H784" s="284"/>
      <c r="I784" s="285">
        <f t="shared" si="165"/>
        <v>2156.3000000000002</v>
      </c>
      <c r="J784" s="286" t="s">
        <v>205</v>
      </c>
      <c r="K784" s="286">
        <v>1</v>
      </c>
      <c r="L784" s="286"/>
      <c r="M784" s="286"/>
      <c r="N784" s="286">
        <v>1</v>
      </c>
      <c r="O784" s="286"/>
      <c r="P784" s="286"/>
      <c r="Q784" s="286">
        <v>1</v>
      </c>
      <c r="R784" s="286">
        <v>1</v>
      </c>
      <c r="S784" s="287">
        <v>1</v>
      </c>
      <c r="T784" s="63"/>
      <c r="U784" s="10"/>
      <c r="V784" s="138"/>
      <c r="W784" s="136"/>
      <c r="X784" s="137"/>
    </row>
    <row r="785" spans="1:24">
      <c r="A785" s="2"/>
      <c r="B785" s="11"/>
      <c r="C785" s="36"/>
      <c r="D785" s="10"/>
      <c r="E785" s="10"/>
      <c r="F785" s="98">
        <f>SUM(F758:F784)</f>
        <v>71068.699999999983</v>
      </c>
      <c r="G785" s="98">
        <f>SUM(G758:G784)</f>
        <v>754.47000000000014</v>
      </c>
      <c r="H785" s="98">
        <f>SUM(H758:H784)</f>
        <v>0</v>
      </c>
      <c r="I785" s="98">
        <f>SUM(I758:I784)</f>
        <v>70314.23000000001</v>
      </c>
      <c r="J785" s="10"/>
      <c r="K785" s="10"/>
      <c r="L785" s="10"/>
      <c r="M785" s="10"/>
      <c r="N785" s="10"/>
      <c r="O785" s="10"/>
      <c r="P785" s="10"/>
      <c r="Q785" s="10"/>
      <c r="R785" s="10"/>
      <c r="S785" s="10"/>
      <c r="T785" s="63"/>
      <c r="U785" s="10"/>
      <c r="V785" s="138"/>
      <c r="W785" s="136"/>
      <c r="X785" s="137"/>
    </row>
    <row r="786" spans="1:24">
      <c r="A786" s="2"/>
      <c r="B786" s="26"/>
      <c r="C786" s="140"/>
      <c r="D786" s="141"/>
      <c r="E786" s="141"/>
      <c r="F786" s="141"/>
      <c r="G786" s="141"/>
      <c r="H786" s="141"/>
      <c r="I786" s="141"/>
      <c r="J786" s="141"/>
      <c r="K786" s="142"/>
      <c r="L786" s="142"/>
      <c r="M786" s="142"/>
      <c r="N786" s="142"/>
      <c r="O786" s="142"/>
      <c r="P786" s="142"/>
      <c r="Q786" s="142"/>
      <c r="R786" s="142"/>
      <c r="S786" s="142"/>
      <c r="T786" s="143">
        <f>SUM(T730:T785)</f>
        <v>2</v>
      </c>
      <c r="U786" s="141"/>
      <c r="V786" s="144">
        <f>SUM(V730:V785)</f>
        <v>10171.699999999999</v>
      </c>
      <c r="W786" s="145">
        <f>SUM(W730:W785)</f>
        <v>0</v>
      </c>
      <c r="X786" s="146">
        <f>SUM(X730:X785)</f>
        <v>0</v>
      </c>
    </row>
    <row r="789" spans="1:24">
      <c r="A789" s="3"/>
      <c r="B789" s="4" t="s">
        <v>1</v>
      </c>
      <c r="C789" s="5"/>
      <c r="D789" s="6"/>
      <c r="E789" s="6"/>
      <c r="F789" s="7" t="s">
        <v>2</v>
      </c>
      <c r="G789" s="590">
        <v>45900</v>
      </c>
      <c r="H789" s="7"/>
      <c r="I789" s="6"/>
      <c r="J789" s="6"/>
      <c r="K789" s="6"/>
      <c r="L789" s="6"/>
      <c r="M789" s="6"/>
      <c r="N789" s="6"/>
      <c r="O789" s="6"/>
      <c r="P789" s="6"/>
      <c r="Q789" s="6"/>
      <c r="R789" s="6"/>
      <c r="S789" s="6"/>
      <c r="T789" s="6"/>
      <c r="U789" s="9"/>
      <c r="V789" s="10"/>
      <c r="W789" s="10"/>
      <c r="X789" s="10"/>
    </row>
    <row r="790" spans="1:24">
      <c r="A790" s="2"/>
      <c r="B790" s="11"/>
      <c r="C790" s="10"/>
      <c r="D790" s="10"/>
      <c r="E790" s="10"/>
      <c r="F790" s="10"/>
      <c r="G790" s="7"/>
      <c r="H790" s="12"/>
      <c r="I790" s="10"/>
      <c r="J790" s="10"/>
      <c r="K790" s="13" t="s">
        <v>3</v>
      </c>
      <c r="L790" s="14"/>
      <c r="M790" s="15"/>
      <c r="N790" s="13" t="s">
        <v>4</v>
      </c>
      <c r="O790" s="14"/>
      <c r="P790" s="15"/>
      <c r="Q790" s="13" t="s">
        <v>5</v>
      </c>
      <c r="R790" s="14"/>
      <c r="S790" s="15"/>
      <c r="T790" s="16"/>
      <c r="U790" s="17"/>
      <c r="V790" s="10"/>
      <c r="W790" s="10"/>
      <c r="X790" s="10"/>
    </row>
    <row r="791" spans="1:24">
      <c r="A791" s="2"/>
      <c r="B791" s="18" t="s">
        <v>6</v>
      </c>
      <c r="C791" s="19">
        <f>C792+C793</f>
        <v>13</v>
      </c>
      <c r="D791" s="10"/>
      <c r="E791" s="18" t="s">
        <v>7</v>
      </c>
      <c r="F791" s="6"/>
      <c r="G791" s="9"/>
      <c r="H791" s="10"/>
      <c r="I791" s="10"/>
      <c r="J791" s="10"/>
      <c r="K791" s="20" t="s">
        <v>8</v>
      </c>
      <c r="L791" s="21" t="s">
        <v>9</v>
      </c>
      <c r="M791" s="21" t="s">
        <v>10</v>
      </c>
      <c r="N791" s="20" t="s">
        <v>11</v>
      </c>
      <c r="O791" s="21" t="s">
        <v>12</v>
      </c>
      <c r="P791" s="22" t="s">
        <v>13</v>
      </c>
      <c r="Q791" s="21" t="s">
        <v>11</v>
      </c>
      <c r="R791" s="21" t="s">
        <v>12</v>
      </c>
      <c r="S791" s="22" t="s">
        <v>13</v>
      </c>
      <c r="T791" s="23" t="s">
        <v>14</v>
      </c>
      <c r="U791" s="17"/>
      <c r="V791" s="10"/>
      <c r="W791" s="10"/>
      <c r="X791" s="10"/>
    </row>
    <row r="792" spans="1:24">
      <c r="A792" s="2"/>
      <c r="B792" s="24" t="s">
        <v>15</v>
      </c>
      <c r="C792" s="25">
        <f>P799</f>
        <v>7</v>
      </c>
      <c r="D792" s="10"/>
      <c r="E792" s="26" t="s">
        <v>16</v>
      </c>
      <c r="F792" s="27">
        <v>0.05</v>
      </c>
      <c r="G792" s="28"/>
      <c r="H792" s="10"/>
      <c r="I792" s="10"/>
      <c r="J792" s="18" t="s">
        <v>17</v>
      </c>
      <c r="K792" s="29">
        <f>K823</f>
        <v>5</v>
      </c>
      <c r="L792" s="29">
        <f t="shared" ref="L792:S792" si="167">L823</f>
        <v>5</v>
      </c>
      <c r="M792" s="29">
        <f t="shared" si="167"/>
        <v>4</v>
      </c>
      <c r="N792" s="29">
        <f t="shared" si="167"/>
        <v>5</v>
      </c>
      <c r="O792" s="29">
        <f t="shared" si="167"/>
        <v>5</v>
      </c>
      <c r="P792" s="29">
        <f t="shared" si="167"/>
        <v>5</v>
      </c>
      <c r="Q792" s="29">
        <f t="shared" si="167"/>
        <v>5</v>
      </c>
      <c r="R792" s="29">
        <f t="shared" si="167"/>
        <v>5</v>
      </c>
      <c r="S792" s="29">
        <f t="shared" si="167"/>
        <v>5</v>
      </c>
      <c r="T792" s="30">
        <f>T854</f>
        <v>4</v>
      </c>
      <c r="U792" s="17"/>
      <c r="V792" s="10"/>
      <c r="W792" s="10"/>
      <c r="X792" s="10"/>
    </row>
    <row r="793" spans="1:24">
      <c r="A793" s="2"/>
      <c r="B793" s="24" t="s">
        <v>18</v>
      </c>
      <c r="C793" s="25">
        <f>P800</f>
        <v>6</v>
      </c>
      <c r="D793" s="10"/>
      <c r="E793" s="10"/>
      <c r="F793" s="10"/>
      <c r="G793" s="31"/>
      <c r="H793" s="10"/>
      <c r="I793" s="10"/>
      <c r="J793" s="32" t="s">
        <v>19</v>
      </c>
      <c r="K793" s="33">
        <f>K823/K822</f>
        <v>1</v>
      </c>
      <c r="L793" s="33">
        <f t="shared" ref="L793:S793" si="168">L823/L822</f>
        <v>1</v>
      </c>
      <c r="M793" s="33">
        <f t="shared" si="168"/>
        <v>0.8</v>
      </c>
      <c r="N793" s="33">
        <f t="shared" si="168"/>
        <v>1</v>
      </c>
      <c r="O793" s="33">
        <f t="shared" si="168"/>
        <v>1</v>
      </c>
      <c r="P793" s="33">
        <f t="shared" si="168"/>
        <v>1</v>
      </c>
      <c r="Q793" s="33">
        <f t="shared" si="168"/>
        <v>1</v>
      </c>
      <c r="R793" s="33">
        <f t="shared" si="168"/>
        <v>1</v>
      </c>
      <c r="S793" s="33">
        <f t="shared" si="168"/>
        <v>1</v>
      </c>
      <c r="T793" s="23"/>
      <c r="U793" s="17" t="s">
        <v>20</v>
      </c>
      <c r="V793" s="10"/>
      <c r="W793" s="10"/>
      <c r="X793" s="10"/>
    </row>
    <row r="794" spans="1:24">
      <c r="A794" s="2"/>
      <c r="B794" s="24" t="s">
        <v>21</v>
      </c>
      <c r="C794" s="34">
        <f>P801</f>
        <v>0.53846153846153844</v>
      </c>
      <c r="D794" s="10"/>
      <c r="E794" s="10"/>
      <c r="F794" s="10"/>
      <c r="G794" s="10"/>
      <c r="H794" s="10"/>
      <c r="I794" s="10"/>
      <c r="J794" s="10"/>
      <c r="K794" s="10"/>
      <c r="L794" s="10"/>
      <c r="M794" s="10"/>
      <c r="N794" s="10"/>
      <c r="O794" s="10"/>
      <c r="P794" s="10"/>
      <c r="Q794" s="10"/>
      <c r="R794" s="10"/>
      <c r="S794" s="10"/>
      <c r="T794" s="10"/>
      <c r="U794" s="17"/>
      <c r="V794" s="10"/>
      <c r="W794" s="10"/>
      <c r="X794" s="10"/>
    </row>
    <row r="795" spans="1:24">
      <c r="A795" s="2"/>
      <c r="B795" s="24"/>
      <c r="C795" s="25"/>
      <c r="D795" s="10"/>
      <c r="E795" s="10"/>
      <c r="F795" s="18" t="s">
        <v>22</v>
      </c>
      <c r="G795" s="19" t="s">
        <v>23</v>
      </c>
      <c r="H795" s="35" t="s">
        <v>24</v>
      </c>
      <c r="I795" s="10"/>
      <c r="J795" s="10"/>
      <c r="K795" s="36"/>
      <c r="L795" s="36"/>
      <c r="M795" s="36"/>
      <c r="N795" s="36"/>
      <c r="O795" s="36"/>
      <c r="P795" s="36"/>
      <c r="Q795" s="36"/>
      <c r="R795" s="10"/>
      <c r="S795" s="10"/>
      <c r="T795" s="10"/>
      <c r="U795" s="17"/>
      <c r="V795" s="10"/>
      <c r="W795" s="10"/>
      <c r="X795" s="10"/>
    </row>
    <row r="796" spans="1:24" ht="15.75" customHeight="1">
      <c r="A796" s="2"/>
      <c r="B796" s="32" t="s">
        <v>25</v>
      </c>
      <c r="C796" s="37">
        <f>P802</f>
        <v>4390.4928571428572</v>
      </c>
      <c r="D796" s="10"/>
      <c r="E796" s="18" t="s">
        <v>26</v>
      </c>
      <c r="F796" s="38">
        <f>P798</f>
        <v>30733.45</v>
      </c>
      <c r="G796" s="39">
        <f>I822+I828</f>
        <v>30733.449999999997</v>
      </c>
      <c r="H796" s="767" t="s">
        <v>518</v>
      </c>
      <c r="I796" s="767"/>
      <c r="J796" s="767"/>
      <c r="K796" s="43" t="s">
        <v>27</v>
      </c>
      <c r="L796" s="44"/>
      <c r="M796" s="44"/>
      <c r="N796" s="44"/>
      <c r="O796" s="44"/>
      <c r="P796" s="44"/>
      <c r="Q796" s="45"/>
      <c r="R796" s="46" t="s">
        <v>28</v>
      </c>
      <c r="S796" s="47" t="s">
        <v>29</v>
      </c>
      <c r="T796" s="10"/>
      <c r="U796" s="17"/>
      <c r="V796" s="10"/>
      <c r="W796" s="10"/>
      <c r="X796" s="10"/>
    </row>
    <row r="797" spans="1:24" ht="12.75" customHeight="1">
      <c r="A797" s="2"/>
      <c r="B797" s="11"/>
      <c r="C797" s="10"/>
      <c r="D797" s="10"/>
      <c r="E797" s="24" t="s">
        <v>30</v>
      </c>
      <c r="F797" s="48">
        <f>F792</f>
        <v>0.05</v>
      </c>
      <c r="G797" s="17"/>
      <c r="H797" s="767"/>
      <c r="I797" s="767"/>
      <c r="J797" s="767"/>
      <c r="K797" s="20" t="s">
        <v>31</v>
      </c>
      <c r="L797" s="21" t="s">
        <v>32</v>
      </c>
      <c r="M797" s="21" t="s">
        <v>33</v>
      </c>
      <c r="N797" s="21" t="s">
        <v>34</v>
      </c>
      <c r="O797" s="21" t="s">
        <v>35</v>
      </c>
      <c r="P797" s="21" t="s">
        <v>36</v>
      </c>
      <c r="Q797" s="49" t="s">
        <v>37</v>
      </c>
      <c r="R797" s="50" t="s">
        <v>38</v>
      </c>
      <c r="S797" s="50" t="s">
        <v>38</v>
      </c>
      <c r="T797" s="10"/>
      <c r="U797" s="17"/>
      <c r="V797" s="10"/>
      <c r="W797" s="10"/>
      <c r="X797" s="10"/>
    </row>
    <row r="798" spans="1:24">
      <c r="A798" s="2"/>
      <c r="B798" s="11"/>
      <c r="C798" s="10"/>
      <c r="D798" s="10"/>
      <c r="E798" s="51" t="s">
        <v>39</v>
      </c>
      <c r="F798" s="52">
        <f>(F796+F805+F806+F807+F808+-I826-I827)*F797</f>
        <v>248.25150000000014</v>
      </c>
      <c r="G798" s="53" t="s">
        <v>40</v>
      </c>
      <c r="H798" s="54">
        <f>F798/1.12</f>
        <v>221.6531250000001</v>
      </c>
      <c r="I798" s="570" t="s">
        <v>494</v>
      </c>
      <c r="J798" s="42"/>
      <c r="K798" s="56">
        <v>0</v>
      </c>
      <c r="L798" s="57">
        <v>0</v>
      </c>
      <c r="M798" s="57">
        <f>I826</f>
        <v>12881.300000000001</v>
      </c>
      <c r="N798" s="57">
        <f>I817+I818+I819+I827</f>
        <v>15209.08</v>
      </c>
      <c r="O798" s="57">
        <f>I820+I821</f>
        <v>2643.0699999999997</v>
      </c>
      <c r="P798" s="57">
        <f>SUM(K798:O798)</f>
        <v>30733.45</v>
      </c>
      <c r="Q798" s="58">
        <v>0</v>
      </c>
      <c r="R798" s="59">
        <f>+I828</f>
        <v>25212.78</v>
      </c>
      <c r="S798" s="59">
        <v>0</v>
      </c>
      <c r="T798" s="10"/>
      <c r="U798" s="17"/>
      <c r="V798" s="10"/>
      <c r="W798" s="10"/>
      <c r="X798" s="10"/>
    </row>
    <row r="799" spans="1:24">
      <c r="A799" s="2"/>
      <c r="B799" s="11"/>
      <c r="C799" s="10"/>
      <c r="D799" s="10"/>
      <c r="E799" s="24" t="s">
        <v>41</v>
      </c>
      <c r="F799" s="60">
        <f>Q798</f>
        <v>0</v>
      </c>
      <c r="G799" s="61" t="s">
        <v>40</v>
      </c>
      <c r="H799" s="62"/>
      <c r="I799" s="62"/>
      <c r="J799" s="10" t="s">
        <v>42</v>
      </c>
      <c r="K799" s="63">
        <v>0</v>
      </c>
      <c r="L799" s="63">
        <v>0</v>
      </c>
      <c r="M799" s="63">
        <v>1</v>
      </c>
      <c r="N799" s="63">
        <v>4</v>
      </c>
      <c r="O799" s="63">
        <v>2</v>
      </c>
      <c r="P799" s="21">
        <f>SUM(K799:O799)</f>
        <v>7</v>
      </c>
      <c r="Q799" s="64"/>
      <c r="R799" s="63"/>
      <c r="S799" s="10"/>
      <c r="T799" s="10"/>
      <c r="U799" s="17"/>
      <c r="V799" s="10"/>
      <c r="W799" s="10"/>
      <c r="X799" s="10"/>
    </row>
    <row r="800" spans="1:24">
      <c r="A800" s="2"/>
      <c r="B800" s="11"/>
      <c r="C800" s="10"/>
      <c r="D800" s="10"/>
      <c r="E800" s="51" t="s">
        <v>43</v>
      </c>
      <c r="F800" s="52">
        <f>F799*0.25</f>
        <v>0</v>
      </c>
      <c r="G800" s="53" t="s">
        <v>40</v>
      </c>
      <c r="H800" s="54">
        <f>F800/1.12</f>
        <v>0</v>
      </c>
      <c r="I800" s="10"/>
      <c r="J800" s="10" t="s">
        <v>44</v>
      </c>
      <c r="K800" s="63">
        <v>0</v>
      </c>
      <c r="L800" s="63">
        <v>0</v>
      </c>
      <c r="M800" s="63">
        <v>2</v>
      </c>
      <c r="N800" s="63">
        <v>1</v>
      </c>
      <c r="O800" s="63">
        <v>3</v>
      </c>
      <c r="P800" s="21">
        <f>SUM(K800:O800)</f>
        <v>6</v>
      </c>
      <c r="Q800" s="64"/>
      <c r="R800" s="63"/>
      <c r="S800" s="10"/>
      <c r="T800" s="10"/>
      <c r="U800" s="17"/>
      <c r="V800" s="10"/>
      <c r="W800" s="10"/>
      <c r="X800" s="10"/>
    </row>
    <row r="801" spans="1:24">
      <c r="A801" s="2"/>
      <c r="B801" s="11"/>
      <c r="C801" s="10"/>
      <c r="D801" s="10"/>
      <c r="E801" s="24" t="s">
        <v>45</v>
      </c>
      <c r="F801" s="60"/>
      <c r="G801" s="61" t="s">
        <v>40</v>
      </c>
      <c r="H801" s="62"/>
      <c r="I801" s="10"/>
      <c r="J801" s="10" t="s">
        <v>46</v>
      </c>
      <c r="K801" s="31" t="e">
        <f t="shared" ref="K801:Q801" si="169">K799/(K799+K800)</f>
        <v>#DIV/0!</v>
      </c>
      <c r="L801" s="31" t="e">
        <f t="shared" si="169"/>
        <v>#DIV/0!</v>
      </c>
      <c r="M801" s="31">
        <f t="shared" si="169"/>
        <v>0.33333333333333331</v>
      </c>
      <c r="N801" s="31">
        <f t="shared" si="169"/>
        <v>0.8</v>
      </c>
      <c r="O801" s="31">
        <f t="shared" si="169"/>
        <v>0.4</v>
      </c>
      <c r="P801" s="31">
        <f t="shared" si="169"/>
        <v>0.53846153846153844</v>
      </c>
      <c r="Q801" s="31" t="e">
        <f t="shared" si="169"/>
        <v>#DIV/0!</v>
      </c>
      <c r="R801" s="63"/>
      <c r="S801" s="10"/>
      <c r="T801" s="10"/>
      <c r="U801" s="17"/>
      <c r="V801" s="10"/>
      <c r="W801" s="10"/>
      <c r="X801" s="10"/>
    </row>
    <row r="802" spans="1:24">
      <c r="A802" s="2"/>
      <c r="B802" s="11"/>
      <c r="C802" s="10"/>
      <c r="D802" s="10"/>
      <c r="E802" s="51" t="s">
        <v>47</v>
      </c>
      <c r="F802" s="52">
        <f>F801*0.05</f>
        <v>0</v>
      </c>
      <c r="G802" s="65" t="s">
        <v>40</v>
      </c>
      <c r="H802" s="54">
        <f>F802/1.12</f>
        <v>0</v>
      </c>
      <c r="I802" s="42"/>
      <c r="J802" s="10" t="s">
        <v>48</v>
      </c>
      <c r="K802" s="66" t="e">
        <f>K798/K799</f>
        <v>#DIV/0!</v>
      </c>
      <c r="L802" s="66" t="e">
        <f t="shared" ref="L802:Q802" si="170">L798/L799</f>
        <v>#DIV/0!</v>
      </c>
      <c r="M802" s="66">
        <f t="shared" si="170"/>
        <v>12881.300000000001</v>
      </c>
      <c r="N802" s="66">
        <f t="shared" si="170"/>
        <v>3802.27</v>
      </c>
      <c r="O802" s="66">
        <f t="shared" si="170"/>
        <v>1321.5349999999999</v>
      </c>
      <c r="P802" s="66">
        <f t="shared" si="170"/>
        <v>4390.4928571428572</v>
      </c>
      <c r="Q802" s="66" t="e">
        <f t="shared" si="170"/>
        <v>#DIV/0!</v>
      </c>
      <c r="R802" s="63"/>
      <c r="S802" s="10"/>
      <c r="T802" s="10"/>
      <c r="U802" s="17"/>
      <c r="V802" s="10"/>
      <c r="W802" s="10"/>
      <c r="X802" s="10"/>
    </row>
    <row r="803" spans="1:24">
      <c r="A803" s="2"/>
      <c r="B803" s="11"/>
      <c r="C803" s="10"/>
      <c r="D803" s="10"/>
      <c r="E803" s="67" t="s">
        <v>14</v>
      </c>
      <c r="F803" s="68">
        <f>4*50</f>
        <v>200</v>
      </c>
      <c r="G803" s="10"/>
      <c r="H803" s="54">
        <f>F803/1.12</f>
        <v>178.57142857142856</v>
      </c>
      <c r="I803" s="10"/>
      <c r="J803" s="10"/>
      <c r="K803" s="10"/>
      <c r="L803" s="10"/>
      <c r="M803" s="10"/>
      <c r="N803" s="10"/>
      <c r="O803" s="10"/>
      <c r="P803" s="10"/>
      <c r="Q803" s="10"/>
      <c r="R803" s="10"/>
      <c r="S803" s="10"/>
      <c r="T803" s="10"/>
      <c r="U803" s="17"/>
      <c r="V803" s="10"/>
      <c r="W803" s="10"/>
      <c r="X803" s="10"/>
    </row>
    <row r="804" spans="1:24">
      <c r="A804" s="2"/>
      <c r="B804" s="11"/>
      <c r="C804" s="10"/>
      <c r="D804" s="10"/>
      <c r="E804" s="67" t="s">
        <v>49</v>
      </c>
      <c r="F804" s="69">
        <f>T793</f>
        <v>0</v>
      </c>
      <c r="G804" s="10"/>
      <c r="H804" s="54"/>
      <c r="I804" s="55"/>
      <c r="J804" s="42"/>
      <c r="K804" s="764" t="s">
        <v>50</v>
      </c>
      <c r="L804" s="765"/>
      <c r="M804" s="765"/>
      <c r="N804" s="765"/>
      <c r="O804" s="765"/>
      <c r="P804" s="765"/>
      <c r="Q804" s="766"/>
      <c r="R804" s="70" t="s">
        <v>28</v>
      </c>
      <c r="S804" s="71" t="s">
        <v>29</v>
      </c>
      <c r="T804" s="10"/>
      <c r="U804" s="17"/>
      <c r="V804" s="10"/>
      <c r="W804" s="10"/>
      <c r="X804" s="10"/>
    </row>
    <row r="805" spans="1:24">
      <c r="A805" s="2"/>
      <c r="B805" s="11"/>
      <c r="C805" s="10"/>
      <c r="D805" s="10"/>
      <c r="E805" s="72" t="s">
        <v>519</v>
      </c>
      <c r="F805" s="75">
        <v>-20.8</v>
      </c>
      <c r="G805" s="10"/>
      <c r="H805" s="10"/>
      <c r="I805" s="10"/>
      <c r="J805" s="42"/>
      <c r="K805" s="20" t="s">
        <v>31</v>
      </c>
      <c r="L805" s="21" t="s">
        <v>32</v>
      </c>
      <c r="M805" s="21" t="s">
        <v>33</v>
      </c>
      <c r="N805" s="21" t="s">
        <v>34</v>
      </c>
      <c r="O805" s="21" t="s">
        <v>35</v>
      </c>
      <c r="P805" s="21" t="s">
        <v>36</v>
      </c>
      <c r="Q805" s="49" t="s">
        <v>37</v>
      </c>
      <c r="R805" s="50" t="s">
        <v>38</v>
      </c>
      <c r="S805" s="50" t="s">
        <v>38</v>
      </c>
      <c r="T805" s="10"/>
      <c r="U805" s="17"/>
      <c r="V805" s="10"/>
      <c r="W805" s="10"/>
      <c r="X805" s="10"/>
    </row>
    <row r="806" spans="1:24">
      <c r="A806" s="2"/>
      <c r="B806" s="11"/>
      <c r="C806" s="10"/>
      <c r="D806" s="10"/>
      <c r="E806" s="72" t="s">
        <v>520</v>
      </c>
      <c r="F806" s="73">
        <v>-523.85</v>
      </c>
      <c r="G806" s="10"/>
      <c r="H806" s="10"/>
      <c r="I806" s="10"/>
      <c r="J806" s="42"/>
      <c r="K806" s="56">
        <v>0</v>
      </c>
      <c r="L806" s="57">
        <v>0</v>
      </c>
      <c r="M806" s="57">
        <f>F826</f>
        <v>14503.6</v>
      </c>
      <c r="N806" s="57">
        <f>F817+F818+F819+F827</f>
        <v>17549.599999999999</v>
      </c>
      <c r="O806" s="57">
        <f>F820+F821</f>
        <v>2945</v>
      </c>
      <c r="P806" s="57">
        <f>SUM(K806:O806)</f>
        <v>34998.199999999997</v>
      </c>
      <c r="Q806" s="58">
        <v>0</v>
      </c>
      <c r="R806" s="59">
        <f>+F828</f>
        <v>29096.2</v>
      </c>
      <c r="S806" s="59">
        <v>0</v>
      </c>
      <c r="T806" s="10"/>
      <c r="U806" s="17"/>
      <c r="V806" s="10"/>
      <c r="W806" s="10"/>
      <c r="X806" s="10"/>
    </row>
    <row r="807" spans="1:24">
      <c r="A807" s="2"/>
      <c r="B807" s="11"/>
      <c r="C807" s="10"/>
      <c r="D807" s="10"/>
      <c r="E807" s="72" t="s">
        <v>521</v>
      </c>
      <c r="F807" s="73">
        <v>17.18</v>
      </c>
      <c r="G807" s="10"/>
      <c r="H807" s="10"/>
      <c r="I807" s="10"/>
      <c r="J807" s="10" t="s">
        <v>42</v>
      </c>
      <c r="K807" s="63">
        <f>K799</f>
        <v>0</v>
      </c>
      <c r="L807" s="63">
        <f t="shared" ref="L807:Q808" si="171">L799</f>
        <v>0</v>
      </c>
      <c r="M807" s="63">
        <f t="shared" si="171"/>
        <v>1</v>
      </c>
      <c r="N807" s="63">
        <f t="shared" si="171"/>
        <v>4</v>
      </c>
      <c r="O807" s="63">
        <f t="shared" si="171"/>
        <v>2</v>
      </c>
      <c r="P807" s="63">
        <f t="shared" si="171"/>
        <v>7</v>
      </c>
      <c r="Q807" s="63">
        <f t="shared" si="171"/>
        <v>0</v>
      </c>
      <c r="R807" s="63"/>
      <c r="S807" s="10"/>
      <c r="T807" s="10"/>
      <c r="U807" s="17"/>
      <c r="V807" s="10"/>
      <c r="W807" s="10"/>
      <c r="X807" s="10"/>
    </row>
    <row r="808" spans="1:24">
      <c r="A808" s="2"/>
      <c r="B808" s="11"/>
      <c r="C808" s="10"/>
      <c r="D808" s="10"/>
      <c r="E808" s="514" t="s">
        <v>522</v>
      </c>
      <c r="F808" s="629">
        <v>-28.17</v>
      </c>
      <c r="G808" s="10"/>
      <c r="H808" s="10"/>
      <c r="I808" s="10"/>
      <c r="J808" s="10" t="s">
        <v>44</v>
      </c>
      <c r="K808" s="63">
        <f>K800</f>
        <v>0</v>
      </c>
      <c r="L808" s="63">
        <f t="shared" si="171"/>
        <v>0</v>
      </c>
      <c r="M808" s="63">
        <f t="shared" si="171"/>
        <v>2</v>
      </c>
      <c r="N808" s="63">
        <f t="shared" si="171"/>
        <v>1</v>
      </c>
      <c r="O808" s="63">
        <f t="shared" si="171"/>
        <v>3</v>
      </c>
      <c r="P808" s="63">
        <f t="shared" si="171"/>
        <v>6</v>
      </c>
      <c r="Q808" s="63">
        <f t="shared" si="171"/>
        <v>0</v>
      </c>
      <c r="R808" s="63"/>
      <c r="S808" s="10"/>
      <c r="T808" s="10"/>
      <c r="U808" s="17"/>
      <c r="V808" s="10"/>
      <c r="W808" s="10"/>
      <c r="X808" s="10"/>
    </row>
    <row r="809" spans="1:24">
      <c r="A809" s="2"/>
      <c r="B809" s="11"/>
      <c r="C809" s="10"/>
      <c r="D809" s="10"/>
      <c r="E809" s="10"/>
      <c r="F809" s="10"/>
      <c r="G809" s="10"/>
      <c r="H809" s="10"/>
      <c r="I809" s="10"/>
      <c r="J809" s="10" t="s">
        <v>46</v>
      </c>
      <c r="K809" s="31" t="e">
        <f t="shared" ref="K809:Q809" si="172">K807/(K807+K808)</f>
        <v>#DIV/0!</v>
      </c>
      <c r="L809" s="31" t="e">
        <f t="shared" si="172"/>
        <v>#DIV/0!</v>
      </c>
      <c r="M809" s="31">
        <f t="shared" si="172"/>
        <v>0.33333333333333331</v>
      </c>
      <c r="N809" s="31">
        <f t="shared" si="172"/>
        <v>0.8</v>
      </c>
      <c r="O809" s="31">
        <f t="shared" si="172"/>
        <v>0.4</v>
      </c>
      <c r="P809" s="31">
        <f t="shared" si="172"/>
        <v>0.53846153846153844</v>
      </c>
      <c r="Q809" s="31" t="e">
        <f t="shared" si="172"/>
        <v>#DIV/0!</v>
      </c>
      <c r="R809" s="63"/>
      <c r="S809" s="10"/>
      <c r="T809" s="10"/>
      <c r="U809" s="17"/>
      <c r="V809" s="10"/>
      <c r="W809" s="10"/>
      <c r="X809" s="10"/>
    </row>
    <row r="810" spans="1:24">
      <c r="A810" s="2"/>
      <c r="B810" s="11"/>
      <c r="C810" s="10"/>
      <c r="D810" s="10"/>
      <c r="E810" s="10"/>
      <c r="F810" s="10"/>
      <c r="G810" s="10"/>
      <c r="H810" s="10"/>
      <c r="I810" s="10"/>
      <c r="J810" s="10" t="s">
        <v>48</v>
      </c>
      <c r="K810" s="66" t="e">
        <f t="shared" ref="K810:Q810" si="173">K806/K807</f>
        <v>#DIV/0!</v>
      </c>
      <c r="L810" s="66" t="e">
        <f t="shared" si="173"/>
        <v>#DIV/0!</v>
      </c>
      <c r="M810" s="66">
        <f t="shared" si="173"/>
        <v>14503.6</v>
      </c>
      <c r="N810" s="66">
        <f t="shared" si="173"/>
        <v>4387.3999999999996</v>
      </c>
      <c r="O810" s="66">
        <f t="shared" si="173"/>
        <v>1472.5</v>
      </c>
      <c r="P810" s="66">
        <f t="shared" si="173"/>
        <v>4999.7428571428563</v>
      </c>
      <c r="Q810" s="66" t="e">
        <f t="shared" si="173"/>
        <v>#DIV/0!</v>
      </c>
      <c r="R810" s="63"/>
      <c r="S810" s="10"/>
      <c r="T810" s="10"/>
      <c r="U810" s="17"/>
      <c r="V810" s="10"/>
      <c r="W810" s="10"/>
      <c r="X810" s="10"/>
    </row>
    <row r="811" spans="1:24">
      <c r="A811" s="2"/>
      <c r="B811" s="11"/>
      <c r="C811" s="10"/>
      <c r="D811" s="10"/>
      <c r="E811" s="10"/>
      <c r="F811" s="10"/>
      <c r="G811" s="10"/>
      <c r="H811" s="10"/>
      <c r="I811" s="10"/>
      <c r="J811" s="10"/>
      <c r="K811" s="66"/>
      <c r="L811" s="66"/>
      <c r="M811" s="66"/>
      <c r="N811" s="66"/>
      <c r="O811" s="66"/>
      <c r="P811" s="66"/>
      <c r="Q811" s="66"/>
      <c r="R811" s="63"/>
      <c r="S811" s="10"/>
      <c r="T811" s="10"/>
      <c r="U811" s="17"/>
      <c r="V811" s="10"/>
      <c r="W811" s="10"/>
      <c r="X811" s="10"/>
    </row>
    <row r="812" spans="1:24">
      <c r="A812" s="2"/>
      <c r="B812" s="11"/>
      <c r="C812" s="10"/>
      <c r="D812" s="10"/>
      <c r="E812" s="10"/>
      <c r="F812" s="10"/>
      <c r="G812" s="10"/>
      <c r="H812" s="10"/>
      <c r="I812" s="10"/>
      <c r="J812" s="10"/>
      <c r="K812" s="10"/>
      <c r="L812" s="10"/>
      <c r="M812" s="10"/>
      <c r="N812" s="10"/>
      <c r="O812" s="10"/>
      <c r="P812" s="10"/>
      <c r="Q812" s="10"/>
      <c r="R812" s="10"/>
      <c r="S812" s="10"/>
      <c r="T812" s="10"/>
      <c r="U812" s="17"/>
      <c r="V812" s="10"/>
      <c r="W812" s="10"/>
      <c r="X812" s="10"/>
    </row>
    <row r="813" spans="1:24">
      <c r="A813" s="2"/>
      <c r="B813" s="11"/>
      <c r="C813" s="10"/>
      <c r="D813" s="10"/>
      <c r="E813" s="10"/>
      <c r="F813" s="10"/>
      <c r="G813" s="10"/>
      <c r="H813" s="10"/>
      <c r="I813" s="10"/>
      <c r="J813" s="10"/>
      <c r="K813" s="10"/>
      <c r="L813" s="10"/>
      <c r="M813" s="10"/>
      <c r="N813" s="10"/>
      <c r="O813" s="10"/>
      <c r="P813" s="10"/>
      <c r="Q813" s="10"/>
      <c r="R813" s="10"/>
      <c r="S813" s="10"/>
      <c r="T813" s="10"/>
      <c r="U813" s="17"/>
      <c r="V813" s="10"/>
      <c r="W813" s="10"/>
      <c r="X813" s="10"/>
    </row>
    <row r="814" spans="1:24">
      <c r="A814" s="2"/>
      <c r="B814" s="18" t="s">
        <v>51</v>
      </c>
      <c r="C814" s="14"/>
      <c r="D814" s="14"/>
      <c r="E814" s="14"/>
      <c r="F814" s="13" t="s">
        <v>52</v>
      </c>
      <c r="G814" s="14"/>
      <c r="H814" s="14"/>
      <c r="I814" s="14"/>
      <c r="J814" s="14"/>
      <c r="K814" s="13" t="s">
        <v>3</v>
      </c>
      <c r="L814" s="14"/>
      <c r="M814" s="14"/>
      <c r="N814" s="13" t="s">
        <v>4</v>
      </c>
      <c r="O814" s="14"/>
      <c r="P814" s="14"/>
      <c r="Q814" s="13" t="s">
        <v>5</v>
      </c>
      <c r="R814" s="14"/>
      <c r="S814" s="14"/>
      <c r="T814" s="18"/>
      <c r="U814" s="16" t="s">
        <v>53</v>
      </c>
      <c r="V814" s="77"/>
      <c r="W814" s="77"/>
      <c r="X814" s="77"/>
    </row>
    <row r="815" spans="1:24">
      <c r="A815" s="2"/>
      <c r="B815" s="24" t="s">
        <v>54</v>
      </c>
      <c r="C815" s="21" t="s">
        <v>55</v>
      </c>
      <c r="D815" s="21" t="s">
        <v>56</v>
      </c>
      <c r="E815" s="21" t="s">
        <v>57</v>
      </c>
      <c r="F815" s="20" t="s">
        <v>58</v>
      </c>
      <c r="G815" s="21" t="s">
        <v>59</v>
      </c>
      <c r="H815" s="21" t="s">
        <v>60</v>
      </c>
      <c r="I815" s="21" t="s">
        <v>26</v>
      </c>
      <c r="J815" s="22" t="s">
        <v>61</v>
      </c>
      <c r="K815" s="21" t="s">
        <v>8</v>
      </c>
      <c r="L815" s="21" t="s">
        <v>9</v>
      </c>
      <c r="M815" s="21" t="s">
        <v>10</v>
      </c>
      <c r="N815" s="20" t="s">
        <v>11</v>
      </c>
      <c r="O815" s="21" t="s">
        <v>12</v>
      </c>
      <c r="P815" s="22" t="s">
        <v>13</v>
      </c>
      <c r="Q815" s="21" t="s">
        <v>11</v>
      </c>
      <c r="R815" s="21" t="s">
        <v>12</v>
      </c>
      <c r="S815" s="21" t="s">
        <v>13</v>
      </c>
      <c r="T815" s="78" t="s">
        <v>14</v>
      </c>
      <c r="U815" s="30"/>
      <c r="V815" s="79" t="s">
        <v>62</v>
      </c>
      <c r="W815" s="80" t="s">
        <v>63</v>
      </c>
      <c r="X815" s="81" t="s">
        <v>64</v>
      </c>
    </row>
    <row r="816" spans="1:24">
      <c r="A816" s="2"/>
      <c r="B816" s="4" t="s">
        <v>65</v>
      </c>
      <c r="C816" s="6"/>
      <c r="D816" s="6"/>
      <c r="E816" s="6"/>
      <c r="F816" s="6"/>
      <c r="G816" s="6"/>
      <c r="H816" s="6"/>
      <c r="I816" s="82"/>
      <c r="J816" s="6"/>
      <c r="K816" s="6"/>
      <c r="L816" s="6"/>
      <c r="M816" s="6"/>
      <c r="N816" s="6"/>
      <c r="O816" s="6"/>
      <c r="P816" s="6"/>
      <c r="Q816" s="6"/>
      <c r="R816" s="6"/>
      <c r="S816" s="6"/>
      <c r="T816" s="83"/>
      <c r="U816" s="6"/>
      <c r="V816" s="84"/>
      <c r="W816" s="85"/>
      <c r="X816" s="86"/>
    </row>
    <row r="817" spans="1:24">
      <c r="A817" s="2"/>
      <c r="B817" s="87">
        <v>1</v>
      </c>
      <c r="C817" s="274">
        <v>45897</v>
      </c>
      <c r="D817" s="327">
        <v>72710</v>
      </c>
      <c r="E817" s="276" t="s">
        <v>428</v>
      </c>
      <c r="F817" s="277">
        <v>1138</v>
      </c>
      <c r="G817" s="277">
        <v>39.700000000000003</v>
      </c>
      <c r="H817" s="297"/>
      <c r="I817" s="278">
        <f t="shared" ref="I817:I821" si="174">F817-G817-H817</f>
        <v>1098.3</v>
      </c>
      <c r="J817" s="279" t="s">
        <v>156</v>
      </c>
      <c r="K817" s="279">
        <v>1</v>
      </c>
      <c r="L817" s="279">
        <v>1</v>
      </c>
      <c r="M817" s="279">
        <v>1</v>
      </c>
      <c r="N817" s="279">
        <v>1</v>
      </c>
      <c r="O817" s="279">
        <v>1</v>
      </c>
      <c r="P817" s="279">
        <v>1</v>
      </c>
      <c r="Q817" s="279">
        <v>1</v>
      </c>
      <c r="R817" s="279">
        <v>1</v>
      </c>
      <c r="S817" s="280">
        <v>1</v>
      </c>
      <c r="T817" s="21">
        <v>1</v>
      </c>
      <c r="U817" s="10"/>
      <c r="V817" s="90">
        <f>125.2+1126.6</f>
        <v>1251.8</v>
      </c>
      <c r="W817" s="91"/>
      <c r="X817" s="92"/>
    </row>
    <row r="818" spans="1:24">
      <c r="A818" s="2"/>
      <c r="B818" s="87">
        <f t="shared" ref="B818:B821" si="175">B817+1</f>
        <v>2</v>
      </c>
      <c r="C818" s="295">
        <v>45897</v>
      </c>
      <c r="D818" s="323">
        <v>72720</v>
      </c>
      <c r="E818" s="10" t="s">
        <v>523</v>
      </c>
      <c r="F818" s="62">
        <v>1138</v>
      </c>
      <c r="G818" s="62">
        <v>39.700000000000003</v>
      </c>
      <c r="H818" s="62"/>
      <c r="I818" s="89">
        <f t="shared" si="174"/>
        <v>1098.3</v>
      </c>
      <c r="J818" s="63" t="s">
        <v>156</v>
      </c>
      <c r="K818" s="63">
        <v>1</v>
      </c>
      <c r="L818" s="63">
        <v>1</v>
      </c>
      <c r="M818" s="63">
        <v>1</v>
      </c>
      <c r="N818" s="63">
        <v>1</v>
      </c>
      <c r="O818" s="63">
        <v>1</v>
      </c>
      <c r="P818" s="63">
        <v>1</v>
      </c>
      <c r="Q818" s="63">
        <v>1</v>
      </c>
      <c r="R818" s="63">
        <v>1</v>
      </c>
      <c r="S818" s="296">
        <v>1</v>
      </c>
      <c r="T818" s="63"/>
      <c r="U818" s="10"/>
      <c r="V818" s="90">
        <f>125.2+1126.6</f>
        <v>1251.8</v>
      </c>
      <c r="W818" s="91"/>
      <c r="X818" s="92"/>
    </row>
    <row r="819" spans="1:24">
      <c r="A819" s="93"/>
      <c r="B819" s="87">
        <f t="shared" si="175"/>
        <v>3</v>
      </c>
      <c r="C819" s="295">
        <v>45897</v>
      </c>
      <c r="D819" s="323">
        <v>72709</v>
      </c>
      <c r="E819" s="10" t="s">
        <v>292</v>
      </c>
      <c r="F819" s="62">
        <v>681</v>
      </c>
      <c r="G819" s="62"/>
      <c r="H819" s="62"/>
      <c r="I819" s="89">
        <f t="shared" si="174"/>
        <v>681</v>
      </c>
      <c r="J819" s="63" t="s">
        <v>156</v>
      </c>
      <c r="K819" s="63">
        <v>1</v>
      </c>
      <c r="L819" s="63">
        <v>1</v>
      </c>
      <c r="M819" s="63">
        <v>1</v>
      </c>
      <c r="N819" s="63">
        <v>1</v>
      </c>
      <c r="O819" s="63">
        <v>1</v>
      </c>
      <c r="P819" s="63">
        <v>1</v>
      </c>
      <c r="Q819" s="63">
        <v>1</v>
      </c>
      <c r="R819" s="63">
        <v>1</v>
      </c>
      <c r="S819" s="296">
        <v>1</v>
      </c>
      <c r="T819" s="21">
        <v>1</v>
      </c>
      <c r="U819" s="10"/>
      <c r="V819" s="90">
        <f>75+674.1</f>
        <v>749.1</v>
      </c>
      <c r="W819" s="91"/>
      <c r="X819" s="92"/>
    </row>
    <row r="820" spans="1:24">
      <c r="A820" s="2"/>
      <c r="B820" s="87">
        <f t="shared" si="175"/>
        <v>4</v>
      </c>
      <c r="C820" s="274">
        <v>45898</v>
      </c>
      <c r="D820" s="327">
        <v>72805</v>
      </c>
      <c r="E820" s="404" t="s">
        <v>524</v>
      </c>
      <c r="F820" s="277">
        <v>1681</v>
      </c>
      <c r="G820" s="277">
        <f>39.7+(222.53)</f>
        <v>262.23</v>
      </c>
      <c r="H820" s="277"/>
      <c r="I820" s="321">
        <f t="shared" si="174"/>
        <v>1418.77</v>
      </c>
      <c r="J820" s="279" t="s">
        <v>156</v>
      </c>
      <c r="K820" s="279">
        <v>1</v>
      </c>
      <c r="L820" s="279">
        <v>1</v>
      </c>
      <c r="M820" s="322">
        <v>0</v>
      </c>
      <c r="N820" s="279">
        <v>1</v>
      </c>
      <c r="O820" s="279">
        <v>1</v>
      </c>
      <c r="P820" s="279">
        <v>1</v>
      </c>
      <c r="Q820" s="279">
        <v>1</v>
      </c>
      <c r="R820" s="279">
        <v>1</v>
      </c>
      <c r="S820" s="280">
        <v>1</v>
      </c>
      <c r="T820" s="21">
        <v>1</v>
      </c>
      <c r="U820" s="10" t="s">
        <v>525</v>
      </c>
      <c r="V820" s="90">
        <f>185+1664.1</f>
        <v>1849.1</v>
      </c>
      <c r="W820" s="91"/>
      <c r="X820" s="92"/>
    </row>
    <row r="821" spans="1:24">
      <c r="A821" s="2"/>
      <c r="B821" s="87">
        <f t="shared" si="175"/>
        <v>5</v>
      </c>
      <c r="C821" s="282">
        <v>45898</v>
      </c>
      <c r="D821" s="368">
        <v>72812</v>
      </c>
      <c r="E821" s="283" t="s">
        <v>203</v>
      </c>
      <c r="F821" s="284">
        <v>1264</v>
      </c>
      <c r="G821" s="284">
        <f>39.7</f>
        <v>39.700000000000003</v>
      </c>
      <c r="H821" s="284"/>
      <c r="I821" s="285">
        <f t="shared" si="174"/>
        <v>1224.3</v>
      </c>
      <c r="J821" s="286" t="s">
        <v>156</v>
      </c>
      <c r="K821" s="286">
        <v>1</v>
      </c>
      <c r="L821" s="286">
        <v>1</v>
      </c>
      <c r="M821" s="286">
        <v>1</v>
      </c>
      <c r="N821" s="286">
        <v>1</v>
      </c>
      <c r="O821" s="286">
        <v>1</v>
      </c>
      <c r="P821" s="286">
        <v>1</v>
      </c>
      <c r="Q821" s="286">
        <v>1</v>
      </c>
      <c r="R821" s="286">
        <v>1</v>
      </c>
      <c r="S821" s="287">
        <v>1</v>
      </c>
      <c r="T821" s="21">
        <v>1</v>
      </c>
      <c r="U821" s="10" t="s">
        <v>526</v>
      </c>
      <c r="V821" s="90">
        <f>140+1250.4</f>
        <v>1390.4</v>
      </c>
      <c r="W821" s="91"/>
      <c r="X821" s="92"/>
    </row>
    <row r="822" spans="1:24">
      <c r="A822" s="2"/>
      <c r="B822" s="87"/>
      <c r="C822" s="36"/>
      <c r="D822" s="10"/>
      <c r="E822" s="10"/>
      <c r="F822" s="97">
        <f>SUM(F817:F821)</f>
        <v>5902</v>
      </c>
      <c r="G822" s="97">
        <f>SUM(G817:G821)</f>
        <v>381.33</v>
      </c>
      <c r="H822" s="97">
        <f>SUM(H817:H821)</f>
        <v>0</v>
      </c>
      <c r="I822" s="98">
        <f>SUM(I817:I821)</f>
        <v>5520.67</v>
      </c>
      <c r="J822" s="63"/>
      <c r="K822" s="63">
        <f>COUNT(K817:K821)</f>
        <v>5</v>
      </c>
      <c r="L822" s="63">
        <f>COUNT(L817:L821)</f>
        <v>5</v>
      </c>
      <c r="M822" s="63">
        <f>COUNT(M817:M821)</f>
        <v>5</v>
      </c>
      <c r="N822" s="63">
        <f>COUNT(N817:N821)</f>
        <v>5</v>
      </c>
      <c r="O822" s="63">
        <f>COUNT(O817:O821)</f>
        <v>5</v>
      </c>
      <c r="P822" s="63">
        <f>COUNT(P817:P821)</f>
        <v>5</v>
      </c>
      <c r="Q822" s="63">
        <f>COUNT(Q817:Q821)</f>
        <v>5</v>
      </c>
      <c r="R822" s="63">
        <f>COUNT(R817:R821)</f>
        <v>5</v>
      </c>
      <c r="S822" s="63">
        <f>COUNT(S817:S821)</f>
        <v>5</v>
      </c>
      <c r="T822" s="63"/>
      <c r="U822" s="10"/>
      <c r="V822" s="90"/>
      <c r="W822" s="91"/>
      <c r="X822" s="92"/>
    </row>
    <row r="823" spans="1:24">
      <c r="A823" s="2"/>
      <c r="B823" s="87"/>
      <c r="C823" s="36"/>
      <c r="D823" s="10"/>
      <c r="E823" s="10"/>
      <c r="F823" s="88"/>
      <c r="G823" s="88"/>
      <c r="H823" s="88"/>
      <c r="I823" s="99"/>
      <c r="J823" s="63"/>
      <c r="K823" s="21">
        <f>SUM(K817:K821)</f>
        <v>5</v>
      </c>
      <c r="L823" s="21">
        <f>SUM(L817:L821)</f>
        <v>5</v>
      </c>
      <c r="M823" s="21">
        <f>SUM(M817:M821)</f>
        <v>4</v>
      </c>
      <c r="N823" s="21">
        <f>SUM(N817:N821)</f>
        <v>5</v>
      </c>
      <c r="O823" s="21">
        <f>SUM(O817:O821)</f>
        <v>5</v>
      </c>
      <c r="P823" s="21">
        <f>SUM(P817:P821)</f>
        <v>5</v>
      </c>
      <c r="Q823" s="21">
        <f>SUM(Q817:Q821)</f>
        <v>5</v>
      </c>
      <c r="R823" s="21">
        <f>SUM(R817:R821)</f>
        <v>5</v>
      </c>
      <c r="S823" s="21">
        <f>SUM(S817:S821)</f>
        <v>5</v>
      </c>
      <c r="T823" s="63"/>
      <c r="U823" s="10"/>
      <c r="V823" s="90"/>
      <c r="W823" s="91"/>
      <c r="X823" s="92"/>
    </row>
    <row r="824" spans="1:24">
      <c r="A824" s="2"/>
      <c r="B824" s="11"/>
      <c r="C824" s="36"/>
      <c r="D824" s="10"/>
      <c r="E824" s="10"/>
      <c r="F824" s="88"/>
      <c r="G824" s="88"/>
      <c r="H824" s="88"/>
      <c r="I824" s="99"/>
      <c r="J824" s="63"/>
      <c r="K824" s="21"/>
      <c r="L824" s="21"/>
      <c r="M824" s="21"/>
      <c r="N824" s="21"/>
      <c r="O824" s="21"/>
      <c r="P824" s="21"/>
      <c r="Q824" s="21"/>
      <c r="R824" s="21"/>
      <c r="S824" s="21"/>
      <c r="T824" s="63"/>
      <c r="U824" s="94"/>
      <c r="V824" s="90"/>
      <c r="W824" s="91"/>
      <c r="X824" s="92"/>
    </row>
    <row r="825" spans="1:24">
      <c r="A825" s="128"/>
      <c r="B825" s="121" t="s">
        <v>70</v>
      </c>
      <c r="C825" s="122"/>
      <c r="D825" s="123"/>
      <c r="E825" s="128"/>
      <c r="F825" s="124"/>
      <c r="G825" s="124"/>
      <c r="H825" s="124"/>
      <c r="I825" s="126"/>
      <c r="J825" s="127"/>
      <c r="K825" s="64"/>
      <c r="L825" s="64"/>
      <c r="M825" s="64"/>
      <c r="N825" s="64"/>
      <c r="O825" s="64"/>
      <c r="P825" s="64"/>
      <c r="Q825" s="64"/>
      <c r="R825" s="64"/>
      <c r="S825" s="64"/>
      <c r="T825" s="127"/>
      <c r="U825" s="135"/>
      <c r="V825" s="129"/>
      <c r="W825" s="130"/>
      <c r="X825" s="131"/>
    </row>
    <row r="826" spans="1:24" s="342" customFormat="1">
      <c r="A826" s="356">
        <v>0.05</v>
      </c>
      <c r="B826" s="333">
        <v>1</v>
      </c>
      <c r="C826" s="334">
        <v>45896</v>
      </c>
      <c r="D826" s="320" t="s">
        <v>527</v>
      </c>
      <c r="E826" s="335" t="s">
        <v>401</v>
      </c>
      <c r="F826" s="336">
        <v>14503.6</v>
      </c>
      <c r="G826" s="336">
        <f>39.7+60.48+(103.51+131.24)+(287.37)+1000</f>
        <v>1622.3</v>
      </c>
      <c r="H826" s="336"/>
      <c r="I826" s="337">
        <f>F826-G826-H826</f>
        <v>12881.300000000001</v>
      </c>
      <c r="J826" s="338" t="s">
        <v>185</v>
      </c>
      <c r="K826" s="338">
        <v>1</v>
      </c>
      <c r="L826" s="338"/>
      <c r="M826" s="338">
        <v>1</v>
      </c>
      <c r="N826" s="338">
        <v>1</v>
      </c>
      <c r="O826" s="338">
        <v>1</v>
      </c>
      <c r="P826" s="338">
        <v>1</v>
      </c>
      <c r="Q826" s="338"/>
      <c r="R826" s="338"/>
      <c r="S826" s="339"/>
      <c r="T826" s="127"/>
      <c r="U826" s="135" t="s">
        <v>528</v>
      </c>
      <c r="V826" s="129">
        <f>1595.4</f>
        <v>1595.4</v>
      </c>
      <c r="W826" s="340"/>
      <c r="X826" s="341"/>
    </row>
    <row r="827" spans="1:24" s="342" customFormat="1">
      <c r="A827" s="356">
        <v>0.05</v>
      </c>
      <c r="B827" s="333">
        <f t="shared" ref="B827" si="176">B826+1</f>
        <v>2</v>
      </c>
      <c r="C827" s="350">
        <v>45897</v>
      </c>
      <c r="D827" s="357" t="s">
        <v>529</v>
      </c>
      <c r="E827" s="358" t="s">
        <v>523</v>
      </c>
      <c r="F827" s="352">
        <v>14592.6</v>
      </c>
      <c r="G827" s="352">
        <f>39.7+(175.26)+(561.09+485.07)+1000</f>
        <v>2261.12</v>
      </c>
      <c r="H827" s="352"/>
      <c r="I827" s="353">
        <f t="shared" ref="I827" si="177">F827-G827-H827</f>
        <v>12331.48</v>
      </c>
      <c r="J827" s="354" t="s">
        <v>228</v>
      </c>
      <c r="K827" s="354">
        <v>1</v>
      </c>
      <c r="L827" s="354"/>
      <c r="M827" s="354">
        <v>0</v>
      </c>
      <c r="N827" s="354">
        <v>1</v>
      </c>
      <c r="O827" s="354">
        <v>1</v>
      </c>
      <c r="P827" s="354">
        <v>1</v>
      </c>
      <c r="Q827" s="354"/>
      <c r="R827" s="354"/>
      <c r="S827" s="355"/>
      <c r="T827" s="127"/>
      <c r="U827" s="135" t="s">
        <v>530</v>
      </c>
      <c r="V827" s="129">
        <f>1605+2000+7000+1000</f>
        <v>11605</v>
      </c>
      <c r="W827" s="340"/>
      <c r="X827" s="341"/>
    </row>
    <row r="828" spans="1:24">
      <c r="A828" s="128"/>
      <c r="B828" s="132"/>
      <c r="C828" s="122"/>
      <c r="D828" s="123"/>
      <c r="E828" s="123"/>
      <c r="F828" s="133">
        <f>SUM(F826:F827)</f>
        <v>29096.2</v>
      </c>
      <c r="G828" s="133">
        <f>SUM(G826:G827)</f>
        <v>3883.42</v>
      </c>
      <c r="H828" s="133">
        <f>SUM(H826:H827)</f>
        <v>0</v>
      </c>
      <c r="I828" s="134">
        <f>SUM(I826:I827)</f>
        <v>25212.78</v>
      </c>
      <c r="J828" s="127"/>
      <c r="K828" s="64"/>
      <c r="L828" s="64"/>
      <c r="M828" s="64"/>
      <c r="N828" s="64"/>
      <c r="O828" s="64"/>
      <c r="P828" s="64"/>
      <c r="Q828" s="64"/>
      <c r="R828" s="64"/>
      <c r="S828" s="64"/>
      <c r="T828" s="127"/>
      <c r="U828" s="135"/>
      <c r="V828" s="129"/>
      <c r="W828" s="130"/>
      <c r="X828" s="131"/>
    </row>
    <row r="829" spans="1:24">
      <c r="A829" s="2"/>
      <c r="B829" s="11"/>
      <c r="C829" s="36"/>
      <c r="D829" s="10"/>
      <c r="E829" s="10"/>
      <c r="F829" s="88"/>
      <c r="G829" s="88"/>
      <c r="H829" s="88"/>
      <c r="I829" s="99"/>
      <c r="J829" s="63"/>
      <c r="K829" s="21"/>
      <c r="L829" s="21"/>
      <c r="M829" s="21"/>
      <c r="N829" s="21"/>
      <c r="O829" s="21"/>
      <c r="P829" s="21"/>
      <c r="Q829" s="21"/>
      <c r="R829" s="21"/>
      <c r="S829" s="21"/>
      <c r="T829" s="63"/>
      <c r="U829" s="94"/>
      <c r="V829" s="90"/>
      <c r="W829" s="91"/>
      <c r="X829" s="92"/>
    </row>
    <row r="830" spans="1:24" s="260" customFormat="1">
      <c r="A830" s="181"/>
      <c r="B830" s="100" t="s">
        <v>152</v>
      </c>
      <c r="C830" s="36"/>
      <c r="D830" s="10"/>
      <c r="E830" s="10"/>
      <c r="F830" s="88"/>
      <c r="G830" s="62"/>
      <c r="H830" s="88"/>
      <c r="I830" s="99"/>
      <c r="J830" s="10"/>
      <c r="K830" s="181"/>
      <c r="L830" s="181"/>
      <c r="M830" s="181"/>
      <c r="N830" s="181"/>
      <c r="O830" s="181"/>
      <c r="P830" s="181"/>
      <c r="Q830" s="181"/>
      <c r="R830" s="181"/>
      <c r="S830" s="181"/>
      <c r="T830" s="63"/>
      <c r="U830" s="10"/>
      <c r="V830" s="90"/>
      <c r="W830" s="91"/>
      <c r="X830" s="92"/>
    </row>
    <row r="831" spans="1:24" s="260" customFormat="1">
      <c r="A831" s="312" t="s">
        <v>194</v>
      </c>
      <c r="B831" s="87">
        <v>1</v>
      </c>
      <c r="C831" s="262">
        <v>45805</v>
      </c>
      <c r="D831" s="357" t="s">
        <v>195</v>
      </c>
      <c r="E831" s="271" t="s">
        <v>196</v>
      </c>
      <c r="F831" s="265">
        <v>2999.1</v>
      </c>
      <c r="G831" s="265">
        <v>39.700000000000003</v>
      </c>
      <c r="H831" s="265">
        <f>F831*0.2</f>
        <v>599.82000000000005</v>
      </c>
      <c r="I831" s="266">
        <f t="shared" ref="I831:I836" si="178">F831-G831-H831</f>
        <v>2359.58</v>
      </c>
      <c r="J831" s="267" t="s">
        <v>197</v>
      </c>
      <c r="K831" s="267">
        <v>1</v>
      </c>
      <c r="L831" s="267">
        <v>1</v>
      </c>
      <c r="M831" s="267">
        <v>1</v>
      </c>
      <c r="N831" s="267">
        <v>1</v>
      </c>
      <c r="O831" s="267">
        <v>1</v>
      </c>
      <c r="P831" s="314">
        <v>0</v>
      </c>
      <c r="Q831" s="314">
        <v>0</v>
      </c>
      <c r="R831" s="314">
        <v>0</v>
      </c>
      <c r="S831" s="366">
        <v>0</v>
      </c>
      <c r="T831" s="63"/>
      <c r="U831" s="10" t="s">
        <v>198</v>
      </c>
      <c r="V831" s="90"/>
      <c r="W831" s="91"/>
      <c r="X831" s="92"/>
    </row>
    <row r="832" spans="1:24" s="260" customFormat="1">
      <c r="A832" s="312" t="s">
        <v>194</v>
      </c>
      <c r="B832" s="87">
        <f>B831+1</f>
        <v>2</v>
      </c>
      <c r="C832" s="262">
        <v>45805</v>
      </c>
      <c r="D832" s="357" t="s">
        <v>199</v>
      </c>
      <c r="E832" s="271" t="s">
        <v>196</v>
      </c>
      <c r="F832" s="265">
        <v>16214</v>
      </c>
      <c r="G832" s="265">
        <f>39.7+44+36.26+(33.82+55.44)+(102.43+254.2+84.43+10.82+125.93)+1500</f>
        <v>2287.0299999999997</v>
      </c>
      <c r="H832" s="265">
        <f>F832*0.2</f>
        <v>3242.8</v>
      </c>
      <c r="I832" s="266">
        <f t="shared" si="178"/>
        <v>10684.170000000002</v>
      </c>
      <c r="J832" s="267" t="s">
        <v>197</v>
      </c>
      <c r="K832" s="267">
        <v>1</v>
      </c>
      <c r="L832" s="267">
        <v>1</v>
      </c>
      <c r="M832" s="267">
        <v>1</v>
      </c>
      <c r="N832" s="267">
        <v>1</v>
      </c>
      <c r="O832" s="267">
        <v>1</v>
      </c>
      <c r="P832" s="314">
        <v>0</v>
      </c>
      <c r="Q832" s="267">
        <v>1</v>
      </c>
      <c r="R832" s="267">
        <v>1</v>
      </c>
      <c r="S832" s="366">
        <v>0</v>
      </c>
      <c r="T832" s="63"/>
      <c r="U832" s="10" t="s">
        <v>200</v>
      </c>
      <c r="V832" s="90"/>
      <c r="W832" s="136"/>
      <c r="X832" s="137"/>
    </row>
    <row r="833" spans="1:24" s="260" customFormat="1">
      <c r="A833" s="261">
        <v>0.05</v>
      </c>
      <c r="B833" s="87">
        <f>B832+1</f>
        <v>3</v>
      </c>
      <c r="C833" s="262">
        <v>45826</v>
      </c>
      <c r="D833" s="263">
        <v>70849</v>
      </c>
      <c r="E833" s="271" t="s">
        <v>189</v>
      </c>
      <c r="F833" s="265">
        <f>1261</f>
        <v>1261</v>
      </c>
      <c r="G833" s="265">
        <v>39.700000000000003</v>
      </c>
      <c r="H833" s="265"/>
      <c r="I833" s="266">
        <f t="shared" si="178"/>
        <v>1221.3</v>
      </c>
      <c r="J833" s="267" t="s">
        <v>156</v>
      </c>
      <c r="K833" s="267">
        <v>1</v>
      </c>
      <c r="L833" s="267">
        <v>1</v>
      </c>
      <c r="M833" s="267">
        <v>1</v>
      </c>
      <c r="N833" s="267">
        <v>1</v>
      </c>
      <c r="O833" s="267">
        <v>1</v>
      </c>
      <c r="P833" s="267">
        <v>1</v>
      </c>
      <c r="Q833" s="314">
        <v>0</v>
      </c>
      <c r="R833" s="314">
        <v>0</v>
      </c>
      <c r="S833" s="366">
        <v>0</v>
      </c>
      <c r="T833" s="63"/>
      <c r="U833" s="10" t="s">
        <v>201</v>
      </c>
      <c r="V833" s="90"/>
      <c r="W833" s="136"/>
      <c r="X833" s="137"/>
    </row>
    <row r="834" spans="1:24" s="260" customFormat="1">
      <c r="A834" s="261">
        <v>0.05</v>
      </c>
      <c r="B834" s="87">
        <f>B833+1</f>
        <v>4</v>
      </c>
      <c r="C834" s="262">
        <v>45834</v>
      </c>
      <c r="D834" s="357" t="s">
        <v>188</v>
      </c>
      <c r="E834" s="271" t="s">
        <v>189</v>
      </c>
      <c r="F834" s="265">
        <f>11553-160.9</f>
        <v>11392.1</v>
      </c>
      <c r="G834" s="265">
        <f>39.7+4500+300</f>
        <v>4839.7</v>
      </c>
      <c r="H834" s="265">
        <f>F834*0.2</f>
        <v>2278.42</v>
      </c>
      <c r="I834" s="266">
        <f t="shared" si="178"/>
        <v>4273.9800000000005</v>
      </c>
      <c r="J834" s="267" t="s">
        <v>185</v>
      </c>
      <c r="K834" s="267">
        <v>1</v>
      </c>
      <c r="L834" s="267">
        <v>1</v>
      </c>
      <c r="M834" s="267">
        <v>1</v>
      </c>
      <c r="N834" s="267">
        <v>1</v>
      </c>
      <c r="O834" s="267">
        <v>1</v>
      </c>
      <c r="P834" s="314">
        <v>0</v>
      </c>
      <c r="Q834" s="314">
        <v>0</v>
      </c>
      <c r="R834" s="314">
        <v>0</v>
      </c>
      <c r="S834" s="366">
        <v>0</v>
      </c>
      <c r="T834" s="63"/>
      <c r="U834" s="10" t="s">
        <v>266</v>
      </c>
      <c r="V834" s="90"/>
      <c r="W834" s="136"/>
      <c r="X834" s="137"/>
    </row>
    <row r="835" spans="1:24" s="342" customFormat="1">
      <c r="A835" s="31">
        <v>0.05</v>
      </c>
      <c r="B835" s="87">
        <f>B834+1</f>
        <v>5</v>
      </c>
      <c r="C835" s="262">
        <v>45838</v>
      </c>
      <c r="D835" s="357" t="s">
        <v>257</v>
      </c>
      <c r="E835" s="264" t="s">
        <v>227</v>
      </c>
      <c r="F835" s="265">
        <v>1261</v>
      </c>
      <c r="G835" s="265">
        <v>39.700000000000003</v>
      </c>
      <c r="H835" s="265"/>
      <c r="I835" s="266">
        <f t="shared" si="178"/>
        <v>1221.3</v>
      </c>
      <c r="J835" s="267" t="s">
        <v>156</v>
      </c>
      <c r="K835" s="267">
        <v>1</v>
      </c>
      <c r="L835" s="267">
        <v>1</v>
      </c>
      <c r="M835" s="267">
        <v>1</v>
      </c>
      <c r="N835" s="267">
        <v>1</v>
      </c>
      <c r="O835" s="267">
        <v>1</v>
      </c>
      <c r="P835" s="314">
        <v>0</v>
      </c>
      <c r="Q835" s="267">
        <v>1</v>
      </c>
      <c r="R835" s="267">
        <v>1</v>
      </c>
      <c r="S835" s="366">
        <v>0</v>
      </c>
      <c r="T835" s="63"/>
      <c r="U835" s="10" t="s">
        <v>504</v>
      </c>
      <c r="V835" s="90"/>
      <c r="W835" s="91"/>
      <c r="X835" s="92"/>
    </row>
    <row r="836" spans="1:24" s="260" customFormat="1">
      <c r="A836" s="261" t="s">
        <v>483</v>
      </c>
      <c r="B836" s="87">
        <f t="shared" ref="B836:B837" si="179">B835+1</f>
        <v>6</v>
      </c>
      <c r="C836" s="274">
        <v>45835</v>
      </c>
      <c r="D836" s="320">
        <v>71077</v>
      </c>
      <c r="E836" s="276" t="s">
        <v>204</v>
      </c>
      <c r="F836" s="277">
        <v>5814</v>
      </c>
      <c r="G836" s="277">
        <f>39.7+(727.51)</f>
        <v>767.21</v>
      </c>
      <c r="H836" s="277"/>
      <c r="I836" s="321">
        <f t="shared" si="178"/>
        <v>5046.79</v>
      </c>
      <c r="J836" s="279" t="s">
        <v>236</v>
      </c>
      <c r="K836" s="279">
        <v>1</v>
      </c>
      <c r="L836" s="279">
        <v>1</v>
      </c>
      <c r="M836" s="279">
        <v>1</v>
      </c>
      <c r="N836" s="279">
        <v>1</v>
      </c>
      <c r="O836" s="279">
        <v>1</v>
      </c>
      <c r="P836" s="322">
        <v>0</v>
      </c>
      <c r="Q836" s="322">
        <v>0</v>
      </c>
      <c r="R836" s="322">
        <v>0</v>
      </c>
      <c r="S836" s="328">
        <v>0</v>
      </c>
      <c r="T836" s="63"/>
      <c r="U836" s="10" t="s">
        <v>484</v>
      </c>
      <c r="V836" s="90"/>
      <c r="W836" s="136"/>
      <c r="X836" s="137"/>
    </row>
    <row r="837" spans="1:24" s="260" customFormat="1">
      <c r="A837" s="261">
        <v>0.05</v>
      </c>
      <c r="B837" s="87">
        <f t="shared" si="179"/>
        <v>7</v>
      </c>
      <c r="C837" s="262">
        <v>45873</v>
      </c>
      <c r="D837" s="263" t="s">
        <v>448</v>
      </c>
      <c r="E837" s="271" t="s">
        <v>245</v>
      </c>
      <c r="F837" s="265">
        <v>16214</v>
      </c>
      <c r="G837" s="265">
        <f>39.7+334+(37.9+110.12+72.67+137.98)+(161.68+232.63)+1500</f>
        <v>2626.68</v>
      </c>
      <c r="H837" s="265"/>
      <c r="I837" s="266">
        <f>F837-G837-H837</f>
        <v>13587.32</v>
      </c>
      <c r="J837" s="267" t="s">
        <v>228</v>
      </c>
      <c r="K837" s="267">
        <v>1</v>
      </c>
      <c r="L837" s="267">
        <v>1</v>
      </c>
      <c r="M837" s="267">
        <v>1</v>
      </c>
      <c r="N837" s="267">
        <v>1</v>
      </c>
      <c r="O837" s="267">
        <v>1</v>
      </c>
      <c r="P837" s="267">
        <v>1</v>
      </c>
      <c r="Q837" s="314">
        <v>0</v>
      </c>
      <c r="R837" s="314">
        <v>0</v>
      </c>
      <c r="S837" s="366">
        <v>0</v>
      </c>
      <c r="T837" s="63"/>
      <c r="U837" s="94" t="s">
        <v>485</v>
      </c>
      <c r="V837" s="90"/>
      <c r="W837" s="136"/>
      <c r="X837" s="137"/>
    </row>
    <row r="838" spans="1:24" s="260" customFormat="1">
      <c r="A838" s="181"/>
      <c r="B838" s="11"/>
      <c r="C838" s="36"/>
      <c r="D838" s="77"/>
      <c r="E838" s="10"/>
      <c r="F838" s="97">
        <f>SUM(F831:F837)</f>
        <v>55155.199999999997</v>
      </c>
      <c r="G838" s="97">
        <f t="shared" ref="G838:I838" si="180">SUM(G831:G837)</f>
        <v>10639.72</v>
      </c>
      <c r="H838" s="97">
        <f t="shared" si="180"/>
        <v>6121.0400000000009</v>
      </c>
      <c r="I838" s="97">
        <f t="shared" si="180"/>
        <v>38394.44</v>
      </c>
      <c r="K838" s="21"/>
      <c r="L838" s="21"/>
      <c r="M838" s="21"/>
      <c r="N838" s="21"/>
      <c r="O838" s="21"/>
      <c r="P838" s="21"/>
      <c r="Q838" s="21"/>
      <c r="R838" s="21"/>
      <c r="S838" s="21"/>
      <c r="T838" s="63"/>
      <c r="U838" s="10"/>
      <c r="V838" s="90"/>
      <c r="W838" s="91"/>
      <c r="X838" s="92"/>
    </row>
    <row r="839" spans="1:24" s="260" customFormat="1">
      <c r="A839" s="181"/>
      <c r="B839" s="11"/>
      <c r="C839" s="36"/>
      <c r="D839" s="77"/>
      <c r="E839" s="10"/>
      <c r="F839" s="88"/>
      <c r="G839" s="88"/>
      <c r="H839" s="88"/>
      <c r="I839" s="99"/>
      <c r="J839" s="63"/>
      <c r="K839" s="21"/>
      <c r="L839" s="21"/>
      <c r="M839" s="21"/>
      <c r="N839" s="21"/>
      <c r="O839" s="21"/>
      <c r="P839" s="21"/>
      <c r="Q839" s="21"/>
      <c r="R839" s="21"/>
      <c r="S839" s="21"/>
      <c r="T839" s="63"/>
      <c r="U839" s="10"/>
      <c r="V839" s="90"/>
      <c r="W839" s="91"/>
      <c r="X839" s="92"/>
    </row>
    <row r="840" spans="1:24" s="260" customFormat="1">
      <c r="A840" s="181"/>
      <c r="B840" s="100" t="s">
        <v>202</v>
      </c>
      <c r="C840" s="299"/>
      <c r="D840" s="77"/>
      <c r="E840" s="181"/>
      <c r="F840" s="88"/>
      <c r="G840" s="88"/>
      <c r="H840" s="88"/>
      <c r="I840" s="99"/>
      <c r="J840" s="63"/>
      <c r="K840" s="21"/>
      <c r="L840" s="21"/>
      <c r="M840" s="21"/>
      <c r="N840" s="21"/>
      <c r="O840" s="21"/>
      <c r="P840" s="21"/>
      <c r="Q840" s="21"/>
      <c r="R840" s="21"/>
      <c r="S840" s="21"/>
      <c r="T840" s="63"/>
      <c r="U840" s="10"/>
      <c r="V840" s="90"/>
      <c r="W840" s="91"/>
      <c r="X840" s="92"/>
    </row>
    <row r="841" spans="1:24" s="260" customFormat="1">
      <c r="A841" s="261">
        <v>0.05</v>
      </c>
      <c r="B841" s="87">
        <v>1</v>
      </c>
      <c r="C841" s="262">
        <v>45847</v>
      </c>
      <c r="D841" s="263">
        <v>71343</v>
      </c>
      <c r="E841" s="271" t="s">
        <v>184</v>
      </c>
      <c r="F841" s="265">
        <v>2814</v>
      </c>
      <c r="G841" s="265">
        <f>39.7+(36.22+222.93)</f>
        <v>298.84999999999997</v>
      </c>
      <c r="H841" s="265"/>
      <c r="I841" s="266">
        <f>F841-G841-H841</f>
        <v>2515.15</v>
      </c>
      <c r="J841" s="267" t="s">
        <v>156</v>
      </c>
      <c r="K841" s="267">
        <v>1</v>
      </c>
      <c r="L841" s="267"/>
      <c r="M841" s="267">
        <v>1</v>
      </c>
      <c r="N841" s="267">
        <v>1</v>
      </c>
      <c r="O841" s="267">
        <v>1</v>
      </c>
      <c r="P841" s="314">
        <v>0</v>
      </c>
      <c r="Q841" s="267"/>
      <c r="R841" s="267"/>
      <c r="S841" s="269"/>
      <c r="T841" s="63"/>
      <c r="U841" s="94" t="s">
        <v>359</v>
      </c>
      <c r="V841" s="90"/>
      <c r="W841" s="136"/>
      <c r="X841" s="137"/>
    </row>
    <row r="842" spans="1:24" s="260" customFormat="1">
      <c r="A842" s="261">
        <v>0.05</v>
      </c>
      <c r="B842" s="87">
        <f>B841+1</f>
        <v>2</v>
      </c>
      <c r="C842" s="262">
        <v>45877</v>
      </c>
      <c r="D842" s="263" t="s">
        <v>450</v>
      </c>
      <c r="E842" s="271" t="s">
        <v>203</v>
      </c>
      <c r="F842" s="265">
        <v>12814</v>
      </c>
      <c r="G842" s="265">
        <f>39.7+169+169+(112.49+76.96+145.18+14.16+69.11-131.35)+(95.68+286.2-8.21+27.54+29.97+79.15+27.04+302.46+51.78+24.62)+1000</f>
        <v>2580.48</v>
      </c>
      <c r="H842" s="265"/>
      <c r="I842" s="272">
        <f>F842-G842-H842</f>
        <v>10233.52</v>
      </c>
      <c r="J842" s="267" t="s">
        <v>228</v>
      </c>
      <c r="K842" s="267">
        <v>1</v>
      </c>
      <c r="L842" s="267"/>
      <c r="M842" s="267">
        <v>1</v>
      </c>
      <c r="N842" s="267">
        <v>1</v>
      </c>
      <c r="O842" s="267">
        <v>1</v>
      </c>
      <c r="P842" s="267">
        <v>1</v>
      </c>
      <c r="Q842" s="267"/>
      <c r="R842" s="267"/>
      <c r="S842" s="269"/>
      <c r="T842" s="63"/>
      <c r="U842" s="94" t="s">
        <v>531</v>
      </c>
      <c r="V842" s="90"/>
      <c r="W842" s="136"/>
      <c r="X842" s="137"/>
    </row>
    <row r="843" spans="1:24" s="260" customFormat="1">
      <c r="A843" s="261">
        <v>0.05</v>
      </c>
      <c r="B843" s="87">
        <f>B842+1</f>
        <v>3</v>
      </c>
      <c r="C843" s="262">
        <v>45881</v>
      </c>
      <c r="D843" s="263" t="s">
        <v>480</v>
      </c>
      <c r="E843" s="309" t="s">
        <v>456</v>
      </c>
      <c r="F843" s="265">
        <v>8614</v>
      </c>
      <c r="G843" s="265">
        <f>39.7+495+(278.1+41.8-83.55)+1500</f>
        <v>2271.0500000000002</v>
      </c>
      <c r="H843" s="265"/>
      <c r="I843" s="272">
        <f t="shared" ref="I843" si="181">F843-G843-H843</f>
        <v>6342.95</v>
      </c>
      <c r="J843" s="267" t="s">
        <v>228</v>
      </c>
      <c r="K843" s="267">
        <v>1</v>
      </c>
      <c r="L843" s="267"/>
      <c r="M843" s="267">
        <v>1</v>
      </c>
      <c r="N843" s="267">
        <v>1</v>
      </c>
      <c r="O843" s="267">
        <v>1</v>
      </c>
      <c r="P843" s="267">
        <v>1</v>
      </c>
      <c r="Q843" s="267"/>
      <c r="R843" s="267"/>
      <c r="S843" s="269"/>
      <c r="T843" s="63"/>
      <c r="U843" s="94" t="s">
        <v>505</v>
      </c>
      <c r="V843" s="90"/>
      <c r="W843" s="136"/>
      <c r="X843" s="137"/>
    </row>
    <row r="844" spans="1:24" s="260" customFormat="1">
      <c r="B844" s="11"/>
      <c r="C844" s="36"/>
      <c r="D844" s="10"/>
      <c r="E844" s="10"/>
      <c r="F844" s="97">
        <f>SUM(F841:F843)</f>
        <v>24242</v>
      </c>
      <c r="G844" s="97">
        <f t="shared" ref="G844:I844" si="182">SUM(G841:G843)</f>
        <v>5150.38</v>
      </c>
      <c r="H844" s="97">
        <f t="shared" si="182"/>
        <v>0</v>
      </c>
      <c r="I844" s="97">
        <f t="shared" si="182"/>
        <v>19091.62</v>
      </c>
      <c r="J844" s="63"/>
      <c r="K844" s="21"/>
      <c r="L844" s="21"/>
      <c r="M844" s="21"/>
      <c r="N844" s="21"/>
      <c r="O844" s="21"/>
      <c r="P844" s="21"/>
      <c r="Q844" s="21"/>
      <c r="R844" s="21"/>
      <c r="S844" s="21"/>
      <c r="T844" s="63"/>
      <c r="U844" s="10"/>
      <c r="V844" s="90"/>
      <c r="W844" s="91"/>
      <c r="X844" s="92"/>
    </row>
    <row r="845" spans="1:24" s="260" customFormat="1">
      <c r="B845" s="11"/>
      <c r="C845" s="36"/>
      <c r="D845" s="10"/>
      <c r="E845" s="10"/>
      <c r="F845" s="88"/>
      <c r="G845" s="88"/>
      <c r="H845" s="88"/>
      <c r="I845" s="88"/>
      <c r="J845" s="63"/>
      <c r="K845" s="21"/>
      <c r="L845" s="21"/>
      <c r="M845" s="21"/>
      <c r="N845" s="21"/>
      <c r="O845" s="21"/>
      <c r="P845" s="21"/>
      <c r="Q845" s="21"/>
      <c r="R845" s="21"/>
      <c r="S845" s="21"/>
      <c r="T845" s="63"/>
      <c r="U845" s="10"/>
      <c r="V845" s="90"/>
      <c r="W845" s="91"/>
      <c r="X845" s="92"/>
    </row>
    <row r="846" spans="1:24">
      <c r="A846" s="2"/>
      <c r="B846" s="100" t="s">
        <v>72</v>
      </c>
      <c r="C846" s="36"/>
      <c r="D846" s="10"/>
      <c r="E846" s="10"/>
      <c r="F846" s="88"/>
      <c r="G846" s="88"/>
      <c r="H846" s="88"/>
      <c r="I846" s="99"/>
      <c r="J846" s="63"/>
      <c r="K846" s="63"/>
      <c r="L846" s="63"/>
      <c r="M846" s="63"/>
      <c r="N846" s="63"/>
      <c r="O846" s="63"/>
      <c r="P846" s="63"/>
      <c r="Q846" s="63"/>
      <c r="R846" s="63"/>
      <c r="S846" s="63"/>
      <c r="T846" s="63"/>
      <c r="U846" s="10"/>
      <c r="V846" s="90"/>
      <c r="W846" s="91"/>
      <c r="X846" s="92"/>
    </row>
    <row r="847" spans="1:24">
      <c r="A847" s="2"/>
      <c r="B847" s="87">
        <v>1</v>
      </c>
      <c r="C847" s="274">
        <v>45896</v>
      </c>
      <c r="D847" s="276">
        <v>72620</v>
      </c>
      <c r="E847" s="276" t="s">
        <v>246</v>
      </c>
      <c r="F847" s="277">
        <v>3355.2</v>
      </c>
      <c r="G847" s="277">
        <v>39.700000000000003</v>
      </c>
      <c r="H847" s="277"/>
      <c r="I847" s="278">
        <f t="shared" ref="I847:I852" si="183">F847-G847-H847</f>
        <v>3315.5</v>
      </c>
      <c r="J847" s="279" t="s">
        <v>205</v>
      </c>
      <c r="K847" s="279">
        <v>1</v>
      </c>
      <c r="L847" s="279"/>
      <c r="M847" s="279"/>
      <c r="N847" s="279">
        <v>1</v>
      </c>
      <c r="O847" s="279"/>
      <c r="P847" s="279"/>
      <c r="Q847" s="279">
        <v>1</v>
      </c>
      <c r="R847" s="279">
        <v>1</v>
      </c>
      <c r="S847" s="280">
        <v>1</v>
      </c>
      <c r="T847" s="63"/>
      <c r="U847" s="3"/>
      <c r="V847" s="90"/>
      <c r="W847" s="91"/>
      <c r="X847" s="92"/>
    </row>
    <row r="848" spans="1:24">
      <c r="A848" s="2"/>
      <c r="B848" s="87">
        <f>B847+1</f>
        <v>2</v>
      </c>
      <c r="C848" s="295">
        <v>45896</v>
      </c>
      <c r="D848" s="10">
        <v>72692</v>
      </c>
      <c r="E848" s="10" t="s">
        <v>370</v>
      </c>
      <c r="F848" s="62">
        <v>616</v>
      </c>
      <c r="G848" s="62">
        <v>0</v>
      </c>
      <c r="H848" s="62"/>
      <c r="I848" s="89">
        <f t="shared" si="183"/>
        <v>616</v>
      </c>
      <c r="J848" s="63" t="s">
        <v>205</v>
      </c>
      <c r="K848" s="63">
        <v>1</v>
      </c>
      <c r="L848" s="63"/>
      <c r="M848" s="63"/>
      <c r="N848" s="63">
        <v>1</v>
      </c>
      <c r="O848" s="63"/>
      <c r="P848" s="63"/>
      <c r="Q848" s="63">
        <v>1</v>
      </c>
      <c r="R848" s="63">
        <v>1</v>
      </c>
      <c r="S848" s="296">
        <v>1</v>
      </c>
      <c r="T848" s="63"/>
      <c r="U848" s="10"/>
      <c r="V848" s="90"/>
      <c r="W848" s="136"/>
      <c r="X848" s="137"/>
    </row>
    <row r="849" spans="1:24">
      <c r="A849" s="2"/>
      <c r="B849" s="87">
        <f t="shared" ref="B849:B852" si="184">B848+1</f>
        <v>3</v>
      </c>
      <c r="C849" s="274">
        <v>45897</v>
      </c>
      <c r="D849" s="509">
        <v>72709</v>
      </c>
      <c r="E849" s="276" t="s">
        <v>292</v>
      </c>
      <c r="F849" s="277">
        <v>5814</v>
      </c>
      <c r="G849" s="277">
        <v>39.700000000000003</v>
      </c>
      <c r="H849" s="277"/>
      <c r="I849" s="278">
        <f t="shared" si="183"/>
        <v>5774.3</v>
      </c>
      <c r="J849" s="279" t="s">
        <v>205</v>
      </c>
      <c r="K849" s="279">
        <v>1</v>
      </c>
      <c r="L849" s="279"/>
      <c r="M849" s="279"/>
      <c r="N849" s="279">
        <v>1</v>
      </c>
      <c r="O849" s="279"/>
      <c r="P849" s="279"/>
      <c r="Q849" s="279"/>
      <c r="R849" s="279"/>
      <c r="S849" s="280"/>
      <c r="T849" s="63"/>
      <c r="U849" s="10"/>
      <c r="V849" s="90"/>
      <c r="W849" s="136"/>
      <c r="X849" s="137"/>
    </row>
    <row r="850" spans="1:24">
      <c r="A850" s="2"/>
      <c r="B850" s="87">
        <f t="shared" si="184"/>
        <v>4</v>
      </c>
      <c r="C850" s="274">
        <v>45898</v>
      </c>
      <c r="D850" s="276">
        <v>72775</v>
      </c>
      <c r="E850" s="276" t="s">
        <v>329</v>
      </c>
      <c r="F850" s="277">
        <v>5442.55</v>
      </c>
      <c r="G850" s="277">
        <v>39.700000000000003</v>
      </c>
      <c r="H850" s="277"/>
      <c r="I850" s="278">
        <f t="shared" si="183"/>
        <v>5402.85</v>
      </c>
      <c r="J850" s="279" t="s">
        <v>205</v>
      </c>
      <c r="K850" s="279">
        <v>1</v>
      </c>
      <c r="L850" s="279"/>
      <c r="M850" s="279"/>
      <c r="N850" s="279">
        <v>1</v>
      </c>
      <c r="O850" s="279"/>
      <c r="P850" s="279"/>
      <c r="Q850" s="279">
        <v>1</v>
      </c>
      <c r="R850" s="279">
        <v>1</v>
      </c>
      <c r="S850" s="280">
        <v>1</v>
      </c>
      <c r="T850" s="63"/>
      <c r="U850" s="10"/>
      <c r="V850" s="90"/>
      <c r="W850" s="136"/>
      <c r="X850" s="137"/>
    </row>
    <row r="851" spans="1:24">
      <c r="A851" s="2"/>
      <c r="B851" s="87">
        <f t="shared" si="184"/>
        <v>5</v>
      </c>
      <c r="C851" s="295">
        <v>45898</v>
      </c>
      <c r="D851" s="10">
        <v>72778</v>
      </c>
      <c r="E851" s="101" t="s">
        <v>444</v>
      </c>
      <c r="F851" s="62">
        <v>5814</v>
      </c>
      <c r="G851" s="62">
        <v>39.700000000000003</v>
      </c>
      <c r="H851" s="62"/>
      <c r="I851" s="89">
        <f t="shared" si="183"/>
        <v>5774.3</v>
      </c>
      <c r="J851" s="63" t="s">
        <v>156</v>
      </c>
      <c r="K851" s="63">
        <v>1</v>
      </c>
      <c r="L851" s="63"/>
      <c r="M851" s="63">
        <v>1</v>
      </c>
      <c r="N851" s="63">
        <v>1</v>
      </c>
      <c r="O851" s="63">
        <v>1</v>
      </c>
      <c r="P851" s="63"/>
      <c r="Q851" s="63"/>
      <c r="R851" s="63"/>
      <c r="S851" s="296"/>
      <c r="T851" s="63"/>
      <c r="U851" s="10"/>
      <c r="V851" s="90">
        <v>93.5</v>
      </c>
      <c r="W851" s="136"/>
      <c r="X851" s="137"/>
    </row>
    <row r="852" spans="1:24">
      <c r="A852" s="2"/>
      <c r="B852" s="87">
        <f t="shared" si="184"/>
        <v>6</v>
      </c>
      <c r="C852" s="282">
        <v>45898</v>
      </c>
      <c r="D852" s="283">
        <v>72784</v>
      </c>
      <c r="E852" s="319" t="s">
        <v>349</v>
      </c>
      <c r="F852" s="284">
        <v>1138</v>
      </c>
      <c r="G852" s="284">
        <v>39.700000000000003</v>
      </c>
      <c r="H852" s="284"/>
      <c r="I852" s="285">
        <f t="shared" si="183"/>
        <v>1098.3</v>
      </c>
      <c r="J852" s="286" t="s">
        <v>205</v>
      </c>
      <c r="K852" s="286">
        <v>1</v>
      </c>
      <c r="L852" s="286"/>
      <c r="M852" s="286"/>
      <c r="N852" s="286">
        <v>1</v>
      </c>
      <c r="O852" s="286"/>
      <c r="P852" s="286"/>
      <c r="Q852" s="286">
        <v>1</v>
      </c>
      <c r="R852" s="286">
        <v>1</v>
      </c>
      <c r="S852" s="287">
        <v>1</v>
      </c>
      <c r="T852" s="63"/>
      <c r="U852" s="10"/>
      <c r="V852" s="90"/>
      <c r="W852" s="136"/>
      <c r="X852" s="137"/>
    </row>
    <row r="853" spans="1:24">
      <c r="A853" s="2"/>
      <c r="B853" s="11"/>
      <c r="C853" s="36"/>
      <c r="D853" s="10"/>
      <c r="E853" s="10"/>
      <c r="F853" s="97">
        <f>SUM(F847:F852)</f>
        <v>22179.75</v>
      </c>
      <c r="G853" s="97">
        <f>SUM(G847:G852)</f>
        <v>198.5</v>
      </c>
      <c r="H853" s="97">
        <f>SUM(H847:H852)</f>
        <v>0</v>
      </c>
      <c r="I853" s="98">
        <f>SUM(I847:I852)</f>
        <v>21981.25</v>
      </c>
      <c r="J853" s="10"/>
      <c r="K853" s="10"/>
      <c r="L853" s="10"/>
      <c r="M853" s="10"/>
      <c r="N853" s="10"/>
      <c r="O853" s="10"/>
      <c r="P853" s="10"/>
      <c r="Q853" s="10"/>
      <c r="R853" s="10"/>
      <c r="S853" s="10"/>
      <c r="T853" s="63"/>
      <c r="U853" s="10"/>
      <c r="V853" s="138"/>
      <c r="W853" s="136"/>
      <c r="X853" s="137"/>
    </row>
    <row r="854" spans="1:24">
      <c r="A854" s="2"/>
      <c r="B854" s="26"/>
      <c r="C854" s="140"/>
      <c r="D854" s="141"/>
      <c r="E854" s="141"/>
      <c r="F854" s="141"/>
      <c r="G854" s="141"/>
      <c r="H854" s="141"/>
      <c r="I854" s="141"/>
      <c r="J854" s="141"/>
      <c r="K854" s="142"/>
      <c r="L854" s="142"/>
      <c r="M854" s="142"/>
      <c r="N854" s="142"/>
      <c r="O854" s="142"/>
      <c r="P854" s="142"/>
      <c r="Q854" s="142"/>
      <c r="R854" s="142"/>
      <c r="S854" s="142"/>
      <c r="T854" s="143">
        <f>SUM(T816:T853)</f>
        <v>4</v>
      </c>
      <c r="U854" s="141"/>
      <c r="V854" s="144">
        <f>SUM(V816:V853)</f>
        <v>19786.099999999999</v>
      </c>
      <c r="W854" s="144">
        <f>SUM(W816:W853)</f>
        <v>0</v>
      </c>
      <c r="X854" s="144">
        <f>SUM(X816:X853)</f>
        <v>0</v>
      </c>
    </row>
    <row r="857" spans="1:24">
      <c r="B857" s="4" t="s">
        <v>1</v>
      </c>
      <c r="C857" s="5"/>
      <c r="D857" s="6"/>
      <c r="E857" s="6"/>
      <c r="F857" s="7" t="s">
        <v>2</v>
      </c>
      <c r="G857" s="608">
        <v>45907</v>
      </c>
      <c r="H857" s="7"/>
      <c r="I857" s="6"/>
      <c r="J857" s="6"/>
      <c r="K857" s="6"/>
      <c r="L857" s="6"/>
      <c r="M857" s="6"/>
      <c r="N857" s="6"/>
      <c r="O857" s="6"/>
      <c r="P857" s="6"/>
      <c r="Q857" s="6"/>
      <c r="R857" s="6"/>
      <c r="S857" s="6"/>
      <c r="T857" s="6"/>
      <c r="U857" s="9"/>
      <c r="V857" s="10"/>
      <c r="W857" s="10"/>
      <c r="X857" s="10"/>
    </row>
    <row r="858" spans="1:24">
      <c r="B858" s="11"/>
      <c r="C858" s="10"/>
      <c r="D858" s="10"/>
      <c r="E858" s="10"/>
      <c r="F858" s="10"/>
      <c r="G858" s="7"/>
      <c r="H858" s="12"/>
      <c r="I858" s="10"/>
      <c r="J858" s="10"/>
      <c r="K858" s="13" t="s">
        <v>3</v>
      </c>
      <c r="L858" s="14"/>
      <c r="M858" s="15"/>
      <c r="N858" s="13" t="s">
        <v>4</v>
      </c>
      <c r="O858" s="14"/>
      <c r="P858" s="15"/>
      <c r="Q858" s="13" t="s">
        <v>5</v>
      </c>
      <c r="R858" s="14"/>
      <c r="S858" s="15"/>
      <c r="T858" s="16"/>
      <c r="U858" s="17"/>
      <c r="V858" s="10"/>
      <c r="W858" s="10"/>
      <c r="X858" s="10"/>
    </row>
    <row r="859" spans="1:24">
      <c r="B859" s="18" t="s">
        <v>6</v>
      </c>
      <c r="C859" s="19">
        <f>C860+C861</f>
        <v>27</v>
      </c>
      <c r="D859" s="10"/>
      <c r="E859" s="18" t="s">
        <v>7</v>
      </c>
      <c r="F859" s="6"/>
      <c r="G859" s="9"/>
      <c r="H859" s="10"/>
      <c r="I859" s="10"/>
      <c r="J859" s="10"/>
      <c r="K859" s="20" t="s">
        <v>8</v>
      </c>
      <c r="L859" s="21" t="s">
        <v>9</v>
      </c>
      <c r="M859" s="21" t="s">
        <v>10</v>
      </c>
      <c r="N859" s="20" t="s">
        <v>11</v>
      </c>
      <c r="O859" s="21" t="s">
        <v>12</v>
      </c>
      <c r="P859" s="22" t="s">
        <v>13</v>
      </c>
      <c r="Q859" s="21" t="s">
        <v>11</v>
      </c>
      <c r="R859" s="21" t="s">
        <v>12</v>
      </c>
      <c r="S859" s="22" t="s">
        <v>13</v>
      </c>
      <c r="T859" s="23" t="s">
        <v>14</v>
      </c>
      <c r="U859" s="17"/>
      <c r="V859" s="10"/>
      <c r="W859" s="10"/>
      <c r="X859" s="10"/>
    </row>
    <row r="860" spans="1:24">
      <c r="B860" s="24" t="s">
        <v>15</v>
      </c>
      <c r="C860" s="25">
        <f>P867</f>
        <v>14</v>
      </c>
      <c r="D860" s="10"/>
      <c r="E860" s="26" t="s">
        <v>16</v>
      </c>
      <c r="F860" s="27">
        <v>0.05</v>
      </c>
      <c r="G860" s="28"/>
      <c r="H860" s="10"/>
      <c r="I860" s="10"/>
      <c r="J860" s="18" t="s">
        <v>17</v>
      </c>
      <c r="K860" s="29">
        <f>K898</f>
        <v>13</v>
      </c>
      <c r="L860" s="29">
        <f t="shared" ref="L860:S860" si="185">L898</f>
        <v>13</v>
      </c>
      <c r="M860" s="29">
        <f t="shared" si="185"/>
        <v>12</v>
      </c>
      <c r="N860" s="29">
        <f t="shared" si="185"/>
        <v>13</v>
      </c>
      <c r="O860" s="29">
        <f t="shared" si="185"/>
        <v>13</v>
      </c>
      <c r="P860" s="29">
        <f t="shared" si="185"/>
        <v>11</v>
      </c>
      <c r="Q860" s="29">
        <f t="shared" si="185"/>
        <v>13</v>
      </c>
      <c r="R860" s="29">
        <f t="shared" si="185"/>
        <v>13</v>
      </c>
      <c r="S860" s="29">
        <f t="shared" si="185"/>
        <v>13</v>
      </c>
      <c r="T860" s="30">
        <f>T941</f>
        <v>11</v>
      </c>
      <c r="U860" s="17" t="s">
        <v>532</v>
      </c>
      <c r="V860" s="10"/>
      <c r="W860" s="10"/>
      <c r="X860" s="10"/>
    </row>
    <row r="861" spans="1:24">
      <c r="B861" s="24" t="s">
        <v>18</v>
      </c>
      <c r="C861" s="25">
        <f>P868</f>
        <v>13</v>
      </c>
      <c r="D861" s="10"/>
      <c r="E861" s="10"/>
      <c r="F861" s="10"/>
      <c r="G861" s="31"/>
      <c r="H861" s="10"/>
      <c r="I861" s="10"/>
      <c r="J861" s="32" t="s">
        <v>19</v>
      </c>
      <c r="K861" s="33">
        <f>K898/K897</f>
        <v>1</v>
      </c>
      <c r="L861" s="33">
        <f t="shared" ref="L861:S861" si="186">L898/L897</f>
        <v>1</v>
      </c>
      <c r="M861" s="33">
        <f t="shared" si="186"/>
        <v>0.92307692307692313</v>
      </c>
      <c r="N861" s="33">
        <f t="shared" si="186"/>
        <v>1</v>
      </c>
      <c r="O861" s="33">
        <f t="shared" si="186"/>
        <v>1</v>
      </c>
      <c r="P861" s="33">
        <f t="shared" si="186"/>
        <v>0.84615384615384615</v>
      </c>
      <c r="Q861" s="33">
        <f t="shared" si="186"/>
        <v>1</v>
      </c>
      <c r="R861" s="33">
        <f t="shared" si="186"/>
        <v>1</v>
      </c>
      <c r="S861" s="33">
        <f t="shared" si="186"/>
        <v>1</v>
      </c>
      <c r="T861" s="23"/>
      <c r="U861" s="17" t="s">
        <v>20</v>
      </c>
      <c r="V861" s="10"/>
      <c r="W861" s="10"/>
      <c r="X861" s="10"/>
    </row>
    <row r="862" spans="1:24">
      <c r="B862" s="24" t="s">
        <v>21</v>
      </c>
      <c r="C862" s="34">
        <f>P869</f>
        <v>0.51851851851851849</v>
      </c>
      <c r="D862" s="10"/>
      <c r="E862" s="10"/>
      <c r="F862" s="10"/>
      <c r="G862" s="10"/>
      <c r="H862" s="10"/>
      <c r="I862" s="10"/>
      <c r="J862" s="10"/>
      <c r="K862" s="10"/>
      <c r="L862" s="10"/>
      <c r="M862" s="10"/>
      <c r="N862" s="10"/>
      <c r="O862" s="10"/>
      <c r="P862" s="10"/>
      <c r="Q862" s="10"/>
      <c r="R862" s="10"/>
      <c r="S862" s="10"/>
      <c r="T862" s="10"/>
      <c r="U862" s="17"/>
      <c r="V862" s="10"/>
      <c r="W862" s="10"/>
      <c r="X862" s="10"/>
    </row>
    <row r="863" spans="1:24">
      <c r="B863" s="24"/>
      <c r="C863" s="25"/>
      <c r="D863" s="10"/>
      <c r="E863" s="10"/>
      <c r="F863" s="18" t="s">
        <v>22</v>
      </c>
      <c r="G863" s="19" t="s">
        <v>23</v>
      </c>
      <c r="H863" s="35" t="s">
        <v>24</v>
      </c>
      <c r="I863" s="10"/>
      <c r="J863" s="10"/>
      <c r="K863" s="36"/>
      <c r="L863" s="36"/>
      <c r="M863" s="36"/>
      <c r="N863" s="36"/>
      <c r="O863" s="36"/>
      <c r="P863" s="36"/>
      <c r="Q863" s="36"/>
      <c r="R863" s="10"/>
      <c r="S863" s="10"/>
      <c r="T863" s="10"/>
      <c r="U863" s="17"/>
      <c r="V863" s="10"/>
      <c r="W863" s="10"/>
      <c r="X863" s="10"/>
    </row>
    <row r="864" spans="1:24">
      <c r="B864" s="32" t="s">
        <v>25</v>
      </c>
      <c r="C864" s="37">
        <f>P870</f>
        <v>1454.1171428571429</v>
      </c>
      <c r="D864" s="10"/>
      <c r="E864" s="18" t="s">
        <v>26</v>
      </c>
      <c r="F864" s="38">
        <f>P866</f>
        <v>20357.64</v>
      </c>
      <c r="G864" s="39">
        <f>I897+I902+I906</f>
        <v>21038.639999999999</v>
      </c>
      <c r="H864" s="40"/>
      <c r="I864" s="41"/>
      <c r="J864" s="42"/>
      <c r="K864" s="43" t="s">
        <v>27</v>
      </c>
      <c r="L864" s="44"/>
      <c r="M864" s="44"/>
      <c r="N864" s="44"/>
      <c r="O864" s="44"/>
      <c r="P864" s="44"/>
      <c r="Q864" s="45"/>
      <c r="R864" s="46" t="s">
        <v>28</v>
      </c>
      <c r="S864" s="47" t="s">
        <v>29</v>
      </c>
      <c r="T864" s="10"/>
      <c r="U864" s="17"/>
      <c r="V864" s="10"/>
      <c r="W864" s="10"/>
      <c r="X864" s="10"/>
    </row>
    <row r="865" spans="2:24">
      <c r="B865" s="11"/>
      <c r="C865" s="10"/>
      <c r="D865" s="10"/>
      <c r="E865" s="24" t="s">
        <v>30</v>
      </c>
      <c r="F865" s="48">
        <f>F860</f>
        <v>0.05</v>
      </c>
      <c r="G865" s="17"/>
      <c r="H865" s="40"/>
      <c r="I865" s="41"/>
      <c r="J865" s="42"/>
      <c r="K865" s="20" t="s">
        <v>31</v>
      </c>
      <c r="L865" s="21" t="s">
        <v>32</v>
      </c>
      <c r="M865" s="21" t="s">
        <v>33</v>
      </c>
      <c r="N865" s="21" t="s">
        <v>34</v>
      </c>
      <c r="O865" s="21" t="s">
        <v>35</v>
      </c>
      <c r="P865" s="21" t="s">
        <v>36</v>
      </c>
      <c r="Q865" s="49" t="s">
        <v>37</v>
      </c>
      <c r="R865" s="50" t="s">
        <v>38</v>
      </c>
      <c r="S865" s="50" t="s">
        <v>38</v>
      </c>
      <c r="T865" s="10"/>
      <c r="U865" s="17"/>
      <c r="V865" s="10"/>
      <c r="W865" s="10"/>
      <c r="X865" s="10"/>
    </row>
    <row r="866" spans="2:24">
      <c r="B866" s="11"/>
      <c r="C866" s="10"/>
      <c r="D866" s="10"/>
      <c r="E866" s="51" t="s">
        <v>39</v>
      </c>
      <c r="F866" s="52">
        <f>(F864+F875+F876+F877-I901-I905)*F865</f>
        <v>757.923</v>
      </c>
      <c r="G866" s="53" t="s">
        <v>40</v>
      </c>
      <c r="H866" s="54">
        <f>F866/1.12</f>
        <v>676.7169642857142</v>
      </c>
      <c r="I866" s="55"/>
      <c r="J866" s="42"/>
      <c r="K866" s="56">
        <f>I884</f>
        <v>1044.27</v>
      </c>
      <c r="L866" s="57">
        <f>I885+I886</f>
        <v>1787.6</v>
      </c>
      <c r="M866" s="57">
        <f>I887+I888+I889</f>
        <v>6662.8</v>
      </c>
      <c r="N866" s="57">
        <f>I890+I892+I901+I905</f>
        <v>6545.05</v>
      </c>
      <c r="O866" s="57">
        <f>I893+I894+I895+I896</f>
        <v>4317.92</v>
      </c>
      <c r="P866" s="57">
        <f>SUM(K866:O866)</f>
        <v>20357.64</v>
      </c>
      <c r="Q866" s="58">
        <v>0</v>
      </c>
      <c r="R866" s="59">
        <f>I902+I906</f>
        <v>4800.04</v>
      </c>
      <c r="S866" s="59">
        <v>0</v>
      </c>
      <c r="T866" s="10"/>
      <c r="U866" s="17"/>
      <c r="V866" s="10"/>
      <c r="W866" s="10"/>
      <c r="X866" s="10"/>
    </row>
    <row r="867" spans="2:24">
      <c r="B867" s="11"/>
      <c r="C867" s="10"/>
      <c r="D867" s="10"/>
      <c r="E867" s="24" t="s">
        <v>41</v>
      </c>
      <c r="F867" s="60">
        <f>Q866</f>
        <v>0</v>
      </c>
      <c r="G867" s="61" t="s">
        <v>40</v>
      </c>
      <c r="H867" s="62"/>
      <c r="I867" s="62"/>
      <c r="J867" s="10" t="s">
        <v>42</v>
      </c>
      <c r="K867" s="63">
        <v>1</v>
      </c>
      <c r="L867" s="63">
        <v>2</v>
      </c>
      <c r="M867" s="63">
        <v>3</v>
      </c>
      <c r="N867" s="63">
        <v>4</v>
      </c>
      <c r="O867" s="63">
        <v>4</v>
      </c>
      <c r="P867" s="21">
        <f>SUM(K867:O867)</f>
        <v>14</v>
      </c>
      <c r="Q867" s="64"/>
      <c r="R867" s="63"/>
      <c r="S867" s="10"/>
      <c r="T867" s="10"/>
      <c r="U867" s="17"/>
      <c r="V867" s="10"/>
      <c r="W867" s="10"/>
      <c r="X867" s="10"/>
    </row>
    <row r="868" spans="2:24">
      <c r="B868" s="11"/>
      <c r="C868" s="10"/>
      <c r="D868" s="10"/>
      <c r="E868" s="51" t="s">
        <v>43</v>
      </c>
      <c r="F868" s="52">
        <f>F867*0.25</f>
        <v>0</v>
      </c>
      <c r="G868" s="53" t="s">
        <v>40</v>
      </c>
      <c r="H868" s="54">
        <f>F868/1.12</f>
        <v>0</v>
      </c>
      <c r="I868" s="10"/>
      <c r="J868" s="10" t="s">
        <v>44</v>
      </c>
      <c r="K868" s="63">
        <v>5</v>
      </c>
      <c r="L868" s="63">
        <v>1</v>
      </c>
      <c r="M868" s="63">
        <v>1</v>
      </c>
      <c r="N868" s="63">
        <v>3</v>
      </c>
      <c r="O868" s="63">
        <v>3</v>
      </c>
      <c r="P868" s="21">
        <f>SUM(K868:O868)</f>
        <v>13</v>
      </c>
      <c r="Q868" s="64"/>
      <c r="R868" s="63"/>
      <c r="S868" s="10"/>
      <c r="T868" s="10"/>
      <c r="U868" s="17"/>
      <c r="V868" s="10"/>
      <c r="W868" s="10"/>
      <c r="X868" s="10"/>
    </row>
    <row r="869" spans="2:24">
      <c r="B869" s="11"/>
      <c r="C869" s="10"/>
      <c r="D869" s="10"/>
      <c r="E869" s="24" t="s">
        <v>45</v>
      </c>
      <c r="F869" s="60"/>
      <c r="G869" s="61" t="s">
        <v>40</v>
      </c>
      <c r="H869" s="62"/>
      <c r="I869" s="10"/>
      <c r="J869" s="10" t="s">
        <v>46</v>
      </c>
      <c r="K869" s="31">
        <f t="shared" ref="K869:Q869" si="187">K867/(K867+K868)</f>
        <v>0.16666666666666666</v>
      </c>
      <c r="L869" s="31">
        <f t="shared" si="187"/>
        <v>0.66666666666666663</v>
      </c>
      <c r="M869" s="31">
        <f t="shared" si="187"/>
        <v>0.75</v>
      </c>
      <c r="N869" s="31">
        <f t="shared" si="187"/>
        <v>0.5714285714285714</v>
      </c>
      <c r="O869" s="31">
        <f t="shared" si="187"/>
        <v>0.5714285714285714</v>
      </c>
      <c r="P869" s="31">
        <f t="shared" si="187"/>
        <v>0.51851851851851849</v>
      </c>
      <c r="Q869" s="31" t="e">
        <f t="shared" si="187"/>
        <v>#DIV/0!</v>
      </c>
      <c r="R869" s="63"/>
      <c r="S869" s="10"/>
      <c r="T869" s="10"/>
      <c r="U869" s="17"/>
      <c r="V869" s="10"/>
      <c r="W869" s="10"/>
      <c r="X869" s="10"/>
    </row>
    <row r="870" spans="2:24">
      <c r="B870" s="11"/>
      <c r="C870" s="10"/>
      <c r="D870" s="10"/>
      <c r="E870" s="51" t="s">
        <v>47</v>
      </c>
      <c r="F870" s="52">
        <f>F869*0.05</f>
        <v>0</v>
      </c>
      <c r="G870" s="65" t="s">
        <v>40</v>
      </c>
      <c r="H870" s="54">
        <f>F870/1.12</f>
        <v>0</v>
      </c>
      <c r="I870" s="42"/>
      <c r="J870" s="10" t="s">
        <v>48</v>
      </c>
      <c r="K870" s="66">
        <f>K866/K867</f>
        <v>1044.27</v>
      </c>
      <c r="L870" s="66">
        <f t="shared" ref="L870:Q870" si="188">L866/L867</f>
        <v>893.8</v>
      </c>
      <c r="M870" s="66">
        <f t="shared" si="188"/>
        <v>2220.9333333333334</v>
      </c>
      <c r="N870" s="66">
        <f t="shared" si="188"/>
        <v>1636.2625</v>
      </c>
      <c r="O870" s="66">
        <f t="shared" si="188"/>
        <v>1079.48</v>
      </c>
      <c r="P870" s="66">
        <f t="shared" si="188"/>
        <v>1454.1171428571429</v>
      </c>
      <c r="Q870" s="66" t="e">
        <f t="shared" si="188"/>
        <v>#DIV/0!</v>
      </c>
      <c r="R870" s="63"/>
      <c r="S870" s="10"/>
      <c r="T870" s="10"/>
      <c r="U870" s="17"/>
      <c r="V870" s="10"/>
      <c r="W870" s="10"/>
      <c r="X870" s="10"/>
    </row>
    <row r="871" spans="2:24">
      <c r="B871" s="11"/>
      <c r="C871" s="10"/>
      <c r="D871" s="10"/>
      <c r="E871" s="67" t="s">
        <v>14</v>
      </c>
      <c r="F871" s="68">
        <f>50*1/2+8*50</f>
        <v>425</v>
      </c>
      <c r="G871" s="10"/>
      <c r="H871" s="54">
        <f>F871/1.12</f>
        <v>379.46428571428567</v>
      </c>
      <c r="I871" s="10"/>
      <c r="J871" s="10"/>
      <c r="K871" s="10"/>
      <c r="L871" s="10"/>
      <c r="M871" s="10"/>
      <c r="N871" s="10"/>
      <c r="O871" s="10"/>
      <c r="P871" s="10"/>
      <c r="Q871" s="10"/>
      <c r="R871" s="10"/>
      <c r="S871" s="10"/>
      <c r="T871" s="10"/>
      <c r="U871" s="17"/>
      <c r="V871" s="10"/>
      <c r="W871" s="10"/>
      <c r="X871" s="10"/>
    </row>
    <row r="872" spans="2:24">
      <c r="B872" s="11"/>
      <c r="C872" s="10"/>
      <c r="D872" s="10"/>
      <c r="E872" s="67" t="s">
        <v>49</v>
      </c>
      <c r="F872" s="69">
        <f>T861</f>
        <v>0</v>
      </c>
      <c r="G872" s="10"/>
      <c r="H872" s="54"/>
      <c r="I872" s="55"/>
      <c r="J872" s="42"/>
      <c r="K872" s="764" t="s">
        <v>50</v>
      </c>
      <c r="L872" s="765"/>
      <c r="M872" s="765"/>
      <c r="N872" s="765"/>
      <c r="O872" s="765"/>
      <c r="P872" s="765"/>
      <c r="Q872" s="766"/>
      <c r="R872" s="70" t="s">
        <v>28</v>
      </c>
      <c r="S872" s="71" t="s">
        <v>29</v>
      </c>
      <c r="T872" s="10"/>
      <c r="U872" s="17"/>
      <c r="V872" s="10"/>
      <c r="W872" s="10"/>
      <c r="X872" s="10"/>
    </row>
    <row r="873" spans="2:24">
      <c r="B873" s="11"/>
      <c r="C873" s="10"/>
      <c r="D873" s="10"/>
      <c r="E873" s="67" t="s">
        <v>533</v>
      </c>
      <c r="F873" s="68">
        <f>$F$539</f>
        <v>1042.92</v>
      </c>
      <c r="G873" s="123"/>
      <c r="H873" s="54">
        <f>F873/1.12</f>
        <v>931.17857142857144</v>
      </c>
      <c r="I873" s="10"/>
      <c r="J873" s="42"/>
      <c r="K873" s="20" t="s">
        <v>31</v>
      </c>
      <c r="L873" s="21" t="s">
        <v>32</v>
      </c>
      <c r="M873" s="21" t="s">
        <v>33</v>
      </c>
      <c r="N873" s="21" t="s">
        <v>34</v>
      </c>
      <c r="O873" s="21" t="s">
        <v>35</v>
      </c>
      <c r="P873" s="21" t="s">
        <v>36</v>
      </c>
      <c r="Q873" s="49" t="s">
        <v>37</v>
      </c>
      <c r="R873" s="50" t="s">
        <v>38</v>
      </c>
      <c r="S873" s="50" t="s">
        <v>38</v>
      </c>
      <c r="T873" s="10"/>
      <c r="U873" s="17"/>
      <c r="V873" s="10"/>
      <c r="W873" s="10"/>
      <c r="X873" s="10"/>
    </row>
    <row r="874" spans="2:24">
      <c r="B874" s="11"/>
      <c r="C874" s="10"/>
      <c r="D874" s="10"/>
      <c r="E874" s="155" t="s">
        <v>534</v>
      </c>
      <c r="F874" s="156">
        <f>$F$638</f>
        <v>648.92049999999983</v>
      </c>
      <c r="G874" s="123"/>
      <c r="H874" s="54">
        <f>F874/1.12</f>
        <v>579.39330357142842</v>
      </c>
      <c r="I874" s="10"/>
      <c r="J874" s="42"/>
      <c r="K874" s="56">
        <f>F884</f>
        <v>1134.9000000000001</v>
      </c>
      <c r="L874" s="57">
        <f>F885+F886</f>
        <v>1867</v>
      </c>
      <c r="M874" s="57">
        <f>F887+F888+F889</f>
        <v>7281.9</v>
      </c>
      <c r="N874" s="57">
        <f>F890+F892+F901+F905</f>
        <v>8109.9</v>
      </c>
      <c r="O874" s="57">
        <f>F893+F894+F895+F896</f>
        <v>4695.8999999999996</v>
      </c>
      <c r="P874" s="57">
        <f>SUM(K874:O874)</f>
        <v>23089.599999999999</v>
      </c>
      <c r="Q874" s="58">
        <v>0</v>
      </c>
      <c r="R874" s="59">
        <f>F902+F906</f>
        <v>6214</v>
      </c>
      <c r="S874" s="59">
        <v>0</v>
      </c>
      <c r="T874" s="10"/>
      <c r="U874" s="17"/>
      <c r="V874" s="10"/>
      <c r="W874" s="10"/>
      <c r="X874" s="10"/>
    </row>
    <row r="875" spans="2:24">
      <c r="B875" s="11"/>
      <c r="C875" s="10"/>
      <c r="D875" s="10"/>
      <c r="E875" s="72" t="s">
        <v>535</v>
      </c>
      <c r="F875" s="73">
        <v>-80.400000000000006</v>
      </c>
      <c r="G875" s="10"/>
      <c r="H875" s="10"/>
      <c r="I875" s="10"/>
      <c r="J875" s="10" t="s">
        <v>42</v>
      </c>
      <c r="K875" s="63">
        <f>K867</f>
        <v>1</v>
      </c>
      <c r="L875" s="63">
        <f t="shared" ref="L875:Q876" si="189">L867</f>
        <v>2</v>
      </c>
      <c r="M875" s="63">
        <f t="shared" si="189"/>
        <v>3</v>
      </c>
      <c r="N875" s="63">
        <f t="shared" si="189"/>
        <v>4</v>
      </c>
      <c r="O875" s="63">
        <f t="shared" si="189"/>
        <v>4</v>
      </c>
      <c r="P875" s="63">
        <f t="shared" si="189"/>
        <v>14</v>
      </c>
      <c r="Q875" s="63">
        <f t="shared" si="189"/>
        <v>0</v>
      </c>
      <c r="R875" s="63"/>
      <c r="S875" s="10"/>
      <c r="T875" s="10"/>
      <c r="U875" s="17"/>
      <c r="V875" s="10"/>
      <c r="W875" s="10"/>
      <c r="X875" s="10"/>
    </row>
    <row r="876" spans="2:24">
      <c r="B876" s="11"/>
      <c r="C876" s="10"/>
      <c r="D876" s="10"/>
      <c r="E876" s="72" t="s">
        <v>536</v>
      </c>
      <c r="F876" s="73">
        <v>-100.6</v>
      </c>
      <c r="G876" s="10"/>
      <c r="H876" s="10"/>
      <c r="I876" s="10"/>
      <c r="J876" s="10" t="s">
        <v>44</v>
      </c>
      <c r="K876" s="63">
        <f>K868</f>
        <v>5</v>
      </c>
      <c r="L876" s="63">
        <f t="shared" si="189"/>
        <v>1</v>
      </c>
      <c r="M876" s="63">
        <f t="shared" si="189"/>
        <v>1</v>
      </c>
      <c r="N876" s="63">
        <f t="shared" si="189"/>
        <v>3</v>
      </c>
      <c r="O876" s="63">
        <f t="shared" si="189"/>
        <v>3</v>
      </c>
      <c r="P876" s="63">
        <f t="shared" si="189"/>
        <v>13</v>
      </c>
      <c r="Q876" s="63">
        <f t="shared" si="189"/>
        <v>0</v>
      </c>
      <c r="R876" s="63"/>
      <c r="S876" s="10"/>
      <c r="T876" s="10"/>
      <c r="U876" s="17"/>
      <c r="V876" s="10"/>
      <c r="W876" s="10"/>
      <c r="X876" s="10"/>
    </row>
    <row r="877" spans="2:24">
      <c r="B877" s="11"/>
      <c r="C877" s="10"/>
      <c r="D877" s="10"/>
      <c r="E877" s="74" t="s">
        <v>537</v>
      </c>
      <c r="F877" s="75">
        <v>-218.14</v>
      </c>
      <c r="G877" s="10"/>
      <c r="H877" s="10"/>
      <c r="I877" s="10"/>
      <c r="J877" s="10" t="s">
        <v>46</v>
      </c>
      <c r="K877" s="31">
        <f t="shared" ref="K877:Q877" si="190">K875/(K875+K876)</f>
        <v>0.16666666666666666</v>
      </c>
      <c r="L877" s="31">
        <f t="shared" si="190"/>
        <v>0.66666666666666663</v>
      </c>
      <c r="M877" s="31">
        <f t="shared" si="190"/>
        <v>0.75</v>
      </c>
      <c r="N877" s="31">
        <f t="shared" si="190"/>
        <v>0.5714285714285714</v>
      </c>
      <c r="O877" s="31">
        <f t="shared" si="190"/>
        <v>0.5714285714285714</v>
      </c>
      <c r="P877" s="31">
        <f t="shared" si="190"/>
        <v>0.51851851851851849</v>
      </c>
      <c r="Q877" s="31" t="e">
        <f t="shared" si="190"/>
        <v>#DIV/0!</v>
      </c>
      <c r="R877" s="63"/>
      <c r="S877" s="10"/>
      <c r="T877" s="10"/>
      <c r="U877" s="17"/>
      <c r="V877" s="10"/>
      <c r="W877" s="10"/>
      <c r="X877" s="10"/>
    </row>
    <row r="878" spans="2:24">
      <c r="B878" s="11"/>
      <c r="C878" s="10"/>
      <c r="D878" s="10"/>
      <c r="E878" s="10"/>
      <c r="F878" s="10"/>
      <c r="G878" s="10"/>
      <c r="H878" s="10"/>
      <c r="I878" s="10"/>
      <c r="J878" s="10" t="s">
        <v>48</v>
      </c>
      <c r="K878" s="66">
        <f t="shared" ref="K878:Q878" si="191">K874/K875</f>
        <v>1134.9000000000001</v>
      </c>
      <c r="L878" s="66">
        <f t="shared" si="191"/>
        <v>933.5</v>
      </c>
      <c r="M878" s="66">
        <f t="shared" si="191"/>
        <v>2427.2999999999997</v>
      </c>
      <c r="N878" s="66">
        <f t="shared" si="191"/>
        <v>2027.4749999999999</v>
      </c>
      <c r="O878" s="66">
        <f t="shared" si="191"/>
        <v>1173.9749999999999</v>
      </c>
      <c r="P878" s="66">
        <f t="shared" si="191"/>
        <v>1649.2571428571428</v>
      </c>
      <c r="Q878" s="66" t="e">
        <f t="shared" si="191"/>
        <v>#DIV/0!</v>
      </c>
      <c r="R878" s="63"/>
      <c r="S878" s="10"/>
      <c r="T878" s="10"/>
      <c r="U878" s="17"/>
      <c r="V878" s="10"/>
      <c r="W878" s="10"/>
      <c r="X878" s="10"/>
    </row>
    <row r="879" spans="2:24">
      <c r="B879" s="11"/>
      <c r="C879" s="10"/>
      <c r="D879" s="10"/>
      <c r="E879" s="10"/>
      <c r="F879" s="10"/>
      <c r="G879" s="10"/>
      <c r="H879" s="10"/>
      <c r="I879" s="10"/>
      <c r="J879" s="10"/>
      <c r="K879" s="10"/>
      <c r="L879" s="10"/>
      <c r="M879" s="10"/>
      <c r="N879" s="10"/>
      <c r="O879" s="10"/>
      <c r="P879" s="10"/>
      <c r="Q879" s="10"/>
      <c r="R879" s="10"/>
      <c r="S879" s="10"/>
      <c r="T879" s="10"/>
      <c r="U879" s="17"/>
      <c r="V879" s="10"/>
      <c r="W879" s="10"/>
      <c r="X879" s="10"/>
    </row>
    <row r="880" spans="2:24">
      <c r="B880" s="11"/>
      <c r="C880" s="10"/>
      <c r="D880" s="10"/>
      <c r="E880" s="10"/>
      <c r="F880" s="10"/>
      <c r="G880" s="10"/>
      <c r="H880" s="10"/>
      <c r="I880" s="10"/>
      <c r="J880" s="10"/>
      <c r="K880" s="10"/>
      <c r="L880" s="10"/>
      <c r="M880" s="10"/>
      <c r="N880" s="10"/>
      <c r="O880" s="10"/>
      <c r="P880" s="10"/>
      <c r="Q880" s="10"/>
      <c r="R880" s="10"/>
      <c r="S880" s="10"/>
      <c r="T880" s="10"/>
      <c r="U880" s="17"/>
      <c r="V880" s="10"/>
      <c r="W880" s="10"/>
      <c r="X880" s="10"/>
    </row>
    <row r="881" spans="1:24">
      <c r="B881" s="18" t="s">
        <v>51</v>
      </c>
      <c r="C881" s="14"/>
      <c r="D881" s="14"/>
      <c r="E881" s="14"/>
      <c r="F881" s="13" t="s">
        <v>52</v>
      </c>
      <c r="G881" s="14"/>
      <c r="H881" s="14"/>
      <c r="I881" s="14"/>
      <c r="J881" s="14"/>
      <c r="K881" s="13" t="s">
        <v>3</v>
      </c>
      <c r="L881" s="14"/>
      <c r="M881" s="14"/>
      <c r="N881" s="13" t="s">
        <v>4</v>
      </c>
      <c r="O881" s="14"/>
      <c r="P881" s="14"/>
      <c r="Q881" s="13" t="s">
        <v>5</v>
      </c>
      <c r="R881" s="14"/>
      <c r="S881" s="14"/>
      <c r="T881" s="18"/>
      <c r="U881" s="16" t="s">
        <v>53</v>
      </c>
      <c r="V881" s="77"/>
      <c r="W881" s="77"/>
      <c r="X881" s="77"/>
    </row>
    <row r="882" spans="1:24">
      <c r="B882" s="24" t="s">
        <v>54</v>
      </c>
      <c r="C882" s="21" t="s">
        <v>55</v>
      </c>
      <c r="D882" s="21" t="s">
        <v>56</v>
      </c>
      <c r="E882" s="21" t="s">
        <v>57</v>
      </c>
      <c r="F882" s="20" t="s">
        <v>58</v>
      </c>
      <c r="G882" s="21" t="s">
        <v>59</v>
      </c>
      <c r="H882" s="21" t="s">
        <v>60</v>
      </c>
      <c r="I882" s="21" t="s">
        <v>26</v>
      </c>
      <c r="J882" s="22" t="s">
        <v>61</v>
      </c>
      <c r="K882" s="21" t="s">
        <v>8</v>
      </c>
      <c r="L882" s="21" t="s">
        <v>9</v>
      </c>
      <c r="M882" s="21" t="s">
        <v>10</v>
      </c>
      <c r="N882" s="20" t="s">
        <v>11</v>
      </c>
      <c r="O882" s="21" t="s">
        <v>12</v>
      </c>
      <c r="P882" s="22" t="s">
        <v>13</v>
      </c>
      <c r="Q882" s="21" t="s">
        <v>11</v>
      </c>
      <c r="R882" s="21" t="s">
        <v>12</v>
      </c>
      <c r="S882" s="21" t="s">
        <v>13</v>
      </c>
      <c r="T882" s="78" t="s">
        <v>14</v>
      </c>
      <c r="U882" s="30"/>
      <c r="V882" s="79" t="s">
        <v>62</v>
      </c>
      <c r="W882" s="80" t="s">
        <v>63</v>
      </c>
      <c r="X882" s="81" t="s">
        <v>64</v>
      </c>
    </row>
    <row r="883" spans="1:24">
      <c r="B883" s="4" t="s">
        <v>65</v>
      </c>
      <c r="C883" s="6"/>
      <c r="D883" s="6"/>
      <c r="E883" s="6"/>
      <c r="F883" s="6"/>
      <c r="G883" s="6"/>
      <c r="H883" s="6"/>
      <c r="I883" s="82"/>
      <c r="J883" s="6"/>
      <c r="K883" s="6"/>
      <c r="L883" s="6"/>
      <c r="M883" s="6"/>
      <c r="N883" s="6"/>
      <c r="O883" s="6"/>
      <c r="P883" s="6"/>
      <c r="Q883" s="6"/>
      <c r="R883" s="6"/>
      <c r="S883" s="6"/>
      <c r="T883" s="83"/>
      <c r="U883" s="6"/>
      <c r="V883" s="84"/>
      <c r="W883" s="85"/>
      <c r="X883" s="86"/>
    </row>
    <row r="884" spans="1:24">
      <c r="B884" s="87">
        <v>1</v>
      </c>
      <c r="C884" s="274">
        <v>45901</v>
      </c>
      <c r="D884" s="327">
        <v>72841</v>
      </c>
      <c r="E884" s="276" t="s">
        <v>327</v>
      </c>
      <c r="F884" s="277">
        <v>1134.9000000000001</v>
      </c>
      <c r="G884" s="277">
        <f>39.7+(50.93)</f>
        <v>90.63</v>
      </c>
      <c r="H884" s="297"/>
      <c r="I884" s="278">
        <f t="shared" ref="I884:I896" si="192">F884-G884-H884</f>
        <v>1044.27</v>
      </c>
      <c r="J884" s="279" t="s">
        <v>150</v>
      </c>
      <c r="K884" s="279">
        <v>1</v>
      </c>
      <c r="L884" s="279">
        <v>1</v>
      </c>
      <c r="M884" s="279">
        <v>1</v>
      </c>
      <c r="N884" s="279">
        <v>1</v>
      </c>
      <c r="O884" s="279">
        <v>1</v>
      </c>
      <c r="P884" s="279">
        <v>1</v>
      </c>
      <c r="Q884" s="279">
        <v>1</v>
      </c>
      <c r="R884" s="279">
        <v>1</v>
      </c>
      <c r="S884" s="280">
        <v>1</v>
      </c>
      <c r="T884" s="21">
        <v>1</v>
      </c>
      <c r="U884" s="10"/>
      <c r="V884" s="90">
        <v>0</v>
      </c>
      <c r="W884" s="440">
        <f>125+1120</f>
        <v>1245</v>
      </c>
      <c r="X884" s="92"/>
    </row>
    <row r="885" spans="1:24">
      <c r="B885" s="87">
        <f t="shared" ref="B885:B896" si="193">B884+1</f>
        <v>2</v>
      </c>
      <c r="C885" s="274">
        <v>45902</v>
      </c>
      <c r="D885" s="327">
        <v>72872</v>
      </c>
      <c r="E885" s="276" t="s">
        <v>538</v>
      </c>
      <c r="F885" s="277">
        <v>1053</v>
      </c>
      <c r="G885" s="277">
        <f>39.7</f>
        <v>39.700000000000003</v>
      </c>
      <c r="H885" s="277"/>
      <c r="I885" s="278">
        <f t="shared" si="192"/>
        <v>1013.3</v>
      </c>
      <c r="J885" s="279" t="s">
        <v>150</v>
      </c>
      <c r="K885" s="279">
        <v>1</v>
      </c>
      <c r="L885" s="279">
        <v>1</v>
      </c>
      <c r="M885" s="279">
        <v>1</v>
      </c>
      <c r="N885" s="279">
        <v>1</v>
      </c>
      <c r="O885" s="279">
        <v>1</v>
      </c>
      <c r="P885" s="279">
        <v>1</v>
      </c>
      <c r="Q885" s="279">
        <v>1</v>
      </c>
      <c r="R885" s="279">
        <v>1</v>
      </c>
      <c r="S885" s="280">
        <v>1</v>
      </c>
      <c r="T885" s="21">
        <v>1</v>
      </c>
      <c r="U885" s="10"/>
      <c r="V885" s="90">
        <v>0</v>
      </c>
      <c r="W885" s="440">
        <f>150+1000</f>
        <v>1150</v>
      </c>
      <c r="X885" s="92"/>
    </row>
    <row r="886" spans="1:24">
      <c r="B886" s="87">
        <f t="shared" si="193"/>
        <v>3</v>
      </c>
      <c r="C886" s="295">
        <v>45902</v>
      </c>
      <c r="D886" s="323">
        <v>72901</v>
      </c>
      <c r="E886" s="10" t="s">
        <v>327</v>
      </c>
      <c r="F886" s="62">
        <v>814</v>
      </c>
      <c r="G886" s="62">
        <f>39.7</f>
        <v>39.700000000000003</v>
      </c>
      <c r="H886" s="62"/>
      <c r="I886" s="89">
        <f t="shared" si="192"/>
        <v>774.3</v>
      </c>
      <c r="J886" s="63" t="s">
        <v>156</v>
      </c>
      <c r="K886" s="63">
        <v>1</v>
      </c>
      <c r="L886" s="63">
        <v>1</v>
      </c>
      <c r="M886" s="63">
        <v>1</v>
      </c>
      <c r="N886" s="63">
        <v>1</v>
      </c>
      <c r="O886" s="63">
        <v>1</v>
      </c>
      <c r="P886" s="63">
        <v>1</v>
      </c>
      <c r="Q886" s="63">
        <v>1</v>
      </c>
      <c r="R886" s="63">
        <v>1</v>
      </c>
      <c r="S886" s="296">
        <v>1</v>
      </c>
      <c r="T886" s="21">
        <v>1</v>
      </c>
      <c r="U886" s="10" t="s">
        <v>539</v>
      </c>
      <c r="V886" s="90">
        <f>90+805.4</f>
        <v>895.4</v>
      </c>
      <c r="W886" s="91"/>
      <c r="X886" s="92"/>
    </row>
    <row r="887" spans="1:24">
      <c r="B887" s="87">
        <f t="shared" si="193"/>
        <v>4</v>
      </c>
      <c r="C887" s="274">
        <v>45903</v>
      </c>
      <c r="D887" s="327">
        <v>72796</v>
      </c>
      <c r="E887" s="404" t="s">
        <v>444</v>
      </c>
      <c r="F887" s="277">
        <v>1067.9000000000001</v>
      </c>
      <c r="G887" s="277">
        <f>39.7</f>
        <v>39.700000000000003</v>
      </c>
      <c r="H887" s="277"/>
      <c r="I887" s="278">
        <f t="shared" si="192"/>
        <v>1028.2</v>
      </c>
      <c r="J887" s="279" t="s">
        <v>156</v>
      </c>
      <c r="K887" s="279">
        <v>1</v>
      </c>
      <c r="L887" s="279">
        <v>1</v>
      </c>
      <c r="M887" s="279">
        <v>1</v>
      </c>
      <c r="N887" s="279">
        <v>1</v>
      </c>
      <c r="O887" s="279">
        <v>1</v>
      </c>
      <c r="P887" s="279">
        <v>1</v>
      </c>
      <c r="Q887" s="279">
        <v>1</v>
      </c>
      <c r="R887" s="279">
        <v>1</v>
      </c>
      <c r="S887" s="280">
        <v>1</v>
      </c>
      <c r="T887" s="21">
        <v>1</v>
      </c>
      <c r="U887" s="10"/>
      <c r="V887" s="90">
        <f>118+1056.69</f>
        <v>1174.69</v>
      </c>
      <c r="W887" s="91"/>
      <c r="X887" s="92"/>
    </row>
    <row r="888" spans="1:24">
      <c r="B888" s="87">
        <f t="shared" si="193"/>
        <v>5</v>
      </c>
      <c r="C888" s="295">
        <v>45903</v>
      </c>
      <c r="D888" s="323">
        <v>72890</v>
      </c>
      <c r="E888" s="10" t="s">
        <v>540</v>
      </c>
      <c r="F888" s="62">
        <f>1546-85</f>
        <v>1461</v>
      </c>
      <c r="G888" s="62">
        <v>39.700000000000003</v>
      </c>
      <c r="H888" s="62"/>
      <c r="I888" s="89">
        <f t="shared" si="192"/>
        <v>1421.3</v>
      </c>
      <c r="J888" s="63" t="s">
        <v>156</v>
      </c>
      <c r="K888" s="63">
        <v>1</v>
      </c>
      <c r="L888" s="63">
        <v>1</v>
      </c>
      <c r="M888" s="63">
        <v>1</v>
      </c>
      <c r="N888" s="63">
        <v>1</v>
      </c>
      <c r="O888" s="63">
        <v>1</v>
      </c>
      <c r="P888" s="63">
        <v>1</v>
      </c>
      <c r="Q888" s="63">
        <v>1</v>
      </c>
      <c r="R888" s="63">
        <v>1</v>
      </c>
      <c r="S888" s="296">
        <v>1</v>
      </c>
      <c r="T888" s="63"/>
      <c r="U888" s="10"/>
      <c r="V888" s="90">
        <f>93.5+1607.1</f>
        <v>1700.6</v>
      </c>
      <c r="W888" s="91"/>
      <c r="X888" s="92"/>
    </row>
    <row r="889" spans="1:24">
      <c r="A889" t="s">
        <v>541</v>
      </c>
      <c r="B889" s="87">
        <f t="shared" si="193"/>
        <v>6</v>
      </c>
      <c r="C889" s="295">
        <v>45903</v>
      </c>
      <c r="D889" s="323" t="s">
        <v>542</v>
      </c>
      <c r="E889" s="10" t="s">
        <v>540</v>
      </c>
      <c r="F889" s="62">
        <v>4753</v>
      </c>
      <c r="G889" s="62">
        <f>39.7+300+200</f>
        <v>539.70000000000005</v>
      </c>
      <c r="H889" s="62"/>
      <c r="I889" s="324">
        <f>F889-G889-H889</f>
        <v>4213.3</v>
      </c>
      <c r="J889" s="63" t="s">
        <v>228</v>
      </c>
      <c r="K889" s="63">
        <v>1</v>
      </c>
      <c r="L889" s="63">
        <v>1</v>
      </c>
      <c r="M889" s="63">
        <v>1</v>
      </c>
      <c r="N889" s="63">
        <v>1</v>
      </c>
      <c r="O889" s="63">
        <v>1</v>
      </c>
      <c r="P889" s="325">
        <v>0</v>
      </c>
      <c r="Q889" s="63">
        <v>1</v>
      </c>
      <c r="R889" s="63">
        <v>1</v>
      </c>
      <c r="S889" s="296">
        <v>1</v>
      </c>
      <c r="T889" s="21">
        <v>1</v>
      </c>
      <c r="U889" s="17" t="s">
        <v>543</v>
      </c>
      <c r="V889" s="90">
        <f>523+4705.3</f>
        <v>5228.3</v>
      </c>
      <c r="W889" s="91"/>
      <c r="X889" s="92"/>
    </row>
    <row r="890" spans="1:24">
      <c r="B890" s="87">
        <f t="shared" si="193"/>
        <v>7</v>
      </c>
      <c r="C890" s="274">
        <v>45904</v>
      </c>
      <c r="D890" s="327">
        <v>72945</v>
      </c>
      <c r="E890" s="276" t="s">
        <v>330</v>
      </c>
      <c r="F890" s="277">
        <v>1314.9</v>
      </c>
      <c r="G890" s="277">
        <f>39.7+(76.56)</f>
        <v>116.26</v>
      </c>
      <c r="H890" s="297"/>
      <c r="I890" s="278">
        <f t="shared" si="192"/>
        <v>1198.6400000000001</v>
      </c>
      <c r="J890" s="279" t="s">
        <v>150</v>
      </c>
      <c r="K890" s="279">
        <v>1</v>
      </c>
      <c r="L890" s="279">
        <v>1</v>
      </c>
      <c r="M890" s="279">
        <v>1</v>
      </c>
      <c r="N890" s="279">
        <v>1</v>
      </c>
      <c r="O890" s="279">
        <v>1</v>
      </c>
      <c r="P890" s="279">
        <v>1</v>
      </c>
      <c r="Q890" s="279">
        <v>1</v>
      </c>
      <c r="R890" s="279">
        <v>1</v>
      </c>
      <c r="S890" s="280">
        <v>1</v>
      </c>
      <c r="T890" s="21">
        <v>1</v>
      </c>
      <c r="U890" s="10"/>
      <c r="V890" s="90">
        <v>0</v>
      </c>
      <c r="W890" s="440">
        <f>145+1300</f>
        <v>1445</v>
      </c>
      <c r="X890" s="92"/>
    </row>
    <row r="891" spans="1:24">
      <c r="B891" s="87">
        <f t="shared" si="193"/>
        <v>8</v>
      </c>
      <c r="C891" s="295">
        <v>45904</v>
      </c>
      <c r="D891" s="323">
        <v>72971</v>
      </c>
      <c r="E891" s="10" t="s">
        <v>278</v>
      </c>
      <c r="F891" s="62">
        <v>681</v>
      </c>
      <c r="G891" s="62"/>
      <c r="H891" s="88"/>
      <c r="I891" s="324">
        <f t="shared" si="192"/>
        <v>681</v>
      </c>
      <c r="J891" s="63" t="s">
        <v>156</v>
      </c>
      <c r="K891" s="63">
        <v>1</v>
      </c>
      <c r="L891" s="63">
        <v>1</v>
      </c>
      <c r="M891" s="63">
        <v>1</v>
      </c>
      <c r="N891" s="63">
        <v>1</v>
      </c>
      <c r="O891" s="63">
        <v>1</v>
      </c>
      <c r="P891" s="325">
        <v>0</v>
      </c>
      <c r="Q891" s="63">
        <v>1</v>
      </c>
      <c r="R891" s="63">
        <v>1</v>
      </c>
      <c r="S891" s="296">
        <v>1</v>
      </c>
      <c r="T891" s="21"/>
      <c r="U891" s="10"/>
      <c r="V891" s="90">
        <f>749.1</f>
        <v>749.1</v>
      </c>
      <c r="W891" s="91"/>
      <c r="X891" s="92"/>
    </row>
    <row r="892" spans="1:24">
      <c r="B892" s="87">
        <f t="shared" si="193"/>
        <v>9</v>
      </c>
      <c r="C892" s="295">
        <v>45904</v>
      </c>
      <c r="D892" s="323">
        <v>72998</v>
      </c>
      <c r="E892" s="10" t="s">
        <v>184</v>
      </c>
      <c r="F892" s="62">
        <v>581</v>
      </c>
      <c r="G892" s="62">
        <f>+(34.63)</f>
        <v>34.630000000000003</v>
      </c>
      <c r="H892" s="88"/>
      <c r="I892" s="324">
        <f t="shared" si="192"/>
        <v>546.37</v>
      </c>
      <c r="J892" s="63" t="s">
        <v>156</v>
      </c>
      <c r="K892" s="63">
        <v>1</v>
      </c>
      <c r="L892" s="63">
        <v>1</v>
      </c>
      <c r="M892" s="325">
        <v>0</v>
      </c>
      <c r="N892" s="63">
        <v>1</v>
      </c>
      <c r="O892" s="63">
        <v>1</v>
      </c>
      <c r="P892" s="63">
        <v>1</v>
      </c>
      <c r="Q892" s="63">
        <v>1</v>
      </c>
      <c r="R892" s="63">
        <v>1</v>
      </c>
      <c r="S892" s="296">
        <v>1</v>
      </c>
      <c r="T892" s="21">
        <v>1</v>
      </c>
      <c r="U892" s="10"/>
      <c r="V892" s="90">
        <f>64+575.1</f>
        <v>639.1</v>
      </c>
      <c r="W892" s="91"/>
      <c r="X892" s="92"/>
    </row>
    <row r="893" spans="1:24">
      <c r="B893" s="87">
        <f t="shared" si="193"/>
        <v>10</v>
      </c>
      <c r="C893" s="274">
        <v>45905</v>
      </c>
      <c r="D893" s="327">
        <v>72978</v>
      </c>
      <c r="E893" s="276" t="s">
        <v>471</v>
      </c>
      <c r="F893" s="277">
        <v>1512.9</v>
      </c>
      <c r="G893" s="277">
        <f>39.7+(132)</f>
        <v>171.7</v>
      </c>
      <c r="H893" s="297"/>
      <c r="I893" s="278">
        <f t="shared" si="192"/>
        <v>1341.2</v>
      </c>
      <c r="J893" s="279" t="s">
        <v>156</v>
      </c>
      <c r="K893" s="279">
        <v>1</v>
      </c>
      <c r="L893" s="279">
        <v>1</v>
      </c>
      <c r="M893" s="279">
        <v>1</v>
      </c>
      <c r="N893" s="279">
        <v>1</v>
      </c>
      <c r="O893" s="279">
        <v>1</v>
      </c>
      <c r="P893" s="279">
        <v>1</v>
      </c>
      <c r="Q893" s="279">
        <v>1</v>
      </c>
      <c r="R893" s="279">
        <v>1</v>
      </c>
      <c r="S893" s="280">
        <v>1</v>
      </c>
      <c r="T893" s="21">
        <v>1</v>
      </c>
      <c r="U893" s="10" t="s">
        <v>544</v>
      </c>
      <c r="V893" s="90">
        <f>167+1497.19</f>
        <v>1664.19</v>
      </c>
      <c r="W893" s="91"/>
      <c r="X893" s="92"/>
    </row>
    <row r="894" spans="1:24">
      <c r="B894" s="87">
        <f t="shared" si="193"/>
        <v>11</v>
      </c>
      <c r="C894" s="295">
        <v>45905</v>
      </c>
      <c r="D894" s="323" t="s">
        <v>545</v>
      </c>
      <c r="E894" s="10" t="s">
        <v>540</v>
      </c>
      <c r="F894" s="95">
        <v>861</v>
      </c>
      <c r="G894" s="62">
        <f>39.7</f>
        <v>39.700000000000003</v>
      </c>
      <c r="H894" s="62"/>
      <c r="I894" s="89">
        <f t="shared" si="192"/>
        <v>821.3</v>
      </c>
      <c r="J894" s="63" t="s">
        <v>156</v>
      </c>
      <c r="K894" s="63">
        <v>1</v>
      </c>
      <c r="L894" s="63">
        <v>1</v>
      </c>
      <c r="M894" s="63">
        <v>1</v>
      </c>
      <c r="N894" s="63">
        <v>1</v>
      </c>
      <c r="O894" s="63">
        <v>1</v>
      </c>
      <c r="P894" s="63">
        <v>1</v>
      </c>
      <c r="Q894" s="63">
        <v>1</v>
      </c>
      <c r="R894" s="63">
        <v>1</v>
      </c>
      <c r="S894" s="296">
        <v>1</v>
      </c>
      <c r="T894" s="63"/>
      <c r="U894" s="10" t="s">
        <v>544</v>
      </c>
      <c r="V894" s="90">
        <f>95+852.1</f>
        <v>947.1</v>
      </c>
      <c r="W894" s="91"/>
      <c r="X894" s="92"/>
    </row>
    <row r="895" spans="1:24">
      <c r="A895" t="s">
        <v>230</v>
      </c>
      <c r="B895" s="87">
        <f t="shared" si="193"/>
        <v>12</v>
      </c>
      <c r="C895" s="295">
        <v>45905</v>
      </c>
      <c r="D895" s="323" t="s">
        <v>546</v>
      </c>
      <c r="E895" s="10" t="s">
        <v>540</v>
      </c>
      <c r="F895" s="95">
        <v>861</v>
      </c>
      <c r="G895" s="62">
        <f>39.7</f>
        <v>39.700000000000003</v>
      </c>
      <c r="H895" s="62"/>
      <c r="I895" s="369">
        <f t="shared" si="192"/>
        <v>821.3</v>
      </c>
      <c r="J895" s="63" t="s">
        <v>156</v>
      </c>
      <c r="K895" s="63">
        <v>1</v>
      </c>
      <c r="L895" s="63">
        <v>1</v>
      </c>
      <c r="M895" s="63">
        <v>1</v>
      </c>
      <c r="N895" s="63">
        <v>1</v>
      </c>
      <c r="O895" s="63">
        <v>1</v>
      </c>
      <c r="P895" s="63">
        <v>1</v>
      </c>
      <c r="Q895" s="63">
        <v>1</v>
      </c>
      <c r="R895" s="63">
        <v>1</v>
      </c>
      <c r="S895" s="296">
        <v>1</v>
      </c>
      <c r="T895" s="21">
        <v>1</v>
      </c>
      <c r="U895" s="10" t="s">
        <v>544</v>
      </c>
      <c r="V895" s="90">
        <v>947.1</v>
      </c>
      <c r="W895" s="91"/>
      <c r="X895" s="92"/>
    </row>
    <row r="896" spans="1:24">
      <c r="B896" s="87">
        <f t="shared" si="193"/>
        <v>13</v>
      </c>
      <c r="C896" s="282">
        <v>45905</v>
      </c>
      <c r="D896" s="368">
        <v>72995</v>
      </c>
      <c r="E896" s="283" t="s">
        <v>444</v>
      </c>
      <c r="F896" s="423">
        <v>1461</v>
      </c>
      <c r="G896" s="284">
        <f>39.7+(87.18)</f>
        <v>126.88000000000001</v>
      </c>
      <c r="H896" s="284"/>
      <c r="I896" s="285">
        <f t="shared" si="192"/>
        <v>1334.12</v>
      </c>
      <c r="J896" s="286" t="s">
        <v>156</v>
      </c>
      <c r="K896" s="286">
        <v>1</v>
      </c>
      <c r="L896" s="286">
        <v>1</v>
      </c>
      <c r="M896" s="286">
        <v>1</v>
      </c>
      <c r="N896" s="286">
        <v>1</v>
      </c>
      <c r="O896" s="286">
        <v>1</v>
      </c>
      <c r="P896" s="286">
        <v>1</v>
      </c>
      <c r="Q896" s="286">
        <v>1</v>
      </c>
      <c r="R896" s="286">
        <v>1</v>
      </c>
      <c r="S896" s="287">
        <v>1</v>
      </c>
      <c r="T896" s="21">
        <v>1</v>
      </c>
      <c r="U896" s="10"/>
      <c r="V896" s="90">
        <f>160.8+1446.3</f>
        <v>1607.1</v>
      </c>
      <c r="W896" s="91"/>
      <c r="X896" s="92"/>
    </row>
    <row r="897" spans="1:24">
      <c r="B897" s="87"/>
      <c r="C897" s="609"/>
      <c r="D897" s="10"/>
      <c r="E897" s="10"/>
      <c r="F897" s="97">
        <f>SUM(F884:F896)</f>
        <v>17556.599999999999</v>
      </c>
      <c r="G897" s="97">
        <f>SUM(G884:G896)</f>
        <v>1318.0000000000002</v>
      </c>
      <c r="H897" s="97">
        <f>SUM(H884:H896)</f>
        <v>0</v>
      </c>
      <c r="I897" s="98">
        <f>SUM(I884:I896)</f>
        <v>16238.599999999999</v>
      </c>
      <c r="J897" s="63"/>
      <c r="K897" s="63">
        <f>COUNT(K884:K896)</f>
        <v>13</v>
      </c>
      <c r="L897" s="63">
        <f>COUNT(L884:L896)</f>
        <v>13</v>
      </c>
      <c r="M897" s="63">
        <f>COUNT(M884:M896)</f>
        <v>13</v>
      </c>
      <c r="N897" s="63">
        <f>COUNT(N884:N896)</f>
        <v>13</v>
      </c>
      <c r="O897" s="63">
        <f>COUNT(O884:O896)</f>
        <v>13</v>
      </c>
      <c r="P897" s="63">
        <f>COUNT(P884:P896)</f>
        <v>13</v>
      </c>
      <c r="Q897" s="63">
        <f>COUNT(Q884:Q896)</f>
        <v>13</v>
      </c>
      <c r="R897" s="63">
        <f>COUNT(R884:R896)</f>
        <v>13</v>
      </c>
      <c r="S897" s="63">
        <f>COUNT(S884:S896)</f>
        <v>13</v>
      </c>
      <c r="T897" s="63"/>
      <c r="U897" s="10"/>
      <c r="V897" s="90"/>
      <c r="W897" s="91"/>
      <c r="X897" s="92"/>
    </row>
    <row r="898" spans="1:24">
      <c r="B898" s="87"/>
      <c r="C898" s="609"/>
      <c r="D898" s="10"/>
      <c r="E898" s="10"/>
      <c r="F898" s="88"/>
      <c r="G898" s="88"/>
      <c r="H898" s="88"/>
      <c r="I898" s="99"/>
      <c r="J898" s="63"/>
      <c r="K898" s="21">
        <f>SUM(K884:K896)</f>
        <v>13</v>
      </c>
      <c r="L898" s="21">
        <f>SUM(L884:L896)</f>
        <v>13</v>
      </c>
      <c r="M898" s="21">
        <f>SUM(M884:M896)</f>
        <v>12</v>
      </c>
      <c r="N898" s="21">
        <f>SUM(N884:N896)</f>
        <v>13</v>
      </c>
      <c r="O898" s="21">
        <f>SUM(O884:O896)</f>
        <v>13</v>
      </c>
      <c r="P898" s="21">
        <f>SUM(P884:P896)</f>
        <v>11</v>
      </c>
      <c r="Q898" s="21">
        <f>SUM(Q884:Q896)</f>
        <v>13</v>
      </c>
      <c r="R898" s="21">
        <f>SUM(R884:R896)</f>
        <v>13</v>
      </c>
      <c r="S898" s="21">
        <f>SUM(S884:S896)</f>
        <v>13</v>
      </c>
      <c r="T898" s="63"/>
      <c r="U898" s="10"/>
      <c r="V898" s="90"/>
      <c r="W898" s="91"/>
      <c r="X898" s="92"/>
    </row>
    <row r="899" spans="1:24">
      <c r="B899" s="11"/>
      <c r="C899" s="609"/>
      <c r="D899" s="10"/>
      <c r="E899" s="10"/>
      <c r="F899" s="88"/>
      <c r="G899" s="88"/>
      <c r="H899" s="88"/>
      <c r="I899" s="99"/>
      <c r="J899" s="63"/>
      <c r="K899" s="21"/>
      <c r="L899" s="21"/>
      <c r="M899" s="21"/>
      <c r="N899" s="21"/>
      <c r="O899" s="21"/>
      <c r="P899" s="21"/>
      <c r="Q899" s="21"/>
      <c r="R899" s="21"/>
      <c r="S899" s="21"/>
      <c r="T899" s="63"/>
      <c r="U899" s="94"/>
      <c r="V899" s="90"/>
      <c r="W899" s="91"/>
      <c r="X899" s="92"/>
    </row>
    <row r="900" spans="1:24">
      <c r="B900" s="121" t="s">
        <v>68</v>
      </c>
      <c r="C900" s="611"/>
      <c r="D900" s="123"/>
      <c r="E900" s="123"/>
      <c r="F900" s="124"/>
      <c r="G900" s="125"/>
      <c r="H900" s="124"/>
      <c r="I900" s="126"/>
      <c r="J900" s="127"/>
      <c r="K900" s="128"/>
      <c r="L900" s="128"/>
      <c r="M900" s="128"/>
      <c r="N900" s="128"/>
      <c r="O900" s="128"/>
      <c r="P900" s="128"/>
      <c r="Q900" s="128"/>
      <c r="R900" s="128"/>
      <c r="S900" s="128"/>
      <c r="T900" s="127"/>
      <c r="U900" s="123"/>
      <c r="V900" s="129"/>
      <c r="W900" s="130"/>
      <c r="X900" s="131"/>
    </row>
    <row r="901" spans="1:24" s="381" customFormat="1">
      <c r="A901" s="493">
        <v>0.05</v>
      </c>
      <c r="B901" s="372">
        <v>1</v>
      </c>
      <c r="C901" s="373">
        <v>45904</v>
      </c>
      <c r="D901" s="263">
        <v>72947</v>
      </c>
      <c r="E901" s="391" t="s">
        <v>168</v>
      </c>
      <c r="F901" s="375">
        <v>681</v>
      </c>
      <c r="G901" s="375"/>
      <c r="H901" s="375"/>
      <c r="I901" s="376">
        <f t="shared" ref="I901" si="194">F901-G901-H901</f>
        <v>681</v>
      </c>
      <c r="J901" s="314" t="s">
        <v>156</v>
      </c>
      <c r="K901" s="314">
        <v>1</v>
      </c>
      <c r="L901" s="314">
        <v>1</v>
      </c>
      <c r="M901" s="314">
        <v>1</v>
      </c>
      <c r="N901" s="314">
        <v>1</v>
      </c>
      <c r="O901" s="314">
        <v>1</v>
      </c>
      <c r="P901" s="314">
        <v>1</v>
      </c>
      <c r="Q901" s="314">
        <v>1</v>
      </c>
      <c r="R901" s="314">
        <v>1</v>
      </c>
      <c r="S901" s="366">
        <v>1</v>
      </c>
      <c r="T901" s="325"/>
      <c r="U901" s="42" t="s">
        <v>547</v>
      </c>
      <c r="V901" s="377">
        <f>75</f>
        <v>75</v>
      </c>
      <c r="W901" s="378"/>
      <c r="X901" s="393"/>
    </row>
    <row r="902" spans="1:24" s="342" customFormat="1">
      <c r="B902" s="132"/>
      <c r="C902" s="611"/>
      <c r="D902" s="123"/>
      <c r="E902" s="123"/>
      <c r="F902" s="134">
        <f>SUM(F901:F901)</f>
        <v>681</v>
      </c>
      <c r="G902" s="134">
        <f>SUM(G901:G901)</f>
        <v>0</v>
      </c>
      <c r="H902" s="134">
        <f>SUM(H901:H901)</f>
        <v>0</v>
      </c>
      <c r="I902" s="134">
        <f>SUM(I901:I901)</f>
        <v>681</v>
      </c>
      <c r="J902" s="127"/>
      <c r="K902" s="64"/>
      <c r="L902" s="64"/>
      <c r="M902" s="64"/>
      <c r="N902" s="64"/>
      <c r="O902" s="64"/>
      <c r="P902" s="64"/>
      <c r="Q902" s="64"/>
      <c r="R902" s="64"/>
      <c r="S902" s="64"/>
      <c r="T902" s="127"/>
      <c r="U902" s="123"/>
      <c r="V902" s="129"/>
      <c r="W902" s="130"/>
      <c r="X902" s="131"/>
    </row>
    <row r="903" spans="1:24" s="342" customFormat="1">
      <c r="B903" s="132"/>
      <c r="C903" s="611"/>
      <c r="D903" s="123"/>
      <c r="E903" s="123"/>
      <c r="F903" s="124"/>
      <c r="G903" s="124"/>
      <c r="H903" s="124"/>
      <c r="I903" s="126"/>
      <c r="J903" s="127"/>
      <c r="K903" s="64"/>
      <c r="L903" s="64"/>
      <c r="M903" s="64"/>
      <c r="N903" s="64"/>
      <c r="O903" s="64"/>
      <c r="P903" s="64"/>
      <c r="Q903" s="64"/>
      <c r="R903" s="64"/>
      <c r="S903" s="64"/>
      <c r="T903" s="127"/>
      <c r="U903" s="135"/>
      <c r="V903" s="129"/>
      <c r="W903" s="130"/>
      <c r="X903" s="131"/>
    </row>
    <row r="904" spans="1:24" s="342" customFormat="1">
      <c r="B904" s="121" t="s">
        <v>70</v>
      </c>
      <c r="C904" s="611"/>
      <c r="D904" s="123"/>
      <c r="E904" s="128"/>
      <c r="F904" s="124"/>
      <c r="G904" s="124"/>
      <c r="H904" s="124"/>
      <c r="I904" s="126"/>
      <c r="J904" s="127"/>
      <c r="K904" s="64"/>
      <c r="L904" s="64"/>
      <c r="M904" s="64"/>
      <c r="N904" s="64"/>
      <c r="O904" s="64"/>
      <c r="P904" s="64"/>
      <c r="Q904" s="64"/>
      <c r="R904" s="64"/>
      <c r="S904" s="64"/>
      <c r="T904" s="127"/>
      <c r="U904" s="135"/>
      <c r="V904" s="129"/>
      <c r="W904" s="130"/>
      <c r="X904" s="131"/>
    </row>
    <row r="905" spans="1:24" s="342" customFormat="1">
      <c r="A905" s="342" t="s">
        <v>548</v>
      </c>
      <c r="B905" s="333">
        <v>1</v>
      </c>
      <c r="C905" s="350">
        <v>45904</v>
      </c>
      <c r="D905" s="263" t="s">
        <v>549</v>
      </c>
      <c r="E905" s="358" t="s">
        <v>168</v>
      </c>
      <c r="F905" s="352">
        <v>5533</v>
      </c>
      <c r="G905" s="352">
        <f>39.7+(1374.26)</f>
        <v>1413.96</v>
      </c>
      <c r="H905" s="352"/>
      <c r="I905" s="353">
        <f>F905-G905-H905</f>
        <v>4119.04</v>
      </c>
      <c r="J905" s="354" t="s">
        <v>228</v>
      </c>
      <c r="K905" s="354">
        <v>1</v>
      </c>
      <c r="L905" s="354">
        <v>1</v>
      </c>
      <c r="M905" s="354">
        <v>1</v>
      </c>
      <c r="N905" s="354">
        <v>1</v>
      </c>
      <c r="O905" s="354">
        <v>1</v>
      </c>
      <c r="P905" s="314">
        <v>0</v>
      </c>
      <c r="Q905" s="314">
        <v>0</v>
      </c>
      <c r="R905" s="314">
        <v>0</v>
      </c>
      <c r="S905" s="366">
        <v>0</v>
      </c>
      <c r="T905" s="127"/>
      <c r="U905" s="123" t="s">
        <v>550</v>
      </c>
      <c r="V905" s="129">
        <f>609+4000</f>
        <v>4609</v>
      </c>
      <c r="W905" s="340"/>
      <c r="X905" s="341"/>
    </row>
    <row r="906" spans="1:24">
      <c r="B906" s="132"/>
      <c r="C906" s="611"/>
      <c r="D906" s="123"/>
      <c r="E906" s="123"/>
      <c r="F906" s="133">
        <f>SUM(F905:F905)</f>
        <v>5533</v>
      </c>
      <c r="G906" s="133">
        <f>SUM(G905:G905)</f>
        <v>1413.96</v>
      </c>
      <c r="H906" s="133">
        <f>SUM(H905:H905)</f>
        <v>0</v>
      </c>
      <c r="I906" s="134">
        <f>SUM(I905:I905)</f>
        <v>4119.04</v>
      </c>
      <c r="J906" s="127"/>
      <c r="K906" s="64"/>
      <c r="L906" s="64"/>
      <c r="M906" s="64"/>
      <c r="N906" s="64"/>
      <c r="O906" s="64"/>
      <c r="P906" s="64"/>
      <c r="Q906" s="64"/>
      <c r="R906" s="64"/>
      <c r="S906" s="64"/>
      <c r="T906" s="127"/>
      <c r="U906" s="135"/>
      <c r="V906" s="129"/>
      <c r="W906" s="130"/>
      <c r="X906" s="131"/>
    </row>
    <row r="907" spans="1:24">
      <c r="B907" s="11"/>
      <c r="C907" s="609"/>
      <c r="D907" s="10"/>
      <c r="E907" s="10"/>
      <c r="F907" s="88"/>
      <c r="G907" s="88"/>
      <c r="H907" s="88"/>
      <c r="I907" s="99"/>
      <c r="J907" s="63"/>
      <c r="K907" s="21"/>
      <c r="L907" s="21"/>
      <c r="M907" s="21"/>
      <c r="N907" s="21"/>
      <c r="O907" s="21"/>
      <c r="P907" s="21"/>
      <c r="Q907" s="21"/>
      <c r="R907" s="21"/>
      <c r="S907" s="21"/>
      <c r="T907" s="63"/>
      <c r="U907" s="94"/>
      <c r="V907" s="90"/>
      <c r="W907" s="91"/>
      <c r="X907" s="92"/>
    </row>
    <row r="908" spans="1:24" s="260" customFormat="1">
      <c r="A908" s="181"/>
      <c r="B908" s="100" t="s">
        <v>152</v>
      </c>
      <c r="C908" s="36"/>
      <c r="D908" s="10"/>
      <c r="E908" s="10"/>
      <c r="F908" s="88"/>
      <c r="G908" s="62"/>
      <c r="H908" s="88"/>
      <c r="I908" s="99"/>
      <c r="J908" s="10"/>
      <c r="K908" s="181"/>
      <c r="L908" s="181"/>
      <c r="M908" s="181"/>
      <c r="N908" s="181"/>
      <c r="O908" s="181"/>
      <c r="P908" s="181"/>
      <c r="Q908" s="181"/>
      <c r="R908" s="181"/>
      <c r="S908" s="181"/>
      <c r="T908" s="63"/>
      <c r="U908" s="10"/>
      <c r="V908" s="90"/>
      <c r="W908" s="91"/>
      <c r="X908" s="92"/>
    </row>
    <row r="909" spans="1:24" s="260" customFormat="1">
      <c r="A909" s="312" t="s">
        <v>194</v>
      </c>
      <c r="B909" s="87">
        <v>1</v>
      </c>
      <c r="C909" s="262">
        <v>45805</v>
      </c>
      <c r="D909" s="357" t="s">
        <v>195</v>
      </c>
      <c r="E909" s="271" t="s">
        <v>196</v>
      </c>
      <c r="F909" s="265">
        <v>2999.1</v>
      </c>
      <c r="G909" s="265">
        <v>39.700000000000003</v>
      </c>
      <c r="H909" s="265">
        <f>F909*0.2</f>
        <v>599.82000000000005</v>
      </c>
      <c r="I909" s="266">
        <f t="shared" ref="I909:I914" si="195">F909-G909-H909</f>
        <v>2359.58</v>
      </c>
      <c r="J909" s="267" t="s">
        <v>197</v>
      </c>
      <c r="K909" s="267">
        <v>1</v>
      </c>
      <c r="L909" s="267">
        <v>1</v>
      </c>
      <c r="M909" s="267">
        <v>1</v>
      </c>
      <c r="N909" s="267">
        <v>1</v>
      </c>
      <c r="O909" s="267">
        <v>1</v>
      </c>
      <c r="P909" s="314">
        <v>0</v>
      </c>
      <c r="Q909" s="314">
        <v>0</v>
      </c>
      <c r="R909" s="314">
        <v>0</v>
      </c>
      <c r="S909" s="366">
        <v>0</v>
      </c>
      <c r="T909" s="63"/>
      <c r="U909" s="10" t="s">
        <v>198</v>
      </c>
      <c r="V909" s="90"/>
      <c r="W909" s="91"/>
      <c r="X909" s="92"/>
    </row>
    <row r="910" spans="1:24" s="260" customFormat="1">
      <c r="A910" s="312" t="s">
        <v>194</v>
      </c>
      <c r="B910" s="87">
        <f>B909+1</f>
        <v>2</v>
      </c>
      <c r="C910" s="262">
        <v>45805</v>
      </c>
      <c r="D910" s="357" t="s">
        <v>199</v>
      </c>
      <c r="E910" s="271" t="s">
        <v>196</v>
      </c>
      <c r="F910" s="265">
        <v>16214</v>
      </c>
      <c r="G910" s="265">
        <f>39.7+44+36.26+(33.82+55.44)+(102.43+254.2+84.43+10.82+125.93)+1500</f>
        <v>2287.0299999999997</v>
      </c>
      <c r="H910" s="265">
        <f>F910*0.2</f>
        <v>3242.8</v>
      </c>
      <c r="I910" s="266">
        <f t="shared" si="195"/>
        <v>10684.170000000002</v>
      </c>
      <c r="J910" s="267" t="s">
        <v>197</v>
      </c>
      <c r="K910" s="267">
        <v>1</v>
      </c>
      <c r="L910" s="267">
        <v>1</v>
      </c>
      <c r="M910" s="267">
        <v>1</v>
      </c>
      <c r="N910" s="267">
        <v>1</v>
      </c>
      <c r="O910" s="267">
        <v>1</v>
      </c>
      <c r="P910" s="314">
        <v>0</v>
      </c>
      <c r="Q910" s="267">
        <v>1</v>
      </c>
      <c r="R910" s="267">
        <v>1</v>
      </c>
      <c r="S910" s="366">
        <v>0</v>
      </c>
      <c r="T910" s="63"/>
      <c r="U910" s="10" t="s">
        <v>200</v>
      </c>
      <c r="V910" s="90"/>
      <c r="W910" s="136"/>
      <c r="X910" s="137"/>
    </row>
    <row r="911" spans="1:24" s="260" customFormat="1">
      <c r="A911" s="261">
        <v>0.05</v>
      </c>
      <c r="B911" s="87">
        <f>B910+1</f>
        <v>3</v>
      </c>
      <c r="C911" s="262">
        <v>45826</v>
      </c>
      <c r="D911" s="263">
        <v>70849</v>
      </c>
      <c r="E911" s="271" t="s">
        <v>189</v>
      </c>
      <c r="F911" s="265">
        <f>1261</f>
        <v>1261</v>
      </c>
      <c r="G911" s="265">
        <v>39.700000000000003</v>
      </c>
      <c r="H911" s="265"/>
      <c r="I911" s="266">
        <f t="shared" si="195"/>
        <v>1221.3</v>
      </c>
      <c r="J911" s="267" t="s">
        <v>156</v>
      </c>
      <c r="K911" s="267">
        <v>1</v>
      </c>
      <c r="L911" s="267">
        <v>1</v>
      </c>
      <c r="M911" s="267">
        <v>1</v>
      </c>
      <c r="N911" s="267">
        <v>1</v>
      </c>
      <c r="O911" s="267">
        <v>1</v>
      </c>
      <c r="P911" s="267">
        <v>1</v>
      </c>
      <c r="Q911" s="314">
        <v>0</v>
      </c>
      <c r="R911" s="314">
        <v>0</v>
      </c>
      <c r="S911" s="366">
        <v>0</v>
      </c>
      <c r="T911" s="63"/>
      <c r="U911" s="10" t="s">
        <v>201</v>
      </c>
      <c r="V911" s="90"/>
      <c r="W911" s="136"/>
      <c r="X911" s="137"/>
    </row>
    <row r="912" spans="1:24" s="260" customFormat="1">
      <c r="A912" s="261">
        <v>0.05</v>
      </c>
      <c r="B912" s="87">
        <f>B911+1</f>
        <v>4</v>
      </c>
      <c r="C912" s="262">
        <v>45834</v>
      </c>
      <c r="D912" s="357" t="s">
        <v>188</v>
      </c>
      <c r="E912" s="271" t="s">
        <v>189</v>
      </c>
      <c r="F912" s="265">
        <f>11553-160.9</f>
        <v>11392.1</v>
      </c>
      <c r="G912" s="265">
        <f>39.7+4500+300</f>
        <v>4839.7</v>
      </c>
      <c r="H912" s="265">
        <f>F912*0.2</f>
        <v>2278.42</v>
      </c>
      <c r="I912" s="266">
        <f t="shared" si="195"/>
        <v>4273.9800000000005</v>
      </c>
      <c r="J912" s="267" t="s">
        <v>185</v>
      </c>
      <c r="K912" s="267">
        <v>1</v>
      </c>
      <c r="L912" s="267">
        <v>1</v>
      </c>
      <c r="M912" s="267">
        <v>1</v>
      </c>
      <c r="N912" s="267">
        <v>1</v>
      </c>
      <c r="O912" s="267">
        <v>1</v>
      </c>
      <c r="P912" s="314">
        <v>0</v>
      </c>
      <c r="Q912" s="314">
        <v>0</v>
      </c>
      <c r="R912" s="314">
        <v>0</v>
      </c>
      <c r="S912" s="366">
        <v>0</v>
      </c>
      <c r="T912" s="63"/>
      <c r="U912" s="10" t="s">
        <v>266</v>
      </c>
      <c r="V912" s="90"/>
      <c r="W912" s="136"/>
      <c r="X912" s="137"/>
    </row>
    <row r="913" spans="1:24" s="342" customFormat="1">
      <c r="A913" s="31" t="s">
        <v>551</v>
      </c>
      <c r="B913" s="87">
        <f>B912+1</f>
        <v>5</v>
      </c>
      <c r="C913" s="262">
        <v>45838</v>
      </c>
      <c r="D913" s="357" t="s">
        <v>257</v>
      </c>
      <c r="E913" s="264" t="s">
        <v>227</v>
      </c>
      <c r="F913" s="265">
        <v>1261</v>
      </c>
      <c r="G913" s="265">
        <v>39.700000000000003</v>
      </c>
      <c r="H913" s="265"/>
      <c r="I913" s="266">
        <f t="shared" si="195"/>
        <v>1221.3</v>
      </c>
      <c r="J913" s="267" t="s">
        <v>156</v>
      </c>
      <c r="K913" s="267">
        <v>1</v>
      </c>
      <c r="L913" s="267">
        <v>1</v>
      </c>
      <c r="M913" s="267">
        <v>1</v>
      </c>
      <c r="N913" s="267">
        <v>1</v>
      </c>
      <c r="O913" s="267">
        <v>1</v>
      </c>
      <c r="P913" s="314">
        <v>0</v>
      </c>
      <c r="Q913" s="267">
        <v>1</v>
      </c>
      <c r="R913" s="267">
        <v>1</v>
      </c>
      <c r="S913" s="366">
        <v>0</v>
      </c>
      <c r="T913" s="63"/>
      <c r="U913" s="10" t="s">
        <v>504</v>
      </c>
      <c r="V913" s="90"/>
      <c r="W913" s="91"/>
      <c r="X913" s="92"/>
    </row>
    <row r="914" spans="1:24" s="260" customFormat="1">
      <c r="A914" s="261" t="s">
        <v>483</v>
      </c>
      <c r="B914" s="87">
        <f t="shared" ref="B914:B918" si="196">B913+1</f>
        <v>6</v>
      </c>
      <c r="C914" s="274">
        <v>45835</v>
      </c>
      <c r="D914" s="320">
        <v>71077</v>
      </c>
      <c r="E914" s="276" t="s">
        <v>204</v>
      </c>
      <c r="F914" s="277">
        <v>5814</v>
      </c>
      <c r="G914" s="277">
        <f>39.7+(727.51)</f>
        <v>767.21</v>
      </c>
      <c r="H914" s="277"/>
      <c r="I914" s="321">
        <f t="shared" si="195"/>
        <v>5046.79</v>
      </c>
      <c r="J914" s="279" t="s">
        <v>236</v>
      </c>
      <c r="K914" s="279">
        <v>1</v>
      </c>
      <c r="L914" s="279">
        <v>1</v>
      </c>
      <c r="M914" s="279">
        <v>1</v>
      </c>
      <c r="N914" s="279">
        <v>1</v>
      </c>
      <c r="O914" s="279">
        <v>1</v>
      </c>
      <c r="P914" s="322">
        <v>0</v>
      </c>
      <c r="Q914" s="322">
        <v>0</v>
      </c>
      <c r="R914" s="322">
        <v>0</v>
      </c>
      <c r="S914" s="328">
        <v>0</v>
      </c>
      <c r="T914" s="63"/>
      <c r="U914" s="10" t="s">
        <v>484</v>
      </c>
      <c r="V914" s="90"/>
      <c r="W914" s="136"/>
      <c r="X914" s="137"/>
    </row>
    <row r="915" spans="1:24" s="260" customFormat="1">
      <c r="A915" s="261">
        <v>0.05</v>
      </c>
      <c r="B915" s="87">
        <f t="shared" si="196"/>
        <v>7</v>
      </c>
      <c r="C915" s="262">
        <v>45873</v>
      </c>
      <c r="D915" s="263" t="s">
        <v>448</v>
      </c>
      <c r="E915" s="271" t="s">
        <v>245</v>
      </c>
      <c r="F915" s="265">
        <v>16214</v>
      </c>
      <c r="G915" s="265">
        <f>39.7+334+(37.9+110.12+72.67+137.98)+(161.68+232.63)+1500</f>
        <v>2626.68</v>
      </c>
      <c r="H915" s="265"/>
      <c r="I915" s="266">
        <f>F915-G915-H915</f>
        <v>13587.32</v>
      </c>
      <c r="J915" s="267" t="s">
        <v>228</v>
      </c>
      <c r="K915" s="267">
        <v>1</v>
      </c>
      <c r="L915" s="267">
        <v>1</v>
      </c>
      <c r="M915" s="267">
        <v>1</v>
      </c>
      <c r="N915" s="267">
        <v>1</v>
      </c>
      <c r="O915" s="267">
        <v>1</v>
      </c>
      <c r="P915" s="267">
        <v>1</v>
      </c>
      <c r="Q915" s="314">
        <v>0</v>
      </c>
      <c r="R915" s="314">
        <v>0</v>
      </c>
      <c r="S915" s="366">
        <v>0</v>
      </c>
      <c r="T915" s="63"/>
      <c r="U915" s="94" t="s">
        <v>485</v>
      </c>
      <c r="V915" s="90"/>
      <c r="W915" s="136"/>
      <c r="X915" s="137"/>
    </row>
    <row r="916" spans="1:24" s="260" customFormat="1">
      <c r="A916" s="31" t="s">
        <v>552</v>
      </c>
      <c r="B916" s="87">
        <f t="shared" si="196"/>
        <v>8</v>
      </c>
      <c r="C916" s="274">
        <v>45877</v>
      </c>
      <c r="D916" s="327" t="s">
        <v>450</v>
      </c>
      <c r="E916" s="276" t="s">
        <v>203</v>
      </c>
      <c r="F916" s="277">
        <v>12814</v>
      </c>
      <c r="G916" s="277">
        <f>39.7+169+169+(112.49+76.96+145.18+14.16+69.11-131.35)+(95.68+286.2-8.21+27.54+29.97+79.15+27.04+302.46+51.78+24.62)+1000</f>
        <v>2580.48</v>
      </c>
      <c r="H916" s="277"/>
      <c r="I916" s="321">
        <f>F916-G916-H916</f>
        <v>10233.52</v>
      </c>
      <c r="J916" s="279" t="s">
        <v>228</v>
      </c>
      <c r="K916" s="279">
        <v>1</v>
      </c>
      <c r="L916" s="279">
        <v>1</v>
      </c>
      <c r="M916" s="279">
        <v>1</v>
      </c>
      <c r="N916" s="279">
        <v>1</v>
      </c>
      <c r="O916" s="279">
        <v>1</v>
      </c>
      <c r="P916" s="279">
        <v>1</v>
      </c>
      <c r="Q916" s="322">
        <v>0</v>
      </c>
      <c r="R916" s="322">
        <v>0</v>
      </c>
      <c r="S916" s="328">
        <v>0</v>
      </c>
      <c r="T916" s="63"/>
      <c r="U916" s="94" t="s">
        <v>531</v>
      </c>
      <c r="V916" s="90"/>
      <c r="W916" s="136"/>
      <c r="X916" s="137"/>
    </row>
    <row r="917" spans="1:24">
      <c r="A917" s="507">
        <v>0.05</v>
      </c>
      <c r="B917" s="87">
        <f t="shared" si="196"/>
        <v>9</v>
      </c>
      <c r="C917" s="645">
        <v>45896</v>
      </c>
      <c r="D917" s="357" t="s">
        <v>527</v>
      </c>
      <c r="E917" s="642" t="s">
        <v>401</v>
      </c>
      <c r="F917" s="646">
        <v>14503.6</v>
      </c>
      <c r="G917" s="646">
        <f>39.7+60.48+(103.51+131.24+75.84)+(287.37+90.69)+1000</f>
        <v>1788.83</v>
      </c>
      <c r="H917" s="646"/>
      <c r="I917" s="698">
        <f>F917-G917-H917</f>
        <v>12714.77</v>
      </c>
      <c r="J917" s="647" t="s">
        <v>185</v>
      </c>
      <c r="K917" s="647">
        <v>1</v>
      </c>
      <c r="L917" s="647">
        <v>1</v>
      </c>
      <c r="M917" s="647">
        <v>1</v>
      </c>
      <c r="N917" s="647">
        <v>1</v>
      </c>
      <c r="O917" s="647">
        <v>1</v>
      </c>
      <c r="P917" s="647">
        <v>1</v>
      </c>
      <c r="Q917" s="647">
        <v>1</v>
      </c>
      <c r="R917" s="647">
        <v>1</v>
      </c>
      <c r="S917" s="648">
        <v>1</v>
      </c>
      <c r="T917" s="537"/>
      <c r="U917" s="164" t="s">
        <v>553</v>
      </c>
      <c r="V917" s="551"/>
      <c r="W917" s="552"/>
      <c r="X917" s="553"/>
    </row>
    <row r="918" spans="1:24">
      <c r="A918" s="507" t="s">
        <v>554</v>
      </c>
      <c r="B918" s="87">
        <f t="shared" si="196"/>
        <v>10</v>
      </c>
      <c r="C918" s="645">
        <v>45897</v>
      </c>
      <c r="D918" s="357" t="s">
        <v>529</v>
      </c>
      <c r="E918" s="642" t="s">
        <v>523</v>
      </c>
      <c r="F918" s="646">
        <v>14592.6</v>
      </c>
      <c r="G918" s="646">
        <f>39.7+65.72+(175.26)+(561.09+485.07)+1000</f>
        <v>2326.84</v>
      </c>
      <c r="H918" s="646"/>
      <c r="I918" s="649">
        <f t="shared" ref="I918" si="197">F918-G918-H918</f>
        <v>12265.76</v>
      </c>
      <c r="J918" s="647" t="s">
        <v>228</v>
      </c>
      <c r="K918" s="647">
        <v>1</v>
      </c>
      <c r="L918" s="647">
        <v>1</v>
      </c>
      <c r="M918" s="314">
        <v>0</v>
      </c>
      <c r="N918" s="647">
        <v>1</v>
      </c>
      <c r="O918" s="647">
        <v>1</v>
      </c>
      <c r="P918" s="647">
        <v>1</v>
      </c>
      <c r="Q918" s="647">
        <v>1</v>
      </c>
      <c r="R918" s="647">
        <v>1</v>
      </c>
      <c r="S918" s="648">
        <v>1</v>
      </c>
      <c r="T918" s="537"/>
      <c r="U918" s="164" t="s">
        <v>555</v>
      </c>
      <c r="V918" s="551">
        <v>4444.8599999999997</v>
      </c>
      <c r="W918" s="552"/>
      <c r="X918" s="553"/>
    </row>
    <row r="919" spans="1:24" s="260" customFormat="1">
      <c r="A919" s="181"/>
      <c r="B919" s="11"/>
      <c r="C919" s="36"/>
      <c r="D919" s="77"/>
      <c r="E919" s="10"/>
      <c r="F919" s="97">
        <f>SUM(F909:F918)</f>
        <v>97065.400000000009</v>
      </c>
      <c r="G919" s="97">
        <f t="shared" ref="G919:I919" si="198">SUM(G909:G918)</f>
        <v>17335.87</v>
      </c>
      <c r="H919" s="97">
        <f t="shared" si="198"/>
        <v>6121.0400000000009</v>
      </c>
      <c r="I919" s="97">
        <f t="shared" si="198"/>
        <v>73608.490000000005</v>
      </c>
      <c r="K919" s="21"/>
      <c r="L919" s="21"/>
      <c r="M919" s="21"/>
      <c r="N919" s="21"/>
      <c r="O919" s="21"/>
      <c r="P919" s="21"/>
      <c r="Q919" s="21"/>
      <c r="R919" s="21"/>
      <c r="S919" s="21"/>
      <c r="T919" s="63"/>
      <c r="U919" s="10"/>
      <c r="V919" s="90"/>
      <c r="W919" s="91"/>
      <c r="X919" s="92"/>
    </row>
    <row r="920" spans="1:24" s="260" customFormat="1">
      <c r="A920" s="181"/>
      <c r="B920" s="11"/>
      <c r="C920" s="36"/>
      <c r="D920" s="77"/>
      <c r="E920" s="10"/>
      <c r="F920" s="88"/>
      <c r="G920" s="88"/>
      <c r="H920" s="88"/>
      <c r="I920" s="99"/>
      <c r="J920" s="63"/>
      <c r="K920" s="21"/>
      <c r="L920" s="21"/>
      <c r="M920" s="21"/>
      <c r="N920" s="21"/>
      <c r="O920" s="21"/>
      <c r="P920" s="21"/>
      <c r="Q920" s="21"/>
      <c r="R920" s="21"/>
      <c r="S920" s="21"/>
      <c r="T920" s="63"/>
      <c r="U920" s="10"/>
      <c r="V920" s="90"/>
      <c r="W920" s="91"/>
      <c r="X920" s="92"/>
    </row>
    <row r="921" spans="1:24" s="260" customFormat="1">
      <c r="A921" s="181"/>
      <c r="B921" s="100" t="s">
        <v>202</v>
      </c>
      <c r="C921" s="299"/>
      <c r="D921" s="77"/>
      <c r="E921" s="181"/>
      <c r="F921" s="88"/>
      <c r="G921" s="88"/>
      <c r="H921" s="88"/>
      <c r="I921" s="99"/>
      <c r="J921" s="63"/>
      <c r="K921" s="21"/>
      <c r="L921" s="21"/>
      <c r="M921" s="21"/>
      <c r="N921" s="21"/>
      <c r="O921" s="21"/>
      <c r="P921" s="21"/>
      <c r="Q921" s="21"/>
      <c r="R921" s="21"/>
      <c r="S921" s="21"/>
      <c r="T921" s="63"/>
      <c r="U921" s="10"/>
      <c r="V921" s="90"/>
      <c r="W921" s="91"/>
      <c r="X921" s="92"/>
    </row>
    <row r="922" spans="1:24" s="260" customFormat="1">
      <c r="A922" s="261">
        <v>0.05</v>
      </c>
      <c r="B922" s="87">
        <v>1</v>
      </c>
      <c r="C922" s="262">
        <v>45847</v>
      </c>
      <c r="D922" s="263">
        <v>71343</v>
      </c>
      <c r="E922" s="271" t="s">
        <v>184</v>
      </c>
      <c r="F922" s="265">
        <v>2814</v>
      </c>
      <c r="G922" s="265">
        <f>39.7+(36.22+222.93)</f>
        <v>298.84999999999997</v>
      </c>
      <c r="H922" s="265"/>
      <c r="I922" s="266">
        <f>F922-G922-H922</f>
        <v>2515.15</v>
      </c>
      <c r="J922" s="267" t="s">
        <v>156</v>
      </c>
      <c r="K922" s="267">
        <v>1</v>
      </c>
      <c r="L922" s="267"/>
      <c r="M922" s="267">
        <v>1</v>
      </c>
      <c r="N922" s="267">
        <v>1</v>
      </c>
      <c r="O922" s="267">
        <v>1</v>
      </c>
      <c r="P922" s="314">
        <v>0</v>
      </c>
      <c r="Q922" s="267"/>
      <c r="R922" s="267"/>
      <c r="S922" s="269"/>
      <c r="T922" s="63"/>
      <c r="U922" s="94" t="s">
        <v>359</v>
      </c>
      <c r="V922" s="90"/>
      <c r="W922" s="136"/>
      <c r="X922" s="137"/>
    </row>
    <row r="923" spans="1:24" s="260" customFormat="1">
      <c r="A923" s="261">
        <v>0.05</v>
      </c>
      <c r="B923" s="87">
        <f>B922+1</f>
        <v>2</v>
      </c>
      <c r="C923" s="262">
        <v>45881</v>
      </c>
      <c r="D923" s="263" t="s">
        <v>480</v>
      </c>
      <c r="E923" s="309" t="s">
        <v>456</v>
      </c>
      <c r="F923" s="265">
        <v>8614</v>
      </c>
      <c r="G923" s="265">
        <f>39.7+495+(278.1+41.8-83.55)+1500</f>
        <v>2271.0500000000002</v>
      </c>
      <c r="H923" s="265"/>
      <c r="I923" s="272">
        <f t="shared" ref="I923" si="199">F923-G923-H923</f>
        <v>6342.95</v>
      </c>
      <c r="J923" s="267" t="s">
        <v>228</v>
      </c>
      <c r="K923" s="267">
        <v>1</v>
      </c>
      <c r="L923" s="267"/>
      <c r="M923" s="267">
        <v>1</v>
      </c>
      <c r="N923" s="267">
        <v>1</v>
      </c>
      <c r="O923" s="267">
        <v>1</v>
      </c>
      <c r="P923" s="267">
        <v>1</v>
      </c>
      <c r="Q923" s="267"/>
      <c r="R923" s="267"/>
      <c r="S923" s="269"/>
      <c r="T923" s="63"/>
      <c r="U923" s="94" t="s">
        <v>505</v>
      </c>
      <c r="V923" s="90"/>
      <c r="W923" s="136"/>
      <c r="X923" s="137"/>
    </row>
    <row r="924" spans="1:24" s="260" customFormat="1">
      <c r="B924" s="11"/>
      <c r="C924" s="36"/>
      <c r="D924" s="10"/>
      <c r="E924" s="10"/>
      <c r="F924" s="97">
        <f>SUM(F922:F923)</f>
        <v>11428</v>
      </c>
      <c r="G924" s="97">
        <f>SUM(G922:G923)</f>
        <v>2569.9</v>
      </c>
      <c r="H924" s="97">
        <f>SUM(H922:H923)</f>
        <v>0</v>
      </c>
      <c r="I924" s="97">
        <f>SUM(I922:I923)</f>
        <v>8858.1</v>
      </c>
      <c r="J924" s="63"/>
      <c r="K924" s="21"/>
      <c r="L924" s="21"/>
      <c r="M924" s="21"/>
      <c r="N924" s="21"/>
      <c r="O924" s="21"/>
      <c r="P924" s="21"/>
      <c r="Q924" s="21"/>
      <c r="R924" s="21"/>
      <c r="S924" s="21"/>
      <c r="T924" s="63"/>
      <c r="U924" s="10"/>
      <c r="V924" s="90"/>
      <c r="W924" s="91"/>
      <c r="X924" s="92"/>
    </row>
    <row r="925" spans="1:24" s="260" customFormat="1">
      <c r="B925" s="11"/>
      <c r="C925" s="36"/>
      <c r="D925" s="10"/>
      <c r="E925" s="10"/>
      <c r="F925" s="88"/>
      <c r="G925" s="88"/>
      <c r="H925" s="88"/>
      <c r="I925" s="88"/>
      <c r="J925" s="63"/>
      <c r="K925" s="21"/>
      <c r="L925" s="21"/>
      <c r="M925" s="21"/>
      <c r="N925" s="21"/>
      <c r="O925" s="21"/>
      <c r="P925" s="21"/>
      <c r="Q925" s="21"/>
      <c r="R925" s="21"/>
      <c r="S925" s="21"/>
      <c r="T925" s="63"/>
      <c r="U925" s="10"/>
      <c r="V925" s="90"/>
      <c r="W925" s="91"/>
      <c r="X925" s="92"/>
    </row>
    <row r="926" spans="1:24">
      <c r="B926" s="100" t="s">
        <v>72</v>
      </c>
      <c r="C926" s="609"/>
      <c r="D926" s="10"/>
      <c r="E926" s="10"/>
      <c r="F926" s="88"/>
      <c r="G926" s="88"/>
      <c r="H926" s="88"/>
      <c r="I926" s="99"/>
      <c r="J926" s="63"/>
      <c r="K926" s="63"/>
      <c r="L926" s="63"/>
      <c r="M926" s="63"/>
      <c r="N926" s="63"/>
      <c r="O926" s="63"/>
      <c r="P926" s="63"/>
      <c r="Q926" s="63"/>
      <c r="R926" s="63"/>
      <c r="S926" s="63"/>
      <c r="T926" s="63"/>
      <c r="U926" s="10"/>
      <c r="V926" s="90"/>
      <c r="W926" s="91"/>
      <c r="X926" s="92"/>
    </row>
    <row r="927" spans="1:24">
      <c r="B927" s="87">
        <v>1</v>
      </c>
      <c r="C927" s="274">
        <v>45901</v>
      </c>
      <c r="D927" s="276">
        <v>72820</v>
      </c>
      <c r="E927" s="276" t="s">
        <v>556</v>
      </c>
      <c r="F927" s="277">
        <v>6214</v>
      </c>
      <c r="G927" s="277">
        <v>39.700000000000003</v>
      </c>
      <c r="H927" s="277"/>
      <c r="I927" s="278">
        <f t="shared" ref="I927:I939" si="200">F927-G927-H927</f>
        <v>6174.3</v>
      </c>
      <c r="J927" s="279" t="s">
        <v>205</v>
      </c>
      <c r="K927" s="279">
        <v>1</v>
      </c>
      <c r="L927" s="279"/>
      <c r="M927" s="279"/>
      <c r="N927" s="279">
        <v>1</v>
      </c>
      <c r="O927" s="279"/>
      <c r="P927" s="279"/>
      <c r="Q927" s="279">
        <v>1</v>
      </c>
      <c r="R927" s="279">
        <v>1</v>
      </c>
      <c r="S927" s="280">
        <v>1</v>
      </c>
      <c r="T927" s="63"/>
      <c r="U927" s="3"/>
      <c r="V927" s="90"/>
      <c r="W927" s="91"/>
      <c r="X927" s="92"/>
    </row>
    <row r="928" spans="1:24">
      <c r="B928" s="87">
        <f t="shared" ref="B928:B939" si="201">B927+1</f>
        <v>2</v>
      </c>
      <c r="C928" s="295">
        <v>45901</v>
      </c>
      <c r="D928" s="10">
        <v>72829</v>
      </c>
      <c r="E928" s="10" t="s">
        <v>253</v>
      </c>
      <c r="F928" s="62">
        <v>1628</v>
      </c>
      <c r="G928" s="62">
        <v>39.700000000000003</v>
      </c>
      <c r="H928" s="62"/>
      <c r="I928" s="89">
        <f>F928-G928-H928</f>
        <v>1588.3</v>
      </c>
      <c r="J928" s="63" t="s">
        <v>205</v>
      </c>
      <c r="K928" s="63">
        <v>1</v>
      </c>
      <c r="L928" s="63"/>
      <c r="M928" s="63"/>
      <c r="N928" s="63">
        <v>1</v>
      </c>
      <c r="O928" s="63"/>
      <c r="P928" s="63"/>
      <c r="Q928" s="63"/>
      <c r="R928" s="63"/>
      <c r="S928" s="296"/>
      <c r="T928" s="63"/>
      <c r="U928" s="94" t="s">
        <v>557</v>
      </c>
      <c r="V928" s="90"/>
      <c r="W928" s="136"/>
      <c r="X928" s="137"/>
    </row>
    <row r="929" spans="2:24">
      <c r="B929" s="87">
        <f t="shared" si="201"/>
        <v>3</v>
      </c>
      <c r="C929" s="295">
        <v>45901</v>
      </c>
      <c r="D929" s="10">
        <v>72834</v>
      </c>
      <c r="E929" s="10" t="s">
        <v>344</v>
      </c>
      <c r="F929" s="62">
        <v>6214</v>
      </c>
      <c r="G929" s="62">
        <f>39.7</f>
        <v>39.700000000000003</v>
      </c>
      <c r="H929" s="62"/>
      <c r="I929" s="89">
        <f t="shared" si="200"/>
        <v>6174.3</v>
      </c>
      <c r="J929" s="63" t="s">
        <v>205</v>
      </c>
      <c r="K929" s="63">
        <v>1</v>
      </c>
      <c r="L929" s="63"/>
      <c r="M929" s="63"/>
      <c r="N929" s="63">
        <v>1</v>
      </c>
      <c r="O929" s="63"/>
      <c r="P929" s="63"/>
      <c r="Q929" s="63">
        <v>1</v>
      </c>
      <c r="R929" s="63">
        <v>1</v>
      </c>
      <c r="S929" s="296">
        <v>1</v>
      </c>
      <c r="T929" s="63"/>
      <c r="U929" s="10"/>
      <c r="V929" s="90"/>
      <c r="W929" s="136"/>
      <c r="X929" s="137"/>
    </row>
    <row r="930" spans="2:24">
      <c r="B930" s="87">
        <f t="shared" si="201"/>
        <v>4</v>
      </c>
      <c r="C930" s="295">
        <v>45901</v>
      </c>
      <c r="D930" s="10">
        <v>72461</v>
      </c>
      <c r="E930" s="10" t="s">
        <v>558</v>
      </c>
      <c r="F930" s="62">
        <v>613</v>
      </c>
      <c r="G930" s="62"/>
      <c r="H930" s="62"/>
      <c r="I930" s="89">
        <f t="shared" si="200"/>
        <v>613</v>
      </c>
      <c r="J930" s="63" t="s">
        <v>205</v>
      </c>
      <c r="K930" s="63">
        <v>1</v>
      </c>
      <c r="L930" s="63"/>
      <c r="M930" s="63"/>
      <c r="N930" s="63">
        <v>1</v>
      </c>
      <c r="O930" s="63"/>
      <c r="P930" s="63"/>
      <c r="Q930" s="63">
        <v>1</v>
      </c>
      <c r="R930" s="63">
        <v>1</v>
      </c>
      <c r="S930" s="296"/>
      <c r="T930" s="63"/>
      <c r="U930" s="10"/>
      <c r="V930" s="90"/>
      <c r="W930" s="136"/>
      <c r="X930" s="137"/>
    </row>
    <row r="931" spans="2:24">
      <c r="B931" s="87">
        <f t="shared" si="201"/>
        <v>5</v>
      </c>
      <c r="C931" s="295">
        <v>45901</v>
      </c>
      <c r="D931" s="10">
        <v>72827</v>
      </c>
      <c r="E931" s="10" t="s">
        <v>377</v>
      </c>
      <c r="F931" s="62">
        <v>1138</v>
      </c>
      <c r="G931" s="62">
        <v>39.700000000000003</v>
      </c>
      <c r="H931" s="62"/>
      <c r="I931" s="89">
        <f t="shared" si="200"/>
        <v>1098.3</v>
      </c>
      <c r="J931" s="63" t="s">
        <v>205</v>
      </c>
      <c r="K931" s="63">
        <v>1</v>
      </c>
      <c r="L931" s="63"/>
      <c r="M931" s="63"/>
      <c r="N931" s="63">
        <v>1</v>
      </c>
      <c r="O931" s="63"/>
      <c r="P931" s="63"/>
      <c r="Q931" s="63">
        <v>1</v>
      </c>
      <c r="R931" s="63">
        <v>1</v>
      </c>
      <c r="S931" s="296">
        <v>1</v>
      </c>
      <c r="T931" s="63"/>
      <c r="U931" s="10"/>
      <c r="V931" s="90"/>
      <c r="W931" s="136"/>
      <c r="X931" s="137"/>
    </row>
    <row r="932" spans="2:24">
      <c r="B932" s="87">
        <f t="shared" si="201"/>
        <v>6</v>
      </c>
      <c r="C932" s="274">
        <v>45902</v>
      </c>
      <c r="D932" s="276" t="s">
        <v>559</v>
      </c>
      <c r="E932" s="281" t="s">
        <v>349</v>
      </c>
      <c r="F932" s="277">
        <v>7076</v>
      </c>
      <c r="G932" s="277">
        <v>39.700000000000003</v>
      </c>
      <c r="H932" s="277"/>
      <c r="I932" s="278">
        <f t="shared" si="200"/>
        <v>7036.3</v>
      </c>
      <c r="J932" s="279" t="s">
        <v>205</v>
      </c>
      <c r="K932" s="279">
        <v>1</v>
      </c>
      <c r="L932" s="279"/>
      <c r="M932" s="279"/>
      <c r="N932" s="279">
        <v>1</v>
      </c>
      <c r="O932" s="279"/>
      <c r="P932" s="279">
        <v>1</v>
      </c>
      <c r="Q932" s="279"/>
      <c r="R932" s="279"/>
      <c r="S932" s="280"/>
      <c r="T932" s="63">
        <v>1</v>
      </c>
      <c r="U932" s="10"/>
      <c r="V932" s="90"/>
      <c r="W932" s="136"/>
      <c r="X932" s="137"/>
    </row>
    <row r="933" spans="2:24">
      <c r="B933" s="87">
        <f t="shared" si="201"/>
        <v>7</v>
      </c>
      <c r="C933" s="274">
        <v>45903</v>
      </c>
      <c r="D933" s="276">
        <v>72926</v>
      </c>
      <c r="E933" s="281" t="s">
        <v>344</v>
      </c>
      <c r="F933" s="277">
        <v>2261</v>
      </c>
      <c r="G933" s="277">
        <v>39.700000000000003</v>
      </c>
      <c r="H933" s="277"/>
      <c r="I933" s="278">
        <f t="shared" si="200"/>
        <v>2221.3000000000002</v>
      </c>
      <c r="J933" s="279" t="s">
        <v>205</v>
      </c>
      <c r="K933" s="279">
        <v>1</v>
      </c>
      <c r="L933" s="279"/>
      <c r="M933" s="279"/>
      <c r="N933" s="279">
        <v>1</v>
      </c>
      <c r="O933" s="279"/>
      <c r="P933" s="279"/>
      <c r="Q933" s="279">
        <v>1</v>
      </c>
      <c r="R933" s="279">
        <v>1</v>
      </c>
      <c r="S933" s="280">
        <v>1</v>
      </c>
      <c r="T933" s="63"/>
      <c r="U933" s="10"/>
      <c r="V933" s="90"/>
      <c r="W933" s="136"/>
      <c r="X933" s="137"/>
    </row>
    <row r="934" spans="2:24">
      <c r="B934" s="87">
        <f t="shared" si="201"/>
        <v>8</v>
      </c>
      <c r="C934" s="274">
        <v>45904</v>
      </c>
      <c r="D934" s="276">
        <v>72962</v>
      </c>
      <c r="E934" s="281" t="s">
        <v>294</v>
      </c>
      <c r="F934" s="277">
        <v>6814</v>
      </c>
      <c r="G934" s="277">
        <v>39.700000000000003</v>
      </c>
      <c r="H934" s="277"/>
      <c r="I934" s="278">
        <f t="shared" si="200"/>
        <v>6774.3</v>
      </c>
      <c r="J934" s="279" t="s">
        <v>156</v>
      </c>
      <c r="K934" s="279">
        <v>1</v>
      </c>
      <c r="L934" s="279"/>
      <c r="M934" s="279">
        <v>1</v>
      </c>
      <c r="N934" s="279">
        <v>1</v>
      </c>
      <c r="O934" s="279"/>
      <c r="P934" s="279"/>
      <c r="Q934" s="279">
        <v>1</v>
      </c>
      <c r="R934" s="279">
        <v>1</v>
      </c>
      <c r="S934" s="280">
        <v>1</v>
      </c>
      <c r="T934" s="63"/>
      <c r="U934" s="10"/>
      <c r="V934" s="90">
        <v>93.5</v>
      </c>
      <c r="W934" s="136"/>
      <c r="X934" s="137"/>
    </row>
    <row r="935" spans="2:24">
      <c r="B935" s="87">
        <f t="shared" si="201"/>
        <v>9</v>
      </c>
      <c r="C935" s="295">
        <v>45904</v>
      </c>
      <c r="D935" s="10">
        <v>72972</v>
      </c>
      <c r="E935" s="101" t="s">
        <v>172</v>
      </c>
      <c r="F935" s="62">
        <v>2751</v>
      </c>
      <c r="G935" s="62">
        <v>39.700000000000003</v>
      </c>
      <c r="H935" s="62"/>
      <c r="I935" s="89">
        <f t="shared" si="200"/>
        <v>2711.3</v>
      </c>
      <c r="J935" s="63" t="s">
        <v>205</v>
      </c>
      <c r="K935" s="63">
        <v>1</v>
      </c>
      <c r="L935" s="63"/>
      <c r="M935" s="63"/>
      <c r="N935" s="63">
        <v>1</v>
      </c>
      <c r="O935" s="63"/>
      <c r="P935" s="63"/>
      <c r="Q935" s="63">
        <v>1</v>
      </c>
      <c r="R935" s="63">
        <v>1</v>
      </c>
      <c r="S935" s="296">
        <v>1</v>
      </c>
      <c r="T935" s="63"/>
      <c r="U935" s="10"/>
      <c r="V935" s="90"/>
      <c r="W935" s="136"/>
      <c r="X935" s="137"/>
    </row>
    <row r="936" spans="2:24">
      <c r="B936" s="87">
        <f t="shared" si="201"/>
        <v>10</v>
      </c>
      <c r="C936" s="295">
        <v>45904</v>
      </c>
      <c r="D936" s="10">
        <v>72999</v>
      </c>
      <c r="E936" s="101" t="s">
        <v>158</v>
      </c>
      <c r="F936" s="62">
        <v>1376</v>
      </c>
      <c r="G936" s="62">
        <v>39.700000000000003</v>
      </c>
      <c r="H936" s="62"/>
      <c r="I936" s="89">
        <f t="shared" si="200"/>
        <v>1336.3</v>
      </c>
      <c r="J936" s="63" t="s">
        <v>205</v>
      </c>
      <c r="K936" s="63">
        <v>1</v>
      </c>
      <c r="L936" s="63"/>
      <c r="M936" s="63"/>
      <c r="N936" s="63">
        <v>1</v>
      </c>
      <c r="O936" s="63"/>
      <c r="P936" s="63"/>
      <c r="Q936" s="63">
        <v>1</v>
      </c>
      <c r="R936" s="63">
        <v>1</v>
      </c>
      <c r="S936" s="296">
        <v>1</v>
      </c>
      <c r="T936" s="63"/>
      <c r="U936" s="10"/>
      <c r="V936" s="90"/>
      <c r="W936" s="136"/>
      <c r="X936" s="137"/>
    </row>
    <row r="937" spans="2:24">
      <c r="B937" s="87">
        <f t="shared" si="201"/>
        <v>11</v>
      </c>
      <c r="C937" s="274">
        <v>45905</v>
      </c>
      <c r="D937" s="276">
        <v>72658</v>
      </c>
      <c r="E937" s="281" t="s">
        <v>196</v>
      </c>
      <c r="F937" s="277">
        <v>3214</v>
      </c>
      <c r="G937" s="277">
        <v>39.700000000000003</v>
      </c>
      <c r="H937" s="277"/>
      <c r="I937" s="278">
        <f t="shared" si="200"/>
        <v>3174.3</v>
      </c>
      <c r="J937" s="279" t="s">
        <v>205</v>
      </c>
      <c r="K937" s="279">
        <v>1</v>
      </c>
      <c r="L937" s="279"/>
      <c r="M937" s="279"/>
      <c r="N937" s="279">
        <v>1</v>
      </c>
      <c r="O937" s="279"/>
      <c r="P937" s="279"/>
      <c r="Q937" s="279">
        <v>1</v>
      </c>
      <c r="R937" s="279">
        <v>1</v>
      </c>
      <c r="S937" s="280">
        <v>1</v>
      </c>
      <c r="T937" s="63"/>
      <c r="U937" s="10"/>
      <c r="V937" s="90"/>
      <c r="W937" s="136"/>
      <c r="X937" s="137"/>
    </row>
    <row r="938" spans="2:24">
      <c r="B938" s="87">
        <f t="shared" si="201"/>
        <v>12</v>
      </c>
      <c r="C938" s="295">
        <v>45905</v>
      </c>
      <c r="D938" s="10">
        <v>73029</v>
      </c>
      <c r="E938" s="101" t="s">
        <v>294</v>
      </c>
      <c r="F938" s="62">
        <v>1681</v>
      </c>
      <c r="G938" s="62">
        <v>39.700000000000003</v>
      </c>
      <c r="H938" s="62"/>
      <c r="I938" s="89">
        <f t="shared" si="200"/>
        <v>1641.3</v>
      </c>
      <c r="J938" s="63" t="s">
        <v>205</v>
      </c>
      <c r="K938" s="63">
        <v>1</v>
      </c>
      <c r="L938" s="63"/>
      <c r="M938" s="63"/>
      <c r="N938" s="63">
        <v>1</v>
      </c>
      <c r="O938" s="63"/>
      <c r="P938" s="63"/>
      <c r="Q938" s="63">
        <v>1</v>
      </c>
      <c r="R938" s="63">
        <v>1</v>
      </c>
      <c r="S938" s="296">
        <v>1</v>
      </c>
      <c r="T938" s="63"/>
      <c r="U938" s="10"/>
      <c r="V938" s="90"/>
      <c r="W938" s="136"/>
      <c r="X938" s="137"/>
    </row>
    <row r="939" spans="2:24">
      <c r="B939" s="87">
        <f t="shared" si="201"/>
        <v>13</v>
      </c>
      <c r="C939" s="282">
        <v>45905</v>
      </c>
      <c r="D939" s="283">
        <v>73028</v>
      </c>
      <c r="E939" s="319" t="s">
        <v>306</v>
      </c>
      <c r="F939" s="284">
        <v>11075</v>
      </c>
      <c r="G939" s="284">
        <v>39.700000000000003</v>
      </c>
      <c r="H939" s="284"/>
      <c r="I939" s="285">
        <f t="shared" si="200"/>
        <v>11035.3</v>
      </c>
      <c r="J939" s="286" t="s">
        <v>205</v>
      </c>
      <c r="K939" s="286">
        <v>1</v>
      </c>
      <c r="L939" s="286"/>
      <c r="M939" s="286"/>
      <c r="N939" s="286">
        <v>1</v>
      </c>
      <c r="O939" s="286"/>
      <c r="P939" s="286"/>
      <c r="Q939" s="286">
        <v>1</v>
      </c>
      <c r="R939" s="286">
        <v>1</v>
      </c>
      <c r="S939" s="287">
        <v>1</v>
      </c>
      <c r="T939" s="63"/>
      <c r="U939" s="10"/>
      <c r="V939" s="90"/>
      <c r="W939" s="136"/>
      <c r="X939" s="137"/>
    </row>
    <row r="940" spans="2:24">
      <c r="B940" s="11"/>
      <c r="C940" s="609"/>
      <c r="D940" s="10"/>
      <c r="E940" s="10"/>
      <c r="F940" s="97">
        <f>SUM(F927:F939)</f>
        <v>52055</v>
      </c>
      <c r="G940" s="97">
        <f>SUM(G927:G939)</f>
        <v>476.39999999999992</v>
      </c>
      <c r="H940" s="97">
        <f>SUM(H927:H939)</f>
        <v>0</v>
      </c>
      <c r="I940" s="98">
        <f>SUM(I927:I939)</f>
        <v>51578.600000000006</v>
      </c>
      <c r="J940" s="10"/>
      <c r="K940" s="10"/>
      <c r="L940" s="10"/>
      <c r="M940" s="10"/>
      <c r="N940" s="10"/>
      <c r="O940" s="10"/>
      <c r="P940" s="10"/>
      <c r="Q940" s="10"/>
      <c r="R940" s="10"/>
      <c r="S940" s="10"/>
      <c r="T940" s="63"/>
      <c r="U940" s="10"/>
      <c r="V940" s="138"/>
      <c r="W940" s="136"/>
      <c r="X940" s="137"/>
    </row>
    <row r="941" spans="2:24">
      <c r="B941" s="26"/>
      <c r="C941" s="612"/>
      <c r="D941" s="141"/>
      <c r="E941" s="141"/>
      <c r="F941" s="141"/>
      <c r="G941" s="141"/>
      <c r="H941" s="141"/>
      <c r="I941" s="141"/>
      <c r="J941" s="141"/>
      <c r="K941" s="142"/>
      <c r="L941" s="142"/>
      <c r="M941" s="142"/>
      <c r="N941" s="142"/>
      <c r="O941" s="142"/>
      <c r="P941" s="142"/>
      <c r="Q941" s="142"/>
      <c r="R941" s="142"/>
      <c r="S941" s="142"/>
      <c r="T941" s="143">
        <f>SUM(T883:T940)</f>
        <v>11</v>
      </c>
      <c r="U941" s="141"/>
      <c r="V941" s="144">
        <f>SUM(V883:V940)</f>
        <v>24775.040000000001</v>
      </c>
      <c r="W941" s="144">
        <f>SUM(W883:W940)</f>
        <v>3840</v>
      </c>
      <c r="X941" s="144">
        <f>SUM(X883:X940)</f>
        <v>0</v>
      </c>
    </row>
    <row r="942" spans="2:24">
      <c r="B942" s="10"/>
      <c r="C942" s="36"/>
      <c r="D942" s="10"/>
      <c r="E942" s="10"/>
      <c r="F942" s="10"/>
      <c r="G942" s="10"/>
      <c r="H942" s="10"/>
      <c r="I942" s="10"/>
      <c r="J942" s="10"/>
      <c r="K942" s="147"/>
      <c r="L942" s="147"/>
      <c r="M942" s="147"/>
      <c r="N942" s="147"/>
      <c r="O942" s="147"/>
      <c r="P942" s="147"/>
      <c r="Q942" s="147"/>
      <c r="R942" s="147"/>
      <c r="S942" s="147"/>
      <c r="T942" s="21"/>
      <c r="U942" s="10"/>
      <c r="V942" s="99"/>
      <c r="W942" s="99"/>
      <c r="X942" s="99"/>
    </row>
    <row r="944" spans="2:24">
      <c r="B944" s="4" t="s">
        <v>1</v>
      </c>
      <c r="C944" s="5"/>
      <c r="D944" s="6"/>
      <c r="E944" s="6"/>
      <c r="F944" s="7" t="s">
        <v>2</v>
      </c>
      <c r="G944" s="608">
        <v>45914</v>
      </c>
      <c r="H944" s="7"/>
      <c r="I944" s="6"/>
      <c r="J944" s="6"/>
      <c r="K944" s="6"/>
      <c r="L944" s="6"/>
      <c r="M944" s="6"/>
      <c r="N944" s="6"/>
      <c r="O944" s="6"/>
      <c r="P944" s="6"/>
      <c r="Q944" s="6"/>
      <c r="R944" s="6"/>
      <c r="S944" s="6"/>
      <c r="T944" s="6"/>
      <c r="U944" s="9"/>
      <c r="V944" s="10"/>
      <c r="W944" s="10"/>
      <c r="X944" s="10"/>
    </row>
    <row r="945" spans="2:24">
      <c r="B945" s="11"/>
      <c r="C945" s="10"/>
      <c r="D945" s="10"/>
      <c r="E945" s="10"/>
      <c r="F945" s="10"/>
      <c r="G945" s="7"/>
      <c r="H945" s="12"/>
      <c r="I945" s="10"/>
      <c r="J945" s="10"/>
      <c r="K945" s="13" t="s">
        <v>3</v>
      </c>
      <c r="L945" s="14"/>
      <c r="M945" s="15"/>
      <c r="N945" s="13" t="s">
        <v>4</v>
      </c>
      <c r="O945" s="14"/>
      <c r="P945" s="15"/>
      <c r="Q945" s="13" t="s">
        <v>5</v>
      </c>
      <c r="R945" s="14"/>
      <c r="S945" s="15"/>
      <c r="T945" s="16"/>
      <c r="U945" s="17"/>
      <c r="V945" s="10"/>
      <c r="W945" s="10"/>
      <c r="X945" s="10"/>
    </row>
    <row r="946" spans="2:24">
      <c r="B946" s="18" t="s">
        <v>6</v>
      </c>
      <c r="C946" s="19">
        <f>C947+C948</f>
        <v>23</v>
      </c>
      <c r="D946" s="10"/>
      <c r="E946" s="18" t="s">
        <v>7</v>
      </c>
      <c r="F946" s="6"/>
      <c r="G946" s="9"/>
      <c r="H946" s="10"/>
      <c r="I946" s="10"/>
      <c r="J946" s="10"/>
      <c r="K946" s="20" t="s">
        <v>8</v>
      </c>
      <c r="L946" s="21" t="s">
        <v>9</v>
      </c>
      <c r="M946" s="21" t="s">
        <v>10</v>
      </c>
      <c r="N946" s="20" t="s">
        <v>11</v>
      </c>
      <c r="O946" s="21" t="s">
        <v>12</v>
      </c>
      <c r="P946" s="22" t="s">
        <v>13</v>
      </c>
      <c r="Q946" s="21" t="s">
        <v>11</v>
      </c>
      <c r="R946" s="21" t="s">
        <v>12</v>
      </c>
      <c r="S946" s="22" t="s">
        <v>13</v>
      </c>
      <c r="T946" s="23" t="s">
        <v>14</v>
      </c>
      <c r="U946" s="17"/>
      <c r="V946" s="10"/>
      <c r="W946" s="10"/>
      <c r="X946" s="10"/>
    </row>
    <row r="947" spans="2:24">
      <c r="B947" s="24" t="s">
        <v>15</v>
      </c>
      <c r="C947" s="25">
        <f>P954</f>
        <v>13</v>
      </c>
      <c r="D947" s="10"/>
      <c r="E947" s="26" t="s">
        <v>16</v>
      </c>
      <c r="F947" s="27">
        <v>0.05</v>
      </c>
      <c r="G947" s="28"/>
      <c r="H947" s="10"/>
      <c r="I947" s="10"/>
      <c r="J947" s="18" t="s">
        <v>17</v>
      </c>
      <c r="K947" s="29">
        <f>K984</f>
        <v>12</v>
      </c>
      <c r="L947" s="29">
        <f t="shared" ref="L947:S947" si="202">L984</f>
        <v>11</v>
      </c>
      <c r="M947" s="29">
        <f t="shared" si="202"/>
        <v>11</v>
      </c>
      <c r="N947" s="29">
        <f t="shared" si="202"/>
        <v>12</v>
      </c>
      <c r="O947" s="29">
        <f t="shared" si="202"/>
        <v>12</v>
      </c>
      <c r="P947" s="29">
        <f t="shared" si="202"/>
        <v>12</v>
      </c>
      <c r="Q947" s="29">
        <f t="shared" si="202"/>
        <v>12</v>
      </c>
      <c r="R947" s="29">
        <f t="shared" si="202"/>
        <v>11</v>
      </c>
      <c r="S947" s="29">
        <f t="shared" si="202"/>
        <v>11</v>
      </c>
      <c r="T947" s="30">
        <f>T1024</f>
        <v>9</v>
      </c>
      <c r="U947" s="17" t="s">
        <v>560</v>
      </c>
      <c r="V947" s="10"/>
      <c r="W947" s="10"/>
      <c r="X947" s="10"/>
    </row>
    <row r="948" spans="2:24">
      <c r="B948" s="24" t="s">
        <v>18</v>
      </c>
      <c r="C948" s="25">
        <f>P955</f>
        <v>10</v>
      </c>
      <c r="D948" s="10"/>
      <c r="E948" s="10"/>
      <c r="F948" s="10"/>
      <c r="G948" s="31"/>
      <c r="H948" s="10"/>
      <c r="I948" s="10"/>
      <c r="J948" s="32" t="s">
        <v>19</v>
      </c>
      <c r="K948" s="33">
        <f>K984/K983</f>
        <v>1</v>
      </c>
      <c r="L948" s="33">
        <f t="shared" ref="L948:S948" si="203">L984/L983</f>
        <v>0.91666666666666663</v>
      </c>
      <c r="M948" s="33">
        <f t="shared" si="203"/>
        <v>0.91666666666666663</v>
      </c>
      <c r="N948" s="33">
        <f t="shared" si="203"/>
        <v>1</v>
      </c>
      <c r="O948" s="33">
        <f t="shared" si="203"/>
        <v>1</v>
      </c>
      <c r="P948" s="33">
        <f t="shared" si="203"/>
        <v>1</v>
      </c>
      <c r="Q948" s="33">
        <f t="shared" si="203"/>
        <v>1</v>
      </c>
      <c r="R948" s="33">
        <f t="shared" si="203"/>
        <v>0.91666666666666663</v>
      </c>
      <c r="S948" s="33">
        <f t="shared" si="203"/>
        <v>0.91666666666666663</v>
      </c>
      <c r="T948" s="23"/>
      <c r="U948" s="17" t="s">
        <v>20</v>
      </c>
      <c r="V948" s="10"/>
      <c r="W948" s="10"/>
      <c r="X948" s="10"/>
    </row>
    <row r="949" spans="2:24">
      <c r="B949" s="24" t="s">
        <v>21</v>
      </c>
      <c r="C949" s="34">
        <f>P956</f>
        <v>0.56521739130434778</v>
      </c>
      <c r="D949" s="10"/>
      <c r="E949" s="10"/>
      <c r="F949" s="10"/>
      <c r="G949" s="10"/>
      <c r="H949" s="10"/>
      <c r="I949" s="10"/>
      <c r="J949" s="10"/>
      <c r="K949" s="10"/>
      <c r="L949" s="10"/>
      <c r="M949" s="10"/>
      <c r="N949" s="10"/>
      <c r="O949" s="10"/>
      <c r="P949" s="10"/>
      <c r="Q949" s="10"/>
      <c r="R949" s="10"/>
      <c r="S949" s="10"/>
      <c r="T949" s="10"/>
      <c r="U949" s="17"/>
      <c r="V949" s="10"/>
      <c r="W949" s="10"/>
      <c r="X949" s="10"/>
    </row>
    <row r="950" spans="2:24">
      <c r="B950" s="24"/>
      <c r="C950" s="25"/>
      <c r="D950" s="10"/>
      <c r="E950" s="10"/>
      <c r="F950" s="18" t="s">
        <v>22</v>
      </c>
      <c r="G950" s="19" t="s">
        <v>23</v>
      </c>
      <c r="H950" s="35" t="s">
        <v>24</v>
      </c>
      <c r="I950" s="10"/>
      <c r="J950" s="10"/>
      <c r="K950" s="36"/>
      <c r="L950" s="36"/>
      <c r="M950" s="36"/>
      <c r="N950" s="36"/>
      <c r="O950" s="36"/>
      <c r="P950" s="36"/>
      <c r="Q950" s="36"/>
      <c r="R950" s="10"/>
      <c r="S950" s="10"/>
      <c r="T950" s="10"/>
      <c r="U950" s="17"/>
      <c r="V950" s="10"/>
      <c r="W950" s="10"/>
      <c r="X950" s="10"/>
    </row>
    <row r="951" spans="2:24">
      <c r="B951" s="32" t="s">
        <v>25</v>
      </c>
      <c r="C951" s="37">
        <f>P957</f>
        <v>1415.8938461538464</v>
      </c>
      <c r="D951" s="10"/>
      <c r="E951" s="18" t="s">
        <v>26</v>
      </c>
      <c r="F951" s="38">
        <f>P953</f>
        <v>18406.620000000003</v>
      </c>
      <c r="G951" s="39">
        <f>I983+I996</f>
        <v>18406.619999999995</v>
      </c>
      <c r="H951" s="40"/>
      <c r="I951" s="41"/>
      <c r="J951" s="42"/>
      <c r="K951" s="43" t="s">
        <v>27</v>
      </c>
      <c r="L951" s="44"/>
      <c r="M951" s="44"/>
      <c r="N951" s="44"/>
      <c r="O951" s="44"/>
      <c r="P951" s="44"/>
      <c r="Q951" s="45"/>
      <c r="R951" s="46" t="s">
        <v>28</v>
      </c>
      <c r="S951" s="47" t="s">
        <v>29</v>
      </c>
      <c r="T951" s="10"/>
      <c r="U951" s="17"/>
      <c r="V951" s="10"/>
      <c r="W951" s="10"/>
      <c r="X951" s="10"/>
    </row>
    <row r="952" spans="2:24">
      <c r="B952" s="11"/>
      <c r="C952" s="10"/>
      <c r="D952" s="10"/>
      <c r="E952" s="24" t="s">
        <v>30</v>
      </c>
      <c r="F952" s="48">
        <f>F947</f>
        <v>0.05</v>
      </c>
      <c r="G952" s="17"/>
      <c r="H952" s="40"/>
      <c r="I952" s="41"/>
      <c r="J952" s="42"/>
      <c r="K952" s="20" t="s">
        <v>31</v>
      </c>
      <c r="L952" s="21" t="s">
        <v>32</v>
      </c>
      <c r="M952" s="21" t="s">
        <v>33</v>
      </c>
      <c r="N952" s="21" t="s">
        <v>34</v>
      </c>
      <c r="O952" s="21" t="s">
        <v>35</v>
      </c>
      <c r="P952" s="21" t="s">
        <v>36</v>
      </c>
      <c r="Q952" s="49" t="s">
        <v>37</v>
      </c>
      <c r="R952" s="50" t="s">
        <v>38</v>
      </c>
      <c r="S952" s="50" t="s">
        <v>38</v>
      </c>
      <c r="T952" s="10"/>
      <c r="U952" s="17"/>
      <c r="V952" s="10"/>
      <c r="W952" s="10"/>
      <c r="X952" s="10"/>
    </row>
    <row r="953" spans="2:24">
      <c r="B953" s="11"/>
      <c r="C953" s="10"/>
      <c r="D953" s="10"/>
      <c r="E953" s="51" t="s">
        <v>39</v>
      </c>
      <c r="F953" s="52">
        <f>(F951-I971-I975-I981-I982-I995)*F952</f>
        <v>557.35100000000023</v>
      </c>
      <c r="G953" s="53" t="s">
        <v>40</v>
      </c>
      <c r="H953" s="54">
        <f>F953/1.12</f>
        <v>497.63482142857157</v>
      </c>
      <c r="I953" s="55"/>
      <c r="J953" s="42"/>
      <c r="K953" s="56">
        <f>I971+I973+I972</f>
        <v>4986.04</v>
      </c>
      <c r="L953" s="57">
        <f>I975+I974</f>
        <v>1321.3</v>
      </c>
      <c r="M953" s="57">
        <f>I976+I977</f>
        <v>2375.6</v>
      </c>
      <c r="N953" s="57">
        <f>I978+I979+I980</f>
        <v>3826.08</v>
      </c>
      <c r="O953" s="57">
        <f>I981+I982+I995</f>
        <v>5897.6</v>
      </c>
      <c r="P953" s="57">
        <f>SUM(K953:O953)</f>
        <v>18406.620000000003</v>
      </c>
      <c r="Q953" s="58">
        <v>0</v>
      </c>
      <c r="R953" s="59">
        <f>I996</f>
        <v>4421.3</v>
      </c>
      <c r="S953" s="59">
        <v>0</v>
      </c>
      <c r="T953" s="10"/>
      <c r="U953" s="17"/>
      <c r="V953" s="10"/>
      <c r="W953" s="10"/>
      <c r="X953" s="10"/>
    </row>
    <row r="954" spans="2:24">
      <c r="B954" s="11"/>
      <c r="C954" s="10"/>
      <c r="D954" s="10"/>
      <c r="E954" s="24" t="s">
        <v>41</v>
      </c>
      <c r="F954" s="60">
        <f>Q953</f>
        <v>0</v>
      </c>
      <c r="G954" s="61" t="s">
        <v>40</v>
      </c>
      <c r="H954" s="62"/>
      <c r="I954" s="62"/>
      <c r="J954" s="10" t="s">
        <v>42</v>
      </c>
      <c r="K954" s="63">
        <v>3</v>
      </c>
      <c r="L954" s="63">
        <v>2</v>
      </c>
      <c r="M954" s="63">
        <v>2</v>
      </c>
      <c r="N954" s="63">
        <v>3</v>
      </c>
      <c r="O954" s="63">
        <v>3</v>
      </c>
      <c r="P954" s="21">
        <f>SUM(K954:O954)</f>
        <v>13</v>
      </c>
      <c r="Q954" s="64"/>
      <c r="R954" s="63"/>
      <c r="S954" s="10"/>
      <c r="T954" s="10"/>
      <c r="U954" s="17"/>
      <c r="V954" s="10"/>
      <c r="W954" s="10"/>
      <c r="X954" s="10"/>
    </row>
    <row r="955" spans="2:24">
      <c r="B955" s="11"/>
      <c r="C955" s="10"/>
      <c r="D955" s="10"/>
      <c r="E955" s="51" t="s">
        <v>43</v>
      </c>
      <c r="F955" s="52">
        <f>F954*0.25</f>
        <v>0</v>
      </c>
      <c r="G955" s="53" t="s">
        <v>40</v>
      </c>
      <c r="H955" s="54">
        <f>F955/1.12</f>
        <v>0</v>
      </c>
      <c r="I955" s="10"/>
      <c r="J955" s="10" t="s">
        <v>44</v>
      </c>
      <c r="K955" s="63">
        <v>1</v>
      </c>
      <c r="L955" s="63">
        <v>4</v>
      </c>
      <c r="M955" s="63">
        <v>2</v>
      </c>
      <c r="N955" s="63">
        <v>2</v>
      </c>
      <c r="O955" s="63">
        <v>1</v>
      </c>
      <c r="P955" s="21">
        <f>SUM(K955:O955)</f>
        <v>10</v>
      </c>
      <c r="Q955" s="64"/>
      <c r="R955" s="63"/>
      <c r="S955" s="10"/>
      <c r="T955" s="10"/>
      <c r="U955" s="17"/>
      <c r="V955" s="10"/>
      <c r="W955" s="10"/>
      <c r="X955" s="10"/>
    </row>
    <row r="956" spans="2:24">
      <c r="B956" s="11"/>
      <c r="C956" s="10"/>
      <c r="D956" s="10"/>
      <c r="E956" s="24" t="s">
        <v>45</v>
      </c>
      <c r="F956" s="60">
        <f>I992</f>
        <v>32886.410000000003</v>
      </c>
      <c r="G956" s="61" t="s">
        <v>40</v>
      </c>
      <c r="H956" s="62"/>
      <c r="I956" s="10"/>
      <c r="J956" s="10" t="s">
        <v>46</v>
      </c>
      <c r="K956" s="31">
        <f t="shared" ref="K956:Q956" si="204">K954/(K954+K955)</f>
        <v>0.75</v>
      </c>
      <c r="L956" s="31">
        <f t="shared" si="204"/>
        <v>0.33333333333333331</v>
      </c>
      <c r="M956" s="31">
        <f t="shared" si="204"/>
        <v>0.5</v>
      </c>
      <c r="N956" s="31">
        <f t="shared" si="204"/>
        <v>0.6</v>
      </c>
      <c r="O956" s="31">
        <f t="shared" si="204"/>
        <v>0.75</v>
      </c>
      <c r="P956" s="31">
        <f t="shared" si="204"/>
        <v>0.56521739130434778</v>
      </c>
      <c r="Q956" s="31" t="e">
        <f t="shared" si="204"/>
        <v>#DIV/0!</v>
      </c>
      <c r="R956" s="63"/>
      <c r="S956" s="10"/>
      <c r="T956" s="10"/>
      <c r="U956" s="17"/>
      <c r="V956" s="10"/>
      <c r="W956" s="10"/>
      <c r="X956" s="10"/>
    </row>
    <row r="957" spans="2:24">
      <c r="B957" s="11"/>
      <c r="C957" s="10"/>
      <c r="D957" s="10"/>
      <c r="E957" s="51" t="s">
        <v>47</v>
      </c>
      <c r="F957" s="52">
        <f>F956*0.05</f>
        <v>1644.3205000000003</v>
      </c>
      <c r="G957" s="65" t="s">
        <v>40</v>
      </c>
      <c r="H957" s="54">
        <f>F957/1.12</f>
        <v>1468.1433035714288</v>
      </c>
      <c r="I957" s="42"/>
      <c r="J957" s="10" t="s">
        <v>48</v>
      </c>
      <c r="K957" s="66">
        <f>K953/K954</f>
        <v>1662.0133333333333</v>
      </c>
      <c r="L957" s="66">
        <f t="shared" ref="L957:Q957" si="205">L953/L954</f>
        <v>660.65</v>
      </c>
      <c r="M957" s="66">
        <f t="shared" si="205"/>
        <v>1187.8</v>
      </c>
      <c r="N957" s="66">
        <f t="shared" si="205"/>
        <v>1275.3599999999999</v>
      </c>
      <c r="O957" s="66">
        <f t="shared" si="205"/>
        <v>1965.8666666666668</v>
      </c>
      <c r="P957" s="66">
        <f t="shared" si="205"/>
        <v>1415.8938461538464</v>
      </c>
      <c r="Q957" s="66" t="e">
        <f t="shared" si="205"/>
        <v>#DIV/0!</v>
      </c>
      <c r="R957" s="63"/>
      <c r="S957" s="10"/>
      <c r="T957" s="10"/>
      <c r="U957" s="17"/>
      <c r="V957" s="10"/>
      <c r="W957" s="10"/>
      <c r="X957" s="10"/>
    </row>
    <row r="958" spans="2:24">
      <c r="B958" s="11"/>
      <c r="C958" s="10"/>
      <c r="D958" s="10"/>
      <c r="E958" s="67" t="s">
        <v>14</v>
      </c>
      <c r="F958" s="68">
        <f>9*50</f>
        <v>450</v>
      </c>
      <c r="G958" s="10"/>
      <c r="H958" s="54">
        <f>F958/1.12</f>
        <v>401.78571428571422</v>
      </c>
      <c r="I958" s="10"/>
      <c r="J958" s="10"/>
      <c r="K958" s="10"/>
      <c r="L958" s="10"/>
      <c r="M958" s="10"/>
      <c r="N958" s="10"/>
      <c r="O958" s="10"/>
      <c r="P958" s="10"/>
      <c r="Q958" s="10"/>
      <c r="R958" s="10"/>
      <c r="S958" s="10"/>
      <c r="T958" s="10"/>
      <c r="U958" s="17"/>
      <c r="V958" s="10"/>
      <c r="W958" s="10"/>
      <c r="X958" s="10"/>
    </row>
    <row r="959" spans="2:24">
      <c r="B959" s="11"/>
      <c r="C959" s="10"/>
      <c r="D959" s="10"/>
      <c r="E959" s="67" t="s">
        <v>49</v>
      </c>
      <c r="F959" s="69">
        <f>T948</f>
        <v>0</v>
      </c>
      <c r="G959" s="10"/>
      <c r="H959" s="54"/>
      <c r="I959" s="55"/>
      <c r="J959" s="42"/>
      <c r="K959" s="764" t="s">
        <v>50</v>
      </c>
      <c r="L959" s="765"/>
      <c r="M959" s="765"/>
      <c r="N959" s="765"/>
      <c r="O959" s="765"/>
      <c r="P959" s="765"/>
      <c r="Q959" s="766"/>
      <c r="R959" s="70" t="s">
        <v>28</v>
      </c>
      <c r="S959" s="71" t="s">
        <v>29</v>
      </c>
      <c r="T959" s="10"/>
      <c r="U959" s="17"/>
      <c r="V959" s="10"/>
      <c r="W959" s="10"/>
      <c r="X959" s="10"/>
    </row>
    <row r="960" spans="2:24">
      <c r="B960" s="11"/>
      <c r="C960" s="10"/>
      <c r="D960" s="10"/>
      <c r="E960" s="155" t="s">
        <v>561</v>
      </c>
      <c r="F960" s="156">
        <f>$F$712</f>
        <v>369.40499999999997</v>
      </c>
      <c r="G960" s="123"/>
      <c r="H960" s="54">
        <f>F960/1.12</f>
        <v>329.82589285714278</v>
      </c>
      <c r="I960" s="10"/>
      <c r="J960" s="42"/>
      <c r="K960" s="20" t="s">
        <v>31</v>
      </c>
      <c r="L960" s="21" t="s">
        <v>32</v>
      </c>
      <c r="M960" s="21" t="s">
        <v>33</v>
      </c>
      <c r="N960" s="21" t="s">
        <v>34</v>
      </c>
      <c r="O960" s="21" t="s">
        <v>35</v>
      </c>
      <c r="P960" s="21" t="s">
        <v>36</v>
      </c>
      <c r="Q960" s="49" t="s">
        <v>37</v>
      </c>
      <c r="R960" s="50" t="s">
        <v>38</v>
      </c>
      <c r="S960" s="50" t="s">
        <v>38</v>
      </c>
      <c r="T960" s="10"/>
      <c r="U960" s="17"/>
      <c r="V960" s="10"/>
      <c r="W960" s="10"/>
      <c r="X960" s="10"/>
    </row>
    <row r="961" spans="1:24">
      <c r="B961" s="11"/>
      <c r="C961" s="10"/>
      <c r="D961" s="10"/>
      <c r="E961" s="155" t="s">
        <v>562</v>
      </c>
      <c r="F961" s="156">
        <f>$F$798</f>
        <v>248.25150000000014</v>
      </c>
      <c r="G961" s="123"/>
      <c r="H961" s="54">
        <f>F961/1.12</f>
        <v>221.6531250000001</v>
      </c>
      <c r="I961" s="10"/>
      <c r="J961" s="42"/>
      <c r="K961" s="56">
        <f>F971+F973+F972</f>
        <v>5617</v>
      </c>
      <c r="L961" s="57">
        <f>F975+F974</f>
        <v>1561</v>
      </c>
      <c r="M961" s="57">
        <f>F976+F977</f>
        <v>2734</v>
      </c>
      <c r="N961" s="57">
        <f>F978+F979+F980</f>
        <v>4563.8999999999996</v>
      </c>
      <c r="O961" s="57">
        <f>F981+F982+F995</f>
        <v>5977</v>
      </c>
      <c r="P961" s="57">
        <f>SUM(K961:O961)</f>
        <v>20452.900000000001</v>
      </c>
      <c r="Q961" s="58">
        <v>0</v>
      </c>
      <c r="R961" s="59">
        <f>F996</f>
        <v>4461</v>
      </c>
      <c r="S961" s="59">
        <v>0</v>
      </c>
      <c r="T961" s="10"/>
      <c r="U961" s="17"/>
      <c r="V961" s="10"/>
      <c r="W961" s="10"/>
      <c r="X961" s="10"/>
    </row>
    <row r="962" spans="1:24">
      <c r="B962" s="11"/>
      <c r="C962" s="10"/>
      <c r="D962" s="10"/>
      <c r="E962" s="10"/>
      <c r="F962" s="10"/>
      <c r="G962" s="10"/>
      <c r="H962" s="10"/>
      <c r="I962" s="10"/>
      <c r="J962" s="10" t="s">
        <v>42</v>
      </c>
      <c r="K962" s="63">
        <f>K954</f>
        <v>3</v>
      </c>
      <c r="L962" s="63">
        <f t="shared" ref="L962:Q963" si="206">L954</f>
        <v>2</v>
      </c>
      <c r="M962" s="63">
        <f t="shared" si="206"/>
        <v>2</v>
      </c>
      <c r="N962" s="63">
        <f t="shared" si="206"/>
        <v>3</v>
      </c>
      <c r="O962" s="63">
        <f t="shared" si="206"/>
        <v>3</v>
      </c>
      <c r="P962" s="63">
        <f t="shared" si="206"/>
        <v>13</v>
      </c>
      <c r="Q962" s="63">
        <f t="shared" si="206"/>
        <v>0</v>
      </c>
      <c r="R962" s="63"/>
      <c r="S962" s="10"/>
      <c r="T962" s="10"/>
      <c r="U962" s="17"/>
      <c r="V962" s="10"/>
      <c r="W962" s="10"/>
      <c r="X962" s="10"/>
    </row>
    <row r="963" spans="1:24">
      <c r="B963" s="11"/>
      <c r="C963" s="10"/>
      <c r="D963" s="10"/>
      <c r="E963" s="10"/>
      <c r="F963" s="10"/>
      <c r="G963" s="10"/>
      <c r="H963" s="10"/>
      <c r="I963" s="10"/>
      <c r="J963" s="10" t="s">
        <v>44</v>
      </c>
      <c r="K963" s="63">
        <f>K955</f>
        <v>1</v>
      </c>
      <c r="L963" s="63">
        <f t="shared" si="206"/>
        <v>4</v>
      </c>
      <c r="M963" s="63">
        <f t="shared" si="206"/>
        <v>2</v>
      </c>
      <c r="N963" s="63">
        <f t="shared" si="206"/>
        <v>2</v>
      </c>
      <c r="O963" s="63">
        <f t="shared" si="206"/>
        <v>1</v>
      </c>
      <c r="P963" s="63">
        <f t="shared" si="206"/>
        <v>10</v>
      </c>
      <c r="Q963" s="63">
        <f t="shared" si="206"/>
        <v>0</v>
      </c>
      <c r="R963" s="63"/>
      <c r="S963" s="10"/>
      <c r="T963" s="10"/>
      <c r="U963" s="17"/>
      <c r="V963" s="10"/>
      <c r="W963" s="10"/>
      <c r="X963" s="10"/>
    </row>
    <row r="964" spans="1:24">
      <c r="B964" s="11"/>
      <c r="C964" s="10"/>
      <c r="D964" s="10"/>
      <c r="E964" s="10"/>
      <c r="F964" s="10"/>
      <c r="G964" s="10"/>
      <c r="H964" s="10"/>
      <c r="I964" s="10"/>
      <c r="J964" s="10" t="s">
        <v>46</v>
      </c>
      <c r="K964" s="31">
        <f t="shared" ref="K964:Q964" si="207">K962/(K962+K963)</f>
        <v>0.75</v>
      </c>
      <c r="L964" s="31">
        <f t="shared" si="207"/>
        <v>0.33333333333333331</v>
      </c>
      <c r="M964" s="31">
        <f t="shared" si="207"/>
        <v>0.5</v>
      </c>
      <c r="N964" s="31">
        <f t="shared" si="207"/>
        <v>0.6</v>
      </c>
      <c r="O964" s="31">
        <f t="shared" si="207"/>
        <v>0.75</v>
      </c>
      <c r="P964" s="31">
        <f t="shared" si="207"/>
        <v>0.56521739130434778</v>
      </c>
      <c r="Q964" s="31" t="e">
        <f t="shared" si="207"/>
        <v>#DIV/0!</v>
      </c>
      <c r="R964" s="63"/>
      <c r="S964" s="10"/>
      <c r="T964" s="10"/>
      <c r="U964" s="17"/>
      <c r="V964" s="10"/>
      <c r="W964" s="10"/>
      <c r="X964" s="10"/>
    </row>
    <row r="965" spans="1:24">
      <c r="B965" s="11"/>
      <c r="C965" s="10"/>
      <c r="D965" s="10"/>
      <c r="E965" s="10"/>
      <c r="F965" s="10"/>
      <c r="G965" s="10"/>
      <c r="H965" s="10"/>
      <c r="I965" s="10"/>
      <c r="J965" s="10" t="s">
        <v>48</v>
      </c>
      <c r="K965" s="66">
        <f t="shared" ref="K965:Q965" si="208">K961/K962</f>
        <v>1872.3333333333333</v>
      </c>
      <c r="L965" s="66">
        <f t="shared" si="208"/>
        <v>780.5</v>
      </c>
      <c r="M965" s="66">
        <f t="shared" si="208"/>
        <v>1367</v>
      </c>
      <c r="N965" s="66">
        <f t="shared" si="208"/>
        <v>1521.3</v>
      </c>
      <c r="O965" s="66">
        <f t="shared" si="208"/>
        <v>1992.3333333333333</v>
      </c>
      <c r="P965" s="66">
        <f t="shared" si="208"/>
        <v>1573.3000000000002</v>
      </c>
      <c r="Q965" s="66" t="e">
        <f t="shared" si="208"/>
        <v>#DIV/0!</v>
      </c>
      <c r="R965" s="63"/>
      <c r="S965" s="10"/>
      <c r="T965" s="10"/>
      <c r="U965" s="17"/>
      <c r="V965" s="10"/>
      <c r="W965" s="10"/>
      <c r="X965" s="10"/>
    </row>
    <row r="966" spans="1:24">
      <c r="B966" s="11"/>
      <c r="C966" s="10"/>
      <c r="D966" s="10"/>
      <c r="E966" s="10"/>
      <c r="F966" s="10"/>
      <c r="G966" s="10"/>
      <c r="H966" s="10"/>
      <c r="I966" s="10"/>
      <c r="J966" s="10"/>
      <c r="K966" s="10"/>
      <c r="L966" s="10"/>
      <c r="M966" s="10"/>
      <c r="N966" s="10"/>
      <c r="O966" s="10"/>
      <c r="P966" s="10"/>
      <c r="Q966" s="10"/>
      <c r="R966" s="10"/>
      <c r="S966" s="10"/>
      <c r="T966" s="10"/>
      <c r="U966" s="17"/>
      <c r="V966" s="10"/>
      <c r="W966" s="10"/>
      <c r="X966" s="10"/>
    </row>
    <row r="967" spans="1:24">
      <c r="B967" s="11"/>
      <c r="C967" s="10"/>
      <c r="D967" s="10"/>
      <c r="E967" s="10"/>
      <c r="F967" s="10"/>
      <c r="G967" s="10"/>
      <c r="H967" s="10"/>
      <c r="I967" s="10"/>
      <c r="J967" s="10"/>
      <c r="K967" s="10"/>
      <c r="L967" s="10"/>
      <c r="M967" s="10"/>
      <c r="N967" s="10"/>
      <c r="O967" s="10"/>
      <c r="P967" s="10"/>
      <c r="Q967" s="10"/>
      <c r="R967" s="10"/>
      <c r="S967" s="10"/>
      <c r="T967" s="10"/>
      <c r="U967" s="17"/>
      <c r="V967" s="10"/>
      <c r="W967" s="10"/>
      <c r="X967" s="10"/>
    </row>
    <row r="968" spans="1:24">
      <c r="B968" s="18" t="s">
        <v>51</v>
      </c>
      <c r="C968" s="14"/>
      <c r="D968" s="14"/>
      <c r="E968" s="14"/>
      <c r="F968" s="13" t="s">
        <v>52</v>
      </c>
      <c r="G968" s="14"/>
      <c r="H968" s="14"/>
      <c r="I968" s="14"/>
      <c r="J968" s="14"/>
      <c r="K968" s="13" t="s">
        <v>3</v>
      </c>
      <c r="L968" s="14"/>
      <c r="M968" s="14"/>
      <c r="N968" s="13" t="s">
        <v>4</v>
      </c>
      <c r="O968" s="14"/>
      <c r="P968" s="14"/>
      <c r="Q968" s="13" t="s">
        <v>5</v>
      </c>
      <c r="R968" s="14"/>
      <c r="S968" s="14"/>
      <c r="T968" s="18"/>
      <c r="U968" s="16" t="s">
        <v>53</v>
      </c>
      <c r="V968" s="77"/>
      <c r="W968" s="77"/>
      <c r="X968" s="77"/>
    </row>
    <row r="969" spans="1:24">
      <c r="B969" s="24" t="s">
        <v>54</v>
      </c>
      <c r="C969" s="21" t="s">
        <v>55</v>
      </c>
      <c r="D969" s="21" t="s">
        <v>56</v>
      </c>
      <c r="E969" s="21" t="s">
        <v>57</v>
      </c>
      <c r="F969" s="20" t="s">
        <v>58</v>
      </c>
      <c r="G969" s="21" t="s">
        <v>59</v>
      </c>
      <c r="H969" s="21" t="s">
        <v>60</v>
      </c>
      <c r="I969" s="21" t="s">
        <v>26</v>
      </c>
      <c r="J969" s="22" t="s">
        <v>61</v>
      </c>
      <c r="K969" s="21" t="s">
        <v>8</v>
      </c>
      <c r="L969" s="21" t="s">
        <v>9</v>
      </c>
      <c r="M969" s="21" t="s">
        <v>10</v>
      </c>
      <c r="N969" s="20" t="s">
        <v>11</v>
      </c>
      <c r="O969" s="21" t="s">
        <v>12</v>
      </c>
      <c r="P969" s="22" t="s">
        <v>13</v>
      </c>
      <c r="Q969" s="21" t="s">
        <v>11</v>
      </c>
      <c r="R969" s="21" t="s">
        <v>12</v>
      </c>
      <c r="S969" s="21" t="s">
        <v>13</v>
      </c>
      <c r="T969" s="78" t="s">
        <v>14</v>
      </c>
      <c r="U969" s="30"/>
      <c r="V969" s="79" t="s">
        <v>62</v>
      </c>
      <c r="W969" s="80" t="s">
        <v>63</v>
      </c>
      <c r="X969" s="81" t="s">
        <v>64</v>
      </c>
    </row>
    <row r="970" spans="1:24">
      <c r="B970" s="4" t="s">
        <v>65</v>
      </c>
      <c r="C970" s="6"/>
      <c r="D970" s="6"/>
      <c r="E970" s="6"/>
      <c r="F970" s="6"/>
      <c r="G970" s="6"/>
      <c r="H970" s="6"/>
      <c r="I970" s="82"/>
      <c r="J970" s="6"/>
      <c r="K970" s="6"/>
      <c r="L970" s="6"/>
      <c r="M970" s="6"/>
      <c r="N970" s="6"/>
      <c r="O970" s="6"/>
      <c r="P970" s="6"/>
      <c r="Q970" s="6"/>
      <c r="R970" s="6"/>
      <c r="S970" s="6"/>
      <c r="T970" s="83"/>
      <c r="U970" s="6"/>
      <c r="V970" s="84"/>
      <c r="W970" s="85"/>
      <c r="X970" s="86"/>
    </row>
    <row r="971" spans="1:24">
      <c r="A971" t="s">
        <v>230</v>
      </c>
      <c r="B971" s="87">
        <v>1</v>
      </c>
      <c r="C971" s="274">
        <v>45908</v>
      </c>
      <c r="D971" s="327">
        <v>73055</v>
      </c>
      <c r="E971" s="276" t="s">
        <v>384</v>
      </c>
      <c r="F971" s="277">
        <v>681</v>
      </c>
      <c r="G971" s="277"/>
      <c r="H971" s="297"/>
      <c r="I971" s="329">
        <f t="shared" ref="I971:I982" si="209">F971-G971-H971</f>
        <v>681</v>
      </c>
      <c r="J971" s="279" t="s">
        <v>156</v>
      </c>
      <c r="K971" s="279">
        <v>1</v>
      </c>
      <c r="L971" s="279">
        <v>1</v>
      </c>
      <c r="M971" s="322">
        <v>0</v>
      </c>
      <c r="N971" s="279">
        <v>1</v>
      </c>
      <c r="O971" s="279">
        <v>1</v>
      </c>
      <c r="P971" s="279">
        <v>1</v>
      </c>
      <c r="Q971" s="279">
        <v>1</v>
      </c>
      <c r="R971" s="279">
        <v>1</v>
      </c>
      <c r="S971" s="280">
        <v>1</v>
      </c>
      <c r="T971" s="63"/>
      <c r="U971" s="10"/>
      <c r="V971" s="90">
        <f>75+674.1</f>
        <v>749.1</v>
      </c>
      <c r="W971" s="91"/>
      <c r="X971" s="92"/>
    </row>
    <row r="972" spans="1:24">
      <c r="B972" s="87">
        <f>B971+1</f>
        <v>2</v>
      </c>
      <c r="C972" s="295">
        <v>45908</v>
      </c>
      <c r="D972" s="323">
        <v>73075</v>
      </c>
      <c r="E972" s="101" t="s">
        <v>563</v>
      </c>
      <c r="F972" s="62">
        <v>3675</v>
      </c>
      <c r="G972" s="62">
        <f>39.7+(351.56)+200</f>
        <v>591.26</v>
      </c>
      <c r="H972" s="62"/>
      <c r="I972" s="89">
        <f>F972-G972-H972</f>
        <v>3083.74</v>
      </c>
      <c r="J972" s="63" t="s">
        <v>228</v>
      </c>
      <c r="K972" s="63">
        <v>1</v>
      </c>
      <c r="L972" s="63">
        <v>1</v>
      </c>
      <c r="M972" s="63">
        <v>1</v>
      </c>
      <c r="N972" s="63">
        <v>1</v>
      </c>
      <c r="O972" s="63">
        <v>1</v>
      </c>
      <c r="P972" s="63">
        <v>1</v>
      </c>
      <c r="Q972" s="63">
        <v>1</v>
      </c>
      <c r="R972" s="63">
        <v>1</v>
      </c>
      <c r="S972" s="296">
        <v>1</v>
      </c>
      <c r="T972" s="63"/>
      <c r="U972" s="10" t="s">
        <v>564</v>
      </c>
      <c r="V972" s="90">
        <f>404.3+3638.2</f>
        <v>4042.5</v>
      </c>
      <c r="W972" s="91"/>
      <c r="X972" s="92"/>
    </row>
    <row r="973" spans="1:24">
      <c r="B973" s="87">
        <f>B972+1</f>
        <v>3</v>
      </c>
      <c r="C973" s="295">
        <v>45908</v>
      </c>
      <c r="D973" s="323">
        <v>73066</v>
      </c>
      <c r="E973" s="10" t="s">
        <v>565</v>
      </c>
      <c r="F973" s="62">
        <v>1261</v>
      </c>
      <c r="G973" s="62">
        <f>39.7</f>
        <v>39.700000000000003</v>
      </c>
      <c r="H973" s="62"/>
      <c r="I973" s="89">
        <f t="shared" si="209"/>
        <v>1221.3</v>
      </c>
      <c r="J973" s="63" t="s">
        <v>156</v>
      </c>
      <c r="K973" s="63">
        <v>1</v>
      </c>
      <c r="L973" s="63">
        <v>1</v>
      </c>
      <c r="M973" s="63">
        <v>1</v>
      </c>
      <c r="N973" s="63">
        <v>1</v>
      </c>
      <c r="O973" s="63">
        <v>1</v>
      </c>
      <c r="P973" s="63">
        <v>1</v>
      </c>
      <c r="Q973" s="63">
        <v>1</v>
      </c>
      <c r="R973" s="63">
        <v>1</v>
      </c>
      <c r="S973" s="296">
        <v>1</v>
      </c>
      <c r="T973" s="21">
        <v>1</v>
      </c>
      <c r="U973" s="10" t="s">
        <v>566</v>
      </c>
      <c r="V973" s="90">
        <f>138.7+1248.4</f>
        <v>1387.1000000000001</v>
      </c>
      <c r="W973" s="91"/>
      <c r="X973" s="92"/>
    </row>
    <row r="974" spans="1:24">
      <c r="B974" s="87">
        <f>B973+1</f>
        <v>4</v>
      </c>
      <c r="C974" s="274">
        <v>45909</v>
      </c>
      <c r="D974" s="327">
        <v>73107</v>
      </c>
      <c r="E974" s="281" t="s">
        <v>245</v>
      </c>
      <c r="F974" s="277">
        <v>880</v>
      </c>
      <c r="G974" s="277">
        <f>39.7+200</f>
        <v>239.7</v>
      </c>
      <c r="H974" s="277"/>
      <c r="I974" s="321">
        <f>F974-G974-H974</f>
        <v>640.29999999999995</v>
      </c>
      <c r="J974" s="279" t="s">
        <v>228</v>
      </c>
      <c r="K974" s="279">
        <v>1</v>
      </c>
      <c r="L974" s="279">
        <v>1</v>
      </c>
      <c r="M974" s="279">
        <v>1</v>
      </c>
      <c r="N974" s="279">
        <v>1</v>
      </c>
      <c r="O974" s="279">
        <v>1</v>
      </c>
      <c r="P974" s="279">
        <v>1</v>
      </c>
      <c r="Q974" s="279">
        <v>1</v>
      </c>
      <c r="R974" s="322">
        <v>0</v>
      </c>
      <c r="S974" s="328">
        <v>0</v>
      </c>
      <c r="T974" s="63"/>
      <c r="U974" s="10" t="s">
        <v>567</v>
      </c>
      <c r="V974" s="90">
        <f>96.8+871.2</f>
        <v>968</v>
      </c>
      <c r="W974" s="91"/>
      <c r="X974" s="92"/>
    </row>
    <row r="975" spans="1:24">
      <c r="B975" s="87">
        <f>B974+1</f>
        <v>5</v>
      </c>
      <c r="C975" s="295">
        <v>45909</v>
      </c>
      <c r="D975" s="323">
        <v>73102</v>
      </c>
      <c r="E975" s="10" t="s">
        <v>369</v>
      </c>
      <c r="F975" s="62">
        <v>681</v>
      </c>
      <c r="G975" s="62"/>
      <c r="H975" s="62"/>
      <c r="I975" s="369">
        <f t="shared" si="209"/>
        <v>681</v>
      </c>
      <c r="J975" s="63" t="s">
        <v>156</v>
      </c>
      <c r="K975" s="63">
        <v>1</v>
      </c>
      <c r="L975" s="63">
        <v>1</v>
      </c>
      <c r="M975" s="63">
        <v>1</v>
      </c>
      <c r="N975" s="63">
        <v>1</v>
      </c>
      <c r="O975" s="63">
        <v>1</v>
      </c>
      <c r="P975" s="63">
        <v>1</v>
      </c>
      <c r="Q975" s="63">
        <v>1</v>
      </c>
      <c r="R975" s="63">
        <v>1</v>
      </c>
      <c r="S975" s="296">
        <v>1</v>
      </c>
      <c r="T975" s="21">
        <v>2</v>
      </c>
      <c r="U975" s="10" t="s">
        <v>568</v>
      </c>
      <c r="V975" s="90">
        <f>75+674.1</f>
        <v>749.1</v>
      </c>
      <c r="W975" s="91"/>
      <c r="X975" s="92"/>
    </row>
    <row r="976" spans="1:24">
      <c r="B976" s="87">
        <f t="shared" ref="B976:B982" si="210">B975+1</f>
        <v>6</v>
      </c>
      <c r="C976" s="274">
        <v>45910</v>
      </c>
      <c r="D976" s="327">
        <v>73189</v>
      </c>
      <c r="E976" s="404" t="s">
        <v>569</v>
      </c>
      <c r="F976" s="277">
        <v>1138</v>
      </c>
      <c r="G976" s="277">
        <f>39.7+(80.99)</f>
        <v>120.69</v>
      </c>
      <c r="H976" s="277"/>
      <c r="I976" s="278">
        <f t="shared" si="209"/>
        <v>1017.31</v>
      </c>
      <c r="J976" s="279" t="s">
        <v>156</v>
      </c>
      <c r="K976" s="279">
        <v>1</v>
      </c>
      <c r="L976" s="279">
        <v>1</v>
      </c>
      <c r="M976" s="279">
        <v>1</v>
      </c>
      <c r="N976" s="279">
        <v>1</v>
      </c>
      <c r="O976" s="279">
        <v>1</v>
      </c>
      <c r="P976" s="279">
        <v>1</v>
      </c>
      <c r="Q976" s="279">
        <v>1</v>
      </c>
      <c r="R976" s="279">
        <v>1</v>
      </c>
      <c r="S976" s="280">
        <v>1</v>
      </c>
      <c r="T976" s="21">
        <v>1</v>
      </c>
      <c r="U976" s="10"/>
      <c r="V976" s="90">
        <f>125.2+1126.6</f>
        <v>1251.8</v>
      </c>
      <c r="W976" s="91"/>
      <c r="X976" s="92"/>
    </row>
    <row r="977" spans="1:24">
      <c r="B977" s="87">
        <f t="shared" si="210"/>
        <v>7</v>
      </c>
      <c r="C977" s="295">
        <v>45910</v>
      </c>
      <c r="D977" s="323">
        <v>73186</v>
      </c>
      <c r="E977" s="10" t="s">
        <v>330</v>
      </c>
      <c r="F977" s="62">
        <v>1596</v>
      </c>
      <c r="G977" s="62">
        <f>39.7+(127.05+70.96)</f>
        <v>237.70999999999998</v>
      </c>
      <c r="H977" s="62"/>
      <c r="I977" s="89">
        <f t="shared" si="209"/>
        <v>1358.29</v>
      </c>
      <c r="J977" s="63" t="s">
        <v>156</v>
      </c>
      <c r="K977" s="63">
        <v>1</v>
      </c>
      <c r="L977" s="63">
        <v>1</v>
      </c>
      <c r="M977" s="63">
        <v>1</v>
      </c>
      <c r="N977" s="63">
        <v>1</v>
      </c>
      <c r="O977" s="63">
        <v>1</v>
      </c>
      <c r="P977" s="63">
        <v>1</v>
      </c>
      <c r="Q977" s="63">
        <v>1</v>
      </c>
      <c r="R977" s="63">
        <v>1</v>
      </c>
      <c r="S977" s="296">
        <v>1</v>
      </c>
      <c r="T977" s="63"/>
      <c r="U977" s="10" t="s">
        <v>570</v>
      </c>
      <c r="V977" s="90">
        <f>176+1579.6</f>
        <v>1755.6</v>
      </c>
      <c r="W977" s="91"/>
      <c r="X977" s="92"/>
    </row>
    <row r="978" spans="1:24">
      <c r="B978" s="87">
        <f t="shared" si="210"/>
        <v>8</v>
      </c>
      <c r="C978" s="274">
        <v>45911</v>
      </c>
      <c r="D978" s="327">
        <v>73197</v>
      </c>
      <c r="E978" s="276" t="s">
        <v>571</v>
      </c>
      <c r="F978" s="277">
        <v>1138</v>
      </c>
      <c r="G978" s="277">
        <f>39.7+(79.16)</f>
        <v>118.86</v>
      </c>
      <c r="H978" s="297"/>
      <c r="I978" s="278">
        <f t="shared" si="209"/>
        <v>1019.14</v>
      </c>
      <c r="J978" s="279" t="s">
        <v>156</v>
      </c>
      <c r="K978" s="279">
        <v>1</v>
      </c>
      <c r="L978" s="279">
        <v>1</v>
      </c>
      <c r="M978" s="279">
        <v>1</v>
      </c>
      <c r="N978" s="279">
        <v>1</v>
      </c>
      <c r="O978" s="279">
        <v>1</v>
      </c>
      <c r="P978" s="279">
        <v>1</v>
      </c>
      <c r="Q978" s="279">
        <v>1</v>
      </c>
      <c r="R978" s="279">
        <v>1</v>
      </c>
      <c r="S978" s="280">
        <v>1</v>
      </c>
      <c r="T978" s="21">
        <v>1</v>
      </c>
      <c r="U978" s="10"/>
      <c r="V978" s="90">
        <f>125.2+1126.6</f>
        <v>1251.8</v>
      </c>
      <c r="W978" s="91"/>
      <c r="X978" s="92"/>
    </row>
    <row r="979" spans="1:24">
      <c r="B979" s="87">
        <f t="shared" si="210"/>
        <v>9</v>
      </c>
      <c r="C979" s="295">
        <v>45911</v>
      </c>
      <c r="D979" s="323">
        <v>73233</v>
      </c>
      <c r="E979" s="10" t="s">
        <v>334</v>
      </c>
      <c r="F979" s="62">
        <v>2161.9</v>
      </c>
      <c r="G979" s="62">
        <f>39.7+(109.2+430.36)</f>
        <v>579.2600000000001</v>
      </c>
      <c r="H979" s="88"/>
      <c r="I979" s="89">
        <f t="shared" si="209"/>
        <v>1582.6399999999999</v>
      </c>
      <c r="J979" s="63" t="s">
        <v>150</v>
      </c>
      <c r="K979" s="63">
        <v>1</v>
      </c>
      <c r="L979" s="63">
        <v>1</v>
      </c>
      <c r="M979" s="63">
        <v>1</v>
      </c>
      <c r="N979" s="63">
        <v>1</v>
      </c>
      <c r="O979" s="63">
        <v>1</v>
      </c>
      <c r="P979" s="63">
        <v>1</v>
      </c>
      <c r="Q979" s="63">
        <v>1</v>
      </c>
      <c r="R979" s="63">
        <v>1</v>
      </c>
      <c r="S979" s="296">
        <v>1</v>
      </c>
      <c r="T979" s="21">
        <v>1</v>
      </c>
      <c r="U979" s="10"/>
      <c r="V979" s="90">
        <v>0</v>
      </c>
      <c r="W979" s="367">
        <f>240+2150</f>
        <v>2390</v>
      </c>
      <c r="X979" s="92"/>
    </row>
    <row r="980" spans="1:24">
      <c r="B980" s="87">
        <f t="shared" si="210"/>
        <v>10</v>
      </c>
      <c r="C980" s="295">
        <v>45911</v>
      </c>
      <c r="D980" s="323">
        <v>73241</v>
      </c>
      <c r="E980" s="10" t="s">
        <v>572</v>
      </c>
      <c r="F980" s="62">
        <v>1264</v>
      </c>
      <c r="G980" s="62">
        <f>39.7</f>
        <v>39.700000000000003</v>
      </c>
      <c r="H980" s="88"/>
      <c r="I980" s="89">
        <f t="shared" si="209"/>
        <v>1224.3</v>
      </c>
      <c r="J980" s="63" t="s">
        <v>156</v>
      </c>
      <c r="K980" s="63">
        <v>1</v>
      </c>
      <c r="L980" s="63">
        <v>1</v>
      </c>
      <c r="M980" s="63">
        <v>1</v>
      </c>
      <c r="N980" s="63">
        <v>1</v>
      </c>
      <c r="O980" s="63">
        <v>1</v>
      </c>
      <c r="P980" s="63">
        <v>1</v>
      </c>
      <c r="Q980" s="63">
        <v>1</v>
      </c>
      <c r="R980" s="63">
        <v>1</v>
      </c>
      <c r="S980" s="296">
        <v>1</v>
      </c>
      <c r="T980" s="21">
        <v>1</v>
      </c>
      <c r="U980" s="10" t="s">
        <v>573</v>
      </c>
      <c r="V980" s="90">
        <f>139.5+1250.9</f>
        <v>1390.4</v>
      </c>
      <c r="W980" s="91"/>
      <c r="X980" s="92"/>
    </row>
    <row r="981" spans="1:24">
      <c r="A981" t="s">
        <v>230</v>
      </c>
      <c r="B981" s="87">
        <f t="shared" si="210"/>
        <v>11</v>
      </c>
      <c r="C981" s="274">
        <v>45912</v>
      </c>
      <c r="D981" s="327">
        <v>73259</v>
      </c>
      <c r="E981" s="276" t="s">
        <v>512</v>
      </c>
      <c r="F981" s="277">
        <v>616</v>
      </c>
      <c r="G981" s="277"/>
      <c r="H981" s="297"/>
      <c r="I981" s="329">
        <f t="shared" si="209"/>
        <v>616</v>
      </c>
      <c r="J981" s="279" t="s">
        <v>156</v>
      </c>
      <c r="K981" s="279">
        <v>1</v>
      </c>
      <c r="L981" s="279">
        <v>1</v>
      </c>
      <c r="M981" s="279">
        <v>1</v>
      </c>
      <c r="N981" s="279">
        <v>1</v>
      </c>
      <c r="O981" s="279">
        <v>1</v>
      </c>
      <c r="P981" s="279">
        <v>1</v>
      </c>
      <c r="Q981" s="279">
        <v>1</v>
      </c>
      <c r="R981" s="279">
        <v>1</v>
      </c>
      <c r="S981" s="280">
        <v>1</v>
      </c>
      <c r="T981" s="21">
        <v>1</v>
      </c>
      <c r="U981" s="10" t="s">
        <v>574</v>
      </c>
      <c r="V981" s="90">
        <f>75+602.6</f>
        <v>677.6</v>
      </c>
      <c r="W981" s="91"/>
      <c r="X981" s="92"/>
    </row>
    <row r="982" spans="1:24">
      <c r="B982" s="87">
        <f t="shared" si="210"/>
        <v>12</v>
      </c>
      <c r="C982" s="282">
        <v>45912</v>
      </c>
      <c r="D982" s="368">
        <v>73267</v>
      </c>
      <c r="E982" s="283" t="s">
        <v>511</v>
      </c>
      <c r="F982" s="284">
        <v>900</v>
      </c>
      <c r="G982" s="284">
        <f>39.7</f>
        <v>39.700000000000003</v>
      </c>
      <c r="H982" s="315"/>
      <c r="I982" s="331">
        <f t="shared" si="209"/>
        <v>860.3</v>
      </c>
      <c r="J982" s="286" t="s">
        <v>156</v>
      </c>
      <c r="K982" s="286">
        <v>1</v>
      </c>
      <c r="L982" s="332">
        <v>0</v>
      </c>
      <c r="M982" s="286">
        <v>1</v>
      </c>
      <c r="N982" s="286">
        <v>1</v>
      </c>
      <c r="O982" s="286">
        <v>1</v>
      </c>
      <c r="P982" s="286">
        <v>1</v>
      </c>
      <c r="Q982" s="286">
        <v>1</v>
      </c>
      <c r="R982" s="286">
        <v>1</v>
      </c>
      <c r="S982" s="287">
        <v>1</v>
      </c>
      <c r="T982" s="63"/>
      <c r="U982" s="10" t="s">
        <v>575</v>
      </c>
      <c r="V982" s="90">
        <f>99+891</f>
        <v>990</v>
      </c>
      <c r="W982" s="91"/>
      <c r="X982" s="92"/>
    </row>
    <row r="983" spans="1:24">
      <c r="B983" s="87"/>
      <c r="C983" s="609"/>
      <c r="D983" s="10"/>
      <c r="E983" s="10"/>
      <c r="F983" s="97">
        <f>SUM(F971:F982)</f>
        <v>15991.9</v>
      </c>
      <c r="G983" s="97">
        <f>SUM(G971:G982)</f>
        <v>2006.5800000000004</v>
      </c>
      <c r="H983" s="97">
        <f>SUM(H971:H982)</f>
        <v>0</v>
      </c>
      <c r="I983" s="98">
        <f>SUM(I971:I982)</f>
        <v>13985.319999999996</v>
      </c>
      <c r="J983" s="63"/>
      <c r="K983" s="63">
        <f>COUNT(K971:K982)</f>
        <v>12</v>
      </c>
      <c r="L983" s="63">
        <f>COUNT(L971:L982)</f>
        <v>12</v>
      </c>
      <c r="M983" s="63">
        <f>COUNT(M971:M982)</f>
        <v>12</v>
      </c>
      <c r="N983" s="63">
        <f>COUNT(N971:N982)</f>
        <v>12</v>
      </c>
      <c r="O983" s="63">
        <f>COUNT(O971:O982)</f>
        <v>12</v>
      </c>
      <c r="P983" s="63">
        <f>COUNT(P971:P982)</f>
        <v>12</v>
      </c>
      <c r="Q983" s="63">
        <f>COUNT(Q971:Q982)</f>
        <v>12</v>
      </c>
      <c r="R983" s="63">
        <f>COUNT(R971:R982)</f>
        <v>12</v>
      </c>
      <c r="S983" s="63">
        <f>COUNT(S971:S982)</f>
        <v>12</v>
      </c>
      <c r="T983" s="63"/>
      <c r="U983" s="10"/>
      <c r="V983" s="90"/>
      <c r="W983" s="91"/>
      <c r="X983" s="92"/>
    </row>
    <row r="984" spans="1:24">
      <c r="B984" s="87"/>
      <c r="C984" s="609"/>
      <c r="D984" s="10"/>
      <c r="E984" s="10"/>
      <c r="F984" s="88"/>
      <c r="G984" s="88"/>
      <c r="H984" s="88"/>
      <c r="I984" s="99"/>
      <c r="J984" s="63"/>
      <c r="K984" s="21">
        <f>SUM(K971:K982)</f>
        <v>12</v>
      </c>
      <c r="L984" s="21">
        <f>SUM(L971:L982)</f>
        <v>11</v>
      </c>
      <c r="M984" s="21">
        <f>SUM(M971:M982)</f>
        <v>11</v>
      </c>
      <c r="N984" s="21">
        <f>SUM(N971:N982)</f>
        <v>12</v>
      </c>
      <c r="O984" s="21">
        <f>SUM(O971:O982)</f>
        <v>12</v>
      </c>
      <c r="P984" s="21">
        <f>SUM(P971:P982)</f>
        <v>12</v>
      </c>
      <c r="Q984" s="21">
        <f>SUM(Q971:Q982)</f>
        <v>12</v>
      </c>
      <c r="R984" s="21">
        <f>SUM(R971:R982)</f>
        <v>11</v>
      </c>
      <c r="S984" s="21">
        <f>SUM(S971:S982)</f>
        <v>11</v>
      </c>
      <c r="T984" s="63"/>
      <c r="U984" s="10"/>
      <c r="V984" s="90"/>
      <c r="W984" s="91"/>
      <c r="X984" s="92"/>
    </row>
    <row r="985" spans="1:24">
      <c r="B985" s="11"/>
      <c r="C985" s="609"/>
      <c r="D985" s="10"/>
      <c r="E985" s="10"/>
      <c r="F985" s="88"/>
      <c r="G985" s="88"/>
      <c r="H985" s="88"/>
      <c r="I985" s="99"/>
      <c r="J985" s="63"/>
      <c r="K985" s="21"/>
      <c r="L985" s="21"/>
      <c r="M985" s="21"/>
      <c r="N985" s="21"/>
      <c r="O985" s="21"/>
      <c r="P985" s="21"/>
      <c r="Q985" s="21"/>
      <c r="R985" s="21"/>
      <c r="S985" s="21"/>
      <c r="T985" s="63"/>
      <c r="U985" s="94"/>
      <c r="V985" s="90"/>
      <c r="W985" s="91"/>
      <c r="X985" s="92"/>
    </row>
    <row r="986" spans="1:24">
      <c r="B986" s="100" t="s">
        <v>67</v>
      </c>
      <c r="C986" s="609"/>
      <c r="D986" s="10"/>
      <c r="E986" s="10"/>
      <c r="F986" s="88"/>
      <c r="G986" s="62"/>
      <c r="H986" s="88"/>
      <c r="I986" s="99"/>
      <c r="J986" s="63"/>
      <c r="K986" s="2"/>
      <c r="L986" s="2"/>
      <c r="M986" s="2"/>
      <c r="N986" s="2"/>
      <c r="O986" s="2"/>
      <c r="P986" s="2"/>
      <c r="Q986" s="2"/>
      <c r="R986" s="2"/>
      <c r="S986" s="2"/>
      <c r="T986" s="63"/>
      <c r="U986" s="94"/>
      <c r="V986" s="90"/>
      <c r="W986" s="91"/>
      <c r="X986" s="92"/>
    </row>
    <row r="987" spans="1:24">
      <c r="A987" s="31" t="s">
        <v>551</v>
      </c>
      <c r="B987" s="87">
        <v>1</v>
      </c>
      <c r="C987" s="274">
        <v>45838</v>
      </c>
      <c r="D987" s="320" t="s">
        <v>257</v>
      </c>
      <c r="E987" s="281" t="s">
        <v>227</v>
      </c>
      <c r="F987" s="277">
        <v>1261</v>
      </c>
      <c r="G987" s="277">
        <v>39.700000000000003</v>
      </c>
      <c r="H987" s="277"/>
      <c r="I987" s="321">
        <f>F987-G987-H987</f>
        <v>1221.3</v>
      </c>
      <c r="J987" s="279" t="s">
        <v>156</v>
      </c>
      <c r="K987" s="279">
        <v>1</v>
      </c>
      <c r="L987" s="279">
        <v>1</v>
      </c>
      <c r="M987" s="279">
        <v>1</v>
      </c>
      <c r="N987" s="279">
        <v>1</v>
      </c>
      <c r="O987" s="279">
        <v>1</v>
      </c>
      <c r="P987" s="322">
        <v>0</v>
      </c>
      <c r="Q987" s="279">
        <v>1</v>
      </c>
      <c r="R987" s="279">
        <v>1</v>
      </c>
      <c r="S987" s="328">
        <v>0</v>
      </c>
      <c r="T987" s="63"/>
      <c r="U987" s="10" t="s">
        <v>504</v>
      </c>
      <c r="V987" s="90"/>
      <c r="W987" s="91"/>
      <c r="X987" s="92"/>
    </row>
    <row r="988" spans="1:24">
      <c r="A988" s="261" t="s">
        <v>483</v>
      </c>
      <c r="B988" s="87">
        <f>B987+1</f>
        <v>2</v>
      </c>
      <c r="C988" s="262">
        <v>45835</v>
      </c>
      <c r="D988" s="357">
        <v>71077</v>
      </c>
      <c r="E988" s="271" t="s">
        <v>204</v>
      </c>
      <c r="F988" s="265">
        <v>5814</v>
      </c>
      <c r="G988" s="265">
        <f>39.7+(727.51)</f>
        <v>767.21</v>
      </c>
      <c r="H988" s="265"/>
      <c r="I988" s="266">
        <f>F988-G988-H988</f>
        <v>5046.79</v>
      </c>
      <c r="J988" s="267" t="s">
        <v>236</v>
      </c>
      <c r="K988" s="267">
        <v>1</v>
      </c>
      <c r="L988" s="267">
        <v>1</v>
      </c>
      <c r="M988" s="267">
        <v>1</v>
      </c>
      <c r="N988" s="267">
        <v>1</v>
      </c>
      <c r="O988" s="267">
        <v>1</v>
      </c>
      <c r="P988" s="314">
        <v>0</v>
      </c>
      <c r="Q988" s="314">
        <v>0</v>
      </c>
      <c r="R988" s="314">
        <v>0</v>
      </c>
      <c r="S988" s="366">
        <v>0</v>
      </c>
      <c r="T988" s="63"/>
      <c r="U988" s="10" t="s">
        <v>484</v>
      </c>
      <c r="V988" s="90"/>
      <c r="W988" s="136"/>
      <c r="X988" s="137"/>
    </row>
    <row r="989" spans="1:24">
      <c r="A989" s="31" t="s">
        <v>552</v>
      </c>
      <c r="B989" s="87">
        <f t="shared" ref="B989:B991" si="211">B988+1</f>
        <v>3</v>
      </c>
      <c r="C989" s="274">
        <v>45877</v>
      </c>
      <c r="D989" s="327" t="s">
        <v>450</v>
      </c>
      <c r="E989" s="276" t="s">
        <v>203</v>
      </c>
      <c r="F989" s="277">
        <v>12814</v>
      </c>
      <c r="G989" s="277">
        <f>39.7+169+169+(112.49+76.96+145.18+14.16+69.11-131.35)+(95.68+286.2-8.21+27.54+29.97+79.15+27.04+302.46+51.78+24.62)+1000</f>
        <v>2580.48</v>
      </c>
      <c r="H989" s="277"/>
      <c r="I989" s="321">
        <f>F989-G989-H989</f>
        <v>10233.52</v>
      </c>
      <c r="J989" s="279" t="s">
        <v>228</v>
      </c>
      <c r="K989" s="279">
        <v>1</v>
      </c>
      <c r="L989" s="279">
        <v>1</v>
      </c>
      <c r="M989" s="279">
        <v>1</v>
      </c>
      <c r="N989" s="279">
        <v>1</v>
      </c>
      <c r="O989" s="279">
        <v>1</v>
      </c>
      <c r="P989" s="279">
        <v>1</v>
      </c>
      <c r="Q989" s="322">
        <v>0</v>
      </c>
      <c r="R989" s="322">
        <v>0</v>
      </c>
      <c r="S989" s="328">
        <v>0</v>
      </c>
      <c r="T989" s="63"/>
      <c r="U989" s="94" t="s">
        <v>531</v>
      </c>
      <c r="V989" s="90"/>
      <c r="W989" s="136"/>
      <c r="X989" s="137"/>
    </row>
    <row r="990" spans="1:24">
      <c r="A990" s="507" t="s">
        <v>554</v>
      </c>
      <c r="B990" s="87">
        <f t="shared" si="211"/>
        <v>4</v>
      </c>
      <c r="C990" s="645">
        <v>45897</v>
      </c>
      <c r="D990" s="357" t="s">
        <v>529</v>
      </c>
      <c r="E990" s="642" t="s">
        <v>523</v>
      </c>
      <c r="F990" s="646">
        <v>14592.6</v>
      </c>
      <c r="G990" s="646">
        <f>39.7+65.72+(175.26)+(561.09+485.07)+1000</f>
        <v>2326.84</v>
      </c>
      <c r="H990" s="646"/>
      <c r="I990" s="649">
        <f t="shared" ref="I990" si="212">F990-G990-H990</f>
        <v>12265.76</v>
      </c>
      <c r="J990" s="647" t="s">
        <v>228</v>
      </c>
      <c r="K990" s="647">
        <v>1</v>
      </c>
      <c r="L990" s="647">
        <v>1</v>
      </c>
      <c r="M990" s="314">
        <v>0</v>
      </c>
      <c r="N990" s="647">
        <v>1</v>
      </c>
      <c r="O990" s="647">
        <v>1</v>
      </c>
      <c r="P990" s="647">
        <v>1</v>
      </c>
      <c r="Q990" s="647">
        <v>1</v>
      </c>
      <c r="R990" s="647">
        <v>1</v>
      </c>
      <c r="S990" s="648">
        <v>1</v>
      </c>
      <c r="T990" s="537"/>
      <c r="U990" s="164" t="s">
        <v>555</v>
      </c>
      <c r="V990" s="551"/>
      <c r="W990" s="552"/>
      <c r="X990" s="553"/>
    </row>
    <row r="991" spans="1:24">
      <c r="A991" s="507" t="s">
        <v>548</v>
      </c>
      <c r="B991" s="87">
        <f t="shared" si="211"/>
        <v>5</v>
      </c>
      <c r="C991" s="645">
        <v>45904</v>
      </c>
      <c r="D991" s="263" t="s">
        <v>549</v>
      </c>
      <c r="E991" s="642" t="s">
        <v>168</v>
      </c>
      <c r="F991" s="646">
        <v>5533</v>
      </c>
      <c r="G991" s="646">
        <f>39.7+(1374.26)</f>
        <v>1413.96</v>
      </c>
      <c r="H991" s="646"/>
      <c r="I991" s="649">
        <f>F991-G991-H991</f>
        <v>4119.04</v>
      </c>
      <c r="J991" s="647" t="s">
        <v>228</v>
      </c>
      <c r="K991" s="647">
        <v>1</v>
      </c>
      <c r="L991" s="647">
        <v>1</v>
      </c>
      <c r="M991" s="267">
        <v>1</v>
      </c>
      <c r="N991" s="647">
        <v>1</v>
      </c>
      <c r="O991" s="647">
        <v>1</v>
      </c>
      <c r="P991" s="314">
        <v>0</v>
      </c>
      <c r="Q991" s="314">
        <v>0</v>
      </c>
      <c r="R991" s="314">
        <v>0</v>
      </c>
      <c r="S991" s="366">
        <v>0</v>
      </c>
      <c r="T991" s="537"/>
      <c r="U991" s="164" t="s">
        <v>576</v>
      </c>
      <c r="V991" s="551"/>
      <c r="W991" s="552"/>
      <c r="X991" s="553"/>
    </row>
    <row r="992" spans="1:24">
      <c r="B992" s="11"/>
      <c r="C992" s="609"/>
      <c r="D992" s="10"/>
      <c r="E992" s="10"/>
      <c r="F992" s="97">
        <f>SUM(F987:F991)</f>
        <v>40014.6</v>
      </c>
      <c r="G992" s="97">
        <f>SUM(G987:G991)</f>
        <v>7128.1900000000005</v>
      </c>
      <c r="H992" s="97">
        <f>SUM(H987:H991)</f>
        <v>0</v>
      </c>
      <c r="I992" s="98">
        <f>SUM(I987:I991)</f>
        <v>32886.410000000003</v>
      </c>
      <c r="J992" s="63"/>
      <c r="K992" s="21"/>
      <c r="L992" s="21"/>
      <c r="M992" s="21"/>
      <c r="N992" s="21"/>
      <c r="O992" s="21"/>
      <c r="P992" s="21"/>
      <c r="Q992" s="21"/>
      <c r="R992" s="21"/>
      <c r="S992" s="21"/>
      <c r="T992" s="63"/>
      <c r="U992" s="94"/>
      <c r="V992" s="90"/>
      <c r="W992" s="91"/>
      <c r="X992" s="92"/>
    </row>
    <row r="993" spans="1:24">
      <c r="B993" s="11"/>
      <c r="C993" s="609"/>
      <c r="D993" s="10"/>
      <c r="E993" s="10"/>
      <c r="F993" s="88"/>
      <c r="G993" s="88"/>
      <c r="H993" s="88"/>
      <c r="I993" s="99"/>
      <c r="J993" s="63"/>
      <c r="K993" s="21"/>
      <c r="L993" s="21"/>
      <c r="M993" s="21"/>
      <c r="N993" s="21"/>
      <c r="O993" s="21"/>
      <c r="P993" s="21"/>
      <c r="Q993" s="21"/>
      <c r="R993" s="21"/>
      <c r="S993" s="21"/>
      <c r="T993" s="63"/>
      <c r="U993" s="94"/>
      <c r="V993" s="90"/>
      <c r="W993" s="91"/>
      <c r="X993" s="92"/>
    </row>
    <row r="994" spans="1:24">
      <c r="B994" s="121" t="s">
        <v>68</v>
      </c>
      <c r="C994" s="611"/>
      <c r="D994" s="123"/>
      <c r="E994" s="123"/>
      <c r="F994" s="124"/>
      <c r="G994" s="125"/>
      <c r="H994" s="124"/>
      <c r="I994" s="126"/>
      <c r="J994" s="127"/>
      <c r="K994" s="128"/>
      <c r="L994" s="128"/>
      <c r="M994" s="128"/>
      <c r="N994" s="128"/>
      <c r="O994" s="128"/>
      <c r="P994" s="128"/>
      <c r="Q994" s="128"/>
      <c r="R994" s="128"/>
      <c r="S994" s="128"/>
      <c r="T994" s="127"/>
      <c r="U994" s="123"/>
      <c r="V994" s="129"/>
      <c r="W994" s="130"/>
      <c r="X994" s="131"/>
    </row>
    <row r="995" spans="1:24" s="342" customFormat="1">
      <c r="A995" s="492">
        <v>0.05</v>
      </c>
      <c r="B995" s="333">
        <v>1</v>
      </c>
      <c r="C995" s="350">
        <v>45912</v>
      </c>
      <c r="D995" s="263">
        <v>73273</v>
      </c>
      <c r="E995" s="351" t="s">
        <v>577</v>
      </c>
      <c r="F995" s="352">
        <v>4461</v>
      </c>
      <c r="G995" s="352">
        <f>39.7</f>
        <v>39.700000000000003</v>
      </c>
      <c r="H995" s="352"/>
      <c r="I995" s="353">
        <f t="shared" ref="I995" si="213">F995-G995-H995</f>
        <v>4421.3</v>
      </c>
      <c r="J995" s="354" t="s">
        <v>156</v>
      </c>
      <c r="K995" s="354">
        <v>1</v>
      </c>
      <c r="L995" s="354">
        <v>1</v>
      </c>
      <c r="M995" s="354">
        <v>1</v>
      </c>
      <c r="N995" s="354">
        <v>1</v>
      </c>
      <c r="O995" s="354">
        <v>1</v>
      </c>
      <c r="P995" s="354">
        <v>1</v>
      </c>
      <c r="Q995" s="354">
        <v>1</v>
      </c>
      <c r="R995" s="354">
        <v>1</v>
      </c>
      <c r="S995" s="355">
        <v>1</v>
      </c>
      <c r="T995" s="64">
        <v>1</v>
      </c>
      <c r="U995" s="123"/>
      <c r="V995" s="129">
        <f>490.71</f>
        <v>490.71</v>
      </c>
      <c r="W995" s="130"/>
      <c r="X995" s="131"/>
    </row>
    <row r="996" spans="1:24">
      <c r="B996" s="132"/>
      <c r="C996" s="611"/>
      <c r="D996" s="123"/>
      <c r="E996" s="123"/>
      <c r="F996" s="134">
        <f>SUM(F995:F995)</f>
        <v>4461</v>
      </c>
      <c r="G996" s="134">
        <f>SUM(G995:G995)</f>
        <v>39.700000000000003</v>
      </c>
      <c r="H996" s="134">
        <f>SUM(H995:H995)</f>
        <v>0</v>
      </c>
      <c r="I996" s="134">
        <f>SUM(I995:I995)</f>
        <v>4421.3</v>
      </c>
      <c r="J996" s="127"/>
      <c r="K996" s="64"/>
      <c r="L996" s="64"/>
      <c r="M996" s="64"/>
      <c r="N996" s="64"/>
      <c r="O996" s="64"/>
      <c r="P996" s="64"/>
      <c r="Q996" s="64"/>
      <c r="R996" s="64"/>
      <c r="S996" s="64"/>
      <c r="T996" s="127"/>
      <c r="U996" s="123"/>
      <c r="V996" s="129"/>
      <c r="W996" s="130"/>
      <c r="X996" s="131"/>
    </row>
    <row r="997" spans="1:24">
      <c r="B997" s="11"/>
      <c r="C997" s="609"/>
      <c r="D997" s="10"/>
      <c r="E997" s="10"/>
      <c r="F997" s="88"/>
      <c r="G997" s="88"/>
      <c r="H997" s="88"/>
      <c r="I997" s="99"/>
      <c r="J997" s="63"/>
      <c r="K997" s="21"/>
      <c r="L997" s="21"/>
      <c r="M997" s="21"/>
      <c r="N997" s="21"/>
      <c r="O997" s="21"/>
      <c r="P997" s="21"/>
      <c r="Q997" s="21"/>
      <c r="R997" s="21"/>
      <c r="S997" s="21"/>
      <c r="T997" s="63"/>
      <c r="U997" s="94"/>
      <c r="V997" s="90"/>
      <c r="W997" s="91"/>
      <c r="X997" s="92"/>
    </row>
    <row r="998" spans="1:24" s="260" customFormat="1">
      <c r="A998" s="181"/>
      <c r="B998" s="100" t="s">
        <v>152</v>
      </c>
      <c r="C998" s="36"/>
      <c r="D998" s="10"/>
      <c r="E998" s="10"/>
      <c r="F998" s="88"/>
      <c r="G998" s="62"/>
      <c r="H998" s="88"/>
      <c r="I998" s="99"/>
      <c r="J998" s="10"/>
      <c r="K998" s="181"/>
      <c r="L998" s="181"/>
      <c r="M998" s="181"/>
      <c r="N998" s="181"/>
      <c r="O998" s="181"/>
      <c r="P998" s="181"/>
      <c r="Q998" s="181"/>
      <c r="R998" s="181"/>
      <c r="S998" s="181"/>
      <c r="T998" s="63"/>
      <c r="U998" s="10"/>
      <c r="V998" s="90"/>
      <c r="W998" s="91"/>
      <c r="X998" s="92"/>
    </row>
    <row r="999" spans="1:24" s="260" customFormat="1">
      <c r="A999" s="312" t="s">
        <v>194</v>
      </c>
      <c r="B999" s="87">
        <v>1</v>
      </c>
      <c r="C999" s="262">
        <v>45805</v>
      </c>
      <c r="D999" s="357" t="s">
        <v>195</v>
      </c>
      <c r="E999" s="271" t="s">
        <v>196</v>
      </c>
      <c r="F999" s="265">
        <v>2999.1</v>
      </c>
      <c r="G999" s="265">
        <v>39.700000000000003</v>
      </c>
      <c r="H999" s="265">
        <f>F999*0.2</f>
        <v>599.82000000000005</v>
      </c>
      <c r="I999" s="266">
        <f t="shared" ref="I999:I1002" si="214">F999-G999-H999</f>
        <v>2359.58</v>
      </c>
      <c r="J999" s="267" t="s">
        <v>197</v>
      </c>
      <c r="K999" s="267">
        <v>1</v>
      </c>
      <c r="L999" s="267">
        <v>1</v>
      </c>
      <c r="M999" s="267">
        <v>1</v>
      </c>
      <c r="N999" s="267">
        <v>1</v>
      </c>
      <c r="O999" s="267">
        <v>1</v>
      </c>
      <c r="P999" s="314">
        <v>0</v>
      </c>
      <c r="Q999" s="314">
        <v>0</v>
      </c>
      <c r="R999" s="314">
        <v>0</v>
      </c>
      <c r="S999" s="366">
        <v>0</v>
      </c>
      <c r="T999" s="63"/>
      <c r="U999" s="10" t="s">
        <v>198</v>
      </c>
      <c r="V999" s="90"/>
      <c r="W999" s="91"/>
      <c r="X999" s="92"/>
    </row>
    <row r="1000" spans="1:24" s="260" customFormat="1">
      <c r="A1000" s="312" t="s">
        <v>194</v>
      </c>
      <c r="B1000" s="87">
        <f>B999+1</f>
        <v>2</v>
      </c>
      <c r="C1000" s="262">
        <v>45805</v>
      </c>
      <c r="D1000" s="357" t="s">
        <v>199</v>
      </c>
      <c r="E1000" s="271" t="s">
        <v>196</v>
      </c>
      <c r="F1000" s="265">
        <v>16214</v>
      </c>
      <c r="G1000" s="265">
        <f>39.7+44+36.26+(33.82+55.44)+(102.43+254.2+84.43+10.82+125.93)+1500</f>
        <v>2287.0299999999997</v>
      </c>
      <c r="H1000" s="265">
        <f>F1000*0.2</f>
        <v>3242.8</v>
      </c>
      <c r="I1000" s="266">
        <f t="shared" si="214"/>
        <v>10684.170000000002</v>
      </c>
      <c r="J1000" s="267" t="s">
        <v>197</v>
      </c>
      <c r="K1000" s="267">
        <v>1</v>
      </c>
      <c r="L1000" s="267">
        <v>1</v>
      </c>
      <c r="M1000" s="267">
        <v>1</v>
      </c>
      <c r="N1000" s="267">
        <v>1</v>
      </c>
      <c r="O1000" s="267">
        <v>1</v>
      </c>
      <c r="P1000" s="314">
        <v>0</v>
      </c>
      <c r="Q1000" s="267">
        <v>1</v>
      </c>
      <c r="R1000" s="267">
        <v>1</v>
      </c>
      <c r="S1000" s="366">
        <v>0</v>
      </c>
      <c r="T1000" s="63"/>
      <c r="U1000" s="10" t="s">
        <v>200</v>
      </c>
      <c r="V1000" s="90"/>
      <c r="W1000" s="136"/>
      <c r="X1000" s="137"/>
    </row>
    <row r="1001" spans="1:24" s="260" customFormat="1">
      <c r="A1001" s="261">
        <v>0.05</v>
      </c>
      <c r="B1001" s="87">
        <f>B1000+1</f>
        <v>3</v>
      </c>
      <c r="C1001" s="262">
        <v>45826</v>
      </c>
      <c r="D1001" s="263">
        <v>70849</v>
      </c>
      <c r="E1001" s="271" t="s">
        <v>189</v>
      </c>
      <c r="F1001" s="265">
        <f>1261</f>
        <v>1261</v>
      </c>
      <c r="G1001" s="265">
        <v>39.700000000000003</v>
      </c>
      <c r="H1001" s="265"/>
      <c r="I1001" s="266">
        <f t="shared" si="214"/>
        <v>1221.3</v>
      </c>
      <c r="J1001" s="267" t="s">
        <v>156</v>
      </c>
      <c r="K1001" s="267">
        <v>1</v>
      </c>
      <c r="L1001" s="267">
        <v>1</v>
      </c>
      <c r="M1001" s="267">
        <v>1</v>
      </c>
      <c r="N1001" s="267">
        <v>1</v>
      </c>
      <c r="O1001" s="267">
        <v>1</v>
      </c>
      <c r="P1001" s="267">
        <v>1</v>
      </c>
      <c r="Q1001" s="314">
        <v>0</v>
      </c>
      <c r="R1001" s="314">
        <v>0</v>
      </c>
      <c r="S1001" s="366">
        <v>0</v>
      </c>
      <c r="T1001" s="63"/>
      <c r="U1001" s="10" t="s">
        <v>201</v>
      </c>
      <c r="V1001" s="90"/>
      <c r="W1001" s="136"/>
      <c r="X1001" s="137"/>
    </row>
    <row r="1002" spans="1:24" s="260" customFormat="1">
      <c r="A1002" s="261">
        <v>0.05</v>
      </c>
      <c r="B1002" s="87">
        <f t="shared" ref="B1002:B1004" si="215">B1001+1</f>
        <v>4</v>
      </c>
      <c r="C1002" s="262">
        <v>45834</v>
      </c>
      <c r="D1002" s="357" t="s">
        <v>188</v>
      </c>
      <c r="E1002" s="271" t="s">
        <v>189</v>
      </c>
      <c r="F1002" s="265">
        <f>11553-160.9</f>
        <v>11392.1</v>
      </c>
      <c r="G1002" s="265">
        <f>39.7+4500+300</f>
        <v>4839.7</v>
      </c>
      <c r="H1002" s="265">
        <f>F1002*0.2</f>
        <v>2278.42</v>
      </c>
      <c r="I1002" s="266">
        <f t="shared" si="214"/>
        <v>4273.9800000000005</v>
      </c>
      <c r="J1002" s="267" t="s">
        <v>185</v>
      </c>
      <c r="K1002" s="267">
        <v>1</v>
      </c>
      <c r="L1002" s="267">
        <v>1</v>
      </c>
      <c r="M1002" s="267">
        <v>1</v>
      </c>
      <c r="N1002" s="267">
        <v>1</v>
      </c>
      <c r="O1002" s="267">
        <v>1</v>
      </c>
      <c r="P1002" s="314">
        <v>0</v>
      </c>
      <c r="Q1002" s="314">
        <v>0</v>
      </c>
      <c r="R1002" s="314">
        <v>0</v>
      </c>
      <c r="S1002" s="366">
        <v>0</v>
      </c>
      <c r="T1002" s="63"/>
      <c r="U1002" s="10" t="s">
        <v>266</v>
      </c>
      <c r="V1002" s="90"/>
      <c r="W1002" s="136"/>
      <c r="X1002" s="137"/>
    </row>
    <row r="1003" spans="1:24" s="260" customFormat="1">
      <c r="A1003" s="261">
        <v>0.05</v>
      </c>
      <c r="B1003" s="87">
        <f t="shared" si="215"/>
        <v>5</v>
      </c>
      <c r="C1003" s="262">
        <v>45873</v>
      </c>
      <c r="D1003" s="263" t="s">
        <v>448</v>
      </c>
      <c r="E1003" s="271" t="s">
        <v>245</v>
      </c>
      <c r="F1003" s="265">
        <v>16214</v>
      </c>
      <c r="G1003" s="265">
        <f>39.7+334+(37.9+110.12+72.67+137.98)+(161.68+232.63)+1500</f>
        <v>2626.68</v>
      </c>
      <c r="H1003" s="265"/>
      <c r="I1003" s="266">
        <f>F1003-G1003-H1003</f>
        <v>13587.32</v>
      </c>
      <c r="J1003" s="267" t="s">
        <v>228</v>
      </c>
      <c r="K1003" s="267">
        <v>1</v>
      </c>
      <c r="L1003" s="267">
        <v>1</v>
      </c>
      <c r="M1003" s="267">
        <v>1</v>
      </c>
      <c r="N1003" s="267">
        <v>1</v>
      </c>
      <c r="O1003" s="267">
        <v>1</v>
      </c>
      <c r="P1003" s="267">
        <v>1</v>
      </c>
      <c r="Q1003" s="314">
        <v>0</v>
      </c>
      <c r="R1003" s="314">
        <v>0</v>
      </c>
      <c r="S1003" s="366">
        <v>0</v>
      </c>
      <c r="T1003" s="63"/>
      <c r="U1003" s="94" t="s">
        <v>485</v>
      </c>
      <c r="V1003" s="90"/>
      <c r="W1003" s="136"/>
      <c r="X1003" s="137"/>
    </row>
    <row r="1004" spans="1:24">
      <c r="A1004" s="507">
        <v>0.05</v>
      </c>
      <c r="B1004" s="87">
        <f t="shared" si="215"/>
        <v>6</v>
      </c>
      <c r="C1004" s="645">
        <v>45896</v>
      </c>
      <c r="D1004" s="357" t="s">
        <v>527</v>
      </c>
      <c r="E1004" s="642" t="s">
        <v>401</v>
      </c>
      <c r="F1004" s="646">
        <v>14503.6</v>
      </c>
      <c r="G1004" s="646">
        <f>39.7+60.48+(103.51+131.24+75.84)+(287.37+90.69)+1000</f>
        <v>1788.83</v>
      </c>
      <c r="H1004" s="646">
        <f>5000*0.2</f>
        <v>1000</v>
      </c>
      <c r="I1004" s="698">
        <f>F1004-G1004-H1004</f>
        <v>11714.77</v>
      </c>
      <c r="J1004" s="647" t="s">
        <v>185</v>
      </c>
      <c r="K1004" s="647">
        <v>1</v>
      </c>
      <c r="L1004" s="647">
        <v>1</v>
      </c>
      <c r="M1004" s="647">
        <v>1</v>
      </c>
      <c r="N1004" s="647">
        <v>1</v>
      </c>
      <c r="O1004" s="647">
        <v>1</v>
      </c>
      <c r="P1004" s="647">
        <v>1</v>
      </c>
      <c r="Q1004" s="647">
        <v>1</v>
      </c>
      <c r="R1004" s="647">
        <v>1</v>
      </c>
      <c r="S1004" s="648">
        <v>1</v>
      </c>
      <c r="T1004" s="537"/>
      <c r="U1004" s="164" t="s">
        <v>553</v>
      </c>
      <c r="V1004" s="551">
        <f>358.56+9000</f>
        <v>9358.56</v>
      </c>
      <c r="W1004" s="552"/>
      <c r="X1004" s="553"/>
    </row>
    <row r="1005" spans="1:24" s="260" customFormat="1">
      <c r="A1005" s="181"/>
      <c r="B1005" s="11"/>
      <c r="C1005" s="36"/>
      <c r="D1005" s="77"/>
      <c r="E1005" s="10"/>
      <c r="F1005" s="97">
        <f>SUM(F999:F1004)</f>
        <v>62583.799999999996</v>
      </c>
      <c r="G1005" s="97">
        <f>SUM(G999:G1004)</f>
        <v>11621.64</v>
      </c>
      <c r="H1005" s="97">
        <f>SUM(H999:H1004)</f>
        <v>7121.0400000000009</v>
      </c>
      <c r="I1005" s="97">
        <f>SUM(I999:I1004)</f>
        <v>43841.120000000003</v>
      </c>
      <c r="K1005" s="21"/>
      <c r="L1005" s="21"/>
      <c r="M1005" s="21"/>
      <c r="N1005" s="21"/>
      <c r="O1005" s="21"/>
      <c r="P1005" s="21"/>
      <c r="Q1005" s="21"/>
      <c r="R1005" s="21"/>
      <c r="S1005" s="21"/>
      <c r="T1005" s="63"/>
      <c r="U1005" s="10"/>
      <c r="V1005" s="90"/>
      <c r="W1005" s="91"/>
      <c r="X1005" s="92"/>
    </row>
    <row r="1006" spans="1:24" s="260" customFormat="1">
      <c r="A1006" s="181"/>
      <c r="B1006" s="11"/>
      <c r="C1006" s="36"/>
      <c r="D1006" s="77"/>
      <c r="E1006" s="10"/>
      <c r="F1006" s="88"/>
      <c r="G1006" s="88"/>
      <c r="H1006" s="88"/>
      <c r="I1006" s="99"/>
      <c r="J1006" s="63"/>
      <c r="K1006" s="21"/>
      <c r="L1006" s="21"/>
      <c r="M1006" s="21"/>
      <c r="N1006" s="21"/>
      <c r="O1006" s="21"/>
      <c r="P1006" s="21"/>
      <c r="Q1006" s="21"/>
      <c r="R1006" s="21"/>
      <c r="S1006" s="21"/>
      <c r="T1006" s="63"/>
      <c r="U1006" s="10"/>
      <c r="V1006" s="90"/>
      <c r="W1006" s="91"/>
      <c r="X1006" s="92"/>
    </row>
    <row r="1007" spans="1:24" s="260" customFormat="1">
      <c r="A1007" s="181"/>
      <c r="B1007" s="100" t="s">
        <v>202</v>
      </c>
      <c r="C1007" s="299"/>
      <c r="D1007" s="77"/>
      <c r="E1007" s="181"/>
      <c r="F1007" s="88"/>
      <c r="G1007" s="88"/>
      <c r="H1007" s="88"/>
      <c r="I1007" s="99"/>
      <c r="J1007" s="63"/>
      <c r="K1007" s="21"/>
      <c r="L1007" s="21"/>
      <c r="M1007" s="21"/>
      <c r="N1007" s="21"/>
      <c r="O1007" s="21"/>
      <c r="P1007" s="21"/>
      <c r="Q1007" s="21"/>
      <c r="R1007" s="21"/>
      <c r="S1007" s="21"/>
      <c r="T1007" s="63"/>
      <c r="U1007" s="10"/>
      <c r="V1007" s="90"/>
      <c r="W1007" s="91"/>
      <c r="X1007" s="92"/>
    </row>
    <row r="1008" spans="1:24" s="260" customFormat="1">
      <c r="A1008" s="261">
        <v>0.05</v>
      </c>
      <c r="B1008" s="87">
        <v>1</v>
      </c>
      <c r="C1008" s="262">
        <v>45847</v>
      </c>
      <c r="D1008" s="263">
        <v>71343</v>
      </c>
      <c r="E1008" s="271" t="s">
        <v>184</v>
      </c>
      <c r="F1008" s="265">
        <v>2814</v>
      </c>
      <c r="G1008" s="265">
        <f>39.7+(36.22+222.93)</f>
        <v>298.84999999999997</v>
      </c>
      <c r="H1008" s="265"/>
      <c r="I1008" s="266">
        <f>F1008-G1008-H1008</f>
        <v>2515.15</v>
      </c>
      <c r="J1008" s="267" t="s">
        <v>156</v>
      </c>
      <c r="K1008" s="267">
        <v>1</v>
      </c>
      <c r="L1008" s="267"/>
      <c r="M1008" s="267">
        <v>1</v>
      </c>
      <c r="N1008" s="267">
        <v>1</v>
      </c>
      <c r="O1008" s="267">
        <v>1</v>
      </c>
      <c r="P1008" s="314">
        <v>0</v>
      </c>
      <c r="Q1008" s="267"/>
      <c r="R1008" s="267"/>
      <c r="S1008" s="269"/>
      <c r="T1008" s="63"/>
      <c r="U1008" s="94" t="s">
        <v>359</v>
      </c>
      <c r="V1008" s="90"/>
      <c r="W1008" s="136"/>
      <c r="X1008" s="137"/>
    </row>
    <row r="1009" spans="1:24" s="260" customFormat="1">
      <c r="A1009" s="261">
        <v>0.05</v>
      </c>
      <c r="B1009" s="87">
        <f>B1008+1</f>
        <v>2</v>
      </c>
      <c r="C1009" s="262">
        <v>45881</v>
      </c>
      <c r="D1009" s="263" t="s">
        <v>480</v>
      </c>
      <c r="E1009" s="309" t="s">
        <v>456</v>
      </c>
      <c r="F1009" s="265">
        <v>8614</v>
      </c>
      <c r="G1009" s="265">
        <f>39.7+495+(278.1+41.8-83.55)+1500</f>
        <v>2271.0500000000002</v>
      </c>
      <c r="H1009" s="265"/>
      <c r="I1009" s="272">
        <f t="shared" ref="I1009" si="216">F1009-G1009-H1009</f>
        <v>6342.95</v>
      </c>
      <c r="J1009" s="267" t="s">
        <v>228</v>
      </c>
      <c r="K1009" s="267">
        <v>1</v>
      </c>
      <c r="L1009" s="267"/>
      <c r="M1009" s="267">
        <v>1</v>
      </c>
      <c r="N1009" s="267">
        <v>1</v>
      </c>
      <c r="O1009" s="267">
        <v>1</v>
      </c>
      <c r="P1009" s="267">
        <v>1</v>
      </c>
      <c r="Q1009" s="267"/>
      <c r="R1009" s="267"/>
      <c r="S1009" s="269"/>
      <c r="T1009" s="63"/>
      <c r="U1009" s="94" t="s">
        <v>505</v>
      </c>
      <c r="V1009" s="90"/>
      <c r="W1009" s="136"/>
      <c r="X1009" s="137"/>
    </row>
    <row r="1010" spans="1:24" s="260" customFormat="1">
      <c r="B1010" s="11"/>
      <c r="C1010" s="36"/>
      <c r="D1010" s="10"/>
      <c r="E1010" s="10"/>
      <c r="F1010" s="97">
        <f>SUM(F1008:F1009)</f>
        <v>11428</v>
      </c>
      <c r="G1010" s="97">
        <f>SUM(G1008:G1009)</f>
        <v>2569.9</v>
      </c>
      <c r="H1010" s="97">
        <f>SUM(H1008:H1009)</f>
        <v>0</v>
      </c>
      <c r="I1010" s="97">
        <f>SUM(I1008:I1009)</f>
        <v>8858.1</v>
      </c>
      <c r="J1010" s="63"/>
      <c r="K1010" s="21"/>
      <c r="L1010" s="21"/>
      <c r="M1010" s="21"/>
      <c r="N1010" s="21"/>
      <c r="O1010" s="21"/>
      <c r="P1010" s="21"/>
      <c r="Q1010" s="21"/>
      <c r="R1010" s="21"/>
      <c r="S1010" s="21"/>
      <c r="T1010" s="63"/>
      <c r="U1010" s="10"/>
      <c r="V1010" s="90"/>
      <c r="W1010" s="91"/>
      <c r="X1010" s="92"/>
    </row>
    <row r="1011" spans="1:24" s="260" customFormat="1">
      <c r="B1011" s="11"/>
      <c r="C1011" s="36"/>
      <c r="D1011" s="10"/>
      <c r="E1011" s="10"/>
      <c r="F1011" s="88"/>
      <c r="G1011" s="88"/>
      <c r="H1011" s="88"/>
      <c r="I1011" s="88"/>
      <c r="J1011" s="63"/>
      <c r="K1011" s="21"/>
      <c r="L1011" s="21"/>
      <c r="M1011" s="21"/>
      <c r="N1011" s="21"/>
      <c r="O1011" s="21"/>
      <c r="P1011" s="21"/>
      <c r="Q1011" s="21"/>
      <c r="R1011" s="21"/>
      <c r="S1011" s="21"/>
      <c r="T1011" s="63"/>
      <c r="U1011" s="10"/>
      <c r="V1011" s="90"/>
      <c r="W1011" s="91"/>
      <c r="X1011" s="92"/>
    </row>
    <row r="1012" spans="1:24">
      <c r="B1012" s="100" t="s">
        <v>72</v>
      </c>
      <c r="C1012" s="609"/>
      <c r="D1012" s="10"/>
      <c r="E1012" s="10"/>
      <c r="F1012" s="88"/>
      <c r="G1012" s="88"/>
      <c r="H1012" s="88"/>
      <c r="I1012" s="99"/>
      <c r="J1012" s="63"/>
      <c r="K1012" s="63"/>
      <c r="L1012" s="63"/>
      <c r="M1012" s="63"/>
      <c r="N1012" s="63"/>
      <c r="O1012" s="63"/>
      <c r="P1012" s="63"/>
      <c r="Q1012" s="63"/>
      <c r="R1012" s="63"/>
      <c r="S1012" s="63"/>
      <c r="T1012" s="63"/>
      <c r="U1012" s="10"/>
      <c r="V1012" s="90"/>
      <c r="W1012" s="91"/>
      <c r="X1012" s="92"/>
    </row>
    <row r="1013" spans="1:24">
      <c r="B1013" s="87">
        <v>1</v>
      </c>
      <c r="C1013" s="274">
        <v>45908</v>
      </c>
      <c r="D1013" s="276" t="s">
        <v>578</v>
      </c>
      <c r="E1013" s="276" t="s">
        <v>384</v>
      </c>
      <c r="F1013" s="277">
        <v>5643.9</v>
      </c>
      <c r="G1013" s="277">
        <f>39.7</f>
        <v>39.700000000000003</v>
      </c>
      <c r="H1013" s="277"/>
      <c r="I1013" s="278">
        <f t="shared" ref="I1013:I1022" si="217">F1013-G1013-H1013</f>
        <v>5604.2</v>
      </c>
      <c r="J1013" s="279" t="s">
        <v>205</v>
      </c>
      <c r="K1013" s="279">
        <v>1</v>
      </c>
      <c r="L1013" s="279"/>
      <c r="M1013" s="279"/>
      <c r="N1013" s="279">
        <v>1</v>
      </c>
      <c r="O1013" s="279"/>
      <c r="P1013" s="279"/>
      <c r="Q1013" s="279"/>
      <c r="R1013" s="279"/>
      <c r="S1013" s="280"/>
      <c r="T1013" s="63"/>
      <c r="U1013" s="3"/>
      <c r="V1013" s="90"/>
      <c r="W1013" s="91"/>
      <c r="X1013" s="92"/>
    </row>
    <row r="1014" spans="1:24">
      <c r="B1014" s="87">
        <f t="shared" ref="B1014:B1022" si="218">B1013+1</f>
        <v>2</v>
      </c>
      <c r="C1014" s="274">
        <v>45909</v>
      </c>
      <c r="D1014" s="276">
        <v>73067</v>
      </c>
      <c r="E1014" s="276" t="s">
        <v>401</v>
      </c>
      <c r="F1014" s="277">
        <v>1176</v>
      </c>
      <c r="G1014" s="277">
        <v>39.700000000000003</v>
      </c>
      <c r="H1014" s="277"/>
      <c r="I1014" s="278">
        <f t="shared" si="217"/>
        <v>1136.3</v>
      </c>
      <c r="J1014" s="279" t="s">
        <v>205</v>
      </c>
      <c r="K1014" s="279">
        <v>1</v>
      </c>
      <c r="L1014" s="279"/>
      <c r="M1014" s="279"/>
      <c r="N1014" s="279">
        <v>1</v>
      </c>
      <c r="O1014" s="279"/>
      <c r="P1014" s="279"/>
      <c r="Q1014" s="279">
        <v>1</v>
      </c>
      <c r="R1014" s="279">
        <v>1</v>
      </c>
      <c r="S1014" s="280">
        <v>1</v>
      </c>
      <c r="T1014" s="63"/>
      <c r="U1014" s="10"/>
      <c r="V1014" s="90"/>
      <c r="W1014" s="136"/>
      <c r="X1014" s="137"/>
    </row>
    <row r="1015" spans="1:24">
      <c r="B1015" s="87">
        <f t="shared" si="218"/>
        <v>3</v>
      </c>
      <c r="C1015" s="295">
        <v>45909</v>
      </c>
      <c r="D1015" s="10">
        <v>73131</v>
      </c>
      <c r="E1015" s="10" t="s">
        <v>579</v>
      </c>
      <c r="F1015" s="62">
        <v>2742</v>
      </c>
      <c r="G1015" s="62">
        <v>39.700000000000003</v>
      </c>
      <c r="H1015" s="62"/>
      <c r="I1015" s="89">
        <f t="shared" si="217"/>
        <v>2702.3</v>
      </c>
      <c r="J1015" s="63" t="s">
        <v>205</v>
      </c>
      <c r="K1015" s="63">
        <v>1</v>
      </c>
      <c r="L1015" s="63"/>
      <c r="M1015" s="63"/>
      <c r="N1015" s="63">
        <v>1</v>
      </c>
      <c r="O1015" s="63"/>
      <c r="P1015" s="63"/>
      <c r="Q1015" s="63">
        <v>1</v>
      </c>
      <c r="R1015" s="63">
        <v>1</v>
      </c>
      <c r="S1015" s="296">
        <v>1</v>
      </c>
      <c r="T1015" s="63"/>
      <c r="U1015" s="10"/>
      <c r="V1015" s="90"/>
      <c r="W1015" s="136"/>
      <c r="X1015" s="137"/>
    </row>
    <row r="1016" spans="1:24">
      <c r="B1016" s="87">
        <f t="shared" si="218"/>
        <v>4</v>
      </c>
      <c r="C1016" s="295">
        <v>45909</v>
      </c>
      <c r="D1016" s="3" t="s">
        <v>580</v>
      </c>
      <c r="E1016" s="10" t="s">
        <v>581</v>
      </c>
      <c r="F1016" s="62">
        <v>11532.6</v>
      </c>
      <c r="G1016" s="62">
        <v>39.700000000000003</v>
      </c>
      <c r="H1016" s="62"/>
      <c r="I1016" s="89">
        <f t="shared" si="217"/>
        <v>11492.9</v>
      </c>
      <c r="J1016" s="63" t="s">
        <v>205</v>
      </c>
      <c r="K1016" s="63">
        <v>1</v>
      </c>
      <c r="L1016" s="63"/>
      <c r="M1016" s="63"/>
      <c r="N1016" s="63">
        <v>1</v>
      </c>
      <c r="O1016" s="63"/>
      <c r="P1016" s="63"/>
      <c r="Q1016" s="63"/>
      <c r="R1016" s="63"/>
      <c r="S1016" s="296"/>
      <c r="T1016" s="63"/>
      <c r="U1016" s="10"/>
      <c r="V1016" s="90"/>
      <c r="W1016" s="136"/>
      <c r="X1016" s="137"/>
    </row>
    <row r="1017" spans="1:24">
      <c r="B1017" s="87">
        <f t="shared" si="218"/>
        <v>5</v>
      </c>
      <c r="C1017" s="295">
        <v>45909</v>
      </c>
      <c r="D1017" s="10">
        <v>73141</v>
      </c>
      <c r="E1017" s="10" t="s">
        <v>158</v>
      </c>
      <c r="F1017" s="62">
        <v>5749</v>
      </c>
      <c r="G1017" s="62">
        <v>39.700000000000003</v>
      </c>
      <c r="H1017" s="62"/>
      <c r="I1017" s="89">
        <f t="shared" si="217"/>
        <v>5709.3</v>
      </c>
      <c r="J1017" s="63" t="s">
        <v>205</v>
      </c>
      <c r="K1017" s="63">
        <v>1</v>
      </c>
      <c r="L1017" s="63"/>
      <c r="M1017" s="63"/>
      <c r="N1017" s="63">
        <v>1</v>
      </c>
      <c r="O1017" s="63"/>
      <c r="P1017" s="63"/>
      <c r="Q1017" s="63">
        <v>1</v>
      </c>
      <c r="R1017" s="63">
        <v>1</v>
      </c>
      <c r="S1017" s="296">
        <v>1</v>
      </c>
      <c r="T1017" s="63"/>
      <c r="U1017" s="10"/>
      <c r="V1017" s="90"/>
      <c r="W1017" s="136"/>
      <c r="X1017" s="137"/>
    </row>
    <row r="1018" spans="1:24">
      <c r="B1018" s="87">
        <f>B1017+1</f>
        <v>6</v>
      </c>
      <c r="C1018" s="274">
        <v>45910</v>
      </c>
      <c r="D1018" s="276">
        <v>73172</v>
      </c>
      <c r="E1018" s="276" t="s">
        <v>444</v>
      </c>
      <c r="F1018" s="277">
        <v>1461</v>
      </c>
      <c r="G1018" s="277">
        <v>39.700000000000003</v>
      </c>
      <c r="H1018" s="277"/>
      <c r="I1018" s="278">
        <f t="shared" si="217"/>
        <v>1421.3</v>
      </c>
      <c r="J1018" s="279" t="s">
        <v>205</v>
      </c>
      <c r="K1018" s="279">
        <v>1</v>
      </c>
      <c r="L1018" s="279"/>
      <c r="M1018" s="279"/>
      <c r="N1018" s="279">
        <v>1</v>
      </c>
      <c r="O1018" s="279"/>
      <c r="P1018" s="279"/>
      <c r="Q1018" s="279">
        <v>1</v>
      </c>
      <c r="R1018" s="279">
        <v>1</v>
      </c>
      <c r="S1018" s="280">
        <v>1</v>
      </c>
      <c r="T1018" s="63"/>
      <c r="U1018" s="10"/>
      <c r="V1018" s="90"/>
      <c r="W1018" s="136"/>
      <c r="X1018" s="137"/>
    </row>
    <row r="1019" spans="1:24">
      <c r="B1019" s="87">
        <f>B1018+1</f>
        <v>7</v>
      </c>
      <c r="C1019" s="295">
        <v>45910</v>
      </c>
      <c r="D1019" s="10">
        <v>73177</v>
      </c>
      <c r="E1019" s="101" t="s">
        <v>512</v>
      </c>
      <c r="F1019" s="62">
        <v>1138</v>
      </c>
      <c r="G1019" s="62">
        <v>39.700000000000003</v>
      </c>
      <c r="H1019" s="62"/>
      <c r="I1019" s="89">
        <f t="shared" si="217"/>
        <v>1098.3</v>
      </c>
      <c r="J1019" s="63" t="s">
        <v>205</v>
      </c>
      <c r="K1019" s="63">
        <v>1</v>
      </c>
      <c r="L1019" s="63"/>
      <c r="M1019" s="63"/>
      <c r="N1019" s="63">
        <v>1</v>
      </c>
      <c r="O1019" s="63"/>
      <c r="P1019" s="63"/>
      <c r="Q1019" s="63">
        <v>1</v>
      </c>
      <c r="R1019" s="63">
        <v>1</v>
      </c>
      <c r="S1019" s="296">
        <v>1</v>
      </c>
      <c r="T1019" s="63"/>
      <c r="U1019" s="10"/>
      <c r="V1019" s="90"/>
      <c r="W1019" s="136"/>
      <c r="X1019" s="137"/>
    </row>
    <row r="1020" spans="1:24">
      <c r="B1020" s="87">
        <f t="shared" si="218"/>
        <v>8</v>
      </c>
      <c r="C1020" s="274">
        <v>45911</v>
      </c>
      <c r="D1020" s="276">
        <v>73201</v>
      </c>
      <c r="E1020" s="281" t="s">
        <v>524</v>
      </c>
      <c r="F1020" s="277">
        <v>11532.6</v>
      </c>
      <c r="G1020" s="277">
        <v>39.700000000000003</v>
      </c>
      <c r="H1020" s="277"/>
      <c r="I1020" s="278">
        <f t="shared" si="217"/>
        <v>11492.9</v>
      </c>
      <c r="J1020" s="279" t="s">
        <v>205</v>
      </c>
      <c r="K1020" s="279">
        <v>1</v>
      </c>
      <c r="L1020" s="279"/>
      <c r="M1020" s="279"/>
      <c r="N1020" s="279">
        <v>1</v>
      </c>
      <c r="O1020" s="279"/>
      <c r="P1020" s="279"/>
      <c r="Q1020" s="279"/>
      <c r="R1020" s="279"/>
      <c r="S1020" s="280"/>
      <c r="T1020" s="63"/>
      <c r="U1020" s="10"/>
      <c r="V1020" s="90"/>
      <c r="W1020" s="136"/>
      <c r="X1020" s="137"/>
    </row>
    <row r="1021" spans="1:24">
      <c r="B1021" s="87">
        <f t="shared" si="218"/>
        <v>9</v>
      </c>
      <c r="C1021" s="295">
        <v>45911</v>
      </c>
      <c r="D1021" s="10">
        <v>73243</v>
      </c>
      <c r="E1021" s="101" t="s">
        <v>515</v>
      </c>
      <c r="F1021" s="62">
        <v>2261</v>
      </c>
      <c r="G1021" s="62">
        <v>39.700000000000003</v>
      </c>
      <c r="H1021" s="62"/>
      <c r="I1021" s="89">
        <f t="shared" si="217"/>
        <v>2221.3000000000002</v>
      </c>
      <c r="J1021" s="63" t="s">
        <v>205</v>
      </c>
      <c r="K1021" s="63">
        <v>1</v>
      </c>
      <c r="L1021" s="63"/>
      <c r="M1021" s="63"/>
      <c r="N1021" s="63">
        <v>1</v>
      </c>
      <c r="O1021" s="63"/>
      <c r="P1021" s="63"/>
      <c r="Q1021" s="63">
        <v>1</v>
      </c>
      <c r="R1021" s="63">
        <v>1</v>
      </c>
      <c r="S1021" s="296"/>
      <c r="T1021" s="63"/>
      <c r="U1021" s="10"/>
      <c r="V1021" s="90"/>
      <c r="W1021" s="136"/>
      <c r="X1021" s="137"/>
    </row>
    <row r="1022" spans="1:24">
      <c r="B1022" s="87">
        <f t="shared" si="218"/>
        <v>10</v>
      </c>
      <c r="C1022" s="262">
        <v>45912</v>
      </c>
      <c r="D1022" s="271">
        <v>73111</v>
      </c>
      <c r="E1022" s="264" t="s">
        <v>296</v>
      </c>
      <c r="F1022" s="265">
        <v>681</v>
      </c>
      <c r="G1022" s="265"/>
      <c r="H1022" s="265"/>
      <c r="I1022" s="272">
        <f t="shared" si="217"/>
        <v>681</v>
      </c>
      <c r="J1022" s="267" t="s">
        <v>205</v>
      </c>
      <c r="K1022" s="267">
        <v>1</v>
      </c>
      <c r="L1022" s="267"/>
      <c r="M1022" s="267"/>
      <c r="N1022" s="267">
        <v>1</v>
      </c>
      <c r="O1022" s="267"/>
      <c r="P1022" s="267"/>
      <c r="Q1022" s="267"/>
      <c r="R1022" s="267"/>
      <c r="S1022" s="269"/>
      <c r="T1022" s="63"/>
      <c r="U1022" s="10"/>
      <c r="V1022" s="90"/>
      <c r="W1022" s="136"/>
      <c r="X1022" s="137"/>
    </row>
    <row r="1023" spans="1:24">
      <c r="B1023" s="11"/>
      <c r="C1023" s="609"/>
      <c r="D1023" s="10"/>
      <c r="E1023" s="10"/>
      <c r="F1023" s="97">
        <f>SUM(F1013:F1022)</f>
        <v>43917.1</v>
      </c>
      <c r="G1023" s="97">
        <f>SUM(G1013:G1022)</f>
        <v>357.29999999999995</v>
      </c>
      <c r="H1023" s="97">
        <f>SUM(H1013:H1022)</f>
        <v>0</v>
      </c>
      <c r="I1023" s="98">
        <f>SUM(I1013:I1022)</f>
        <v>43559.799999999996</v>
      </c>
      <c r="J1023" s="10"/>
      <c r="K1023" s="10"/>
      <c r="L1023" s="10"/>
      <c r="M1023" s="10"/>
      <c r="N1023" s="10"/>
      <c r="O1023" s="10"/>
      <c r="P1023" s="10"/>
      <c r="Q1023" s="10"/>
      <c r="R1023" s="10"/>
      <c r="S1023" s="10"/>
      <c r="T1023" s="63"/>
      <c r="U1023" s="10"/>
      <c r="V1023" s="138"/>
      <c r="W1023" s="136"/>
      <c r="X1023" s="137"/>
    </row>
    <row r="1024" spans="1:24">
      <c r="B1024" s="26"/>
      <c r="C1024" s="612"/>
      <c r="D1024" s="141"/>
      <c r="E1024" s="141"/>
      <c r="F1024" s="141"/>
      <c r="G1024" s="141"/>
      <c r="H1024" s="141"/>
      <c r="I1024" s="141"/>
      <c r="J1024" s="141"/>
      <c r="K1024" s="142"/>
      <c r="L1024" s="142"/>
      <c r="M1024" s="142"/>
      <c r="N1024" s="142"/>
      <c r="O1024" s="142"/>
      <c r="P1024" s="142"/>
      <c r="Q1024" s="142"/>
      <c r="R1024" s="142"/>
      <c r="S1024" s="142"/>
      <c r="T1024" s="143">
        <f>SUM(T970:T1023)</f>
        <v>9</v>
      </c>
      <c r="U1024" s="141"/>
      <c r="V1024" s="144">
        <f>SUM(V970:V1023)</f>
        <v>25062.269999999997</v>
      </c>
      <c r="W1024" s="144">
        <f t="shared" ref="W1024:X1024" si="219">SUM(W970:W1023)</f>
        <v>2390</v>
      </c>
      <c r="X1024" s="144">
        <f t="shared" si="219"/>
        <v>0</v>
      </c>
    </row>
    <row r="1025" spans="1:24">
      <c r="B1025" s="10"/>
      <c r="C1025" s="36"/>
      <c r="D1025" s="10"/>
      <c r="E1025" s="10"/>
      <c r="F1025" s="10"/>
      <c r="G1025" s="10"/>
      <c r="H1025" s="10"/>
      <c r="I1025" s="10"/>
      <c r="J1025" s="10"/>
      <c r="K1025" s="147"/>
      <c r="L1025" s="147"/>
      <c r="M1025" s="147"/>
      <c r="N1025" s="147"/>
      <c r="O1025" s="147"/>
      <c r="P1025" s="147"/>
      <c r="Q1025" s="147"/>
      <c r="R1025" s="147"/>
      <c r="S1025" s="147"/>
      <c r="T1025" s="21"/>
      <c r="U1025" s="10"/>
      <c r="V1025" s="99"/>
      <c r="W1025" s="99"/>
      <c r="X1025" s="99"/>
    </row>
    <row r="1027" spans="1:24">
      <c r="A1027" s="613"/>
      <c r="B1027" s="4" t="s">
        <v>1</v>
      </c>
      <c r="C1027" s="5"/>
      <c r="D1027" s="6"/>
      <c r="E1027" s="6"/>
      <c r="F1027" s="7" t="s">
        <v>2</v>
      </c>
      <c r="G1027" s="608">
        <v>45921</v>
      </c>
      <c r="H1027" s="7"/>
      <c r="I1027" s="6"/>
      <c r="J1027" s="6"/>
      <c r="K1027" s="6"/>
      <c r="L1027" s="6"/>
      <c r="M1027" s="6"/>
      <c r="N1027" s="6"/>
      <c r="O1027" s="6"/>
      <c r="P1027" s="6"/>
      <c r="Q1027" s="6"/>
      <c r="R1027" s="6"/>
      <c r="S1027" s="6"/>
      <c r="T1027" s="6"/>
      <c r="U1027" s="9"/>
      <c r="V1027" s="10"/>
      <c r="W1027" s="10"/>
      <c r="X1027" s="10"/>
    </row>
    <row r="1028" spans="1:24">
      <c r="A1028" s="614"/>
      <c r="B1028" s="11"/>
      <c r="C1028" s="10"/>
      <c r="D1028" s="10"/>
      <c r="E1028" s="10"/>
      <c r="F1028" s="10"/>
      <c r="G1028" s="7"/>
      <c r="H1028" s="12"/>
      <c r="I1028" s="10"/>
      <c r="J1028" s="10"/>
      <c r="K1028" s="13" t="s">
        <v>3</v>
      </c>
      <c r="L1028" s="14"/>
      <c r="M1028" s="15"/>
      <c r="N1028" s="13" t="s">
        <v>4</v>
      </c>
      <c r="O1028" s="14"/>
      <c r="P1028" s="15"/>
      <c r="Q1028" s="13" t="s">
        <v>5</v>
      </c>
      <c r="R1028" s="14"/>
      <c r="S1028" s="15"/>
      <c r="T1028" s="16"/>
      <c r="U1028" s="17"/>
      <c r="V1028" s="10"/>
      <c r="W1028" s="10"/>
      <c r="X1028" s="10"/>
    </row>
    <row r="1029" spans="1:24">
      <c r="A1029" s="614"/>
      <c r="B1029" s="18" t="s">
        <v>6</v>
      </c>
      <c r="C1029" s="19">
        <f>C1030+C1031</f>
        <v>17</v>
      </c>
      <c r="D1029" s="10"/>
      <c r="E1029" s="18" t="s">
        <v>7</v>
      </c>
      <c r="F1029" s="6"/>
      <c r="G1029" s="9"/>
      <c r="H1029" s="10"/>
      <c r="I1029" s="10"/>
      <c r="J1029" s="10"/>
      <c r="K1029" s="20" t="s">
        <v>8</v>
      </c>
      <c r="L1029" s="21" t="s">
        <v>9</v>
      </c>
      <c r="M1029" s="21" t="s">
        <v>10</v>
      </c>
      <c r="N1029" s="20" t="s">
        <v>11</v>
      </c>
      <c r="O1029" s="21" t="s">
        <v>12</v>
      </c>
      <c r="P1029" s="22" t="s">
        <v>13</v>
      </c>
      <c r="Q1029" s="21" t="s">
        <v>11</v>
      </c>
      <c r="R1029" s="21" t="s">
        <v>12</v>
      </c>
      <c r="S1029" s="22" t="s">
        <v>13</v>
      </c>
      <c r="T1029" s="23" t="s">
        <v>14</v>
      </c>
      <c r="U1029" s="17"/>
      <c r="V1029" s="10"/>
      <c r="W1029" s="10"/>
      <c r="X1029" s="10"/>
    </row>
    <row r="1030" spans="1:24">
      <c r="A1030" s="614"/>
      <c r="B1030" s="24" t="s">
        <v>15</v>
      </c>
      <c r="C1030" s="25">
        <f>P1037</f>
        <v>9</v>
      </c>
      <c r="D1030" s="10"/>
      <c r="E1030" s="26" t="s">
        <v>16</v>
      </c>
      <c r="F1030" s="27">
        <v>0.05</v>
      </c>
      <c r="G1030" s="28"/>
      <c r="H1030" s="10"/>
      <c r="I1030" s="10"/>
      <c r="J1030" s="18" t="s">
        <v>17</v>
      </c>
      <c r="K1030" s="29">
        <f>K1063</f>
        <v>8</v>
      </c>
      <c r="L1030" s="29">
        <f t="shared" ref="L1030:S1030" si="220">L1063</f>
        <v>7</v>
      </c>
      <c r="M1030" s="29">
        <f t="shared" si="220"/>
        <v>8</v>
      </c>
      <c r="N1030" s="29">
        <f t="shared" si="220"/>
        <v>8</v>
      </c>
      <c r="O1030" s="29">
        <f t="shared" si="220"/>
        <v>8</v>
      </c>
      <c r="P1030" s="29">
        <f t="shared" si="220"/>
        <v>8</v>
      </c>
      <c r="Q1030" s="29">
        <f t="shared" si="220"/>
        <v>8</v>
      </c>
      <c r="R1030" s="29">
        <f t="shared" si="220"/>
        <v>8</v>
      </c>
      <c r="S1030" s="29">
        <f t="shared" si="220"/>
        <v>8</v>
      </c>
      <c r="T1030" s="30">
        <f>T1106</f>
        <v>1</v>
      </c>
      <c r="U1030" s="17" t="s">
        <v>582</v>
      </c>
      <c r="V1030" s="10"/>
      <c r="W1030" s="10"/>
      <c r="X1030" s="10"/>
    </row>
    <row r="1031" spans="1:24">
      <c r="A1031" s="614"/>
      <c r="B1031" s="24" t="s">
        <v>18</v>
      </c>
      <c r="C1031" s="25">
        <f>P1038</f>
        <v>8</v>
      </c>
      <c r="D1031" s="10"/>
      <c r="E1031" s="10"/>
      <c r="F1031" s="10"/>
      <c r="G1031" s="31"/>
      <c r="H1031" s="10"/>
      <c r="I1031" s="10"/>
      <c r="J1031" s="32" t="s">
        <v>19</v>
      </c>
      <c r="K1031" s="33">
        <f>K1063/K1062</f>
        <v>1</v>
      </c>
      <c r="L1031" s="33">
        <f t="shared" ref="L1031:S1031" si="221">L1063/L1062</f>
        <v>0.875</v>
      </c>
      <c r="M1031" s="33">
        <f t="shared" si="221"/>
        <v>1</v>
      </c>
      <c r="N1031" s="33">
        <f t="shared" si="221"/>
        <v>1</v>
      </c>
      <c r="O1031" s="33">
        <f t="shared" si="221"/>
        <v>1</v>
      </c>
      <c r="P1031" s="33">
        <f t="shared" si="221"/>
        <v>1</v>
      </c>
      <c r="Q1031" s="33">
        <f t="shared" si="221"/>
        <v>1</v>
      </c>
      <c r="R1031" s="33">
        <f t="shared" si="221"/>
        <v>1</v>
      </c>
      <c r="S1031" s="33">
        <f t="shared" si="221"/>
        <v>1</v>
      </c>
      <c r="T1031" s="23"/>
      <c r="U1031" s="17" t="s">
        <v>20</v>
      </c>
      <c r="V1031" s="10"/>
      <c r="W1031" s="10"/>
      <c r="X1031" s="10"/>
    </row>
    <row r="1032" spans="1:24">
      <c r="A1032" s="614"/>
      <c r="B1032" s="24" t="s">
        <v>21</v>
      </c>
      <c r="C1032" s="34">
        <f>P1039</f>
        <v>0.52941176470588236</v>
      </c>
      <c r="D1032" s="10"/>
      <c r="E1032" s="10"/>
      <c r="F1032" s="10"/>
      <c r="G1032" s="10"/>
      <c r="H1032" s="10"/>
      <c r="I1032" s="10"/>
      <c r="J1032" s="10"/>
      <c r="K1032" s="10"/>
      <c r="L1032" s="10"/>
      <c r="M1032" s="10"/>
      <c r="N1032" s="10"/>
      <c r="O1032" s="10"/>
      <c r="P1032" s="10"/>
      <c r="Q1032" s="10"/>
      <c r="R1032" s="10"/>
      <c r="S1032" s="10"/>
      <c r="T1032" s="10"/>
      <c r="U1032" s="17"/>
      <c r="V1032" s="10"/>
      <c r="W1032" s="10"/>
      <c r="X1032" s="10"/>
    </row>
    <row r="1033" spans="1:24">
      <c r="A1033" s="614"/>
      <c r="B1033" s="24"/>
      <c r="C1033" s="25"/>
      <c r="D1033" s="10"/>
      <c r="E1033" s="10"/>
      <c r="F1033" s="18" t="s">
        <v>22</v>
      </c>
      <c r="G1033" s="19" t="s">
        <v>23</v>
      </c>
      <c r="H1033" s="35" t="s">
        <v>24</v>
      </c>
      <c r="I1033" s="10"/>
      <c r="J1033" s="10"/>
      <c r="K1033" s="36"/>
      <c r="L1033" s="36"/>
      <c r="M1033" s="36"/>
      <c r="N1033" s="36"/>
      <c r="O1033" s="36"/>
      <c r="P1033" s="36"/>
      <c r="Q1033" s="36"/>
      <c r="R1033" s="10"/>
      <c r="S1033" s="10"/>
      <c r="T1033" s="10"/>
      <c r="U1033" s="17"/>
      <c r="V1033" s="10"/>
      <c r="W1033" s="10"/>
      <c r="X1033" s="10"/>
    </row>
    <row r="1034" spans="1:24" ht="14.25" customHeight="1">
      <c r="A1034" s="614"/>
      <c r="B1034" s="32" t="s">
        <v>25</v>
      </c>
      <c r="C1034" s="37">
        <f>P1040</f>
        <v>1646.6088888888889</v>
      </c>
      <c r="D1034" s="10"/>
      <c r="E1034" s="18" t="s">
        <v>26</v>
      </c>
      <c r="F1034" s="38">
        <f>P1036</f>
        <v>14819.48</v>
      </c>
      <c r="G1034" s="39">
        <f>I1062+I1077</f>
        <v>14819.48</v>
      </c>
      <c r="H1034" s="767" t="s">
        <v>583</v>
      </c>
      <c r="I1034" s="767"/>
      <c r="J1034" s="767"/>
      <c r="K1034" s="43" t="s">
        <v>27</v>
      </c>
      <c r="L1034" s="44"/>
      <c r="M1034" s="44"/>
      <c r="N1034" s="44"/>
      <c r="O1034" s="44"/>
      <c r="P1034" s="44"/>
      <c r="Q1034" s="45"/>
      <c r="R1034" s="46" t="s">
        <v>28</v>
      </c>
      <c r="S1034" s="47" t="s">
        <v>29</v>
      </c>
      <c r="T1034" s="10"/>
      <c r="U1034" s="17"/>
      <c r="V1034" s="10"/>
      <c r="W1034" s="10"/>
      <c r="X1034" s="10"/>
    </row>
    <row r="1035" spans="1:24">
      <c r="A1035" s="614"/>
      <c r="B1035" s="11"/>
      <c r="C1035" s="10"/>
      <c r="D1035" s="10"/>
      <c r="E1035" s="24" t="s">
        <v>30</v>
      </c>
      <c r="F1035" s="48">
        <f>F1030</f>
        <v>0.05</v>
      </c>
      <c r="G1035" s="17"/>
      <c r="H1035" s="767"/>
      <c r="I1035" s="767"/>
      <c r="J1035" s="767"/>
      <c r="K1035" s="20" t="s">
        <v>31</v>
      </c>
      <c r="L1035" s="21" t="s">
        <v>32</v>
      </c>
      <c r="M1035" s="21" t="s">
        <v>33</v>
      </c>
      <c r="N1035" s="21" t="s">
        <v>34</v>
      </c>
      <c r="O1035" s="21" t="s">
        <v>35</v>
      </c>
      <c r="P1035" s="21" t="s">
        <v>36</v>
      </c>
      <c r="Q1035" s="49" t="s">
        <v>37</v>
      </c>
      <c r="R1035" s="50" t="s">
        <v>38</v>
      </c>
      <c r="S1035" s="50" t="s">
        <v>38</v>
      </c>
      <c r="T1035" s="10"/>
      <c r="U1035" s="17"/>
      <c r="V1035" s="10"/>
      <c r="W1035" s="10"/>
      <c r="X1035" s="10"/>
    </row>
    <row r="1036" spans="1:24">
      <c r="A1036" s="614"/>
      <c r="B1036" s="11"/>
      <c r="C1036" s="10"/>
      <c r="D1036" s="10"/>
      <c r="E1036" s="51" t="s">
        <v>39</v>
      </c>
      <c r="F1036" s="52">
        <f>(F1034+F1043+F1044+F1045+F1046+F1047+F1048-I1054-I1076)*F1035</f>
        <v>463.82749999999999</v>
      </c>
      <c r="G1036" s="53" t="s">
        <v>40</v>
      </c>
      <c r="H1036" s="54">
        <f>F1036/1.12</f>
        <v>414.13169642857139</v>
      </c>
      <c r="I1036" s="570" t="s">
        <v>584</v>
      </c>
      <c r="J1036" s="42"/>
      <c r="K1036" s="56">
        <v>0</v>
      </c>
      <c r="L1036" s="57">
        <f>I1055+I1054</f>
        <v>4235.1000000000004</v>
      </c>
      <c r="M1036" s="57">
        <f>I1056+I1057+I1058</f>
        <v>3314.8599999999997</v>
      </c>
      <c r="N1036" s="57">
        <f>I1059</f>
        <v>904.38</v>
      </c>
      <c r="O1036" s="57">
        <f>I1060+I1061+I1076</f>
        <v>6365.14</v>
      </c>
      <c r="P1036" s="57">
        <f>SUM(K1036:O1036)</f>
        <v>14819.48</v>
      </c>
      <c r="Q1036" s="58">
        <f>I1066+I1067</f>
        <v>4847.5499999999993</v>
      </c>
      <c r="R1036" s="59">
        <f>+I1077</f>
        <v>1098.3</v>
      </c>
      <c r="S1036" s="59">
        <v>0</v>
      </c>
      <c r="T1036" s="10"/>
      <c r="U1036" s="17"/>
      <c r="V1036" s="10"/>
      <c r="W1036" s="10"/>
      <c r="X1036" s="10"/>
    </row>
    <row r="1037" spans="1:24">
      <c r="A1037" s="614"/>
      <c r="B1037" s="11"/>
      <c r="C1037" s="10"/>
      <c r="D1037" s="10"/>
      <c r="E1037" s="24" t="s">
        <v>41</v>
      </c>
      <c r="F1037" s="60">
        <f>Q1036</f>
        <v>4847.5499999999993</v>
      </c>
      <c r="G1037" s="61" t="s">
        <v>40</v>
      </c>
      <c r="H1037" s="62"/>
      <c r="I1037" s="384" t="s">
        <v>585</v>
      </c>
      <c r="J1037" s="10" t="s">
        <v>42</v>
      </c>
      <c r="K1037" s="63">
        <v>0</v>
      </c>
      <c r="L1037" s="63">
        <v>2</v>
      </c>
      <c r="M1037" s="63">
        <v>3</v>
      </c>
      <c r="N1037" s="63">
        <v>1</v>
      </c>
      <c r="O1037" s="63">
        <v>3</v>
      </c>
      <c r="P1037" s="21">
        <f>SUM(K1037:O1037)</f>
        <v>9</v>
      </c>
      <c r="Q1037" s="64">
        <v>2</v>
      </c>
      <c r="R1037" s="63"/>
      <c r="S1037" s="10"/>
      <c r="T1037" s="10"/>
      <c r="U1037" s="17"/>
      <c r="V1037" s="10"/>
      <c r="W1037" s="10"/>
      <c r="X1037" s="10"/>
    </row>
    <row r="1038" spans="1:24">
      <c r="A1038" s="614"/>
      <c r="B1038" s="11"/>
      <c r="C1038" s="10"/>
      <c r="D1038" s="10"/>
      <c r="E1038" s="51" t="s">
        <v>43</v>
      </c>
      <c r="F1038" s="52">
        <f>F1037*0.25</f>
        <v>1211.8874999999998</v>
      </c>
      <c r="G1038" s="53" t="s">
        <v>40</v>
      </c>
      <c r="H1038" s="54">
        <f>F1038/1.12</f>
        <v>1082.0424107142856</v>
      </c>
      <c r="I1038" s="644">
        <f>67.5*8.5</f>
        <v>573.75</v>
      </c>
      <c r="J1038" s="10" t="s">
        <v>44</v>
      </c>
      <c r="K1038" s="63">
        <v>0</v>
      </c>
      <c r="L1038" s="63">
        <v>3</v>
      </c>
      <c r="M1038" s="63">
        <v>0</v>
      </c>
      <c r="N1038" s="63">
        <v>2</v>
      </c>
      <c r="O1038" s="63">
        <v>3</v>
      </c>
      <c r="P1038" s="21">
        <f>SUM(K1038:O1038)</f>
        <v>8</v>
      </c>
      <c r="Q1038" s="64">
        <v>2</v>
      </c>
      <c r="R1038" s="63"/>
      <c r="S1038" s="10"/>
      <c r="T1038" s="10"/>
      <c r="U1038" s="17"/>
      <c r="V1038" s="10"/>
      <c r="W1038" s="10"/>
      <c r="X1038" s="10"/>
    </row>
    <row r="1039" spans="1:24">
      <c r="A1039" s="614"/>
      <c r="B1039" s="11"/>
      <c r="C1039" s="10"/>
      <c r="D1039" s="10"/>
      <c r="E1039" s="24" t="s">
        <v>45</v>
      </c>
      <c r="F1039" s="60">
        <f>I1073</f>
        <v>1221.3</v>
      </c>
      <c r="G1039" s="61" t="s">
        <v>40</v>
      </c>
      <c r="H1039" s="62"/>
      <c r="I1039" s="10"/>
      <c r="J1039" s="10" t="s">
        <v>46</v>
      </c>
      <c r="K1039" s="31" t="e">
        <f t="shared" ref="K1039:Q1039" si="222">K1037/(K1037+K1038)</f>
        <v>#DIV/0!</v>
      </c>
      <c r="L1039" s="31">
        <f t="shared" si="222"/>
        <v>0.4</v>
      </c>
      <c r="M1039" s="31">
        <f t="shared" si="222"/>
        <v>1</v>
      </c>
      <c r="N1039" s="31">
        <f t="shared" si="222"/>
        <v>0.33333333333333331</v>
      </c>
      <c r="O1039" s="31">
        <f t="shared" si="222"/>
        <v>0.5</v>
      </c>
      <c r="P1039" s="31">
        <f t="shared" si="222"/>
        <v>0.52941176470588236</v>
      </c>
      <c r="Q1039" s="31">
        <f t="shared" si="222"/>
        <v>0.5</v>
      </c>
      <c r="R1039" s="63"/>
      <c r="S1039" s="10"/>
      <c r="T1039" s="10"/>
      <c r="U1039" s="17"/>
      <c r="V1039" s="10"/>
      <c r="W1039" s="10"/>
      <c r="X1039" s="10"/>
    </row>
    <row r="1040" spans="1:24">
      <c r="A1040" s="614"/>
      <c r="B1040" s="11"/>
      <c r="C1040" s="10"/>
      <c r="D1040" s="10"/>
      <c r="E1040" s="51" t="s">
        <v>47</v>
      </c>
      <c r="F1040" s="52">
        <f>(F1039-I1071-I1072)*0.05</f>
        <v>0</v>
      </c>
      <c r="G1040" s="65" t="s">
        <v>40</v>
      </c>
      <c r="H1040" s="54">
        <f>F1040/1.12</f>
        <v>0</v>
      </c>
      <c r="I1040" s="42"/>
      <c r="J1040" s="10" t="s">
        <v>48</v>
      </c>
      <c r="K1040" s="66" t="e">
        <f>K1036/K1037</f>
        <v>#DIV/0!</v>
      </c>
      <c r="L1040" s="66">
        <f t="shared" ref="L1040:Q1040" si="223">L1036/L1037</f>
        <v>2117.5500000000002</v>
      </c>
      <c r="M1040" s="66">
        <f t="shared" si="223"/>
        <v>1104.9533333333331</v>
      </c>
      <c r="N1040" s="66">
        <f t="shared" si="223"/>
        <v>904.38</v>
      </c>
      <c r="O1040" s="66">
        <f t="shared" si="223"/>
        <v>2121.7133333333336</v>
      </c>
      <c r="P1040" s="66">
        <f t="shared" si="223"/>
        <v>1646.6088888888889</v>
      </c>
      <c r="Q1040" s="66">
        <f t="shared" si="223"/>
        <v>2423.7749999999996</v>
      </c>
      <c r="R1040" s="63"/>
      <c r="S1040" s="10"/>
      <c r="T1040" s="10"/>
      <c r="U1040" s="17"/>
      <c r="V1040" s="10"/>
      <c r="W1040" s="10"/>
      <c r="X1040" s="10"/>
    </row>
    <row r="1041" spans="1:24">
      <c r="A1041" s="614"/>
      <c r="B1041" s="11"/>
      <c r="C1041" s="10"/>
      <c r="D1041" s="10"/>
      <c r="E1041" s="67" t="s">
        <v>14</v>
      </c>
      <c r="F1041" s="68">
        <f>50*1/2</f>
        <v>25</v>
      </c>
      <c r="G1041" s="10"/>
      <c r="H1041" s="54">
        <f>F1041/1.12</f>
        <v>22.321428571428569</v>
      </c>
      <c r="I1041" s="10"/>
      <c r="J1041" s="10"/>
      <c r="K1041" s="10"/>
      <c r="L1041" s="10"/>
      <c r="M1041" s="10"/>
      <c r="N1041" s="10"/>
      <c r="O1041" s="10"/>
      <c r="P1041" s="10"/>
      <c r="Q1041" s="10"/>
      <c r="R1041" s="10"/>
      <c r="S1041" s="10"/>
      <c r="T1041" s="10"/>
      <c r="U1041" s="17"/>
      <c r="V1041" s="10"/>
      <c r="W1041" s="10"/>
      <c r="X1041" s="10"/>
    </row>
    <row r="1042" spans="1:24">
      <c r="A1042" s="614"/>
      <c r="B1042" s="11"/>
      <c r="C1042" s="10"/>
      <c r="D1042" s="10"/>
      <c r="E1042" s="67" t="s">
        <v>49</v>
      </c>
      <c r="F1042" s="69">
        <f>T1031</f>
        <v>0</v>
      </c>
      <c r="G1042" s="10"/>
      <c r="H1042" s="54"/>
      <c r="I1042" s="55"/>
      <c r="J1042" s="42"/>
      <c r="K1042" s="764" t="s">
        <v>50</v>
      </c>
      <c r="L1042" s="765"/>
      <c r="M1042" s="765"/>
      <c r="N1042" s="765"/>
      <c r="O1042" s="765"/>
      <c r="P1042" s="765"/>
      <c r="Q1042" s="766"/>
      <c r="R1042" s="70" t="s">
        <v>28</v>
      </c>
      <c r="S1042" s="71" t="s">
        <v>29</v>
      </c>
      <c r="T1042" s="10"/>
      <c r="U1042" s="17"/>
      <c r="V1042" s="10"/>
      <c r="W1042" s="10"/>
      <c r="X1042" s="10"/>
    </row>
    <row r="1043" spans="1:24">
      <c r="A1043" s="614"/>
      <c r="B1043" s="11"/>
      <c r="C1043" s="10"/>
      <c r="D1043" s="10"/>
      <c r="E1043" s="72" t="s">
        <v>586</v>
      </c>
      <c r="F1043" s="73">
        <v>-34.869999999999997</v>
      </c>
      <c r="G1043" s="10"/>
      <c r="H1043" s="10"/>
      <c r="I1043" s="10"/>
      <c r="J1043" s="42"/>
      <c r="K1043" s="20" t="s">
        <v>31</v>
      </c>
      <c r="L1043" s="21" t="s">
        <v>32</v>
      </c>
      <c r="M1043" s="21" t="s">
        <v>33</v>
      </c>
      <c r="N1043" s="21" t="s">
        <v>34</v>
      </c>
      <c r="O1043" s="21" t="s">
        <v>35</v>
      </c>
      <c r="P1043" s="21" t="s">
        <v>36</v>
      </c>
      <c r="Q1043" s="49" t="s">
        <v>37</v>
      </c>
      <c r="R1043" s="50" t="s">
        <v>38</v>
      </c>
      <c r="S1043" s="50" t="s">
        <v>38</v>
      </c>
      <c r="T1043" s="10"/>
      <c r="U1043" s="17"/>
      <c r="V1043" s="10"/>
      <c r="W1043" s="10"/>
      <c r="X1043" s="10"/>
    </row>
    <row r="1044" spans="1:24">
      <c r="A1044" s="614"/>
      <c r="B1044" s="11"/>
      <c r="C1044" s="10"/>
      <c r="D1044" s="10"/>
      <c r="E1044" s="72" t="s">
        <v>587</v>
      </c>
      <c r="F1044" s="73">
        <v>-198.16</v>
      </c>
      <c r="G1044" s="10"/>
      <c r="H1044" s="10"/>
      <c r="I1044" s="10"/>
      <c r="J1044" s="42"/>
      <c r="K1044" s="56">
        <v>0</v>
      </c>
      <c r="L1044" s="57">
        <f>F1055+F1054</f>
        <v>4859</v>
      </c>
      <c r="M1044" s="57">
        <f>F1056+F1057+F1058</f>
        <v>3825</v>
      </c>
      <c r="N1044" s="57">
        <f>F1059</f>
        <v>1024.2</v>
      </c>
      <c r="O1044" s="57">
        <f>F1060+F1061+F1076</f>
        <v>6623.2</v>
      </c>
      <c r="P1044" s="57">
        <f>SUM(K1044:O1044)</f>
        <v>16331.400000000001</v>
      </c>
      <c r="Q1044" s="58">
        <f>F1066+F1067</f>
        <v>5428</v>
      </c>
      <c r="R1044" s="59">
        <f>+F1077</f>
        <v>1138</v>
      </c>
      <c r="S1044" s="59">
        <v>0</v>
      </c>
      <c r="T1044" s="10"/>
      <c r="U1044" s="17"/>
      <c r="V1044" s="10"/>
      <c r="W1044" s="10"/>
      <c r="X1044" s="10"/>
    </row>
    <row r="1045" spans="1:24">
      <c r="A1045" s="614"/>
      <c r="B1045" s="11"/>
      <c r="C1045" s="10"/>
      <c r="D1045" s="10"/>
      <c r="E1045" s="74" t="s">
        <v>588</v>
      </c>
      <c r="F1045" s="75">
        <v>-667.12</v>
      </c>
      <c r="G1045" s="10"/>
      <c r="H1045" s="10"/>
      <c r="I1045" s="10"/>
      <c r="J1045" s="10" t="s">
        <v>42</v>
      </c>
      <c r="K1045" s="63">
        <f>K1037</f>
        <v>0</v>
      </c>
      <c r="L1045" s="63">
        <f t="shared" ref="L1045:Q1046" si="224">L1037</f>
        <v>2</v>
      </c>
      <c r="M1045" s="63">
        <f t="shared" si="224"/>
        <v>3</v>
      </c>
      <c r="N1045" s="63">
        <f t="shared" si="224"/>
        <v>1</v>
      </c>
      <c r="O1045" s="63">
        <f t="shared" si="224"/>
        <v>3</v>
      </c>
      <c r="P1045" s="63">
        <f t="shared" si="224"/>
        <v>9</v>
      </c>
      <c r="Q1045" s="63">
        <f t="shared" si="224"/>
        <v>2</v>
      </c>
      <c r="R1045" s="63"/>
      <c r="S1045" s="10"/>
      <c r="T1045" s="10"/>
      <c r="U1045" s="17"/>
      <c r="V1045" s="10"/>
      <c r="W1045" s="10"/>
      <c r="X1045" s="10"/>
    </row>
    <row r="1046" spans="1:24">
      <c r="A1046" s="614"/>
      <c r="B1046" s="11"/>
      <c r="C1046" s="10"/>
      <c r="D1046" s="10"/>
      <c r="E1046" s="72" t="s">
        <v>589</v>
      </c>
      <c r="F1046" s="73">
        <v>-17.96</v>
      </c>
      <c r="G1046" s="10"/>
      <c r="H1046" s="10"/>
      <c r="I1046" s="10"/>
      <c r="J1046" s="10" t="s">
        <v>44</v>
      </c>
      <c r="K1046" s="63">
        <f>K1038</f>
        <v>0</v>
      </c>
      <c r="L1046" s="63">
        <f t="shared" si="224"/>
        <v>3</v>
      </c>
      <c r="M1046" s="63">
        <f t="shared" si="224"/>
        <v>0</v>
      </c>
      <c r="N1046" s="63">
        <f t="shared" si="224"/>
        <v>2</v>
      </c>
      <c r="O1046" s="63">
        <f t="shared" si="224"/>
        <v>3</v>
      </c>
      <c r="P1046" s="63">
        <f t="shared" si="224"/>
        <v>8</v>
      </c>
      <c r="Q1046" s="63">
        <f t="shared" si="224"/>
        <v>2</v>
      </c>
      <c r="R1046" s="63"/>
      <c r="S1046" s="10"/>
      <c r="T1046" s="10"/>
      <c r="U1046" s="17"/>
      <c r="V1046" s="10"/>
      <c r="W1046" s="10"/>
      <c r="X1046" s="10"/>
    </row>
    <row r="1047" spans="1:24">
      <c r="A1047" s="614"/>
      <c r="B1047" s="11"/>
      <c r="C1047" s="10"/>
      <c r="D1047" s="10"/>
      <c r="E1047" s="72" t="s">
        <v>590</v>
      </c>
      <c r="F1047" s="73">
        <v>-1589.03</v>
      </c>
      <c r="G1047" s="10"/>
      <c r="H1047" s="10"/>
      <c r="I1047" s="10"/>
      <c r="J1047" s="10" t="s">
        <v>46</v>
      </c>
      <c r="K1047" s="31" t="e">
        <f t="shared" ref="K1047:Q1047" si="225">K1045/(K1045+K1046)</f>
        <v>#DIV/0!</v>
      </c>
      <c r="L1047" s="31">
        <f t="shared" si="225"/>
        <v>0.4</v>
      </c>
      <c r="M1047" s="31">
        <f t="shared" si="225"/>
        <v>1</v>
      </c>
      <c r="N1047" s="31">
        <f t="shared" si="225"/>
        <v>0.33333333333333331</v>
      </c>
      <c r="O1047" s="31">
        <f t="shared" si="225"/>
        <v>0.5</v>
      </c>
      <c r="P1047" s="31">
        <f t="shared" si="225"/>
        <v>0.52941176470588236</v>
      </c>
      <c r="Q1047" s="31">
        <f t="shared" si="225"/>
        <v>0.5</v>
      </c>
      <c r="R1047" s="63"/>
      <c r="S1047" s="10"/>
      <c r="T1047" s="10"/>
      <c r="U1047" s="17"/>
      <c r="V1047" s="10"/>
      <c r="W1047" s="10"/>
      <c r="X1047" s="10"/>
    </row>
    <row r="1048" spans="1:24">
      <c r="A1048" s="614"/>
      <c r="B1048" s="11"/>
      <c r="C1048" s="10"/>
      <c r="D1048" s="10"/>
      <c r="E1048" s="74" t="s">
        <v>591</v>
      </c>
      <c r="F1048" s="75">
        <v>-260.69</v>
      </c>
      <c r="G1048" s="10"/>
      <c r="H1048" s="10"/>
      <c r="I1048" s="10"/>
      <c r="J1048" s="10" t="s">
        <v>48</v>
      </c>
      <c r="K1048" s="66" t="e">
        <f t="shared" ref="K1048:Q1048" si="226">K1044/K1045</f>
        <v>#DIV/0!</v>
      </c>
      <c r="L1048" s="66">
        <f t="shared" si="226"/>
        <v>2429.5</v>
      </c>
      <c r="M1048" s="66">
        <f t="shared" si="226"/>
        <v>1275</v>
      </c>
      <c r="N1048" s="66">
        <f t="shared" si="226"/>
        <v>1024.2</v>
      </c>
      <c r="O1048" s="66">
        <f t="shared" si="226"/>
        <v>2207.7333333333331</v>
      </c>
      <c r="P1048" s="66">
        <f t="shared" si="226"/>
        <v>1814.6000000000001</v>
      </c>
      <c r="Q1048" s="66">
        <f t="shared" si="226"/>
        <v>2714</v>
      </c>
      <c r="R1048" s="63"/>
      <c r="S1048" s="10"/>
      <c r="T1048" s="10"/>
      <c r="U1048" s="17"/>
      <c r="V1048" s="10"/>
      <c r="W1048" s="10"/>
      <c r="X1048" s="10"/>
    </row>
    <row r="1049" spans="1:24">
      <c r="A1049" s="614"/>
      <c r="B1049" s="11"/>
      <c r="C1049" s="10"/>
      <c r="D1049" s="10"/>
      <c r="E1049" s="10"/>
      <c r="F1049" s="10"/>
      <c r="G1049" s="10"/>
      <c r="H1049" s="10"/>
      <c r="I1049" s="10"/>
      <c r="J1049" s="10"/>
      <c r="K1049" s="10"/>
      <c r="L1049" s="10"/>
      <c r="M1049" s="10"/>
      <c r="N1049" s="10"/>
      <c r="O1049" s="10"/>
      <c r="P1049" s="10"/>
      <c r="Q1049" s="10"/>
      <c r="R1049" s="10"/>
      <c r="S1049" s="10"/>
      <c r="T1049" s="10"/>
      <c r="U1049" s="17"/>
      <c r="V1049" s="10"/>
      <c r="W1049" s="10"/>
      <c r="X1049" s="10"/>
    </row>
    <row r="1050" spans="1:24">
      <c r="A1050" s="614"/>
      <c r="B1050" s="11"/>
      <c r="C1050" s="10"/>
      <c r="D1050" s="10"/>
      <c r="E1050" s="10"/>
      <c r="F1050" s="10"/>
      <c r="G1050" s="10"/>
      <c r="H1050" s="10"/>
      <c r="I1050" s="10"/>
      <c r="J1050" s="10"/>
      <c r="K1050" s="10"/>
      <c r="L1050" s="10"/>
      <c r="M1050" s="10"/>
      <c r="N1050" s="10"/>
      <c r="O1050" s="10"/>
      <c r="P1050" s="10"/>
      <c r="Q1050" s="10"/>
      <c r="R1050" s="10"/>
      <c r="S1050" s="10"/>
      <c r="T1050" s="10"/>
      <c r="U1050" s="17"/>
      <c r="V1050" s="10"/>
      <c r="W1050" s="10"/>
      <c r="X1050" s="10"/>
    </row>
    <row r="1051" spans="1:24">
      <c r="A1051" s="614"/>
      <c r="B1051" s="18" t="s">
        <v>51</v>
      </c>
      <c r="C1051" s="14"/>
      <c r="D1051" s="14"/>
      <c r="E1051" s="14"/>
      <c r="F1051" s="13" t="s">
        <v>52</v>
      </c>
      <c r="G1051" s="14"/>
      <c r="H1051" s="14"/>
      <c r="I1051" s="14"/>
      <c r="J1051" s="14"/>
      <c r="K1051" s="13" t="s">
        <v>3</v>
      </c>
      <c r="L1051" s="14"/>
      <c r="M1051" s="14"/>
      <c r="N1051" s="13" t="s">
        <v>4</v>
      </c>
      <c r="O1051" s="14"/>
      <c r="P1051" s="14"/>
      <c r="Q1051" s="13" t="s">
        <v>5</v>
      </c>
      <c r="R1051" s="14"/>
      <c r="S1051" s="14"/>
      <c r="T1051" s="18"/>
      <c r="U1051" s="16" t="s">
        <v>53</v>
      </c>
      <c r="V1051" s="77"/>
      <c r="W1051" s="77"/>
      <c r="X1051" s="77"/>
    </row>
    <row r="1052" spans="1:24">
      <c r="A1052" s="614"/>
      <c r="B1052" s="24" t="s">
        <v>54</v>
      </c>
      <c r="C1052" s="21" t="s">
        <v>55</v>
      </c>
      <c r="D1052" s="21" t="s">
        <v>56</v>
      </c>
      <c r="E1052" s="21" t="s">
        <v>57</v>
      </c>
      <c r="F1052" s="20" t="s">
        <v>58</v>
      </c>
      <c r="G1052" s="21" t="s">
        <v>59</v>
      </c>
      <c r="H1052" s="21" t="s">
        <v>60</v>
      </c>
      <c r="I1052" s="21" t="s">
        <v>26</v>
      </c>
      <c r="J1052" s="22" t="s">
        <v>61</v>
      </c>
      <c r="K1052" s="21" t="s">
        <v>8</v>
      </c>
      <c r="L1052" s="21" t="s">
        <v>9</v>
      </c>
      <c r="M1052" s="21" t="s">
        <v>10</v>
      </c>
      <c r="N1052" s="20" t="s">
        <v>11</v>
      </c>
      <c r="O1052" s="21" t="s">
        <v>12</v>
      </c>
      <c r="P1052" s="22" t="s">
        <v>13</v>
      </c>
      <c r="Q1052" s="21" t="s">
        <v>11</v>
      </c>
      <c r="R1052" s="21" t="s">
        <v>12</v>
      </c>
      <c r="S1052" s="21" t="s">
        <v>13</v>
      </c>
      <c r="T1052" s="78" t="s">
        <v>14</v>
      </c>
      <c r="U1052" s="30"/>
      <c r="V1052" s="79" t="s">
        <v>62</v>
      </c>
      <c r="W1052" s="80" t="s">
        <v>63</v>
      </c>
      <c r="X1052" s="81" t="s">
        <v>64</v>
      </c>
    </row>
    <row r="1053" spans="1:24">
      <c r="A1053" s="614"/>
      <c r="B1053" s="4" t="s">
        <v>65</v>
      </c>
      <c r="C1053" s="6"/>
      <c r="D1053" s="6"/>
      <c r="E1053" s="6"/>
      <c r="F1053" s="6"/>
      <c r="G1053" s="6"/>
      <c r="H1053" s="6"/>
      <c r="I1053" s="82"/>
      <c r="J1053" s="6"/>
      <c r="K1053" s="6"/>
      <c r="L1053" s="6"/>
      <c r="M1053" s="6"/>
      <c r="N1053" s="6"/>
      <c r="O1053" s="6"/>
      <c r="P1053" s="6"/>
      <c r="Q1053" s="6"/>
      <c r="R1053" s="6"/>
      <c r="S1053" s="6"/>
      <c r="T1053" s="83"/>
      <c r="U1053" s="6"/>
      <c r="V1053" s="84"/>
      <c r="W1053" s="85"/>
      <c r="X1053" s="86"/>
    </row>
    <row r="1054" spans="1:24">
      <c r="A1054" s="614">
        <v>45918</v>
      </c>
      <c r="B1054" s="87">
        <v>1</v>
      </c>
      <c r="C1054" s="274">
        <v>45916</v>
      </c>
      <c r="D1054" s="327">
        <v>73284</v>
      </c>
      <c r="E1054" s="276" t="s">
        <v>302</v>
      </c>
      <c r="F1054" s="277">
        <v>2261</v>
      </c>
      <c r="G1054" s="277">
        <f>39.7+544.5</f>
        <v>584.20000000000005</v>
      </c>
      <c r="H1054" s="277"/>
      <c r="I1054" s="329">
        <f>F1054-G1054-H1054</f>
        <v>1676.8</v>
      </c>
      <c r="J1054" s="279" t="s">
        <v>156</v>
      </c>
      <c r="K1054" s="279">
        <v>1</v>
      </c>
      <c r="L1054" s="279">
        <v>1</v>
      </c>
      <c r="M1054" s="279">
        <v>1</v>
      </c>
      <c r="N1054" s="279">
        <v>1</v>
      </c>
      <c r="O1054" s="279">
        <v>1</v>
      </c>
      <c r="P1054" s="279">
        <v>1</v>
      </c>
      <c r="Q1054" s="279">
        <v>1</v>
      </c>
      <c r="R1054" s="279">
        <v>1</v>
      </c>
      <c r="S1054" s="280">
        <v>1</v>
      </c>
      <c r="T1054" s="63"/>
      <c r="U1054" s="94" t="s">
        <v>592</v>
      </c>
      <c r="V1054" s="90">
        <f>248.7+2238.4</f>
        <v>2487.1</v>
      </c>
      <c r="W1054" s="578"/>
      <c r="X1054" s="579"/>
    </row>
    <row r="1055" spans="1:24">
      <c r="A1055" s="614"/>
      <c r="B1055" s="87">
        <f>B1054+1</f>
        <v>2</v>
      </c>
      <c r="C1055" s="282">
        <v>45916</v>
      </c>
      <c r="D1055" s="368">
        <v>73311</v>
      </c>
      <c r="E1055" s="283" t="s">
        <v>299</v>
      </c>
      <c r="F1055" s="284">
        <v>2598</v>
      </c>
      <c r="G1055" s="284">
        <f>39.7</f>
        <v>39.700000000000003</v>
      </c>
      <c r="H1055" s="315"/>
      <c r="I1055" s="285">
        <f>F1055-G1055-H1055</f>
        <v>2558.3000000000002</v>
      </c>
      <c r="J1055" s="286" t="s">
        <v>156</v>
      </c>
      <c r="K1055" s="286">
        <v>1</v>
      </c>
      <c r="L1055" s="286">
        <v>1</v>
      </c>
      <c r="M1055" s="286">
        <v>1</v>
      </c>
      <c r="N1055" s="286">
        <v>1</v>
      </c>
      <c r="O1055" s="286">
        <v>1</v>
      </c>
      <c r="P1055" s="286">
        <v>1</v>
      </c>
      <c r="Q1055" s="286">
        <v>1</v>
      </c>
      <c r="R1055" s="286">
        <v>1</v>
      </c>
      <c r="S1055" s="287">
        <v>1</v>
      </c>
      <c r="T1055" s="21">
        <v>1</v>
      </c>
      <c r="U1055" s="10" t="s">
        <v>593</v>
      </c>
      <c r="V1055" s="90">
        <f>286+2571.8</f>
        <v>2857.8</v>
      </c>
      <c r="W1055" s="91"/>
      <c r="X1055" s="92"/>
    </row>
    <row r="1056" spans="1:24">
      <c r="A1056" s="614"/>
      <c r="B1056" s="87">
        <f t="shared" ref="B1056:B1061" si="227">B1055+1</f>
        <v>3</v>
      </c>
      <c r="C1056" s="295">
        <v>45917</v>
      </c>
      <c r="D1056" s="323">
        <v>73362</v>
      </c>
      <c r="E1056" s="10" t="s">
        <v>401</v>
      </c>
      <c r="F1056" s="62">
        <v>915</v>
      </c>
      <c r="G1056" s="62">
        <f>39.7+(13.93)</f>
        <v>53.63</v>
      </c>
      <c r="H1056" s="62"/>
      <c r="I1056" s="89">
        <f>F1056-G1056-H1056</f>
        <v>861.37</v>
      </c>
      <c r="J1056" s="63" t="s">
        <v>236</v>
      </c>
      <c r="K1056" s="63">
        <v>1</v>
      </c>
      <c r="L1056" s="63">
        <v>1</v>
      </c>
      <c r="M1056" s="63">
        <v>1</v>
      </c>
      <c r="N1056" s="63">
        <v>1</v>
      </c>
      <c r="O1056" s="63">
        <v>1</v>
      </c>
      <c r="P1056" s="63">
        <v>1</v>
      </c>
      <c r="Q1056" s="63">
        <v>1</v>
      </c>
      <c r="R1056" s="63">
        <v>1</v>
      </c>
      <c r="S1056" s="296">
        <v>1</v>
      </c>
      <c r="T1056" s="63"/>
      <c r="U1056" s="10"/>
      <c r="V1056" s="90">
        <v>906.5</v>
      </c>
      <c r="W1056" s="440">
        <v>100</v>
      </c>
      <c r="X1056" s="92"/>
    </row>
    <row r="1057" spans="1:24">
      <c r="A1057" s="613"/>
      <c r="B1057" s="87">
        <f t="shared" si="227"/>
        <v>4</v>
      </c>
      <c r="C1057" s="295">
        <v>45917</v>
      </c>
      <c r="D1057" s="323">
        <v>73393</v>
      </c>
      <c r="E1057" s="10" t="s">
        <v>322</v>
      </c>
      <c r="F1057" s="62">
        <v>1861</v>
      </c>
      <c r="G1057" s="62">
        <f>39.7+(232.75+144.36)</f>
        <v>416.81</v>
      </c>
      <c r="H1057" s="62"/>
      <c r="I1057" s="89">
        <f t="shared" ref="I1057:I1061" si="228">F1057-G1057-H1057</f>
        <v>1444.19</v>
      </c>
      <c r="J1057" s="63" t="s">
        <v>150</v>
      </c>
      <c r="K1057" s="63">
        <v>1</v>
      </c>
      <c r="L1057" s="63">
        <v>1</v>
      </c>
      <c r="M1057" s="63">
        <v>1</v>
      </c>
      <c r="N1057" s="63">
        <v>1</v>
      </c>
      <c r="O1057" s="63">
        <v>1</v>
      </c>
      <c r="P1057" s="63">
        <v>1</v>
      </c>
      <c r="Q1057" s="63">
        <v>1</v>
      </c>
      <c r="R1057" s="63">
        <v>1</v>
      </c>
      <c r="S1057" s="296">
        <v>1</v>
      </c>
      <c r="T1057" s="63"/>
      <c r="U1057" s="10"/>
      <c r="V1057" s="90">
        <v>0</v>
      </c>
      <c r="W1057" s="440">
        <f>250+1790</f>
        <v>2040</v>
      </c>
      <c r="X1057" s="92"/>
    </row>
    <row r="1058" spans="1:24">
      <c r="A1058" s="614"/>
      <c r="B1058" s="87">
        <f t="shared" si="227"/>
        <v>5</v>
      </c>
      <c r="C1058" s="295">
        <v>45917</v>
      </c>
      <c r="D1058" s="323">
        <v>73391</v>
      </c>
      <c r="E1058" s="10" t="s">
        <v>349</v>
      </c>
      <c r="F1058" s="62">
        <v>1049</v>
      </c>
      <c r="G1058" s="62">
        <f>39.7</f>
        <v>39.700000000000003</v>
      </c>
      <c r="H1058" s="62"/>
      <c r="I1058" s="89">
        <f t="shared" si="228"/>
        <v>1009.3</v>
      </c>
      <c r="J1058" s="63" t="s">
        <v>156</v>
      </c>
      <c r="K1058" s="63">
        <v>1</v>
      </c>
      <c r="L1058" s="63">
        <v>1</v>
      </c>
      <c r="M1058" s="63">
        <v>1</v>
      </c>
      <c r="N1058" s="63">
        <v>1</v>
      </c>
      <c r="O1058" s="63">
        <v>1</v>
      </c>
      <c r="P1058" s="63">
        <v>1</v>
      </c>
      <c r="Q1058" s="63">
        <v>1</v>
      </c>
      <c r="R1058" s="63">
        <v>1</v>
      </c>
      <c r="S1058" s="296">
        <v>1</v>
      </c>
      <c r="T1058" s="63"/>
      <c r="U1058" s="10"/>
      <c r="V1058" s="90">
        <f>115.3+1038.6</f>
        <v>1153.8999999999999</v>
      </c>
      <c r="W1058" s="91"/>
      <c r="X1058" s="92"/>
    </row>
    <row r="1059" spans="1:24">
      <c r="A1059" s="614"/>
      <c r="B1059" s="87">
        <f t="shared" si="227"/>
        <v>6</v>
      </c>
      <c r="C1059" s="274">
        <v>45918</v>
      </c>
      <c r="D1059" s="327">
        <v>73371</v>
      </c>
      <c r="E1059" s="276" t="s">
        <v>382</v>
      </c>
      <c r="F1059" s="277">
        <v>1024.2</v>
      </c>
      <c r="G1059" s="277">
        <f>39.7+(80.12)</f>
        <v>119.82000000000001</v>
      </c>
      <c r="H1059" s="277"/>
      <c r="I1059" s="278">
        <f t="shared" si="228"/>
        <v>904.38</v>
      </c>
      <c r="J1059" s="279" t="s">
        <v>156</v>
      </c>
      <c r="K1059" s="279">
        <v>1</v>
      </c>
      <c r="L1059" s="279">
        <v>1</v>
      </c>
      <c r="M1059" s="279">
        <v>1</v>
      </c>
      <c r="N1059" s="279">
        <v>1</v>
      </c>
      <c r="O1059" s="279">
        <v>1</v>
      </c>
      <c r="P1059" s="279">
        <v>1</v>
      </c>
      <c r="Q1059" s="279">
        <v>1</v>
      </c>
      <c r="R1059" s="279">
        <v>1</v>
      </c>
      <c r="S1059" s="280">
        <v>1</v>
      </c>
      <c r="T1059" s="63"/>
      <c r="U1059" s="10"/>
      <c r="V1059" s="90">
        <f>125.25+1001.42</f>
        <v>1126.67</v>
      </c>
      <c r="W1059" s="91"/>
      <c r="X1059" s="92"/>
    </row>
    <row r="1060" spans="1:24">
      <c r="A1060" s="614"/>
      <c r="B1060" s="87">
        <f t="shared" si="227"/>
        <v>7</v>
      </c>
      <c r="C1060" s="638">
        <v>45919</v>
      </c>
      <c r="D1060" s="327">
        <v>73456</v>
      </c>
      <c r="E1060" s="276" t="s">
        <v>271</v>
      </c>
      <c r="F1060" s="277">
        <f>4646-185</f>
        <v>4461</v>
      </c>
      <c r="G1060" s="277">
        <f>39.7+(138.96)</f>
        <v>178.66000000000003</v>
      </c>
      <c r="H1060" s="297"/>
      <c r="I1060" s="278">
        <f t="shared" si="228"/>
        <v>4282.34</v>
      </c>
      <c r="J1060" s="279" t="s">
        <v>156</v>
      </c>
      <c r="K1060" s="279">
        <v>1</v>
      </c>
      <c r="L1060" s="279">
        <v>1</v>
      </c>
      <c r="M1060" s="279">
        <v>1</v>
      </c>
      <c r="N1060" s="279">
        <v>1</v>
      </c>
      <c r="O1060" s="279">
        <v>1</v>
      </c>
      <c r="P1060" s="279">
        <v>1</v>
      </c>
      <c r="Q1060" s="279">
        <v>1</v>
      </c>
      <c r="R1060" s="279">
        <v>1</v>
      </c>
      <c r="S1060" s="280">
        <v>1</v>
      </c>
      <c r="T1060" s="63"/>
      <c r="U1060" s="10"/>
      <c r="V1060" s="90">
        <f>203.5+490.8+4416.3</f>
        <v>5110.6000000000004</v>
      </c>
      <c r="W1060" s="91"/>
      <c r="X1060" s="92"/>
    </row>
    <row r="1061" spans="1:24">
      <c r="A1061" s="614"/>
      <c r="B1061" s="87">
        <f t="shared" si="227"/>
        <v>8</v>
      </c>
      <c r="C1061" s="640">
        <v>45919</v>
      </c>
      <c r="D1061" s="368">
        <v>73473</v>
      </c>
      <c r="E1061" s="283" t="s">
        <v>497</v>
      </c>
      <c r="F1061" s="284">
        <v>1024.2</v>
      </c>
      <c r="G1061" s="284">
        <f>39.7</f>
        <v>39.700000000000003</v>
      </c>
      <c r="H1061" s="315"/>
      <c r="I1061" s="300">
        <f t="shared" si="228"/>
        <v>984.5</v>
      </c>
      <c r="J1061" s="286" t="s">
        <v>156</v>
      </c>
      <c r="K1061" s="286">
        <v>1</v>
      </c>
      <c r="L1061" s="332">
        <v>0</v>
      </c>
      <c r="M1061" s="286">
        <v>1</v>
      </c>
      <c r="N1061" s="286">
        <v>1</v>
      </c>
      <c r="O1061" s="286">
        <v>1</v>
      </c>
      <c r="P1061" s="286">
        <v>1</v>
      </c>
      <c r="Q1061" s="286">
        <v>1</v>
      </c>
      <c r="R1061" s="286">
        <v>1</v>
      </c>
      <c r="S1061" s="287">
        <v>1</v>
      </c>
      <c r="T1061" s="63"/>
      <c r="U1061" s="10" t="s">
        <v>594</v>
      </c>
      <c r="V1061" s="90">
        <f>126+1000.62</f>
        <v>1126.6199999999999</v>
      </c>
      <c r="W1061" s="91"/>
      <c r="X1061" s="92"/>
    </row>
    <row r="1062" spans="1:24">
      <c r="A1062" s="614"/>
      <c r="B1062" s="87"/>
      <c r="C1062" s="36"/>
      <c r="D1062" s="10"/>
      <c r="E1062" s="10"/>
      <c r="F1062" s="98">
        <f>SUM(F1054:F1061)</f>
        <v>15193.400000000001</v>
      </c>
      <c r="G1062" s="98">
        <f>SUM(G1054:G1061)</f>
        <v>1472.2200000000003</v>
      </c>
      <c r="H1062" s="98">
        <f>SUM(H1054:H1061)</f>
        <v>0</v>
      </c>
      <c r="I1062" s="98">
        <f>SUM(I1054:I1061)</f>
        <v>13721.18</v>
      </c>
      <c r="J1062" s="63"/>
      <c r="K1062" s="63">
        <f>COUNT(K1054:K1061)</f>
        <v>8</v>
      </c>
      <c r="L1062" s="63">
        <f>COUNT(L1054:L1061)</f>
        <v>8</v>
      </c>
      <c r="M1062" s="63">
        <f>COUNT(M1054:M1061)</f>
        <v>8</v>
      </c>
      <c r="N1062" s="63">
        <f>COUNT(N1054:N1061)</f>
        <v>8</v>
      </c>
      <c r="O1062" s="63">
        <f>COUNT(O1054:O1061)</f>
        <v>8</v>
      </c>
      <c r="P1062" s="63">
        <f>COUNT(P1054:P1061)</f>
        <v>8</v>
      </c>
      <c r="Q1062" s="63">
        <f>COUNT(Q1054:Q1061)</f>
        <v>8</v>
      </c>
      <c r="R1062" s="63">
        <f>COUNT(R1054:R1061)</f>
        <v>8</v>
      </c>
      <c r="S1062" s="63">
        <f>COUNT(S1054:S1061)</f>
        <v>8</v>
      </c>
      <c r="T1062" s="63"/>
      <c r="U1062" s="10"/>
      <c r="V1062" s="90"/>
      <c r="W1062" s="91"/>
      <c r="X1062" s="92"/>
    </row>
    <row r="1063" spans="1:24">
      <c r="A1063" s="614"/>
      <c r="B1063" s="87"/>
      <c r="C1063" s="36"/>
      <c r="D1063" s="10"/>
      <c r="E1063" s="10"/>
      <c r="F1063" s="88"/>
      <c r="G1063" s="88"/>
      <c r="H1063" s="88"/>
      <c r="I1063" s="99"/>
      <c r="J1063" s="63"/>
      <c r="K1063" s="21">
        <f>SUM(K1054:K1061)</f>
        <v>8</v>
      </c>
      <c r="L1063" s="21">
        <f>SUM(L1054:L1061)</f>
        <v>7</v>
      </c>
      <c r="M1063" s="21">
        <f>SUM(M1054:M1061)</f>
        <v>8</v>
      </c>
      <c r="N1063" s="21">
        <f>SUM(N1054:N1061)</f>
        <v>8</v>
      </c>
      <c r="O1063" s="21">
        <f>SUM(O1054:O1061)</f>
        <v>8</v>
      </c>
      <c r="P1063" s="21">
        <f>SUM(P1054:P1061)</f>
        <v>8</v>
      </c>
      <c r="Q1063" s="21">
        <f>SUM(Q1054:Q1061)</f>
        <v>8</v>
      </c>
      <c r="R1063" s="21">
        <f>SUM(R1054:R1061)</f>
        <v>8</v>
      </c>
      <c r="S1063" s="21">
        <f>SUM(S1054:S1061)</f>
        <v>8</v>
      </c>
      <c r="T1063" s="63"/>
      <c r="U1063" s="10"/>
      <c r="V1063" s="90"/>
      <c r="W1063" s="91"/>
      <c r="X1063" s="92"/>
    </row>
    <row r="1064" spans="1:24">
      <c r="A1064" s="614"/>
      <c r="B1064" s="11"/>
      <c r="C1064" s="36"/>
      <c r="D1064" s="10"/>
      <c r="E1064" s="10"/>
      <c r="F1064" s="88"/>
      <c r="G1064" s="88"/>
      <c r="H1064" s="88"/>
      <c r="I1064" s="99"/>
      <c r="J1064" s="63"/>
      <c r="K1064" s="21"/>
      <c r="L1064" s="21"/>
      <c r="M1064" s="21"/>
      <c r="N1064" s="21"/>
      <c r="O1064" s="21"/>
      <c r="P1064" s="21"/>
      <c r="Q1064" s="21"/>
      <c r="R1064" s="21"/>
      <c r="S1064" s="21"/>
      <c r="T1064" s="63"/>
      <c r="U1064" s="10"/>
      <c r="V1064" s="90"/>
      <c r="W1064" s="91"/>
      <c r="X1064" s="92"/>
    </row>
    <row r="1065" spans="1:24">
      <c r="A1065" s="614"/>
      <c r="B1065" s="100" t="s">
        <v>66</v>
      </c>
      <c r="C1065" s="36"/>
      <c r="D1065" s="10"/>
      <c r="E1065" s="10"/>
      <c r="F1065" s="88"/>
      <c r="G1065" s="62"/>
      <c r="H1065" s="88"/>
      <c r="I1065" s="99"/>
      <c r="J1065" s="63"/>
      <c r="K1065" s="2"/>
      <c r="L1065" s="2"/>
      <c r="M1065" s="2"/>
      <c r="N1065" s="2"/>
      <c r="O1065" s="2"/>
      <c r="P1065" s="2"/>
      <c r="Q1065" s="2"/>
      <c r="R1065" s="2"/>
      <c r="S1065" s="2"/>
      <c r="T1065" s="63"/>
      <c r="U1065" s="94"/>
      <c r="V1065" s="90"/>
      <c r="W1065" s="91"/>
      <c r="X1065" s="92"/>
    </row>
    <row r="1066" spans="1:24">
      <c r="A1066" s="614"/>
      <c r="B1066" s="87">
        <v>1</v>
      </c>
      <c r="C1066" s="274">
        <v>45920</v>
      </c>
      <c r="D1066" s="327" t="s">
        <v>595</v>
      </c>
      <c r="E1066" s="281" t="s">
        <v>596</v>
      </c>
      <c r="F1066" s="277">
        <f>2899-85</f>
        <v>2814</v>
      </c>
      <c r="G1066" s="277">
        <f>39.7+(84.51)+(257.88)</f>
        <v>382.09000000000003</v>
      </c>
      <c r="H1066" s="277"/>
      <c r="I1066" s="278">
        <f t="shared" ref="I1066:I1067" si="229">F1066-G1066-H1066</f>
        <v>2431.91</v>
      </c>
      <c r="J1066" s="279" t="s">
        <v>156</v>
      </c>
      <c r="K1066" s="279">
        <v>1</v>
      </c>
      <c r="L1066" s="279">
        <v>1</v>
      </c>
      <c r="M1066" s="279">
        <v>1</v>
      </c>
      <c r="N1066" s="279">
        <v>1</v>
      </c>
      <c r="O1066" s="279">
        <v>1</v>
      </c>
      <c r="P1066" s="279">
        <v>1</v>
      </c>
      <c r="Q1066" s="279">
        <v>1</v>
      </c>
      <c r="R1066" s="279">
        <v>1</v>
      </c>
      <c r="S1066" s="280">
        <v>1</v>
      </c>
      <c r="T1066" s="63"/>
      <c r="U1066" s="94"/>
      <c r="V1066" s="90">
        <f>93.5+3095.4</f>
        <v>3188.9</v>
      </c>
      <c r="W1066" s="91"/>
      <c r="X1066" s="92"/>
    </row>
    <row r="1067" spans="1:24">
      <c r="A1067" s="614"/>
      <c r="B1067" s="87">
        <f t="shared" ref="B1067" si="230">B1066+1</f>
        <v>2</v>
      </c>
      <c r="C1067" s="282">
        <v>45920</v>
      </c>
      <c r="D1067" s="368" t="s">
        <v>597</v>
      </c>
      <c r="E1067" s="319" t="s">
        <v>596</v>
      </c>
      <c r="F1067" s="284">
        <v>2614</v>
      </c>
      <c r="G1067" s="284">
        <f>39.7+(158.66)</f>
        <v>198.36</v>
      </c>
      <c r="H1067" s="284"/>
      <c r="I1067" s="285">
        <f t="shared" si="229"/>
        <v>2415.64</v>
      </c>
      <c r="J1067" s="286" t="s">
        <v>236</v>
      </c>
      <c r="K1067" s="286">
        <v>1</v>
      </c>
      <c r="L1067" s="286">
        <v>1</v>
      </c>
      <c r="M1067" s="286">
        <v>1</v>
      </c>
      <c r="N1067" s="286">
        <v>1</v>
      </c>
      <c r="O1067" s="286">
        <v>1</v>
      </c>
      <c r="P1067" s="286">
        <v>1</v>
      </c>
      <c r="Q1067" s="286">
        <v>1</v>
      </c>
      <c r="R1067" s="286">
        <v>1</v>
      </c>
      <c r="S1067" s="287">
        <v>1</v>
      </c>
      <c r="T1067" s="63"/>
      <c r="U1067" s="63"/>
      <c r="V1067" s="90">
        <v>2275.4</v>
      </c>
      <c r="W1067" s="440">
        <f>350+250</f>
        <v>600</v>
      </c>
      <c r="X1067" s="92"/>
    </row>
    <row r="1068" spans="1:24">
      <c r="A1068" s="614"/>
      <c r="B1068" s="11"/>
      <c r="C1068" s="36"/>
      <c r="D1068" s="10"/>
      <c r="E1068" s="10"/>
      <c r="F1068" s="97">
        <f>SUM(F1066:F1067)</f>
        <v>5428</v>
      </c>
      <c r="G1068" s="97">
        <f>SUM(G1066:G1067)</f>
        <v>580.45000000000005</v>
      </c>
      <c r="H1068" s="97">
        <f>SUM(H1066:H1067)</f>
        <v>0</v>
      </c>
      <c r="I1068" s="98">
        <f>SUM(I1066:I1067)</f>
        <v>4847.5499999999993</v>
      </c>
      <c r="J1068" s="63"/>
      <c r="K1068" s="21"/>
      <c r="L1068" s="21"/>
      <c r="M1068" s="21"/>
      <c r="N1068" s="21"/>
      <c r="O1068" s="21"/>
      <c r="P1068" s="21"/>
      <c r="Q1068" s="21"/>
      <c r="R1068" s="21"/>
      <c r="S1068" s="21"/>
      <c r="T1068" s="63"/>
      <c r="U1068" s="94"/>
      <c r="V1068" s="90"/>
      <c r="W1068" s="91"/>
      <c r="X1068" s="92"/>
    </row>
    <row r="1069" spans="1:24">
      <c r="A1069" s="614"/>
      <c r="B1069" s="11"/>
      <c r="C1069" s="36"/>
      <c r="D1069" s="10"/>
      <c r="E1069" s="10"/>
      <c r="F1069" s="88"/>
      <c r="G1069" s="88"/>
      <c r="H1069" s="88"/>
      <c r="I1069" s="99"/>
      <c r="J1069" s="63"/>
      <c r="K1069" s="21"/>
      <c r="L1069" s="21"/>
      <c r="M1069" s="21"/>
      <c r="N1069" s="21"/>
      <c r="O1069" s="21"/>
      <c r="P1069" s="21"/>
      <c r="Q1069" s="21"/>
      <c r="R1069" s="21"/>
      <c r="S1069" s="21"/>
      <c r="T1069" s="63"/>
      <c r="U1069" s="94"/>
      <c r="V1069" s="90"/>
      <c r="W1069" s="91"/>
      <c r="X1069" s="92"/>
    </row>
    <row r="1070" spans="1:24">
      <c r="A1070" s="614"/>
      <c r="B1070" s="100" t="s">
        <v>67</v>
      </c>
      <c r="C1070" s="36"/>
      <c r="D1070" s="10"/>
      <c r="E1070" s="10"/>
      <c r="F1070" s="88"/>
      <c r="G1070" s="62"/>
      <c r="H1070" s="88"/>
      <c r="I1070" s="99"/>
      <c r="J1070" s="63"/>
      <c r="K1070" s="2"/>
      <c r="L1070" s="2"/>
      <c r="M1070" s="2"/>
      <c r="N1070" s="2"/>
      <c r="O1070" s="2"/>
      <c r="P1070" s="2"/>
      <c r="Q1070" s="2"/>
      <c r="R1070" s="2"/>
      <c r="S1070" s="2"/>
      <c r="T1070" s="63"/>
      <c r="U1070" s="94"/>
      <c r="V1070" s="90"/>
      <c r="W1070" s="91"/>
      <c r="X1070" s="92"/>
    </row>
    <row r="1071" spans="1:24" s="381" customFormat="1">
      <c r="A1071" s="371" t="s">
        <v>598</v>
      </c>
      <c r="B1071" s="372">
        <v>1</v>
      </c>
      <c r="C1071" s="373">
        <v>45826</v>
      </c>
      <c r="D1071" s="263">
        <v>70849</v>
      </c>
      <c r="E1071" s="391" t="s">
        <v>189</v>
      </c>
      <c r="F1071" s="375">
        <f>1261</f>
        <v>1261</v>
      </c>
      <c r="G1071" s="375">
        <v>39.700000000000003</v>
      </c>
      <c r="H1071" s="375"/>
      <c r="I1071" s="376">
        <f>F1071-G1071-H1071</f>
        <v>1221.3</v>
      </c>
      <c r="J1071" s="314" t="s">
        <v>156</v>
      </c>
      <c r="K1071" s="314">
        <v>1</v>
      </c>
      <c r="L1071" s="314">
        <v>1</v>
      </c>
      <c r="M1071" s="314">
        <v>1</v>
      </c>
      <c r="N1071" s="314">
        <v>1</v>
      </c>
      <c r="O1071" s="314">
        <v>1</v>
      </c>
      <c r="P1071" s="314">
        <v>1</v>
      </c>
      <c r="Q1071" s="314">
        <v>0</v>
      </c>
      <c r="R1071" s="314">
        <v>0</v>
      </c>
      <c r="S1071" s="366">
        <v>0</v>
      </c>
      <c r="T1071" s="325"/>
      <c r="U1071" s="42" t="s">
        <v>599</v>
      </c>
      <c r="V1071" s="377"/>
      <c r="W1071" s="392"/>
      <c r="X1071" s="379"/>
    </row>
    <row r="1072" spans="1:24" s="381" customFormat="1">
      <c r="A1072" s="371" t="s">
        <v>598</v>
      </c>
      <c r="B1072" s="372">
        <f>B1071+1</f>
        <v>2</v>
      </c>
      <c r="C1072" s="373">
        <v>45834</v>
      </c>
      <c r="D1072" s="357" t="s">
        <v>188</v>
      </c>
      <c r="E1072" s="391" t="s">
        <v>189</v>
      </c>
      <c r="F1072" s="375">
        <f>11553-160.9-11392.1</f>
        <v>0</v>
      </c>
      <c r="G1072" s="375">
        <f>39.7+4500+300-4839.7</f>
        <v>0</v>
      </c>
      <c r="H1072" s="375">
        <f>F1072*0.2</f>
        <v>0</v>
      </c>
      <c r="I1072" s="376">
        <f>F1072-G1072-H1072</f>
        <v>0</v>
      </c>
      <c r="J1072" s="314" t="s">
        <v>185</v>
      </c>
      <c r="K1072" s="314">
        <v>1</v>
      </c>
      <c r="L1072" s="314">
        <v>1</v>
      </c>
      <c r="M1072" s="314">
        <v>1</v>
      </c>
      <c r="N1072" s="314">
        <v>1</v>
      </c>
      <c r="O1072" s="314">
        <v>1</v>
      </c>
      <c r="P1072" s="314">
        <v>0</v>
      </c>
      <c r="Q1072" s="314">
        <v>0</v>
      </c>
      <c r="R1072" s="314">
        <v>0</v>
      </c>
      <c r="S1072" s="366">
        <v>0</v>
      </c>
      <c r="T1072" s="325"/>
      <c r="U1072" s="42" t="s">
        <v>600</v>
      </c>
      <c r="V1072" s="377"/>
      <c r="W1072" s="392"/>
      <c r="X1072" s="379"/>
    </row>
    <row r="1073" spans="1:24">
      <c r="A1073" s="614"/>
      <c r="B1073" s="11"/>
      <c r="C1073" s="36"/>
      <c r="D1073" s="10"/>
      <c r="E1073" s="10"/>
      <c r="F1073" s="97">
        <f>SUM(F1071:F1072)</f>
        <v>1261</v>
      </c>
      <c r="G1073" s="97">
        <f>SUM(G1071:G1072)</f>
        <v>39.700000000000003</v>
      </c>
      <c r="H1073" s="97">
        <f>SUM(H1071:H1072)</f>
        <v>0</v>
      </c>
      <c r="I1073" s="98">
        <f>SUM(I1071:I1072)</f>
        <v>1221.3</v>
      </c>
      <c r="J1073" s="63"/>
      <c r="K1073" s="21"/>
      <c r="L1073" s="21"/>
      <c r="M1073" s="21"/>
      <c r="N1073" s="21"/>
      <c r="O1073" s="21"/>
      <c r="P1073" s="21"/>
      <c r="Q1073" s="21"/>
      <c r="R1073" s="21"/>
      <c r="S1073" s="21"/>
      <c r="T1073" s="63"/>
      <c r="U1073" s="94"/>
      <c r="V1073" s="90"/>
      <c r="W1073" s="91"/>
      <c r="X1073" s="92"/>
    </row>
    <row r="1074" spans="1:24">
      <c r="A1074" s="614"/>
      <c r="B1074" s="11"/>
      <c r="C1074" s="36"/>
      <c r="D1074" s="10"/>
      <c r="E1074" s="10"/>
      <c r="F1074" s="88"/>
      <c r="G1074" s="88"/>
      <c r="H1074" s="88"/>
      <c r="I1074" s="99"/>
      <c r="J1074" s="63"/>
      <c r="K1074" s="21"/>
      <c r="L1074" s="21"/>
      <c r="M1074" s="21"/>
      <c r="N1074" s="21"/>
      <c r="O1074" s="21"/>
      <c r="P1074" s="21"/>
      <c r="Q1074" s="21"/>
      <c r="R1074" s="21"/>
      <c r="S1074" s="21"/>
      <c r="T1074" s="63"/>
      <c r="U1074" s="94"/>
      <c r="V1074" s="90"/>
      <c r="W1074" s="91"/>
      <c r="X1074" s="92"/>
    </row>
    <row r="1075" spans="1:24" s="381" customFormat="1">
      <c r="A1075" s="713"/>
      <c r="B1075" s="690" t="s">
        <v>70</v>
      </c>
      <c r="C1075" s="714"/>
      <c r="D1075" s="42"/>
      <c r="E1075" s="380"/>
      <c r="F1075" s="76"/>
      <c r="G1075" s="76"/>
      <c r="H1075" s="76"/>
      <c r="I1075" s="692"/>
      <c r="J1075" s="325"/>
      <c r="K1075" s="696"/>
      <c r="L1075" s="696"/>
      <c r="M1075" s="696"/>
      <c r="N1075" s="696"/>
      <c r="O1075" s="696"/>
      <c r="P1075" s="696"/>
      <c r="Q1075" s="696"/>
      <c r="R1075" s="696"/>
      <c r="S1075" s="696"/>
      <c r="T1075" s="325"/>
      <c r="U1075" s="430"/>
      <c r="V1075" s="377"/>
      <c r="W1075" s="378"/>
      <c r="X1075" s="393"/>
    </row>
    <row r="1076" spans="1:24" s="381" customFormat="1">
      <c r="A1076" s="713" t="s">
        <v>259</v>
      </c>
      <c r="B1076" s="372">
        <v>1</v>
      </c>
      <c r="C1076" s="693">
        <v>45919</v>
      </c>
      <c r="D1076" s="263">
        <v>73483</v>
      </c>
      <c r="E1076" s="391" t="s">
        <v>601</v>
      </c>
      <c r="F1076" s="375">
        <v>1138</v>
      </c>
      <c r="G1076" s="375">
        <f>39.7</f>
        <v>39.700000000000003</v>
      </c>
      <c r="H1076" s="375"/>
      <c r="I1076" s="376">
        <f t="shared" ref="I1076" si="231">F1076-G1076-H1076</f>
        <v>1098.3</v>
      </c>
      <c r="J1076" s="314"/>
      <c r="K1076" s="314">
        <v>1</v>
      </c>
      <c r="L1076" s="314">
        <v>0</v>
      </c>
      <c r="M1076" s="314">
        <v>0</v>
      </c>
      <c r="N1076" s="314">
        <v>1</v>
      </c>
      <c r="O1076" s="314">
        <v>1</v>
      </c>
      <c r="P1076" s="314">
        <v>1</v>
      </c>
      <c r="Q1076" s="314">
        <v>0</v>
      </c>
      <c r="R1076" s="314">
        <v>0</v>
      </c>
      <c r="S1076" s="366">
        <v>0</v>
      </c>
      <c r="T1076" s="325"/>
      <c r="U1076" s="430" t="s">
        <v>602</v>
      </c>
      <c r="V1076" s="377"/>
      <c r="W1076" s="392"/>
      <c r="X1076" s="379"/>
    </row>
    <row r="1077" spans="1:24" s="381" customFormat="1">
      <c r="A1077" s="713"/>
      <c r="B1077" s="694"/>
      <c r="C1077" s="714"/>
      <c r="D1077" s="42"/>
      <c r="E1077" s="42"/>
      <c r="F1077" s="695">
        <f>SUM(F1076:F1076)</f>
        <v>1138</v>
      </c>
      <c r="G1077" s="695">
        <f>SUM(G1076:G1076)</f>
        <v>39.700000000000003</v>
      </c>
      <c r="H1077" s="695">
        <f>SUM(H1076:H1076)</f>
        <v>0</v>
      </c>
      <c r="I1077" s="695">
        <f>SUM(I1076:I1076)</f>
        <v>1098.3</v>
      </c>
      <c r="J1077" s="325"/>
      <c r="K1077" s="696"/>
      <c r="L1077" s="696"/>
      <c r="M1077" s="696"/>
      <c r="N1077" s="696"/>
      <c r="O1077" s="696"/>
      <c r="P1077" s="696"/>
      <c r="Q1077" s="696"/>
      <c r="R1077" s="696"/>
      <c r="S1077" s="696"/>
      <c r="T1077" s="325"/>
      <c r="U1077" s="430"/>
      <c r="V1077" s="377"/>
      <c r="W1077" s="378"/>
      <c r="X1077" s="393"/>
    </row>
    <row r="1078" spans="1:24">
      <c r="A1078" s="614"/>
      <c r="B1078" s="11"/>
      <c r="C1078" s="609"/>
      <c r="D1078" s="10"/>
      <c r="E1078" s="10"/>
      <c r="F1078" s="88"/>
      <c r="G1078" s="88"/>
      <c r="H1078" s="88"/>
      <c r="I1078" s="99"/>
      <c r="J1078" s="63"/>
      <c r="K1078" s="21"/>
      <c r="L1078" s="21"/>
      <c r="M1078" s="21"/>
      <c r="N1078" s="21"/>
      <c r="O1078" s="21"/>
      <c r="P1078" s="21"/>
      <c r="Q1078" s="21"/>
      <c r="R1078" s="21"/>
      <c r="S1078" s="21"/>
      <c r="T1078" s="63"/>
      <c r="U1078" s="94"/>
      <c r="V1078" s="90"/>
      <c r="W1078" s="91"/>
      <c r="X1078" s="92"/>
    </row>
    <row r="1079" spans="1:24" s="260" customFormat="1">
      <c r="A1079" s="181"/>
      <c r="B1079" s="100" t="s">
        <v>152</v>
      </c>
      <c r="C1079" s="36"/>
      <c r="D1079" s="10"/>
      <c r="E1079" s="10"/>
      <c r="F1079" s="88"/>
      <c r="G1079" s="62"/>
      <c r="H1079" s="88"/>
      <c r="I1079" s="99"/>
      <c r="J1079" s="10"/>
      <c r="K1079" s="181"/>
      <c r="L1079" s="181"/>
      <c r="M1079" s="181"/>
      <c r="N1079" s="181"/>
      <c r="O1079" s="181"/>
      <c r="P1079" s="181"/>
      <c r="Q1079" s="181"/>
      <c r="R1079" s="181"/>
      <c r="S1079" s="181"/>
      <c r="T1079" s="63"/>
      <c r="U1079" s="10"/>
      <c r="V1079" s="90"/>
      <c r="W1079" s="91"/>
      <c r="X1079" s="92"/>
    </row>
    <row r="1080" spans="1:24" s="260" customFormat="1">
      <c r="A1080" s="312" t="s">
        <v>194</v>
      </c>
      <c r="B1080" s="87">
        <v>1</v>
      </c>
      <c r="C1080" s="262">
        <v>45805</v>
      </c>
      <c r="D1080" s="357" t="s">
        <v>199</v>
      </c>
      <c r="E1080" s="271" t="s">
        <v>196</v>
      </c>
      <c r="F1080" s="265">
        <v>16214</v>
      </c>
      <c r="G1080" s="265">
        <f>39.7+44+36.26+(33.82+55.44)+(102.43+254.2+84.43+10.82+125.93)+1500</f>
        <v>2287.0299999999997</v>
      </c>
      <c r="H1080" s="265">
        <f>F1080*0.2</f>
        <v>3242.8</v>
      </c>
      <c r="I1080" s="266">
        <f t="shared" ref="I1080" si="232">F1080-G1080-H1080</f>
        <v>10684.170000000002</v>
      </c>
      <c r="J1080" s="267" t="s">
        <v>197</v>
      </c>
      <c r="K1080" s="267">
        <v>1</v>
      </c>
      <c r="L1080" s="267">
        <v>1</v>
      </c>
      <c r="M1080" s="267">
        <v>1</v>
      </c>
      <c r="N1080" s="267">
        <v>1</v>
      </c>
      <c r="O1080" s="267">
        <v>1</v>
      </c>
      <c r="P1080" s="314">
        <v>0</v>
      </c>
      <c r="Q1080" s="267">
        <v>1</v>
      </c>
      <c r="R1080" s="267">
        <v>1</v>
      </c>
      <c r="S1080" s="366">
        <v>0</v>
      </c>
      <c r="T1080" s="63"/>
      <c r="U1080" s="10" t="s">
        <v>200</v>
      </c>
      <c r="V1080" s="90"/>
      <c r="W1080" s="136"/>
      <c r="X1080" s="137"/>
    </row>
    <row r="1081" spans="1:24" s="260" customFormat="1">
      <c r="A1081" s="261">
        <v>0.05</v>
      </c>
      <c r="B1081" s="87">
        <f>B1080+1</f>
        <v>2</v>
      </c>
      <c r="C1081" s="262">
        <v>45873</v>
      </c>
      <c r="D1081" s="263" t="s">
        <v>448</v>
      </c>
      <c r="E1081" s="271" t="s">
        <v>245</v>
      </c>
      <c r="F1081" s="265">
        <v>16214</v>
      </c>
      <c r="G1081" s="265">
        <f>39.7+334+(37.9+110.12+72.67+137.98)+(161.68+232.63)+1500</f>
        <v>2626.68</v>
      </c>
      <c r="H1081" s="265"/>
      <c r="I1081" s="266">
        <f>F1081-G1081-H1081</f>
        <v>13587.32</v>
      </c>
      <c r="J1081" s="267" t="s">
        <v>228</v>
      </c>
      <c r="K1081" s="267">
        <v>1</v>
      </c>
      <c r="L1081" s="267">
        <v>1</v>
      </c>
      <c r="M1081" s="267">
        <v>1</v>
      </c>
      <c r="N1081" s="267">
        <v>1</v>
      </c>
      <c r="O1081" s="267">
        <v>1</v>
      </c>
      <c r="P1081" s="267">
        <v>1</v>
      </c>
      <c r="Q1081" s="314">
        <v>0</v>
      </c>
      <c r="R1081" s="314">
        <v>0</v>
      </c>
      <c r="S1081" s="366">
        <v>0</v>
      </c>
      <c r="T1081" s="63"/>
      <c r="U1081" s="94" t="s">
        <v>485</v>
      </c>
      <c r="V1081" s="90"/>
      <c r="W1081" s="136"/>
      <c r="X1081" s="137"/>
    </row>
    <row r="1082" spans="1:24">
      <c r="A1082" s="507">
        <v>0.05</v>
      </c>
      <c r="B1082" s="87">
        <f t="shared" ref="B1082:B1083" si="233">B1081+1</f>
        <v>3</v>
      </c>
      <c r="C1082" s="645">
        <v>45896</v>
      </c>
      <c r="D1082" s="357" t="s">
        <v>527</v>
      </c>
      <c r="E1082" s="642" t="s">
        <v>401</v>
      </c>
      <c r="F1082" s="646">
        <v>14503.6</v>
      </c>
      <c r="G1082" s="646">
        <f>39.7+60.48+(103.51+131.24+75.84)+(287.37+90.69)+1000</f>
        <v>1788.83</v>
      </c>
      <c r="H1082" s="646">
        <f>5000*0.2</f>
        <v>1000</v>
      </c>
      <c r="I1082" s="698">
        <f>F1082-G1082-H1082</f>
        <v>11714.77</v>
      </c>
      <c r="J1082" s="647" t="s">
        <v>185</v>
      </c>
      <c r="K1082" s="647">
        <v>1</v>
      </c>
      <c r="L1082" s="647">
        <v>1</v>
      </c>
      <c r="M1082" s="647">
        <v>1</v>
      </c>
      <c r="N1082" s="647">
        <v>1</v>
      </c>
      <c r="O1082" s="647">
        <v>1</v>
      </c>
      <c r="P1082" s="647">
        <v>1</v>
      </c>
      <c r="Q1082" s="647">
        <v>1</v>
      </c>
      <c r="R1082" s="647">
        <v>1</v>
      </c>
      <c r="S1082" s="648">
        <v>1</v>
      </c>
      <c r="T1082" s="537"/>
      <c r="U1082" s="164" t="s">
        <v>553</v>
      </c>
      <c r="V1082" s="551"/>
      <c r="W1082" s="552"/>
      <c r="X1082" s="553"/>
    </row>
    <row r="1083" spans="1:24" s="260" customFormat="1">
      <c r="A1083" s="494">
        <v>0.05</v>
      </c>
      <c r="B1083" s="87">
        <f t="shared" si="233"/>
        <v>4</v>
      </c>
      <c r="C1083" s="262">
        <v>45912</v>
      </c>
      <c r="D1083" s="263">
        <v>73273</v>
      </c>
      <c r="E1083" s="264" t="s">
        <v>577</v>
      </c>
      <c r="F1083" s="265">
        <v>4461</v>
      </c>
      <c r="G1083" s="265">
        <f>39.7</f>
        <v>39.700000000000003</v>
      </c>
      <c r="H1083" s="265"/>
      <c r="I1083" s="272">
        <f t="shared" ref="I1083" si="234">F1083-G1083-H1083</f>
        <v>4421.3</v>
      </c>
      <c r="J1083" s="267" t="s">
        <v>156</v>
      </c>
      <c r="K1083" s="267">
        <v>1</v>
      </c>
      <c r="L1083" s="267">
        <v>1</v>
      </c>
      <c r="M1083" s="267">
        <v>1</v>
      </c>
      <c r="N1083" s="267">
        <v>1</v>
      </c>
      <c r="O1083" s="267">
        <v>1</v>
      </c>
      <c r="P1083" s="267">
        <v>1</v>
      </c>
      <c r="Q1083" s="267">
        <v>1</v>
      </c>
      <c r="R1083" s="267">
        <v>1</v>
      </c>
      <c r="S1083" s="269">
        <v>1</v>
      </c>
      <c r="T1083" s="21"/>
      <c r="U1083" s="10"/>
      <c r="V1083" s="90"/>
      <c r="W1083" s="91"/>
      <c r="X1083" s="92"/>
    </row>
    <row r="1084" spans="1:24" s="260" customFormat="1">
      <c r="A1084" s="181"/>
      <c r="B1084" s="11"/>
      <c r="C1084" s="36"/>
      <c r="D1084" s="77"/>
      <c r="E1084" s="10"/>
      <c r="F1084" s="97">
        <f>SUM(F1080:F1083)</f>
        <v>51392.6</v>
      </c>
      <c r="G1084" s="97">
        <f t="shared" ref="G1084:I1084" si="235">SUM(G1080:G1083)</f>
        <v>6742.2399999999989</v>
      </c>
      <c r="H1084" s="97">
        <f t="shared" si="235"/>
        <v>4242.8</v>
      </c>
      <c r="I1084" s="97">
        <f t="shared" si="235"/>
        <v>40407.560000000005</v>
      </c>
      <c r="K1084" s="21"/>
      <c r="L1084" s="21"/>
      <c r="M1084" s="21"/>
      <c r="N1084" s="21"/>
      <c r="O1084" s="21"/>
      <c r="P1084" s="21"/>
      <c r="Q1084" s="21"/>
      <c r="R1084" s="21"/>
      <c r="S1084" s="21"/>
      <c r="T1084" s="63"/>
      <c r="U1084" s="10"/>
      <c r="V1084" s="90"/>
      <c r="W1084" s="91"/>
      <c r="X1084" s="92"/>
    </row>
    <row r="1085" spans="1:24" s="260" customFormat="1">
      <c r="A1085" s="181"/>
      <c r="B1085" s="11"/>
      <c r="C1085" s="36"/>
      <c r="D1085" s="77"/>
      <c r="E1085" s="10"/>
      <c r="F1085" s="88"/>
      <c r="G1085" s="88"/>
      <c r="H1085" s="88"/>
      <c r="I1085" s="99"/>
      <c r="J1085" s="63"/>
      <c r="K1085" s="21"/>
      <c r="L1085" s="21"/>
      <c r="M1085" s="21"/>
      <c r="N1085" s="21"/>
      <c r="O1085" s="21"/>
      <c r="P1085" s="21"/>
      <c r="Q1085" s="21"/>
      <c r="R1085" s="21"/>
      <c r="S1085" s="21"/>
      <c r="T1085" s="63"/>
      <c r="U1085" s="10"/>
      <c r="V1085" s="90"/>
      <c r="W1085" s="91"/>
      <c r="X1085" s="92"/>
    </row>
    <row r="1086" spans="1:24" s="260" customFormat="1">
      <c r="A1086" s="181"/>
      <c r="B1086" s="100" t="s">
        <v>202</v>
      </c>
      <c r="C1086" s="299"/>
      <c r="D1086" s="77"/>
      <c r="E1086" s="181"/>
      <c r="F1086" s="88"/>
      <c r="G1086" s="88"/>
      <c r="H1086" s="88"/>
      <c r="I1086" s="99"/>
      <c r="J1086" s="63"/>
      <c r="K1086" s="21"/>
      <c r="L1086" s="21"/>
      <c r="M1086" s="21"/>
      <c r="N1086" s="21"/>
      <c r="O1086" s="21"/>
      <c r="P1086" s="21"/>
      <c r="Q1086" s="21"/>
      <c r="R1086" s="21"/>
      <c r="S1086" s="21"/>
      <c r="T1086" s="63"/>
      <c r="U1086" s="10"/>
      <c r="V1086" s="90"/>
      <c r="W1086" s="91"/>
      <c r="X1086" s="92"/>
    </row>
    <row r="1087" spans="1:24" s="260" customFormat="1">
      <c r="A1087" s="261">
        <v>0.05</v>
      </c>
      <c r="B1087" s="87">
        <v>1</v>
      </c>
      <c r="C1087" s="262">
        <v>45847</v>
      </c>
      <c r="D1087" s="263">
        <v>71343</v>
      </c>
      <c r="E1087" s="271" t="s">
        <v>184</v>
      </c>
      <c r="F1087" s="265">
        <v>2814</v>
      </c>
      <c r="G1087" s="265">
        <f>39.7+(36.22+222.93)</f>
        <v>298.84999999999997</v>
      </c>
      <c r="H1087" s="265"/>
      <c r="I1087" s="266">
        <f>F1087-G1087-H1087</f>
        <v>2515.15</v>
      </c>
      <c r="J1087" s="267" t="s">
        <v>156</v>
      </c>
      <c r="K1087" s="267">
        <v>1</v>
      </c>
      <c r="L1087" s="267"/>
      <c r="M1087" s="267">
        <v>1</v>
      </c>
      <c r="N1087" s="267">
        <v>1</v>
      </c>
      <c r="O1087" s="267">
        <v>1</v>
      </c>
      <c r="P1087" s="314">
        <v>0</v>
      </c>
      <c r="Q1087" s="267"/>
      <c r="R1087" s="267"/>
      <c r="S1087" s="269"/>
      <c r="T1087" s="63"/>
      <c r="U1087" s="94" t="s">
        <v>359</v>
      </c>
      <c r="V1087" s="90"/>
      <c r="W1087" s="136"/>
      <c r="X1087" s="137"/>
    </row>
    <row r="1088" spans="1:24" s="260" customFormat="1">
      <c r="A1088" s="261">
        <v>0.05</v>
      </c>
      <c r="B1088" s="87">
        <f>B1087+1</f>
        <v>2</v>
      </c>
      <c r="C1088" s="262">
        <v>45881</v>
      </c>
      <c r="D1088" s="263" t="s">
        <v>480</v>
      </c>
      <c r="E1088" s="309" t="s">
        <v>456</v>
      </c>
      <c r="F1088" s="265">
        <v>8614</v>
      </c>
      <c r="G1088" s="265">
        <f>39.7+495+(278.1+41.8-83.55)+1500</f>
        <v>2271.0500000000002</v>
      </c>
      <c r="H1088" s="265"/>
      <c r="I1088" s="272">
        <f t="shared" ref="I1088" si="236">F1088-G1088-H1088</f>
        <v>6342.95</v>
      </c>
      <c r="J1088" s="267" t="s">
        <v>228</v>
      </c>
      <c r="K1088" s="267">
        <v>1</v>
      </c>
      <c r="L1088" s="267"/>
      <c r="M1088" s="267">
        <v>1</v>
      </c>
      <c r="N1088" s="267">
        <v>1</v>
      </c>
      <c r="O1088" s="267">
        <v>1</v>
      </c>
      <c r="P1088" s="267">
        <v>1</v>
      </c>
      <c r="Q1088" s="267"/>
      <c r="R1088" s="267"/>
      <c r="S1088" s="269"/>
      <c r="T1088" s="63"/>
      <c r="U1088" s="94" t="s">
        <v>505</v>
      </c>
      <c r="V1088" s="90"/>
      <c r="W1088" s="136"/>
      <c r="X1088" s="137"/>
    </row>
    <row r="1089" spans="1:24" s="260" customFormat="1">
      <c r="B1089" s="11"/>
      <c r="C1089" s="36"/>
      <c r="D1089" s="10"/>
      <c r="E1089" s="10"/>
      <c r="F1089" s="97">
        <f>SUM(F1087:F1088)</f>
        <v>11428</v>
      </c>
      <c r="G1089" s="97">
        <f>SUM(G1087:G1088)</f>
        <v>2569.9</v>
      </c>
      <c r="H1089" s="97">
        <f>SUM(H1087:H1088)</f>
        <v>0</v>
      </c>
      <c r="I1089" s="97">
        <f>SUM(I1087:I1088)</f>
        <v>8858.1</v>
      </c>
      <c r="J1089" s="63"/>
      <c r="K1089" s="21"/>
      <c r="L1089" s="21"/>
      <c r="M1089" s="21"/>
      <c r="N1089" s="21"/>
      <c r="O1089" s="21"/>
      <c r="P1089" s="21"/>
      <c r="Q1089" s="21"/>
      <c r="R1089" s="21"/>
      <c r="S1089" s="21"/>
      <c r="T1089" s="63"/>
      <c r="U1089" s="10"/>
      <c r="V1089" s="90"/>
      <c r="W1089" s="91"/>
      <c r="X1089" s="92"/>
    </row>
    <row r="1090" spans="1:24" s="260" customFormat="1">
      <c r="B1090" s="11"/>
      <c r="C1090" s="36"/>
      <c r="D1090" s="10"/>
      <c r="E1090" s="10"/>
      <c r="F1090" s="88"/>
      <c r="G1090" s="88"/>
      <c r="H1090" s="88"/>
      <c r="I1090" s="88"/>
      <c r="J1090" s="63"/>
      <c r="K1090" s="21"/>
      <c r="L1090" s="21"/>
      <c r="M1090" s="21"/>
      <c r="N1090" s="21"/>
      <c r="O1090" s="21"/>
      <c r="P1090" s="21"/>
      <c r="Q1090" s="21"/>
      <c r="R1090" s="21"/>
      <c r="S1090" s="21"/>
      <c r="T1090" s="63"/>
      <c r="U1090" s="10"/>
      <c r="V1090" s="90"/>
      <c r="W1090" s="91"/>
      <c r="X1090" s="92"/>
    </row>
    <row r="1091" spans="1:24">
      <c r="A1091" s="614"/>
      <c r="B1091" s="100" t="s">
        <v>72</v>
      </c>
      <c r="C1091" s="609"/>
      <c r="D1091" s="10"/>
      <c r="E1091" s="10"/>
      <c r="F1091" s="88"/>
      <c r="G1091" s="88"/>
      <c r="H1091" s="88"/>
      <c r="I1091" s="99"/>
      <c r="J1091" s="63"/>
      <c r="K1091" s="63"/>
      <c r="L1091" s="63"/>
      <c r="M1091" s="63"/>
      <c r="N1091" s="63"/>
      <c r="O1091" s="63"/>
      <c r="P1091" s="63"/>
      <c r="Q1091" s="63"/>
      <c r="R1091" s="63"/>
      <c r="S1091" s="63"/>
      <c r="T1091" s="63"/>
      <c r="U1091" s="10"/>
      <c r="V1091" s="90"/>
      <c r="W1091" s="91"/>
      <c r="X1091" s="92"/>
    </row>
    <row r="1092" spans="1:24">
      <c r="A1092" s="614"/>
      <c r="B1092" s="87">
        <v>1</v>
      </c>
      <c r="C1092" s="274">
        <v>45916</v>
      </c>
      <c r="D1092" s="276">
        <v>73316</v>
      </c>
      <c r="E1092" s="276" t="s">
        <v>327</v>
      </c>
      <c r="F1092" s="277">
        <v>616</v>
      </c>
      <c r="G1092" s="277"/>
      <c r="H1092" s="277"/>
      <c r="I1092" s="278">
        <f t="shared" ref="I1092:I1099" si="237">F1092-G1092-H1092</f>
        <v>616</v>
      </c>
      <c r="J1092" s="279" t="s">
        <v>205</v>
      </c>
      <c r="K1092" s="279">
        <v>1</v>
      </c>
      <c r="L1092" s="279"/>
      <c r="M1092" s="279"/>
      <c r="N1092" s="279">
        <v>1</v>
      </c>
      <c r="O1092" s="279"/>
      <c r="P1092" s="279"/>
      <c r="Q1092" s="279">
        <v>1</v>
      </c>
      <c r="R1092" s="279">
        <v>1</v>
      </c>
      <c r="S1092" s="280">
        <v>1</v>
      </c>
      <c r="T1092" s="63"/>
      <c r="U1092" s="3"/>
      <c r="V1092" s="90"/>
      <c r="W1092" s="91"/>
      <c r="X1092" s="92"/>
    </row>
    <row r="1093" spans="1:24">
      <c r="A1093" s="614"/>
      <c r="B1093" s="87">
        <f t="shared" ref="B1093:B1099" si="238">B1092+1</f>
        <v>2</v>
      </c>
      <c r="C1093" s="295">
        <v>45916</v>
      </c>
      <c r="D1093" s="10">
        <v>73333</v>
      </c>
      <c r="E1093" s="10" t="s">
        <v>294</v>
      </c>
      <c r="F1093" s="62">
        <v>4075</v>
      </c>
      <c r="G1093" s="62">
        <v>39.700000000000003</v>
      </c>
      <c r="H1093" s="62"/>
      <c r="I1093" s="89">
        <f t="shared" si="237"/>
        <v>4035.3</v>
      </c>
      <c r="J1093" s="63" t="s">
        <v>205</v>
      </c>
      <c r="K1093" s="63">
        <v>1</v>
      </c>
      <c r="L1093" s="63"/>
      <c r="M1093" s="63"/>
      <c r="N1093" s="63">
        <v>1</v>
      </c>
      <c r="O1093" s="63"/>
      <c r="P1093" s="63"/>
      <c r="Q1093" s="63"/>
      <c r="R1093" s="63"/>
      <c r="S1093" s="296"/>
      <c r="T1093" s="63"/>
      <c r="U1093" s="10"/>
      <c r="V1093" s="90"/>
      <c r="W1093" s="136"/>
      <c r="X1093" s="137"/>
    </row>
    <row r="1094" spans="1:24">
      <c r="A1094" s="614"/>
      <c r="B1094" s="87">
        <f t="shared" si="238"/>
        <v>3</v>
      </c>
      <c r="C1094" s="295">
        <v>45916</v>
      </c>
      <c r="D1094" s="10">
        <v>73350</v>
      </c>
      <c r="E1094" s="10" t="s">
        <v>384</v>
      </c>
      <c r="F1094" s="62">
        <v>5367.9</v>
      </c>
      <c r="G1094" s="62">
        <v>39.700000000000003</v>
      </c>
      <c r="H1094" s="62"/>
      <c r="I1094" s="89">
        <f t="shared" si="237"/>
        <v>5328.2</v>
      </c>
      <c r="J1094" s="63" t="s">
        <v>205</v>
      </c>
      <c r="K1094" s="63">
        <v>1</v>
      </c>
      <c r="L1094" s="63"/>
      <c r="M1094" s="63"/>
      <c r="N1094" s="63">
        <v>1</v>
      </c>
      <c r="O1094" s="63"/>
      <c r="P1094" s="63"/>
      <c r="Q1094" s="63">
        <v>1</v>
      </c>
      <c r="R1094" s="63">
        <v>1</v>
      </c>
      <c r="S1094" s="296">
        <v>1</v>
      </c>
      <c r="T1094" s="63"/>
      <c r="U1094" s="10"/>
      <c r="V1094" s="90"/>
      <c r="W1094" s="136"/>
      <c r="X1094" s="137"/>
    </row>
    <row r="1095" spans="1:24">
      <c r="A1095" s="614"/>
      <c r="B1095" s="87">
        <f t="shared" si="238"/>
        <v>4</v>
      </c>
      <c r="C1095" s="274">
        <v>45918</v>
      </c>
      <c r="D1095" s="276">
        <v>73426</v>
      </c>
      <c r="E1095" s="276" t="s">
        <v>344</v>
      </c>
      <c r="F1095" s="277">
        <v>0</v>
      </c>
      <c r="G1095" s="277">
        <v>0</v>
      </c>
      <c r="H1095" s="277"/>
      <c r="I1095" s="278">
        <f t="shared" si="237"/>
        <v>0</v>
      </c>
      <c r="J1095" s="279" t="s">
        <v>205</v>
      </c>
      <c r="K1095" s="279">
        <v>1</v>
      </c>
      <c r="L1095" s="279"/>
      <c r="M1095" s="279"/>
      <c r="N1095" s="279"/>
      <c r="O1095" s="279"/>
      <c r="P1095" s="279"/>
      <c r="Q1095" s="279">
        <v>1</v>
      </c>
      <c r="R1095" s="279">
        <v>1</v>
      </c>
      <c r="S1095" s="280">
        <v>1</v>
      </c>
      <c r="T1095" s="63"/>
      <c r="U1095" s="10"/>
      <c r="V1095" s="90"/>
      <c r="W1095" s="136"/>
      <c r="X1095" s="137"/>
    </row>
    <row r="1096" spans="1:24">
      <c r="A1096" s="614"/>
      <c r="B1096" s="87">
        <f t="shared" si="238"/>
        <v>5</v>
      </c>
      <c r="C1096" s="295">
        <v>45918</v>
      </c>
      <c r="D1096" s="77" t="s">
        <v>603</v>
      </c>
      <c r="E1096" s="10" t="s">
        <v>302</v>
      </c>
      <c r="F1096" s="62">
        <v>26814</v>
      </c>
      <c r="G1096" s="62">
        <v>39.700000000000003</v>
      </c>
      <c r="H1096" s="62"/>
      <c r="I1096" s="89">
        <f t="shared" si="237"/>
        <v>26774.3</v>
      </c>
      <c r="J1096" s="63" t="s">
        <v>205</v>
      </c>
      <c r="K1096" s="63">
        <v>1</v>
      </c>
      <c r="L1096" s="63"/>
      <c r="M1096" s="63"/>
      <c r="N1096" s="63">
        <v>1</v>
      </c>
      <c r="O1096" s="63"/>
      <c r="P1096" s="63"/>
      <c r="Q1096" s="63"/>
      <c r="R1096" s="63"/>
      <c r="S1096" s="296"/>
      <c r="T1096" s="63"/>
      <c r="U1096" s="10"/>
      <c r="V1096" s="90"/>
      <c r="W1096" s="136"/>
      <c r="X1096" s="137"/>
    </row>
    <row r="1097" spans="1:24">
      <c r="A1097" s="614"/>
      <c r="B1097" s="87">
        <f t="shared" si="238"/>
        <v>6</v>
      </c>
      <c r="C1097" s="638">
        <v>45919</v>
      </c>
      <c r="D1097" s="276">
        <v>73430</v>
      </c>
      <c r="E1097" s="276" t="s">
        <v>515</v>
      </c>
      <c r="F1097" s="277">
        <v>1314.9</v>
      </c>
      <c r="G1097" s="277">
        <v>39.700000000000003</v>
      </c>
      <c r="H1097" s="277"/>
      <c r="I1097" s="278">
        <f>F1097-G1097-H1097</f>
        <v>1275.2</v>
      </c>
      <c r="J1097" s="279" t="s">
        <v>205</v>
      </c>
      <c r="K1097" s="279">
        <v>1</v>
      </c>
      <c r="L1097" s="279"/>
      <c r="M1097" s="279"/>
      <c r="N1097" s="279">
        <v>1</v>
      </c>
      <c r="O1097" s="279"/>
      <c r="P1097" s="279"/>
      <c r="Q1097" s="279">
        <v>1</v>
      </c>
      <c r="R1097" s="279">
        <v>1</v>
      </c>
      <c r="S1097" s="280">
        <v>1</v>
      </c>
      <c r="T1097" s="63"/>
      <c r="U1097" s="10"/>
      <c r="V1097" s="90"/>
      <c r="W1097" s="136"/>
      <c r="X1097" s="137"/>
    </row>
    <row r="1098" spans="1:24">
      <c r="A1098" s="614"/>
      <c r="B1098" s="87">
        <f t="shared" si="238"/>
        <v>7</v>
      </c>
      <c r="C1098" s="639">
        <v>45919</v>
      </c>
      <c r="D1098" s="10">
        <v>73452</v>
      </c>
      <c r="E1098" s="101" t="s">
        <v>540</v>
      </c>
      <c r="F1098" s="62">
        <v>8614</v>
      </c>
      <c r="G1098" s="62">
        <v>39.700000000000003</v>
      </c>
      <c r="H1098" s="62"/>
      <c r="I1098" s="89">
        <f t="shared" si="237"/>
        <v>8574.2999999999993</v>
      </c>
      <c r="J1098" s="63" t="s">
        <v>205</v>
      </c>
      <c r="K1098" s="63">
        <v>1</v>
      </c>
      <c r="L1098" s="63"/>
      <c r="M1098" s="63"/>
      <c r="N1098" s="63">
        <v>1</v>
      </c>
      <c r="O1098" s="63"/>
      <c r="P1098" s="63"/>
      <c r="Q1098" s="63"/>
      <c r="R1098" s="63"/>
      <c r="S1098" s="296"/>
      <c r="T1098" s="63"/>
      <c r="U1098" s="10"/>
      <c r="V1098" s="90"/>
      <c r="W1098" s="136"/>
      <c r="X1098" s="137"/>
    </row>
    <row r="1099" spans="1:24">
      <c r="A1099" s="614"/>
      <c r="B1099" s="87">
        <f t="shared" si="238"/>
        <v>8</v>
      </c>
      <c r="C1099" s="640">
        <v>45919</v>
      </c>
      <c r="D1099" s="283">
        <v>73467</v>
      </c>
      <c r="E1099" s="319" t="s">
        <v>245</v>
      </c>
      <c r="F1099" s="284">
        <v>2599</v>
      </c>
      <c r="G1099" s="284">
        <v>39.700000000000003</v>
      </c>
      <c r="H1099" s="284"/>
      <c r="I1099" s="285">
        <f t="shared" si="237"/>
        <v>2559.3000000000002</v>
      </c>
      <c r="J1099" s="286" t="s">
        <v>205</v>
      </c>
      <c r="K1099" s="286">
        <v>1</v>
      </c>
      <c r="L1099" s="286"/>
      <c r="M1099" s="286"/>
      <c r="N1099" s="286">
        <v>1</v>
      </c>
      <c r="O1099" s="286"/>
      <c r="P1099" s="286"/>
      <c r="Q1099" s="286">
        <v>1</v>
      </c>
      <c r="R1099" s="286">
        <v>1</v>
      </c>
      <c r="S1099" s="287"/>
      <c r="T1099" s="63"/>
      <c r="U1099" s="10"/>
      <c r="V1099" s="90"/>
      <c r="W1099" s="136"/>
      <c r="X1099" s="137"/>
    </row>
    <row r="1100" spans="1:24">
      <c r="A1100" s="614"/>
      <c r="B1100" s="11"/>
      <c r="C1100" s="609"/>
      <c r="D1100" s="10"/>
      <c r="E1100" s="10"/>
      <c r="F1100" s="97">
        <f>SUM(F1092:F1099)</f>
        <v>49400.800000000003</v>
      </c>
      <c r="G1100" s="97">
        <f>SUM(G1092:G1099)</f>
        <v>238.2</v>
      </c>
      <c r="H1100" s="97">
        <f>SUM(H1092:H1099)</f>
        <v>0</v>
      </c>
      <c r="I1100" s="98">
        <f>SUM(I1092:I1099)</f>
        <v>49162.600000000006</v>
      </c>
      <c r="J1100" s="10"/>
      <c r="K1100" s="10"/>
      <c r="L1100" s="10"/>
      <c r="M1100" s="10"/>
      <c r="N1100" s="10"/>
      <c r="O1100" s="10"/>
      <c r="P1100" s="10"/>
      <c r="Q1100" s="10"/>
      <c r="R1100" s="10"/>
      <c r="S1100" s="10"/>
      <c r="T1100" s="63"/>
      <c r="U1100" s="10"/>
      <c r="V1100" s="138"/>
      <c r="W1100" s="136"/>
      <c r="X1100" s="137"/>
    </row>
    <row r="1101" spans="1:24">
      <c r="A1101" s="614"/>
      <c r="B1101" s="11"/>
      <c r="C1101" s="609"/>
      <c r="D1101" s="10"/>
      <c r="E1101" s="10"/>
      <c r="F1101" s="88"/>
      <c r="G1101" s="88"/>
      <c r="H1101" s="88"/>
      <c r="I1101" s="99"/>
      <c r="J1101" s="10"/>
      <c r="K1101" s="10"/>
      <c r="L1101" s="10"/>
      <c r="M1101" s="10"/>
      <c r="N1101" s="10"/>
      <c r="O1101" s="10"/>
      <c r="P1101" s="10"/>
      <c r="Q1101" s="10"/>
      <c r="R1101" s="10"/>
      <c r="S1101" s="10"/>
      <c r="T1101" s="63"/>
      <c r="U1101" s="10"/>
      <c r="V1101" s="138"/>
      <c r="W1101" s="136"/>
      <c r="X1101" s="137"/>
    </row>
    <row r="1102" spans="1:24">
      <c r="A1102" s="614"/>
      <c r="B1102" s="100" t="s">
        <v>73</v>
      </c>
      <c r="C1102" s="609"/>
      <c r="D1102" s="10"/>
      <c r="E1102" s="10"/>
      <c r="F1102" s="88"/>
      <c r="G1102" s="88"/>
      <c r="H1102" s="88"/>
      <c r="I1102" s="99"/>
      <c r="J1102" s="63"/>
      <c r="K1102" s="63"/>
      <c r="L1102" s="63"/>
      <c r="M1102" s="63"/>
      <c r="N1102" s="63"/>
      <c r="O1102" s="63"/>
      <c r="P1102" s="63"/>
      <c r="Q1102" s="63"/>
      <c r="R1102" s="63"/>
      <c r="S1102" s="63"/>
      <c r="T1102" s="63"/>
      <c r="U1102" s="94"/>
      <c r="V1102" s="90"/>
      <c r="W1102" s="91"/>
      <c r="X1102" s="92"/>
    </row>
    <row r="1103" spans="1:24">
      <c r="A1103" s="614"/>
      <c r="B1103" s="87">
        <v>1</v>
      </c>
      <c r="C1103" s="274">
        <v>45920</v>
      </c>
      <c r="D1103" s="276">
        <v>73488</v>
      </c>
      <c r="E1103" s="276" t="s">
        <v>382</v>
      </c>
      <c r="F1103" s="277">
        <v>0</v>
      </c>
      <c r="G1103" s="277">
        <v>0</v>
      </c>
      <c r="H1103" s="277"/>
      <c r="I1103" s="278">
        <f t="shared" ref="I1103:I1104" si="239">F1103-G1103-H1103</f>
        <v>0</v>
      </c>
      <c r="J1103" s="279" t="s">
        <v>156</v>
      </c>
      <c r="K1103" s="279">
        <v>1</v>
      </c>
      <c r="L1103" s="279"/>
      <c r="M1103" s="279">
        <v>1</v>
      </c>
      <c r="N1103" s="279"/>
      <c r="O1103" s="279"/>
      <c r="P1103" s="279"/>
      <c r="Q1103" s="279">
        <v>1</v>
      </c>
      <c r="R1103" s="279">
        <v>1</v>
      </c>
      <c r="S1103" s="280">
        <v>1</v>
      </c>
      <c r="T1103" s="63"/>
      <c r="U1103" s="139"/>
      <c r="V1103" s="90">
        <v>93.5</v>
      </c>
      <c r="W1103" s="91"/>
      <c r="X1103" s="92"/>
    </row>
    <row r="1104" spans="1:24">
      <c r="A1104" s="614"/>
      <c r="B1104" s="87">
        <f>B1103+1</f>
        <v>2</v>
      </c>
      <c r="C1104" s="282">
        <v>45920</v>
      </c>
      <c r="D1104" s="283">
        <v>73162</v>
      </c>
      <c r="E1104" s="283" t="s">
        <v>604</v>
      </c>
      <c r="F1104" s="284">
        <v>0</v>
      </c>
      <c r="G1104" s="284">
        <v>0</v>
      </c>
      <c r="H1104" s="284"/>
      <c r="I1104" s="285">
        <f t="shared" si="239"/>
        <v>0</v>
      </c>
      <c r="J1104" s="286" t="s">
        <v>219</v>
      </c>
      <c r="K1104" s="286"/>
      <c r="L1104" s="286"/>
      <c r="M1104" s="286">
        <v>1</v>
      </c>
      <c r="N1104" s="286"/>
      <c r="O1104" s="286"/>
      <c r="P1104" s="286"/>
      <c r="Q1104" s="286"/>
      <c r="R1104" s="286"/>
      <c r="S1104" s="287"/>
      <c r="T1104" s="63"/>
      <c r="U1104" s="94"/>
      <c r="V1104" s="90">
        <v>93.5</v>
      </c>
      <c r="W1104" s="136"/>
      <c r="X1104" s="137"/>
    </row>
    <row r="1105" spans="1:24">
      <c r="A1105" s="614"/>
      <c r="B1105" s="11"/>
      <c r="C1105" s="609"/>
      <c r="D1105" s="10"/>
      <c r="E1105" s="10"/>
      <c r="F1105" s="97">
        <f>SUM(F1103:F1104)</f>
        <v>0</v>
      </c>
      <c r="G1105" s="97">
        <f>SUM(G1103:G1104)</f>
        <v>0</v>
      </c>
      <c r="H1105" s="97">
        <f>SUM(H1103:H1104)</f>
        <v>0</v>
      </c>
      <c r="I1105" s="98">
        <f>SUM(I1103:I1104)</f>
        <v>0</v>
      </c>
      <c r="J1105" s="10"/>
      <c r="K1105" s="10"/>
      <c r="L1105" s="10"/>
      <c r="M1105" s="10"/>
      <c r="N1105" s="10"/>
      <c r="O1105" s="10"/>
      <c r="P1105" s="10"/>
      <c r="Q1105" s="10"/>
      <c r="R1105" s="10"/>
      <c r="S1105" s="10"/>
      <c r="T1105" s="63"/>
      <c r="U1105" s="94"/>
      <c r="V1105" s="90"/>
      <c r="W1105" s="91"/>
      <c r="X1105" s="92"/>
    </row>
    <row r="1106" spans="1:24">
      <c r="A1106" s="614"/>
      <c r="B1106" s="26"/>
      <c r="C1106" s="612"/>
      <c r="D1106" s="141"/>
      <c r="E1106" s="141"/>
      <c r="F1106" s="141"/>
      <c r="G1106" s="141"/>
      <c r="H1106" s="141"/>
      <c r="I1106" s="141"/>
      <c r="J1106" s="141"/>
      <c r="K1106" s="142"/>
      <c r="L1106" s="142"/>
      <c r="M1106" s="142"/>
      <c r="N1106" s="142"/>
      <c r="O1106" s="142"/>
      <c r="P1106" s="142"/>
      <c r="Q1106" s="142"/>
      <c r="R1106" s="142"/>
      <c r="S1106" s="142"/>
      <c r="T1106" s="143">
        <f>SUM(T1053:T1105)</f>
        <v>1</v>
      </c>
      <c r="U1106" s="141"/>
      <c r="V1106" s="144">
        <f>SUM(V1053:V1105)</f>
        <v>20420.490000000002</v>
      </c>
      <c r="W1106" s="144">
        <f>SUM(W1053:W1105)</f>
        <v>2740</v>
      </c>
      <c r="X1106" s="144">
        <f>SUM(X1053:X1105)</f>
        <v>0</v>
      </c>
    </row>
    <row r="1109" spans="1:24">
      <c r="B1109" s="4" t="s">
        <v>1</v>
      </c>
      <c r="C1109" s="5"/>
      <c r="D1109" s="6"/>
      <c r="E1109" s="6"/>
      <c r="F1109" s="7" t="s">
        <v>2</v>
      </c>
      <c r="G1109" s="608">
        <v>45928</v>
      </c>
      <c r="H1109" s="7"/>
      <c r="I1109" s="6"/>
      <c r="J1109" s="6"/>
      <c r="K1109" s="6"/>
      <c r="L1109" s="6"/>
      <c r="M1109" s="6"/>
      <c r="N1109" s="6"/>
      <c r="O1109" s="6"/>
      <c r="P1109" s="6"/>
      <c r="Q1109" s="6"/>
      <c r="R1109" s="6"/>
      <c r="S1109" s="6"/>
      <c r="T1109" s="6"/>
      <c r="U1109" s="9"/>
      <c r="V1109" s="10"/>
      <c r="W1109" s="10"/>
      <c r="X1109" s="10"/>
    </row>
    <row r="1110" spans="1:24">
      <c r="B1110" s="11"/>
      <c r="C1110" s="10"/>
      <c r="D1110" s="10"/>
      <c r="E1110" s="10"/>
      <c r="F1110" s="10"/>
      <c r="G1110" s="7"/>
      <c r="H1110" s="12"/>
      <c r="I1110" s="10"/>
      <c r="J1110" s="10"/>
      <c r="K1110" s="13" t="s">
        <v>3</v>
      </c>
      <c r="L1110" s="14"/>
      <c r="M1110" s="15"/>
      <c r="N1110" s="13" t="s">
        <v>4</v>
      </c>
      <c r="O1110" s="14"/>
      <c r="P1110" s="15"/>
      <c r="Q1110" s="13" t="s">
        <v>5</v>
      </c>
      <c r="R1110" s="14"/>
      <c r="S1110" s="15"/>
      <c r="T1110" s="16"/>
      <c r="U1110" s="17"/>
      <c r="V1110" s="10"/>
      <c r="W1110" s="10"/>
      <c r="X1110" s="10"/>
    </row>
    <row r="1111" spans="1:24">
      <c r="B1111" s="18" t="s">
        <v>6</v>
      </c>
      <c r="C1111" s="19">
        <f>C1112+C1113</f>
        <v>18</v>
      </c>
      <c r="D1111" s="10"/>
      <c r="E1111" s="18" t="s">
        <v>7</v>
      </c>
      <c r="F1111" s="6"/>
      <c r="G1111" s="9"/>
      <c r="H1111" s="10"/>
      <c r="I1111" s="10"/>
      <c r="J1111" s="10"/>
      <c r="K1111" s="20" t="s">
        <v>8</v>
      </c>
      <c r="L1111" s="21" t="s">
        <v>9</v>
      </c>
      <c r="M1111" s="21" t="s">
        <v>10</v>
      </c>
      <c r="N1111" s="20" t="s">
        <v>11</v>
      </c>
      <c r="O1111" s="21" t="s">
        <v>12</v>
      </c>
      <c r="P1111" s="22" t="s">
        <v>13</v>
      </c>
      <c r="Q1111" s="21" t="s">
        <v>11</v>
      </c>
      <c r="R1111" s="21" t="s">
        <v>12</v>
      </c>
      <c r="S1111" s="22" t="s">
        <v>13</v>
      </c>
      <c r="T1111" s="23" t="s">
        <v>14</v>
      </c>
      <c r="U1111" s="17"/>
      <c r="V1111" s="10"/>
      <c r="W1111" s="10"/>
      <c r="X1111" s="10"/>
    </row>
    <row r="1112" spans="1:24">
      <c r="B1112" s="24" t="s">
        <v>15</v>
      </c>
      <c r="C1112" s="25">
        <f>P1119</f>
        <v>13</v>
      </c>
      <c r="D1112" s="10"/>
      <c r="E1112" s="26" t="s">
        <v>16</v>
      </c>
      <c r="F1112" s="27">
        <v>0.05</v>
      </c>
      <c r="G1112" s="28"/>
      <c r="H1112" s="10"/>
      <c r="I1112" s="10"/>
      <c r="J1112" s="18" t="s">
        <v>17</v>
      </c>
      <c r="K1112" s="29">
        <f>K1147</f>
        <v>10</v>
      </c>
      <c r="L1112" s="29">
        <f t="shared" ref="L1112:S1112" si="240">L1147</f>
        <v>10</v>
      </c>
      <c r="M1112" s="29">
        <f t="shared" si="240"/>
        <v>10</v>
      </c>
      <c r="N1112" s="29">
        <f t="shared" si="240"/>
        <v>10</v>
      </c>
      <c r="O1112" s="29">
        <f t="shared" si="240"/>
        <v>10</v>
      </c>
      <c r="P1112" s="29">
        <f t="shared" si="240"/>
        <v>9</v>
      </c>
      <c r="Q1112" s="29">
        <f t="shared" si="240"/>
        <v>10</v>
      </c>
      <c r="R1112" s="29">
        <f t="shared" si="240"/>
        <v>10</v>
      </c>
      <c r="S1112" s="29">
        <f t="shared" si="240"/>
        <v>9</v>
      </c>
      <c r="T1112" s="30">
        <f>T1174</f>
        <v>6</v>
      </c>
      <c r="U1112" s="17" t="s">
        <v>605</v>
      </c>
      <c r="V1112" s="10"/>
      <c r="W1112" s="10"/>
      <c r="X1112" s="10"/>
    </row>
    <row r="1113" spans="1:24">
      <c r="B1113" s="24" t="s">
        <v>18</v>
      </c>
      <c r="C1113" s="25">
        <f>P1120</f>
        <v>5</v>
      </c>
      <c r="D1113" s="10"/>
      <c r="E1113" s="10"/>
      <c r="F1113" s="10"/>
      <c r="G1113" s="31"/>
      <c r="H1113" s="10"/>
      <c r="I1113" s="10"/>
      <c r="J1113" s="32" t="s">
        <v>19</v>
      </c>
      <c r="K1113" s="33">
        <f>K1147/K1146</f>
        <v>1</v>
      </c>
      <c r="L1113" s="33">
        <f t="shared" ref="L1113:S1113" si="241">L1147/L1146</f>
        <v>1</v>
      </c>
      <c r="M1113" s="33">
        <f t="shared" si="241"/>
        <v>1</v>
      </c>
      <c r="N1113" s="33">
        <f t="shared" si="241"/>
        <v>1</v>
      </c>
      <c r="O1113" s="33">
        <f t="shared" si="241"/>
        <v>1</v>
      </c>
      <c r="P1113" s="33">
        <f t="shared" si="241"/>
        <v>0.9</v>
      </c>
      <c r="Q1113" s="33">
        <f t="shared" si="241"/>
        <v>1</v>
      </c>
      <c r="R1113" s="33">
        <f t="shared" si="241"/>
        <v>1</v>
      </c>
      <c r="S1113" s="33">
        <f t="shared" si="241"/>
        <v>0.9</v>
      </c>
      <c r="T1113" s="23"/>
      <c r="U1113" s="17" t="s">
        <v>20</v>
      </c>
      <c r="V1113" s="10"/>
      <c r="W1113" s="10"/>
      <c r="X1113" s="10"/>
    </row>
    <row r="1114" spans="1:24">
      <c r="B1114" s="24" t="s">
        <v>21</v>
      </c>
      <c r="C1114" s="34">
        <f>P1121</f>
        <v>0.72222222222222221</v>
      </c>
      <c r="D1114" s="10"/>
      <c r="E1114" s="10"/>
      <c r="F1114" s="10"/>
      <c r="G1114" s="10"/>
      <c r="H1114" s="10"/>
      <c r="I1114" s="10"/>
      <c r="J1114" s="10"/>
      <c r="K1114" s="10"/>
      <c r="L1114" s="10"/>
      <c r="M1114" s="10"/>
      <c r="N1114" s="10"/>
      <c r="O1114" s="10"/>
      <c r="P1114" s="10"/>
      <c r="Q1114" s="10"/>
      <c r="R1114" s="10"/>
      <c r="S1114" s="10"/>
      <c r="T1114" s="10"/>
      <c r="U1114" s="17"/>
      <c r="V1114" s="10"/>
      <c r="W1114" s="10"/>
      <c r="X1114" s="10"/>
    </row>
    <row r="1115" spans="1:24">
      <c r="B1115" s="24"/>
      <c r="C1115" s="25"/>
      <c r="D1115" s="10"/>
      <c r="E1115" s="10"/>
      <c r="F1115" s="18" t="s">
        <v>22</v>
      </c>
      <c r="G1115" s="19" t="s">
        <v>23</v>
      </c>
      <c r="H1115" s="35" t="s">
        <v>24</v>
      </c>
      <c r="I1115" s="10"/>
      <c r="J1115" s="10"/>
      <c r="K1115" s="36"/>
      <c r="L1115" s="36"/>
      <c r="M1115" s="36"/>
      <c r="N1115" s="36"/>
      <c r="O1115" s="36"/>
      <c r="P1115" s="36"/>
      <c r="Q1115" s="36"/>
      <c r="R1115" s="10"/>
      <c r="S1115" s="10"/>
      <c r="T1115" s="10"/>
      <c r="U1115" s="17"/>
      <c r="V1115" s="10"/>
      <c r="W1115" s="10"/>
      <c r="X1115" s="10"/>
    </row>
    <row r="1116" spans="1:24" ht="16.5" customHeight="1">
      <c r="B1116" s="32" t="s">
        <v>25</v>
      </c>
      <c r="C1116" s="37">
        <f>P1122</f>
        <v>3338.9846153846156</v>
      </c>
      <c r="D1116" s="10"/>
      <c r="E1116" s="18" t="s">
        <v>26</v>
      </c>
      <c r="F1116" s="38">
        <f>P1118</f>
        <v>43406.8</v>
      </c>
      <c r="G1116" s="39">
        <f>I1146+I1152+I1156</f>
        <v>43406.8</v>
      </c>
      <c r="H1116" s="40"/>
      <c r="I1116" s="41"/>
      <c r="J1116" s="42"/>
      <c r="K1116" s="43" t="s">
        <v>27</v>
      </c>
      <c r="L1116" s="44"/>
      <c r="M1116" s="44"/>
      <c r="N1116" s="44"/>
      <c r="O1116" s="44"/>
      <c r="P1116" s="44"/>
      <c r="Q1116" s="45"/>
      <c r="R1116" s="46" t="s">
        <v>28</v>
      </c>
      <c r="S1116" s="47" t="s">
        <v>29</v>
      </c>
      <c r="T1116" s="10"/>
      <c r="U1116" s="17"/>
      <c r="V1116" s="10"/>
      <c r="W1116" s="10"/>
      <c r="X1116" s="10"/>
    </row>
    <row r="1117" spans="1:24">
      <c r="B1117" s="11"/>
      <c r="C1117" s="10"/>
      <c r="D1117" s="10"/>
      <c r="E1117" s="24" t="s">
        <v>30</v>
      </c>
      <c r="F1117" s="48">
        <f>F1112</f>
        <v>0.05</v>
      </c>
      <c r="G1117" s="17"/>
      <c r="H1117" s="40"/>
      <c r="I1117" s="41"/>
      <c r="J1117" s="42"/>
      <c r="K1117" s="20" t="s">
        <v>31</v>
      </c>
      <c r="L1117" s="21" t="s">
        <v>32</v>
      </c>
      <c r="M1117" s="21" t="s">
        <v>33</v>
      </c>
      <c r="N1117" s="21" t="s">
        <v>34</v>
      </c>
      <c r="O1117" s="21" t="s">
        <v>35</v>
      </c>
      <c r="P1117" s="21" t="s">
        <v>36</v>
      </c>
      <c r="Q1117" s="49" t="s">
        <v>37</v>
      </c>
      <c r="R1117" s="50" t="s">
        <v>38</v>
      </c>
      <c r="S1117" s="50" t="s">
        <v>38</v>
      </c>
      <c r="T1117" s="10"/>
      <c r="U1117" s="17"/>
      <c r="V1117" s="10"/>
      <c r="W1117" s="10"/>
      <c r="X1117" s="10"/>
    </row>
    <row r="1118" spans="1:24">
      <c r="B1118" s="11"/>
      <c r="C1118" s="10"/>
      <c r="D1118" s="10"/>
      <c r="E1118" s="51" t="s">
        <v>39</v>
      </c>
      <c r="F1118" s="52">
        <f>(F1116+F1125+F1126+F1127-I1140-I1145-I1150-I1151-I1155)*F1117</f>
        <v>852.0445000000002</v>
      </c>
      <c r="G1118" s="53" t="s">
        <v>40</v>
      </c>
      <c r="H1118" s="54">
        <f>F1118/1.12</f>
        <v>760.75401785714291</v>
      </c>
      <c r="I1118" s="55"/>
      <c r="J1118" s="42"/>
      <c r="K1118" s="56">
        <f>I1136+I1150+I1155</f>
        <v>13550.27</v>
      </c>
      <c r="L1118" s="57">
        <f>I1137+I1140+I1151+I1138+I1139</f>
        <v>20595.66</v>
      </c>
      <c r="M1118" s="57">
        <f>I1141</f>
        <v>2586.09</v>
      </c>
      <c r="N1118" s="57">
        <f>I1142+I1143+I1145+I1144</f>
        <v>6674.78</v>
      </c>
      <c r="O1118" s="57">
        <v>0</v>
      </c>
      <c r="P1118" s="57">
        <f>SUM(K1118:O1118)</f>
        <v>43406.8</v>
      </c>
      <c r="Q1118" s="58">
        <v>0</v>
      </c>
      <c r="R1118" s="59">
        <f>I1152+I1156</f>
        <v>24430.83</v>
      </c>
      <c r="S1118" s="59">
        <v>0</v>
      </c>
      <c r="T1118" s="10"/>
      <c r="U1118" s="17"/>
      <c r="V1118" s="10"/>
      <c r="W1118" s="10"/>
      <c r="X1118" s="10"/>
    </row>
    <row r="1119" spans="1:24">
      <c r="B1119" s="11"/>
      <c r="C1119" s="10"/>
      <c r="D1119" s="10"/>
      <c r="E1119" s="24" t="s">
        <v>41</v>
      </c>
      <c r="F1119" s="60">
        <f>Q1118</f>
        <v>0</v>
      </c>
      <c r="G1119" s="61" t="s">
        <v>40</v>
      </c>
      <c r="H1119" s="62"/>
      <c r="I1119" s="62"/>
      <c r="J1119" s="10" t="s">
        <v>42</v>
      </c>
      <c r="K1119" s="63">
        <v>3</v>
      </c>
      <c r="L1119" s="63">
        <v>5</v>
      </c>
      <c r="M1119" s="63">
        <v>1</v>
      </c>
      <c r="N1119" s="63">
        <v>4</v>
      </c>
      <c r="O1119" s="63">
        <v>0</v>
      </c>
      <c r="P1119" s="21">
        <f>SUM(K1119:O1119)</f>
        <v>13</v>
      </c>
      <c r="Q1119" s="64"/>
      <c r="R1119" s="63"/>
      <c r="S1119" s="10"/>
      <c r="T1119" s="10"/>
      <c r="U1119" s="17"/>
      <c r="V1119" s="10"/>
      <c r="W1119" s="10"/>
      <c r="X1119" s="10"/>
    </row>
    <row r="1120" spans="1:24">
      <c r="B1120" s="11"/>
      <c r="C1120" s="10"/>
      <c r="D1120" s="10"/>
      <c r="E1120" s="51" t="s">
        <v>43</v>
      </c>
      <c r="F1120" s="52">
        <f>F1119*0.25</f>
        <v>0</v>
      </c>
      <c r="G1120" s="53" t="s">
        <v>40</v>
      </c>
      <c r="H1120" s="54">
        <f>F1120/1.12</f>
        <v>0</v>
      </c>
      <c r="I1120" s="10"/>
      <c r="J1120" s="10" t="s">
        <v>44</v>
      </c>
      <c r="K1120" s="63">
        <v>0</v>
      </c>
      <c r="L1120" s="63">
        <v>1</v>
      </c>
      <c r="M1120" s="63">
        <v>2</v>
      </c>
      <c r="N1120" s="63">
        <v>2</v>
      </c>
      <c r="O1120" s="63">
        <v>0</v>
      </c>
      <c r="P1120" s="21">
        <f>SUM(K1120:O1120)</f>
        <v>5</v>
      </c>
      <c r="Q1120" s="64"/>
      <c r="R1120" s="63"/>
      <c r="S1120" s="10"/>
      <c r="T1120" s="10"/>
      <c r="U1120" s="17"/>
      <c r="V1120" s="10"/>
      <c r="W1120" s="10"/>
      <c r="X1120" s="10"/>
    </row>
    <row r="1121" spans="2:24">
      <c r="B1121" s="11"/>
      <c r="C1121" s="10"/>
      <c r="D1121" s="10"/>
      <c r="E1121" s="24" t="s">
        <v>45</v>
      </c>
      <c r="F1121" s="60"/>
      <c r="G1121" s="61" t="s">
        <v>40</v>
      </c>
      <c r="H1121" s="62"/>
      <c r="I1121" s="10"/>
      <c r="J1121" s="10" t="s">
        <v>46</v>
      </c>
      <c r="K1121" s="31">
        <f t="shared" ref="K1121:Q1121" si="242">K1119/(K1119+K1120)</f>
        <v>1</v>
      </c>
      <c r="L1121" s="31">
        <f t="shared" si="242"/>
        <v>0.83333333333333337</v>
      </c>
      <c r="M1121" s="31">
        <f t="shared" si="242"/>
        <v>0.33333333333333331</v>
      </c>
      <c r="N1121" s="31">
        <f t="shared" si="242"/>
        <v>0.66666666666666663</v>
      </c>
      <c r="O1121" s="31" t="e">
        <f t="shared" si="242"/>
        <v>#DIV/0!</v>
      </c>
      <c r="P1121" s="31">
        <f t="shared" si="242"/>
        <v>0.72222222222222221</v>
      </c>
      <c r="Q1121" s="31" t="e">
        <f t="shared" si="242"/>
        <v>#DIV/0!</v>
      </c>
      <c r="R1121" s="63"/>
      <c r="S1121" s="10"/>
      <c r="T1121" s="10"/>
      <c r="U1121" s="17"/>
      <c r="V1121" s="10"/>
      <c r="W1121" s="10"/>
      <c r="X1121" s="10"/>
    </row>
    <row r="1122" spans="2:24">
      <c r="B1122" s="11"/>
      <c r="C1122" s="10"/>
      <c r="D1122" s="10"/>
      <c r="E1122" s="51" t="s">
        <v>47</v>
      </c>
      <c r="F1122" s="52">
        <f>F1121*0.05</f>
        <v>0</v>
      </c>
      <c r="G1122" s="65" t="s">
        <v>40</v>
      </c>
      <c r="H1122" s="54">
        <f>F1122/1.12</f>
        <v>0</v>
      </c>
      <c r="I1122" s="42"/>
      <c r="J1122" s="10" t="s">
        <v>48</v>
      </c>
      <c r="K1122" s="66">
        <f>K1118/K1119</f>
        <v>4516.7566666666671</v>
      </c>
      <c r="L1122" s="66">
        <f t="shared" ref="L1122:Q1122" si="243">L1118/L1119</f>
        <v>4119.1319999999996</v>
      </c>
      <c r="M1122" s="66">
        <f t="shared" si="243"/>
        <v>2586.09</v>
      </c>
      <c r="N1122" s="66">
        <f t="shared" si="243"/>
        <v>1668.6949999999999</v>
      </c>
      <c r="O1122" s="66" t="e">
        <f t="shared" si="243"/>
        <v>#DIV/0!</v>
      </c>
      <c r="P1122" s="66">
        <f t="shared" si="243"/>
        <v>3338.9846153846156</v>
      </c>
      <c r="Q1122" s="66" t="e">
        <f t="shared" si="243"/>
        <v>#DIV/0!</v>
      </c>
      <c r="R1122" s="63"/>
      <c r="S1122" s="10"/>
      <c r="T1122" s="10"/>
      <c r="U1122" s="17"/>
      <c r="V1122" s="10"/>
      <c r="W1122" s="10"/>
      <c r="X1122" s="10"/>
    </row>
    <row r="1123" spans="2:24">
      <c r="B1123" s="11"/>
      <c r="C1123" s="10"/>
      <c r="D1123" s="10"/>
      <c r="E1123" s="67" t="s">
        <v>14</v>
      </c>
      <c r="F1123" s="68">
        <f>4*50</f>
        <v>200</v>
      </c>
      <c r="G1123" s="10"/>
      <c r="H1123" s="54">
        <f>F1123/1.12</f>
        <v>178.57142857142856</v>
      </c>
      <c r="I1123" s="10"/>
      <c r="J1123" s="10"/>
      <c r="K1123" s="10"/>
      <c r="L1123" s="10"/>
      <c r="M1123" s="10"/>
      <c r="N1123" s="10"/>
      <c r="O1123" s="10"/>
      <c r="P1123" s="10"/>
      <c r="Q1123" s="10"/>
      <c r="R1123" s="10"/>
      <c r="S1123" s="10"/>
      <c r="T1123" s="10"/>
      <c r="U1123" s="17"/>
      <c r="V1123" s="10"/>
      <c r="W1123" s="10"/>
      <c r="X1123" s="10"/>
    </row>
    <row r="1124" spans="2:24">
      <c r="B1124" s="11"/>
      <c r="C1124" s="10"/>
      <c r="D1124" s="10"/>
      <c r="E1124" s="67" t="s">
        <v>49</v>
      </c>
      <c r="F1124" s="69">
        <f>T1113</f>
        <v>0</v>
      </c>
      <c r="G1124" s="10"/>
      <c r="H1124" s="54"/>
      <c r="I1124" s="55"/>
      <c r="J1124" s="42"/>
      <c r="K1124" s="764" t="s">
        <v>50</v>
      </c>
      <c r="L1124" s="765"/>
      <c r="M1124" s="765"/>
      <c r="N1124" s="765"/>
      <c r="O1124" s="765"/>
      <c r="P1124" s="765"/>
      <c r="Q1124" s="766"/>
      <c r="R1124" s="70" t="s">
        <v>28</v>
      </c>
      <c r="S1124" s="71" t="s">
        <v>29</v>
      </c>
      <c r="T1124" s="10"/>
      <c r="U1124" s="17"/>
      <c r="V1124" s="10"/>
      <c r="W1124" s="10"/>
      <c r="X1124" s="10"/>
    </row>
    <row r="1125" spans="2:24">
      <c r="B1125" s="11"/>
      <c r="C1125" s="10"/>
      <c r="D1125" s="10"/>
      <c r="E1125" s="72" t="s">
        <v>606</v>
      </c>
      <c r="F1125" s="73">
        <v>-101.21</v>
      </c>
      <c r="G1125" s="10"/>
      <c r="H1125" s="10"/>
      <c r="I1125" s="10"/>
      <c r="J1125" s="42"/>
      <c r="K1125" s="20" t="s">
        <v>31</v>
      </c>
      <c r="L1125" s="21" t="s">
        <v>32</v>
      </c>
      <c r="M1125" s="21" t="s">
        <v>33</v>
      </c>
      <c r="N1125" s="21" t="s">
        <v>34</v>
      </c>
      <c r="O1125" s="21" t="s">
        <v>35</v>
      </c>
      <c r="P1125" s="21" t="s">
        <v>36</v>
      </c>
      <c r="Q1125" s="49" t="s">
        <v>37</v>
      </c>
      <c r="R1125" s="50" t="s">
        <v>38</v>
      </c>
      <c r="S1125" s="50" t="s">
        <v>38</v>
      </c>
      <c r="T1125" s="10"/>
      <c r="U1125" s="17"/>
      <c r="V1125" s="10"/>
      <c r="W1125" s="10"/>
      <c r="X1125" s="10"/>
    </row>
    <row r="1126" spans="2:24">
      <c r="B1126" s="11"/>
      <c r="C1126" s="10"/>
      <c r="D1126" s="10"/>
      <c r="E1126" s="72" t="s">
        <v>607</v>
      </c>
      <c r="F1126" s="73">
        <v>-78.55</v>
      </c>
      <c r="G1126" s="10"/>
      <c r="H1126" s="10"/>
      <c r="I1126" s="10"/>
      <c r="J1126" s="42"/>
      <c r="K1126" s="56">
        <f>F1136+F1150+F1155</f>
        <v>15213</v>
      </c>
      <c r="L1126" s="57">
        <f>F1137+F1140+F1151+F1138+F1139</f>
        <v>25600</v>
      </c>
      <c r="M1126" s="57">
        <f>F1141</f>
        <v>2942</v>
      </c>
      <c r="N1126" s="57">
        <f>F1142+F1143+F1145+F1144</f>
        <v>9236.5</v>
      </c>
      <c r="O1126" s="57">
        <v>0</v>
      </c>
      <c r="P1126" s="57">
        <f>SUM(K1126:O1126)</f>
        <v>52991.5</v>
      </c>
      <c r="Q1126" s="58">
        <v>0</v>
      </c>
      <c r="R1126" s="59">
        <f>F1152+F1156</f>
        <v>28075</v>
      </c>
      <c r="S1126" s="59">
        <v>0</v>
      </c>
      <c r="T1126" s="10"/>
      <c r="U1126" s="17"/>
      <c r="V1126" s="10"/>
      <c r="W1126" s="10"/>
      <c r="X1126" s="10"/>
    </row>
    <row r="1127" spans="2:24">
      <c r="B1127" s="11"/>
      <c r="C1127" s="10"/>
      <c r="D1127" s="10"/>
      <c r="E1127" s="74" t="s">
        <v>608</v>
      </c>
      <c r="F1127" s="75">
        <v>-338.37</v>
      </c>
      <c r="G1127" s="10"/>
      <c r="H1127" s="10"/>
      <c r="I1127" s="10"/>
      <c r="J1127" s="10" t="s">
        <v>42</v>
      </c>
      <c r="K1127" s="63">
        <f>K1119</f>
        <v>3</v>
      </c>
      <c r="L1127" s="63">
        <f t="shared" ref="L1127:Q1128" si="244">L1119</f>
        <v>5</v>
      </c>
      <c r="M1127" s="63">
        <f t="shared" si="244"/>
        <v>1</v>
      </c>
      <c r="N1127" s="63">
        <f t="shared" si="244"/>
        <v>4</v>
      </c>
      <c r="O1127" s="63">
        <f t="shared" si="244"/>
        <v>0</v>
      </c>
      <c r="P1127" s="63">
        <f t="shared" si="244"/>
        <v>13</v>
      </c>
      <c r="Q1127" s="63">
        <f t="shared" si="244"/>
        <v>0</v>
      </c>
      <c r="R1127" s="63"/>
      <c r="S1127" s="10"/>
      <c r="T1127" s="10"/>
      <c r="U1127" s="17"/>
      <c r="V1127" s="10"/>
      <c r="W1127" s="10"/>
      <c r="X1127" s="10"/>
    </row>
    <row r="1128" spans="2:24">
      <c r="B1128" s="11"/>
      <c r="C1128" s="10"/>
      <c r="D1128" s="10"/>
      <c r="E1128" s="10"/>
      <c r="F1128" s="10"/>
      <c r="G1128" s="10"/>
      <c r="H1128" s="10"/>
      <c r="I1128" s="10"/>
      <c r="J1128" s="10" t="s">
        <v>44</v>
      </c>
      <c r="K1128" s="63">
        <f>K1120</f>
        <v>0</v>
      </c>
      <c r="L1128" s="63">
        <f t="shared" si="244"/>
        <v>1</v>
      </c>
      <c r="M1128" s="63">
        <f t="shared" si="244"/>
        <v>2</v>
      </c>
      <c r="N1128" s="63">
        <f t="shared" si="244"/>
        <v>2</v>
      </c>
      <c r="O1128" s="63">
        <f t="shared" si="244"/>
        <v>0</v>
      </c>
      <c r="P1128" s="63">
        <f t="shared" si="244"/>
        <v>5</v>
      </c>
      <c r="Q1128" s="63">
        <f t="shared" si="244"/>
        <v>0</v>
      </c>
      <c r="R1128" s="63"/>
      <c r="S1128" s="10"/>
      <c r="T1128" s="10"/>
      <c r="U1128" s="17"/>
      <c r="V1128" s="10"/>
      <c r="W1128" s="10"/>
      <c r="X1128" s="10"/>
    </row>
    <row r="1129" spans="2:24">
      <c r="B1129" s="11"/>
      <c r="C1129" s="10"/>
      <c r="D1129" s="10"/>
      <c r="E1129" s="10"/>
      <c r="F1129" s="10"/>
      <c r="G1129" s="10"/>
      <c r="H1129" s="10"/>
      <c r="I1129" s="10"/>
      <c r="J1129" s="10" t="s">
        <v>46</v>
      </c>
      <c r="K1129" s="31">
        <f t="shared" ref="K1129:Q1129" si="245">K1127/(K1127+K1128)</f>
        <v>1</v>
      </c>
      <c r="L1129" s="31">
        <f t="shared" si="245"/>
        <v>0.83333333333333337</v>
      </c>
      <c r="M1129" s="31">
        <f t="shared" si="245"/>
        <v>0.33333333333333331</v>
      </c>
      <c r="N1129" s="31">
        <f t="shared" si="245"/>
        <v>0.66666666666666663</v>
      </c>
      <c r="O1129" s="31" t="e">
        <f t="shared" si="245"/>
        <v>#DIV/0!</v>
      </c>
      <c r="P1129" s="31">
        <f t="shared" si="245"/>
        <v>0.72222222222222221</v>
      </c>
      <c r="Q1129" s="31" t="e">
        <f t="shared" si="245"/>
        <v>#DIV/0!</v>
      </c>
      <c r="R1129" s="63"/>
      <c r="S1129" s="10"/>
      <c r="T1129" s="10"/>
      <c r="U1129" s="17"/>
      <c r="V1129" s="10"/>
      <c r="W1129" s="10"/>
      <c r="X1129" s="10"/>
    </row>
    <row r="1130" spans="2:24">
      <c r="B1130" s="11"/>
      <c r="C1130" s="10"/>
      <c r="D1130" s="10"/>
      <c r="E1130" s="10"/>
      <c r="F1130" s="10"/>
      <c r="G1130" s="10"/>
      <c r="H1130" s="10"/>
      <c r="I1130" s="10"/>
      <c r="J1130" s="10" t="s">
        <v>48</v>
      </c>
      <c r="K1130" s="66">
        <f t="shared" ref="K1130:Q1130" si="246">K1126/K1127</f>
        <v>5071</v>
      </c>
      <c r="L1130" s="66">
        <f t="shared" si="246"/>
        <v>5120</v>
      </c>
      <c r="M1130" s="66">
        <f t="shared" si="246"/>
        <v>2942</v>
      </c>
      <c r="N1130" s="66">
        <f t="shared" si="246"/>
        <v>2309.125</v>
      </c>
      <c r="O1130" s="66" t="e">
        <f t="shared" si="246"/>
        <v>#DIV/0!</v>
      </c>
      <c r="P1130" s="66">
        <f t="shared" si="246"/>
        <v>4076.2692307692309</v>
      </c>
      <c r="Q1130" s="66" t="e">
        <f t="shared" si="246"/>
        <v>#DIV/0!</v>
      </c>
      <c r="R1130" s="63"/>
      <c r="S1130" s="10"/>
      <c r="T1130" s="10"/>
      <c r="U1130" s="17"/>
      <c r="V1130" s="10"/>
      <c r="W1130" s="10"/>
      <c r="X1130" s="10"/>
    </row>
    <row r="1131" spans="2:24">
      <c r="B1131" s="11"/>
      <c r="C1131" s="10"/>
      <c r="D1131" s="10"/>
      <c r="E1131" s="10"/>
      <c r="F1131" s="10"/>
      <c r="G1131" s="10"/>
      <c r="H1131" s="10"/>
      <c r="I1131" s="10"/>
      <c r="J1131" s="10"/>
      <c r="K1131" s="10"/>
      <c r="L1131" s="10"/>
      <c r="M1131" s="10"/>
      <c r="N1131" s="10"/>
      <c r="O1131" s="10"/>
      <c r="P1131" s="10"/>
      <c r="Q1131" s="10"/>
      <c r="R1131" s="10"/>
      <c r="S1131" s="10"/>
      <c r="T1131" s="10"/>
      <c r="U1131" s="17"/>
      <c r="V1131" s="10"/>
      <c r="W1131" s="10"/>
      <c r="X1131" s="10"/>
    </row>
    <row r="1132" spans="2:24">
      <c r="B1132" s="11"/>
      <c r="C1132" s="10"/>
      <c r="D1132" s="10"/>
      <c r="E1132" s="10"/>
      <c r="F1132" s="10"/>
      <c r="G1132" s="10"/>
      <c r="H1132" s="10"/>
      <c r="I1132" s="10"/>
      <c r="J1132" s="10"/>
      <c r="K1132" s="10"/>
      <c r="L1132" s="10"/>
      <c r="M1132" s="10"/>
      <c r="N1132" s="10"/>
      <c r="O1132" s="10"/>
      <c r="P1132" s="10"/>
      <c r="Q1132" s="10"/>
      <c r="R1132" s="10"/>
      <c r="S1132" s="10"/>
      <c r="T1132" s="10"/>
      <c r="U1132" s="17"/>
      <c r="V1132" s="10"/>
      <c r="W1132" s="10"/>
      <c r="X1132" s="10"/>
    </row>
    <row r="1133" spans="2:24">
      <c r="B1133" s="18" t="s">
        <v>51</v>
      </c>
      <c r="C1133" s="14"/>
      <c r="D1133" s="14"/>
      <c r="E1133" s="14"/>
      <c r="F1133" s="13" t="s">
        <v>52</v>
      </c>
      <c r="G1133" s="14"/>
      <c r="H1133" s="14"/>
      <c r="I1133" s="14"/>
      <c r="J1133" s="14"/>
      <c r="K1133" s="13" t="s">
        <v>3</v>
      </c>
      <c r="L1133" s="14"/>
      <c r="M1133" s="14"/>
      <c r="N1133" s="13" t="s">
        <v>4</v>
      </c>
      <c r="O1133" s="14"/>
      <c r="P1133" s="14"/>
      <c r="Q1133" s="13" t="s">
        <v>5</v>
      </c>
      <c r="R1133" s="14"/>
      <c r="S1133" s="14"/>
      <c r="T1133" s="18"/>
      <c r="U1133" s="16" t="s">
        <v>53</v>
      </c>
      <c r="V1133" s="77"/>
      <c r="W1133" s="77"/>
      <c r="X1133" s="77"/>
    </row>
    <row r="1134" spans="2:24">
      <c r="B1134" s="24" t="s">
        <v>54</v>
      </c>
      <c r="C1134" s="21" t="s">
        <v>55</v>
      </c>
      <c r="D1134" s="21" t="s">
        <v>56</v>
      </c>
      <c r="E1134" s="21" t="s">
        <v>57</v>
      </c>
      <c r="F1134" s="20" t="s">
        <v>58</v>
      </c>
      <c r="G1134" s="21" t="s">
        <v>59</v>
      </c>
      <c r="H1134" s="21" t="s">
        <v>60</v>
      </c>
      <c r="I1134" s="21" t="s">
        <v>26</v>
      </c>
      <c r="J1134" s="22" t="s">
        <v>61</v>
      </c>
      <c r="K1134" s="21" t="s">
        <v>8</v>
      </c>
      <c r="L1134" s="21" t="s">
        <v>9</v>
      </c>
      <c r="M1134" s="21" t="s">
        <v>10</v>
      </c>
      <c r="N1134" s="20" t="s">
        <v>11</v>
      </c>
      <c r="O1134" s="21" t="s">
        <v>12</v>
      </c>
      <c r="P1134" s="22" t="s">
        <v>13</v>
      </c>
      <c r="Q1134" s="21" t="s">
        <v>11</v>
      </c>
      <c r="R1134" s="21" t="s">
        <v>12</v>
      </c>
      <c r="S1134" s="21" t="s">
        <v>13</v>
      </c>
      <c r="T1134" s="78" t="s">
        <v>14</v>
      </c>
      <c r="U1134" s="30"/>
      <c r="V1134" s="79" t="s">
        <v>62</v>
      </c>
      <c r="W1134" s="80" t="s">
        <v>63</v>
      </c>
      <c r="X1134" s="81" t="s">
        <v>64</v>
      </c>
    </row>
    <row r="1135" spans="2:24">
      <c r="B1135" s="4" t="s">
        <v>65</v>
      </c>
      <c r="C1135" s="6"/>
      <c r="D1135" s="6"/>
      <c r="E1135" s="6"/>
      <c r="F1135" s="6"/>
      <c r="G1135" s="6"/>
      <c r="H1135" s="6"/>
      <c r="I1135" s="82"/>
      <c r="J1135" s="6"/>
      <c r="K1135" s="6"/>
      <c r="L1135" s="6"/>
      <c r="M1135" s="6"/>
      <c r="N1135" s="6"/>
      <c r="O1135" s="6"/>
      <c r="P1135" s="6"/>
      <c r="Q1135" s="6"/>
      <c r="R1135" s="6"/>
      <c r="S1135" s="6"/>
      <c r="T1135" s="83"/>
      <c r="U1135" s="6"/>
      <c r="V1135" s="84"/>
      <c r="W1135" s="85"/>
      <c r="X1135" s="86"/>
    </row>
    <row r="1136" spans="2:24">
      <c r="B1136" s="87">
        <v>1</v>
      </c>
      <c r="C1136" s="274">
        <v>45922</v>
      </c>
      <c r="D1136" s="327">
        <v>73501</v>
      </c>
      <c r="E1136" s="276" t="s">
        <v>299</v>
      </c>
      <c r="F1136" s="277">
        <v>1138</v>
      </c>
      <c r="G1136" s="277">
        <f>39.7</f>
        <v>39.700000000000003</v>
      </c>
      <c r="H1136" s="297"/>
      <c r="I1136" s="278">
        <f t="shared" ref="I1136:I1145" si="247">F1136-G1136-H1136</f>
        <v>1098.3</v>
      </c>
      <c r="J1136" s="279" t="s">
        <v>156</v>
      </c>
      <c r="K1136" s="279">
        <v>1</v>
      </c>
      <c r="L1136" s="279">
        <v>1</v>
      </c>
      <c r="M1136" s="279">
        <v>1</v>
      </c>
      <c r="N1136" s="279">
        <v>1</v>
      </c>
      <c r="O1136" s="279">
        <v>1</v>
      </c>
      <c r="P1136" s="279">
        <v>1</v>
      </c>
      <c r="Q1136" s="279">
        <v>1</v>
      </c>
      <c r="R1136" s="279">
        <v>1</v>
      </c>
      <c r="S1136" s="280">
        <v>1</v>
      </c>
      <c r="T1136" s="63"/>
      <c r="U1136" s="10"/>
      <c r="V1136" s="90">
        <f>126+1125.8</f>
        <v>1251.8</v>
      </c>
      <c r="W1136" s="91"/>
      <c r="X1136" s="92"/>
    </row>
    <row r="1137" spans="1:24">
      <c r="B1137" s="87">
        <f>B1136+1</f>
        <v>2</v>
      </c>
      <c r="C1137" s="274">
        <v>45923</v>
      </c>
      <c r="D1137" s="327">
        <v>73515</v>
      </c>
      <c r="E1137" s="276" t="s">
        <v>609</v>
      </c>
      <c r="F1137" s="277">
        <v>2261</v>
      </c>
      <c r="G1137" s="277">
        <f>39.7</f>
        <v>39.700000000000003</v>
      </c>
      <c r="H1137" s="277"/>
      <c r="I1137" s="278">
        <f t="shared" si="247"/>
        <v>2221.3000000000002</v>
      </c>
      <c r="J1137" s="279" t="s">
        <v>156</v>
      </c>
      <c r="K1137" s="279">
        <v>1</v>
      </c>
      <c r="L1137" s="279">
        <v>1</v>
      </c>
      <c r="M1137" s="279">
        <v>1</v>
      </c>
      <c r="N1137" s="279">
        <v>1</v>
      </c>
      <c r="O1137" s="279">
        <v>1</v>
      </c>
      <c r="P1137" s="279">
        <v>1</v>
      </c>
      <c r="Q1137" s="279">
        <v>1</v>
      </c>
      <c r="R1137" s="279">
        <v>1</v>
      </c>
      <c r="S1137" s="280">
        <v>1</v>
      </c>
      <c r="T1137" s="63"/>
      <c r="U1137" s="10"/>
      <c r="V1137" s="90">
        <f>249+2238.1</f>
        <v>2487.1</v>
      </c>
      <c r="W1137" s="91"/>
      <c r="X1137" s="92"/>
    </row>
    <row r="1138" spans="1:24">
      <c r="B1138" s="87">
        <f>B1137+1</f>
        <v>3</v>
      </c>
      <c r="C1138" s="295">
        <v>45923</v>
      </c>
      <c r="D1138" s="323">
        <v>73554</v>
      </c>
      <c r="E1138" s="101" t="s">
        <v>610</v>
      </c>
      <c r="F1138" s="62">
        <v>1261</v>
      </c>
      <c r="G1138" s="62">
        <f>39.7</f>
        <v>39.700000000000003</v>
      </c>
      <c r="H1138" s="62"/>
      <c r="I1138" s="89">
        <f>F1138-G1138-H1138</f>
        <v>1221.3</v>
      </c>
      <c r="J1138" s="63" t="s">
        <v>374</v>
      </c>
      <c r="K1138" s="63">
        <v>1</v>
      </c>
      <c r="L1138" s="63">
        <v>1</v>
      </c>
      <c r="M1138" s="63">
        <v>1</v>
      </c>
      <c r="N1138" s="63">
        <v>1</v>
      </c>
      <c r="O1138" s="63">
        <v>1</v>
      </c>
      <c r="P1138" s="63">
        <v>1</v>
      </c>
      <c r="Q1138" s="63">
        <v>1</v>
      </c>
      <c r="R1138" s="63">
        <v>1</v>
      </c>
      <c r="S1138" s="296">
        <v>1</v>
      </c>
      <c r="T1138" s="63"/>
      <c r="U1138" s="10"/>
      <c r="V1138" s="90">
        <f>139+1242.1+6</f>
        <v>1387.1</v>
      </c>
      <c r="W1138" s="91"/>
      <c r="X1138" s="92"/>
    </row>
    <row r="1139" spans="1:24">
      <c r="B1139" s="87">
        <f>B1138+1</f>
        <v>4</v>
      </c>
      <c r="C1139" s="295">
        <v>45923</v>
      </c>
      <c r="D1139" s="323" t="s">
        <v>611</v>
      </c>
      <c r="E1139" s="101" t="s">
        <v>610</v>
      </c>
      <c r="F1139" s="62">
        <v>6814</v>
      </c>
      <c r="G1139" s="62">
        <f>39.7+125.79+(2305.21+69.55)+300</f>
        <v>2840.25</v>
      </c>
      <c r="H1139" s="62"/>
      <c r="I1139" s="89">
        <f t="shared" ref="I1139" si="248">F1139-G1139-H1139</f>
        <v>3973.75</v>
      </c>
      <c r="J1139" s="63" t="s">
        <v>374</v>
      </c>
      <c r="K1139" s="63">
        <v>1</v>
      </c>
      <c r="L1139" s="63">
        <v>1</v>
      </c>
      <c r="M1139" s="63">
        <v>1</v>
      </c>
      <c r="N1139" s="63">
        <v>1</v>
      </c>
      <c r="O1139" s="63">
        <v>1</v>
      </c>
      <c r="P1139" s="63">
        <v>1</v>
      </c>
      <c r="Q1139" s="63">
        <v>1</v>
      </c>
      <c r="R1139" s="63">
        <v>1</v>
      </c>
      <c r="S1139" s="296">
        <v>1</v>
      </c>
      <c r="T1139" s="21">
        <v>1</v>
      </c>
      <c r="U1139" s="94" t="s">
        <v>612</v>
      </c>
      <c r="V1139" s="90">
        <f>744+6000+745.4</f>
        <v>7489.4</v>
      </c>
      <c r="W1139" s="91"/>
      <c r="X1139" s="92"/>
    </row>
    <row r="1140" spans="1:24">
      <c r="B1140" s="87">
        <f>B1139+1</f>
        <v>5</v>
      </c>
      <c r="C1140" s="282">
        <v>45923</v>
      </c>
      <c r="D1140" s="368">
        <v>73591</v>
      </c>
      <c r="E1140" s="283" t="s">
        <v>512</v>
      </c>
      <c r="F1140" s="284">
        <v>1264</v>
      </c>
      <c r="G1140" s="284">
        <f>39.7+(23.85)</f>
        <v>63.550000000000004</v>
      </c>
      <c r="H1140" s="284"/>
      <c r="I1140" s="331">
        <f t="shared" si="247"/>
        <v>1200.45</v>
      </c>
      <c r="J1140" s="286" t="s">
        <v>156</v>
      </c>
      <c r="K1140" s="286">
        <v>1</v>
      </c>
      <c r="L1140" s="286">
        <v>1</v>
      </c>
      <c r="M1140" s="286">
        <v>1</v>
      </c>
      <c r="N1140" s="286">
        <v>1</v>
      </c>
      <c r="O1140" s="286">
        <v>1</v>
      </c>
      <c r="P1140" s="286">
        <v>1</v>
      </c>
      <c r="Q1140" s="286">
        <v>1</v>
      </c>
      <c r="R1140" s="286">
        <v>1</v>
      </c>
      <c r="S1140" s="370">
        <v>0</v>
      </c>
      <c r="T1140" s="21">
        <v>1</v>
      </c>
      <c r="U1140" s="10" t="s">
        <v>613</v>
      </c>
      <c r="V1140" s="90">
        <f>139+1251.4</f>
        <v>1390.4</v>
      </c>
      <c r="W1140" s="91"/>
      <c r="X1140" s="92"/>
    </row>
    <row r="1141" spans="1:24">
      <c r="A1141" s="464">
        <v>45925</v>
      </c>
      <c r="B1141" s="87">
        <f t="shared" ref="B1141:B1143" si="249">B1140+1</f>
        <v>6</v>
      </c>
      <c r="C1141" s="295">
        <v>45924</v>
      </c>
      <c r="D1141" s="323">
        <v>73397</v>
      </c>
      <c r="E1141" s="10" t="s">
        <v>369</v>
      </c>
      <c r="F1141" s="62">
        <v>2942</v>
      </c>
      <c r="G1141" s="62">
        <f>39.7+(94.5+94.5+127.21)</f>
        <v>355.90999999999997</v>
      </c>
      <c r="H1141" s="62"/>
      <c r="I1141" s="89">
        <f>F1141-G1141-H1141</f>
        <v>2586.09</v>
      </c>
      <c r="J1141" s="63" t="s">
        <v>156</v>
      </c>
      <c r="K1141" s="63">
        <v>1</v>
      </c>
      <c r="L1141" s="63">
        <v>1</v>
      </c>
      <c r="M1141" s="63">
        <v>1</v>
      </c>
      <c r="N1141" s="63">
        <v>1</v>
      </c>
      <c r="O1141" s="63">
        <v>1</v>
      </c>
      <c r="P1141" s="63">
        <v>1</v>
      </c>
      <c r="Q1141" s="63">
        <v>1</v>
      </c>
      <c r="R1141" s="63">
        <v>1</v>
      </c>
      <c r="S1141" s="296">
        <v>1</v>
      </c>
      <c r="T1141" s="63"/>
      <c r="U1141" s="94" t="s">
        <v>614</v>
      </c>
      <c r="V1141" s="90">
        <f>224+100+2912.2</f>
        <v>3236.2</v>
      </c>
      <c r="W1141" s="91"/>
      <c r="X1141" s="92"/>
    </row>
    <row r="1142" spans="1:24">
      <c r="B1142" s="87">
        <f t="shared" si="249"/>
        <v>7</v>
      </c>
      <c r="C1142" s="274">
        <v>45925</v>
      </c>
      <c r="D1142" s="327">
        <v>73669</v>
      </c>
      <c r="E1142" s="276" t="s">
        <v>458</v>
      </c>
      <c r="F1142" s="277">
        <v>1264</v>
      </c>
      <c r="G1142" s="277">
        <f>39.7</f>
        <v>39.700000000000003</v>
      </c>
      <c r="H1142" s="277"/>
      <c r="I1142" s="278">
        <f t="shared" si="247"/>
        <v>1224.3</v>
      </c>
      <c r="J1142" s="279" t="s">
        <v>156</v>
      </c>
      <c r="K1142" s="279">
        <v>1</v>
      </c>
      <c r="L1142" s="279">
        <v>1</v>
      </c>
      <c r="M1142" s="279">
        <v>1</v>
      </c>
      <c r="N1142" s="279">
        <v>1</v>
      </c>
      <c r="O1142" s="279">
        <v>1</v>
      </c>
      <c r="P1142" s="279">
        <v>1</v>
      </c>
      <c r="Q1142" s="279">
        <v>1</v>
      </c>
      <c r="R1142" s="279">
        <v>1</v>
      </c>
      <c r="S1142" s="280">
        <v>1</v>
      </c>
      <c r="T1142" s="63"/>
      <c r="U1142" s="10"/>
      <c r="V1142" s="90">
        <f>140+1250.4</f>
        <v>1390.4</v>
      </c>
      <c r="W1142" s="91"/>
      <c r="X1142" s="92"/>
    </row>
    <row r="1143" spans="1:24">
      <c r="B1143" s="87">
        <f t="shared" si="249"/>
        <v>8</v>
      </c>
      <c r="C1143" s="295">
        <v>45925</v>
      </c>
      <c r="D1143" s="323">
        <v>73682</v>
      </c>
      <c r="E1143" s="10" t="s">
        <v>253</v>
      </c>
      <c r="F1143" s="62">
        <v>681</v>
      </c>
      <c r="G1143" s="62"/>
      <c r="H1143" s="88"/>
      <c r="I1143" s="89">
        <f t="shared" si="247"/>
        <v>681</v>
      </c>
      <c r="J1143" s="63" t="s">
        <v>156</v>
      </c>
      <c r="K1143" s="63">
        <v>1</v>
      </c>
      <c r="L1143" s="63">
        <v>1</v>
      </c>
      <c r="M1143" s="63">
        <v>1</v>
      </c>
      <c r="N1143" s="63">
        <v>1</v>
      </c>
      <c r="O1143" s="63">
        <v>1</v>
      </c>
      <c r="P1143" s="63">
        <v>1</v>
      </c>
      <c r="Q1143" s="63">
        <v>1</v>
      </c>
      <c r="R1143" s="63">
        <v>1</v>
      </c>
      <c r="S1143" s="296">
        <v>1</v>
      </c>
      <c r="T1143" s="63"/>
      <c r="U1143" s="10"/>
      <c r="V1143" s="90">
        <f>75+674.1</f>
        <v>749.1</v>
      </c>
      <c r="W1143" s="91"/>
      <c r="X1143" s="92"/>
    </row>
    <row r="1144" spans="1:24">
      <c r="A1144" s="464">
        <v>45926</v>
      </c>
      <c r="B1144" s="87">
        <f>B1143+1</f>
        <v>9</v>
      </c>
      <c r="C1144" s="295">
        <v>45925</v>
      </c>
      <c r="D1144" s="323" t="s">
        <v>615</v>
      </c>
      <c r="E1144" s="10" t="s">
        <v>253</v>
      </c>
      <c r="F1144" s="62">
        <v>7075</v>
      </c>
      <c r="G1144" s="62">
        <f>39.7+(1982.32)+500</f>
        <v>2522.02</v>
      </c>
      <c r="H1144" s="62"/>
      <c r="I1144" s="324">
        <f>F1144-G1144-H1144</f>
        <v>4552.9799999999996</v>
      </c>
      <c r="J1144" s="63" t="s">
        <v>228</v>
      </c>
      <c r="K1144" s="63">
        <v>1</v>
      </c>
      <c r="L1144" s="63">
        <v>1</v>
      </c>
      <c r="M1144" s="63">
        <v>1</v>
      </c>
      <c r="N1144" s="63">
        <v>1</v>
      </c>
      <c r="O1144" s="63">
        <v>1</v>
      </c>
      <c r="P1144" s="325">
        <v>0</v>
      </c>
      <c r="Q1144" s="63">
        <v>1</v>
      </c>
      <c r="R1144" s="63">
        <v>1</v>
      </c>
      <c r="S1144" s="296">
        <v>1</v>
      </c>
      <c r="T1144" s="21">
        <v>2</v>
      </c>
      <c r="U1144" s="94" t="s">
        <v>616</v>
      </c>
      <c r="V1144" s="90">
        <f>6500+1282.5+779</f>
        <v>8561.5</v>
      </c>
      <c r="W1144" s="91"/>
      <c r="X1144" s="92"/>
    </row>
    <row r="1145" spans="1:24">
      <c r="B1145" s="87">
        <f>B1144+1</f>
        <v>10</v>
      </c>
      <c r="C1145" s="282">
        <v>45925</v>
      </c>
      <c r="D1145" s="368">
        <v>73667</v>
      </c>
      <c r="E1145" s="283" t="s">
        <v>203</v>
      </c>
      <c r="F1145" s="284">
        <f>481-264.5</f>
        <v>216.5</v>
      </c>
      <c r="G1145" s="284"/>
      <c r="H1145" s="315"/>
      <c r="I1145" s="331">
        <f t="shared" si="247"/>
        <v>216.5</v>
      </c>
      <c r="J1145" s="286" t="s">
        <v>156</v>
      </c>
      <c r="K1145" s="286">
        <v>1</v>
      </c>
      <c r="L1145" s="286">
        <v>1</v>
      </c>
      <c r="M1145" s="286">
        <v>1</v>
      </c>
      <c r="N1145" s="286">
        <v>1</v>
      </c>
      <c r="O1145" s="286">
        <v>1</v>
      </c>
      <c r="P1145" s="286">
        <v>1</v>
      </c>
      <c r="Q1145" s="286">
        <v>1</v>
      </c>
      <c r="R1145" s="286">
        <v>1</v>
      </c>
      <c r="S1145" s="287">
        <v>1</v>
      </c>
      <c r="T1145" s="63"/>
      <c r="U1145" s="10" t="s">
        <v>617</v>
      </c>
      <c r="V1145" s="90">
        <f>53+476.1</f>
        <v>529.1</v>
      </c>
      <c r="W1145" s="91"/>
      <c r="X1145" s="92"/>
    </row>
    <row r="1146" spans="1:24">
      <c r="B1146" s="87"/>
      <c r="C1146" s="36"/>
      <c r="D1146" s="10"/>
      <c r="E1146" s="10"/>
      <c r="F1146" s="97">
        <f>SUM(F1136:F1145)</f>
        <v>24916.5</v>
      </c>
      <c r="G1146" s="97">
        <f>SUM(G1136:G1145)</f>
        <v>5940.53</v>
      </c>
      <c r="H1146" s="97">
        <f>SUM(H1136:H1145)</f>
        <v>0</v>
      </c>
      <c r="I1146" s="98">
        <f>SUM(I1136:I1145)</f>
        <v>18975.97</v>
      </c>
      <c r="J1146" s="63"/>
      <c r="K1146" s="63">
        <f>COUNT(K1136:K1145)</f>
        <v>10</v>
      </c>
      <c r="L1146" s="63">
        <f>COUNT(L1136:L1145)</f>
        <v>10</v>
      </c>
      <c r="M1146" s="63">
        <f>COUNT(M1136:M1145)</f>
        <v>10</v>
      </c>
      <c r="N1146" s="63">
        <f>COUNT(N1136:N1145)</f>
        <v>10</v>
      </c>
      <c r="O1146" s="63">
        <f>COUNT(O1136:O1145)</f>
        <v>10</v>
      </c>
      <c r="P1146" s="63">
        <f>COUNT(P1136:P1145)</f>
        <v>10</v>
      </c>
      <c r="Q1146" s="63">
        <f>COUNT(Q1136:Q1145)</f>
        <v>10</v>
      </c>
      <c r="R1146" s="63">
        <f>COUNT(R1136:R1145)</f>
        <v>10</v>
      </c>
      <c r="S1146" s="63">
        <f>COUNT(S1136:S1145)</f>
        <v>10</v>
      </c>
      <c r="T1146" s="63"/>
      <c r="U1146" s="10"/>
      <c r="V1146" s="90"/>
      <c r="W1146" s="91"/>
      <c r="X1146" s="92"/>
    </row>
    <row r="1147" spans="1:24">
      <c r="B1147" s="87"/>
      <c r="C1147" s="36"/>
      <c r="D1147" s="10"/>
      <c r="E1147" s="10"/>
      <c r="F1147" s="88"/>
      <c r="G1147" s="88"/>
      <c r="H1147" s="88"/>
      <c r="I1147" s="99"/>
      <c r="J1147" s="63"/>
      <c r="K1147" s="21">
        <f>SUM(K1136:K1145)</f>
        <v>10</v>
      </c>
      <c r="L1147" s="21">
        <f>SUM(L1136:L1145)</f>
        <v>10</v>
      </c>
      <c r="M1147" s="21">
        <f>SUM(M1136:M1145)</f>
        <v>10</v>
      </c>
      <c r="N1147" s="21">
        <f>SUM(N1136:N1145)</f>
        <v>10</v>
      </c>
      <c r="O1147" s="21">
        <f>SUM(O1136:O1145)</f>
        <v>10</v>
      </c>
      <c r="P1147" s="21">
        <f>SUM(P1136:P1145)</f>
        <v>9</v>
      </c>
      <c r="Q1147" s="21">
        <f>SUM(Q1136:Q1145)</f>
        <v>10</v>
      </c>
      <c r="R1147" s="21">
        <f>SUM(R1136:R1145)</f>
        <v>10</v>
      </c>
      <c r="S1147" s="21">
        <f>SUM(S1136:S1145)</f>
        <v>9</v>
      </c>
      <c r="T1147" s="63"/>
      <c r="U1147" s="10"/>
      <c r="V1147" s="90"/>
      <c r="W1147" s="91"/>
      <c r="X1147" s="92"/>
    </row>
    <row r="1148" spans="1:24">
      <c r="B1148" s="11"/>
      <c r="C1148" s="36"/>
      <c r="D1148" s="10"/>
      <c r="E1148" s="10"/>
      <c r="F1148" s="88"/>
      <c r="G1148" s="88"/>
      <c r="H1148" s="88"/>
      <c r="I1148" s="99"/>
      <c r="J1148" s="63"/>
      <c r="K1148" s="21"/>
      <c r="L1148" s="21"/>
      <c r="M1148" s="21"/>
      <c r="N1148" s="21"/>
      <c r="O1148" s="21"/>
      <c r="P1148" s="21"/>
      <c r="Q1148" s="21"/>
      <c r="R1148" s="21"/>
      <c r="S1148" s="21"/>
      <c r="T1148" s="63"/>
      <c r="U1148" s="94"/>
      <c r="V1148" s="90"/>
      <c r="W1148" s="91"/>
      <c r="X1148" s="92"/>
    </row>
    <row r="1149" spans="1:24">
      <c r="B1149" s="121" t="s">
        <v>68</v>
      </c>
      <c r="C1149" s="36"/>
      <c r="D1149" s="123"/>
      <c r="E1149" s="123"/>
      <c r="F1149" s="124"/>
      <c r="G1149" s="125"/>
      <c r="H1149" s="124"/>
      <c r="I1149" s="126"/>
      <c r="J1149" s="127"/>
      <c r="K1149" s="128"/>
      <c r="L1149" s="128"/>
      <c r="M1149" s="128"/>
      <c r="N1149" s="128"/>
      <c r="O1149" s="128"/>
      <c r="P1149" s="128"/>
      <c r="Q1149" s="128"/>
      <c r="R1149" s="128"/>
      <c r="S1149" s="128"/>
      <c r="T1149" s="127"/>
      <c r="U1149" s="123"/>
      <c r="V1149" s="716"/>
      <c r="W1149" s="130"/>
      <c r="X1149" s="131"/>
    </row>
    <row r="1150" spans="1:24" s="342" customFormat="1">
      <c r="A1150" s="492">
        <v>0.05</v>
      </c>
      <c r="B1150" s="333">
        <v>1</v>
      </c>
      <c r="C1150" s="334">
        <v>45922</v>
      </c>
      <c r="D1150" s="327">
        <v>73518</v>
      </c>
      <c r="E1150" s="335" t="s">
        <v>158</v>
      </c>
      <c r="F1150" s="336">
        <v>1261</v>
      </c>
      <c r="G1150" s="336">
        <f>39.7+(100.49)</f>
        <v>140.19</v>
      </c>
      <c r="H1150" s="336"/>
      <c r="I1150" s="337">
        <f t="shared" ref="I1150" si="250">F1150-G1150-H1150</f>
        <v>1120.81</v>
      </c>
      <c r="J1150" s="338" t="s">
        <v>156</v>
      </c>
      <c r="K1150" s="338">
        <v>1</v>
      </c>
      <c r="L1150" s="338">
        <v>1</v>
      </c>
      <c r="M1150" s="338">
        <v>1</v>
      </c>
      <c r="N1150" s="338">
        <v>1</v>
      </c>
      <c r="O1150" s="338">
        <v>1</v>
      </c>
      <c r="P1150" s="338">
        <v>1</v>
      </c>
      <c r="Q1150" s="338">
        <v>1</v>
      </c>
      <c r="R1150" s="338">
        <v>1</v>
      </c>
      <c r="S1150" s="339">
        <v>1</v>
      </c>
      <c r="T1150" s="64">
        <v>1</v>
      </c>
      <c r="U1150" s="123" t="s">
        <v>618</v>
      </c>
      <c r="V1150" s="129">
        <f>139+1150</f>
        <v>1289</v>
      </c>
      <c r="W1150" s="715"/>
      <c r="X1150" s="131"/>
    </row>
    <row r="1151" spans="1:24" s="342" customFormat="1">
      <c r="A1151" s="342" t="s">
        <v>619</v>
      </c>
      <c r="B1151" s="333">
        <f>B1150+1</f>
        <v>2</v>
      </c>
      <c r="C1151" s="350">
        <v>45923</v>
      </c>
      <c r="D1151" s="263" t="s">
        <v>620</v>
      </c>
      <c r="E1151" s="358" t="s">
        <v>609</v>
      </c>
      <c r="F1151" s="352">
        <v>14000</v>
      </c>
      <c r="G1151" s="352">
        <f>39.7+(54.62+926.82)+1000</f>
        <v>2021.14</v>
      </c>
      <c r="H1151" s="352"/>
      <c r="I1151" s="353">
        <f t="shared" ref="I1151" si="251">F1151-G1151-H1151</f>
        <v>11978.86</v>
      </c>
      <c r="J1151" s="354" t="s">
        <v>185</v>
      </c>
      <c r="K1151" s="354">
        <v>1</v>
      </c>
      <c r="L1151" s="354">
        <v>1</v>
      </c>
      <c r="M1151" s="354">
        <v>1</v>
      </c>
      <c r="N1151" s="354">
        <v>1</v>
      </c>
      <c r="O1151" s="354">
        <v>1</v>
      </c>
      <c r="P1151" s="354">
        <v>1</v>
      </c>
      <c r="Q1151" s="354">
        <v>1</v>
      </c>
      <c r="R1151" s="354">
        <v>1</v>
      </c>
      <c r="S1151" s="366">
        <v>0</v>
      </c>
      <c r="T1151" s="64">
        <v>1</v>
      </c>
      <c r="U1151" s="123" t="s">
        <v>621</v>
      </c>
      <c r="V1151" s="717">
        <f>1540</f>
        <v>1540</v>
      </c>
      <c r="W1151" s="130"/>
      <c r="X1151" s="131"/>
    </row>
    <row r="1152" spans="1:24">
      <c r="B1152" s="132"/>
      <c r="C1152" s="36"/>
      <c r="D1152" s="123"/>
      <c r="E1152" s="123"/>
      <c r="F1152" s="134">
        <f>SUM(F1150:F1151)</f>
        <v>15261</v>
      </c>
      <c r="G1152" s="134">
        <f>SUM(G1150:G1151)</f>
        <v>2161.33</v>
      </c>
      <c r="H1152" s="134">
        <f>SUM(H1150:H1151)</f>
        <v>0</v>
      </c>
      <c r="I1152" s="134">
        <f>SUM(I1150:I1151)</f>
        <v>13099.67</v>
      </c>
      <c r="J1152" s="127"/>
      <c r="K1152" s="64"/>
      <c r="L1152" s="64"/>
      <c r="M1152" s="64"/>
      <c r="N1152" s="64"/>
      <c r="O1152" s="64"/>
      <c r="P1152" s="64"/>
      <c r="Q1152" s="64"/>
      <c r="R1152" s="64"/>
      <c r="S1152" s="64"/>
      <c r="T1152" s="127"/>
      <c r="U1152" s="123"/>
      <c r="V1152" s="129"/>
      <c r="W1152" s="130"/>
      <c r="X1152" s="131"/>
    </row>
    <row r="1153" spans="1:24">
      <c r="B1153" s="11"/>
      <c r="C1153" s="36"/>
      <c r="D1153" s="10"/>
      <c r="E1153" s="10"/>
      <c r="F1153" s="88"/>
      <c r="G1153" s="88"/>
      <c r="H1153" s="88"/>
      <c r="I1153" s="99"/>
      <c r="J1153" s="63"/>
      <c r="K1153" s="21"/>
      <c r="L1153" s="21"/>
      <c r="M1153" s="21"/>
      <c r="N1153" s="21"/>
      <c r="O1153" s="21"/>
      <c r="P1153" s="21"/>
      <c r="Q1153" s="21"/>
      <c r="R1153" s="21"/>
      <c r="S1153" s="21"/>
      <c r="T1153" s="63"/>
      <c r="U1153" s="94"/>
      <c r="V1153" s="90"/>
      <c r="W1153" s="91"/>
      <c r="X1153" s="92"/>
    </row>
    <row r="1154" spans="1:24">
      <c r="B1154" s="121" t="s">
        <v>70</v>
      </c>
      <c r="C1154" s="36"/>
      <c r="D1154" s="123"/>
      <c r="E1154" s="128"/>
      <c r="F1154" s="124"/>
      <c r="G1154" s="124"/>
      <c r="H1154" s="124"/>
      <c r="I1154" s="126"/>
      <c r="J1154" s="127"/>
      <c r="K1154" s="64"/>
      <c r="L1154" s="64"/>
      <c r="M1154" s="64"/>
      <c r="N1154" s="64"/>
      <c r="O1154" s="64"/>
      <c r="P1154" s="64"/>
      <c r="Q1154" s="64"/>
      <c r="R1154" s="64"/>
      <c r="S1154" s="64"/>
      <c r="T1154" s="127"/>
      <c r="U1154" s="135"/>
      <c r="V1154" s="129"/>
      <c r="W1154" s="130"/>
      <c r="X1154" s="131"/>
    </row>
    <row r="1155" spans="1:24" s="342" customFormat="1">
      <c r="A1155" s="492">
        <v>0.05</v>
      </c>
      <c r="B1155" s="333">
        <v>1</v>
      </c>
      <c r="C1155" s="350">
        <v>45922</v>
      </c>
      <c r="D1155" s="263" t="s">
        <v>622</v>
      </c>
      <c r="E1155" s="358" t="s">
        <v>299</v>
      </c>
      <c r="F1155" s="352">
        <v>12814</v>
      </c>
      <c r="G1155" s="352">
        <f>39.7+65+19.4+(151.66+108.93)+(98.15)+1000</f>
        <v>1482.8400000000001</v>
      </c>
      <c r="H1155" s="352"/>
      <c r="I1155" s="353">
        <f>F1155-G1155-H1155</f>
        <v>11331.16</v>
      </c>
      <c r="J1155" s="354" t="s">
        <v>228</v>
      </c>
      <c r="K1155" s="354">
        <v>1</v>
      </c>
      <c r="L1155" s="354">
        <v>1</v>
      </c>
      <c r="M1155" s="354">
        <v>1</v>
      </c>
      <c r="N1155" s="354">
        <v>1</v>
      </c>
      <c r="O1155" s="354">
        <v>1</v>
      </c>
      <c r="P1155" s="354">
        <v>1</v>
      </c>
      <c r="Q1155" s="314">
        <v>0</v>
      </c>
      <c r="R1155" s="314">
        <v>0</v>
      </c>
      <c r="S1155" s="366">
        <v>0</v>
      </c>
      <c r="T1155" s="127"/>
      <c r="U1155" s="135" t="s">
        <v>623</v>
      </c>
      <c r="V1155" s="129">
        <f>1409.6+2000+5342</f>
        <v>8751.6</v>
      </c>
      <c r="W1155" s="340"/>
      <c r="X1155" s="341"/>
    </row>
    <row r="1156" spans="1:24">
      <c r="B1156" s="132"/>
      <c r="C1156" s="36"/>
      <c r="D1156" s="123"/>
      <c r="E1156" s="123"/>
      <c r="F1156" s="133">
        <f>SUM(F1155:F1155)</f>
        <v>12814</v>
      </c>
      <c r="G1156" s="133">
        <f>SUM(G1155:G1155)</f>
        <v>1482.8400000000001</v>
      </c>
      <c r="H1156" s="133">
        <f>SUM(H1155:H1155)</f>
        <v>0</v>
      </c>
      <c r="I1156" s="134">
        <f>SUM(I1155:I1155)</f>
        <v>11331.16</v>
      </c>
      <c r="J1156" s="127"/>
      <c r="K1156" s="64"/>
      <c r="L1156" s="64"/>
      <c r="M1156" s="64"/>
      <c r="N1156" s="64"/>
      <c r="O1156" s="64"/>
      <c r="P1156" s="64"/>
      <c r="Q1156" s="64"/>
      <c r="R1156" s="64"/>
      <c r="S1156" s="64"/>
      <c r="T1156" s="127"/>
      <c r="U1156" s="135"/>
      <c r="V1156" s="129"/>
      <c r="W1156" s="130"/>
      <c r="X1156" s="131"/>
    </row>
    <row r="1157" spans="1:24">
      <c r="B1157" s="11"/>
      <c r="C1157" s="609"/>
      <c r="D1157" s="10"/>
      <c r="E1157" s="10"/>
      <c r="F1157" s="88"/>
      <c r="G1157" s="88"/>
      <c r="H1157" s="88"/>
      <c r="I1157" s="99"/>
      <c r="J1157" s="63"/>
      <c r="K1157" s="21"/>
      <c r="L1157" s="21"/>
      <c r="M1157" s="21"/>
      <c r="N1157" s="21"/>
      <c r="O1157" s="21"/>
      <c r="P1157" s="21"/>
      <c r="Q1157" s="21"/>
      <c r="R1157" s="21"/>
      <c r="S1157" s="21"/>
      <c r="T1157" s="63"/>
      <c r="U1157" s="94"/>
      <c r="V1157" s="90"/>
      <c r="W1157" s="91"/>
      <c r="X1157" s="92"/>
    </row>
    <row r="1158" spans="1:24" s="260" customFormat="1">
      <c r="A1158" s="181"/>
      <c r="B1158" s="100" t="s">
        <v>152</v>
      </c>
      <c r="C1158" s="36"/>
      <c r="D1158" s="10"/>
      <c r="E1158" s="10"/>
      <c r="F1158" s="88"/>
      <c r="G1158" s="62"/>
      <c r="H1158" s="88"/>
      <c r="I1158" s="99"/>
      <c r="J1158" s="10"/>
      <c r="K1158" s="181"/>
      <c r="L1158" s="181"/>
      <c r="M1158" s="181"/>
      <c r="N1158" s="181"/>
      <c r="O1158" s="181"/>
      <c r="P1158" s="181"/>
      <c r="Q1158" s="181"/>
      <c r="R1158" s="181"/>
      <c r="S1158" s="181"/>
      <c r="T1158" s="63"/>
      <c r="U1158" s="10"/>
      <c r="V1158" s="90"/>
      <c r="W1158" s="91"/>
      <c r="X1158" s="92"/>
    </row>
    <row r="1159" spans="1:24" s="260" customFormat="1">
      <c r="A1159" s="312" t="s">
        <v>194</v>
      </c>
      <c r="B1159" s="87">
        <v>1</v>
      </c>
      <c r="C1159" s="262">
        <v>45805</v>
      </c>
      <c r="D1159" s="357" t="s">
        <v>199</v>
      </c>
      <c r="E1159" s="271" t="s">
        <v>196</v>
      </c>
      <c r="F1159" s="265">
        <v>16214</v>
      </c>
      <c r="G1159" s="265">
        <f>39.7+44+36.26+(33.82+55.44)+(102.43+254.2+84.43+10.82+125.93)+1500</f>
        <v>2287.0299999999997</v>
      </c>
      <c r="H1159" s="265">
        <f>F1159*0.2</f>
        <v>3242.8</v>
      </c>
      <c r="I1159" s="266">
        <f>F1159-G1159-H1159</f>
        <v>10684.170000000002</v>
      </c>
      <c r="J1159" s="267" t="s">
        <v>197</v>
      </c>
      <c r="K1159" s="267">
        <v>1</v>
      </c>
      <c r="L1159" s="267">
        <v>1</v>
      </c>
      <c r="M1159" s="267">
        <v>1</v>
      </c>
      <c r="N1159" s="267">
        <v>1</v>
      </c>
      <c r="O1159" s="267">
        <v>1</v>
      </c>
      <c r="P1159" s="314">
        <v>0</v>
      </c>
      <c r="Q1159" s="267">
        <v>1</v>
      </c>
      <c r="R1159" s="267">
        <v>1</v>
      </c>
      <c r="S1159" s="366">
        <v>0</v>
      </c>
      <c r="T1159" s="63"/>
      <c r="U1159" s="10" t="s">
        <v>200</v>
      </c>
      <c r="V1159" s="90"/>
      <c r="W1159" s="136"/>
      <c r="X1159" s="137"/>
    </row>
    <row r="1160" spans="1:24" s="260" customFormat="1">
      <c r="A1160" s="261">
        <v>0.05</v>
      </c>
      <c r="B1160" s="87">
        <f>B1159+1</f>
        <v>2</v>
      </c>
      <c r="C1160" s="262">
        <v>45873</v>
      </c>
      <c r="D1160" s="263" t="s">
        <v>448</v>
      </c>
      <c r="E1160" s="271" t="s">
        <v>245</v>
      </c>
      <c r="F1160" s="265">
        <v>16214</v>
      </c>
      <c r="G1160" s="265">
        <f>39.7+334+(37.9+110.12+72.67+137.98)+(161.68+232.63)+1500</f>
        <v>2626.68</v>
      </c>
      <c r="H1160" s="265"/>
      <c r="I1160" s="266">
        <f>F1160-G1160-H1160</f>
        <v>13587.32</v>
      </c>
      <c r="J1160" s="267" t="s">
        <v>228</v>
      </c>
      <c r="K1160" s="267">
        <v>1</v>
      </c>
      <c r="L1160" s="267">
        <v>1</v>
      </c>
      <c r="M1160" s="267">
        <v>1</v>
      </c>
      <c r="N1160" s="267">
        <v>1</v>
      </c>
      <c r="O1160" s="267">
        <v>1</v>
      </c>
      <c r="P1160" s="267">
        <v>1</v>
      </c>
      <c r="Q1160" s="314">
        <v>0</v>
      </c>
      <c r="R1160" s="314">
        <v>0</v>
      </c>
      <c r="S1160" s="366">
        <v>0</v>
      </c>
      <c r="T1160" s="63"/>
      <c r="U1160" s="94" t="s">
        <v>485</v>
      </c>
      <c r="V1160" s="90"/>
      <c r="W1160" s="136"/>
      <c r="X1160" s="137"/>
    </row>
    <row r="1161" spans="1:24">
      <c r="A1161" s="507">
        <v>0.05</v>
      </c>
      <c r="B1161" s="87">
        <f>B1160+1</f>
        <v>3</v>
      </c>
      <c r="C1161" s="645">
        <v>45896</v>
      </c>
      <c r="D1161" s="357" t="s">
        <v>527</v>
      </c>
      <c r="E1161" s="642" t="s">
        <v>401</v>
      </c>
      <c r="F1161" s="646">
        <v>14503.6</v>
      </c>
      <c r="G1161" s="646">
        <f>39.7+60.48+(103.51+131.24+75.84)+(287.37+90.69)+1000</f>
        <v>1788.83</v>
      </c>
      <c r="H1161" s="646">
        <f>5000*0.2</f>
        <v>1000</v>
      </c>
      <c r="I1161" s="698">
        <f>F1161-G1161-H1161</f>
        <v>11714.77</v>
      </c>
      <c r="J1161" s="647" t="s">
        <v>185</v>
      </c>
      <c r="K1161" s="647">
        <v>1</v>
      </c>
      <c r="L1161" s="647">
        <v>1</v>
      </c>
      <c r="M1161" s="647">
        <v>1</v>
      </c>
      <c r="N1161" s="647">
        <v>1</v>
      </c>
      <c r="O1161" s="647">
        <v>1</v>
      </c>
      <c r="P1161" s="647">
        <v>1</v>
      </c>
      <c r="Q1161" s="647">
        <v>1</v>
      </c>
      <c r="R1161" s="647">
        <v>1</v>
      </c>
      <c r="S1161" s="648">
        <v>1</v>
      </c>
      <c r="T1161" s="537"/>
      <c r="U1161" s="164" t="s">
        <v>553</v>
      </c>
      <c r="V1161" s="551"/>
      <c r="W1161" s="552"/>
      <c r="X1161" s="553"/>
    </row>
    <row r="1162" spans="1:24" s="260" customFormat="1">
      <c r="A1162" s="494">
        <v>0.05</v>
      </c>
      <c r="B1162" s="87">
        <f t="shared" ref="B1162:B1164" si="252">B1161+1</f>
        <v>4</v>
      </c>
      <c r="C1162" s="262">
        <v>45912</v>
      </c>
      <c r="D1162" s="263">
        <v>73273</v>
      </c>
      <c r="E1162" s="264" t="s">
        <v>577</v>
      </c>
      <c r="F1162" s="265">
        <v>4461</v>
      </c>
      <c r="G1162" s="265">
        <f>39.7</f>
        <v>39.700000000000003</v>
      </c>
      <c r="H1162" s="265"/>
      <c r="I1162" s="272">
        <f>F1162-G1162-H1162</f>
        <v>4421.3</v>
      </c>
      <c r="J1162" s="267" t="s">
        <v>156</v>
      </c>
      <c r="K1162" s="267">
        <v>1</v>
      </c>
      <c r="L1162" s="267">
        <v>1</v>
      </c>
      <c r="M1162" s="267">
        <v>1</v>
      </c>
      <c r="N1162" s="267">
        <v>1</v>
      </c>
      <c r="O1162" s="267">
        <v>1</v>
      </c>
      <c r="P1162" s="267">
        <v>1</v>
      </c>
      <c r="Q1162" s="267">
        <v>1</v>
      </c>
      <c r="R1162" s="267">
        <v>1</v>
      </c>
      <c r="S1162" s="269">
        <v>1</v>
      </c>
      <c r="T1162" s="21"/>
      <c r="U1162" s="10"/>
      <c r="V1162" s="90"/>
      <c r="W1162" s="91"/>
      <c r="X1162" s="92"/>
    </row>
    <row r="1163" spans="1:24" s="260" customFormat="1">
      <c r="A1163" s="261">
        <v>0.05</v>
      </c>
      <c r="B1163" s="87">
        <f t="shared" si="252"/>
        <v>5</v>
      </c>
      <c r="C1163" s="262">
        <v>45847</v>
      </c>
      <c r="D1163" s="263">
        <v>71343</v>
      </c>
      <c r="E1163" s="271" t="s">
        <v>184</v>
      </c>
      <c r="F1163" s="265">
        <v>2814</v>
      </c>
      <c r="G1163" s="265">
        <f>39.7+(36.22+222.93)</f>
        <v>298.84999999999997</v>
      </c>
      <c r="H1163" s="265"/>
      <c r="I1163" s="266">
        <f>F1163-G1163-H1163</f>
        <v>2515.15</v>
      </c>
      <c r="J1163" s="267" t="s">
        <v>156</v>
      </c>
      <c r="K1163" s="267">
        <v>1</v>
      </c>
      <c r="L1163" s="267">
        <v>1</v>
      </c>
      <c r="M1163" s="267">
        <v>1</v>
      </c>
      <c r="N1163" s="267">
        <v>1</v>
      </c>
      <c r="O1163" s="267">
        <v>1</v>
      </c>
      <c r="P1163" s="314">
        <v>0</v>
      </c>
      <c r="Q1163" s="314">
        <v>0</v>
      </c>
      <c r="R1163" s="314">
        <v>0</v>
      </c>
      <c r="S1163" s="366">
        <v>0</v>
      </c>
      <c r="T1163" s="63"/>
      <c r="U1163" s="94" t="s">
        <v>359</v>
      </c>
      <c r="V1163" s="90"/>
      <c r="W1163" s="136"/>
      <c r="X1163" s="137"/>
    </row>
    <row r="1164" spans="1:24" s="260" customFormat="1">
      <c r="A1164" s="261">
        <v>0.05</v>
      </c>
      <c r="B1164" s="87">
        <f t="shared" si="252"/>
        <v>6</v>
      </c>
      <c r="C1164" s="262">
        <v>45881</v>
      </c>
      <c r="D1164" s="263" t="s">
        <v>480</v>
      </c>
      <c r="E1164" s="309" t="s">
        <v>456</v>
      </c>
      <c r="F1164" s="265">
        <v>8614</v>
      </c>
      <c r="G1164" s="265">
        <f>39.7+495+(278.1+41.8-83.55)+1500</f>
        <v>2271.0500000000002</v>
      </c>
      <c r="H1164" s="265"/>
      <c r="I1164" s="272">
        <f>F1164-G1164-H1164</f>
        <v>6342.95</v>
      </c>
      <c r="J1164" s="267" t="s">
        <v>228</v>
      </c>
      <c r="K1164" s="267">
        <v>1</v>
      </c>
      <c r="L1164" s="267">
        <v>1</v>
      </c>
      <c r="M1164" s="267">
        <v>1</v>
      </c>
      <c r="N1164" s="267">
        <v>1</v>
      </c>
      <c r="O1164" s="267">
        <v>1</v>
      </c>
      <c r="P1164" s="267">
        <v>1</v>
      </c>
      <c r="Q1164" s="314">
        <v>0</v>
      </c>
      <c r="R1164" s="314">
        <v>0</v>
      </c>
      <c r="S1164" s="366">
        <v>0</v>
      </c>
      <c r="T1164" s="63"/>
      <c r="U1164" s="94" t="s">
        <v>505</v>
      </c>
      <c r="V1164" s="90"/>
      <c r="W1164" s="136"/>
      <c r="X1164" s="137"/>
    </row>
    <row r="1165" spans="1:24" s="260" customFormat="1">
      <c r="A1165" s="181"/>
      <c r="B1165" s="11"/>
      <c r="C1165" s="36"/>
      <c r="D1165" s="77"/>
      <c r="E1165" s="10"/>
      <c r="F1165" s="97">
        <f>SUM(F1159:F1164)</f>
        <v>62820.6</v>
      </c>
      <c r="G1165" s="97">
        <f t="shared" ref="G1165:I1165" si="253">SUM(G1159:G1164)</f>
        <v>9312.14</v>
      </c>
      <c r="H1165" s="97">
        <f t="shared" si="253"/>
        <v>4242.8</v>
      </c>
      <c r="I1165" s="97">
        <f t="shared" si="253"/>
        <v>49265.66</v>
      </c>
      <c r="K1165" s="21"/>
      <c r="L1165" s="21"/>
      <c r="M1165" s="21"/>
      <c r="N1165" s="21"/>
      <c r="O1165" s="21"/>
      <c r="P1165" s="21"/>
      <c r="Q1165" s="21"/>
      <c r="R1165" s="21"/>
      <c r="S1165" s="21"/>
      <c r="T1165" s="63"/>
      <c r="U1165" s="10"/>
      <c r="V1165" s="90"/>
      <c r="W1165" s="91"/>
      <c r="X1165" s="92"/>
    </row>
    <row r="1166" spans="1:24" s="260" customFormat="1">
      <c r="A1166" s="181"/>
      <c r="B1166" s="11"/>
      <c r="C1166" s="36"/>
      <c r="D1166" s="77"/>
      <c r="E1166" s="10"/>
      <c r="F1166" s="88"/>
      <c r="G1166" s="88"/>
      <c r="H1166" s="88"/>
      <c r="I1166" s="99"/>
      <c r="J1166" s="63"/>
      <c r="K1166" s="21"/>
      <c r="L1166" s="21"/>
      <c r="M1166" s="21"/>
      <c r="N1166" s="21"/>
      <c r="O1166" s="21"/>
      <c r="P1166" s="21"/>
      <c r="Q1166" s="21"/>
      <c r="R1166" s="21"/>
      <c r="S1166" s="21"/>
      <c r="T1166" s="63"/>
      <c r="U1166" s="10"/>
      <c r="V1166" s="90"/>
      <c r="W1166" s="91"/>
      <c r="X1166" s="92"/>
    </row>
    <row r="1167" spans="1:24">
      <c r="B1167" s="100" t="s">
        <v>72</v>
      </c>
      <c r="C1167" s="609"/>
      <c r="D1167" s="10"/>
      <c r="E1167" s="10"/>
      <c r="F1167" s="88"/>
      <c r="G1167" s="88"/>
      <c r="H1167" s="88"/>
      <c r="I1167" s="99"/>
      <c r="J1167" s="63"/>
      <c r="K1167" s="63"/>
      <c r="L1167" s="63"/>
      <c r="M1167" s="63"/>
      <c r="N1167" s="63"/>
      <c r="O1167" s="63"/>
      <c r="P1167" s="63"/>
      <c r="Q1167" s="63"/>
      <c r="R1167" s="63"/>
      <c r="S1167" s="63"/>
      <c r="T1167" s="63"/>
      <c r="U1167" s="10"/>
      <c r="V1167" s="90"/>
      <c r="W1167" s="91"/>
      <c r="X1167" s="92"/>
    </row>
    <row r="1168" spans="1:24">
      <c r="B1168" s="87">
        <v>1</v>
      </c>
      <c r="C1168" s="274">
        <v>45923</v>
      </c>
      <c r="D1168" s="276">
        <v>73398</v>
      </c>
      <c r="E1168" s="276" t="s">
        <v>299</v>
      </c>
      <c r="F1168" s="277">
        <v>1261</v>
      </c>
      <c r="G1168" s="277">
        <v>39.700000000000003</v>
      </c>
      <c r="H1168" s="277"/>
      <c r="I1168" s="278">
        <f t="shared" ref="I1168:I1172" si="254">F1168-G1168-H1168</f>
        <v>1221.3</v>
      </c>
      <c r="J1168" s="279" t="s">
        <v>205</v>
      </c>
      <c r="K1168" s="279">
        <v>1</v>
      </c>
      <c r="L1168" s="279"/>
      <c r="M1168" s="279"/>
      <c r="N1168" s="279">
        <v>1</v>
      </c>
      <c r="O1168" s="279"/>
      <c r="P1168" s="279"/>
      <c r="Q1168" s="279">
        <v>1</v>
      </c>
      <c r="R1168" s="279">
        <v>1</v>
      </c>
      <c r="S1168" s="280">
        <v>1</v>
      </c>
      <c r="T1168" s="63"/>
      <c r="U1168" s="3"/>
      <c r="V1168" s="90"/>
      <c r="W1168" s="91"/>
      <c r="X1168" s="92"/>
    </row>
    <row r="1169" spans="1:24">
      <c r="B1169" s="87">
        <f t="shared" ref="B1169:B1172" si="255">B1168+1</f>
        <v>2</v>
      </c>
      <c r="C1169" s="274">
        <v>45924</v>
      </c>
      <c r="D1169" s="276">
        <v>73639</v>
      </c>
      <c r="E1169" s="276" t="s">
        <v>349</v>
      </c>
      <c r="F1169" s="277">
        <v>4641</v>
      </c>
      <c r="G1169" s="277">
        <v>39.700000000000003</v>
      </c>
      <c r="H1169" s="277"/>
      <c r="I1169" s="278">
        <f t="shared" si="254"/>
        <v>4601.3</v>
      </c>
      <c r="J1169" s="279" t="s">
        <v>205</v>
      </c>
      <c r="K1169" s="279">
        <v>1</v>
      </c>
      <c r="L1169" s="279"/>
      <c r="M1169" s="279"/>
      <c r="N1169" s="279">
        <v>1</v>
      </c>
      <c r="O1169" s="279"/>
      <c r="P1169" s="279"/>
      <c r="Q1169" s="279">
        <v>1</v>
      </c>
      <c r="R1169" s="279">
        <v>1</v>
      </c>
      <c r="S1169" s="280">
        <v>1</v>
      </c>
      <c r="T1169" s="63"/>
      <c r="U1169" s="10"/>
      <c r="V1169" s="90"/>
      <c r="W1169" s="136"/>
      <c r="X1169" s="137"/>
    </row>
    <row r="1170" spans="1:24">
      <c r="B1170" s="87">
        <f t="shared" si="255"/>
        <v>3</v>
      </c>
      <c r="C1170" s="295">
        <v>45924</v>
      </c>
      <c r="D1170" s="10">
        <v>73495</v>
      </c>
      <c r="E1170" s="10" t="s">
        <v>349</v>
      </c>
      <c r="F1170" s="62">
        <v>1277.0999999999999</v>
      </c>
      <c r="G1170" s="62">
        <v>39.700000000000003</v>
      </c>
      <c r="H1170" s="62"/>
      <c r="I1170" s="89">
        <f t="shared" si="254"/>
        <v>1237.3999999999999</v>
      </c>
      <c r="J1170" s="63" t="s">
        <v>205</v>
      </c>
      <c r="K1170" s="63">
        <v>1</v>
      </c>
      <c r="L1170" s="63"/>
      <c r="M1170" s="63"/>
      <c r="N1170" s="63">
        <v>1</v>
      </c>
      <c r="O1170" s="63"/>
      <c r="P1170" s="63"/>
      <c r="Q1170" s="63">
        <v>1</v>
      </c>
      <c r="R1170" s="63">
        <v>1</v>
      </c>
      <c r="S1170" s="296">
        <v>1</v>
      </c>
      <c r="T1170" s="63"/>
      <c r="U1170" s="10"/>
      <c r="V1170" s="90"/>
      <c r="W1170" s="136"/>
      <c r="X1170" s="137"/>
    </row>
    <row r="1171" spans="1:24">
      <c r="B1171" s="87">
        <f t="shared" si="255"/>
        <v>4</v>
      </c>
      <c r="C1171" s="274">
        <v>45925</v>
      </c>
      <c r="D1171" s="276">
        <v>73692</v>
      </c>
      <c r="E1171" s="276" t="s">
        <v>381</v>
      </c>
      <c r="F1171" s="277">
        <v>1461</v>
      </c>
      <c r="G1171" s="277">
        <v>39.700000000000003</v>
      </c>
      <c r="H1171" s="277"/>
      <c r="I1171" s="278">
        <f t="shared" si="254"/>
        <v>1421.3</v>
      </c>
      <c r="J1171" s="279" t="s">
        <v>205</v>
      </c>
      <c r="K1171" s="279">
        <v>1</v>
      </c>
      <c r="L1171" s="279"/>
      <c r="M1171" s="279"/>
      <c r="N1171" s="279">
        <v>1</v>
      </c>
      <c r="O1171" s="279"/>
      <c r="P1171" s="279"/>
      <c r="Q1171" s="279">
        <v>1</v>
      </c>
      <c r="R1171" s="279">
        <v>1</v>
      </c>
      <c r="S1171" s="280">
        <v>1</v>
      </c>
      <c r="T1171" s="63"/>
      <c r="U1171" s="10"/>
      <c r="V1171" s="90"/>
      <c r="W1171" s="136"/>
      <c r="X1171" s="137"/>
    </row>
    <row r="1172" spans="1:24">
      <c r="B1172" s="87">
        <f t="shared" si="255"/>
        <v>5</v>
      </c>
      <c r="C1172" s="282">
        <v>45925</v>
      </c>
      <c r="D1172" s="283">
        <v>73691</v>
      </c>
      <c r="E1172" s="283" t="s">
        <v>462</v>
      </c>
      <c r="F1172" s="284">
        <v>1134.9000000000001</v>
      </c>
      <c r="G1172" s="284">
        <v>39.700000000000003</v>
      </c>
      <c r="H1172" s="284"/>
      <c r="I1172" s="285">
        <f t="shared" si="254"/>
        <v>1095.2</v>
      </c>
      <c r="J1172" s="286" t="s">
        <v>205</v>
      </c>
      <c r="K1172" s="286">
        <v>1</v>
      </c>
      <c r="L1172" s="286"/>
      <c r="M1172" s="286"/>
      <c r="N1172" s="286">
        <v>1</v>
      </c>
      <c r="O1172" s="286"/>
      <c r="P1172" s="286"/>
      <c r="Q1172" s="286">
        <v>1</v>
      </c>
      <c r="R1172" s="286">
        <v>1</v>
      </c>
      <c r="S1172" s="287"/>
      <c r="T1172" s="63"/>
      <c r="U1172" s="10"/>
      <c r="V1172" s="90"/>
      <c r="W1172" s="136"/>
      <c r="X1172" s="137"/>
    </row>
    <row r="1173" spans="1:24">
      <c r="B1173" s="11"/>
      <c r="C1173" s="36"/>
      <c r="D1173" s="10"/>
      <c r="E1173" s="10"/>
      <c r="F1173" s="97">
        <f>SUM(F1168:F1172)</f>
        <v>9775</v>
      </c>
      <c r="G1173" s="97">
        <f>SUM(G1168:G1172)</f>
        <v>198.5</v>
      </c>
      <c r="H1173" s="97">
        <f>SUM(H1168:H1172)</f>
        <v>0</v>
      </c>
      <c r="I1173" s="98">
        <f>SUM(I1168:I1172)</f>
        <v>9576.5</v>
      </c>
      <c r="J1173" s="10"/>
      <c r="K1173" s="10"/>
      <c r="L1173" s="10"/>
      <c r="M1173" s="10"/>
      <c r="N1173" s="10"/>
      <c r="O1173" s="10"/>
      <c r="P1173" s="10"/>
      <c r="Q1173" s="10"/>
      <c r="R1173" s="10"/>
      <c r="S1173" s="10"/>
      <c r="T1173" s="63"/>
      <c r="U1173" s="10"/>
      <c r="V1173" s="138"/>
      <c r="W1173" s="136"/>
      <c r="X1173" s="137"/>
    </row>
    <row r="1174" spans="1:24">
      <c r="B1174" s="26"/>
      <c r="C1174" s="612"/>
      <c r="D1174" s="141"/>
      <c r="E1174" s="141"/>
      <c r="F1174" s="141"/>
      <c r="G1174" s="141"/>
      <c r="H1174" s="141"/>
      <c r="I1174" s="141"/>
      <c r="J1174" s="141"/>
      <c r="K1174" s="142"/>
      <c r="L1174" s="142"/>
      <c r="M1174" s="142"/>
      <c r="N1174" s="142"/>
      <c r="O1174" s="142"/>
      <c r="P1174" s="142"/>
      <c r="Q1174" s="142"/>
      <c r="R1174" s="142"/>
      <c r="S1174" s="142"/>
      <c r="T1174" s="143">
        <f>SUM(T1135:T1173)</f>
        <v>6</v>
      </c>
      <c r="U1174" s="141"/>
      <c r="V1174" s="144">
        <f>SUM(V1135:V1173)</f>
        <v>40052.699999999997</v>
      </c>
      <c r="W1174" s="144">
        <f>SUM(W1135:W1173)</f>
        <v>0</v>
      </c>
      <c r="X1174" s="144">
        <f>SUM(X1135:X1173)</f>
        <v>0</v>
      </c>
    </row>
    <row r="1175" spans="1:24">
      <c r="B1175" s="10"/>
      <c r="C1175" s="36"/>
      <c r="D1175" s="10"/>
      <c r="E1175" s="10"/>
      <c r="F1175" s="10"/>
      <c r="G1175" s="10"/>
      <c r="H1175" s="10"/>
      <c r="I1175" s="10"/>
      <c r="J1175" s="10"/>
      <c r="K1175" s="147"/>
      <c r="L1175" s="147"/>
      <c r="M1175" s="147"/>
      <c r="N1175" s="147"/>
      <c r="O1175" s="147"/>
      <c r="P1175" s="147"/>
      <c r="Q1175" s="147"/>
      <c r="R1175" s="147"/>
      <c r="S1175" s="147"/>
      <c r="T1175" s="21"/>
      <c r="U1175" s="10"/>
      <c r="V1175" s="99"/>
      <c r="W1175" s="99"/>
      <c r="X1175" s="99"/>
    </row>
    <row r="1177" spans="1:24">
      <c r="A1177" s="613"/>
      <c r="B1177" s="4" t="s">
        <v>1</v>
      </c>
      <c r="C1177" s="5"/>
      <c r="D1177" s="6"/>
      <c r="E1177" s="6"/>
      <c r="F1177" s="7" t="s">
        <v>2</v>
      </c>
      <c r="G1177" s="608">
        <v>45935</v>
      </c>
      <c r="H1177" s="7"/>
      <c r="I1177" s="6"/>
      <c r="J1177" s="6"/>
      <c r="K1177" s="6"/>
      <c r="L1177" s="6"/>
      <c r="M1177" s="6"/>
      <c r="N1177" s="6"/>
      <c r="O1177" s="6"/>
      <c r="P1177" s="6"/>
      <c r="Q1177" s="6"/>
      <c r="R1177" s="6"/>
      <c r="S1177" s="6"/>
      <c r="T1177" s="6"/>
      <c r="U1177" s="9"/>
      <c r="V1177" s="10"/>
      <c r="W1177" s="10"/>
      <c r="X1177" s="10"/>
    </row>
    <row r="1178" spans="1:24">
      <c r="A1178" s="614"/>
      <c r="B1178" s="11"/>
      <c r="C1178" s="10"/>
      <c r="D1178" s="10"/>
      <c r="E1178" s="10"/>
      <c r="F1178" s="10"/>
      <c r="G1178" s="7"/>
      <c r="H1178" s="12"/>
      <c r="I1178" s="10"/>
      <c r="J1178" s="10"/>
      <c r="K1178" s="13" t="s">
        <v>3</v>
      </c>
      <c r="L1178" s="14"/>
      <c r="M1178" s="15"/>
      <c r="N1178" s="13" t="s">
        <v>4</v>
      </c>
      <c r="O1178" s="14"/>
      <c r="P1178" s="15"/>
      <c r="Q1178" s="13" t="s">
        <v>5</v>
      </c>
      <c r="R1178" s="14"/>
      <c r="S1178" s="15"/>
      <c r="T1178" s="16"/>
      <c r="U1178" s="17"/>
      <c r="V1178" s="10"/>
      <c r="W1178" s="10"/>
      <c r="X1178" s="10"/>
    </row>
    <row r="1179" spans="1:24">
      <c r="A1179" s="614"/>
      <c r="B1179" s="18" t="s">
        <v>6</v>
      </c>
      <c r="C1179" s="19">
        <f>C1180+C1181</f>
        <v>13</v>
      </c>
      <c r="D1179" s="10"/>
      <c r="E1179" s="18" t="s">
        <v>7</v>
      </c>
      <c r="F1179" s="6"/>
      <c r="G1179" s="9"/>
      <c r="H1179" s="10"/>
      <c r="I1179" s="10"/>
      <c r="J1179" s="10"/>
      <c r="K1179" s="20" t="s">
        <v>8</v>
      </c>
      <c r="L1179" s="21" t="s">
        <v>9</v>
      </c>
      <c r="M1179" s="21" t="s">
        <v>10</v>
      </c>
      <c r="N1179" s="20" t="s">
        <v>11</v>
      </c>
      <c r="O1179" s="21" t="s">
        <v>12</v>
      </c>
      <c r="P1179" s="22" t="s">
        <v>13</v>
      </c>
      <c r="Q1179" s="21" t="s">
        <v>11</v>
      </c>
      <c r="R1179" s="21" t="s">
        <v>12</v>
      </c>
      <c r="S1179" s="22" t="s">
        <v>13</v>
      </c>
      <c r="T1179" s="23" t="s">
        <v>14</v>
      </c>
      <c r="U1179" s="17"/>
      <c r="V1179" s="10"/>
      <c r="W1179" s="10"/>
      <c r="X1179" s="10"/>
    </row>
    <row r="1180" spans="1:24">
      <c r="A1180" s="614"/>
      <c r="B1180" s="24" t="s">
        <v>15</v>
      </c>
      <c r="C1180" s="25">
        <f>P1187</f>
        <v>9</v>
      </c>
      <c r="D1180" s="10"/>
      <c r="E1180" s="26" t="s">
        <v>16</v>
      </c>
      <c r="F1180" s="27">
        <v>0.05</v>
      </c>
      <c r="G1180" s="28"/>
      <c r="H1180" s="10"/>
      <c r="I1180" s="10"/>
      <c r="J1180" s="18" t="s">
        <v>17</v>
      </c>
      <c r="K1180" s="29">
        <f>K1214</f>
        <v>8</v>
      </c>
      <c r="L1180" s="29">
        <f t="shared" ref="L1180:S1180" si="256">L1214</f>
        <v>9</v>
      </c>
      <c r="M1180" s="29">
        <f t="shared" si="256"/>
        <v>8</v>
      </c>
      <c r="N1180" s="29">
        <f t="shared" si="256"/>
        <v>9</v>
      </c>
      <c r="O1180" s="29">
        <f t="shared" si="256"/>
        <v>9</v>
      </c>
      <c r="P1180" s="29">
        <f t="shared" si="256"/>
        <v>8</v>
      </c>
      <c r="Q1180" s="29">
        <f t="shared" si="256"/>
        <v>9</v>
      </c>
      <c r="R1180" s="29">
        <f t="shared" si="256"/>
        <v>9</v>
      </c>
      <c r="S1180" s="29">
        <f t="shared" si="256"/>
        <v>9</v>
      </c>
      <c r="T1180" s="30">
        <f>T1234</f>
        <v>4</v>
      </c>
      <c r="U1180" s="17" t="s">
        <v>582</v>
      </c>
      <c r="V1180" s="10"/>
      <c r="W1180" s="10"/>
      <c r="X1180" s="10"/>
    </row>
    <row r="1181" spans="1:24">
      <c r="A1181" s="614"/>
      <c r="B1181" s="24" t="s">
        <v>18</v>
      </c>
      <c r="C1181" s="25">
        <f>P1188</f>
        <v>4</v>
      </c>
      <c r="D1181" s="10"/>
      <c r="E1181" s="10"/>
      <c r="F1181" s="10"/>
      <c r="G1181" s="31"/>
      <c r="H1181" s="10"/>
      <c r="I1181" s="10"/>
      <c r="J1181" s="32" t="s">
        <v>19</v>
      </c>
      <c r="K1181" s="33">
        <f>K1214/K1213</f>
        <v>0.88888888888888884</v>
      </c>
      <c r="L1181" s="33">
        <f t="shared" ref="L1181:S1181" si="257">L1214/L1213</f>
        <v>1</v>
      </c>
      <c r="M1181" s="33">
        <f t="shared" si="257"/>
        <v>0.88888888888888884</v>
      </c>
      <c r="N1181" s="33">
        <f t="shared" si="257"/>
        <v>1</v>
      </c>
      <c r="O1181" s="33">
        <f t="shared" si="257"/>
        <v>1</v>
      </c>
      <c r="P1181" s="33">
        <f t="shared" si="257"/>
        <v>0.88888888888888884</v>
      </c>
      <c r="Q1181" s="33">
        <f t="shared" si="257"/>
        <v>1</v>
      </c>
      <c r="R1181" s="33">
        <f t="shared" si="257"/>
        <v>1</v>
      </c>
      <c r="S1181" s="33">
        <f t="shared" si="257"/>
        <v>1</v>
      </c>
      <c r="T1181" s="23"/>
      <c r="U1181" s="17" t="s">
        <v>20</v>
      </c>
      <c r="V1181" s="10"/>
      <c r="W1181" s="10"/>
      <c r="X1181" s="10"/>
    </row>
    <row r="1182" spans="1:24">
      <c r="A1182" s="614"/>
      <c r="B1182" s="24" t="s">
        <v>21</v>
      </c>
      <c r="C1182" s="34">
        <f>P1189</f>
        <v>0.69230769230769229</v>
      </c>
      <c r="D1182" s="10"/>
      <c r="E1182" s="10"/>
      <c r="F1182" s="10"/>
      <c r="G1182" s="10"/>
      <c r="H1182" s="10"/>
      <c r="I1182" s="10"/>
      <c r="J1182" s="10"/>
      <c r="K1182" s="10"/>
      <c r="L1182" s="10"/>
      <c r="M1182" s="10"/>
      <c r="N1182" s="10"/>
      <c r="O1182" s="10"/>
      <c r="P1182" s="10"/>
      <c r="Q1182" s="10"/>
      <c r="R1182" s="10"/>
      <c r="S1182" s="10"/>
      <c r="T1182" s="10"/>
      <c r="U1182" s="17"/>
      <c r="V1182" s="10"/>
      <c r="W1182" s="10"/>
      <c r="X1182" s="10"/>
    </row>
    <row r="1183" spans="1:24">
      <c r="A1183" s="614"/>
      <c r="B1183" s="24"/>
      <c r="C1183" s="25"/>
      <c r="D1183" s="10"/>
      <c r="E1183" s="10"/>
      <c r="F1183" s="18" t="s">
        <v>22</v>
      </c>
      <c r="G1183" s="19" t="s">
        <v>23</v>
      </c>
      <c r="H1183" s="35" t="s">
        <v>24</v>
      </c>
      <c r="I1183" s="10"/>
      <c r="J1183" s="10"/>
      <c r="K1183" s="36"/>
      <c r="L1183" s="36"/>
      <c r="M1183" s="36"/>
      <c r="N1183" s="36"/>
      <c r="O1183" s="36"/>
      <c r="P1183" s="36"/>
      <c r="Q1183" s="36"/>
      <c r="R1183" s="10"/>
      <c r="S1183" s="10"/>
      <c r="T1183" s="10"/>
      <c r="U1183" s="17"/>
      <c r="V1183" s="10"/>
      <c r="W1183" s="10"/>
      <c r="X1183" s="10"/>
    </row>
    <row r="1184" spans="1:24" ht="18" customHeight="1">
      <c r="A1184" s="614"/>
      <c r="B1184" s="32" t="s">
        <v>25</v>
      </c>
      <c r="C1184" s="37">
        <f>P1190</f>
        <v>3305.6399999999994</v>
      </c>
      <c r="D1184" s="10"/>
      <c r="E1184" s="18" t="s">
        <v>26</v>
      </c>
      <c r="F1184" s="38">
        <f>P1186</f>
        <v>29750.759999999995</v>
      </c>
      <c r="G1184" s="39">
        <f>I1213</f>
        <v>29750.76</v>
      </c>
      <c r="H1184" s="767" t="s">
        <v>624</v>
      </c>
      <c r="I1184" s="767"/>
      <c r="J1184" s="767"/>
      <c r="K1184" s="43" t="s">
        <v>27</v>
      </c>
      <c r="L1184" s="44"/>
      <c r="M1184" s="44"/>
      <c r="N1184" s="44"/>
      <c r="O1184" s="44"/>
      <c r="P1184" s="44"/>
      <c r="Q1184" s="45"/>
      <c r="R1184" s="46" t="s">
        <v>28</v>
      </c>
      <c r="S1184" s="47" t="s">
        <v>29</v>
      </c>
      <c r="T1184" s="10"/>
      <c r="U1184" s="17"/>
      <c r="V1184" s="10"/>
      <c r="W1184" s="10"/>
      <c r="X1184" s="10"/>
    </row>
    <row r="1185" spans="1:24">
      <c r="A1185" s="614"/>
      <c r="B1185" s="11"/>
      <c r="C1185" s="10"/>
      <c r="D1185" s="10"/>
      <c r="E1185" s="24" t="s">
        <v>30</v>
      </c>
      <c r="F1185" s="48">
        <f>F1180</f>
        <v>0.05</v>
      </c>
      <c r="G1185" s="17"/>
      <c r="H1185" s="767"/>
      <c r="I1185" s="767"/>
      <c r="J1185" s="767"/>
      <c r="K1185" s="20" t="s">
        <v>31</v>
      </c>
      <c r="L1185" s="21" t="s">
        <v>32</v>
      </c>
      <c r="M1185" s="21" t="s">
        <v>33</v>
      </c>
      <c r="N1185" s="21" t="s">
        <v>34</v>
      </c>
      <c r="O1185" s="21" t="s">
        <v>35</v>
      </c>
      <c r="P1185" s="21" t="s">
        <v>36</v>
      </c>
      <c r="Q1185" s="49" t="s">
        <v>37</v>
      </c>
      <c r="R1185" s="50" t="s">
        <v>38</v>
      </c>
      <c r="S1185" s="50" t="s">
        <v>38</v>
      </c>
      <c r="T1185" s="10"/>
      <c r="U1185" s="17"/>
      <c r="V1185" s="10"/>
      <c r="W1185" s="10"/>
      <c r="X1185" s="10"/>
    </row>
    <row r="1186" spans="1:24">
      <c r="A1186" s="614"/>
      <c r="B1186" s="11"/>
      <c r="C1186" s="10"/>
      <c r="D1186" s="10"/>
      <c r="E1186" s="51" t="s">
        <v>39</v>
      </c>
      <c r="F1186" s="52">
        <f>(F1184+F1193+F1194+F119-I11889)*F1185</f>
        <v>1473.7844999999998</v>
      </c>
      <c r="G1186" s="53" t="s">
        <v>40</v>
      </c>
      <c r="H1186" s="54">
        <f>F1186/1.12</f>
        <v>1315.8790178571426</v>
      </c>
      <c r="I1186" s="570" t="s">
        <v>584</v>
      </c>
      <c r="J1186" s="42"/>
      <c r="K1186" s="56">
        <f>I1204+I1205</f>
        <v>3058.44</v>
      </c>
      <c r="L1186" s="57">
        <f>I1208+I1206+I1207+I1209</f>
        <v>23630.719999999998</v>
      </c>
      <c r="M1186" s="57">
        <f>I1210+I1211+I1212</f>
        <v>3061.6</v>
      </c>
      <c r="N1186" s="57">
        <v>0</v>
      </c>
      <c r="O1186" s="57">
        <v>0</v>
      </c>
      <c r="P1186" s="57">
        <f>SUM(K1186:O1186)</f>
        <v>29750.759999999995</v>
      </c>
      <c r="Q1186" s="58">
        <v>0</v>
      </c>
      <c r="R1186" s="59">
        <f>0</f>
        <v>0</v>
      </c>
      <c r="S1186" s="59">
        <f>0</f>
        <v>0</v>
      </c>
      <c r="T1186" s="10"/>
      <c r="U1186" s="17"/>
      <c r="V1186" s="10"/>
      <c r="W1186" s="10"/>
      <c r="X1186" s="10"/>
    </row>
    <row r="1187" spans="1:24">
      <c r="A1187" s="614"/>
      <c r="B1187" s="11"/>
      <c r="C1187" s="10"/>
      <c r="D1187" s="10"/>
      <c r="E1187" s="24" t="s">
        <v>41</v>
      </c>
      <c r="F1187" s="60">
        <f>Q1186</f>
        <v>0</v>
      </c>
      <c r="G1187" s="61" t="s">
        <v>40</v>
      </c>
      <c r="H1187" s="62"/>
      <c r="I1187" s="62"/>
      <c r="J1187" s="10" t="s">
        <v>42</v>
      </c>
      <c r="K1187" s="63">
        <v>2</v>
      </c>
      <c r="L1187" s="63">
        <v>4</v>
      </c>
      <c r="M1187" s="63">
        <v>3</v>
      </c>
      <c r="N1187" s="63">
        <v>0</v>
      </c>
      <c r="O1187" s="63">
        <v>0</v>
      </c>
      <c r="P1187" s="21">
        <f>SUM(K1187:O1187)</f>
        <v>9</v>
      </c>
      <c r="Q1187" s="64">
        <v>0</v>
      </c>
      <c r="R1187" s="63"/>
      <c r="S1187" s="10"/>
      <c r="T1187" s="10"/>
      <c r="U1187" s="17"/>
      <c r="V1187" s="10"/>
      <c r="W1187" s="10"/>
      <c r="X1187" s="10"/>
    </row>
    <row r="1188" spans="1:24">
      <c r="A1188" s="614"/>
      <c r="B1188" s="11"/>
      <c r="C1188" s="10"/>
      <c r="D1188" s="10"/>
      <c r="E1188" s="51" t="s">
        <v>43</v>
      </c>
      <c r="F1188" s="52">
        <f>F1187*0.25</f>
        <v>0</v>
      </c>
      <c r="G1188" s="53" t="s">
        <v>40</v>
      </c>
      <c r="H1188" s="54">
        <f>F1188/1.12</f>
        <v>0</v>
      </c>
      <c r="I1188" s="10"/>
      <c r="J1188" s="10" t="s">
        <v>44</v>
      </c>
      <c r="K1188" s="63">
        <v>1</v>
      </c>
      <c r="L1188" s="63">
        <v>3</v>
      </c>
      <c r="M1188" s="63">
        <v>0</v>
      </c>
      <c r="N1188" s="63">
        <v>0</v>
      </c>
      <c r="O1188" s="63">
        <v>0</v>
      </c>
      <c r="P1188" s="21">
        <f>SUM(K1188:O1188)</f>
        <v>4</v>
      </c>
      <c r="Q1188" s="64">
        <v>0</v>
      </c>
      <c r="R1188" s="63"/>
      <c r="S1188" s="10"/>
      <c r="T1188" s="10"/>
      <c r="U1188" s="17"/>
      <c r="V1188" s="10"/>
      <c r="W1188" s="10"/>
      <c r="X1188" s="10"/>
    </row>
    <row r="1189" spans="1:24">
      <c r="A1189" s="614"/>
      <c r="B1189" s="11"/>
      <c r="C1189" s="10"/>
      <c r="D1189" s="10"/>
      <c r="E1189" s="24" t="s">
        <v>45</v>
      </c>
      <c r="F1189" s="60"/>
      <c r="G1189" s="61" t="s">
        <v>40</v>
      </c>
      <c r="H1189" s="62"/>
      <c r="I1189" s="10"/>
      <c r="J1189" s="10" t="s">
        <v>46</v>
      </c>
      <c r="K1189" s="31">
        <f t="shared" ref="K1189:Q1189" si="258">K1187/(K1187+K1188)</f>
        <v>0.66666666666666663</v>
      </c>
      <c r="L1189" s="31">
        <f t="shared" si="258"/>
        <v>0.5714285714285714</v>
      </c>
      <c r="M1189" s="31">
        <f t="shared" si="258"/>
        <v>1</v>
      </c>
      <c r="N1189" s="31" t="e">
        <f t="shared" si="258"/>
        <v>#DIV/0!</v>
      </c>
      <c r="O1189" s="31" t="e">
        <f t="shared" si="258"/>
        <v>#DIV/0!</v>
      </c>
      <c r="P1189" s="31">
        <f t="shared" si="258"/>
        <v>0.69230769230769229</v>
      </c>
      <c r="Q1189" s="31" t="e">
        <f t="shared" si="258"/>
        <v>#DIV/0!</v>
      </c>
      <c r="R1189" s="63"/>
      <c r="S1189" s="10"/>
      <c r="T1189" s="10"/>
      <c r="U1189" s="17"/>
      <c r="V1189" s="10"/>
      <c r="W1189" s="10"/>
      <c r="X1189" s="10"/>
    </row>
    <row r="1190" spans="1:24">
      <c r="A1190" s="614"/>
      <c r="B1190" s="11"/>
      <c r="C1190" s="10"/>
      <c r="D1190" s="10"/>
      <c r="E1190" s="51" t="s">
        <v>47</v>
      </c>
      <c r="F1190" s="52">
        <f>F1189*0.05</f>
        <v>0</v>
      </c>
      <c r="G1190" s="65" t="s">
        <v>40</v>
      </c>
      <c r="H1190" s="54">
        <f>F1190/1.12</f>
        <v>0</v>
      </c>
      <c r="I1190" s="42"/>
      <c r="J1190" s="10" t="s">
        <v>48</v>
      </c>
      <c r="K1190" s="66">
        <f>K1186/K1187</f>
        <v>1529.22</v>
      </c>
      <c r="L1190" s="66">
        <f t="shared" ref="L1190:Q1190" si="259">L1186/L1187</f>
        <v>5907.6799999999994</v>
      </c>
      <c r="M1190" s="66">
        <f t="shared" si="259"/>
        <v>1020.5333333333333</v>
      </c>
      <c r="N1190" s="66" t="e">
        <f t="shared" si="259"/>
        <v>#DIV/0!</v>
      </c>
      <c r="O1190" s="66" t="e">
        <f t="shared" si="259"/>
        <v>#DIV/0!</v>
      </c>
      <c r="P1190" s="66">
        <f t="shared" si="259"/>
        <v>3305.6399999999994</v>
      </c>
      <c r="Q1190" s="66" t="e">
        <f t="shared" si="259"/>
        <v>#DIV/0!</v>
      </c>
      <c r="R1190" s="63"/>
      <c r="S1190" s="10"/>
      <c r="T1190" s="10"/>
      <c r="U1190" s="17"/>
      <c r="V1190" s="10"/>
      <c r="W1190" s="10"/>
      <c r="X1190" s="10"/>
    </row>
    <row r="1191" spans="1:24">
      <c r="A1191" s="614"/>
      <c r="B1191" s="11"/>
      <c r="C1191" s="10"/>
      <c r="D1191" s="10"/>
      <c r="E1191" s="67" t="s">
        <v>14</v>
      </c>
      <c r="F1191" s="68">
        <f>4*50</f>
        <v>200</v>
      </c>
      <c r="G1191" s="10"/>
      <c r="H1191" s="54">
        <f>F1191/1.12</f>
        <v>178.57142857142856</v>
      </c>
      <c r="I1191" s="10"/>
      <c r="J1191" s="10"/>
      <c r="K1191" s="10"/>
      <c r="L1191" s="10"/>
      <c r="M1191" s="10"/>
      <c r="N1191" s="10"/>
      <c r="O1191" s="10"/>
      <c r="P1191" s="10"/>
      <c r="Q1191" s="10"/>
      <c r="R1191" s="10"/>
      <c r="S1191" s="10"/>
      <c r="T1191" s="10"/>
      <c r="U1191" s="17"/>
      <c r="V1191" s="10"/>
      <c r="W1191" s="10"/>
      <c r="X1191" s="10"/>
    </row>
    <row r="1192" spans="1:24">
      <c r="A1192" s="614"/>
      <c r="B1192" s="11"/>
      <c r="C1192" s="10"/>
      <c r="D1192" s="10"/>
      <c r="E1192" s="67" t="s">
        <v>49</v>
      </c>
      <c r="F1192" s="69">
        <f>T1181</f>
        <v>0</v>
      </c>
      <c r="G1192" s="10"/>
      <c r="H1192" s="54"/>
      <c r="I1192" s="55"/>
      <c r="J1192" s="42"/>
      <c r="K1192" s="764" t="s">
        <v>50</v>
      </c>
      <c r="L1192" s="765"/>
      <c r="M1192" s="765"/>
      <c r="N1192" s="765"/>
      <c r="O1192" s="765"/>
      <c r="P1192" s="765"/>
      <c r="Q1192" s="766"/>
      <c r="R1192" s="70" t="s">
        <v>28</v>
      </c>
      <c r="S1192" s="71" t="s">
        <v>29</v>
      </c>
      <c r="T1192" s="10"/>
      <c r="U1192" s="17"/>
      <c r="V1192" s="10"/>
      <c r="W1192" s="10"/>
      <c r="X1192" s="10"/>
    </row>
    <row r="1193" spans="1:24">
      <c r="A1193" s="614"/>
      <c r="B1193" s="11"/>
      <c r="C1193" s="10"/>
      <c r="D1193" s="10"/>
      <c r="E1193" s="74" t="s">
        <v>625</v>
      </c>
      <c r="F1193" s="75">
        <v>-279.62</v>
      </c>
      <c r="G1193" s="10"/>
      <c r="H1193" s="10"/>
      <c r="I1193" s="10"/>
      <c r="J1193" s="42"/>
      <c r="K1193" s="20" t="s">
        <v>31</v>
      </c>
      <c r="L1193" s="21" t="s">
        <v>32</v>
      </c>
      <c r="M1193" s="21" t="s">
        <v>33</v>
      </c>
      <c r="N1193" s="21" t="s">
        <v>34</v>
      </c>
      <c r="O1193" s="21" t="s">
        <v>35</v>
      </c>
      <c r="P1193" s="21" t="s">
        <v>36</v>
      </c>
      <c r="Q1193" s="49" t="s">
        <v>37</v>
      </c>
      <c r="R1193" s="50" t="s">
        <v>38</v>
      </c>
      <c r="S1193" s="50" t="s">
        <v>38</v>
      </c>
      <c r="T1193" s="10"/>
      <c r="U1193" s="17"/>
      <c r="V1193" s="10"/>
      <c r="W1193" s="10"/>
      <c r="X1193" s="10"/>
    </row>
    <row r="1194" spans="1:24">
      <c r="A1194" s="614"/>
      <c r="B1194" s="11"/>
      <c r="C1194" s="10"/>
      <c r="D1194" s="10"/>
      <c r="E1194" s="72" t="s">
        <v>626</v>
      </c>
      <c r="F1194" s="73">
        <v>-574.5</v>
      </c>
      <c r="G1194" s="10"/>
      <c r="H1194" s="10"/>
      <c r="I1194" s="10"/>
      <c r="J1194" s="42"/>
      <c r="K1194" s="56">
        <f>F1204+F1205</f>
        <v>3423</v>
      </c>
      <c r="L1194" s="57">
        <f>F1208+F1206+F1207+F1209</f>
        <v>26488.9</v>
      </c>
      <c r="M1194" s="57">
        <f>F1210+F1211+F1212</f>
        <v>3141</v>
      </c>
      <c r="N1194" s="57">
        <v>0</v>
      </c>
      <c r="O1194" s="57">
        <v>0</v>
      </c>
      <c r="P1194" s="57">
        <f>SUM(K1194:O1194)</f>
        <v>33052.9</v>
      </c>
      <c r="Q1194" s="58">
        <v>0</v>
      </c>
      <c r="R1194" s="59">
        <f>0</f>
        <v>0</v>
      </c>
      <c r="S1194" s="59">
        <f>0</f>
        <v>0</v>
      </c>
      <c r="T1194" s="10"/>
      <c r="U1194" s="17"/>
      <c r="V1194" s="10"/>
      <c r="W1194" s="10"/>
      <c r="X1194" s="10"/>
    </row>
    <row r="1195" spans="1:24">
      <c r="A1195" s="614"/>
      <c r="B1195" s="11"/>
      <c r="C1195" s="10"/>
      <c r="D1195" s="10"/>
      <c r="E1195" s="74" t="s">
        <v>627</v>
      </c>
      <c r="F1195" s="75">
        <v>-44.59</v>
      </c>
      <c r="G1195" s="10"/>
      <c r="H1195" s="10"/>
      <c r="I1195" s="10"/>
      <c r="J1195" s="10" t="s">
        <v>42</v>
      </c>
      <c r="K1195" s="63">
        <f>K1187</f>
        <v>2</v>
      </c>
      <c r="L1195" s="63">
        <f t="shared" ref="L1195:Q1196" si="260">L1187</f>
        <v>4</v>
      </c>
      <c r="M1195" s="63">
        <f t="shared" si="260"/>
        <v>3</v>
      </c>
      <c r="N1195" s="63">
        <f t="shared" si="260"/>
        <v>0</v>
      </c>
      <c r="O1195" s="63">
        <f t="shared" si="260"/>
        <v>0</v>
      </c>
      <c r="P1195" s="63">
        <f t="shared" si="260"/>
        <v>9</v>
      </c>
      <c r="Q1195" s="63">
        <f t="shared" si="260"/>
        <v>0</v>
      </c>
      <c r="R1195" s="63"/>
      <c r="S1195" s="10"/>
      <c r="T1195" s="10"/>
      <c r="U1195" s="17"/>
      <c r="V1195" s="10"/>
      <c r="W1195" s="10"/>
      <c r="X1195" s="10"/>
    </row>
    <row r="1196" spans="1:24">
      <c r="A1196" s="614"/>
      <c r="B1196" s="11"/>
      <c r="C1196" s="10"/>
      <c r="D1196" s="10"/>
      <c r="E1196" s="12"/>
      <c r="F1196" s="76"/>
      <c r="G1196" s="10"/>
      <c r="H1196" s="10"/>
      <c r="I1196" s="10"/>
      <c r="J1196" s="10" t="s">
        <v>44</v>
      </c>
      <c r="K1196" s="63">
        <f>K1188</f>
        <v>1</v>
      </c>
      <c r="L1196" s="63">
        <f t="shared" si="260"/>
        <v>3</v>
      </c>
      <c r="M1196" s="63">
        <f t="shared" si="260"/>
        <v>0</v>
      </c>
      <c r="N1196" s="63">
        <f t="shared" si="260"/>
        <v>0</v>
      </c>
      <c r="O1196" s="63">
        <f t="shared" si="260"/>
        <v>0</v>
      </c>
      <c r="P1196" s="63">
        <f t="shared" si="260"/>
        <v>4</v>
      </c>
      <c r="Q1196" s="63">
        <f t="shared" si="260"/>
        <v>0</v>
      </c>
      <c r="R1196" s="63"/>
      <c r="S1196" s="10"/>
      <c r="T1196" s="10"/>
      <c r="U1196" s="17"/>
      <c r="V1196" s="10"/>
      <c r="W1196" s="10"/>
      <c r="X1196" s="10"/>
    </row>
    <row r="1197" spans="1:24">
      <c r="A1197" s="614"/>
      <c r="B1197" s="11"/>
      <c r="C1197" s="10"/>
      <c r="D1197" s="10"/>
      <c r="E1197" s="10"/>
      <c r="F1197" s="10"/>
      <c r="G1197" s="10"/>
      <c r="H1197" s="10"/>
      <c r="I1197" s="10"/>
      <c r="J1197" s="10" t="s">
        <v>46</v>
      </c>
      <c r="K1197" s="31">
        <f t="shared" ref="K1197:Q1197" si="261">K1195/(K1195+K1196)</f>
        <v>0.66666666666666663</v>
      </c>
      <c r="L1197" s="31">
        <f t="shared" si="261"/>
        <v>0.5714285714285714</v>
      </c>
      <c r="M1197" s="31">
        <f t="shared" si="261"/>
        <v>1</v>
      </c>
      <c r="N1197" s="31" t="e">
        <f t="shared" si="261"/>
        <v>#DIV/0!</v>
      </c>
      <c r="O1197" s="31" t="e">
        <f t="shared" si="261"/>
        <v>#DIV/0!</v>
      </c>
      <c r="P1197" s="31">
        <f t="shared" si="261"/>
        <v>0.69230769230769229</v>
      </c>
      <c r="Q1197" s="31" t="e">
        <f t="shared" si="261"/>
        <v>#DIV/0!</v>
      </c>
      <c r="R1197" s="63"/>
      <c r="S1197" s="10"/>
      <c r="T1197" s="10"/>
      <c r="U1197" s="17"/>
      <c r="V1197" s="10"/>
      <c r="W1197" s="10"/>
      <c r="X1197" s="10"/>
    </row>
    <row r="1198" spans="1:24">
      <c r="A1198" s="614"/>
      <c r="B1198" s="11"/>
      <c r="C1198" s="10"/>
      <c r="D1198" s="10"/>
      <c r="E1198" s="10"/>
      <c r="F1198" s="10"/>
      <c r="G1198" s="10"/>
      <c r="H1198" s="10"/>
      <c r="I1198" s="10"/>
      <c r="J1198" s="10" t="s">
        <v>48</v>
      </c>
      <c r="K1198" s="66">
        <f t="shared" ref="K1198:Q1198" si="262">K1194/K1195</f>
        <v>1711.5</v>
      </c>
      <c r="L1198" s="66">
        <f t="shared" si="262"/>
        <v>6622.2250000000004</v>
      </c>
      <c r="M1198" s="66">
        <f t="shared" si="262"/>
        <v>1047</v>
      </c>
      <c r="N1198" s="66" t="e">
        <f t="shared" si="262"/>
        <v>#DIV/0!</v>
      </c>
      <c r="O1198" s="66" t="e">
        <f t="shared" si="262"/>
        <v>#DIV/0!</v>
      </c>
      <c r="P1198" s="66">
        <f t="shared" si="262"/>
        <v>3672.5444444444447</v>
      </c>
      <c r="Q1198" s="66" t="e">
        <f t="shared" si="262"/>
        <v>#DIV/0!</v>
      </c>
      <c r="R1198" s="63"/>
      <c r="S1198" s="10"/>
      <c r="T1198" s="10"/>
      <c r="U1198" s="17"/>
      <c r="V1198" s="10"/>
      <c r="W1198" s="10"/>
      <c r="X1198" s="10"/>
    </row>
    <row r="1199" spans="1:24">
      <c r="A1199" s="614"/>
      <c r="B1199" s="11"/>
      <c r="C1199" s="10"/>
      <c r="D1199" s="10"/>
      <c r="E1199" s="10"/>
      <c r="F1199" s="10"/>
      <c r="G1199" s="10"/>
      <c r="H1199" s="10"/>
      <c r="I1199" s="10"/>
      <c r="J1199" s="10"/>
      <c r="K1199" s="10"/>
      <c r="L1199" s="10"/>
      <c r="M1199" s="10"/>
      <c r="N1199" s="10"/>
      <c r="O1199" s="10"/>
      <c r="P1199" s="10"/>
      <c r="Q1199" s="10"/>
      <c r="R1199" s="10"/>
      <c r="S1199" s="10"/>
      <c r="T1199" s="10"/>
      <c r="U1199" s="17"/>
      <c r="V1199" s="10"/>
      <c r="W1199" s="10"/>
      <c r="X1199" s="10"/>
    </row>
    <row r="1200" spans="1:24">
      <c r="A1200" s="614"/>
      <c r="B1200" s="11"/>
      <c r="C1200" s="10"/>
      <c r="D1200" s="10"/>
      <c r="E1200" s="10"/>
      <c r="F1200" s="10"/>
      <c r="G1200" s="10"/>
      <c r="H1200" s="10"/>
      <c r="I1200" s="10"/>
      <c r="J1200" s="10"/>
      <c r="K1200" s="10"/>
      <c r="L1200" s="10"/>
      <c r="M1200" s="10"/>
      <c r="N1200" s="10"/>
      <c r="O1200" s="10"/>
      <c r="P1200" s="10"/>
      <c r="Q1200" s="10"/>
      <c r="R1200" s="10"/>
      <c r="S1200" s="10"/>
      <c r="T1200" s="10"/>
      <c r="U1200" s="17"/>
      <c r="V1200" s="10"/>
      <c r="W1200" s="10"/>
      <c r="X1200" s="10"/>
    </row>
    <row r="1201" spans="1:24">
      <c r="A1201" s="614"/>
      <c r="B1201" s="18" t="s">
        <v>51</v>
      </c>
      <c r="C1201" s="14"/>
      <c r="D1201" s="14"/>
      <c r="E1201" s="14"/>
      <c r="F1201" s="13" t="s">
        <v>52</v>
      </c>
      <c r="G1201" s="14"/>
      <c r="H1201" s="14"/>
      <c r="I1201" s="14"/>
      <c r="J1201" s="14"/>
      <c r="K1201" s="13" t="s">
        <v>3</v>
      </c>
      <c r="L1201" s="14"/>
      <c r="M1201" s="14"/>
      <c r="N1201" s="13" t="s">
        <v>4</v>
      </c>
      <c r="O1201" s="14"/>
      <c r="P1201" s="14"/>
      <c r="Q1201" s="13" t="s">
        <v>5</v>
      </c>
      <c r="R1201" s="14"/>
      <c r="S1201" s="14"/>
      <c r="T1201" s="18"/>
      <c r="U1201" s="16" t="s">
        <v>53</v>
      </c>
      <c r="V1201" s="77"/>
      <c r="W1201" s="77"/>
      <c r="X1201" s="77"/>
    </row>
    <row r="1202" spans="1:24">
      <c r="A1202" s="614"/>
      <c r="B1202" s="24" t="s">
        <v>54</v>
      </c>
      <c r="C1202" s="21" t="s">
        <v>55</v>
      </c>
      <c r="D1202" s="21" t="s">
        <v>56</v>
      </c>
      <c r="E1202" s="21" t="s">
        <v>57</v>
      </c>
      <c r="F1202" s="20" t="s">
        <v>58</v>
      </c>
      <c r="G1202" s="21" t="s">
        <v>59</v>
      </c>
      <c r="H1202" s="21" t="s">
        <v>60</v>
      </c>
      <c r="I1202" s="21" t="s">
        <v>26</v>
      </c>
      <c r="J1202" s="22" t="s">
        <v>61</v>
      </c>
      <c r="K1202" s="21" t="s">
        <v>8</v>
      </c>
      <c r="L1202" s="21" t="s">
        <v>9</v>
      </c>
      <c r="M1202" s="21" t="s">
        <v>10</v>
      </c>
      <c r="N1202" s="20" t="s">
        <v>11</v>
      </c>
      <c r="O1202" s="21" t="s">
        <v>12</v>
      </c>
      <c r="P1202" s="22" t="s">
        <v>13</v>
      </c>
      <c r="Q1202" s="21" t="s">
        <v>11</v>
      </c>
      <c r="R1202" s="21" t="s">
        <v>12</v>
      </c>
      <c r="S1202" s="21" t="s">
        <v>13</v>
      </c>
      <c r="T1202" s="78" t="s">
        <v>14</v>
      </c>
      <c r="U1202" s="30"/>
      <c r="V1202" s="79" t="s">
        <v>62</v>
      </c>
      <c r="W1202" s="80" t="s">
        <v>63</v>
      </c>
      <c r="X1202" s="81" t="s">
        <v>64</v>
      </c>
    </row>
    <row r="1203" spans="1:24">
      <c r="A1203" s="614"/>
      <c r="B1203" s="4" t="s">
        <v>65</v>
      </c>
      <c r="C1203" s="6"/>
      <c r="D1203" s="6"/>
      <c r="E1203" s="6"/>
      <c r="F1203" s="6"/>
      <c r="G1203" s="6"/>
      <c r="H1203" s="6"/>
      <c r="I1203" s="82"/>
      <c r="J1203" s="6"/>
      <c r="K1203" s="6"/>
      <c r="L1203" s="6"/>
      <c r="M1203" s="6"/>
      <c r="N1203" s="6"/>
      <c r="O1203" s="6"/>
      <c r="P1203" s="6"/>
      <c r="Q1203" s="6"/>
      <c r="R1203" s="6"/>
      <c r="S1203" s="6"/>
      <c r="T1203" s="83"/>
      <c r="U1203" s="6"/>
      <c r="V1203" s="84"/>
      <c r="W1203" s="85"/>
      <c r="X1203" s="86"/>
    </row>
    <row r="1204" spans="1:24">
      <c r="A1204" s="614"/>
      <c r="B1204" s="87">
        <v>1</v>
      </c>
      <c r="C1204" s="274">
        <v>45929</v>
      </c>
      <c r="D1204" s="735">
        <v>73713</v>
      </c>
      <c r="E1204" s="276" t="s">
        <v>395</v>
      </c>
      <c r="F1204" s="277">
        <v>1481</v>
      </c>
      <c r="G1204" s="277">
        <f>39.7+200</f>
        <v>239.7</v>
      </c>
      <c r="H1204" s="297"/>
      <c r="I1204" s="278">
        <f t="shared" ref="I1204:I1211" si="263">F1204-G1204-H1204</f>
        <v>1241.3</v>
      </c>
      <c r="J1204" s="279" t="s">
        <v>156</v>
      </c>
      <c r="K1204" s="279">
        <v>1</v>
      </c>
      <c r="L1204" s="279">
        <v>1</v>
      </c>
      <c r="M1204" s="279">
        <v>1</v>
      </c>
      <c r="N1204" s="279">
        <v>1</v>
      </c>
      <c r="O1204" s="279">
        <v>1</v>
      </c>
      <c r="P1204" s="279">
        <v>1</v>
      </c>
      <c r="Q1204" s="279">
        <v>1</v>
      </c>
      <c r="R1204" s="279">
        <v>1</v>
      </c>
      <c r="S1204" s="280">
        <v>1</v>
      </c>
      <c r="T1204" s="21">
        <v>1</v>
      </c>
      <c r="U1204" s="10" t="s">
        <v>628</v>
      </c>
      <c r="V1204" s="90">
        <f>163+1466.1</f>
        <v>1629.1</v>
      </c>
      <c r="W1204" s="91"/>
      <c r="X1204" s="92"/>
    </row>
    <row r="1205" spans="1:24">
      <c r="A1205" s="614"/>
      <c r="B1205" s="87">
        <f t="shared" ref="B1205:B1212" si="264">B1204+1</f>
        <v>2</v>
      </c>
      <c r="C1205" s="295">
        <v>45929</v>
      </c>
      <c r="D1205" s="736">
        <v>73762</v>
      </c>
      <c r="E1205" s="10" t="s">
        <v>344</v>
      </c>
      <c r="F1205" s="62">
        <v>1942</v>
      </c>
      <c r="G1205" s="62">
        <f>39.7+(39.5+45.66)</f>
        <v>124.86</v>
      </c>
      <c r="H1205" s="62"/>
      <c r="I1205" s="89">
        <f t="shared" si="263"/>
        <v>1817.14</v>
      </c>
      <c r="J1205" s="63" t="s">
        <v>156</v>
      </c>
      <c r="K1205" s="63">
        <v>1</v>
      </c>
      <c r="L1205" s="63">
        <v>1</v>
      </c>
      <c r="M1205" s="63">
        <v>1</v>
      </c>
      <c r="N1205" s="63">
        <v>1</v>
      </c>
      <c r="O1205" s="63">
        <v>1</v>
      </c>
      <c r="P1205" s="63">
        <v>1</v>
      </c>
      <c r="Q1205" s="63">
        <v>1</v>
      </c>
      <c r="R1205" s="63">
        <v>1</v>
      </c>
      <c r="S1205" s="296">
        <v>1</v>
      </c>
      <c r="T1205" s="21">
        <v>1</v>
      </c>
      <c r="U1205" s="10"/>
      <c r="V1205" s="90">
        <f>214+1922.2</f>
        <v>2136.1999999999998</v>
      </c>
      <c r="W1205" s="91"/>
      <c r="X1205" s="92"/>
    </row>
    <row r="1206" spans="1:24">
      <c r="A1206" s="614"/>
      <c r="B1206" s="87">
        <f>B1205+1</f>
        <v>3</v>
      </c>
      <c r="C1206" s="274">
        <v>45930</v>
      </c>
      <c r="D1206" s="327">
        <v>73601</v>
      </c>
      <c r="E1206" s="281" t="s">
        <v>327</v>
      </c>
      <c r="F1206" s="277">
        <v>5399</v>
      </c>
      <c r="G1206" s="277">
        <f>39.7+(606.88)+(138.67)+300</f>
        <v>1085.25</v>
      </c>
      <c r="H1206" s="277"/>
      <c r="I1206" s="278">
        <f>F1206-G1206-H1206</f>
        <v>4313.75</v>
      </c>
      <c r="J1206" s="279" t="s">
        <v>228</v>
      </c>
      <c r="K1206" s="279">
        <v>1</v>
      </c>
      <c r="L1206" s="279">
        <v>1</v>
      </c>
      <c r="M1206" s="279">
        <v>1</v>
      </c>
      <c r="N1206" s="279">
        <v>1</v>
      </c>
      <c r="O1206" s="279">
        <v>1</v>
      </c>
      <c r="P1206" s="279">
        <v>1</v>
      </c>
      <c r="Q1206" s="279">
        <v>1</v>
      </c>
      <c r="R1206" s="279">
        <v>1</v>
      </c>
      <c r="S1206" s="280">
        <v>1</v>
      </c>
      <c r="T1206" s="63"/>
      <c r="U1206" s="10" t="s">
        <v>629</v>
      </c>
      <c r="V1206" s="90">
        <f>594+5344.9</f>
        <v>5938.9</v>
      </c>
      <c r="W1206" s="91"/>
      <c r="X1206" s="92"/>
    </row>
    <row r="1207" spans="1:24" s="260" customFormat="1">
      <c r="A1207" s="261" t="s">
        <v>630</v>
      </c>
      <c r="B1207" s="87">
        <f t="shared" ref="B1207:B1212" si="265">B1206+1</f>
        <v>4</v>
      </c>
      <c r="C1207" s="295">
        <v>45930</v>
      </c>
      <c r="D1207" s="736" t="s">
        <v>631</v>
      </c>
      <c r="E1207" s="10" t="s">
        <v>327</v>
      </c>
      <c r="F1207" s="62">
        <v>16214</v>
      </c>
      <c r="G1207" s="62">
        <f>39.7+(153.83)+1500</f>
        <v>1693.53</v>
      </c>
      <c r="H1207" s="62"/>
      <c r="I1207" s="324">
        <f>F1207-G1207-H1207</f>
        <v>14520.47</v>
      </c>
      <c r="J1207" s="63" t="s">
        <v>374</v>
      </c>
      <c r="K1207" s="63">
        <v>1</v>
      </c>
      <c r="L1207" s="63">
        <v>1</v>
      </c>
      <c r="M1207" s="63">
        <v>1</v>
      </c>
      <c r="N1207" s="63">
        <v>1</v>
      </c>
      <c r="O1207" s="63">
        <v>1</v>
      </c>
      <c r="P1207" s="325">
        <v>0</v>
      </c>
      <c r="Q1207" s="63">
        <v>1</v>
      </c>
      <c r="R1207" s="63">
        <v>1</v>
      </c>
      <c r="S1207" s="296">
        <v>1</v>
      </c>
      <c r="T1207" s="21">
        <v>1</v>
      </c>
      <c r="U1207" s="10" t="s">
        <v>632</v>
      </c>
      <c r="V1207" s="90">
        <f>1784+5000+5000+5000+1051.4</f>
        <v>17835.400000000001</v>
      </c>
      <c r="W1207" s="91"/>
      <c r="X1207" s="92"/>
    </row>
    <row r="1208" spans="1:24">
      <c r="A1208" s="613"/>
      <c r="B1208" s="87">
        <f t="shared" si="265"/>
        <v>5</v>
      </c>
      <c r="C1208" s="295">
        <v>45930</v>
      </c>
      <c r="D1208" s="323">
        <v>73814</v>
      </c>
      <c r="E1208" s="10" t="s">
        <v>330</v>
      </c>
      <c r="F1208" s="62">
        <v>4014.9</v>
      </c>
      <c r="G1208" s="62">
        <f>39.7</f>
        <v>39.700000000000003</v>
      </c>
      <c r="H1208" s="62"/>
      <c r="I1208" s="89">
        <f t="shared" si="263"/>
        <v>3975.2000000000003</v>
      </c>
      <c r="J1208" s="63" t="s">
        <v>156</v>
      </c>
      <c r="K1208" s="63">
        <v>1</v>
      </c>
      <c r="L1208" s="63">
        <v>1</v>
      </c>
      <c r="M1208" s="63">
        <v>1</v>
      </c>
      <c r="N1208" s="63">
        <v>1</v>
      </c>
      <c r="O1208" s="63">
        <v>1</v>
      </c>
      <c r="P1208" s="63">
        <v>1</v>
      </c>
      <c r="Q1208" s="63">
        <v>1</v>
      </c>
      <c r="R1208" s="63">
        <v>1</v>
      </c>
      <c r="S1208" s="296">
        <v>1</v>
      </c>
      <c r="T1208" s="63"/>
      <c r="U1208" s="10" t="s">
        <v>633</v>
      </c>
      <c r="V1208" s="90">
        <f>442+3974.39</f>
        <v>4416.3899999999994</v>
      </c>
      <c r="W1208" s="91"/>
      <c r="X1208" s="92"/>
    </row>
    <row r="1209" spans="1:24">
      <c r="A1209" s="614"/>
      <c r="B1209" s="87">
        <f t="shared" si="265"/>
        <v>6</v>
      </c>
      <c r="C1209" s="282">
        <v>45930</v>
      </c>
      <c r="D1209" s="368">
        <v>73837</v>
      </c>
      <c r="E1209" s="283" t="s">
        <v>507</v>
      </c>
      <c r="F1209" s="284">
        <v>861</v>
      </c>
      <c r="G1209" s="284">
        <f>39.7</f>
        <v>39.700000000000003</v>
      </c>
      <c r="H1209" s="284"/>
      <c r="I1209" s="331">
        <f>F1209-G1209-H1209</f>
        <v>821.3</v>
      </c>
      <c r="J1209" s="286" t="s">
        <v>156</v>
      </c>
      <c r="K1209" s="286">
        <v>1</v>
      </c>
      <c r="L1209" s="286">
        <v>1</v>
      </c>
      <c r="M1209" s="332">
        <v>0</v>
      </c>
      <c r="N1209" s="286">
        <v>1</v>
      </c>
      <c r="O1209" s="286">
        <v>1</v>
      </c>
      <c r="P1209" s="286">
        <v>1</v>
      </c>
      <c r="Q1209" s="286">
        <v>1</v>
      </c>
      <c r="R1209" s="286">
        <v>1</v>
      </c>
      <c r="S1209" s="287">
        <v>1</v>
      </c>
      <c r="T1209" s="63"/>
      <c r="U1209" s="94" t="s">
        <v>634</v>
      </c>
      <c r="V1209" s="90">
        <v>947.1</v>
      </c>
      <c r="W1209" s="91"/>
      <c r="X1209" s="92"/>
    </row>
    <row r="1210" spans="1:24">
      <c r="A1210" s="614"/>
      <c r="B1210" s="87">
        <f t="shared" si="265"/>
        <v>7</v>
      </c>
      <c r="C1210" s="295">
        <v>45931</v>
      </c>
      <c r="D1210" s="736">
        <v>73834</v>
      </c>
      <c r="E1210" s="10" t="s">
        <v>635</v>
      </c>
      <c r="F1210" s="62">
        <v>1261</v>
      </c>
      <c r="G1210" s="62">
        <f>39.7</f>
        <v>39.700000000000003</v>
      </c>
      <c r="H1210" s="62"/>
      <c r="I1210" s="89">
        <f t="shared" si="263"/>
        <v>1221.3</v>
      </c>
      <c r="J1210" s="63" t="s">
        <v>156</v>
      </c>
      <c r="K1210" s="63">
        <v>1</v>
      </c>
      <c r="L1210" s="63">
        <v>1</v>
      </c>
      <c r="M1210" s="63">
        <v>1</v>
      </c>
      <c r="N1210" s="63">
        <v>1</v>
      </c>
      <c r="O1210" s="63">
        <v>1</v>
      </c>
      <c r="P1210" s="63">
        <v>1</v>
      </c>
      <c r="Q1210" s="63">
        <v>1</v>
      </c>
      <c r="R1210" s="63">
        <v>1</v>
      </c>
      <c r="S1210" s="296">
        <v>1</v>
      </c>
      <c r="T1210" s="63"/>
      <c r="U1210" s="10" t="s">
        <v>636</v>
      </c>
      <c r="V1210" s="90">
        <f>134+1253.1</f>
        <v>1387.1</v>
      </c>
      <c r="W1210" s="91"/>
      <c r="X1210" s="92"/>
    </row>
    <row r="1211" spans="1:24">
      <c r="A1211" s="614"/>
      <c r="B1211" s="87">
        <f t="shared" si="265"/>
        <v>8</v>
      </c>
      <c r="C1211" s="295">
        <v>45931</v>
      </c>
      <c r="D1211" s="736" t="s">
        <v>637</v>
      </c>
      <c r="E1211" s="10" t="s">
        <v>635</v>
      </c>
      <c r="F1211" s="62">
        <v>681</v>
      </c>
      <c r="G1211" s="62"/>
      <c r="H1211" s="88"/>
      <c r="I1211" s="324">
        <f t="shared" si="263"/>
        <v>681</v>
      </c>
      <c r="J1211" s="63" t="s">
        <v>156</v>
      </c>
      <c r="K1211" s="325">
        <v>0</v>
      </c>
      <c r="L1211" s="63">
        <v>1</v>
      </c>
      <c r="M1211" s="63">
        <v>1</v>
      </c>
      <c r="N1211" s="63">
        <v>1</v>
      </c>
      <c r="O1211" s="63">
        <v>1</v>
      </c>
      <c r="P1211" s="63">
        <v>1</v>
      </c>
      <c r="Q1211" s="63">
        <v>1</v>
      </c>
      <c r="R1211" s="63">
        <v>1</v>
      </c>
      <c r="S1211" s="296">
        <v>1</v>
      </c>
      <c r="T1211" s="21">
        <v>1</v>
      </c>
      <c r="U1211" s="10"/>
      <c r="V1211" s="90">
        <v>749.1</v>
      </c>
      <c r="W1211" s="91"/>
      <c r="X1211" s="92"/>
    </row>
    <row r="1212" spans="1:24">
      <c r="A1212" s="614"/>
      <c r="B1212" s="87">
        <f t="shared" si="265"/>
        <v>9</v>
      </c>
      <c r="C1212" s="282">
        <v>45931</v>
      </c>
      <c r="D1212" s="368">
        <v>73877</v>
      </c>
      <c r="E1212" s="319" t="s">
        <v>349</v>
      </c>
      <c r="F1212" s="284">
        <v>1199</v>
      </c>
      <c r="G1212" s="284">
        <f>39.7</f>
        <v>39.700000000000003</v>
      </c>
      <c r="H1212" s="284"/>
      <c r="I1212" s="285">
        <f>F1212-G1212-H1212</f>
        <v>1159.3</v>
      </c>
      <c r="J1212" s="286" t="s">
        <v>156</v>
      </c>
      <c r="K1212" s="286">
        <v>1</v>
      </c>
      <c r="L1212" s="286">
        <v>1</v>
      </c>
      <c r="M1212" s="286">
        <v>1</v>
      </c>
      <c r="N1212" s="286">
        <v>1</v>
      </c>
      <c r="O1212" s="286">
        <v>1</v>
      </c>
      <c r="P1212" s="286">
        <v>1</v>
      </c>
      <c r="Q1212" s="286">
        <v>1</v>
      </c>
      <c r="R1212" s="286">
        <v>1</v>
      </c>
      <c r="S1212" s="287">
        <v>1</v>
      </c>
      <c r="T1212" s="63"/>
      <c r="U1212" s="10" t="s">
        <v>638</v>
      </c>
      <c r="V1212" s="90">
        <f>131.89+1187.01</f>
        <v>1318.9</v>
      </c>
      <c r="W1212" s="91"/>
      <c r="X1212" s="92"/>
    </row>
    <row r="1213" spans="1:24">
      <c r="A1213" s="614"/>
      <c r="B1213" s="87"/>
      <c r="C1213" s="36"/>
      <c r="D1213" s="10"/>
      <c r="E1213" s="10"/>
      <c r="F1213" s="97">
        <f>SUM(F1204:F1212)</f>
        <v>33052.9</v>
      </c>
      <c r="G1213" s="97">
        <f>SUM(G1204:G1212)</f>
        <v>3302.1399999999994</v>
      </c>
      <c r="H1213" s="97">
        <f>SUM(H1204:H1212)</f>
        <v>0</v>
      </c>
      <c r="I1213" s="98">
        <f>SUM(I1204:I1212)</f>
        <v>29750.76</v>
      </c>
      <c r="J1213" s="63"/>
      <c r="K1213" s="63">
        <f>COUNT(K1204:K1212)</f>
        <v>9</v>
      </c>
      <c r="L1213" s="63">
        <f>COUNT(L1204:L1212)</f>
        <v>9</v>
      </c>
      <c r="M1213" s="63">
        <f>COUNT(M1204:M1212)</f>
        <v>9</v>
      </c>
      <c r="N1213" s="63">
        <f>COUNT(N1204:N1212)</f>
        <v>9</v>
      </c>
      <c r="O1213" s="63">
        <f>COUNT(O1204:O1212)</f>
        <v>9</v>
      </c>
      <c r="P1213" s="63">
        <f>COUNT(P1204:P1212)</f>
        <v>9</v>
      </c>
      <c r="Q1213" s="63">
        <f>COUNT(Q1204:Q1212)</f>
        <v>9</v>
      </c>
      <c r="R1213" s="63">
        <f>COUNT(R1204:R1212)</f>
        <v>9</v>
      </c>
      <c r="S1213" s="63">
        <f>COUNT(S1204:S1212)</f>
        <v>9</v>
      </c>
      <c r="T1213" s="63"/>
      <c r="U1213" s="10"/>
      <c r="V1213" s="90"/>
      <c r="W1213" s="91"/>
      <c r="X1213" s="92"/>
    </row>
    <row r="1214" spans="1:24">
      <c r="A1214" s="614"/>
      <c r="B1214" s="87"/>
      <c r="C1214" s="36"/>
      <c r="D1214" s="10"/>
      <c r="E1214" s="10"/>
      <c r="F1214" s="88"/>
      <c r="G1214" s="88"/>
      <c r="H1214" s="88"/>
      <c r="I1214" s="99"/>
      <c r="J1214" s="63"/>
      <c r="K1214" s="21">
        <f>SUM(K1204:K1212)</f>
        <v>8</v>
      </c>
      <c r="L1214" s="21">
        <f>SUM(L1204:L1212)</f>
        <v>9</v>
      </c>
      <c r="M1214" s="21">
        <f>SUM(M1204:M1212)</f>
        <v>8</v>
      </c>
      <c r="N1214" s="21">
        <f>SUM(N1204:N1212)</f>
        <v>9</v>
      </c>
      <c r="O1214" s="21">
        <f>SUM(O1204:O1212)</f>
        <v>9</v>
      </c>
      <c r="P1214" s="21">
        <f>SUM(P1204:P1212)</f>
        <v>8</v>
      </c>
      <c r="Q1214" s="21">
        <f>SUM(Q1204:Q1212)</f>
        <v>9</v>
      </c>
      <c r="R1214" s="21">
        <f>SUM(R1204:R1212)</f>
        <v>9</v>
      </c>
      <c r="S1214" s="21">
        <f>SUM(S1204:S1212)</f>
        <v>9</v>
      </c>
      <c r="T1214" s="63"/>
      <c r="U1214" s="10"/>
      <c r="V1214" s="90"/>
      <c r="W1214" s="91"/>
      <c r="X1214" s="92"/>
    </row>
    <row r="1215" spans="1:24">
      <c r="A1215" s="614"/>
      <c r="B1215" s="11"/>
      <c r="C1215" s="36"/>
      <c r="D1215" s="10"/>
      <c r="E1215" s="10"/>
      <c r="F1215" s="88"/>
      <c r="G1215" s="88"/>
      <c r="H1215" s="88"/>
      <c r="I1215" s="99"/>
      <c r="J1215" s="63"/>
      <c r="K1215" s="21"/>
      <c r="L1215" s="21"/>
      <c r="M1215" s="21"/>
      <c r="N1215" s="21"/>
      <c r="O1215" s="21"/>
      <c r="P1215" s="21"/>
      <c r="Q1215" s="21"/>
      <c r="R1215" s="21"/>
      <c r="S1215" s="21"/>
      <c r="T1215" s="63"/>
      <c r="U1215" s="10"/>
      <c r="V1215" s="90"/>
      <c r="W1215" s="91"/>
      <c r="X1215" s="92"/>
    </row>
    <row r="1216" spans="1:24" s="260" customFormat="1">
      <c r="A1216" s="181"/>
      <c r="B1216" s="100" t="s">
        <v>152</v>
      </c>
      <c r="C1216" s="36"/>
      <c r="D1216" s="10"/>
      <c r="E1216" s="10"/>
      <c r="F1216" s="88"/>
      <c r="G1216" s="62"/>
      <c r="H1216" s="88"/>
      <c r="I1216" s="99"/>
      <c r="J1216" s="10"/>
      <c r="K1216" s="181"/>
      <c r="L1216" s="181"/>
      <c r="M1216" s="181"/>
      <c r="N1216" s="181"/>
      <c r="O1216" s="181"/>
      <c r="P1216" s="181"/>
      <c r="Q1216" s="181"/>
      <c r="R1216" s="181"/>
      <c r="S1216" s="181"/>
      <c r="T1216" s="63"/>
      <c r="U1216" s="10"/>
      <c r="V1216" s="90"/>
      <c r="W1216" s="91"/>
      <c r="X1216" s="92"/>
    </row>
    <row r="1217" spans="1:24" s="260" customFormat="1">
      <c r="A1217" s="312" t="s">
        <v>194</v>
      </c>
      <c r="B1217" s="87">
        <v>1</v>
      </c>
      <c r="C1217" s="262">
        <v>45805</v>
      </c>
      <c r="D1217" s="357" t="s">
        <v>199</v>
      </c>
      <c r="E1217" s="271" t="s">
        <v>196</v>
      </c>
      <c r="F1217" s="265">
        <v>16214</v>
      </c>
      <c r="G1217" s="265">
        <f>39.7+44+36.26+(33.82+55.44)+(102.43+254.2+84.43+10.82+125.93)+1500</f>
        <v>2287.0299999999997</v>
      </c>
      <c r="H1217" s="265">
        <f>F1217*0.2</f>
        <v>3242.8</v>
      </c>
      <c r="I1217" s="266">
        <f>F1217-G1217-H1217</f>
        <v>10684.170000000002</v>
      </c>
      <c r="J1217" s="267" t="s">
        <v>197</v>
      </c>
      <c r="K1217" s="267">
        <v>1</v>
      </c>
      <c r="L1217" s="267">
        <v>1</v>
      </c>
      <c r="M1217" s="267">
        <v>1</v>
      </c>
      <c r="N1217" s="267">
        <v>1</v>
      </c>
      <c r="O1217" s="267">
        <v>1</v>
      </c>
      <c r="P1217" s="314">
        <v>0</v>
      </c>
      <c r="Q1217" s="267">
        <v>1</v>
      </c>
      <c r="R1217" s="267">
        <v>1</v>
      </c>
      <c r="S1217" s="366">
        <v>0</v>
      </c>
      <c r="T1217" s="63"/>
      <c r="U1217" s="10" t="s">
        <v>200</v>
      </c>
      <c r="V1217" s="90"/>
      <c r="W1217" s="136"/>
      <c r="X1217" s="137"/>
    </row>
    <row r="1218" spans="1:24" s="260" customFormat="1">
      <c r="A1218" s="261">
        <v>0.05</v>
      </c>
      <c r="B1218" s="87">
        <f>B1217+1</f>
        <v>2</v>
      </c>
      <c r="C1218" s="262">
        <v>45873</v>
      </c>
      <c r="D1218" s="263" t="s">
        <v>448</v>
      </c>
      <c r="E1218" s="271" t="s">
        <v>245</v>
      </c>
      <c r="F1218" s="265">
        <v>16214</v>
      </c>
      <c r="G1218" s="265">
        <f>39.7+334+(37.9+110.12+72.67+137.98)+(161.68+232.63)+1500</f>
        <v>2626.68</v>
      </c>
      <c r="H1218" s="265"/>
      <c r="I1218" s="266">
        <f>F1218-G1218-H1218</f>
        <v>13587.32</v>
      </c>
      <c r="J1218" s="267" t="s">
        <v>228</v>
      </c>
      <c r="K1218" s="267">
        <v>1</v>
      </c>
      <c r="L1218" s="267">
        <v>1</v>
      </c>
      <c r="M1218" s="267">
        <v>1</v>
      </c>
      <c r="N1218" s="267">
        <v>1</v>
      </c>
      <c r="O1218" s="267">
        <v>1</v>
      </c>
      <c r="P1218" s="267">
        <v>1</v>
      </c>
      <c r="Q1218" s="314">
        <v>0</v>
      </c>
      <c r="R1218" s="314">
        <v>0</v>
      </c>
      <c r="S1218" s="366">
        <v>0</v>
      </c>
      <c r="T1218" s="63"/>
      <c r="U1218" s="94" t="s">
        <v>485</v>
      </c>
      <c r="V1218" s="90"/>
      <c r="W1218" s="136"/>
      <c r="X1218" s="137"/>
    </row>
    <row r="1219" spans="1:24">
      <c r="A1219" s="507">
        <v>0.05</v>
      </c>
      <c r="B1219" s="87">
        <f>B1218+1</f>
        <v>3</v>
      </c>
      <c r="C1219" s="645">
        <v>45896</v>
      </c>
      <c r="D1219" s="357" t="s">
        <v>527</v>
      </c>
      <c r="E1219" s="642" t="s">
        <v>401</v>
      </c>
      <c r="F1219" s="646">
        <v>14503.6</v>
      </c>
      <c r="G1219" s="646">
        <f>39.7+60.48+(103.51+131.24+75.84)+(287.37+90.69)+1000</f>
        <v>1788.83</v>
      </c>
      <c r="H1219" s="646">
        <f>5000*0.2</f>
        <v>1000</v>
      </c>
      <c r="I1219" s="698">
        <f>F1219-G1219-H1219</f>
        <v>11714.77</v>
      </c>
      <c r="J1219" s="647" t="s">
        <v>185</v>
      </c>
      <c r="K1219" s="647">
        <v>1</v>
      </c>
      <c r="L1219" s="647">
        <v>1</v>
      </c>
      <c r="M1219" s="647">
        <v>1</v>
      </c>
      <c r="N1219" s="647">
        <v>1</v>
      </c>
      <c r="O1219" s="647">
        <v>1</v>
      </c>
      <c r="P1219" s="647">
        <v>1</v>
      </c>
      <c r="Q1219" s="647">
        <v>1</v>
      </c>
      <c r="R1219" s="647">
        <v>1</v>
      </c>
      <c r="S1219" s="648">
        <v>1</v>
      </c>
      <c r="T1219" s="537"/>
      <c r="U1219" s="164" t="s">
        <v>639</v>
      </c>
      <c r="V1219" s="551"/>
      <c r="W1219" s="552"/>
      <c r="X1219" s="553"/>
    </row>
    <row r="1220" spans="1:24" s="260" customFormat="1">
      <c r="A1220" s="494">
        <v>0.05</v>
      </c>
      <c r="B1220" s="87">
        <f t="shared" ref="B1220:B1225" si="266">B1219+1</f>
        <v>4</v>
      </c>
      <c r="C1220" s="262">
        <v>45912</v>
      </c>
      <c r="D1220" s="263">
        <v>73273</v>
      </c>
      <c r="E1220" s="264" t="s">
        <v>577</v>
      </c>
      <c r="F1220" s="265">
        <v>4461</v>
      </c>
      <c r="G1220" s="265">
        <f>39.7</f>
        <v>39.700000000000003</v>
      </c>
      <c r="H1220" s="265"/>
      <c r="I1220" s="272">
        <f>F1220-G1220-H1220</f>
        <v>4421.3</v>
      </c>
      <c r="J1220" s="267" t="s">
        <v>156</v>
      </c>
      <c r="K1220" s="267">
        <v>1</v>
      </c>
      <c r="L1220" s="267">
        <v>1</v>
      </c>
      <c r="M1220" s="267">
        <v>1</v>
      </c>
      <c r="N1220" s="267">
        <v>1</v>
      </c>
      <c r="O1220" s="267">
        <v>1</v>
      </c>
      <c r="P1220" s="267">
        <v>1</v>
      </c>
      <c r="Q1220" s="267">
        <v>1</v>
      </c>
      <c r="R1220" s="267">
        <v>1</v>
      </c>
      <c r="S1220" s="269">
        <v>1</v>
      </c>
      <c r="T1220" s="21"/>
      <c r="U1220" s="10"/>
      <c r="V1220" s="90"/>
      <c r="W1220" s="91"/>
      <c r="X1220" s="92"/>
    </row>
    <row r="1221" spans="1:24" s="260" customFormat="1">
      <c r="A1221" s="261">
        <v>0.05</v>
      </c>
      <c r="B1221" s="87">
        <f t="shared" si="266"/>
        <v>5</v>
      </c>
      <c r="C1221" s="262">
        <v>45847</v>
      </c>
      <c r="D1221" s="263">
        <v>71343</v>
      </c>
      <c r="E1221" s="271" t="s">
        <v>184</v>
      </c>
      <c r="F1221" s="265">
        <v>2814</v>
      </c>
      <c r="G1221" s="265">
        <f>39.7+(36.22+222.93)</f>
        <v>298.84999999999997</v>
      </c>
      <c r="H1221" s="265"/>
      <c r="I1221" s="266">
        <f>F1221-G1221-H1221</f>
        <v>2515.15</v>
      </c>
      <c r="J1221" s="267" t="s">
        <v>156</v>
      </c>
      <c r="K1221" s="267">
        <v>1</v>
      </c>
      <c r="L1221" s="267">
        <v>1</v>
      </c>
      <c r="M1221" s="267">
        <v>1</v>
      </c>
      <c r="N1221" s="267">
        <v>1</v>
      </c>
      <c r="O1221" s="267">
        <v>1</v>
      </c>
      <c r="P1221" s="314">
        <v>0</v>
      </c>
      <c r="Q1221" s="314">
        <v>0</v>
      </c>
      <c r="R1221" s="314">
        <v>0</v>
      </c>
      <c r="S1221" s="366">
        <v>0</v>
      </c>
      <c r="T1221" s="63"/>
      <c r="U1221" s="94" t="s">
        <v>359</v>
      </c>
      <c r="V1221" s="90"/>
      <c r="W1221" s="136"/>
      <c r="X1221" s="137"/>
    </row>
    <row r="1222" spans="1:24" s="260" customFormat="1">
      <c r="A1222" s="261">
        <v>0.05</v>
      </c>
      <c r="B1222" s="87">
        <f t="shared" si="266"/>
        <v>6</v>
      </c>
      <c r="C1222" s="262">
        <v>45881</v>
      </c>
      <c r="D1222" s="263" t="s">
        <v>480</v>
      </c>
      <c r="E1222" s="309" t="s">
        <v>456</v>
      </c>
      <c r="F1222" s="265">
        <f>8614-947.1</f>
        <v>7666.9</v>
      </c>
      <c r="G1222" s="265">
        <f>39.7+495+(278.1+41.8-83.55)+1500</f>
        <v>2271.0500000000002</v>
      </c>
      <c r="H1222" s="265"/>
      <c r="I1222" s="266">
        <f>F1222-G1222-H1222</f>
        <v>5395.8499999999995</v>
      </c>
      <c r="J1222" s="267" t="s">
        <v>228</v>
      </c>
      <c r="K1222" s="267">
        <v>1</v>
      </c>
      <c r="L1222" s="267">
        <v>1</v>
      </c>
      <c r="M1222" s="267">
        <v>1</v>
      </c>
      <c r="N1222" s="267">
        <v>1</v>
      </c>
      <c r="O1222" s="267">
        <v>1</v>
      </c>
      <c r="P1222" s="267">
        <v>1</v>
      </c>
      <c r="Q1222" s="314">
        <v>0</v>
      </c>
      <c r="R1222" s="314">
        <v>0</v>
      </c>
      <c r="S1222" s="366">
        <v>0</v>
      </c>
      <c r="T1222" s="63"/>
      <c r="U1222" s="94" t="s">
        <v>505</v>
      </c>
      <c r="V1222" s="90"/>
      <c r="W1222" s="136"/>
      <c r="X1222" s="137"/>
    </row>
    <row r="1223" spans="1:24" s="260" customFormat="1">
      <c r="A1223" s="494" t="s">
        <v>640</v>
      </c>
      <c r="B1223" s="87">
        <f t="shared" si="266"/>
        <v>7</v>
      </c>
      <c r="C1223" s="262">
        <v>45922</v>
      </c>
      <c r="D1223" s="263" t="s">
        <v>622</v>
      </c>
      <c r="E1223" s="271" t="s">
        <v>299</v>
      </c>
      <c r="F1223" s="265">
        <v>12814</v>
      </c>
      <c r="G1223" s="265">
        <f>39.7+65+19.4+(151.66+108.93)+(98.15)+1000</f>
        <v>1482.8400000000001</v>
      </c>
      <c r="H1223" s="265"/>
      <c r="I1223" s="266">
        <f>F1223-G1223-H1223</f>
        <v>11331.16</v>
      </c>
      <c r="J1223" s="267" t="s">
        <v>228</v>
      </c>
      <c r="K1223" s="267">
        <v>1</v>
      </c>
      <c r="L1223" s="267">
        <v>1</v>
      </c>
      <c r="M1223" s="267">
        <v>1</v>
      </c>
      <c r="N1223" s="267">
        <v>1</v>
      </c>
      <c r="O1223" s="267">
        <v>1</v>
      </c>
      <c r="P1223" s="267">
        <v>1</v>
      </c>
      <c r="Q1223" s="314">
        <v>0</v>
      </c>
      <c r="R1223" s="314">
        <v>0</v>
      </c>
      <c r="S1223" s="366">
        <v>0</v>
      </c>
      <c r="T1223" s="63"/>
      <c r="U1223" s="94" t="s">
        <v>623</v>
      </c>
      <c r="V1223" s="90"/>
      <c r="W1223" s="136"/>
      <c r="X1223" s="137"/>
    </row>
    <row r="1224" spans="1:24" s="260" customFormat="1">
      <c r="A1224" s="494" t="s">
        <v>641</v>
      </c>
      <c r="B1224" s="87">
        <f t="shared" si="266"/>
        <v>8</v>
      </c>
      <c r="C1224" s="274">
        <v>45922</v>
      </c>
      <c r="D1224" s="327">
        <v>73518</v>
      </c>
      <c r="E1224" s="276" t="s">
        <v>158</v>
      </c>
      <c r="F1224" s="277">
        <v>1261</v>
      </c>
      <c r="G1224" s="277">
        <f>39.7+(100.49)</f>
        <v>140.19</v>
      </c>
      <c r="H1224" s="277"/>
      <c r="I1224" s="278">
        <f t="shared" ref="I1224:I1225" si="267">F1224-G1224-H1224</f>
        <v>1120.81</v>
      </c>
      <c r="J1224" s="279" t="s">
        <v>156</v>
      </c>
      <c r="K1224" s="279">
        <v>1</v>
      </c>
      <c r="L1224" s="279">
        <v>1</v>
      </c>
      <c r="M1224" s="279">
        <v>1</v>
      </c>
      <c r="N1224" s="279">
        <v>1</v>
      </c>
      <c r="O1224" s="279">
        <v>1</v>
      </c>
      <c r="P1224" s="279">
        <v>1</v>
      </c>
      <c r="Q1224" s="279">
        <v>1</v>
      </c>
      <c r="R1224" s="279">
        <v>1</v>
      </c>
      <c r="S1224" s="280">
        <v>1</v>
      </c>
      <c r="T1224" s="21"/>
      <c r="U1224" s="10" t="s">
        <v>618</v>
      </c>
      <c r="V1224" s="90"/>
      <c r="W1224" s="96"/>
      <c r="X1224" s="92"/>
    </row>
    <row r="1225" spans="1:24" s="260" customFormat="1">
      <c r="A1225" s="260" t="s">
        <v>619</v>
      </c>
      <c r="B1225" s="87">
        <f t="shared" si="266"/>
        <v>9</v>
      </c>
      <c r="C1225" s="262">
        <v>45923</v>
      </c>
      <c r="D1225" s="263" t="s">
        <v>620</v>
      </c>
      <c r="E1225" s="271" t="s">
        <v>609</v>
      </c>
      <c r="F1225" s="265">
        <v>14000</v>
      </c>
      <c r="G1225" s="265">
        <f>39.7+(54.62+926.82)+1000</f>
        <v>2021.14</v>
      </c>
      <c r="H1225" s="265"/>
      <c r="I1225" s="266">
        <f t="shared" si="267"/>
        <v>11978.86</v>
      </c>
      <c r="J1225" s="267" t="s">
        <v>185</v>
      </c>
      <c r="K1225" s="267">
        <v>1</v>
      </c>
      <c r="L1225" s="267">
        <v>1</v>
      </c>
      <c r="M1225" s="267">
        <v>1</v>
      </c>
      <c r="N1225" s="267">
        <v>1</v>
      </c>
      <c r="O1225" s="267">
        <v>1</v>
      </c>
      <c r="P1225" s="267">
        <v>1</v>
      </c>
      <c r="Q1225" s="267">
        <v>1</v>
      </c>
      <c r="R1225" s="267">
        <v>1</v>
      </c>
      <c r="S1225" s="366">
        <v>0</v>
      </c>
      <c r="T1225" s="21"/>
      <c r="U1225" s="10" t="s">
        <v>621</v>
      </c>
      <c r="V1225" s="724"/>
      <c r="W1225" s="91"/>
      <c r="X1225" s="92"/>
    </row>
    <row r="1226" spans="1:24" s="260" customFormat="1">
      <c r="A1226" s="181"/>
      <c r="B1226" s="11"/>
      <c r="C1226" s="36"/>
      <c r="D1226" s="77"/>
      <c r="E1226" s="10"/>
      <c r="F1226" s="97">
        <f>SUM(F1217:F1225)</f>
        <v>89948.5</v>
      </c>
      <c r="G1226" s="97">
        <f t="shared" ref="G1226:I1226" si="268">SUM(G1217:G1225)</f>
        <v>12956.31</v>
      </c>
      <c r="H1226" s="97">
        <f t="shared" si="268"/>
        <v>4242.8</v>
      </c>
      <c r="I1226" s="97">
        <f t="shared" si="268"/>
        <v>72749.39</v>
      </c>
      <c r="K1226" s="21"/>
      <c r="L1226" s="21"/>
      <c r="M1226" s="21"/>
      <c r="N1226" s="21"/>
      <c r="O1226" s="21"/>
      <c r="P1226" s="21"/>
      <c r="Q1226" s="21"/>
      <c r="R1226" s="21"/>
      <c r="S1226" s="21"/>
      <c r="T1226" s="63"/>
      <c r="U1226" s="10"/>
      <c r="V1226" s="90"/>
      <c r="W1226" s="91"/>
      <c r="X1226" s="92"/>
    </row>
    <row r="1227" spans="1:24" s="260" customFormat="1">
      <c r="A1227" s="181"/>
      <c r="B1227" s="11"/>
      <c r="C1227" s="36"/>
      <c r="D1227" s="77"/>
      <c r="E1227" s="10"/>
      <c r="F1227" s="88"/>
      <c r="G1227" s="88"/>
      <c r="H1227" s="88"/>
      <c r="I1227" s="99"/>
      <c r="J1227" s="63"/>
      <c r="K1227" s="21"/>
      <c r="L1227" s="21"/>
      <c r="M1227" s="21"/>
      <c r="N1227" s="21"/>
      <c r="O1227" s="21"/>
      <c r="P1227" s="21"/>
      <c r="Q1227" s="21"/>
      <c r="R1227" s="21"/>
      <c r="S1227" s="21"/>
      <c r="T1227" s="63"/>
      <c r="U1227" s="10"/>
      <c r="V1227" s="90"/>
      <c r="W1227" s="91"/>
      <c r="X1227" s="92"/>
    </row>
    <row r="1228" spans="1:24">
      <c r="A1228" s="614"/>
      <c r="B1228" s="100" t="s">
        <v>72</v>
      </c>
      <c r="C1228" s="609"/>
      <c r="D1228" s="10"/>
      <c r="E1228" s="10"/>
      <c r="F1228" s="88"/>
      <c r="G1228" s="88"/>
      <c r="H1228" s="88"/>
      <c r="I1228" s="99"/>
      <c r="J1228" s="63"/>
      <c r="K1228" s="63"/>
      <c r="L1228" s="63"/>
      <c r="M1228" s="63"/>
      <c r="N1228" s="63"/>
      <c r="O1228" s="63"/>
      <c r="P1228" s="63"/>
      <c r="Q1228" s="63"/>
      <c r="R1228" s="63"/>
      <c r="S1228" s="63"/>
      <c r="T1228" s="63"/>
      <c r="U1228" s="10"/>
      <c r="V1228" s="90"/>
      <c r="W1228" s="91"/>
      <c r="X1228" s="92"/>
    </row>
    <row r="1229" spans="1:24">
      <c r="A1229" s="614"/>
      <c r="B1229" s="87">
        <v>1</v>
      </c>
      <c r="C1229" s="262">
        <v>45929</v>
      </c>
      <c r="D1229" s="271">
        <v>73742</v>
      </c>
      <c r="E1229" s="271" t="s">
        <v>344</v>
      </c>
      <c r="F1229" s="265">
        <v>4196</v>
      </c>
      <c r="G1229" s="265">
        <f>39.7+200</f>
        <v>239.7</v>
      </c>
      <c r="H1229" s="265"/>
      <c r="I1229" s="272">
        <f>F1229-G1229-H1229</f>
        <v>3956.3</v>
      </c>
      <c r="J1229" s="267" t="s">
        <v>156</v>
      </c>
      <c r="K1229" s="267">
        <v>1</v>
      </c>
      <c r="L1229" s="267"/>
      <c r="M1229" s="267">
        <v>1</v>
      </c>
      <c r="N1229" s="267">
        <v>1</v>
      </c>
      <c r="O1229" s="267">
        <v>1</v>
      </c>
      <c r="P1229" s="314">
        <v>0</v>
      </c>
      <c r="Q1229" s="267"/>
      <c r="R1229" s="267"/>
      <c r="S1229" s="269"/>
      <c r="T1229" s="63"/>
      <c r="U1229" s="94" t="s">
        <v>642</v>
      </c>
      <c r="V1229" s="90">
        <f>462</f>
        <v>462</v>
      </c>
      <c r="W1229" s="91"/>
      <c r="X1229" s="92"/>
    </row>
    <row r="1230" spans="1:24">
      <c r="A1230" s="614"/>
      <c r="B1230" s="87">
        <f>B1229+1</f>
        <v>2</v>
      </c>
      <c r="C1230" s="274">
        <v>45930</v>
      </c>
      <c r="D1230" s="276">
        <v>73768</v>
      </c>
      <c r="E1230" s="276" t="s">
        <v>643</v>
      </c>
      <c r="F1230" s="277">
        <v>1461</v>
      </c>
      <c r="G1230" s="277">
        <v>39.700000000000003</v>
      </c>
      <c r="H1230" s="277"/>
      <c r="I1230" s="278">
        <f>F1230-G1230-H1230</f>
        <v>1421.3</v>
      </c>
      <c r="J1230" s="279" t="s">
        <v>205</v>
      </c>
      <c r="K1230" s="279">
        <v>1</v>
      </c>
      <c r="L1230" s="279"/>
      <c r="M1230" s="279"/>
      <c r="N1230" s="279">
        <v>1</v>
      </c>
      <c r="O1230" s="279"/>
      <c r="P1230" s="279"/>
      <c r="Q1230" s="279">
        <v>1</v>
      </c>
      <c r="R1230" s="279">
        <v>1</v>
      </c>
      <c r="S1230" s="280">
        <v>1</v>
      </c>
      <c r="T1230" s="63"/>
      <c r="U1230" s="3"/>
      <c r="V1230" s="90"/>
      <c r="W1230" s="91"/>
      <c r="X1230" s="92"/>
    </row>
    <row r="1231" spans="1:24">
      <c r="A1231" s="614"/>
      <c r="B1231" s="87">
        <f t="shared" ref="B1231:B1232" si="269">B1230+1</f>
        <v>3</v>
      </c>
      <c r="C1231" s="295">
        <v>45930</v>
      </c>
      <c r="D1231" s="3" t="s">
        <v>644</v>
      </c>
      <c r="E1231" s="10" t="s">
        <v>330</v>
      </c>
      <c r="F1231" s="62">
        <v>28614</v>
      </c>
      <c r="G1231" s="62">
        <v>39.700000000000003</v>
      </c>
      <c r="H1231" s="62"/>
      <c r="I1231" s="89">
        <f t="shared" ref="I1231:I1232" si="270">F1231-G1231-H1231</f>
        <v>28574.3</v>
      </c>
      <c r="J1231" s="63" t="s">
        <v>205</v>
      </c>
      <c r="K1231" s="63">
        <v>1</v>
      </c>
      <c r="L1231" s="63"/>
      <c r="M1231" s="63"/>
      <c r="N1231" s="63">
        <v>1</v>
      </c>
      <c r="O1231" s="63"/>
      <c r="P1231" s="63"/>
      <c r="Q1231" s="63"/>
      <c r="R1231" s="63"/>
      <c r="S1231" s="296"/>
      <c r="T1231" s="63"/>
      <c r="U1231" s="10"/>
      <c r="V1231" s="90"/>
      <c r="W1231" s="136"/>
      <c r="X1231" s="137"/>
    </row>
    <row r="1232" spans="1:24">
      <c r="A1232" s="614"/>
      <c r="B1232" s="87">
        <f t="shared" si="269"/>
        <v>4</v>
      </c>
      <c r="C1232" s="282">
        <v>45930</v>
      </c>
      <c r="D1232" s="283">
        <v>73799</v>
      </c>
      <c r="E1232" s="283" t="s">
        <v>369</v>
      </c>
      <c r="F1232" s="284">
        <v>4419</v>
      </c>
      <c r="G1232" s="284">
        <v>39.700000000000003</v>
      </c>
      <c r="H1232" s="284"/>
      <c r="I1232" s="285">
        <f t="shared" si="270"/>
        <v>4379.3</v>
      </c>
      <c r="J1232" s="286" t="s">
        <v>205</v>
      </c>
      <c r="K1232" s="286">
        <v>1</v>
      </c>
      <c r="L1232" s="286"/>
      <c r="M1232" s="286"/>
      <c r="N1232" s="286">
        <v>1</v>
      </c>
      <c r="O1232" s="286"/>
      <c r="P1232" s="286"/>
      <c r="Q1232" s="286">
        <v>1</v>
      </c>
      <c r="R1232" s="286">
        <v>1</v>
      </c>
      <c r="S1232" s="287">
        <v>1</v>
      </c>
      <c r="T1232" s="63"/>
      <c r="U1232" s="10"/>
      <c r="V1232" s="90"/>
      <c r="W1232" s="136"/>
      <c r="X1232" s="137"/>
    </row>
    <row r="1233" spans="1:24">
      <c r="A1233" s="614"/>
      <c r="B1233" s="11"/>
      <c r="C1233" s="36"/>
      <c r="D1233" s="10"/>
      <c r="E1233" s="10"/>
      <c r="F1233" s="98">
        <f t="shared" ref="F1233:H1233" si="271">SUM(F1229:F1232)</f>
        <v>38690</v>
      </c>
      <c r="G1233" s="98">
        <f t="shared" si="271"/>
        <v>358.79999999999995</v>
      </c>
      <c r="H1233" s="98">
        <f t="shared" si="271"/>
        <v>0</v>
      </c>
      <c r="I1233" s="98">
        <f>SUM(I1229:I1232)</f>
        <v>38331.200000000004</v>
      </c>
      <c r="J1233" s="10"/>
      <c r="K1233" s="10"/>
      <c r="L1233" s="10"/>
      <c r="M1233" s="10"/>
      <c r="N1233" s="10"/>
      <c r="O1233" s="10"/>
      <c r="P1233" s="10"/>
      <c r="Q1233" s="10"/>
      <c r="R1233" s="10"/>
      <c r="S1233" s="10"/>
      <c r="T1233" s="63"/>
      <c r="U1233" s="10"/>
      <c r="V1233" s="138"/>
      <c r="W1233" s="136"/>
      <c r="X1233" s="137"/>
    </row>
    <row r="1234" spans="1:24">
      <c r="A1234" s="614"/>
      <c r="B1234" s="26"/>
      <c r="C1234" s="612"/>
      <c r="D1234" s="141"/>
      <c r="E1234" s="141"/>
      <c r="F1234" s="141"/>
      <c r="G1234" s="141"/>
      <c r="H1234" s="141"/>
      <c r="I1234" s="141"/>
      <c r="J1234" s="141"/>
      <c r="K1234" s="142"/>
      <c r="L1234" s="142"/>
      <c r="M1234" s="142"/>
      <c r="N1234" s="142"/>
      <c r="O1234" s="142"/>
      <c r="P1234" s="142"/>
      <c r="Q1234" s="142"/>
      <c r="R1234" s="142"/>
      <c r="S1234" s="142"/>
      <c r="T1234" s="143">
        <f>SUM(T1203:T1233)</f>
        <v>4</v>
      </c>
      <c r="U1234" s="141"/>
      <c r="V1234" s="144">
        <f>SUM(V1203:V1233)</f>
        <v>36820.189999999995</v>
      </c>
      <c r="W1234" s="144">
        <f t="shared" ref="W1234:X1234" si="272">SUM(W1203:W1233)</f>
        <v>0</v>
      </c>
      <c r="X1234" s="144">
        <f t="shared" si="272"/>
        <v>0</v>
      </c>
    </row>
    <row r="1237" spans="1:24">
      <c r="B1237" s="4" t="s">
        <v>1</v>
      </c>
      <c r="C1237" s="5"/>
      <c r="D1237" s="6"/>
      <c r="E1237" s="6"/>
      <c r="F1237" s="7" t="s">
        <v>2</v>
      </c>
      <c r="G1237" s="608">
        <v>45942</v>
      </c>
      <c r="H1237" s="7"/>
      <c r="I1237" s="6"/>
      <c r="J1237" s="6"/>
      <c r="K1237" s="6"/>
      <c r="L1237" s="6"/>
      <c r="M1237" s="6"/>
      <c r="N1237" s="6"/>
      <c r="O1237" s="6"/>
      <c r="P1237" s="6"/>
      <c r="Q1237" s="6"/>
      <c r="R1237" s="6"/>
      <c r="S1237" s="6"/>
      <c r="T1237" s="6"/>
      <c r="U1237" s="9"/>
      <c r="V1237" s="10"/>
      <c r="W1237" s="10"/>
      <c r="X1237" s="10"/>
    </row>
    <row r="1238" spans="1:24">
      <c r="B1238" s="11"/>
      <c r="C1238" s="10"/>
      <c r="D1238" s="10"/>
      <c r="E1238" s="12" t="s">
        <v>645</v>
      </c>
      <c r="F1238" s="10"/>
      <c r="I1238" s="10"/>
      <c r="J1238" s="10"/>
      <c r="K1238" s="13" t="s">
        <v>3</v>
      </c>
      <c r="L1238" s="14"/>
      <c r="M1238" s="15"/>
      <c r="N1238" s="13" t="s">
        <v>4</v>
      </c>
      <c r="O1238" s="14"/>
      <c r="P1238" s="15"/>
      <c r="Q1238" s="13" t="s">
        <v>5</v>
      </c>
      <c r="R1238" s="14"/>
      <c r="S1238" s="15"/>
      <c r="T1238" s="16"/>
      <c r="U1238" s="17"/>
      <c r="V1238" s="10"/>
      <c r="W1238" s="10"/>
      <c r="X1238" s="10"/>
    </row>
    <row r="1239" spans="1:24">
      <c r="B1239" s="18" t="s">
        <v>6</v>
      </c>
      <c r="C1239" s="19">
        <f>C1240+C1241</f>
        <v>31</v>
      </c>
      <c r="D1239" s="10"/>
      <c r="E1239" s="18" t="s">
        <v>7</v>
      </c>
      <c r="F1239" s="6"/>
      <c r="G1239" s="9"/>
      <c r="H1239" s="10"/>
      <c r="I1239" s="10"/>
      <c r="J1239" s="10"/>
      <c r="K1239" s="20" t="s">
        <v>8</v>
      </c>
      <c r="L1239" s="21" t="s">
        <v>9</v>
      </c>
      <c r="M1239" s="21" t="s">
        <v>10</v>
      </c>
      <c r="N1239" s="20" t="s">
        <v>11</v>
      </c>
      <c r="O1239" s="21" t="s">
        <v>12</v>
      </c>
      <c r="P1239" s="22" t="s">
        <v>13</v>
      </c>
      <c r="Q1239" s="21" t="s">
        <v>11</v>
      </c>
      <c r="R1239" s="21" t="s">
        <v>12</v>
      </c>
      <c r="S1239" s="22" t="s">
        <v>13</v>
      </c>
      <c r="T1239" s="23" t="s">
        <v>14</v>
      </c>
      <c r="U1239" s="17"/>
      <c r="V1239" s="10"/>
      <c r="W1239" s="10"/>
      <c r="X1239" s="10"/>
    </row>
    <row r="1240" spans="1:24">
      <c r="B1240" s="24" t="s">
        <v>15</v>
      </c>
      <c r="C1240" s="25">
        <f>P1247</f>
        <v>19</v>
      </c>
      <c r="D1240" s="10"/>
      <c r="E1240" s="11" t="s">
        <v>16</v>
      </c>
      <c r="F1240" s="10" t="s">
        <v>78</v>
      </c>
      <c r="G1240" s="153">
        <v>0.05</v>
      </c>
      <c r="H1240" s="10"/>
      <c r="I1240" s="10"/>
      <c r="J1240" s="18" t="s">
        <v>17</v>
      </c>
      <c r="K1240" s="29">
        <f>K1280</f>
        <v>15</v>
      </c>
      <c r="L1240" s="29">
        <f t="shared" ref="L1240:S1240" si="273">L1280</f>
        <v>13</v>
      </c>
      <c r="M1240" s="29">
        <f t="shared" si="273"/>
        <v>14</v>
      </c>
      <c r="N1240" s="29">
        <f t="shared" si="273"/>
        <v>15</v>
      </c>
      <c r="O1240" s="29">
        <f t="shared" si="273"/>
        <v>15</v>
      </c>
      <c r="P1240" s="29">
        <f t="shared" si="273"/>
        <v>14</v>
      </c>
      <c r="Q1240" s="29">
        <f t="shared" si="273"/>
        <v>14</v>
      </c>
      <c r="R1240" s="29">
        <f t="shared" si="273"/>
        <v>14</v>
      </c>
      <c r="S1240" s="29">
        <f t="shared" si="273"/>
        <v>14</v>
      </c>
      <c r="T1240" s="30">
        <f>T1333</f>
        <v>8</v>
      </c>
      <c r="U1240" s="17"/>
      <c r="V1240" s="10"/>
      <c r="W1240" s="10"/>
      <c r="X1240" s="10"/>
    </row>
    <row r="1241" spans="1:24">
      <c r="B1241" s="24" t="s">
        <v>18</v>
      </c>
      <c r="C1241" s="25">
        <f>P1248</f>
        <v>12</v>
      </c>
      <c r="D1241" s="10"/>
      <c r="E1241" s="26" t="s">
        <v>80</v>
      </c>
      <c r="F1241" s="141" t="s">
        <v>81</v>
      </c>
      <c r="G1241" s="154">
        <v>0.1</v>
      </c>
      <c r="H1241" s="10"/>
      <c r="I1241" s="10"/>
      <c r="J1241" s="32" t="s">
        <v>19</v>
      </c>
      <c r="K1241" s="33">
        <f>K1280/K1279</f>
        <v>1</v>
      </c>
      <c r="L1241" s="33">
        <f t="shared" ref="L1241:S1241" si="274">L1280/L1279</f>
        <v>0.8666666666666667</v>
      </c>
      <c r="M1241" s="33">
        <f t="shared" si="274"/>
        <v>0.93333333333333335</v>
      </c>
      <c r="N1241" s="33">
        <f t="shared" si="274"/>
        <v>1</v>
      </c>
      <c r="O1241" s="33">
        <f t="shared" si="274"/>
        <v>1</v>
      </c>
      <c r="P1241" s="33">
        <f t="shared" si="274"/>
        <v>0.93333333333333335</v>
      </c>
      <c r="Q1241" s="33">
        <f t="shared" si="274"/>
        <v>0.93333333333333335</v>
      </c>
      <c r="R1241" s="33">
        <f t="shared" si="274"/>
        <v>0.93333333333333335</v>
      </c>
      <c r="S1241" s="33">
        <f t="shared" si="274"/>
        <v>0.93333333333333335</v>
      </c>
      <c r="T1241" s="23"/>
      <c r="U1241" s="17" t="s">
        <v>20</v>
      </c>
      <c r="V1241" s="10"/>
      <c r="W1241" s="10"/>
      <c r="X1241" s="10"/>
    </row>
    <row r="1242" spans="1:24">
      <c r="B1242" s="24" t="s">
        <v>21</v>
      </c>
      <c r="C1242" s="34">
        <f>P1249</f>
        <v>0.61290322580645162</v>
      </c>
      <c r="D1242" s="10"/>
      <c r="E1242" s="10"/>
      <c r="F1242" s="10"/>
      <c r="G1242" s="10"/>
      <c r="H1242" s="10"/>
      <c r="I1242" s="10"/>
      <c r="J1242" s="10"/>
      <c r="K1242" s="10"/>
      <c r="L1242" s="10"/>
      <c r="M1242" s="10"/>
      <c r="N1242" s="10"/>
      <c r="O1242" s="10"/>
      <c r="P1242" s="10"/>
      <c r="Q1242" s="10"/>
      <c r="R1242" s="10"/>
      <c r="S1242" s="10"/>
      <c r="T1242" s="10"/>
      <c r="U1242" s="17"/>
      <c r="V1242" s="10"/>
      <c r="W1242" s="10"/>
      <c r="X1242" s="10"/>
    </row>
    <row r="1243" spans="1:24">
      <c r="B1243" s="24"/>
      <c r="C1243" s="25"/>
      <c r="D1243" s="10"/>
      <c r="E1243" s="10"/>
      <c r="F1243" s="18" t="s">
        <v>22</v>
      </c>
      <c r="G1243" s="19" t="s">
        <v>23</v>
      </c>
      <c r="H1243" s="35" t="s">
        <v>24</v>
      </c>
      <c r="I1243" s="10"/>
      <c r="J1243" s="10"/>
      <c r="K1243" s="36"/>
      <c r="L1243" s="36"/>
      <c r="M1243" s="36"/>
      <c r="N1243" s="36"/>
      <c r="O1243" s="36"/>
      <c r="P1243" s="36"/>
      <c r="Q1243" s="36"/>
      <c r="R1243" s="10"/>
      <c r="S1243" s="10"/>
      <c r="T1243" s="10"/>
      <c r="U1243" s="17"/>
      <c r="V1243" s="10"/>
      <c r="W1243" s="10"/>
      <c r="X1243" s="10"/>
    </row>
    <row r="1244" spans="1:24" ht="22.5" customHeight="1">
      <c r="B1244" s="32" t="s">
        <v>25</v>
      </c>
      <c r="C1244" s="37">
        <f>P1250</f>
        <v>3638.0536842105257</v>
      </c>
      <c r="D1244" s="10"/>
      <c r="E1244" s="18" t="s">
        <v>26</v>
      </c>
      <c r="F1244" s="38">
        <f>P1246</f>
        <v>69123.01999999999</v>
      </c>
      <c r="G1244" s="39">
        <f>I1279+I1298</f>
        <v>69123.01999999999</v>
      </c>
      <c r="H1244" s="767" t="s">
        <v>646</v>
      </c>
      <c r="I1244" s="767"/>
      <c r="J1244" s="767"/>
      <c r="K1244" s="43" t="s">
        <v>27</v>
      </c>
      <c r="L1244" s="44"/>
      <c r="M1244" s="44"/>
      <c r="N1244" s="44"/>
      <c r="O1244" s="44"/>
      <c r="P1244" s="44"/>
      <c r="Q1244" s="45"/>
      <c r="R1244" s="46" t="s">
        <v>28</v>
      </c>
      <c r="S1244" s="47" t="s">
        <v>29</v>
      </c>
      <c r="T1244" s="10"/>
      <c r="U1244" s="17"/>
      <c r="V1244" s="10"/>
      <c r="W1244" s="10"/>
      <c r="X1244" s="10"/>
    </row>
    <row r="1245" spans="1:24" ht="20.25" customHeight="1">
      <c r="B1245" s="11"/>
      <c r="C1245" s="10"/>
      <c r="D1245" s="10"/>
      <c r="E1245" s="24" t="s">
        <v>30</v>
      </c>
      <c r="F1245" s="48">
        <f>IF(F1244&gt;=25000,10%,5%)</f>
        <v>0.1</v>
      </c>
      <c r="G1245" s="17"/>
      <c r="H1245" s="767"/>
      <c r="I1245" s="767"/>
      <c r="J1245" s="767"/>
      <c r="K1245" s="20" t="s">
        <v>31</v>
      </c>
      <c r="L1245" s="21" t="s">
        <v>32</v>
      </c>
      <c r="M1245" s="21" t="s">
        <v>33</v>
      </c>
      <c r="N1245" s="21" t="s">
        <v>34</v>
      </c>
      <c r="O1245" s="21" t="s">
        <v>35</v>
      </c>
      <c r="P1245" s="21" t="s">
        <v>36</v>
      </c>
      <c r="Q1245" s="49" t="s">
        <v>37</v>
      </c>
      <c r="R1245" s="50" t="s">
        <v>38</v>
      </c>
      <c r="S1245" s="50" t="s">
        <v>38</v>
      </c>
      <c r="T1245" s="10"/>
      <c r="U1245" s="17"/>
      <c r="V1245" s="10"/>
      <c r="W1245" s="10"/>
      <c r="X1245" s="10"/>
    </row>
    <row r="1246" spans="1:24">
      <c r="B1246" s="11"/>
      <c r="C1246" s="10"/>
      <c r="D1246" s="10"/>
      <c r="E1246" s="51" t="s">
        <v>39</v>
      </c>
      <c r="F1246" s="52">
        <f>(F1244-I1294-I1295-I1296-I1297)*F1245</f>
        <v>2453.9909999999991</v>
      </c>
      <c r="G1246" s="53" t="s">
        <v>40</v>
      </c>
      <c r="H1246" s="484">
        <f>F1246/1.12</f>
        <v>2191.0633928571419</v>
      </c>
      <c r="I1246" s="55"/>
      <c r="J1246" s="42"/>
      <c r="K1246" s="56">
        <f>I1264+I1267+I1265+I1294+I1266+I1295</f>
        <v>37864.720000000001</v>
      </c>
      <c r="L1246" s="57">
        <f>I1268+I1269+I1296</f>
        <v>12110.769999999999</v>
      </c>
      <c r="M1246" s="57">
        <f>I1270+I1271</f>
        <v>1566.2</v>
      </c>
      <c r="N1246" s="57">
        <f>I1272+I1273+I1274</f>
        <v>3123.6</v>
      </c>
      <c r="O1246" s="57">
        <f>I1275+I1276+I1277+I1278+I1297</f>
        <v>14457.73</v>
      </c>
      <c r="P1246" s="57">
        <f>SUM(K1246:O1246)</f>
        <v>69123.01999999999</v>
      </c>
      <c r="Q1246" s="58">
        <f>I1283+I1284</f>
        <v>5959.26</v>
      </c>
      <c r="R1246" s="59">
        <f>+I1298</f>
        <v>44583.11</v>
      </c>
      <c r="S1246" s="59">
        <f>+I1301</f>
        <v>4537.96</v>
      </c>
      <c r="T1246" s="10"/>
      <c r="U1246" s="17"/>
      <c r="V1246" s="10"/>
      <c r="W1246" s="10"/>
      <c r="X1246" s="10"/>
    </row>
    <row r="1247" spans="1:24">
      <c r="B1247" s="11"/>
      <c r="C1247" s="10"/>
      <c r="D1247" s="10"/>
      <c r="E1247" s="24" t="s">
        <v>41</v>
      </c>
      <c r="F1247" s="60">
        <f>Q1246</f>
        <v>5959.26</v>
      </c>
      <c r="G1247" s="61" t="s">
        <v>40</v>
      </c>
      <c r="H1247" s="62"/>
      <c r="I1247" s="384" t="s">
        <v>647</v>
      </c>
      <c r="J1247" s="10" t="s">
        <v>42</v>
      </c>
      <c r="K1247" s="63">
        <v>6</v>
      </c>
      <c r="L1247" s="63">
        <v>3</v>
      </c>
      <c r="M1247" s="63">
        <v>2</v>
      </c>
      <c r="N1247" s="63">
        <v>3</v>
      </c>
      <c r="O1247" s="63">
        <v>5</v>
      </c>
      <c r="P1247" s="21">
        <f>SUM(K1247:O1247)</f>
        <v>19</v>
      </c>
      <c r="Q1247" s="64">
        <v>2</v>
      </c>
      <c r="R1247" s="63"/>
      <c r="S1247" s="10"/>
      <c r="T1247" s="10"/>
      <c r="U1247" s="17"/>
      <c r="V1247" s="10"/>
      <c r="W1247" s="10"/>
      <c r="X1247" s="10"/>
    </row>
    <row r="1248" spans="1:24">
      <c r="B1248" s="11"/>
      <c r="C1248" s="10"/>
      <c r="D1248" s="10"/>
      <c r="E1248" s="51" t="s">
        <v>43</v>
      </c>
      <c r="F1248" s="52">
        <f>(F1247)*0.25</f>
        <v>1489.8150000000001</v>
      </c>
      <c r="G1248" s="53" t="s">
        <v>40</v>
      </c>
      <c r="H1248" s="54">
        <f>F1248/1.12</f>
        <v>1330.1919642857142</v>
      </c>
      <c r="I1248" s="644">
        <f>10*67.5</f>
        <v>675</v>
      </c>
      <c r="J1248" s="10" t="s">
        <v>44</v>
      </c>
      <c r="K1248" s="63">
        <v>1</v>
      </c>
      <c r="L1248" s="63">
        <v>4</v>
      </c>
      <c r="M1248" s="63">
        <v>3</v>
      </c>
      <c r="N1248" s="63">
        <v>3</v>
      </c>
      <c r="O1248" s="63">
        <v>1</v>
      </c>
      <c r="P1248" s="21">
        <f>SUM(K1248:O1248)</f>
        <v>12</v>
      </c>
      <c r="Q1248" s="64">
        <v>3</v>
      </c>
      <c r="R1248" s="63"/>
      <c r="S1248" s="10"/>
      <c r="T1248" s="10"/>
      <c r="U1248" s="17"/>
      <c r="V1248" s="10"/>
      <c r="W1248" s="10"/>
      <c r="X1248" s="10"/>
    </row>
    <row r="1249" spans="2:24">
      <c r="B1249" s="11"/>
      <c r="C1249" s="10"/>
      <c r="D1249" s="10"/>
      <c r="E1249" s="24" t="s">
        <v>45</v>
      </c>
      <c r="F1249" s="60">
        <f>I1291</f>
        <v>16873.27</v>
      </c>
      <c r="G1249" s="61" t="s">
        <v>40</v>
      </c>
      <c r="H1249" s="62"/>
      <c r="I1249" s="10"/>
      <c r="J1249" s="10" t="s">
        <v>46</v>
      </c>
      <c r="K1249" s="31">
        <f t="shared" ref="K1249:Q1249" si="275">K1247/(K1247+K1248)</f>
        <v>0.8571428571428571</v>
      </c>
      <c r="L1249" s="31">
        <f t="shared" si="275"/>
        <v>0.42857142857142855</v>
      </c>
      <c r="M1249" s="31">
        <f t="shared" si="275"/>
        <v>0.4</v>
      </c>
      <c r="N1249" s="31">
        <f t="shared" si="275"/>
        <v>0.5</v>
      </c>
      <c r="O1249" s="31">
        <f t="shared" si="275"/>
        <v>0.83333333333333337</v>
      </c>
      <c r="P1249" s="31">
        <f t="shared" si="275"/>
        <v>0.61290322580645162</v>
      </c>
      <c r="Q1249" s="31">
        <f t="shared" si="275"/>
        <v>0.4</v>
      </c>
      <c r="R1249" s="63"/>
      <c r="S1249" s="10"/>
      <c r="T1249" s="10"/>
      <c r="U1249" s="17"/>
      <c r="V1249" s="10"/>
      <c r="W1249" s="10"/>
      <c r="X1249" s="10"/>
    </row>
    <row r="1250" spans="2:24">
      <c r="B1250" s="11"/>
      <c r="C1250" s="10"/>
      <c r="D1250" s="10"/>
      <c r="E1250" s="51" t="s">
        <v>47</v>
      </c>
      <c r="F1250" s="52">
        <f>(F1249+F1255)*0.05</f>
        <v>841.31900000000007</v>
      </c>
      <c r="G1250" s="65" t="s">
        <v>40</v>
      </c>
      <c r="H1250" s="54">
        <f>F1250/1.12</f>
        <v>751.1776785714286</v>
      </c>
      <c r="I1250" s="42"/>
      <c r="J1250" s="10" t="s">
        <v>48</v>
      </c>
      <c r="K1250" s="66">
        <f>K1246/K1247</f>
        <v>6310.7866666666669</v>
      </c>
      <c r="L1250" s="66">
        <f t="shared" ref="L1250:Q1250" si="276">L1246/L1247</f>
        <v>4036.9233333333327</v>
      </c>
      <c r="M1250" s="66">
        <f t="shared" si="276"/>
        <v>783.1</v>
      </c>
      <c r="N1250" s="66">
        <f t="shared" si="276"/>
        <v>1041.2</v>
      </c>
      <c r="O1250" s="66">
        <f t="shared" si="276"/>
        <v>2891.5459999999998</v>
      </c>
      <c r="P1250" s="66">
        <f t="shared" si="276"/>
        <v>3638.0536842105257</v>
      </c>
      <c r="Q1250" s="66">
        <f t="shared" si="276"/>
        <v>2979.63</v>
      </c>
      <c r="R1250" s="63"/>
      <c r="S1250" s="10"/>
      <c r="T1250" s="10"/>
      <c r="U1250" s="17"/>
      <c r="V1250" s="10"/>
      <c r="W1250" s="10"/>
      <c r="X1250" s="10"/>
    </row>
    <row r="1251" spans="2:24">
      <c r="B1251" s="11"/>
      <c r="C1251" s="10"/>
      <c r="D1251" s="10"/>
      <c r="E1251" s="67" t="s">
        <v>14</v>
      </c>
      <c r="F1251" s="68">
        <f>8*50</f>
        <v>400</v>
      </c>
      <c r="G1251" s="10"/>
      <c r="H1251" s="54">
        <f>F1251/1.12</f>
        <v>357.14285714285711</v>
      </c>
      <c r="I1251" s="10"/>
      <c r="J1251" s="10"/>
      <c r="K1251" s="10"/>
      <c r="L1251" s="10"/>
      <c r="M1251" s="10"/>
      <c r="N1251" s="10"/>
      <c r="O1251" s="10"/>
      <c r="P1251" s="10"/>
      <c r="Q1251" s="10"/>
      <c r="R1251" s="10"/>
      <c r="S1251" s="10"/>
      <c r="T1251" s="10"/>
      <c r="U1251" s="17"/>
      <c r="V1251" s="10"/>
      <c r="W1251" s="10"/>
      <c r="X1251" s="10"/>
    </row>
    <row r="1252" spans="2:24">
      <c r="B1252" s="11"/>
      <c r="C1252" s="10"/>
      <c r="D1252" s="10"/>
      <c r="E1252" s="67" t="s">
        <v>49</v>
      </c>
      <c r="F1252" s="69">
        <f>T1241</f>
        <v>0</v>
      </c>
      <c r="G1252" s="10"/>
      <c r="H1252" s="54"/>
      <c r="I1252" s="55"/>
      <c r="J1252" s="42"/>
      <c r="K1252" s="764" t="s">
        <v>50</v>
      </c>
      <c r="L1252" s="765"/>
      <c r="M1252" s="765"/>
      <c r="N1252" s="765"/>
      <c r="O1252" s="765"/>
      <c r="P1252" s="765"/>
      <c r="Q1252" s="766"/>
      <c r="R1252" s="70" t="s">
        <v>28</v>
      </c>
      <c r="S1252" s="71" t="s">
        <v>29</v>
      </c>
      <c r="T1252" s="10"/>
      <c r="U1252" s="17"/>
      <c r="V1252" s="10"/>
      <c r="W1252" s="10"/>
      <c r="X1252" s="10"/>
    </row>
    <row r="1253" spans="2:24">
      <c r="B1253" s="11"/>
      <c r="C1253" s="10"/>
      <c r="D1253" s="10"/>
      <c r="E1253" s="155" t="s">
        <v>648</v>
      </c>
      <c r="F1253" s="156">
        <f>$F$1036</f>
        <v>463.82749999999999</v>
      </c>
      <c r="G1253" s="123"/>
      <c r="H1253" s="54">
        <f>F1253/1.12</f>
        <v>414.13169642857139</v>
      </c>
      <c r="I1253" s="10"/>
      <c r="J1253" s="42"/>
      <c r="K1253" s="20" t="s">
        <v>31</v>
      </c>
      <c r="L1253" s="21" t="s">
        <v>32</v>
      </c>
      <c r="M1253" s="21" t="s">
        <v>33</v>
      </c>
      <c r="N1253" s="21" t="s">
        <v>34</v>
      </c>
      <c r="O1253" s="21" t="s">
        <v>35</v>
      </c>
      <c r="P1253" s="21" t="s">
        <v>36</v>
      </c>
      <c r="Q1253" s="49" t="s">
        <v>37</v>
      </c>
      <c r="R1253" s="50" t="s">
        <v>38</v>
      </c>
      <c r="S1253" s="50" t="s">
        <v>38</v>
      </c>
      <c r="T1253" s="10"/>
      <c r="U1253" s="17"/>
      <c r="V1253" s="10"/>
      <c r="W1253" s="10"/>
      <c r="X1253" s="10"/>
    </row>
    <row r="1254" spans="2:24">
      <c r="B1254" s="11"/>
      <c r="C1254" s="10"/>
      <c r="D1254" s="10"/>
      <c r="E1254" s="155" t="s">
        <v>649</v>
      </c>
      <c r="F1254" s="156">
        <f>$F$1186</f>
        <v>1473.7844999999998</v>
      </c>
      <c r="G1254" s="123"/>
      <c r="H1254" s="54">
        <f>F1254/1.12</f>
        <v>1315.8790178571426</v>
      </c>
      <c r="I1254" s="10"/>
      <c r="J1254" s="42"/>
      <c r="K1254" s="56">
        <f>F1264+F1267+F1265+F1294+F1266+F1295</f>
        <v>45237</v>
      </c>
      <c r="L1254" s="57">
        <f>F1268+F1269+F1296</f>
        <v>13611.58</v>
      </c>
      <c r="M1254" s="57">
        <f>F1270+F1271</f>
        <v>2155.9</v>
      </c>
      <c r="N1254" s="57">
        <f>F1272+F1273+F1274</f>
        <v>3203</v>
      </c>
      <c r="O1254" s="57">
        <f>F1275+F1276+F1277+F1278+F1297</f>
        <v>16012.6</v>
      </c>
      <c r="P1254" s="57">
        <f>SUM(K1254:O1254)</f>
        <v>80220.08</v>
      </c>
      <c r="Q1254" s="58">
        <f>F1283+F1284</f>
        <v>7593.6</v>
      </c>
      <c r="R1254" s="59">
        <f>+F1298</f>
        <v>51709.979999999996</v>
      </c>
      <c r="S1254" s="59">
        <f>+F1301</f>
        <v>6132.6</v>
      </c>
      <c r="T1254" s="10"/>
      <c r="U1254" s="17"/>
      <c r="V1254" s="10"/>
      <c r="W1254" s="10"/>
      <c r="X1254" s="10"/>
    </row>
    <row r="1255" spans="2:24">
      <c r="B1255" s="11"/>
      <c r="C1255" s="10"/>
      <c r="D1255" s="10"/>
      <c r="E1255" s="74" t="s">
        <v>650</v>
      </c>
      <c r="F1255" s="75">
        <v>-46.89</v>
      </c>
      <c r="G1255" s="10"/>
      <c r="H1255" s="10"/>
      <c r="I1255" s="10"/>
      <c r="J1255" s="10" t="s">
        <v>42</v>
      </c>
      <c r="K1255" s="63">
        <f>K1247</f>
        <v>6</v>
      </c>
      <c r="L1255" s="63">
        <f t="shared" ref="L1255:Q1256" si="277">L1247</f>
        <v>3</v>
      </c>
      <c r="M1255" s="63">
        <f t="shared" si="277"/>
        <v>2</v>
      </c>
      <c r="N1255" s="63">
        <f t="shared" si="277"/>
        <v>3</v>
      </c>
      <c r="O1255" s="63">
        <f t="shared" si="277"/>
        <v>5</v>
      </c>
      <c r="P1255" s="63">
        <f t="shared" si="277"/>
        <v>19</v>
      </c>
      <c r="Q1255" s="63">
        <f t="shared" si="277"/>
        <v>2</v>
      </c>
      <c r="R1255" s="63"/>
      <c r="S1255" s="10"/>
      <c r="T1255" s="10"/>
      <c r="U1255" s="17"/>
      <c r="V1255" s="10"/>
      <c r="W1255" s="10"/>
      <c r="X1255" s="10"/>
    </row>
    <row r="1256" spans="2:24">
      <c r="B1256" s="11"/>
      <c r="C1256" s="10"/>
      <c r="D1256" s="10"/>
      <c r="E1256" s="10"/>
      <c r="F1256" s="10"/>
      <c r="G1256" s="10"/>
      <c r="H1256" s="10"/>
      <c r="I1256" s="10"/>
      <c r="J1256" s="10" t="s">
        <v>44</v>
      </c>
      <c r="K1256" s="63">
        <f>K1248</f>
        <v>1</v>
      </c>
      <c r="L1256" s="63">
        <f t="shared" si="277"/>
        <v>4</v>
      </c>
      <c r="M1256" s="63">
        <f t="shared" si="277"/>
        <v>3</v>
      </c>
      <c r="N1256" s="63">
        <f t="shared" si="277"/>
        <v>3</v>
      </c>
      <c r="O1256" s="63">
        <f t="shared" si="277"/>
        <v>1</v>
      </c>
      <c r="P1256" s="63">
        <f t="shared" si="277"/>
        <v>12</v>
      </c>
      <c r="Q1256" s="63">
        <f t="shared" si="277"/>
        <v>3</v>
      </c>
      <c r="R1256" s="63"/>
      <c r="S1256" s="10"/>
      <c r="T1256" s="10"/>
      <c r="U1256" s="17"/>
      <c r="V1256" s="10"/>
      <c r="W1256" s="10"/>
      <c r="X1256" s="10"/>
    </row>
    <row r="1257" spans="2:24">
      <c r="B1257" s="11"/>
      <c r="C1257" s="10"/>
      <c r="D1257" s="10"/>
      <c r="E1257" s="12"/>
      <c r="F1257" s="76"/>
      <c r="G1257" s="10"/>
      <c r="H1257" s="10"/>
      <c r="I1257" s="10"/>
      <c r="J1257" s="10" t="s">
        <v>46</v>
      </c>
      <c r="K1257" s="31">
        <f t="shared" ref="K1257:Q1257" si="278">K1255/(K1255+K1256)</f>
        <v>0.8571428571428571</v>
      </c>
      <c r="L1257" s="31">
        <f t="shared" si="278"/>
        <v>0.42857142857142855</v>
      </c>
      <c r="M1257" s="31">
        <f t="shared" si="278"/>
        <v>0.4</v>
      </c>
      <c r="N1257" s="31">
        <f t="shared" si="278"/>
        <v>0.5</v>
      </c>
      <c r="O1257" s="31">
        <f t="shared" si="278"/>
        <v>0.83333333333333337</v>
      </c>
      <c r="P1257" s="31">
        <f t="shared" si="278"/>
        <v>0.61290322580645162</v>
      </c>
      <c r="Q1257" s="31">
        <f t="shared" si="278"/>
        <v>0.4</v>
      </c>
      <c r="R1257" s="63"/>
      <c r="S1257" s="10"/>
      <c r="T1257" s="10"/>
      <c r="U1257" s="17"/>
      <c r="V1257" s="10"/>
      <c r="W1257" s="10"/>
      <c r="X1257" s="10"/>
    </row>
    <row r="1258" spans="2:24">
      <c r="B1258" s="11"/>
      <c r="C1258" s="10"/>
      <c r="D1258" s="10"/>
      <c r="E1258" s="10"/>
      <c r="F1258" s="10"/>
      <c r="G1258" s="10"/>
      <c r="H1258" s="10"/>
      <c r="I1258" s="10"/>
      <c r="J1258" s="10" t="s">
        <v>48</v>
      </c>
      <c r="K1258" s="66">
        <f t="shared" ref="K1258:Q1258" si="279">K1254/K1255</f>
        <v>7539.5</v>
      </c>
      <c r="L1258" s="66">
        <f t="shared" si="279"/>
        <v>4537.1933333333336</v>
      </c>
      <c r="M1258" s="66">
        <f t="shared" si="279"/>
        <v>1077.95</v>
      </c>
      <c r="N1258" s="66">
        <f t="shared" si="279"/>
        <v>1067.6666666666667</v>
      </c>
      <c r="O1258" s="66">
        <f t="shared" si="279"/>
        <v>3202.52</v>
      </c>
      <c r="P1258" s="66">
        <f t="shared" si="279"/>
        <v>4222.1094736842106</v>
      </c>
      <c r="Q1258" s="66">
        <f t="shared" si="279"/>
        <v>3796.8</v>
      </c>
      <c r="R1258" s="63"/>
      <c r="S1258" s="10"/>
      <c r="T1258" s="10"/>
      <c r="U1258" s="17"/>
      <c r="V1258" s="10"/>
      <c r="W1258" s="10"/>
      <c r="X1258" s="10"/>
    </row>
    <row r="1259" spans="2:24">
      <c r="B1259" s="11"/>
      <c r="C1259" s="10"/>
      <c r="D1259" s="10"/>
      <c r="E1259" s="10"/>
      <c r="F1259" s="10"/>
      <c r="G1259" s="10"/>
      <c r="H1259" s="10"/>
      <c r="I1259" s="10"/>
      <c r="J1259" s="10"/>
      <c r="K1259" s="10"/>
      <c r="L1259" s="10"/>
      <c r="M1259" s="10"/>
      <c r="N1259" s="10"/>
      <c r="O1259" s="10"/>
      <c r="P1259" s="10"/>
      <c r="Q1259" s="10"/>
      <c r="R1259" s="10"/>
      <c r="S1259" s="10"/>
      <c r="T1259" s="10"/>
      <c r="U1259" s="17"/>
      <c r="V1259" s="10"/>
      <c r="W1259" s="10"/>
      <c r="X1259" s="10"/>
    </row>
    <row r="1260" spans="2:24">
      <c r="B1260" s="11"/>
      <c r="C1260" s="10"/>
      <c r="D1260" s="10"/>
      <c r="E1260" s="10"/>
      <c r="F1260" s="10"/>
      <c r="G1260" s="10"/>
      <c r="H1260" s="10"/>
      <c r="I1260" s="10"/>
      <c r="J1260" s="10"/>
      <c r="K1260" s="10"/>
      <c r="L1260" s="10"/>
      <c r="M1260" s="10"/>
      <c r="N1260" s="10"/>
      <c r="O1260" s="10"/>
      <c r="P1260" s="10"/>
      <c r="Q1260" s="10"/>
      <c r="R1260" s="10"/>
      <c r="S1260" s="10"/>
      <c r="T1260" s="10"/>
      <c r="U1260" s="17"/>
      <c r="V1260" s="10"/>
      <c r="W1260" s="10"/>
      <c r="X1260" s="10"/>
    </row>
    <row r="1261" spans="2:24">
      <c r="B1261" s="18" t="s">
        <v>51</v>
      </c>
      <c r="C1261" s="14"/>
      <c r="D1261" s="14"/>
      <c r="E1261" s="14"/>
      <c r="F1261" s="13" t="s">
        <v>52</v>
      </c>
      <c r="G1261" s="14"/>
      <c r="H1261" s="14"/>
      <c r="I1261" s="14"/>
      <c r="J1261" s="14"/>
      <c r="K1261" s="13" t="s">
        <v>3</v>
      </c>
      <c r="L1261" s="14"/>
      <c r="M1261" s="14"/>
      <c r="N1261" s="13" t="s">
        <v>4</v>
      </c>
      <c r="O1261" s="14"/>
      <c r="P1261" s="14"/>
      <c r="Q1261" s="13" t="s">
        <v>5</v>
      </c>
      <c r="R1261" s="14"/>
      <c r="S1261" s="14"/>
      <c r="T1261" s="18"/>
      <c r="U1261" s="16" t="s">
        <v>53</v>
      </c>
      <c r="V1261" s="77"/>
      <c r="W1261" s="77"/>
      <c r="X1261" s="77"/>
    </row>
    <row r="1262" spans="2:24">
      <c r="B1262" s="24" t="s">
        <v>54</v>
      </c>
      <c r="C1262" s="21" t="s">
        <v>55</v>
      </c>
      <c r="D1262" s="21" t="s">
        <v>56</v>
      </c>
      <c r="E1262" s="21" t="s">
        <v>57</v>
      </c>
      <c r="F1262" s="20" t="s">
        <v>58</v>
      </c>
      <c r="G1262" s="21" t="s">
        <v>59</v>
      </c>
      <c r="H1262" s="21" t="s">
        <v>60</v>
      </c>
      <c r="I1262" s="21" t="s">
        <v>26</v>
      </c>
      <c r="J1262" s="22" t="s">
        <v>61</v>
      </c>
      <c r="K1262" s="21" t="s">
        <v>8</v>
      </c>
      <c r="L1262" s="21" t="s">
        <v>9</v>
      </c>
      <c r="M1262" s="21" t="s">
        <v>10</v>
      </c>
      <c r="N1262" s="20" t="s">
        <v>11</v>
      </c>
      <c r="O1262" s="21" t="s">
        <v>12</v>
      </c>
      <c r="P1262" s="22" t="s">
        <v>13</v>
      </c>
      <c r="Q1262" s="21" t="s">
        <v>11</v>
      </c>
      <c r="R1262" s="21" t="s">
        <v>12</v>
      </c>
      <c r="S1262" s="21" t="s">
        <v>13</v>
      </c>
      <c r="T1262" s="78" t="s">
        <v>14</v>
      </c>
      <c r="U1262" s="30"/>
      <c r="V1262" s="79" t="s">
        <v>62</v>
      </c>
      <c r="W1262" s="80" t="s">
        <v>63</v>
      </c>
      <c r="X1262" s="81" t="s">
        <v>64</v>
      </c>
    </row>
    <row r="1263" spans="2:24">
      <c r="B1263" s="4" t="s">
        <v>65</v>
      </c>
      <c r="C1263" s="6"/>
      <c r="D1263" s="6"/>
      <c r="E1263" s="6"/>
      <c r="F1263" s="6"/>
      <c r="G1263" s="6"/>
      <c r="H1263" s="6"/>
      <c r="I1263" s="82"/>
      <c r="J1263" s="6"/>
      <c r="K1263" s="6"/>
      <c r="L1263" s="6"/>
      <c r="M1263" s="6"/>
      <c r="N1263" s="6"/>
      <c r="O1263" s="6"/>
      <c r="P1263" s="6"/>
      <c r="Q1263" s="6"/>
      <c r="R1263" s="6"/>
      <c r="S1263" s="6"/>
      <c r="T1263" s="83"/>
      <c r="U1263" s="6"/>
      <c r="V1263" s="84"/>
      <c r="W1263" s="85"/>
      <c r="X1263" s="86"/>
    </row>
    <row r="1264" spans="2:24">
      <c r="B1264" s="87">
        <v>1</v>
      </c>
      <c r="C1264" s="274">
        <v>45936</v>
      </c>
      <c r="D1264" s="327">
        <v>73880</v>
      </c>
      <c r="E1264" s="276" t="s">
        <v>329</v>
      </c>
      <c r="F1264" s="277">
        <v>581</v>
      </c>
      <c r="G1264" s="277"/>
      <c r="H1264" s="297"/>
      <c r="I1264" s="278">
        <f t="shared" ref="I1264:I1278" si="280">F1264-G1264-H1264</f>
        <v>581</v>
      </c>
      <c r="J1264" s="279" t="s">
        <v>156</v>
      </c>
      <c r="K1264" s="279">
        <v>1</v>
      </c>
      <c r="L1264" s="279">
        <v>1</v>
      </c>
      <c r="M1264" s="279">
        <v>1</v>
      </c>
      <c r="N1264" s="279">
        <v>1</v>
      </c>
      <c r="O1264" s="279">
        <v>1</v>
      </c>
      <c r="P1264" s="279">
        <v>1</v>
      </c>
      <c r="Q1264" s="279">
        <v>1</v>
      </c>
      <c r="R1264" s="279">
        <v>1</v>
      </c>
      <c r="S1264" s="280">
        <v>1</v>
      </c>
      <c r="T1264" s="63"/>
      <c r="U1264" s="10"/>
      <c r="V1264" s="90">
        <f>64+575.1</f>
        <v>639.1</v>
      </c>
      <c r="W1264" s="91"/>
      <c r="X1264" s="92"/>
    </row>
    <row r="1265" spans="1:24">
      <c r="A1265" s="464">
        <v>45937</v>
      </c>
      <c r="B1265" s="87">
        <f>B1264+1</f>
        <v>2</v>
      </c>
      <c r="C1265" s="295">
        <v>45936</v>
      </c>
      <c r="D1265" s="323">
        <v>74054</v>
      </c>
      <c r="E1265" s="10" t="s">
        <v>363</v>
      </c>
      <c r="F1265" s="62">
        <v>9214</v>
      </c>
      <c r="G1265" s="62">
        <f>39.7+(657.55)+750</f>
        <v>1447.25</v>
      </c>
      <c r="H1265" s="62"/>
      <c r="I1265" s="324">
        <f>F1265-G1265-H1265</f>
        <v>7766.75</v>
      </c>
      <c r="J1265" s="63" t="s">
        <v>228</v>
      </c>
      <c r="K1265" s="63">
        <v>1</v>
      </c>
      <c r="L1265" s="325">
        <v>0</v>
      </c>
      <c r="M1265" s="63">
        <v>1</v>
      </c>
      <c r="N1265" s="63">
        <v>1</v>
      </c>
      <c r="O1265" s="63">
        <v>1</v>
      </c>
      <c r="P1265" s="63">
        <v>1</v>
      </c>
      <c r="Q1265" s="63">
        <v>1</v>
      </c>
      <c r="R1265" s="63">
        <v>1</v>
      </c>
      <c r="S1265" s="296">
        <v>1</v>
      </c>
      <c r="T1265" s="63"/>
      <c r="U1265" s="94" t="s">
        <v>651</v>
      </c>
      <c r="V1265" s="90">
        <f>1140+8995.4</f>
        <v>10135.4</v>
      </c>
      <c r="W1265" s="91"/>
      <c r="X1265" s="92"/>
    </row>
    <row r="1266" spans="1:24">
      <c r="A1266" s="464">
        <v>45938</v>
      </c>
      <c r="B1266" s="87">
        <f>B1265+1</f>
        <v>3</v>
      </c>
      <c r="C1266" s="295">
        <v>45936</v>
      </c>
      <c r="D1266" s="323">
        <v>73842</v>
      </c>
      <c r="E1266" s="10" t="s">
        <v>369</v>
      </c>
      <c r="F1266" s="62">
        <v>5814</v>
      </c>
      <c r="G1266" s="62">
        <f>39.7+(47.81)+(1238.43)+250</f>
        <v>1575.94</v>
      </c>
      <c r="H1266" s="62"/>
      <c r="I1266" s="89">
        <f t="shared" ref="I1266" si="281">F1266-G1266-H1266</f>
        <v>4238.0599999999995</v>
      </c>
      <c r="J1266" s="63" t="s">
        <v>156</v>
      </c>
      <c r="K1266" s="63">
        <v>1</v>
      </c>
      <c r="L1266" s="63">
        <v>1</v>
      </c>
      <c r="M1266" s="63">
        <v>1</v>
      </c>
      <c r="N1266" s="63">
        <v>1</v>
      </c>
      <c r="O1266" s="63">
        <v>1</v>
      </c>
      <c r="P1266" s="63">
        <v>1</v>
      </c>
      <c r="Q1266" s="63">
        <v>1</v>
      </c>
      <c r="R1266" s="63">
        <v>1</v>
      </c>
      <c r="S1266" s="296">
        <v>1</v>
      </c>
      <c r="T1266" s="21">
        <v>2</v>
      </c>
      <c r="U1266" s="94" t="s">
        <v>652</v>
      </c>
      <c r="V1266" s="90">
        <f>320+5500+575.4</f>
        <v>6395.4</v>
      </c>
      <c r="W1266" s="91"/>
      <c r="X1266" s="92"/>
    </row>
    <row r="1267" spans="1:24">
      <c r="B1267" s="87">
        <f>B1266+1</f>
        <v>4</v>
      </c>
      <c r="C1267" s="282">
        <v>45936</v>
      </c>
      <c r="D1267" s="368">
        <v>74052</v>
      </c>
      <c r="E1267" s="283" t="s">
        <v>653</v>
      </c>
      <c r="F1267" s="284">
        <v>1138</v>
      </c>
      <c r="G1267" s="284">
        <v>39.700000000000003</v>
      </c>
      <c r="H1267" s="284"/>
      <c r="I1267" s="300">
        <f t="shared" si="280"/>
        <v>1098.3</v>
      </c>
      <c r="J1267" s="286" t="s">
        <v>156</v>
      </c>
      <c r="K1267" s="286">
        <v>1</v>
      </c>
      <c r="L1267" s="332">
        <v>0</v>
      </c>
      <c r="M1267" s="332">
        <v>0</v>
      </c>
      <c r="N1267" s="286">
        <v>1</v>
      </c>
      <c r="O1267" s="286">
        <v>1</v>
      </c>
      <c r="P1267" s="286">
        <v>1</v>
      </c>
      <c r="Q1267" s="286">
        <v>1</v>
      </c>
      <c r="R1267" s="286">
        <v>1</v>
      </c>
      <c r="S1267" s="287">
        <v>1</v>
      </c>
      <c r="T1267" s="63"/>
      <c r="U1267" s="10"/>
      <c r="V1267" s="90">
        <f>125.2+1126.6</f>
        <v>1251.8</v>
      </c>
      <c r="W1267" s="91"/>
      <c r="X1267" s="92"/>
    </row>
    <row r="1268" spans="1:24">
      <c r="B1268" s="87">
        <f t="shared" ref="B1268:B1278" si="282">B1267+1</f>
        <v>5</v>
      </c>
      <c r="C1268" s="295">
        <v>45937</v>
      </c>
      <c r="D1268" s="323">
        <v>74093</v>
      </c>
      <c r="E1268" s="10" t="s">
        <v>654</v>
      </c>
      <c r="F1268" s="62">
        <v>900</v>
      </c>
      <c r="G1268" s="62">
        <f>39.7</f>
        <v>39.700000000000003</v>
      </c>
      <c r="H1268" s="62"/>
      <c r="I1268" s="89">
        <f t="shared" si="280"/>
        <v>860.3</v>
      </c>
      <c r="J1268" s="63" t="s">
        <v>156</v>
      </c>
      <c r="K1268" s="63">
        <v>1</v>
      </c>
      <c r="L1268" s="63">
        <v>1</v>
      </c>
      <c r="M1268" s="63">
        <v>1</v>
      </c>
      <c r="N1268" s="63">
        <v>1</v>
      </c>
      <c r="O1268" s="63">
        <v>1</v>
      </c>
      <c r="P1268" s="63">
        <v>1</v>
      </c>
      <c r="Q1268" s="63">
        <v>1</v>
      </c>
      <c r="R1268" s="63">
        <v>1</v>
      </c>
      <c r="S1268" s="296">
        <v>1</v>
      </c>
      <c r="T1268" s="21">
        <v>1</v>
      </c>
      <c r="U1268" s="10"/>
      <c r="V1268" s="90">
        <f>99+891</f>
        <v>990</v>
      </c>
      <c r="W1268" s="91"/>
      <c r="X1268" s="92"/>
    </row>
    <row r="1269" spans="1:24">
      <c r="B1269" s="87">
        <f t="shared" si="282"/>
        <v>6</v>
      </c>
      <c r="C1269" s="295">
        <v>45937</v>
      </c>
      <c r="D1269" s="323">
        <v>74159</v>
      </c>
      <c r="E1269" s="94" t="s">
        <v>184</v>
      </c>
      <c r="F1269" s="62">
        <v>1024.2</v>
      </c>
      <c r="G1269" s="62">
        <f>39.7</f>
        <v>39.700000000000003</v>
      </c>
      <c r="H1269" s="62"/>
      <c r="I1269" s="89">
        <f t="shared" si="280"/>
        <v>984.5</v>
      </c>
      <c r="J1269" s="63" t="s">
        <v>156</v>
      </c>
      <c r="K1269" s="63">
        <v>1</v>
      </c>
      <c r="L1269" s="63">
        <v>1</v>
      </c>
      <c r="M1269" s="63">
        <v>1</v>
      </c>
      <c r="N1269" s="63">
        <v>1</v>
      </c>
      <c r="O1269" s="63">
        <v>1</v>
      </c>
      <c r="P1269" s="63">
        <v>1</v>
      </c>
      <c r="Q1269" s="63">
        <v>1</v>
      </c>
      <c r="R1269" s="63">
        <v>1</v>
      </c>
      <c r="S1269" s="296">
        <v>1</v>
      </c>
      <c r="T1269" s="63"/>
      <c r="U1269" s="10"/>
      <c r="V1269" s="90">
        <f>112.6+1014.02</f>
        <v>1126.6199999999999</v>
      </c>
      <c r="W1269" s="91"/>
      <c r="X1269" s="92"/>
    </row>
    <row r="1270" spans="1:24">
      <c r="B1270" s="87">
        <f t="shared" si="282"/>
        <v>7</v>
      </c>
      <c r="C1270" s="274">
        <v>45938</v>
      </c>
      <c r="D1270" s="327">
        <v>74098</v>
      </c>
      <c r="E1270" s="276" t="s">
        <v>327</v>
      </c>
      <c r="F1270" s="277">
        <v>481</v>
      </c>
      <c r="G1270" s="277"/>
      <c r="H1270" s="277"/>
      <c r="I1270" s="278">
        <f t="shared" si="280"/>
        <v>481</v>
      </c>
      <c r="J1270" s="279" t="s">
        <v>156</v>
      </c>
      <c r="K1270" s="279">
        <v>1</v>
      </c>
      <c r="L1270" s="279">
        <v>1</v>
      </c>
      <c r="M1270" s="279">
        <v>1</v>
      </c>
      <c r="N1270" s="279">
        <v>1</v>
      </c>
      <c r="O1270" s="279">
        <v>1</v>
      </c>
      <c r="P1270" s="279">
        <v>1</v>
      </c>
      <c r="Q1270" s="279">
        <v>1</v>
      </c>
      <c r="R1270" s="279">
        <v>1</v>
      </c>
      <c r="S1270" s="280">
        <v>1</v>
      </c>
      <c r="T1270" s="21">
        <v>1</v>
      </c>
      <c r="U1270" s="10"/>
      <c r="V1270" s="90">
        <f>53+476.1</f>
        <v>529.1</v>
      </c>
      <c r="W1270" s="91"/>
      <c r="X1270" s="92"/>
    </row>
    <row r="1271" spans="1:24" s="260" customFormat="1">
      <c r="A1271" s="530">
        <v>45940</v>
      </c>
      <c r="B1271" s="87">
        <f>B1270+1</f>
        <v>8</v>
      </c>
      <c r="C1271" s="282">
        <v>45938</v>
      </c>
      <c r="D1271" s="368">
        <v>74190</v>
      </c>
      <c r="E1271" s="283" t="s">
        <v>563</v>
      </c>
      <c r="F1271" s="284">
        <v>1674.9</v>
      </c>
      <c r="G1271" s="284">
        <f>39.7+550</f>
        <v>589.70000000000005</v>
      </c>
      <c r="H1271" s="284"/>
      <c r="I1271" s="300">
        <f>F1271-G1271-H1271</f>
        <v>1085.2</v>
      </c>
      <c r="J1271" s="286" t="s">
        <v>156</v>
      </c>
      <c r="K1271" s="286">
        <v>1</v>
      </c>
      <c r="L1271" s="286">
        <v>1</v>
      </c>
      <c r="M1271" s="286">
        <v>1</v>
      </c>
      <c r="N1271" s="286">
        <v>1</v>
      </c>
      <c r="O1271" s="286">
        <v>1</v>
      </c>
      <c r="P1271" s="332">
        <v>0</v>
      </c>
      <c r="Q1271" s="286">
        <v>1</v>
      </c>
      <c r="R1271" s="286">
        <v>1</v>
      </c>
      <c r="S1271" s="287">
        <v>1</v>
      </c>
      <c r="T1271" s="63"/>
      <c r="U1271" s="94" t="s">
        <v>655</v>
      </c>
      <c r="V1271" s="90">
        <f>184.3+1658.09</f>
        <v>1842.3899999999999</v>
      </c>
      <c r="W1271" s="91"/>
      <c r="X1271" s="92"/>
    </row>
    <row r="1272" spans="1:24">
      <c r="B1272" s="87">
        <f>B1271+1</f>
        <v>9</v>
      </c>
      <c r="C1272" s="295">
        <v>45939</v>
      </c>
      <c r="D1272" s="10">
        <v>74213</v>
      </c>
      <c r="E1272" s="10" t="s">
        <v>428</v>
      </c>
      <c r="F1272" s="62">
        <v>481</v>
      </c>
      <c r="G1272" s="62"/>
      <c r="H1272" s="88"/>
      <c r="I1272" s="89">
        <f t="shared" si="280"/>
        <v>481</v>
      </c>
      <c r="J1272" s="63" t="s">
        <v>156</v>
      </c>
      <c r="K1272" s="63">
        <v>1</v>
      </c>
      <c r="L1272" s="63">
        <v>1</v>
      </c>
      <c r="M1272" s="63">
        <v>1</v>
      </c>
      <c r="N1272" s="63">
        <v>1</v>
      </c>
      <c r="O1272" s="63">
        <v>1</v>
      </c>
      <c r="P1272" s="63">
        <v>1</v>
      </c>
      <c r="Q1272" s="63">
        <v>1</v>
      </c>
      <c r="R1272" s="63">
        <v>1</v>
      </c>
      <c r="S1272" s="296">
        <v>1</v>
      </c>
      <c r="T1272" s="21">
        <v>1</v>
      </c>
      <c r="U1272" s="10"/>
      <c r="V1272" s="90">
        <f>53+476.1</f>
        <v>529.1</v>
      </c>
      <c r="W1272" s="91"/>
      <c r="X1272" s="92"/>
    </row>
    <row r="1273" spans="1:24">
      <c r="B1273" s="87">
        <f t="shared" si="282"/>
        <v>10</v>
      </c>
      <c r="C1273" s="295">
        <v>45939</v>
      </c>
      <c r="D1273" s="10">
        <v>74227</v>
      </c>
      <c r="E1273" s="10" t="s">
        <v>363</v>
      </c>
      <c r="F1273" s="62">
        <v>1461</v>
      </c>
      <c r="G1273" s="62">
        <f>39.7</f>
        <v>39.700000000000003</v>
      </c>
      <c r="H1273" s="88"/>
      <c r="I1273" s="89">
        <f t="shared" si="280"/>
        <v>1421.3</v>
      </c>
      <c r="J1273" s="63" t="s">
        <v>156</v>
      </c>
      <c r="K1273" s="63">
        <v>1</v>
      </c>
      <c r="L1273" s="63">
        <v>1</v>
      </c>
      <c r="M1273" s="63">
        <v>1</v>
      </c>
      <c r="N1273" s="63">
        <v>1</v>
      </c>
      <c r="O1273" s="63">
        <v>1</v>
      </c>
      <c r="P1273" s="63">
        <v>1</v>
      </c>
      <c r="Q1273" s="63">
        <v>1</v>
      </c>
      <c r="R1273" s="63">
        <v>1</v>
      </c>
      <c r="S1273" s="296">
        <v>1</v>
      </c>
      <c r="T1273" s="21">
        <v>1</v>
      </c>
      <c r="U1273" s="10"/>
      <c r="V1273" s="90">
        <f>160.71+1446.39</f>
        <v>1607.1000000000001</v>
      </c>
      <c r="W1273" s="91"/>
      <c r="X1273" s="92"/>
    </row>
    <row r="1274" spans="1:24">
      <c r="A1274" s="2" t="s">
        <v>230</v>
      </c>
      <c r="B1274" s="87">
        <f t="shared" si="282"/>
        <v>11</v>
      </c>
      <c r="C1274" s="295">
        <v>45939</v>
      </c>
      <c r="D1274" s="10">
        <v>74245</v>
      </c>
      <c r="E1274" s="10" t="s">
        <v>363</v>
      </c>
      <c r="F1274" s="62">
        <v>1261</v>
      </c>
      <c r="G1274" s="62">
        <f>39.7</f>
        <v>39.700000000000003</v>
      </c>
      <c r="H1274" s="88"/>
      <c r="I1274" s="89">
        <f t="shared" si="280"/>
        <v>1221.3</v>
      </c>
      <c r="J1274" s="63" t="s">
        <v>156</v>
      </c>
      <c r="K1274" s="63">
        <v>1</v>
      </c>
      <c r="L1274" s="63">
        <v>1</v>
      </c>
      <c r="M1274" s="63">
        <v>1</v>
      </c>
      <c r="N1274" s="63">
        <v>1</v>
      </c>
      <c r="O1274" s="63">
        <v>1</v>
      </c>
      <c r="P1274" s="63">
        <v>1</v>
      </c>
      <c r="Q1274" s="63">
        <v>1</v>
      </c>
      <c r="R1274" s="63">
        <v>1</v>
      </c>
      <c r="S1274" s="296">
        <v>1</v>
      </c>
      <c r="T1274" s="63"/>
      <c r="U1274" s="10" t="s">
        <v>656</v>
      </c>
      <c r="V1274" s="90">
        <f>139+1248.1</f>
        <v>1387.1</v>
      </c>
      <c r="W1274" s="91"/>
      <c r="X1274" s="92"/>
    </row>
    <row r="1275" spans="1:24">
      <c r="B1275" s="87">
        <f t="shared" si="282"/>
        <v>12</v>
      </c>
      <c r="C1275" s="274">
        <v>45940</v>
      </c>
      <c r="D1275" s="276">
        <v>74223</v>
      </c>
      <c r="E1275" s="276" t="s">
        <v>428</v>
      </c>
      <c r="F1275" s="277">
        <v>1264</v>
      </c>
      <c r="G1275" s="277">
        <f>39.7</f>
        <v>39.700000000000003</v>
      </c>
      <c r="H1275" s="297"/>
      <c r="I1275" s="278">
        <f t="shared" si="280"/>
        <v>1224.3</v>
      </c>
      <c r="J1275" s="279" t="s">
        <v>156</v>
      </c>
      <c r="K1275" s="279">
        <v>1</v>
      </c>
      <c r="L1275" s="279">
        <v>1</v>
      </c>
      <c r="M1275" s="279">
        <v>1</v>
      </c>
      <c r="N1275" s="279">
        <v>1</v>
      </c>
      <c r="O1275" s="279">
        <v>1</v>
      </c>
      <c r="P1275" s="279">
        <v>1</v>
      </c>
      <c r="Q1275" s="279">
        <v>1</v>
      </c>
      <c r="R1275" s="279">
        <v>1</v>
      </c>
      <c r="S1275" s="280">
        <v>1</v>
      </c>
      <c r="T1275" s="21">
        <v>2</v>
      </c>
      <c r="U1275" s="10"/>
      <c r="V1275" s="90">
        <f>139.04+1251.36</f>
        <v>1390.3999999999999</v>
      </c>
      <c r="W1275" s="91"/>
      <c r="X1275" s="92"/>
    </row>
    <row r="1276" spans="1:24">
      <c r="B1276" s="87">
        <f t="shared" si="282"/>
        <v>13</v>
      </c>
      <c r="C1276" s="295">
        <v>45940</v>
      </c>
      <c r="D1276" s="10" t="s">
        <v>657</v>
      </c>
      <c r="E1276" s="10" t="s">
        <v>327</v>
      </c>
      <c r="F1276" s="62">
        <v>1264</v>
      </c>
      <c r="G1276" s="62">
        <f>39.7</f>
        <v>39.700000000000003</v>
      </c>
      <c r="H1276" s="88"/>
      <c r="I1276" s="89">
        <f t="shared" si="280"/>
        <v>1224.3</v>
      </c>
      <c r="J1276" s="63" t="s">
        <v>156</v>
      </c>
      <c r="K1276" s="63">
        <v>1</v>
      </c>
      <c r="L1276" s="63">
        <v>1</v>
      </c>
      <c r="M1276" s="63">
        <v>1</v>
      </c>
      <c r="N1276" s="63">
        <v>1</v>
      </c>
      <c r="O1276" s="63">
        <v>1</v>
      </c>
      <c r="P1276" s="63">
        <v>1</v>
      </c>
      <c r="Q1276" s="63">
        <v>1</v>
      </c>
      <c r="R1276" s="63">
        <v>1</v>
      </c>
      <c r="S1276" s="296">
        <v>1</v>
      </c>
      <c r="T1276" s="63"/>
      <c r="U1276" s="10"/>
      <c r="V1276" s="90">
        <f>130.04+1260.36</f>
        <v>1390.3999999999999</v>
      </c>
      <c r="W1276" s="91"/>
      <c r="X1276" s="92"/>
    </row>
    <row r="1277" spans="1:24">
      <c r="B1277" s="87">
        <f t="shared" si="282"/>
        <v>14</v>
      </c>
      <c r="C1277" s="295">
        <v>45940</v>
      </c>
      <c r="D1277" s="10" t="s">
        <v>658</v>
      </c>
      <c r="E1277" s="10" t="s">
        <v>327</v>
      </c>
      <c r="F1277" s="95">
        <v>1138</v>
      </c>
      <c r="G1277" s="62">
        <f>39.7</f>
        <v>39.700000000000003</v>
      </c>
      <c r="H1277" s="62"/>
      <c r="I1277" s="89">
        <f t="shared" si="280"/>
        <v>1098.3</v>
      </c>
      <c r="J1277" s="63" t="s">
        <v>156</v>
      </c>
      <c r="K1277" s="63">
        <v>1</v>
      </c>
      <c r="L1277" s="63">
        <v>1</v>
      </c>
      <c r="M1277" s="63">
        <v>1</v>
      </c>
      <c r="N1277" s="63">
        <v>1</v>
      </c>
      <c r="O1277" s="63">
        <v>1</v>
      </c>
      <c r="P1277" s="63">
        <v>1</v>
      </c>
      <c r="Q1277" s="63">
        <v>1</v>
      </c>
      <c r="R1277" s="63">
        <v>1</v>
      </c>
      <c r="S1277" s="296">
        <v>1</v>
      </c>
      <c r="T1277" s="63"/>
      <c r="U1277" s="10"/>
      <c r="V1277" s="90">
        <v>1251.8</v>
      </c>
      <c r="W1277" s="91"/>
      <c r="X1277" s="92"/>
    </row>
    <row r="1278" spans="1:24">
      <c r="B1278" s="87">
        <f t="shared" si="282"/>
        <v>15</v>
      </c>
      <c r="C1278" s="282">
        <v>45940</v>
      </c>
      <c r="D1278" s="368">
        <v>74333</v>
      </c>
      <c r="E1278" s="283" t="s">
        <v>327</v>
      </c>
      <c r="F1278" s="423">
        <v>814</v>
      </c>
      <c r="G1278" s="284">
        <f>39.7</f>
        <v>39.700000000000003</v>
      </c>
      <c r="H1278" s="284"/>
      <c r="I1278" s="300">
        <f t="shared" si="280"/>
        <v>774.3</v>
      </c>
      <c r="J1278" s="286" t="s">
        <v>156</v>
      </c>
      <c r="K1278" s="286">
        <v>1</v>
      </c>
      <c r="L1278" s="286">
        <v>1</v>
      </c>
      <c r="M1278" s="286">
        <v>1</v>
      </c>
      <c r="N1278" s="286">
        <v>1</v>
      </c>
      <c r="O1278" s="286">
        <v>1</v>
      </c>
      <c r="P1278" s="286">
        <v>1</v>
      </c>
      <c r="Q1278" s="332">
        <v>0</v>
      </c>
      <c r="R1278" s="332">
        <v>0</v>
      </c>
      <c r="S1278" s="370">
        <v>0</v>
      </c>
      <c r="T1278" s="63"/>
      <c r="U1278" s="10"/>
      <c r="V1278" s="90">
        <v>895.4</v>
      </c>
      <c r="W1278" s="91"/>
      <c r="X1278" s="92"/>
    </row>
    <row r="1279" spans="1:24">
      <c r="B1279" s="87"/>
      <c r="C1279" s="36"/>
      <c r="D1279" s="10"/>
      <c r="E1279" s="10"/>
      <c r="F1279" s="97">
        <f>SUM(F1264:F1278)</f>
        <v>28510.100000000002</v>
      </c>
      <c r="G1279" s="97">
        <f>SUM(G1264:G1278)</f>
        <v>3970.1899999999987</v>
      </c>
      <c r="H1279" s="97">
        <f>SUM(H1264:H1278)</f>
        <v>0</v>
      </c>
      <c r="I1279" s="98">
        <f>SUM(I1264:I1278)</f>
        <v>24539.909999999993</v>
      </c>
      <c r="J1279" s="63"/>
      <c r="K1279" s="63">
        <f>COUNT(K1264:K1278)</f>
        <v>15</v>
      </c>
      <c r="L1279" s="63">
        <f>COUNT(L1264:L1278)</f>
        <v>15</v>
      </c>
      <c r="M1279" s="63">
        <f>COUNT(M1264:M1278)</f>
        <v>15</v>
      </c>
      <c r="N1279" s="63">
        <f>COUNT(N1264:N1278)</f>
        <v>15</v>
      </c>
      <c r="O1279" s="63">
        <f>COUNT(O1264:O1278)</f>
        <v>15</v>
      </c>
      <c r="P1279" s="63">
        <f>COUNT(P1264:P1278)</f>
        <v>15</v>
      </c>
      <c r="Q1279" s="63">
        <f>COUNT(Q1264:Q1278)</f>
        <v>15</v>
      </c>
      <c r="R1279" s="63">
        <f>COUNT(R1264:R1278)</f>
        <v>15</v>
      </c>
      <c r="S1279" s="63">
        <f>COUNT(S1264:S1278)</f>
        <v>15</v>
      </c>
      <c r="T1279" s="63"/>
      <c r="U1279" s="10"/>
      <c r="V1279" s="90"/>
      <c r="W1279" s="91"/>
      <c r="X1279" s="92"/>
    </row>
    <row r="1280" spans="1:24">
      <c r="B1280" s="87"/>
      <c r="C1280" s="36"/>
      <c r="D1280" s="10"/>
      <c r="E1280" s="10"/>
      <c r="F1280" s="88"/>
      <c r="G1280" s="88"/>
      <c r="H1280" s="88"/>
      <c r="I1280" s="99"/>
      <c r="J1280" s="63"/>
      <c r="K1280" s="21">
        <f>SUM(K1264:K1278)</f>
        <v>15</v>
      </c>
      <c r="L1280" s="21">
        <f>SUM(L1264:L1278)</f>
        <v>13</v>
      </c>
      <c r="M1280" s="21">
        <f>SUM(M1264:M1278)</f>
        <v>14</v>
      </c>
      <c r="N1280" s="21">
        <f>SUM(N1264:N1278)</f>
        <v>15</v>
      </c>
      <c r="O1280" s="21">
        <f>SUM(O1264:O1278)</f>
        <v>15</v>
      </c>
      <c r="P1280" s="21">
        <f>SUM(P1264:P1278)</f>
        <v>14</v>
      </c>
      <c r="Q1280" s="21">
        <f>SUM(Q1264:Q1278)</f>
        <v>14</v>
      </c>
      <c r="R1280" s="21">
        <f>SUM(R1264:R1278)</f>
        <v>14</v>
      </c>
      <c r="S1280" s="21">
        <f>SUM(S1264:S1278)</f>
        <v>14</v>
      </c>
      <c r="T1280" s="63"/>
      <c r="U1280" s="10"/>
      <c r="V1280" s="90"/>
      <c r="W1280" s="91"/>
      <c r="X1280" s="92"/>
    </row>
    <row r="1281" spans="1:24">
      <c r="B1281" s="11"/>
      <c r="C1281" s="36"/>
      <c r="D1281" s="10"/>
      <c r="E1281" s="10"/>
      <c r="F1281" s="88"/>
      <c r="G1281" s="88"/>
      <c r="H1281" s="88"/>
      <c r="I1281" s="99"/>
      <c r="J1281" s="63"/>
      <c r="K1281" s="21"/>
      <c r="L1281" s="21"/>
      <c r="M1281" s="21"/>
      <c r="N1281" s="21"/>
      <c r="O1281" s="21"/>
      <c r="P1281" s="21"/>
      <c r="Q1281" s="21"/>
      <c r="R1281" s="21"/>
      <c r="S1281" s="21"/>
      <c r="T1281" s="63"/>
      <c r="U1281" s="10"/>
      <c r="V1281" s="90"/>
      <c r="W1281" s="91"/>
      <c r="X1281" s="92"/>
    </row>
    <row r="1282" spans="1:24">
      <c r="B1282" s="100" t="s">
        <v>66</v>
      </c>
      <c r="C1282" s="36"/>
      <c r="D1282" s="10"/>
      <c r="E1282" s="10"/>
      <c r="F1282" s="88"/>
      <c r="G1282" s="62"/>
      <c r="H1282" s="88"/>
      <c r="I1282" s="99"/>
      <c r="J1282" s="63"/>
      <c r="K1282" s="2"/>
      <c r="L1282" s="2"/>
      <c r="M1282" s="2"/>
      <c r="N1282" s="2"/>
      <c r="O1282" s="2"/>
      <c r="P1282" s="2"/>
      <c r="Q1282" s="2"/>
      <c r="R1282" s="2"/>
      <c r="S1282" s="2"/>
      <c r="T1282" s="63"/>
      <c r="U1282" s="94"/>
      <c r="V1282" s="90"/>
      <c r="W1282" s="91"/>
      <c r="X1282" s="92"/>
    </row>
    <row r="1283" spans="1:24">
      <c r="B1283" s="87">
        <v>1</v>
      </c>
      <c r="C1283" s="262">
        <v>45941</v>
      </c>
      <c r="D1283" s="263">
        <v>74344</v>
      </c>
      <c r="E1283" s="264" t="s">
        <v>659</v>
      </c>
      <c r="F1283" s="265">
        <v>1461</v>
      </c>
      <c r="G1283" s="265">
        <v>39.700000000000003</v>
      </c>
      <c r="H1283" s="265"/>
      <c r="I1283" s="272">
        <f t="shared" ref="I1283" si="283">F1283-G1283-H1283</f>
        <v>1421.3</v>
      </c>
      <c r="J1283" s="267" t="s">
        <v>236</v>
      </c>
      <c r="K1283" s="267">
        <v>1</v>
      </c>
      <c r="L1283" s="267">
        <v>1</v>
      </c>
      <c r="M1283" s="267">
        <v>1</v>
      </c>
      <c r="N1283" s="267">
        <v>1</v>
      </c>
      <c r="O1283" s="267">
        <v>1</v>
      </c>
      <c r="P1283" s="267">
        <v>1</v>
      </c>
      <c r="Q1283" s="267">
        <v>1</v>
      </c>
      <c r="R1283" s="267">
        <v>1</v>
      </c>
      <c r="S1283" s="269">
        <v>1</v>
      </c>
      <c r="T1283" s="63"/>
      <c r="U1283" s="94"/>
      <c r="V1283" s="90">
        <v>1447.1</v>
      </c>
      <c r="W1283" s="440">
        <v>160</v>
      </c>
      <c r="X1283" s="92"/>
    </row>
    <row r="1284" spans="1:24" s="260" customFormat="1">
      <c r="A1284" s="494"/>
      <c r="B1284" s="87">
        <f>B1283+1</f>
        <v>2</v>
      </c>
      <c r="C1284" s="262">
        <v>45941</v>
      </c>
      <c r="D1284" s="263">
        <v>74342</v>
      </c>
      <c r="E1284" s="271" t="s">
        <v>508</v>
      </c>
      <c r="F1284" s="265">
        <v>6132.6</v>
      </c>
      <c r="G1284" s="265">
        <f>39.7+(1304.94)+250</f>
        <v>1594.64</v>
      </c>
      <c r="H1284" s="265"/>
      <c r="I1284" s="272">
        <f t="shared" ref="I1284" si="284">F1284-G1284-H1284</f>
        <v>4537.96</v>
      </c>
      <c r="J1284" s="267" t="s">
        <v>374</v>
      </c>
      <c r="K1284" s="267">
        <v>1</v>
      </c>
      <c r="L1284" s="267">
        <v>1</v>
      </c>
      <c r="M1284" s="267">
        <v>1</v>
      </c>
      <c r="N1284" s="267">
        <v>1</v>
      </c>
      <c r="O1284" s="267">
        <v>1</v>
      </c>
      <c r="P1284" s="267">
        <v>1</v>
      </c>
      <c r="Q1284" s="267">
        <v>1</v>
      </c>
      <c r="R1284" s="267">
        <v>1</v>
      </c>
      <c r="S1284" s="269">
        <v>1</v>
      </c>
      <c r="T1284" s="63"/>
      <c r="U1284" s="94" t="s">
        <v>660</v>
      </c>
      <c r="V1284" s="90">
        <f>674.6+6071.76</f>
        <v>6746.3600000000006</v>
      </c>
      <c r="W1284" s="136"/>
      <c r="X1284" s="137"/>
    </row>
    <row r="1285" spans="1:24">
      <c r="B1285" s="11"/>
      <c r="C1285" s="609"/>
      <c r="D1285" s="10"/>
      <c r="E1285" s="10"/>
      <c r="F1285" s="97">
        <f>SUM(F1283:F1284)</f>
        <v>7593.6</v>
      </c>
      <c r="G1285" s="97">
        <f t="shared" ref="G1285:I1285" si="285">SUM(G1283:G1284)</f>
        <v>1634.3400000000001</v>
      </c>
      <c r="H1285" s="97">
        <f t="shared" si="285"/>
        <v>0</v>
      </c>
      <c r="I1285" s="97">
        <f t="shared" si="285"/>
        <v>5959.26</v>
      </c>
      <c r="J1285" s="63"/>
      <c r="K1285" s="21"/>
      <c r="L1285" s="21"/>
      <c r="M1285" s="21"/>
      <c r="N1285" s="21"/>
      <c r="O1285" s="21"/>
      <c r="P1285" s="21"/>
      <c r="Q1285" s="21"/>
      <c r="R1285" s="21"/>
      <c r="S1285" s="21"/>
      <c r="T1285" s="63"/>
      <c r="U1285" s="94"/>
      <c r="V1285" s="90"/>
      <c r="W1285" s="91"/>
      <c r="X1285" s="92"/>
    </row>
    <row r="1286" spans="1:24">
      <c r="B1286" s="11"/>
      <c r="C1286" s="609"/>
      <c r="D1286" s="10"/>
      <c r="E1286" s="10"/>
      <c r="F1286" s="88"/>
      <c r="G1286" s="88"/>
      <c r="H1286" s="88"/>
      <c r="I1286" s="99"/>
      <c r="J1286" s="63"/>
      <c r="K1286" s="21"/>
      <c r="L1286" s="21"/>
      <c r="M1286" s="21"/>
      <c r="N1286" s="21"/>
      <c r="O1286" s="21"/>
      <c r="P1286" s="21"/>
      <c r="Q1286" s="21"/>
      <c r="R1286" s="21"/>
      <c r="S1286" s="21"/>
      <c r="T1286" s="63"/>
      <c r="U1286" s="94"/>
      <c r="V1286" s="90"/>
      <c r="W1286" s="91"/>
      <c r="X1286" s="92"/>
    </row>
    <row r="1287" spans="1:24">
      <c r="B1287" s="100" t="s">
        <v>67</v>
      </c>
      <c r="C1287" s="609"/>
      <c r="D1287" s="10"/>
      <c r="E1287" s="10"/>
      <c r="F1287" s="88"/>
      <c r="G1287" s="62"/>
      <c r="H1287" s="88"/>
      <c r="I1287" s="99"/>
      <c r="J1287" s="63"/>
      <c r="K1287" s="2"/>
      <c r="L1287" s="2"/>
      <c r="M1287" s="2"/>
      <c r="N1287" s="2"/>
      <c r="O1287" s="2"/>
      <c r="P1287" s="2"/>
      <c r="Q1287" s="2"/>
      <c r="R1287" s="2"/>
      <c r="S1287" s="2"/>
      <c r="T1287" s="63"/>
      <c r="U1287" s="94"/>
      <c r="V1287" s="90"/>
      <c r="W1287" s="91"/>
      <c r="X1287" s="92"/>
    </row>
    <row r="1288" spans="1:24">
      <c r="A1288" s="494">
        <v>0.05</v>
      </c>
      <c r="B1288" s="87">
        <v>1</v>
      </c>
      <c r="C1288" s="262">
        <v>45912</v>
      </c>
      <c r="D1288" s="263">
        <v>73273</v>
      </c>
      <c r="E1288" s="264" t="s">
        <v>577</v>
      </c>
      <c r="F1288" s="265">
        <v>4461</v>
      </c>
      <c r="G1288" s="265">
        <f>39.7</f>
        <v>39.700000000000003</v>
      </c>
      <c r="H1288" s="265"/>
      <c r="I1288" s="272">
        <f>F1288-G1288-H1288</f>
        <v>4421.3</v>
      </c>
      <c r="J1288" s="267" t="s">
        <v>156</v>
      </c>
      <c r="K1288" s="267">
        <v>1</v>
      </c>
      <c r="L1288" s="267">
        <v>1</v>
      </c>
      <c r="M1288" s="267">
        <v>1</v>
      </c>
      <c r="N1288" s="267">
        <v>1</v>
      </c>
      <c r="O1288" s="267">
        <v>1</v>
      </c>
      <c r="P1288" s="267">
        <v>1</v>
      </c>
      <c r="Q1288" s="267">
        <v>1</v>
      </c>
      <c r="R1288" s="267">
        <v>1</v>
      </c>
      <c r="S1288" s="269">
        <v>1</v>
      </c>
      <c r="T1288" s="21"/>
      <c r="U1288" s="10"/>
      <c r="V1288" s="90"/>
      <c r="W1288" s="91"/>
      <c r="X1288" s="92"/>
    </row>
    <row r="1289" spans="1:24">
      <c r="A1289" s="494" t="s">
        <v>640</v>
      </c>
      <c r="B1289" s="87">
        <f>B1288+1</f>
        <v>2</v>
      </c>
      <c r="C1289" s="274">
        <v>45922</v>
      </c>
      <c r="D1289" s="327" t="s">
        <v>622</v>
      </c>
      <c r="E1289" s="276" t="s">
        <v>299</v>
      </c>
      <c r="F1289" s="277">
        <v>12814</v>
      </c>
      <c r="G1289" s="277">
        <f>39.7+65+19.4+(151.66+108.93)+(98.15)+1000</f>
        <v>1482.8400000000001</v>
      </c>
      <c r="H1289" s="277"/>
      <c r="I1289" s="321">
        <f>F1289-G1289-H1289</f>
        <v>11331.16</v>
      </c>
      <c r="J1289" s="279" t="s">
        <v>228</v>
      </c>
      <c r="K1289" s="279">
        <v>1</v>
      </c>
      <c r="L1289" s="279">
        <v>1</v>
      </c>
      <c r="M1289" s="279">
        <v>1</v>
      </c>
      <c r="N1289" s="279">
        <v>1</v>
      </c>
      <c r="O1289" s="279">
        <v>1</v>
      </c>
      <c r="P1289" s="279">
        <v>1</v>
      </c>
      <c r="Q1289" s="322">
        <v>0</v>
      </c>
      <c r="R1289" s="322">
        <v>0</v>
      </c>
      <c r="S1289" s="328">
        <v>0</v>
      </c>
      <c r="T1289" s="63"/>
      <c r="U1289" s="94" t="s">
        <v>623</v>
      </c>
      <c r="V1289" s="90"/>
      <c r="W1289" s="136"/>
      <c r="X1289" s="137"/>
    </row>
    <row r="1290" spans="1:24">
      <c r="A1290" s="494" t="s">
        <v>641</v>
      </c>
      <c r="B1290" s="87">
        <f>B1289+1</f>
        <v>3</v>
      </c>
      <c r="C1290" s="262">
        <v>45922</v>
      </c>
      <c r="D1290" s="263">
        <v>73518</v>
      </c>
      <c r="E1290" s="271" t="s">
        <v>158</v>
      </c>
      <c r="F1290" s="265">
        <v>1261</v>
      </c>
      <c r="G1290" s="265">
        <f>39.7+(100.49)</f>
        <v>140.19</v>
      </c>
      <c r="H1290" s="265"/>
      <c r="I1290" s="272">
        <f>F1290-G1290-H1290</f>
        <v>1120.81</v>
      </c>
      <c r="J1290" s="267" t="s">
        <v>156</v>
      </c>
      <c r="K1290" s="267">
        <v>1</v>
      </c>
      <c r="L1290" s="267">
        <v>1</v>
      </c>
      <c r="M1290" s="267">
        <v>1</v>
      </c>
      <c r="N1290" s="267">
        <v>1</v>
      </c>
      <c r="O1290" s="267">
        <v>1</v>
      </c>
      <c r="P1290" s="267">
        <v>1</v>
      </c>
      <c r="Q1290" s="267">
        <v>1</v>
      </c>
      <c r="R1290" s="267">
        <v>1</v>
      </c>
      <c r="S1290" s="269">
        <v>1</v>
      </c>
      <c r="T1290" s="21"/>
      <c r="U1290" s="10" t="s">
        <v>618</v>
      </c>
      <c r="V1290" s="90"/>
      <c r="W1290" s="96"/>
      <c r="X1290" s="92"/>
    </row>
    <row r="1291" spans="1:24">
      <c r="B1291" s="11"/>
      <c r="C1291" s="609"/>
      <c r="D1291" s="10"/>
      <c r="E1291" s="10"/>
      <c r="F1291" s="97">
        <f>SUM(F1288:F1290)</f>
        <v>18536</v>
      </c>
      <c r="G1291" s="97">
        <f>SUM(G1288:G1290)</f>
        <v>1662.7300000000002</v>
      </c>
      <c r="H1291" s="97">
        <f>SUM(H1288:H1290)</f>
        <v>0</v>
      </c>
      <c r="I1291" s="98">
        <f>SUM(I1288:I1290)</f>
        <v>16873.27</v>
      </c>
      <c r="J1291" s="63"/>
      <c r="K1291" s="21"/>
      <c r="L1291" s="21"/>
      <c r="M1291" s="21"/>
      <c r="N1291" s="21"/>
      <c r="O1291" s="21"/>
      <c r="P1291" s="21"/>
      <c r="Q1291" s="21"/>
      <c r="R1291" s="21"/>
      <c r="S1291" s="21"/>
      <c r="T1291" s="63"/>
      <c r="U1291" s="94"/>
      <c r="V1291" s="90"/>
      <c r="W1291" s="91"/>
      <c r="X1291" s="92"/>
    </row>
    <row r="1292" spans="1:24">
      <c r="B1292" s="11"/>
      <c r="C1292" s="36"/>
      <c r="D1292" s="10"/>
      <c r="E1292" s="10"/>
      <c r="F1292" s="88"/>
      <c r="G1292" s="88"/>
      <c r="H1292" s="88"/>
      <c r="I1292" s="99"/>
      <c r="J1292" s="63"/>
      <c r="K1292" s="21"/>
      <c r="L1292" s="21"/>
      <c r="M1292" s="21"/>
      <c r="N1292" s="21"/>
      <c r="O1292" s="21"/>
      <c r="P1292" s="21"/>
      <c r="Q1292" s="21"/>
      <c r="R1292" s="21"/>
      <c r="S1292" s="21"/>
      <c r="T1292" s="63"/>
      <c r="U1292" s="94"/>
      <c r="V1292" s="90"/>
      <c r="W1292" s="91"/>
      <c r="X1292" s="92"/>
    </row>
    <row r="1293" spans="1:24">
      <c r="B1293" s="121" t="s">
        <v>70</v>
      </c>
      <c r="C1293" s="36"/>
      <c r="D1293" s="123"/>
      <c r="E1293" s="128"/>
      <c r="F1293" s="124"/>
      <c r="G1293" s="124"/>
      <c r="H1293" s="124"/>
      <c r="I1293" s="126"/>
      <c r="J1293" s="127"/>
      <c r="K1293" s="64"/>
      <c r="L1293" s="64"/>
      <c r="M1293" s="64"/>
      <c r="N1293" s="64"/>
      <c r="O1293" s="64"/>
      <c r="P1293" s="64"/>
      <c r="Q1293" s="64"/>
      <c r="R1293" s="64"/>
      <c r="S1293" s="64"/>
      <c r="T1293" s="127"/>
      <c r="U1293" s="135"/>
      <c r="V1293" s="129"/>
      <c r="W1293" s="130"/>
      <c r="X1293" s="131"/>
    </row>
    <row r="1294" spans="1:24" s="260" customFormat="1">
      <c r="A1294" s="494">
        <v>0.1</v>
      </c>
      <c r="B1294" s="467">
        <v>1</v>
      </c>
      <c r="C1294" s="468">
        <v>45936</v>
      </c>
      <c r="D1294" s="495" t="s">
        <v>661</v>
      </c>
      <c r="E1294" s="469" t="s">
        <v>363</v>
      </c>
      <c r="F1294" s="471">
        <v>16814</v>
      </c>
      <c r="G1294" s="471">
        <f>39.7+79.84+75+91.36+(79.84)+(135.93+24.42)+1500</f>
        <v>2026.0900000000001</v>
      </c>
      <c r="H1294" s="471"/>
      <c r="I1294" s="329">
        <f t="shared" ref="I1294" si="286">F1294-G1294-H1294</f>
        <v>14787.91</v>
      </c>
      <c r="J1294" s="472" t="s">
        <v>374</v>
      </c>
      <c r="K1294" s="472">
        <v>1</v>
      </c>
      <c r="L1294" s="472"/>
      <c r="M1294" s="472">
        <v>1</v>
      </c>
      <c r="N1294" s="472">
        <v>1</v>
      </c>
      <c r="O1294" s="472">
        <v>1</v>
      </c>
      <c r="P1294" s="472">
        <v>1</v>
      </c>
      <c r="Q1294" s="472"/>
      <c r="R1294" s="472"/>
      <c r="S1294" s="473"/>
      <c r="T1294" s="474"/>
      <c r="U1294" s="475" t="s">
        <v>662</v>
      </c>
      <c r="V1294" s="476">
        <f>1849.6+4000+4000+4000</f>
        <v>13849.6</v>
      </c>
      <c r="W1294" s="465"/>
      <c r="X1294" s="483"/>
    </row>
    <row r="1295" spans="1:24" s="342" customFormat="1">
      <c r="A1295" s="740">
        <v>0.1</v>
      </c>
      <c r="B1295" s="333">
        <f>B1294+1</f>
        <v>2</v>
      </c>
      <c r="C1295" s="345">
        <v>45936</v>
      </c>
      <c r="D1295" s="323" t="s">
        <v>663</v>
      </c>
      <c r="E1295" s="123" t="s">
        <v>653</v>
      </c>
      <c r="F1295" s="125">
        <v>11676</v>
      </c>
      <c r="G1295" s="125">
        <f>39.7+831+(65.42+37.9+17.08+9.67)+(211.67+70.86)+1000</f>
        <v>2283.3000000000002</v>
      </c>
      <c r="H1295" s="125"/>
      <c r="I1295" s="347">
        <f>F1295-G1295-H1295</f>
        <v>9392.7000000000007</v>
      </c>
      <c r="J1295" s="127" t="s">
        <v>185</v>
      </c>
      <c r="K1295" s="127">
        <v>1</v>
      </c>
      <c r="L1295" s="127"/>
      <c r="M1295" s="127">
        <v>1</v>
      </c>
      <c r="N1295" s="127">
        <v>1</v>
      </c>
      <c r="O1295" s="127">
        <v>1</v>
      </c>
      <c r="P1295" s="127">
        <v>1</v>
      </c>
      <c r="Q1295" s="127"/>
      <c r="R1295" s="127"/>
      <c r="S1295" s="349"/>
      <c r="T1295" s="127"/>
      <c r="U1295" s="135" t="s">
        <v>664</v>
      </c>
      <c r="V1295" s="129">
        <f>1284.4</f>
        <v>1284.4000000000001</v>
      </c>
      <c r="W1295" s="340"/>
      <c r="X1295" s="341"/>
    </row>
    <row r="1296" spans="1:24" s="342" customFormat="1">
      <c r="A1296" s="492">
        <v>0.1</v>
      </c>
      <c r="B1296" s="333">
        <f t="shared" ref="B1296" si="287">B1295+1</f>
        <v>3</v>
      </c>
      <c r="C1296" s="334">
        <v>45937</v>
      </c>
      <c r="D1296" s="327" t="s">
        <v>665</v>
      </c>
      <c r="E1296" s="550" t="s">
        <v>184</v>
      </c>
      <c r="F1296" s="336">
        <v>11687.38</v>
      </c>
      <c r="G1296" s="336">
        <f>39.7+(9.46+4.73)+(5.52+362)+1000</f>
        <v>1421.4099999999999</v>
      </c>
      <c r="H1296" s="336"/>
      <c r="I1296" s="337">
        <f>F1296-G1296-H1296</f>
        <v>10265.969999999999</v>
      </c>
      <c r="J1296" s="338" t="s">
        <v>228</v>
      </c>
      <c r="K1296" s="338">
        <v>1</v>
      </c>
      <c r="L1296" s="338"/>
      <c r="M1296" s="338">
        <v>1</v>
      </c>
      <c r="N1296" s="338">
        <v>1</v>
      </c>
      <c r="O1296" s="338">
        <v>1</v>
      </c>
      <c r="P1296" s="338">
        <v>1</v>
      </c>
      <c r="Q1296" s="338"/>
      <c r="R1296" s="338"/>
      <c r="S1296" s="339"/>
      <c r="T1296" s="127"/>
      <c r="U1296" s="135" t="s">
        <v>666</v>
      </c>
      <c r="V1296" s="129">
        <f>1285.7+5000+5000</f>
        <v>11285.7</v>
      </c>
      <c r="W1296" s="340"/>
      <c r="X1296" s="341"/>
    </row>
    <row r="1297" spans="1:24" s="342" customFormat="1">
      <c r="A1297" s="492">
        <v>0.1</v>
      </c>
      <c r="B1297" s="333">
        <f>B1296+1</f>
        <v>4</v>
      </c>
      <c r="C1297" s="350">
        <v>45940</v>
      </c>
      <c r="D1297" s="263" t="s">
        <v>667</v>
      </c>
      <c r="E1297" s="358" t="s">
        <v>563</v>
      </c>
      <c r="F1297" s="352">
        <v>11532.6</v>
      </c>
      <c r="G1297" s="352">
        <f>39.7+(296.42)+(21.96+62.74-24.75)+1000</f>
        <v>1396.07</v>
      </c>
      <c r="H1297" s="352"/>
      <c r="I1297" s="353">
        <f>F1297-G1297-H1297</f>
        <v>10136.530000000001</v>
      </c>
      <c r="J1297" s="354" t="s">
        <v>156</v>
      </c>
      <c r="K1297" s="354">
        <v>1</v>
      </c>
      <c r="L1297" s="354"/>
      <c r="M1297" s="314">
        <v>0</v>
      </c>
      <c r="N1297" s="354">
        <v>1</v>
      </c>
      <c r="O1297" s="354">
        <v>1</v>
      </c>
      <c r="P1297" s="354">
        <v>1</v>
      </c>
      <c r="Q1297" s="354"/>
      <c r="R1297" s="354"/>
      <c r="S1297" s="355"/>
      <c r="T1297" s="127"/>
      <c r="U1297" s="135" t="s">
        <v>668</v>
      </c>
      <c r="V1297" s="129">
        <f>1409.54</f>
        <v>1409.54</v>
      </c>
      <c r="W1297" s="340"/>
      <c r="X1297" s="341"/>
    </row>
    <row r="1298" spans="1:24">
      <c r="B1298" s="132"/>
      <c r="C1298" s="36"/>
      <c r="D1298" s="123"/>
      <c r="E1298" s="123"/>
      <c r="F1298" s="133">
        <f>SUM(F1294:F1297)</f>
        <v>51709.979999999996</v>
      </c>
      <c r="G1298" s="133">
        <f>SUM(G1294:G1297)</f>
        <v>7126.87</v>
      </c>
      <c r="H1298" s="133">
        <f>SUM(H1294:H1297)</f>
        <v>0</v>
      </c>
      <c r="I1298" s="134">
        <f>SUM(I1294:I1297)</f>
        <v>44583.11</v>
      </c>
      <c r="J1298" s="127"/>
      <c r="K1298" s="64"/>
      <c r="L1298" s="64"/>
      <c r="M1298" s="64"/>
      <c r="N1298" s="64"/>
      <c r="O1298" s="64"/>
      <c r="P1298" s="64"/>
      <c r="Q1298" s="64"/>
      <c r="R1298" s="64"/>
      <c r="S1298" s="64"/>
      <c r="T1298" s="127"/>
      <c r="U1298" s="135"/>
      <c r="V1298" s="129"/>
      <c r="W1298" s="130"/>
      <c r="X1298" s="131"/>
    </row>
    <row r="1299" spans="1:24">
      <c r="B1299" s="11"/>
      <c r="C1299" s="36"/>
      <c r="D1299" s="10"/>
      <c r="E1299" s="10"/>
      <c r="F1299" s="88"/>
      <c r="G1299" s="88"/>
      <c r="H1299" s="88"/>
      <c r="I1299" s="99"/>
      <c r="J1299" s="10"/>
      <c r="K1299" s="63"/>
      <c r="L1299" s="63"/>
      <c r="M1299" s="63"/>
      <c r="N1299" s="63"/>
      <c r="O1299" s="63"/>
      <c r="P1299" s="63"/>
      <c r="Q1299" s="63"/>
      <c r="R1299" s="63"/>
      <c r="S1299" s="63"/>
      <c r="T1299" s="63"/>
      <c r="U1299" s="94"/>
      <c r="V1299" s="90"/>
      <c r="W1299" s="91"/>
      <c r="X1299" s="92"/>
    </row>
    <row r="1300" spans="1:24" s="381" customFormat="1">
      <c r="B1300" s="690" t="s">
        <v>71</v>
      </c>
      <c r="C1300" s="714"/>
      <c r="D1300" s="42"/>
      <c r="E1300" s="380"/>
      <c r="F1300" s="76"/>
      <c r="G1300" s="76"/>
      <c r="H1300" s="76"/>
      <c r="I1300" s="692"/>
      <c r="J1300" s="325"/>
      <c r="K1300" s="696"/>
      <c r="L1300" s="696"/>
      <c r="M1300" s="696"/>
      <c r="N1300" s="696"/>
      <c r="O1300" s="696"/>
      <c r="P1300" s="696"/>
      <c r="Q1300" s="696"/>
      <c r="R1300" s="696"/>
      <c r="S1300" s="696"/>
      <c r="T1300" s="325"/>
      <c r="U1300" s="430"/>
      <c r="V1300" s="377"/>
      <c r="W1300" s="378"/>
      <c r="X1300" s="393"/>
    </row>
    <row r="1301" spans="1:24" s="381" customFormat="1">
      <c r="B1301" s="694"/>
      <c r="C1301" s="714"/>
      <c r="D1301" s="42"/>
      <c r="E1301" s="42"/>
      <c r="F1301" s="739">
        <f>SUM(F1284:F1284)</f>
        <v>6132.6</v>
      </c>
      <c r="G1301" s="739">
        <f>SUM(G1284:G1284)</f>
        <v>1594.64</v>
      </c>
      <c r="H1301" s="739">
        <f>SUM(H1284:H1284)</f>
        <v>0</v>
      </c>
      <c r="I1301" s="695">
        <f>SUM(I1284:I1284)</f>
        <v>4537.96</v>
      </c>
      <c r="J1301" s="741"/>
      <c r="K1301" s="696"/>
      <c r="L1301" s="696"/>
      <c r="M1301" s="696"/>
      <c r="N1301" s="696"/>
      <c r="O1301" s="696"/>
      <c r="P1301" s="696"/>
      <c r="Q1301" s="696"/>
      <c r="R1301" s="696"/>
      <c r="S1301" s="696"/>
      <c r="T1301" s="325"/>
      <c r="U1301" s="430"/>
      <c r="V1301" s="377"/>
      <c r="W1301" s="378"/>
      <c r="X1301" s="393"/>
    </row>
    <row r="1302" spans="1:24" s="381" customFormat="1">
      <c r="B1302" s="694"/>
      <c r="C1302" s="714"/>
      <c r="D1302" s="42"/>
      <c r="E1302" s="42"/>
      <c r="F1302" s="76"/>
      <c r="G1302" s="76"/>
      <c r="H1302" s="76"/>
      <c r="I1302" s="692"/>
      <c r="J1302" s="325"/>
      <c r="K1302" s="696"/>
      <c r="L1302" s="696"/>
      <c r="M1302" s="696"/>
      <c r="N1302" s="696"/>
      <c r="O1302" s="696"/>
      <c r="P1302" s="696"/>
      <c r="Q1302" s="696"/>
      <c r="R1302" s="696"/>
      <c r="S1302" s="696"/>
      <c r="T1302" s="325"/>
      <c r="U1302" s="430"/>
      <c r="V1302" s="377"/>
      <c r="W1302" s="378"/>
      <c r="X1302" s="393"/>
    </row>
    <row r="1303" spans="1:24" s="260" customFormat="1">
      <c r="A1303" s="181"/>
      <c r="B1303" s="100" t="s">
        <v>152</v>
      </c>
      <c r="C1303" s="36"/>
      <c r="D1303" s="10"/>
      <c r="E1303" s="10"/>
      <c r="F1303" s="88"/>
      <c r="G1303" s="62"/>
      <c r="H1303" s="88"/>
      <c r="I1303" s="99"/>
      <c r="J1303" s="10"/>
      <c r="K1303" s="181"/>
      <c r="L1303" s="181"/>
      <c r="M1303" s="181"/>
      <c r="N1303" s="181"/>
      <c r="O1303" s="181"/>
      <c r="P1303" s="181"/>
      <c r="Q1303" s="181"/>
      <c r="R1303" s="181"/>
      <c r="S1303" s="181"/>
      <c r="T1303" s="63"/>
      <c r="U1303" s="10"/>
      <c r="V1303" s="90"/>
      <c r="W1303" s="91"/>
      <c r="X1303" s="92"/>
    </row>
    <row r="1304" spans="1:24" s="260" customFormat="1">
      <c r="A1304" s="312" t="s">
        <v>194</v>
      </c>
      <c r="B1304" s="87">
        <v>1</v>
      </c>
      <c r="C1304" s="262">
        <v>45805</v>
      </c>
      <c r="D1304" s="357" t="s">
        <v>199</v>
      </c>
      <c r="E1304" s="271" t="s">
        <v>196</v>
      </c>
      <c r="F1304" s="265">
        <v>16214</v>
      </c>
      <c r="G1304" s="265">
        <f>39.7+44+36.26+(33.82+55.44)+(102.43+254.2+84.43+10.82+125.93)+1500</f>
        <v>2287.0299999999997</v>
      </c>
      <c r="H1304" s="265">
        <f>F1304*0.2</f>
        <v>3242.8</v>
      </c>
      <c r="I1304" s="266">
        <f>F1304-G1304-H1304</f>
        <v>10684.170000000002</v>
      </c>
      <c r="J1304" s="267" t="s">
        <v>197</v>
      </c>
      <c r="K1304" s="267">
        <v>1</v>
      </c>
      <c r="L1304" s="267">
        <v>1</v>
      </c>
      <c r="M1304" s="267">
        <v>1</v>
      </c>
      <c r="N1304" s="267">
        <v>1</v>
      </c>
      <c r="O1304" s="267">
        <v>1</v>
      </c>
      <c r="P1304" s="314">
        <v>0</v>
      </c>
      <c r="Q1304" s="267">
        <v>1</v>
      </c>
      <c r="R1304" s="267">
        <v>1</v>
      </c>
      <c r="S1304" s="366">
        <v>0</v>
      </c>
      <c r="T1304" s="63"/>
      <c r="U1304" s="10" t="s">
        <v>200</v>
      </c>
      <c r="V1304" s="90"/>
      <c r="W1304" s="136"/>
      <c r="X1304" s="137"/>
    </row>
    <row r="1305" spans="1:24" s="260" customFormat="1">
      <c r="A1305" s="261">
        <v>0.05</v>
      </c>
      <c r="B1305" s="87">
        <f>B1304+1</f>
        <v>2</v>
      </c>
      <c r="C1305" s="262">
        <v>45873</v>
      </c>
      <c r="D1305" s="263" t="s">
        <v>448</v>
      </c>
      <c r="E1305" s="271" t="s">
        <v>245</v>
      </c>
      <c r="F1305" s="265">
        <v>16214</v>
      </c>
      <c r="G1305" s="265">
        <f>39.7+334+(37.9+110.12+72.67+137.98)+(161.68+232.63)+1500</f>
        <v>2626.68</v>
      </c>
      <c r="H1305" s="265"/>
      <c r="I1305" s="266">
        <f>F1305-G1305-H1305</f>
        <v>13587.32</v>
      </c>
      <c r="J1305" s="267" t="s">
        <v>228</v>
      </c>
      <c r="K1305" s="267">
        <v>1</v>
      </c>
      <c r="L1305" s="267">
        <v>1</v>
      </c>
      <c r="M1305" s="267">
        <v>1</v>
      </c>
      <c r="N1305" s="267">
        <v>1</v>
      </c>
      <c r="O1305" s="267">
        <v>1</v>
      </c>
      <c r="P1305" s="267">
        <v>1</v>
      </c>
      <c r="Q1305" s="314">
        <v>0</v>
      </c>
      <c r="R1305" s="314">
        <v>0</v>
      </c>
      <c r="S1305" s="366">
        <v>0</v>
      </c>
      <c r="T1305" s="63"/>
      <c r="U1305" s="94" t="s">
        <v>485</v>
      </c>
      <c r="V1305" s="90"/>
      <c r="W1305" s="136"/>
      <c r="X1305" s="137"/>
    </row>
    <row r="1306" spans="1:24">
      <c r="A1306" s="507">
        <v>0.05</v>
      </c>
      <c r="B1306" s="87">
        <f>B1305+1</f>
        <v>3</v>
      </c>
      <c r="C1306" s="645">
        <v>45896</v>
      </c>
      <c r="D1306" s="357" t="s">
        <v>527</v>
      </c>
      <c r="E1306" s="642" t="s">
        <v>401</v>
      </c>
      <c r="F1306" s="646">
        <v>14503.6</v>
      </c>
      <c r="G1306" s="646">
        <f>39.7+60.48+(103.51+131.24+75.84)+(287.37+90.69)+1000</f>
        <v>1788.83</v>
      </c>
      <c r="H1306" s="646">
        <f>5000*0.2</f>
        <v>1000</v>
      </c>
      <c r="I1306" s="698">
        <f>F1306-G1306-H1306</f>
        <v>11714.77</v>
      </c>
      <c r="J1306" s="647" t="s">
        <v>185</v>
      </c>
      <c r="K1306" s="647">
        <v>1</v>
      </c>
      <c r="L1306" s="647">
        <v>1</v>
      </c>
      <c r="M1306" s="647">
        <v>1</v>
      </c>
      <c r="N1306" s="647">
        <v>1</v>
      </c>
      <c r="O1306" s="647">
        <v>1</v>
      </c>
      <c r="P1306" s="647">
        <v>1</v>
      </c>
      <c r="Q1306" s="647">
        <v>1</v>
      </c>
      <c r="R1306" s="647">
        <v>1</v>
      </c>
      <c r="S1306" s="648">
        <v>1</v>
      </c>
      <c r="T1306" s="537"/>
      <c r="U1306" s="164" t="s">
        <v>669</v>
      </c>
      <c r="V1306" s="551"/>
      <c r="W1306" s="552"/>
      <c r="X1306" s="553"/>
    </row>
    <row r="1307" spans="1:24" s="260" customFormat="1">
      <c r="A1307" s="261">
        <v>0.05</v>
      </c>
      <c r="B1307" s="87">
        <f>B1306+1</f>
        <v>4</v>
      </c>
      <c r="C1307" s="262">
        <v>45847</v>
      </c>
      <c r="D1307" s="263">
        <v>71343</v>
      </c>
      <c r="E1307" s="271" t="s">
        <v>184</v>
      </c>
      <c r="F1307" s="265">
        <v>2814</v>
      </c>
      <c r="G1307" s="265">
        <f>39.7+(36.22+222.93)</f>
        <v>298.84999999999997</v>
      </c>
      <c r="H1307" s="265"/>
      <c r="I1307" s="266">
        <f>F1307-G1307-H1307</f>
        <v>2515.15</v>
      </c>
      <c r="J1307" s="267" t="s">
        <v>156</v>
      </c>
      <c r="K1307" s="267">
        <v>1</v>
      </c>
      <c r="L1307" s="267">
        <v>1</v>
      </c>
      <c r="M1307" s="267">
        <v>1</v>
      </c>
      <c r="N1307" s="267">
        <v>1</v>
      </c>
      <c r="O1307" s="267">
        <v>1</v>
      </c>
      <c r="P1307" s="314">
        <v>0</v>
      </c>
      <c r="Q1307" s="314">
        <v>0</v>
      </c>
      <c r="R1307" s="314">
        <v>0</v>
      </c>
      <c r="S1307" s="366">
        <v>0</v>
      </c>
      <c r="T1307" s="63"/>
      <c r="U1307" s="94" t="s">
        <v>359</v>
      </c>
      <c r="V1307" s="90"/>
      <c r="W1307" s="136"/>
      <c r="X1307" s="137"/>
    </row>
    <row r="1308" spans="1:24" s="260" customFormat="1">
      <c r="A1308" s="261">
        <v>0.05</v>
      </c>
      <c r="B1308" s="87">
        <f>B1307+1</f>
        <v>5</v>
      </c>
      <c r="C1308" s="262">
        <v>45881</v>
      </c>
      <c r="D1308" s="263" t="s">
        <v>480</v>
      </c>
      <c r="E1308" s="309" t="s">
        <v>456</v>
      </c>
      <c r="F1308" s="265">
        <f>8614-947.1</f>
        <v>7666.9</v>
      </c>
      <c r="G1308" s="265">
        <f>39.7+495+(278.1+41.8-83.55)+1500</f>
        <v>2271.0500000000002</v>
      </c>
      <c r="H1308" s="265"/>
      <c r="I1308" s="266">
        <f>F1308-G1308-H1308</f>
        <v>5395.8499999999995</v>
      </c>
      <c r="J1308" s="267" t="s">
        <v>228</v>
      </c>
      <c r="K1308" s="267">
        <v>1</v>
      </c>
      <c r="L1308" s="267">
        <v>1</v>
      </c>
      <c r="M1308" s="267">
        <v>1</v>
      </c>
      <c r="N1308" s="267">
        <v>1</v>
      </c>
      <c r="O1308" s="267">
        <v>1</v>
      </c>
      <c r="P1308" s="267">
        <v>1</v>
      </c>
      <c r="Q1308" s="314">
        <v>0</v>
      </c>
      <c r="R1308" s="314">
        <v>0</v>
      </c>
      <c r="S1308" s="366">
        <v>0</v>
      </c>
      <c r="T1308" s="63"/>
      <c r="U1308" s="94" t="s">
        <v>505</v>
      </c>
      <c r="V1308" s="90"/>
      <c r="W1308" s="136"/>
      <c r="X1308" s="137"/>
    </row>
    <row r="1309" spans="1:24" s="260" customFormat="1">
      <c r="A1309" s="260" t="s">
        <v>619</v>
      </c>
      <c r="B1309" s="87">
        <f>B1290+1</f>
        <v>4</v>
      </c>
      <c r="C1309" s="262">
        <v>45923</v>
      </c>
      <c r="D1309" s="263" t="s">
        <v>620</v>
      </c>
      <c r="E1309" s="271" t="s">
        <v>609</v>
      </c>
      <c r="F1309" s="265">
        <v>14000</v>
      </c>
      <c r="G1309" s="265">
        <f>39.7+(54.62+926.82)+1000</f>
        <v>2021.14</v>
      </c>
      <c r="H1309" s="265"/>
      <c r="I1309" s="266">
        <f t="shared" ref="I1309" si="288">F1309-G1309-H1309</f>
        <v>11978.86</v>
      </c>
      <c r="J1309" s="267" t="s">
        <v>185</v>
      </c>
      <c r="K1309" s="267">
        <v>1</v>
      </c>
      <c r="L1309" s="267">
        <v>1</v>
      </c>
      <c r="M1309" s="267">
        <v>1</v>
      </c>
      <c r="N1309" s="267">
        <v>1</v>
      </c>
      <c r="O1309" s="267">
        <v>1</v>
      </c>
      <c r="P1309" s="267">
        <v>1</v>
      </c>
      <c r="Q1309" s="267">
        <v>1</v>
      </c>
      <c r="R1309" s="267">
        <v>1</v>
      </c>
      <c r="S1309" s="366">
        <v>0</v>
      </c>
      <c r="T1309" s="21"/>
      <c r="U1309" s="10" t="s">
        <v>621</v>
      </c>
      <c r="V1309" s="724"/>
      <c r="W1309" s="91"/>
      <c r="X1309" s="92"/>
    </row>
    <row r="1310" spans="1:24" s="260" customFormat="1">
      <c r="A1310" s="181"/>
      <c r="B1310" s="11"/>
      <c r="C1310" s="36"/>
      <c r="D1310" s="77"/>
      <c r="E1310" s="10"/>
      <c r="F1310" s="97">
        <f>SUM(F1304:F1309)</f>
        <v>71412.5</v>
      </c>
      <c r="G1310" s="97">
        <f>SUM(G1304:G1309)</f>
        <v>11293.579999999998</v>
      </c>
      <c r="H1310" s="97">
        <f>SUM(H1304:H1309)</f>
        <v>4242.8</v>
      </c>
      <c r="I1310" s="97">
        <f>SUM(I1304:I1309)</f>
        <v>55876.12</v>
      </c>
      <c r="K1310" s="21"/>
      <c r="L1310" s="21"/>
      <c r="M1310" s="21"/>
      <c r="N1310" s="21"/>
      <c r="O1310" s="21"/>
      <c r="P1310" s="21"/>
      <c r="Q1310" s="21"/>
      <c r="R1310" s="21"/>
      <c r="S1310" s="21"/>
      <c r="T1310" s="63"/>
      <c r="U1310" s="10"/>
      <c r="V1310" s="90"/>
      <c r="W1310" s="91"/>
      <c r="X1310" s="92"/>
    </row>
    <row r="1311" spans="1:24" s="260" customFormat="1">
      <c r="A1311" s="181"/>
      <c r="B1311" s="11"/>
      <c r="C1311" s="36"/>
      <c r="D1311" s="77"/>
      <c r="E1311" s="10"/>
      <c r="F1311" s="88"/>
      <c r="G1311" s="88"/>
      <c r="H1311" s="88"/>
      <c r="I1311" s="99"/>
      <c r="J1311" s="63"/>
      <c r="K1311" s="21"/>
      <c r="L1311" s="21"/>
      <c r="M1311" s="21"/>
      <c r="N1311" s="21"/>
      <c r="O1311" s="21"/>
      <c r="P1311" s="21"/>
      <c r="Q1311" s="21"/>
      <c r="R1311" s="21"/>
      <c r="S1311" s="21"/>
      <c r="T1311" s="63"/>
      <c r="U1311" s="10"/>
      <c r="V1311" s="90"/>
      <c r="W1311" s="91"/>
      <c r="X1311" s="92"/>
    </row>
    <row r="1312" spans="1:24">
      <c r="B1312" s="100" t="s">
        <v>72</v>
      </c>
      <c r="C1312" s="36"/>
      <c r="D1312" s="10"/>
      <c r="E1312" s="10"/>
      <c r="F1312" s="88"/>
      <c r="G1312" s="88"/>
      <c r="H1312" s="88"/>
      <c r="I1312" s="99"/>
      <c r="J1312" s="63"/>
      <c r="K1312" s="63"/>
      <c r="L1312" s="63"/>
      <c r="M1312" s="63"/>
      <c r="N1312" s="63"/>
      <c r="O1312" s="63"/>
      <c r="P1312" s="63"/>
      <c r="Q1312" s="63"/>
      <c r="R1312" s="63"/>
      <c r="S1312" s="63"/>
      <c r="T1312" s="63"/>
      <c r="U1312" s="10"/>
      <c r="V1312" s="90"/>
      <c r="W1312" s="91"/>
      <c r="X1312" s="92"/>
    </row>
    <row r="1313" spans="2:24">
      <c r="B1313" s="87">
        <v>1</v>
      </c>
      <c r="C1313" s="274">
        <v>45936</v>
      </c>
      <c r="D1313" s="276">
        <v>74062</v>
      </c>
      <c r="E1313" s="276" t="s">
        <v>471</v>
      </c>
      <c r="F1313" s="277">
        <v>1196</v>
      </c>
      <c r="G1313" s="277">
        <f>39.7</f>
        <v>39.700000000000003</v>
      </c>
      <c r="H1313" s="277"/>
      <c r="I1313" s="278">
        <f t="shared" ref="I1313:I1324" si="289">F1313-G1313-H1313</f>
        <v>1156.3</v>
      </c>
      <c r="J1313" s="279" t="s">
        <v>205</v>
      </c>
      <c r="K1313" s="279">
        <v>1</v>
      </c>
      <c r="L1313" s="279"/>
      <c r="M1313" s="279"/>
      <c r="N1313" s="279">
        <v>1</v>
      </c>
      <c r="O1313" s="279"/>
      <c r="P1313" s="279"/>
      <c r="Q1313" s="279">
        <v>1</v>
      </c>
      <c r="R1313" s="279">
        <v>1</v>
      </c>
      <c r="S1313" s="280">
        <v>1</v>
      </c>
      <c r="T1313" s="63"/>
      <c r="U1313" s="3"/>
      <c r="V1313" s="90"/>
      <c r="W1313" s="91"/>
      <c r="X1313" s="92"/>
    </row>
    <row r="1314" spans="2:24">
      <c r="B1314" s="87">
        <f t="shared" ref="B1314:B1324" si="290">B1313+1</f>
        <v>2</v>
      </c>
      <c r="C1314" s="274">
        <v>45937</v>
      </c>
      <c r="D1314" s="509" t="s">
        <v>670</v>
      </c>
      <c r="E1314" s="276" t="s">
        <v>654</v>
      </c>
      <c r="F1314" s="277">
        <v>12814</v>
      </c>
      <c r="G1314" s="277">
        <v>39.700000000000003</v>
      </c>
      <c r="H1314" s="277"/>
      <c r="I1314" s="278">
        <f t="shared" si="289"/>
        <v>12774.3</v>
      </c>
      <c r="J1314" s="279" t="s">
        <v>205</v>
      </c>
      <c r="K1314" s="279">
        <v>1</v>
      </c>
      <c r="L1314" s="279"/>
      <c r="M1314" s="279"/>
      <c r="N1314" s="279">
        <v>1</v>
      </c>
      <c r="O1314" s="279"/>
      <c r="P1314" s="279"/>
      <c r="Q1314" s="279"/>
      <c r="R1314" s="279"/>
      <c r="S1314" s="280"/>
      <c r="T1314" s="63"/>
      <c r="U1314" s="10"/>
      <c r="V1314" s="90"/>
      <c r="W1314" s="136"/>
      <c r="X1314" s="137"/>
    </row>
    <row r="1315" spans="2:24">
      <c r="B1315" s="87">
        <f t="shared" si="290"/>
        <v>3</v>
      </c>
      <c r="C1315" s="295">
        <v>45937</v>
      </c>
      <c r="D1315" s="10">
        <v>74126</v>
      </c>
      <c r="E1315" s="10" t="s">
        <v>349</v>
      </c>
      <c r="F1315" s="62">
        <v>5495</v>
      </c>
      <c r="G1315" s="62">
        <v>39.700000000000003</v>
      </c>
      <c r="H1315" s="62"/>
      <c r="I1315" s="89">
        <f t="shared" si="289"/>
        <v>5455.3</v>
      </c>
      <c r="J1315" s="63" t="s">
        <v>205</v>
      </c>
      <c r="K1315" s="63">
        <v>1</v>
      </c>
      <c r="L1315" s="63"/>
      <c r="M1315" s="63"/>
      <c r="N1315" s="63">
        <v>1</v>
      </c>
      <c r="O1315" s="63"/>
      <c r="P1315" s="63"/>
      <c r="Q1315" s="63">
        <v>1</v>
      </c>
      <c r="R1315" s="63">
        <v>1</v>
      </c>
      <c r="S1315" s="296">
        <v>1</v>
      </c>
      <c r="T1315" s="63"/>
      <c r="U1315" s="10"/>
      <c r="V1315" s="90"/>
      <c r="W1315" s="136"/>
      <c r="X1315" s="137"/>
    </row>
    <row r="1316" spans="2:24">
      <c r="B1316" s="87">
        <f t="shared" si="290"/>
        <v>4</v>
      </c>
      <c r="C1316" s="295">
        <v>45937</v>
      </c>
      <c r="D1316" s="10">
        <v>74130</v>
      </c>
      <c r="E1316" s="10" t="s">
        <v>426</v>
      </c>
      <c r="F1316" s="62">
        <v>2796</v>
      </c>
      <c r="G1316" s="62">
        <v>39.700000000000003</v>
      </c>
      <c r="H1316" s="62"/>
      <c r="I1316" s="89">
        <f t="shared" si="289"/>
        <v>2756.3</v>
      </c>
      <c r="J1316" s="63" t="s">
        <v>205</v>
      </c>
      <c r="K1316" s="63">
        <v>1</v>
      </c>
      <c r="L1316" s="63"/>
      <c r="M1316" s="63"/>
      <c r="N1316" s="63">
        <v>1</v>
      </c>
      <c r="O1316" s="63"/>
      <c r="P1316" s="63"/>
      <c r="Q1316" s="63">
        <v>1</v>
      </c>
      <c r="R1316" s="63">
        <v>1</v>
      </c>
      <c r="S1316" s="296">
        <v>1</v>
      </c>
      <c r="T1316" s="63"/>
      <c r="U1316" s="10"/>
      <c r="V1316" s="90"/>
      <c r="W1316" s="136"/>
      <c r="X1316" s="137"/>
    </row>
    <row r="1317" spans="2:24">
      <c r="B1317" s="87">
        <f t="shared" si="290"/>
        <v>5</v>
      </c>
      <c r="C1317" s="295">
        <v>45937</v>
      </c>
      <c r="D1317" s="10">
        <v>74128</v>
      </c>
      <c r="E1317" s="10" t="s">
        <v>671</v>
      </c>
      <c r="F1317" s="62">
        <v>612.9</v>
      </c>
      <c r="G1317" s="62"/>
      <c r="H1317" s="62"/>
      <c r="I1317" s="89">
        <f t="shared" si="289"/>
        <v>612.9</v>
      </c>
      <c r="J1317" s="63" t="s">
        <v>205</v>
      </c>
      <c r="K1317" s="63">
        <v>1</v>
      </c>
      <c r="L1317" s="63"/>
      <c r="M1317" s="63"/>
      <c r="N1317" s="63">
        <v>1</v>
      </c>
      <c r="O1317" s="63"/>
      <c r="P1317" s="63"/>
      <c r="Q1317" s="63">
        <v>1</v>
      </c>
      <c r="R1317" s="63">
        <v>1</v>
      </c>
      <c r="S1317" s="296"/>
      <c r="T1317" s="63"/>
      <c r="U1317" s="10"/>
      <c r="V1317" s="90"/>
      <c r="W1317" s="136"/>
      <c r="X1317" s="137"/>
    </row>
    <row r="1318" spans="2:24">
      <c r="B1318" s="87">
        <f t="shared" si="290"/>
        <v>6</v>
      </c>
      <c r="C1318" s="274">
        <v>45938</v>
      </c>
      <c r="D1318" s="276">
        <v>74144</v>
      </c>
      <c r="E1318" s="281" t="s">
        <v>643</v>
      </c>
      <c r="F1318" s="277">
        <v>4376</v>
      </c>
      <c r="G1318" s="277">
        <v>39.700000000000003</v>
      </c>
      <c r="H1318" s="277"/>
      <c r="I1318" s="278">
        <f t="shared" si="289"/>
        <v>4336.3</v>
      </c>
      <c r="J1318" s="279" t="s">
        <v>205</v>
      </c>
      <c r="K1318" s="279">
        <v>1</v>
      </c>
      <c r="L1318" s="279"/>
      <c r="M1318" s="279"/>
      <c r="N1318" s="279">
        <v>1</v>
      </c>
      <c r="O1318" s="279"/>
      <c r="P1318" s="279"/>
      <c r="Q1318" s="279">
        <v>1</v>
      </c>
      <c r="R1318" s="279">
        <v>1</v>
      </c>
      <c r="S1318" s="280">
        <v>1</v>
      </c>
      <c r="T1318" s="63"/>
      <c r="U1318" s="10"/>
      <c r="V1318" s="90"/>
      <c r="W1318" s="136"/>
      <c r="X1318" s="137"/>
    </row>
    <row r="1319" spans="2:24">
      <c r="B1319" s="87">
        <f t="shared" si="290"/>
        <v>7</v>
      </c>
      <c r="C1319" s="295">
        <v>45938</v>
      </c>
      <c r="D1319" s="10">
        <v>74171</v>
      </c>
      <c r="E1319" s="101" t="s">
        <v>302</v>
      </c>
      <c r="F1319" s="62">
        <v>14861</v>
      </c>
      <c r="G1319" s="62">
        <v>39.700000000000003</v>
      </c>
      <c r="H1319" s="62"/>
      <c r="I1319" s="89">
        <f t="shared" si="289"/>
        <v>14821.3</v>
      </c>
      <c r="J1319" s="63" t="s">
        <v>205</v>
      </c>
      <c r="K1319" s="63">
        <v>1</v>
      </c>
      <c r="L1319" s="63"/>
      <c r="M1319" s="63"/>
      <c r="N1319" s="63">
        <v>1</v>
      </c>
      <c r="O1319" s="63"/>
      <c r="P1319" s="63"/>
      <c r="Q1319" s="63">
        <v>1</v>
      </c>
      <c r="R1319" s="63">
        <v>1</v>
      </c>
      <c r="S1319" s="296"/>
      <c r="T1319" s="63"/>
      <c r="U1319" s="10"/>
      <c r="V1319" s="90"/>
      <c r="W1319" s="136"/>
      <c r="X1319" s="137"/>
    </row>
    <row r="1320" spans="2:24">
      <c r="B1320" s="87">
        <f t="shared" si="290"/>
        <v>8</v>
      </c>
      <c r="C1320" s="295">
        <v>45938</v>
      </c>
      <c r="D1320" s="10">
        <v>74197</v>
      </c>
      <c r="E1320" s="101" t="s">
        <v>302</v>
      </c>
      <c r="F1320" s="62">
        <v>6814</v>
      </c>
      <c r="G1320" s="62">
        <v>39.700000000000003</v>
      </c>
      <c r="H1320" s="62"/>
      <c r="I1320" s="89">
        <f t="shared" si="289"/>
        <v>6774.3</v>
      </c>
      <c r="J1320" s="63" t="s">
        <v>205</v>
      </c>
      <c r="K1320" s="63">
        <v>1</v>
      </c>
      <c r="L1320" s="63"/>
      <c r="M1320" s="63"/>
      <c r="N1320" s="63">
        <v>1</v>
      </c>
      <c r="O1320" s="63"/>
      <c r="P1320" s="63"/>
      <c r="Q1320" s="63">
        <v>1</v>
      </c>
      <c r="R1320" s="63">
        <v>1</v>
      </c>
      <c r="S1320" s="296"/>
      <c r="T1320" s="63"/>
      <c r="U1320" s="10"/>
      <c r="V1320" s="90"/>
      <c r="W1320" s="136"/>
      <c r="X1320" s="137"/>
    </row>
    <row r="1321" spans="2:24">
      <c r="B1321" s="87">
        <f t="shared" si="290"/>
        <v>9</v>
      </c>
      <c r="C1321" s="274">
        <v>45939</v>
      </c>
      <c r="D1321" s="276">
        <v>74241</v>
      </c>
      <c r="E1321" s="281" t="s">
        <v>363</v>
      </c>
      <c r="F1321" s="277">
        <v>1616</v>
      </c>
      <c r="G1321" s="277">
        <v>39.700000000000003</v>
      </c>
      <c r="H1321" s="277"/>
      <c r="I1321" s="278">
        <f t="shared" si="289"/>
        <v>1576.3</v>
      </c>
      <c r="J1321" s="279" t="s">
        <v>205</v>
      </c>
      <c r="K1321" s="279">
        <v>1</v>
      </c>
      <c r="L1321" s="279"/>
      <c r="M1321" s="279"/>
      <c r="N1321" s="279">
        <v>1</v>
      </c>
      <c r="O1321" s="279"/>
      <c r="P1321" s="279"/>
      <c r="Q1321" s="279">
        <v>1</v>
      </c>
      <c r="R1321" s="279">
        <v>1</v>
      </c>
      <c r="S1321" s="280">
        <v>1</v>
      </c>
      <c r="T1321" s="63"/>
      <c r="U1321" s="10"/>
      <c r="V1321" s="90"/>
      <c r="W1321" s="136"/>
      <c r="X1321" s="137"/>
    </row>
    <row r="1322" spans="2:24">
      <c r="B1322" s="87">
        <f t="shared" si="290"/>
        <v>10</v>
      </c>
      <c r="C1322" s="295">
        <v>45939</v>
      </c>
      <c r="D1322" s="10">
        <v>74255</v>
      </c>
      <c r="E1322" s="101" t="s">
        <v>563</v>
      </c>
      <c r="F1322" s="62">
        <v>12614</v>
      </c>
      <c r="G1322" s="62">
        <v>39.700000000000003</v>
      </c>
      <c r="H1322" s="62"/>
      <c r="I1322" s="89">
        <f t="shared" si="289"/>
        <v>12574.3</v>
      </c>
      <c r="J1322" s="63" t="s">
        <v>156</v>
      </c>
      <c r="K1322" s="63">
        <v>1</v>
      </c>
      <c r="L1322" s="63"/>
      <c r="M1322" s="63">
        <v>1</v>
      </c>
      <c r="N1322" s="63">
        <v>1</v>
      </c>
      <c r="O1322" s="63"/>
      <c r="P1322" s="63"/>
      <c r="Q1322" s="63">
        <v>1</v>
      </c>
      <c r="R1322" s="63">
        <v>1</v>
      </c>
      <c r="S1322" s="296"/>
      <c r="T1322" s="63"/>
      <c r="U1322" s="10"/>
      <c r="V1322" s="90">
        <v>93.5</v>
      </c>
      <c r="W1322" s="136"/>
      <c r="X1322" s="137"/>
    </row>
    <row r="1323" spans="2:24">
      <c r="B1323" s="87">
        <f t="shared" si="290"/>
        <v>11</v>
      </c>
      <c r="C1323" s="295">
        <v>45939</v>
      </c>
      <c r="D1323" s="10">
        <v>74258</v>
      </c>
      <c r="E1323" s="101" t="s">
        <v>672</v>
      </c>
      <c r="F1323" s="62">
        <v>612.9</v>
      </c>
      <c r="G1323" s="62"/>
      <c r="H1323" s="62"/>
      <c r="I1323" s="89">
        <f t="shared" si="289"/>
        <v>612.9</v>
      </c>
      <c r="J1323" s="63" t="s">
        <v>205</v>
      </c>
      <c r="K1323" s="63">
        <v>1</v>
      </c>
      <c r="L1323" s="63"/>
      <c r="M1323" s="63"/>
      <c r="N1323" s="63">
        <v>1</v>
      </c>
      <c r="O1323" s="63"/>
      <c r="P1323" s="63"/>
      <c r="Q1323" s="63">
        <v>1</v>
      </c>
      <c r="R1323" s="63">
        <v>1</v>
      </c>
      <c r="S1323" s="296">
        <v>1</v>
      </c>
      <c r="T1323" s="63"/>
      <c r="U1323" s="10"/>
      <c r="V1323" s="90"/>
      <c r="W1323" s="136"/>
      <c r="X1323" s="137"/>
    </row>
    <row r="1324" spans="2:24">
      <c r="B1324" s="87">
        <f t="shared" si="290"/>
        <v>12</v>
      </c>
      <c r="C1324" s="262">
        <v>45940</v>
      </c>
      <c r="D1324" s="271">
        <v>74322</v>
      </c>
      <c r="E1324" s="264" t="s">
        <v>327</v>
      </c>
      <c r="F1324" s="265">
        <v>4354</v>
      </c>
      <c r="G1324" s="265">
        <v>39.700000000000003</v>
      </c>
      <c r="H1324" s="265"/>
      <c r="I1324" s="272">
        <f t="shared" si="289"/>
        <v>4314.3</v>
      </c>
      <c r="J1324" s="267" t="s">
        <v>205</v>
      </c>
      <c r="K1324" s="267">
        <v>1</v>
      </c>
      <c r="L1324" s="267"/>
      <c r="M1324" s="267"/>
      <c r="N1324" s="267">
        <v>1</v>
      </c>
      <c r="O1324" s="267"/>
      <c r="P1324" s="267"/>
      <c r="Q1324" s="267">
        <v>1</v>
      </c>
      <c r="R1324" s="267">
        <v>1</v>
      </c>
      <c r="S1324" s="269">
        <v>1</v>
      </c>
      <c r="T1324" s="63"/>
      <c r="U1324" s="10"/>
      <c r="V1324" s="90"/>
      <c r="W1324" s="136"/>
      <c r="X1324" s="137"/>
    </row>
    <row r="1325" spans="2:24">
      <c r="B1325" s="11"/>
      <c r="C1325" s="36"/>
      <c r="D1325" s="10"/>
      <c r="E1325" s="10"/>
      <c r="F1325" s="98">
        <f t="shared" ref="F1325:H1325" si="291">SUM(F1313:F1324)</f>
        <v>68161.8</v>
      </c>
      <c r="G1325" s="98">
        <f t="shared" si="291"/>
        <v>396.99999999999994</v>
      </c>
      <c r="H1325" s="98">
        <f t="shared" si="291"/>
        <v>0</v>
      </c>
      <c r="I1325" s="98">
        <f>SUM(I1313:I1324)</f>
        <v>67764.800000000003</v>
      </c>
      <c r="J1325" s="10"/>
      <c r="K1325" s="10"/>
      <c r="L1325" s="10"/>
      <c r="M1325" s="10"/>
      <c r="N1325" s="10"/>
      <c r="O1325" s="10"/>
      <c r="P1325" s="10"/>
      <c r="Q1325" s="10"/>
      <c r="R1325" s="10"/>
      <c r="S1325" s="10"/>
      <c r="T1325" s="63"/>
      <c r="U1325" s="10"/>
      <c r="V1325" s="90"/>
      <c r="W1325" s="136"/>
      <c r="X1325" s="137"/>
    </row>
    <row r="1326" spans="2:24">
      <c r="B1326" s="11"/>
      <c r="C1326" s="36"/>
      <c r="D1326" s="10"/>
      <c r="E1326" s="10"/>
      <c r="F1326" s="88"/>
      <c r="G1326" s="88"/>
      <c r="H1326" s="88"/>
      <c r="I1326" s="99"/>
      <c r="J1326" s="10"/>
      <c r="K1326" s="10"/>
      <c r="L1326" s="10"/>
      <c r="M1326" s="10"/>
      <c r="N1326" s="10"/>
      <c r="O1326" s="10"/>
      <c r="P1326" s="10"/>
      <c r="Q1326" s="10"/>
      <c r="R1326" s="10"/>
      <c r="S1326" s="10"/>
      <c r="T1326" s="63"/>
      <c r="U1326" s="10"/>
      <c r="V1326" s="90"/>
      <c r="W1326" s="136"/>
      <c r="X1326" s="137"/>
    </row>
    <row r="1327" spans="2:24">
      <c r="B1327" s="100" t="s">
        <v>73</v>
      </c>
      <c r="C1327" s="36"/>
      <c r="D1327" s="10"/>
      <c r="E1327" s="10"/>
      <c r="F1327" s="88"/>
      <c r="G1327" s="88"/>
      <c r="H1327" s="88"/>
      <c r="I1327" s="99"/>
      <c r="J1327" s="10"/>
      <c r="K1327" s="10"/>
      <c r="L1327" s="10"/>
      <c r="M1327" s="10"/>
      <c r="N1327" s="10"/>
      <c r="O1327" s="10"/>
      <c r="P1327" s="10"/>
      <c r="Q1327" s="10"/>
      <c r="R1327" s="10"/>
      <c r="S1327" s="10"/>
      <c r="T1327" s="63"/>
      <c r="U1327" s="10"/>
      <c r="V1327" s="90"/>
      <c r="W1327" s="136"/>
      <c r="X1327" s="137"/>
    </row>
    <row r="1328" spans="2:24">
      <c r="B1328" s="87">
        <v>1</v>
      </c>
      <c r="C1328" s="274">
        <v>45941</v>
      </c>
      <c r="D1328" s="276">
        <v>74288</v>
      </c>
      <c r="E1328" s="281" t="s">
        <v>673</v>
      </c>
      <c r="F1328" s="277">
        <v>5594</v>
      </c>
      <c r="G1328" s="277">
        <f>39.7</f>
        <v>39.700000000000003</v>
      </c>
      <c r="H1328" s="277"/>
      <c r="I1328" s="278">
        <f>F1328-G1328-H1328</f>
        <v>5554.3</v>
      </c>
      <c r="J1328" s="279" t="s">
        <v>205</v>
      </c>
      <c r="K1328" s="279">
        <v>1</v>
      </c>
      <c r="L1328" s="279"/>
      <c r="M1328" s="279"/>
      <c r="N1328" s="279">
        <v>1</v>
      </c>
      <c r="O1328" s="279"/>
      <c r="P1328" s="279"/>
      <c r="Q1328" s="279">
        <v>1</v>
      </c>
      <c r="R1328" s="279">
        <v>1</v>
      </c>
      <c r="S1328" s="280">
        <v>1</v>
      </c>
      <c r="T1328" s="63"/>
      <c r="U1328" s="10"/>
      <c r="V1328" s="90"/>
      <c r="W1328" s="136"/>
      <c r="X1328" s="137"/>
    </row>
    <row r="1329" spans="1:24">
      <c r="B1329" s="87">
        <f t="shared" ref="B1329:B1330" si="292">B1328+1</f>
        <v>2</v>
      </c>
      <c r="C1329" s="295">
        <v>45941</v>
      </c>
      <c r="D1329" s="10">
        <v>74339</v>
      </c>
      <c r="E1329" s="10" t="s">
        <v>674</v>
      </c>
      <c r="F1329" s="62">
        <f>2046-185</f>
        <v>1861</v>
      </c>
      <c r="G1329" s="62">
        <v>39.700000000000003</v>
      </c>
      <c r="H1329" s="62"/>
      <c r="I1329" s="89">
        <f>F1329-G1329-H1329</f>
        <v>1821.3</v>
      </c>
      <c r="J1329" s="63" t="s">
        <v>156</v>
      </c>
      <c r="K1329" s="63">
        <v>1</v>
      </c>
      <c r="L1329" s="63"/>
      <c r="M1329" s="63">
        <v>1</v>
      </c>
      <c r="N1329" s="63">
        <v>1</v>
      </c>
      <c r="O1329" s="63"/>
      <c r="P1329" s="63"/>
      <c r="Q1329" s="63"/>
      <c r="R1329" s="63"/>
      <c r="S1329" s="296"/>
      <c r="T1329" s="63"/>
      <c r="U1329" s="10"/>
      <c r="V1329" s="90">
        <v>203.5</v>
      </c>
      <c r="W1329" s="136"/>
      <c r="X1329" s="137"/>
    </row>
    <row r="1330" spans="1:24">
      <c r="B1330" s="87">
        <f t="shared" si="292"/>
        <v>3</v>
      </c>
      <c r="C1330" s="282">
        <v>45941</v>
      </c>
      <c r="D1330" s="283">
        <v>74340</v>
      </c>
      <c r="E1330" s="283" t="s">
        <v>317</v>
      </c>
      <c r="F1330" s="284">
        <f>1346-85</f>
        <v>1261</v>
      </c>
      <c r="G1330" s="284">
        <v>39.700000000000003</v>
      </c>
      <c r="H1330" s="284"/>
      <c r="I1330" s="285">
        <f>F1330-G1330-H1330</f>
        <v>1221.3</v>
      </c>
      <c r="J1330" s="286" t="s">
        <v>156</v>
      </c>
      <c r="K1330" s="286">
        <v>1</v>
      </c>
      <c r="L1330" s="286"/>
      <c r="M1330" s="286">
        <v>1</v>
      </c>
      <c r="N1330" s="286">
        <v>1</v>
      </c>
      <c r="O1330" s="286"/>
      <c r="P1330" s="286"/>
      <c r="Q1330" s="286">
        <v>1</v>
      </c>
      <c r="R1330" s="286">
        <v>1</v>
      </c>
      <c r="S1330" s="287">
        <v>1</v>
      </c>
      <c r="T1330" s="63"/>
      <c r="U1330" s="10"/>
      <c r="V1330" s="90">
        <v>93.5</v>
      </c>
      <c r="W1330" s="136"/>
      <c r="X1330" s="137"/>
    </row>
    <row r="1331" spans="1:24">
      <c r="B1331" s="11"/>
      <c r="C1331" s="36"/>
      <c r="D1331" s="10"/>
      <c r="E1331" s="10"/>
      <c r="F1331" s="98">
        <f t="shared" ref="F1331:H1331" si="293">SUM(F1328:F1330)</f>
        <v>8716</v>
      </c>
      <c r="G1331" s="98">
        <f t="shared" si="293"/>
        <v>119.10000000000001</v>
      </c>
      <c r="H1331" s="98">
        <f t="shared" si="293"/>
        <v>0</v>
      </c>
      <c r="I1331" s="98">
        <f>SUM(I1328:I1330)</f>
        <v>8596.9</v>
      </c>
      <c r="J1331" s="10"/>
      <c r="K1331" s="10"/>
      <c r="L1331" s="10"/>
      <c r="M1331" s="10"/>
      <c r="N1331" s="10"/>
      <c r="O1331" s="10"/>
      <c r="P1331" s="10"/>
      <c r="Q1331" s="10"/>
      <c r="R1331" s="10"/>
      <c r="S1331" s="10"/>
      <c r="T1331" s="63"/>
      <c r="U1331" s="10"/>
      <c r="V1331" s="90"/>
      <c r="W1331" s="136"/>
      <c r="X1331" s="137"/>
    </row>
    <row r="1332" spans="1:24">
      <c r="B1332" s="11"/>
      <c r="C1332" s="36"/>
      <c r="D1332" s="10"/>
      <c r="E1332" s="10"/>
      <c r="F1332" s="88"/>
      <c r="G1332" s="88"/>
      <c r="H1332" s="88"/>
      <c r="I1332" s="99"/>
      <c r="J1332" s="10"/>
      <c r="K1332" s="10"/>
      <c r="L1332" s="10"/>
      <c r="M1332" s="10"/>
      <c r="N1332" s="10"/>
      <c r="O1332" s="10"/>
      <c r="P1332" s="10"/>
      <c r="Q1332" s="10"/>
      <c r="R1332" s="10"/>
      <c r="S1332" s="10"/>
      <c r="T1332" s="63"/>
      <c r="U1332" s="10"/>
      <c r="V1332" s="90"/>
      <c r="W1332" s="136"/>
      <c r="X1332" s="137"/>
    </row>
    <row r="1333" spans="1:24">
      <c r="B1333" s="26"/>
      <c r="C1333" s="612"/>
      <c r="D1333" s="141"/>
      <c r="E1333" s="141"/>
      <c r="F1333" s="141"/>
      <c r="G1333" s="141"/>
      <c r="H1333" s="141"/>
      <c r="I1333" s="141"/>
      <c r="J1333" s="141"/>
      <c r="K1333" s="142"/>
      <c r="L1333" s="142"/>
      <c r="M1333" s="142"/>
      <c r="N1333" s="142"/>
      <c r="O1333" s="142"/>
      <c r="P1333" s="142"/>
      <c r="Q1333" s="142"/>
      <c r="R1333" s="142"/>
      <c r="S1333" s="142"/>
      <c r="T1333" s="143">
        <f>SUM(T1263:T1332)</f>
        <v>8</v>
      </c>
      <c r="U1333" s="141"/>
      <c r="V1333" s="144">
        <f>SUM(V1263:V1332)</f>
        <v>67774.31</v>
      </c>
      <c r="W1333" s="144">
        <f t="shared" ref="W1333:X1333" si="294">SUM(W1263:W1332)</f>
        <v>160</v>
      </c>
      <c r="X1333" s="144">
        <f t="shared" si="294"/>
        <v>0</v>
      </c>
    </row>
    <row r="1334" spans="1:24">
      <c r="B1334" s="10"/>
      <c r="C1334" s="36"/>
      <c r="D1334" s="10"/>
      <c r="E1334" s="10"/>
      <c r="F1334" s="10"/>
      <c r="G1334" s="10"/>
      <c r="H1334" s="10"/>
      <c r="I1334" s="10"/>
      <c r="J1334" s="10"/>
      <c r="K1334" s="147"/>
      <c r="L1334" s="147"/>
      <c r="M1334" s="147"/>
      <c r="N1334" s="147"/>
      <c r="O1334" s="147"/>
      <c r="P1334" s="147"/>
      <c r="Q1334" s="147"/>
      <c r="R1334" s="147"/>
      <c r="S1334" s="147"/>
      <c r="T1334" s="21"/>
      <c r="U1334" s="10"/>
      <c r="V1334" s="99"/>
      <c r="W1334" s="99"/>
      <c r="X1334" s="99"/>
    </row>
    <row r="1336" spans="1:24">
      <c r="A1336" s="616" t="s">
        <v>74</v>
      </c>
      <c r="B1336" s="4" t="s">
        <v>1</v>
      </c>
      <c r="C1336" s="5"/>
      <c r="D1336" s="83"/>
      <c r="E1336" s="6"/>
      <c r="F1336" s="7" t="s">
        <v>2</v>
      </c>
      <c r="G1336" s="608">
        <v>45949</v>
      </c>
      <c r="H1336" s="7"/>
      <c r="I1336" s="6"/>
      <c r="J1336" s="6"/>
      <c r="K1336" s="6"/>
      <c r="L1336" s="6"/>
      <c r="M1336" s="6"/>
      <c r="N1336" s="6"/>
      <c r="O1336" s="6"/>
      <c r="P1336" s="6"/>
      <c r="Q1336" s="6"/>
      <c r="R1336" s="6"/>
      <c r="S1336" s="6"/>
      <c r="T1336" s="6"/>
      <c r="U1336" s="149"/>
      <c r="V1336" s="77"/>
      <c r="W1336" s="77"/>
      <c r="X1336" s="77"/>
    </row>
    <row r="1337" spans="1:24">
      <c r="A1337" s="617" t="s">
        <v>75</v>
      </c>
      <c r="B1337" s="11"/>
      <c r="C1337" s="10"/>
      <c r="D1337" s="63"/>
      <c r="E1337" s="10"/>
      <c r="F1337" s="10"/>
      <c r="G1337" s="7"/>
      <c r="H1337" s="12"/>
      <c r="I1337" s="10"/>
      <c r="J1337" s="10"/>
      <c r="K1337" s="13" t="s">
        <v>3</v>
      </c>
      <c r="L1337" s="14"/>
      <c r="M1337" s="15"/>
      <c r="N1337" s="13" t="s">
        <v>4</v>
      </c>
      <c r="O1337" s="14"/>
      <c r="P1337" s="15"/>
      <c r="Q1337" s="13" t="s">
        <v>5</v>
      </c>
      <c r="R1337" s="14"/>
      <c r="S1337" s="15"/>
      <c r="T1337" s="16"/>
      <c r="U1337" s="151"/>
      <c r="V1337" s="77"/>
      <c r="W1337" s="77"/>
      <c r="X1337" s="77"/>
    </row>
    <row r="1338" spans="1:24">
      <c r="A1338" s="616" t="s">
        <v>76</v>
      </c>
      <c r="B1338" s="18" t="s">
        <v>6</v>
      </c>
      <c r="C1338" s="19">
        <f>C1339+C1340</f>
        <v>31</v>
      </c>
      <c r="D1338" s="63"/>
      <c r="E1338" s="18" t="s">
        <v>7</v>
      </c>
      <c r="F1338" s="6"/>
      <c r="G1338" s="9"/>
      <c r="H1338" s="10"/>
      <c r="I1338" s="10"/>
      <c r="J1338" s="10"/>
      <c r="K1338" s="20" t="s">
        <v>8</v>
      </c>
      <c r="L1338" s="21" t="s">
        <v>9</v>
      </c>
      <c r="M1338" s="21" t="s">
        <v>10</v>
      </c>
      <c r="N1338" s="20" t="s">
        <v>11</v>
      </c>
      <c r="O1338" s="21" t="s">
        <v>12</v>
      </c>
      <c r="P1338" s="22" t="s">
        <v>13</v>
      </c>
      <c r="Q1338" s="21" t="s">
        <v>11</v>
      </c>
      <c r="R1338" s="21" t="s">
        <v>12</v>
      </c>
      <c r="S1338" s="22" t="s">
        <v>13</v>
      </c>
      <c r="T1338" s="23" t="s">
        <v>14</v>
      </c>
      <c r="U1338" s="151"/>
      <c r="V1338" s="77"/>
      <c r="W1338" s="77"/>
      <c r="X1338" s="77"/>
    </row>
    <row r="1339" spans="1:24">
      <c r="A1339" s="652" t="s">
        <v>77</v>
      </c>
      <c r="B1339" s="24" t="s">
        <v>15</v>
      </c>
      <c r="C1339" s="25">
        <f>P1346</f>
        <v>17</v>
      </c>
      <c r="D1339" s="63"/>
      <c r="E1339" s="11" t="s">
        <v>16</v>
      </c>
      <c r="F1339" s="10" t="s">
        <v>78</v>
      </c>
      <c r="G1339" s="153">
        <v>0.05</v>
      </c>
      <c r="H1339" s="10"/>
      <c r="I1339" s="10"/>
      <c r="J1339" s="18" t="s">
        <v>17</v>
      </c>
      <c r="K1339" s="29">
        <f>K1377</f>
        <v>13</v>
      </c>
      <c r="L1339" s="29">
        <f>L1377</f>
        <v>13</v>
      </c>
      <c r="M1339" s="29">
        <f>M1377</f>
        <v>10</v>
      </c>
      <c r="N1339" s="29">
        <f>N1377</f>
        <v>13</v>
      </c>
      <c r="O1339" s="29">
        <f>O1377</f>
        <v>13</v>
      </c>
      <c r="P1339" s="29">
        <f>P1377</f>
        <v>13</v>
      </c>
      <c r="Q1339" s="29">
        <f>Q1377</f>
        <v>13</v>
      </c>
      <c r="R1339" s="29">
        <f>R1377</f>
        <v>13</v>
      </c>
      <c r="S1339" s="29">
        <f>S1377</f>
        <v>12</v>
      </c>
      <c r="T1339" s="30">
        <f>T1420</f>
        <v>1</v>
      </c>
      <c r="U1339" s="151"/>
      <c r="V1339" s="77"/>
      <c r="W1339" s="77"/>
      <c r="X1339" s="77"/>
    </row>
    <row r="1340" spans="1:24">
      <c r="A1340" s="652" t="s">
        <v>79</v>
      </c>
      <c r="B1340" s="24" t="s">
        <v>18</v>
      </c>
      <c r="C1340" s="25">
        <f>P1347</f>
        <v>14</v>
      </c>
      <c r="D1340" s="63"/>
      <c r="E1340" s="26" t="s">
        <v>80</v>
      </c>
      <c r="F1340" s="141" t="s">
        <v>81</v>
      </c>
      <c r="G1340" s="154">
        <v>0.1</v>
      </c>
      <c r="H1340" s="10"/>
      <c r="I1340" s="10"/>
      <c r="J1340" s="32" t="s">
        <v>19</v>
      </c>
      <c r="K1340" s="33">
        <f>K1377/K1376</f>
        <v>1</v>
      </c>
      <c r="L1340" s="33">
        <f>L1377/L1376</f>
        <v>1</v>
      </c>
      <c r="M1340" s="33">
        <f>M1377/M1376</f>
        <v>0.76923076923076927</v>
      </c>
      <c r="N1340" s="33">
        <f>N1377/N1376</f>
        <v>1</v>
      </c>
      <c r="O1340" s="33">
        <f>O1377/O1376</f>
        <v>1</v>
      </c>
      <c r="P1340" s="33">
        <f>P1377/P1376</f>
        <v>1</v>
      </c>
      <c r="Q1340" s="33">
        <f>Q1377/Q1376</f>
        <v>1</v>
      </c>
      <c r="R1340" s="33">
        <f>R1377/R1376</f>
        <v>1</v>
      </c>
      <c r="S1340" s="33">
        <f>S1377/S1376</f>
        <v>0.92307692307692313</v>
      </c>
      <c r="T1340" s="23"/>
      <c r="U1340" s="151" t="s">
        <v>20</v>
      </c>
      <c r="V1340" s="77"/>
      <c r="W1340" s="77"/>
      <c r="X1340" s="77"/>
    </row>
    <row r="1341" spans="1:24">
      <c r="A1341" s="652" t="s">
        <v>82</v>
      </c>
      <c r="B1341" s="24" t="s">
        <v>21</v>
      </c>
      <c r="C1341" s="34">
        <f>P1348</f>
        <v>0.54838709677419351</v>
      </c>
      <c r="D1341" s="63"/>
      <c r="E1341" s="10"/>
      <c r="F1341" s="10"/>
      <c r="G1341" s="10"/>
      <c r="H1341" s="10"/>
      <c r="I1341" s="10"/>
      <c r="J1341" s="10"/>
      <c r="K1341" s="10"/>
      <c r="L1341" s="10"/>
      <c r="M1341" s="10"/>
      <c r="N1341" s="10"/>
      <c r="O1341" s="10"/>
      <c r="P1341" s="10"/>
      <c r="Q1341" s="10"/>
      <c r="R1341" s="10"/>
      <c r="S1341" s="10"/>
      <c r="T1341" s="10"/>
      <c r="U1341" s="151"/>
      <c r="V1341" s="77"/>
      <c r="W1341" s="77"/>
      <c r="X1341" s="77"/>
    </row>
    <row r="1342" spans="1:24">
      <c r="A1342" s="652" t="s">
        <v>83</v>
      </c>
      <c r="B1342" s="24"/>
      <c r="C1342" s="25"/>
      <c r="D1342" s="63"/>
      <c r="E1342" s="10"/>
      <c r="F1342" s="18" t="s">
        <v>22</v>
      </c>
      <c r="G1342" s="19" t="s">
        <v>23</v>
      </c>
      <c r="H1342" s="35" t="s">
        <v>24</v>
      </c>
      <c r="I1342" s="10"/>
      <c r="J1342" s="10"/>
      <c r="K1342" s="36"/>
      <c r="L1342" s="36"/>
      <c r="M1342" s="36"/>
      <c r="N1342" s="36"/>
      <c r="O1342" s="36"/>
      <c r="P1342" s="36"/>
      <c r="Q1342" s="36"/>
      <c r="R1342" s="10"/>
      <c r="S1342" s="10"/>
      <c r="T1342" s="10"/>
      <c r="U1342" s="151"/>
      <c r="V1342" s="77"/>
      <c r="W1342" s="77"/>
      <c r="X1342" s="77"/>
    </row>
    <row r="1343" spans="1:24" ht="22.5" customHeight="1">
      <c r="A1343" s="652" t="s">
        <v>84</v>
      </c>
      <c r="B1343" s="32" t="s">
        <v>25</v>
      </c>
      <c r="C1343" s="37">
        <f>P1349</f>
        <v>1713.7317647058826</v>
      </c>
      <c r="D1343" s="63"/>
      <c r="E1343" s="18" t="s">
        <v>26</v>
      </c>
      <c r="F1343" s="38">
        <f>P1345</f>
        <v>29133.440000000002</v>
      </c>
      <c r="G1343" s="39">
        <f>I1376+I1383+I1387</f>
        <v>29133.440000000002</v>
      </c>
      <c r="H1343" s="767" t="s">
        <v>675</v>
      </c>
      <c r="I1343" s="767"/>
      <c r="J1343" s="767"/>
      <c r="K1343" s="43" t="s">
        <v>27</v>
      </c>
      <c r="L1343" s="44"/>
      <c r="M1343" s="44"/>
      <c r="N1343" s="44"/>
      <c r="O1343" s="44"/>
      <c r="P1343" s="44"/>
      <c r="Q1343" s="45"/>
      <c r="R1343" s="46" t="s">
        <v>28</v>
      </c>
      <c r="S1343" s="47" t="s">
        <v>29</v>
      </c>
      <c r="T1343" s="10"/>
      <c r="U1343" s="151"/>
      <c r="V1343" s="77"/>
      <c r="W1343" s="77"/>
      <c r="X1343" s="77"/>
    </row>
    <row r="1344" spans="1:24">
      <c r="A1344" s="614"/>
      <c r="B1344" s="11"/>
      <c r="C1344" s="10"/>
      <c r="D1344" s="63"/>
      <c r="E1344" s="24" t="s">
        <v>30</v>
      </c>
      <c r="F1344" s="48">
        <f>IF(F1343&gt;=25000,10%,5%)</f>
        <v>0.1</v>
      </c>
      <c r="G1344" s="17"/>
      <c r="H1344" s="767"/>
      <c r="I1344" s="767"/>
      <c r="J1344" s="767"/>
      <c r="K1344" s="20" t="s">
        <v>31</v>
      </c>
      <c r="L1344" s="21" t="s">
        <v>32</v>
      </c>
      <c r="M1344" s="21" t="s">
        <v>33</v>
      </c>
      <c r="N1344" s="21" t="s">
        <v>34</v>
      </c>
      <c r="O1344" s="21" t="s">
        <v>35</v>
      </c>
      <c r="P1344" s="21" t="s">
        <v>36</v>
      </c>
      <c r="Q1344" s="49" t="s">
        <v>37</v>
      </c>
      <c r="R1344" s="50" t="s">
        <v>38</v>
      </c>
      <c r="S1344" s="50" t="s">
        <v>38</v>
      </c>
      <c r="T1344" s="10"/>
      <c r="U1344" s="151"/>
      <c r="V1344" s="77"/>
      <c r="W1344" s="77"/>
      <c r="X1344" s="77"/>
    </row>
    <row r="1345" spans="1:24">
      <c r="A1345" s="614"/>
      <c r="B1345" s="11"/>
      <c r="C1345" s="10"/>
      <c r="D1345" s="63"/>
      <c r="E1345" s="51" t="s">
        <v>39</v>
      </c>
      <c r="F1345" s="52">
        <f>(F1343-I1368-I1380-I1381-I1382-I1386+I1386)*F1344</f>
        <v>2378.7150000000001</v>
      </c>
      <c r="G1345" s="53" t="s">
        <v>40</v>
      </c>
      <c r="H1345" s="54">
        <f>F1345/1.12</f>
        <v>2123.8526785714284</v>
      </c>
      <c r="I1345" s="570" t="s">
        <v>676</v>
      </c>
      <c r="J1345" s="42"/>
      <c r="K1345" s="56">
        <f>I1363+I1365+I1364</f>
        <v>5504.76</v>
      </c>
      <c r="L1345" s="57">
        <f>I1366+I1367+I1368+I1369</f>
        <v>5251.39</v>
      </c>
      <c r="M1345" s="57">
        <f>I1370+I1380+I1381+I1386</f>
        <v>12269.29</v>
      </c>
      <c r="N1345" s="57">
        <f>I1371+I1372+I1373+I1382</f>
        <v>3339.6</v>
      </c>
      <c r="O1345" s="57">
        <f>I1374+I1375</f>
        <v>2768.4</v>
      </c>
      <c r="P1345" s="57">
        <f>SUM(K1345:O1345)</f>
        <v>29133.440000000002</v>
      </c>
      <c r="Q1345" s="58">
        <v>0</v>
      </c>
      <c r="R1345" s="59">
        <f>I1383+I1387</f>
        <v>12706.09</v>
      </c>
      <c r="S1345" s="59">
        <v>0</v>
      </c>
      <c r="T1345" s="10"/>
      <c r="U1345" s="151"/>
      <c r="V1345" s="77"/>
      <c r="W1345" s="77"/>
      <c r="X1345" s="77"/>
    </row>
    <row r="1346" spans="1:24">
      <c r="A1346" s="614"/>
      <c r="B1346" s="11"/>
      <c r="C1346" s="10"/>
      <c r="D1346" s="63"/>
      <c r="E1346" s="24" t="s">
        <v>41</v>
      </c>
      <c r="F1346" s="60">
        <f>Q1345</f>
        <v>0</v>
      </c>
      <c r="G1346" s="61" t="s">
        <v>40</v>
      </c>
      <c r="H1346" s="62"/>
      <c r="I1346" s="62"/>
      <c r="J1346" s="10" t="s">
        <v>42</v>
      </c>
      <c r="K1346" s="63">
        <v>3</v>
      </c>
      <c r="L1346" s="63">
        <v>4</v>
      </c>
      <c r="M1346" s="63">
        <v>4</v>
      </c>
      <c r="N1346" s="63">
        <v>4</v>
      </c>
      <c r="O1346" s="63">
        <v>2</v>
      </c>
      <c r="P1346" s="21">
        <f>SUM(K1346:O1346)</f>
        <v>17</v>
      </c>
      <c r="Q1346" s="64"/>
      <c r="R1346" s="63"/>
      <c r="S1346" s="10"/>
      <c r="T1346" s="10"/>
      <c r="U1346" s="151"/>
      <c r="V1346" s="77"/>
      <c r="W1346" s="77"/>
      <c r="X1346" s="77"/>
    </row>
    <row r="1347" spans="1:24">
      <c r="A1347" s="614"/>
      <c r="B1347" s="11"/>
      <c r="C1347" s="10"/>
      <c r="D1347" s="63"/>
      <c r="E1347" s="51" t="s">
        <v>43</v>
      </c>
      <c r="F1347" s="52">
        <f>F1346*0.25</f>
        <v>0</v>
      </c>
      <c r="G1347" s="53" t="s">
        <v>40</v>
      </c>
      <c r="H1347" s="54">
        <f>F1347/1.12</f>
        <v>0</v>
      </c>
      <c r="I1347" s="10"/>
      <c r="J1347" s="10" t="s">
        <v>44</v>
      </c>
      <c r="K1347" s="63">
        <v>1</v>
      </c>
      <c r="L1347" s="63">
        <v>1</v>
      </c>
      <c r="M1347" s="63">
        <v>3</v>
      </c>
      <c r="N1347" s="63">
        <v>5</v>
      </c>
      <c r="O1347" s="63">
        <v>4</v>
      </c>
      <c r="P1347" s="21">
        <f>SUM(K1347:O1347)</f>
        <v>14</v>
      </c>
      <c r="Q1347" s="64"/>
      <c r="R1347" s="63"/>
      <c r="S1347" s="10"/>
      <c r="T1347" s="10"/>
      <c r="U1347" s="151"/>
      <c r="V1347" s="77"/>
      <c r="W1347" s="77"/>
      <c r="X1347" s="77"/>
    </row>
    <row r="1348" spans="1:24">
      <c r="A1348" s="614"/>
      <c r="B1348" s="11"/>
      <c r="C1348" s="10"/>
      <c r="D1348" s="63"/>
      <c r="E1348" s="24" t="s">
        <v>45</v>
      </c>
      <c r="F1348" s="60">
        <v>0</v>
      </c>
      <c r="G1348" s="61" t="s">
        <v>40</v>
      </c>
      <c r="H1348" s="62"/>
      <c r="I1348" s="10"/>
      <c r="J1348" s="10" t="s">
        <v>46</v>
      </c>
      <c r="K1348" s="31">
        <f>K1346/(K1346+K1347)</f>
        <v>0.75</v>
      </c>
      <c r="L1348" s="31">
        <f>L1346/(L1346+L1347)</f>
        <v>0.8</v>
      </c>
      <c r="M1348" s="31">
        <f>M1346/(M1346+M1347)</f>
        <v>0.5714285714285714</v>
      </c>
      <c r="N1348" s="31">
        <f>N1346/(N1346+N1347)</f>
        <v>0.44444444444444442</v>
      </c>
      <c r="O1348" s="31">
        <f>O1346/(O1346+O1347)</f>
        <v>0.33333333333333331</v>
      </c>
      <c r="P1348" s="31">
        <f>P1346/(P1346+P1347)</f>
        <v>0.54838709677419351</v>
      </c>
      <c r="Q1348" s="31" t="e">
        <f>Q1346/(Q1346+Q1347)</f>
        <v>#DIV/0!</v>
      </c>
      <c r="R1348" s="63"/>
      <c r="S1348" s="10"/>
      <c r="T1348" s="10"/>
      <c r="U1348" s="151"/>
      <c r="V1348" s="77"/>
      <c r="W1348" s="77"/>
      <c r="X1348" s="77"/>
    </row>
    <row r="1349" spans="1:24">
      <c r="A1349" s="614"/>
      <c r="B1349" s="11"/>
      <c r="C1349" s="10"/>
      <c r="D1349" s="63"/>
      <c r="E1349" s="51" t="s">
        <v>47</v>
      </c>
      <c r="F1349" s="52">
        <f>F1348*0.05</f>
        <v>0</v>
      </c>
      <c r="G1349" s="65" t="s">
        <v>40</v>
      </c>
      <c r="H1349" s="54">
        <f>F1349/1.12</f>
        <v>0</v>
      </c>
      <c r="I1349" s="42"/>
      <c r="J1349" s="10" t="s">
        <v>48</v>
      </c>
      <c r="K1349" s="66">
        <f>K1345/K1346</f>
        <v>1834.92</v>
      </c>
      <c r="L1349" s="66">
        <f>L1345/L1346</f>
        <v>1312.8475000000001</v>
      </c>
      <c r="M1349" s="66">
        <f>M1345/M1346</f>
        <v>3067.3225000000002</v>
      </c>
      <c r="N1349" s="66">
        <f>N1345/N1346</f>
        <v>834.9</v>
      </c>
      <c r="O1349" s="66">
        <f>O1345/O1346</f>
        <v>1384.2</v>
      </c>
      <c r="P1349" s="66">
        <f>P1345/P1346</f>
        <v>1713.7317647058826</v>
      </c>
      <c r="Q1349" s="66" t="e">
        <f>Q1345/Q1346</f>
        <v>#DIV/0!</v>
      </c>
      <c r="R1349" s="63"/>
      <c r="S1349" s="10"/>
      <c r="T1349" s="10"/>
      <c r="U1349" s="151"/>
      <c r="V1349" s="77"/>
      <c r="W1349" s="77"/>
      <c r="X1349" s="77"/>
    </row>
    <row r="1350" spans="1:24">
      <c r="A1350" s="615"/>
      <c r="B1350" s="132"/>
      <c r="C1350" s="123"/>
      <c r="D1350" s="127"/>
      <c r="E1350" s="67" t="s">
        <v>14</v>
      </c>
      <c r="F1350" s="68">
        <f>1*50</f>
        <v>50</v>
      </c>
      <c r="G1350" s="123"/>
      <c r="H1350" s="54">
        <f>F1350/1.12</f>
        <v>44.642857142857139</v>
      </c>
      <c r="I1350" s="123"/>
      <c r="J1350" s="123"/>
      <c r="K1350" s="123"/>
      <c r="L1350" s="123"/>
      <c r="M1350" s="123"/>
      <c r="N1350" s="123"/>
      <c r="O1350" s="123"/>
      <c r="P1350" s="123"/>
      <c r="Q1350" s="123"/>
      <c r="R1350" s="123"/>
      <c r="S1350" s="123"/>
      <c r="T1350" s="123"/>
      <c r="U1350" s="157"/>
      <c r="V1350" s="123"/>
      <c r="W1350" s="123"/>
      <c r="X1350" s="123"/>
    </row>
    <row r="1351" spans="1:24">
      <c r="A1351" s="615"/>
      <c r="B1351" s="132"/>
      <c r="C1351" s="123"/>
      <c r="D1351" s="127"/>
      <c r="E1351" s="155" t="s">
        <v>49</v>
      </c>
      <c r="F1351" s="364">
        <f>T1340</f>
        <v>0</v>
      </c>
      <c r="G1351" s="123"/>
      <c r="H1351" s="54"/>
      <c r="I1351" s="123"/>
      <c r="J1351" s="42"/>
      <c r="K1351" s="764" t="s">
        <v>50</v>
      </c>
      <c r="L1351" s="765"/>
      <c r="M1351" s="765"/>
      <c r="N1351" s="765"/>
      <c r="O1351" s="765"/>
      <c r="P1351" s="765"/>
      <c r="Q1351" s="766"/>
      <c r="R1351" s="70" t="s">
        <v>28</v>
      </c>
      <c r="S1351" s="71" t="s">
        <v>29</v>
      </c>
      <c r="T1351" s="123"/>
      <c r="U1351" s="157"/>
      <c r="V1351" s="123"/>
      <c r="W1351" s="123"/>
      <c r="X1351" s="123"/>
    </row>
    <row r="1352" spans="1:24">
      <c r="A1352" s="615"/>
      <c r="B1352" s="132"/>
      <c r="C1352" s="123"/>
      <c r="D1352" s="127"/>
      <c r="E1352" s="12"/>
      <c r="F1352" s="12"/>
      <c r="G1352" s="123"/>
      <c r="H1352" s="54"/>
      <c r="I1352" s="123"/>
      <c r="J1352" s="42"/>
      <c r="K1352" s="20" t="s">
        <v>31</v>
      </c>
      <c r="L1352" s="21" t="s">
        <v>32</v>
      </c>
      <c r="M1352" s="21" t="s">
        <v>33</v>
      </c>
      <c r="N1352" s="21" t="s">
        <v>34</v>
      </c>
      <c r="O1352" s="21" t="s">
        <v>35</v>
      </c>
      <c r="P1352" s="21" t="s">
        <v>36</v>
      </c>
      <c r="Q1352" s="49" t="s">
        <v>37</v>
      </c>
      <c r="R1352" s="50" t="s">
        <v>38</v>
      </c>
      <c r="S1352" s="50" t="s">
        <v>38</v>
      </c>
      <c r="T1352" s="123"/>
      <c r="U1352" s="157"/>
      <c r="V1352" s="123"/>
      <c r="W1352" s="123"/>
      <c r="X1352" s="123"/>
    </row>
    <row r="1353" spans="1:24">
      <c r="A1353" s="615"/>
      <c r="B1353" s="132"/>
      <c r="C1353" s="123"/>
      <c r="D1353" s="127"/>
      <c r="E1353" s="10"/>
      <c r="F1353" s="10"/>
      <c r="G1353" s="123"/>
      <c r="H1353" s="54"/>
      <c r="I1353" s="123"/>
      <c r="J1353" s="42"/>
      <c r="K1353" s="56">
        <f>F1363+F1365+F1364</f>
        <v>5786</v>
      </c>
      <c r="L1353" s="57">
        <f>F1366+F1367+F1368+F1369</f>
        <v>5677</v>
      </c>
      <c r="M1353" s="57">
        <f>F1370+F1380+F1381+F1386</f>
        <v>15107.7</v>
      </c>
      <c r="N1353" s="57">
        <f>F1371+F1372+F1373+F1382</f>
        <v>3419</v>
      </c>
      <c r="O1353" s="57">
        <f>F1374+F1375</f>
        <v>2963</v>
      </c>
      <c r="P1353" s="57">
        <f>SUM(K1353:O1353)</f>
        <v>32952.699999999997</v>
      </c>
      <c r="Q1353" s="58">
        <v>0</v>
      </c>
      <c r="R1353" s="59">
        <f>F1383+F1387</f>
        <v>15544.5</v>
      </c>
      <c r="S1353" s="59">
        <v>0</v>
      </c>
      <c r="T1353" s="123"/>
      <c r="U1353" s="157"/>
      <c r="V1353" s="123"/>
      <c r="W1353" s="123"/>
      <c r="X1353" s="123"/>
    </row>
    <row r="1354" spans="1:24">
      <c r="A1354" s="615"/>
      <c r="B1354" s="132"/>
      <c r="C1354" s="123"/>
      <c r="D1354" s="127"/>
      <c r="E1354" s="10"/>
      <c r="F1354" s="10"/>
      <c r="G1354" s="123"/>
      <c r="H1354" s="54"/>
      <c r="I1354" s="123"/>
      <c r="J1354" s="10" t="s">
        <v>42</v>
      </c>
      <c r="K1354" s="63">
        <f>K1346</f>
        <v>3</v>
      </c>
      <c r="L1354" s="63">
        <f>L1346</f>
        <v>4</v>
      </c>
      <c r="M1354" s="63">
        <f>M1346</f>
        <v>4</v>
      </c>
      <c r="N1354" s="63">
        <f>N1346</f>
        <v>4</v>
      </c>
      <c r="O1354" s="63">
        <f>O1346</f>
        <v>2</v>
      </c>
      <c r="P1354" s="63">
        <f>P1346</f>
        <v>17</v>
      </c>
      <c r="Q1354" s="63">
        <f>Q1346</f>
        <v>0</v>
      </c>
      <c r="R1354" s="63"/>
      <c r="S1354" s="10"/>
      <c r="T1354" s="123"/>
      <c r="U1354" s="157"/>
      <c r="V1354" s="123"/>
      <c r="W1354" s="123"/>
      <c r="X1354" s="123"/>
    </row>
    <row r="1355" spans="1:24">
      <c r="A1355" s="615"/>
      <c r="B1355" s="132"/>
      <c r="C1355" s="123"/>
      <c r="D1355" s="127"/>
      <c r="E1355" s="12"/>
      <c r="F1355" s="12"/>
      <c r="G1355" s="123"/>
      <c r="H1355" s="54"/>
      <c r="I1355" s="123"/>
      <c r="J1355" s="10" t="s">
        <v>44</v>
      </c>
      <c r="K1355" s="63">
        <f>K1347</f>
        <v>1</v>
      </c>
      <c r="L1355" s="63">
        <f>L1347</f>
        <v>1</v>
      </c>
      <c r="M1355" s="63">
        <f>M1347</f>
        <v>3</v>
      </c>
      <c r="N1355" s="63">
        <f>N1347</f>
        <v>5</v>
      </c>
      <c r="O1355" s="63">
        <f>O1347</f>
        <v>4</v>
      </c>
      <c r="P1355" s="63">
        <f>P1347</f>
        <v>14</v>
      </c>
      <c r="Q1355" s="63">
        <f>Q1347</f>
        <v>0</v>
      </c>
      <c r="R1355" s="63"/>
      <c r="S1355" s="10"/>
      <c r="T1355" s="123"/>
      <c r="U1355" s="157"/>
      <c r="V1355" s="123"/>
      <c r="W1355" s="123"/>
      <c r="X1355" s="123"/>
    </row>
    <row r="1356" spans="1:24">
      <c r="A1356" s="615"/>
      <c r="B1356" s="132"/>
      <c r="C1356" s="123"/>
      <c r="D1356" s="127"/>
      <c r="E1356" s="12"/>
      <c r="F1356" s="12"/>
      <c r="G1356" s="123"/>
      <c r="H1356" s="54"/>
      <c r="I1356" s="123"/>
      <c r="J1356" s="10" t="s">
        <v>46</v>
      </c>
      <c r="K1356" s="31">
        <f>K1354/(K1354+K1355)</f>
        <v>0.75</v>
      </c>
      <c r="L1356" s="31">
        <f>L1354/(L1354+L1355)</f>
        <v>0.8</v>
      </c>
      <c r="M1356" s="31">
        <f>M1354/(M1354+M1355)</f>
        <v>0.5714285714285714</v>
      </c>
      <c r="N1356" s="31">
        <f>N1354/(N1354+N1355)</f>
        <v>0.44444444444444442</v>
      </c>
      <c r="O1356" s="31">
        <f>O1354/(O1354+O1355)</f>
        <v>0.33333333333333331</v>
      </c>
      <c r="P1356" s="31">
        <f>P1354/(P1354+P1355)</f>
        <v>0.54838709677419351</v>
      </c>
      <c r="Q1356" s="31" t="e">
        <f>Q1354/(Q1354+Q1355)</f>
        <v>#DIV/0!</v>
      </c>
      <c r="R1356" s="63"/>
      <c r="S1356" s="10"/>
      <c r="T1356" s="123"/>
      <c r="U1356" s="157"/>
      <c r="V1356" s="123"/>
      <c r="W1356" s="123"/>
      <c r="X1356" s="123"/>
    </row>
    <row r="1357" spans="1:24">
      <c r="A1357" s="615"/>
      <c r="B1357" s="132"/>
      <c r="C1357" s="123"/>
      <c r="D1357" s="127"/>
      <c r="E1357" s="10"/>
      <c r="F1357" s="10"/>
      <c r="G1357" s="123"/>
      <c r="H1357" s="54"/>
      <c r="I1357" s="123"/>
      <c r="J1357" s="10" t="s">
        <v>48</v>
      </c>
      <c r="K1357" s="66">
        <f>K1353/K1354</f>
        <v>1928.6666666666667</v>
      </c>
      <c r="L1357" s="66">
        <f>L1353/L1354</f>
        <v>1419.25</v>
      </c>
      <c r="M1357" s="66">
        <f>M1353/M1354</f>
        <v>3776.9250000000002</v>
      </c>
      <c r="N1357" s="66">
        <f>N1353/N1354</f>
        <v>854.75</v>
      </c>
      <c r="O1357" s="66">
        <f>O1353/O1354</f>
        <v>1481.5</v>
      </c>
      <c r="P1357" s="66">
        <f>P1353/P1354</f>
        <v>1938.3941176470587</v>
      </c>
      <c r="Q1357" s="66" t="e">
        <f>Q1353/Q1354</f>
        <v>#DIV/0!</v>
      </c>
      <c r="R1357" s="63"/>
      <c r="S1357" s="10"/>
      <c r="T1357" s="123"/>
      <c r="U1357" s="157"/>
      <c r="V1357" s="123"/>
      <c r="W1357" s="123"/>
      <c r="X1357" s="123"/>
    </row>
    <row r="1358" spans="1:24">
      <c r="A1358" s="614"/>
      <c r="B1358" s="11"/>
      <c r="C1358" s="10"/>
      <c r="D1358" s="63"/>
      <c r="E1358" s="12"/>
      <c r="F1358" s="12"/>
      <c r="G1358" s="10"/>
      <c r="H1358" s="10"/>
      <c r="I1358" s="10"/>
      <c r="J1358" s="10"/>
      <c r="K1358" s="10"/>
      <c r="L1358" s="10"/>
      <c r="M1358" s="10"/>
      <c r="N1358" s="10"/>
      <c r="O1358" s="10"/>
      <c r="P1358" s="10"/>
      <c r="Q1358" s="10"/>
      <c r="R1358" s="10"/>
      <c r="S1358" s="10"/>
      <c r="T1358" s="10"/>
      <c r="U1358" s="151"/>
      <c r="V1358" s="77"/>
      <c r="W1358" s="77"/>
      <c r="X1358" s="77"/>
    </row>
    <row r="1359" spans="1:24">
      <c r="A1359" s="614"/>
      <c r="B1359" s="11"/>
      <c r="C1359" s="10"/>
      <c r="D1359" s="63"/>
      <c r="E1359" s="10"/>
      <c r="F1359" s="10"/>
      <c r="G1359" s="10"/>
      <c r="H1359" s="10"/>
      <c r="I1359" s="10"/>
      <c r="J1359" s="10"/>
      <c r="K1359" s="10"/>
      <c r="L1359" s="10"/>
      <c r="M1359" s="10"/>
      <c r="N1359" s="10"/>
      <c r="O1359" s="10"/>
      <c r="P1359" s="10"/>
      <c r="Q1359" s="10"/>
      <c r="R1359" s="10"/>
      <c r="S1359" s="10"/>
      <c r="T1359" s="10"/>
      <c r="U1359" s="151"/>
      <c r="V1359" s="77"/>
      <c r="W1359" s="77"/>
      <c r="X1359" s="77"/>
    </row>
    <row r="1360" spans="1:24">
      <c r="A1360" s="614"/>
      <c r="B1360" s="18" t="s">
        <v>51</v>
      </c>
      <c r="C1360" s="14"/>
      <c r="D1360" s="14"/>
      <c r="E1360" s="14"/>
      <c r="F1360" s="13" t="s">
        <v>52</v>
      </c>
      <c r="G1360" s="14"/>
      <c r="H1360" s="14"/>
      <c r="I1360" s="14"/>
      <c r="J1360" s="14"/>
      <c r="K1360" s="13" t="s">
        <v>3</v>
      </c>
      <c r="L1360" s="14"/>
      <c r="M1360" s="14"/>
      <c r="N1360" s="13" t="s">
        <v>4</v>
      </c>
      <c r="O1360" s="14"/>
      <c r="P1360" s="14"/>
      <c r="Q1360" s="13" t="s">
        <v>5</v>
      </c>
      <c r="R1360" s="14"/>
      <c r="S1360" s="14"/>
      <c r="T1360" s="18"/>
      <c r="U1360" s="161" t="s">
        <v>53</v>
      </c>
      <c r="V1360" s="77"/>
      <c r="W1360" s="77"/>
      <c r="X1360" s="77"/>
    </row>
    <row r="1361" spans="1:24">
      <c r="A1361" s="614"/>
      <c r="B1361" s="24" t="s">
        <v>54</v>
      </c>
      <c r="C1361" s="21" t="s">
        <v>55</v>
      </c>
      <c r="D1361" s="21" t="s">
        <v>56</v>
      </c>
      <c r="E1361" s="21" t="s">
        <v>57</v>
      </c>
      <c r="F1361" s="20" t="s">
        <v>58</v>
      </c>
      <c r="G1361" s="21" t="s">
        <v>59</v>
      </c>
      <c r="H1361" s="21" t="s">
        <v>60</v>
      </c>
      <c r="I1361" s="21" t="s">
        <v>26</v>
      </c>
      <c r="J1361" s="22" t="s">
        <v>61</v>
      </c>
      <c r="K1361" s="21" t="s">
        <v>8</v>
      </c>
      <c r="L1361" s="21" t="s">
        <v>9</v>
      </c>
      <c r="M1361" s="21" t="s">
        <v>10</v>
      </c>
      <c r="N1361" s="20" t="s">
        <v>11</v>
      </c>
      <c r="O1361" s="21" t="s">
        <v>12</v>
      </c>
      <c r="P1361" s="22" t="s">
        <v>13</v>
      </c>
      <c r="Q1361" s="21" t="s">
        <v>11</v>
      </c>
      <c r="R1361" s="21" t="s">
        <v>12</v>
      </c>
      <c r="S1361" s="21" t="s">
        <v>13</v>
      </c>
      <c r="T1361" s="78" t="s">
        <v>14</v>
      </c>
      <c r="U1361" s="162"/>
      <c r="V1361" s="79" t="s">
        <v>62</v>
      </c>
      <c r="W1361" s="80" t="s">
        <v>63</v>
      </c>
      <c r="X1361" s="81" t="s">
        <v>64</v>
      </c>
    </row>
    <row r="1362" spans="1:24">
      <c r="A1362" s="614"/>
      <c r="B1362" s="4" t="s">
        <v>65</v>
      </c>
      <c r="C1362" s="6"/>
      <c r="D1362" s="6"/>
      <c r="E1362" s="6"/>
      <c r="F1362" s="6"/>
      <c r="G1362" s="6"/>
      <c r="H1362" s="6"/>
      <c r="I1362" s="82"/>
      <c r="J1362" s="6"/>
      <c r="K1362" s="6"/>
      <c r="L1362" s="6"/>
      <c r="M1362" s="6"/>
      <c r="N1362" s="6"/>
      <c r="O1362" s="6"/>
      <c r="P1362" s="6"/>
      <c r="Q1362" s="6"/>
      <c r="R1362" s="6"/>
      <c r="S1362" s="6"/>
      <c r="T1362" s="83"/>
      <c r="U1362" s="163"/>
      <c r="V1362" s="84"/>
      <c r="W1362" s="85"/>
      <c r="X1362" s="86"/>
    </row>
    <row r="1363" spans="1:24">
      <c r="A1363" s="614"/>
      <c r="B1363" s="87">
        <v>1</v>
      </c>
      <c r="C1363" s="274">
        <v>45943</v>
      </c>
      <c r="D1363" s="276">
        <v>74210</v>
      </c>
      <c r="E1363" s="276" t="s">
        <v>444</v>
      </c>
      <c r="F1363" s="277">
        <v>1264</v>
      </c>
      <c r="G1363" s="277">
        <f>39.7</f>
        <v>39.700000000000003</v>
      </c>
      <c r="H1363" s="297"/>
      <c r="I1363" s="278">
        <f>F1363-G1363-H1363</f>
        <v>1224.3</v>
      </c>
      <c r="J1363" s="279" t="s">
        <v>156</v>
      </c>
      <c r="K1363" s="279">
        <v>1</v>
      </c>
      <c r="L1363" s="279">
        <v>1</v>
      </c>
      <c r="M1363" s="279">
        <v>1</v>
      </c>
      <c r="N1363" s="279">
        <v>1</v>
      </c>
      <c r="O1363" s="279">
        <v>1</v>
      </c>
      <c r="P1363" s="279">
        <v>1</v>
      </c>
      <c r="Q1363" s="279">
        <v>1</v>
      </c>
      <c r="R1363" s="279">
        <v>1</v>
      </c>
      <c r="S1363" s="280">
        <v>1</v>
      </c>
      <c r="T1363" s="63"/>
      <c r="U1363" s="94"/>
      <c r="V1363" s="90">
        <f>139.4+1251</f>
        <v>1390.4</v>
      </c>
      <c r="W1363" s="91"/>
      <c r="X1363" s="92"/>
    </row>
    <row r="1364" spans="1:24">
      <c r="A1364" s="614"/>
      <c r="B1364" s="87">
        <f>B1363+1</f>
        <v>2</v>
      </c>
      <c r="C1364" s="295">
        <v>45943</v>
      </c>
      <c r="D1364" s="10" t="s">
        <v>677</v>
      </c>
      <c r="E1364" s="10" t="s">
        <v>444</v>
      </c>
      <c r="F1364" s="62">
        <v>3261</v>
      </c>
      <c r="G1364" s="62">
        <f>39.7+(162.14)</f>
        <v>201.83999999999997</v>
      </c>
      <c r="H1364" s="62"/>
      <c r="I1364" s="89">
        <f>F1364-G1364-H1364</f>
        <v>3059.16</v>
      </c>
      <c r="J1364" s="63" t="s">
        <v>156</v>
      </c>
      <c r="K1364" s="63">
        <v>1</v>
      </c>
      <c r="L1364" s="63">
        <v>1</v>
      </c>
      <c r="M1364" s="63">
        <v>1</v>
      </c>
      <c r="N1364" s="63">
        <v>1</v>
      </c>
      <c r="O1364" s="63">
        <v>1</v>
      </c>
      <c r="P1364" s="63">
        <v>1</v>
      </c>
      <c r="Q1364" s="63">
        <v>1</v>
      </c>
      <c r="R1364" s="63">
        <v>1</v>
      </c>
      <c r="S1364" s="296">
        <v>1</v>
      </c>
      <c r="T1364" s="63"/>
      <c r="U1364" s="94" t="s">
        <v>678</v>
      </c>
      <c r="V1364" s="90">
        <f>358.72+3228.38</f>
        <v>3587.1000000000004</v>
      </c>
      <c r="W1364" s="91"/>
      <c r="X1364" s="92"/>
    </row>
    <row r="1365" spans="1:24">
      <c r="A1365" s="614"/>
      <c r="B1365" s="87">
        <f>B1364+1</f>
        <v>3</v>
      </c>
      <c r="C1365" s="282">
        <v>45943</v>
      </c>
      <c r="D1365" s="283">
        <v>74338</v>
      </c>
      <c r="E1365" s="283" t="s">
        <v>635</v>
      </c>
      <c r="F1365" s="284">
        <v>1261</v>
      </c>
      <c r="G1365" s="284">
        <f>39.7</f>
        <v>39.700000000000003</v>
      </c>
      <c r="H1365" s="284"/>
      <c r="I1365" s="285">
        <f>F1365-G1365-H1365</f>
        <v>1221.3</v>
      </c>
      <c r="J1365" s="286" t="s">
        <v>156</v>
      </c>
      <c r="K1365" s="286">
        <v>1</v>
      </c>
      <c r="L1365" s="286">
        <v>1</v>
      </c>
      <c r="M1365" s="286">
        <v>1</v>
      </c>
      <c r="N1365" s="286">
        <v>1</v>
      </c>
      <c r="O1365" s="286">
        <v>1</v>
      </c>
      <c r="P1365" s="286">
        <v>1</v>
      </c>
      <c r="Q1365" s="286">
        <v>1</v>
      </c>
      <c r="R1365" s="286">
        <v>1</v>
      </c>
      <c r="S1365" s="287">
        <v>1</v>
      </c>
      <c r="T1365" s="63"/>
      <c r="U1365" s="94"/>
      <c r="V1365" s="90">
        <f>138.71+1248.39</f>
        <v>1387.1000000000001</v>
      </c>
      <c r="W1365" s="91"/>
      <c r="X1365" s="92"/>
    </row>
    <row r="1366" spans="1:24">
      <c r="A1366" s="613"/>
      <c r="B1366" s="87">
        <f>B1365+1</f>
        <v>4</v>
      </c>
      <c r="C1366" s="295">
        <v>45944</v>
      </c>
      <c r="D1366" s="3">
        <v>74410</v>
      </c>
      <c r="E1366" s="10" t="s">
        <v>322</v>
      </c>
      <c r="F1366" s="62">
        <v>864</v>
      </c>
      <c r="G1366" s="62">
        <f>39.7</f>
        <v>39.700000000000003</v>
      </c>
      <c r="H1366" s="62"/>
      <c r="I1366" s="324">
        <f>F1366-G1366-H1366</f>
        <v>824.3</v>
      </c>
      <c r="J1366" s="63" t="s">
        <v>156</v>
      </c>
      <c r="K1366" s="63">
        <v>1</v>
      </c>
      <c r="L1366" s="63">
        <v>1</v>
      </c>
      <c r="M1366" s="325">
        <v>0</v>
      </c>
      <c r="N1366" s="63">
        <v>1</v>
      </c>
      <c r="O1366" s="63">
        <v>1</v>
      </c>
      <c r="P1366" s="63">
        <v>1</v>
      </c>
      <c r="Q1366" s="63">
        <v>1</v>
      </c>
      <c r="R1366" s="63">
        <v>1</v>
      </c>
      <c r="S1366" s="296">
        <v>1</v>
      </c>
      <c r="T1366" s="21">
        <v>1</v>
      </c>
      <c r="U1366" s="94"/>
      <c r="V1366" s="90">
        <f>95.04+855</f>
        <v>950.04</v>
      </c>
      <c r="W1366" s="91"/>
      <c r="X1366" s="92"/>
    </row>
    <row r="1367" spans="1:24">
      <c r="A1367" s="614"/>
      <c r="B1367" s="87">
        <f>B1366+1</f>
        <v>5</v>
      </c>
      <c r="C1367" s="295">
        <v>45944</v>
      </c>
      <c r="D1367" s="10">
        <v>74332</v>
      </c>
      <c r="E1367" s="94" t="s">
        <v>206</v>
      </c>
      <c r="F1367" s="62">
        <v>1461</v>
      </c>
      <c r="G1367" s="62">
        <f>39.7</f>
        <v>39.700000000000003</v>
      </c>
      <c r="H1367" s="62"/>
      <c r="I1367" s="89">
        <f>F1367-G1367-H1367</f>
        <v>1421.3</v>
      </c>
      <c r="J1367" s="63" t="s">
        <v>156</v>
      </c>
      <c r="K1367" s="63">
        <v>1</v>
      </c>
      <c r="L1367" s="63">
        <v>1</v>
      </c>
      <c r="M1367" s="63">
        <v>1</v>
      </c>
      <c r="N1367" s="63">
        <v>1</v>
      </c>
      <c r="O1367" s="63">
        <v>1</v>
      </c>
      <c r="P1367" s="63">
        <v>1</v>
      </c>
      <c r="Q1367" s="63">
        <v>1</v>
      </c>
      <c r="R1367" s="63">
        <v>1</v>
      </c>
      <c r="S1367" s="296">
        <v>1</v>
      </c>
      <c r="T1367" s="63"/>
      <c r="U1367" s="94"/>
      <c r="V1367" s="90">
        <f>160.71+1446.39</f>
        <v>1607.1000000000001</v>
      </c>
      <c r="W1367" s="91"/>
      <c r="X1367" s="92"/>
    </row>
    <row r="1368" spans="1:24">
      <c r="A1368" s="614" t="s">
        <v>679</v>
      </c>
      <c r="B1368" s="87">
        <f>B1367+1</f>
        <v>6</v>
      </c>
      <c r="C1368" s="295">
        <v>45944</v>
      </c>
      <c r="D1368" s="10">
        <v>74408</v>
      </c>
      <c r="E1368" s="10" t="s">
        <v>653</v>
      </c>
      <c r="F1368" s="62">
        <v>1138</v>
      </c>
      <c r="G1368" s="62">
        <f>39.7+(66.81)+200</f>
        <v>306.51</v>
      </c>
      <c r="H1368" s="62"/>
      <c r="I1368" s="369">
        <f>F1368-G1368-H1368</f>
        <v>831.49</v>
      </c>
      <c r="J1368" s="63" t="s">
        <v>156</v>
      </c>
      <c r="K1368" s="63">
        <v>1</v>
      </c>
      <c r="L1368" s="63">
        <v>1</v>
      </c>
      <c r="M1368" s="325">
        <v>0</v>
      </c>
      <c r="N1368" s="63">
        <v>1</v>
      </c>
      <c r="O1368" s="63">
        <v>1</v>
      </c>
      <c r="P1368" s="63">
        <v>1</v>
      </c>
      <c r="Q1368" s="63">
        <v>1</v>
      </c>
      <c r="R1368" s="63">
        <v>1</v>
      </c>
      <c r="S1368" s="296">
        <v>1</v>
      </c>
      <c r="T1368" s="63"/>
      <c r="U1368" s="94" t="s">
        <v>680</v>
      </c>
      <c r="V1368" s="90">
        <f>125.18+1126.62</f>
        <v>1251.8</v>
      </c>
      <c r="W1368" s="91"/>
      <c r="X1368" s="92"/>
    </row>
    <row r="1369" spans="1:24">
      <c r="A1369" s="614"/>
      <c r="B1369" s="87">
        <f>B1368+1</f>
        <v>7</v>
      </c>
      <c r="C1369" s="295">
        <v>45944</v>
      </c>
      <c r="D1369" s="10">
        <v>74452</v>
      </c>
      <c r="E1369" s="10" t="s">
        <v>507</v>
      </c>
      <c r="F1369" s="62">
        <f>2299-85</f>
        <v>2214</v>
      </c>
      <c r="G1369" s="62">
        <f>39.7</f>
        <v>39.700000000000003</v>
      </c>
      <c r="H1369" s="88"/>
      <c r="I1369" s="89">
        <f>F1369-G1369-H1369</f>
        <v>2174.3000000000002</v>
      </c>
      <c r="J1369" s="63" t="s">
        <v>156</v>
      </c>
      <c r="K1369" s="63">
        <v>1</v>
      </c>
      <c r="L1369" s="63">
        <v>1</v>
      </c>
      <c r="M1369" s="63">
        <v>1</v>
      </c>
      <c r="N1369" s="63">
        <v>1</v>
      </c>
      <c r="O1369" s="63">
        <v>1</v>
      </c>
      <c r="P1369" s="63">
        <v>1</v>
      </c>
      <c r="Q1369" s="63">
        <v>1</v>
      </c>
      <c r="R1369" s="63">
        <v>1</v>
      </c>
      <c r="S1369" s="296">
        <v>1</v>
      </c>
      <c r="T1369" s="63"/>
      <c r="U1369" s="94"/>
      <c r="V1369" s="90">
        <f>93.5+243.54+2191.86</f>
        <v>2528.9</v>
      </c>
      <c r="W1369" s="91"/>
      <c r="X1369" s="92"/>
    </row>
    <row r="1370" spans="1:24">
      <c r="A1370" s="614"/>
      <c r="B1370" s="87">
        <f>B1369+1</f>
        <v>8</v>
      </c>
      <c r="C1370" s="274">
        <v>45945</v>
      </c>
      <c r="D1370" s="276">
        <v>74420</v>
      </c>
      <c r="E1370" s="276" t="s">
        <v>344</v>
      </c>
      <c r="F1370" s="277">
        <v>1024.2</v>
      </c>
      <c r="G1370" s="277">
        <f>39.7</f>
        <v>39.700000000000003</v>
      </c>
      <c r="H1370" s="297"/>
      <c r="I1370" s="278">
        <f>F1370-G1370-H1370</f>
        <v>984.5</v>
      </c>
      <c r="J1370" s="279" t="s">
        <v>156</v>
      </c>
      <c r="K1370" s="279">
        <v>1</v>
      </c>
      <c r="L1370" s="279">
        <v>1</v>
      </c>
      <c r="M1370" s="279">
        <v>1</v>
      </c>
      <c r="N1370" s="279">
        <v>1</v>
      </c>
      <c r="O1370" s="279">
        <v>1</v>
      </c>
      <c r="P1370" s="279">
        <v>1</v>
      </c>
      <c r="Q1370" s="279">
        <v>1</v>
      </c>
      <c r="R1370" s="279">
        <v>1</v>
      </c>
      <c r="S1370" s="280">
        <v>1</v>
      </c>
      <c r="T1370" s="63"/>
      <c r="U1370" s="94"/>
      <c r="V1370" s="90">
        <f>112.64+1013.98</f>
        <v>1126.6200000000001</v>
      </c>
      <c r="W1370" s="91"/>
      <c r="X1370" s="92"/>
    </row>
    <row r="1371" spans="1:24">
      <c r="A1371" s="614"/>
      <c r="B1371" s="87">
        <f>B1370+1</f>
        <v>9</v>
      </c>
      <c r="C1371" s="274">
        <v>45946</v>
      </c>
      <c r="D1371" s="276">
        <v>74523</v>
      </c>
      <c r="E1371" s="276" t="s">
        <v>395</v>
      </c>
      <c r="F1371" s="277">
        <v>616</v>
      </c>
      <c r="G1371" s="277"/>
      <c r="H1371" s="297"/>
      <c r="I1371" s="321">
        <f>F1371-G1371-H1371</f>
        <v>616</v>
      </c>
      <c r="J1371" s="279" t="s">
        <v>156</v>
      </c>
      <c r="K1371" s="279">
        <v>1</v>
      </c>
      <c r="L1371" s="279">
        <v>1</v>
      </c>
      <c r="M1371" s="322">
        <v>0</v>
      </c>
      <c r="N1371" s="279">
        <v>1</v>
      </c>
      <c r="O1371" s="279">
        <v>1</v>
      </c>
      <c r="P1371" s="279">
        <v>1</v>
      </c>
      <c r="Q1371" s="279">
        <v>1</v>
      </c>
      <c r="R1371" s="279">
        <v>1</v>
      </c>
      <c r="S1371" s="280">
        <v>1</v>
      </c>
      <c r="T1371" s="63"/>
      <c r="U1371" s="94"/>
      <c r="V1371" s="90">
        <f>68+609.6</f>
        <v>677.6</v>
      </c>
      <c r="W1371" s="91"/>
      <c r="X1371" s="92"/>
    </row>
    <row r="1372" spans="1:24">
      <c r="A1372" s="614"/>
      <c r="B1372" s="87">
        <f>B1371+1</f>
        <v>10</v>
      </c>
      <c r="C1372" s="295">
        <v>45946</v>
      </c>
      <c r="D1372" s="10">
        <v>74321</v>
      </c>
      <c r="E1372" s="10" t="s">
        <v>681</v>
      </c>
      <c r="F1372" s="62">
        <f>946-85</f>
        <v>861</v>
      </c>
      <c r="G1372" s="62">
        <f>39.7</f>
        <v>39.700000000000003</v>
      </c>
      <c r="H1372" s="88"/>
      <c r="I1372" s="89">
        <f>F1372-G1372-H1372</f>
        <v>821.3</v>
      </c>
      <c r="J1372" s="63" t="s">
        <v>156</v>
      </c>
      <c r="K1372" s="63">
        <v>1</v>
      </c>
      <c r="L1372" s="63">
        <v>1</v>
      </c>
      <c r="M1372" s="63">
        <v>1</v>
      </c>
      <c r="N1372" s="63">
        <v>1</v>
      </c>
      <c r="O1372" s="63">
        <v>1</v>
      </c>
      <c r="P1372" s="63">
        <v>1</v>
      </c>
      <c r="Q1372" s="63">
        <v>1</v>
      </c>
      <c r="R1372" s="63">
        <v>1</v>
      </c>
      <c r="S1372" s="296">
        <v>1</v>
      </c>
      <c r="T1372" s="63"/>
      <c r="U1372" s="94"/>
      <c r="V1372" s="90">
        <f>93.5+85.36+768.24</f>
        <v>947.1</v>
      </c>
      <c r="W1372" s="91"/>
      <c r="X1372" s="92"/>
    </row>
    <row r="1373" spans="1:24">
      <c r="A1373" s="614"/>
      <c r="B1373" s="87">
        <f>B1372+1</f>
        <v>11</v>
      </c>
      <c r="C1373" s="295">
        <v>45946</v>
      </c>
      <c r="D1373" s="10">
        <v>74481</v>
      </c>
      <c r="E1373" s="10" t="s">
        <v>659</v>
      </c>
      <c r="F1373" s="62">
        <v>481</v>
      </c>
      <c r="G1373" s="62"/>
      <c r="H1373" s="88"/>
      <c r="I1373" s="324">
        <f>F1373-G1373-H1373</f>
        <v>481</v>
      </c>
      <c r="J1373" s="63" t="s">
        <v>156</v>
      </c>
      <c r="K1373" s="63">
        <v>1</v>
      </c>
      <c r="L1373" s="63">
        <v>1</v>
      </c>
      <c r="M1373" s="63">
        <v>1</v>
      </c>
      <c r="N1373" s="63">
        <v>1</v>
      </c>
      <c r="O1373" s="63">
        <v>1</v>
      </c>
      <c r="P1373" s="63">
        <v>1</v>
      </c>
      <c r="Q1373" s="63">
        <v>1</v>
      </c>
      <c r="R1373" s="63">
        <v>1</v>
      </c>
      <c r="S1373" s="326">
        <v>0</v>
      </c>
      <c r="T1373" s="63"/>
      <c r="U1373" s="94"/>
      <c r="V1373" s="90">
        <f>52.9+476.2</f>
        <v>529.1</v>
      </c>
      <c r="W1373" s="91"/>
      <c r="X1373" s="92"/>
    </row>
    <row r="1374" spans="1:24">
      <c r="A1374" s="614"/>
      <c r="B1374" s="87">
        <f>B1373+1</f>
        <v>12</v>
      </c>
      <c r="C1374" s="274">
        <v>45947</v>
      </c>
      <c r="D1374" s="276">
        <v>74554</v>
      </c>
      <c r="E1374" s="276" t="s">
        <v>682</v>
      </c>
      <c r="F1374" s="447">
        <v>749</v>
      </c>
      <c r="G1374" s="277"/>
      <c r="H1374" s="277"/>
      <c r="I1374" s="278">
        <f>F1374-G1374-H1374</f>
        <v>749</v>
      </c>
      <c r="J1374" s="279" t="s">
        <v>150</v>
      </c>
      <c r="K1374" s="279">
        <v>1</v>
      </c>
      <c r="L1374" s="279">
        <v>1</v>
      </c>
      <c r="M1374" s="279">
        <v>1</v>
      </c>
      <c r="N1374" s="279">
        <v>1</v>
      </c>
      <c r="O1374" s="279">
        <v>1</v>
      </c>
      <c r="P1374" s="279">
        <v>1</v>
      </c>
      <c r="Q1374" s="279">
        <v>1</v>
      </c>
      <c r="R1374" s="279">
        <v>1</v>
      </c>
      <c r="S1374" s="280">
        <v>1</v>
      </c>
      <c r="T1374" s="63"/>
      <c r="U1374" s="94"/>
      <c r="V1374" s="90">
        <v>0</v>
      </c>
      <c r="W1374" s="440">
        <v>824</v>
      </c>
      <c r="X1374" s="92"/>
    </row>
    <row r="1375" spans="1:24">
      <c r="A1375" s="614"/>
      <c r="B1375" s="87">
        <f>B1374+1</f>
        <v>13</v>
      </c>
      <c r="C1375" s="282">
        <v>45947</v>
      </c>
      <c r="D1375" s="283">
        <v>74510</v>
      </c>
      <c r="E1375" s="319" t="s">
        <v>349</v>
      </c>
      <c r="F1375" s="284">
        <v>2214</v>
      </c>
      <c r="G1375" s="284">
        <f>39.7+(154.9)</f>
        <v>194.60000000000002</v>
      </c>
      <c r="H1375" s="284"/>
      <c r="I1375" s="285">
        <f>F1375-G1375-H1375</f>
        <v>2019.4</v>
      </c>
      <c r="J1375" s="286" t="s">
        <v>374</v>
      </c>
      <c r="K1375" s="286">
        <v>1</v>
      </c>
      <c r="L1375" s="286">
        <v>1</v>
      </c>
      <c r="M1375" s="286">
        <v>1</v>
      </c>
      <c r="N1375" s="286">
        <v>1</v>
      </c>
      <c r="O1375" s="286">
        <v>1</v>
      </c>
      <c r="P1375" s="286">
        <v>1</v>
      </c>
      <c r="Q1375" s="286">
        <v>1</v>
      </c>
      <c r="R1375" s="286">
        <v>1</v>
      </c>
      <c r="S1375" s="287">
        <v>1</v>
      </c>
      <c r="T1375" s="63"/>
      <c r="U1375" s="94"/>
      <c r="V1375" s="90">
        <f>243.54+2188.86</f>
        <v>2432.4</v>
      </c>
      <c r="W1375" s="91"/>
      <c r="X1375" s="92"/>
    </row>
    <row r="1376" spans="1:24">
      <c r="A1376" s="614"/>
      <c r="B1376" s="87"/>
      <c r="C1376" s="36"/>
      <c r="D1376" s="10"/>
      <c r="E1376" s="10"/>
      <c r="F1376" s="98">
        <f t="shared" ref="F1376:H1376" si="295">SUM(F1363:F1375)</f>
        <v>17408.2</v>
      </c>
      <c r="G1376" s="98">
        <f t="shared" si="295"/>
        <v>980.85</v>
      </c>
      <c r="H1376" s="98">
        <f t="shared" si="295"/>
        <v>0</v>
      </c>
      <c r="I1376" s="98">
        <f>SUM(I1363:I1375)</f>
        <v>16427.350000000002</v>
      </c>
      <c r="J1376" s="63"/>
      <c r="K1376" s="63">
        <f>COUNT(K1363:K1375)</f>
        <v>13</v>
      </c>
      <c r="L1376" s="63">
        <f t="shared" ref="L1376:S1376" si="296">COUNT(L1363:L1375)</f>
        <v>13</v>
      </c>
      <c r="M1376" s="63">
        <f t="shared" si="296"/>
        <v>13</v>
      </c>
      <c r="N1376" s="63">
        <f t="shared" si="296"/>
        <v>13</v>
      </c>
      <c r="O1376" s="63">
        <f t="shared" si="296"/>
        <v>13</v>
      </c>
      <c r="P1376" s="63">
        <f t="shared" si="296"/>
        <v>13</v>
      </c>
      <c r="Q1376" s="63">
        <f t="shared" si="296"/>
        <v>13</v>
      </c>
      <c r="R1376" s="63">
        <f t="shared" si="296"/>
        <v>13</v>
      </c>
      <c r="S1376" s="63">
        <f t="shared" si="296"/>
        <v>13</v>
      </c>
      <c r="T1376" s="63"/>
      <c r="U1376" s="94"/>
      <c r="V1376" s="90"/>
      <c r="W1376" s="91"/>
      <c r="X1376" s="92"/>
    </row>
    <row r="1377" spans="1:24">
      <c r="A1377" s="614"/>
      <c r="B1377" s="87"/>
      <c r="C1377" s="36"/>
      <c r="D1377" s="10"/>
      <c r="E1377" s="10"/>
      <c r="F1377" s="88"/>
      <c r="G1377" s="88"/>
      <c r="H1377" s="88"/>
      <c r="I1377" s="99"/>
      <c r="J1377" s="63"/>
      <c r="K1377" s="21">
        <f>SUM(K1363:K1375)</f>
        <v>13</v>
      </c>
      <c r="L1377" s="21">
        <f t="shared" ref="L1377:S1377" si="297">SUM(L1363:L1375)</f>
        <v>13</v>
      </c>
      <c r="M1377" s="21">
        <f t="shared" si="297"/>
        <v>10</v>
      </c>
      <c r="N1377" s="21">
        <f t="shared" si="297"/>
        <v>13</v>
      </c>
      <c r="O1377" s="21">
        <f t="shared" si="297"/>
        <v>13</v>
      </c>
      <c r="P1377" s="21">
        <f t="shared" si="297"/>
        <v>13</v>
      </c>
      <c r="Q1377" s="21">
        <f t="shared" si="297"/>
        <v>13</v>
      </c>
      <c r="R1377" s="21">
        <f t="shared" si="297"/>
        <v>13</v>
      </c>
      <c r="S1377" s="21">
        <f t="shared" si="297"/>
        <v>12</v>
      </c>
      <c r="T1377" s="63"/>
      <c r="U1377" s="94"/>
      <c r="V1377" s="90"/>
      <c r="W1377" s="91"/>
      <c r="X1377" s="92"/>
    </row>
    <row r="1378" spans="1:24">
      <c r="A1378" s="614"/>
      <c r="B1378" s="11"/>
      <c r="C1378" s="609"/>
      <c r="D1378" s="10"/>
      <c r="E1378" s="10"/>
      <c r="F1378" s="88"/>
      <c r="G1378" s="88"/>
      <c r="H1378" s="88"/>
      <c r="I1378" s="99"/>
      <c r="J1378" s="63"/>
      <c r="K1378" s="21"/>
      <c r="L1378" s="21"/>
      <c r="M1378" s="21"/>
      <c r="N1378" s="21"/>
      <c r="O1378" s="21"/>
      <c r="P1378" s="21"/>
      <c r="Q1378" s="21"/>
      <c r="R1378" s="21"/>
      <c r="S1378" s="21"/>
      <c r="T1378" s="63"/>
      <c r="U1378" s="94"/>
      <c r="V1378" s="90"/>
      <c r="W1378" s="91"/>
      <c r="X1378" s="92"/>
    </row>
    <row r="1379" spans="1:24">
      <c r="A1379" s="615"/>
      <c r="B1379" s="121" t="s">
        <v>68</v>
      </c>
      <c r="C1379" s="611"/>
      <c r="D1379" s="123"/>
      <c r="E1379" s="123"/>
      <c r="F1379" s="124"/>
      <c r="G1379" s="125"/>
      <c r="H1379" s="124"/>
      <c r="I1379" s="126"/>
      <c r="J1379" s="127"/>
      <c r="K1379" s="128"/>
      <c r="L1379" s="128"/>
      <c r="M1379" s="128"/>
      <c r="N1379" s="128"/>
      <c r="O1379" s="128"/>
      <c r="P1379" s="128"/>
      <c r="Q1379" s="128"/>
      <c r="R1379" s="128"/>
      <c r="S1379" s="128"/>
      <c r="T1379" s="127"/>
      <c r="U1379" s="135"/>
      <c r="V1379" s="129"/>
      <c r="W1379" s="130"/>
      <c r="X1379" s="131"/>
    </row>
    <row r="1380" spans="1:24" s="342" customFormat="1">
      <c r="A1380" s="615" t="s">
        <v>683</v>
      </c>
      <c r="B1380" s="333">
        <v>1</v>
      </c>
      <c r="C1380" s="334">
        <v>45945</v>
      </c>
      <c r="D1380" s="335">
        <v>74443</v>
      </c>
      <c r="E1380" s="394" t="s">
        <v>672</v>
      </c>
      <c r="F1380" s="336">
        <v>2034.9</v>
      </c>
      <c r="G1380" s="336">
        <f>39.7</f>
        <v>39.700000000000003</v>
      </c>
      <c r="H1380" s="336"/>
      <c r="I1380" s="337">
        <f>F1380-G1380-H1380</f>
        <v>1995.2</v>
      </c>
      <c r="J1380" s="338" t="s">
        <v>185</v>
      </c>
      <c r="K1380" s="338">
        <v>1</v>
      </c>
      <c r="L1380" s="338">
        <v>1</v>
      </c>
      <c r="M1380" s="338">
        <v>1</v>
      </c>
      <c r="N1380" s="338">
        <v>1</v>
      </c>
      <c r="O1380" s="338">
        <v>1</v>
      </c>
      <c r="P1380" s="338">
        <v>1</v>
      </c>
      <c r="Q1380" s="338">
        <v>1</v>
      </c>
      <c r="R1380" s="338">
        <v>1</v>
      </c>
      <c r="S1380" s="339">
        <v>1</v>
      </c>
      <c r="T1380" s="127"/>
      <c r="U1380" s="135" t="s">
        <v>684</v>
      </c>
      <c r="V1380" s="129">
        <f>223.84+252</f>
        <v>475.84000000000003</v>
      </c>
      <c r="W1380" s="130"/>
      <c r="X1380" s="131"/>
    </row>
    <row r="1381" spans="1:24" s="342" customFormat="1">
      <c r="A1381" s="356">
        <v>0.1</v>
      </c>
      <c r="B1381" s="333">
        <f>B1380+1</f>
        <v>2</v>
      </c>
      <c r="C1381" s="345">
        <v>45945</v>
      </c>
      <c r="D1381" s="414" t="s">
        <v>685</v>
      </c>
      <c r="E1381" s="348" t="s">
        <v>292</v>
      </c>
      <c r="F1381" s="125">
        <v>1138</v>
      </c>
      <c r="G1381" s="125">
        <f>39.7</f>
        <v>39.700000000000003</v>
      </c>
      <c r="H1381" s="125"/>
      <c r="I1381" s="347">
        <f>F1381-G1381-H1381</f>
        <v>1098.3</v>
      </c>
      <c r="J1381" s="127" t="s">
        <v>150</v>
      </c>
      <c r="K1381" s="127">
        <v>1</v>
      </c>
      <c r="L1381" s="127">
        <v>1</v>
      </c>
      <c r="M1381" s="127">
        <v>1</v>
      </c>
      <c r="N1381" s="127">
        <v>1</v>
      </c>
      <c r="O1381" s="127">
        <v>1</v>
      </c>
      <c r="P1381" s="127">
        <v>1</v>
      </c>
      <c r="Q1381" s="127">
        <v>1</v>
      </c>
      <c r="R1381" s="127">
        <v>1</v>
      </c>
      <c r="S1381" s="349">
        <v>1</v>
      </c>
      <c r="T1381" s="127"/>
      <c r="U1381" s="135" t="s">
        <v>686</v>
      </c>
      <c r="V1381" s="129">
        <v>0</v>
      </c>
      <c r="W1381" s="710">
        <f>150+1100</f>
        <v>1250</v>
      </c>
      <c r="X1381" s="131"/>
    </row>
    <row r="1382" spans="1:24" s="342" customFormat="1">
      <c r="A1382" s="356">
        <v>0.1</v>
      </c>
      <c r="B1382" s="333">
        <f>B1381+1</f>
        <v>3</v>
      </c>
      <c r="C1382" s="350">
        <v>45946</v>
      </c>
      <c r="D1382" s="358">
        <v>74528</v>
      </c>
      <c r="E1382" s="351" t="s">
        <v>355</v>
      </c>
      <c r="F1382" s="351">
        <f>1546-85</f>
        <v>1461</v>
      </c>
      <c r="G1382" s="352">
        <f>39.7</f>
        <v>39.700000000000003</v>
      </c>
      <c r="H1382" s="352"/>
      <c r="I1382" s="353">
        <f>F1382-G1382-H1382</f>
        <v>1421.3</v>
      </c>
      <c r="J1382" s="354" t="s">
        <v>374</v>
      </c>
      <c r="K1382" s="354">
        <v>1</v>
      </c>
      <c r="L1382" s="354">
        <v>1</v>
      </c>
      <c r="M1382" s="354">
        <v>1</v>
      </c>
      <c r="N1382" s="354">
        <v>1</v>
      </c>
      <c r="O1382" s="354">
        <v>1</v>
      </c>
      <c r="P1382" s="354">
        <v>1</v>
      </c>
      <c r="Q1382" s="354">
        <v>1</v>
      </c>
      <c r="R1382" s="354">
        <v>1</v>
      </c>
      <c r="S1382" s="355">
        <v>1</v>
      </c>
      <c r="T1382" s="127"/>
      <c r="U1382" s="135" t="s">
        <v>687</v>
      </c>
      <c r="V1382" s="129">
        <f>93.5</f>
        <v>93.5</v>
      </c>
      <c r="W1382" s="130"/>
      <c r="X1382" s="131"/>
    </row>
    <row r="1383" spans="1:24">
      <c r="A1383" s="615"/>
      <c r="B1383" s="132"/>
      <c r="C1383" s="36"/>
      <c r="D1383" s="123"/>
      <c r="E1383" s="123"/>
      <c r="F1383" s="134">
        <f>SUM(F1380:F1382)</f>
        <v>4633.8999999999996</v>
      </c>
      <c r="G1383" s="134">
        <f>SUM(G1380:G1382)</f>
        <v>119.10000000000001</v>
      </c>
      <c r="H1383" s="134">
        <f>SUM(H1380:H1382)</f>
        <v>0</v>
      </c>
      <c r="I1383" s="134">
        <f>SUM(I1380:I1382)</f>
        <v>4514.8</v>
      </c>
      <c r="J1383" s="127"/>
      <c r="K1383" s="64"/>
      <c r="L1383" s="64"/>
      <c r="M1383" s="64"/>
      <c r="N1383" s="64"/>
      <c r="O1383" s="64"/>
      <c r="P1383" s="64"/>
      <c r="Q1383" s="64"/>
      <c r="R1383" s="64"/>
      <c r="S1383" s="64"/>
      <c r="T1383" s="127"/>
      <c r="U1383" s="135"/>
      <c r="V1383" s="129"/>
      <c r="W1383" s="130"/>
      <c r="X1383" s="131"/>
    </row>
    <row r="1384" spans="1:24">
      <c r="A1384" s="614"/>
      <c r="B1384" s="11"/>
      <c r="C1384" s="36"/>
      <c r="D1384" s="10"/>
      <c r="E1384" s="10"/>
      <c r="F1384" s="88"/>
      <c r="G1384" s="88"/>
      <c r="H1384" s="88"/>
      <c r="I1384" s="99"/>
      <c r="J1384" s="63"/>
      <c r="K1384" s="21"/>
      <c r="L1384" s="21"/>
      <c r="M1384" s="21"/>
      <c r="N1384" s="21"/>
      <c r="O1384" s="21"/>
      <c r="P1384" s="21"/>
      <c r="Q1384" s="21"/>
      <c r="R1384" s="21"/>
      <c r="S1384" s="21"/>
      <c r="T1384" s="63"/>
      <c r="U1384" s="94"/>
      <c r="V1384" s="90"/>
      <c r="W1384" s="91"/>
      <c r="X1384" s="92"/>
    </row>
    <row r="1385" spans="1:24">
      <c r="A1385" s="615"/>
      <c r="B1385" s="121" t="s">
        <v>70</v>
      </c>
      <c r="C1385" s="36"/>
      <c r="D1385" s="123"/>
      <c r="E1385" s="128"/>
      <c r="F1385" s="124"/>
      <c r="G1385" s="124"/>
      <c r="H1385" s="124"/>
      <c r="I1385" s="126"/>
      <c r="J1385" s="127"/>
      <c r="K1385" s="64"/>
      <c r="L1385" s="64"/>
      <c r="M1385" s="64"/>
      <c r="N1385" s="64"/>
      <c r="O1385" s="64"/>
      <c r="P1385" s="64"/>
      <c r="Q1385" s="64"/>
      <c r="R1385" s="64"/>
      <c r="S1385" s="64"/>
      <c r="T1385" s="127"/>
      <c r="U1385" s="135"/>
      <c r="V1385" s="129"/>
      <c r="W1385" s="130"/>
      <c r="X1385" s="131"/>
    </row>
    <row r="1386" spans="1:24" s="342" customFormat="1">
      <c r="A1386" s="615">
        <v>45953</v>
      </c>
      <c r="B1386" s="467">
        <v>1</v>
      </c>
      <c r="C1386" s="478">
        <v>45945</v>
      </c>
      <c r="D1386" s="521" t="s">
        <v>688</v>
      </c>
      <c r="E1386" s="747" t="s">
        <v>292</v>
      </c>
      <c r="F1386" s="480">
        <v>10910.6</v>
      </c>
      <c r="G1386" s="480">
        <f>39.7+338+259.8+181.61+85+33.5+46.75+(77.24+85.96+466.83-136.44)+(25.2+56.64+164.6+32.7-37.78)+1000</f>
        <v>2719.31</v>
      </c>
      <c r="H1386" s="480"/>
      <c r="I1386" s="272">
        <f>F1386-G1386-H1386</f>
        <v>8191.2900000000009</v>
      </c>
      <c r="J1386" s="481" t="s">
        <v>156</v>
      </c>
      <c r="K1386" s="481">
        <v>1</v>
      </c>
      <c r="L1386" s="481">
        <v>1</v>
      </c>
      <c r="M1386" s="481">
        <v>1</v>
      </c>
      <c r="N1386" s="481">
        <v>1</v>
      </c>
      <c r="O1386" s="481">
        <v>1</v>
      </c>
      <c r="P1386" s="481">
        <v>1</v>
      </c>
      <c r="Q1386" s="481">
        <v>1</v>
      </c>
      <c r="R1386" s="481">
        <v>1</v>
      </c>
      <c r="S1386" s="727">
        <v>0</v>
      </c>
      <c r="T1386" s="474"/>
      <c r="U1386" s="475" t="s">
        <v>689</v>
      </c>
      <c r="V1386" s="476">
        <f>1200</f>
        <v>1200</v>
      </c>
      <c r="W1386" s="456">
        <f>4000+3500+3302</f>
        <v>10802</v>
      </c>
      <c r="X1386" s="483"/>
    </row>
    <row r="1387" spans="1:24">
      <c r="A1387" s="615"/>
      <c r="B1387" s="132"/>
      <c r="C1387" s="36"/>
      <c r="D1387" s="123"/>
      <c r="E1387" s="123"/>
      <c r="F1387" s="133">
        <f>SUM(F1386:F1386)</f>
        <v>10910.6</v>
      </c>
      <c r="G1387" s="133">
        <f>SUM(G1386:G1386)</f>
        <v>2719.31</v>
      </c>
      <c r="H1387" s="133">
        <f>SUM(H1386:H1386)</f>
        <v>0</v>
      </c>
      <c r="I1387" s="134">
        <f>SUM(I1386:I1386)</f>
        <v>8191.2900000000009</v>
      </c>
      <c r="J1387" s="127"/>
      <c r="K1387" s="64"/>
      <c r="L1387" s="64"/>
      <c r="M1387" s="64"/>
      <c r="N1387" s="64"/>
      <c r="O1387" s="64"/>
      <c r="P1387" s="64"/>
      <c r="Q1387" s="64"/>
      <c r="R1387" s="64"/>
      <c r="S1387" s="64"/>
      <c r="T1387" s="127"/>
      <c r="U1387" s="135"/>
      <c r="V1387" s="129"/>
      <c r="W1387" s="130"/>
      <c r="X1387" s="131"/>
    </row>
    <row r="1388" spans="1:24">
      <c r="A1388" s="614"/>
      <c r="B1388" s="11"/>
      <c r="C1388" s="609"/>
      <c r="D1388" s="10"/>
      <c r="E1388" s="10"/>
      <c r="F1388" s="88"/>
      <c r="G1388" s="88"/>
      <c r="H1388" s="88"/>
      <c r="I1388" s="99"/>
      <c r="J1388" s="63"/>
      <c r="K1388" s="21"/>
      <c r="L1388" s="21"/>
      <c r="M1388" s="21"/>
      <c r="N1388" s="21"/>
      <c r="O1388" s="21"/>
      <c r="P1388" s="21"/>
      <c r="Q1388" s="21"/>
      <c r="R1388" s="21"/>
      <c r="S1388" s="21"/>
      <c r="T1388" s="63"/>
      <c r="U1388" s="94"/>
      <c r="V1388" s="90"/>
      <c r="W1388" s="91"/>
      <c r="X1388" s="92"/>
    </row>
    <row r="1389" spans="1:24" s="260" customFormat="1">
      <c r="A1389" s="181"/>
      <c r="B1389" s="100" t="s">
        <v>152</v>
      </c>
      <c r="C1389" s="36"/>
      <c r="D1389" s="10"/>
      <c r="E1389" s="10"/>
      <c r="F1389" s="88"/>
      <c r="G1389" s="62"/>
      <c r="H1389" s="88"/>
      <c r="I1389" s="99"/>
      <c r="J1389" s="10"/>
      <c r="K1389" s="181"/>
      <c r="L1389" s="181"/>
      <c r="M1389" s="181"/>
      <c r="N1389" s="181"/>
      <c r="O1389" s="181"/>
      <c r="P1389" s="181"/>
      <c r="Q1389" s="181"/>
      <c r="R1389" s="181"/>
      <c r="S1389" s="181"/>
      <c r="T1389" s="63"/>
      <c r="U1389" s="10"/>
      <c r="V1389" s="90"/>
      <c r="W1389" s="91"/>
      <c r="X1389" s="92"/>
    </row>
    <row r="1390" spans="1:24" s="260" customFormat="1">
      <c r="A1390" s="312" t="s">
        <v>194</v>
      </c>
      <c r="B1390" s="87">
        <v>1</v>
      </c>
      <c r="C1390" s="262">
        <v>45805</v>
      </c>
      <c r="D1390" s="357" t="s">
        <v>199</v>
      </c>
      <c r="E1390" s="271" t="s">
        <v>196</v>
      </c>
      <c r="F1390" s="265">
        <v>16214</v>
      </c>
      <c r="G1390" s="265">
        <f>39.7+44+36.26+(33.82+55.44)+(102.43+254.2+84.43+10.82+125.93)+1500</f>
        <v>2287.0299999999997</v>
      </c>
      <c r="H1390" s="265">
        <f>F1390*0.2</f>
        <v>3242.8</v>
      </c>
      <c r="I1390" s="266">
        <f>F1390-G1390-H1390</f>
        <v>10684.170000000002</v>
      </c>
      <c r="J1390" s="267" t="s">
        <v>197</v>
      </c>
      <c r="K1390" s="267">
        <v>1</v>
      </c>
      <c r="L1390" s="267">
        <v>1</v>
      </c>
      <c r="M1390" s="267">
        <v>1</v>
      </c>
      <c r="N1390" s="267">
        <v>1</v>
      </c>
      <c r="O1390" s="267">
        <v>1</v>
      </c>
      <c r="P1390" s="314">
        <v>0</v>
      </c>
      <c r="Q1390" s="267">
        <v>1</v>
      </c>
      <c r="R1390" s="267">
        <v>1</v>
      </c>
      <c r="S1390" s="366">
        <v>0</v>
      </c>
      <c r="T1390" s="63"/>
      <c r="U1390" s="10" t="s">
        <v>200</v>
      </c>
      <c r="V1390" s="90"/>
      <c r="W1390" s="136"/>
      <c r="X1390" s="137"/>
    </row>
    <row r="1391" spans="1:24" s="260" customFormat="1">
      <c r="A1391" s="261">
        <v>0.05</v>
      </c>
      <c r="B1391" s="87">
        <f>B1390+1</f>
        <v>2</v>
      </c>
      <c r="C1391" s="262">
        <v>45873</v>
      </c>
      <c r="D1391" s="263" t="s">
        <v>448</v>
      </c>
      <c r="E1391" s="271" t="s">
        <v>245</v>
      </c>
      <c r="F1391" s="265">
        <v>16214</v>
      </c>
      <c r="G1391" s="265">
        <f>39.7+334+(37.9+110.12+72.67+137.98)+(161.68+232.63)+1500</f>
        <v>2626.68</v>
      </c>
      <c r="H1391" s="265"/>
      <c r="I1391" s="266">
        <f>F1391-G1391-H1391</f>
        <v>13587.32</v>
      </c>
      <c r="J1391" s="267" t="s">
        <v>228</v>
      </c>
      <c r="K1391" s="267">
        <v>1</v>
      </c>
      <c r="L1391" s="267">
        <v>1</v>
      </c>
      <c r="M1391" s="267">
        <v>1</v>
      </c>
      <c r="N1391" s="267">
        <v>1</v>
      </c>
      <c r="O1391" s="267">
        <v>1</v>
      </c>
      <c r="P1391" s="267">
        <v>1</v>
      </c>
      <c r="Q1391" s="314">
        <v>0</v>
      </c>
      <c r="R1391" s="314">
        <v>0</v>
      </c>
      <c r="S1391" s="366">
        <v>0</v>
      </c>
      <c r="T1391" s="63"/>
      <c r="U1391" s="94" t="s">
        <v>485</v>
      </c>
      <c r="V1391" s="90"/>
      <c r="W1391" s="136"/>
      <c r="X1391" s="137"/>
    </row>
    <row r="1392" spans="1:24">
      <c r="A1392" s="507">
        <v>0.05</v>
      </c>
      <c r="B1392" s="87">
        <f>B1391+1</f>
        <v>3</v>
      </c>
      <c r="C1392" s="645">
        <v>45896</v>
      </c>
      <c r="D1392" s="357" t="s">
        <v>527</v>
      </c>
      <c r="E1392" s="642" t="s">
        <v>401</v>
      </c>
      <c r="F1392" s="646">
        <v>14503.6</v>
      </c>
      <c r="G1392" s="646">
        <f>39.7+60.48+(103.51+131.24+75.84)+(287.37+90.69)+1000</f>
        <v>1788.83</v>
      </c>
      <c r="H1392" s="646">
        <f>5000*0.2</f>
        <v>1000</v>
      </c>
      <c r="I1392" s="698">
        <f>F1392-G1392-H1392</f>
        <v>11714.77</v>
      </c>
      <c r="J1392" s="647" t="s">
        <v>185</v>
      </c>
      <c r="K1392" s="647">
        <v>1</v>
      </c>
      <c r="L1392" s="647">
        <v>1</v>
      </c>
      <c r="M1392" s="647">
        <v>1</v>
      </c>
      <c r="N1392" s="647">
        <v>1</v>
      </c>
      <c r="O1392" s="647">
        <v>1</v>
      </c>
      <c r="P1392" s="647">
        <v>1</v>
      </c>
      <c r="Q1392" s="647">
        <v>1</v>
      </c>
      <c r="R1392" s="647">
        <v>1</v>
      </c>
      <c r="S1392" s="648">
        <v>1</v>
      </c>
      <c r="T1392" s="537"/>
      <c r="U1392" s="164" t="s">
        <v>669</v>
      </c>
      <c r="V1392" s="551"/>
      <c r="W1392" s="552"/>
      <c r="X1392" s="553"/>
    </row>
    <row r="1393" spans="1:24" s="260" customFormat="1">
      <c r="A1393" s="261">
        <v>0.05</v>
      </c>
      <c r="B1393" s="87">
        <f>B1392+1</f>
        <v>4</v>
      </c>
      <c r="C1393" s="262">
        <v>45847</v>
      </c>
      <c r="D1393" s="263">
        <v>71343</v>
      </c>
      <c r="E1393" s="271" t="s">
        <v>184</v>
      </c>
      <c r="F1393" s="265">
        <v>2814</v>
      </c>
      <c r="G1393" s="265">
        <f>39.7+(36.22+222.93)</f>
        <v>298.84999999999997</v>
      </c>
      <c r="H1393" s="265"/>
      <c r="I1393" s="266">
        <f>F1393-G1393-H1393</f>
        <v>2515.15</v>
      </c>
      <c r="J1393" s="267" t="s">
        <v>156</v>
      </c>
      <c r="K1393" s="267">
        <v>1</v>
      </c>
      <c r="L1393" s="267">
        <v>1</v>
      </c>
      <c r="M1393" s="267">
        <v>1</v>
      </c>
      <c r="N1393" s="267">
        <v>1</v>
      </c>
      <c r="O1393" s="267">
        <v>1</v>
      </c>
      <c r="P1393" s="314">
        <v>0</v>
      </c>
      <c r="Q1393" s="314">
        <v>0</v>
      </c>
      <c r="R1393" s="314">
        <v>0</v>
      </c>
      <c r="S1393" s="366">
        <v>0</v>
      </c>
      <c r="T1393" s="63"/>
      <c r="U1393" s="94" t="s">
        <v>359</v>
      </c>
      <c r="V1393" s="90"/>
      <c r="W1393" s="136"/>
      <c r="X1393" s="137"/>
    </row>
    <row r="1394" spans="1:24" s="260" customFormat="1">
      <c r="A1394" s="261">
        <v>0.05</v>
      </c>
      <c r="B1394" s="87">
        <f>B1393+1</f>
        <v>5</v>
      </c>
      <c r="C1394" s="262">
        <v>45881</v>
      </c>
      <c r="D1394" s="263" t="s">
        <v>480</v>
      </c>
      <c r="E1394" s="309" t="s">
        <v>456</v>
      </c>
      <c r="F1394" s="265">
        <f>8614-947.1</f>
        <v>7666.9</v>
      </c>
      <c r="G1394" s="265">
        <f>39.7+495+(278.1+41.8-83.55)+1500</f>
        <v>2271.0500000000002</v>
      </c>
      <c r="H1394" s="265"/>
      <c r="I1394" s="266">
        <f>F1394-G1394-H1394</f>
        <v>5395.8499999999995</v>
      </c>
      <c r="J1394" s="267" t="s">
        <v>228</v>
      </c>
      <c r="K1394" s="267">
        <v>1</v>
      </c>
      <c r="L1394" s="267">
        <v>1</v>
      </c>
      <c r="M1394" s="267">
        <v>1</v>
      </c>
      <c r="N1394" s="267">
        <v>1</v>
      </c>
      <c r="O1394" s="267">
        <v>1</v>
      </c>
      <c r="P1394" s="267">
        <v>1</v>
      </c>
      <c r="Q1394" s="314">
        <v>0</v>
      </c>
      <c r="R1394" s="314">
        <v>0</v>
      </c>
      <c r="S1394" s="366">
        <v>0</v>
      </c>
      <c r="T1394" s="63"/>
      <c r="U1394" s="94" t="s">
        <v>505</v>
      </c>
      <c r="V1394" s="90"/>
      <c r="W1394" s="136"/>
      <c r="X1394" s="137"/>
    </row>
    <row r="1395" spans="1:24" s="260" customFormat="1">
      <c r="A1395" s="260" t="s">
        <v>619</v>
      </c>
      <c r="B1395" s="87">
        <f>B1394+1</f>
        <v>6</v>
      </c>
      <c r="C1395" s="262">
        <v>45923</v>
      </c>
      <c r="D1395" s="263" t="s">
        <v>620</v>
      </c>
      <c r="E1395" s="271" t="s">
        <v>609</v>
      </c>
      <c r="F1395" s="265">
        <v>14000</v>
      </c>
      <c r="G1395" s="265">
        <f>39.7+(54.62+926.82)+1000</f>
        <v>2021.14</v>
      </c>
      <c r="H1395" s="265"/>
      <c r="I1395" s="266">
        <f>F1395-G1395-H1395</f>
        <v>11978.86</v>
      </c>
      <c r="J1395" s="267" t="s">
        <v>185</v>
      </c>
      <c r="K1395" s="267">
        <v>1</v>
      </c>
      <c r="L1395" s="267">
        <v>1</v>
      </c>
      <c r="M1395" s="267">
        <v>1</v>
      </c>
      <c r="N1395" s="267">
        <v>1</v>
      </c>
      <c r="O1395" s="267">
        <v>1</v>
      </c>
      <c r="P1395" s="267">
        <v>1</v>
      </c>
      <c r="Q1395" s="267">
        <v>1</v>
      </c>
      <c r="R1395" s="267">
        <v>1</v>
      </c>
      <c r="S1395" s="366">
        <v>0</v>
      </c>
      <c r="T1395" s="21"/>
      <c r="U1395" s="10" t="s">
        <v>621</v>
      </c>
      <c r="V1395" s="724"/>
      <c r="W1395" s="91"/>
      <c r="X1395" s="92"/>
    </row>
    <row r="1396" spans="1:24" s="260" customFormat="1">
      <c r="A1396" s="494" t="s">
        <v>690</v>
      </c>
      <c r="B1396" s="87">
        <v>1</v>
      </c>
      <c r="C1396" s="262">
        <v>45936</v>
      </c>
      <c r="D1396" s="263" t="s">
        <v>663</v>
      </c>
      <c r="E1396" s="271" t="s">
        <v>653</v>
      </c>
      <c r="F1396" s="265">
        <v>11676</v>
      </c>
      <c r="G1396" s="265">
        <f>39.7+831+318.4+(65.42+37.9+17.08+9.67+130.65)+(211.67+70.86)+1000</f>
        <v>2732.35</v>
      </c>
      <c r="H1396" s="265"/>
      <c r="I1396" s="272">
        <f>F1396-G1396-H1396</f>
        <v>8943.65</v>
      </c>
      <c r="J1396" s="267" t="s">
        <v>228</v>
      </c>
      <c r="K1396" s="267">
        <v>1</v>
      </c>
      <c r="L1396" s="267">
        <v>1</v>
      </c>
      <c r="M1396" s="267">
        <v>1</v>
      </c>
      <c r="N1396" s="267">
        <v>1</v>
      </c>
      <c r="O1396" s="267">
        <v>1</v>
      </c>
      <c r="P1396" s="267">
        <v>1</v>
      </c>
      <c r="Q1396" s="267">
        <v>1</v>
      </c>
      <c r="R1396" s="267">
        <v>1</v>
      </c>
      <c r="S1396" s="269">
        <v>1</v>
      </c>
      <c r="T1396" s="63"/>
      <c r="U1396" s="94" t="s">
        <v>691</v>
      </c>
      <c r="V1396" s="90">
        <v>11559.2</v>
      </c>
      <c r="W1396" s="136"/>
      <c r="X1396" s="137"/>
    </row>
    <row r="1397" spans="1:24" s="260" customFormat="1">
      <c r="A1397" s="494" t="s">
        <v>692</v>
      </c>
      <c r="B1397" s="87">
        <f>B1401+1</f>
        <v>2</v>
      </c>
      <c r="C1397" s="262">
        <v>45940</v>
      </c>
      <c r="D1397" s="263" t="s">
        <v>667</v>
      </c>
      <c r="E1397" s="271" t="s">
        <v>563</v>
      </c>
      <c r="F1397" s="265">
        <v>11532.6</v>
      </c>
      <c r="G1397" s="265">
        <f>39.7+(296.42)+(21.96+62.74-24.75)+1000</f>
        <v>1396.07</v>
      </c>
      <c r="H1397" s="265"/>
      <c r="I1397" s="266">
        <f>F1397-G1397-H1397</f>
        <v>10136.530000000001</v>
      </c>
      <c r="J1397" s="267" t="s">
        <v>228</v>
      </c>
      <c r="K1397" s="267">
        <v>1</v>
      </c>
      <c r="L1397" s="267">
        <v>1</v>
      </c>
      <c r="M1397" s="314">
        <v>0</v>
      </c>
      <c r="N1397" s="267">
        <v>1</v>
      </c>
      <c r="O1397" s="267">
        <v>1</v>
      </c>
      <c r="P1397" s="267">
        <v>1</v>
      </c>
      <c r="Q1397" s="314">
        <v>0</v>
      </c>
      <c r="R1397" s="314">
        <v>0</v>
      </c>
      <c r="S1397" s="366">
        <v>0</v>
      </c>
      <c r="T1397" s="63"/>
      <c r="U1397" s="94" t="s">
        <v>693</v>
      </c>
      <c r="V1397" s="90">
        <v>11276.32</v>
      </c>
      <c r="W1397" s="136"/>
      <c r="X1397" s="137"/>
    </row>
    <row r="1398" spans="1:24" s="260" customFormat="1">
      <c r="A1398" s="181"/>
      <c r="B1398" s="11"/>
      <c r="C1398" s="36"/>
      <c r="D1398" s="77"/>
      <c r="E1398" s="10"/>
      <c r="F1398" s="97">
        <f>SUM(F1390:F1397)</f>
        <v>94621.1</v>
      </c>
      <c r="G1398" s="97">
        <f t="shared" ref="G1398:I1398" si="298">SUM(G1390:G1397)</f>
        <v>15421.999999999998</v>
      </c>
      <c r="H1398" s="97">
        <f t="shared" si="298"/>
        <v>4242.8</v>
      </c>
      <c r="I1398" s="97">
        <f t="shared" si="298"/>
        <v>74956.3</v>
      </c>
      <c r="K1398" s="21"/>
      <c r="L1398" s="21"/>
      <c r="M1398" s="21"/>
      <c r="N1398" s="21"/>
      <c r="O1398" s="21"/>
      <c r="P1398" s="21"/>
      <c r="Q1398" s="21"/>
      <c r="R1398" s="21"/>
      <c r="S1398" s="21"/>
      <c r="T1398" s="63"/>
      <c r="U1398" s="10"/>
      <c r="V1398" s="90"/>
      <c r="W1398" s="91"/>
      <c r="X1398" s="92"/>
    </row>
    <row r="1399" spans="1:24" s="260" customFormat="1">
      <c r="A1399" s="181"/>
      <c r="B1399" s="11"/>
      <c r="C1399" s="36"/>
      <c r="D1399" s="77"/>
      <c r="E1399" s="10"/>
      <c r="F1399" s="88"/>
      <c r="G1399" s="88"/>
      <c r="H1399" s="88"/>
      <c r="I1399" s="99"/>
      <c r="J1399" s="63"/>
      <c r="K1399" s="21"/>
      <c r="L1399" s="21"/>
      <c r="M1399" s="21"/>
      <c r="N1399" s="21"/>
      <c r="O1399" s="21"/>
      <c r="P1399" s="21"/>
      <c r="Q1399" s="21"/>
      <c r="R1399" s="21"/>
      <c r="S1399" s="21"/>
      <c r="T1399" s="63"/>
      <c r="U1399" s="10"/>
      <c r="V1399" s="90"/>
      <c r="W1399" s="91"/>
      <c r="X1399" s="92"/>
    </row>
    <row r="1400" spans="1:24">
      <c r="B1400" s="100" t="s">
        <v>202</v>
      </c>
      <c r="C1400" s="36"/>
      <c r="D1400" s="123"/>
      <c r="E1400" s="128"/>
      <c r="F1400" s="124"/>
      <c r="G1400" s="124"/>
      <c r="H1400" s="124"/>
      <c r="I1400" s="126"/>
      <c r="J1400" s="127"/>
      <c r="K1400" s="64"/>
      <c r="L1400" s="64"/>
      <c r="M1400" s="64"/>
      <c r="N1400" s="64"/>
      <c r="O1400" s="64"/>
      <c r="P1400" s="64"/>
      <c r="Q1400" s="64"/>
      <c r="R1400" s="64"/>
      <c r="S1400" s="64"/>
      <c r="T1400" s="127"/>
      <c r="U1400" s="135"/>
      <c r="V1400" s="129"/>
      <c r="W1400" s="130"/>
      <c r="X1400" s="131"/>
    </row>
    <row r="1401" spans="1:24" s="260" customFormat="1">
      <c r="A1401" s="494">
        <v>0.1</v>
      </c>
      <c r="B1401" s="87">
        <v>1</v>
      </c>
      <c r="C1401" s="262">
        <v>45937</v>
      </c>
      <c r="D1401" s="263" t="s">
        <v>665</v>
      </c>
      <c r="E1401" s="309" t="s">
        <v>184</v>
      </c>
      <c r="F1401" s="265">
        <v>11687.38</v>
      </c>
      <c r="G1401" s="265">
        <f>39.7+(9.46+4.73+49.64+249.54+190)+(5.52+362)+1000</f>
        <v>1910.5900000000001</v>
      </c>
      <c r="H1401" s="265"/>
      <c r="I1401" s="272">
        <f>F1401-G1401-H1401</f>
        <v>9776.7899999999991</v>
      </c>
      <c r="J1401" s="267" t="s">
        <v>228</v>
      </c>
      <c r="K1401" s="267">
        <v>1</v>
      </c>
      <c r="L1401" s="267"/>
      <c r="M1401" s="267">
        <v>1</v>
      </c>
      <c r="N1401" s="267">
        <v>1</v>
      </c>
      <c r="O1401" s="267">
        <v>1</v>
      </c>
      <c r="P1401" s="267">
        <v>1</v>
      </c>
      <c r="Q1401" s="267"/>
      <c r="R1401" s="267"/>
      <c r="S1401" s="269"/>
      <c r="T1401" s="63"/>
      <c r="U1401" s="94" t="s">
        <v>666</v>
      </c>
      <c r="V1401" s="90">
        <v>1570.42</v>
      </c>
      <c r="W1401" s="136"/>
      <c r="X1401" s="137"/>
    </row>
    <row r="1402" spans="1:24" s="260" customFormat="1">
      <c r="B1402" s="11"/>
      <c r="C1402" s="36"/>
      <c r="D1402" s="10"/>
      <c r="E1402" s="10"/>
      <c r="F1402" s="97">
        <f>SUM(F1401:F1401)</f>
        <v>11687.38</v>
      </c>
      <c r="G1402" s="97">
        <f>SUM(G1401:G1401)</f>
        <v>1910.5900000000001</v>
      </c>
      <c r="H1402" s="97">
        <f>SUM(H1401:H1401)</f>
        <v>0</v>
      </c>
      <c r="I1402" s="97">
        <f>SUM(I1401:I1401)</f>
        <v>9776.7899999999991</v>
      </c>
      <c r="J1402" s="510"/>
      <c r="K1402" s="21"/>
      <c r="L1402" s="21"/>
      <c r="M1402" s="21"/>
      <c r="N1402" s="21"/>
      <c r="O1402" s="21"/>
      <c r="P1402" s="21"/>
      <c r="Q1402" s="21"/>
      <c r="R1402" s="21"/>
      <c r="S1402" s="21"/>
      <c r="T1402" s="63"/>
      <c r="U1402" s="94"/>
      <c r="V1402" s="90"/>
      <c r="W1402" s="91"/>
      <c r="X1402" s="92"/>
    </row>
    <row r="1403" spans="1:24">
      <c r="B1403" s="11"/>
      <c r="C1403" s="36"/>
      <c r="D1403" s="10"/>
      <c r="E1403" s="10"/>
      <c r="F1403" s="88"/>
      <c r="G1403" s="88"/>
      <c r="H1403" s="88"/>
      <c r="I1403" s="99"/>
      <c r="J1403" s="10"/>
      <c r="K1403" s="63"/>
      <c r="L1403" s="63"/>
      <c r="M1403" s="63"/>
      <c r="N1403" s="63"/>
      <c r="O1403" s="63"/>
      <c r="P1403" s="63"/>
      <c r="Q1403" s="63"/>
      <c r="R1403" s="63"/>
      <c r="S1403" s="63"/>
      <c r="T1403" s="63"/>
      <c r="U1403" s="94"/>
      <c r="V1403" s="90"/>
      <c r="W1403" s="91"/>
      <c r="X1403" s="92"/>
    </row>
    <row r="1404" spans="1:24">
      <c r="A1404" s="614"/>
      <c r="B1404" s="100" t="s">
        <v>72</v>
      </c>
      <c r="C1404" s="609"/>
      <c r="D1404" s="10"/>
      <c r="E1404" s="10"/>
      <c r="F1404" s="88"/>
      <c r="G1404" s="88"/>
      <c r="H1404" s="88"/>
      <c r="I1404" s="99"/>
      <c r="J1404" s="63"/>
      <c r="K1404" s="63"/>
      <c r="L1404" s="63"/>
      <c r="M1404" s="63"/>
      <c r="N1404" s="63"/>
      <c r="O1404" s="63"/>
      <c r="P1404" s="63"/>
      <c r="Q1404" s="63"/>
      <c r="R1404" s="63"/>
      <c r="S1404" s="63"/>
      <c r="T1404" s="63"/>
      <c r="U1404" s="94"/>
      <c r="V1404" s="90"/>
      <c r="W1404" s="91"/>
      <c r="X1404" s="92"/>
    </row>
    <row r="1405" spans="1:24">
      <c r="A1405" s="614"/>
      <c r="B1405" s="87">
        <v>1</v>
      </c>
      <c r="C1405" s="274">
        <v>45943</v>
      </c>
      <c r="D1405" s="276" t="s">
        <v>694</v>
      </c>
      <c r="E1405" s="276" t="s">
        <v>635</v>
      </c>
      <c r="F1405" s="277">
        <v>6814</v>
      </c>
      <c r="G1405" s="277">
        <f>39.7</f>
        <v>39.700000000000003</v>
      </c>
      <c r="H1405" s="277"/>
      <c r="I1405" s="278">
        <f>F1405-G1405-H1405</f>
        <v>6774.3</v>
      </c>
      <c r="J1405" s="279" t="s">
        <v>205</v>
      </c>
      <c r="K1405" s="279">
        <v>1</v>
      </c>
      <c r="L1405" s="279"/>
      <c r="M1405" s="279"/>
      <c r="N1405" s="279">
        <v>1</v>
      </c>
      <c r="O1405" s="279"/>
      <c r="P1405" s="279"/>
      <c r="Q1405" s="279"/>
      <c r="R1405" s="279"/>
      <c r="S1405" s="280"/>
      <c r="T1405" s="63"/>
      <c r="U1405" s="164"/>
      <c r="V1405" s="90"/>
      <c r="W1405" s="91"/>
      <c r="X1405" s="92"/>
    </row>
    <row r="1406" spans="1:24">
      <c r="A1406" s="614"/>
      <c r="B1406" s="87">
        <f>B1405+1</f>
        <v>2</v>
      </c>
      <c r="C1406" s="274">
        <v>45944</v>
      </c>
      <c r="D1406" s="276">
        <v>74442</v>
      </c>
      <c r="E1406" s="276" t="s">
        <v>682</v>
      </c>
      <c r="F1406" s="277">
        <v>3814</v>
      </c>
      <c r="G1406" s="277">
        <v>39.700000000000003</v>
      </c>
      <c r="H1406" s="277"/>
      <c r="I1406" s="278">
        <f>F1406-G1406-H1406</f>
        <v>3774.3</v>
      </c>
      <c r="J1406" s="279" t="s">
        <v>205</v>
      </c>
      <c r="K1406" s="279">
        <v>1</v>
      </c>
      <c r="L1406" s="279"/>
      <c r="M1406" s="279"/>
      <c r="N1406" s="279">
        <v>1</v>
      </c>
      <c r="O1406" s="279"/>
      <c r="P1406" s="279"/>
      <c r="Q1406" s="279">
        <v>1</v>
      </c>
      <c r="R1406" s="279">
        <v>1</v>
      </c>
      <c r="S1406" s="280">
        <v>1</v>
      </c>
      <c r="T1406" s="63"/>
      <c r="U1406" s="94"/>
      <c r="V1406" s="90"/>
      <c r="W1406" s="136"/>
      <c r="X1406" s="137"/>
    </row>
    <row r="1407" spans="1:24">
      <c r="A1407" s="614"/>
      <c r="B1407" s="87">
        <f>B1406+1</f>
        <v>3</v>
      </c>
      <c r="C1407" s="274">
        <v>45945</v>
      </c>
      <c r="D1407" s="276">
        <v>74464</v>
      </c>
      <c r="E1407" s="276" t="s">
        <v>363</v>
      </c>
      <c r="F1407" s="277">
        <v>616</v>
      </c>
      <c r="G1407" s="277"/>
      <c r="H1407" s="277"/>
      <c r="I1407" s="278">
        <f>F1407-G1407-H1407</f>
        <v>616</v>
      </c>
      <c r="J1407" s="279" t="s">
        <v>205</v>
      </c>
      <c r="K1407" s="279">
        <v>1</v>
      </c>
      <c r="L1407" s="279"/>
      <c r="M1407" s="279"/>
      <c r="N1407" s="279">
        <v>1</v>
      </c>
      <c r="O1407" s="279"/>
      <c r="P1407" s="279"/>
      <c r="Q1407" s="279">
        <v>1</v>
      </c>
      <c r="R1407" s="279">
        <v>1</v>
      </c>
      <c r="S1407" s="280">
        <v>1</v>
      </c>
      <c r="T1407" s="63"/>
      <c r="U1407" s="94"/>
      <c r="V1407" s="90"/>
      <c r="W1407" s="136"/>
      <c r="X1407" s="137"/>
    </row>
    <row r="1408" spans="1:24">
      <c r="A1408" s="614"/>
      <c r="B1408" s="87">
        <f>B1407+1</f>
        <v>4</v>
      </c>
      <c r="C1408" s="295">
        <v>45945</v>
      </c>
      <c r="D1408" s="10" t="s">
        <v>695</v>
      </c>
      <c r="E1408" s="101" t="s">
        <v>672</v>
      </c>
      <c r="F1408" s="62">
        <v>16814</v>
      </c>
      <c r="G1408" s="62">
        <v>39.700000000000003</v>
      </c>
      <c r="H1408" s="62"/>
      <c r="I1408" s="89">
        <f>F1408-G1408-H1408</f>
        <v>16774.3</v>
      </c>
      <c r="J1408" s="63" t="s">
        <v>205</v>
      </c>
      <c r="K1408" s="63">
        <v>1</v>
      </c>
      <c r="L1408" s="63"/>
      <c r="M1408" s="63"/>
      <c r="N1408" s="63">
        <v>1</v>
      </c>
      <c r="O1408" s="63"/>
      <c r="P1408" s="63"/>
      <c r="Q1408" s="63"/>
      <c r="R1408" s="63"/>
      <c r="S1408" s="296"/>
      <c r="T1408" s="63"/>
      <c r="U1408" s="94"/>
      <c r="V1408" s="90"/>
      <c r="W1408" s="136"/>
      <c r="X1408" s="137"/>
    </row>
    <row r="1409" spans="1:24">
      <c r="A1409" s="614"/>
      <c r="B1409" s="87">
        <f>B1408+1</f>
        <v>5</v>
      </c>
      <c r="C1409" s="295">
        <v>45945</v>
      </c>
      <c r="D1409" s="10" t="s">
        <v>696</v>
      </c>
      <c r="E1409" s="10" t="s">
        <v>344</v>
      </c>
      <c r="F1409" s="62">
        <v>15088</v>
      </c>
      <c r="G1409" s="62">
        <v>39.700000000000003</v>
      </c>
      <c r="H1409" s="62"/>
      <c r="I1409" s="89">
        <f>F1409-G1409-H1409</f>
        <v>15048.3</v>
      </c>
      <c r="J1409" s="63" t="s">
        <v>205</v>
      </c>
      <c r="K1409" s="63">
        <v>1</v>
      </c>
      <c r="L1409" s="63"/>
      <c r="M1409" s="63"/>
      <c r="N1409" s="63">
        <v>1</v>
      </c>
      <c r="O1409" s="63"/>
      <c r="P1409" s="63"/>
      <c r="Q1409" s="63"/>
      <c r="R1409" s="63"/>
      <c r="S1409" s="296"/>
      <c r="T1409" s="63"/>
      <c r="U1409" s="94"/>
      <c r="V1409" s="90"/>
      <c r="W1409" s="136"/>
      <c r="X1409" s="137"/>
    </row>
    <row r="1410" spans="1:24">
      <c r="A1410" s="614"/>
      <c r="B1410" s="87">
        <f>B1409+1</f>
        <v>6</v>
      </c>
      <c r="C1410" s="274">
        <v>45946</v>
      </c>
      <c r="D1410" s="276">
        <v>74393</v>
      </c>
      <c r="E1410" s="281" t="s">
        <v>294</v>
      </c>
      <c r="F1410" s="277">
        <v>0</v>
      </c>
      <c r="G1410" s="277">
        <v>0</v>
      </c>
      <c r="H1410" s="277"/>
      <c r="I1410" s="278">
        <f>F1410-G1410-H1410</f>
        <v>0</v>
      </c>
      <c r="J1410" s="279" t="s">
        <v>205</v>
      </c>
      <c r="K1410" s="279">
        <v>1</v>
      </c>
      <c r="L1410" s="279"/>
      <c r="M1410" s="279"/>
      <c r="N1410" s="279"/>
      <c r="O1410" s="279"/>
      <c r="P1410" s="279"/>
      <c r="Q1410" s="279"/>
      <c r="R1410" s="279"/>
      <c r="S1410" s="280"/>
      <c r="T1410" s="63"/>
      <c r="U1410" s="94"/>
      <c r="V1410" s="90"/>
      <c r="W1410" s="136"/>
      <c r="X1410" s="137"/>
    </row>
    <row r="1411" spans="1:24">
      <c r="A1411" s="614"/>
      <c r="B1411" s="87">
        <f>B1410+1</f>
        <v>7</v>
      </c>
      <c r="C1411" s="295">
        <v>45946</v>
      </c>
      <c r="D1411" s="10">
        <v>74475</v>
      </c>
      <c r="E1411" s="101" t="s">
        <v>327</v>
      </c>
      <c r="F1411" s="62">
        <v>616</v>
      </c>
      <c r="G1411" s="62"/>
      <c r="H1411" s="62"/>
      <c r="I1411" s="89">
        <f>F1411-G1411-H1411</f>
        <v>616</v>
      </c>
      <c r="J1411" s="63" t="s">
        <v>205</v>
      </c>
      <c r="K1411" s="63">
        <v>1</v>
      </c>
      <c r="L1411" s="63"/>
      <c r="M1411" s="63"/>
      <c r="N1411" s="63">
        <v>1</v>
      </c>
      <c r="O1411" s="63"/>
      <c r="P1411" s="63"/>
      <c r="Q1411" s="63">
        <v>1</v>
      </c>
      <c r="R1411" s="63">
        <v>1</v>
      </c>
      <c r="S1411" s="296">
        <v>1</v>
      </c>
      <c r="T1411" s="63"/>
      <c r="U1411" s="94"/>
      <c r="V1411" s="90"/>
      <c r="W1411" s="136"/>
      <c r="X1411" s="137"/>
    </row>
    <row r="1412" spans="1:24">
      <c r="A1412" s="614"/>
      <c r="B1412" s="87">
        <f>B1411+1</f>
        <v>8</v>
      </c>
      <c r="C1412" s="295">
        <v>45946</v>
      </c>
      <c r="D1412" s="10">
        <v>74491</v>
      </c>
      <c r="E1412" s="101" t="s">
        <v>317</v>
      </c>
      <c r="F1412" s="62">
        <v>681</v>
      </c>
      <c r="G1412" s="62"/>
      <c r="H1412" s="62"/>
      <c r="I1412" s="89">
        <f>F1412-G1412-H1412</f>
        <v>681</v>
      </c>
      <c r="J1412" s="63" t="s">
        <v>205</v>
      </c>
      <c r="K1412" s="63">
        <v>1</v>
      </c>
      <c r="L1412" s="63"/>
      <c r="M1412" s="63"/>
      <c r="N1412" s="63">
        <v>1</v>
      </c>
      <c r="O1412" s="63"/>
      <c r="P1412" s="63"/>
      <c r="Q1412" s="63">
        <v>1</v>
      </c>
      <c r="R1412" s="63">
        <v>1</v>
      </c>
      <c r="S1412" s="296">
        <v>1</v>
      </c>
      <c r="T1412" s="63"/>
      <c r="U1412" s="94"/>
      <c r="V1412" s="90"/>
      <c r="W1412" s="136"/>
      <c r="X1412" s="137"/>
    </row>
    <row r="1413" spans="1:24">
      <c r="A1413" s="614"/>
      <c r="B1413" s="87">
        <f>B1412+1</f>
        <v>9</v>
      </c>
      <c r="C1413" s="295">
        <v>45946</v>
      </c>
      <c r="D1413" s="10">
        <v>74489</v>
      </c>
      <c r="E1413" s="101" t="s">
        <v>317</v>
      </c>
      <c r="F1413" s="62">
        <v>1073</v>
      </c>
      <c r="G1413" s="62">
        <f>39.7</f>
        <v>39.700000000000003</v>
      </c>
      <c r="H1413" s="62"/>
      <c r="I1413" s="89">
        <f>F1413-G1413-H1413</f>
        <v>1033.3</v>
      </c>
      <c r="J1413" s="63" t="s">
        <v>205</v>
      </c>
      <c r="K1413" s="63">
        <v>1</v>
      </c>
      <c r="L1413" s="63"/>
      <c r="M1413" s="63"/>
      <c r="N1413" s="63">
        <v>1</v>
      </c>
      <c r="O1413" s="63"/>
      <c r="P1413" s="63"/>
      <c r="Q1413" s="63">
        <v>1</v>
      </c>
      <c r="R1413" s="63">
        <v>1</v>
      </c>
      <c r="S1413" s="296">
        <v>1</v>
      </c>
      <c r="T1413" s="63"/>
      <c r="U1413" s="94"/>
      <c r="V1413" s="90"/>
      <c r="W1413" s="136"/>
      <c r="X1413" s="137"/>
    </row>
    <row r="1414" spans="1:24">
      <c r="A1414" s="614"/>
      <c r="B1414" s="87">
        <f>B1413+1</f>
        <v>10</v>
      </c>
      <c r="C1414" s="295">
        <v>45946</v>
      </c>
      <c r="D1414" s="10">
        <v>74458</v>
      </c>
      <c r="E1414" s="101" t="s">
        <v>659</v>
      </c>
      <c r="F1414" s="62">
        <v>1616</v>
      </c>
      <c r="G1414" s="62">
        <v>39.700000000000003</v>
      </c>
      <c r="H1414" s="62"/>
      <c r="I1414" s="89">
        <f>F1414-G1414-H1414</f>
        <v>1576.3</v>
      </c>
      <c r="J1414" s="63" t="s">
        <v>205</v>
      </c>
      <c r="K1414" s="63">
        <v>1</v>
      </c>
      <c r="L1414" s="63"/>
      <c r="M1414" s="63"/>
      <c r="N1414" s="63">
        <v>1</v>
      </c>
      <c r="O1414" s="63"/>
      <c r="P1414" s="63"/>
      <c r="Q1414" s="63">
        <v>1</v>
      </c>
      <c r="R1414" s="63">
        <v>1</v>
      </c>
      <c r="S1414" s="296">
        <v>1</v>
      </c>
      <c r="T1414" s="63"/>
      <c r="U1414" s="94"/>
      <c r="V1414" s="90"/>
      <c r="W1414" s="136"/>
      <c r="X1414" s="137"/>
    </row>
    <row r="1415" spans="1:24">
      <c r="A1415" s="614"/>
      <c r="B1415" s="87">
        <f>B1414+1</f>
        <v>11</v>
      </c>
      <c r="C1415" s="274">
        <v>45947</v>
      </c>
      <c r="D1415" s="276">
        <v>74525</v>
      </c>
      <c r="E1415" s="281" t="s">
        <v>395</v>
      </c>
      <c r="F1415" s="277">
        <v>861</v>
      </c>
      <c r="G1415" s="277">
        <f>39.7</f>
        <v>39.700000000000003</v>
      </c>
      <c r="H1415" s="277"/>
      <c r="I1415" s="278">
        <f>F1415-G1415-H1415</f>
        <v>821.3</v>
      </c>
      <c r="J1415" s="279" t="s">
        <v>205</v>
      </c>
      <c r="K1415" s="279">
        <v>1</v>
      </c>
      <c r="L1415" s="279"/>
      <c r="M1415" s="279"/>
      <c r="N1415" s="279">
        <v>1</v>
      </c>
      <c r="O1415" s="279"/>
      <c r="P1415" s="279"/>
      <c r="Q1415" s="279"/>
      <c r="R1415" s="279"/>
      <c r="S1415" s="280"/>
      <c r="T1415" s="63"/>
      <c r="U1415" s="94"/>
      <c r="V1415" s="90"/>
      <c r="W1415" s="136"/>
      <c r="X1415" s="137"/>
    </row>
    <row r="1416" spans="1:24">
      <c r="A1416" s="614"/>
      <c r="B1416" s="87">
        <f>B1415+1</f>
        <v>12</v>
      </c>
      <c r="C1416" s="295">
        <v>45947</v>
      </c>
      <c r="D1416" s="10">
        <v>74576</v>
      </c>
      <c r="E1416" s="101" t="s">
        <v>428</v>
      </c>
      <c r="F1416" s="62">
        <v>2474.1</v>
      </c>
      <c r="G1416" s="62">
        <v>39.700000000000003</v>
      </c>
      <c r="H1416" s="62"/>
      <c r="I1416" s="89">
        <f>F1416-G1416-H1416</f>
        <v>2434.4</v>
      </c>
      <c r="J1416" s="63" t="s">
        <v>205</v>
      </c>
      <c r="K1416" s="63">
        <v>1</v>
      </c>
      <c r="L1416" s="63"/>
      <c r="M1416" s="63"/>
      <c r="N1416" s="63">
        <v>1</v>
      </c>
      <c r="O1416" s="63"/>
      <c r="P1416" s="63"/>
      <c r="Q1416" s="63">
        <v>1</v>
      </c>
      <c r="R1416" s="63">
        <v>1</v>
      </c>
      <c r="S1416" s="296">
        <v>1</v>
      </c>
      <c r="T1416" s="63"/>
      <c r="U1416" s="94"/>
      <c r="V1416" s="90"/>
      <c r="W1416" s="136"/>
      <c r="X1416" s="137"/>
    </row>
    <row r="1417" spans="1:24">
      <c r="A1417" s="614"/>
      <c r="B1417" s="87">
        <f>B1416+1</f>
        <v>13</v>
      </c>
      <c r="C1417" s="295">
        <v>45947</v>
      </c>
      <c r="D1417" s="10">
        <v>74598</v>
      </c>
      <c r="E1417" s="101" t="s">
        <v>428</v>
      </c>
      <c r="F1417" s="62">
        <v>4261</v>
      </c>
      <c r="G1417" s="62">
        <v>39.700000000000003</v>
      </c>
      <c r="H1417" s="62"/>
      <c r="I1417" s="89">
        <f>F1417-G1417-H1417</f>
        <v>4221.3</v>
      </c>
      <c r="J1417" s="63" t="s">
        <v>205</v>
      </c>
      <c r="K1417" s="63">
        <v>1</v>
      </c>
      <c r="L1417" s="63"/>
      <c r="M1417" s="63"/>
      <c r="N1417" s="63">
        <v>1</v>
      </c>
      <c r="O1417" s="63"/>
      <c r="P1417" s="63"/>
      <c r="Q1417" s="63">
        <v>1</v>
      </c>
      <c r="R1417" s="63">
        <v>1</v>
      </c>
      <c r="S1417" s="296">
        <v>1</v>
      </c>
      <c r="T1417" s="63"/>
      <c r="U1417" s="94"/>
      <c r="V1417" s="90"/>
      <c r="W1417" s="136"/>
      <c r="X1417" s="137"/>
    </row>
    <row r="1418" spans="1:24">
      <c r="A1418" s="614"/>
      <c r="B1418" s="87">
        <f>B1417+1</f>
        <v>14</v>
      </c>
      <c r="C1418" s="282">
        <v>45947</v>
      </c>
      <c r="D1418" s="283">
        <v>74604</v>
      </c>
      <c r="E1418" s="319" t="s">
        <v>428</v>
      </c>
      <c r="F1418" s="284">
        <v>681</v>
      </c>
      <c r="G1418" s="284"/>
      <c r="H1418" s="284"/>
      <c r="I1418" s="285">
        <f>F1418-G1418-H1418</f>
        <v>681</v>
      </c>
      <c r="J1418" s="286" t="s">
        <v>205</v>
      </c>
      <c r="K1418" s="286">
        <v>1</v>
      </c>
      <c r="L1418" s="286"/>
      <c r="M1418" s="286"/>
      <c r="N1418" s="286">
        <v>1</v>
      </c>
      <c r="O1418" s="286"/>
      <c r="P1418" s="286"/>
      <c r="Q1418" s="286">
        <v>1</v>
      </c>
      <c r="R1418" s="286">
        <v>1</v>
      </c>
      <c r="S1418" s="287">
        <v>1</v>
      </c>
      <c r="T1418" s="63"/>
      <c r="U1418" s="94"/>
      <c r="V1418" s="90"/>
      <c r="W1418" s="136"/>
      <c r="X1418" s="137"/>
    </row>
    <row r="1419" spans="1:24">
      <c r="A1419" s="614"/>
      <c r="B1419" s="11"/>
      <c r="C1419" s="36"/>
      <c r="D1419" s="10"/>
      <c r="E1419" s="10"/>
      <c r="F1419" s="97">
        <f>SUM(F1405:F1418)</f>
        <v>55409.1</v>
      </c>
      <c r="G1419" s="97">
        <f>SUM(G1405:G1418)</f>
        <v>357.29999999999995</v>
      </c>
      <c r="H1419" s="97">
        <f>SUM(H1405:H1418)</f>
        <v>0</v>
      </c>
      <c r="I1419" s="98">
        <f>SUM(I1405:I1418)</f>
        <v>55051.80000000001</v>
      </c>
      <c r="J1419" s="10"/>
      <c r="K1419" s="10"/>
      <c r="L1419" s="10"/>
      <c r="M1419" s="10"/>
      <c r="N1419" s="10"/>
      <c r="O1419" s="10"/>
      <c r="P1419" s="10"/>
      <c r="Q1419" s="10"/>
      <c r="R1419" s="10"/>
      <c r="S1419" s="10"/>
      <c r="T1419" s="63"/>
      <c r="U1419" s="94"/>
      <c r="V1419" s="90"/>
      <c r="W1419" s="91"/>
      <c r="X1419" s="92"/>
    </row>
    <row r="1420" spans="1:24">
      <c r="A1420" s="614"/>
      <c r="B1420" s="26"/>
      <c r="C1420" s="612"/>
      <c r="D1420" s="141"/>
      <c r="E1420" s="141"/>
      <c r="F1420" s="141"/>
      <c r="G1420" s="141"/>
      <c r="H1420" s="141"/>
      <c r="I1420" s="141"/>
      <c r="J1420" s="141"/>
      <c r="K1420" s="142"/>
      <c r="L1420" s="142"/>
      <c r="M1420" s="142"/>
      <c r="N1420" s="142"/>
      <c r="O1420" s="142"/>
      <c r="P1420" s="142"/>
      <c r="Q1420" s="142"/>
      <c r="R1420" s="142"/>
      <c r="S1420" s="142"/>
      <c r="T1420" s="143">
        <f>SUM(T1362:T1419)</f>
        <v>1</v>
      </c>
      <c r="U1420" s="168"/>
      <c r="V1420" s="144">
        <f>SUM(V1362:V1419)</f>
        <v>44590.54</v>
      </c>
      <c r="W1420" s="145">
        <f>SUM(W1362:W1419)</f>
        <v>12876</v>
      </c>
      <c r="X1420" s="146">
        <f>SUM(X1362:X1419)</f>
        <v>0</v>
      </c>
    </row>
    <row r="1423" spans="1:24">
      <c r="B1423" s="4" t="s">
        <v>1</v>
      </c>
      <c r="C1423" s="5"/>
      <c r="D1423" s="83"/>
      <c r="E1423" s="6"/>
      <c r="F1423" s="7" t="s">
        <v>2</v>
      </c>
      <c r="G1423" s="608">
        <v>45956</v>
      </c>
      <c r="H1423" s="7"/>
      <c r="I1423" s="6"/>
      <c r="J1423" s="6"/>
      <c r="K1423" s="6"/>
      <c r="L1423" s="6"/>
      <c r="M1423" s="6"/>
      <c r="N1423" s="6"/>
      <c r="O1423" s="6"/>
      <c r="P1423" s="6"/>
      <c r="Q1423" s="6"/>
      <c r="R1423" s="6"/>
      <c r="S1423" s="6"/>
      <c r="T1423" s="6"/>
      <c r="U1423" s="149"/>
      <c r="V1423" s="77"/>
      <c r="W1423" s="77"/>
      <c r="X1423" s="77"/>
    </row>
    <row r="1424" spans="1:24">
      <c r="B1424" s="11"/>
      <c r="C1424" s="10"/>
      <c r="D1424" s="63"/>
      <c r="E1424" s="10"/>
      <c r="F1424" s="10"/>
      <c r="G1424" s="7"/>
      <c r="H1424" s="12"/>
      <c r="I1424" s="10"/>
      <c r="J1424" s="10"/>
      <c r="K1424" s="13" t="s">
        <v>3</v>
      </c>
      <c r="L1424" s="14"/>
      <c r="M1424" s="15"/>
      <c r="N1424" s="13" t="s">
        <v>4</v>
      </c>
      <c r="O1424" s="14"/>
      <c r="P1424" s="15"/>
      <c r="Q1424" s="13" t="s">
        <v>5</v>
      </c>
      <c r="R1424" s="14"/>
      <c r="S1424" s="15"/>
      <c r="T1424" s="16"/>
      <c r="U1424" s="151"/>
      <c r="V1424" s="77"/>
      <c r="W1424" s="77"/>
      <c r="X1424" s="77"/>
    </row>
    <row r="1425" spans="2:24">
      <c r="B1425" s="18" t="s">
        <v>6</v>
      </c>
      <c r="C1425" s="19">
        <f>C1426+C1427</f>
        <v>33</v>
      </c>
      <c r="D1425" s="63"/>
      <c r="E1425" s="18" t="s">
        <v>7</v>
      </c>
      <c r="F1425" s="6"/>
      <c r="G1425" s="9"/>
      <c r="H1425" s="10"/>
      <c r="I1425" s="10"/>
      <c r="J1425" s="10"/>
      <c r="K1425" s="20" t="s">
        <v>8</v>
      </c>
      <c r="L1425" s="21" t="s">
        <v>9</v>
      </c>
      <c r="M1425" s="21" t="s">
        <v>10</v>
      </c>
      <c r="N1425" s="20" t="s">
        <v>11</v>
      </c>
      <c r="O1425" s="21" t="s">
        <v>12</v>
      </c>
      <c r="P1425" s="22" t="s">
        <v>13</v>
      </c>
      <c r="Q1425" s="21" t="s">
        <v>11</v>
      </c>
      <c r="R1425" s="21" t="s">
        <v>12</v>
      </c>
      <c r="S1425" s="22" t="s">
        <v>13</v>
      </c>
      <c r="T1425" s="23" t="s">
        <v>14</v>
      </c>
      <c r="U1425" s="151"/>
      <c r="V1425" s="77"/>
      <c r="W1425" s="77"/>
      <c r="X1425" s="77"/>
    </row>
    <row r="1426" spans="2:24">
      <c r="B1426" s="24" t="s">
        <v>15</v>
      </c>
      <c r="C1426" s="25">
        <f>P1433</f>
        <v>20</v>
      </c>
      <c r="D1426" s="63"/>
      <c r="E1426" s="11" t="s">
        <v>16</v>
      </c>
      <c r="F1426" s="10" t="s">
        <v>78</v>
      </c>
      <c r="G1426" s="153">
        <v>0.05</v>
      </c>
      <c r="H1426" s="10"/>
      <c r="I1426" s="10"/>
      <c r="J1426" s="18" t="s">
        <v>17</v>
      </c>
      <c r="K1426" s="29">
        <f>K1474</f>
        <v>20</v>
      </c>
      <c r="L1426" s="29">
        <f t="shared" ref="L1426:S1426" si="299">L1474</f>
        <v>19</v>
      </c>
      <c r="M1426" s="29">
        <f t="shared" si="299"/>
        <v>17</v>
      </c>
      <c r="N1426" s="29">
        <f t="shared" si="299"/>
        <v>20</v>
      </c>
      <c r="O1426" s="29">
        <f t="shared" si="299"/>
        <v>20</v>
      </c>
      <c r="P1426" s="29">
        <f t="shared" si="299"/>
        <v>20</v>
      </c>
      <c r="Q1426" s="29">
        <f t="shared" si="299"/>
        <v>19</v>
      </c>
      <c r="R1426" s="29">
        <f t="shared" si="299"/>
        <v>19</v>
      </c>
      <c r="S1426" s="29">
        <f t="shared" si="299"/>
        <v>18</v>
      </c>
      <c r="T1426" s="30">
        <f>T1525</f>
        <v>5</v>
      </c>
      <c r="U1426" s="151"/>
      <c r="V1426" s="77"/>
      <c r="W1426" s="77"/>
      <c r="X1426" s="77"/>
    </row>
    <row r="1427" spans="2:24">
      <c r="B1427" s="24" t="s">
        <v>18</v>
      </c>
      <c r="C1427" s="25">
        <f>P1434</f>
        <v>13</v>
      </c>
      <c r="D1427" s="63"/>
      <c r="E1427" s="26" t="s">
        <v>80</v>
      </c>
      <c r="F1427" s="141" t="s">
        <v>81</v>
      </c>
      <c r="G1427" s="154">
        <v>0.1</v>
      </c>
      <c r="H1427" s="10"/>
      <c r="I1427" s="10"/>
      <c r="J1427" s="32" t="s">
        <v>19</v>
      </c>
      <c r="K1427" s="33">
        <f>K1474/K1473</f>
        <v>1</v>
      </c>
      <c r="L1427" s="33">
        <f t="shared" ref="L1427:S1427" si="300">L1474/L1473</f>
        <v>0.95</v>
      </c>
      <c r="M1427" s="33">
        <f t="shared" si="300"/>
        <v>0.85</v>
      </c>
      <c r="N1427" s="33">
        <f t="shared" si="300"/>
        <v>1</v>
      </c>
      <c r="O1427" s="33">
        <f t="shared" si="300"/>
        <v>1</v>
      </c>
      <c r="P1427" s="33">
        <f t="shared" si="300"/>
        <v>1</v>
      </c>
      <c r="Q1427" s="33">
        <f t="shared" si="300"/>
        <v>0.95</v>
      </c>
      <c r="R1427" s="33">
        <f t="shared" si="300"/>
        <v>0.95</v>
      </c>
      <c r="S1427" s="33">
        <f t="shared" si="300"/>
        <v>0.9</v>
      </c>
      <c r="T1427" s="23"/>
      <c r="U1427" s="151" t="s">
        <v>20</v>
      </c>
      <c r="V1427" s="77"/>
      <c r="W1427" s="77"/>
      <c r="X1427" s="77"/>
    </row>
    <row r="1428" spans="2:24">
      <c r="B1428" s="24" t="s">
        <v>21</v>
      </c>
      <c r="C1428" s="34">
        <f>P1435</f>
        <v>0.60606060606060608</v>
      </c>
      <c r="D1428" s="63"/>
      <c r="E1428" s="10"/>
      <c r="F1428" s="10"/>
      <c r="G1428" s="10"/>
      <c r="H1428" s="10"/>
      <c r="I1428" s="10"/>
      <c r="J1428" s="10"/>
      <c r="K1428" s="10"/>
      <c r="L1428" s="10"/>
      <c r="M1428" s="10"/>
      <c r="N1428" s="10"/>
      <c r="O1428" s="10"/>
      <c r="P1428" s="10"/>
      <c r="Q1428" s="10"/>
      <c r="R1428" s="10"/>
      <c r="S1428" s="10"/>
      <c r="T1428" s="10"/>
      <c r="U1428" s="151"/>
      <c r="V1428" s="77"/>
      <c r="W1428" s="77"/>
      <c r="X1428" s="77"/>
    </row>
    <row r="1429" spans="2:24">
      <c r="B1429" s="24"/>
      <c r="C1429" s="25"/>
      <c r="D1429" s="63"/>
      <c r="E1429" s="10"/>
      <c r="F1429" s="18" t="s">
        <v>22</v>
      </c>
      <c r="G1429" s="19" t="s">
        <v>23</v>
      </c>
      <c r="H1429" s="35" t="s">
        <v>24</v>
      </c>
      <c r="I1429" s="10"/>
      <c r="J1429" s="10"/>
      <c r="K1429" s="36"/>
      <c r="L1429" s="36"/>
      <c r="M1429" s="36"/>
      <c r="N1429" s="36"/>
      <c r="O1429" s="36"/>
      <c r="P1429" s="36"/>
      <c r="Q1429" s="36"/>
      <c r="R1429" s="10"/>
      <c r="S1429" s="10"/>
      <c r="T1429" s="10"/>
      <c r="U1429" s="151"/>
      <c r="V1429" s="77"/>
      <c r="W1429" s="77"/>
      <c r="X1429" s="77"/>
    </row>
    <row r="1430" spans="2:24">
      <c r="B1430" s="32" t="s">
        <v>25</v>
      </c>
      <c r="C1430" s="37">
        <f>P1436</f>
        <v>1346.3805</v>
      </c>
      <c r="D1430" s="63"/>
      <c r="E1430" s="18" t="s">
        <v>26</v>
      </c>
      <c r="F1430" s="38">
        <f>P1432</f>
        <v>26927.61</v>
      </c>
      <c r="G1430" s="39">
        <f>I1473</f>
        <v>26927.609999999997</v>
      </c>
      <c r="H1430" s="40"/>
      <c r="I1430" s="41"/>
      <c r="J1430" s="42"/>
      <c r="K1430" s="43" t="s">
        <v>27</v>
      </c>
      <c r="L1430" s="44"/>
      <c r="M1430" s="44"/>
      <c r="N1430" s="44"/>
      <c r="O1430" s="44"/>
      <c r="P1430" s="44"/>
      <c r="Q1430" s="45"/>
      <c r="R1430" s="46" t="s">
        <v>28</v>
      </c>
      <c r="S1430" s="47" t="s">
        <v>29</v>
      </c>
      <c r="T1430" s="10"/>
      <c r="U1430" s="151"/>
      <c r="V1430" s="77"/>
      <c r="W1430" s="77"/>
      <c r="X1430" s="77"/>
    </row>
    <row r="1431" spans="2:24">
      <c r="B1431" s="11"/>
      <c r="C1431" s="10"/>
      <c r="D1431" s="63"/>
      <c r="E1431" s="24" t="s">
        <v>30</v>
      </c>
      <c r="F1431" s="48">
        <f>IF(F1430&gt;=25000,10%,5%)</f>
        <v>0.1</v>
      </c>
      <c r="G1431" s="17"/>
      <c r="H1431" s="40"/>
      <c r="I1431" s="41"/>
      <c r="J1431" s="42"/>
      <c r="K1431" s="20" t="s">
        <v>31</v>
      </c>
      <c r="L1431" s="21" t="s">
        <v>32</v>
      </c>
      <c r="M1431" s="21" t="s">
        <v>33</v>
      </c>
      <c r="N1431" s="21" t="s">
        <v>34</v>
      </c>
      <c r="O1431" s="21" t="s">
        <v>35</v>
      </c>
      <c r="P1431" s="21" t="s">
        <v>36</v>
      </c>
      <c r="Q1431" s="49" t="s">
        <v>37</v>
      </c>
      <c r="R1431" s="50" t="s">
        <v>38</v>
      </c>
      <c r="S1431" s="50" t="s">
        <v>38</v>
      </c>
      <c r="T1431" s="10"/>
      <c r="U1431" s="151"/>
      <c r="V1431" s="77"/>
      <c r="W1431" s="77"/>
      <c r="X1431" s="77"/>
    </row>
    <row r="1432" spans="2:24">
      <c r="B1432" s="11"/>
      <c r="C1432" s="10"/>
      <c r="D1432" s="63"/>
      <c r="E1432" s="51" t="s">
        <v>39</v>
      </c>
      <c r="F1432" s="52">
        <f>(F1430-I1454-I1457-I1462-I1463-I1472)*F1431</f>
        <v>2135.748</v>
      </c>
      <c r="G1432" s="53" t="s">
        <v>40</v>
      </c>
      <c r="H1432" s="54">
        <f>F1432/1.12</f>
        <v>1906.917857142857</v>
      </c>
      <c r="I1432" s="55"/>
      <c r="J1432" s="42"/>
      <c r="K1432" s="56">
        <f>I1453+I1454+I1455</f>
        <v>2398.4499999999998</v>
      </c>
      <c r="L1432" s="57">
        <f>I1456+I1457+I1458+I1459</f>
        <v>7634.79</v>
      </c>
      <c r="M1432" s="57">
        <f>I1460+I1461+I1462+I1463</f>
        <v>3697.55</v>
      </c>
      <c r="N1432" s="57">
        <f>I1464+I1465+I1466+I1467+I1468</f>
        <v>7478.8</v>
      </c>
      <c r="O1432" s="57">
        <f>I1469+I1470+I1471+I1472</f>
        <v>5718.02</v>
      </c>
      <c r="P1432" s="57">
        <f>SUM(K1432:O1432)</f>
        <v>26927.61</v>
      </c>
      <c r="Q1432" s="58">
        <f>I1477+I1493</f>
        <v>3364.2</v>
      </c>
      <c r="R1432" s="59">
        <f>0</f>
        <v>0</v>
      </c>
      <c r="S1432" s="59">
        <f>+I1494</f>
        <v>1942.8999999999999</v>
      </c>
      <c r="T1432" s="10"/>
      <c r="U1432" s="151"/>
      <c r="V1432" s="77"/>
      <c r="W1432" s="77"/>
      <c r="X1432" s="77"/>
    </row>
    <row r="1433" spans="2:24">
      <c r="B1433" s="11"/>
      <c r="C1433" s="10"/>
      <c r="D1433" s="63"/>
      <c r="E1433" s="24" t="s">
        <v>41</v>
      </c>
      <c r="F1433" s="60">
        <f>Q1432</f>
        <v>3364.2</v>
      </c>
      <c r="G1433" s="61" t="s">
        <v>40</v>
      </c>
      <c r="H1433" s="62"/>
      <c r="I1433" s="384" t="s">
        <v>280</v>
      </c>
      <c r="J1433" s="10" t="s">
        <v>42</v>
      </c>
      <c r="K1433" s="63">
        <v>3</v>
      </c>
      <c r="L1433" s="63">
        <v>4</v>
      </c>
      <c r="M1433" s="63">
        <v>4</v>
      </c>
      <c r="N1433" s="63">
        <v>5</v>
      </c>
      <c r="O1433" s="63">
        <v>4</v>
      </c>
      <c r="P1433" s="21">
        <f>SUM(K1433:O1433)</f>
        <v>20</v>
      </c>
      <c r="Q1433" s="64">
        <v>2</v>
      </c>
      <c r="R1433" s="63"/>
      <c r="S1433" s="10"/>
      <c r="T1433" s="10"/>
      <c r="U1433" s="151"/>
      <c r="V1433" s="77"/>
      <c r="W1433" s="77"/>
      <c r="X1433" s="77"/>
    </row>
    <row r="1434" spans="2:24">
      <c r="B1434" s="11"/>
      <c r="C1434" s="10"/>
      <c r="D1434" s="63"/>
      <c r="E1434" s="51" t="s">
        <v>43</v>
      </c>
      <c r="F1434" s="52">
        <f>(F1433-I1493)*0.25</f>
        <v>355.32499999999999</v>
      </c>
      <c r="G1434" s="53" t="s">
        <v>40</v>
      </c>
      <c r="H1434" s="54">
        <f>F1434/1.12</f>
        <v>317.25446428571422</v>
      </c>
      <c r="I1434" s="644">
        <f>67.5*6</f>
        <v>405</v>
      </c>
      <c r="J1434" s="10" t="s">
        <v>44</v>
      </c>
      <c r="K1434" s="63">
        <v>3</v>
      </c>
      <c r="L1434" s="63">
        <v>3</v>
      </c>
      <c r="M1434" s="63">
        <v>3</v>
      </c>
      <c r="N1434" s="63">
        <v>1</v>
      </c>
      <c r="O1434" s="63">
        <v>3</v>
      </c>
      <c r="P1434" s="21">
        <f>SUM(K1434:O1434)</f>
        <v>13</v>
      </c>
      <c r="Q1434" s="64">
        <v>2</v>
      </c>
      <c r="R1434" s="63"/>
      <c r="S1434" s="10"/>
      <c r="T1434" s="10"/>
      <c r="U1434" s="151"/>
      <c r="V1434" s="77"/>
      <c r="W1434" s="77"/>
      <c r="X1434" s="77"/>
    </row>
    <row r="1435" spans="2:24">
      <c r="B1435" s="11"/>
      <c r="C1435" s="10"/>
      <c r="D1435" s="63"/>
      <c r="E1435" s="18" t="s">
        <v>697</v>
      </c>
      <c r="F1435" s="38">
        <f>I1484</f>
        <v>21498.32</v>
      </c>
      <c r="G1435" s="39" t="s">
        <v>40</v>
      </c>
      <c r="H1435" s="62"/>
      <c r="I1435" s="35" t="s">
        <v>698</v>
      </c>
      <c r="J1435" s="10" t="s">
        <v>46</v>
      </c>
      <c r="K1435" s="31">
        <f t="shared" ref="K1435:Q1435" si="301">K1433/(K1433+K1434)</f>
        <v>0.5</v>
      </c>
      <c r="L1435" s="31">
        <f t="shared" si="301"/>
        <v>0.5714285714285714</v>
      </c>
      <c r="M1435" s="31">
        <f t="shared" si="301"/>
        <v>0.5714285714285714</v>
      </c>
      <c r="N1435" s="31">
        <f t="shared" si="301"/>
        <v>0.83333333333333337</v>
      </c>
      <c r="O1435" s="31">
        <f t="shared" si="301"/>
        <v>0.5714285714285714</v>
      </c>
      <c r="P1435" s="31">
        <f t="shared" si="301"/>
        <v>0.60606060606060608</v>
      </c>
      <c r="Q1435" s="31">
        <f t="shared" si="301"/>
        <v>0.5</v>
      </c>
      <c r="R1435" s="63"/>
      <c r="S1435" s="10"/>
      <c r="T1435" s="10"/>
      <c r="U1435" s="151"/>
      <c r="V1435" s="77"/>
      <c r="W1435" s="77"/>
      <c r="X1435" s="77"/>
    </row>
    <row r="1436" spans="2:24">
      <c r="B1436" s="11"/>
      <c r="C1436" s="10"/>
      <c r="D1436" s="63"/>
      <c r="E1436" s="51" t="s">
        <v>47</v>
      </c>
      <c r="F1436" s="52">
        <f>(F1435-I1481-I1483)*0.05</f>
        <v>125.75750000000004</v>
      </c>
      <c r="G1436" s="53" t="s">
        <v>40</v>
      </c>
      <c r="H1436" s="54">
        <f>F1436/1.12</f>
        <v>112.28348214285717</v>
      </c>
      <c r="I1436" s="754">
        <f>(I1493*0.1/1.12)-(278.59*0.1)</f>
        <v>145.61421428571424</v>
      </c>
      <c r="J1436" s="10" t="s">
        <v>48</v>
      </c>
      <c r="K1436" s="66">
        <f>K1432/K1433</f>
        <v>799.48333333333323</v>
      </c>
      <c r="L1436" s="66">
        <f t="shared" ref="L1436:Q1436" si="302">L1432/L1433</f>
        <v>1908.6975</v>
      </c>
      <c r="M1436" s="66">
        <f t="shared" si="302"/>
        <v>924.38750000000005</v>
      </c>
      <c r="N1436" s="66">
        <f t="shared" si="302"/>
        <v>1495.76</v>
      </c>
      <c r="O1436" s="66">
        <f t="shared" si="302"/>
        <v>1429.5050000000001</v>
      </c>
      <c r="P1436" s="66">
        <f t="shared" si="302"/>
        <v>1346.3805</v>
      </c>
      <c r="Q1436" s="66">
        <f t="shared" si="302"/>
        <v>1682.1</v>
      </c>
      <c r="R1436" s="63"/>
      <c r="S1436" s="10"/>
      <c r="T1436" s="10"/>
      <c r="U1436" s="151"/>
      <c r="V1436" s="77"/>
      <c r="W1436" s="77"/>
      <c r="X1436" s="77"/>
    </row>
    <row r="1437" spans="2:24">
      <c r="B1437" s="132"/>
      <c r="C1437" s="123"/>
      <c r="D1437" s="127"/>
      <c r="E1437" s="18" t="s">
        <v>699</v>
      </c>
      <c r="F1437" s="38">
        <f>I1490</f>
        <v>28856.97</v>
      </c>
      <c r="G1437" s="39" t="s">
        <v>40</v>
      </c>
      <c r="H1437" s="62"/>
      <c r="I1437" s="123"/>
      <c r="J1437" s="123"/>
      <c r="K1437" s="123"/>
      <c r="L1437" s="123"/>
      <c r="M1437" s="123"/>
      <c r="N1437" s="123"/>
      <c r="O1437" s="123"/>
      <c r="P1437" s="123"/>
      <c r="Q1437" s="123"/>
      <c r="R1437" s="123"/>
      <c r="S1437" s="123"/>
      <c r="T1437" s="123"/>
      <c r="U1437" s="157"/>
      <c r="V1437" s="123"/>
      <c r="W1437" s="123"/>
      <c r="X1437" s="123"/>
    </row>
    <row r="1438" spans="2:24">
      <c r="B1438" s="132"/>
      <c r="C1438" s="123"/>
      <c r="D1438" s="127"/>
      <c r="E1438" s="731" t="s">
        <v>47</v>
      </c>
      <c r="F1438" s="732">
        <f>(F1437+F1442+F1443+F1445)*0.05</f>
        <v>1414.6465000000003</v>
      </c>
      <c r="G1438" s="65" t="s">
        <v>40</v>
      </c>
      <c r="H1438" s="54">
        <f>F1438/1.12</f>
        <v>1263.0772321428574</v>
      </c>
      <c r="I1438" s="123"/>
      <c r="J1438" s="42"/>
      <c r="K1438" s="764" t="s">
        <v>50</v>
      </c>
      <c r="L1438" s="765"/>
      <c r="M1438" s="765"/>
      <c r="N1438" s="765"/>
      <c r="O1438" s="765"/>
      <c r="P1438" s="765"/>
      <c r="Q1438" s="766"/>
      <c r="R1438" s="70" t="s">
        <v>28</v>
      </c>
      <c r="S1438" s="71" t="s">
        <v>29</v>
      </c>
      <c r="T1438" s="123"/>
      <c r="U1438" s="157"/>
      <c r="V1438" s="123"/>
      <c r="W1438" s="123"/>
      <c r="X1438" s="123"/>
    </row>
    <row r="1439" spans="2:24">
      <c r="B1439" s="132"/>
      <c r="C1439" s="123"/>
      <c r="D1439" s="127"/>
      <c r="E1439" s="158" t="s">
        <v>14</v>
      </c>
      <c r="F1439" s="733">
        <f>5*50</f>
        <v>250</v>
      </c>
      <c r="G1439" s="123"/>
      <c r="H1439" s="54">
        <f>F1439/1.12</f>
        <v>223.21428571428569</v>
      </c>
      <c r="I1439" s="123"/>
      <c r="J1439" s="42"/>
      <c r="K1439" s="20" t="s">
        <v>31</v>
      </c>
      <c r="L1439" s="21" t="s">
        <v>32</v>
      </c>
      <c r="M1439" s="21" t="s">
        <v>33</v>
      </c>
      <c r="N1439" s="21" t="s">
        <v>34</v>
      </c>
      <c r="O1439" s="21" t="s">
        <v>35</v>
      </c>
      <c r="P1439" s="21" t="s">
        <v>36</v>
      </c>
      <c r="Q1439" s="49" t="s">
        <v>37</v>
      </c>
      <c r="R1439" s="50" t="s">
        <v>38</v>
      </c>
      <c r="S1439" s="50" t="s">
        <v>38</v>
      </c>
      <c r="T1439" s="123"/>
      <c r="U1439" s="157"/>
      <c r="V1439" s="123"/>
      <c r="W1439" s="123"/>
      <c r="X1439" s="123"/>
    </row>
    <row r="1440" spans="2:24">
      <c r="B1440" s="132"/>
      <c r="C1440" s="123"/>
      <c r="D1440" s="127"/>
      <c r="E1440" s="158" t="s">
        <v>49</v>
      </c>
      <c r="F1440" s="159">
        <f>T1429</f>
        <v>0</v>
      </c>
      <c r="G1440" s="123"/>
      <c r="H1440" s="54"/>
      <c r="I1440" s="123"/>
      <c r="J1440" s="42"/>
      <c r="K1440" s="56">
        <f>F1453+F1454+F1455</f>
        <v>2523</v>
      </c>
      <c r="L1440" s="57">
        <f>F1456+F1457+F1458+F1459</f>
        <v>9637.5</v>
      </c>
      <c r="M1440" s="57">
        <f>F1460+F1461+F1462+F1463</f>
        <v>3904</v>
      </c>
      <c r="N1440" s="57">
        <f>F1464+F1465+F1466+F1467+F1468</f>
        <v>11188</v>
      </c>
      <c r="O1440" s="57">
        <f>F1469+F1470+F1471+F1472+F1518</f>
        <v>7287.8</v>
      </c>
      <c r="P1440" s="57">
        <f>SUM(K1440:O1440)</f>
        <v>34540.300000000003</v>
      </c>
      <c r="Q1440" s="58">
        <f>F1477+F1493</f>
        <v>3993.6</v>
      </c>
      <c r="R1440" s="59">
        <f>0</f>
        <v>0</v>
      </c>
      <c r="S1440" s="59">
        <f>F1494</f>
        <v>2532.6</v>
      </c>
      <c r="T1440" s="123"/>
      <c r="U1440" s="157"/>
      <c r="V1440" s="123"/>
      <c r="W1440" s="123"/>
      <c r="X1440" s="123"/>
    </row>
    <row r="1441" spans="2:24">
      <c r="B1441" s="132"/>
      <c r="C1441" s="123"/>
      <c r="D1441" s="127"/>
      <c r="E1441" s="155" t="s">
        <v>700</v>
      </c>
      <c r="F1441" s="156">
        <f>$F$1345</f>
        <v>2378.7150000000001</v>
      </c>
      <c r="G1441" s="123"/>
      <c r="H1441" s="54">
        <f>F1441/1.12</f>
        <v>2123.8526785714284</v>
      </c>
      <c r="I1441" s="123"/>
      <c r="J1441" s="10" t="s">
        <v>42</v>
      </c>
      <c r="K1441" s="63">
        <f t="shared" ref="K1441:Q1442" si="303">K1433</f>
        <v>3</v>
      </c>
      <c r="L1441" s="63">
        <f t="shared" si="303"/>
        <v>4</v>
      </c>
      <c r="M1441" s="63">
        <f t="shared" si="303"/>
        <v>4</v>
      </c>
      <c r="N1441" s="63">
        <f t="shared" si="303"/>
        <v>5</v>
      </c>
      <c r="O1441" s="63">
        <f t="shared" si="303"/>
        <v>4</v>
      </c>
      <c r="P1441" s="63">
        <f t="shared" si="303"/>
        <v>20</v>
      </c>
      <c r="Q1441" s="63">
        <f t="shared" si="303"/>
        <v>2</v>
      </c>
      <c r="R1441" s="63"/>
      <c r="S1441" s="10"/>
      <c r="T1441" s="123"/>
      <c r="U1441" s="157"/>
      <c r="V1441" s="123"/>
      <c r="W1441" s="123"/>
      <c r="X1441" s="123"/>
    </row>
    <row r="1442" spans="2:24">
      <c r="B1442" s="132"/>
      <c r="C1442" s="123"/>
      <c r="D1442" s="757">
        <v>0.1</v>
      </c>
      <c r="E1442" s="72" t="s">
        <v>701</v>
      </c>
      <c r="F1442" s="73">
        <v>-255.78</v>
      </c>
      <c r="G1442" s="123"/>
      <c r="H1442" s="54"/>
      <c r="I1442" s="123"/>
      <c r="J1442" s="10" t="s">
        <v>44</v>
      </c>
      <c r="K1442" s="63">
        <f t="shared" si="303"/>
        <v>3</v>
      </c>
      <c r="L1442" s="63">
        <f t="shared" si="303"/>
        <v>3</v>
      </c>
      <c r="M1442" s="63">
        <f t="shared" si="303"/>
        <v>3</v>
      </c>
      <c r="N1442" s="63">
        <f t="shared" si="303"/>
        <v>1</v>
      </c>
      <c r="O1442" s="63">
        <f t="shared" si="303"/>
        <v>3</v>
      </c>
      <c r="P1442" s="63">
        <f t="shared" si="303"/>
        <v>13</v>
      </c>
      <c r="Q1442" s="63">
        <f t="shared" si="303"/>
        <v>2</v>
      </c>
      <c r="R1442" s="63"/>
      <c r="S1442" s="10"/>
      <c r="T1442" s="123"/>
      <c r="U1442" s="157"/>
      <c r="V1442" s="123"/>
      <c r="W1442" s="123"/>
      <c r="X1442" s="123"/>
    </row>
    <row r="1443" spans="2:24">
      <c r="B1443" s="132"/>
      <c r="C1443" s="123"/>
      <c r="D1443" s="757">
        <v>0.1</v>
      </c>
      <c r="E1443" s="72" t="s">
        <v>702</v>
      </c>
      <c r="F1443" s="73">
        <v>-29.67</v>
      </c>
      <c r="G1443" s="123"/>
      <c r="H1443" s="54"/>
      <c r="I1443" s="123"/>
      <c r="J1443" s="10" t="s">
        <v>46</v>
      </c>
      <c r="K1443" s="31">
        <f t="shared" ref="K1443:Q1443" si="304">K1441/(K1441+K1442)</f>
        <v>0.5</v>
      </c>
      <c r="L1443" s="31">
        <f t="shared" si="304"/>
        <v>0.5714285714285714</v>
      </c>
      <c r="M1443" s="31">
        <f t="shared" si="304"/>
        <v>0.5714285714285714</v>
      </c>
      <c r="N1443" s="31">
        <f t="shared" si="304"/>
        <v>0.83333333333333337</v>
      </c>
      <c r="O1443" s="31">
        <f t="shared" si="304"/>
        <v>0.5714285714285714</v>
      </c>
      <c r="P1443" s="31">
        <f t="shared" si="304"/>
        <v>0.60606060606060608</v>
      </c>
      <c r="Q1443" s="31">
        <f t="shared" si="304"/>
        <v>0.5</v>
      </c>
      <c r="R1443" s="63"/>
      <c r="S1443" s="10"/>
      <c r="T1443" s="123"/>
      <c r="U1443" s="157"/>
      <c r="V1443" s="123"/>
      <c r="W1443" s="123"/>
      <c r="X1443" s="123"/>
    </row>
    <row r="1444" spans="2:24">
      <c r="B1444" s="132"/>
      <c r="C1444" s="123"/>
      <c r="D1444" s="77"/>
      <c r="E1444" s="528" t="s">
        <v>703</v>
      </c>
      <c r="F1444" s="402">
        <v>7.89</v>
      </c>
      <c r="G1444" s="123"/>
      <c r="H1444" s="54"/>
      <c r="I1444" s="123"/>
      <c r="J1444" s="10" t="s">
        <v>48</v>
      </c>
      <c r="K1444" s="66">
        <f t="shared" ref="K1444:Q1444" si="305">K1440/K1441</f>
        <v>841</v>
      </c>
      <c r="L1444" s="66">
        <f t="shared" si="305"/>
        <v>2409.375</v>
      </c>
      <c r="M1444" s="66">
        <f t="shared" si="305"/>
        <v>976</v>
      </c>
      <c r="N1444" s="66">
        <f t="shared" si="305"/>
        <v>2237.6</v>
      </c>
      <c r="O1444" s="66">
        <f t="shared" si="305"/>
        <v>1821.95</v>
      </c>
      <c r="P1444" s="66">
        <f t="shared" si="305"/>
        <v>1727.0150000000001</v>
      </c>
      <c r="Q1444" s="66">
        <f t="shared" si="305"/>
        <v>1996.8</v>
      </c>
      <c r="R1444" s="63"/>
      <c r="S1444" s="10"/>
      <c r="T1444" s="123"/>
      <c r="U1444" s="157"/>
      <c r="V1444" s="123"/>
      <c r="W1444" s="123"/>
      <c r="X1444" s="123"/>
    </row>
    <row r="1445" spans="2:24">
      <c r="B1445" s="132"/>
      <c r="C1445" s="123"/>
      <c r="D1445" s="757">
        <v>0.1</v>
      </c>
      <c r="E1445" s="74" t="s">
        <v>704</v>
      </c>
      <c r="F1445" s="514">
        <f>-278.59</f>
        <v>-278.58999999999997</v>
      </c>
      <c r="G1445" s="123"/>
      <c r="H1445" s="54"/>
      <c r="I1445" s="123"/>
      <c r="J1445" s="10"/>
      <c r="K1445" s="66"/>
      <c r="L1445" s="66"/>
      <c r="M1445" s="66"/>
      <c r="N1445" s="66"/>
      <c r="O1445" s="66"/>
      <c r="P1445" s="66"/>
      <c r="Q1445" s="66"/>
      <c r="R1445" s="63"/>
      <c r="S1445" s="10"/>
      <c r="T1445" s="123"/>
      <c r="U1445" s="157"/>
      <c r="V1445" s="123"/>
      <c r="W1445" s="123"/>
      <c r="X1445" s="123"/>
    </row>
    <row r="1446" spans="2:24">
      <c r="B1446" s="132"/>
      <c r="C1446" s="123"/>
      <c r="D1446" s="127"/>
      <c r="E1446" s="12"/>
      <c r="F1446" s="12"/>
      <c r="G1446" s="123"/>
      <c r="H1446" s="54"/>
      <c r="I1446" s="123"/>
      <c r="J1446" s="123"/>
      <c r="K1446" s="123"/>
      <c r="L1446" s="123"/>
      <c r="M1446" s="123"/>
      <c r="N1446" s="123"/>
      <c r="O1446" s="123"/>
      <c r="P1446" s="123"/>
      <c r="Q1446" s="123"/>
      <c r="R1446" s="123"/>
      <c r="S1446" s="123"/>
      <c r="T1446" s="123"/>
      <c r="U1446" s="157"/>
      <c r="V1446" s="123"/>
      <c r="W1446" s="123"/>
      <c r="X1446" s="123"/>
    </row>
    <row r="1447" spans="2:24">
      <c r="B1447" s="132"/>
      <c r="C1447" s="123"/>
      <c r="D1447" s="127"/>
      <c r="E1447" s="10"/>
      <c r="F1447" s="10"/>
      <c r="G1447" s="123"/>
      <c r="H1447" s="54"/>
      <c r="I1447" s="123"/>
      <c r="J1447" s="123"/>
      <c r="K1447" s="123"/>
      <c r="L1447" s="123"/>
      <c r="M1447" s="123"/>
      <c r="N1447" s="123"/>
      <c r="O1447" s="123"/>
      <c r="P1447" s="123"/>
      <c r="Q1447" s="123"/>
      <c r="R1447" s="123"/>
      <c r="S1447" s="123"/>
      <c r="T1447" s="123"/>
      <c r="U1447" s="157"/>
      <c r="V1447" s="123"/>
      <c r="W1447" s="123"/>
      <c r="X1447" s="123"/>
    </row>
    <row r="1448" spans="2:24">
      <c r="B1448" s="11"/>
      <c r="C1448" s="10"/>
      <c r="D1448" s="63"/>
      <c r="E1448" s="12"/>
      <c r="F1448" s="12"/>
      <c r="G1448" s="10"/>
      <c r="H1448" s="10"/>
      <c r="I1448" s="10"/>
      <c r="J1448" s="10"/>
      <c r="K1448" s="10"/>
      <c r="L1448" s="10"/>
      <c r="M1448" s="10"/>
      <c r="N1448" s="10"/>
      <c r="O1448" s="10"/>
      <c r="P1448" s="10"/>
      <c r="Q1448" s="10"/>
      <c r="R1448" s="10"/>
      <c r="S1448" s="10"/>
      <c r="T1448" s="10"/>
      <c r="U1448" s="151"/>
      <c r="V1448" s="77"/>
      <c r="W1448" s="77"/>
      <c r="X1448" s="77"/>
    </row>
    <row r="1449" spans="2:24">
      <c r="B1449" s="11"/>
      <c r="C1449" s="10"/>
      <c r="D1449" s="63"/>
      <c r="E1449" s="10"/>
      <c r="F1449" s="10"/>
      <c r="G1449" s="10"/>
      <c r="H1449" s="10"/>
      <c r="I1449" s="10"/>
      <c r="J1449" s="10"/>
      <c r="K1449" s="10"/>
      <c r="L1449" s="10"/>
      <c r="M1449" s="10"/>
      <c r="N1449" s="10"/>
      <c r="O1449" s="10"/>
      <c r="P1449" s="10"/>
      <c r="Q1449" s="10"/>
      <c r="R1449" s="10"/>
      <c r="S1449" s="10"/>
      <c r="T1449" s="10"/>
      <c r="U1449" s="151"/>
      <c r="V1449" s="77"/>
      <c r="W1449" s="77"/>
      <c r="X1449" s="77"/>
    </row>
    <row r="1450" spans="2:24">
      <c r="B1450" s="18" t="s">
        <v>51</v>
      </c>
      <c r="C1450" s="14"/>
      <c r="D1450" s="14"/>
      <c r="E1450" s="14"/>
      <c r="F1450" s="13" t="s">
        <v>52</v>
      </c>
      <c r="G1450" s="14"/>
      <c r="H1450" s="14"/>
      <c r="I1450" s="14"/>
      <c r="J1450" s="14"/>
      <c r="K1450" s="13" t="s">
        <v>3</v>
      </c>
      <c r="L1450" s="14"/>
      <c r="M1450" s="14"/>
      <c r="N1450" s="13" t="s">
        <v>4</v>
      </c>
      <c r="O1450" s="14"/>
      <c r="P1450" s="14"/>
      <c r="Q1450" s="13" t="s">
        <v>5</v>
      </c>
      <c r="R1450" s="14"/>
      <c r="S1450" s="14"/>
      <c r="T1450" s="18"/>
      <c r="U1450" s="161" t="s">
        <v>53</v>
      </c>
      <c r="V1450" s="77"/>
      <c r="W1450" s="77"/>
      <c r="X1450" s="77"/>
    </row>
    <row r="1451" spans="2:24">
      <c r="B1451" s="24" t="s">
        <v>54</v>
      </c>
      <c r="C1451" s="21" t="s">
        <v>55</v>
      </c>
      <c r="D1451" s="21" t="s">
        <v>56</v>
      </c>
      <c r="E1451" s="21" t="s">
        <v>57</v>
      </c>
      <c r="F1451" s="20" t="s">
        <v>58</v>
      </c>
      <c r="G1451" s="21" t="s">
        <v>59</v>
      </c>
      <c r="H1451" s="21" t="s">
        <v>60</v>
      </c>
      <c r="I1451" s="21" t="s">
        <v>26</v>
      </c>
      <c r="J1451" s="22" t="s">
        <v>61</v>
      </c>
      <c r="K1451" s="21" t="s">
        <v>8</v>
      </c>
      <c r="L1451" s="21" t="s">
        <v>9</v>
      </c>
      <c r="M1451" s="21" t="s">
        <v>10</v>
      </c>
      <c r="N1451" s="20" t="s">
        <v>11</v>
      </c>
      <c r="O1451" s="21" t="s">
        <v>12</v>
      </c>
      <c r="P1451" s="22" t="s">
        <v>13</v>
      </c>
      <c r="Q1451" s="21" t="s">
        <v>11</v>
      </c>
      <c r="R1451" s="21" t="s">
        <v>12</v>
      </c>
      <c r="S1451" s="21" t="s">
        <v>13</v>
      </c>
      <c r="T1451" s="78" t="s">
        <v>14</v>
      </c>
      <c r="U1451" s="162"/>
      <c r="V1451" s="79" t="s">
        <v>62</v>
      </c>
      <c r="W1451" s="80" t="s">
        <v>63</v>
      </c>
      <c r="X1451" s="81" t="s">
        <v>64</v>
      </c>
    </row>
    <row r="1452" spans="2:24">
      <c r="B1452" s="4" t="s">
        <v>65</v>
      </c>
      <c r="C1452" s="6"/>
      <c r="D1452" s="6"/>
      <c r="E1452" s="6"/>
      <c r="F1452" s="6"/>
      <c r="G1452" s="6"/>
      <c r="H1452" s="6"/>
      <c r="I1452" s="82"/>
      <c r="J1452" s="6"/>
      <c r="K1452" s="6"/>
      <c r="L1452" s="6"/>
      <c r="M1452" s="6"/>
      <c r="N1452" s="6"/>
      <c r="O1452" s="6"/>
      <c r="P1452" s="6"/>
      <c r="Q1452" s="6"/>
      <c r="R1452" s="6"/>
      <c r="S1452" s="6"/>
      <c r="T1452" s="83"/>
      <c r="U1452" s="163"/>
      <c r="V1452" s="84"/>
      <c r="W1452" s="85"/>
      <c r="X1452" s="86"/>
    </row>
    <row r="1453" spans="2:24">
      <c r="B1453" s="87">
        <v>1</v>
      </c>
      <c r="C1453" s="274">
        <v>45950</v>
      </c>
      <c r="D1453" s="276">
        <v>74604</v>
      </c>
      <c r="E1453" s="276" t="s">
        <v>428</v>
      </c>
      <c r="F1453" s="277">
        <v>681</v>
      </c>
      <c r="G1453" s="277"/>
      <c r="H1453" s="297"/>
      <c r="I1453" s="278">
        <f>F1453-G1453-H1453</f>
        <v>681</v>
      </c>
      <c r="J1453" s="279" t="s">
        <v>156</v>
      </c>
      <c r="K1453" s="279">
        <v>1</v>
      </c>
      <c r="L1453" s="279">
        <v>1</v>
      </c>
      <c r="M1453" s="279">
        <v>1</v>
      </c>
      <c r="N1453" s="279">
        <v>1</v>
      </c>
      <c r="O1453" s="279">
        <v>1</v>
      </c>
      <c r="P1453" s="279">
        <v>1</v>
      </c>
      <c r="Q1453" s="279">
        <v>1</v>
      </c>
      <c r="R1453" s="279">
        <v>1</v>
      </c>
      <c r="S1453" s="280">
        <v>1</v>
      </c>
      <c r="T1453" s="63"/>
      <c r="U1453" s="94"/>
      <c r="V1453" s="90">
        <f>74.91+674.19</f>
        <v>749.1</v>
      </c>
      <c r="W1453" s="91"/>
      <c r="X1453" s="92"/>
    </row>
    <row r="1454" spans="2:24">
      <c r="B1454" s="87">
        <f t="shared" ref="B1454:B1467" si="306">B1453+1</f>
        <v>2</v>
      </c>
      <c r="C1454" s="295">
        <v>45950</v>
      </c>
      <c r="D1454" s="10">
        <v>74521</v>
      </c>
      <c r="E1454" s="10" t="s">
        <v>349</v>
      </c>
      <c r="F1454" s="62">
        <v>581</v>
      </c>
      <c r="G1454" s="62"/>
      <c r="H1454" s="62"/>
      <c r="I1454" s="369">
        <f t="shared" ref="I1454:I1472" si="307">F1454-G1454-H1454</f>
        <v>581</v>
      </c>
      <c r="J1454" s="63" t="s">
        <v>156</v>
      </c>
      <c r="K1454" s="63">
        <v>1</v>
      </c>
      <c r="L1454" s="325">
        <v>0</v>
      </c>
      <c r="M1454" s="63">
        <v>1</v>
      </c>
      <c r="N1454" s="63">
        <v>1</v>
      </c>
      <c r="O1454" s="63">
        <v>1</v>
      </c>
      <c r="P1454" s="63">
        <v>1</v>
      </c>
      <c r="Q1454" s="63">
        <v>1</v>
      </c>
      <c r="R1454" s="63">
        <v>1</v>
      </c>
      <c r="S1454" s="296">
        <v>1</v>
      </c>
      <c r="T1454" s="21">
        <v>1</v>
      </c>
      <c r="U1454" s="94"/>
      <c r="V1454" s="90">
        <f>64+575.1</f>
        <v>639.1</v>
      </c>
      <c r="W1454" s="91"/>
      <c r="X1454" s="92"/>
    </row>
    <row r="1455" spans="2:24">
      <c r="B1455" s="87">
        <f t="shared" si="306"/>
        <v>3</v>
      </c>
      <c r="C1455" s="295">
        <v>45950</v>
      </c>
      <c r="D1455" s="3">
        <v>74547</v>
      </c>
      <c r="E1455" s="10" t="s">
        <v>513</v>
      </c>
      <c r="F1455" s="62">
        <v>1261</v>
      </c>
      <c r="G1455" s="62">
        <f>39.7+(84.85)</f>
        <v>124.55</v>
      </c>
      <c r="H1455" s="62"/>
      <c r="I1455" s="89">
        <f t="shared" si="307"/>
        <v>1136.45</v>
      </c>
      <c r="J1455" s="63" t="s">
        <v>156</v>
      </c>
      <c r="K1455" s="63">
        <v>1</v>
      </c>
      <c r="L1455" s="63">
        <v>1</v>
      </c>
      <c r="M1455" s="63">
        <v>1</v>
      </c>
      <c r="N1455" s="63">
        <v>1</v>
      </c>
      <c r="O1455" s="63">
        <v>1</v>
      </c>
      <c r="P1455" s="63">
        <v>1</v>
      </c>
      <c r="Q1455" s="63">
        <v>1</v>
      </c>
      <c r="R1455" s="63">
        <v>1</v>
      </c>
      <c r="S1455" s="296">
        <v>1</v>
      </c>
      <c r="T1455" s="21">
        <v>1</v>
      </c>
      <c r="U1455" s="94"/>
      <c r="V1455" s="90">
        <f>139+1248.1</f>
        <v>1387.1</v>
      </c>
      <c r="W1455" s="91"/>
      <c r="X1455" s="92"/>
    </row>
    <row r="1456" spans="2:24">
      <c r="B1456" s="87">
        <f t="shared" si="306"/>
        <v>4</v>
      </c>
      <c r="C1456" s="274">
        <v>45951</v>
      </c>
      <c r="D1456" s="276">
        <v>74638</v>
      </c>
      <c r="E1456" s="404" t="s">
        <v>507</v>
      </c>
      <c r="F1456" s="277">
        <v>2861</v>
      </c>
      <c r="G1456" s="277">
        <f>39.7+(967.18+173.51)</f>
        <v>1180.3900000000001</v>
      </c>
      <c r="H1456" s="277"/>
      <c r="I1456" s="278">
        <f t="shared" si="307"/>
        <v>1680.61</v>
      </c>
      <c r="J1456" s="279" t="s">
        <v>156</v>
      </c>
      <c r="K1456" s="279">
        <v>1</v>
      </c>
      <c r="L1456" s="279">
        <v>1</v>
      </c>
      <c r="M1456" s="279">
        <v>1</v>
      </c>
      <c r="N1456" s="279">
        <v>1</v>
      </c>
      <c r="O1456" s="279">
        <v>1</v>
      </c>
      <c r="P1456" s="279">
        <v>1</v>
      </c>
      <c r="Q1456" s="279">
        <v>1</v>
      </c>
      <c r="R1456" s="279">
        <v>1</v>
      </c>
      <c r="S1456" s="280">
        <v>1</v>
      </c>
      <c r="T1456" s="21">
        <v>1</v>
      </c>
      <c r="U1456" s="94"/>
      <c r="V1456" s="90">
        <f>314.71+2832.39</f>
        <v>3147.1</v>
      </c>
      <c r="W1456" s="91"/>
      <c r="X1456" s="92"/>
    </row>
    <row r="1457" spans="1:24">
      <c r="B1457" s="87">
        <f t="shared" si="306"/>
        <v>5</v>
      </c>
      <c r="C1457" s="295">
        <v>45951</v>
      </c>
      <c r="D1457" s="10">
        <v>74653</v>
      </c>
      <c r="E1457" s="10" t="s">
        <v>507</v>
      </c>
      <c r="F1457" s="62">
        <v>1134.9000000000001</v>
      </c>
      <c r="G1457" s="62">
        <f>39.7</f>
        <v>39.700000000000003</v>
      </c>
      <c r="H1457" s="62"/>
      <c r="I1457" s="369">
        <f t="shared" si="307"/>
        <v>1095.2</v>
      </c>
      <c r="J1457" s="63" t="s">
        <v>156</v>
      </c>
      <c r="K1457" s="63">
        <v>1</v>
      </c>
      <c r="L1457" s="63">
        <v>1</v>
      </c>
      <c r="M1457" s="63">
        <v>1</v>
      </c>
      <c r="N1457" s="63">
        <v>1</v>
      </c>
      <c r="O1457" s="63">
        <v>1</v>
      </c>
      <c r="P1457" s="63">
        <v>1</v>
      </c>
      <c r="Q1457" s="63">
        <v>1</v>
      </c>
      <c r="R1457" s="63">
        <v>1</v>
      </c>
      <c r="S1457" s="326">
        <v>0</v>
      </c>
      <c r="T1457" s="63"/>
      <c r="U1457" s="94"/>
      <c r="V1457" s="90">
        <f>124.84+1123.55</f>
        <v>1248.3899999999999</v>
      </c>
      <c r="W1457" s="91"/>
      <c r="X1457" s="92"/>
    </row>
    <row r="1458" spans="1:24">
      <c r="B1458" s="87">
        <f t="shared" si="306"/>
        <v>6</v>
      </c>
      <c r="C1458" s="295">
        <v>45951</v>
      </c>
      <c r="D1458" s="10" t="s">
        <v>705</v>
      </c>
      <c r="E1458" s="10" t="s">
        <v>507</v>
      </c>
      <c r="F1458" s="62">
        <v>2532.6</v>
      </c>
      <c r="G1458" s="62">
        <f>39.7+(168.63)</f>
        <v>208.32999999999998</v>
      </c>
      <c r="H1458" s="88"/>
      <c r="I1458" s="89">
        <f t="shared" si="307"/>
        <v>2324.27</v>
      </c>
      <c r="J1458" s="63" t="s">
        <v>156</v>
      </c>
      <c r="K1458" s="63">
        <v>1</v>
      </c>
      <c r="L1458" s="63">
        <v>1</v>
      </c>
      <c r="M1458" s="63">
        <v>1</v>
      </c>
      <c r="N1458" s="63">
        <v>1</v>
      </c>
      <c r="O1458" s="63">
        <v>1</v>
      </c>
      <c r="P1458" s="63">
        <v>1</v>
      </c>
      <c r="Q1458" s="63">
        <v>1</v>
      </c>
      <c r="R1458" s="63">
        <v>1</v>
      </c>
      <c r="S1458" s="296">
        <v>1</v>
      </c>
      <c r="T1458" s="63"/>
      <c r="U1458" s="94"/>
      <c r="V1458" s="90">
        <f>2785.86</f>
        <v>2785.86</v>
      </c>
      <c r="W1458" s="91"/>
      <c r="X1458" s="92"/>
    </row>
    <row r="1459" spans="1:24">
      <c r="B1459" s="87">
        <f>B1458+1</f>
        <v>7</v>
      </c>
      <c r="C1459" s="282">
        <v>45951</v>
      </c>
      <c r="D1459" s="283">
        <v>74688</v>
      </c>
      <c r="E1459" s="283" t="s">
        <v>706</v>
      </c>
      <c r="F1459" s="284">
        <f>3194-85</f>
        <v>3109</v>
      </c>
      <c r="G1459" s="284">
        <f>39.7+(9.41)+(45.89+179.29)+300</f>
        <v>574.29</v>
      </c>
      <c r="H1459" s="284"/>
      <c r="I1459" s="285">
        <f>F1459-G1459-H1459</f>
        <v>2534.71</v>
      </c>
      <c r="J1459" s="286" t="s">
        <v>156</v>
      </c>
      <c r="K1459" s="286">
        <v>1</v>
      </c>
      <c r="L1459" s="286">
        <v>1</v>
      </c>
      <c r="M1459" s="286">
        <v>1</v>
      </c>
      <c r="N1459" s="286">
        <v>1</v>
      </c>
      <c r="O1459" s="286">
        <v>1</v>
      </c>
      <c r="P1459" s="286">
        <v>1</v>
      </c>
      <c r="Q1459" s="286">
        <v>1</v>
      </c>
      <c r="R1459" s="286">
        <v>1</v>
      </c>
      <c r="S1459" s="287">
        <v>1</v>
      </c>
      <c r="T1459" s="63"/>
      <c r="U1459" s="94" t="s">
        <v>707</v>
      </c>
      <c r="V1459" s="90">
        <f>93.5+341.99+1428+1649.91</f>
        <v>3513.4</v>
      </c>
      <c r="W1459" s="91"/>
      <c r="X1459" s="92"/>
    </row>
    <row r="1460" spans="1:24">
      <c r="B1460" s="87">
        <f>B1459+1</f>
        <v>8</v>
      </c>
      <c r="C1460" s="295">
        <v>45952</v>
      </c>
      <c r="D1460" s="10">
        <v>74702</v>
      </c>
      <c r="E1460" s="10" t="s">
        <v>523</v>
      </c>
      <c r="F1460" s="62">
        <v>681</v>
      </c>
      <c r="G1460" s="62"/>
      <c r="H1460" s="88"/>
      <c r="I1460" s="89">
        <f>F1460-G1460-H1460</f>
        <v>681</v>
      </c>
      <c r="J1460" s="63" t="s">
        <v>236</v>
      </c>
      <c r="K1460" s="63">
        <v>1</v>
      </c>
      <c r="L1460" s="63">
        <v>1</v>
      </c>
      <c r="M1460" s="63">
        <v>1</v>
      </c>
      <c r="N1460" s="63">
        <v>1</v>
      </c>
      <c r="O1460" s="63">
        <v>1</v>
      </c>
      <c r="P1460" s="63">
        <v>1</v>
      </c>
      <c r="Q1460" s="63">
        <v>1</v>
      </c>
      <c r="R1460" s="63">
        <v>1</v>
      </c>
      <c r="S1460" s="296">
        <v>1</v>
      </c>
      <c r="T1460" s="63"/>
      <c r="U1460" s="94"/>
      <c r="V1460" s="90">
        <v>669.1</v>
      </c>
      <c r="W1460" s="440">
        <v>80</v>
      </c>
      <c r="X1460" s="92"/>
    </row>
    <row r="1461" spans="1:24">
      <c r="B1461" s="87">
        <f t="shared" si="306"/>
        <v>9</v>
      </c>
      <c r="C1461" s="295">
        <v>45952</v>
      </c>
      <c r="D1461" s="10">
        <v>74661</v>
      </c>
      <c r="E1461" s="10" t="s">
        <v>225</v>
      </c>
      <c r="F1461" s="62">
        <v>1681</v>
      </c>
      <c r="G1461" s="62">
        <f>39.7+(127.05)</f>
        <v>166.75</v>
      </c>
      <c r="H1461" s="88"/>
      <c r="I1461" s="89">
        <f>F1461-G1461-H1461</f>
        <v>1514.25</v>
      </c>
      <c r="J1461" s="63" t="s">
        <v>156</v>
      </c>
      <c r="K1461" s="63">
        <v>1</v>
      </c>
      <c r="L1461" s="63">
        <v>1</v>
      </c>
      <c r="M1461" s="63">
        <v>1</v>
      </c>
      <c r="N1461" s="63">
        <v>1</v>
      </c>
      <c r="O1461" s="63">
        <v>1</v>
      </c>
      <c r="P1461" s="63">
        <v>1</v>
      </c>
      <c r="Q1461" s="63">
        <v>1</v>
      </c>
      <c r="R1461" s="63">
        <v>1</v>
      </c>
      <c r="S1461" s="296">
        <v>1</v>
      </c>
      <c r="T1461" s="63"/>
      <c r="U1461" s="94"/>
      <c r="V1461" s="90">
        <f>184.91+1664.19</f>
        <v>1849.1000000000001</v>
      </c>
      <c r="W1461" s="91"/>
      <c r="X1461" s="92"/>
    </row>
    <row r="1462" spans="1:24">
      <c r="B1462" s="87">
        <f t="shared" si="306"/>
        <v>10</v>
      </c>
      <c r="C1462" s="295">
        <v>45952</v>
      </c>
      <c r="D1462" s="77" t="s">
        <v>708</v>
      </c>
      <c r="E1462" s="10" t="s">
        <v>158</v>
      </c>
      <c r="F1462" s="62">
        <v>681</v>
      </c>
      <c r="G1462" s="62"/>
      <c r="H1462" s="88"/>
      <c r="I1462" s="369">
        <f>F1462-G1462-H1462</f>
        <v>681</v>
      </c>
      <c r="J1462" s="63" t="s">
        <v>156</v>
      </c>
      <c r="K1462" s="63">
        <v>1</v>
      </c>
      <c r="L1462" s="63">
        <v>1</v>
      </c>
      <c r="M1462" s="325">
        <v>0</v>
      </c>
      <c r="N1462" s="63">
        <v>1</v>
      </c>
      <c r="O1462" s="63">
        <v>1</v>
      </c>
      <c r="P1462" s="63">
        <v>1</v>
      </c>
      <c r="Q1462" s="63">
        <v>1</v>
      </c>
      <c r="R1462" s="63">
        <v>1</v>
      </c>
      <c r="S1462" s="296">
        <v>1</v>
      </c>
      <c r="T1462" s="63"/>
      <c r="U1462" s="94"/>
      <c r="V1462" s="90">
        <f>75+674.1</f>
        <v>749.1</v>
      </c>
      <c r="W1462" s="91"/>
      <c r="X1462" s="92"/>
    </row>
    <row r="1463" spans="1:24">
      <c r="B1463" s="87">
        <f t="shared" si="306"/>
        <v>11</v>
      </c>
      <c r="C1463" s="295">
        <v>45952</v>
      </c>
      <c r="D1463" s="77" t="s">
        <v>709</v>
      </c>
      <c r="E1463" s="10" t="s">
        <v>158</v>
      </c>
      <c r="F1463" s="62">
        <v>861</v>
      </c>
      <c r="G1463" s="62">
        <f>39.7</f>
        <v>39.700000000000003</v>
      </c>
      <c r="H1463" s="88"/>
      <c r="I1463" s="369">
        <f>F1463-G1463-H1463</f>
        <v>821.3</v>
      </c>
      <c r="J1463" s="63" t="s">
        <v>156</v>
      </c>
      <c r="K1463" s="63">
        <v>1</v>
      </c>
      <c r="L1463" s="63">
        <v>1</v>
      </c>
      <c r="M1463" s="325">
        <v>0</v>
      </c>
      <c r="N1463" s="63">
        <v>1</v>
      </c>
      <c r="O1463" s="63">
        <v>1</v>
      </c>
      <c r="P1463" s="63">
        <v>1</v>
      </c>
      <c r="Q1463" s="63">
        <v>1</v>
      </c>
      <c r="R1463" s="63">
        <v>1</v>
      </c>
      <c r="S1463" s="296">
        <v>1</v>
      </c>
      <c r="T1463" s="63"/>
      <c r="U1463" s="94"/>
      <c r="V1463" s="90">
        <f>95+947.1</f>
        <v>1042.0999999999999</v>
      </c>
      <c r="W1463" s="91"/>
      <c r="X1463" s="92"/>
    </row>
    <row r="1464" spans="1:24">
      <c r="B1464" s="87">
        <f t="shared" si="306"/>
        <v>12</v>
      </c>
      <c r="C1464" s="274">
        <v>45953</v>
      </c>
      <c r="D1464" s="276">
        <v>74733</v>
      </c>
      <c r="E1464" s="276" t="s">
        <v>643</v>
      </c>
      <c r="F1464" s="447">
        <v>2897</v>
      </c>
      <c r="G1464" s="277">
        <f>39.7+(249.78)</f>
        <v>289.48</v>
      </c>
      <c r="H1464" s="277"/>
      <c r="I1464" s="321">
        <f t="shared" si="307"/>
        <v>2607.52</v>
      </c>
      <c r="J1464" s="279" t="s">
        <v>156</v>
      </c>
      <c r="K1464" s="279">
        <v>1</v>
      </c>
      <c r="L1464" s="279">
        <v>1</v>
      </c>
      <c r="M1464" s="322">
        <v>0</v>
      </c>
      <c r="N1464" s="279">
        <v>1</v>
      </c>
      <c r="O1464" s="279">
        <v>1</v>
      </c>
      <c r="P1464" s="279">
        <v>1</v>
      </c>
      <c r="Q1464" s="279">
        <v>1</v>
      </c>
      <c r="R1464" s="279">
        <v>1</v>
      </c>
      <c r="S1464" s="280">
        <v>1</v>
      </c>
      <c r="T1464" s="21">
        <v>1</v>
      </c>
      <c r="U1464" s="94"/>
      <c r="V1464" s="90">
        <f>318.67+2868.03</f>
        <v>3186.7000000000003</v>
      </c>
      <c r="W1464" s="91"/>
      <c r="X1464" s="92"/>
    </row>
    <row r="1465" spans="1:24">
      <c r="A1465" s="2"/>
      <c r="B1465" s="87">
        <f t="shared" si="306"/>
        <v>13</v>
      </c>
      <c r="C1465" s="295">
        <v>45953</v>
      </c>
      <c r="D1465" s="10">
        <v>74723</v>
      </c>
      <c r="E1465" s="10" t="s">
        <v>271</v>
      </c>
      <c r="F1465" s="95">
        <v>1796</v>
      </c>
      <c r="G1465" s="62">
        <f>39.7+550</f>
        <v>589.70000000000005</v>
      </c>
      <c r="H1465" s="62"/>
      <c r="I1465" s="89">
        <f t="shared" si="307"/>
        <v>1206.3</v>
      </c>
      <c r="J1465" s="63" t="s">
        <v>156</v>
      </c>
      <c r="K1465" s="63">
        <v>1</v>
      </c>
      <c r="L1465" s="63">
        <v>1</v>
      </c>
      <c r="M1465" s="63">
        <v>1</v>
      </c>
      <c r="N1465" s="63">
        <v>1</v>
      </c>
      <c r="O1465" s="63">
        <v>1</v>
      </c>
      <c r="P1465" s="63">
        <v>1</v>
      </c>
      <c r="Q1465" s="63">
        <v>1</v>
      </c>
      <c r="R1465" s="63">
        <v>1</v>
      </c>
      <c r="S1465" s="296">
        <v>1</v>
      </c>
      <c r="T1465" s="63"/>
      <c r="U1465" s="94"/>
      <c r="V1465" s="90">
        <f>119.76+1855.84</f>
        <v>1975.6</v>
      </c>
      <c r="W1465" s="91"/>
      <c r="X1465" s="92"/>
    </row>
    <row r="1466" spans="1:24">
      <c r="B1466" s="87">
        <f t="shared" si="306"/>
        <v>14</v>
      </c>
      <c r="C1466" s="295">
        <v>45953</v>
      </c>
      <c r="D1466" s="10">
        <v>74494</v>
      </c>
      <c r="E1466" s="10" t="s">
        <v>344</v>
      </c>
      <c r="F1466" s="95">
        <v>681</v>
      </c>
      <c r="G1466" s="62"/>
      <c r="H1466" s="62"/>
      <c r="I1466" s="89">
        <f t="shared" si="307"/>
        <v>681</v>
      </c>
      <c r="J1466" s="63" t="s">
        <v>156</v>
      </c>
      <c r="K1466" s="63">
        <v>1</v>
      </c>
      <c r="L1466" s="63">
        <v>1</v>
      </c>
      <c r="M1466" s="63">
        <v>1</v>
      </c>
      <c r="N1466" s="63">
        <v>1</v>
      </c>
      <c r="O1466" s="63">
        <v>1</v>
      </c>
      <c r="P1466" s="63">
        <v>1</v>
      </c>
      <c r="Q1466" s="63">
        <v>1</v>
      </c>
      <c r="R1466" s="63">
        <v>1</v>
      </c>
      <c r="S1466" s="296">
        <v>1</v>
      </c>
      <c r="T1466" s="63"/>
      <c r="U1466" s="94"/>
      <c r="V1466" s="90">
        <f>75+674.1</f>
        <v>749.1</v>
      </c>
      <c r="W1466" s="91"/>
      <c r="X1466" s="92"/>
    </row>
    <row r="1467" spans="1:24">
      <c r="B1467" s="87">
        <f t="shared" si="306"/>
        <v>15</v>
      </c>
      <c r="C1467" s="295">
        <v>45953</v>
      </c>
      <c r="D1467" s="10">
        <v>74805</v>
      </c>
      <c r="E1467" s="10" t="s">
        <v>456</v>
      </c>
      <c r="F1467" s="95">
        <f>866-185</f>
        <v>681</v>
      </c>
      <c r="G1467" s="62"/>
      <c r="H1467" s="62"/>
      <c r="I1467" s="89">
        <f t="shared" si="307"/>
        <v>681</v>
      </c>
      <c r="J1467" s="63" t="s">
        <v>156</v>
      </c>
      <c r="K1467" s="63">
        <v>1</v>
      </c>
      <c r="L1467" s="63">
        <v>1</v>
      </c>
      <c r="M1467" s="63">
        <v>1</v>
      </c>
      <c r="N1467" s="63">
        <v>1</v>
      </c>
      <c r="O1467" s="63">
        <v>1</v>
      </c>
      <c r="P1467" s="63">
        <v>1</v>
      </c>
      <c r="Q1467" s="63">
        <v>1</v>
      </c>
      <c r="R1467" s="63">
        <v>1</v>
      </c>
      <c r="S1467" s="296">
        <v>1</v>
      </c>
      <c r="T1467" s="63"/>
      <c r="U1467" s="94"/>
      <c r="V1467" s="90">
        <f>203.5+75+674.1</f>
        <v>952.6</v>
      </c>
      <c r="W1467" s="91"/>
      <c r="X1467" s="92"/>
    </row>
    <row r="1468" spans="1:24">
      <c r="B1468" s="87">
        <f>B1467+1</f>
        <v>16</v>
      </c>
      <c r="C1468" s="282">
        <v>45953</v>
      </c>
      <c r="D1468" s="283" t="s">
        <v>710</v>
      </c>
      <c r="E1468" s="283" t="s">
        <v>456</v>
      </c>
      <c r="F1468" s="423">
        <v>5133</v>
      </c>
      <c r="G1468" s="284">
        <f>39.7+(1865.47+63.08+611.77)+250</f>
        <v>2830.0199999999995</v>
      </c>
      <c r="H1468" s="284"/>
      <c r="I1468" s="300">
        <f t="shared" ref="I1468" si="308">F1468-G1468-H1468</f>
        <v>2302.9800000000005</v>
      </c>
      <c r="J1468" s="286" t="s">
        <v>156</v>
      </c>
      <c r="K1468" s="286">
        <v>1</v>
      </c>
      <c r="L1468" s="286">
        <v>1</v>
      </c>
      <c r="M1468" s="286">
        <v>1</v>
      </c>
      <c r="N1468" s="286">
        <v>1</v>
      </c>
      <c r="O1468" s="286">
        <v>1</v>
      </c>
      <c r="P1468" s="286">
        <v>1</v>
      </c>
      <c r="Q1468" s="332">
        <v>0</v>
      </c>
      <c r="R1468" s="332">
        <v>0</v>
      </c>
      <c r="S1468" s="370">
        <v>0</v>
      </c>
      <c r="T1468" s="63"/>
      <c r="U1468" s="94" t="s">
        <v>711</v>
      </c>
      <c r="V1468" s="90">
        <f>564.63+4500+581.67</f>
        <v>5646.3</v>
      </c>
      <c r="W1468" s="96"/>
      <c r="X1468" s="92"/>
    </row>
    <row r="1469" spans="1:24">
      <c r="B1469" s="87">
        <f>B1468+1</f>
        <v>17</v>
      </c>
      <c r="C1469" s="295">
        <v>45954</v>
      </c>
      <c r="D1469" s="77" t="s">
        <v>712</v>
      </c>
      <c r="E1469" s="10" t="s">
        <v>218</v>
      </c>
      <c r="F1469" s="95">
        <v>1261</v>
      </c>
      <c r="G1469" s="62">
        <f>39.7</f>
        <v>39.700000000000003</v>
      </c>
      <c r="H1469" s="62"/>
      <c r="I1469" s="89">
        <f t="shared" si="307"/>
        <v>1221.3</v>
      </c>
      <c r="J1469" s="63" t="s">
        <v>156</v>
      </c>
      <c r="K1469" s="63">
        <v>1</v>
      </c>
      <c r="L1469" s="63">
        <v>1</v>
      </c>
      <c r="M1469" s="63">
        <v>1</v>
      </c>
      <c r="N1469" s="63">
        <v>1</v>
      </c>
      <c r="O1469" s="63">
        <v>1</v>
      </c>
      <c r="P1469" s="63">
        <v>1</v>
      </c>
      <c r="Q1469" s="63">
        <v>1</v>
      </c>
      <c r="R1469" s="63">
        <v>1</v>
      </c>
      <c r="S1469" s="296">
        <v>1</v>
      </c>
      <c r="T1469" s="63"/>
      <c r="U1469" s="94"/>
      <c r="V1469" s="90">
        <f>138.82+1248.28</f>
        <v>1387.1</v>
      </c>
      <c r="W1469" s="96"/>
      <c r="X1469" s="92"/>
    </row>
    <row r="1470" spans="1:24">
      <c r="B1470" s="87">
        <f>B1469+1</f>
        <v>18</v>
      </c>
      <c r="C1470" s="295">
        <v>45954</v>
      </c>
      <c r="D1470" s="77" t="s">
        <v>713</v>
      </c>
      <c r="E1470" s="10" t="s">
        <v>218</v>
      </c>
      <c r="F1470" s="95">
        <v>1481</v>
      </c>
      <c r="G1470" s="62">
        <f>39.7+(71.41)</f>
        <v>111.11</v>
      </c>
      <c r="H1470" s="62"/>
      <c r="I1470" s="89">
        <f t="shared" si="307"/>
        <v>1369.89</v>
      </c>
      <c r="J1470" s="63" t="s">
        <v>156</v>
      </c>
      <c r="K1470" s="63">
        <v>1</v>
      </c>
      <c r="L1470" s="63">
        <v>1</v>
      </c>
      <c r="M1470" s="63">
        <v>1</v>
      </c>
      <c r="N1470" s="63">
        <v>1</v>
      </c>
      <c r="O1470" s="63">
        <v>1</v>
      </c>
      <c r="P1470" s="63">
        <v>1</v>
      </c>
      <c r="Q1470" s="63">
        <v>1</v>
      </c>
      <c r="R1470" s="63">
        <v>1</v>
      </c>
      <c r="S1470" s="296">
        <v>1</v>
      </c>
      <c r="T1470" s="63"/>
      <c r="U1470" s="94"/>
      <c r="V1470" s="90">
        <v>1629.1</v>
      </c>
      <c r="W1470" s="96"/>
      <c r="X1470" s="92"/>
    </row>
    <row r="1471" spans="1:24">
      <c r="B1471" s="87">
        <f>B1470+1</f>
        <v>19</v>
      </c>
      <c r="C1471" s="295">
        <v>45954</v>
      </c>
      <c r="D1471" s="77" t="s">
        <v>714</v>
      </c>
      <c r="E1471" s="10" t="s">
        <v>715</v>
      </c>
      <c r="F1471" s="95">
        <v>774.9</v>
      </c>
      <c r="G1471" s="62">
        <f>39.7</f>
        <v>39.700000000000003</v>
      </c>
      <c r="H1471" s="62"/>
      <c r="I1471" s="89">
        <f t="shared" si="307"/>
        <v>735.19999999999993</v>
      </c>
      <c r="J1471" s="63" t="s">
        <v>156</v>
      </c>
      <c r="K1471" s="63">
        <v>1</v>
      </c>
      <c r="L1471" s="63">
        <v>1</v>
      </c>
      <c r="M1471" s="63">
        <v>1</v>
      </c>
      <c r="N1471" s="63">
        <v>1</v>
      </c>
      <c r="O1471" s="63">
        <v>1</v>
      </c>
      <c r="P1471" s="63">
        <v>1</v>
      </c>
      <c r="Q1471" s="63">
        <v>1</v>
      </c>
      <c r="R1471" s="63">
        <v>1</v>
      </c>
      <c r="S1471" s="296">
        <v>1</v>
      </c>
      <c r="T1471" s="63"/>
      <c r="U1471" s="94"/>
      <c r="V1471" s="90">
        <f>86+766.39</f>
        <v>852.39</v>
      </c>
      <c r="W1471" s="96"/>
      <c r="X1471" s="92"/>
    </row>
    <row r="1472" spans="1:24">
      <c r="A1472" s="2" t="s">
        <v>230</v>
      </c>
      <c r="B1472" s="87">
        <f>B1471+1</f>
        <v>20</v>
      </c>
      <c r="C1472" s="282">
        <v>45954</v>
      </c>
      <c r="D1472" s="302" t="s">
        <v>716</v>
      </c>
      <c r="E1472" s="283" t="s">
        <v>715</v>
      </c>
      <c r="F1472" s="423">
        <v>2574.9</v>
      </c>
      <c r="G1472" s="284">
        <f>39.7+(143.57)</f>
        <v>183.26999999999998</v>
      </c>
      <c r="H1472" s="284"/>
      <c r="I1472" s="331">
        <f t="shared" si="307"/>
        <v>2391.63</v>
      </c>
      <c r="J1472" s="286" t="s">
        <v>156</v>
      </c>
      <c r="K1472" s="286">
        <v>1</v>
      </c>
      <c r="L1472" s="286">
        <v>1</v>
      </c>
      <c r="M1472" s="286">
        <v>1</v>
      </c>
      <c r="N1472" s="286">
        <v>1</v>
      </c>
      <c r="O1472" s="286">
        <v>1</v>
      </c>
      <c r="P1472" s="286">
        <v>1</v>
      </c>
      <c r="Q1472" s="286">
        <v>1</v>
      </c>
      <c r="R1472" s="286">
        <v>1</v>
      </c>
      <c r="S1472" s="287">
        <v>1</v>
      </c>
      <c r="T1472" s="63"/>
      <c r="U1472" s="94"/>
      <c r="V1472" s="90">
        <f>283.24+2549.15</f>
        <v>2832.3900000000003</v>
      </c>
      <c r="W1472" s="96"/>
      <c r="X1472" s="92"/>
    </row>
    <row r="1473" spans="1:24">
      <c r="B1473" s="87"/>
      <c r="C1473" s="36"/>
      <c r="D1473" s="10"/>
      <c r="E1473" s="10"/>
      <c r="F1473" s="97">
        <f>SUM(F1453:F1472)</f>
        <v>33344.300000000003</v>
      </c>
      <c r="G1473" s="97">
        <f>SUM(G1453:G1472)</f>
        <v>6416.6899999999987</v>
      </c>
      <c r="H1473" s="97">
        <f>SUM(H1453:H1472)</f>
        <v>0</v>
      </c>
      <c r="I1473" s="98">
        <f>SUM(I1453:I1472)</f>
        <v>26927.609999999997</v>
      </c>
      <c r="J1473" s="63"/>
      <c r="K1473" s="63">
        <f>COUNT(K1453:K1472)</f>
        <v>20</v>
      </c>
      <c r="L1473" s="63">
        <f>COUNT(L1453:L1472)</f>
        <v>20</v>
      </c>
      <c r="M1473" s="63">
        <f>COUNT(M1453:M1472)</f>
        <v>20</v>
      </c>
      <c r="N1473" s="63">
        <f>COUNT(N1453:N1472)</f>
        <v>20</v>
      </c>
      <c r="O1473" s="63">
        <f>COUNT(O1453:O1472)</f>
        <v>20</v>
      </c>
      <c r="P1473" s="63">
        <f>COUNT(P1453:P1472)</f>
        <v>20</v>
      </c>
      <c r="Q1473" s="63">
        <f>COUNT(Q1453:Q1472)</f>
        <v>20</v>
      </c>
      <c r="R1473" s="63">
        <f>COUNT(R1453:R1472)</f>
        <v>20</v>
      </c>
      <c r="S1473" s="63">
        <f>COUNT(S1453:S1472)</f>
        <v>20</v>
      </c>
      <c r="T1473" s="63"/>
      <c r="U1473" s="94"/>
      <c r="V1473" s="90"/>
      <c r="W1473" s="91"/>
      <c r="X1473" s="92"/>
    </row>
    <row r="1474" spans="1:24">
      <c r="B1474" s="87"/>
      <c r="C1474" s="36"/>
      <c r="D1474" s="10"/>
      <c r="E1474" s="10"/>
      <c r="F1474" s="88"/>
      <c r="G1474" s="88"/>
      <c r="H1474" s="88"/>
      <c r="I1474" s="99"/>
      <c r="J1474" s="63"/>
      <c r="K1474" s="21">
        <f>SUM(K1453:K1472)</f>
        <v>20</v>
      </c>
      <c r="L1474" s="21">
        <f>SUM(L1453:L1472)</f>
        <v>19</v>
      </c>
      <c r="M1474" s="21">
        <f>SUM(M1453:M1472)</f>
        <v>17</v>
      </c>
      <c r="N1474" s="21">
        <f>SUM(N1453:N1472)</f>
        <v>20</v>
      </c>
      <c r="O1474" s="21">
        <f>SUM(O1453:O1472)</f>
        <v>20</v>
      </c>
      <c r="P1474" s="21">
        <f>SUM(P1453:P1472)</f>
        <v>20</v>
      </c>
      <c r="Q1474" s="21">
        <f>SUM(Q1453:Q1472)</f>
        <v>19</v>
      </c>
      <c r="R1474" s="21">
        <f>SUM(R1453:R1472)</f>
        <v>19</v>
      </c>
      <c r="S1474" s="21">
        <f>SUM(S1453:S1472)</f>
        <v>18</v>
      </c>
      <c r="T1474" s="63"/>
      <c r="U1474" s="94"/>
      <c r="V1474" s="90"/>
      <c r="W1474" s="91"/>
      <c r="X1474" s="92"/>
    </row>
    <row r="1475" spans="1:24">
      <c r="B1475" s="11"/>
      <c r="C1475" s="36"/>
      <c r="D1475" s="10"/>
      <c r="E1475" s="10"/>
      <c r="F1475" s="88"/>
      <c r="G1475" s="88"/>
      <c r="H1475" s="88"/>
      <c r="I1475" s="99"/>
      <c r="J1475" s="63"/>
      <c r="K1475" s="21"/>
      <c r="L1475" s="21"/>
      <c r="M1475" s="21"/>
      <c r="N1475" s="21"/>
      <c r="O1475" s="21"/>
      <c r="P1475" s="21"/>
      <c r="Q1475" s="21"/>
      <c r="R1475" s="21"/>
      <c r="S1475" s="21"/>
      <c r="T1475" s="63"/>
      <c r="U1475" s="94"/>
      <c r="V1475" s="90"/>
      <c r="W1475" s="91"/>
      <c r="X1475" s="92"/>
    </row>
    <row r="1476" spans="1:24">
      <c r="B1476" s="100" t="s">
        <v>66</v>
      </c>
      <c r="C1476" s="36"/>
      <c r="D1476" s="10"/>
      <c r="E1476" s="10"/>
      <c r="F1476" s="88"/>
      <c r="G1476" s="62"/>
      <c r="H1476" s="88"/>
      <c r="I1476" s="99"/>
      <c r="J1476" s="63"/>
      <c r="K1476" s="2"/>
      <c r="L1476" s="2"/>
      <c r="M1476" s="2"/>
      <c r="N1476" s="2"/>
      <c r="O1476" s="2"/>
      <c r="P1476" s="2"/>
      <c r="Q1476" s="2"/>
      <c r="R1476" s="2"/>
      <c r="S1476" s="2"/>
      <c r="T1476" s="63"/>
      <c r="U1476" s="94"/>
      <c r="V1476" s="90"/>
      <c r="W1476" s="91"/>
      <c r="X1476" s="92"/>
    </row>
    <row r="1477" spans="1:24">
      <c r="B1477" s="87">
        <v>1</v>
      </c>
      <c r="C1477" s="262">
        <v>45955</v>
      </c>
      <c r="D1477" s="263">
        <v>74707</v>
      </c>
      <c r="E1477" s="264" t="s">
        <v>294</v>
      </c>
      <c r="F1477" s="265">
        <f>1546-85</f>
        <v>1461</v>
      </c>
      <c r="G1477" s="265">
        <f>39.7</f>
        <v>39.700000000000003</v>
      </c>
      <c r="H1477" s="265"/>
      <c r="I1477" s="272">
        <f t="shared" ref="I1477" si="309">F1477-G1477-H1477</f>
        <v>1421.3</v>
      </c>
      <c r="J1477" s="267" t="s">
        <v>228</v>
      </c>
      <c r="K1477" s="267">
        <v>1</v>
      </c>
      <c r="L1477" s="267">
        <v>1</v>
      </c>
      <c r="M1477" s="267">
        <v>1</v>
      </c>
      <c r="N1477" s="267">
        <v>1</v>
      </c>
      <c r="O1477" s="267">
        <v>1</v>
      </c>
      <c r="P1477" s="267">
        <v>1</v>
      </c>
      <c r="Q1477" s="267">
        <v>1</v>
      </c>
      <c r="R1477" s="267">
        <v>1</v>
      </c>
      <c r="S1477" s="269">
        <v>1</v>
      </c>
      <c r="T1477" s="21">
        <v>1</v>
      </c>
      <c r="U1477" s="94"/>
      <c r="V1477" s="90">
        <f>93.5+160.71+1446.39</f>
        <v>1700.6000000000001</v>
      </c>
      <c r="W1477" s="91"/>
      <c r="X1477" s="92"/>
    </row>
    <row r="1478" spans="1:24">
      <c r="B1478" s="11"/>
      <c r="C1478" s="609"/>
      <c r="D1478" s="10"/>
      <c r="E1478" s="10"/>
      <c r="F1478" s="97">
        <f>SUM(F1477:F1477)</f>
        <v>1461</v>
      </c>
      <c r="G1478" s="97">
        <f>SUM(G1477:G1477)</f>
        <v>39.700000000000003</v>
      </c>
      <c r="H1478" s="97">
        <f>SUM(H1477:H1477)</f>
        <v>0</v>
      </c>
      <c r="I1478" s="98">
        <f>SUM(I1477:I1477)</f>
        <v>1421.3</v>
      </c>
      <c r="J1478" s="63"/>
      <c r="K1478" s="21"/>
      <c r="L1478" s="21"/>
      <c r="M1478" s="21"/>
      <c r="N1478" s="21"/>
      <c r="O1478" s="21"/>
      <c r="P1478" s="21"/>
      <c r="Q1478" s="21"/>
      <c r="R1478" s="21"/>
      <c r="S1478" s="21"/>
      <c r="T1478" s="63"/>
      <c r="U1478" s="94"/>
      <c r="V1478" s="90"/>
      <c r="W1478" s="91"/>
      <c r="X1478" s="92"/>
    </row>
    <row r="1479" spans="1:24">
      <c r="B1479" s="11"/>
      <c r="C1479" s="609"/>
      <c r="D1479" s="10"/>
      <c r="E1479" s="10"/>
      <c r="F1479" s="88"/>
      <c r="G1479" s="88"/>
      <c r="H1479" s="88"/>
      <c r="I1479" s="99"/>
      <c r="J1479" s="63"/>
      <c r="K1479" s="21"/>
      <c r="L1479" s="21"/>
      <c r="M1479" s="21"/>
      <c r="N1479" s="21"/>
      <c r="O1479" s="21"/>
      <c r="P1479" s="21"/>
      <c r="Q1479" s="21"/>
      <c r="R1479" s="21"/>
      <c r="S1479" s="21"/>
      <c r="T1479" s="63"/>
      <c r="U1479" s="94"/>
      <c r="V1479" s="90"/>
      <c r="W1479" s="91"/>
      <c r="X1479" s="92"/>
    </row>
    <row r="1480" spans="1:24">
      <c r="B1480" s="100" t="s">
        <v>67</v>
      </c>
      <c r="C1480" s="609"/>
      <c r="D1480" s="10"/>
      <c r="E1480" s="10"/>
      <c r="F1480" s="88"/>
      <c r="G1480" s="62"/>
      <c r="H1480" s="88"/>
      <c r="I1480" s="99"/>
      <c r="J1480" s="63"/>
      <c r="K1480" s="2"/>
      <c r="L1480" s="2"/>
      <c r="M1480" s="2"/>
      <c r="N1480" s="2"/>
      <c r="O1480" s="2"/>
      <c r="P1480" s="2"/>
      <c r="Q1480" s="2"/>
      <c r="R1480" s="2"/>
      <c r="S1480" s="2"/>
      <c r="T1480" s="63"/>
      <c r="U1480" s="94"/>
      <c r="V1480" s="90"/>
      <c r="W1480" s="91"/>
      <c r="X1480" s="92"/>
    </row>
    <row r="1481" spans="1:24" s="381" customFormat="1">
      <c r="A1481" s="371" t="s">
        <v>717</v>
      </c>
      <c r="B1481" s="372">
        <v>1</v>
      </c>
      <c r="C1481" s="373">
        <v>45873</v>
      </c>
      <c r="D1481" s="263" t="s">
        <v>448</v>
      </c>
      <c r="E1481" s="391" t="s">
        <v>245</v>
      </c>
      <c r="F1481" s="375">
        <v>16214</v>
      </c>
      <c r="G1481" s="375">
        <f>39.7+334+(37.9+110.12+72.67+137.98)+(161.68+232.63)+1500</f>
        <v>2626.68</v>
      </c>
      <c r="H1481" s="375"/>
      <c r="I1481" s="376">
        <f>F1481-G1481-H1481</f>
        <v>13587.32</v>
      </c>
      <c r="J1481" s="314" t="s">
        <v>228</v>
      </c>
      <c r="K1481" s="314">
        <v>1</v>
      </c>
      <c r="L1481" s="314">
        <v>1</v>
      </c>
      <c r="M1481" s="314">
        <v>1</v>
      </c>
      <c r="N1481" s="314">
        <v>1</v>
      </c>
      <c r="O1481" s="314">
        <v>1</v>
      </c>
      <c r="P1481" s="314">
        <v>1</v>
      </c>
      <c r="Q1481" s="314">
        <v>0</v>
      </c>
      <c r="R1481" s="314">
        <v>0</v>
      </c>
      <c r="S1481" s="366">
        <v>0</v>
      </c>
      <c r="T1481" s="325"/>
      <c r="U1481" s="430" t="s">
        <v>485</v>
      </c>
      <c r="V1481" s="377"/>
      <c r="W1481" s="392"/>
      <c r="X1481" s="379"/>
    </row>
    <row r="1482" spans="1:24">
      <c r="A1482" s="261">
        <v>0.05</v>
      </c>
      <c r="B1482" s="87">
        <f>B1481+1</f>
        <v>2</v>
      </c>
      <c r="C1482" s="262">
        <v>45847</v>
      </c>
      <c r="D1482" s="263">
        <v>71343</v>
      </c>
      <c r="E1482" s="271" t="s">
        <v>184</v>
      </c>
      <c r="F1482" s="265">
        <v>2814</v>
      </c>
      <c r="G1482" s="265">
        <f>39.7+(36.22+222.93)</f>
        <v>298.84999999999997</v>
      </c>
      <c r="H1482" s="265"/>
      <c r="I1482" s="266">
        <f>F1482-G1482-H1482</f>
        <v>2515.15</v>
      </c>
      <c r="J1482" s="267" t="s">
        <v>156</v>
      </c>
      <c r="K1482" s="267">
        <v>1</v>
      </c>
      <c r="L1482" s="267">
        <v>1</v>
      </c>
      <c r="M1482" s="267">
        <v>1</v>
      </c>
      <c r="N1482" s="267">
        <v>1</v>
      </c>
      <c r="O1482" s="267">
        <v>1</v>
      </c>
      <c r="P1482" s="314">
        <v>0</v>
      </c>
      <c r="Q1482" s="314">
        <v>0</v>
      </c>
      <c r="R1482" s="314">
        <v>0</v>
      </c>
      <c r="S1482" s="366">
        <v>0</v>
      </c>
      <c r="T1482" s="63"/>
      <c r="U1482" s="94" t="s">
        <v>359</v>
      </c>
      <c r="V1482" s="90"/>
      <c r="W1482" s="136"/>
      <c r="X1482" s="137"/>
    </row>
    <row r="1483" spans="1:24">
      <c r="A1483" s="371" t="s">
        <v>619</v>
      </c>
      <c r="B1483" s="372">
        <f>B1482+1</f>
        <v>3</v>
      </c>
      <c r="C1483" s="373">
        <v>45881</v>
      </c>
      <c r="D1483" s="263" t="s">
        <v>480</v>
      </c>
      <c r="E1483" s="391" t="s">
        <v>456</v>
      </c>
      <c r="F1483" s="375">
        <f>8614-947.1</f>
        <v>7666.9</v>
      </c>
      <c r="G1483" s="375">
        <f>39.7+495+(278.1+41.8-83.55)+1500</f>
        <v>2271.0500000000002</v>
      </c>
      <c r="H1483" s="375"/>
      <c r="I1483" s="376">
        <f>F1483-G1483-H1483</f>
        <v>5395.8499999999995</v>
      </c>
      <c r="J1483" s="314" t="s">
        <v>228</v>
      </c>
      <c r="K1483" s="314">
        <v>1</v>
      </c>
      <c r="L1483" s="314">
        <v>1</v>
      </c>
      <c r="M1483" s="314">
        <v>1</v>
      </c>
      <c r="N1483" s="314">
        <v>1</v>
      </c>
      <c r="O1483" s="314">
        <v>1</v>
      </c>
      <c r="P1483" s="314">
        <v>1</v>
      </c>
      <c r="Q1483" s="314">
        <v>0</v>
      </c>
      <c r="R1483" s="314">
        <v>0</v>
      </c>
      <c r="S1483" s="366">
        <v>0</v>
      </c>
      <c r="T1483" s="325"/>
      <c r="U1483" s="430" t="s">
        <v>505</v>
      </c>
      <c r="V1483" s="377"/>
      <c r="W1483" s="392"/>
      <c r="X1483" s="379"/>
    </row>
    <row r="1484" spans="1:24">
      <c r="B1484" s="11"/>
      <c r="C1484" s="609"/>
      <c r="D1484" s="10"/>
      <c r="E1484" s="10"/>
      <c r="F1484" s="97">
        <f>SUM(F1481:F1483)</f>
        <v>26694.9</v>
      </c>
      <c r="G1484" s="97">
        <f>SUM(G1481:G1483)</f>
        <v>5196.58</v>
      </c>
      <c r="H1484" s="97">
        <f>SUM(H1481:H1483)</f>
        <v>0</v>
      </c>
      <c r="I1484" s="98">
        <f>SUM(I1481:I1483)</f>
        <v>21498.32</v>
      </c>
      <c r="J1484" s="63"/>
      <c r="K1484" s="21"/>
      <c r="L1484" s="21"/>
      <c r="M1484" s="21"/>
      <c r="N1484" s="21"/>
      <c r="O1484" s="21"/>
      <c r="P1484" s="21"/>
      <c r="Q1484" s="21"/>
      <c r="R1484" s="21"/>
      <c r="S1484" s="21"/>
      <c r="T1484" s="63"/>
      <c r="U1484" s="94"/>
      <c r="V1484" s="90"/>
      <c r="W1484" s="91"/>
      <c r="X1484" s="92"/>
    </row>
    <row r="1485" spans="1:24">
      <c r="B1485" s="11"/>
      <c r="C1485" s="36"/>
      <c r="D1485" s="10"/>
      <c r="E1485" s="10"/>
      <c r="F1485" s="88"/>
      <c r="G1485" s="88"/>
      <c r="H1485" s="88"/>
      <c r="I1485" s="99"/>
      <c r="J1485" s="63"/>
      <c r="K1485" s="21"/>
      <c r="L1485" s="21"/>
      <c r="M1485" s="21"/>
      <c r="N1485" s="21"/>
      <c r="O1485" s="21"/>
      <c r="P1485" s="21"/>
      <c r="Q1485" s="21"/>
      <c r="R1485" s="21"/>
      <c r="S1485" s="21"/>
      <c r="T1485" s="63"/>
      <c r="U1485" s="94"/>
      <c r="V1485" s="90"/>
      <c r="W1485" s="91"/>
      <c r="X1485" s="92"/>
    </row>
    <row r="1486" spans="1:24">
      <c r="B1486" s="100" t="s">
        <v>67</v>
      </c>
      <c r="C1486" s="609"/>
      <c r="D1486" s="10"/>
      <c r="E1486" s="10"/>
      <c r="F1486" s="88"/>
      <c r="G1486" s="62"/>
      <c r="H1486" s="88"/>
      <c r="I1486" s="99"/>
      <c r="J1486" s="63"/>
      <c r="K1486" s="2"/>
      <c r="L1486" s="2"/>
      <c r="M1486" s="2"/>
      <c r="N1486" s="2"/>
      <c r="O1486" s="2"/>
      <c r="P1486" s="2"/>
      <c r="Q1486" s="2"/>
      <c r="R1486" s="2"/>
      <c r="S1486" s="2"/>
      <c r="T1486" s="63"/>
      <c r="U1486" s="94"/>
      <c r="V1486" s="90"/>
      <c r="W1486" s="91"/>
      <c r="X1486" s="92"/>
    </row>
    <row r="1487" spans="1:24">
      <c r="A1487" s="494" t="s">
        <v>690</v>
      </c>
      <c r="B1487" s="87">
        <v>1</v>
      </c>
      <c r="C1487" s="262">
        <v>45936</v>
      </c>
      <c r="D1487" s="263" t="s">
        <v>663</v>
      </c>
      <c r="E1487" s="271" t="s">
        <v>653</v>
      </c>
      <c r="F1487" s="265">
        <v>11676</v>
      </c>
      <c r="G1487" s="265">
        <f>39.7+831+318.4+(65.42+37.9+17.08+9.67+130.65)+(211.67+70.86)+1000</f>
        <v>2732.35</v>
      </c>
      <c r="H1487" s="265"/>
      <c r="I1487" s="272">
        <f>F1487-G1487-H1487</f>
        <v>8943.65</v>
      </c>
      <c r="J1487" s="267" t="s">
        <v>228</v>
      </c>
      <c r="K1487" s="267">
        <v>1</v>
      </c>
      <c r="L1487" s="267">
        <v>1</v>
      </c>
      <c r="M1487" s="267">
        <v>1</v>
      </c>
      <c r="N1487" s="267">
        <v>1</v>
      </c>
      <c r="O1487" s="267">
        <v>1</v>
      </c>
      <c r="P1487" s="267">
        <v>1</v>
      </c>
      <c r="Q1487" s="267">
        <v>1</v>
      </c>
      <c r="R1487" s="267">
        <v>1</v>
      </c>
      <c r="S1487" s="269">
        <v>1</v>
      </c>
      <c r="T1487" s="63"/>
      <c r="U1487" s="94" t="s">
        <v>691</v>
      </c>
      <c r="V1487" s="90"/>
      <c r="W1487" s="136"/>
      <c r="X1487" s="137"/>
    </row>
    <row r="1488" spans="1:24">
      <c r="A1488" s="494" t="s">
        <v>692</v>
      </c>
      <c r="B1488" s="87">
        <f>B1487+1</f>
        <v>2</v>
      </c>
      <c r="C1488" s="262">
        <v>45940</v>
      </c>
      <c r="D1488" s="263" t="s">
        <v>667</v>
      </c>
      <c r="E1488" s="271" t="s">
        <v>563</v>
      </c>
      <c r="F1488" s="265">
        <v>11532.6</v>
      </c>
      <c r="G1488" s="265">
        <f>39.7+(296.42)+(21.96+62.74-24.75)+1000</f>
        <v>1396.07</v>
      </c>
      <c r="H1488" s="265"/>
      <c r="I1488" s="266">
        <f>F1488-G1488-H1488</f>
        <v>10136.530000000001</v>
      </c>
      <c r="J1488" s="267" t="s">
        <v>228</v>
      </c>
      <c r="K1488" s="267">
        <v>1</v>
      </c>
      <c r="L1488" s="267">
        <v>1</v>
      </c>
      <c r="M1488" s="314">
        <v>0</v>
      </c>
      <c r="N1488" s="267">
        <v>1</v>
      </c>
      <c r="O1488" s="267">
        <v>1</v>
      </c>
      <c r="P1488" s="267">
        <v>1</v>
      </c>
      <c r="Q1488" s="314">
        <v>0</v>
      </c>
      <c r="R1488" s="314">
        <v>0</v>
      </c>
      <c r="S1488" s="366">
        <v>0</v>
      </c>
      <c r="T1488" s="63"/>
      <c r="U1488" s="94" t="s">
        <v>693</v>
      </c>
      <c r="V1488" s="90"/>
      <c r="W1488" s="136"/>
      <c r="X1488" s="137"/>
    </row>
    <row r="1489" spans="1:24">
      <c r="A1489" s="494" t="s">
        <v>718</v>
      </c>
      <c r="B1489" s="87">
        <f>B1488+1</f>
        <v>3</v>
      </c>
      <c r="C1489" s="262">
        <v>45937</v>
      </c>
      <c r="D1489" s="263" t="s">
        <v>665</v>
      </c>
      <c r="E1489" s="309" t="s">
        <v>184</v>
      </c>
      <c r="F1489" s="265">
        <v>11687.38</v>
      </c>
      <c r="G1489" s="265">
        <f>39.7+(9.46+4.73+49.64+249.54+190)+(5.52+362)+1000</f>
        <v>1910.5900000000001</v>
      </c>
      <c r="H1489" s="265"/>
      <c r="I1489" s="272">
        <f>F1489-G1489-H1489</f>
        <v>9776.7899999999991</v>
      </c>
      <c r="J1489" s="267" t="s">
        <v>228</v>
      </c>
      <c r="K1489" s="267">
        <v>1</v>
      </c>
      <c r="L1489" s="267">
        <v>1</v>
      </c>
      <c r="M1489" s="267">
        <v>1</v>
      </c>
      <c r="N1489" s="267">
        <v>1</v>
      </c>
      <c r="O1489" s="267">
        <v>1</v>
      </c>
      <c r="P1489" s="267">
        <v>1</v>
      </c>
      <c r="Q1489" s="314">
        <v>0</v>
      </c>
      <c r="R1489" s="314">
        <v>0</v>
      </c>
      <c r="S1489" s="366">
        <v>0</v>
      </c>
      <c r="T1489" s="63"/>
      <c r="U1489" s="94" t="s">
        <v>719</v>
      </c>
      <c r="V1489" s="90"/>
      <c r="W1489" s="136"/>
      <c r="X1489" s="137"/>
    </row>
    <row r="1490" spans="1:24">
      <c r="B1490" s="11"/>
      <c r="C1490" s="609"/>
      <c r="D1490" s="10"/>
      <c r="E1490" s="10"/>
      <c r="F1490" s="97">
        <f>SUM(F1487:F1489)</f>
        <v>34895.979999999996</v>
      </c>
      <c r="G1490" s="97">
        <f>SUM(G1487:G1489)</f>
        <v>6039.01</v>
      </c>
      <c r="H1490" s="97">
        <f>SUM(H1487:H1489)</f>
        <v>0</v>
      </c>
      <c r="I1490" s="98">
        <f>SUM(I1487:I1489)</f>
        <v>28856.97</v>
      </c>
      <c r="J1490" s="63"/>
      <c r="K1490" s="21"/>
      <c r="L1490" s="21"/>
      <c r="M1490" s="21"/>
      <c r="N1490" s="21"/>
      <c r="O1490" s="21"/>
      <c r="P1490" s="21"/>
      <c r="Q1490" s="21"/>
      <c r="R1490" s="21"/>
      <c r="S1490" s="21"/>
      <c r="T1490" s="63"/>
      <c r="U1490" s="94"/>
      <c r="V1490" s="90"/>
      <c r="W1490" s="91"/>
      <c r="X1490" s="92"/>
    </row>
    <row r="1491" spans="1:24">
      <c r="B1491" s="11"/>
      <c r="C1491" s="36"/>
      <c r="D1491" s="10"/>
      <c r="E1491" s="10"/>
      <c r="F1491" s="88"/>
      <c r="G1491" s="88"/>
      <c r="H1491" s="88"/>
      <c r="I1491" s="99"/>
      <c r="J1491" s="63"/>
      <c r="K1491" s="21"/>
      <c r="L1491" s="21"/>
      <c r="M1491" s="21"/>
      <c r="N1491" s="21"/>
      <c r="O1491" s="21"/>
      <c r="P1491" s="21"/>
      <c r="Q1491" s="21"/>
      <c r="R1491" s="21"/>
      <c r="S1491" s="21"/>
      <c r="T1491" s="63"/>
      <c r="U1491" s="94"/>
      <c r="V1491" s="90"/>
      <c r="W1491" s="91"/>
      <c r="X1491" s="92"/>
    </row>
    <row r="1492" spans="1:24">
      <c r="B1492" s="121" t="s">
        <v>71</v>
      </c>
      <c r="C1492" s="36"/>
      <c r="D1492" s="123"/>
      <c r="E1492" s="128"/>
      <c r="F1492" s="124"/>
      <c r="G1492" s="124"/>
      <c r="H1492" s="124"/>
      <c r="I1492" s="126"/>
      <c r="J1492" s="127"/>
      <c r="K1492" s="64"/>
      <c r="L1492" s="64"/>
      <c r="M1492" s="64"/>
      <c r="N1492" s="64"/>
      <c r="O1492" s="64"/>
      <c r="P1492" s="64"/>
      <c r="Q1492" s="64"/>
      <c r="R1492" s="64"/>
      <c r="S1492" s="64"/>
      <c r="T1492" s="127"/>
      <c r="U1492" s="135"/>
      <c r="V1492" s="129"/>
      <c r="W1492" s="130"/>
      <c r="X1492" s="131"/>
    </row>
    <row r="1493" spans="1:24" s="342" customFormat="1">
      <c r="A1493" s="356">
        <v>0.1</v>
      </c>
      <c r="B1493" s="333">
        <v>1</v>
      </c>
      <c r="C1493" s="350">
        <v>45955</v>
      </c>
      <c r="D1493" s="263">
        <v>74814</v>
      </c>
      <c r="E1493" s="358" t="s">
        <v>513</v>
      </c>
      <c r="F1493" s="352">
        <v>2532.6</v>
      </c>
      <c r="G1493" s="352">
        <f>39.7+550</f>
        <v>589.70000000000005</v>
      </c>
      <c r="H1493" s="352"/>
      <c r="I1493" s="353">
        <f t="shared" ref="I1493" si="310">F1493-G1493-H1493</f>
        <v>1942.8999999999999</v>
      </c>
      <c r="J1493" s="354" t="s">
        <v>156</v>
      </c>
      <c r="K1493" s="354">
        <v>1</v>
      </c>
      <c r="L1493" s="354"/>
      <c r="M1493" s="314">
        <v>0</v>
      </c>
      <c r="N1493" s="354">
        <v>1</v>
      </c>
      <c r="O1493" s="354">
        <v>1</v>
      </c>
      <c r="P1493" s="354">
        <v>1</v>
      </c>
      <c r="Q1493" s="354"/>
      <c r="R1493" s="354"/>
      <c r="S1493" s="355"/>
      <c r="T1493" s="127"/>
      <c r="U1493" s="135"/>
      <c r="V1493" s="129">
        <f>278.59</f>
        <v>278.58999999999997</v>
      </c>
      <c r="W1493" s="340"/>
      <c r="X1493" s="341"/>
    </row>
    <row r="1494" spans="1:24">
      <c r="B1494" s="132"/>
      <c r="C1494" s="36"/>
      <c r="D1494" s="123"/>
      <c r="E1494" s="123"/>
      <c r="F1494" s="133">
        <f>SUM(F1493:F1493)</f>
        <v>2532.6</v>
      </c>
      <c r="G1494" s="133">
        <f>SUM(G1493:G1493)</f>
        <v>589.70000000000005</v>
      </c>
      <c r="H1494" s="133">
        <f>SUM(H1493:H1493)</f>
        <v>0</v>
      </c>
      <c r="I1494" s="134">
        <f>SUM(I1493:I1493)</f>
        <v>1942.8999999999999</v>
      </c>
      <c r="J1494" s="127"/>
      <c r="K1494" s="64"/>
      <c r="L1494" s="64"/>
      <c r="M1494" s="64"/>
      <c r="N1494" s="64"/>
      <c r="O1494" s="64"/>
      <c r="P1494" s="64"/>
      <c r="Q1494" s="64"/>
      <c r="R1494" s="64"/>
      <c r="S1494" s="64"/>
      <c r="T1494" s="127"/>
      <c r="U1494" s="135"/>
      <c r="V1494" s="129"/>
      <c r="W1494" s="130"/>
      <c r="X1494" s="131"/>
    </row>
    <row r="1495" spans="1:24">
      <c r="B1495" s="11"/>
      <c r="C1495" s="36"/>
      <c r="D1495" s="10"/>
      <c r="E1495" s="10"/>
      <c r="F1495" s="88"/>
      <c r="G1495" s="88"/>
      <c r="H1495" s="88"/>
      <c r="I1495" s="99"/>
      <c r="J1495" s="63"/>
      <c r="K1495" s="21"/>
      <c r="L1495" s="21"/>
      <c r="M1495" s="21"/>
      <c r="N1495" s="21"/>
      <c r="O1495" s="21"/>
      <c r="P1495" s="21"/>
      <c r="Q1495" s="21"/>
      <c r="R1495" s="21"/>
      <c r="S1495" s="21"/>
      <c r="T1495" s="63"/>
      <c r="U1495" s="94"/>
      <c r="V1495" s="90"/>
      <c r="W1495" s="91"/>
      <c r="X1495" s="92"/>
    </row>
    <row r="1496" spans="1:24" s="260" customFormat="1">
      <c r="A1496" s="181"/>
      <c r="B1496" s="100" t="s">
        <v>152</v>
      </c>
      <c r="C1496" s="36"/>
      <c r="D1496" s="10"/>
      <c r="E1496" s="10"/>
      <c r="F1496" s="88"/>
      <c r="G1496" s="62"/>
      <c r="H1496" s="88"/>
      <c r="I1496" s="99"/>
      <c r="J1496" s="10"/>
      <c r="K1496" s="181"/>
      <c r="L1496" s="181"/>
      <c r="M1496" s="181"/>
      <c r="N1496" s="181"/>
      <c r="O1496" s="181"/>
      <c r="P1496" s="181"/>
      <c r="Q1496" s="181"/>
      <c r="R1496" s="181"/>
      <c r="S1496" s="181"/>
      <c r="T1496" s="63"/>
      <c r="U1496" s="10"/>
      <c r="V1496" s="90"/>
      <c r="W1496" s="91"/>
      <c r="X1496" s="92"/>
    </row>
    <row r="1497" spans="1:24" s="260" customFormat="1">
      <c r="A1497" s="312" t="s">
        <v>194</v>
      </c>
      <c r="B1497" s="87">
        <v>1</v>
      </c>
      <c r="C1497" s="262">
        <v>45805</v>
      </c>
      <c r="D1497" s="357" t="s">
        <v>199</v>
      </c>
      <c r="E1497" s="271" t="s">
        <v>196</v>
      </c>
      <c r="F1497" s="265">
        <v>16214</v>
      </c>
      <c r="G1497" s="265">
        <f>39.7+44+36.26+(33.82+55.44)+(102.43+254.2+84.43+10.82+125.93)+1500</f>
        <v>2287.0299999999997</v>
      </c>
      <c r="H1497" s="265">
        <f>F1497*0.2</f>
        <v>3242.8</v>
      </c>
      <c r="I1497" s="266">
        <f>F1497-G1497-H1497</f>
        <v>10684.170000000002</v>
      </c>
      <c r="J1497" s="267" t="s">
        <v>197</v>
      </c>
      <c r="K1497" s="267">
        <v>1</v>
      </c>
      <c r="L1497" s="267">
        <v>1</v>
      </c>
      <c r="M1497" s="267">
        <v>1</v>
      </c>
      <c r="N1497" s="267">
        <v>1</v>
      </c>
      <c r="O1497" s="267">
        <v>1</v>
      </c>
      <c r="P1497" s="314">
        <v>0</v>
      </c>
      <c r="Q1497" s="267">
        <v>1</v>
      </c>
      <c r="R1497" s="267">
        <v>1</v>
      </c>
      <c r="S1497" s="366">
        <v>0</v>
      </c>
      <c r="T1497" s="63"/>
      <c r="U1497" s="10" t="s">
        <v>200</v>
      </c>
      <c r="V1497" s="90"/>
      <c r="W1497" s="136"/>
      <c r="X1497" s="137"/>
    </row>
    <row r="1498" spans="1:24">
      <c r="A1498" s="507">
        <v>0.05</v>
      </c>
      <c r="B1498" s="87">
        <f>B1481+1</f>
        <v>2</v>
      </c>
      <c r="C1498" s="645">
        <v>45896</v>
      </c>
      <c r="D1498" s="357" t="s">
        <v>527</v>
      </c>
      <c r="E1498" s="642" t="s">
        <v>401</v>
      </c>
      <c r="F1498" s="646">
        <v>14503.6</v>
      </c>
      <c r="G1498" s="646">
        <f>39.7+60.48+(103.51+131.24+75.84)+(287.37+90.69)+1000</f>
        <v>1788.83</v>
      </c>
      <c r="H1498" s="646">
        <f>5000*0.2</f>
        <v>1000</v>
      </c>
      <c r="I1498" s="698">
        <f>F1498-G1498-H1498</f>
        <v>11714.77</v>
      </c>
      <c r="J1498" s="647" t="s">
        <v>185</v>
      </c>
      <c r="K1498" s="647">
        <v>1</v>
      </c>
      <c r="L1498" s="647">
        <v>1</v>
      </c>
      <c r="M1498" s="647">
        <v>1</v>
      </c>
      <c r="N1498" s="647">
        <v>1</v>
      </c>
      <c r="O1498" s="647">
        <v>1</v>
      </c>
      <c r="P1498" s="647">
        <v>1</v>
      </c>
      <c r="Q1498" s="647">
        <v>1</v>
      </c>
      <c r="R1498" s="647">
        <v>1</v>
      </c>
      <c r="S1498" s="648">
        <v>1</v>
      </c>
      <c r="T1498" s="537"/>
      <c r="U1498" s="164" t="s">
        <v>669</v>
      </c>
      <c r="V1498" s="551"/>
      <c r="W1498" s="552"/>
      <c r="X1498" s="553"/>
    </row>
    <row r="1499" spans="1:24" s="260" customFormat="1">
      <c r="A1499" s="260" t="s">
        <v>619</v>
      </c>
      <c r="B1499" s="87">
        <f>B1498+1</f>
        <v>3</v>
      </c>
      <c r="C1499" s="262">
        <v>45923</v>
      </c>
      <c r="D1499" s="263" t="s">
        <v>620</v>
      </c>
      <c r="E1499" s="271" t="s">
        <v>609</v>
      </c>
      <c r="F1499" s="265">
        <v>14000</v>
      </c>
      <c r="G1499" s="265">
        <f>39.7+(54.62+926.82)+1000</f>
        <v>2021.14</v>
      </c>
      <c r="H1499" s="265"/>
      <c r="I1499" s="266">
        <f>F1499-G1499-H1499</f>
        <v>11978.86</v>
      </c>
      <c r="J1499" s="267" t="s">
        <v>185</v>
      </c>
      <c r="K1499" s="267">
        <v>1</v>
      </c>
      <c r="L1499" s="267">
        <v>1</v>
      </c>
      <c r="M1499" s="267">
        <v>1</v>
      </c>
      <c r="N1499" s="267">
        <v>1</v>
      </c>
      <c r="O1499" s="267">
        <v>1</v>
      </c>
      <c r="P1499" s="267">
        <v>1</v>
      </c>
      <c r="Q1499" s="267">
        <v>1</v>
      </c>
      <c r="R1499" s="267">
        <v>1</v>
      </c>
      <c r="S1499" s="366">
        <v>0</v>
      </c>
      <c r="T1499" s="21"/>
      <c r="U1499" s="10" t="s">
        <v>621</v>
      </c>
      <c r="V1499" s="724"/>
      <c r="W1499" s="91"/>
      <c r="X1499" s="92"/>
    </row>
    <row r="1500" spans="1:24" s="260" customFormat="1">
      <c r="A1500" s="704" t="s">
        <v>683</v>
      </c>
      <c r="B1500" s="87">
        <f>B1499+1</f>
        <v>4</v>
      </c>
      <c r="C1500" s="274">
        <v>45945</v>
      </c>
      <c r="D1500" s="327">
        <v>74443</v>
      </c>
      <c r="E1500" s="281" t="s">
        <v>672</v>
      </c>
      <c r="F1500" s="277">
        <v>2034.9</v>
      </c>
      <c r="G1500" s="277">
        <f>39.7</f>
        <v>39.700000000000003</v>
      </c>
      <c r="H1500" s="277"/>
      <c r="I1500" s="278">
        <f>F1500-G1500-H1500</f>
        <v>1995.2</v>
      </c>
      <c r="J1500" s="279" t="s">
        <v>185</v>
      </c>
      <c r="K1500" s="279">
        <v>1</v>
      </c>
      <c r="L1500" s="279">
        <v>1</v>
      </c>
      <c r="M1500" s="279">
        <v>1</v>
      </c>
      <c r="N1500" s="279">
        <v>1</v>
      </c>
      <c r="O1500" s="279">
        <v>1</v>
      </c>
      <c r="P1500" s="279">
        <v>1</v>
      </c>
      <c r="Q1500" s="279">
        <v>1</v>
      </c>
      <c r="R1500" s="279">
        <v>1</v>
      </c>
      <c r="S1500" s="280">
        <v>1</v>
      </c>
      <c r="T1500" s="63"/>
      <c r="U1500" s="94" t="s">
        <v>684</v>
      </c>
      <c r="V1500" s="90"/>
      <c r="W1500" s="91"/>
      <c r="X1500" s="92"/>
    </row>
    <row r="1501" spans="1:24" s="260" customFormat="1">
      <c r="A1501" s="261">
        <v>0.1</v>
      </c>
      <c r="B1501" s="87">
        <f t="shared" ref="B1501:B1502" si="311">B1500+1</f>
        <v>5</v>
      </c>
      <c r="C1501" s="295">
        <v>45945</v>
      </c>
      <c r="D1501" s="346" t="s">
        <v>685</v>
      </c>
      <c r="E1501" s="101" t="s">
        <v>292</v>
      </c>
      <c r="F1501" s="62">
        <f>1138-1.64</f>
        <v>1136.3599999999999</v>
      </c>
      <c r="G1501" s="62">
        <f>39.7</f>
        <v>39.700000000000003</v>
      </c>
      <c r="H1501" s="62"/>
      <c r="I1501" s="89">
        <f>F1501-G1501-H1501</f>
        <v>1096.6599999999999</v>
      </c>
      <c r="J1501" s="63" t="s">
        <v>150</v>
      </c>
      <c r="K1501" s="63">
        <v>1</v>
      </c>
      <c r="L1501" s="63">
        <v>1</v>
      </c>
      <c r="M1501" s="63">
        <v>1</v>
      </c>
      <c r="N1501" s="63">
        <v>1</v>
      </c>
      <c r="O1501" s="63">
        <v>1</v>
      </c>
      <c r="P1501" s="63">
        <v>1</v>
      </c>
      <c r="Q1501" s="63">
        <v>1</v>
      </c>
      <c r="R1501" s="63">
        <v>1</v>
      </c>
      <c r="S1501" s="296">
        <v>1</v>
      </c>
      <c r="T1501" s="63"/>
      <c r="U1501" s="94" t="s">
        <v>686</v>
      </c>
      <c r="V1501" s="90"/>
      <c r="W1501" s="91"/>
      <c r="X1501" s="92"/>
    </row>
    <row r="1502" spans="1:24" s="260" customFormat="1">
      <c r="A1502" s="261">
        <v>0.1</v>
      </c>
      <c r="B1502" s="87">
        <f t="shared" si="311"/>
        <v>6</v>
      </c>
      <c r="C1502" s="262">
        <v>45946</v>
      </c>
      <c r="D1502" s="263">
        <v>74528</v>
      </c>
      <c r="E1502" s="264" t="s">
        <v>355</v>
      </c>
      <c r="F1502" s="264">
        <f>1546-85</f>
        <v>1461</v>
      </c>
      <c r="G1502" s="265">
        <f>39.7</f>
        <v>39.700000000000003</v>
      </c>
      <c r="H1502" s="265"/>
      <c r="I1502" s="272">
        <f>F1502-G1502-H1502</f>
        <v>1421.3</v>
      </c>
      <c r="J1502" s="267" t="s">
        <v>374</v>
      </c>
      <c r="K1502" s="267">
        <v>1</v>
      </c>
      <c r="L1502" s="267">
        <v>1</v>
      </c>
      <c r="M1502" s="267">
        <v>1</v>
      </c>
      <c r="N1502" s="267">
        <v>1</v>
      </c>
      <c r="O1502" s="267">
        <v>1</v>
      </c>
      <c r="P1502" s="267">
        <v>1</v>
      </c>
      <c r="Q1502" s="267">
        <v>1</v>
      </c>
      <c r="R1502" s="267">
        <v>1</v>
      </c>
      <c r="S1502" s="269">
        <v>1</v>
      </c>
      <c r="T1502" s="63"/>
      <c r="U1502" s="94" t="s">
        <v>687</v>
      </c>
      <c r="V1502" s="90"/>
      <c r="W1502" s="91"/>
      <c r="X1502" s="92"/>
    </row>
    <row r="1503" spans="1:24" s="260" customFormat="1">
      <c r="A1503" s="181"/>
      <c r="B1503" s="11"/>
      <c r="C1503" s="36"/>
      <c r="D1503" s="77"/>
      <c r="E1503" s="10"/>
      <c r="F1503" s="97">
        <f>SUM(F1497:F1502)</f>
        <v>49349.86</v>
      </c>
      <c r="G1503" s="97">
        <f t="shared" ref="G1503:I1503" si="312">SUM(G1497:G1502)</f>
        <v>6216.0999999999995</v>
      </c>
      <c r="H1503" s="97">
        <f t="shared" si="312"/>
        <v>4242.8</v>
      </c>
      <c r="I1503" s="97">
        <f t="shared" si="312"/>
        <v>38890.960000000006</v>
      </c>
      <c r="K1503" s="21"/>
      <c r="L1503" s="21"/>
      <c r="M1503" s="21"/>
      <c r="N1503" s="21"/>
      <c r="O1503" s="21"/>
      <c r="P1503" s="21"/>
      <c r="Q1503" s="21"/>
      <c r="R1503" s="21"/>
      <c r="S1503" s="21"/>
      <c r="T1503" s="63"/>
      <c r="U1503" s="10"/>
      <c r="V1503" s="90"/>
      <c r="W1503" s="91"/>
      <c r="X1503" s="92"/>
    </row>
    <row r="1504" spans="1:24" s="260" customFormat="1">
      <c r="A1504" s="181"/>
      <c r="B1504" s="11"/>
      <c r="C1504" s="36"/>
      <c r="D1504" s="77"/>
      <c r="E1504" s="10"/>
      <c r="F1504" s="88"/>
      <c r="G1504" s="88"/>
      <c r="H1504" s="88"/>
      <c r="I1504" s="99"/>
      <c r="J1504" s="63"/>
      <c r="K1504" s="21"/>
      <c r="L1504" s="21"/>
      <c r="M1504" s="21"/>
      <c r="N1504" s="21"/>
      <c r="O1504" s="21"/>
      <c r="P1504" s="21"/>
      <c r="Q1504" s="21"/>
      <c r="R1504" s="21"/>
      <c r="S1504" s="21"/>
      <c r="T1504" s="63"/>
      <c r="U1504" s="10"/>
      <c r="V1504" s="90"/>
      <c r="W1504" s="91"/>
      <c r="X1504" s="92"/>
    </row>
    <row r="1505" spans="1:24">
      <c r="B1505" s="100" t="s">
        <v>72</v>
      </c>
      <c r="C1505" s="36"/>
      <c r="D1505" s="10"/>
      <c r="E1505" s="10"/>
      <c r="F1505" s="88"/>
      <c r="G1505" s="88"/>
      <c r="H1505" s="88"/>
      <c r="I1505" s="99"/>
      <c r="J1505" s="63"/>
      <c r="K1505" s="63"/>
      <c r="L1505" s="63"/>
      <c r="M1505" s="63"/>
      <c r="N1505" s="63"/>
      <c r="O1505" s="63"/>
      <c r="P1505" s="63"/>
      <c r="Q1505" s="63"/>
      <c r="R1505" s="63"/>
      <c r="S1505" s="63"/>
      <c r="T1505" s="63"/>
      <c r="U1505" s="94"/>
      <c r="V1505" s="90"/>
      <c r="W1505" s="91"/>
      <c r="X1505" s="92"/>
    </row>
    <row r="1506" spans="1:24">
      <c r="B1506" s="87">
        <v>1</v>
      </c>
      <c r="C1506" s="274">
        <v>45950</v>
      </c>
      <c r="D1506" s="276" t="s">
        <v>720</v>
      </c>
      <c r="E1506" s="276" t="s">
        <v>428</v>
      </c>
      <c r="F1506" s="277">
        <v>1314.9</v>
      </c>
      <c r="G1506" s="277">
        <v>39.700000000000003</v>
      </c>
      <c r="H1506" s="277"/>
      <c r="I1506" s="278">
        <f>F1506-G1506-H1506</f>
        <v>1275.2</v>
      </c>
      <c r="J1506" s="279" t="s">
        <v>205</v>
      </c>
      <c r="K1506" s="279">
        <v>1</v>
      </c>
      <c r="L1506" s="279"/>
      <c r="M1506" s="279"/>
      <c r="N1506" s="279">
        <v>1</v>
      </c>
      <c r="O1506" s="279"/>
      <c r="P1506" s="279"/>
      <c r="Q1506" s="279"/>
      <c r="R1506" s="279"/>
      <c r="S1506" s="280"/>
      <c r="T1506" s="63"/>
      <c r="U1506" s="164"/>
      <c r="V1506" s="90"/>
      <c r="W1506" s="91"/>
      <c r="X1506" s="92"/>
    </row>
    <row r="1507" spans="1:24">
      <c r="B1507" s="87">
        <f>B1506+1</f>
        <v>2</v>
      </c>
      <c r="C1507" s="295">
        <v>45950</v>
      </c>
      <c r="D1507" s="10">
        <v>74615</v>
      </c>
      <c r="E1507" s="10" t="s">
        <v>196</v>
      </c>
      <c r="F1507" s="62">
        <v>0</v>
      </c>
      <c r="G1507" s="62">
        <v>0</v>
      </c>
      <c r="H1507" s="62"/>
      <c r="I1507" s="89">
        <f t="shared" ref="I1507:I1517" si="313">F1507-G1507-H1507</f>
        <v>0</v>
      </c>
      <c r="J1507" s="63" t="s">
        <v>205</v>
      </c>
      <c r="K1507" s="63"/>
      <c r="L1507" s="63"/>
      <c r="M1507" s="63"/>
      <c r="N1507" s="63"/>
      <c r="O1507" s="63"/>
      <c r="P1507" s="63"/>
      <c r="Q1507" s="63"/>
      <c r="R1507" s="63"/>
      <c r="S1507" s="296"/>
      <c r="T1507" s="63"/>
      <c r="U1507" s="94"/>
      <c r="V1507" s="90"/>
      <c r="W1507" s="136"/>
      <c r="X1507" s="137"/>
    </row>
    <row r="1508" spans="1:24">
      <c r="B1508" s="87">
        <f t="shared" ref="B1508:B1518" si="314">B1507+1</f>
        <v>3</v>
      </c>
      <c r="C1508" s="295">
        <v>45950</v>
      </c>
      <c r="D1508" s="10">
        <v>74634</v>
      </c>
      <c r="E1508" s="10" t="s">
        <v>609</v>
      </c>
      <c r="F1508" s="62">
        <v>800</v>
      </c>
      <c r="G1508" s="62">
        <v>39.700000000000003</v>
      </c>
      <c r="H1508" s="62"/>
      <c r="I1508" s="89">
        <f t="shared" si="313"/>
        <v>760.3</v>
      </c>
      <c r="J1508" s="63" t="s">
        <v>205</v>
      </c>
      <c r="K1508" s="63">
        <v>1</v>
      </c>
      <c r="L1508" s="63"/>
      <c r="M1508" s="63"/>
      <c r="N1508" s="63">
        <v>1</v>
      </c>
      <c r="O1508" s="63"/>
      <c r="P1508" s="63"/>
      <c r="Q1508" s="63">
        <v>1</v>
      </c>
      <c r="R1508" s="63">
        <v>1</v>
      </c>
      <c r="S1508" s="296">
        <v>1</v>
      </c>
      <c r="T1508" s="63"/>
      <c r="U1508" s="94"/>
      <c r="V1508" s="90"/>
      <c r="W1508" s="136"/>
      <c r="X1508" s="137"/>
    </row>
    <row r="1509" spans="1:24">
      <c r="B1509" s="87">
        <f t="shared" si="314"/>
        <v>4</v>
      </c>
      <c r="C1509" s="274">
        <v>45951</v>
      </c>
      <c r="D1509" s="276">
        <v>74697</v>
      </c>
      <c r="E1509" s="276" t="s">
        <v>507</v>
      </c>
      <c r="F1509" s="277">
        <v>0</v>
      </c>
      <c r="G1509" s="277">
        <v>0</v>
      </c>
      <c r="H1509" s="277"/>
      <c r="I1509" s="278">
        <f t="shared" si="313"/>
        <v>0</v>
      </c>
      <c r="J1509" s="279" t="s">
        <v>205</v>
      </c>
      <c r="K1509" s="279">
        <v>1</v>
      </c>
      <c r="L1509" s="279"/>
      <c r="M1509" s="279"/>
      <c r="N1509" s="279"/>
      <c r="O1509" s="279"/>
      <c r="P1509" s="279"/>
      <c r="Q1509" s="279"/>
      <c r="R1509" s="279"/>
      <c r="S1509" s="280"/>
      <c r="T1509" s="63"/>
      <c r="U1509" s="94"/>
      <c r="V1509" s="90"/>
      <c r="W1509" s="136"/>
      <c r="X1509" s="137"/>
    </row>
    <row r="1510" spans="1:24">
      <c r="B1510" s="87">
        <f t="shared" si="314"/>
        <v>5</v>
      </c>
      <c r="C1510" s="295">
        <v>45951</v>
      </c>
      <c r="D1510" s="10">
        <v>74633</v>
      </c>
      <c r="E1510" s="10" t="s">
        <v>377</v>
      </c>
      <c r="F1510" s="62">
        <v>8214</v>
      </c>
      <c r="G1510" s="62">
        <v>39.700000000000003</v>
      </c>
      <c r="H1510" s="62"/>
      <c r="I1510" s="89">
        <f t="shared" si="313"/>
        <v>8174.3</v>
      </c>
      <c r="J1510" s="63" t="s">
        <v>205</v>
      </c>
      <c r="K1510" s="63">
        <v>1</v>
      </c>
      <c r="L1510" s="63"/>
      <c r="M1510" s="63"/>
      <c r="N1510" s="63">
        <v>1</v>
      </c>
      <c r="O1510" s="63"/>
      <c r="P1510" s="63"/>
      <c r="Q1510" s="63"/>
      <c r="R1510" s="63"/>
      <c r="S1510" s="296"/>
      <c r="T1510" s="63"/>
      <c r="U1510" s="94"/>
      <c r="V1510" s="90"/>
      <c r="W1510" s="136"/>
      <c r="X1510" s="137"/>
    </row>
    <row r="1511" spans="1:24">
      <c r="B1511" s="87">
        <f>B1510+1</f>
        <v>6</v>
      </c>
      <c r="C1511" s="282">
        <v>45951</v>
      </c>
      <c r="D1511" s="283">
        <v>74640</v>
      </c>
      <c r="E1511" s="283" t="s">
        <v>329</v>
      </c>
      <c r="F1511" s="284">
        <v>4461</v>
      </c>
      <c r="G1511" s="284">
        <f>39.7+(16.75+24.2)</f>
        <v>80.650000000000006</v>
      </c>
      <c r="H1511" s="284"/>
      <c r="I1511" s="285">
        <f>F1511-G1511-H1511</f>
        <v>4380.3500000000004</v>
      </c>
      <c r="J1511" s="286" t="s">
        <v>156</v>
      </c>
      <c r="K1511" s="286">
        <v>1</v>
      </c>
      <c r="L1511" s="286"/>
      <c r="M1511" s="286">
        <v>1</v>
      </c>
      <c r="N1511" s="286">
        <v>1</v>
      </c>
      <c r="O1511" s="286">
        <v>1</v>
      </c>
      <c r="P1511" s="286">
        <v>1</v>
      </c>
      <c r="Q1511" s="286"/>
      <c r="R1511" s="286"/>
      <c r="S1511" s="287"/>
      <c r="T1511" s="63"/>
      <c r="U1511" s="94" t="s">
        <v>721</v>
      </c>
      <c r="V1511" s="90">
        <f>490.72</f>
        <v>490.72</v>
      </c>
      <c r="W1511" s="136"/>
      <c r="X1511" s="137"/>
    </row>
    <row r="1512" spans="1:24">
      <c r="B1512" s="87">
        <f>B1511+1</f>
        <v>7</v>
      </c>
      <c r="C1512" s="274">
        <v>45952</v>
      </c>
      <c r="D1512" s="276">
        <v>74682</v>
      </c>
      <c r="E1512" s="281" t="s">
        <v>456</v>
      </c>
      <c r="F1512" s="277">
        <v>3977.1</v>
      </c>
      <c r="G1512" s="277">
        <v>39.700000000000003</v>
      </c>
      <c r="H1512" s="277"/>
      <c r="I1512" s="278">
        <f t="shared" si="313"/>
        <v>3937.4</v>
      </c>
      <c r="J1512" s="279" t="s">
        <v>205</v>
      </c>
      <c r="K1512" s="279">
        <v>1</v>
      </c>
      <c r="L1512" s="279"/>
      <c r="M1512" s="279"/>
      <c r="N1512" s="279">
        <v>1</v>
      </c>
      <c r="O1512" s="279"/>
      <c r="P1512" s="279"/>
      <c r="Q1512" s="279">
        <v>1</v>
      </c>
      <c r="R1512" s="279">
        <v>1</v>
      </c>
      <c r="S1512" s="280">
        <v>1</v>
      </c>
      <c r="T1512" s="63"/>
      <c r="U1512" s="94"/>
      <c r="V1512" s="90"/>
      <c r="W1512" s="136"/>
      <c r="X1512" s="137"/>
    </row>
    <row r="1513" spans="1:24">
      <c r="B1513" s="87">
        <f t="shared" si="314"/>
        <v>8</v>
      </c>
      <c r="C1513" s="295">
        <v>45952</v>
      </c>
      <c r="D1513" s="10">
        <v>74618</v>
      </c>
      <c r="E1513" s="101" t="s">
        <v>158</v>
      </c>
      <c r="F1513" s="62">
        <v>1616</v>
      </c>
      <c r="G1513" s="62">
        <v>39.700000000000003</v>
      </c>
      <c r="H1513" s="62"/>
      <c r="I1513" s="89">
        <f t="shared" si="313"/>
        <v>1576.3</v>
      </c>
      <c r="J1513" s="63" t="s">
        <v>205</v>
      </c>
      <c r="K1513" s="63">
        <v>1</v>
      </c>
      <c r="L1513" s="63"/>
      <c r="M1513" s="63"/>
      <c r="N1513" s="63">
        <v>1</v>
      </c>
      <c r="O1513" s="63"/>
      <c r="P1513" s="63"/>
      <c r="Q1513" s="63">
        <v>1</v>
      </c>
      <c r="R1513" s="63">
        <v>1</v>
      </c>
      <c r="S1513" s="296">
        <v>1</v>
      </c>
      <c r="T1513" s="63"/>
      <c r="U1513" s="94"/>
      <c r="V1513" s="90"/>
      <c r="W1513" s="136"/>
      <c r="X1513" s="137"/>
    </row>
    <row r="1514" spans="1:24">
      <c r="B1514" s="87">
        <f t="shared" si="314"/>
        <v>9</v>
      </c>
      <c r="C1514" s="295">
        <v>45952</v>
      </c>
      <c r="D1514" s="10" t="s">
        <v>722</v>
      </c>
      <c r="E1514" s="10" t="s">
        <v>158</v>
      </c>
      <c r="F1514" s="62">
        <v>16214</v>
      </c>
      <c r="G1514" s="62">
        <v>39.700000000000003</v>
      </c>
      <c r="H1514" s="62"/>
      <c r="I1514" s="89">
        <f t="shared" si="313"/>
        <v>16174.3</v>
      </c>
      <c r="J1514" s="63" t="s">
        <v>156</v>
      </c>
      <c r="K1514" s="63">
        <v>1</v>
      </c>
      <c r="L1514" s="63"/>
      <c r="M1514" s="63">
        <v>1</v>
      </c>
      <c r="N1514" s="63"/>
      <c r="O1514" s="63"/>
      <c r="P1514" s="63"/>
      <c r="Q1514" s="63"/>
      <c r="R1514" s="63"/>
      <c r="S1514" s="296"/>
      <c r="T1514" s="63"/>
      <c r="U1514" s="94" t="s">
        <v>723</v>
      </c>
      <c r="V1514" s="90">
        <v>1783.54</v>
      </c>
      <c r="W1514" s="136"/>
      <c r="X1514" s="137"/>
    </row>
    <row r="1515" spans="1:24">
      <c r="B1515" s="87">
        <f t="shared" si="314"/>
        <v>10</v>
      </c>
      <c r="C1515" s="274">
        <v>45953</v>
      </c>
      <c r="D1515" s="275" t="s">
        <v>724</v>
      </c>
      <c r="E1515" s="276" t="s">
        <v>271</v>
      </c>
      <c r="F1515" s="277">
        <v>6845</v>
      </c>
      <c r="G1515" s="277">
        <v>39.700000000000003</v>
      </c>
      <c r="H1515" s="277"/>
      <c r="I1515" s="278">
        <f t="shared" si="313"/>
        <v>6805.3</v>
      </c>
      <c r="J1515" s="279" t="s">
        <v>205</v>
      </c>
      <c r="K1515" s="279">
        <v>1</v>
      </c>
      <c r="L1515" s="279"/>
      <c r="M1515" s="279"/>
      <c r="N1515" s="279">
        <v>1</v>
      </c>
      <c r="O1515" s="279"/>
      <c r="P1515" s="279"/>
      <c r="Q1515" s="279"/>
      <c r="R1515" s="279"/>
      <c r="S1515" s="280"/>
      <c r="T1515" s="63"/>
      <c r="U1515" s="94"/>
      <c r="V1515" s="90"/>
      <c r="W1515" s="136"/>
      <c r="X1515" s="137"/>
    </row>
    <row r="1516" spans="1:24">
      <c r="B1516" s="87">
        <f t="shared" si="314"/>
        <v>11</v>
      </c>
      <c r="C1516" s="274">
        <v>45954</v>
      </c>
      <c r="D1516" s="276">
        <v>74831</v>
      </c>
      <c r="E1516" s="281" t="s">
        <v>725</v>
      </c>
      <c r="F1516" s="277">
        <f>3046-185</f>
        <v>2861</v>
      </c>
      <c r="G1516" s="277">
        <v>39.700000000000003</v>
      </c>
      <c r="H1516" s="277"/>
      <c r="I1516" s="278">
        <f t="shared" si="313"/>
        <v>2821.3</v>
      </c>
      <c r="J1516" s="279" t="s">
        <v>156</v>
      </c>
      <c r="K1516" s="279">
        <v>1</v>
      </c>
      <c r="L1516" s="279"/>
      <c r="M1516" s="279">
        <v>1</v>
      </c>
      <c r="N1516" s="279">
        <v>1</v>
      </c>
      <c r="O1516" s="279"/>
      <c r="P1516" s="279"/>
      <c r="Q1516" s="279">
        <v>1</v>
      </c>
      <c r="R1516" s="279">
        <v>1</v>
      </c>
      <c r="S1516" s="280">
        <v>1</v>
      </c>
      <c r="T1516" s="63"/>
      <c r="U1516" s="94"/>
      <c r="V1516" s="90">
        <v>203.5</v>
      </c>
      <c r="W1516" s="136"/>
      <c r="X1516" s="137"/>
    </row>
    <row r="1517" spans="1:24">
      <c r="B1517" s="87">
        <f t="shared" si="314"/>
        <v>12</v>
      </c>
      <c r="C1517" s="295">
        <v>45954</v>
      </c>
      <c r="D1517" s="77" t="s">
        <v>726</v>
      </c>
      <c r="E1517" s="10" t="s">
        <v>715</v>
      </c>
      <c r="F1517" s="62">
        <v>13137.3</v>
      </c>
      <c r="G1517" s="62">
        <v>39.700000000000003</v>
      </c>
      <c r="H1517" s="62"/>
      <c r="I1517" s="89">
        <f t="shared" si="313"/>
        <v>13097.599999999999</v>
      </c>
      <c r="J1517" s="63" t="s">
        <v>205</v>
      </c>
      <c r="K1517" s="63">
        <v>1</v>
      </c>
      <c r="L1517" s="63"/>
      <c r="M1517" s="63"/>
      <c r="N1517" s="63">
        <v>1</v>
      </c>
      <c r="O1517" s="63"/>
      <c r="P1517" s="63"/>
      <c r="Q1517" s="63"/>
      <c r="R1517" s="63"/>
      <c r="S1517" s="296"/>
      <c r="T1517" s="63"/>
      <c r="U1517" s="94"/>
      <c r="V1517" s="90"/>
      <c r="W1517" s="136"/>
      <c r="X1517" s="137"/>
    </row>
    <row r="1518" spans="1:24" s="260" customFormat="1">
      <c r="A1518" s="260" t="s">
        <v>727</v>
      </c>
      <c r="B1518" s="87">
        <f t="shared" si="314"/>
        <v>13</v>
      </c>
      <c r="C1518" s="282">
        <v>45954</v>
      </c>
      <c r="D1518" s="283">
        <v>74749</v>
      </c>
      <c r="E1518" s="283" t="s">
        <v>728</v>
      </c>
      <c r="F1518" s="284">
        <v>1196</v>
      </c>
      <c r="G1518" s="284">
        <f>39.7</f>
        <v>39.700000000000003</v>
      </c>
      <c r="H1518" s="284"/>
      <c r="I1518" s="285">
        <f>F1518-G1518-H1518</f>
        <v>1156.3</v>
      </c>
      <c r="J1518" s="286" t="s">
        <v>156</v>
      </c>
      <c r="K1518" s="286">
        <v>1</v>
      </c>
      <c r="L1518" s="286"/>
      <c r="M1518" s="286">
        <v>1</v>
      </c>
      <c r="N1518" s="286">
        <v>1</v>
      </c>
      <c r="O1518" s="286">
        <v>1</v>
      </c>
      <c r="P1518" s="286">
        <v>1</v>
      </c>
      <c r="Q1518" s="286"/>
      <c r="R1518" s="286"/>
      <c r="S1518" s="287"/>
      <c r="T1518" s="63"/>
      <c r="U1518" s="94" t="s">
        <v>729</v>
      </c>
      <c r="V1518" s="90">
        <f>132</f>
        <v>132</v>
      </c>
      <c r="W1518" s="136"/>
      <c r="X1518" s="137"/>
    </row>
    <row r="1519" spans="1:24">
      <c r="B1519" s="11"/>
      <c r="C1519" s="36"/>
      <c r="D1519" s="10"/>
      <c r="E1519" s="10"/>
      <c r="F1519" s="97">
        <f>SUM(F1506:F1518)</f>
        <v>60636.3</v>
      </c>
      <c r="G1519" s="97">
        <f t="shared" ref="G1519:I1519" si="315">SUM(G1506:G1518)</f>
        <v>477.64999999999992</v>
      </c>
      <c r="H1519" s="97">
        <f t="shared" si="315"/>
        <v>0</v>
      </c>
      <c r="I1519" s="97">
        <f t="shared" si="315"/>
        <v>60158.65</v>
      </c>
      <c r="J1519" s="10"/>
      <c r="K1519" s="10"/>
      <c r="L1519" s="10"/>
      <c r="M1519" s="10"/>
      <c r="N1519" s="10"/>
      <c r="O1519" s="10"/>
      <c r="P1519" s="10"/>
      <c r="Q1519" s="10"/>
      <c r="R1519" s="10"/>
      <c r="S1519" s="10"/>
      <c r="T1519" s="63"/>
      <c r="U1519" s="94"/>
      <c r="V1519" s="90"/>
      <c r="W1519" s="91"/>
      <c r="X1519" s="92"/>
    </row>
    <row r="1520" spans="1:24">
      <c r="B1520" s="11"/>
      <c r="C1520" s="36"/>
      <c r="D1520" s="10"/>
      <c r="E1520" s="10"/>
      <c r="F1520" s="88"/>
      <c r="G1520" s="88"/>
      <c r="H1520" s="88"/>
      <c r="I1520" s="99"/>
      <c r="J1520" s="10"/>
      <c r="K1520" s="10"/>
      <c r="L1520" s="10"/>
      <c r="M1520" s="10"/>
      <c r="N1520" s="10"/>
      <c r="O1520" s="10"/>
      <c r="P1520" s="10"/>
      <c r="Q1520" s="10"/>
      <c r="R1520" s="10"/>
      <c r="S1520" s="10"/>
      <c r="T1520" s="63"/>
      <c r="U1520" s="94"/>
      <c r="V1520" s="165"/>
      <c r="W1520" s="166"/>
      <c r="X1520" s="167"/>
    </row>
    <row r="1521" spans="2:24">
      <c r="B1521" s="100" t="s">
        <v>73</v>
      </c>
      <c r="C1521" s="36"/>
      <c r="D1521" s="10"/>
      <c r="E1521" s="10"/>
      <c r="F1521" s="88"/>
      <c r="G1521" s="88"/>
      <c r="H1521" s="88"/>
      <c r="I1521" s="99"/>
      <c r="J1521" s="63"/>
      <c r="K1521" s="63"/>
      <c r="L1521" s="63"/>
      <c r="M1521" s="63"/>
      <c r="N1521" s="63"/>
      <c r="O1521" s="63"/>
      <c r="P1521" s="63"/>
      <c r="Q1521" s="63"/>
      <c r="R1521" s="63"/>
      <c r="S1521" s="63"/>
      <c r="T1521" s="63"/>
      <c r="U1521" s="94"/>
      <c r="V1521" s="90"/>
      <c r="W1521" s="91"/>
      <c r="X1521" s="92"/>
    </row>
    <row r="1522" spans="2:24">
      <c r="B1522" s="87">
        <v>1</v>
      </c>
      <c r="C1522" s="274">
        <v>45955</v>
      </c>
      <c r="D1522" s="276">
        <v>74500</v>
      </c>
      <c r="E1522" s="276" t="s">
        <v>155</v>
      </c>
      <c r="F1522" s="277">
        <v>0</v>
      </c>
      <c r="G1522" s="277">
        <v>0</v>
      </c>
      <c r="H1522" s="277"/>
      <c r="I1522" s="278">
        <f t="shared" ref="I1522:I1523" si="316">F1522-G1522-H1522</f>
        <v>0</v>
      </c>
      <c r="J1522" s="279" t="s">
        <v>205</v>
      </c>
      <c r="K1522" s="279">
        <v>1</v>
      </c>
      <c r="L1522" s="279"/>
      <c r="M1522" s="279"/>
      <c r="N1522" s="279"/>
      <c r="O1522" s="279"/>
      <c r="P1522" s="279"/>
      <c r="Q1522" s="279">
        <v>1</v>
      </c>
      <c r="R1522" s="279">
        <v>1</v>
      </c>
      <c r="S1522" s="280">
        <v>1</v>
      </c>
      <c r="T1522" s="63"/>
      <c r="U1522" s="139"/>
      <c r="V1522" s="90"/>
      <c r="W1522" s="91"/>
      <c r="X1522" s="92"/>
    </row>
    <row r="1523" spans="2:24">
      <c r="B1523" s="87">
        <f>B1522+1</f>
        <v>2</v>
      </c>
      <c r="C1523" s="282">
        <v>45955</v>
      </c>
      <c r="D1523" s="283">
        <v>74693</v>
      </c>
      <c r="E1523" s="283" t="s">
        <v>168</v>
      </c>
      <c r="F1523" s="284">
        <v>0</v>
      </c>
      <c r="G1523" s="284">
        <v>0</v>
      </c>
      <c r="H1523" s="284"/>
      <c r="I1523" s="285">
        <f t="shared" si="316"/>
        <v>0</v>
      </c>
      <c r="J1523" s="286" t="s">
        <v>205</v>
      </c>
      <c r="K1523" s="286">
        <v>1</v>
      </c>
      <c r="L1523" s="286"/>
      <c r="M1523" s="286"/>
      <c r="N1523" s="286"/>
      <c r="O1523" s="286"/>
      <c r="P1523" s="286"/>
      <c r="Q1523" s="286">
        <v>1</v>
      </c>
      <c r="R1523" s="286">
        <v>1</v>
      </c>
      <c r="S1523" s="287">
        <v>1</v>
      </c>
      <c r="T1523" s="63"/>
      <c r="U1523" s="94"/>
      <c r="V1523" s="90"/>
      <c r="W1523" s="136"/>
      <c r="X1523" s="137"/>
    </row>
    <row r="1524" spans="2:24">
      <c r="B1524" s="11"/>
      <c r="C1524" s="609"/>
      <c r="D1524" s="10"/>
      <c r="E1524" s="10"/>
      <c r="F1524" s="97">
        <f>SUM(F1522:F1523)</f>
        <v>0</v>
      </c>
      <c r="G1524" s="97">
        <f>SUM(G1522:G1523)</f>
        <v>0</v>
      </c>
      <c r="H1524" s="97">
        <f>SUM(H1522:H1523)</f>
        <v>0</v>
      </c>
      <c r="I1524" s="98">
        <f>SUM(I1522:I1523)</f>
        <v>0</v>
      </c>
      <c r="J1524" s="10"/>
      <c r="K1524" s="10"/>
      <c r="L1524" s="10"/>
      <c r="M1524" s="10"/>
      <c r="N1524" s="10"/>
      <c r="O1524" s="10"/>
      <c r="P1524" s="10"/>
      <c r="Q1524" s="10"/>
      <c r="R1524" s="10"/>
      <c r="S1524" s="10"/>
      <c r="T1524" s="63"/>
      <c r="U1524" s="94"/>
      <c r="V1524" s="90"/>
      <c r="W1524" s="91"/>
      <c r="X1524" s="92"/>
    </row>
    <row r="1525" spans="2:24">
      <c r="B1525" s="26"/>
      <c r="C1525" s="612"/>
      <c r="D1525" s="141"/>
      <c r="E1525" s="141"/>
      <c r="F1525" s="141"/>
      <c r="G1525" s="141"/>
      <c r="H1525" s="141"/>
      <c r="I1525" s="141"/>
      <c r="J1525" s="141"/>
      <c r="K1525" s="142"/>
      <c r="L1525" s="142"/>
      <c r="M1525" s="142"/>
      <c r="N1525" s="142"/>
      <c r="O1525" s="142"/>
      <c r="P1525" s="142"/>
      <c r="Q1525" s="142"/>
      <c r="R1525" s="142"/>
      <c r="S1525" s="142"/>
      <c r="T1525" s="143">
        <f>SUM(T1452:T1524)</f>
        <v>5</v>
      </c>
      <c r="U1525" s="168"/>
      <c r="V1525" s="144">
        <f>SUM(V1452:V1524)</f>
        <v>41579.679999999986</v>
      </c>
      <c r="W1525" s="145">
        <f>SUM(W1452:W1524)</f>
        <v>80</v>
      </c>
      <c r="X1525" s="146">
        <f>SUM(X1452:X1524)</f>
        <v>0</v>
      </c>
    </row>
    <row r="1526" spans="2:24">
      <c r="B1526" s="2"/>
      <c r="C1526" s="2"/>
      <c r="D1526" s="2"/>
      <c r="E1526" s="2"/>
      <c r="F1526" s="2"/>
      <c r="G1526" s="2"/>
      <c r="H1526" s="2"/>
      <c r="I1526" s="2"/>
      <c r="J1526" s="2"/>
      <c r="K1526" s="2"/>
      <c r="L1526" s="2"/>
      <c r="M1526" s="2"/>
      <c r="N1526" s="2"/>
      <c r="O1526" s="2"/>
      <c r="P1526" s="2"/>
      <c r="Q1526" s="2"/>
      <c r="R1526" s="2"/>
      <c r="S1526" s="2"/>
      <c r="T1526" s="2"/>
      <c r="U1526" s="2"/>
      <c r="V1526" s="2"/>
      <c r="W1526" s="2"/>
      <c r="X1526" s="2"/>
    </row>
    <row r="1528" spans="2:24">
      <c r="B1528" s="4" t="s">
        <v>1</v>
      </c>
      <c r="C1528" s="5"/>
      <c r="D1528" s="83"/>
      <c r="E1528" s="6"/>
      <c r="F1528" s="7" t="s">
        <v>2</v>
      </c>
      <c r="G1528" s="608">
        <v>45963</v>
      </c>
      <c r="H1528" s="7"/>
      <c r="I1528" s="6"/>
      <c r="J1528" s="6"/>
      <c r="K1528" s="6"/>
      <c r="L1528" s="6"/>
      <c r="M1528" s="6"/>
      <c r="N1528" s="6"/>
      <c r="O1528" s="6"/>
      <c r="P1528" s="6"/>
      <c r="Q1528" s="6"/>
      <c r="R1528" s="6"/>
      <c r="S1528" s="6"/>
      <c r="T1528" s="6"/>
      <c r="U1528" s="149"/>
      <c r="V1528" s="77"/>
      <c r="W1528" s="77"/>
      <c r="X1528" s="77"/>
    </row>
    <row r="1529" spans="2:24">
      <c r="B1529" s="11"/>
      <c r="C1529" s="10"/>
      <c r="D1529" s="63"/>
      <c r="E1529" s="10"/>
      <c r="F1529" s="10"/>
      <c r="G1529" s="7"/>
      <c r="H1529" s="12"/>
      <c r="I1529" s="10"/>
      <c r="J1529" s="10"/>
      <c r="K1529" s="13" t="s">
        <v>3</v>
      </c>
      <c r="L1529" s="14"/>
      <c r="M1529" s="15"/>
      <c r="N1529" s="13" t="s">
        <v>4</v>
      </c>
      <c r="O1529" s="14"/>
      <c r="P1529" s="15"/>
      <c r="Q1529" s="13" t="s">
        <v>5</v>
      </c>
      <c r="R1529" s="14"/>
      <c r="S1529" s="15"/>
      <c r="T1529" s="16"/>
      <c r="U1529" s="151"/>
      <c r="V1529" s="77"/>
      <c r="W1529" s="77"/>
      <c r="X1529" s="77"/>
    </row>
    <row r="1530" spans="2:24">
      <c r="B1530" s="18" t="s">
        <v>6</v>
      </c>
      <c r="C1530" s="19">
        <f>C1531+C1532</f>
        <v>31</v>
      </c>
      <c r="D1530" s="63"/>
      <c r="E1530" s="18" t="s">
        <v>7</v>
      </c>
      <c r="F1530" s="6"/>
      <c r="G1530" s="9"/>
      <c r="H1530" s="10"/>
      <c r="I1530" s="10"/>
      <c r="J1530" s="10"/>
      <c r="K1530" s="20" t="s">
        <v>8</v>
      </c>
      <c r="L1530" s="21" t="s">
        <v>9</v>
      </c>
      <c r="M1530" s="21" t="s">
        <v>10</v>
      </c>
      <c r="N1530" s="20" t="s">
        <v>11</v>
      </c>
      <c r="O1530" s="21" t="s">
        <v>12</v>
      </c>
      <c r="P1530" s="22" t="s">
        <v>13</v>
      </c>
      <c r="Q1530" s="21" t="s">
        <v>11</v>
      </c>
      <c r="R1530" s="21" t="s">
        <v>12</v>
      </c>
      <c r="S1530" s="22" t="s">
        <v>13</v>
      </c>
      <c r="T1530" s="23" t="s">
        <v>14</v>
      </c>
      <c r="U1530" s="151"/>
      <c r="V1530" s="77"/>
      <c r="W1530" s="77"/>
      <c r="X1530" s="77"/>
    </row>
    <row r="1531" spans="2:24">
      <c r="B1531" s="24" t="s">
        <v>15</v>
      </c>
      <c r="C1531" s="25">
        <f>P1538</f>
        <v>13</v>
      </c>
      <c r="D1531" s="63"/>
      <c r="E1531" s="11" t="s">
        <v>16</v>
      </c>
      <c r="F1531" s="10" t="s">
        <v>78</v>
      </c>
      <c r="G1531" s="153">
        <v>0.05</v>
      </c>
      <c r="H1531" s="10"/>
      <c r="I1531" s="10"/>
      <c r="J1531" s="18" t="s">
        <v>17</v>
      </c>
      <c r="K1531" s="29">
        <f>K1569</f>
        <v>12</v>
      </c>
      <c r="L1531" s="29">
        <f t="shared" ref="L1531:S1531" si="317">L1569</f>
        <v>12</v>
      </c>
      <c r="M1531" s="29">
        <f t="shared" si="317"/>
        <v>10</v>
      </c>
      <c r="N1531" s="29">
        <f t="shared" si="317"/>
        <v>12</v>
      </c>
      <c r="O1531" s="29">
        <f t="shared" si="317"/>
        <v>12</v>
      </c>
      <c r="P1531" s="29">
        <f t="shared" si="317"/>
        <v>12</v>
      </c>
      <c r="Q1531" s="29">
        <f t="shared" si="317"/>
        <v>11</v>
      </c>
      <c r="R1531" s="29">
        <f t="shared" si="317"/>
        <v>11</v>
      </c>
      <c r="S1531" s="29">
        <f t="shared" si="317"/>
        <v>11</v>
      </c>
      <c r="T1531" s="30">
        <f>T1619</f>
        <v>4</v>
      </c>
      <c r="U1531" s="151" t="s">
        <v>730</v>
      </c>
      <c r="V1531" s="77"/>
      <c r="W1531" s="77"/>
      <c r="X1531" s="77"/>
    </row>
    <row r="1532" spans="2:24">
      <c r="B1532" s="24" t="s">
        <v>18</v>
      </c>
      <c r="C1532" s="25">
        <f>P1539</f>
        <v>18</v>
      </c>
      <c r="D1532" s="63"/>
      <c r="E1532" s="26" t="s">
        <v>80</v>
      </c>
      <c r="F1532" s="141" t="s">
        <v>81</v>
      </c>
      <c r="G1532" s="154">
        <v>0.1</v>
      </c>
      <c r="H1532" s="10"/>
      <c r="I1532" s="10"/>
      <c r="J1532" s="32" t="s">
        <v>19</v>
      </c>
      <c r="K1532" s="33">
        <f>K1569/K1568</f>
        <v>1</v>
      </c>
      <c r="L1532" s="33">
        <f t="shared" ref="L1532:S1532" si="318">L1569/L1568</f>
        <v>1</v>
      </c>
      <c r="M1532" s="33">
        <f t="shared" si="318"/>
        <v>0.83333333333333337</v>
      </c>
      <c r="N1532" s="33">
        <f t="shared" si="318"/>
        <v>1</v>
      </c>
      <c r="O1532" s="33">
        <f t="shared" si="318"/>
        <v>1</v>
      </c>
      <c r="P1532" s="33">
        <f t="shared" si="318"/>
        <v>1</v>
      </c>
      <c r="Q1532" s="33">
        <f t="shared" si="318"/>
        <v>0.91666666666666663</v>
      </c>
      <c r="R1532" s="33">
        <f t="shared" si="318"/>
        <v>0.91666666666666663</v>
      </c>
      <c r="S1532" s="33">
        <f t="shared" si="318"/>
        <v>0.91666666666666663</v>
      </c>
      <c r="T1532" s="23">
        <v>1</v>
      </c>
      <c r="U1532" s="151" t="s">
        <v>20</v>
      </c>
      <c r="V1532" s="77"/>
      <c r="W1532" s="77"/>
      <c r="X1532" s="77"/>
    </row>
    <row r="1533" spans="2:24">
      <c r="B1533" s="24" t="s">
        <v>21</v>
      </c>
      <c r="C1533" s="34">
        <f>P1540</f>
        <v>0.41935483870967744</v>
      </c>
      <c r="D1533" s="63"/>
      <c r="E1533" s="10"/>
      <c r="F1533" s="10"/>
      <c r="G1533" s="10"/>
      <c r="H1533" s="10"/>
      <c r="I1533" s="10"/>
      <c r="J1533" s="10"/>
      <c r="K1533" s="10"/>
      <c r="L1533" s="10"/>
      <c r="M1533" s="10"/>
      <c r="N1533" s="10"/>
      <c r="O1533" s="10"/>
      <c r="P1533" s="10"/>
      <c r="Q1533" s="10"/>
      <c r="R1533" s="10"/>
      <c r="S1533" s="10"/>
      <c r="T1533" s="10"/>
      <c r="U1533" s="151"/>
      <c r="V1533" s="77"/>
      <c r="W1533" s="77"/>
      <c r="X1533" s="77"/>
    </row>
    <row r="1534" spans="2:24">
      <c r="B1534" s="24"/>
      <c r="C1534" s="25"/>
      <c r="D1534" s="63"/>
      <c r="E1534" s="10"/>
      <c r="F1534" s="18" t="s">
        <v>22</v>
      </c>
      <c r="G1534" s="19" t="s">
        <v>23</v>
      </c>
      <c r="H1534" s="35" t="s">
        <v>24</v>
      </c>
      <c r="I1534" s="10"/>
      <c r="J1534" s="10"/>
      <c r="K1534" s="36"/>
      <c r="L1534" s="36"/>
      <c r="M1534" s="36"/>
      <c r="N1534" s="36"/>
      <c r="O1534" s="36"/>
      <c r="P1534" s="36"/>
      <c r="Q1534" s="36"/>
      <c r="R1534" s="10"/>
      <c r="S1534" s="10"/>
      <c r="T1534" s="10"/>
      <c r="U1534" s="151"/>
      <c r="V1534" s="77"/>
      <c r="W1534" s="77"/>
      <c r="X1534" s="77"/>
    </row>
    <row r="1535" spans="2:24">
      <c r="B1535" s="32" t="s">
        <v>25</v>
      </c>
      <c r="C1535" s="37">
        <f>P1541</f>
        <v>1956.5646153846153</v>
      </c>
      <c r="D1535" s="63"/>
      <c r="E1535" s="18" t="s">
        <v>26</v>
      </c>
      <c r="F1535" s="38">
        <f>P1537</f>
        <v>25435.34</v>
      </c>
      <c r="G1535" s="39">
        <f>I1568+I1584</f>
        <v>25435.339999999997</v>
      </c>
      <c r="H1535" s="40"/>
      <c r="I1535" s="41"/>
      <c r="J1535" s="42"/>
      <c r="K1535" s="43" t="s">
        <v>27</v>
      </c>
      <c r="L1535" s="44"/>
      <c r="M1535" s="44"/>
      <c r="N1535" s="44"/>
      <c r="O1535" s="44"/>
      <c r="P1535" s="44"/>
      <c r="Q1535" s="45"/>
      <c r="R1535" s="46" t="s">
        <v>28</v>
      </c>
      <c r="S1535" s="47" t="s">
        <v>29</v>
      </c>
      <c r="T1535" s="10"/>
      <c r="U1535" s="151"/>
      <c r="V1535" s="77"/>
      <c r="W1535" s="77"/>
      <c r="X1535" s="77"/>
    </row>
    <row r="1536" spans="2:24">
      <c r="B1536" s="11"/>
      <c r="C1536" s="10"/>
      <c r="D1536" s="63"/>
      <c r="E1536" s="24" t="s">
        <v>30</v>
      </c>
      <c r="F1536" s="48">
        <f>IF(F1535&gt;=25000,10%,5%)</f>
        <v>0.1</v>
      </c>
      <c r="G1536" s="17"/>
      <c r="H1536" s="40"/>
      <c r="I1536" s="41"/>
      <c r="J1536" s="42"/>
      <c r="K1536" s="20" t="s">
        <v>31</v>
      </c>
      <c r="L1536" s="21" t="s">
        <v>32</v>
      </c>
      <c r="M1536" s="21" t="s">
        <v>33</v>
      </c>
      <c r="N1536" s="21" t="s">
        <v>34</v>
      </c>
      <c r="O1536" s="21" t="s">
        <v>35</v>
      </c>
      <c r="P1536" s="21" t="s">
        <v>36</v>
      </c>
      <c r="Q1536" s="49" t="s">
        <v>37</v>
      </c>
      <c r="R1536" s="50" t="s">
        <v>38</v>
      </c>
      <c r="S1536" s="50" t="s">
        <v>38</v>
      </c>
      <c r="T1536" s="10"/>
      <c r="U1536" s="151"/>
      <c r="V1536" s="77"/>
      <c r="W1536" s="77"/>
      <c r="X1536" s="77"/>
    </row>
    <row r="1537" spans="2:24">
      <c r="B1537" s="11"/>
      <c r="C1537" s="10"/>
      <c r="D1537" s="63"/>
      <c r="E1537" s="51" t="s">
        <v>39</v>
      </c>
      <c r="F1537" s="52">
        <f>F1535*F1536</f>
        <v>2543.5340000000001</v>
      </c>
      <c r="G1537" s="53" t="s">
        <v>40</v>
      </c>
      <c r="H1537" s="54">
        <f>F1537/1.12</f>
        <v>2271.0124999999998</v>
      </c>
      <c r="I1537" s="55"/>
      <c r="J1537" s="42"/>
      <c r="K1537" s="56">
        <f>I1556+I1557</f>
        <v>6021.7000000000007</v>
      </c>
      <c r="L1537" s="57">
        <f>I1558+I1559</f>
        <v>1711.1999999999998</v>
      </c>
      <c r="M1537" s="57">
        <f>I1560</f>
        <v>1098.3</v>
      </c>
      <c r="N1537" s="57">
        <f>I1561+I1562+I1563+I1564</f>
        <v>5782.2000000000007</v>
      </c>
      <c r="O1537" s="57">
        <f>I1565+I1566+I1567+I1583</f>
        <v>10821.939999999999</v>
      </c>
      <c r="P1537" s="57">
        <f>SUM(K1537:O1537)</f>
        <v>25435.34</v>
      </c>
      <c r="Q1537" s="58">
        <v>0</v>
      </c>
      <c r="R1537" s="59">
        <f>+I1584</f>
        <v>6937.62</v>
      </c>
      <c r="S1537" s="59">
        <v>0</v>
      </c>
      <c r="T1537" s="10"/>
      <c r="U1537" s="151"/>
      <c r="V1537" s="77"/>
      <c r="W1537" s="77"/>
      <c r="X1537" s="77"/>
    </row>
    <row r="1538" spans="2:24">
      <c r="B1538" s="11"/>
      <c r="C1538" s="10"/>
      <c r="D1538" s="63"/>
      <c r="E1538" s="24" t="s">
        <v>41</v>
      </c>
      <c r="F1538" s="60">
        <f>Q1537</f>
        <v>0</v>
      </c>
      <c r="G1538" s="61" t="s">
        <v>40</v>
      </c>
      <c r="H1538" s="62"/>
      <c r="I1538" s="62"/>
      <c r="J1538" s="10" t="s">
        <v>42</v>
      </c>
      <c r="K1538" s="63">
        <v>2</v>
      </c>
      <c r="L1538" s="63">
        <v>2</v>
      </c>
      <c r="M1538" s="63">
        <v>1</v>
      </c>
      <c r="N1538" s="63">
        <v>4</v>
      </c>
      <c r="O1538" s="63">
        <v>4</v>
      </c>
      <c r="P1538" s="21">
        <f>SUM(K1538:O1538)</f>
        <v>13</v>
      </c>
      <c r="Q1538" s="64"/>
      <c r="R1538" s="63"/>
      <c r="S1538" s="10"/>
      <c r="T1538" s="10"/>
      <c r="U1538" s="151"/>
      <c r="V1538" s="77"/>
      <c r="W1538" s="77"/>
      <c r="X1538" s="77"/>
    </row>
    <row r="1539" spans="2:24">
      <c r="B1539" s="11"/>
      <c r="C1539" s="10"/>
      <c r="D1539" s="63"/>
      <c r="E1539" s="51" t="s">
        <v>43</v>
      </c>
      <c r="F1539" s="52">
        <f>F1538*0.25</f>
        <v>0</v>
      </c>
      <c r="G1539" s="53" t="s">
        <v>40</v>
      </c>
      <c r="H1539" s="54">
        <f>F1539/1.12</f>
        <v>0</v>
      </c>
      <c r="I1539" s="10"/>
      <c r="J1539" s="10" t="s">
        <v>44</v>
      </c>
      <c r="K1539" s="63">
        <v>1</v>
      </c>
      <c r="L1539" s="63">
        <v>3</v>
      </c>
      <c r="M1539" s="63">
        <v>4</v>
      </c>
      <c r="N1539" s="63">
        <v>4</v>
      </c>
      <c r="O1539" s="63">
        <v>6</v>
      </c>
      <c r="P1539" s="21">
        <f>SUM(K1539:O1539)</f>
        <v>18</v>
      </c>
      <c r="Q1539" s="64"/>
      <c r="R1539" s="63"/>
      <c r="S1539" s="10"/>
      <c r="T1539" s="10"/>
      <c r="U1539" s="151"/>
      <c r="V1539" s="77"/>
      <c r="W1539" s="77"/>
      <c r="X1539" s="77"/>
    </row>
    <row r="1540" spans="2:24">
      <c r="B1540" s="11"/>
      <c r="C1540" s="10"/>
      <c r="D1540" s="63"/>
      <c r="E1540" s="24" t="s">
        <v>45</v>
      </c>
      <c r="F1540" s="60">
        <v>0</v>
      </c>
      <c r="G1540" s="61" t="s">
        <v>40</v>
      </c>
      <c r="H1540" s="62"/>
      <c r="I1540" s="10"/>
      <c r="J1540" s="10" t="s">
        <v>46</v>
      </c>
      <c r="K1540" s="31">
        <f t="shared" ref="K1540:Q1540" si="319">K1538/(K1538+K1539)</f>
        <v>0.66666666666666663</v>
      </c>
      <c r="L1540" s="31">
        <f t="shared" si="319"/>
        <v>0.4</v>
      </c>
      <c r="M1540" s="31">
        <f t="shared" si="319"/>
        <v>0.2</v>
      </c>
      <c r="N1540" s="31">
        <f t="shared" si="319"/>
        <v>0.5</v>
      </c>
      <c r="O1540" s="31">
        <f t="shared" si="319"/>
        <v>0.4</v>
      </c>
      <c r="P1540" s="31">
        <f t="shared" si="319"/>
        <v>0.41935483870967744</v>
      </c>
      <c r="Q1540" s="31" t="e">
        <f t="shared" si="319"/>
        <v>#DIV/0!</v>
      </c>
      <c r="R1540" s="63"/>
      <c r="S1540" s="10"/>
      <c r="T1540" s="10"/>
      <c r="U1540" s="151"/>
      <c r="V1540" s="77"/>
      <c r="W1540" s="77"/>
      <c r="X1540" s="77"/>
    </row>
    <row r="1541" spans="2:24">
      <c r="B1541" s="11"/>
      <c r="C1541" s="10"/>
      <c r="D1541" s="63"/>
      <c r="E1541" s="51" t="s">
        <v>47</v>
      </c>
      <c r="F1541" s="52">
        <f>F1540*0.05</f>
        <v>0</v>
      </c>
      <c r="G1541" s="65" t="s">
        <v>40</v>
      </c>
      <c r="H1541" s="54">
        <f>F1541/1.12</f>
        <v>0</v>
      </c>
      <c r="I1541" s="42"/>
      <c r="J1541" s="10" t="s">
        <v>48</v>
      </c>
      <c r="K1541" s="66">
        <f>K1537/K1538</f>
        <v>3010.8500000000004</v>
      </c>
      <c r="L1541" s="66">
        <f t="shared" ref="L1541:Q1541" si="320">L1537/L1538</f>
        <v>855.59999999999991</v>
      </c>
      <c r="M1541" s="66">
        <f t="shared" si="320"/>
        <v>1098.3</v>
      </c>
      <c r="N1541" s="66">
        <f t="shared" si="320"/>
        <v>1445.5500000000002</v>
      </c>
      <c r="O1541" s="66">
        <f t="shared" si="320"/>
        <v>2705.4849999999997</v>
      </c>
      <c r="P1541" s="66">
        <f t="shared" si="320"/>
        <v>1956.5646153846153</v>
      </c>
      <c r="Q1541" s="66" t="e">
        <f t="shared" si="320"/>
        <v>#DIV/0!</v>
      </c>
      <c r="R1541" s="63"/>
      <c r="S1541" s="10"/>
      <c r="T1541" s="10"/>
      <c r="U1541" s="151"/>
      <c r="V1541" s="77"/>
      <c r="W1541" s="77"/>
      <c r="X1541" s="77"/>
    </row>
    <row r="1542" spans="2:24">
      <c r="B1542" s="132"/>
      <c r="C1542" s="123"/>
      <c r="D1542" s="127"/>
      <c r="E1542" s="155" t="s">
        <v>14</v>
      </c>
      <c r="F1542" s="156">
        <f>4*50</f>
        <v>200</v>
      </c>
      <c r="G1542" s="123"/>
      <c r="H1542" s="54">
        <f>F1542/1.12</f>
        <v>178.57142857142856</v>
      </c>
      <c r="I1542" s="123"/>
      <c r="J1542" s="123"/>
      <c r="K1542" s="123"/>
      <c r="L1542" s="123"/>
      <c r="M1542" s="123"/>
      <c r="N1542" s="123"/>
      <c r="O1542" s="123"/>
      <c r="P1542" s="123"/>
      <c r="Q1542" s="123"/>
      <c r="R1542" s="123"/>
      <c r="S1542" s="123"/>
      <c r="T1542" s="123"/>
      <c r="U1542" s="157"/>
      <c r="V1542" s="123"/>
      <c r="W1542" s="123"/>
      <c r="X1542" s="123"/>
    </row>
    <row r="1543" spans="2:24">
      <c r="B1543" s="132"/>
      <c r="C1543" s="123"/>
      <c r="D1543" s="127"/>
      <c r="E1543" s="158" t="s">
        <v>49</v>
      </c>
      <c r="F1543" s="159">
        <f>T1532</f>
        <v>1</v>
      </c>
      <c r="G1543" s="123"/>
      <c r="H1543" s="54"/>
      <c r="I1543" s="123"/>
      <c r="J1543" s="42"/>
      <c r="K1543" s="764" t="s">
        <v>50</v>
      </c>
      <c r="L1543" s="765"/>
      <c r="M1543" s="765"/>
      <c r="N1543" s="765"/>
      <c r="O1543" s="765"/>
      <c r="P1543" s="765"/>
      <c r="Q1543" s="766"/>
      <c r="R1543" s="70" t="s">
        <v>28</v>
      </c>
      <c r="S1543" s="71" t="s">
        <v>29</v>
      </c>
      <c r="T1543" s="123"/>
      <c r="U1543" s="157"/>
      <c r="V1543" s="123"/>
      <c r="W1543" s="123"/>
      <c r="X1543" s="123"/>
    </row>
    <row r="1544" spans="2:24">
      <c r="B1544" s="132"/>
      <c r="C1544" s="123"/>
      <c r="D1544" s="127"/>
      <c r="E1544" s="307" t="s">
        <v>731</v>
      </c>
      <c r="F1544" s="308">
        <f>$F$1246</f>
        <v>2453.9909999999991</v>
      </c>
      <c r="G1544" s="305"/>
      <c r="H1544" s="306">
        <f>F1544/1.12</f>
        <v>2191.0633928571419</v>
      </c>
      <c r="I1544" s="123"/>
      <c r="J1544" s="42"/>
      <c r="K1544" s="20" t="s">
        <v>31</v>
      </c>
      <c r="L1544" s="21" t="s">
        <v>32</v>
      </c>
      <c r="M1544" s="21" t="s">
        <v>33</v>
      </c>
      <c r="N1544" s="21" t="s">
        <v>34</v>
      </c>
      <c r="O1544" s="21" t="s">
        <v>35</v>
      </c>
      <c r="P1544" s="21" t="s">
        <v>36</v>
      </c>
      <c r="Q1544" s="49" t="s">
        <v>37</v>
      </c>
      <c r="R1544" s="50" t="s">
        <v>38</v>
      </c>
      <c r="S1544" s="50" t="s">
        <v>38</v>
      </c>
      <c r="T1544" s="123"/>
      <c r="U1544" s="157"/>
      <c r="V1544" s="123"/>
      <c r="W1544" s="123"/>
      <c r="X1544" s="123"/>
    </row>
    <row r="1545" spans="2:24">
      <c r="B1545" s="132"/>
      <c r="C1545" s="123"/>
      <c r="D1545" s="127"/>
      <c r="E1545" s="72" t="s">
        <v>732</v>
      </c>
      <c r="F1545" s="73">
        <v>-59.96</v>
      </c>
      <c r="G1545" s="123"/>
      <c r="H1545" s="54"/>
      <c r="I1545" s="123"/>
      <c r="J1545" s="42"/>
      <c r="K1545" s="56">
        <f>F1556+F1557</f>
        <v>6101.1</v>
      </c>
      <c r="L1545" s="57">
        <f>F1558+F1559</f>
        <v>1750.9</v>
      </c>
      <c r="M1545" s="57">
        <f>F1560</f>
        <v>1138</v>
      </c>
      <c r="N1545" s="57">
        <f>F1561+F1562+F1563+F1564</f>
        <v>5938</v>
      </c>
      <c r="O1545" s="57">
        <f>F1565+F1566+F1567+F1583</f>
        <v>12454.9</v>
      </c>
      <c r="P1545" s="57">
        <f>SUM(K1545:O1545)</f>
        <v>27382.9</v>
      </c>
      <c r="Q1545" s="58">
        <v>0</v>
      </c>
      <c r="R1545" s="59">
        <f>+F1584</f>
        <v>8475</v>
      </c>
      <c r="S1545" s="59">
        <v>0</v>
      </c>
      <c r="T1545" s="123"/>
      <c r="U1545" s="157"/>
      <c r="V1545" s="123"/>
      <c r="W1545" s="123"/>
      <c r="X1545" s="123"/>
    </row>
    <row r="1546" spans="2:24">
      <c r="B1546" s="132"/>
      <c r="C1546" s="123"/>
      <c r="D1546" s="127"/>
      <c r="E1546" s="72" t="s">
        <v>733</v>
      </c>
      <c r="F1546" s="73">
        <v>-230.23</v>
      </c>
      <c r="G1546" s="123"/>
      <c r="H1546" s="54"/>
      <c r="I1546" s="123"/>
      <c r="J1546" s="10" t="s">
        <v>42</v>
      </c>
      <c r="K1546" s="63">
        <f t="shared" ref="K1546:Q1547" si="321">K1538</f>
        <v>2</v>
      </c>
      <c r="L1546" s="63">
        <f t="shared" si="321"/>
        <v>2</v>
      </c>
      <c r="M1546" s="63">
        <f t="shared" si="321"/>
        <v>1</v>
      </c>
      <c r="N1546" s="63">
        <f t="shared" si="321"/>
        <v>4</v>
      </c>
      <c r="O1546" s="63">
        <f t="shared" si="321"/>
        <v>4</v>
      </c>
      <c r="P1546" s="63">
        <f t="shared" si="321"/>
        <v>13</v>
      </c>
      <c r="Q1546" s="63">
        <f t="shared" si="321"/>
        <v>0</v>
      </c>
      <c r="R1546" s="63"/>
      <c r="S1546" s="10"/>
      <c r="T1546" s="123"/>
      <c r="U1546" s="157"/>
      <c r="V1546" s="123"/>
      <c r="W1546" s="123"/>
      <c r="X1546" s="123"/>
    </row>
    <row r="1547" spans="2:24">
      <c r="B1547" s="132"/>
      <c r="C1547" s="123"/>
      <c r="D1547" s="127"/>
      <c r="E1547" s="74" t="s">
        <v>734</v>
      </c>
      <c r="F1547" s="75">
        <v>-407.21</v>
      </c>
      <c r="G1547" s="123"/>
      <c r="H1547" s="54"/>
      <c r="I1547" s="123"/>
      <c r="J1547" s="10" t="s">
        <v>44</v>
      </c>
      <c r="K1547" s="63">
        <f t="shared" si="321"/>
        <v>1</v>
      </c>
      <c r="L1547" s="63">
        <f t="shared" si="321"/>
        <v>3</v>
      </c>
      <c r="M1547" s="63">
        <f t="shared" si="321"/>
        <v>4</v>
      </c>
      <c r="N1547" s="63">
        <f t="shared" si="321"/>
        <v>4</v>
      </c>
      <c r="O1547" s="63">
        <f t="shared" si="321"/>
        <v>6</v>
      </c>
      <c r="P1547" s="63">
        <f t="shared" si="321"/>
        <v>18</v>
      </c>
      <c r="Q1547" s="63">
        <f t="shared" si="321"/>
        <v>0</v>
      </c>
      <c r="R1547" s="63"/>
      <c r="S1547" s="10"/>
      <c r="T1547" s="123"/>
      <c r="U1547" s="157"/>
      <c r="V1547" s="123"/>
      <c r="W1547" s="123"/>
      <c r="X1547" s="123"/>
    </row>
    <row r="1548" spans="2:24">
      <c r="B1548" s="132"/>
      <c r="C1548" s="123"/>
      <c r="D1548" s="127"/>
      <c r="E1548" s="12"/>
      <c r="F1548" s="12"/>
      <c r="G1548" s="123"/>
      <c r="H1548" s="54"/>
      <c r="I1548" s="123"/>
      <c r="J1548" s="10" t="s">
        <v>46</v>
      </c>
      <c r="K1548" s="31">
        <f t="shared" ref="K1548:Q1548" si="322">K1546/(K1546+K1547)</f>
        <v>0.66666666666666663</v>
      </c>
      <c r="L1548" s="31">
        <f t="shared" si="322"/>
        <v>0.4</v>
      </c>
      <c r="M1548" s="31">
        <f t="shared" si="322"/>
        <v>0.2</v>
      </c>
      <c r="N1548" s="31">
        <f t="shared" si="322"/>
        <v>0.5</v>
      </c>
      <c r="O1548" s="31">
        <f t="shared" si="322"/>
        <v>0.4</v>
      </c>
      <c r="P1548" s="31">
        <f t="shared" si="322"/>
        <v>0.41935483870967744</v>
      </c>
      <c r="Q1548" s="31" t="e">
        <f t="shared" si="322"/>
        <v>#DIV/0!</v>
      </c>
      <c r="R1548" s="63"/>
      <c r="S1548" s="10"/>
      <c r="T1548" s="123"/>
      <c r="U1548" s="157"/>
      <c r="V1548" s="123"/>
      <c r="W1548" s="123"/>
      <c r="X1548" s="123"/>
    </row>
    <row r="1549" spans="2:24">
      <c r="B1549" s="132"/>
      <c r="C1549" s="123"/>
      <c r="D1549" s="127"/>
      <c r="E1549" s="12"/>
      <c r="F1549" s="12"/>
      <c r="G1549" s="123"/>
      <c r="H1549" s="54"/>
      <c r="I1549" s="123"/>
      <c r="J1549" s="10" t="s">
        <v>48</v>
      </c>
      <c r="K1549" s="66">
        <f t="shared" ref="K1549:Q1549" si="323">K1545/K1546</f>
        <v>3050.55</v>
      </c>
      <c r="L1549" s="66">
        <f t="shared" si="323"/>
        <v>875.45</v>
      </c>
      <c r="M1549" s="66">
        <f t="shared" si="323"/>
        <v>1138</v>
      </c>
      <c r="N1549" s="66">
        <f t="shared" si="323"/>
        <v>1484.5</v>
      </c>
      <c r="O1549" s="66">
        <f t="shared" si="323"/>
        <v>3113.7249999999999</v>
      </c>
      <c r="P1549" s="66">
        <f t="shared" si="323"/>
        <v>2106.376923076923</v>
      </c>
      <c r="Q1549" s="66" t="e">
        <f t="shared" si="323"/>
        <v>#DIV/0!</v>
      </c>
      <c r="R1549" s="63"/>
      <c r="S1549" s="10"/>
      <c r="T1549" s="123"/>
      <c r="U1549" s="157"/>
      <c r="V1549" s="123"/>
      <c r="W1549" s="123"/>
      <c r="X1549" s="123"/>
    </row>
    <row r="1550" spans="2:24">
      <c r="B1550" s="132"/>
      <c r="C1550" s="123"/>
      <c r="D1550" s="127"/>
      <c r="E1550" s="10"/>
      <c r="F1550" s="10"/>
      <c r="G1550" s="123"/>
      <c r="H1550" s="54"/>
      <c r="I1550" s="123"/>
      <c r="J1550" s="123"/>
      <c r="K1550" s="123"/>
      <c r="L1550" s="123"/>
      <c r="M1550" s="123"/>
      <c r="N1550" s="123"/>
      <c r="O1550" s="123"/>
      <c r="P1550" s="123"/>
      <c r="Q1550" s="123"/>
      <c r="R1550" s="123"/>
      <c r="S1550" s="123"/>
      <c r="T1550" s="123"/>
      <c r="U1550" s="157"/>
      <c r="V1550" s="123"/>
      <c r="W1550" s="123"/>
      <c r="X1550" s="123"/>
    </row>
    <row r="1551" spans="2:24">
      <c r="B1551" s="11"/>
      <c r="C1551" s="10"/>
      <c r="D1551" s="63"/>
      <c r="E1551" s="12"/>
      <c r="F1551" s="12"/>
      <c r="G1551" s="10"/>
      <c r="H1551" s="10"/>
      <c r="I1551" s="10"/>
      <c r="J1551" s="10"/>
      <c r="K1551" s="10"/>
      <c r="L1551" s="10"/>
      <c r="M1551" s="10"/>
      <c r="N1551" s="10"/>
      <c r="O1551" s="10"/>
      <c r="P1551" s="10"/>
      <c r="Q1551" s="10"/>
      <c r="R1551" s="10"/>
      <c r="S1551" s="10"/>
      <c r="T1551" s="10"/>
      <c r="U1551" s="151"/>
      <c r="V1551" s="77"/>
      <c r="W1551" s="77"/>
      <c r="X1551" s="77"/>
    </row>
    <row r="1552" spans="2:24">
      <c r="B1552" s="11"/>
      <c r="C1552" s="10"/>
      <c r="D1552" s="63"/>
      <c r="E1552" s="10"/>
      <c r="F1552" s="10"/>
      <c r="G1552" s="10"/>
      <c r="H1552" s="10"/>
      <c r="I1552" s="10"/>
      <c r="J1552" s="10"/>
      <c r="K1552" s="10"/>
      <c r="L1552" s="10"/>
      <c r="M1552" s="10"/>
      <c r="N1552" s="10"/>
      <c r="O1552" s="10"/>
      <c r="P1552" s="10"/>
      <c r="Q1552" s="10"/>
      <c r="R1552" s="10"/>
      <c r="S1552" s="10"/>
      <c r="T1552" s="10"/>
      <c r="U1552" s="151"/>
      <c r="V1552" s="77"/>
      <c r="W1552" s="77"/>
      <c r="X1552" s="77"/>
    </row>
    <row r="1553" spans="1:24">
      <c r="B1553" s="18" t="s">
        <v>51</v>
      </c>
      <c r="C1553" s="14"/>
      <c r="D1553" s="14"/>
      <c r="E1553" s="14"/>
      <c r="F1553" s="13" t="s">
        <v>52</v>
      </c>
      <c r="G1553" s="14"/>
      <c r="H1553" s="14"/>
      <c r="I1553" s="14"/>
      <c r="J1553" s="14"/>
      <c r="K1553" s="13" t="s">
        <v>3</v>
      </c>
      <c r="L1553" s="14"/>
      <c r="M1553" s="14"/>
      <c r="N1553" s="13" t="s">
        <v>4</v>
      </c>
      <c r="O1553" s="14"/>
      <c r="P1553" s="14"/>
      <c r="Q1553" s="13" t="s">
        <v>5</v>
      </c>
      <c r="R1553" s="14"/>
      <c r="S1553" s="14"/>
      <c r="T1553" s="18"/>
      <c r="U1553" s="161" t="s">
        <v>53</v>
      </c>
      <c r="V1553" s="77"/>
      <c r="W1553" s="77"/>
      <c r="X1553" s="77"/>
    </row>
    <row r="1554" spans="1:24">
      <c r="B1554" s="24" t="s">
        <v>54</v>
      </c>
      <c r="C1554" s="21" t="s">
        <v>55</v>
      </c>
      <c r="D1554" s="21" t="s">
        <v>56</v>
      </c>
      <c r="E1554" s="21" t="s">
        <v>57</v>
      </c>
      <c r="F1554" s="20" t="s">
        <v>58</v>
      </c>
      <c r="G1554" s="21" t="s">
        <v>59</v>
      </c>
      <c r="H1554" s="21" t="s">
        <v>60</v>
      </c>
      <c r="I1554" s="21" t="s">
        <v>26</v>
      </c>
      <c r="J1554" s="22" t="s">
        <v>61</v>
      </c>
      <c r="K1554" s="21" t="s">
        <v>8</v>
      </c>
      <c r="L1554" s="21" t="s">
        <v>9</v>
      </c>
      <c r="M1554" s="21" t="s">
        <v>10</v>
      </c>
      <c r="N1554" s="20" t="s">
        <v>11</v>
      </c>
      <c r="O1554" s="21" t="s">
        <v>12</v>
      </c>
      <c r="P1554" s="22" t="s">
        <v>13</v>
      </c>
      <c r="Q1554" s="21" t="s">
        <v>11</v>
      </c>
      <c r="R1554" s="21" t="s">
        <v>12</v>
      </c>
      <c r="S1554" s="21" t="s">
        <v>13</v>
      </c>
      <c r="T1554" s="78" t="s">
        <v>14</v>
      </c>
      <c r="U1554" s="162"/>
      <c r="V1554" s="79" t="s">
        <v>62</v>
      </c>
      <c r="W1554" s="80" t="s">
        <v>63</v>
      </c>
      <c r="X1554" s="81" t="s">
        <v>64</v>
      </c>
    </row>
    <row r="1555" spans="1:24">
      <c r="B1555" s="4" t="s">
        <v>65</v>
      </c>
      <c r="C1555" s="6"/>
      <c r="D1555" s="6"/>
      <c r="E1555" s="6"/>
      <c r="F1555" s="6"/>
      <c r="G1555" s="6"/>
      <c r="H1555" s="6"/>
      <c r="I1555" s="82"/>
      <c r="J1555" s="6"/>
      <c r="K1555" s="6"/>
      <c r="L1555" s="6"/>
      <c r="M1555" s="6"/>
      <c r="N1555" s="6"/>
      <c r="O1555" s="6"/>
      <c r="P1555" s="6"/>
      <c r="Q1555" s="6"/>
      <c r="R1555" s="6"/>
      <c r="S1555" s="6"/>
      <c r="T1555" s="83"/>
      <c r="U1555" s="163"/>
      <c r="V1555" s="84"/>
      <c r="W1555" s="85"/>
      <c r="X1555" s="86"/>
    </row>
    <row r="1556" spans="1:24">
      <c r="B1556" s="87">
        <v>1</v>
      </c>
      <c r="C1556" s="274">
        <v>45957</v>
      </c>
      <c r="D1556" s="276">
        <v>74672</v>
      </c>
      <c r="E1556" s="276" t="s">
        <v>471</v>
      </c>
      <c r="F1556" s="277">
        <v>3840.1</v>
      </c>
      <c r="G1556" s="277">
        <f>39.7</f>
        <v>39.700000000000003</v>
      </c>
      <c r="H1556" s="297"/>
      <c r="I1556" s="278">
        <f>F1556-G1556-H1556</f>
        <v>3800.4</v>
      </c>
      <c r="J1556" s="279" t="s">
        <v>150</v>
      </c>
      <c r="K1556" s="279">
        <v>1</v>
      </c>
      <c r="L1556" s="279">
        <v>1</v>
      </c>
      <c r="M1556" s="279">
        <v>1</v>
      </c>
      <c r="N1556" s="279">
        <v>1</v>
      </c>
      <c r="O1556" s="279">
        <v>1</v>
      </c>
      <c r="P1556" s="279">
        <v>1</v>
      </c>
      <c r="Q1556" s="279">
        <v>0</v>
      </c>
      <c r="R1556" s="279">
        <v>0</v>
      </c>
      <c r="S1556" s="280">
        <v>0</v>
      </c>
      <c r="T1556" s="63"/>
      <c r="U1556" s="94" t="s">
        <v>735</v>
      </c>
      <c r="V1556" s="90">
        <v>0</v>
      </c>
      <c r="W1556" s="440">
        <f>423+3801.1</f>
        <v>4224.1000000000004</v>
      </c>
      <c r="X1556" s="92"/>
    </row>
    <row r="1557" spans="1:24">
      <c r="B1557" s="87">
        <f t="shared" ref="B1557:B1567" si="324">B1556+1</f>
        <v>2</v>
      </c>
      <c r="C1557" s="295">
        <v>45957</v>
      </c>
      <c r="D1557" s="10">
        <v>74847</v>
      </c>
      <c r="E1557" s="10" t="s">
        <v>352</v>
      </c>
      <c r="F1557" s="62">
        <v>2261</v>
      </c>
      <c r="G1557" s="62">
        <f>39.7</f>
        <v>39.700000000000003</v>
      </c>
      <c r="H1557" s="62"/>
      <c r="I1557" s="89">
        <f t="shared" ref="I1557:I1567" si="325">F1557-G1557-H1557</f>
        <v>2221.3000000000002</v>
      </c>
      <c r="J1557" s="63" t="s">
        <v>156</v>
      </c>
      <c r="K1557" s="63">
        <v>1</v>
      </c>
      <c r="L1557" s="63">
        <v>1</v>
      </c>
      <c r="M1557" s="63">
        <v>1</v>
      </c>
      <c r="N1557" s="63">
        <v>1</v>
      </c>
      <c r="O1557" s="63">
        <v>1</v>
      </c>
      <c r="P1557" s="63">
        <v>1</v>
      </c>
      <c r="Q1557" s="63">
        <v>1</v>
      </c>
      <c r="R1557" s="63">
        <v>1</v>
      </c>
      <c r="S1557" s="296">
        <v>1</v>
      </c>
      <c r="T1557" s="63"/>
      <c r="U1557" s="94" t="s">
        <v>736</v>
      </c>
      <c r="V1557" s="90">
        <f>248.8+2239.1</f>
        <v>2487.9</v>
      </c>
      <c r="W1557" s="91"/>
      <c r="X1557" s="92"/>
    </row>
    <row r="1558" spans="1:24">
      <c r="B1558" s="87">
        <f t="shared" si="324"/>
        <v>3</v>
      </c>
      <c r="C1558" s="274">
        <v>45958</v>
      </c>
      <c r="D1558" s="509">
        <v>74865</v>
      </c>
      <c r="E1558" s="276" t="s">
        <v>349</v>
      </c>
      <c r="F1558" s="277">
        <v>612.9</v>
      </c>
      <c r="G1558" s="277"/>
      <c r="H1558" s="277"/>
      <c r="I1558" s="278">
        <f t="shared" si="325"/>
        <v>612.9</v>
      </c>
      <c r="J1558" s="279" t="s">
        <v>236</v>
      </c>
      <c r="K1558" s="279">
        <v>1</v>
      </c>
      <c r="L1558" s="279">
        <v>1</v>
      </c>
      <c r="M1558" s="279">
        <v>1</v>
      </c>
      <c r="N1558" s="279">
        <v>1</v>
      </c>
      <c r="O1558" s="279">
        <v>1</v>
      </c>
      <c r="P1558" s="279">
        <v>1</v>
      </c>
      <c r="Q1558" s="279">
        <v>1</v>
      </c>
      <c r="R1558" s="279">
        <v>1</v>
      </c>
      <c r="S1558" s="280">
        <v>1</v>
      </c>
      <c r="T1558" s="63"/>
      <c r="U1558" s="94"/>
      <c r="V1558" s="90">
        <v>68</v>
      </c>
      <c r="W1558" s="367">
        <v>606</v>
      </c>
      <c r="X1558" s="92"/>
    </row>
    <row r="1559" spans="1:24">
      <c r="B1559" s="87">
        <f t="shared" si="324"/>
        <v>4</v>
      </c>
      <c r="C1559" s="295">
        <v>45958</v>
      </c>
      <c r="D1559" s="10">
        <v>74897</v>
      </c>
      <c r="E1559" s="94" t="s">
        <v>271</v>
      </c>
      <c r="F1559" s="62">
        <v>1138</v>
      </c>
      <c r="G1559" s="62">
        <f>39.7</f>
        <v>39.700000000000003</v>
      </c>
      <c r="H1559" s="62"/>
      <c r="I1559" s="89">
        <f t="shared" si="325"/>
        <v>1098.3</v>
      </c>
      <c r="J1559" s="63" t="s">
        <v>156</v>
      </c>
      <c r="K1559" s="63">
        <v>1</v>
      </c>
      <c r="L1559" s="63">
        <v>1</v>
      </c>
      <c r="M1559" s="63">
        <v>0</v>
      </c>
      <c r="N1559" s="63">
        <v>1</v>
      </c>
      <c r="O1559" s="63">
        <v>1</v>
      </c>
      <c r="P1559" s="63">
        <v>1</v>
      </c>
      <c r="Q1559" s="63">
        <v>1</v>
      </c>
      <c r="R1559" s="63">
        <v>1</v>
      </c>
      <c r="S1559" s="296">
        <v>1</v>
      </c>
      <c r="T1559" s="63"/>
      <c r="U1559" s="94"/>
      <c r="V1559" s="90">
        <f>125.2+1126.6</f>
        <v>1251.8</v>
      </c>
      <c r="W1559" s="91"/>
      <c r="X1559" s="92"/>
    </row>
    <row r="1560" spans="1:24">
      <c r="B1560" s="87">
        <f t="shared" si="324"/>
        <v>5</v>
      </c>
      <c r="C1560" s="274">
        <v>45959</v>
      </c>
      <c r="D1560" s="276">
        <v>74944</v>
      </c>
      <c r="E1560" s="276" t="s">
        <v>737</v>
      </c>
      <c r="F1560" s="277">
        <v>1138</v>
      </c>
      <c r="G1560" s="277">
        <f>39.7</f>
        <v>39.700000000000003</v>
      </c>
      <c r="H1560" s="277"/>
      <c r="I1560" s="278">
        <f t="shared" si="325"/>
        <v>1098.3</v>
      </c>
      <c r="J1560" s="279" t="s">
        <v>156</v>
      </c>
      <c r="K1560" s="279">
        <v>1</v>
      </c>
      <c r="L1560" s="279">
        <v>1</v>
      </c>
      <c r="M1560" s="279">
        <v>1</v>
      </c>
      <c r="N1560" s="279">
        <v>1</v>
      </c>
      <c r="O1560" s="279">
        <v>1</v>
      </c>
      <c r="P1560" s="279">
        <v>1</v>
      </c>
      <c r="Q1560" s="279">
        <v>1</v>
      </c>
      <c r="R1560" s="279">
        <v>1</v>
      </c>
      <c r="S1560" s="280">
        <v>1</v>
      </c>
      <c r="T1560" s="63"/>
      <c r="U1560" s="94"/>
      <c r="V1560" s="90">
        <f>125.6+1126.2</f>
        <v>1251.8</v>
      </c>
      <c r="W1560" s="91"/>
      <c r="X1560" s="92"/>
    </row>
    <row r="1561" spans="1:24">
      <c r="B1561" s="87">
        <f t="shared" si="324"/>
        <v>6</v>
      </c>
      <c r="C1561" s="274">
        <v>45960</v>
      </c>
      <c r="D1561" s="276">
        <v>74971</v>
      </c>
      <c r="E1561" s="276" t="s">
        <v>507</v>
      </c>
      <c r="F1561" s="277">
        <v>1962</v>
      </c>
      <c r="G1561" s="277">
        <f>39.7</f>
        <v>39.700000000000003</v>
      </c>
      <c r="H1561" s="297"/>
      <c r="I1561" s="278">
        <f t="shared" si="325"/>
        <v>1922.3</v>
      </c>
      <c r="J1561" s="279" t="s">
        <v>156</v>
      </c>
      <c r="K1561" s="279">
        <v>1</v>
      </c>
      <c r="L1561" s="279">
        <v>1</v>
      </c>
      <c r="M1561" s="279">
        <v>0</v>
      </c>
      <c r="N1561" s="279">
        <v>1</v>
      </c>
      <c r="O1561" s="279">
        <v>1</v>
      </c>
      <c r="P1561" s="279">
        <v>1</v>
      </c>
      <c r="Q1561" s="279">
        <v>1</v>
      </c>
      <c r="R1561" s="279">
        <v>1</v>
      </c>
      <c r="S1561" s="280">
        <v>1</v>
      </c>
      <c r="T1561" s="94" t="s">
        <v>738</v>
      </c>
      <c r="U1561" s="94"/>
      <c r="V1561" s="90">
        <f>215.82+1942.38</f>
        <v>2158.2000000000003</v>
      </c>
      <c r="W1561" s="91"/>
      <c r="X1561" s="92"/>
    </row>
    <row r="1562" spans="1:24">
      <c r="B1562" s="87">
        <f t="shared" si="324"/>
        <v>7</v>
      </c>
      <c r="C1562" s="295">
        <v>45960</v>
      </c>
      <c r="D1562" s="10">
        <v>74893</v>
      </c>
      <c r="E1562" s="10" t="s">
        <v>327</v>
      </c>
      <c r="F1562" s="62">
        <v>681</v>
      </c>
      <c r="G1562" s="62"/>
      <c r="H1562" s="88"/>
      <c r="I1562" s="89">
        <f>F1562-G1562-H1562</f>
        <v>681</v>
      </c>
      <c r="J1562" s="63" t="s">
        <v>156</v>
      </c>
      <c r="K1562" s="63">
        <v>1</v>
      </c>
      <c r="L1562" s="63">
        <v>1</v>
      </c>
      <c r="M1562" s="63">
        <v>1</v>
      </c>
      <c r="N1562" s="63">
        <v>1</v>
      </c>
      <c r="O1562" s="63">
        <v>1</v>
      </c>
      <c r="P1562" s="63">
        <v>1</v>
      </c>
      <c r="Q1562" s="63">
        <v>1</v>
      </c>
      <c r="R1562" s="63">
        <v>1</v>
      </c>
      <c r="S1562" s="296">
        <v>1</v>
      </c>
      <c r="T1562" s="63"/>
      <c r="U1562" s="94"/>
      <c r="V1562" s="90">
        <f>75+674.1</f>
        <v>749.1</v>
      </c>
      <c r="W1562" s="91"/>
      <c r="X1562" s="92"/>
    </row>
    <row r="1563" spans="1:24">
      <c r="B1563" s="87">
        <f t="shared" si="324"/>
        <v>8</v>
      </c>
      <c r="C1563" s="295">
        <v>45960</v>
      </c>
      <c r="D1563" s="10">
        <v>74960</v>
      </c>
      <c r="E1563" s="10" t="s">
        <v>327</v>
      </c>
      <c r="F1563" s="62">
        <v>681</v>
      </c>
      <c r="G1563" s="62"/>
      <c r="H1563" s="88"/>
      <c r="I1563" s="89">
        <f>F1563-G1563-H1563</f>
        <v>681</v>
      </c>
      <c r="J1563" s="63" t="s">
        <v>156</v>
      </c>
      <c r="K1563" s="63">
        <v>1</v>
      </c>
      <c r="L1563" s="63">
        <v>1</v>
      </c>
      <c r="M1563" s="63">
        <v>1</v>
      </c>
      <c r="N1563" s="63">
        <v>1</v>
      </c>
      <c r="O1563" s="63">
        <v>1</v>
      </c>
      <c r="P1563" s="63">
        <v>1</v>
      </c>
      <c r="Q1563" s="63">
        <v>1</v>
      </c>
      <c r="R1563" s="63">
        <v>1</v>
      </c>
      <c r="S1563" s="296">
        <v>1</v>
      </c>
      <c r="T1563" s="21">
        <v>1</v>
      </c>
      <c r="U1563" s="94"/>
      <c r="V1563" s="90">
        <f>75+674.1</f>
        <v>749.1</v>
      </c>
      <c r="W1563" s="91"/>
      <c r="X1563" s="92"/>
    </row>
    <row r="1564" spans="1:24">
      <c r="A1564" s="181" t="s">
        <v>383</v>
      </c>
      <c r="B1564" s="87">
        <f>B1563+1</f>
        <v>9</v>
      </c>
      <c r="C1564" s="282">
        <v>45960</v>
      </c>
      <c r="D1564" s="283">
        <v>74920</v>
      </c>
      <c r="E1564" s="319" t="s">
        <v>317</v>
      </c>
      <c r="F1564" s="284">
        <v>2614</v>
      </c>
      <c r="G1564" s="284">
        <f>39.7+(76.4)</f>
        <v>116.10000000000001</v>
      </c>
      <c r="H1564" s="284"/>
      <c r="I1564" s="285">
        <f>F1564-G1564-H1564</f>
        <v>2497.9</v>
      </c>
      <c r="J1564" s="286" t="s">
        <v>228</v>
      </c>
      <c r="K1564" s="286">
        <v>1</v>
      </c>
      <c r="L1564" s="286">
        <v>1</v>
      </c>
      <c r="M1564" s="286">
        <v>1</v>
      </c>
      <c r="N1564" s="286">
        <v>1</v>
      </c>
      <c r="O1564" s="286">
        <v>1</v>
      </c>
      <c r="P1564" s="286">
        <v>1</v>
      </c>
      <c r="Q1564" s="286">
        <v>1</v>
      </c>
      <c r="R1564" s="286">
        <v>1</v>
      </c>
      <c r="S1564" s="287">
        <v>1</v>
      </c>
      <c r="T1564" s="63"/>
      <c r="U1564" s="94"/>
      <c r="V1564" s="90">
        <f>287.5+2587.9</f>
        <v>2875.4</v>
      </c>
      <c r="W1564" s="91"/>
      <c r="X1564" s="92"/>
    </row>
    <row r="1565" spans="1:24">
      <c r="B1565" s="87">
        <f>B1564+1</f>
        <v>10</v>
      </c>
      <c r="C1565" s="295">
        <v>45961</v>
      </c>
      <c r="D1565" s="10">
        <v>75017</v>
      </c>
      <c r="E1565" s="10" t="s">
        <v>739</v>
      </c>
      <c r="F1565" s="62">
        <f>1349-85</f>
        <v>1264</v>
      </c>
      <c r="G1565" s="62">
        <f>39.7</f>
        <v>39.700000000000003</v>
      </c>
      <c r="H1565" s="88"/>
      <c r="I1565" s="89">
        <f>F1565-G1565-H1565</f>
        <v>1224.3</v>
      </c>
      <c r="J1565" s="63" t="s">
        <v>156</v>
      </c>
      <c r="K1565" s="63">
        <v>1</v>
      </c>
      <c r="L1565" s="63">
        <v>1</v>
      </c>
      <c r="M1565" s="63">
        <v>1</v>
      </c>
      <c r="N1565" s="63">
        <v>1</v>
      </c>
      <c r="O1565" s="63">
        <v>1</v>
      </c>
      <c r="P1565" s="63">
        <v>1</v>
      </c>
      <c r="Q1565" s="63">
        <v>1</v>
      </c>
      <c r="R1565" s="63">
        <v>1</v>
      </c>
      <c r="S1565" s="296">
        <v>1</v>
      </c>
      <c r="T1565" s="21">
        <v>2</v>
      </c>
      <c r="U1565" s="94"/>
      <c r="V1565" s="90">
        <f>93.5+140+1250.4</f>
        <v>1483.9</v>
      </c>
      <c r="W1565" s="91"/>
      <c r="X1565" s="92"/>
    </row>
    <row r="1566" spans="1:24">
      <c r="B1566" s="87">
        <f t="shared" si="324"/>
        <v>11</v>
      </c>
      <c r="C1566" s="295">
        <v>45961</v>
      </c>
      <c r="D1566" s="10">
        <v>75037</v>
      </c>
      <c r="E1566" s="10" t="s">
        <v>604</v>
      </c>
      <c r="F1566" s="62">
        <v>2034.9</v>
      </c>
      <c r="G1566" s="62">
        <f>39.7+(16.18)</f>
        <v>55.88</v>
      </c>
      <c r="H1566" s="88"/>
      <c r="I1566" s="89">
        <f>F1566-G1566-H1566</f>
        <v>1979.02</v>
      </c>
      <c r="J1566" s="63" t="s">
        <v>156</v>
      </c>
      <c r="K1566" s="63">
        <v>1</v>
      </c>
      <c r="L1566" s="63">
        <v>1</v>
      </c>
      <c r="M1566" s="63">
        <v>1</v>
      </c>
      <c r="N1566" s="63">
        <v>1</v>
      </c>
      <c r="O1566" s="63">
        <v>1</v>
      </c>
      <c r="P1566" s="63">
        <v>1</v>
      </c>
      <c r="Q1566" s="63">
        <v>1</v>
      </c>
      <c r="R1566" s="63">
        <v>1</v>
      </c>
      <c r="S1566" s="296">
        <v>1</v>
      </c>
      <c r="T1566" s="63"/>
      <c r="U1566" s="94"/>
      <c r="V1566" s="90">
        <f>224+2014.39</f>
        <v>2238.3900000000003</v>
      </c>
      <c r="W1566" s="91"/>
      <c r="X1566" s="92"/>
    </row>
    <row r="1567" spans="1:24">
      <c r="B1567" s="87">
        <f t="shared" si="324"/>
        <v>12</v>
      </c>
      <c r="C1567" s="282">
        <v>45961</v>
      </c>
      <c r="D1567" s="283">
        <v>75007</v>
      </c>
      <c r="E1567" s="283" t="s">
        <v>218</v>
      </c>
      <c r="F1567" s="423">
        <v>681</v>
      </c>
      <c r="G1567" s="284"/>
      <c r="H1567" s="284"/>
      <c r="I1567" s="285">
        <f t="shared" si="325"/>
        <v>681</v>
      </c>
      <c r="J1567" s="286" t="s">
        <v>156</v>
      </c>
      <c r="K1567" s="286">
        <v>1</v>
      </c>
      <c r="L1567" s="286">
        <v>1</v>
      </c>
      <c r="M1567" s="286">
        <v>1</v>
      </c>
      <c r="N1567" s="286">
        <v>1</v>
      </c>
      <c r="O1567" s="286">
        <v>1</v>
      </c>
      <c r="P1567" s="286">
        <v>1</v>
      </c>
      <c r="Q1567" s="286">
        <v>1</v>
      </c>
      <c r="R1567" s="286">
        <v>1</v>
      </c>
      <c r="S1567" s="287">
        <v>1</v>
      </c>
      <c r="T1567" s="63"/>
      <c r="U1567" s="94"/>
      <c r="V1567" s="90">
        <f>75+674.1</f>
        <v>749.1</v>
      </c>
      <c r="W1567" s="91"/>
      <c r="X1567" s="92"/>
    </row>
    <row r="1568" spans="1:24">
      <c r="B1568" s="87"/>
      <c r="C1568" s="36"/>
      <c r="D1568" s="10"/>
      <c r="E1568" s="10"/>
      <c r="F1568" s="97">
        <f>SUM(F1556:F1567)</f>
        <v>18907.900000000001</v>
      </c>
      <c r="G1568" s="97">
        <f>SUM(G1556:G1567)</f>
        <v>410.18</v>
      </c>
      <c r="H1568" s="97">
        <f>SUM(H1556:H1567)</f>
        <v>0</v>
      </c>
      <c r="I1568" s="98">
        <f>SUM(I1556:I1567)</f>
        <v>18497.719999999998</v>
      </c>
      <c r="J1568" s="63"/>
      <c r="K1568" s="63">
        <f>COUNT(K1556:K1567)</f>
        <v>12</v>
      </c>
      <c r="L1568" s="63">
        <f>COUNT(L1556:L1567)</f>
        <v>12</v>
      </c>
      <c r="M1568" s="63">
        <f>COUNT(M1556:M1567)</f>
        <v>12</v>
      </c>
      <c r="N1568" s="63">
        <f>COUNT(N1556:N1567)</f>
        <v>12</v>
      </c>
      <c r="O1568" s="63">
        <f>COUNT(O1556:O1567)</f>
        <v>12</v>
      </c>
      <c r="P1568" s="63">
        <f>COUNT(P1556:P1567)</f>
        <v>12</v>
      </c>
      <c r="Q1568" s="63">
        <f>COUNT(Q1556:Q1567)</f>
        <v>12</v>
      </c>
      <c r="R1568" s="63">
        <f>COUNT(R1556:R1567)</f>
        <v>12</v>
      </c>
      <c r="S1568" s="63">
        <f>COUNT(S1556:S1567)</f>
        <v>12</v>
      </c>
      <c r="T1568" s="63"/>
      <c r="U1568" s="94"/>
      <c r="V1568" s="90"/>
      <c r="W1568" s="91"/>
      <c r="X1568" s="92"/>
    </row>
    <row r="1569" spans="2:24">
      <c r="B1569" s="87"/>
      <c r="C1569" s="36"/>
      <c r="D1569" s="10"/>
      <c r="E1569" s="10"/>
      <c r="F1569" s="88"/>
      <c r="G1569" s="88"/>
      <c r="H1569" s="88"/>
      <c r="I1569" s="99"/>
      <c r="J1569" s="63"/>
      <c r="K1569" s="21">
        <f>SUM(K1556:K1567)</f>
        <v>12</v>
      </c>
      <c r="L1569" s="21">
        <f>SUM(L1556:L1567)</f>
        <v>12</v>
      </c>
      <c r="M1569" s="21">
        <f>SUM(M1556:M1567)</f>
        <v>10</v>
      </c>
      <c r="N1569" s="21">
        <f>SUM(N1556:N1567)</f>
        <v>12</v>
      </c>
      <c r="O1569" s="21">
        <f>SUM(O1556:O1567)</f>
        <v>12</v>
      </c>
      <c r="P1569" s="21">
        <f>SUM(P1556:P1567)</f>
        <v>12</v>
      </c>
      <c r="Q1569" s="21">
        <f>SUM(Q1556:Q1567)</f>
        <v>11</v>
      </c>
      <c r="R1569" s="21">
        <f>SUM(R1556:R1567)</f>
        <v>11</v>
      </c>
      <c r="S1569" s="21">
        <f>SUM(S1556:S1567)</f>
        <v>11</v>
      </c>
      <c r="T1569" s="63"/>
      <c r="U1569" s="94"/>
      <c r="V1569" s="90"/>
      <c r="W1569" s="91"/>
      <c r="X1569" s="92"/>
    </row>
    <row r="1570" spans="2:24">
      <c r="B1570" s="11"/>
      <c r="C1570" s="609"/>
      <c r="D1570" s="10"/>
      <c r="E1570" s="10"/>
      <c r="F1570" s="88"/>
      <c r="G1570" s="88"/>
      <c r="H1570" s="88"/>
      <c r="I1570" s="99"/>
      <c r="J1570" s="63"/>
      <c r="K1570" s="21"/>
      <c r="L1570" s="21"/>
      <c r="M1570" s="21"/>
      <c r="N1570" s="21"/>
      <c r="O1570" s="21"/>
      <c r="P1570" s="21"/>
      <c r="Q1570" s="21"/>
      <c r="R1570" s="21"/>
      <c r="S1570" s="21"/>
      <c r="T1570" s="63"/>
      <c r="U1570" s="94"/>
      <c r="V1570" s="90"/>
      <c r="W1570" s="91"/>
      <c r="X1570" s="92"/>
    </row>
    <row r="1571" spans="2:24">
      <c r="B1571" s="100" t="s">
        <v>67</v>
      </c>
      <c r="C1571" s="609"/>
      <c r="D1571" s="10"/>
      <c r="E1571" s="10"/>
      <c r="F1571" s="88"/>
      <c r="G1571" s="62"/>
      <c r="H1571" s="88"/>
      <c r="I1571" s="99"/>
      <c r="J1571" s="63"/>
      <c r="K1571" s="2"/>
      <c r="L1571" s="2"/>
      <c r="M1571" s="2"/>
      <c r="N1571" s="2"/>
      <c r="O1571" s="2"/>
      <c r="P1571" s="2"/>
      <c r="Q1571" s="2"/>
      <c r="R1571" s="2"/>
      <c r="S1571" s="2"/>
      <c r="T1571" s="63"/>
      <c r="U1571" s="94"/>
      <c r="V1571" s="90"/>
      <c r="W1571" s="91"/>
      <c r="X1571" s="92"/>
    </row>
    <row r="1572" spans="2:24">
      <c r="B1572" s="87">
        <v>1</v>
      </c>
      <c r="C1572" s="609"/>
      <c r="D1572" s="10"/>
      <c r="E1572" s="101"/>
      <c r="F1572" s="62"/>
      <c r="G1572" s="62"/>
      <c r="H1572" s="62"/>
      <c r="I1572" s="89">
        <f t="shared" ref="I1572:I1579" si="326">F1572-G1572-H1572</f>
        <v>0</v>
      </c>
      <c r="J1572" s="63"/>
      <c r="K1572" s="63"/>
      <c r="L1572" s="63"/>
      <c r="M1572" s="63"/>
      <c r="N1572" s="63"/>
      <c r="O1572" s="63"/>
      <c r="P1572" s="63"/>
      <c r="Q1572" s="63"/>
      <c r="R1572" s="63"/>
      <c r="S1572" s="63"/>
      <c r="T1572" s="63"/>
      <c r="U1572" s="94"/>
      <c r="V1572" s="90"/>
      <c r="W1572" s="91"/>
      <c r="X1572" s="92"/>
    </row>
    <row r="1573" spans="2:24">
      <c r="B1573" s="87">
        <f t="shared" ref="B1573:B1579" si="327">B1572+1</f>
        <v>2</v>
      </c>
      <c r="C1573" s="609"/>
      <c r="D1573" s="10"/>
      <c r="E1573" s="101"/>
      <c r="F1573" s="62"/>
      <c r="G1573" s="62"/>
      <c r="H1573" s="62"/>
      <c r="I1573" s="89">
        <f t="shared" si="326"/>
        <v>0</v>
      </c>
      <c r="J1573" s="63"/>
      <c r="K1573" s="63"/>
      <c r="L1573" s="63"/>
      <c r="M1573" s="63"/>
      <c r="N1573" s="63"/>
      <c r="O1573" s="63"/>
      <c r="P1573" s="63"/>
      <c r="Q1573" s="63"/>
      <c r="R1573" s="63"/>
      <c r="S1573" s="63"/>
      <c r="T1573" s="63"/>
      <c r="U1573" s="94"/>
      <c r="V1573" s="90"/>
      <c r="W1573" s="91"/>
      <c r="X1573" s="92"/>
    </row>
    <row r="1574" spans="2:24">
      <c r="B1574" s="87">
        <f t="shared" si="327"/>
        <v>3</v>
      </c>
      <c r="C1574" s="609"/>
      <c r="D1574" s="10"/>
      <c r="E1574" s="101"/>
      <c r="F1574" s="62"/>
      <c r="G1574" s="62"/>
      <c r="H1574" s="62"/>
      <c r="I1574" s="89">
        <f t="shared" si="326"/>
        <v>0</v>
      </c>
      <c r="J1574" s="63"/>
      <c r="K1574" s="63"/>
      <c r="L1574" s="63"/>
      <c r="M1574" s="63"/>
      <c r="N1574" s="63"/>
      <c r="O1574" s="63"/>
      <c r="P1574" s="63"/>
      <c r="Q1574" s="63"/>
      <c r="R1574" s="63"/>
      <c r="S1574" s="63"/>
      <c r="T1574" s="63"/>
      <c r="U1574" s="94"/>
      <c r="V1574" s="90"/>
      <c r="W1574" s="91"/>
      <c r="X1574" s="92"/>
    </row>
    <row r="1575" spans="2:24">
      <c r="B1575" s="87">
        <f t="shared" si="327"/>
        <v>4</v>
      </c>
      <c r="C1575" s="609"/>
      <c r="D1575" s="10"/>
      <c r="E1575" s="101"/>
      <c r="F1575" s="62"/>
      <c r="G1575" s="62"/>
      <c r="H1575" s="62"/>
      <c r="I1575" s="89">
        <f t="shared" si="326"/>
        <v>0</v>
      </c>
      <c r="J1575" s="63"/>
      <c r="K1575" s="63"/>
      <c r="L1575" s="63"/>
      <c r="M1575" s="63"/>
      <c r="N1575" s="63"/>
      <c r="O1575" s="63"/>
      <c r="P1575" s="63"/>
      <c r="Q1575" s="63"/>
      <c r="R1575" s="63"/>
      <c r="S1575" s="63"/>
      <c r="T1575" s="63"/>
      <c r="U1575" s="94"/>
      <c r="V1575" s="90"/>
      <c r="W1575" s="91"/>
      <c r="X1575" s="92"/>
    </row>
    <row r="1576" spans="2:24">
      <c r="B1576" s="87">
        <f t="shared" si="327"/>
        <v>5</v>
      </c>
      <c r="C1576" s="609"/>
      <c r="D1576" s="10"/>
      <c r="E1576" s="101"/>
      <c r="F1576" s="62"/>
      <c r="G1576" s="62"/>
      <c r="H1576" s="62"/>
      <c r="I1576" s="89">
        <f t="shared" si="326"/>
        <v>0</v>
      </c>
      <c r="J1576" s="63"/>
      <c r="K1576" s="63"/>
      <c r="L1576" s="63"/>
      <c r="M1576" s="63"/>
      <c r="N1576" s="63"/>
      <c r="O1576" s="63"/>
      <c r="P1576" s="63"/>
      <c r="Q1576" s="63"/>
      <c r="R1576" s="63"/>
      <c r="S1576" s="63"/>
      <c r="T1576" s="63"/>
      <c r="U1576" s="94"/>
      <c r="V1576" s="90"/>
      <c r="W1576" s="91"/>
      <c r="X1576" s="92"/>
    </row>
    <row r="1577" spans="2:24">
      <c r="B1577" s="87">
        <f t="shared" si="327"/>
        <v>6</v>
      </c>
      <c r="C1577" s="609"/>
      <c r="D1577" s="10"/>
      <c r="E1577" s="101"/>
      <c r="F1577" s="62"/>
      <c r="G1577" s="62"/>
      <c r="H1577" s="62"/>
      <c r="I1577" s="89">
        <f t="shared" si="326"/>
        <v>0</v>
      </c>
      <c r="J1577" s="63"/>
      <c r="K1577" s="63"/>
      <c r="L1577" s="63"/>
      <c r="M1577" s="63"/>
      <c r="N1577" s="63"/>
      <c r="O1577" s="63"/>
      <c r="P1577" s="63"/>
      <c r="Q1577" s="63"/>
      <c r="R1577" s="63"/>
      <c r="S1577" s="63"/>
      <c r="T1577" s="63"/>
      <c r="U1577" s="94"/>
      <c r="V1577" s="90"/>
      <c r="W1577" s="91"/>
      <c r="X1577" s="92"/>
    </row>
    <row r="1578" spans="2:24">
      <c r="B1578" s="87">
        <f t="shared" si="327"/>
        <v>7</v>
      </c>
      <c r="C1578" s="609"/>
      <c r="D1578" s="10"/>
      <c r="E1578" s="101"/>
      <c r="F1578" s="62"/>
      <c r="G1578" s="62"/>
      <c r="H1578" s="62"/>
      <c r="I1578" s="89">
        <f t="shared" si="326"/>
        <v>0</v>
      </c>
      <c r="J1578" s="63"/>
      <c r="K1578" s="63"/>
      <c r="L1578" s="63"/>
      <c r="M1578" s="63"/>
      <c r="N1578" s="63"/>
      <c r="O1578" s="63"/>
      <c r="P1578" s="63"/>
      <c r="Q1578" s="63"/>
      <c r="R1578" s="63"/>
      <c r="S1578" s="63"/>
      <c r="T1578" s="63"/>
      <c r="U1578" s="94"/>
      <c r="V1578" s="90"/>
      <c r="W1578" s="91"/>
      <c r="X1578" s="92"/>
    </row>
    <row r="1579" spans="2:24">
      <c r="B1579" s="87">
        <f t="shared" si="327"/>
        <v>8</v>
      </c>
      <c r="C1579" s="609"/>
      <c r="D1579" s="10"/>
      <c r="E1579" s="101"/>
      <c r="F1579" s="62"/>
      <c r="G1579" s="62"/>
      <c r="H1579" s="62"/>
      <c r="I1579" s="89">
        <f t="shared" si="326"/>
        <v>0</v>
      </c>
      <c r="J1579" s="63"/>
      <c r="K1579" s="63"/>
      <c r="L1579" s="63"/>
      <c r="M1579" s="63"/>
      <c r="N1579" s="63"/>
      <c r="O1579" s="63"/>
      <c r="P1579" s="63"/>
      <c r="Q1579" s="63"/>
      <c r="R1579" s="63"/>
      <c r="S1579" s="63"/>
      <c r="T1579" s="63"/>
      <c r="U1579" s="94"/>
      <c r="V1579" s="90"/>
      <c r="W1579" s="91"/>
      <c r="X1579" s="92"/>
    </row>
    <row r="1580" spans="2:24">
      <c r="B1580" s="11"/>
      <c r="C1580" s="609"/>
      <c r="D1580" s="10"/>
      <c r="E1580" s="10"/>
      <c r="F1580" s="97">
        <f>SUM(F1572:F1579)</f>
        <v>0</v>
      </c>
      <c r="G1580" s="97">
        <f>SUM(G1572:G1579)</f>
        <v>0</v>
      </c>
      <c r="H1580" s="97">
        <f>SUM(H1572:H1579)</f>
        <v>0</v>
      </c>
      <c r="I1580" s="98">
        <f>SUM(I1572:I1579)</f>
        <v>0</v>
      </c>
      <c r="J1580" s="63"/>
      <c r="K1580" s="21"/>
      <c r="L1580" s="21"/>
      <c r="M1580" s="21"/>
      <c r="N1580" s="21"/>
      <c r="O1580" s="21"/>
      <c r="P1580" s="21"/>
      <c r="Q1580" s="21"/>
      <c r="R1580" s="21"/>
      <c r="S1580" s="21"/>
      <c r="T1580" s="63"/>
      <c r="U1580" s="94"/>
      <c r="V1580" s="90"/>
      <c r="W1580" s="91"/>
      <c r="X1580" s="92"/>
    </row>
    <row r="1581" spans="2:24">
      <c r="B1581" s="11"/>
      <c r="C1581" s="36"/>
      <c r="D1581" s="10"/>
      <c r="E1581" s="10"/>
      <c r="F1581" s="88"/>
      <c r="G1581" s="88"/>
      <c r="H1581" s="88"/>
      <c r="I1581" s="99"/>
      <c r="J1581" s="63"/>
      <c r="K1581" s="21"/>
      <c r="L1581" s="21"/>
      <c r="M1581" s="21"/>
      <c r="N1581" s="21"/>
      <c r="O1581" s="21"/>
      <c r="P1581" s="21"/>
      <c r="Q1581" s="21"/>
      <c r="R1581" s="21"/>
      <c r="S1581" s="21"/>
      <c r="T1581" s="63"/>
      <c r="U1581" s="94"/>
      <c r="V1581" s="90"/>
      <c r="W1581" s="91"/>
      <c r="X1581" s="92"/>
    </row>
    <row r="1582" spans="2:24">
      <c r="B1582" s="121" t="s">
        <v>70</v>
      </c>
      <c r="C1582" s="36"/>
      <c r="D1582" s="123"/>
      <c r="E1582" s="128"/>
      <c r="F1582" s="124"/>
      <c r="G1582" s="124"/>
      <c r="H1582" s="124"/>
      <c r="I1582" s="126"/>
      <c r="J1582" s="127"/>
      <c r="K1582" s="64"/>
      <c r="L1582" s="64"/>
      <c r="M1582" s="64"/>
      <c r="N1582" s="64"/>
      <c r="O1582" s="64"/>
      <c r="P1582" s="64"/>
      <c r="Q1582" s="64"/>
      <c r="R1582" s="64"/>
      <c r="S1582" s="64"/>
      <c r="T1582" s="127"/>
      <c r="U1582" s="135"/>
      <c r="V1582" s="129"/>
      <c r="W1582" s="130"/>
      <c r="X1582" s="131"/>
    </row>
    <row r="1583" spans="2:24">
      <c r="B1583" s="467">
        <v>1</v>
      </c>
      <c r="C1583" s="478">
        <v>45961</v>
      </c>
      <c r="D1583" s="521" t="s">
        <v>740</v>
      </c>
      <c r="E1583" s="521" t="s">
        <v>218</v>
      </c>
      <c r="F1583" s="480">
        <v>8475</v>
      </c>
      <c r="G1583" s="480">
        <f>39.7+(1247.68)+250</f>
        <v>1537.38</v>
      </c>
      <c r="H1583" s="480"/>
      <c r="I1583" s="376">
        <f t="shared" ref="I1583" si="328">F1583-G1583-H1583</f>
        <v>6937.62</v>
      </c>
      <c r="J1583" s="481" t="s">
        <v>156</v>
      </c>
      <c r="K1583" s="481">
        <v>1</v>
      </c>
      <c r="L1583" s="481"/>
      <c r="M1583" s="481">
        <v>1</v>
      </c>
      <c r="N1583" s="481">
        <v>1</v>
      </c>
      <c r="O1583" s="481">
        <v>1</v>
      </c>
      <c r="P1583" s="481">
        <v>1</v>
      </c>
      <c r="Q1583" s="481"/>
      <c r="R1583" s="481"/>
      <c r="S1583" s="482"/>
      <c r="T1583" s="738">
        <v>1</v>
      </c>
      <c r="U1583" s="475" t="s">
        <v>741</v>
      </c>
      <c r="V1583" s="476">
        <f>933</f>
        <v>933</v>
      </c>
      <c r="W1583" s="465"/>
      <c r="X1583" s="483"/>
    </row>
    <row r="1584" spans="2:24">
      <c r="B1584" s="132"/>
      <c r="C1584" s="36"/>
      <c r="D1584" s="123"/>
      <c r="E1584" s="123"/>
      <c r="F1584" s="133">
        <f>SUM(F1583:F1583)</f>
        <v>8475</v>
      </c>
      <c r="G1584" s="133">
        <f>SUM(G1583:G1583)</f>
        <v>1537.38</v>
      </c>
      <c r="H1584" s="133">
        <f>SUM(H1583:H1583)</f>
        <v>0</v>
      </c>
      <c r="I1584" s="134">
        <f>SUM(I1583:I1583)</f>
        <v>6937.62</v>
      </c>
      <c r="J1584" s="127"/>
      <c r="K1584" s="64"/>
      <c r="L1584" s="64"/>
      <c r="M1584" s="64"/>
      <c r="N1584" s="64"/>
      <c r="O1584" s="64"/>
      <c r="P1584" s="64"/>
      <c r="Q1584" s="64"/>
      <c r="R1584" s="64"/>
      <c r="S1584" s="64"/>
      <c r="T1584" s="127"/>
      <c r="U1584" s="135"/>
      <c r="V1584" s="129"/>
      <c r="W1584" s="130"/>
      <c r="X1584" s="131"/>
    </row>
    <row r="1585" spans="1:24">
      <c r="B1585" s="11"/>
      <c r="C1585" s="36"/>
      <c r="D1585" s="10"/>
      <c r="E1585" s="10"/>
      <c r="F1585" s="88"/>
      <c r="G1585" s="88"/>
      <c r="H1585" s="88"/>
      <c r="I1585" s="99"/>
      <c r="J1585" s="63"/>
      <c r="K1585" s="21"/>
      <c r="L1585" s="21"/>
      <c r="M1585" s="21"/>
      <c r="N1585" s="21"/>
      <c r="O1585" s="21"/>
      <c r="P1585" s="21"/>
      <c r="Q1585" s="21"/>
      <c r="R1585" s="21"/>
      <c r="S1585" s="21"/>
      <c r="T1585" s="63"/>
      <c r="U1585" s="94"/>
      <c r="V1585" s="90"/>
      <c r="W1585" s="91"/>
      <c r="X1585" s="92"/>
    </row>
    <row r="1586" spans="1:24" s="260" customFormat="1">
      <c r="A1586" s="181"/>
      <c r="B1586" s="100" t="s">
        <v>152</v>
      </c>
      <c r="C1586" s="36"/>
      <c r="D1586" s="10"/>
      <c r="E1586" s="10"/>
      <c r="F1586" s="88"/>
      <c r="G1586" s="62"/>
      <c r="H1586" s="88"/>
      <c r="I1586" s="99"/>
      <c r="J1586" s="10"/>
      <c r="K1586" s="181"/>
      <c r="L1586" s="181"/>
      <c r="M1586" s="181"/>
      <c r="N1586" s="181"/>
      <c r="O1586" s="181"/>
      <c r="P1586" s="181"/>
      <c r="Q1586" s="181"/>
      <c r="R1586" s="181"/>
      <c r="S1586" s="181"/>
      <c r="T1586" s="63"/>
      <c r="U1586" s="10"/>
      <c r="V1586" s="90"/>
      <c r="W1586" s="91"/>
      <c r="X1586" s="92"/>
    </row>
    <row r="1587" spans="1:24" s="260" customFormat="1">
      <c r="A1587" s="312" t="s">
        <v>194</v>
      </c>
      <c r="B1587" s="87">
        <v>1</v>
      </c>
      <c r="C1587" s="262">
        <v>45805</v>
      </c>
      <c r="D1587" s="273" t="s">
        <v>199</v>
      </c>
      <c r="E1587" s="271" t="s">
        <v>196</v>
      </c>
      <c r="F1587" s="265">
        <v>16214</v>
      </c>
      <c r="G1587" s="265">
        <f>39.7+44+36.26+(33.82+55.44)+(102.43+254.2+84.43+10.82+125.93)+1500</f>
        <v>2287.0299999999997</v>
      </c>
      <c r="H1587" s="265">
        <f>F1587*0.2</f>
        <v>3242.8</v>
      </c>
      <c r="I1587" s="266">
        <f>F1587-G1587-H1587</f>
        <v>10684.170000000002</v>
      </c>
      <c r="J1587" s="267" t="s">
        <v>197</v>
      </c>
      <c r="K1587" s="267">
        <v>1</v>
      </c>
      <c r="L1587" s="267">
        <v>1</v>
      </c>
      <c r="M1587" s="267">
        <v>1</v>
      </c>
      <c r="N1587" s="267">
        <v>1</v>
      </c>
      <c r="O1587" s="267">
        <v>1</v>
      </c>
      <c r="P1587" s="314">
        <v>0</v>
      </c>
      <c r="Q1587" s="267">
        <v>1</v>
      </c>
      <c r="R1587" s="267">
        <v>1</v>
      </c>
      <c r="S1587" s="366">
        <v>0</v>
      </c>
      <c r="T1587" s="63"/>
      <c r="U1587" s="10" t="s">
        <v>200</v>
      </c>
      <c r="V1587" s="90"/>
      <c r="W1587" s="136"/>
      <c r="X1587" s="137"/>
    </row>
    <row r="1588" spans="1:24">
      <c r="A1588" s="507">
        <v>0.05</v>
      </c>
      <c r="B1588" s="87">
        <f>B1587+1</f>
        <v>2</v>
      </c>
      <c r="C1588" s="645">
        <v>45896</v>
      </c>
      <c r="D1588" s="273" t="s">
        <v>527</v>
      </c>
      <c r="E1588" s="642" t="s">
        <v>401</v>
      </c>
      <c r="F1588" s="646">
        <v>14503.6</v>
      </c>
      <c r="G1588" s="646">
        <f>39.7+60.48+(103.51+131.24+75.84)+(287.37+90.69)+1000</f>
        <v>1788.83</v>
      </c>
      <c r="H1588" s="646">
        <f>5000*0.2</f>
        <v>1000</v>
      </c>
      <c r="I1588" s="698">
        <f>F1588-G1588-H1588</f>
        <v>11714.77</v>
      </c>
      <c r="J1588" s="647" t="s">
        <v>185</v>
      </c>
      <c r="K1588" s="647">
        <v>1</v>
      </c>
      <c r="L1588" s="647">
        <v>1</v>
      </c>
      <c r="M1588" s="647">
        <v>1</v>
      </c>
      <c r="N1588" s="647">
        <v>1</v>
      </c>
      <c r="O1588" s="647">
        <v>1</v>
      </c>
      <c r="P1588" s="647">
        <v>1</v>
      </c>
      <c r="Q1588" s="647">
        <v>1</v>
      </c>
      <c r="R1588" s="647">
        <v>1</v>
      </c>
      <c r="S1588" s="648">
        <v>1</v>
      </c>
      <c r="T1588" s="537"/>
      <c r="U1588" s="164" t="s">
        <v>669</v>
      </c>
      <c r="V1588" s="551"/>
      <c r="W1588" s="552"/>
      <c r="X1588" s="553"/>
    </row>
    <row r="1589" spans="1:24" s="260" customFormat="1">
      <c r="A1589" s="260" t="s">
        <v>619</v>
      </c>
      <c r="B1589" s="87">
        <f>B1588+1</f>
        <v>3</v>
      </c>
      <c r="C1589" s="262">
        <v>45923</v>
      </c>
      <c r="D1589" s="271" t="s">
        <v>620</v>
      </c>
      <c r="E1589" s="271" t="s">
        <v>609</v>
      </c>
      <c r="F1589" s="265">
        <v>14000</v>
      </c>
      <c r="G1589" s="265">
        <f>39.7+(54.62+926.82)+1000</f>
        <v>2021.14</v>
      </c>
      <c r="H1589" s="265"/>
      <c r="I1589" s="266">
        <f>F1589-G1589-H1589</f>
        <v>11978.86</v>
      </c>
      <c r="J1589" s="267" t="s">
        <v>185</v>
      </c>
      <c r="K1589" s="267">
        <v>1</v>
      </c>
      <c r="L1589" s="267">
        <v>1</v>
      </c>
      <c r="M1589" s="267">
        <v>1</v>
      </c>
      <c r="N1589" s="267">
        <v>1</v>
      </c>
      <c r="O1589" s="267">
        <v>1</v>
      </c>
      <c r="P1589" s="267">
        <v>1</v>
      </c>
      <c r="Q1589" s="267">
        <v>1</v>
      </c>
      <c r="R1589" s="267">
        <v>1</v>
      </c>
      <c r="S1589" s="366">
        <v>0</v>
      </c>
      <c r="T1589" s="21"/>
      <c r="U1589" s="10" t="s">
        <v>621</v>
      </c>
      <c r="V1589" s="724"/>
      <c r="W1589" s="91"/>
      <c r="X1589" s="92"/>
    </row>
    <row r="1590" spans="1:24" s="260" customFormat="1">
      <c r="A1590" s="704" t="s">
        <v>683</v>
      </c>
      <c r="B1590" s="87">
        <f>B1589+1</f>
        <v>4</v>
      </c>
      <c r="C1590" s="274">
        <v>45945</v>
      </c>
      <c r="D1590" s="276">
        <v>74443</v>
      </c>
      <c r="E1590" s="281" t="s">
        <v>672</v>
      </c>
      <c r="F1590" s="277">
        <v>2034.9</v>
      </c>
      <c r="G1590" s="277">
        <f>39.7</f>
        <v>39.700000000000003</v>
      </c>
      <c r="H1590" s="277"/>
      <c r="I1590" s="278">
        <f>F1590-G1590-H1590</f>
        <v>1995.2</v>
      </c>
      <c r="J1590" s="279" t="s">
        <v>185</v>
      </c>
      <c r="K1590" s="279">
        <v>1</v>
      </c>
      <c r="L1590" s="279">
        <v>1</v>
      </c>
      <c r="M1590" s="279">
        <v>1</v>
      </c>
      <c r="N1590" s="279">
        <v>1</v>
      </c>
      <c r="O1590" s="279">
        <v>1</v>
      </c>
      <c r="P1590" s="279">
        <v>1</v>
      </c>
      <c r="Q1590" s="279">
        <v>1</v>
      </c>
      <c r="R1590" s="279">
        <v>1</v>
      </c>
      <c r="S1590" s="280">
        <v>1</v>
      </c>
      <c r="T1590" s="63"/>
      <c r="U1590" s="94" t="s">
        <v>684</v>
      </c>
      <c r="V1590" s="90"/>
      <c r="W1590" s="91"/>
      <c r="X1590" s="92"/>
    </row>
    <row r="1591" spans="1:24" s="260" customFormat="1">
      <c r="A1591" s="261">
        <v>0.1</v>
      </c>
      <c r="B1591" s="87">
        <f t="shared" ref="B1591:B1592" si="329">B1590+1</f>
        <v>5</v>
      </c>
      <c r="C1591" s="295">
        <v>45945</v>
      </c>
      <c r="D1591" s="77" t="s">
        <v>685</v>
      </c>
      <c r="E1591" s="101" t="s">
        <v>292</v>
      </c>
      <c r="F1591" s="62">
        <f>1138-1.64</f>
        <v>1136.3599999999999</v>
      </c>
      <c r="G1591" s="62">
        <f>39.7</f>
        <v>39.700000000000003</v>
      </c>
      <c r="H1591" s="62"/>
      <c r="I1591" s="89">
        <f>F1591-G1591-H1591</f>
        <v>1096.6599999999999</v>
      </c>
      <c r="J1591" s="63" t="s">
        <v>150</v>
      </c>
      <c r="K1591" s="63">
        <v>1</v>
      </c>
      <c r="L1591" s="63">
        <v>1</v>
      </c>
      <c r="M1591" s="63">
        <v>1</v>
      </c>
      <c r="N1591" s="63">
        <v>1</v>
      </c>
      <c r="O1591" s="63">
        <v>1</v>
      </c>
      <c r="P1591" s="63">
        <v>1</v>
      </c>
      <c r="Q1591" s="63">
        <v>1</v>
      </c>
      <c r="R1591" s="63">
        <v>1</v>
      </c>
      <c r="S1591" s="296">
        <v>1</v>
      </c>
      <c r="T1591" s="63"/>
      <c r="U1591" s="94" t="s">
        <v>686</v>
      </c>
      <c r="V1591" s="90"/>
      <c r="W1591" s="91"/>
      <c r="X1591" s="92"/>
    </row>
    <row r="1592" spans="1:24" s="260" customFormat="1">
      <c r="A1592" s="261">
        <v>0.1</v>
      </c>
      <c r="B1592" s="87">
        <f t="shared" si="329"/>
        <v>6</v>
      </c>
      <c r="C1592" s="262">
        <v>45946</v>
      </c>
      <c r="D1592" s="271">
        <v>74528</v>
      </c>
      <c r="E1592" s="264" t="s">
        <v>355</v>
      </c>
      <c r="F1592" s="264">
        <f>1546-85</f>
        <v>1461</v>
      </c>
      <c r="G1592" s="265">
        <f>39.7</f>
        <v>39.700000000000003</v>
      </c>
      <c r="H1592" s="265"/>
      <c r="I1592" s="272">
        <f>F1592-G1592-H1592</f>
        <v>1421.3</v>
      </c>
      <c r="J1592" s="267" t="s">
        <v>374</v>
      </c>
      <c r="K1592" s="267">
        <v>1</v>
      </c>
      <c r="L1592" s="267">
        <v>1</v>
      </c>
      <c r="M1592" s="267">
        <v>1</v>
      </c>
      <c r="N1592" s="267">
        <v>1</v>
      </c>
      <c r="O1592" s="267">
        <v>1</v>
      </c>
      <c r="P1592" s="267">
        <v>1</v>
      </c>
      <c r="Q1592" s="267">
        <v>1</v>
      </c>
      <c r="R1592" s="267">
        <v>1</v>
      </c>
      <c r="S1592" s="269">
        <v>1</v>
      </c>
      <c r="T1592" s="63"/>
      <c r="U1592" s="94" t="s">
        <v>687</v>
      </c>
      <c r="V1592" s="90"/>
      <c r="W1592" s="91"/>
      <c r="X1592" s="92"/>
    </row>
    <row r="1593" spans="1:24" s="260" customFormat="1">
      <c r="A1593" s="181"/>
      <c r="B1593" s="11"/>
      <c r="C1593" s="36"/>
      <c r="D1593" s="77"/>
      <c r="E1593" s="10"/>
      <c r="F1593" s="97">
        <f>SUM(F1587:F1592)</f>
        <v>49349.86</v>
      </c>
      <c r="G1593" s="97">
        <f t="shared" ref="G1593:I1593" si="330">SUM(G1587:G1592)</f>
        <v>6216.0999999999995</v>
      </c>
      <c r="H1593" s="97">
        <f t="shared" si="330"/>
        <v>4242.8</v>
      </c>
      <c r="I1593" s="97">
        <f t="shared" si="330"/>
        <v>38890.960000000006</v>
      </c>
      <c r="K1593" s="21"/>
      <c r="L1593" s="21"/>
      <c r="M1593" s="21"/>
      <c r="N1593" s="21"/>
      <c r="O1593" s="21"/>
      <c r="P1593" s="21"/>
      <c r="Q1593" s="21"/>
      <c r="R1593" s="21"/>
      <c r="S1593" s="21"/>
      <c r="T1593" s="63"/>
      <c r="U1593" s="10"/>
      <c r="V1593" s="90"/>
      <c r="W1593" s="91"/>
      <c r="X1593" s="92"/>
    </row>
    <row r="1594" spans="1:24" s="260" customFormat="1">
      <c r="A1594" s="181"/>
      <c r="B1594" s="11"/>
      <c r="C1594" s="36"/>
      <c r="D1594" s="77"/>
      <c r="E1594" s="10"/>
      <c r="F1594" s="88"/>
      <c r="G1594" s="88"/>
      <c r="H1594" s="88"/>
      <c r="I1594" s="99"/>
      <c r="J1594" s="63"/>
      <c r="K1594" s="21"/>
      <c r="L1594" s="21"/>
      <c r="M1594" s="21"/>
      <c r="N1594" s="21"/>
      <c r="O1594" s="21"/>
      <c r="P1594" s="21"/>
      <c r="Q1594" s="21"/>
      <c r="R1594" s="21"/>
      <c r="S1594" s="21"/>
      <c r="T1594" s="63"/>
      <c r="U1594" s="10"/>
      <c r="V1594" s="90"/>
      <c r="W1594" s="91"/>
      <c r="X1594" s="92"/>
    </row>
    <row r="1595" spans="1:24">
      <c r="B1595" s="100" t="s">
        <v>202</v>
      </c>
      <c r="C1595" s="36"/>
      <c r="D1595" s="123"/>
      <c r="E1595" s="128"/>
      <c r="F1595" s="124"/>
      <c r="G1595" s="124"/>
      <c r="H1595" s="124"/>
      <c r="I1595" s="126"/>
      <c r="J1595" s="127"/>
      <c r="K1595" s="64"/>
      <c r="L1595" s="64"/>
      <c r="M1595" s="64"/>
      <c r="N1595" s="64"/>
      <c r="O1595" s="64"/>
      <c r="P1595" s="64"/>
      <c r="Q1595" s="64"/>
      <c r="R1595" s="64"/>
      <c r="S1595" s="64"/>
      <c r="T1595" s="127"/>
      <c r="U1595" s="135"/>
      <c r="V1595" s="129"/>
      <c r="W1595" s="130"/>
      <c r="X1595" s="131"/>
    </row>
    <row r="1596" spans="1:24" s="260" customFormat="1">
      <c r="A1596" s="261">
        <v>0.1</v>
      </c>
      <c r="B1596" s="87">
        <v>1</v>
      </c>
      <c r="C1596" s="262">
        <v>45955</v>
      </c>
      <c r="D1596" s="271">
        <v>74814</v>
      </c>
      <c r="E1596" s="271" t="s">
        <v>513</v>
      </c>
      <c r="F1596" s="265">
        <v>2532.6</v>
      </c>
      <c r="G1596" s="265">
        <f>39.7+550</f>
        <v>589.70000000000005</v>
      </c>
      <c r="H1596" s="265"/>
      <c r="I1596" s="272">
        <f t="shared" ref="I1596" si="331">F1596-G1596-H1596</f>
        <v>1942.8999999999999</v>
      </c>
      <c r="J1596" s="267" t="s">
        <v>156</v>
      </c>
      <c r="K1596" s="267">
        <v>1</v>
      </c>
      <c r="L1596" s="267"/>
      <c r="M1596" s="267">
        <v>0</v>
      </c>
      <c r="N1596" s="267">
        <v>1</v>
      </c>
      <c r="O1596" s="267">
        <v>1</v>
      </c>
      <c r="P1596" s="267">
        <v>1</v>
      </c>
      <c r="Q1596" s="267"/>
      <c r="R1596" s="267"/>
      <c r="S1596" s="269"/>
      <c r="T1596" s="63"/>
      <c r="U1596" s="94" t="s">
        <v>742</v>
      </c>
      <c r="V1596" s="90"/>
      <c r="W1596" s="136"/>
      <c r="X1596" s="137"/>
    </row>
    <row r="1597" spans="1:24">
      <c r="B1597" s="132"/>
      <c r="C1597" s="36"/>
      <c r="D1597" s="123"/>
      <c r="E1597" s="123"/>
      <c r="F1597" s="755">
        <f>SUM(F1596:F1596)</f>
        <v>2532.6</v>
      </c>
      <c r="G1597" s="755">
        <f>SUM(G1596:G1596)</f>
        <v>589.70000000000005</v>
      </c>
      <c r="H1597" s="755">
        <f>SUM(H1596:H1596)</f>
        <v>0</v>
      </c>
      <c r="I1597" s="756">
        <f>SUM(I1596:I1596)</f>
        <v>1942.8999999999999</v>
      </c>
      <c r="J1597" s="127"/>
      <c r="K1597" s="64"/>
      <c r="L1597" s="64"/>
      <c r="M1597" s="64"/>
      <c r="N1597" s="64"/>
      <c r="O1597" s="64"/>
      <c r="P1597" s="64"/>
      <c r="Q1597" s="64"/>
      <c r="R1597" s="64"/>
      <c r="S1597" s="64"/>
      <c r="T1597" s="127"/>
      <c r="U1597" s="135"/>
      <c r="V1597" s="129"/>
      <c r="W1597" s="130"/>
      <c r="X1597" s="131"/>
    </row>
    <row r="1598" spans="1:24">
      <c r="B1598" s="11"/>
      <c r="C1598" s="36"/>
      <c r="D1598" s="10"/>
      <c r="E1598" s="10"/>
      <c r="F1598" s="88"/>
      <c r="G1598" s="88"/>
      <c r="H1598" s="88"/>
      <c r="I1598" s="99"/>
      <c r="J1598" s="63"/>
      <c r="K1598" s="21"/>
      <c r="L1598" s="21"/>
      <c r="M1598" s="21"/>
      <c r="N1598" s="21"/>
      <c r="O1598" s="21"/>
      <c r="P1598" s="21"/>
      <c r="Q1598" s="21"/>
      <c r="R1598" s="21"/>
      <c r="S1598" s="21"/>
      <c r="T1598" s="63"/>
      <c r="U1598" s="94"/>
      <c r="V1598" s="90"/>
      <c r="W1598" s="91"/>
      <c r="X1598" s="92"/>
    </row>
    <row r="1599" spans="1:24">
      <c r="B1599" s="100" t="s">
        <v>72</v>
      </c>
      <c r="C1599" s="36"/>
      <c r="D1599" s="10"/>
      <c r="E1599" s="10"/>
      <c r="F1599" s="88"/>
      <c r="G1599" s="88"/>
      <c r="H1599" s="88"/>
      <c r="I1599" s="99"/>
      <c r="J1599" s="63"/>
      <c r="K1599" s="63"/>
      <c r="L1599" s="63"/>
      <c r="M1599" s="63"/>
      <c r="N1599" s="63"/>
      <c r="O1599" s="63"/>
      <c r="P1599" s="63"/>
      <c r="Q1599" s="63"/>
      <c r="R1599" s="63"/>
      <c r="S1599" s="63"/>
      <c r="T1599" s="63"/>
      <c r="U1599" s="94"/>
      <c r="V1599" s="90"/>
      <c r="W1599" s="91"/>
      <c r="X1599" s="92"/>
    </row>
    <row r="1600" spans="1:24">
      <c r="B1600" s="87">
        <v>1</v>
      </c>
      <c r="C1600" s="274">
        <v>45957</v>
      </c>
      <c r="D1600" s="275">
        <v>74705</v>
      </c>
      <c r="E1600" s="276" t="s">
        <v>292</v>
      </c>
      <c r="F1600" s="277">
        <v>2261</v>
      </c>
      <c r="G1600" s="277">
        <v>39.700000000000003</v>
      </c>
      <c r="H1600" s="277"/>
      <c r="I1600" s="278">
        <f>F1600-G1600-H1600</f>
        <v>2221.3000000000002</v>
      </c>
      <c r="J1600" s="279" t="s">
        <v>156</v>
      </c>
      <c r="K1600" s="279">
        <v>1</v>
      </c>
      <c r="L1600" s="279"/>
      <c r="M1600" s="279">
        <v>1</v>
      </c>
      <c r="N1600" s="279">
        <v>1</v>
      </c>
      <c r="O1600" s="279">
        <v>1</v>
      </c>
      <c r="P1600" s="279">
        <v>1</v>
      </c>
      <c r="Q1600" s="279">
        <v>1</v>
      </c>
      <c r="R1600" s="279">
        <v>1</v>
      </c>
      <c r="S1600" s="280">
        <v>1</v>
      </c>
      <c r="T1600" s="63"/>
      <c r="U1600" s="164"/>
      <c r="V1600" s="90">
        <v>249</v>
      </c>
      <c r="W1600" s="91"/>
      <c r="X1600" s="92"/>
    </row>
    <row r="1601" spans="2:24">
      <c r="B1601" s="87">
        <f>B1600+1</f>
        <v>2</v>
      </c>
      <c r="C1601" s="274">
        <v>45958</v>
      </c>
      <c r="D1601" s="275">
        <v>74826</v>
      </c>
      <c r="E1601" s="276" t="s">
        <v>395</v>
      </c>
      <c r="F1601" s="277">
        <v>6214</v>
      </c>
      <c r="G1601" s="277">
        <v>39.700000000000003</v>
      </c>
      <c r="H1601" s="277"/>
      <c r="I1601" s="278">
        <f t="shared" ref="I1601:I1617" si="332">F1601-G1601-H1601</f>
        <v>6174.3</v>
      </c>
      <c r="J1601" s="279" t="s">
        <v>205</v>
      </c>
      <c r="K1601" s="279">
        <v>1</v>
      </c>
      <c r="L1601" s="279"/>
      <c r="M1601" s="279"/>
      <c r="N1601" s="279">
        <v>1</v>
      </c>
      <c r="O1601" s="279"/>
      <c r="P1601" s="279"/>
      <c r="Q1601" s="279">
        <v>1</v>
      </c>
      <c r="R1601" s="279">
        <v>1</v>
      </c>
      <c r="S1601" s="280">
        <v>1</v>
      </c>
      <c r="T1601" s="63"/>
      <c r="U1601" s="94"/>
      <c r="V1601" s="90"/>
      <c r="W1601" s="136"/>
      <c r="X1601" s="137"/>
    </row>
    <row r="1602" spans="2:24">
      <c r="B1602" s="87">
        <f t="shared" ref="B1602:B1617" si="333">B1601+1</f>
        <v>3</v>
      </c>
      <c r="C1602" s="295">
        <v>45958</v>
      </c>
      <c r="D1602" s="539" t="s">
        <v>743</v>
      </c>
      <c r="E1602" s="10" t="s">
        <v>349</v>
      </c>
      <c r="F1602" s="62">
        <v>4551.6000000000004</v>
      </c>
      <c r="G1602" s="62">
        <v>39.700000000000003</v>
      </c>
      <c r="H1602" s="62"/>
      <c r="I1602" s="89">
        <f t="shared" si="332"/>
        <v>4511.9000000000005</v>
      </c>
      <c r="J1602" s="63" t="s">
        <v>205</v>
      </c>
      <c r="K1602" s="63">
        <v>1</v>
      </c>
      <c r="L1602" s="63"/>
      <c r="M1602" s="63"/>
      <c r="N1602" s="63">
        <v>1</v>
      </c>
      <c r="O1602" s="63"/>
      <c r="P1602" s="63"/>
      <c r="Q1602" s="63"/>
      <c r="R1602" s="63"/>
      <c r="S1602" s="296"/>
      <c r="T1602" s="63"/>
      <c r="U1602" s="94"/>
      <c r="V1602" s="90"/>
      <c r="W1602" s="136"/>
      <c r="X1602" s="137"/>
    </row>
    <row r="1603" spans="2:24">
      <c r="B1603" s="87">
        <f t="shared" si="333"/>
        <v>4</v>
      </c>
      <c r="C1603" s="295">
        <v>45958</v>
      </c>
      <c r="D1603" s="77">
        <v>74868</v>
      </c>
      <c r="E1603" s="10" t="s">
        <v>444</v>
      </c>
      <c r="F1603" s="62">
        <v>2261</v>
      </c>
      <c r="G1603" s="62">
        <f>39.7</f>
        <v>39.700000000000003</v>
      </c>
      <c r="H1603" s="62"/>
      <c r="I1603" s="89">
        <f>F1603-G1603-H1603</f>
        <v>2221.3000000000002</v>
      </c>
      <c r="J1603" s="63" t="s">
        <v>156</v>
      </c>
      <c r="K1603" s="63">
        <v>1</v>
      </c>
      <c r="L1603" s="63"/>
      <c r="M1603" s="63">
        <v>1</v>
      </c>
      <c r="N1603" s="63">
        <v>1</v>
      </c>
      <c r="O1603" s="63">
        <v>1</v>
      </c>
      <c r="P1603" s="63">
        <v>1</v>
      </c>
      <c r="Q1603" s="63"/>
      <c r="R1603" s="63"/>
      <c r="S1603" s="296"/>
      <c r="T1603" s="63"/>
      <c r="U1603" s="94" t="s">
        <v>744</v>
      </c>
      <c r="V1603" s="90">
        <f>249</f>
        <v>249</v>
      </c>
      <c r="W1603" s="136"/>
      <c r="X1603" s="137"/>
    </row>
    <row r="1604" spans="2:24">
      <c r="B1604" s="87">
        <f t="shared" si="333"/>
        <v>5</v>
      </c>
      <c r="C1604" s="274">
        <v>45959</v>
      </c>
      <c r="D1604" s="275" t="s">
        <v>745</v>
      </c>
      <c r="E1604" s="276" t="s">
        <v>513</v>
      </c>
      <c r="F1604" s="277">
        <v>14592.6</v>
      </c>
      <c r="G1604" s="277">
        <v>39.700000000000003</v>
      </c>
      <c r="H1604" s="277"/>
      <c r="I1604" s="278">
        <f t="shared" si="332"/>
        <v>14552.9</v>
      </c>
      <c r="J1604" s="279" t="s">
        <v>205</v>
      </c>
      <c r="K1604" s="279">
        <v>1</v>
      </c>
      <c r="L1604" s="279"/>
      <c r="M1604" s="279"/>
      <c r="N1604" s="279">
        <v>1</v>
      </c>
      <c r="O1604" s="279"/>
      <c r="P1604" s="279"/>
      <c r="Q1604" s="279"/>
      <c r="R1604" s="279"/>
      <c r="S1604" s="280"/>
      <c r="T1604" s="63"/>
      <c r="U1604" s="94"/>
      <c r="V1604" s="90"/>
      <c r="W1604" s="136"/>
      <c r="X1604" s="137"/>
    </row>
    <row r="1605" spans="2:24">
      <c r="B1605" s="87">
        <f t="shared" si="333"/>
        <v>6</v>
      </c>
      <c r="C1605" s="295">
        <v>45959</v>
      </c>
      <c r="D1605" s="77">
        <v>74931</v>
      </c>
      <c r="E1605" s="101" t="s">
        <v>355</v>
      </c>
      <c r="F1605" s="62">
        <v>1069</v>
      </c>
      <c r="G1605" s="62">
        <v>39.700000000000003</v>
      </c>
      <c r="H1605" s="62"/>
      <c r="I1605" s="89">
        <f t="shared" si="332"/>
        <v>1029.3</v>
      </c>
      <c r="J1605" s="63" t="s">
        <v>156</v>
      </c>
      <c r="K1605" s="63">
        <v>1</v>
      </c>
      <c r="L1605" s="63"/>
      <c r="M1605" s="63">
        <v>1</v>
      </c>
      <c r="N1605" s="63">
        <v>1</v>
      </c>
      <c r="O1605" s="63"/>
      <c r="P1605" s="63"/>
      <c r="Q1605" s="63">
        <v>1</v>
      </c>
      <c r="R1605" s="63">
        <v>1</v>
      </c>
      <c r="S1605" s="296">
        <v>1</v>
      </c>
      <c r="T1605" s="63"/>
      <c r="U1605" s="94"/>
      <c r="V1605" s="90">
        <v>93.5</v>
      </c>
      <c r="W1605" s="136"/>
      <c r="X1605" s="137"/>
    </row>
    <row r="1606" spans="2:24">
      <c r="B1606" s="87">
        <f t="shared" si="333"/>
        <v>7</v>
      </c>
      <c r="C1606" s="295">
        <v>45959</v>
      </c>
      <c r="D1606" s="77">
        <v>74908</v>
      </c>
      <c r="E1606" s="101" t="s">
        <v>746</v>
      </c>
      <c r="F1606" s="62">
        <v>1069</v>
      </c>
      <c r="G1606" s="62">
        <v>39.700000000000003</v>
      </c>
      <c r="H1606" s="62"/>
      <c r="I1606" s="89">
        <f t="shared" si="332"/>
        <v>1029.3</v>
      </c>
      <c r="J1606" s="63" t="s">
        <v>205</v>
      </c>
      <c r="K1606" s="63">
        <v>1</v>
      </c>
      <c r="L1606" s="63"/>
      <c r="M1606" s="63"/>
      <c r="N1606" s="63">
        <v>1</v>
      </c>
      <c r="O1606" s="63"/>
      <c r="P1606" s="63"/>
      <c r="Q1606" s="63">
        <v>1</v>
      </c>
      <c r="R1606" s="63">
        <v>1</v>
      </c>
      <c r="S1606" s="296">
        <v>1</v>
      </c>
      <c r="T1606" s="63"/>
      <c r="U1606" s="94"/>
      <c r="V1606" s="90"/>
      <c r="W1606" s="136"/>
      <c r="X1606" s="137"/>
    </row>
    <row r="1607" spans="2:24">
      <c r="B1607" s="87">
        <f t="shared" si="333"/>
        <v>8</v>
      </c>
      <c r="C1607" s="295">
        <v>45959</v>
      </c>
      <c r="D1607" s="77" t="s">
        <v>747</v>
      </c>
      <c r="E1607" s="10" t="s">
        <v>737</v>
      </c>
      <c r="F1607" s="62">
        <v>15076</v>
      </c>
      <c r="G1607" s="62">
        <v>39.700000000000003</v>
      </c>
      <c r="H1607" s="62"/>
      <c r="I1607" s="89">
        <f t="shared" si="332"/>
        <v>15036.3</v>
      </c>
      <c r="J1607" s="63" t="s">
        <v>205</v>
      </c>
      <c r="K1607" s="63">
        <v>1</v>
      </c>
      <c r="L1607" s="63"/>
      <c r="M1607" s="63"/>
      <c r="N1607" s="63">
        <v>1</v>
      </c>
      <c r="O1607" s="63"/>
      <c r="P1607" s="63"/>
      <c r="Q1607" s="63"/>
      <c r="R1607" s="63"/>
      <c r="S1607" s="296"/>
      <c r="T1607" s="63"/>
      <c r="U1607" s="94"/>
      <c r="V1607" s="90"/>
      <c r="W1607" s="136"/>
      <c r="X1607" s="137"/>
    </row>
    <row r="1608" spans="2:24">
      <c r="B1608" s="87">
        <f t="shared" si="333"/>
        <v>9</v>
      </c>
      <c r="C1608" s="274">
        <v>45960</v>
      </c>
      <c r="D1608" s="275" t="s">
        <v>748</v>
      </c>
      <c r="E1608" s="276" t="s">
        <v>327</v>
      </c>
      <c r="F1608" s="277">
        <v>8776.7999999999993</v>
      </c>
      <c r="G1608" s="277">
        <v>39.700000000000003</v>
      </c>
      <c r="H1608" s="277"/>
      <c r="I1608" s="278">
        <f t="shared" si="332"/>
        <v>8737.0999999999985</v>
      </c>
      <c r="J1608" s="279" t="s">
        <v>205</v>
      </c>
      <c r="K1608" s="279">
        <v>1</v>
      </c>
      <c r="L1608" s="279"/>
      <c r="M1608" s="279"/>
      <c r="N1608" s="279">
        <v>1</v>
      </c>
      <c r="O1608" s="279"/>
      <c r="P1608" s="279"/>
      <c r="Q1608" s="279"/>
      <c r="R1608" s="279"/>
      <c r="S1608" s="280"/>
      <c r="T1608" s="63"/>
      <c r="U1608" s="94"/>
      <c r="V1608" s="90"/>
      <c r="W1608" s="136"/>
      <c r="X1608" s="137"/>
    </row>
    <row r="1609" spans="2:24">
      <c r="B1609" s="87">
        <f t="shared" si="333"/>
        <v>10</v>
      </c>
      <c r="C1609" s="295">
        <v>45960</v>
      </c>
      <c r="D1609" s="77">
        <v>74952</v>
      </c>
      <c r="E1609" s="101" t="s">
        <v>203</v>
      </c>
      <c r="F1609" s="62">
        <v>681</v>
      </c>
      <c r="G1609" s="62"/>
      <c r="H1609" s="62"/>
      <c r="I1609" s="89">
        <f t="shared" si="332"/>
        <v>681</v>
      </c>
      <c r="J1609" s="63" t="s">
        <v>205</v>
      </c>
      <c r="K1609" s="63">
        <v>1</v>
      </c>
      <c r="L1609" s="63"/>
      <c r="M1609" s="63"/>
      <c r="N1609" s="63">
        <v>1</v>
      </c>
      <c r="O1609" s="63"/>
      <c r="P1609" s="63"/>
      <c r="Q1609" s="63">
        <v>1</v>
      </c>
      <c r="R1609" s="63">
        <v>1</v>
      </c>
      <c r="S1609" s="296">
        <v>1</v>
      </c>
      <c r="T1609" s="63"/>
      <c r="U1609" s="94"/>
      <c r="V1609" s="90"/>
      <c r="W1609" s="136"/>
      <c r="X1609" s="137"/>
    </row>
    <row r="1610" spans="2:24">
      <c r="B1610" s="87">
        <f t="shared" si="333"/>
        <v>11</v>
      </c>
      <c r="C1610" s="295">
        <v>45960</v>
      </c>
      <c r="D1610" s="77">
        <v>74970</v>
      </c>
      <c r="E1610" s="101" t="s">
        <v>294</v>
      </c>
      <c r="F1610" s="62">
        <v>1261</v>
      </c>
      <c r="G1610" s="62">
        <v>39.700000000000003</v>
      </c>
      <c r="H1610" s="62"/>
      <c r="I1610" s="89">
        <f t="shared" si="332"/>
        <v>1221.3</v>
      </c>
      <c r="J1610" s="63" t="s">
        <v>205</v>
      </c>
      <c r="K1610" s="63">
        <v>1</v>
      </c>
      <c r="L1610" s="63"/>
      <c r="M1610" s="63"/>
      <c r="N1610" s="63">
        <v>1</v>
      </c>
      <c r="O1610" s="63"/>
      <c r="P1610" s="63"/>
      <c r="Q1610" s="63">
        <v>1</v>
      </c>
      <c r="R1610" s="63">
        <v>1</v>
      </c>
      <c r="S1610" s="296">
        <v>1</v>
      </c>
      <c r="T1610" s="63"/>
      <c r="U1610" s="94"/>
      <c r="V1610" s="90"/>
      <c r="W1610" s="136"/>
      <c r="X1610" s="137"/>
    </row>
    <row r="1611" spans="2:24">
      <c r="B1611" s="87">
        <f t="shared" si="333"/>
        <v>12</v>
      </c>
      <c r="C1611" s="295">
        <v>45960</v>
      </c>
      <c r="D1611" s="77">
        <v>74959</v>
      </c>
      <c r="E1611" s="101" t="s">
        <v>317</v>
      </c>
      <c r="F1611" s="62">
        <v>616</v>
      </c>
      <c r="G1611" s="62"/>
      <c r="H1611" s="62"/>
      <c r="I1611" s="89">
        <f t="shared" si="332"/>
        <v>616</v>
      </c>
      <c r="J1611" s="63" t="s">
        <v>205</v>
      </c>
      <c r="K1611" s="63">
        <v>1</v>
      </c>
      <c r="L1611" s="63"/>
      <c r="M1611" s="63"/>
      <c r="N1611" s="63">
        <v>1</v>
      </c>
      <c r="O1611" s="63"/>
      <c r="P1611" s="63"/>
      <c r="Q1611" s="63">
        <v>1</v>
      </c>
      <c r="R1611" s="63">
        <v>1</v>
      </c>
      <c r="S1611" s="296">
        <v>1</v>
      </c>
      <c r="T1611" s="63"/>
      <c r="U1611" s="94"/>
      <c r="V1611" s="90"/>
      <c r="W1611" s="136"/>
      <c r="X1611" s="137"/>
    </row>
    <row r="1612" spans="2:24">
      <c r="B1612" s="87">
        <f t="shared" si="333"/>
        <v>13</v>
      </c>
      <c r="C1612" s="274">
        <v>45961</v>
      </c>
      <c r="D1612" s="275">
        <v>75002</v>
      </c>
      <c r="E1612" s="281" t="s">
        <v>601</v>
      </c>
      <c r="F1612" s="277">
        <v>2034.9</v>
      </c>
      <c r="G1612" s="277">
        <f>39.7</f>
        <v>39.700000000000003</v>
      </c>
      <c r="H1612" s="277"/>
      <c r="I1612" s="278">
        <f t="shared" si="332"/>
        <v>1995.2</v>
      </c>
      <c r="J1612" s="279" t="s">
        <v>156</v>
      </c>
      <c r="K1612" s="279">
        <v>1</v>
      </c>
      <c r="L1612" s="279"/>
      <c r="M1612" s="279">
        <v>0</v>
      </c>
      <c r="N1612" s="279">
        <v>1</v>
      </c>
      <c r="O1612" s="279">
        <v>1</v>
      </c>
      <c r="P1612" s="279">
        <v>1</v>
      </c>
      <c r="Q1612" s="279">
        <v>1</v>
      </c>
      <c r="R1612" s="279">
        <v>1</v>
      </c>
      <c r="S1612" s="280">
        <v>1</v>
      </c>
      <c r="T1612" s="63"/>
      <c r="U1612" s="94" t="s">
        <v>749</v>
      </c>
      <c r="V1612" s="90">
        <v>223.9</v>
      </c>
      <c r="W1612" s="136"/>
      <c r="X1612" s="137"/>
    </row>
    <row r="1613" spans="2:24">
      <c r="B1613" s="87">
        <f t="shared" si="333"/>
        <v>14</v>
      </c>
      <c r="C1613" s="295">
        <v>45961</v>
      </c>
      <c r="D1613" s="77">
        <v>75016</v>
      </c>
      <c r="E1613" s="10" t="s">
        <v>750</v>
      </c>
      <c r="F1613" s="62">
        <v>861</v>
      </c>
      <c r="G1613" s="62">
        <v>39.700000000000003</v>
      </c>
      <c r="H1613" s="62"/>
      <c r="I1613" s="89">
        <f t="shared" si="332"/>
        <v>821.3</v>
      </c>
      <c r="J1613" s="63" t="s">
        <v>205</v>
      </c>
      <c r="K1613" s="63">
        <v>1</v>
      </c>
      <c r="L1613" s="63"/>
      <c r="M1613" s="63"/>
      <c r="N1613" s="63">
        <v>1</v>
      </c>
      <c r="O1613" s="63"/>
      <c r="P1613" s="63"/>
      <c r="Q1613" s="63">
        <v>1</v>
      </c>
      <c r="R1613" s="63">
        <v>1</v>
      </c>
      <c r="S1613" s="296">
        <v>1</v>
      </c>
      <c r="T1613" s="63"/>
      <c r="U1613" s="94"/>
      <c r="V1613" s="90"/>
      <c r="W1613" s="136"/>
      <c r="X1613" s="137"/>
    </row>
    <row r="1614" spans="2:24">
      <c r="B1614" s="87">
        <f t="shared" si="333"/>
        <v>15</v>
      </c>
      <c r="C1614" s="295">
        <v>45961</v>
      </c>
      <c r="D1614" s="77">
        <v>74979</v>
      </c>
      <c r="E1614" s="10" t="s">
        <v>178</v>
      </c>
      <c r="F1614" s="62">
        <v>749</v>
      </c>
      <c r="G1614" s="62"/>
      <c r="H1614" s="62"/>
      <c r="I1614" s="89">
        <f t="shared" si="332"/>
        <v>749</v>
      </c>
      <c r="J1614" s="63" t="s">
        <v>205</v>
      </c>
      <c r="K1614" s="63">
        <v>1</v>
      </c>
      <c r="L1614" s="63"/>
      <c r="M1614" s="63"/>
      <c r="N1614" s="63">
        <v>1</v>
      </c>
      <c r="O1614" s="63"/>
      <c r="P1614" s="63"/>
      <c r="Q1614" s="63"/>
      <c r="R1614" s="63"/>
      <c r="S1614" s="296"/>
      <c r="T1614" s="63"/>
      <c r="U1614" s="94"/>
      <c r="V1614" s="90"/>
      <c r="W1614" s="136"/>
      <c r="X1614" s="137"/>
    </row>
    <row r="1615" spans="2:24">
      <c r="B1615" s="87">
        <f t="shared" si="333"/>
        <v>16</v>
      </c>
      <c r="C1615" s="295">
        <v>45961</v>
      </c>
      <c r="D1615" s="77">
        <v>74972</v>
      </c>
      <c r="E1615" s="10" t="s">
        <v>751</v>
      </c>
      <c r="F1615" s="62">
        <v>4796</v>
      </c>
      <c r="G1615" s="62">
        <v>39.700000000000003</v>
      </c>
      <c r="H1615" s="62"/>
      <c r="I1615" s="89">
        <f t="shared" si="332"/>
        <v>4756.3</v>
      </c>
      <c r="J1615" s="63" t="s">
        <v>205</v>
      </c>
      <c r="K1615" s="63">
        <v>1</v>
      </c>
      <c r="L1615" s="63"/>
      <c r="M1615" s="63"/>
      <c r="N1615" s="63">
        <v>1</v>
      </c>
      <c r="O1615" s="63"/>
      <c r="P1615" s="63"/>
      <c r="Q1615" s="63">
        <v>1</v>
      </c>
      <c r="R1615" s="63">
        <v>1</v>
      </c>
      <c r="S1615" s="296">
        <v>1</v>
      </c>
      <c r="T1615" s="63"/>
      <c r="U1615" s="94"/>
      <c r="V1615" s="90"/>
      <c r="W1615" s="136"/>
      <c r="X1615" s="137"/>
    </row>
    <row r="1616" spans="2:24">
      <c r="B1616" s="87">
        <f t="shared" si="333"/>
        <v>17</v>
      </c>
      <c r="C1616" s="295">
        <v>45961</v>
      </c>
      <c r="D1616" s="77">
        <v>74999</v>
      </c>
      <c r="E1616" s="10" t="s">
        <v>752</v>
      </c>
      <c r="F1616" s="62">
        <v>674.1</v>
      </c>
      <c r="G1616" s="62"/>
      <c r="H1616" s="62"/>
      <c r="I1616" s="89">
        <f t="shared" si="332"/>
        <v>674.1</v>
      </c>
      <c r="J1616" s="63" t="s">
        <v>205</v>
      </c>
      <c r="K1616" s="63">
        <v>1</v>
      </c>
      <c r="L1616" s="63"/>
      <c r="M1616" s="63"/>
      <c r="N1616" s="63">
        <v>1</v>
      </c>
      <c r="O1616" s="63"/>
      <c r="P1616" s="63"/>
      <c r="Q1616" s="63">
        <v>1</v>
      </c>
      <c r="R1616" s="63">
        <v>1</v>
      </c>
      <c r="S1616" s="296">
        <v>1</v>
      </c>
      <c r="T1616" s="63"/>
      <c r="U1616" s="94"/>
      <c r="V1616" s="90"/>
      <c r="W1616" s="136"/>
      <c r="X1616" s="137"/>
    </row>
    <row r="1617" spans="2:25">
      <c r="B1617" s="87">
        <f t="shared" si="333"/>
        <v>18</v>
      </c>
      <c r="C1617" s="282">
        <v>45961</v>
      </c>
      <c r="D1617" s="302" t="s">
        <v>753</v>
      </c>
      <c r="E1617" s="283" t="s">
        <v>739</v>
      </c>
      <c r="F1617" s="284">
        <v>3977.1</v>
      </c>
      <c r="G1617" s="284">
        <v>39.700000000000003</v>
      </c>
      <c r="H1617" s="284"/>
      <c r="I1617" s="285">
        <f t="shared" si="332"/>
        <v>3937.4</v>
      </c>
      <c r="J1617" s="286" t="s">
        <v>205</v>
      </c>
      <c r="K1617" s="286">
        <v>1</v>
      </c>
      <c r="L1617" s="286"/>
      <c r="M1617" s="286"/>
      <c r="N1617" s="286">
        <v>1</v>
      </c>
      <c r="O1617" s="286"/>
      <c r="P1617" s="286"/>
      <c r="Q1617" s="286"/>
      <c r="R1617" s="286"/>
      <c r="S1617" s="287"/>
      <c r="T1617" s="63"/>
      <c r="U1617" s="94"/>
      <c r="V1617" s="90"/>
      <c r="W1617" s="136"/>
      <c r="X1617" s="137"/>
    </row>
    <row r="1618" spans="2:25">
      <c r="B1618" s="11"/>
      <c r="C1618" s="36"/>
      <c r="D1618" s="77"/>
      <c r="E1618" s="10"/>
      <c r="F1618" s="97">
        <f>SUM(F1600:F1617)</f>
        <v>71521.100000000006</v>
      </c>
      <c r="G1618" s="97">
        <f t="shared" ref="G1618:I1618" si="334">SUM(G1600:G1617)</f>
        <v>555.79999999999995</v>
      </c>
      <c r="H1618" s="97">
        <f t="shared" si="334"/>
        <v>0</v>
      </c>
      <c r="I1618" s="98">
        <f t="shared" si="334"/>
        <v>70965.299999999988</v>
      </c>
      <c r="J1618" s="10"/>
      <c r="K1618" s="10"/>
      <c r="L1618" s="10"/>
      <c r="M1618" s="10"/>
      <c r="N1618" s="10"/>
      <c r="O1618" s="10"/>
      <c r="P1618" s="10"/>
      <c r="Q1618" s="10"/>
      <c r="R1618" s="10"/>
      <c r="S1618" s="10"/>
      <c r="T1618" s="63"/>
      <c r="U1618" s="94"/>
      <c r="V1618" s="90"/>
      <c r="W1618" s="91"/>
      <c r="X1618" s="92"/>
    </row>
    <row r="1619" spans="2:25">
      <c r="B1619" s="26"/>
      <c r="C1619" s="612"/>
      <c r="D1619" s="141"/>
      <c r="E1619" s="141"/>
      <c r="F1619" s="141"/>
      <c r="G1619" s="141"/>
      <c r="H1619" s="141"/>
      <c r="I1619" s="141"/>
      <c r="J1619" s="141"/>
      <c r="K1619" s="142"/>
      <c r="L1619" s="142"/>
      <c r="M1619" s="142"/>
      <c r="N1619" s="142"/>
      <c r="O1619" s="142"/>
      <c r="P1619" s="142"/>
      <c r="Q1619" s="142"/>
      <c r="R1619" s="142"/>
      <c r="S1619" s="142"/>
      <c r="T1619" s="143">
        <f>SUM(T1555:T1618)</f>
        <v>4</v>
      </c>
      <c r="U1619" s="168"/>
      <c r="V1619" s="144">
        <f>SUM(V1555:V1618)</f>
        <v>17811.090000000004</v>
      </c>
      <c r="W1619" s="145">
        <f>SUM(W1555:W1618)</f>
        <v>4830.1000000000004</v>
      </c>
      <c r="X1619" s="146">
        <f>SUM(X1555:X1618)</f>
        <v>0</v>
      </c>
    </row>
    <row r="1620" spans="2:25">
      <c r="B1620" s="2"/>
      <c r="C1620" s="2"/>
      <c r="D1620" s="2"/>
      <c r="E1620" s="2"/>
      <c r="F1620" s="2"/>
      <c r="G1620" s="2"/>
      <c r="H1620" s="2"/>
      <c r="I1620" s="2"/>
      <c r="J1620" s="2"/>
      <c r="K1620" s="2"/>
      <c r="L1620" s="2"/>
      <c r="M1620" s="2"/>
      <c r="N1620" s="2"/>
      <c r="O1620" s="2"/>
      <c r="P1620" s="2"/>
      <c r="Q1620" s="2"/>
      <c r="R1620" s="2"/>
      <c r="S1620" s="2"/>
      <c r="T1620" s="2"/>
      <c r="U1620" s="2"/>
      <c r="V1620" s="2"/>
      <c r="W1620" s="2"/>
      <c r="X1620" s="2"/>
    </row>
    <row r="1622" spans="2:25">
      <c r="B1622" s="4" t="s">
        <v>1</v>
      </c>
      <c r="C1622" s="5"/>
      <c r="D1622" s="83"/>
      <c r="E1622" s="6"/>
      <c r="F1622" s="7" t="s">
        <v>2</v>
      </c>
      <c r="G1622" s="608">
        <v>45970</v>
      </c>
      <c r="H1622" s="7"/>
      <c r="I1622" s="6"/>
      <c r="J1622" s="6"/>
      <c r="K1622" s="6"/>
      <c r="L1622" s="6"/>
      <c r="M1622" s="6"/>
      <c r="N1622" s="6"/>
      <c r="O1622" s="6"/>
      <c r="P1622" s="6"/>
      <c r="Q1622" s="6"/>
      <c r="R1622" s="6"/>
      <c r="S1622" s="6"/>
      <c r="T1622" s="6"/>
      <c r="U1622" s="149"/>
      <c r="V1622" s="77"/>
      <c r="W1622" s="77"/>
      <c r="X1622" s="77"/>
      <c r="Y1622" s="2"/>
    </row>
    <row r="1623" spans="2:25">
      <c r="B1623" s="11"/>
      <c r="C1623" s="10"/>
      <c r="D1623" s="63"/>
      <c r="E1623" s="10"/>
      <c r="F1623" s="10"/>
      <c r="G1623" s="7"/>
      <c r="H1623" s="12"/>
      <c r="I1623" s="10"/>
      <c r="J1623" s="10"/>
      <c r="K1623" s="13" t="s">
        <v>3</v>
      </c>
      <c r="L1623" s="14"/>
      <c r="M1623" s="15"/>
      <c r="N1623" s="13" t="s">
        <v>4</v>
      </c>
      <c r="O1623" s="14"/>
      <c r="P1623" s="15"/>
      <c r="Q1623" s="13" t="s">
        <v>5</v>
      </c>
      <c r="R1623" s="14"/>
      <c r="S1623" s="15"/>
      <c r="T1623" s="16"/>
      <c r="U1623" s="151"/>
      <c r="V1623" s="77"/>
      <c r="W1623" s="77"/>
      <c r="X1623" s="77"/>
      <c r="Y1623" s="2"/>
    </row>
    <row r="1624" spans="2:25">
      <c r="B1624" s="18" t="s">
        <v>6</v>
      </c>
      <c r="C1624" s="19">
        <f>C1625+C1626</f>
        <v>7</v>
      </c>
      <c r="D1624" s="63"/>
      <c r="E1624" s="18" t="s">
        <v>7</v>
      </c>
      <c r="F1624" s="6"/>
      <c r="G1624" s="9"/>
      <c r="H1624" s="10"/>
      <c r="I1624" s="10"/>
      <c r="J1624" s="10"/>
      <c r="K1624" s="20" t="s">
        <v>8</v>
      </c>
      <c r="L1624" s="21" t="s">
        <v>9</v>
      </c>
      <c r="M1624" s="21" t="s">
        <v>10</v>
      </c>
      <c r="N1624" s="20" t="s">
        <v>11</v>
      </c>
      <c r="O1624" s="21" t="s">
        <v>12</v>
      </c>
      <c r="P1624" s="22" t="s">
        <v>13</v>
      </c>
      <c r="Q1624" s="21" t="s">
        <v>11</v>
      </c>
      <c r="R1624" s="21" t="s">
        <v>12</v>
      </c>
      <c r="S1624" s="22" t="s">
        <v>13</v>
      </c>
      <c r="T1624" s="23" t="s">
        <v>14</v>
      </c>
      <c r="U1624" s="151"/>
      <c r="V1624" s="77"/>
      <c r="W1624" s="77"/>
      <c r="X1624" s="77"/>
      <c r="Y1624" s="2"/>
    </row>
    <row r="1625" spans="2:25">
      <c r="B1625" s="24" t="s">
        <v>15</v>
      </c>
      <c r="C1625" s="25">
        <f>P1632</f>
        <v>3</v>
      </c>
      <c r="D1625" s="63"/>
      <c r="E1625" s="11" t="s">
        <v>16</v>
      </c>
      <c r="F1625" s="10" t="s">
        <v>78</v>
      </c>
      <c r="G1625" s="153">
        <v>0.05</v>
      </c>
      <c r="H1625" s="10"/>
      <c r="I1625" s="10"/>
      <c r="J1625" s="18" t="s">
        <v>17</v>
      </c>
      <c r="K1625" s="29">
        <f>K1667</f>
        <v>2</v>
      </c>
      <c r="L1625" s="29">
        <f t="shared" ref="L1625:S1625" si="335">L1667</f>
        <v>1</v>
      </c>
      <c r="M1625" s="29">
        <f t="shared" si="335"/>
        <v>2</v>
      </c>
      <c r="N1625" s="29">
        <f t="shared" si="335"/>
        <v>2</v>
      </c>
      <c r="O1625" s="29">
        <f t="shared" si="335"/>
        <v>2</v>
      </c>
      <c r="P1625" s="29">
        <f t="shared" si="335"/>
        <v>2</v>
      </c>
      <c r="Q1625" s="29">
        <f t="shared" si="335"/>
        <v>2</v>
      </c>
      <c r="R1625" s="29">
        <f t="shared" si="335"/>
        <v>2</v>
      </c>
      <c r="S1625" s="29">
        <f t="shared" si="335"/>
        <v>2</v>
      </c>
      <c r="T1625" s="30">
        <f>T1764</f>
        <v>0</v>
      </c>
      <c r="U1625" s="151"/>
      <c r="V1625" s="77"/>
      <c r="W1625" s="77"/>
      <c r="X1625" s="77"/>
      <c r="Y1625" s="2"/>
    </row>
    <row r="1626" spans="2:25">
      <c r="B1626" s="24" t="s">
        <v>18</v>
      </c>
      <c r="C1626" s="25">
        <f>P1633</f>
        <v>4</v>
      </c>
      <c r="D1626" s="63"/>
      <c r="E1626" s="26" t="s">
        <v>80</v>
      </c>
      <c r="F1626" s="141" t="s">
        <v>81</v>
      </c>
      <c r="G1626" s="154">
        <v>0.1</v>
      </c>
      <c r="H1626" s="10"/>
      <c r="I1626" s="10"/>
      <c r="J1626" s="32" t="s">
        <v>19</v>
      </c>
      <c r="K1626" s="33">
        <f>K1667/K1666</f>
        <v>1</v>
      </c>
      <c r="L1626" s="33">
        <f t="shared" ref="L1626:S1626" si="336">L1667/L1666</f>
        <v>0.5</v>
      </c>
      <c r="M1626" s="33">
        <f t="shared" si="336"/>
        <v>1</v>
      </c>
      <c r="N1626" s="33">
        <f t="shared" si="336"/>
        <v>1</v>
      </c>
      <c r="O1626" s="33">
        <f t="shared" si="336"/>
        <v>1</v>
      </c>
      <c r="P1626" s="33">
        <f t="shared" si="336"/>
        <v>1</v>
      </c>
      <c r="Q1626" s="33">
        <f t="shared" si="336"/>
        <v>1</v>
      </c>
      <c r="R1626" s="33">
        <f t="shared" si="336"/>
        <v>1</v>
      </c>
      <c r="S1626" s="33">
        <f t="shared" si="336"/>
        <v>1</v>
      </c>
      <c r="T1626" s="23">
        <v>1</v>
      </c>
      <c r="U1626" s="151" t="s">
        <v>20</v>
      </c>
      <c r="V1626" s="77"/>
      <c r="W1626" s="77"/>
      <c r="X1626" s="77"/>
      <c r="Y1626" s="2"/>
    </row>
    <row r="1627" spans="2:25">
      <c r="B1627" s="24" t="s">
        <v>21</v>
      </c>
      <c r="C1627" s="34">
        <f>P1634</f>
        <v>0.42857142857142855</v>
      </c>
      <c r="D1627" s="63"/>
      <c r="E1627" s="10"/>
      <c r="F1627" s="10"/>
      <c r="G1627" s="10"/>
      <c r="H1627" s="10"/>
      <c r="I1627" s="10"/>
      <c r="J1627" s="10"/>
      <c r="K1627" s="10"/>
      <c r="L1627" s="10"/>
      <c r="M1627" s="10"/>
      <c r="N1627" s="10"/>
      <c r="O1627" s="10"/>
      <c r="P1627" s="10"/>
      <c r="Q1627" s="10"/>
      <c r="R1627" s="10"/>
      <c r="S1627" s="10"/>
      <c r="T1627" s="10"/>
      <c r="U1627" s="151"/>
      <c r="V1627" s="77"/>
      <c r="W1627" s="77"/>
      <c r="X1627" s="77"/>
      <c r="Y1627" s="2"/>
    </row>
    <row r="1628" spans="2:25">
      <c r="B1628" s="24"/>
      <c r="C1628" s="25"/>
      <c r="D1628" s="63"/>
      <c r="E1628" s="10"/>
      <c r="F1628" s="18" t="s">
        <v>22</v>
      </c>
      <c r="G1628" s="19" t="s">
        <v>23</v>
      </c>
      <c r="H1628" s="35" t="s">
        <v>24</v>
      </c>
      <c r="I1628" s="10"/>
      <c r="J1628" s="10"/>
      <c r="K1628" s="36"/>
      <c r="L1628" s="36"/>
      <c r="M1628" s="36"/>
      <c r="N1628" s="36"/>
      <c r="O1628" s="36"/>
      <c r="P1628" s="36"/>
      <c r="Q1628" s="36"/>
      <c r="R1628" s="10"/>
      <c r="S1628" s="10"/>
      <c r="T1628" s="10"/>
      <c r="U1628" s="151"/>
      <c r="V1628" s="77"/>
      <c r="W1628" s="77"/>
      <c r="X1628" s="77"/>
      <c r="Y1628" s="2"/>
    </row>
    <row r="1629" spans="2:25">
      <c r="B1629" s="32" t="s">
        <v>25</v>
      </c>
      <c r="C1629" s="37">
        <f>P1635</f>
        <v>1219.5333333333333</v>
      </c>
      <c r="D1629" s="63"/>
      <c r="E1629" s="18" t="s">
        <v>26</v>
      </c>
      <c r="F1629" s="38">
        <f>P1631</f>
        <v>3658.6</v>
      </c>
      <c r="G1629" s="39">
        <f>I1666+I1700+I1722</f>
        <v>3658.6</v>
      </c>
      <c r="H1629" s="40"/>
      <c r="I1629" s="41"/>
      <c r="J1629" s="42"/>
      <c r="K1629" s="43" t="s">
        <v>27</v>
      </c>
      <c r="L1629" s="44"/>
      <c r="M1629" s="44"/>
      <c r="N1629" s="44"/>
      <c r="O1629" s="44"/>
      <c r="P1629" s="44"/>
      <c r="Q1629" s="45"/>
      <c r="R1629" s="46" t="s">
        <v>28</v>
      </c>
      <c r="S1629" s="47" t="s">
        <v>29</v>
      </c>
      <c r="T1629" s="10"/>
      <c r="U1629" s="151"/>
      <c r="V1629" s="77"/>
      <c r="W1629" s="77"/>
      <c r="X1629" s="77"/>
      <c r="Y1629" s="2"/>
    </row>
    <row r="1630" spans="2:25">
      <c r="B1630" s="11"/>
      <c r="C1630" s="10"/>
      <c r="D1630" s="63"/>
      <c r="E1630" s="24" t="s">
        <v>30</v>
      </c>
      <c r="F1630" s="48">
        <f>IF(F1629&gt;=25000,10%,5%)</f>
        <v>0.05</v>
      </c>
      <c r="G1630" s="17"/>
      <c r="H1630" s="40"/>
      <c r="I1630" s="41"/>
      <c r="J1630" s="42"/>
      <c r="K1630" s="20" t="s">
        <v>31</v>
      </c>
      <c r="L1630" s="21" t="s">
        <v>32</v>
      </c>
      <c r="M1630" s="21" t="s">
        <v>33</v>
      </c>
      <c r="N1630" s="21" t="s">
        <v>34</v>
      </c>
      <c r="O1630" s="21" t="s">
        <v>35</v>
      </c>
      <c r="P1630" s="21" t="s">
        <v>36</v>
      </c>
      <c r="Q1630" s="49" t="s">
        <v>37</v>
      </c>
      <c r="R1630" s="50" t="s">
        <v>38</v>
      </c>
      <c r="S1630" s="50" t="s">
        <v>38</v>
      </c>
      <c r="T1630" s="10"/>
      <c r="U1630" s="151"/>
      <c r="V1630" s="77"/>
      <c r="W1630" s="77"/>
      <c r="X1630" s="77"/>
      <c r="Y1630" s="2"/>
    </row>
    <row r="1631" spans="2:25">
      <c r="B1631" s="11"/>
      <c r="C1631" s="10"/>
      <c r="D1631" s="63"/>
      <c r="E1631" s="51" t="s">
        <v>39</v>
      </c>
      <c r="F1631" s="52">
        <f>F1629*F1630</f>
        <v>182.93</v>
      </c>
      <c r="G1631" s="53" t="s">
        <v>40</v>
      </c>
      <c r="H1631" s="54">
        <f>F1631/1.12</f>
        <v>163.33035714285714</v>
      </c>
      <c r="I1631" s="55"/>
      <c r="J1631" s="42"/>
      <c r="K1631" s="56">
        <f>I1650+I1651+I1714</f>
        <v>3658.6</v>
      </c>
      <c r="L1631" s="57"/>
      <c r="M1631" s="57"/>
      <c r="N1631" s="57"/>
      <c r="O1631" s="57"/>
      <c r="P1631" s="57">
        <f>SUM(K1631:O1631)</f>
        <v>3658.6</v>
      </c>
      <c r="Q1631" s="58">
        <v>0</v>
      </c>
      <c r="R1631" s="59">
        <f>I1700+I1722</f>
        <v>1756.3</v>
      </c>
      <c r="S1631" s="59">
        <f>+I1711+I1733</f>
        <v>0</v>
      </c>
      <c r="T1631" s="10"/>
      <c r="U1631" s="151"/>
      <c r="V1631" s="77"/>
      <c r="W1631" s="77"/>
      <c r="X1631" s="77"/>
      <c r="Y1631" s="2"/>
    </row>
    <row r="1632" spans="2:25">
      <c r="B1632" s="11"/>
      <c r="C1632" s="10"/>
      <c r="D1632" s="63"/>
      <c r="E1632" s="24" t="s">
        <v>41</v>
      </c>
      <c r="F1632" s="60">
        <f>Q1631</f>
        <v>0</v>
      </c>
      <c r="G1632" s="61" t="s">
        <v>40</v>
      </c>
      <c r="H1632" s="62"/>
      <c r="I1632" s="62"/>
      <c r="J1632" s="10" t="s">
        <v>42</v>
      </c>
      <c r="K1632" s="63">
        <v>3</v>
      </c>
      <c r="L1632" s="63"/>
      <c r="M1632" s="63"/>
      <c r="N1632" s="63"/>
      <c r="O1632" s="63"/>
      <c r="P1632" s="21">
        <f>SUM(K1632:O1632)</f>
        <v>3</v>
      </c>
      <c r="Q1632" s="64"/>
      <c r="R1632" s="63"/>
      <c r="S1632" s="10"/>
      <c r="T1632" s="10"/>
      <c r="U1632" s="151"/>
      <c r="V1632" s="77"/>
      <c r="W1632" s="77"/>
      <c r="X1632" s="77"/>
      <c r="Y1632" s="2"/>
    </row>
    <row r="1633" spans="2:25">
      <c r="B1633" s="11"/>
      <c r="C1633" s="10"/>
      <c r="D1633" s="63"/>
      <c r="E1633" s="51" t="s">
        <v>43</v>
      </c>
      <c r="F1633" s="52">
        <f>F1632*0.25</f>
        <v>0</v>
      </c>
      <c r="G1633" s="53" t="s">
        <v>40</v>
      </c>
      <c r="H1633" s="54">
        <f>F1633/1.12</f>
        <v>0</v>
      </c>
      <c r="I1633" s="10"/>
      <c r="J1633" s="10" t="s">
        <v>44</v>
      </c>
      <c r="K1633" s="63">
        <v>4</v>
      </c>
      <c r="L1633" s="63"/>
      <c r="M1633" s="63"/>
      <c r="N1633" s="63"/>
      <c r="O1633" s="63"/>
      <c r="P1633" s="21">
        <f>SUM(K1633:O1633)</f>
        <v>4</v>
      </c>
      <c r="Q1633" s="64"/>
      <c r="R1633" s="63"/>
      <c r="S1633" s="10"/>
      <c r="T1633" s="10"/>
      <c r="U1633" s="151"/>
      <c r="V1633" s="77"/>
      <c r="W1633" s="77"/>
      <c r="X1633" s="77"/>
      <c r="Y1633" s="2"/>
    </row>
    <row r="1634" spans="2:25">
      <c r="B1634" s="11"/>
      <c r="C1634" s="10"/>
      <c r="D1634" s="63"/>
      <c r="E1634" s="24" t="s">
        <v>45</v>
      </c>
      <c r="F1634" s="60">
        <v>0</v>
      </c>
      <c r="G1634" s="61" t="s">
        <v>40</v>
      </c>
      <c r="H1634" s="62"/>
      <c r="I1634" s="10"/>
      <c r="J1634" s="10" t="s">
        <v>46</v>
      </c>
      <c r="K1634" s="31">
        <f t="shared" ref="K1634:Q1634" si="337">K1632/(K1632+K1633)</f>
        <v>0.42857142857142855</v>
      </c>
      <c r="L1634" s="31" t="e">
        <f t="shared" si="337"/>
        <v>#DIV/0!</v>
      </c>
      <c r="M1634" s="31" t="e">
        <f t="shared" si="337"/>
        <v>#DIV/0!</v>
      </c>
      <c r="N1634" s="31" t="e">
        <f t="shared" si="337"/>
        <v>#DIV/0!</v>
      </c>
      <c r="O1634" s="31" t="e">
        <f t="shared" si="337"/>
        <v>#DIV/0!</v>
      </c>
      <c r="P1634" s="31">
        <f t="shared" si="337"/>
        <v>0.42857142857142855</v>
      </c>
      <c r="Q1634" s="31" t="e">
        <f t="shared" si="337"/>
        <v>#DIV/0!</v>
      </c>
      <c r="R1634" s="63"/>
      <c r="S1634" s="10"/>
      <c r="T1634" s="10"/>
      <c r="U1634" s="151"/>
      <c r="V1634" s="77"/>
      <c r="W1634" s="77"/>
      <c r="X1634" s="77"/>
      <c r="Y1634" s="2"/>
    </row>
    <row r="1635" spans="2:25">
      <c r="B1635" s="11"/>
      <c r="C1635" s="10"/>
      <c r="D1635" s="63"/>
      <c r="E1635" s="51" t="s">
        <v>47</v>
      </c>
      <c r="F1635" s="52">
        <f>F1634*0.05</f>
        <v>0</v>
      </c>
      <c r="G1635" s="65" t="s">
        <v>40</v>
      </c>
      <c r="H1635" s="54">
        <f>F1635/1.12</f>
        <v>0</v>
      </c>
      <c r="I1635" s="42"/>
      <c r="J1635" s="10" t="s">
        <v>48</v>
      </c>
      <c r="K1635" s="66">
        <f>K1631/K1632</f>
        <v>1219.5333333333333</v>
      </c>
      <c r="L1635" s="66" t="e">
        <f t="shared" ref="L1635:Q1635" si="338">L1631/L1632</f>
        <v>#DIV/0!</v>
      </c>
      <c r="M1635" s="66" t="e">
        <f t="shared" si="338"/>
        <v>#DIV/0!</v>
      </c>
      <c r="N1635" s="66" t="e">
        <f t="shared" si="338"/>
        <v>#DIV/0!</v>
      </c>
      <c r="O1635" s="66" t="e">
        <f t="shared" si="338"/>
        <v>#DIV/0!</v>
      </c>
      <c r="P1635" s="66">
        <f t="shared" si="338"/>
        <v>1219.5333333333333</v>
      </c>
      <c r="Q1635" s="66" t="e">
        <f t="shared" si="338"/>
        <v>#DIV/0!</v>
      </c>
      <c r="R1635" s="63"/>
      <c r="S1635" s="10"/>
      <c r="T1635" s="10"/>
      <c r="U1635" s="151"/>
      <c r="V1635" s="77"/>
      <c r="W1635" s="77"/>
      <c r="X1635" s="77"/>
      <c r="Y1635" s="2"/>
    </row>
    <row r="1636" spans="2:25">
      <c r="B1636" s="132"/>
      <c r="C1636" s="123"/>
      <c r="D1636" s="127"/>
      <c r="E1636" s="155" t="s">
        <v>14</v>
      </c>
      <c r="F1636" s="156"/>
      <c r="G1636" s="123"/>
      <c r="H1636" s="54">
        <f>F1636/1.12</f>
        <v>0</v>
      </c>
      <c r="I1636" s="123"/>
      <c r="J1636" s="123"/>
      <c r="K1636" s="123"/>
      <c r="L1636" s="123"/>
      <c r="M1636" s="123"/>
      <c r="N1636" s="123"/>
      <c r="O1636" s="123"/>
      <c r="P1636" s="123"/>
      <c r="Q1636" s="123"/>
      <c r="R1636" s="123"/>
      <c r="S1636" s="123"/>
      <c r="T1636" s="123"/>
      <c r="U1636" s="157"/>
      <c r="V1636" s="123"/>
      <c r="W1636" s="123"/>
      <c r="X1636" s="123"/>
      <c r="Y1636" s="128"/>
    </row>
    <row r="1637" spans="2:25">
      <c r="B1637" s="132"/>
      <c r="C1637" s="123"/>
      <c r="D1637" s="127"/>
      <c r="E1637" s="158" t="s">
        <v>49</v>
      </c>
      <c r="F1637" s="159">
        <f>T1626</f>
        <v>1</v>
      </c>
      <c r="G1637" s="123"/>
      <c r="H1637" s="54"/>
      <c r="I1637" s="123"/>
      <c r="J1637" s="42"/>
      <c r="K1637" s="764" t="s">
        <v>50</v>
      </c>
      <c r="L1637" s="765"/>
      <c r="M1637" s="765"/>
      <c r="N1637" s="765"/>
      <c r="O1637" s="765"/>
      <c r="P1637" s="765"/>
      <c r="Q1637" s="766"/>
      <c r="R1637" s="70" t="s">
        <v>28</v>
      </c>
      <c r="S1637" s="71" t="s">
        <v>29</v>
      </c>
      <c r="T1637" s="123"/>
      <c r="U1637" s="157"/>
      <c r="V1637" s="123"/>
      <c r="W1637" s="123"/>
      <c r="X1637" s="123"/>
      <c r="Y1637" s="128"/>
    </row>
    <row r="1638" spans="2:25">
      <c r="B1638" s="132"/>
      <c r="C1638" s="123"/>
      <c r="D1638" s="127"/>
      <c r="E1638" s="72"/>
      <c r="F1638" s="73"/>
      <c r="G1638" s="123"/>
      <c r="H1638" s="54"/>
      <c r="I1638" s="123"/>
      <c r="J1638" s="42"/>
      <c r="K1638" s="20" t="s">
        <v>31</v>
      </c>
      <c r="L1638" s="21" t="s">
        <v>32</v>
      </c>
      <c r="M1638" s="21" t="s">
        <v>33</v>
      </c>
      <c r="N1638" s="21" t="s">
        <v>34</v>
      </c>
      <c r="O1638" s="21" t="s">
        <v>35</v>
      </c>
      <c r="P1638" s="21" t="s">
        <v>36</v>
      </c>
      <c r="Q1638" s="49" t="s">
        <v>37</v>
      </c>
      <c r="R1638" s="50" t="s">
        <v>38</v>
      </c>
      <c r="S1638" s="50" t="s">
        <v>38</v>
      </c>
      <c r="T1638" s="123"/>
      <c r="U1638" s="157"/>
      <c r="V1638" s="123"/>
      <c r="W1638" s="123"/>
      <c r="X1638" s="123"/>
      <c r="Y1638" s="128"/>
    </row>
    <row r="1639" spans="2:25">
      <c r="B1639" s="132"/>
      <c r="C1639" s="123"/>
      <c r="D1639" s="127"/>
      <c r="E1639" s="72"/>
      <c r="F1639" s="73"/>
      <c r="G1639" s="123"/>
      <c r="H1639" s="54"/>
      <c r="I1639" s="123"/>
      <c r="J1639" s="42"/>
      <c r="K1639" s="56">
        <f>F1650+F1651+F1714</f>
        <v>3738</v>
      </c>
      <c r="L1639" s="57"/>
      <c r="M1639" s="57"/>
      <c r="N1639" s="57"/>
      <c r="O1639" s="57"/>
      <c r="P1639" s="57">
        <f>SUM(K1639:O1639)</f>
        <v>3738</v>
      </c>
      <c r="Q1639" s="58">
        <v>0</v>
      </c>
      <c r="R1639" s="59">
        <f>F1700+F1722</f>
        <v>1796</v>
      </c>
      <c r="S1639" s="59">
        <f>F1711+F1733</f>
        <v>0</v>
      </c>
      <c r="T1639" s="123"/>
      <c r="U1639" s="157"/>
      <c r="V1639" s="123"/>
      <c r="W1639" s="123"/>
      <c r="X1639" s="123"/>
      <c r="Y1639" s="128"/>
    </row>
    <row r="1640" spans="2:25">
      <c r="B1640" s="132"/>
      <c r="C1640" s="123"/>
      <c r="D1640" s="127"/>
      <c r="E1640" s="72"/>
      <c r="F1640" s="73"/>
      <c r="G1640" s="123"/>
      <c r="H1640" s="54"/>
      <c r="I1640" s="123"/>
      <c r="J1640" s="10" t="s">
        <v>42</v>
      </c>
      <c r="K1640" s="63">
        <f t="shared" ref="K1640:Q1641" si="339">K1632</f>
        <v>3</v>
      </c>
      <c r="L1640" s="63">
        <f t="shared" si="339"/>
        <v>0</v>
      </c>
      <c r="M1640" s="63">
        <f t="shared" si="339"/>
        <v>0</v>
      </c>
      <c r="N1640" s="63">
        <f t="shared" si="339"/>
        <v>0</v>
      </c>
      <c r="O1640" s="63">
        <f t="shared" si="339"/>
        <v>0</v>
      </c>
      <c r="P1640" s="63">
        <f t="shared" si="339"/>
        <v>3</v>
      </c>
      <c r="Q1640" s="63">
        <f t="shared" si="339"/>
        <v>0</v>
      </c>
      <c r="R1640" s="63"/>
      <c r="S1640" s="10"/>
      <c r="T1640" s="123"/>
      <c r="U1640" s="157"/>
      <c r="V1640" s="123"/>
      <c r="W1640" s="123"/>
      <c r="X1640" s="123"/>
      <c r="Y1640" s="128"/>
    </row>
    <row r="1641" spans="2:25">
      <c r="B1641" s="132"/>
      <c r="C1641" s="123"/>
      <c r="D1641" s="127"/>
      <c r="E1641" s="74"/>
      <c r="F1641" s="75"/>
      <c r="G1641" s="123"/>
      <c r="H1641" s="54"/>
      <c r="I1641" s="123"/>
      <c r="J1641" s="10" t="s">
        <v>44</v>
      </c>
      <c r="K1641" s="63">
        <f t="shared" si="339"/>
        <v>4</v>
      </c>
      <c r="L1641" s="63">
        <f t="shared" si="339"/>
        <v>0</v>
      </c>
      <c r="M1641" s="63">
        <f t="shared" si="339"/>
        <v>0</v>
      </c>
      <c r="N1641" s="63">
        <f t="shared" si="339"/>
        <v>0</v>
      </c>
      <c r="O1641" s="63">
        <f t="shared" si="339"/>
        <v>0</v>
      </c>
      <c r="P1641" s="63">
        <f t="shared" si="339"/>
        <v>4</v>
      </c>
      <c r="Q1641" s="63">
        <f t="shared" si="339"/>
        <v>0</v>
      </c>
      <c r="R1641" s="63"/>
      <c r="S1641" s="10"/>
      <c r="T1641" s="123"/>
      <c r="U1641" s="157"/>
      <c r="V1641" s="123"/>
      <c r="W1641" s="123"/>
      <c r="X1641" s="123"/>
      <c r="Y1641" s="128"/>
    </row>
    <row r="1642" spans="2:25">
      <c r="B1642" s="132"/>
      <c r="C1642" s="123"/>
      <c r="D1642" s="127"/>
      <c r="E1642" s="12"/>
      <c r="F1642" s="160"/>
      <c r="G1642" s="123"/>
      <c r="H1642" s="54"/>
      <c r="I1642" s="123"/>
      <c r="J1642" s="10" t="s">
        <v>46</v>
      </c>
      <c r="K1642" s="31">
        <f t="shared" ref="K1642:Q1642" si="340">K1640/(K1640+K1641)</f>
        <v>0.42857142857142855</v>
      </c>
      <c r="L1642" s="31" t="e">
        <f t="shared" si="340"/>
        <v>#DIV/0!</v>
      </c>
      <c r="M1642" s="31" t="e">
        <f t="shared" si="340"/>
        <v>#DIV/0!</v>
      </c>
      <c r="N1642" s="31" t="e">
        <f t="shared" si="340"/>
        <v>#DIV/0!</v>
      </c>
      <c r="O1642" s="31" t="e">
        <f t="shared" si="340"/>
        <v>#DIV/0!</v>
      </c>
      <c r="P1642" s="31">
        <f t="shared" si="340"/>
        <v>0.42857142857142855</v>
      </c>
      <c r="Q1642" s="31" t="e">
        <f t="shared" si="340"/>
        <v>#DIV/0!</v>
      </c>
      <c r="R1642" s="63"/>
      <c r="S1642" s="10"/>
      <c r="T1642" s="123"/>
      <c r="U1642" s="157"/>
      <c r="V1642" s="123"/>
      <c r="W1642" s="123"/>
      <c r="X1642" s="123"/>
      <c r="Y1642" s="128"/>
    </row>
    <row r="1643" spans="2:25">
      <c r="B1643" s="132"/>
      <c r="C1643" s="123"/>
      <c r="D1643" s="127"/>
      <c r="E1643" s="12"/>
      <c r="F1643" s="160"/>
      <c r="G1643" s="123"/>
      <c r="H1643" s="54"/>
      <c r="I1643" s="123"/>
      <c r="J1643" s="10" t="s">
        <v>48</v>
      </c>
      <c r="K1643" s="66">
        <f t="shared" ref="K1643:Q1643" si="341">K1639/K1640</f>
        <v>1246</v>
      </c>
      <c r="L1643" s="66" t="e">
        <f t="shared" si="341"/>
        <v>#DIV/0!</v>
      </c>
      <c r="M1643" s="66" t="e">
        <f t="shared" si="341"/>
        <v>#DIV/0!</v>
      </c>
      <c r="N1643" s="66" t="e">
        <f t="shared" si="341"/>
        <v>#DIV/0!</v>
      </c>
      <c r="O1643" s="66" t="e">
        <f t="shared" si="341"/>
        <v>#DIV/0!</v>
      </c>
      <c r="P1643" s="66">
        <f t="shared" si="341"/>
        <v>1246</v>
      </c>
      <c r="Q1643" s="66" t="e">
        <f t="shared" si="341"/>
        <v>#DIV/0!</v>
      </c>
      <c r="R1643" s="63"/>
      <c r="S1643" s="10"/>
      <c r="T1643" s="123"/>
      <c r="U1643" s="157"/>
      <c r="V1643" s="123"/>
      <c r="W1643" s="123"/>
      <c r="X1643" s="123"/>
      <c r="Y1643" s="128"/>
    </row>
    <row r="1644" spans="2:25">
      <c r="B1644" s="132"/>
      <c r="C1644" s="123"/>
      <c r="D1644" s="127"/>
      <c r="E1644" s="12"/>
      <c r="F1644" s="160"/>
      <c r="G1644" s="123"/>
      <c r="H1644" s="54"/>
      <c r="I1644" s="123"/>
      <c r="J1644" s="123"/>
      <c r="K1644" s="123"/>
      <c r="L1644" s="123"/>
      <c r="M1644" s="123"/>
      <c r="N1644" s="123"/>
      <c r="O1644" s="123"/>
      <c r="P1644" s="123"/>
      <c r="Q1644" s="123"/>
      <c r="R1644" s="123"/>
      <c r="S1644" s="123"/>
      <c r="T1644" s="123"/>
      <c r="U1644" s="157"/>
      <c r="V1644" s="123"/>
      <c r="W1644" s="123"/>
      <c r="X1644" s="123"/>
      <c r="Y1644" s="128"/>
    </row>
    <row r="1645" spans="2:25">
      <c r="B1645" s="11"/>
      <c r="C1645" s="10"/>
      <c r="D1645" s="63"/>
      <c r="E1645" s="12"/>
      <c r="F1645" s="12"/>
      <c r="G1645" s="10"/>
      <c r="H1645" s="10"/>
      <c r="I1645" s="10"/>
      <c r="J1645" s="10"/>
      <c r="K1645" s="10"/>
      <c r="L1645" s="10"/>
      <c r="M1645" s="10"/>
      <c r="N1645" s="10"/>
      <c r="O1645" s="10"/>
      <c r="P1645" s="10"/>
      <c r="Q1645" s="10"/>
      <c r="R1645" s="10"/>
      <c r="S1645" s="10"/>
      <c r="T1645" s="10"/>
      <c r="U1645" s="151"/>
      <c r="V1645" s="77"/>
      <c r="W1645" s="77"/>
      <c r="X1645" s="77"/>
      <c r="Y1645" s="2"/>
    </row>
    <row r="1646" spans="2:25">
      <c r="B1646" s="11"/>
      <c r="C1646" s="10"/>
      <c r="D1646" s="63"/>
      <c r="E1646" s="10"/>
      <c r="F1646" s="10"/>
      <c r="G1646" s="10"/>
      <c r="H1646" s="10"/>
      <c r="I1646" s="10"/>
      <c r="J1646" s="10"/>
      <c r="K1646" s="10"/>
      <c r="L1646" s="10"/>
      <c r="M1646" s="10"/>
      <c r="N1646" s="10"/>
      <c r="O1646" s="10"/>
      <c r="P1646" s="10"/>
      <c r="Q1646" s="10"/>
      <c r="R1646" s="10"/>
      <c r="S1646" s="10"/>
      <c r="T1646" s="10"/>
      <c r="U1646" s="151"/>
      <c r="V1646" s="77"/>
      <c r="W1646" s="77"/>
      <c r="X1646" s="77"/>
      <c r="Y1646" s="2"/>
    </row>
    <row r="1647" spans="2:25">
      <c r="B1647" s="18" t="s">
        <v>51</v>
      </c>
      <c r="C1647" s="14"/>
      <c r="D1647" s="14"/>
      <c r="E1647" s="14"/>
      <c r="F1647" s="13" t="s">
        <v>52</v>
      </c>
      <c r="G1647" s="14"/>
      <c r="H1647" s="14"/>
      <c r="I1647" s="14"/>
      <c r="J1647" s="14"/>
      <c r="K1647" s="13" t="s">
        <v>3</v>
      </c>
      <c r="L1647" s="14"/>
      <c r="M1647" s="14"/>
      <c r="N1647" s="13" t="s">
        <v>4</v>
      </c>
      <c r="O1647" s="14"/>
      <c r="P1647" s="14"/>
      <c r="Q1647" s="13" t="s">
        <v>5</v>
      </c>
      <c r="R1647" s="14"/>
      <c r="S1647" s="14"/>
      <c r="T1647" s="18"/>
      <c r="U1647" s="161" t="s">
        <v>53</v>
      </c>
      <c r="V1647" s="77"/>
      <c r="W1647" s="77"/>
      <c r="X1647" s="77"/>
      <c r="Y1647" s="2"/>
    </row>
    <row r="1648" spans="2:25">
      <c r="B1648" s="24" t="s">
        <v>54</v>
      </c>
      <c r="C1648" s="21" t="s">
        <v>55</v>
      </c>
      <c r="D1648" s="21" t="s">
        <v>56</v>
      </c>
      <c r="E1648" s="21" t="s">
        <v>57</v>
      </c>
      <c r="F1648" s="20" t="s">
        <v>58</v>
      </c>
      <c r="G1648" s="21" t="s">
        <v>59</v>
      </c>
      <c r="H1648" s="21" t="s">
        <v>60</v>
      </c>
      <c r="I1648" s="21" t="s">
        <v>26</v>
      </c>
      <c r="J1648" s="22" t="s">
        <v>61</v>
      </c>
      <c r="K1648" s="21" t="s">
        <v>8</v>
      </c>
      <c r="L1648" s="21" t="s">
        <v>9</v>
      </c>
      <c r="M1648" s="21" t="s">
        <v>10</v>
      </c>
      <c r="N1648" s="20" t="s">
        <v>11</v>
      </c>
      <c r="O1648" s="21" t="s">
        <v>12</v>
      </c>
      <c r="P1648" s="22" t="s">
        <v>13</v>
      </c>
      <c r="Q1648" s="21" t="s">
        <v>11</v>
      </c>
      <c r="R1648" s="21" t="s">
        <v>12</v>
      </c>
      <c r="S1648" s="21" t="s">
        <v>13</v>
      </c>
      <c r="T1648" s="78" t="s">
        <v>14</v>
      </c>
      <c r="U1648" s="162"/>
      <c r="V1648" s="79" t="s">
        <v>62</v>
      </c>
      <c r="W1648" s="80" t="s">
        <v>63</v>
      </c>
      <c r="X1648" s="81" t="s">
        <v>64</v>
      </c>
      <c r="Y1648" s="2"/>
    </row>
    <row r="1649" spans="2:25">
      <c r="B1649" s="4" t="s">
        <v>65</v>
      </c>
      <c r="C1649" s="6"/>
      <c r="D1649" s="6"/>
      <c r="E1649" s="6"/>
      <c r="F1649" s="6"/>
      <c r="G1649" s="6"/>
      <c r="H1649" s="6"/>
      <c r="I1649" s="82"/>
      <c r="J1649" s="6"/>
      <c r="K1649" s="6"/>
      <c r="L1649" s="6"/>
      <c r="M1649" s="6"/>
      <c r="N1649" s="6"/>
      <c r="O1649" s="6"/>
      <c r="P1649" s="6"/>
      <c r="Q1649" s="6"/>
      <c r="R1649" s="6"/>
      <c r="S1649" s="6"/>
      <c r="T1649" s="83"/>
      <c r="U1649" s="163"/>
      <c r="V1649" s="84"/>
      <c r="W1649" s="85"/>
      <c r="X1649" s="86"/>
      <c r="Y1649" s="2"/>
    </row>
    <row r="1650" spans="2:25">
      <c r="B1650" s="87">
        <v>1</v>
      </c>
      <c r="C1650" s="274">
        <v>45964</v>
      </c>
      <c r="D1650" s="276">
        <v>75104</v>
      </c>
      <c r="E1650" s="276" t="s">
        <v>507</v>
      </c>
      <c r="F1650" s="277">
        <v>481</v>
      </c>
      <c r="G1650" s="277"/>
      <c r="H1650" s="297"/>
      <c r="I1650" s="278">
        <f>F1650-G1650-H1650</f>
        <v>481</v>
      </c>
      <c r="J1650" s="279" t="s">
        <v>156</v>
      </c>
      <c r="K1650" s="279">
        <v>1</v>
      </c>
      <c r="L1650" s="279">
        <v>1</v>
      </c>
      <c r="M1650" s="279">
        <v>1</v>
      </c>
      <c r="N1650" s="279">
        <v>1</v>
      </c>
      <c r="O1650" s="279">
        <v>1</v>
      </c>
      <c r="P1650" s="279">
        <v>1</v>
      </c>
      <c r="Q1650" s="279">
        <v>1</v>
      </c>
      <c r="R1650" s="279">
        <v>1</v>
      </c>
      <c r="S1650" s="280">
        <v>1</v>
      </c>
      <c r="T1650" s="63"/>
      <c r="U1650" s="94" t="s">
        <v>754</v>
      </c>
      <c r="V1650" s="90">
        <f>53+476.1</f>
        <v>529.1</v>
      </c>
      <c r="W1650" s="91"/>
      <c r="X1650" s="92"/>
      <c r="Y1650" s="2"/>
    </row>
    <row r="1651" spans="2:25">
      <c r="B1651" s="87">
        <f t="shared" ref="B1651:B1665" si="342">B1650+1</f>
        <v>2</v>
      </c>
      <c r="C1651" s="282">
        <v>45964</v>
      </c>
      <c r="D1651" s="283">
        <v>75092</v>
      </c>
      <c r="E1651" s="283" t="s">
        <v>653</v>
      </c>
      <c r="F1651" s="284">
        <v>1461</v>
      </c>
      <c r="G1651" s="284">
        <f>39.7</f>
        <v>39.700000000000003</v>
      </c>
      <c r="H1651" s="284"/>
      <c r="I1651" s="285">
        <f t="shared" ref="I1651:I1665" si="343">F1651-G1651-H1651</f>
        <v>1421.3</v>
      </c>
      <c r="J1651" s="286" t="s">
        <v>156</v>
      </c>
      <c r="K1651" s="286">
        <v>1</v>
      </c>
      <c r="L1651" s="286">
        <v>0</v>
      </c>
      <c r="M1651" s="286">
        <v>1</v>
      </c>
      <c r="N1651" s="286">
        <v>1</v>
      </c>
      <c r="O1651" s="286">
        <v>1</v>
      </c>
      <c r="P1651" s="286">
        <v>1</v>
      </c>
      <c r="Q1651" s="286">
        <v>1</v>
      </c>
      <c r="R1651" s="286">
        <v>1</v>
      </c>
      <c r="S1651" s="287">
        <v>1</v>
      </c>
      <c r="T1651" s="512" t="s">
        <v>755</v>
      </c>
      <c r="U1651" s="94"/>
      <c r="V1651" s="90">
        <f>161+1446.1</f>
        <v>1607.1</v>
      </c>
      <c r="W1651" s="91"/>
      <c r="X1651" s="92"/>
      <c r="Y1651" s="2"/>
    </row>
    <row r="1652" spans="2:25">
      <c r="B1652" s="87">
        <f t="shared" si="342"/>
        <v>3</v>
      </c>
      <c r="C1652" s="36"/>
      <c r="D1652" s="3"/>
      <c r="E1652" s="10"/>
      <c r="F1652" s="62"/>
      <c r="G1652" s="62"/>
      <c r="H1652" s="62"/>
      <c r="I1652" s="89">
        <f t="shared" si="343"/>
        <v>0</v>
      </c>
      <c r="J1652" s="63"/>
      <c r="K1652" s="63"/>
      <c r="L1652" s="63"/>
      <c r="M1652" s="63"/>
      <c r="N1652" s="63"/>
      <c r="O1652" s="63"/>
      <c r="P1652" s="63"/>
      <c r="Q1652" s="63"/>
      <c r="R1652" s="63"/>
      <c r="S1652" s="63"/>
      <c r="T1652" s="63"/>
      <c r="U1652" s="94"/>
      <c r="V1652" s="90"/>
      <c r="W1652" s="91"/>
      <c r="X1652" s="92"/>
      <c r="Y1652" s="2"/>
    </row>
    <row r="1653" spans="2:25">
      <c r="B1653" s="87">
        <f t="shared" si="342"/>
        <v>4</v>
      </c>
      <c r="C1653" s="36"/>
      <c r="D1653" s="10"/>
      <c r="E1653" s="94"/>
      <c r="F1653" s="62"/>
      <c r="G1653" s="62"/>
      <c r="H1653" s="62"/>
      <c r="I1653" s="89">
        <f t="shared" si="343"/>
        <v>0</v>
      </c>
      <c r="J1653" s="63"/>
      <c r="K1653" s="63"/>
      <c r="L1653" s="63"/>
      <c r="M1653" s="63"/>
      <c r="N1653" s="63"/>
      <c r="O1653" s="63"/>
      <c r="P1653" s="63"/>
      <c r="Q1653" s="63"/>
      <c r="R1653" s="63"/>
      <c r="S1653" s="63"/>
      <c r="T1653" s="63"/>
      <c r="U1653" s="94"/>
      <c r="V1653" s="90"/>
      <c r="W1653" s="91"/>
      <c r="X1653" s="92"/>
      <c r="Y1653" s="2"/>
    </row>
    <row r="1654" spans="2:25">
      <c r="B1654" s="87">
        <f t="shared" si="342"/>
        <v>5</v>
      </c>
      <c r="C1654" s="36"/>
      <c r="D1654" s="10"/>
      <c r="E1654" s="10"/>
      <c r="F1654" s="62"/>
      <c r="G1654" s="62"/>
      <c r="H1654" s="62"/>
      <c r="I1654" s="89">
        <f t="shared" si="343"/>
        <v>0</v>
      </c>
      <c r="J1654" s="63"/>
      <c r="K1654" s="63"/>
      <c r="L1654" s="63"/>
      <c r="M1654" s="63"/>
      <c r="N1654" s="63"/>
      <c r="O1654" s="63"/>
      <c r="P1654" s="63"/>
      <c r="Q1654" s="63"/>
      <c r="R1654" s="63"/>
      <c r="S1654" s="63"/>
      <c r="T1654" s="63"/>
      <c r="U1654" s="94"/>
      <c r="V1654" s="90"/>
      <c r="W1654" s="91"/>
      <c r="X1654" s="92"/>
      <c r="Y1654" s="2"/>
    </row>
    <row r="1655" spans="2:25">
      <c r="B1655" s="87">
        <f t="shared" si="342"/>
        <v>6</v>
      </c>
      <c r="C1655" s="36"/>
      <c r="D1655" s="10"/>
      <c r="E1655" s="10"/>
      <c r="F1655" s="62"/>
      <c r="G1655" s="62"/>
      <c r="H1655" s="88"/>
      <c r="I1655" s="89">
        <f t="shared" si="343"/>
        <v>0</v>
      </c>
      <c r="J1655" s="63"/>
      <c r="K1655" s="63"/>
      <c r="L1655" s="63"/>
      <c r="M1655" s="63"/>
      <c r="N1655" s="63"/>
      <c r="O1655" s="63"/>
      <c r="P1655" s="63"/>
      <c r="Q1655" s="63"/>
      <c r="R1655" s="63"/>
      <c r="S1655" s="63"/>
      <c r="T1655" s="63"/>
      <c r="U1655" s="94"/>
      <c r="V1655" s="90"/>
      <c r="W1655" s="91"/>
      <c r="X1655" s="92"/>
      <c r="Y1655" s="2"/>
    </row>
    <row r="1656" spans="2:25">
      <c r="B1656" s="87">
        <f t="shared" si="342"/>
        <v>7</v>
      </c>
      <c r="C1656" s="36"/>
      <c r="D1656" s="10"/>
      <c r="E1656" s="10"/>
      <c r="F1656" s="62"/>
      <c r="G1656" s="62"/>
      <c r="H1656" s="88"/>
      <c r="I1656" s="89">
        <f>F1656-G1656-H1656</f>
        <v>0</v>
      </c>
      <c r="J1656" s="63"/>
      <c r="K1656" s="63"/>
      <c r="L1656" s="63"/>
      <c r="M1656" s="63"/>
      <c r="N1656" s="63"/>
      <c r="O1656" s="63"/>
      <c r="P1656" s="63"/>
      <c r="Q1656" s="63"/>
      <c r="R1656" s="63"/>
      <c r="S1656" s="63"/>
      <c r="T1656" s="63"/>
      <c r="U1656" s="94"/>
      <c r="V1656" s="90"/>
      <c r="W1656" s="91"/>
      <c r="X1656" s="92"/>
      <c r="Y1656" s="2"/>
    </row>
    <row r="1657" spans="2:25">
      <c r="B1657" s="87">
        <f t="shared" si="342"/>
        <v>8</v>
      </c>
      <c r="C1657" s="36"/>
      <c r="D1657" s="10"/>
      <c r="E1657" s="10"/>
      <c r="F1657" s="62"/>
      <c r="G1657" s="62"/>
      <c r="H1657" s="88"/>
      <c r="I1657" s="89">
        <f>F1657-G1657-H1657</f>
        <v>0</v>
      </c>
      <c r="J1657" s="63"/>
      <c r="K1657" s="63"/>
      <c r="L1657" s="63"/>
      <c r="M1657" s="63"/>
      <c r="N1657" s="63"/>
      <c r="O1657" s="63"/>
      <c r="P1657" s="63"/>
      <c r="Q1657" s="63"/>
      <c r="R1657" s="63"/>
      <c r="S1657" s="63"/>
      <c r="T1657" s="63"/>
      <c r="U1657" s="94"/>
      <c r="V1657" s="90"/>
      <c r="W1657" s="91"/>
      <c r="X1657" s="92"/>
      <c r="Y1657" s="2"/>
    </row>
    <row r="1658" spans="2:25">
      <c r="B1658" s="87">
        <f t="shared" si="342"/>
        <v>9</v>
      </c>
      <c r="C1658" s="36"/>
      <c r="D1658" s="10"/>
      <c r="E1658" s="10"/>
      <c r="F1658" s="62"/>
      <c r="G1658" s="62"/>
      <c r="H1658" s="88"/>
      <c r="I1658" s="89">
        <f>F1658-G1658-H1658</f>
        <v>0</v>
      </c>
      <c r="J1658" s="63"/>
      <c r="K1658" s="63"/>
      <c r="L1658" s="63"/>
      <c r="M1658" s="63"/>
      <c r="N1658" s="63"/>
      <c r="O1658" s="63"/>
      <c r="P1658" s="63"/>
      <c r="Q1658" s="63"/>
      <c r="R1658" s="63"/>
      <c r="S1658" s="63"/>
      <c r="T1658" s="63"/>
      <c r="U1658" s="94"/>
      <c r="V1658" s="90"/>
      <c r="W1658" s="91"/>
      <c r="X1658" s="92"/>
      <c r="Y1658" s="2"/>
    </row>
    <row r="1659" spans="2:25">
      <c r="B1659" s="87">
        <f t="shared" si="342"/>
        <v>10</v>
      </c>
      <c r="C1659" s="36"/>
      <c r="D1659" s="10"/>
      <c r="E1659" s="10"/>
      <c r="F1659" s="62"/>
      <c r="G1659" s="62"/>
      <c r="H1659" s="88"/>
      <c r="I1659" s="89">
        <f>F1659-G1659-H1659</f>
        <v>0</v>
      </c>
      <c r="J1659" s="63"/>
      <c r="K1659" s="63"/>
      <c r="L1659" s="63"/>
      <c r="M1659" s="63"/>
      <c r="N1659" s="63"/>
      <c r="O1659" s="63"/>
      <c r="P1659" s="63"/>
      <c r="Q1659" s="63"/>
      <c r="R1659" s="63"/>
      <c r="S1659" s="63"/>
      <c r="T1659" s="63"/>
      <c r="U1659" s="94"/>
      <c r="V1659" s="90"/>
      <c r="W1659" s="91"/>
      <c r="X1659" s="92"/>
      <c r="Y1659" s="2"/>
    </row>
    <row r="1660" spans="2:25">
      <c r="B1660" s="87">
        <f t="shared" si="342"/>
        <v>11</v>
      </c>
      <c r="C1660" s="36"/>
      <c r="D1660" s="10"/>
      <c r="E1660" s="10"/>
      <c r="F1660" s="95"/>
      <c r="G1660" s="62"/>
      <c r="H1660" s="62"/>
      <c r="I1660" s="89">
        <f t="shared" si="343"/>
        <v>0</v>
      </c>
      <c r="J1660" s="63"/>
      <c r="K1660" s="63"/>
      <c r="L1660" s="63"/>
      <c r="M1660" s="63"/>
      <c r="N1660" s="63"/>
      <c r="O1660" s="63"/>
      <c r="P1660" s="63"/>
      <c r="Q1660" s="63"/>
      <c r="R1660" s="63"/>
      <c r="S1660" s="63"/>
      <c r="T1660" s="63"/>
      <c r="U1660" s="94"/>
      <c r="V1660" s="90"/>
      <c r="W1660" s="91"/>
      <c r="X1660" s="92"/>
      <c r="Y1660" s="2"/>
    </row>
    <row r="1661" spans="2:25">
      <c r="B1661" s="87">
        <f t="shared" si="342"/>
        <v>12</v>
      </c>
      <c r="C1661" s="36"/>
      <c r="D1661" s="10"/>
      <c r="E1661" s="10"/>
      <c r="F1661" s="95"/>
      <c r="G1661" s="62"/>
      <c r="H1661" s="62"/>
      <c r="I1661" s="89">
        <f t="shared" si="343"/>
        <v>0</v>
      </c>
      <c r="J1661" s="63"/>
      <c r="K1661" s="63"/>
      <c r="L1661" s="63"/>
      <c r="M1661" s="63"/>
      <c r="N1661" s="63"/>
      <c r="O1661" s="63"/>
      <c r="P1661" s="63"/>
      <c r="Q1661" s="63"/>
      <c r="R1661" s="63"/>
      <c r="S1661" s="63"/>
      <c r="T1661" s="63"/>
      <c r="U1661" s="94"/>
      <c r="V1661" s="90"/>
      <c r="W1661" s="91"/>
      <c r="X1661" s="92"/>
      <c r="Y1661" s="2"/>
    </row>
    <row r="1662" spans="2:25">
      <c r="B1662" s="87">
        <f t="shared" si="342"/>
        <v>13</v>
      </c>
      <c r="C1662" s="36"/>
      <c r="D1662" s="10"/>
      <c r="E1662" s="10"/>
      <c r="F1662" s="95"/>
      <c r="G1662" s="62"/>
      <c r="H1662" s="62"/>
      <c r="I1662" s="89">
        <f t="shared" si="343"/>
        <v>0</v>
      </c>
      <c r="J1662" s="63"/>
      <c r="K1662" s="63"/>
      <c r="L1662" s="63"/>
      <c r="M1662" s="63"/>
      <c r="N1662" s="63"/>
      <c r="O1662" s="63"/>
      <c r="P1662" s="63"/>
      <c r="Q1662" s="63"/>
      <c r="R1662" s="63"/>
      <c r="S1662" s="63"/>
      <c r="T1662" s="63"/>
      <c r="U1662" s="94"/>
      <c r="V1662" s="90"/>
      <c r="W1662" s="91"/>
      <c r="X1662" s="92"/>
      <c r="Y1662" s="2"/>
    </row>
    <row r="1663" spans="2:25">
      <c r="B1663" s="87">
        <f t="shared" si="342"/>
        <v>14</v>
      </c>
      <c r="C1663" s="36"/>
      <c r="D1663" s="10"/>
      <c r="E1663" s="10"/>
      <c r="F1663" s="95"/>
      <c r="G1663" s="62"/>
      <c r="H1663" s="62"/>
      <c r="I1663" s="89">
        <f t="shared" si="343"/>
        <v>0</v>
      </c>
      <c r="J1663" s="63"/>
      <c r="K1663" s="63"/>
      <c r="L1663" s="63"/>
      <c r="M1663" s="63"/>
      <c r="N1663" s="63"/>
      <c r="O1663" s="63"/>
      <c r="P1663" s="63"/>
      <c r="Q1663" s="63"/>
      <c r="R1663" s="63"/>
      <c r="S1663" s="63"/>
      <c r="T1663" s="63"/>
      <c r="U1663" s="94"/>
      <c r="V1663" s="90"/>
      <c r="W1663" s="91"/>
      <c r="X1663" s="92"/>
      <c r="Y1663" s="2"/>
    </row>
    <row r="1664" spans="2:25">
      <c r="B1664" s="87">
        <f t="shared" si="342"/>
        <v>15</v>
      </c>
      <c r="C1664" s="36"/>
      <c r="D1664" s="10"/>
      <c r="E1664" s="10"/>
      <c r="F1664" s="95"/>
      <c r="G1664" s="62"/>
      <c r="H1664" s="62"/>
      <c r="I1664" s="89">
        <f t="shared" si="343"/>
        <v>0</v>
      </c>
      <c r="J1664" s="63"/>
      <c r="K1664" s="63"/>
      <c r="L1664" s="63"/>
      <c r="M1664" s="63"/>
      <c r="N1664" s="63"/>
      <c r="O1664" s="63"/>
      <c r="P1664" s="63"/>
      <c r="Q1664" s="63"/>
      <c r="R1664" s="63"/>
      <c r="S1664" s="63"/>
      <c r="T1664" s="63"/>
      <c r="U1664" s="94"/>
      <c r="V1664" s="90"/>
      <c r="W1664" s="96"/>
      <c r="X1664" s="92"/>
      <c r="Y1664" s="2"/>
    </row>
    <row r="1665" spans="2:25">
      <c r="B1665" s="87">
        <f t="shared" si="342"/>
        <v>16</v>
      </c>
      <c r="C1665" s="36"/>
      <c r="D1665" s="10"/>
      <c r="E1665" s="10"/>
      <c r="F1665" s="95"/>
      <c r="G1665" s="62"/>
      <c r="H1665" s="62"/>
      <c r="I1665" s="89">
        <f t="shared" si="343"/>
        <v>0</v>
      </c>
      <c r="J1665" s="63"/>
      <c r="K1665" s="63"/>
      <c r="L1665" s="63"/>
      <c r="M1665" s="63"/>
      <c r="N1665" s="63"/>
      <c r="O1665" s="63"/>
      <c r="P1665" s="63"/>
      <c r="Q1665" s="63"/>
      <c r="R1665" s="63"/>
      <c r="S1665" s="63"/>
      <c r="T1665" s="63"/>
      <c r="U1665" s="94"/>
      <c r="V1665" s="90"/>
      <c r="W1665" s="96"/>
      <c r="X1665" s="92"/>
      <c r="Y1665" s="2"/>
    </row>
    <row r="1666" spans="2:25">
      <c r="B1666" s="87"/>
      <c r="C1666" s="36"/>
      <c r="D1666" s="10"/>
      <c r="E1666" s="10"/>
      <c r="F1666" s="97">
        <f>SUM(F1650:F1665)</f>
        <v>1942</v>
      </c>
      <c r="G1666" s="97">
        <f t="shared" ref="G1666:I1666" si="344">SUM(G1650:G1665)</f>
        <v>39.700000000000003</v>
      </c>
      <c r="H1666" s="97">
        <f t="shared" si="344"/>
        <v>0</v>
      </c>
      <c r="I1666" s="98">
        <f t="shared" si="344"/>
        <v>1902.3</v>
      </c>
      <c r="J1666" s="63"/>
      <c r="K1666" s="63">
        <f>COUNT(K1650:K1665)</f>
        <v>2</v>
      </c>
      <c r="L1666" s="63">
        <f t="shared" ref="L1666:R1666" si="345">COUNT(L1650:L1665)</f>
        <v>2</v>
      </c>
      <c r="M1666" s="63">
        <f t="shared" si="345"/>
        <v>2</v>
      </c>
      <c r="N1666" s="63">
        <f t="shared" si="345"/>
        <v>2</v>
      </c>
      <c r="O1666" s="63">
        <f t="shared" si="345"/>
        <v>2</v>
      </c>
      <c r="P1666" s="63">
        <f t="shared" si="345"/>
        <v>2</v>
      </c>
      <c r="Q1666" s="63">
        <f t="shared" si="345"/>
        <v>2</v>
      </c>
      <c r="R1666" s="63">
        <f t="shared" si="345"/>
        <v>2</v>
      </c>
      <c r="S1666" s="63">
        <f>COUNT(S1650:S1665)</f>
        <v>2</v>
      </c>
      <c r="T1666" s="63"/>
      <c r="U1666" s="94"/>
      <c r="V1666" s="90"/>
      <c r="W1666" s="91"/>
      <c r="X1666" s="92"/>
      <c r="Y1666" s="2"/>
    </row>
    <row r="1667" spans="2:25">
      <c r="B1667" s="87"/>
      <c r="C1667" s="36"/>
      <c r="D1667" s="10"/>
      <c r="E1667" s="10"/>
      <c r="F1667" s="88"/>
      <c r="G1667" s="88"/>
      <c r="H1667" s="88"/>
      <c r="I1667" s="99"/>
      <c r="J1667" s="63"/>
      <c r="K1667" s="21">
        <f>SUM(K1650:K1665)</f>
        <v>2</v>
      </c>
      <c r="L1667" s="21">
        <f t="shared" ref="L1667:R1667" si="346">SUM(L1650:L1665)</f>
        <v>1</v>
      </c>
      <c r="M1667" s="21">
        <f t="shared" si="346"/>
        <v>2</v>
      </c>
      <c r="N1667" s="21">
        <f t="shared" si="346"/>
        <v>2</v>
      </c>
      <c r="O1667" s="21">
        <f t="shared" si="346"/>
        <v>2</v>
      </c>
      <c r="P1667" s="21">
        <f t="shared" si="346"/>
        <v>2</v>
      </c>
      <c r="Q1667" s="21">
        <f t="shared" si="346"/>
        <v>2</v>
      </c>
      <c r="R1667" s="21">
        <f t="shared" si="346"/>
        <v>2</v>
      </c>
      <c r="S1667" s="21">
        <f>SUM(S1650:S1665)</f>
        <v>2</v>
      </c>
      <c r="T1667" s="63"/>
      <c r="U1667" s="94"/>
      <c r="V1667" s="90"/>
      <c r="W1667" s="91"/>
      <c r="X1667" s="92"/>
      <c r="Y1667" s="2"/>
    </row>
    <row r="1668" spans="2:25">
      <c r="B1668" s="11"/>
      <c r="C1668" s="36"/>
      <c r="D1668" s="10"/>
      <c r="E1668" s="10"/>
      <c r="F1668" s="88"/>
      <c r="G1668" s="88"/>
      <c r="H1668" s="88"/>
      <c r="I1668" s="99"/>
      <c r="J1668" s="63"/>
      <c r="K1668" s="21"/>
      <c r="L1668" s="21"/>
      <c r="M1668" s="21"/>
      <c r="N1668" s="21"/>
      <c r="O1668" s="21"/>
      <c r="P1668" s="21"/>
      <c r="Q1668" s="21"/>
      <c r="R1668" s="21"/>
      <c r="S1668" s="21"/>
      <c r="T1668" s="63"/>
      <c r="U1668" s="94"/>
      <c r="V1668" s="90"/>
      <c r="W1668" s="91"/>
      <c r="X1668" s="92"/>
      <c r="Y1668" s="2"/>
    </row>
    <row r="1669" spans="2:25">
      <c r="B1669" s="100" t="s">
        <v>66</v>
      </c>
      <c r="C1669" s="36"/>
      <c r="D1669" s="10"/>
      <c r="E1669" s="10"/>
      <c r="F1669" s="88"/>
      <c r="G1669" s="62"/>
      <c r="H1669" s="88"/>
      <c r="I1669" s="99"/>
      <c r="J1669" s="63"/>
      <c r="K1669" s="2"/>
      <c r="L1669" s="2"/>
      <c r="M1669" s="2"/>
      <c r="N1669" s="2"/>
      <c r="O1669" s="2"/>
      <c r="P1669" s="2"/>
      <c r="Q1669" s="2"/>
      <c r="R1669" s="2"/>
      <c r="S1669" s="2"/>
      <c r="T1669" s="63"/>
      <c r="U1669" s="94"/>
      <c r="V1669" s="90"/>
      <c r="W1669" s="91"/>
      <c r="X1669" s="92"/>
      <c r="Y1669" s="2"/>
    </row>
    <row r="1670" spans="2:25">
      <c r="B1670" s="87">
        <v>1</v>
      </c>
      <c r="C1670" s="36"/>
      <c r="D1670" s="10"/>
      <c r="E1670" s="101"/>
      <c r="F1670" s="62"/>
      <c r="G1670" s="62"/>
      <c r="H1670" s="62"/>
      <c r="I1670" s="89">
        <f t="shared" ref="I1670:I1677" si="347">F1670-G1670-H1670</f>
        <v>0</v>
      </c>
      <c r="J1670" s="63"/>
      <c r="K1670" s="63"/>
      <c r="L1670" s="63"/>
      <c r="M1670" s="63"/>
      <c r="N1670" s="63"/>
      <c r="O1670" s="63"/>
      <c r="P1670" s="63"/>
      <c r="Q1670" s="63"/>
      <c r="R1670" s="63"/>
      <c r="S1670" s="63"/>
      <c r="T1670" s="63"/>
      <c r="U1670" s="94"/>
      <c r="V1670" s="90"/>
      <c r="W1670" s="91"/>
      <c r="X1670" s="92"/>
      <c r="Y1670" s="2"/>
    </row>
    <row r="1671" spans="2:25">
      <c r="B1671" s="87">
        <f t="shared" ref="B1671:B1677" si="348">B1670+1</f>
        <v>2</v>
      </c>
      <c r="C1671" s="36"/>
      <c r="D1671" s="10"/>
      <c r="E1671" s="101"/>
      <c r="F1671" s="62"/>
      <c r="G1671" s="62"/>
      <c r="H1671" s="62"/>
      <c r="I1671" s="89">
        <f t="shared" si="347"/>
        <v>0</v>
      </c>
      <c r="J1671" s="63"/>
      <c r="K1671" s="63"/>
      <c r="L1671" s="63"/>
      <c r="M1671" s="63"/>
      <c r="N1671" s="63"/>
      <c r="O1671" s="63"/>
      <c r="P1671" s="63"/>
      <c r="Q1671" s="63"/>
      <c r="R1671" s="63"/>
      <c r="S1671" s="63"/>
      <c r="T1671" s="63"/>
      <c r="U1671" s="94"/>
      <c r="V1671" s="90"/>
      <c r="W1671" s="91"/>
      <c r="X1671" s="92"/>
      <c r="Y1671" s="2"/>
    </row>
    <row r="1672" spans="2:25">
      <c r="B1672" s="87">
        <f t="shared" si="348"/>
        <v>3</v>
      </c>
      <c r="C1672" s="36"/>
      <c r="D1672" s="10"/>
      <c r="E1672" s="101"/>
      <c r="F1672" s="62"/>
      <c r="G1672" s="62"/>
      <c r="H1672" s="62"/>
      <c r="I1672" s="89">
        <f t="shared" si="347"/>
        <v>0</v>
      </c>
      <c r="J1672" s="63"/>
      <c r="K1672" s="63"/>
      <c r="L1672" s="63"/>
      <c r="M1672" s="63"/>
      <c r="N1672" s="63"/>
      <c r="O1672" s="63"/>
      <c r="P1672" s="63"/>
      <c r="Q1672" s="63"/>
      <c r="R1672" s="63"/>
      <c r="S1672" s="63"/>
      <c r="T1672" s="63"/>
      <c r="U1672" s="94"/>
      <c r="V1672" s="90"/>
      <c r="W1672" s="91"/>
      <c r="X1672" s="92"/>
      <c r="Y1672" s="2"/>
    </row>
    <row r="1673" spans="2:25">
      <c r="B1673" s="87">
        <f t="shared" si="348"/>
        <v>4</v>
      </c>
      <c r="C1673" s="36"/>
      <c r="D1673" s="10"/>
      <c r="E1673" s="101"/>
      <c r="F1673" s="62"/>
      <c r="G1673" s="62"/>
      <c r="H1673" s="62"/>
      <c r="I1673" s="89">
        <f t="shared" si="347"/>
        <v>0</v>
      </c>
      <c r="J1673" s="63"/>
      <c r="K1673" s="63"/>
      <c r="L1673" s="63"/>
      <c r="M1673" s="63"/>
      <c r="N1673" s="63"/>
      <c r="O1673" s="63"/>
      <c r="P1673" s="63"/>
      <c r="Q1673" s="63"/>
      <c r="R1673" s="63"/>
      <c r="S1673" s="63"/>
      <c r="T1673" s="63"/>
      <c r="U1673" s="94"/>
      <c r="V1673" s="90"/>
      <c r="W1673" s="91"/>
      <c r="X1673" s="92"/>
      <c r="Y1673" s="2"/>
    </row>
    <row r="1674" spans="2:25">
      <c r="B1674" s="87">
        <f t="shared" si="348"/>
        <v>5</v>
      </c>
      <c r="C1674" s="36"/>
      <c r="D1674" s="10"/>
      <c r="E1674" s="101"/>
      <c r="F1674" s="62"/>
      <c r="G1674" s="62"/>
      <c r="H1674" s="62"/>
      <c r="I1674" s="89">
        <f t="shared" si="347"/>
        <v>0</v>
      </c>
      <c r="J1674" s="63"/>
      <c r="K1674" s="63"/>
      <c r="L1674" s="63"/>
      <c r="M1674" s="63"/>
      <c r="N1674" s="63"/>
      <c r="O1674" s="63"/>
      <c r="P1674" s="63"/>
      <c r="Q1674" s="63"/>
      <c r="R1674" s="63"/>
      <c r="S1674" s="63"/>
      <c r="T1674" s="63"/>
      <c r="U1674" s="94"/>
      <c r="V1674" s="90"/>
      <c r="W1674" s="91"/>
      <c r="X1674" s="92"/>
      <c r="Y1674" s="2"/>
    </row>
    <row r="1675" spans="2:25">
      <c r="B1675" s="87">
        <f t="shared" si="348"/>
        <v>6</v>
      </c>
      <c r="C1675" s="36"/>
      <c r="D1675" s="10"/>
      <c r="E1675" s="101"/>
      <c r="F1675" s="62"/>
      <c r="G1675" s="62"/>
      <c r="H1675" s="62"/>
      <c r="I1675" s="89">
        <f t="shared" si="347"/>
        <v>0</v>
      </c>
      <c r="J1675" s="63"/>
      <c r="K1675" s="63"/>
      <c r="L1675" s="63"/>
      <c r="M1675" s="63"/>
      <c r="N1675" s="63"/>
      <c r="O1675" s="63"/>
      <c r="P1675" s="63"/>
      <c r="Q1675" s="63"/>
      <c r="R1675" s="63"/>
      <c r="S1675" s="63"/>
      <c r="T1675" s="63"/>
      <c r="U1675" s="94"/>
      <c r="V1675" s="90"/>
      <c r="W1675" s="91"/>
      <c r="X1675" s="92"/>
      <c r="Y1675" s="2"/>
    </row>
    <row r="1676" spans="2:25">
      <c r="B1676" s="87">
        <f t="shared" si="348"/>
        <v>7</v>
      </c>
      <c r="C1676" s="36"/>
      <c r="D1676" s="10"/>
      <c r="E1676" s="101"/>
      <c r="F1676" s="62"/>
      <c r="G1676" s="62"/>
      <c r="H1676" s="62"/>
      <c r="I1676" s="89">
        <f t="shared" si="347"/>
        <v>0</v>
      </c>
      <c r="J1676" s="63"/>
      <c r="K1676" s="63"/>
      <c r="L1676" s="63"/>
      <c r="M1676" s="63"/>
      <c r="N1676" s="63"/>
      <c r="O1676" s="63"/>
      <c r="P1676" s="63"/>
      <c r="Q1676" s="63"/>
      <c r="R1676" s="63"/>
      <c r="S1676" s="63"/>
      <c r="T1676" s="63"/>
      <c r="U1676" s="94"/>
      <c r="V1676" s="90"/>
      <c r="W1676" s="91"/>
      <c r="X1676" s="92"/>
      <c r="Y1676" s="2"/>
    </row>
    <row r="1677" spans="2:25">
      <c r="B1677" s="87">
        <f t="shared" si="348"/>
        <v>8</v>
      </c>
      <c r="C1677" s="36"/>
      <c r="D1677" s="10"/>
      <c r="E1677" s="101"/>
      <c r="F1677" s="62"/>
      <c r="G1677" s="62"/>
      <c r="H1677" s="62"/>
      <c r="I1677" s="89">
        <f t="shared" si="347"/>
        <v>0</v>
      </c>
      <c r="J1677" s="63"/>
      <c r="K1677" s="63"/>
      <c r="L1677" s="63"/>
      <c r="M1677" s="63"/>
      <c r="N1677" s="63"/>
      <c r="O1677" s="63"/>
      <c r="P1677" s="63"/>
      <c r="Q1677" s="63"/>
      <c r="R1677" s="63"/>
      <c r="S1677" s="63"/>
      <c r="T1677" s="63"/>
      <c r="U1677" s="94"/>
      <c r="V1677" s="90"/>
      <c r="W1677" s="91"/>
      <c r="X1677" s="92"/>
      <c r="Y1677" s="2"/>
    </row>
    <row r="1678" spans="2:25">
      <c r="B1678" s="11"/>
      <c r="C1678" s="609"/>
      <c r="D1678" s="10"/>
      <c r="E1678" s="10"/>
      <c r="F1678" s="97">
        <f>SUM(F1670:F1677)</f>
        <v>0</v>
      </c>
      <c r="G1678" s="97">
        <f>SUM(G1670:G1677)</f>
        <v>0</v>
      </c>
      <c r="H1678" s="97">
        <f>SUM(H1670:H1677)</f>
        <v>0</v>
      </c>
      <c r="I1678" s="98">
        <f>SUM(I1670:I1677)</f>
        <v>0</v>
      </c>
      <c r="J1678" s="63"/>
      <c r="K1678" s="21"/>
      <c r="L1678" s="21"/>
      <c r="M1678" s="21"/>
      <c r="N1678" s="21"/>
      <c r="O1678" s="21"/>
      <c r="P1678" s="21"/>
      <c r="Q1678" s="21"/>
      <c r="R1678" s="21"/>
      <c r="S1678" s="21"/>
      <c r="T1678" s="63"/>
      <c r="U1678" s="94"/>
      <c r="V1678" s="90"/>
      <c r="W1678" s="91"/>
      <c r="X1678" s="92"/>
      <c r="Y1678" s="2"/>
    </row>
    <row r="1679" spans="2:25">
      <c r="B1679" s="11"/>
      <c r="C1679" s="609"/>
      <c r="D1679" s="10"/>
      <c r="E1679" s="10"/>
      <c r="F1679" s="88"/>
      <c r="G1679" s="88"/>
      <c r="H1679" s="88"/>
      <c r="I1679" s="99"/>
      <c r="J1679" s="63"/>
      <c r="K1679" s="21"/>
      <c r="L1679" s="21"/>
      <c r="M1679" s="21"/>
      <c r="N1679" s="21"/>
      <c r="O1679" s="21"/>
      <c r="P1679" s="21"/>
      <c r="Q1679" s="21"/>
      <c r="R1679" s="21"/>
      <c r="S1679" s="21"/>
      <c r="T1679" s="63"/>
      <c r="U1679" s="94"/>
      <c r="V1679" s="90"/>
      <c r="W1679" s="91"/>
      <c r="X1679" s="92"/>
      <c r="Y1679" s="2"/>
    </row>
    <row r="1680" spans="2:25">
      <c r="B1680" s="102" t="s">
        <v>67</v>
      </c>
      <c r="C1680" s="610"/>
      <c r="D1680" s="104"/>
      <c r="E1680" s="104"/>
      <c r="F1680" s="105"/>
      <c r="G1680" s="106"/>
      <c r="H1680" s="105"/>
      <c r="I1680" s="107"/>
      <c r="J1680" s="108"/>
      <c r="K1680" s="109"/>
      <c r="L1680" s="109"/>
      <c r="M1680" s="109"/>
      <c r="N1680" s="109"/>
      <c r="O1680" s="109"/>
      <c r="P1680" s="109"/>
      <c r="Q1680" s="109"/>
      <c r="R1680" s="109"/>
      <c r="S1680" s="109"/>
      <c r="T1680" s="108"/>
      <c r="U1680" s="110"/>
      <c r="V1680" s="111"/>
      <c r="W1680" s="112"/>
      <c r="X1680" s="113"/>
      <c r="Y1680" s="2"/>
    </row>
    <row r="1681" spans="2:25">
      <c r="B1681" s="114">
        <v>1</v>
      </c>
      <c r="C1681" s="610"/>
      <c r="D1681" s="104"/>
      <c r="E1681" s="115"/>
      <c r="F1681" s="106"/>
      <c r="G1681" s="106"/>
      <c r="H1681" s="106"/>
      <c r="I1681" s="116">
        <f t="shared" ref="I1681:I1688" si="349">F1681-G1681-H1681</f>
        <v>0</v>
      </c>
      <c r="J1681" s="108"/>
      <c r="K1681" s="108"/>
      <c r="L1681" s="108"/>
      <c r="M1681" s="108"/>
      <c r="N1681" s="108"/>
      <c r="O1681" s="108"/>
      <c r="P1681" s="108"/>
      <c r="Q1681" s="108"/>
      <c r="R1681" s="108"/>
      <c r="S1681" s="108"/>
      <c r="T1681" s="108"/>
      <c r="U1681" s="110"/>
      <c r="V1681" s="111"/>
      <c r="W1681" s="112"/>
      <c r="X1681" s="113"/>
      <c r="Y1681" s="2"/>
    </row>
    <row r="1682" spans="2:25">
      <c r="B1682" s="114">
        <f t="shared" ref="B1682:B1688" si="350">B1681+1</f>
        <v>2</v>
      </c>
      <c r="C1682" s="610"/>
      <c r="D1682" s="104"/>
      <c r="E1682" s="115"/>
      <c r="F1682" s="106"/>
      <c r="G1682" s="106"/>
      <c r="H1682" s="106"/>
      <c r="I1682" s="116">
        <f t="shared" si="349"/>
        <v>0</v>
      </c>
      <c r="J1682" s="108"/>
      <c r="K1682" s="108"/>
      <c r="L1682" s="108"/>
      <c r="M1682" s="108"/>
      <c r="N1682" s="108"/>
      <c r="O1682" s="108"/>
      <c r="P1682" s="108"/>
      <c r="Q1682" s="108"/>
      <c r="R1682" s="108"/>
      <c r="S1682" s="108"/>
      <c r="T1682" s="108"/>
      <c r="U1682" s="110"/>
      <c r="V1682" s="111"/>
      <c r="W1682" s="112"/>
      <c r="X1682" s="113"/>
      <c r="Y1682" s="2"/>
    </row>
    <row r="1683" spans="2:25">
      <c r="B1683" s="114">
        <f t="shared" si="350"/>
        <v>3</v>
      </c>
      <c r="C1683" s="610"/>
      <c r="D1683" s="104"/>
      <c r="E1683" s="115"/>
      <c r="F1683" s="106"/>
      <c r="G1683" s="106"/>
      <c r="H1683" s="106"/>
      <c r="I1683" s="116">
        <f t="shared" si="349"/>
        <v>0</v>
      </c>
      <c r="J1683" s="108"/>
      <c r="K1683" s="108"/>
      <c r="L1683" s="108"/>
      <c r="M1683" s="108"/>
      <c r="N1683" s="108"/>
      <c r="O1683" s="108"/>
      <c r="P1683" s="108"/>
      <c r="Q1683" s="108"/>
      <c r="R1683" s="108"/>
      <c r="S1683" s="108"/>
      <c r="T1683" s="108"/>
      <c r="U1683" s="110"/>
      <c r="V1683" s="111"/>
      <c r="W1683" s="112"/>
      <c r="X1683" s="113"/>
      <c r="Y1683" s="2"/>
    </row>
    <row r="1684" spans="2:25">
      <c r="B1684" s="114">
        <f t="shared" si="350"/>
        <v>4</v>
      </c>
      <c r="C1684" s="610"/>
      <c r="D1684" s="104"/>
      <c r="E1684" s="115"/>
      <c r="F1684" s="106"/>
      <c r="G1684" s="106"/>
      <c r="H1684" s="106"/>
      <c r="I1684" s="116">
        <f t="shared" si="349"/>
        <v>0</v>
      </c>
      <c r="J1684" s="108"/>
      <c r="K1684" s="108"/>
      <c r="L1684" s="108"/>
      <c r="M1684" s="108"/>
      <c r="N1684" s="108"/>
      <c r="O1684" s="108"/>
      <c r="P1684" s="108"/>
      <c r="Q1684" s="108"/>
      <c r="R1684" s="108"/>
      <c r="S1684" s="108"/>
      <c r="T1684" s="108"/>
      <c r="U1684" s="110"/>
      <c r="V1684" s="111"/>
      <c r="W1684" s="112"/>
      <c r="X1684" s="113"/>
      <c r="Y1684" s="2"/>
    </row>
    <row r="1685" spans="2:25">
      <c r="B1685" s="114">
        <f t="shared" si="350"/>
        <v>5</v>
      </c>
      <c r="C1685" s="610"/>
      <c r="D1685" s="104"/>
      <c r="E1685" s="115"/>
      <c r="F1685" s="106"/>
      <c r="G1685" s="106"/>
      <c r="H1685" s="106"/>
      <c r="I1685" s="116">
        <f t="shared" si="349"/>
        <v>0</v>
      </c>
      <c r="J1685" s="108"/>
      <c r="K1685" s="108"/>
      <c r="L1685" s="108"/>
      <c r="M1685" s="108"/>
      <c r="N1685" s="108"/>
      <c r="O1685" s="108"/>
      <c r="P1685" s="108"/>
      <c r="Q1685" s="108"/>
      <c r="R1685" s="108"/>
      <c r="S1685" s="108"/>
      <c r="T1685" s="108"/>
      <c r="U1685" s="110"/>
      <c r="V1685" s="111"/>
      <c r="W1685" s="112"/>
      <c r="X1685" s="113"/>
      <c r="Y1685" s="2"/>
    </row>
    <row r="1686" spans="2:25">
      <c r="B1686" s="114">
        <f t="shared" si="350"/>
        <v>6</v>
      </c>
      <c r="C1686" s="610"/>
      <c r="D1686" s="104"/>
      <c r="E1686" s="115"/>
      <c r="F1686" s="106"/>
      <c r="G1686" s="106"/>
      <c r="H1686" s="106"/>
      <c r="I1686" s="116">
        <f t="shared" si="349"/>
        <v>0</v>
      </c>
      <c r="J1686" s="108"/>
      <c r="K1686" s="108"/>
      <c r="L1686" s="108"/>
      <c r="M1686" s="108"/>
      <c r="N1686" s="108"/>
      <c r="O1686" s="108"/>
      <c r="P1686" s="108"/>
      <c r="Q1686" s="108"/>
      <c r="R1686" s="108"/>
      <c r="S1686" s="108"/>
      <c r="T1686" s="108"/>
      <c r="U1686" s="110"/>
      <c r="V1686" s="111"/>
      <c r="W1686" s="112"/>
      <c r="X1686" s="113"/>
      <c r="Y1686" s="2"/>
    </row>
    <row r="1687" spans="2:25">
      <c r="B1687" s="114">
        <f t="shared" si="350"/>
        <v>7</v>
      </c>
      <c r="C1687" s="610"/>
      <c r="D1687" s="104"/>
      <c r="E1687" s="115"/>
      <c r="F1687" s="106"/>
      <c r="G1687" s="106"/>
      <c r="H1687" s="106"/>
      <c r="I1687" s="116">
        <f t="shared" si="349"/>
        <v>0</v>
      </c>
      <c r="J1687" s="108"/>
      <c r="K1687" s="108"/>
      <c r="L1687" s="108"/>
      <c r="M1687" s="108"/>
      <c r="N1687" s="108"/>
      <c r="O1687" s="108"/>
      <c r="P1687" s="108"/>
      <c r="Q1687" s="108"/>
      <c r="R1687" s="108"/>
      <c r="S1687" s="108"/>
      <c r="T1687" s="108"/>
      <c r="U1687" s="110"/>
      <c r="V1687" s="111"/>
      <c r="W1687" s="112"/>
      <c r="X1687" s="113"/>
      <c r="Y1687" s="2"/>
    </row>
    <row r="1688" spans="2:25">
      <c r="B1688" s="114">
        <f t="shared" si="350"/>
        <v>8</v>
      </c>
      <c r="C1688" s="610"/>
      <c r="D1688" s="104"/>
      <c r="E1688" s="115"/>
      <c r="F1688" s="106"/>
      <c r="G1688" s="106"/>
      <c r="H1688" s="106"/>
      <c r="I1688" s="116">
        <f t="shared" si="349"/>
        <v>0</v>
      </c>
      <c r="J1688" s="108"/>
      <c r="K1688" s="108"/>
      <c r="L1688" s="108"/>
      <c r="M1688" s="108"/>
      <c r="N1688" s="108"/>
      <c r="O1688" s="108"/>
      <c r="P1688" s="108"/>
      <c r="Q1688" s="108"/>
      <c r="R1688" s="108"/>
      <c r="S1688" s="108"/>
      <c r="T1688" s="108"/>
      <c r="U1688" s="110"/>
      <c r="V1688" s="111"/>
      <c r="W1688" s="112"/>
      <c r="X1688" s="113"/>
      <c r="Y1688" s="2"/>
    </row>
    <row r="1689" spans="2:25">
      <c r="B1689" s="117"/>
      <c r="C1689" s="610"/>
      <c r="D1689" s="104"/>
      <c r="E1689" s="104"/>
      <c r="F1689" s="118">
        <f>SUM(F1681:F1688)</f>
        <v>0</v>
      </c>
      <c r="G1689" s="118">
        <f>SUM(G1681:G1688)</f>
        <v>0</v>
      </c>
      <c r="H1689" s="118">
        <f>SUM(H1681:H1688)</f>
        <v>0</v>
      </c>
      <c r="I1689" s="119">
        <f>SUM(I1681:I1688)</f>
        <v>0</v>
      </c>
      <c r="J1689" s="108"/>
      <c r="K1689" s="120"/>
      <c r="L1689" s="120"/>
      <c r="M1689" s="120"/>
      <c r="N1689" s="120"/>
      <c r="O1689" s="120"/>
      <c r="P1689" s="120"/>
      <c r="Q1689" s="120"/>
      <c r="R1689" s="120"/>
      <c r="S1689" s="120"/>
      <c r="T1689" s="108"/>
      <c r="U1689" s="110"/>
      <c r="V1689" s="111"/>
      <c r="W1689" s="112"/>
      <c r="X1689" s="113"/>
      <c r="Y1689" s="2"/>
    </row>
    <row r="1690" spans="2:25">
      <c r="B1690" s="11"/>
      <c r="C1690" s="609"/>
      <c r="D1690" s="10"/>
      <c r="E1690" s="10"/>
      <c r="F1690" s="88"/>
      <c r="G1690" s="88"/>
      <c r="H1690" s="88"/>
      <c r="I1690" s="99"/>
      <c r="J1690" s="63"/>
      <c r="K1690" s="21"/>
      <c r="L1690" s="21"/>
      <c r="M1690" s="21"/>
      <c r="N1690" s="21"/>
      <c r="O1690" s="21"/>
      <c r="P1690" s="21"/>
      <c r="Q1690" s="21"/>
      <c r="R1690" s="21"/>
      <c r="S1690" s="21"/>
      <c r="T1690" s="63"/>
      <c r="U1690" s="94"/>
      <c r="V1690" s="90"/>
      <c r="W1690" s="91"/>
      <c r="X1690" s="92"/>
      <c r="Y1690" s="2"/>
    </row>
    <row r="1691" spans="2:25">
      <c r="B1691" s="121" t="s">
        <v>68</v>
      </c>
      <c r="C1691" s="611"/>
      <c r="D1691" s="123"/>
      <c r="E1691" s="123"/>
      <c r="F1691" s="124"/>
      <c r="G1691" s="125"/>
      <c r="H1691" s="124"/>
      <c r="I1691" s="126"/>
      <c r="J1691" s="127"/>
      <c r="K1691" s="128"/>
      <c r="L1691" s="128"/>
      <c r="M1691" s="128"/>
      <c r="N1691" s="128"/>
      <c r="O1691" s="128"/>
      <c r="P1691" s="128"/>
      <c r="Q1691" s="128"/>
      <c r="R1691" s="128"/>
      <c r="S1691" s="128"/>
      <c r="T1691" s="127"/>
      <c r="U1691" s="135"/>
      <c r="V1691" s="129"/>
      <c r="W1691" s="130"/>
      <c r="X1691" s="131"/>
      <c r="Y1691" s="128"/>
    </row>
    <row r="1692" spans="2:25">
      <c r="B1692" s="87">
        <v>1</v>
      </c>
      <c r="C1692" s="36"/>
      <c r="D1692" s="10"/>
      <c r="E1692" s="101"/>
      <c r="F1692" s="62"/>
      <c r="G1692" s="62"/>
      <c r="H1692" s="62"/>
      <c r="I1692" s="89">
        <f>F1692-G1692-H1692</f>
        <v>0</v>
      </c>
      <c r="J1692" s="63"/>
      <c r="K1692" s="63"/>
      <c r="L1692" s="63"/>
      <c r="M1692" s="63"/>
      <c r="N1692" s="63"/>
      <c r="O1692" s="63"/>
      <c r="P1692" s="63"/>
      <c r="Q1692" s="63"/>
      <c r="R1692" s="63"/>
      <c r="S1692" s="63"/>
      <c r="T1692" s="63"/>
      <c r="U1692" s="94"/>
      <c r="V1692" s="90"/>
      <c r="W1692" s="91"/>
      <c r="X1692" s="92"/>
      <c r="Y1692" s="2"/>
    </row>
    <row r="1693" spans="2:25">
      <c r="B1693" s="87">
        <f t="shared" ref="B1693:B1699" si="351">B1692+1</f>
        <v>2</v>
      </c>
      <c r="C1693" s="36"/>
      <c r="D1693" s="10"/>
      <c r="E1693" s="101"/>
      <c r="F1693" s="62"/>
      <c r="G1693" s="62"/>
      <c r="H1693" s="62"/>
      <c r="I1693" s="89">
        <f t="shared" ref="I1693:I1699" si="352">F1693-G1693-H1693</f>
        <v>0</v>
      </c>
      <c r="J1693" s="63"/>
      <c r="K1693" s="63"/>
      <c r="L1693" s="63"/>
      <c r="M1693" s="63"/>
      <c r="N1693" s="63"/>
      <c r="O1693" s="63"/>
      <c r="P1693" s="63"/>
      <c r="Q1693" s="63"/>
      <c r="R1693" s="63"/>
      <c r="S1693" s="63"/>
      <c r="T1693" s="63"/>
      <c r="U1693" s="94"/>
      <c r="V1693" s="90"/>
      <c r="W1693" s="91"/>
      <c r="X1693" s="92"/>
      <c r="Y1693" s="2"/>
    </row>
    <row r="1694" spans="2:25">
      <c r="B1694" s="87">
        <f t="shared" si="351"/>
        <v>3</v>
      </c>
      <c r="C1694" s="36"/>
      <c r="D1694" s="10"/>
      <c r="E1694" s="101"/>
      <c r="F1694" s="62"/>
      <c r="G1694" s="62"/>
      <c r="H1694" s="62"/>
      <c r="I1694" s="89">
        <f>F1694-G1694-H1694</f>
        <v>0</v>
      </c>
      <c r="J1694" s="63"/>
      <c r="K1694" s="63"/>
      <c r="L1694" s="63"/>
      <c r="M1694" s="63"/>
      <c r="N1694" s="63"/>
      <c r="O1694" s="63"/>
      <c r="P1694" s="63"/>
      <c r="Q1694" s="63"/>
      <c r="R1694" s="63"/>
      <c r="S1694" s="63"/>
      <c r="T1694" s="63"/>
      <c r="U1694" s="94"/>
      <c r="V1694" s="90"/>
      <c r="W1694" s="91"/>
      <c r="X1694" s="92"/>
      <c r="Y1694" s="2"/>
    </row>
    <row r="1695" spans="2:25">
      <c r="B1695" s="87">
        <f t="shared" si="351"/>
        <v>4</v>
      </c>
      <c r="C1695" s="36"/>
      <c r="D1695" s="10"/>
      <c r="E1695" s="101"/>
      <c r="F1695" s="62"/>
      <c r="G1695" s="62"/>
      <c r="H1695" s="62"/>
      <c r="I1695" s="89">
        <f>F1695-G1695-H1695</f>
        <v>0</v>
      </c>
      <c r="J1695" s="63"/>
      <c r="K1695" s="63"/>
      <c r="L1695" s="63"/>
      <c r="M1695" s="63"/>
      <c r="N1695" s="63"/>
      <c r="O1695" s="63"/>
      <c r="P1695" s="63"/>
      <c r="Q1695" s="63"/>
      <c r="R1695" s="63"/>
      <c r="S1695" s="63"/>
      <c r="T1695" s="63"/>
      <c r="U1695" s="94"/>
      <c r="V1695" s="90"/>
      <c r="W1695" s="91"/>
      <c r="X1695" s="92"/>
      <c r="Y1695" s="2"/>
    </row>
    <row r="1696" spans="2:25">
      <c r="B1696" s="87">
        <f t="shared" si="351"/>
        <v>5</v>
      </c>
      <c r="C1696" s="36"/>
      <c r="D1696" s="10"/>
      <c r="E1696" s="101"/>
      <c r="F1696" s="62"/>
      <c r="G1696" s="62"/>
      <c r="H1696" s="62"/>
      <c r="I1696" s="89">
        <f>F1696-G1696-H1696</f>
        <v>0</v>
      </c>
      <c r="J1696" s="63"/>
      <c r="K1696" s="63"/>
      <c r="L1696" s="63"/>
      <c r="M1696" s="63"/>
      <c r="N1696" s="63"/>
      <c r="O1696" s="63"/>
      <c r="P1696" s="63"/>
      <c r="Q1696" s="63"/>
      <c r="R1696" s="63"/>
      <c r="S1696" s="63"/>
      <c r="T1696" s="63"/>
      <c r="U1696" s="94"/>
      <c r="V1696" s="90"/>
      <c r="W1696" s="91"/>
      <c r="X1696" s="92"/>
      <c r="Y1696" s="2"/>
    </row>
    <row r="1697" spans="2:25">
      <c r="B1697" s="87">
        <f t="shared" si="351"/>
        <v>6</v>
      </c>
      <c r="C1697" s="36"/>
      <c r="D1697" s="10"/>
      <c r="E1697" s="101"/>
      <c r="F1697" s="62"/>
      <c r="G1697" s="62"/>
      <c r="H1697" s="62"/>
      <c r="I1697" s="89">
        <f>F1697-G1697-H1697</f>
        <v>0</v>
      </c>
      <c r="J1697" s="63"/>
      <c r="K1697" s="63"/>
      <c r="L1697" s="63"/>
      <c r="M1697" s="63"/>
      <c r="N1697" s="63"/>
      <c r="O1697" s="63"/>
      <c r="P1697" s="63"/>
      <c r="Q1697" s="63"/>
      <c r="R1697" s="63"/>
      <c r="S1697" s="63"/>
      <c r="T1697" s="63"/>
      <c r="U1697" s="94"/>
      <c r="V1697" s="90"/>
      <c r="W1697" s="91"/>
      <c r="X1697" s="92"/>
      <c r="Y1697" s="2"/>
    </row>
    <row r="1698" spans="2:25">
      <c r="B1698" s="87">
        <f t="shared" si="351"/>
        <v>7</v>
      </c>
      <c r="C1698" s="36"/>
      <c r="D1698" s="10"/>
      <c r="E1698" s="101"/>
      <c r="F1698" s="62"/>
      <c r="G1698" s="62"/>
      <c r="H1698" s="62"/>
      <c r="I1698" s="89">
        <f t="shared" si="352"/>
        <v>0</v>
      </c>
      <c r="J1698" s="63"/>
      <c r="K1698" s="63"/>
      <c r="L1698" s="63"/>
      <c r="M1698" s="63"/>
      <c r="N1698" s="63"/>
      <c r="O1698" s="63"/>
      <c r="P1698" s="63"/>
      <c r="Q1698" s="63"/>
      <c r="R1698" s="63"/>
      <c r="S1698" s="63"/>
      <c r="T1698" s="63"/>
      <c r="U1698" s="94"/>
      <c r="V1698" s="90"/>
      <c r="W1698" s="91"/>
      <c r="X1698" s="92"/>
      <c r="Y1698" s="2"/>
    </row>
    <row r="1699" spans="2:25">
      <c r="B1699" s="87">
        <f t="shared" si="351"/>
        <v>8</v>
      </c>
      <c r="C1699" s="36"/>
      <c r="D1699" s="10"/>
      <c r="E1699" s="101"/>
      <c r="F1699" s="62"/>
      <c r="G1699" s="62"/>
      <c r="H1699" s="62"/>
      <c r="I1699" s="89">
        <f t="shared" si="352"/>
        <v>0</v>
      </c>
      <c r="J1699" s="63"/>
      <c r="K1699" s="63"/>
      <c r="L1699" s="63"/>
      <c r="M1699" s="63"/>
      <c r="N1699" s="63"/>
      <c r="O1699" s="63"/>
      <c r="P1699" s="63"/>
      <c r="Q1699" s="63"/>
      <c r="R1699" s="63"/>
      <c r="S1699" s="63"/>
      <c r="T1699" s="63"/>
      <c r="U1699" s="94"/>
      <c r="V1699" s="90"/>
      <c r="W1699" s="91"/>
      <c r="X1699" s="92"/>
      <c r="Y1699" s="2"/>
    </row>
    <row r="1700" spans="2:25">
      <c r="B1700" s="132"/>
      <c r="C1700" s="36"/>
      <c r="D1700" s="123"/>
      <c r="E1700" s="123"/>
      <c r="F1700" s="133">
        <f>SUM(F1692:F1699)</f>
        <v>0</v>
      </c>
      <c r="G1700" s="133">
        <f>SUM(G1692:G1699)</f>
        <v>0</v>
      </c>
      <c r="H1700" s="133">
        <f>SUM(H1692:H1699)</f>
        <v>0</v>
      </c>
      <c r="I1700" s="134">
        <f>SUM(I1692:I1699)</f>
        <v>0</v>
      </c>
      <c r="J1700" s="127"/>
      <c r="K1700" s="64"/>
      <c r="L1700" s="64"/>
      <c r="M1700" s="64"/>
      <c r="N1700" s="64"/>
      <c r="O1700" s="64"/>
      <c r="P1700" s="64"/>
      <c r="Q1700" s="64"/>
      <c r="R1700" s="64"/>
      <c r="S1700" s="64"/>
      <c r="T1700" s="127"/>
      <c r="U1700" s="135"/>
      <c r="V1700" s="129"/>
      <c r="W1700" s="130"/>
      <c r="X1700" s="131"/>
      <c r="Y1700" s="128"/>
    </row>
    <row r="1701" spans="2:25">
      <c r="B1701" s="11"/>
      <c r="C1701" s="36"/>
      <c r="D1701" s="10"/>
      <c r="E1701" s="10"/>
      <c r="F1701" s="88"/>
      <c r="G1701" s="88"/>
      <c r="H1701" s="88"/>
      <c r="I1701" s="99"/>
      <c r="J1701" s="63"/>
      <c r="K1701" s="21"/>
      <c r="L1701" s="21"/>
      <c r="M1701" s="21"/>
      <c r="N1701" s="21"/>
      <c r="O1701" s="21"/>
      <c r="P1701" s="21"/>
      <c r="Q1701" s="21"/>
      <c r="R1701" s="21"/>
      <c r="S1701" s="21"/>
      <c r="T1701" s="63"/>
      <c r="U1701" s="94"/>
      <c r="V1701" s="90"/>
      <c r="W1701" s="91"/>
      <c r="X1701" s="92"/>
      <c r="Y1701" s="2"/>
    </row>
    <row r="1702" spans="2:25">
      <c r="B1702" s="121" t="s">
        <v>69</v>
      </c>
      <c r="C1702" s="36"/>
      <c r="D1702" s="123"/>
      <c r="E1702" s="123"/>
      <c r="F1702" s="124"/>
      <c r="G1702" s="125"/>
      <c r="H1702" s="124"/>
      <c r="I1702" s="126"/>
      <c r="J1702" s="127"/>
      <c r="K1702" s="128"/>
      <c r="L1702" s="128"/>
      <c r="M1702" s="128"/>
      <c r="N1702" s="128"/>
      <c r="O1702" s="128"/>
      <c r="P1702" s="128"/>
      <c r="Q1702" s="128"/>
      <c r="R1702" s="128"/>
      <c r="S1702" s="128"/>
      <c r="T1702" s="127"/>
      <c r="U1702" s="135"/>
      <c r="V1702" s="129"/>
      <c r="W1702" s="130"/>
      <c r="X1702" s="131"/>
      <c r="Y1702" s="128"/>
    </row>
    <row r="1703" spans="2:25">
      <c r="B1703" s="87">
        <v>1</v>
      </c>
      <c r="C1703" s="36"/>
      <c r="D1703" s="10"/>
      <c r="E1703" s="101"/>
      <c r="F1703" s="62"/>
      <c r="G1703" s="62"/>
      <c r="H1703" s="62"/>
      <c r="I1703" s="89">
        <f t="shared" ref="I1703:I1710" si="353">F1703-G1703-H1703</f>
        <v>0</v>
      </c>
      <c r="J1703" s="63"/>
      <c r="K1703" s="63"/>
      <c r="L1703" s="63"/>
      <c r="M1703" s="63"/>
      <c r="N1703" s="63"/>
      <c r="O1703" s="63"/>
      <c r="P1703" s="63"/>
      <c r="Q1703" s="63"/>
      <c r="R1703" s="63"/>
      <c r="S1703" s="63"/>
      <c r="T1703" s="63"/>
      <c r="U1703" s="94"/>
      <c r="V1703" s="90"/>
      <c r="W1703" s="91"/>
      <c r="X1703" s="92"/>
      <c r="Y1703" s="2"/>
    </row>
    <row r="1704" spans="2:25">
      <c r="B1704" s="87">
        <f t="shared" ref="B1704:B1710" si="354">B1703+1</f>
        <v>2</v>
      </c>
      <c r="C1704" s="36"/>
      <c r="D1704" s="10"/>
      <c r="E1704" s="101"/>
      <c r="F1704" s="62"/>
      <c r="G1704" s="62"/>
      <c r="H1704" s="62"/>
      <c r="I1704" s="89">
        <f t="shared" si="353"/>
        <v>0</v>
      </c>
      <c r="J1704" s="63"/>
      <c r="K1704" s="63"/>
      <c r="L1704" s="63"/>
      <c r="M1704" s="63"/>
      <c r="N1704" s="63"/>
      <c r="O1704" s="63"/>
      <c r="P1704" s="63"/>
      <c r="Q1704" s="63"/>
      <c r="R1704" s="63"/>
      <c r="S1704" s="63"/>
      <c r="T1704" s="63"/>
      <c r="U1704" s="94"/>
      <c r="V1704" s="90"/>
      <c r="W1704" s="91"/>
      <c r="X1704" s="92"/>
      <c r="Y1704" s="2"/>
    </row>
    <row r="1705" spans="2:25">
      <c r="B1705" s="87">
        <f t="shared" si="354"/>
        <v>3</v>
      </c>
      <c r="C1705" s="36"/>
      <c r="D1705" s="10"/>
      <c r="E1705" s="101"/>
      <c r="F1705" s="62"/>
      <c r="G1705" s="62"/>
      <c r="H1705" s="62"/>
      <c r="I1705" s="89">
        <f t="shared" si="353"/>
        <v>0</v>
      </c>
      <c r="J1705" s="63"/>
      <c r="K1705" s="63"/>
      <c r="L1705" s="63"/>
      <c r="M1705" s="63"/>
      <c r="N1705" s="63"/>
      <c r="O1705" s="63"/>
      <c r="P1705" s="63"/>
      <c r="Q1705" s="63"/>
      <c r="R1705" s="63"/>
      <c r="S1705" s="63"/>
      <c r="T1705" s="63"/>
      <c r="U1705" s="94"/>
      <c r="V1705" s="90"/>
      <c r="W1705" s="91"/>
      <c r="X1705" s="92"/>
      <c r="Y1705" s="2"/>
    </row>
    <row r="1706" spans="2:25">
      <c r="B1706" s="87">
        <f t="shared" si="354"/>
        <v>4</v>
      </c>
      <c r="C1706" s="36"/>
      <c r="D1706" s="10"/>
      <c r="E1706" s="101"/>
      <c r="F1706" s="62"/>
      <c r="G1706" s="62"/>
      <c r="H1706" s="62"/>
      <c r="I1706" s="89">
        <f t="shared" si="353"/>
        <v>0</v>
      </c>
      <c r="J1706" s="63"/>
      <c r="K1706" s="63"/>
      <c r="L1706" s="63"/>
      <c r="M1706" s="63"/>
      <c r="N1706" s="63"/>
      <c r="O1706" s="63"/>
      <c r="P1706" s="63"/>
      <c r="Q1706" s="63"/>
      <c r="R1706" s="63"/>
      <c r="S1706" s="63"/>
      <c r="T1706" s="63"/>
      <c r="U1706" s="94"/>
      <c r="V1706" s="90"/>
      <c r="W1706" s="91"/>
      <c r="X1706" s="92"/>
      <c r="Y1706" s="2"/>
    </row>
    <row r="1707" spans="2:25">
      <c r="B1707" s="87">
        <f t="shared" si="354"/>
        <v>5</v>
      </c>
      <c r="C1707" s="36"/>
      <c r="D1707" s="10"/>
      <c r="E1707" s="101"/>
      <c r="F1707" s="62"/>
      <c r="G1707" s="62"/>
      <c r="H1707" s="62"/>
      <c r="I1707" s="89">
        <f t="shared" si="353"/>
        <v>0</v>
      </c>
      <c r="J1707" s="63"/>
      <c r="K1707" s="63"/>
      <c r="L1707" s="63"/>
      <c r="M1707" s="63"/>
      <c r="N1707" s="63"/>
      <c r="O1707" s="63"/>
      <c r="P1707" s="63"/>
      <c r="Q1707" s="63"/>
      <c r="R1707" s="63"/>
      <c r="S1707" s="63"/>
      <c r="T1707" s="63"/>
      <c r="U1707" s="94"/>
      <c r="V1707" s="90"/>
      <c r="W1707" s="91"/>
      <c r="X1707" s="92"/>
      <c r="Y1707" s="2"/>
    </row>
    <row r="1708" spans="2:25">
      <c r="B1708" s="87">
        <f t="shared" si="354"/>
        <v>6</v>
      </c>
      <c r="C1708" s="36"/>
      <c r="D1708" s="10"/>
      <c r="E1708" s="101"/>
      <c r="F1708" s="62"/>
      <c r="G1708" s="62"/>
      <c r="H1708" s="62"/>
      <c r="I1708" s="89">
        <f t="shared" si="353"/>
        <v>0</v>
      </c>
      <c r="J1708" s="63"/>
      <c r="K1708" s="63"/>
      <c r="L1708" s="63"/>
      <c r="M1708" s="63"/>
      <c r="N1708" s="63"/>
      <c r="O1708" s="63"/>
      <c r="P1708" s="63"/>
      <c r="Q1708" s="63"/>
      <c r="R1708" s="63"/>
      <c r="S1708" s="63"/>
      <c r="T1708" s="63"/>
      <c r="U1708" s="94"/>
      <c r="V1708" s="90"/>
      <c r="W1708" s="91"/>
      <c r="X1708" s="92"/>
      <c r="Y1708" s="2"/>
    </row>
    <row r="1709" spans="2:25">
      <c r="B1709" s="87">
        <f t="shared" si="354"/>
        <v>7</v>
      </c>
      <c r="C1709" s="36"/>
      <c r="D1709" s="10"/>
      <c r="E1709" s="101"/>
      <c r="F1709" s="62"/>
      <c r="G1709" s="62"/>
      <c r="H1709" s="62"/>
      <c r="I1709" s="89">
        <f t="shared" si="353"/>
        <v>0</v>
      </c>
      <c r="J1709" s="63"/>
      <c r="K1709" s="63"/>
      <c r="L1709" s="63"/>
      <c r="M1709" s="63"/>
      <c r="N1709" s="63"/>
      <c r="O1709" s="63"/>
      <c r="P1709" s="63"/>
      <c r="Q1709" s="63"/>
      <c r="R1709" s="63"/>
      <c r="S1709" s="63"/>
      <c r="T1709" s="63"/>
      <c r="U1709" s="94"/>
      <c r="V1709" s="90"/>
      <c r="W1709" s="91"/>
      <c r="X1709" s="92"/>
      <c r="Y1709" s="2"/>
    </row>
    <row r="1710" spans="2:25">
      <c r="B1710" s="87">
        <f t="shared" si="354"/>
        <v>8</v>
      </c>
      <c r="C1710" s="36"/>
      <c r="D1710" s="10"/>
      <c r="E1710" s="101"/>
      <c r="F1710" s="62"/>
      <c r="G1710" s="62"/>
      <c r="H1710" s="62"/>
      <c r="I1710" s="89">
        <f t="shared" si="353"/>
        <v>0</v>
      </c>
      <c r="J1710" s="63"/>
      <c r="K1710" s="63"/>
      <c r="L1710" s="63"/>
      <c r="M1710" s="63"/>
      <c r="N1710" s="63"/>
      <c r="O1710" s="63"/>
      <c r="P1710" s="63"/>
      <c r="Q1710" s="63"/>
      <c r="R1710" s="63"/>
      <c r="S1710" s="63"/>
      <c r="T1710" s="63"/>
      <c r="U1710" s="94"/>
      <c r="V1710" s="90"/>
      <c r="W1710" s="91"/>
      <c r="X1710" s="92"/>
      <c r="Y1710" s="2"/>
    </row>
    <row r="1711" spans="2:25">
      <c r="B1711" s="132"/>
      <c r="C1711" s="36"/>
      <c r="D1711" s="123"/>
      <c r="E1711" s="123"/>
      <c r="F1711" s="133">
        <f>SUM(F1703:F1710)</f>
        <v>0</v>
      </c>
      <c r="G1711" s="133">
        <f>SUM(G1703:G1710)</f>
        <v>0</v>
      </c>
      <c r="H1711" s="133">
        <f>SUM(H1703:H1710)</f>
        <v>0</v>
      </c>
      <c r="I1711" s="134">
        <f>SUM(I1703:I1710)</f>
        <v>0</v>
      </c>
      <c r="J1711" s="127"/>
      <c r="K1711" s="64"/>
      <c r="L1711" s="64"/>
      <c r="M1711" s="64"/>
      <c r="N1711" s="64"/>
      <c r="O1711" s="64"/>
      <c r="P1711" s="64"/>
      <c r="Q1711" s="64"/>
      <c r="R1711" s="64"/>
      <c r="S1711" s="64"/>
      <c r="T1711" s="127"/>
      <c r="U1711" s="135"/>
      <c r="V1711" s="129"/>
      <c r="W1711" s="130"/>
      <c r="X1711" s="131"/>
      <c r="Y1711" s="128"/>
    </row>
    <row r="1712" spans="2:25">
      <c r="B1712" s="11"/>
      <c r="C1712" s="36"/>
      <c r="D1712" s="10"/>
      <c r="E1712" s="10"/>
      <c r="F1712" s="88"/>
      <c r="G1712" s="88"/>
      <c r="H1712" s="88"/>
      <c r="I1712" s="99"/>
      <c r="J1712" s="63"/>
      <c r="K1712" s="21"/>
      <c r="L1712" s="21"/>
      <c r="M1712" s="21"/>
      <c r="N1712" s="21"/>
      <c r="O1712" s="21"/>
      <c r="P1712" s="21"/>
      <c r="Q1712" s="21"/>
      <c r="R1712" s="21"/>
      <c r="S1712" s="21"/>
      <c r="T1712" s="63"/>
      <c r="U1712" s="94"/>
      <c r="V1712" s="90"/>
      <c r="W1712" s="91"/>
      <c r="X1712" s="92"/>
      <c r="Y1712" s="2"/>
    </row>
    <row r="1713" spans="2:25">
      <c r="B1713" s="121" t="s">
        <v>70</v>
      </c>
      <c r="C1713" s="36"/>
      <c r="D1713" s="123"/>
      <c r="E1713" s="128"/>
      <c r="F1713" s="124"/>
      <c r="G1713" s="124"/>
      <c r="H1713" s="124"/>
      <c r="I1713" s="126"/>
      <c r="J1713" s="127"/>
      <c r="K1713" s="64"/>
      <c r="L1713" s="64"/>
      <c r="M1713" s="64"/>
      <c r="N1713" s="64"/>
      <c r="O1713" s="64"/>
      <c r="P1713" s="64"/>
      <c r="Q1713" s="64"/>
      <c r="R1713" s="64"/>
      <c r="S1713" s="64"/>
      <c r="T1713" s="127"/>
      <c r="U1713" s="135"/>
      <c r="V1713" s="129"/>
      <c r="W1713" s="130"/>
      <c r="X1713" s="131"/>
      <c r="Y1713" s="128"/>
    </row>
    <row r="1714" spans="2:25">
      <c r="B1714" s="87">
        <v>1</v>
      </c>
      <c r="C1714" s="262">
        <v>45964</v>
      </c>
      <c r="D1714" s="271">
        <v>74984</v>
      </c>
      <c r="E1714" s="271" t="s">
        <v>672</v>
      </c>
      <c r="F1714" s="265">
        <v>1796</v>
      </c>
      <c r="G1714" s="265">
        <f>39.7</f>
        <v>39.700000000000003</v>
      </c>
      <c r="H1714" s="265"/>
      <c r="I1714" s="272">
        <f>F1714-G1714-H1714</f>
        <v>1756.3</v>
      </c>
      <c r="J1714" s="267" t="s">
        <v>156</v>
      </c>
      <c r="K1714" s="267">
        <v>1</v>
      </c>
      <c r="L1714" s="267"/>
      <c r="M1714" s="267">
        <v>1</v>
      </c>
      <c r="N1714" s="267">
        <v>1</v>
      </c>
      <c r="O1714" s="267">
        <v>1</v>
      </c>
      <c r="P1714" s="267">
        <v>1</v>
      </c>
      <c r="Q1714" s="267"/>
      <c r="R1714" s="267"/>
      <c r="S1714" s="269"/>
      <c r="T1714" s="63"/>
      <c r="U1714" s="94"/>
      <c r="V1714" s="90">
        <f>197.6</f>
        <v>197.6</v>
      </c>
      <c r="W1714" s="136"/>
      <c r="X1714" s="137"/>
      <c r="Y1714" s="2"/>
    </row>
    <row r="1715" spans="2:25">
      <c r="B1715" s="87">
        <f t="shared" ref="B1715:B1721" si="355">B1714+1</f>
        <v>2</v>
      </c>
      <c r="C1715" s="36"/>
      <c r="D1715" s="10"/>
      <c r="E1715" s="10"/>
      <c r="F1715" s="62"/>
      <c r="G1715" s="62"/>
      <c r="H1715" s="62"/>
      <c r="I1715" s="89">
        <f t="shared" ref="I1715:I1721" si="356">F1715-G1715-H1715</f>
        <v>0</v>
      </c>
      <c r="J1715" s="63"/>
      <c r="K1715" s="63"/>
      <c r="L1715" s="63"/>
      <c r="M1715" s="63"/>
      <c r="N1715" s="63"/>
      <c r="O1715" s="63"/>
      <c r="P1715" s="63"/>
      <c r="Q1715" s="63"/>
      <c r="R1715" s="63"/>
      <c r="S1715" s="63"/>
      <c r="T1715" s="63"/>
      <c r="U1715" s="94"/>
      <c r="V1715" s="90"/>
      <c r="W1715" s="136"/>
      <c r="X1715" s="137"/>
      <c r="Y1715" s="2"/>
    </row>
    <row r="1716" spans="2:25">
      <c r="B1716" s="87">
        <f t="shared" si="355"/>
        <v>3</v>
      </c>
      <c r="C1716" s="36"/>
      <c r="D1716" s="10"/>
      <c r="E1716" s="10"/>
      <c r="F1716" s="62"/>
      <c r="G1716" s="62"/>
      <c r="H1716" s="62"/>
      <c r="I1716" s="89">
        <f>F1716-G1716-H1716</f>
        <v>0</v>
      </c>
      <c r="J1716" s="63"/>
      <c r="K1716" s="63"/>
      <c r="L1716" s="63"/>
      <c r="M1716" s="63"/>
      <c r="N1716" s="63"/>
      <c r="O1716" s="63"/>
      <c r="P1716" s="63"/>
      <c r="Q1716" s="63"/>
      <c r="R1716" s="63"/>
      <c r="S1716" s="63"/>
      <c r="T1716" s="63"/>
      <c r="U1716" s="94"/>
      <c r="V1716" s="90"/>
      <c r="W1716" s="136"/>
      <c r="X1716" s="137"/>
      <c r="Y1716" s="2"/>
    </row>
    <row r="1717" spans="2:25">
      <c r="B1717" s="87">
        <f t="shared" si="355"/>
        <v>4</v>
      </c>
      <c r="C1717" s="36"/>
      <c r="D1717" s="10"/>
      <c r="E1717" s="10"/>
      <c r="F1717" s="62"/>
      <c r="G1717" s="62"/>
      <c r="H1717" s="62"/>
      <c r="I1717" s="89">
        <f>F1717-G1717-H1717</f>
        <v>0</v>
      </c>
      <c r="J1717" s="63"/>
      <c r="K1717" s="63"/>
      <c r="L1717" s="63"/>
      <c r="M1717" s="63"/>
      <c r="N1717" s="63"/>
      <c r="O1717" s="63"/>
      <c r="P1717" s="63"/>
      <c r="Q1717" s="63"/>
      <c r="R1717" s="63"/>
      <c r="S1717" s="63"/>
      <c r="T1717" s="63"/>
      <c r="U1717" s="94"/>
      <c r="V1717" s="90"/>
      <c r="W1717" s="136"/>
      <c r="X1717" s="137"/>
      <c r="Y1717" s="2"/>
    </row>
    <row r="1718" spans="2:25">
      <c r="B1718" s="87">
        <f t="shared" si="355"/>
        <v>5</v>
      </c>
      <c r="C1718" s="36"/>
      <c r="D1718" s="10"/>
      <c r="E1718" s="10"/>
      <c r="F1718" s="62"/>
      <c r="G1718" s="62"/>
      <c r="H1718" s="62"/>
      <c r="I1718" s="89">
        <f>F1718-G1718-H1718</f>
        <v>0</v>
      </c>
      <c r="J1718" s="63"/>
      <c r="K1718" s="63"/>
      <c r="L1718" s="63"/>
      <c r="M1718" s="63"/>
      <c r="N1718" s="63"/>
      <c r="O1718" s="63"/>
      <c r="P1718" s="63"/>
      <c r="Q1718" s="63"/>
      <c r="R1718" s="63"/>
      <c r="S1718" s="63"/>
      <c r="T1718" s="63"/>
      <c r="U1718" s="94"/>
      <c r="V1718" s="90"/>
      <c r="W1718" s="136"/>
      <c r="X1718" s="137"/>
      <c r="Y1718" s="2"/>
    </row>
    <row r="1719" spans="2:25">
      <c r="B1719" s="87">
        <f t="shared" si="355"/>
        <v>6</v>
      </c>
      <c r="C1719" s="36"/>
      <c r="D1719" s="10"/>
      <c r="E1719" s="10"/>
      <c r="F1719" s="62"/>
      <c r="G1719" s="62"/>
      <c r="H1719" s="62"/>
      <c r="I1719" s="89">
        <f>F1719-G1719-H1719</f>
        <v>0</v>
      </c>
      <c r="J1719" s="63"/>
      <c r="K1719" s="63"/>
      <c r="L1719" s="63"/>
      <c r="M1719" s="63"/>
      <c r="N1719" s="63"/>
      <c r="O1719" s="63"/>
      <c r="P1719" s="63"/>
      <c r="Q1719" s="63"/>
      <c r="R1719" s="63"/>
      <c r="S1719" s="63"/>
      <c r="T1719" s="63"/>
      <c r="U1719" s="94"/>
      <c r="V1719" s="90"/>
      <c r="W1719" s="136"/>
      <c r="X1719" s="137"/>
      <c r="Y1719" s="2"/>
    </row>
    <row r="1720" spans="2:25">
      <c r="B1720" s="87">
        <f t="shared" si="355"/>
        <v>7</v>
      </c>
      <c r="C1720" s="36"/>
      <c r="D1720" s="10"/>
      <c r="E1720" s="10"/>
      <c r="F1720" s="62"/>
      <c r="G1720" s="62"/>
      <c r="H1720" s="62"/>
      <c r="I1720" s="89">
        <f t="shared" si="356"/>
        <v>0</v>
      </c>
      <c r="J1720" s="63"/>
      <c r="K1720" s="63"/>
      <c r="L1720" s="63"/>
      <c r="M1720" s="63"/>
      <c r="N1720" s="63"/>
      <c r="O1720" s="63"/>
      <c r="P1720" s="63"/>
      <c r="Q1720" s="63"/>
      <c r="R1720" s="63"/>
      <c r="S1720" s="63"/>
      <c r="T1720" s="63"/>
      <c r="U1720" s="94"/>
      <c r="V1720" s="90"/>
      <c r="W1720" s="136"/>
      <c r="X1720" s="137"/>
      <c r="Y1720" s="2"/>
    </row>
    <row r="1721" spans="2:25">
      <c r="B1721" s="87">
        <f t="shared" si="355"/>
        <v>8</v>
      </c>
      <c r="C1721" s="36"/>
      <c r="D1721" s="10"/>
      <c r="E1721" s="10"/>
      <c r="F1721" s="62"/>
      <c r="G1721" s="62"/>
      <c r="H1721" s="62"/>
      <c r="I1721" s="89">
        <f t="shared" si="356"/>
        <v>0</v>
      </c>
      <c r="J1721" s="63"/>
      <c r="K1721" s="63"/>
      <c r="L1721" s="63"/>
      <c r="M1721" s="63"/>
      <c r="N1721" s="63"/>
      <c r="O1721" s="63"/>
      <c r="P1721" s="63"/>
      <c r="Q1721" s="63"/>
      <c r="R1721" s="63"/>
      <c r="S1721" s="63"/>
      <c r="T1721" s="63"/>
      <c r="U1721" s="94"/>
      <c r="V1721" s="90"/>
      <c r="W1721" s="136"/>
      <c r="X1721" s="137"/>
      <c r="Y1721" s="2"/>
    </row>
    <row r="1722" spans="2:25">
      <c r="B1722" s="132"/>
      <c r="C1722" s="36"/>
      <c r="D1722" s="123"/>
      <c r="E1722" s="123"/>
      <c r="F1722" s="133">
        <f>SUM(F1714:F1721)</f>
        <v>1796</v>
      </c>
      <c r="G1722" s="133">
        <f t="shared" ref="G1722:I1722" si="357">SUM(G1714:G1721)</f>
        <v>39.700000000000003</v>
      </c>
      <c r="H1722" s="133">
        <f t="shared" si="357"/>
        <v>0</v>
      </c>
      <c r="I1722" s="134">
        <f t="shared" si="357"/>
        <v>1756.3</v>
      </c>
      <c r="J1722" s="127"/>
      <c r="K1722" s="64"/>
      <c r="L1722" s="64"/>
      <c r="M1722" s="64"/>
      <c r="N1722" s="64"/>
      <c r="O1722" s="64"/>
      <c r="P1722" s="64"/>
      <c r="Q1722" s="64"/>
      <c r="R1722" s="64"/>
      <c r="S1722" s="64"/>
      <c r="T1722" s="127"/>
      <c r="U1722" s="135"/>
      <c r="V1722" s="129"/>
      <c r="W1722" s="130"/>
      <c r="X1722" s="131"/>
      <c r="Y1722" s="128"/>
    </row>
    <row r="1723" spans="2:25">
      <c r="B1723" s="11"/>
      <c r="C1723" s="36"/>
      <c r="D1723" s="10"/>
      <c r="E1723" s="10"/>
      <c r="F1723" s="88"/>
      <c r="G1723" s="88"/>
      <c r="H1723" s="88"/>
      <c r="I1723" s="99"/>
      <c r="J1723" s="10"/>
      <c r="K1723" s="63"/>
      <c r="L1723" s="63"/>
      <c r="M1723" s="63"/>
      <c r="N1723" s="63"/>
      <c r="O1723" s="63"/>
      <c r="P1723" s="63"/>
      <c r="Q1723" s="63"/>
      <c r="R1723" s="63"/>
      <c r="S1723" s="63"/>
      <c r="T1723" s="63"/>
      <c r="U1723" s="94"/>
      <c r="V1723" s="90"/>
      <c r="W1723" s="91"/>
      <c r="X1723" s="92"/>
      <c r="Y1723" s="2"/>
    </row>
    <row r="1724" spans="2:25">
      <c r="B1724" s="121" t="s">
        <v>71</v>
      </c>
      <c r="C1724" s="36"/>
      <c r="D1724" s="123"/>
      <c r="E1724" s="128"/>
      <c r="F1724" s="124"/>
      <c r="G1724" s="124"/>
      <c r="H1724" s="124"/>
      <c r="I1724" s="126"/>
      <c r="J1724" s="127"/>
      <c r="K1724" s="64"/>
      <c r="L1724" s="64"/>
      <c r="M1724" s="64"/>
      <c r="N1724" s="64"/>
      <c r="O1724" s="64"/>
      <c r="P1724" s="64"/>
      <c r="Q1724" s="64"/>
      <c r="R1724" s="64"/>
      <c r="S1724" s="64"/>
      <c r="T1724" s="127"/>
      <c r="U1724" s="135"/>
      <c r="V1724" s="129"/>
      <c r="W1724" s="130"/>
      <c r="X1724" s="131"/>
      <c r="Y1724" s="128"/>
    </row>
    <row r="1725" spans="2:25">
      <c r="B1725" s="87">
        <v>1</v>
      </c>
      <c r="C1725" s="36"/>
      <c r="D1725" s="10"/>
      <c r="E1725" s="10"/>
      <c r="F1725" s="62"/>
      <c r="G1725" s="62"/>
      <c r="H1725" s="62"/>
      <c r="I1725" s="89">
        <f t="shared" ref="I1725:I1732" si="358">F1725-G1725-H1725</f>
        <v>0</v>
      </c>
      <c r="J1725" s="63"/>
      <c r="K1725" s="63"/>
      <c r="L1725" s="63"/>
      <c r="M1725" s="63"/>
      <c r="N1725" s="63"/>
      <c r="O1725" s="63"/>
      <c r="P1725" s="63"/>
      <c r="Q1725" s="63"/>
      <c r="R1725" s="63"/>
      <c r="S1725" s="63"/>
      <c r="T1725" s="63"/>
      <c r="U1725" s="94"/>
      <c r="V1725" s="90"/>
      <c r="W1725" s="136"/>
      <c r="X1725" s="137"/>
      <c r="Y1725" s="2"/>
    </row>
    <row r="1726" spans="2:25">
      <c r="B1726" s="87">
        <f t="shared" ref="B1726:B1732" si="359">B1725+1</f>
        <v>2</v>
      </c>
      <c r="C1726" s="36"/>
      <c r="D1726" s="10"/>
      <c r="E1726" s="10"/>
      <c r="F1726" s="62"/>
      <c r="G1726" s="62"/>
      <c r="H1726" s="62"/>
      <c r="I1726" s="89">
        <f t="shared" si="358"/>
        <v>0</v>
      </c>
      <c r="J1726" s="63"/>
      <c r="K1726" s="63"/>
      <c r="L1726" s="63"/>
      <c r="M1726" s="63"/>
      <c r="N1726" s="63"/>
      <c r="O1726" s="63"/>
      <c r="P1726" s="63"/>
      <c r="Q1726" s="63"/>
      <c r="R1726" s="63"/>
      <c r="S1726" s="63"/>
      <c r="T1726" s="63"/>
      <c r="U1726" s="94"/>
      <c r="V1726" s="90"/>
      <c r="W1726" s="136"/>
      <c r="X1726" s="137"/>
      <c r="Y1726" s="2"/>
    </row>
    <row r="1727" spans="2:25">
      <c r="B1727" s="87">
        <f t="shared" si="359"/>
        <v>3</v>
      </c>
      <c r="C1727" s="36"/>
      <c r="D1727" s="10"/>
      <c r="E1727" s="10"/>
      <c r="F1727" s="62"/>
      <c r="G1727" s="62"/>
      <c r="H1727" s="62"/>
      <c r="I1727" s="89">
        <f t="shared" si="358"/>
        <v>0</v>
      </c>
      <c r="J1727" s="63"/>
      <c r="K1727" s="63"/>
      <c r="L1727" s="63"/>
      <c r="M1727" s="63"/>
      <c r="N1727" s="63"/>
      <c r="O1727" s="63"/>
      <c r="P1727" s="63"/>
      <c r="Q1727" s="63"/>
      <c r="R1727" s="63"/>
      <c r="S1727" s="63"/>
      <c r="T1727" s="63"/>
      <c r="U1727" s="94"/>
      <c r="V1727" s="90"/>
      <c r="W1727" s="136"/>
      <c r="X1727" s="137"/>
      <c r="Y1727" s="2"/>
    </row>
    <row r="1728" spans="2:25">
      <c r="B1728" s="87">
        <f t="shared" si="359"/>
        <v>4</v>
      </c>
      <c r="C1728" s="36"/>
      <c r="D1728" s="10"/>
      <c r="E1728" s="10"/>
      <c r="F1728" s="62"/>
      <c r="G1728" s="62"/>
      <c r="H1728" s="62"/>
      <c r="I1728" s="89">
        <f t="shared" si="358"/>
        <v>0</v>
      </c>
      <c r="J1728" s="63"/>
      <c r="K1728" s="63"/>
      <c r="L1728" s="63"/>
      <c r="M1728" s="63"/>
      <c r="N1728" s="63"/>
      <c r="O1728" s="63"/>
      <c r="P1728" s="63"/>
      <c r="Q1728" s="63"/>
      <c r="R1728" s="63"/>
      <c r="S1728" s="63"/>
      <c r="T1728" s="63"/>
      <c r="U1728" s="94"/>
      <c r="V1728" s="90"/>
      <c r="W1728" s="136"/>
      <c r="X1728" s="137"/>
      <c r="Y1728" s="2"/>
    </row>
    <row r="1729" spans="2:25">
      <c r="B1729" s="87">
        <f t="shared" si="359"/>
        <v>5</v>
      </c>
      <c r="C1729" s="36"/>
      <c r="D1729" s="10"/>
      <c r="E1729" s="10"/>
      <c r="F1729" s="62"/>
      <c r="G1729" s="62"/>
      <c r="H1729" s="62"/>
      <c r="I1729" s="89">
        <f t="shared" si="358"/>
        <v>0</v>
      </c>
      <c r="J1729" s="63"/>
      <c r="K1729" s="63"/>
      <c r="L1729" s="63"/>
      <c r="M1729" s="63"/>
      <c r="N1729" s="63"/>
      <c r="O1729" s="63"/>
      <c r="P1729" s="63"/>
      <c r="Q1729" s="63"/>
      <c r="R1729" s="63"/>
      <c r="S1729" s="63"/>
      <c r="T1729" s="63"/>
      <c r="U1729" s="94"/>
      <c r="V1729" s="90"/>
      <c r="W1729" s="136"/>
      <c r="X1729" s="137"/>
      <c r="Y1729" s="2"/>
    </row>
    <row r="1730" spans="2:25">
      <c r="B1730" s="87">
        <f t="shared" si="359"/>
        <v>6</v>
      </c>
      <c r="C1730" s="36"/>
      <c r="D1730" s="10"/>
      <c r="E1730" s="10"/>
      <c r="F1730" s="62"/>
      <c r="G1730" s="62"/>
      <c r="H1730" s="62"/>
      <c r="I1730" s="89">
        <f t="shared" si="358"/>
        <v>0</v>
      </c>
      <c r="J1730" s="63"/>
      <c r="K1730" s="63"/>
      <c r="L1730" s="63"/>
      <c r="M1730" s="63"/>
      <c r="N1730" s="63"/>
      <c r="O1730" s="63"/>
      <c r="P1730" s="63"/>
      <c r="Q1730" s="63"/>
      <c r="R1730" s="63"/>
      <c r="S1730" s="63"/>
      <c r="T1730" s="63"/>
      <c r="U1730" s="94"/>
      <c r="V1730" s="90"/>
      <c r="W1730" s="136"/>
      <c r="X1730" s="137"/>
      <c r="Y1730" s="2"/>
    </row>
    <row r="1731" spans="2:25">
      <c r="B1731" s="87">
        <f t="shared" si="359"/>
        <v>7</v>
      </c>
      <c r="C1731" s="36"/>
      <c r="D1731" s="10"/>
      <c r="E1731" s="10"/>
      <c r="F1731" s="62"/>
      <c r="G1731" s="62"/>
      <c r="H1731" s="62"/>
      <c r="I1731" s="89">
        <f t="shared" si="358"/>
        <v>0</v>
      </c>
      <c r="J1731" s="63"/>
      <c r="K1731" s="63"/>
      <c r="L1731" s="63"/>
      <c r="M1731" s="63"/>
      <c r="N1731" s="63"/>
      <c r="O1731" s="63"/>
      <c r="P1731" s="63"/>
      <c r="Q1731" s="63"/>
      <c r="R1731" s="63"/>
      <c r="S1731" s="63"/>
      <c r="T1731" s="63"/>
      <c r="U1731" s="94"/>
      <c r="V1731" s="90"/>
      <c r="W1731" s="136"/>
      <c r="X1731" s="137"/>
      <c r="Y1731" s="2"/>
    </row>
    <row r="1732" spans="2:25">
      <c r="B1732" s="87">
        <f t="shared" si="359"/>
        <v>8</v>
      </c>
      <c r="C1732" s="36"/>
      <c r="D1732" s="10"/>
      <c r="E1732" s="10"/>
      <c r="F1732" s="62"/>
      <c r="G1732" s="62"/>
      <c r="H1732" s="62"/>
      <c r="I1732" s="89">
        <f t="shared" si="358"/>
        <v>0</v>
      </c>
      <c r="J1732" s="63"/>
      <c r="K1732" s="63"/>
      <c r="L1732" s="63"/>
      <c r="M1732" s="63"/>
      <c r="N1732" s="63"/>
      <c r="O1732" s="63"/>
      <c r="P1732" s="63"/>
      <c r="Q1732" s="63"/>
      <c r="R1732" s="63"/>
      <c r="S1732" s="63"/>
      <c r="T1732" s="63"/>
      <c r="U1732" s="94"/>
      <c r="V1732" s="90"/>
      <c r="W1732" s="136"/>
      <c r="X1732" s="137"/>
      <c r="Y1732" s="2"/>
    </row>
    <row r="1733" spans="2:25">
      <c r="B1733" s="132"/>
      <c r="C1733" s="36"/>
      <c r="D1733" s="123"/>
      <c r="E1733" s="123"/>
      <c r="F1733" s="133">
        <f>SUM(F1725:F1732)</f>
        <v>0</v>
      </c>
      <c r="G1733" s="133">
        <f>SUM(G1725:G1732)</f>
        <v>0</v>
      </c>
      <c r="H1733" s="133">
        <f>SUM(H1725:H1732)</f>
        <v>0</v>
      </c>
      <c r="I1733" s="134">
        <f>SUM(I1725:I1732)</f>
        <v>0</v>
      </c>
      <c r="J1733" s="127"/>
      <c r="K1733" s="64"/>
      <c r="L1733" s="64"/>
      <c r="M1733" s="64"/>
      <c r="N1733" s="64"/>
      <c r="O1733" s="64"/>
      <c r="P1733" s="64"/>
      <c r="Q1733" s="64"/>
      <c r="R1733" s="64"/>
      <c r="S1733" s="64"/>
      <c r="T1733" s="127"/>
      <c r="U1733" s="135"/>
      <c r="V1733" s="129"/>
      <c r="W1733" s="130"/>
      <c r="X1733" s="131"/>
      <c r="Y1733" s="128"/>
    </row>
    <row r="1734" spans="2:25">
      <c r="B1734" s="11"/>
      <c r="C1734" s="36"/>
      <c r="D1734" s="10"/>
      <c r="E1734" s="10"/>
      <c r="F1734" s="88"/>
      <c r="G1734" s="88"/>
      <c r="H1734" s="88"/>
      <c r="I1734" s="99"/>
      <c r="J1734" s="63"/>
      <c r="K1734" s="21"/>
      <c r="L1734" s="21"/>
      <c r="M1734" s="21"/>
      <c r="N1734" s="21"/>
      <c r="O1734" s="21"/>
      <c r="P1734" s="21"/>
      <c r="Q1734" s="21"/>
      <c r="R1734" s="21"/>
      <c r="S1734" s="21"/>
      <c r="T1734" s="63"/>
      <c r="U1734" s="94"/>
      <c r="V1734" s="90"/>
      <c r="W1734" s="91"/>
      <c r="X1734" s="92"/>
      <c r="Y1734" s="2"/>
    </row>
    <row r="1735" spans="2:25">
      <c r="B1735" s="100" t="s">
        <v>72</v>
      </c>
      <c r="C1735" s="36"/>
      <c r="D1735" s="10"/>
      <c r="E1735" s="10"/>
      <c r="F1735" s="88"/>
      <c r="G1735" s="88"/>
      <c r="H1735" s="88"/>
      <c r="I1735" s="99"/>
      <c r="J1735" s="63"/>
      <c r="K1735" s="63"/>
      <c r="L1735" s="63"/>
      <c r="M1735" s="63"/>
      <c r="N1735" s="63"/>
      <c r="O1735" s="63"/>
      <c r="P1735" s="63"/>
      <c r="Q1735" s="63"/>
      <c r="R1735" s="63"/>
      <c r="S1735" s="63"/>
      <c r="T1735" s="63"/>
      <c r="U1735" s="94"/>
      <c r="V1735" s="90"/>
      <c r="W1735" s="91"/>
      <c r="X1735" s="92"/>
      <c r="Y1735" s="2"/>
    </row>
    <row r="1736" spans="2:25">
      <c r="B1736" s="87">
        <v>1</v>
      </c>
      <c r="C1736" s="274">
        <v>45964</v>
      </c>
      <c r="D1736" s="276">
        <v>75022</v>
      </c>
      <c r="E1736" s="276" t="s">
        <v>327</v>
      </c>
      <c r="F1736" s="277">
        <v>3474.9</v>
      </c>
      <c r="G1736" s="277">
        <f>39.7</f>
        <v>39.700000000000003</v>
      </c>
      <c r="H1736" s="277"/>
      <c r="I1736" s="278">
        <f>F1736-G1736-H1736</f>
        <v>3435.2000000000003</v>
      </c>
      <c r="J1736" s="279" t="s">
        <v>205</v>
      </c>
      <c r="K1736" s="279">
        <v>1</v>
      </c>
      <c r="L1736" s="279"/>
      <c r="M1736" s="279"/>
      <c r="N1736" s="279">
        <v>1</v>
      </c>
      <c r="O1736" s="279"/>
      <c r="P1736" s="279"/>
      <c r="Q1736" s="279">
        <v>1</v>
      </c>
      <c r="R1736" s="279">
        <v>1</v>
      </c>
      <c r="S1736" s="280">
        <v>1</v>
      </c>
      <c r="T1736" s="63"/>
      <c r="U1736" s="164"/>
      <c r="V1736" s="90"/>
      <c r="W1736" s="91"/>
      <c r="X1736" s="92"/>
      <c r="Y1736" s="2"/>
    </row>
    <row r="1737" spans="2:25">
      <c r="B1737" s="87">
        <f>B1736+1</f>
        <v>2</v>
      </c>
      <c r="C1737" s="295">
        <v>45964</v>
      </c>
      <c r="D1737" s="10">
        <v>75069</v>
      </c>
      <c r="E1737" s="10" t="s">
        <v>369</v>
      </c>
      <c r="F1737" s="62">
        <v>2196</v>
      </c>
      <c r="G1737" s="62">
        <v>39.700000000000003</v>
      </c>
      <c r="H1737" s="62"/>
      <c r="I1737" s="89">
        <f t="shared" ref="I1737:I1753" si="360">F1737-G1737-H1737</f>
        <v>2156.3000000000002</v>
      </c>
      <c r="J1737" s="63" t="s">
        <v>205</v>
      </c>
      <c r="K1737" s="63">
        <v>1</v>
      </c>
      <c r="L1737" s="63"/>
      <c r="M1737" s="63"/>
      <c r="N1737" s="63">
        <v>1</v>
      </c>
      <c r="O1737" s="63"/>
      <c r="P1737" s="63"/>
      <c r="Q1737" s="63">
        <v>1</v>
      </c>
      <c r="R1737" s="63">
        <v>1</v>
      </c>
      <c r="S1737" s="296">
        <v>1</v>
      </c>
      <c r="T1737" s="63"/>
      <c r="U1737" s="94"/>
      <c r="V1737" s="90"/>
      <c r="W1737" s="136"/>
      <c r="X1737" s="137"/>
      <c r="Y1737" s="2"/>
    </row>
    <row r="1738" spans="2:25">
      <c r="B1738" s="87">
        <f t="shared" ref="B1738:B1753" si="361">B1737+1</f>
        <v>3</v>
      </c>
      <c r="C1738" s="295">
        <v>45964</v>
      </c>
      <c r="D1738" s="10">
        <v>75083</v>
      </c>
      <c r="E1738" s="10" t="s">
        <v>563</v>
      </c>
      <c r="F1738" s="62">
        <v>1616</v>
      </c>
      <c r="G1738" s="62">
        <v>39.700000000000003</v>
      </c>
      <c r="H1738" s="62"/>
      <c r="I1738" s="89">
        <f t="shared" si="360"/>
        <v>1576.3</v>
      </c>
      <c r="J1738" s="63" t="s">
        <v>205</v>
      </c>
      <c r="K1738" s="63">
        <v>1</v>
      </c>
      <c r="L1738" s="63"/>
      <c r="M1738" s="63"/>
      <c r="N1738" s="63">
        <v>1</v>
      </c>
      <c r="O1738" s="63"/>
      <c r="P1738" s="63"/>
      <c r="Q1738" s="63">
        <v>1</v>
      </c>
      <c r="R1738" s="63">
        <v>1</v>
      </c>
      <c r="S1738" s="296">
        <v>1</v>
      </c>
      <c r="T1738" s="63"/>
      <c r="U1738" s="94"/>
      <c r="V1738" s="90"/>
      <c r="W1738" s="136"/>
      <c r="X1738" s="137"/>
      <c r="Y1738" s="2"/>
    </row>
    <row r="1739" spans="2:25">
      <c r="B1739" s="87">
        <f t="shared" si="361"/>
        <v>4</v>
      </c>
      <c r="C1739" s="282">
        <v>45964</v>
      </c>
      <c r="D1739" s="302" t="s">
        <v>756</v>
      </c>
      <c r="E1739" s="283" t="s">
        <v>653</v>
      </c>
      <c r="F1739" s="284">
        <v>6814</v>
      </c>
      <c r="G1739" s="284">
        <v>39.700000000000003</v>
      </c>
      <c r="H1739" s="284"/>
      <c r="I1739" s="285">
        <f t="shared" si="360"/>
        <v>6774.3</v>
      </c>
      <c r="J1739" s="286" t="s">
        <v>205</v>
      </c>
      <c r="K1739" s="286">
        <v>1</v>
      </c>
      <c r="L1739" s="286"/>
      <c r="M1739" s="286"/>
      <c r="N1739" s="286">
        <v>1</v>
      </c>
      <c r="O1739" s="286"/>
      <c r="P1739" s="286"/>
      <c r="Q1739" s="286"/>
      <c r="R1739" s="286"/>
      <c r="S1739" s="287"/>
      <c r="T1739" s="63"/>
      <c r="U1739" s="94"/>
      <c r="V1739" s="90"/>
      <c r="W1739" s="136"/>
      <c r="X1739" s="137"/>
      <c r="Y1739" s="2"/>
    </row>
    <row r="1740" spans="2:25">
      <c r="B1740" s="87">
        <f t="shared" si="361"/>
        <v>5</v>
      </c>
      <c r="C1740" s="36"/>
      <c r="D1740" s="10"/>
      <c r="E1740" s="10"/>
      <c r="F1740" s="62"/>
      <c r="G1740" s="62"/>
      <c r="H1740" s="62"/>
      <c r="I1740" s="89">
        <f t="shared" si="360"/>
        <v>0</v>
      </c>
      <c r="J1740" s="63"/>
      <c r="K1740" s="63"/>
      <c r="L1740" s="63"/>
      <c r="M1740" s="63"/>
      <c r="N1740" s="63"/>
      <c r="O1740" s="63"/>
      <c r="P1740" s="63"/>
      <c r="Q1740" s="63"/>
      <c r="R1740" s="63"/>
      <c r="S1740" s="63"/>
      <c r="T1740" s="63"/>
      <c r="U1740" s="94"/>
      <c r="V1740" s="90"/>
      <c r="W1740" s="136"/>
      <c r="X1740" s="137"/>
      <c r="Y1740" s="2"/>
    </row>
    <row r="1741" spans="2:25">
      <c r="B1741" s="87">
        <f t="shared" si="361"/>
        <v>6</v>
      </c>
      <c r="C1741" s="36"/>
      <c r="D1741" s="10"/>
      <c r="E1741" s="101"/>
      <c r="F1741" s="62"/>
      <c r="G1741" s="62"/>
      <c r="H1741" s="62"/>
      <c r="I1741" s="89">
        <f t="shared" si="360"/>
        <v>0</v>
      </c>
      <c r="J1741" s="63"/>
      <c r="K1741" s="63"/>
      <c r="L1741" s="63"/>
      <c r="M1741" s="63"/>
      <c r="N1741" s="63"/>
      <c r="O1741" s="63"/>
      <c r="P1741" s="63"/>
      <c r="Q1741" s="63"/>
      <c r="R1741" s="63"/>
      <c r="S1741" s="63"/>
      <c r="T1741" s="63"/>
      <c r="U1741" s="94"/>
      <c r="V1741" s="90"/>
      <c r="W1741" s="136"/>
      <c r="X1741" s="137"/>
      <c r="Y1741" s="2"/>
    </row>
    <row r="1742" spans="2:25">
      <c r="B1742" s="87">
        <f t="shared" si="361"/>
        <v>7</v>
      </c>
      <c r="C1742" s="36"/>
      <c r="D1742" s="10"/>
      <c r="E1742" s="101"/>
      <c r="F1742" s="62"/>
      <c r="G1742" s="62"/>
      <c r="H1742" s="62"/>
      <c r="I1742" s="89">
        <f t="shared" si="360"/>
        <v>0</v>
      </c>
      <c r="J1742" s="63"/>
      <c r="K1742" s="63"/>
      <c r="L1742" s="63"/>
      <c r="M1742" s="63"/>
      <c r="N1742" s="63"/>
      <c r="O1742" s="63"/>
      <c r="P1742" s="63"/>
      <c r="Q1742" s="63"/>
      <c r="R1742" s="63"/>
      <c r="S1742" s="63"/>
      <c r="T1742" s="63"/>
      <c r="U1742" s="94"/>
      <c r="V1742" s="90"/>
      <c r="W1742" s="136"/>
      <c r="X1742" s="137"/>
      <c r="Y1742" s="2"/>
    </row>
    <row r="1743" spans="2:25">
      <c r="B1743" s="87">
        <f t="shared" si="361"/>
        <v>8</v>
      </c>
      <c r="C1743" s="36"/>
      <c r="D1743" s="10"/>
      <c r="E1743" s="101"/>
      <c r="F1743" s="62"/>
      <c r="G1743" s="62"/>
      <c r="H1743" s="62"/>
      <c r="I1743" s="89">
        <f t="shared" si="360"/>
        <v>0</v>
      </c>
      <c r="J1743" s="63"/>
      <c r="K1743" s="63"/>
      <c r="L1743" s="63"/>
      <c r="M1743" s="63"/>
      <c r="N1743" s="63"/>
      <c r="O1743" s="63"/>
      <c r="P1743" s="63"/>
      <c r="Q1743" s="63"/>
      <c r="R1743" s="63"/>
      <c r="S1743" s="63"/>
      <c r="T1743" s="63"/>
      <c r="U1743" s="94"/>
      <c r="V1743" s="90"/>
      <c r="W1743" s="136"/>
      <c r="X1743" s="137"/>
      <c r="Y1743" s="2"/>
    </row>
    <row r="1744" spans="2:25">
      <c r="B1744" s="87">
        <f t="shared" si="361"/>
        <v>9</v>
      </c>
      <c r="C1744" s="36"/>
      <c r="D1744" s="10"/>
      <c r="E1744" s="101"/>
      <c r="F1744" s="62"/>
      <c r="G1744" s="62"/>
      <c r="H1744" s="62"/>
      <c r="I1744" s="89">
        <f t="shared" si="360"/>
        <v>0</v>
      </c>
      <c r="J1744" s="63"/>
      <c r="K1744" s="63"/>
      <c r="L1744" s="63"/>
      <c r="M1744" s="63"/>
      <c r="N1744" s="63"/>
      <c r="O1744" s="63"/>
      <c r="P1744" s="63"/>
      <c r="Q1744" s="63"/>
      <c r="R1744" s="63"/>
      <c r="S1744" s="63"/>
      <c r="T1744" s="63"/>
      <c r="U1744" s="94"/>
      <c r="V1744" s="90"/>
      <c r="W1744" s="136"/>
      <c r="X1744" s="137"/>
      <c r="Y1744" s="2"/>
    </row>
    <row r="1745" spans="2:25">
      <c r="B1745" s="87">
        <f t="shared" si="361"/>
        <v>10</v>
      </c>
      <c r="C1745" s="36"/>
      <c r="D1745" s="10"/>
      <c r="E1745" s="101"/>
      <c r="F1745" s="62"/>
      <c r="G1745" s="62"/>
      <c r="H1745" s="62"/>
      <c r="I1745" s="89">
        <f t="shared" si="360"/>
        <v>0</v>
      </c>
      <c r="J1745" s="63"/>
      <c r="K1745" s="63"/>
      <c r="L1745" s="63"/>
      <c r="M1745" s="63"/>
      <c r="N1745" s="63"/>
      <c r="O1745" s="63"/>
      <c r="P1745" s="63"/>
      <c r="Q1745" s="63"/>
      <c r="R1745" s="63"/>
      <c r="S1745" s="63"/>
      <c r="T1745" s="63"/>
      <c r="U1745" s="94"/>
      <c r="V1745" s="90"/>
      <c r="W1745" s="136"/>
      <c r="X1745" s="137"/>
      <c r="Y1745" s="2"/>
    </row>
    <row r="1746" spans="2:25">
      <c r="B1746" s="87">
        <f t="shared" si="361"/>
        <v>11</v>
      </c>
      <c r="C1746" s="36"/>
      <c r="D1746" s="10"/>
      <c r="E1746" s="101"/>
      <c r="F1746" s="62"/>
      <c r="G1746" s="62"/>
      <c r="H1746" s="62"/>
      <c r="I1746" s="89">
        <f t="shared" si="360"/>
        <v>0</v>
      </c>
      <c r="J1746" s="63"/>
      <c r="K1746" s="63"/>
      <c r="L1746" s="63"/>
      <c r="M1746" s="63"/>
      <c r="N1746" s="63"/>
      <c r="O1746" s="63"/>
      <c r="P1746" s="63"/>
      <c r="Q1746" s="63"/>
      <c r="R1746" s="63"/>
      <c r="S1746" s="63"/>
      <c r="T1746" s="63"/>
      <c r="U1746" s="94"/>
      <c r="V1746" s="90"/>
      <c r="W1746" s="136"/>
      <c r="X1746" s="137"/>
      <c r="Y1746" s="2"/>
    </row>
    <row r="1747" spans="2:25">
      <c r="B1747" s="87">
        <f t="shared" si="361"/>
        <v>12</v>
      </c>
      <c r="C1747" s="36"/>
      <c r="D1747" s="10"/>
      <c r="E1747" s="101"/>
      <c r="F1747" s="62"/>
      <c r="G1747" s="62"/>
      <c r="H1747" s="62"/>
      <c r="I1747" s="89">
        <f t="shared" si="360"/>
        <v>0</v>
      </c>
      <c r="J1747" s="63"/>
      <c r="K1747" s="63"/>
      <c r="L1747" s="63"/>
      <c r="M1747" s="63"/>
      <c r="N1747" s="63"/>
      <c r="O1747" s="63"/>
      <c r="P1747" s="63"/>
      <c r="Q1747" s="63"/>
      <c r="R1747" s="63"/>
      <c r="S1747" s="63"/>
      <c r="T1747" s="63"/>
      <c r="U1747" s="94"/>
      <c r="V1747" s="90"/>
      <c r="W1747" s="136"/>
      <c r="X1747" s="137"/>
      <c r="Y1747" s="2"/>
    </row>
    <row r="1748" spans="2:25">
      <c r="B1748" s="87">
        <f t="shared" si="361"/>
        <v>13</v>
      </c>
      <c r="C1748" s="36"/>
      <c r="D1748" s="10"/>
      <c r="E1748" s="101"/>
      <c r="F1748" s="62"/>
      <c r="G1748" s="62"/>
      <c r="H1748" s="62"/>
      <c r="I1748" s="89">
        <f t="shared" si="360"/>
        <v>0</v>
      </c>
      <c r="J1748" s="63"/>
      <c r="K1748" s="63"/>
      <c r="L1748" s="63"/>
      <c r="M1748" s="63"/>
      <c r="N1748" s="63"/>
      <c r="O1748" s="63"/>
      <c r="P1748" s="63"/>
      <c r="Q1748" s="63"/>
      <c r="R1748" s="63"/>
      <c r="S1748" s="63"/>
      <c r="T1748" s="63"/>
      <c r="U1748" s="94"/>
      <c r="V1748" s="90"/>
      <c r="W1748" s="136"/>
      <c r="X1748" s="137"/>
      <c r="Y1748" s="2"/>
    </row>
    <row r="1749" spans="2:25">
      <c r="B1749" s="87">
        <f t="shared" si="361"/>
        <v>14</v>
      </c>
      <c r="C1749" s="36"/>
      <c r="D1749" s="10"/>
      <c r="E1749" s="10"/>
      <c r="F1749" s="62"/>
      <c r="G1749" s="62"/>
      <c r="H1749" s="62"/>
      <c r="I1749" s="89">
        <f t="shared" si="360"/>
        <v>0</v>
      </c>
      <c r="J1749" s="63"/>
      <c r="K1749" s="63"/>
      <c r="L1749" s="63"/>
      <c r="M1749" s="63"/>
      <c r="N1749" s="63"/>
      <c r="O1749" s="63"/>
      <c r="P1749" s="63"/>
      <c r="Q1749" s="63"/>
      <c r="R1749" s="63"/>
      <c r="S1749" s="63"/>
      <c r="T1749" s="63"/>
      <c r="U1749" s="94"/>
      <c r="V1749" s="90"/>
      <c r="W1749" s="136"/>
      <c r="X1749" s="137"/>
      <c r="Y1749" s="2"/>
    </row>
    <row r="1750" spans="2:25">
      <c r="B1750" s="87">
        <f t="shared" si="361"/>
        <v>15</v>
      </c>
      <c r="C1750" s="36"/>
      <c r="D1750" s="10"/>
      <c r="E1750" s="10"/>
      <c r="F1750" s="62"/>
      <c r="G1750" s="62"/>
      <c r="H1750" s="62"/>
      <c r="I1750" s="89">
        <f t="shared" si="360"/>
        <v>0</v>
      </c>
      <c r="J1750" s="63"/>
      <c r="K1750" s="63"/>
      <c r="L1750" s="63"/>
      <c r="M1750" s="63"/>
      <c r="N1750" s="63"/>
      <c r="O1750" s="63"/>
      <c r="P1750" s="63"/>
      <c r="Q1750" s="63"/>
      <c r="R1750" s="63"/>
      <c r="S1750" s="63"/>
      <c r="T1750" s="63"/>
      <c r="U1750" s="94"/>
      <c r="V1750" s="90"/>
      <c r="W1750" s="136"/>
      <c r="X1750" s="137"/>
      <c r="Y1750" s="2"/>
    </row>
    <row r="1751" spans="2:25">
      <c r="B1751" s="87">
        <f t="shared" si="361"/>
        <v>16</v>
      </c>
      <c r="C1751" s="36"/>
      <c r="D1751" s="10"/>
      <c r="E1751" s="10"/>
      <c r="F1751" s="62"/>
      <c r="G1751" s="62"/>
      <c r="H1751" s="62"/>
      <c r="I1751" s="89">
        <f t="shared" si="360"/>
        <v>0</v>
      </c>
      <c r="J1751" s="63"/>
      <c r="K1751" s="63"/>
      <c r="L1751" s="63"/>
      <c r="M1751" s="63"/>
      <c r="N1751" s="63"/>
      <c r="O1751" s="63"/>
      <c r="P1751" s="63"/>
      <c r="Q1751" s="63"/>
      <c r="R1751" s="63"/>
      <c r="S1751" s="63"/>
      <c r="T1751" s="63"/>
      <c r="U1751" s="94"/>
      <c r="V1751" s="90"/>
      <c r="W1751" s="136"/>
      <c r="X1751" s="137"/>
      <c r="Y1751" s="2"/>
    </row>
    <row r="1752" spans="2:25">
      <c r="B1752" s="87">
        <f t="shared" si="361"/>
        <v>17</v>
      </c>
      <c r="C1752" s="36"/>
      <c r="D1752" s="10"/>
      <c r="E1752" s="10"/>
      <c r="F1752" s="62"/>
      <c r="G1752" s="62"/>
      <c r="H1752" s="62"/>
      <c r="I1752" s="89">
        <f t="shared" si="360"/>
        <v>0</v>
      </c>
      <c r="J1752" s="63"/>
      <c r="K1752" s="63"/>
      <c r="L1752" s="63"/>
      <c r="M1752" s="63"/>
      <c r="N1752" s="63"/>
      <c r="O1752" s="63"/>
      <c r="P1752" s="63"/>
      <c r="Q1752" s="63"/>
      <c r="R1752" s="63"/>
      <c r="S1752" s="63"/>
      <c r="T1752" s="63"/>
      <c r="U1752" s="94"/>
      <c r="V1752" s="90"/>
      <c r="W1752" s="136"/>
      <c r="X1752" s="137"/>
      <c r="Y1752" s="2"/>
    </row>
    <row r="1753" spans="2:25">
      <c r="B1753" s="87">
        <f t="shared" si="361"/>
        <v>18</v>
      </c>
      <c r="C1753" s="36"/>
      <c r="D1753" s="10"/>
      <c r="E1753" s="10"/>
      <c r="F1753" s="62"/>
      <c r="G1753" s="62"/>
      <c r="H1753" s="62"/>
      <c r="I1753" s="89">
        <f t="shared" si="360"/>
        <v>0</v>
      </c>
      <c r="J1753" s="63"/>
      <c r="K1753" s="63"/>
      <c r="L1753" s="63"/>
      <c r="M1753" s="63"/>
      <c r="N1753" s="63"/>
      <c r="O1753" s="63"/>
      <c r="P1753" s="63"/>
      <c r="Q1753" s="63"/>
      <c r="R1753" s="63"/>
      <c r="S1753" s="63"/>
      <c r="T1753" s="63"/>
      <c r="U1753" s="94"/>
      <c r="V1753" s="90"/>
      <c r="W1753" s="136"/>
      <c r="X1753" s="137"/>
      <c r="Y1753" s="2"/>
    </row>
    <row r="1754" spans="2:25">
      <c r="B1754" s="11"/>
      <c r="C1754" s="36"/>
      <c r="D1754" s="10"/>
      <c r="E1754" s="10"/>
      <c r="F1754" s="97">
        <f>SUM(F1736:F1753)</f>
        <v>14100.9</v>
      </c>
      <c r="G1754" s="97">
        <f t="shared" ref="G1754:I1754" si="362">SUM(G1736:G1753)</f>
        <v>158.80000000000001</v>
      </c>
      <c r="H1754" s="97">
        <f t="shared" si="362"/>
        <v>0</v>
      </c>
      <c r="I1754" s="98">
        <f t="shared" si="362"/>
        <v>13942.1</v>
      </c>
      <c r="J1754" s="10"/>
      <c r="K1754" s="10"/>
      <c r="L1754" s="10"/>
      <c r="M1754" s="10"/>
      <c r="N1754" s="10"/>
      <c r="O1754" s="10"/>
      <c r="P1754" s="10"/>
      <c r="Q1754" s="10"/>
      <c r="R1754" s="10"/>
      <c r="S1754" s="10"/>
      <c r="T1754" s="63"/>
      <c r="U1754" s="94"/>
      <c r="V1754" s="90"/>
      <c r="W1754" s="91"/>
      <c r="X1754" s="92"/>
      <c r="Y1754" s="2"/>
    </row>
    <row r="1755" spans="2:25">
      <c r="B1755" s="11"/>
      <c r="C1755" s="36"/>
      <c r="D1755" s="10"/>
      <c r="E1755" s="10"/>
      <c r="F1755" s="88"/>
      <c r="G1755" s="88"/>
      <c r="H1755" s="88"/>
      <c r="I1755" s="99"/>
      <c r="J1755" s="10"/>
      <c r="K1755" s="10"/>
      <c r="L1755" s="10"/>
      <c r="M1755" s="10"/>
      <c r="N1755" s="10"/>
      <c r="O1755" s="10"/>
      <c r="P1755" s="10"/>
      <c r="Q1755" s="10"/>
      <c r="R1755" s="10"/>
      <c r="S1755" s="10"/>
      <c r="T1755" s="63"/>
      <c r="U1755" s="94"/>
      <c r="V1755" s="165"/>
      <c r="W1755" s="166"/>
      <c r="X1755" s="167"/>
      <c r="Y1755" s="2"/>
    </row>
    <row r="1756" spans="2:25">
      <c r="B1756" s="100" t="s">
        <v>73</v>
      </c>
      <c r="C1756" s="36"/>
      <c r="D1756" s="10"/>
      <c r="E1756" s="10"/>
      <c r="F1756" s="88"/>
      <c r="G1756" s="88"/>
      <c r="H1756" s="88"/>
      <c r="I1756" s="99"/>
      <c r="J1756" s="63"/>
      <c r="K1756" s="63"/>
      <c r="L1756" s="63"/>
      <c r="M1756" s="63"/>
      <c r="N1756" s="63"/>
      <c r="O1756" s="63"/>
      <c r="P1756" s="63"/>
      <c r="Q1756" s="63"/>
      <c r="R1756" s="63"/>
      <c r="S1756" s="63"/>
      <c r="T1756" s="63"/>
      <c r="U1756" s="94"/>
      <c r="V1756" s="90"/>
      <c r="W1756" s="91"/>
      <c r="X1756" s="92"/>
      <c r="Y1756" s="2"/>
    </row>
    <row r="1757" spans="2:25">
      <c r="B1757" s="87">
        <v>1</v>
      </c>
      <c r="C1757" s="36"/>
      <c r="D1757" s="10"/>
      <c r="E1757" s="10"/>
      <c r="F1757" s="62"/>
      <c r="G1757" s="62"/>
      <c r="H1757" s="62"/>
      <c r="I1757" s="89">
        <f t="shared" ref="I1757:I1762" si="363">F1757-G1757-H1757</f>
        <v>0</v>
      </c>
      <c r="J1757" s="63"/>
      <c r="K1757" s="63"/>
      <c r="L1757" s="63"/>
      <c r="M1757" s="63"/>
      <c r="N1757" s="63"/>
      <c r="O1757" s="63"/>
      <c r="P1757" s="63"/>
      <c r="Q1757" s="63"/>
      <c r="R1757" s="63"/>
      <c r="S1757" s="63"/>
      <c r="T1757" s="63"/>
      <c r="U1757" s="139"/>
      <c r="V1757" s="90"/>
      <c r="W1757" s="91"/>
      <c r="X1757" s="92"/>
      <c r="Y1757" s="2"/>
    </row>
    <row r="1758" spans="2:25">
      <c r="B1758" s="87">
        <f>B1757+1</f>
        <v>2</v>
      </c>
      <c r="C1758" s="36"/>
      <c r="D1758" s="10"/>
      <c r="E1758" s="10"/>
      <c r="F1758" s="62"/>
      <c r="G1758" s="62"/>
      <c r="H1758" s="62"/>
      <c r="I1758" s="89">
        <f t="shared" si="363"/>
        <v>0</v>
      </c>
      <c r="J1758" s="63"/>
      <c r="K1758" s="63"/>
      <c r="L1758" s="63"/>
      <c r="M1758" s="63"/>
      <c r="N1758" s="63"/>
      <c r="O1758" s="63"/>
      <c r="P1758" s="63"/>
      <c r="Q1758" s="63"/>
      <c r="R1758" s="63"/>
      <c r="S1758" s="63"/>
      <c r="T1758" s="63"/>
      <c r="U1758" s="94"/>
      <c r="V1758" s="90"/>
      <c r="W1758" s="136"/>
      <c r="X1758" s="137"/>
      <c r="Y1758" s="2"/>
    </row>
    <row r="1759" spans="2:25">
      <c r="B1759" s="87">
        <f>B1758+1</f>
        <v>3</v>
      </c>
      <c r="C1759" s="36"/>
      <c r="D1759" s="10"/>
      <c r="E1759" s="10"/>
      <c r="F1759" s="62"/>
      <c r="G1759" s="62"/>
      <c r="H1759" s="62"/>
      <c r="I1759" s="89">
        <f t="shared" si="363"/>
        <v>0</v>
      </c>
      <c r="J1759" s="63"/>
      <c r="K1759" s="63"/>
      <c r="L1759" s="63"/>
      <c r="M1759" s="63"/>
      <c r="N1759" s="63"/>
      <c r="O1759" s="63"/>
      <c r="P1759" s="63"/>
      <c r="Q1759" s="63"/>
      <c r="R1759" s="63"/>
      <c r="S1759" s="63"/>
      <c r="T1759" s="63"/>
      <c r="U1759" s="94"/>
      <c r="V1759" s="90"/>
      <c r="W1759" s="136"/>
      <c r="X1759" s="137"/>
      <c r="Y1759" s="2"/>
    </row>
    <row r="1760" spans="2:25">
      <c r="B1760" s="87">
        <f>B1759+1</f>
        <v>4</v>
      </c>
      <c r="C1760" s="36"/>
      <c r="D1760" s="10"/>
      <c r="E1760" s="10"/>
      <c r="F1760" s="62"/>
      <c r="G1760" s="62"/>
      <c r="H1760" s="62"/>
      <c r="I1760" s="89">
        <f t="shared" si="363"/>
        <v>0</v>
      </c>
      <c r="J1760" s="63"/>
      <c r="K1760" s="63"/>
      <c r="L1760" s="63"/>
      <c r="M1760" s="63"/>
      <c r="N1760" s="63"/>
      <c r="O1760" s="63"/>
      <c r="P1760" s="63"/>
      <c r="Q1760" s="63"/>
      <c r="R1760" s="63"/>
      <c r="S1760" s="63"/>
      <c r="T1760" s="63"/>
      <c r="U1760" s="94"/>
      <c r="V1760" s="90"/>
      <c r="W1760" s="136"/>
      <c r="X1760" s="137"/>
      <c r="Y1760" s="2"/>
    </row>
    <row r="1761" spans="2:25">
      <c r="B1761" s="87">
        <f>B1760+1</f>
        <v>5</v>
      </c>
      <c r="C1761" s="36"/>
      <c r="D1761" s="10"/>
      <c r="E1761" s="10"/>
      <c r="F1761" s="62"/>
      <c r="G1761" s="62"/>
      <c r="H1761" s="62"/>
      <c r="I1761" s="89">
        <f t="shared" si="363"/>
        <v>0</v>
      </c>
      <c r="J1761" s="63"/>
      <c r="K1761" s="63"/>
      <c r="L1761" s="63"/>
      <c r="M1761" s="63"/>
      <c r="N1761" s="63"/>
      <c r="O1761" s="63"/>
      <c r="P1761" s="63"/>
      <c r="Q1761" s="63"/>
      <c r="R1761" s="63"/>
      <c r="S1761" s="63"/>
      <c r="T1761" s="63"/>
      <c r="U1761" s="94"/>
      <c r="V1761" s="90"/>
      <c r="W1761" s="136"/>
      <c r="X1761" s="137"/>
      <c r="Y1761" s="2"/>
    </row>
    <row r="1762" spans="2:25">
      <c r="B1762" s="87">
        <f>B1761+1</f>
        <v>6</v>
      </c>
      <c r="C1762" s="36"/>
      <c r="D1762" s="10"/>
      <c r="E1762" s="101"/>
      <c r="F1762" s="62"/>
      <c r="G1762" s="62"/>
      <c r="H1762" s="62"/>
      <c r="I1762" s="89">
        <f t="shared" si="363"/>
        <v>0</v>
      </c>
      <c r="J1762" s="63"/>
      <c r="K1762" s="63"/>
      <c r="L1762" s="63"/>
      <c r="M1762" s="63"/>
      <c r="N1762" s="63"/>
      <c r="O1762" s="63"/>
      <c r="P1762" s="63"/>
      <c r="Q1762" s="63"/>
      <c r="R1762" s="63"/>
      <c r="S1762" s="63"/>
      <c r="T1762" s="63"/>
      <c r="U1762" s="94"/>
      <c r="V1762" s="90"/>
      <c r="W1762" s="136"/>
      <c r="X1762" s="137"/>
      <c r="Y1762" s="2"/>
    </row>
    <row r="1763" spans="2:25">
      <c r="B1763" s="11"/>
      <c r="C1763" s="609"/>
      <c r="D1763" s="10"/>
      <c r="E1763" s="10"/>
      <c r="F1763" s="97">
        <f>SUM(F1757:F1762)</f>
        <v>0</v>
      </c>
      <c r="G1763" s="97">
        <f>SUM(G1757:G1762)</f>
        <v>0</v>
      </c>
      <c r="H1763" s="97">
        <f>SUM(H1757:H1762)</f>
        <v>0</v>
      </c>
      <c r="I1763" s="98">
        <f>SUM(I1757:I1762)</f>
        <v>0</v>
      </c>
      <c r="J1763" s="10"/>
      <c r="K1763" s="10"/>
      <c r="L1763" s="10"/>
      <c r="M1763" s="10"/>
      <c r="N1763" s="10"/>
      <c r="O1763" s="10"/>
      <c r="P1763" s="10"/>
      <c r="Q1763" s="10"/>
      <c r="R1763" s="10"/>
      <c r="S1763" s="10"/>
      <c r="T1763" s="63"/>
      <c r="U1763" s="94"/>
      <c r="V1763" s="90"/>
      <c r="W1763" s="91"/>
      <c r="X1763" s="92"/>
      <c r="Y1763" s="2"/>
    </row>
    <row r="1764" spans="2:25">
      <c r="B1764" s="26"/>
      <c r="C1764" s="612"/>
      <c r="D1764" s="141"/>
      <c r="E1764" s="141"/>
      <c r="F1764" s="141"/>
      <c r="G1764" s="141"/>
      <c r="H1764" s="141"/>
      <c r="I1764" s="141"/>
      <c r="J1764" s="141"/>
      <c r="K1764" s="142"/>
      <c r="L1764" s="142"/>
      <c r="M1764" s="142"/>
      <c r="N1764" s="142"/>
      <c r="O1764" s="142"/>
      <c r="P1764" s="142"/>
      <c r="Q1764" s="142"/>
      <c r="R1764" s="142"/>
      <c r="S1764" s="142"/>
      <c r="T1764" s="143">
        <f>SUM(T1649:T1763)</f>
        <v>0</v>
      </c>
      <c r="U1764" s="168"/>
      <c r="V1764" s="144">
        <f>SUM(V1649:V1763)</f>
        <v>2333.7999999999997</v>
      </c>
      <c r="W1764" s="145">
        <f>SUM(W1649:W1763)</f>
        <v>0</v>
      </c>
      <c r="X1764" s="146">
        <f>SUM(X1649:X1763)</f>
        <v>0</v>
      </c>
      <c r="Y1764" s="2"/>
    </row>
    <row r="1765" spans="2:25">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row>
  </sheetData>
  <mergeCells count="28">
    <mergeCell ref="H1184:J1185"/>
    <mergeCell ref="H537:J538"/>
    <mergeCell ref="K545:Q545"/>
    <mergeCell ref="K18:Q18"/>
    <mergeCell ref="K201:Q201"/>
    <mergeCell ref="K309:Q309"/>
    <mergeCell ref="K396:Q396"/>
    <mergeCell ref="K99:Q99"/>
    <mergeCell ref="H710:J711"/>
    <mergeCell ref="H636:J637"/>
    <mergeCell ref="K644:Q644"/>
    <mergeCell ref="H796:J797"/>
    <mergeCell ref="H1034:J1035"/>
    <mergeCell ref="K471:Q471"/>
    <mergeCell ref="K718:Q718"/>
    <mergeCell ref="K872:Q872"/>
    <mergeCell ref="K804:Q804"/>
    <mergeCell ref="K1192:Q1192"/>
    <mergeCell ref="K1124:Q1124"/>
    <mergeCell ref="K1042:Q1042"/>
    <mergeCell ref="K959:Q959"/>
    <mergeCell ref="K1637:Q1637"/>
    <mergeCell ref="K1543:Q1543"/>
    <mergeCell ref="K1438:Q1438"/>
    <mergeCell ref="K1351:Q1351"/>
    <mergeCell ref="H1244:J1245"/>
    <mergeCell ref="K1252:Q1252"/>
    <mergeCell ref="H1343:J1344"/>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3EEAF-C66B-4C05-97D5-656C767C30A9}">
  <sheetPr>
    <tabColor rgb="FFFF0000"/>
  </sheetPr>
  <dimension ref="A3:Y998"/>
  <sheetViews>
    <sheetView topLeftCell="A753" workbookViewId="0">
      <selection activeCell="G928" sqref="G928"/>
    </sheetView>
  </sheetViews>
  <sheetFormatPr defaultRowHeight="15"/>
  <cols>
    <col min="1" max="1" width="9.42578125" customWidth="1"/>
    <col min="3" max="3" width="10.28515625" customWidth="1"/>
    <col min="4" max="4" width="10.85546875" customWidth="1"/>
    <col min="5" max="5" width="21.5703125" customWidth="1"/>
    <col min="6" max="6" width="15.28515625" customWidth="1"/>
    <col min="7" max="7" width="10.7109375" customWidth="1"/>
    <col min="8" max="8" width="11.7109375" customWidth="1"/>
    <col min="9" max="9" width="13.28515625" customWidth="1"/>
    <col min="11" max="12" width="11.5703125" customWidth="1"/>
    <col min="13" max="13" width="10.42578125" customWidth="1"/>
    <col min="14" max="14" width="10.5703125" customWidth="1"/>
    <col min="15" max="15" width="11.7109375" customWidth="1"/>
    <col min="16" max="16" width="12" customWidth="1"/>
    <col min="18" max="18" width="10.140625" customWidth="1"/>
    <col min="19" max="19" width="10.5703125" customWidth="1"/>
    <col min="21" max="21" width="12.42578125" customWidth="1"/>
    <col min="22" max="22" width="11.5703125" customWidth="1"/>
    <col min="23" max="23" width="12" customWidth="1"/>
  </cols>
  <sheetData>
    <row r="3" spans="1:24">
      <c r="A3" s="3"/>
      <c r="B3" s="4" t="s">
        <v>1</v>
      </c>
      <c r="C3" s="5"/>
      <c r="D3" s="6"/>
      <c r="E3" s="6"/>
      <c r="F3" s="7" t="s">
        <v>2</v>
      </c>
      <c r="G3" s="8">
        <v>45893</v>
      </c>
      <c r="H3" s="7"/>
      <c r="I3" s="6"/>
      <c r="J3" s="6"/>
      <c r="K3" s="6"/>
      <c r="L3" s="6"/>
      <c r="M3" s="6"/>
      <c r="N3" s="6"/>
      <c r="O3" s="6"/>
      <c r="P3" s="6"/>
      <c r="Q3" s="6"/>
      <c r="R3" s="6"/>
      <c r="S3" s="6"/>
      <c r="T3" s="6"/>
      <c r="U3" s="9"/>
      <c r="V3" s="10"/>
      <c r="W3" s="10"/>
      <c r="X3" s="10"/>
    </row>
    <row r="4" spans="1:24">
      <c r="A4" s="2"/>
      <c r="B4" s="11"/>
      <c r="C4" s="10"/>
      <c r="D4" s="10"/>
      <c r="E4" s="10"/>
      <c r="F4" s="10"/>
      <c r="G4" s="7"/>
      <c r="H4" s="12"/>
      <c r="I4" s="10"/>
      <c r="J4" s="10"/>
      <c r="K4" s="13" t="s">
        <v>3</v>
      </c>
      <c r="L4" s="14"/>
      <c r="M4" s="15"/>
      <c r="N4" s="13" t="s">
        <v>4</v>
      </c>
      <c r="O4" s="14"/>
      <c r="P4" s="15"/>
      <c r="Q4" s="13" t="s">
        <v>5</v>
      </c>
      <c r="R4" s="14"/>
      <c r="S4" s="15"/>
      <c r="T4" s="16"/>
      <c r="U4" s="17"/>
      <c r="V4" s="10"/>
      <c r="W4" s="10"/>
      <c r="X4" s="10"/>
    </row>
    <row r="5" spans="1:24">
      <c r="A5" s="2"/>
      <c r="B5" s="18" t="s">
        <v>6</v>
      </c>
      <c r="C5" s="19">
        <f>C6+C7</f>
        <v>8</v>
      </c>
      <c r="D5" s="10"/>
      <c r="E5" s="18" t="s">
        <v>7</v>
      </c>
      <c r="F5" s="6"/>
      <c r="G5" s="9"/>
      <c r="H5" s="10"/>
      <c r="I5" s="10"/>
      <c r="J5" s="10"/>
      <c r="K5" s="20" t="s">
        <v>8</v>
      </c>
      <c r="L5" s="21" t="s">
        <v>9</v>
      </c>
      <c r="M5" s="21" t="s">
        <v>10</v>
      </c>
      <c r="N5" s="20" t="s">
        <v>11</v>
      </c>
      <c r="O5" s="21" t="s">
        <v>12</v>
      </c>
      <c r="P5" s="22" t="s">
        <v>13</v>
      </c>
      <c r="Q5" s="21" t="s">
        <v>11</v>
      </c>
      <c r="R5" s="21" t="s">
        <v>12</v>
      </c>
      <c r="S5" s="22" t="s">
        <v>13</v>
      </c>
      <c r="T5" s="23" t="s">
        <v>14</v>
      </c>
      <c r="U5" s="17"/>
      <c r="V5" s="10"/>
      <c r="W5" s="10"/>
      <c r="X5" s="10"/>
    </row>
    <row r="6" spans="1:24">
      <c r="A6" s="2"/>
      <c r="B6" s="24" t="s">
        <v>15</v>
      </c>
      <c r="C6" s="25">
        <f>P13</f>
        <v>2</v>
      </c>
      <c r="D6" s="10"/>
      <c r="E6" s="26" t="s">
        <v>16</v>
      </c>
      <c r="F6" s="27">
        <v>0.05</v>
      </c>
      <c r="G6" s="28"/>
      <c r="H6" s="10"/>
      <c r="I6" s="10"/>
      <c r="J6" s="18" t="s">
        <v>17</v>
      </c>
      <c r="K6" s="29">
        <f>K32</f>
        <v>1</v>
      </c>
      <c r="L6" s="29">
        <f t="shared" ref="L6:S6" si="0">L32</f>
        <v>0</v>
      </c>
      <c r="M6" s="29">
        <f t="shared" si="0"/>
        <v>1</v>
      </c>
      <c r="N6" s="29">
        <f t="shared" si="0"/>
        <v>1</v>
      </c>
      <c r="O6" s="29">
        <f t="shared" si="0"/>
        <v>1</v>
      </c>
      <c r="P6" s="29">
        <f t="shared" si="0"/>
        <v>1</v>
      </c>
      <c r="Q6" s="29">
        <f t="shared" si="0"/>
        <v>1</v>
      </c>
      <c r="R6" s="29">
        <f t="shared" si="0"/>
        <v>1</v>
      </c>
      <c r="S6" s="29">
        <f t="shared" si="0"/>
        <v>0</v>
      </c>
      <c r="T6" s="30">
        <f>T46</f>
        <v>0</v>
      </c>
      <c r="U6" s="17"/>
      <c r="V6" s="10"/>
      <c r="W6" s="10"/>
      <c r="X6" s="10"/>
    </row>
    <row r="7" spans="1:24">
      <c r="A7" s="2"/>
      <c r="B7" s="24" t="s">
        <v>18</v>
      </c>
      <c r="C7" s="25">
        <f>P14</f>
        <v>6</v>
      </c>
      <c r="D7" s="10"/>
      <c r="E7" s="10"/>
      <c r="F7" s="10"/>
      <c r="G7" s="31"/>
      <c r="H7" s="10"/>
      <c r="I7" s="10"/>
      <c r="J7" s="32" t="s">
        <v>19</v>
      </c>
      <c r="K7" s="33">
        <f>K32/K31</f>
        <v>1</v>
      </c>
      <c r="L7" s="33">
        <f t="shared" ref="L7:S7" si="1">L32/L31</f>
        <v>0</v>
      </c>
      <c r="M7" s="33">
        <f t="shared" si="1"/>
        <v>1</v>
      </c>
      <c r="N7" s="33">
        <f t="shared" si="1"/>
        <v>1</v>
      </c>
      <c r="O7" s="33">
        <f t="shared" si="1"/>
        <v>1</v>
      </c>
      <c r="P7" s="33">
        <f t="shared" si="1"/>
        <v>1</v>
      </c>
      <c r="Q7" s="33">
        <f t="shared" si="1"/>
        <v>1</v>
      </c>
      <c r="R7" s="33">
        <f t="shared" si="1"/>
        <v>1</v>
      </c>
      <c r="S7" s="33">
        <f t="shared" si="1"/>
        <v>0</v>
      </c>
      <c r="T7" s="23"/>
      <c r="U7" s="17" t="s">
        <v>20</v>
      </c>
      <c r="V7" s="10"/>
      <c r="W7" s="10"/>
      <c r="X7" s="10"/>
    </row>
    <row r="8" spans="1:24">
      <c r="A8" s="2"/>
      <c r="B8" s="24" t="s">
        <v>21</v>
      </c>
      <c r="C8" s="34">
        <f>P15</f>
        <v>0.25</v>
      </c>
      <c r="D8" s="10"/>
      <c r="E8" s="10"/>
      <c r="F8" s="10"/>
      <c r="G8" s="10"/>
      <c r="H8" s="10"/>
      <c r="I8" s="10"/>
      <c r="J8" s="10"/>
      <c r="K8" s="10"/>
      <c r="L8" s="10"/>
      <c r="M8" s="10"/>
      <c r="N8" s="10"/>
      <c r="O8" s="10"/>
      <c r="P8" s="10"/>
      <c r="Q8" s="10"/>
      <c r="R8" s="10"/>
      <c r="S8" s="10"/>
      <c r="T8" s="10"/>
      <c r="U8" s="17"/>
      <c r="V8" s="10"/>
      <c r="W8" s="10"/>
      <c r="X8" s="10"/>
    </row>
    <row r="9" spans="1:24">
      <c r="A9" s="2"/>
      <c r="B9" s="24"/>
      <c r="C9" s="25"/>
      <c r="D9" s="10"/>
      <c r="E9" s="10"/>
      <c r="F9" s="18" t="s">
        <v>22</v>
      </c>
      <c r="G9" s="19" t="s">
        <v>23</v>
      </c>
      <c r="H9" s="35" t="s">
        <v>24</v>
      </c>
      <c r="I9" s="10"/>
      <c r="J9" s="10"/>
      <c r="K9" s="36"/>
      <c r="L9" s="36"/>
      <c r="M9" s="36"/>
      <c r="N9" s="36"/>
      <c r="O9" s="36"/>
      <c r="P9" s="36"/>
      <c r="Q9" s="36"/>
      <c r="R9" s="10"/>
      <c r="S9" s="10"/>
      <c r="T9" s="10"/>
      <c r="U9" s="17"/>
      <c r="V9" s="10"/>
      <c r="W9" s="10"/>
      <c r="X9" s="10"/>
    </row>
    <row r="10" spans="1:24">
      <c r="A10" s="2"/>
      <c r="B10" s="32" t="s">
        <v>25</v>
      </c>
      <c r="C10" s="37">
        <f>P16</f>
        <v>1775.585</v>
      </c>
      <c r="D10" s="10"/>
      <c r="E10" s="18" t="s">
        <v>26</v>
      </c>
      <c r="F10" s="38">
        <f>P12</f>
        <v>3551.17</v>
      </c>
      <c r="G10" s="39">
        <f>I31+I36</f>
        <v>3551.17</v>
      </c>
      <c r="H10" s="767" t="s">
        <v>757</v>
      </c>
      <c r="I10" s="767"/>
      <c r="J10" s="767"/>
      <c r="K10" s="43" t="s">
        <v>27</v>
      </c>
      <c r="L10" s="44"/>
      <c r="M10" s="44"/>
      <c r="N10" s="44"/>
      <c r="O10" s="44"/>
      <c r="P10" s="44"/>
      <c r="Q10" s="45"/>
      <c r="R10" s="46" t="s">
        <v>28</v>
      </c>
      <c r="S10" s="47" t="s">
        <v>29</v>
      </c>
      <c r="T10" s="10"/>
      <c r="U10" s="17"/>
      <c r="V10" s="10"/>
      <c r="W10" s="10"/>
      <c r="X10" s="10"/>
    </row>
    <row r="11" spans="1:24">
      <c r="A11" s="2"/>
      <c r="B11" s="11"/>
      <c r="C11" s="10"/>
      <c r="D11" s="10"/>
      <c r="E11" s="24" t="s">
        <v>30</v>
      </c>
      <c r="F11" s="48">
        <f>F6</f>
        <v>0.05</v>
      </c>
      <c r="G11" s="17"/>
      <c r="H11" s="767"/>
      <c r="I11" s="767"/>
      <c r="J11" s="767"/>
      <c r="K11" s="20" t="s">
        <v>31</v>
      </c>
      <c r="L11" s="21" t="s">
        <v>32</v>
      </c>
      <c r="M11" s="21" t="s">
        <v>33</v>
      </c>
      <c r="N11" s="21" t="s">
        <v>34</v>
      </c>
      <c r="O11" s="21" t="s">
        <v>35</v>
      </c>
      <c r="P11" s="21" t="s">
        <v>36</v>
      </c>
      <c r="Q11" s="49" t="s">
        <v>37</v>
      </c>
      <c r="R11" s="50" t="s">
        <v>38</v>
      </c>
      <c r="S11" s="50" t="s">
        <v>38</v>
      </c>
      <c r="T11" s="10"/>
      <c r="U11" s="17"/>
      <c r="V11" s="10"/>
      <c r="W11" s="10"/>
      <c r="X11" s="10"/>
    </row>
    <row r="12" spans="1:24">
      <c r="A12" s="2"/>
      <c r="B12" s="11"/>
      <c r="C12" s="10"/>
      <c r="D12" s="10"/>
      <c r="E12" s="51" t="s">
        <v>39</v>
      </c>
      <c r="F12" s="52">
        <f>(F10-I30-I35)*F11</f>
        <v>0</v>
      </c>
      <c r="G12" s="53" t="s">
        <v>40</v>
      </c>
      <c r="H12" s="54">
        <f>F12/1.12</f>
        <v>0</v>
      </c>
      <c r="I12" s="55"/>
      <c r="J12" s="42"/>
      <c r="K12" s="56"/>
      <c r="L12" s="57">
        <v>0</v>
      </c>
      <c r="M12" s="57">
        <v>0</v>
      </c>
      <c r="N12" s="57">
        <f>I30+I35</f>
        <v>3551.17</v>
      </c>
      <c r="O12" s="57"/>
      <c r="P12" s="57">
        <f>SUM(K12:O12)</f>
        <v>3551.17</v>
      </c>
      <c r="Q12" s="58">
        <v>0</v>
      </c>
      <c r="R12" s="59">
        <f>I36</f>
        <v>2870.17</v>
      </c>
      <c r="S12" s="59">
        <v>0</v>
      </c>
      <c r="T12" s="10"/>
      <c r="U12" s="17"/>
      <c r="V12" s="10"/>
      <c r="W12" s="10"/>
      <c r="X12" s="10"/>
    </row>
    <row r="13" spans="1:24">
      <c r="A13" s="2"/>
      <c r="B13" s="11"/>
      <c r="C13" s="10"/>
      <c r="D13" s="10"/>
      <c r="E13" s="24" t="s">
        <v>41</v>
      </c>
      <c r="F13" s="60">
        <f>Q12</f>
        <v>0</v>
      </c>
      <c r="G13" s="61" t="s">
        <v>40</v>
      </c>
      <c r="H13" s="62"/>
      <c r="I13" s="62"/>
      <c r="J13" s="10" t="s">
        <v>42</v>
      </c>
      <c r="K13" s="63"/>
      <c r="L13" s="63">
        <v>0</v>
      </c>
      <c r="M13" s="63">
        <v>0</v>
      </c>
      <c r="N13" s="63">
        <v>2</v>
      </c>
      <c r="O13" s="63">
        <v>0</v>
      </c>
      <c r="P13" s="21">
        <f>SUM(K13:O13)</f>
        <v>2</v>
      </c>
      <c r="Q13" s="64"/>
      <c r="R13" s="63"/>
      <c r="S13" s="10"/>
      <c r="T13" s="10"/>
      <c r="U13" s="17"/>
      <c r="V13" s="10"/>
      <c r="W13" s="10"/>
      <c r="X13" s="10"/>
    </row>
    <row r="14" spans="1:24">
      <c r="A14" s="2"/>
      <c r="B14" s="11"/>
      <c r="C14" s="10"/>
      <c r="D14" s="10"/>
      <c r="E14" s="51" t="s">
        <v>43</v>
      </c>
      <c r="F14" s="52">
        <f>F13*0.25</f>
        <v>0</v>
      </c>
      <c r="G14" s="53" t="s">
        <v>40</v>
      </c>
      <c r="H14" s="54">
        <f>F14/1.12</f>
        <v>0</v>
      </c>
      <c r="I14" s="10"/>
      <c r="J14" s="10" t="s">
        <v>44</v>
      </c>
      <c r="K14" s="63"/>
      <c r="L14" s="63">
        <v>1</v>
      </c>
      <c r="M14" s="63">
        <v>3</v>
      </c>
      <c r="N14" s="63">
        <v>0</v>
      </c>
      <c r="O14" s="63">
        <v>2</v>
      </c>
      <c r="P14" s="21">
        <f>SUM(K14:O14)</f>
        <v>6</v>
      </c>
      <c r="Q14" s="64"/>
      <c r="R14" s="63"/>
      <c r="S14" s="10"/>
      <c r="T14" s="10"/>
      <c r="U14" s="17"/>
      <c r="V14" s="10"/>
      <c r="W14" s="10"/>
      <c r="X14" s="10"/>
    </row>
    <row r="15" spans="1:24">
      <c r="A15" s="2"/>
      <c r="B15" s="11"/>
      <c r="C15" s="10"/>
      <c r="D15" s="10"/>
      <c r="E15" s="24" t="s">
        <v>45</v>
      </c>
      <c r="F15" s="60"/>
      <c r="G15" s="61" t="s">
        <v>40</v>
      </c>
      <c r="H15" s="62"/>
      <c r="I15" s="10"/>
      <c r="J15" s="10" t="s">
        <v>46</v>
      </c>
      <c r="K15" s="31" t="e">
        <f t="shared" ref="K15:Q15" si="2">K13/(K13+K14)</f>
        <v>#DIV/0!</v>
      </c>
      <c r="L15" s="31">
        <f t="shared" si="2"/>
        <v>0</v>
      </c>
      <c r="M15" s="31">
        <f t="shared" si="2"/>
        <v>0</v>
      </c>
      <c r="N15" s="31">
        <f t="shared" si="2"/>
        <v>1</v>
      </c>
      <c r="O15" s="31">
        <f t="shared" si="2"/>
        <v>0</v>
      </c>
      <c r="P15" s="31">
        <f t="shared" si="2"/>
        <v>0.25</v>
      </c>
      <c r="Q15" s="31" t="e">
        <f t="shared" si="2"/>
        <v>#DIV/0!</v>
      </c>
      <c r="R15" s="63"/>
      <c r="S15" s="10"/>
      <c r="T15" s="10"/>
      <c r="U15" s="17"/>
      <c r="V15" s="10"/>
      <c r="W15" s="10"/>
      <c r="X15" s="10"/>
    </row>
    <row r="16" spans="1:24">
      <c r="A16" s="2"/>
      <c r="B16" s="11"/>
      <c r="C16" s="10"/>
      <c r="D16" s="10"/>
      <c r="E16" s="51" t="s">
        <v>47</v>
      </c>
      <c r="F16" s="52">
        <f>F15*0.05</f>
        <v>0</v>
      </c>
      <c r="G16" s="65" t="s">
        <v>40</v>
      </c>
      <c r="H16" s="54">
        <f>F16/1.12</f>
        <v>0</v>
      </c>
      <c r="I16" s="42"/>
      <c r="J16" s="10" t="s">
        <v>48</v>
      </c>
      <c r="K16" s="66" t="e">
        <f>K12/K13</f>
        <v>#DIV/0!</v>
      </c>
      <c r="L16" s="66" t="e">
        <f t="shared" ref="L16:Q16" si="3">L12/L13</f>
        <v>#DIV/0!</v>
      </c>
      <c r="M16" s="66" t="e">
        <f t="shared" si="3"/>
        <v>#DIV/0!</v>
      </c>
      <c r="N16" s="66">
        <f t="shared" si="3"/>
        <v>1775.585</v>
      </c>
      <c r="O16" s="66" t="e">
        <f t="shared" si="3"/>
        <v>#DIV/0!</v>
      </c>
      <c r="P16" s="66">
        <f t="shared" si="3"/>
        <v>1775.585</v>
      </c>
      <c r="Q16" s="66" t="e">
        <f t="shared" si="3"/>
        <v>#DIV/0!</v>
      </c>
      <c r="R16" s="63"/>
      <c r="S16" s="10"/>
      <c r="T16" s="10"/>
      <c r="U16" s="17"/>
      <c r="V16" s="10"/>
      <c r="W16" s="10"/>
      <c r="X16" s="10"/>
    </row>
    <row r="17" spans="1:24">
      <c r="A17" s="2"/>
      <c r="B17" s="11"/>
      <c r="C17" s="10"/>
      <c r="D17" s="10"/>
      <c r="E17" s="67" t="s">
        <v>14</v>
      </c>
      <c r="F17" s="68"/>
      <c r="G17" s="10"/>
      <c r="H17" s="54">
        <f>F17/1.12</f>
        <v>0</v>
      </c>
      <c r="I17" s="10"/>
      <c r="J17" s="10"/>
      <c r="K17" s="10"/>
      <c r="L17" s="10"/>
      <c r="M17" s="10"/>
      <c r="N17" s="10"/>
      <c r="O17" s="10"/>
      <c r="P17" s="10"/>
      <c r="Q17" s="10"/>
      <c r="R17" s="10"/>
      <c r="S17" s="10"/>
      <c r="T17" s="10"/>
      <c r="U17" s="17"/>
      <c r="V17" s="10"/>
      <c r="W17" s="10"/>
      <c r="X17" s="10"/>
    </row>
    <row r="18" spans="1:24">
      <c r="A18" s="2"/>
      <c r="B18" s="11"/>
      <c r="C18" s="10"/>
      <c r="D18" s="10"/>
      <c r="E18" s="155" t="s">
        <v>49</v>
      </c>
      <c r="F18" s="364">
        <f>T7</f>
        <v>0</v>
      </c>
      <c r="G18" s="10"/>
      <c r="H18" s="54"/>
      <c r="I18" s="55"/>
      <c r="J18" s="42"/>
      <c r="K18" s="764" t="s">
        <v>50</v>
      </c>
      <c r="L18" s="764"/>
      <c r="M18" s="764"/>
      <c r="N18" s="764"/>
      <c r="O18" s="764"/>
      <c r="P18" s="764"/>
      <c r="Q18" s="764"/>
      <c r="R18" s="70" t="s">
        <v>28</v>
      </c>
      <c r="S18" s="71" t="s">
        <v>29</v>
      </c>
      <c r="T18" s="10"/>
      <c r="U18" s="17"/>
      <c r="V18" s="10"/>
      <c r="W18" s="10"/>
      <c r="X18" s="10"/>
    </row>
    <row r="19" spans="1:24">
      <c r="A19" s="2"/>
      <c r="B19" s="11"/>
      <c r="C19" s="10"/>
      <c r="D19" s="10"/>
      <c r="E19" s="12"/>
      <c r="F19" s="76"/>
      <c r="G19" s="10"/>
      <c r="H19" s="10"/>
      <c r="I19" s="10"/>
      <c r="J19" s="42"/>
      <c r="K19" s="20" t="s">
        <v>31</v>
      </c>
      <c r="L19" s="21" t="s">
        <v>32</v>
      </c>
      <c r="M19" s="21" t="s">
        <v>33</v>
      </c>
      <c r="N19" s="21" t="s">
        <v>34</v>
      </c>
      <c r="O19" s="21" t="s">
        <v>35</v>
      </c>
      <c r="P19" s="21" t="s">
        <v>36</v>
      </c>
      <c r="Q19" s="49" t="s">
        <v>37</v>
      </c>
      <c r="R19" s="50" t="s">
        <v>38</v>
      </c>
      <c r="S19" s="50" t="s">
        <v>38</v>
      </c>
      <c r="T19" s="10"/>
      <c r="U19" s="17"/>
      <c r="V19" s="10"/>
      <c r="W19" s="10"/>
      <c r="X19" s="10"/>
    </row>
    <row r="20" spans="1:24">
      <c r="A20" s="2"/>
      <c r="B20" s="11"/>
      <c r="C20" s="10"/>
      <c r="D20" s="10"/>
      <c r="E20" s="10"/>
      <c r="F20" s="10"/>
      <c r="G20" s="10"/>
      <c r="H20" s="10"/>
      <c r="I20" s="10"/>
      <c r="J20" s="42"/>
      <c r="K20" s="56"/>
      <c r="L20" s="57">
        <v>0</v>
      </c>
      <c r="M20" s="57">
        <v>0</v>
      </c>
      <c r="N20" s="57">
        <f>F30+F35</f>
        <v>4793</v>
      </c>
      <c r="O20" s="57"/>
      <c r="P20" s="57">
        <f>SUM(K20:O20)</f>
        <v>4793</v>
      </c>
      <c r="Q20" s="58">
        <v>0</v>
      </c>
      <c r="R20" s="59">
        <f>F35</f>
        <v>4112</v>
      </c>
      <c r="S20" s="59">
        <v>0</v>
      </c>
      <c r="T20" s="10"/>
      <c r="U20" s="17"/>
      <c r="V20" s="10"/>
      <c r="W20" s="10"/>
      <c r="X20" s="10"/>
    </row>
    <row r="21" spans="1:24">
      <c r="A21" s="2"/>
      <c r="B21" s="11"/>
      <c r="C21" s="10"/>
      <c r="D21" s="10"/>
      <c r="E21" s="10"/>
      <c r="F21" s="10"/>
      <c r="G21" s="10"/>
      <c r="H21" s="10"/>
      <c r="I21" s="10"/>
      <c r="J21" s="10" t="s">
        <v>42</v>
      </c>
      <c r="K21" s="63">
        <f>K13</f>
        <v>0</v>
      </c>
      <c r="L21" s="63">
        <f t="shared" ref="L21:Q22" si="4">L13</f>
        <v>0</v>
      </c>
      <c r="M21" s="63">
        <f t="shared" si="4"/>
        <v>0</v>
      </c>
      <c r="N21" s="63">
        <f t="shared" si="4"/>
        <v>2</v>
      </c>
      <c r="O21" s="63">
        <f t="shared" si="4"/>
        <v>0</v>
      </c>
      <c r="P21" s="63">
        <f t="shared" si="4"/>
        <v>2</v>
      </c>
      <c r="Q21" s="63">
        <f t="shared" si="4"/>
        <v>0</v>
      </c>
      <c r="R21" s="63"/>
      <c r="S21" s="10"/>
      <c r="T21" s="10"/>
      <c r="U21" s="17"/>
      <c r="V21" s="10"/>
      <c r="W21" s="10"/>
      <c r="X21" s="10"/>
    </row>
    <row r="22" spans="1:24">
      <c r="A22" s="2"/>
      <c r="B22" s="11"/>
      <c r="C22" s="10"/>
      <c r="D22" s="10"/>
      <c r="E22" s="10"/>
      <c r="F22" s="10"/>
      <c r="G22" s="10"/>
      <c r="H22" s="10"/>
      <c r="I22" s="10"/>
      <c r="J22" s="10" t="s">
        <v>44</v>
      </c>
      <c r="K22" s="63">
        <f>K14</f>
        <v>0</v>
      </c>
      <c r="L22" s="63">
        <f t="shared" si="4"/>
        <v>1</v>
      </c>
      <c r="M22" s="63">
        <f t="shared" si="4"/>
        <v>3</v>
      </c>
      <c r="N22" s="63">
        <f t="shared" si="4"/>
        <v>0</v>
      </c>
      <c r="O22" s="63">
        <f t="shared" si="4"/>
        <v>2</v>
      </c>
      <c r="P22" s="63">
        <f t="shared" si="4"/>
        <v>6</v>
      </c>
      <c r="Q22" s="63">
        <f t="shared" si="4"/>
        <v>0</v>
      </c>
      <c r="R22" s="63"/>
      <c r="S22" s="10"/>
      <c r="T22" s="10"/>
      <c r="U22" s="17"/>
      <c r="V22" s="10"/>
      <c r="W22" s="10"/>
      <c r="X22" s="10"/>
    </row>
    <row r="23" spans="1:24">
      <c r="A23" s="2"/>
      <c r="B23" s="11"/>
      <c r="C23" s="10"/>
      <c r="D23" s="10"/>
      <c r="E23" s="12"/>
      <c r="F23" s="76"/>
      <c r="G23" s="10"/>
      <c r="H23" s="10"/>
      <c r="I23" s="10"/>
      <c r="J23" s="10" t="s">
        <v>46</v>
      </c>
      <c r="K23" s="31" t="e">
        <f t="shared" ref="K23:Q23" si="5">K21/(K21+K22)</f>
        <v>#DIV/0!</v>
      </c>
      <c r="L23" s="31">
        <f t="shared" si="5"/>
        <v>0</v>
      </c>
      <c r="M23" s="31">
        <f t="shared" si="5"/>
        <v>0</v>
      </c>
      <c r="N23" s="31">
        <f t="shared" si="5"/>
        <v>1</v>
      </c>
      <c r="O23" s="31">
        <f t="shared" si="5"/>
        <v>0</v>
      </c>
      <c r="P23" s="31">
        <f t="shared" si="5"/>
        <v>0.25</v>
      </c>
      <c r="Q23" s="31" t="e">
        <f t="shared" si="5"/>
        <v>#DIV/0!</v>
      </c>
      <c r="R23" s="63"/>
      <c r="S23" s="10"/>
      <c r="T23" s="10"/>
      <c r="U23" s="17"/>
      <c r="V23" s="10"/>
      <c r="W23" s="10"/>
      <c r="X23" s="10"/>
    </row>
    <row r="24" spans="1:24">
      <c r="A24" s="2"/>
      <c r="B24" s="11"/>
      <c r="C24" s="10"/>
      <c r="D24" s="10"/>
      <c r="E24" s="10"/>
      <c r="F24" s="10"/>
      <c r="G24" s="10"/>
      <c r="H24" s="10"/>
      <c r="I24" s="10"/>
      <c r="J24" s="10" t="s">
        <v>48</v>
      </c>
      <c r="K24" s="66" t="e">
        <f t="shared" ref="K24:Q24" si="6">K20/K21</f>
        <v>#DIV/0!</v>
      </c>
      <c r="L24" s="66" t="e">
        <f t="shared" si="6"/>
        <v>#DIV/0!</v>
      </c>
      <c r="M24" s="66" t="e">
        <f t="shared" si="6"/>
        <v>#DIV/0!</v>
      </c>
      <c r="N24" s="66">
        <f t="shared" si="6"/>
        <v>2396.5</v>
      </c>
      <c r="O24" s="66" t="e">
        <f t="shared" si="6"/>
        <v>#DIV/0!</v>
      </c>
      <c r="P24" s="66">
        <f t="shared" si="6"/>
        <v>2396.5</v>
      </c>
      <c r="Q24" s="66" t="e">
        <f t="shared" si="6"/>
        <v>#DIV/0!</v>
      </c>
      <c r="R24" s="63"/>
      <c r="S24" s="10"/>
      <c r="T24" s="10"/>
      <c r="U24" s="17"/>
      <c r="V24" s="10"/>
      <c r="W24" s="10"/>
      <c r="X24" s="10"/>
    </row>
    <row r="25" spans="1:24">
      <c r="A25" s="2"/>
      <c r="B25" s="11"/>
      <c r="C25" s="10"/>
      <c r="D25" s="10"/>
      <c r="E25" s="10"/>
      <c r="F25" s="10"/>
      <c r="G25" s="10"/>
      <c r="H25" s="10"/>
      <c r="I25" s="10"/>
      <c r="J25" s="10"/>
      <c r="K25" s="10"/>
      <c r="L25" s="10"/>
      <c r="M25" s="10"/>
      <c r="N25" s="10"/>
      <c r="O25" s="10"/>
      <c r="P25" s="10"/>
      <c r="Q25" s="10"/>
      <c r="R25" s="10"/>
      <c r="S25" s="10"/>
      <c r="T25" s="10"/>
      <c r="U25" s="17"/>
      <c r="V25" s="10"/>
      <c r="W25" s="10"/>
      <c r="X25" s="10"/>
    </row>
    <row r="26" spans="1:24">
      <c r="A26" s="2"/>
      <c r="B26" s="11"/>
      <c r="C26" s="10"/>
      <c r="D26" s="10"/>
      <c r="E26" s="10"/>
      <c r="F26" s="10"/>
      <c r="G26" s="10"/>
      <c r="H26" s="10"/>
      <c r="I26" s="10"/>
      <c r="J26" s="10"/>
      <c r="K26" s="10"/>
      <c r="L26" s="10"/>
      <c r="M26" s="10"/>
      <c r="N26" s="10"/>
      <c r="O26" s="10"/>
      <c r="P26" s="10"/>
      <c r="Q26" s="10"/>
      <c r="R26" s="10"/>
      <c r="S26" s="10"/>
      <c r="T26" s="10"/>
      <c r="U26" s="17"/>
      <c r="V26" s="10"/>
      <c r="W26" s="10"/>
      <c r="X26" s="10"/>
    </row>
    <row r="27" spans="1:24">
      <c r="A27" s="2"/>
      <c r="B27" s="18" t="s">
        <v>51</v>
      </c>
      <c r="C27" s="14"/>
      <c r="D27" s="14"/>
      <c r="E27" s="14"/>
      <c r="F27" s="13" t="s">
        <v>52</v>
      </c>
      <c r="G27" s="14"/>
      <c r="H27" s="14"/>
      <c r="I27" s="14"/>
      <c r="J27" s="14"/>
      <c r="K27" s="13" t="s">
        <v>3</v>
      </c>
      <c r="L27" s="14"/>
      <c r="M27" s="14"/>
      <c r="N27" s="13" t="s">
        <v>4</v>
      </c>
      <c r="O27" s="14"/>
      <c r="P27" s="14"/>
      <c r="Q27" s="13" t="s">
        <v>5</v>
      </c>
      <c r="R27" s="14"/>
      <c r="S27" s="14"/>
      <c r="T27" s="18"/>
      <c r="U27" s="16" t="s">
        <v>53</v>
      </c>
      <c r="V27" s="77"/>
      <c r="W27" s="77"/>
      <c r="X27" s="77"/>
    </row>
    <row r="28" spans="1:24">
      <c r="A28" s="2"/>
      <c r="B28" s="24" t="s">
        <v>54</v>
      </c>
      <c r="C28" s="21" t="s">
        <v>55</v>
      </c>
      <c r="D28" s="21" t="s">
        <v>56</v>
      </c>
      <c r="E28" s="21" t="s">
        <v>57</v>
      </c>
      <c r="F28" s="20" t="s">
        <v>58</v>
      </c>
      <c r="G28" s="21" t="s">
        <v>59</v>
      </c>
      <c r="H28" s="21" t="s">
        <v>60</v>
      </c>
      <c r="I28" s="21" t="s">
        <v>26</v>
      </c>
      <c r="J28" s="22" t="s">
        <v>61</v>
      </c>
      <c r="K28" s="21" t="s">
        <v>8</v>
      </c>
      <c r="L28" s="21" t="s">
        <v>9</v>
      </c>
      <c r="M28" s="21" t="s">
        <v>10</v>
      </c>
      <c r="N28" s="20" t="s">
        <v>11</v>
      </c>
      <c r="O28" s="21" t="s">
        <v>12</v>
      </c>
      <c r="P28" s="22" t="s">
        <v>13</v>
      </c>
      <c r="Q28" s="21" t="s">
        <v>11</v>
      </c>
      <c r="R28" s="21" t="s">
        <v>12</v>
      </c>
      <c r="S28" s="21" t="s">
        <v>13</v>
      </c>
      <c r="T28" s="78" t="s">
        <v>14</v>
      </c>
      <c r="U28" s="30"/>
      <c r="V28" s="79" t="s">
        <v>62</v>
      </c>
      <c r="W28" s="80" t="s">
        <v>63</v>
      </c>
      <c r="X28" s="81" t="s">
        <v>64</v>
      </c>
    </row>
    <row r="29" spans="1:24">
      <c r="A29" s="2"/>
      <c r="B29" s="4" t="s">
        <v>65</v>
      </c>
      <c r="C29" s="6"/>
      <c r="D29" s="6"/>
      <c r="E29" s="6"/>
      <c r="F29" s="6"/>
      <c r="G29" s="6"/>
      <c r="H29" s="6"/>
      <c r="I29" s="82"/>
      <c r="J29" s="6"/>
      <c r="K29" s="6"/>
      <c r="L29" s="6"/>
      <c r="M29" s="6"/>
      <c r="N29" s="6"/>
      <c r="O29" s="6"/>
      <c r="P29" s="6"/>
      <c r="Q29" s="6"/>
      <c r="R29" s="6"/>
      <c r="S29" s="6"/>
      <c r="T29" s="83"/>
      <c r="U29" s="6"/>
      <c r="V29" s="84"/>
      <c r="W29" s="85"/>
      <c r="X29" s="86"/>
    </row>
    <row r="30" spans="1:24">
      <c r="A30" s="2"/>
      <c r="B30" s="87">
        <v>1</v>
      </c>
      <c r="C30" s="262">
        <v>45890</v>
      </c>
      <c r="D30" s="263">
        <v>72507</v>
      </c>
      <c r="E30" s="271" t="s">
        <v>369</v>
      </c>
      <c r="F30" s="265">
        <v>681</v>
      </c>
      <c r="G30" s="265"/>
      <c r="H30" s="365"/>
      <c r="I30" s="376">
        <f t="shared" ref="I30" si="7">F30-G30-H30</f>
        <v>681</v>
      </c>
      <c r="J30" s="267" t="s">
        <v>156</v>
      </c>
      <c r="K30" s="267">
        <v>1</v>
      </c>
      <c r="L30" s="314">
        <v>0</v>
      </c>
      <c r="M30" s="267">
        <v>1</v>
      </c>
      <c r="N30" s="267">
        <v>1</v>
      </c>
      <c r="O30" s="267">
        <v>1</v>
      </c>
      <c r="P30" s="267">
        <v>1</v>
      </c>
      <c r="Q30" s="267">
        <v>1</v>
      </c>
      <c r="R30" s="267">
        <v>1</v>
      </c>
      <c r="S30" s="269">
        <v>0</v>
      </c>
      <c r="T30" s="63"/>
      <c r="U30" s="10" t="s">
        <v>758</v>
      </c>
      <c r="V30" s="90">
        <v>749.1</v>
      </c>
      <c r="W30" s="91"/>
      <c r="X30" s="92"/>
    </row>
    <row r="31" spans="1:24">
      <c r="A31" s="2"/>
      <c r="B31" s="87"/>
      <c r="C31" s="36"/>
      <c r="D31" s="10"/>
      <c r="E31" s="10"/>
      <c r="F31" s="98">
        <f>SUM(F30)</f>
        <v>681</v>
      </c>
      <c r="G31" s="98">
        <f>SUM(G30)</f>
        <v>0</v>
      </c>
      <c r="H31" s="98">
        <f>SUM(H30)</f>
        <v>0</v>
      </c>
      <c r="I31" s="98">
        <f>SUM(I30)</f>
        <v>681</v>
      </c>
      <c r="J31" s="63"/>
      <c r="K31" s="63">
        <f>COUNT(K30:K30)</f>
        <v>1</v>
      </c>
      <c r="L31" s="63">
        <f>COUNT(L30:L30)</f>
        <v>1</v>
      </c>
      <c r="M31" s="63">
        <f>COUNT(M30:M30)</f>
        <v>1</v>
      </c>
      <c r="N31" s="63">
        <f>COUNT(N30:N30)</f>
        <v>1</v>
      </c>
      <c r="O31" s="63">
        <f>COUNT(O30:O30)</f>
        <v>1</v>
      </c>
      <c r="P31" s="63">
        <f>COUNT(P30:P30)</f>
        <v>1</v>
      </c>
      <c r="Q31" s="63">
        <f>COUNT(Q30:Q30)</f>
        <v>1</v>
      </c>
      <c r="R31" s="63">
        <f>COUNT(R30:R30)</f>
        <v>1</v>
      </c>
      <c r="S31" s="63">
        <f>COUNT(S30:S30)</f>
        <v>1</v>
      </c>
      <c r="T31" s="63"/>
      <c r="U31" s="10"/>
      <c r="V31" s="90"/>
      <c r="W31" s="91"/>
      <c r="X31" s="92"/>
    </row>
    <row r="32" spans="1:24">
      <c r="A32" s="2"/>
      <c r="B32" s="87"/>
      <c r="C32" s="36"/>
      <c r="D32" s="10"/>
      <c r="E32" s="10"/>
      <c r="F32" s="88"/>
      <c r="G32" s="88"/>
      <c r="H32" s="88"/>
      <c r="I32" s="99"/>
      <c r="J32" s="63"/>
      <c r="K32" s="21">
        <f>SUM(K30:K30)</f>
        <v>1</v>
      </c>
      <c r="L32" s="21">
        <f>SUM(L30:L30)</f>
        <v>0</v>
      </c>
      <c r="M32" s="21">
        <f>SUM(M30:M30)</f>
        <v>1</v>
      </c>
      <c r="N32" s="21">
        <f>SUM(N30:N30)</f>
        <v>1</v>
      </c>
      <c r="O32" s="21">
        <f>SUM(O30:O30)</f>
        <v>1</v>
      </c>
      <c r="P32" s="21">
        <f>SUM(P30:P30)</f>
        <v>1</v>
      </c>
      <c r="Q32" s="21">
        <f>SUM(Q30:Q30)</f>
        <v>1</v>
      </c>
      <c r="R32" s="21">
        <f>SUM(R30:R30)</f>
        <v>1</v>
      </c>
      <c r="S32" s="21">
        <f>SUM(S30:S30)</f>
        <v>0</v>
      </c>
      <c r="T32" s="63"/>
      <c r="U32" s="10"/>
      <c r="V32" s="90"/>
      <c r="W32" s="91"/>
      <c r="X32" s="92"/>
    </row>
    <row r="33" spans="1:24">
      <c r="A33" s="2"/>
      <c r="B33" s="11"/>
      <c r="C33" s="36"/>
      <c r="D33" s="10"/>
      <c r="E33" s="10"/>
      <c r="F33" s="88"/>
      <c r="G33" s="88"/>
      <c r="H33" s="88"/>
      <c r="I33" s="99"/>
      <c r="J33" s="63"/>
      <c r="K33" s="21"/>
      <c r="L33" s="21"/>
      <c r="M33" s="21"/>
      <c r="N33" s="21"/>
      <c r="O33" s="21"/>
      <c r="P33" s="21"/>
      <c r="Q33" s="21"/>
      <c r="R33" s="21"/>
      <c r="S33" s="21"/>
      <c r="T33" s="63"/>
      <c r="U33" s="10"/>
      <c r="V33" s="90"/>
      <c r="W33" s="91"/>
      <c r="X33" s="92"/>
    </row>
    <row r="34" spans="1:24">
      <c r="A34" s="128"/>
      <c r="B34" s="121" t="s">
        <v>68</v>
      </c>
      <c r="C34" s="122"/>
      <c r="D34" s="123"/>
      <c r="E34" s="123"/>
      <c r="F34" s="124"/>
      <c r="G34" s="125"/>
      <c r="H34" s="124"/>
      <c r="I34" s="126"/>
      <c r="J34" s="127"/>
      <c r="K34" s="128"/>
      <c r="L34" s="128"/>
      <c r="M34" s="128"/>
      <c r="N34" s="128"/>
      <c r="O34" s="128"/>
      <c r="P34" s="128"/>
      <c r="Q34" s="128"/>
      <c r="R34" s="128"/>
      <c r="S34" s="128"/>
      <c r="T34" s="127"/>
      <c r="U34" s="123"/>
      <c r="V34" s="129"/>
      <c r="W34" s="130"/>
      <c r="X34" s="131"/>
    </row>
    <row r="35" spans="1:24" s="342" customFormat="1">
      <c r="A35" s="128"/>
      <c r="B35" s="333">
        <v>1</v>
      </c>
      <c r="C35" s="350">
        <v>45890</v>
      </c>
      <c r="D35" s="357" t="s">
        <v>759</v>
      </c>
      <c r="E35" s="358" t="s">
        <v>369</v>
      </c>
      <c r="F35" s="352">
        <v>4112</v>
      </c>
      <c r="G35" s="352">
        <f>39.7+(847.9+27.43+26.8)+300</f>
        <v>1241.83</v>
      </c>
      <c r="H35" s="352"/>
      <c r="I35" s="353">
        <f>F35-G35-H35</f>
        <v>2870.17</v>
      </c>
      <c r="J35" s="354" t="s">
        <v>228</v>
      </c>
      <c r="K35" s="354">
        <v>1</v>
      </c>
      <c r="L35" s="314">
        <v>0</v>
      </c>
      <c r="M35" s="354">
        <v>1</v>
      </c>
      <c r="N35" s="354">
        <v>1</v>
      </c>
      <c r="O35" s="354">
        <v>1</v>
      </c>
      <c r="P35" s="354">
        <v>1</v>
      </c>
      <c r="Q35" s="354">
        <v>1</v>
      </c>
      <c r="R35" s="354">
        <v>1</v>
      </c>
      <c r="S35" s="366">
        <v>0</v>
      </c>
      <c r="T35" s="127"/>
      <c r="U35" s="123" t="s">
        <v>760</v>
      </c>
      <c r="V35" s="129">
        <f>450+3000</f>
        <v>3450</v>
      </c>
      <c r="W35" s="340"/>
      <c r="X35" s="341"/>
    </row>
    <row r="36" spans="1:24">
      <c r="A36" s="2"/>
      <c r="B36" s="11"/>
      <c r="C36" s="36"/>
      <c r="D36" s="10"/>
      <c r="E36" s="10"/>
      <c r="F36" s="134">
        <f>SUM(F35)</f>
        <v>4112</v>
      </c>
      <c r="G36" s="134">
        <f>SUM(G35)</f>
        <v>1241.83</v>
      </c>
      <c r="H36" s="134">
        <f>SUM(H35)</f>
        <v>0</v>
      </c>
      <c r="I36" s="134">
        <f>SUM(I35)</f>
        <v>2870.17</v>
      </c>
      <c r="J36" s="63"/>
      <c r="K36" s="21"/>
      <c r="L36" s="21"/>
      <c r="M36" s="21"/>
      <c r="N36" s="21"/>
      <c r="O36" s="21"/>
      <c r="P36" s="21"/>
      <c r="Q36" s="21"/>
      <c r="R36" s="21"/>
      <c r="S36" s="21"/>
      <c r="T36" s="63"/>
      <c r="U36" s="94"/>
      <c r="V36" s="90"/>
      <c r="W36" s="91"/>
      <c r="X36" s="92"/>
    </row>
    <row r="37" spans="1:24">
      <c r="A37" s="2"/>
      <c r="B37" s="11"/>
      <c r="C37" s="36"/>
      <c r="D37" s="10"/>
      <c r="E37" s="10"/>
      <c r="F37" s="88"/>
      <c r="G37" s="88"/>
      <c r="H37" s="88"/>
      <c r="I37" s="99"/>
      <c r="J37" s="63"/>
      <c r="K37" s="21"/>
      <c r="L37" s="21"/>
      <c r="M37" s="21"/>
      <c r="N37" s="21"/>
      <c r="O37" s="21"/>
      <c r="P37" s="21"/>
      <c r="Q37" s="21"/>
      <c r="R37" s="21"/>
      <c r="S37" s="21"/>
      <c r="T37" s="63"/>
      <c r="U37" s="94"/>
      <c r="V37" s="90"/>
      <c r="W37" s="91"/>
      <c r="X37" s="92"/>
    </row>
    <row r="38" spans="1:24">
      <c r="A38" s="2"/>
      <c r="B38" s="100" t="s">
        <v>72</v>
      </c>
      <c r="C38" s="36"/>
      <c r="D38" s="10"/>
      <c r="E38" s="10"/>
      <c r="F38" s="88"/>
      <c r="G38" s="88"/>
      <c r="H38" s="88"/>
      <c r="I38" s="99"/>
      <c r="J38" s="63"/>
      <c r="K38" s="63"/>
      <c r="L38" s="63"/>
      <c r="M38" s="63"/>
      <c r="N38" s="63"/>
      <c r="O38" s="63"/>
      <c r="P38" s="63"/>
      <c r="Q38" s="63"/>
      <c r="R38" s="63"/>
      <c r="S38" s="63"/>
      <c r="T38" s="63"/>
      <c r="U38" s="10"/>
      <c r="V38" s="90"/>
      <c r="W38" s="91"/>
      <c r="X38" s="92"/>
    </row>
    <row r="39" spans="1:24">
      <c r="A39" s="2"/>
      <c r="B39" s="87">
        <v>1</v>
      </c>
      <c r="C39" s="274">
        <v>45888</v>
      </c>
      <c r="D39" s="276">
        <v>72430</v>
      </c>
      <c r="E39" s="276" t="s">
        <v>401</v>
      </c>
      <c r="F39" s="277">
        <v>775</v>
      </c>
      <c r="G39" s="277">
        <v>39.700000000000003</v>
      </c>
      <c r="H39" s="277"/>
      <c r="I39" s="278">
        <f t="shared" ref="I39:I44" si="8">F39-G39-H39</f>
        <v>735.3</v>
      </c>
      <c r="J39" s="279" t="s">
        <v>205</v>
      </c>
      <c r="K39" s="279">
        <v>1</v>
      </c>
      <c r="L39" s="279"/>
      <c r="M39" s="279"/>
      <c r="N39" s="279">
        <v>1</v>
      </c>
      <c r="O39" s="279"/>
      <c r="P39" s="279"/>
      <c r="Q39" s="279">
        <v>1</v>
      </c>
      <c r="R39" s="279">
        <v>1</v>
      </c>
      <c r="S39" s="280">
        <v>1</v>
      </c>
      <c r="T39" s="63"/>
      <c r="U39" s="3"/>
      <c r="V39" s="90"/>
      <c r="W39" s="91"/>
      <c r="X39" s="92"/>
    </row>
    <row r="40" spans="1:24">
      <c r="A40" s="2"/>
      <c r="B40" s="87">
        <f t="shared" ref="B40:B44" si="9">B39+1</f>
        <v>2</v>
      </c>
      <c r="C40" s="274">
        <v>45889</v>
      </c>
      <c r="D40" s="276">
        <v>72438</v>
      </c>
      <c r="E40" s="276" t="s">
        <v>523</v>
      </c>
      <c r="F40" s="277">
        <v>8641</v>
      </c>
      <c r="G40" s="277">
        <v>39.700000000000003</v>
      </c>
      <c r="H40" s="277"/>
      <c r="I40" s="278">
        <f t="shared" si="8"/>
        <v>8601.2999999999993</v>
      </c>
      <c r="J40" s="279" t="s">
        <v>205</v>
      </c>
      <c r="K40" s="279">
        <v>1</v>
      </c>
      <c r="L40" s="279"/>
      <c r="M40" s="279"/>
      <c r="N40" s="279">
        <v>1</v>
      </c>
      <c r="O40" s="279"/>
      <c r="P40" s="279"/>
      <c r="Q40" s="279">
        <v>1</v>
      </c>
      <c r="R40" s="279">
        <v>1</v>
      </c>
      <c r="S40" s="280">
        <v>1</v>
      </c>
      <c r="T40" s="63"/>
      <c r="U40" s="10"/>
      <c r="V40" s="90"/>
      <c r="W40" s="136"/>
      <c r="X40" s="137"/>
    </row>
    <row r="41" spans="1:24">
      <c r="A41" s="2"/>
      <c r="B41" s="87">
        <f t="shared" si="9"/>
        <v>3</v>
      </c>
      <c r="C41" s="295">
        <v>45889</v>
      </c>
      <c r="D41" s="10">
        <v>72451</v>
      </c>
      <c r="E41" s="10" t="s">
        <v>271</v>
      </c>
      <c r="F41" s="62">
        <v>7753</v>
      </c>
      <c r="G41" s="62">
        <v>39.700000000000003</v>
      </c>
      <c r="H41" s="62"/>
      <c r="I41" s="89">
        <f t="shared" si="8"/>
        <v>7713.3</v>
      </c>
      <c r="J41" s="63" t="s">
        <v>205</v>
      </c>
      <c r="K41" s="63">
        <v>1</v>
      </c>
      <c r="L41" s="63"/>
      <c r="M41" s="63"/>
      <c r="N41" s="63">
        <v>1</v>
      </c>
      <c r="O41" s="63"/>
      <c r="P41" s="63"/>
      <c r="Q41" s="63">
        <v>1</v>
      </c>
      <c r="R41" s="63">
        <v>1</v>
      </c>
      <c r="S41" s="296">
        <v>1</v>
      </c>
      <c r="T41" s="63"/>
      <c r="U41" s="10"/>
      <c r="V41" s="90"/>
      <c r="W41" s="136"/>
      <c r="X41" s="137"/>
    </row>
    <row r="42" spans="1:24">
      <c r="A42" s="2"/>
      <c r="B42" s="87">
        <f t="shared" si="9"/>
        <v>4</v>
      </c>
      <c r="C42" s="295">
        <v>45889</v>
      </c>
      <c r="D42" s="10">
        <v>72437</v>
      </c>
      <c r="E42" s="10" t="s">
        <v>643</v>
      </c>
      <c r="F42" s="62">
        <v>7753</v>
      </c>
      <c r="G42" s="62">
        <v>39.700000000000003</v>
      </c>
      <c r="H42" s="62"/>
      <c r="I42" s="89">
        <f t="shared" si="8"/>
        <v>7713.3</v>
      </c>
      <c r="J42" s="63" t="s">
        <v>205</v>
      </c>
      <c r="K42" s="63">
        <v>1</v>
      </c>
      <c r="L42" s="63"/>
      <c r="M42" s="63"/>
      <c r="N42" s="63">
        <v>1</v>
      </c>
      <c r="O42" s="63"/>
      <c r="P42" s="63"/>
      <c r="Q42" s="63">
        <v>1</v>
      </c>
      <c r="R42" s="63">
        <v>1</v>
      </c>
      <c r="S42" s="296">
        <v>1</v>
      </c>
      <c r="T42" s="63"/>
      <c r="U42" s="10"/>
      <c r="V42" s="90"/>
      <c r="W42" s="136"/>
      <c r="X42" s="137"/>
    </row>
    <row r="43" spans="1:24">
      <c r="A43" s="2"/>
      <c r="B43" s="87">
        <f t="shared" si="9"/>
        <v>5</v>
      </c>
      <c r="C43" s="274">
        <v>45891</v>
      </c>
      <c r="D43" s="276">
        <v>72538</v>
      </c>
      <c r="E43" s="276" t="s">
        <v>327</v>
      </c>
      <c r="F43" s="277">
        <v>1053</v>
      </c>
      <c r="G43" s="277">
        <v>39.700000000000003</v>
      </c>
      <c r="H43" s="277"/>
      <c r="I43" s="278">
        <f t="shared" si="8"/>
        <v>1013.3</v>
      </c>
      <c r="J43" s="279" t="s">
        <v>205</v>
      </c>
      <c r="K43" s="279">
        <v>1</v>
      </c>
      <c r="L43" s="279"/>
      <c r="M43" s="279"/>
      <c r="N43" s="279">
        <v>1</v>
      </c>
      <c r="O43" s="279"/>
      <c r="P43" s="279"/>
      <c r="Q43" s="279">
        <v>1</v>
      </c>
      <c r="R43" s="279">
        <v>1</v>
      </c>
      <c r="S43" s="280">
        <v>1</v>
      </c>
      <c r="T43" s="63"/>
      <c r="U43" s="10"/>
      <c r="V43" s="90"/>
      <c r="W43" s="136"/>
      <c r="X43" s="137"/>
    </row>
    <row r="44" spans="1:24">
      <c r="A44" s="2"/>
      <c r="B44" s="87">
        <f t="shared" si="9"/>
        <v>6</v>
      </c>
      <c r="C44" s="282">
        <v>45891</v>
      </c>
      <c r="D44" s="283">
        <v>72548</v>
      </c>
      <c r="E44" s="319" t="s">
        <v>761</v>
      </c>
      <c r="F44" s="284">
        <v>0</v>
      </c>
      <c r="G44" s="284"/>
      <c r="H44" s="284"/>
      <c r="I44" s="285">
        <f t="shared" si="8"/>
        <v>0</v>
      </c>
      <c r="J44" s="286" t="s">
        <v>219</v>
      </c>
      <c r="K44" s="286"/>
      <c r="L44" s="286"/>
      <c r="M44" s="286"/>
      <c r="N44" s="286"/>
      <c r="O44" s="286"/>
      <c r="P44" s="286"/>
      <c r="Q44" s="286"/>
      <c r="R44" s="286"/>
      <c r="S44" s="287"/>
      <c r="T44" s="63"/>
      <c r="U44" s="10" t="s">
        <v>762</v>
      </c>
      <c r="V44" s="90"/>
      <c r="W44" s="136"/>
      <c r="X44" s="137"/>
    </row>
    <row r="45" spans="1:24">
      <c r="A45" s="2"/>
      <c r="B45" s="11"/>
      <c r="C45" s="36"/>
      <c r="D45" s="10"/>
      <c r="E45" s="10"/>
      <c r="F45" s="97">
        <f>SUM(F39:F44)</f>
        <v>25975</v>
      </c>
      <c r="G45" s="97">
        <f>SUM(G39:G44)</f>
        <v>198.5</v>
      </c>
      <c r="H45" s="97">
        <f>SUM(H39:H44)</f>
        <v>0</v>
      </c>
      <c r="I45" s="98">
        <f>SUM(I39:I44)</f>
        <v>25776.499999999996</v>
      </c>
      <c r="J45" s="10"/>
      <c r="K45" s="10"/>
      <c r="L45" s="10"/>
      <c r="M45" s="10"/>
      <c r="N45" s="10"/>
      <c r="O45" s="10"/>
      <c r="P45" s="10"/>
      <c r="Q45" s="10"/>
      <c r="R45" s="10"/>
      <c r="S45" s="10"/>
      <c r="T45" s="63"/>
      <c r="U45" s="10"/>
      <c r="V45" s="138"/>
      <c r="W45" s="136"/>
      <c r="X45" s="137"/>
    </row>
    <row r="46" spans="1:24">
      <c r="A46" s="2"/>
      <c r="B46" s="26"/>
      <c r="C46" s="140"/>
      <c r="D46" s="141"/>
      <c r="E46" s="141"/>
      <c r="F46" s="141"/>
      <c r="G46" s="141"/>
      <c r="H46" s="141"/>
      <c r="I46" s="141"/>
      <c r="J46" s="141"/>
      <c r="K46" s="142"/>
      <c r="L46" s="142"/>
      <c r="M46" s="142"/>
      <c r="N46" s="142"/>
      <c r="O46" s="142"/>
      <c r="P46" s="142"/>
      <c r="Q46" s="142"/>
      <c r="R46" s="142"/>
      <c r="S46" s="142"/>
      <c r="T46" s="143">
        <f>SUM(T30:T45)</f>
        <v>0</v>
      </c>
      <c r="U46" s="141"/>
      <c r="V46" s="144">
        <f>SUM(V30:V45)</f>
        <v>4199.1000000000004</v>
      </c>
      <c r="W46" s="145">
        <f>SUM(W30:W45)</f>
        <v>0</v>
      </c>
      <c r="X46" s="146">
        <f>SUM(X30:X45)</f>
        <v>0</v>
      </c>
    </row>
    <row r="49" spans="1:24">
      <c r="A49" s="3"/>
      <c r="B49" s="4" t="s">
        <v>1</v>
      </c>
      <c r="C49" s="5"/>
      <c r="D49" s="6"/>
      <c r="E49" s="6"/>
      <c r="F49" s="7" t="s">
        <v>2</v>
      </c>
      <c r="G49" s="590">
        <v>45900</v>
      </c>
      <c r="H49" s="7"/>
      <c r="I49" s="6"/>
      <c r="J49" s="6"/>
      <c r="K49" s="6"/>
      <c r="L49" s="6"/>
      <c r="M49" s="6"/>
      <c r="N49" s="6"/>
      <c r="O49" s="6"/>
      <c r="P49" s="6"/>
      <c r="Q49" s="6"/>
      <c r="R49" s="6"/>
      <c r="S49" s="6"/>
      <c r="T49" s="6"/>
      <c r="U49" s="9"/>
      <c r="V49" s="10"/>
      <c r="W49" s="10"/>
      <c r="X49" s="10"/>
    </row>
    <row r="50" spans="1:24">
      <c r="A50" s="2"/>
      <c r="B50" s="11"/>
      <c r="C50" s="10"/>
      <c r="D50" s="10"/>
      <c r="E50" s="10"/>
      <c r="F50" s="10"/>
      <c r="G50" s="7"/>
      <c r="H50" s="12"/>
      <c r="I50" s="10"/>
      <c r="J50" s="10"/>
      <c r="K50" s="13" t="s">
        <v>3</v>
      </c>
      <c r="L50" s="14"/>
      <c r="M50" s="15"/>
      <c r="N50" s="13" t="s">
        <v>4</v>
      </c>
      <c r="O50" s="14"/>
      <c r="P50" s="15"/>
      <c r="Q50" s="13" t="s">
        <v>5</v>
      </c>
      <c r="R50" s="14"/>
      <c r="S50" s="15"/>
      <c r="T50" s="16"/>
      <c r="U50" s="17"/>
      <c r="V50" s="10"/>
      <c r="W50" s="10"/>
      <c r="X50" s="10"/>
    </row>
    <row r="51" spans="1:24">
      <c r="A51" s="2"/>
      <c r="B51" s="18" t="s">
        <v>6</v>
      </c>
      <c r="C51" s="19">
        <f>C52+C53</f>
        <v>28</v>
      </c>
      <c r="D51" s="10"/>
      <c r="E51" s="18" t="s">
        <v>7</v>
      </c>
      <c r="F51" s="6"/>
      <c r="G51" s="9"/>
      <c r="H51" s="10"/>
      <c r="I51" s="10"/>
      <c r="J51" s="10"/>
      <c r="K51" s="20" t="s">
        <v>8</v>
      </c>
      <c r="L51" s="21" t="s">
        <v>9</v>
      </c>
      <c r="M51" s="21" t="s">
        <v>10</v>
      </c>
      <c r="N51" s="20" t="s">
        <v>11</v>
      </c>
      <c r="O51" s="21" t="s">
        <v>12</v>
      </c>
      <c r="P51" s="22" t="s">
        <v>13</v>
      </c>
      <c r="Q51" s="21" t="s">
        <v>11</v>
      </c>
      <c r="R51" s="21" t="s">
        <v>12</v>
      </c>
      <c r="S51" s="22" t="s">
        <v>13</v>
      </c>
      <c r="T51" s="23" t="s">
        <v>14</v>
      </c>
      <c r="U51" s="17"/>
      <c r="V51" s="10"/>
      <c r="W51" s="10"/>
      <c r="X51" s="10"/>
    </row>
    <row r="52" spans="1:24">
      <c r="A52" s="2"/>
      <c r="B52" s="24" t="s">
        <v>15</v>
      </c>
      <c r="C52" s="25">
        <f>P59</f>
        <v>14</v>
      </c>
      <c r="D52" s="10"/>
      <c r="E52" s="26" t="s">
        <v>16</v>
      </c>
      <c r="F52" s="27">
        <v>0.05</v>
      </c>
      <c r="G52" s="28"/>
      <c r="H52" s="10"/>
      <c r="I52" s="10"/>
      <c r="J52" s="18" t="s">
        <v>17</v>
      </c>
      <c r="K52" s="29">
        <f>K91</f>
        <v>14</v>
      </c>
      <c r="L52" s="29">
        <f t="shared" ref="L52:S52" si="10">L91</f>
        <v>13</v>
      </c>
      <c r="M52" s="29">
        <f t="shared" si="10"/>
        <v>14</v>
      </c>
      <c r="N52" s="29">
        <f t="shared" si="10"/>
        <v>14</v>
      </c>
      <c r="O52" s="29">
        <f t="shared" si="10"/>
        <v>14</v>
      </c>
      <c r="P52" s="29">
        <f t="shared" si="10"/>
        <v>13</v>
      </c>
      <c r="Q52" s="29">
        <f t="shared" si="10"/>
        <v>14</v>
      </c>
      <c r="R52" s="29">
        <f t="shared" si="10"/>
        <v>14</v>
      </c>
      <c r="S52" s="29">
        <f t="shared" si="10"/>
        <v>8</v>
      </c>
      <c r="T52" s="30">
        <f>T113</f>
        <v>5</v>
      </c>
      <c r="U52" s="17"/>
      <c r="V52" s="10"/>
      <c r="W52" s="10"/>
      <c r="X52" s="10"/>
    </row>
    <row r="53" spans="1:24">
      <c r="A53" s="2"/>
      <c r="B53" s="24" t="s">
        <v>18</v>
      </c>
      <c r="C53" s="25">
        <f>P60</f>
        <v>14</v>
      </c>
      <c r="D53" s="10"/>
      <c r="E53" s="10"/>
      <c r="F53" s="10"/>
      <c r="G53" s="31"/>
      <c r="H53" s="10"/>
      <c r="I53" s="10"/>
      <c r="J53" s="32" t="s">
        <v>19</v>
      </c>
      <c r="K53" s="33">
        <f>K91/K90</f>
        <v>1</v>
      </c>
      <c r="L53" s="33">
        <f t="shared" ref="L53:S53" si="11">L91/L90</f>
        <v>0.9285714285714286</v>
      </c>
      <c r="M53" s="33">
        <f t="shared" si="11"/>
        <v>1</v>
      </c>
      <c r="N53" s="33">
        <f t="shared" si="11"/>
        <v>1</v>
      </c>
      <c r="O53" s="33">
        <f t="shared" si="11"/>
        <v>1</v>
      </c>
      <c r="P53" s="33">
        <f t="shared" si="11"/>
        <v>0.9285714285714286</v>
      </c>
      <c r="Q53" s="33">
        <f t="shared" si="11"/>
        <v>1</v>
      </c>
      <c r="R53" s="33">
        <f t="shared" si="11"/>
        <v>1</v>
      </c>
      <c r="S53" s="33">
        <f t="shared" si="11"/>
        <v>0.5714285714285714</v>
      </c>
      <c r="T53" s="23"/>
      <c r="U53" s="17" t="s">
        <v>20</v>
      </c>
      <c r="V53" s="10"/>
      <c r="W53" s="10"/>
      <c r="X53" s="10"/>
    </row>
    <row r="54" spans="1:24">
      <c r="A54" s="2"/>
      <c r="B54" s="24" t="s">
        <v>21</v>
      </c>
      <c r="C54" s="34">
        <f>P61</f>
        <v>0.5</v>
      </c>
      <c r="D54" s="10"/>
      <c r="E54" s="10"/>
      <c r="F54" s="10"/>
      <c r="G54" s="10"/>
      <c r="H54" s="10"/>
      <c r="I54" s="10"/>
      <c r="J54" s="10"/>
      <c r="K54" s="10"/>
      <c r="L54" s="10"/>
      <c r="M54" s="10"/>
      <c r="N54" s="10"/>
      <c r="O54" s="10"/>
      <c r="P54" s="10"/>
      <c r="Q54" s="10"/>
      <c r="R54" s="10"/>
      <c r="S54" s="10"/>
      <c r="T54" s="10"/>
      <c r="U54" s="17"/>
      <c r="V54" s="10"/>
      <c r="W54" s="10"/>
      <c r="X54" s="10"/>
    </row>
    <row r="55" spans="1:24">
      <c r="A55" s="2"/>
      <c r="B55" s="24"/>
      <c r="C55" s="25"/>
      <c r="D55" s="10"/>
      <c r="E55" s="10"/>
      <c r="F55" s="18" t="s">
        <v>22</v>
      </c>
      <c r="G55" s="19" t="s">
        <v>23</v>
      </c>
      <c r="H55" s="35" t="s">
        <v>24</v>
      </c>
      <c r="I55" s="10"/>
      <c r="J55" s="10"/>
      <c r="K55" s="36"/>
      <c r="L55" s="36"/>
      <c r="M55" s="36"/>
      <c r="N55" s="36"/>
      <c r="O55" s="36"/>
      <c r="P55" s="36"/>
      <c r="Q55" s="36"/>
      <c r="R55" s="10"/>
      <c r="S55" s="10"/>
      <c r="T55" s="10"/>
      <c r="U55" s="17"/>
      <c r="V55" s="10"/>
      <c r="W55" s="10"/>
      <c r="X55" s="10"/>
    </row>
    <row r="56" spans="1:24">
      <c r="A56" s="2"/>
      <c r="B56" s="32" t="s">
        <v>25</v>
      </c>
      <c r="C56" s="37">
        <f>P62</f>
        <v>1362.9185714285716</v>
      </c>
      <c r="D56" s="10"/>
      <c r="E56" s="18" t="s">
        <v>26</v>
      </c>
      <c r="F56" s="38">
        <f>P58</f>
        <v>19080.86</v>
      </c>
      <c r="G56" s="39">
        <f>I90</f>
        <v>19080.86</v>
      </c>
      <c r="H56" s="40"/>
      <c r="I56" s="41"/>
      <c r="J56" s="42"/>
      <c r="K56" s="43" t="s">
        <v>27</v>
      </c>
      <c r="L56" s="44"/>
      <c r="M56" s="44"/>
      <c r="N56" s="44"/>
      <c r="O56" s="44"/>
      <c r="P56" s="44"/>
      <c r="Q56" s="45"/>
      <c r="R56" s="46" t="s">
        <v>28</v>
      </c>
      <c r="S56" s="47" t="s">
        <v>29</v>
      </c>
      <c r="T56" s="10"/>
      <c r="U56" s="17"/>
      <c r="V56" s="10"/>
      <c r="W56" s="10"/>
      <c r="X56" s="10"/>
    </row>
    <row r="57" spans="1:24">
      <c r="A57" s="2"/>
      <c r="B57" s="11"/>
      <c r="C57" s="10"/>
      <c r="D57" s="10"/>
      <c r="E57" s="24" t="s">
        <v>30</v>
      </c>
      <c r="F57" s="48">
        <f>F52</f>
        <v>0.05</v>
      </c>
      <c r="G57" s="17"/>
      <c r="H57" s="40"/>
      <c r="I57" s="41"/>
      <c r="J57" s="42"/>
      <c r="K57" s="20" t="s">
        <v>31</v>
      </c>
      <c r="L57" s="21" t="s">
        <v>32</v>
      </c>
      <c r="M57" s="21" t="s">
        <v>33</v>
      </c>
      <c r="N57" s="21" t="s">
        <v>34</v>
      </c>
      <c r="O57" s="21" t="s">
        <v>35</v>
      </c>
      <c r="P57" s="21" t="s">
        <v>36</v>
      </c>
      <c r="Q57" s="49" t="s">
        <v>37</v>
      </c>
      <c r="R57" s="50" t="s">
        <v>38</v>
      </c>
      <c r="S57" s="50" t="s">
        <v>38</v>
      </c>
      <c r="T57" s="10"/>
      <c r="U57" s="17"/>
      <c r="V57" s="10"/>
      <c r="W57" s="10"/>
      <c r="X57" s="10"/>
    </row>
    <row r="58" spans="1:24">
      <c r="A58" s="2"/>
      <c r="B58" s="11"/>
      <c r="C58" s="10"/>
      <c r="D58" s="10"/>
      <c r="E58" s="51" t="s">
        <v>39</v>
      </c>
      <c r="F58" s="52">
        <f>(F56+F65-I78-I80)*F57</f>
        <v>876.82550000000015</v>
      </c>
      <c r="G58" s="53" t="s">
        <v>40</v>
      </c>
      <c r="H58" s="54">
        <f>F58/1.12</f>
        <v>782.87991071428576</v>
      </c>
      <c r="I58" s="55"/>
      <c r="J58" s="42"/>
      <c r="K58" s="56">
        <f>I77+I78+I79+I80+I81+I76</f>
        <v>5781.5</v>
      </c>
      <c r="L58" s="57">
        <v>0</v>
      </c>
      <c r="M58" s="57">
        <f>I82+I83</f>
        <v>3966.3999999999996</v>
      </c>
      <c r="N58" s="57">
        <f>I84+I85+I86+I87</f>
        <v>5469.0300000000007</v>
      </c>
      <c r="O58" s="57">
        <f>I88+I89</f>
        <v>3863.9300000000003</v>
      </c>
      <c r="P58" s="57">
        <f>SUM(K58:O58)</f>
        <v>19080.86</v>
      </c>
      <c r="Q58" s="58">
        <v>0</v>
      </c>
      <c r="R58" s="59">
        <v>0</v>
      </c>
      <c r="S58" s="59">
        <v>0</v>
      </c>
      <c r="T58" s="10"/>
      <c r="U58" s="17"/>
      <c r="V58" s="10"/>
      <c r="W58" s="10"/>
      <c r="X58" s="10"/>
    </row>
    <row r="59" spans="1:24">
      <c r="A59" s="2"/>
      <c r="B59" s="11"/>
      <c r="C59" s="10"/>
      <c r="D59" s="10"/>
      <c r="E59" s="24" t="s">
        <v>41</v>
      </c>
      <c r="F59" s="60">
        <f>Q58</f>
        <v>0</v>
      </c>
      <c r="G59" s="61" t="s">
        <v>40</v>
      </c>
      <c r="H59" s="62"/>
      <c r="I59" s="62"/>
      <c r="J59" s="10" t="s">
        <v>42</v>
      </c>
      <c r="K59" s="63">
        <v>6</v>
      </c>
      <c r="L59" s="63">
        <v>0</v>
      </c>
      <c r="M59" s="63">
        <v>2</v>
      </c>
      <c r="N59" s="63">
        <v>4</v>
      </c>
      <c r="O59" s="63">
        <v>2</v>
      </c>
      <c r="P59" s="21">
        <f>SUM(K59:O59)</f>
        <v>14</v>
      </c>
      <c r="Q59" s="64"/>
      <c r="R59" s="63"/>
      <c r="S59" s="10"/>
      <c r="T59" s="10"/>
      <c r="U59" s="17"/>
      <c r="V59" s="10"/>
      <c r="W59" s="10"/>
      <c r="X59" s="10"/>
    </row>
    <row r="60" spans="1:24">
      <c r="A60" s="2"/>
      <c r="B60" s="11"/>
      <c r="C60" s="10"/>
      <c r="D60" s="10"/>
      <c r="E60" s="51" t="s">
        <v>43</v>
      </c>
      <c r="F60" s="52">
        <f>F59*0.25</f>
        <v>0</v>
      </c>
      <c r="G60" s="53" t="s">
        <v>40</v>
      </c>
      <c r="H60" s="54">
        <f>F60/1.12</f>
        <v>0</v>
      </c>
      <c r="I60" s="10"/>
      <c r="J60" s="10" t="s">
        <v>44</v>
      </c>
      <c r="K60" s="63">
        <v>4</v>
      </c>
      <c r="L60" s="63">
        <v>0</v>
      </c>
      <c r="M60" s="63">
        <v>4</v>
      </c>
      <c r="N60" s="63">
        <v>1</v>
      </c>
      <c r="O60" s="63">
        <v>5</v>
      </c>
      <c r="P60" s="21">
        <f>SUM(K60:O60)</f>
        <v>14</v>
      </c>
      <c r="Q60" s="64"/>
      <c r="R60" s="63"/>
      <c r="S60" s="10"/>
      <c r="T60" s="10"/>
      <c r="U60" s="17"/>
      <c r="V60" s="10"/>
      <c r="W60" s="10"/>
      <c r="X60" s="10"/>
    </row>
    <row r="61" spans="1:24">
      <c r="A61" s="2"/>
      <c r="B61" s="11"/>
      <c r="C61" s="10"/>
      <c r="D61" s="10"/>
      <c r="E61" s="24" t="s">
        <v>45</v>
      </c>
      <c r="F61" s="60"/>
      <c r="G61" s="61" t="s">
        <v>40</v>
      </c>
      <c r="H61" s="62"/>
      <c r="I61" s="10"/>
      <c r="J61" s="10" t="s">
        <v>46</v>
      </c>
      <c r="K61" s="31">
        <f t="shared" ref="K61:Q61" si="12">K59/(K59+K60)</f>
        <v>0.6</v>
      </c>
      <c r="L61" s="31" t="e">
        <f t="shared" si="12"/>
        <v>#DIV/0!</v>
      </c>
      <c r="M61" s="31">
        <f t="shared" si="12"/>
        <v>0.33333333333333331</v>
      </c>
      <c r="N61" s="31">
        <f t="shared" si="12"/>
        <v>0.8</v>
      </c>
      <c r="O61" s="31">
        <f t="shared" si="12"/>
        <v>0.2857142857142857</v>
      </c>
      <c r="P61" s="31">
        <f t="shared" si="12"/>
        <v>0.5</v>
      </c>
      <c r="Q61" s="31" t="e">
        <f t="shared" si="12"/>
        <v>#DIV/0!</v>
      </c>
      <c r="R61" s="63"/>
      <c r="S61" s="10"/>
      <c r="T61" s="10"/>
      <c r="U61" s="17"/>
      <c r="V61" s="10"/>
      <c r="W61" s="10"/>
      <c r="X61" s="10"/>
    </row>
    <row r="62" spans="1:24">
      <c r="A62" s="2"/>
      <c r="B62" s="11"/>
      <c r="C62" s="10"/>
      <c r="D62" s="10"/>
      <c r="E62" s="51" t="s">
        <v>47</v>
      </c>
      <c r="F62" s="52">
        <f>F61*0.05</f>
        <v>0</v>
      </c>
      <c r="G62" s="65" t="s">
        <v>40</v>
      </c>
      <c r="H62" s="54">
        <f>F62/1.12</f>
        <v>0</v>
      </c>
      <c r="I62" s="42"/>
      <c r="J62" s="10" t="s">
        <v>48</v>
      </c>
      <c r="K62" s="66">
        <f>K58/K59</f>
        <v>963.58333333333337</v>
      </c>
      <c r="L62" s="66" t="e">
        <f t="shared" ref="L62:Q62" si="13">L58/L59</f>
        <v>#DIV/0!</v>
      </c>
      <c r="M62" s="66">
        <f t="shared" si="13"/>
        <v>1983.1999999999998</v>
      </c>
      <c r="N62" s="66">
        <f t="shared" si="13"/>
        <v>1367.2575000000002</v>
      </c>
      <c r="O62" s="66">
        <f t="shared" si="13"/>
        <v>1931.9650000000001</v>
      </c>
      <c r="P62" s="66">
        <f t="shared" si="13"/>
        <v>1362.9185714285716</v>
      </c>
      <c r="Q62" s="66" t="e">
        <f t="shared" si="13"/>
        <v>#DIV/0!</v>
      </c>
      <c r="R62" s="63"/>
      <c r="S62" s="10"/>
      <c r="T62" s="10"/>
      <c r="U62" s="17"/>
      <c r="V62" s="10"/>
      <c r="W62" s="10"/>
      <c r="X62" s="10"/>
    </row>
    <row r="63" spans="1:24">
      <c r="A63" s="2"/>
      <c r="B63" s="11"/>
      <c r="C63" s="10"/>
      <c r="D63" s="10"/>
      <c r="E63" s="67" t="s">
        <v>14</v>
      </c>
      <c r="F63" s="68">
        <f>5*50</f>
        <v>250</v>
      </c>
      <c r="G63" s="10"/>
      <c r="H63" s="54">
        <f>F63/1.12</f>
        <v>223.21428571428569</v>
      </c>
      <c r="I63" s="10"/>
      <c r="J63" s="10"/>
      <c r="K63" s="10"/>
      <c r="L63" s="10"/>
      <c r="M63" s="10"/>
      <c r="N63" s="10"/>
      <c r="O63" s="10"/>
      <c r="P63" s="10"/>
      <c r="Q63" s="10"/>
      <c r="R63" s="10"/>
      <c r="S63" s="10"/>
      <c r="T63" s="10"/>
      <c r="U63" s="17"/>
      <c r="V63" s="10"/>
      <c r="W63" s="10"/>
      <c r="X63" s="10"/>
    </row>
    <row r="64" spans="1:24">
      <c r="A64" s="2"/>
      <c r="B64" s="11"/>
      <c r="C64" s="10"/>
      <c r="D64" s="10"/>
      <c r="E64" s="67" t="s">
        <v>49</v>
      </c>
      <c r="F64" s="69">
        <f>T53</f>
        <v>0</v>
      </c>
      <c r="G64" s="10"/>
      <c r="H64" s="54"/>
      <c r="I64" s="55"/>
      <c r="J64" s="42"/>
      <c r="K64" s="764" t="s">
        <v>50</v>
      </c>
      <c r="L64" s="764"/>
      <c r="M64" s="764"/>
      <c r="N64" s="764"/>
      <c r="O64" s="764"/>
      <c r="P64" s="764"/>
      <c r="Q64" s="764"/>
      <c r="R64" s="70" t="s">
        <v>28</v>
      </c>
      <c r="S64" s="71" t="s">
        <v>29</v>
      </c>
      <c r="T64" s="10"/>
      <c r="U64" s="17"/>
      <c r="V64" s="10"/>
      <c r="W64" s="10"/>
      <c r="X64" s="10"/>
    </row>
    <row r="65" spans="1:24">
      <c r="A65" s="2"/>
      <c r="B65" s="11"/>
      <c r="C65" s="10"/>
      <c r="D65" s="10"/>
      <c r="E65" s="74" t="s">
        <v>763</v>
      </c>
      <c r="F65" s="75">
        <v>-189.05</v>
      </c>
      <c r="G65" s="10"/>
      <c r="H65" s="10"/>
      <c r="I65" s="10"/>
      <c r="J65" s="42"/>
      <c r="K65" s="20" t="s">
        <v>31</v>
      </c>
      <c r="L65" s="21" t="s">
        <v>32</v>
      </c>
      <c r="M65" s="21" t="s">
        <v>33</v>
      </c>
      <c r="N65" s="21" t="s">
        <v>34</v>
      </c>
      <c r="O65" s="21" t="s">
        <v>35</v>
      </c>
      <c r="P65" s="21" t="s">
        <v>36</v>
      </c>
      <c r="Q65" s="49" t="s">
        <v>37</v>
      </c>
      <c r="R65" s="50" t="s">
        <v>38</v>
      </c>
      <c r="S65" s="50" t="s">
        <v>38</v>
      </c>
      <c r="T65" s="10"/>
      <c r="U65" s="17"/>
      <c r="V65" s="10"/>
      <c r="W65" s="10"/>
      <c r="X65" s="10"/>
    </row>
    <row r="66" spans="1:24">
      <c r="A66" s="2"/>
      <c r="B66" s="11"/>
      <c r="C66" s="10"/>
      <c r="D66" s="10"/>
      <c r="E66" s="12"/>
      <c r="F66" s="76"/>
      <c r="G66" s="10"/>
      <c r="H66" s="10"/>
      <c r="I66" s="10"/>
      <c r="J66" s="42"/>
      <c r="K66" s="56">
        <f>F77+F78+F79+F80+F81+F76</f>
        <v>5980</v>
      </c>
      <c r="L66" s="57">
        <v>0</v>
      </c>
      <c r="M66" s="57">
        <f>F82+F83</f>
        <v>5814</v>
      </c>
      <c r="N66" s="57">
        <f>F84+F85+F86+F87</f>
        <v>7291.18</v>
      </c>
      <c r="O66" s="57">
        <f>F88+F89</f>
        <v>4042</v>
      </c>
      <c r="P66" s="57">
        <f>SUM(K66:O66)</f>
        <v>23127.18</v>
      </c>
      <c r="Q66" s="58">
        <v>0</v>
      </c>
      <c r="R66" s="59">
        <v>0</v>
      </c>
      <c r="S66" s="59">
        <v>0</v>
      </c>
      <c r="T66" s="10"/>
      <c r="U66" s="17"/>
      <c r="V66" s="10"/>
      <c r="W66" s="10"/>
      <c r="X66" s="10"/>
    </row>
    <row r="67" spans="1:24">
      <c r="A67" s="2"/>
      <c r="B67" s="11"/>
      <c r="C67" s="10"/>
      <c r="D67" s="10"/>
      <c r="E67" s="10"/>
      <c r="F67" s="10"/>
      <c r="G67" s="10"/>
      <c r="H67" s="10"/>
      <c r="I67" s="10"/>
      <c r="J67" s="10" t="s">
        <v>42</v>
      </c>
      <c r="K67" s="63">
        <f>K59</f>
        <v>6</v>
      </c>
      <c r="L67" s="63">
        <f t="shared" ref="L67:Q68" si="14">L59</f>
        <v>0</v>
      </c>
      <c r="M67" s="63">
        <f t="shared" si="14"/>
        <v>2</v>
      </c>
      <c r="N67" s="63">
        <f t="shared" si="14"/>
        <v>4</v>
      </c>
      <c r="O67" s="63">
        <f t="shared" si="14"/>
        <v>2</v>
      </c>
      <c r="P67" s="63">
        <f t="shared" si="14"/>
        <v>14</v>
      </c>
      <c r="Q67" s="63">
        <f t="shared" si="14"/>
        <v>0</v>
      </c>
      <c r="R67" s="63"/>
      <c r="S67" s="10"/>
      <c r="T67" s="10"/>
      <c r="U67" s="17"/>
      <c r="V67" s="10"/>
      <c r="W67" s="10"/>
      <c r="X67" s="10"/>
    </row>
    <row r="68" spans="1:24">
      <c r="A68" s="2"/>
      <c r="B68" s="11"/>
      <c r="C68" s="10"/>
      <c r="D68" s="10"/>
      <c r="E68" s="10"/>
      <c r="F68" s="10"/>
      <c r="G68" s="10"/>
      <c r="H68" s="10"/>
      <c r="I68" s="10"/>
      <c r="J68" s="10" t="s">
        <v>44</v>
      </c>
      <c r="K68" s="63">
        <f>K60</f>
        <v>4</v>
      </c>
      <c r="L68" s="63">
        <f t="shared" si="14"/>
        <v>0</v>
      </c>
      <c r="M68" s="63">
        <f t="shared" si="14"/>
        <v>4</v>
      </c>
      <c r="N68" s="63">
        <f t="shared" si="14"/>
        <v>1</v>
      </c>
      <c r="O68" s="63">
        <f t="shared" si="14"/>
        <v>5</v>
      </c>
      <c r="P68" s="63">
        <f t="shared" si="14"/>
        <v>14</v>
      </c>
      <c r="Q68" s="63">
        <f t="shared" si="14"/>
        <v>0</v>
      </c>
      <c r="R68" s="63"/>
      <c r="S68" s="10"/>
      <c r="T68" s="10"/>
      <c r="U68" s="17"/>
      <c r="V68" s="10"/>
      <c r="W68" s="10"/>
      <c r="X68" s="10"/>
    </row>
    <row r="69" spans="1:24">
      <c r="A69" s="2"/>
      <c r="B69" s="11"/>
      <c r="C69" s="10"/>
      <c r="D69" s="10"/>
      <c r="E69" s="12"/>
      <c r="F69" s="76"/>
      <c r="G69" s="10"/>
      <c r="H69" s="10"/>
      <c r="I69" s="10"/>
      <c r="J69" s="10" t="s">
        <v>46</v>
      </c>
      <c r="K69" s="31">
        <f t="shared" ref="K69:Q69" si="15">K67/(K67+K68)</f>
        <v>0.6</v>
      </c>
      <c r="L69" s="31" t="e">
        <f t="shared" si="15"/>
        <v>#DIV/0!</v>
      </c>
      <c r="M69" s="31">
        <f t="shared" si="15"/>
        <v>0.33333333333333331</v>
      </c>
      <c r="N69" s="31">
        <f t="shared" si="15"/>
        <v>0.8</v>
      </c>
      <c r="O69" s="31">
        <f t="shared" si="15"/>
        <v>0.2857142857142857</v>
      </c>
      <c r="P69" s="31">
        <f t="shared" si="15"/>
        <v>0.5</v>
      </c>
      <c r="Q69" s="31" t="e">
        <f t="shared" si="15"/>
        <v>#DIV/0!</v>
      </c>
      <c r="R69" s="63"/>
      <c r="S69" s="10"/>
      <c r="T69" s="10"/>
      <c r="U69" s="17"/>
      <c r="V69" s="10"/>
      <c r="W69" s="10"/>
      <c r="X69" s="10"/>
    </row>
    <row r="70" spans="1:24">
      <c r="A70" s="2"/>
      <c r="B70" s="11"/>
      <c r="C70" s="10"/>
      <c r="D70" s="10"/>
      <c r="E70" s="10"/>
      <c r="F70" s="10"/>
      <c r="G70" s="10"/>
      <c r="H70" s="10"/>
      <c r="I70" s="10"/>
      <c r="J70" s="10" t="s">
        <v>48</v>
      </c>
      <c r="K70" s="66">
        <f t="shared" ref="K70:Q70" si="16">K66/K67</f>
        <v>996.66666666666663</v>
      </c>
      <c r="L70" s="66" t="e">
        <f t="shared" si="16"/>
        <v>#DIV/0!</v>
      </c>
      <c r="M70" s="66">
        <f t="shared" si="16"/>
        <v>2907</v>
      </c>
      <c r="N70" s="66">
        <f t="shared" si="16"/>
        <v>1822.7950000000001</v>
      </c>
      <c r="O70" s="66">
        <f t="shared" si="16"/>
        <v>2021</v>
      </c>
      <c r="P70" s="66">
        <f t="shared" si="16"/>
        <v>1651.9414285714286</v>
      </c>
      <c r="Q70" s="66" t="e">
        <f t="shared" si="16"/>
        <v>#DIV/0!</v>
      </c>
      <c r="R70" s="63"/>
      <c r="S70" s="10"/>
      <c r="T70" s="10"/>
      <c r="U70" s="17"/>
      <c r="V70" s="10"/>
      <c r="W70" s="10"/>
      <c r="X70" s="10"/>
    </row>
    <row r="71" spans="1:24">
      <c r="A71" s="2"/>
      <c r="B71" s="11"/>
      <c r="C71" s="10"/>
      <c r="D71" s="10"/>
      <c r="E71" s="10"/>
      <c r="F71" s="10"/>
      <c r="G71" s="10"/>
      <c r="H71" s="10"/>
      <c r="I71" s="10"/>
      <c r="J71" s="10"/>
      <c r="K71" s="10"/>
      <c r="L71" s="10"/>
      <c r="M71" s="10"/>
      <c r="N71" s="10"/>
      <c r="O71" s="10"/>
      <c r="P71" s="10"/>
      <c r="Q71" s="10"/>
      <c r="R71" s="10"/>
      <c r="S71" s="10"/>
      <c r="T71" s="10"/>
      <c r="U71" s="17"/>
      <c r="V71" s="10"/>
      <c r="W71" s="10"/>
      <c r="X71" s="10"/>
    </row>
    <row r="72" spans="1:24">
      <c r="A72" s="2"/>
      <c r="B72" s="11"/>
      <c r="C72" s="10"/>
      <c r="D72" s="10"/>
      <c r="E72" s="10"/>
      <c r="F72" s="10"/>
      <c r="G72" s="10"/>
      <c r="H72" s="10"/>
      <c r="I72" s="10"/>
      <c r="J72" s="10"/>
      <c r="K72" s="10"/>
      <c r="L72" s="10"/>
      <c r="M72" s="10"/>
      <c r="N72" s="10"/>
      <c r="O72" s="10"/>
      <c r="P72" s="10"/>
      <c r="Q72" s="10"/>
      <c r="R72" s="10"/>
      <c r="S72" s="10"/>
      <c r="T72" s="10"/>
      <c r="U72" s="17"/>
      <c r="V72" s="10"/>
      <c r="W72" s="10"/>
      <c r="X72" s="10"/>
    </row>
    <row r="73" spans="1:24">
      <c r="A73" s="2"/>
      <c r="B73" s="18" t="s">
        <v>51</v>
      </c>
      <c r="C73" s="14"/>
      <c r="D73" s="14"/>
      <c r="E73" s="14"/>
      <c r="F73" s="13" t="s">
        <v>52</v>
      </c>
      <c r="G73" s="14"/>
      <c r="H73" s="14"/>
      <c r="I73" s="14"/>
      <c r="J73" s="14"/>
      <c r="K73" s="13" t="s">
        <v>3</v>
      </c>
      <c r="L73" s="14"/>
      <c r="M73" s="14"/>
      <c r="N73" s="13" t="s">
        <v>4</v>
      </c>
      <c r="O73" s="14"/>
      <c r="P73" s="14"/>
      <c r="Q73" s="13" t="s">
        <v>5</v>
      </c>
      <c r="R73" s="14"/>
      <c r="S73" s="14"/>
      <c r="T73" s="18"/>
      <c r="U73" s="16" t="s">
        <v>53</v>
      </c>
      <c r="V73" s="77"/>
      <c r="W73" s="77"/>
      <c r="X73" s="77"/>
    </row>
    <row r="74" spans="1:24">
      <c r="A74" s="2"/>
      <c r="B74" s="24" t="s">
        <v>54</v>
      </c>
      <c r="C74" s="21" t="s">
        <v>55</v>
      </c>
      <c r="D74" s="21" t="s">
        <v>56</v>
      </c>
      <c r="E74" s="21" t="s">
        <v>57</v>
      </c>
      <c r="F74" s="20" t="s">
        <v>58</v>
      </c>
      <c r="G74" s="21" t="s">
        <v>59</v>
      </c>
      <c r="H74" s="21" t="s">
        <v>60</v>
      </c>
      <c r="I74" s="21" t="s">
        <v>26</v>
      </c>
      <c r="J74" s="22" t="s">
        <v>61</v>
      </c>
      <c r="K74" s="21" t="s">
        <v>8</v>
      </c>
      <c r="L74" s="21" t="s">
        <v>9</v>
      </c>
      <c r="M74" s="21" t="s">
        <v>10</v>
      </c>
      <c r="N74" s="20" t="s">
        <v>11</v>
      </c>
      <c r="O74" s="21" t="s">
        <v>12</v>
      </c>
      <c r="P74" s="22" t="s">
        <v>13</v>
      </c>
      <c r="Q74" s="21" t="s">
        <v>11</v>
      </c>
      <c r="R74" s="21" t="s">
        <v>12</v>
      </c>
      <c r="S74" s="21" t="s">
        <v>13</v>
      </c>
      <c r="T74" s="78" t="s">
        <v>14</v>
      </c>
      <c r="U74" s="30"/>
      <c r="V74" s="79" t="s">
        <v>62</v>
      </c>
      <c r="W74" s="80" t="s">
        <v>63</v>
      </c>
      <c r="X74" s="81" t="s">
        <v>64</v>
      </c>
    </row>
    <row r="75" spans="1:24">
      <c r="A75" s="2"/>
      <c r="B75" s="4" t="s">
        <v>65</v>
      </c>
      <c r="C75" s="6"/>
      <c r="D75" s="6"/>
      <c r="E75" s="6"/>
      <c r="F75" s="6"/>
      <c r="G75" s="6"/>
      <c r="H75" s="6"/>
      <c r="I75" s="82"/>
      <c r="J75" s="6"/>
      <c r="K75" s="6"/>
      <c r="L75" s="6"/>
      <c r="M75" s="6"/>
      <c r="N75" s="6"/>
      <c r="O75" s="6"/>
      <c r="P75" s="6"/>
      <c r="Q75" s="6"/>
      <c r="R75" s="6"/>
      <c r="S75" s="6"/>
      <c r="T75" s="83"/>
      <c r="U75" s="6"/>
      <c r="V75" s="84"/>
      <c r="W75" s="85"/>
      <c r="X75" s="86"/>
    </row>
    <row r="76" spans="1:24">
      <c r="A76" s="2"/>
      <c r="B76" s="87">
        <v>1</v>
      </c>
      <c r="C76" s="274">
        <v>45894</v>
      </c>
      <c r="D76" s="327">
        <v>72519</v>
      </c>
      <c r="E76" s="281" t="s">
        <v>739</v>
      </c>
      <c r="F76" s="277">
        <v>1513</v>
      </c>
      <c r="G76" s="277">
        <v>39.700000000000003</v>
      </c>
      <c r="H76" s="277"/>
      <c r="I76" s="278">
        <f>F76-G76-H76</f>
        <v>1473.3</v>
      </c>
      <c r="J76" s="279" t="s">
        <v>374</v>
      </c>
      <c r="K76" s="279">
        <v>1</v>
      </c>
      <c r="L76" s="279">
        <v>1</v>
      </c>
      <c r="M76" s="279">
        <v>1</v>
      </c>
      <c r="N76" s="279">
        <v>1</v>
      </c>
      <c r="O76" s="279">
        <v>1</v>
      </c>
      <c r="P76" s="279">
        <v>1</v>
      </c>
      <c r="Q76" s="279">
        <v>1</v>
      </c>
      <c r="R76" s="279">
        <v>1</v>
      </c>
      <c r="S76" s="280">
        <v>1</v>
      </c>
      <c r="T76" s="63"/>
      <c r="U76" s="10"/>
      <c r="V76" s="90">
        <v>1664.3</v>
      </c>
      <c r="W76" s="578"/>
      <c r="X76" s="579"/>
    </row>
    <row r="77" spans="1:24">
      <c r="A77" s="2"/>
      <c r="B77" s="87">
        <f>B76+1</f>
        <v>2</v>
      </c>
      <c r="C77" s="295">
        <v>45894</v>
      </c>
      <c r="D77" s="323">
        <v>72582</v>
      </c>
      <c r="E77" s="10" t="s">
        <v>464</v>
      </c>
      <c r="F77" s="62">
        <v>1035</v>
      </c>
      <c r="G77" s="62">
        <v>39.700000000000003</v>
      </c>
      <c r="H77" s="88"/>
      <c r="I77" s="324">
        <f t="shared" ref="I77:I89" si="17">F77-G77-H77</f>
        <v>995.3</v>
      </c>
      <c r="J77" s="63" t="s">
        <v>156</v>
      </c>
      <c r="K77" s="63">
        <v>1</v>
      </c>
      <c r="L77" s="63">
        <v>1</v>
      </c>
      <c r="M77" s="63">
        <v>1</v>
      </c>
      <c r="N77" s="63">
        <v>1</v>
      </c>
      <c r="O77" s="63">
        <v>1</v>
      </c>
      <c r="P77" s="63">
        <v>1</v>
      </c>
      <c r="Q77" s="63">
        <v>1</v>
      </c>
      <c r="R77" s="63">
        <v>1</v>
      </c>
      <c r="S77" s="326">
        <v>0</v>
      </c>
      <c r="T77" s="63"/>
      <c r="U77" s="10"/>
      <c r="V77" s="90">
        <v>1138.5</v>
      </c>
      <c r="W77" s="91"/>
      <c r="X77" s="92"/>
    </row>
    <row r="78" spans="1:24">
      <c r="A78" s="2" t="s">
        <v>230</v>
      </c>
      <c r="B78" s="87">
        <f t="shared" ref="B78:B89" si="18">B77+1</f>
        <v>3</v>
      </c>
      <c r="C78" s="295">
        <v>45894</v>
      </c>
      <c r="D78" s="323">
        <v>72583</v>
      </c>
      <c r="E78" s="10" t="s">
        <v>211</v>
      </c>
      <c r="F78" s="62">
        <f>814-100</f>
        <v>714</v>
      </c>
      <c r="G78" s="62">
        <v>39.700000000000003</v>
      </c>
      <c r="H78" s="62"/>
      <c r="I78" s="369">
        <f t="shared" si="17"/>
        <v>674.3</v>
      </c>
      <c r="J78" s="63" t="s">
        <v>156</v>
      </c>
      <c r="K78" s="63">
        <v>1</v>
      </c>
      <c r="L78" s="63">
        <v>1</v>
      </c>
      <c r="M78" s="63">
        <v>1</v>
      </c>
      <c r="N78" s="63">
        <v>1</v>
      </c>
      <c r="O78" s="63">
        <v>1</v>
      </c>
      <c r="P78" s="63">
        <v>1</v>
      </c>
      <c r="Q78" s="63">
        <v>1</v>
      </c>
      <c r="R78" s="63">
        <v>1</v>
      </c>
      <c r="S78" s="296">
        <v>1</v>
      </c>
      <c r="T78" s="21">
        <v>1</v>
      </c>
      <c r="U78" s="10"/>
      <c r="V78" s="90">
        <v>895.4</v>
      </c>
      <c r="W78" s="91"/>
      <c r="X78" s="92"/>
    </row>
    <row r="79" spans="1:24">
      <c r="A79" s="93"/>
      <c r="B79" s="87">
        <f t="shared" si="18"/>
        <v>4</v>
      </c>
      <c r="C79" s="295">
        <v>45894</v>
      </c>
      <c r="D79" s="323">
        <v>72615</v>
      </c>
      <c r="E79" s="10" t="s">
        <v>764</v>
      </c>
      <c r="F79" s="62">
        <v>861</v>
      </c>
      <c r="G79" s="62">
        <v>39.700000000000003</v>
      </c>
      <c r="H79" s="62"/>
      <c r="I79" s="324">
        <f t="shared" si="17"/>
        <v>821.3</v>
      </c>
      <c r="J79" s="63" t="s">
        <v>156</v>
      </c>
      <c r="K79" s="63">
        <v>1</v>
      </c>
      <c r="L79" s="63">
        <v>1</v>
      </c>
      <c r="M79" s="63">
        <v>1</v>
      </c>
      <c r="N79" s="63">
        <v>1</v>
      </c>
      <c r="O79" s="63">
        <v>1</v>
      </c>
      <c r="P79" s="63">
        <v>1</v>
      </c>
      <c r="Q79" s="63">
        <v>1</v>
      </c>
      <c r="R79" s="63">
        <v>1</v>
      </c>
      <c r="S79" s="326">
        <v>0</v>
      </c>
      <c r="T79" s="21">
        <v>1</v>
      </c>
      <c r="U79" s="10" t="s">
        <v>765</v>
      </c>
      <c r="V79" s="90">
        <v>947.1</v>
      </c>
      <c r="W79" s="91"/>
      <c r="X79" s="92"/>
    </row>
    <row r="80" spans="1:24">
      <c r="A80" s="2"/>
      <c r="B80" s="87">
        <f t="shared" si="18"/>
        <v>5</v>
      </c>
      <c r="C80" s="295">
        <v>45894</v>
      </c>
      <c r="D80" s="323">
        <v>72588</v>
      </c>
      <c r="E80" s="94" t="s">
        <v>346</v>
      </c>
      <c r="F80" s="62">
        <v>681</v>
      </c>
      <c r="G80" s="62"/>
      <c r="H80" s="62"/>
      <c r="I80" s="369">
        <f t="shared" si="17"/>
        <v>681</v>
      </c>
      <c r="J80" s="63" t="s">
        <v>156</v>
      </c>
      <c r="K80" s="63">
        <v>1</v>
      </c>
      <c r="L80" s="325">
        <v>0</v>
      </c>
      <c r="M80" s="63">
        <v>1</v>
      </c>
      <c r="N80" s="63">
        <v>1</v>
      </c>
      <c r="O80" s="63">
        <v>1</v>
      </c>
      <c r="P80" s="63">
        <v>1</v>
      </c>
      <c r="Q80" s="63">
        <v>1</v>
      </c>
      <c r="R80" s="63">
        <v>1</v>
      </c>
      <c r="S80" s="326">
        <v>0</v>
      </c>
      <c r="T80" s="63"/>
      <c r="U80" s="10" t="s">
        <v>766</v>
      </c>
      <c r="V80" s="90">
        <v>749.1</v>
      </c>
      <c r="W80" s="91"/>
      <c r="X80" s="92"/>
    </row>
    <row r="81" spans="1:24">
      <c r="A81" s="2"/>
      <c r="B81" s="87">
        <f t="shared" si="18"/>
        <v>6</v>
      </c>
      <c r="C81" s="295">
        <v>45894</v>
      </c>
      <c r="D81" s="323">
        <v>72633</v>
      </c>
      <c r="E81" s="10" t="s">
        <v>346</v>
      </c>
      <c r="F81" s="62">
        <v>1176</v>
      </c>
      <c r="G81" s="62">
        <v>39.700000000000003</v>
      </c>
      <c r="H81" s="62"/>
      <c r="I81" s="89">
        <f t="shared" si="17"/>
        <v>1136.3</v>
      </c>
      <c r="J81" s="63" t="s">
        <v>156</v>
      </c>
      <c r="K81" s="63">
        <v>1</v>
      </c>
      <c r="L81" s="63">
        <v>1</v>
      </c>
      <c r="M81" s="63">
        <v>1</v>
      </c>
      <c r="N81" s="63">
        <v>1</v>
      </c>
      <c r="O81" s="63">
        <v>1</v>
      </c>
      <c r="P81" s="63">
        <v>1</v>
      </c>
      <c r="Q81" s="63">
        <v>1</v>
      </c>
      <c r="R81" s="63">
        <v>1</v>
      </c>
      <c r="S81" s="296">
        <v>1</v>
      </c>
      <c r="T81" s="63"/>
      <c r="U81" s="10"/>
      <c r="V81" s="90">
        <v>1293.5999999999999</v>
      </c>
      <c r="W81" s="91"/>
      <c r="X81" s="92"/>
    </row>
    <row r="82" spans="1:24">
      <c r="A82" s="2"/>
      <c r="B82" s="87">
        <f>B81+1</f>
        <v>7</v>
      </c>
      <c r="C82" s="274">
        <v>45896</v>
      </c>
      <c r="D82" s="327">
        <v>72669</v>
      </c>
      <c r="E82" s="276" t="s">
        <v>327</v>
      </c>
      <c r="F82" s="277">
        <v>681</v>
      </c>
      <c r="G82" s="277"/>
      <c r="H82" s="277"/>
      <c r="I82" s="278">
        <f>F82-G82-H82</f>
        <v>681</v>
      </c>
      <c r="J82" s="279" t="s">
        <v>374</v>
      </c>
      <c r="K82" s="279">
        <v>1</v>
      </c>
      <c r="L82" s="279">
        <v>1</v>
      </c>
      <c r="M82" s="279">
        <v>1</v>
      </c>
      <c r="N82" s="279">
        <v>1</v>
      </c>
      <c r="O82" s="279">
        <v>1</v>
      </c>
      <c r="P82" s="279">
        <v>1</v>
      </c>
      <c r="Q82" s="279">
        <v>1</v>
      </c>
      <c r="R82" s="279">
        <v>1</v>
      </c>
      <c r="S82" s="280">
        <v>1</v>
      </c>
      <c r="T82" s="21">
        <v>1</v>
      </c>
      <c r="U82" s="10"/>
      <c r="V82" s="90">
        <v>749.1</v>
      </c>
      <c r="W82" s="91"/>
      <c r="X82" s="92"/>
    </row>
    <row r="83" spans="1:24">
      <c r="A83" s="2"/>
      <c r="B83" s="87">
        <f>B82+1</f>
        <v>8</v>
      </c>
      <c r="C83" s="295">
        <v>45896</v>
      </c>
      <c r="D83" s="323" t="s">
        <v>767</v>
      </c>
      <c r="E83" s="10" t="s">
        <v>253</v>
      </c>
      <c r="F83" s="62">
        <v>5133</v>
      </c>
      <c r="G83" s="62">
        <f>39.7+(1807.9)</f>
        <v>1847.6000000000001</v>
      </c>
      <c r="H83" s="62"/>
      <c r="I83" s="324">
        <f t="shared" ref="I83" si="19">F83-G83-H83</f>
        <v>3285.3999999999996</v>
      </c>
      <c r="J83" s="63" t="s">
        <v>374</v>
      </c>
      <c r="K83" s="63">
        <v>1</v>
      </c>
      <c r="L83" s="63">
        <v>1</v>
      </c>
      <c r="M83" s="63">
        <v>1</v>
      </c>
      <c r="N83" s="63">
        <v>1</v>
      </c>
      <c r="O83" s="63">
        <v>1</v>
      </c>
      <c r="P83" s="325">
        <v>0</v>
      </c>
      <c r="Q83" s="63">
        <v>1</v>
      </c>
      <c r="R83" s="63">
        <v>1</v>
      </c>
      <c r="S83" s="326">
        <v>0</v>
      </c>
      <c r="T83" s="63"/>
      <c r="U83" s="94" t="s">
        <v>768</v>
      </c>
      <c r="V83" s="90">
        <v>5646.3</v>
      </c>
      <c r="W83" s="91"/>
      <c r="X83" s="92"/>
    </row>
    <row r="84" spans="1:24">
      <c r="A84" s="2"/>
      <c r="B84" s="87">
        <f>B83+1</f>
        <v>9</v>
      </c>
      <c r="C84" s="274">
        <v>45897</v>
      </c>
      <c r="D84" s="327">
        <v>72736</v>
      </c>
      <c r="E84" s="276" t="s">
        <v>344</v>
      </c>
      <c r="F84" s="277">
        <v>681</v>
      </c>
      <c r="G84" s="277"/>
      <c r="H84" s="297"/>
      <c r="I84" s="278">
        <f t="shared" si="17"/>
        <v>681</v>
      </c>
      <c r="J84" s="279" t="s">
        <v>156</v>
      </c>
      <c r="K84" s="279">
        <v>1</v>
      </c>
      <c r="L84" s="279">
        <v>1</v>
      </c>
      <c r="M84" s="279">
        <v>1</v>
      </c>
      <c r="N84" s="279">
        <v>1</v>
      </c>
      <c r="O84" s="279">
        <v>1</v>
      </c>
      <c r="P84" s="279">
        <v>1</v>
      </c>
      <c r="Q84" s="279">
        <v>1</v>
      </c>
      <c r="R84" s="279">
        <v>1</v>
      </c>
      <c r="S84" s="280">
        <v>1</v>
      </c>
      <c r="T84" s="63"/>
      <c r="U84" s="10"/>
      <c r="V84" s="90">
        <v>749.1</v>
      </c>
      <c r="W84" s="91"/>
      <c r="X84" s="92"/>
    </row>
    <row r="85" spans="1:24">
      <c r="A85" s="2"/>
      <c r="B85" s="87">
        <f t="shared" si="18"/>
        <v>10</v>
      </c>
      <c r="C85" s="295">
        <v>45897</v>
      </c>
      <c r="D85" s="323">
        <v>72744</v>
      </c>
      <c r="E85" s="10" t="s">
        <v>769</v>
      </c>
      <c r="F85" s="62">
        <v>1681</v>
      </c>
      <c r="G85" s="62">
        <f>39.7</f>
        <v>39.700000000000003</v>
      </c>
      <c r="H85" s="88"/>
      <c r="I85" s="324">
        <f t="shared" si="17"/>
        <v>1641.3</v>
      </c>
      <c r="J85" s="63" t="s">
        <v>156</v>
      </c>
      <c r="K85" s="63">
        <v>1</v>
      </c>
      <c r="L85" s="63">
        <v>1</v>
      </c>
      <c r="M85" s="63">
        <v>1</v>
      </c>
      <c r="N85" s="63">
        <v>1</v>
      </c>
      <c r="O85" s="63">
        <v>1</v>
      </c>
      <c r="P85" s="63">
        <v>1</v>
      </c>
      <c r="Q85" s="63">
        <v>1</v>
      </c>
      <c r="R85" s="63">
        <v>1</v>
      </c>
      <c r="S85" s="326">
        <v>0</v>
      </c>
      <c r="T85" s="63"/>
      <c r="U85" s="10"/>
      <c r="V85" s="90">
        <v>1849.1</v>
      </c>
      <c r="W85" s="91"/>
      <c r="X85" s="92"/>
    </row>
    <row r="86" spans="1:24">
      <c r="A86" s="2"/>
      <c r="B86" s="87">
        <f>B85+1</f>
        <v>11</v>
      </c>
      <c r="C86" s="295">
        <v>45897</v>
      </c>
      <c r="D86" s="323">
        <v>72751</v>
      </c>
      <c r="E86" s="101" t="s">
        <v>286</v>
      </c>
      <c r="F86" s="62">
        <v>1261</v>
      </c>
      <c r="G86" s="62">
        <v>39.700000000000003</v>
      </c>
      <c r="H86" s="62"/>
      <c r="I86" s="89">
        <f t="shared" ref="I86" si="20">F86-G86-H86</f>
        <v>1221.3</v>
      </c>
      <c r="J86" s="63" t="s">
        <v>374</v>
      </c>
      <c r="K86" s="63">
        <v>1</v>
      </c>
      <c r="L86" s="63">
        <v>1</v>
      </c>
      <c r="M86" s="63">
        <v>1</v>
      </c>
      <c r="N86" s="63">
        <v>1</v>
      </c>
      <c r="O86" s="63">
        <v>1</v>
      </c>
      <c r="P86" s="63">
        <v>1</v>
      </c>
      <c r="Q86" s="63">
        <v>1</v>
      </c>
      <c r="R86" s="63">
        <v>1</v>
      </c>
      <c r="S86" s="296">
        <v>1</v>
      </c>
      <c r="T86" s="21">
        <v>1</v>
      </c>
      <c r="U86" s="10" t="s">
        <v>770</v>
      </c>
      <c r="V86" s="90">
        <v>1387.1</v>
      </c>
      <c r="W86" s="91"/>
      <c r="X86" s="92"/>
    </row>
    <row r="87" spans="1:24">
      <c r="A87" s="2"/>
      <c r="B87" s="87">
        <f>B86+1</f>
        <v>12</v>
      </c>
      <c r="C87" s="282">
        <v>45897</v>
      </c>
      <c r="D87" s="368">
        <v>72754</v>
      </c>
      <c r="E87" s="283" t="s">
        <v>355</v>
      </c>
      <c r="F87" s="284">
        <v>3668.18</v>
      </c>
      <c r="G87" s="284">
        <f>39.7+(1453.05)+250</f>
        <v>1742.75</v>
      </c>
      <c r="H87" s="284"/>
      <c r="I87" s="285">
        <f>F87-G87-H87</f>
        <v>1925.4299999999998</v>
      </c>
      <c r="J87" s="286" t="s">
        <v>156</v>
      </c>
      <c r="K87" s="286">
        <v>1</v>
      </c>
      <c r="L87" s="286">
        <v>1</v>
      </c>
      <c r="M87" s="286">
        <v>1</v>
      </c>
      <c r="N87" s="286">
        <v>1</v>
      </c>
      <c r="O87" s="286">
        <v>1</v>
      </c>
      <c r="P87" s="286">
        <v>1</v>
      </c>
      <c r="Q87" s="286">
        <v>1</v>
      </c>
      <c r="R87" s="286">
        <v>1</v>
      </c>
      <c r="S87" s="287">
        <v>1</v>
      </c>
      <c r="T87" s="63"/>
      <c r="U87" s="94" t="s">
        <v>771</v>
      </c>
      <c r="V87" s="90">
        <f>2000+2035</f>
        <v>4035</v>
      </c>
      <c r="W87" s="91"/>
      <c r="X87" s="92"/>
    </row>
    <row r="88" spans="1:24">
      <c r="A88" s="2"/>
      <c r="B88" s="87">
        <f>B87+1</f>
        <v>13</v>
      </c>
      <c r="C88" s="295">
        <v>45898</v>
      </c>
      <c r="D88" s="323">
        <v>72792</v>
      </c>
      <c r="E88" s="10" t="s">
        <v>761</v>
      </c>
      <c r="F88" s="95">
        <v>1513</v>
      </c>
      <c r="G88" s="62">
        <f>39.7</f>
        <v>39.700000000000003</v>
      </c>
      <c r="H88" s="62"/>
      <c r="I88" s="89">
        <f t="shared" si="17"/>
        <v>1473.3</v>
      </c>
      <c r="J88" s="63" t="s">
        <v>156</v>
      </c>
      <c r="K88" s="63">
        <v>1</v>
      </c>
      <c r="L88" s="63">
        <v>1</v>
      </c>
      <c r="M88" s="63">
        <v>1</v>
      </c>
      <c r="N88" s="63">
        <v>1</v>
      </c>
      <c r="O88" s="63">
        <v>1</v>
      </c>
      <c r="P88" s="63">
        <v>1</v>
      </c>
      <c r="Q88" s="63">
        <v>1</v>
      </c>
      <c r="R88" s="63">
        <v>1</v>
      </c>
      <c r="S88" s="296">
        <v>1</v>
      </c>
      <c r="T88" s="63"/>
      <c r="U88" s="10"/>
      <c r="V88" s="90">
        <v>1664.3</v>
      </c>
      <c r="W88" s="91"/>
      <c r="X88" s="92"/>
    </row>
    <row r="89" spans="1:24">
      <c r="A89" s="2"/>
      <c r="B89" s="87">
        <f t="shared" si="18"/>
        <v>14</v>
      </c>
      <c r="C89" s="282">
        <v>45898</v>
      </c>
      <c r="D89" s="368" t="s">
        <v>772</v>
      </c>
      <c r="E89" s="283" t="s">
        <v>761</v>
      </c>
      <c r="F89" s="423">
        <v>2529</v>
      </c>
      <c r="G89" s="284">
        <f>39.7+(98.67)</f>
        <v>138.37</v>
      </c>
      <c r="H89" s="284"/>
      <c r="I89" s="300">
        <f t="shared" si="17"/>
        <v>2390.63</v>
      </c>
      <c r="J89" s="286" t="s">
        <v>156</v>
      </c>
      <c r="K89" s="286">
        <v>1</v>
      </c>
      <c r="L89" s="286">
        <v>1</v>
      </c>
      <c r="M89" s="286">
        <v>1</v>
      </c>
      <c r="N89" s="286">
        <v>1</v>
      </c>
      <c r="O89" s="286">
        <v>1</v>
      </c>
      <c r="P89" s="286">
        <v>1</v>
      </c>
      <c r="Q89" s="286">
        <v>1</v>
      </c>
      <c r="R89" s="286">
        <v>1</v>
      </c>
      <c r="S89" s="370">
        <v>0</v>
      </c>
      <c r="T89" s="63"/>
      <c r="U89" s="10"/>
      <c r="V89" s="90">
        <f>300+2481.9</f>
        <v>2781.9</v>
      </c>
      <c r="W89" s="91"/>
      <c r="X89" s="92"/>
    </row>
    <row r="90" spans="1:24">
      <c r="A90" s="2"/>
      <c r="B90" s="87"/>
      <c r="C90" s="36"/>
      <c r="D90" s="10"/>
      <c r="E90" s="10"/>
      <c r="F90" s="98">
        <f>SUM(F76:F89)</f>
        <v>23127.18</v>
      </c>
      <c r="G90" s="98">
        <f>SUM(G76:G89)</f>
        <v>4046.3199999999997</v>
      </c>
      <c r="H90" s="98">
        <f>SUM(H76:H89)</f>
        <v>0</v>
      </c>
      <c r="I90" s="98">
        <f>SUM(I76:I89)</f>
        <v>19080.86</v>
      </c>
      <c r="J90" s="63"/>
      <c r="K90" s="63">
        <f>COUNT(K76:K89)</f>
        <v>14</v>
      </c>
      <c r="L90" s="63">
        <f>COUNT(L76:L89)</f>
        <v>14</v>
      </c>
      <c r="M90" s="63">
        <f>COUNT(M76:M89)</f>
        <v>14</v>
      </c>
      <c r="N90" s="63">
        <f>COUNT(N76:N89)</f>
        <v>14</v>
      </c>
      <c r="O90" s="63">
        <f>COUNT(O76:O89)</f>
        <v>14</v>
      </c>
      <c r="P90" s="63">
        <f>COUNT(P76:P89)</f>
        <v>14</v>
      </c>
      <c r="Q90" s="63">
        <f>COUNT(Q76:Q89)</f>
        <v>14</v>
      </c>
      <c r="R90" s="63">
        <f>COUNT(R76:R89)</f>
        <v>14</v>
      </c>
      <c r="S90" s="63">
        <f>COUNT(S76:S89)</f>
        <v>14</v>
      </c>
      <c r="T90" s="63"/>
      <c r="U90" s="10"/>
      <c r="V90" s="90"/>
      <c r="W90" s="91"/>
      <c r="X90" s="92"/>
    </row>
    <row r="91" spans="1:24">
      <c r="A91" s="2"/>
      <c r="B91" s="87"/>
      <c r="C91" s="36"/>
      <c r="D91" s="10"/>
      <c r="E91" s="10"/>
      <c r="F91" s="88"/>
      <c r="G91" s="88"/>
      <c r="H91" s="88"/>
      <c r="I91" s="99"/>
      <c r="J91" s="63"/>
      <c r="K91" s="21">
        <f>SUM(K76:K89)</f>
        <v>14</v>
      </c>
      <c r="L91" s="21">
        <f>SUM(L76:L89)</f>
        <v>13</v>
      </c>
      <c r="M91" s="21">
        <f>SUM(M76:M89)</f>
        <v>14</v>
      </c>
      <c r="N91" s="21">
        <f>SUM(N76:N89)</f>
        <v>14</v>
      </c>
      <c r="O91" s="21">
        <f>SUM(O76:O89)</f>
        <v>14</v>
      </c>
      <c r="P91" s="21">
        <f>SUM(P76:P89)</f>
        <v>13</v>
      </c>
      <c r="Q91" s="21">
        <f>SUM(Q76:Q89)</f>
        <v>14</v>
      </c>
      <c r="R91" s="21">
        <f>SUM(R76:R89)</f>
        <v>14</v>
      </c>
      <c r="S91" s="21">
        <f>SUM(S76:S89)</f>
        <v>8</v>
      </c>
      <c r="T91" s="21"/>
      <c r="U91" s="10"/>
      <c r="V91" s="90"/>
      <c r="W91" s="91"/>
      <c r="X91" s="92"/>
    </row>
    <row r="92" spans="1:24">
      <c r="A92" s="2"/>
      <c r="B92" s="11"/>
      <c r="C92" s="36"/>
      <c r="D92" s="10"/>
      <c r="E92" s="10"/>
      <c r="F92" s="88"/>
      <c r="G92" s="88"/>
      <c r="H92" s="88"/>
      <c r="I92" s="99"/>
      <c r="J92" s="63"/>
      <c r="K92" s="21"/>
      <c r="L92" s="21"/>
      <c r="M92" s="21"/>
      <c r="N92" s="21"/>
      <c r="O92" s="21"/>
      <c r="P92" s="21"/>
      <c r="Q92" s="21"/>
      <c r="R92" s="21"/>
      <c r="S92" s="21"/>
      <c r="T92" s="63"/>
      <c r="U92" s="94"/>
      <c r="V92" s="90"/>
      <c r="W92" s="91"/>
      <c r="X92" s="92"/>
    </row>
    <row r="93" spans="1:24" s="260" customFormat="1">
      <c r="A93" s="181"/>
      <c r="B93" s="100" t="s">
        <v>152</v>
      </c>
      <c r="C93" s="36"/>
      <c r="D93" s="10"/>
      <c r="E93" s="10"/>
      <c r="F93" s="88"/>
      <c r="G93" s="62"/>
      <c r="H93" s="88"/>
      <c r="I93" s="99"/>
      <c r="J93" s="63"/>
      <c r="K93" s="181"/>
      <c r="L93" s="181"/>
      <c r="M93" s="181"/>
      <c r="N93" s="181"/>
      <c r="O93" s="181"/>
      <c r="P93" s="181"/>
      <c r="Q93" s="181"/>
      <c r="R93" s="181"/>
      <c r="S93" s="181"/>
      <c r="T93" s="63"/>
      <c r="U93" s="10"/>
      <c r="V93" s="90"/>
      <c r="W93" s="91"/>
      <c r="X93" s="92"/>
    </row>
    <row r="94" spans="1:24" s="260" customFormat="1">
      <c r="A94" s="181"/>
      <c r="B94" s="87">
        <v>1</v>
      </c>
      <c r="C94" s="262">
        <v>45890</v>
      </c>
      <c r="D94" s="357" t="s">
        <v>759</v>
      </c>
      <c r="E94" s="271" t="s">
        <v>369</v>
      </c>
      <c r="F94" s="265">
        <v>4112</v>
      </c>
      <c r="G94" s="265">
        <f>39.7+(847.9+27.43+26.8)+300</f>
        <v>1241.83</v>
      </c>
      <c r="H94" s="265"/>
      <c r="I94" s="272">
        <f>F94-G94-H94</f>
        <v>2870.17</v>
      </c>
      <c r="J94" s="267" t="s">
        <v>228</v>
      </c>
      <c r="K94" s="267">
        <v>1</v>
      </c>
      <c r="L94" s="267">
        <v>0</v>
      </c>
      <c r="M94" s="267">
        <v>1</v>
      </c>
      <c r="N94" s="267">
        <v>1</v>
      </c>
      <c r="O94" s="267">
        <v>1</v>
      </c>
      <c r="P94" s="267">
        <v>1</v>
      </c>
      <c r="Q94" s="267">
        <v>1</v>
      </c>
      <c r="R94" s="267">
        <v>1</v>
      </c>
      <c r="S94" s="269">
        <v>0</v>
      </c>
      <c r="T94" s="63"/>
      <c r="U94" s="10" t="s">
        <v>760</v>
      </c>
      <c r="V94" s="90"/>
      <c r="W94" s="136"/>
      <c r="X94" s="137"/>
    </row>
    <row r="95" spans="1:24" s="260" customFormat="1">
      <c r="A95" s="181"/>
      <c r="B95" s="11"/>
      <c r="C95" s="36"/>
      <c r="D95" s="10"/>
      <c r="E95" s="10"/>
      <c r="F95" s="98">
        <f>SUM(F94)</f>
        <v>4112</v>
      </c>
      <c r="G95" s="98">
        <f>SUM(G94)</f>
        <v>1241.83</v>
      </c>
      <c r="H95" s="98">
        <f>SUM(H94)</f>
        <v>0</v>
      </c>
      <c r="I95" s="98">
        <f>SUM(I94)</f>
        <v>2870.17</v>
      </c>
      <c r="J95" s="63"/>
      <c r="K95" s="21"/>
      <c r="L95" s="21"/>
      <c r="M95" s="21"/>
      <c r="N95" s="21"/>
      <c r="O95" s="21"/>
      <c r="P95" s="21"/>
      <c r="Q95" s="21"/>
      <c r="R95" s="21"/>
      <c r="S95" s="21"/>
      <c r="T95" s="63"/>
      <c r="U95" s="94"/>
      <c r="V95" s="90"/>
      <c r="W95" s="91"/>
      <c r="X95" s="92"/>
    </row>
    <row r="96" spans="1:24" s="260" customFormat="1">
      <c r="A96" s="181"/>
      <c r="B96" s="11"/>
      <c r="C96" s="36"/>
      <c r="D96" s="10"/>
      <c r="E96" s="10"/>
      <c r="F96" s="88"/>
      <c r="G96" s="88"/>
      <c r="H96" s="88"/>
      <c r="I96" s="99"/>
      <c r="J96" s="63"/>
      <c r="K96" s="21"/>
      <c r="L96" s="21"/>
      <c r="M96" s="21"/>
      <c r="N96" s="21"/>
      <c r="O96" s="21"/>
      <c r="P96" s="21"/>
      <c r="Q96" s="21"/>
      <c r="R96" s="21"/>
      <c r="S96" s="21"/>
      <c r="T96" s="63"/>
      <c r="U96" s="94"/>
      <c r="V96" s="90"/>
      <c r="W96" s="91"/>
      <c r="X96" s="92"/>
    </row>
    <row r="97" spans="1:24">
      <c r="A97" s="2"/>
      <c r="B97" s="100" t="s">
        <v>72</v>
      </c>
      <c r="C97" s="36"/>
      <c r="D97" s="10"/>
      <c r="E97" s="10"/>
      <c r="F97" s="88"/>
      <c r="G97" s="88"/>
      <c r="H97" s="88"/>
      <c r="I97" s="99"/>
      <c r="J97" s="63"/>
      <c r="K97" s="63"/>
      <c r="L97" s="63"/>
      <c r="M97" s="63"/>
      <c r="N97" s="63"/>
      <c r="O97" s="63"/>
      <c r="P97" s="63"/>
      <c r="Q97" s="63"/>
      <c r="R97" s="63"/>
      <c r="S97" s="63"/>
      <c r="T97" s="63"/>
      <c r="U97" s="10"/>
      <c r="V97" s="90"/>
      <c r="W97" s="91"/>
      <c r="X97" s="92"/>
    </row>
    <row r="98" spans="1:24">
      <c r="A98" s="2"/>
      <c r="B98" s="87">
        <v>1</v>
      </c>
      <c r="C98" s="274">
        <v>45894</v>
      </c>
      <c r="D98" s="276">
        <v>72586</v>
      </c>
      <c r="E98" s="276" t="s">
        <v>739</v>
      </c>
      <c r="F98" s="277">
        <v>4176</v>
      </c>
      <c r="G98" s="277">
        <v>39.700000000000003</v>
      </c>
      <c r="H98" s="277"/>
      <c r="I98" s="278">
        <f t="shared" ref="I98:I111" si="21">F98-G98-H98</f>
        <v>4136.3</v>
      </c>
      <c r="J98" s="279" t="s">
        <v>205</v>
      </c>
      <c r="K98" s="279">
        <v>1</v>
      </c>
      <c r="L98" s="279"/>
      <c r="M98" s="279"/>
      <c r="N98" s="279">
        <v>1</v>
      </c>
      <c r="O98" s="279"/>
      <c r="P98" s="279"/>
      <c r="Q98" s="279">
        <v>1</v>
      </c>
      <c r="R98" s="279">
        <v>1</v>
      </c>
      <c r="S98" s="280">
        <v>1</v>
      </c>
      <c r="T98" s="63"/>
      <c r="U98" s="3"/>
      <c r="V98" s="90"/>
      <c r="W98" s="91"/>
      <c r="X98" s="92"/>
    </row>
    <row r="99" spans="1:24">
      <c r="A99" s="388">
        <v>45895</v>
      </c>
      <c r="B99" s="87">
        <f t="shared" ref="B99:B111" si="22">B98+1</f>
        <v>2</v>
      </c>
      <c r="C99" s="295">
        <v>45894</v>
      </c>
      <c r="D99" s="10">
        <v>72611</v>
      </c>
      <c r="E99" s="10" t="s">
        <v>659</v>
      </c>
      <c r="F99" s="62">
        <v>0</v>
      </c>
      <c r="G99" s="62">
        <v>0</v>
      </c>
      <c r="H99" s="62"/>
      <c r="I99" s="89">
        <f t="shared" si="21"/>
        <v>0</v>
      </c>
      <c r="J99" s="63" t="s">
        <v>156</v>
      </c>
      <c r="K99" s="63">
        <v>1</v>
      </c>
      <c r="L99" s="63"/>
      <c r="M99" s="63">
        <v>1</v>
      </c>
      <c r="N99" s="63"/>
      <c r="O99" s="63"/>
      <c r="P99" s="63"/>
      <c r="Q99" s="63">
        <v>1</v>
      </c>
      <c r="R99" s="63">
        <v>1</v>
      </c>
      <c r="S99" s="296">
        <v>1</v>
      </c>
      <c r="T99" s="63"/>
      <c r="U99" s="10" t="s">
        <v>773</v>
      </c>
      <c r="V99" s="90">
        <v>203.5</v>
      </c>
      <c r="W99" s="136"/>
      <c r="X99" s="137"/>
    </row>
    <row r="100" spans="1:24">
      <c r="A100" s="2"/>
      <c r="B100" s="87">
        <f t="shared" si="22"/>
        <v>3</v>
      </c>
      <c r="C100" s="295">
        <v>45894</v>
      </c>
      <c r="D100" s="10" t="s">
        <v>774</v>
      </c>
      <c r="E100" s="10" t="s">
        <v>344</v>
      </c>
      <c r="F100" s="62">
        <v>5233</v>
      </c>
      <c r="G100" s="62">
        <v>39.700000000000003</v>
      </c>
      <c r="H100" s="62"/>
      <c r="I100" s="89">
        <f t="shared" si="21"/>
        <v>5193.3</v>
      </c>
      <c r="J100" s="63" t="s">
        <v>205</v>
      </c>
      <c r="K100" s="63">
        <v>1</v>
      </c>
      <c r="L100" s="63"/>
      <c r="M100" s="63"/>
      <c r="N100" s="63">
        <v>1</v>
      </c>
      <c r="O100" s="63"/>
      <c r="P100" s="63"/>
      <c r="Q100" s="63">
        <v>1</v>
      </c>
      <c r="R100" s="63">
        <v>1</v>
      </c>
      <c r="S100" s="296">
        <v>1</v>
      </c>
      <c r="T100" s="63"/>
      <c r="U100" s="10"/>
      <c r="V100" s="90"/>
      <c r="W100" s="136"/>
      <c r="X100" s="137"/>
    </row>
    <row r="101" spans="1:24">
      <c r="A101" s="2"/>
      <c r="B101" s="87">
        <f t="shared" si="22"/>
        <v>4</v>
      </c>
      <c r="C101" s="295">
        <v>45894</v>
      </c>
      <c r="D101" s="10" t="s">
        <v>775</v>
      </c>
      <c r="E101" s="10" t="s">
        <v>344</v>
      </c>
      <c r="F101" s="62">
        <v>6133</v>
      </c>
      <c r="G101" s="62">
        <v>39.700000000000003</v>
      </c>
      <c r="H101" s="62"/>
      <c r="I101" s="89">
        <f t="shared" si="21"/>
        <v>6093.3</v>
      </c>
      <c r="J101" s="63" t="s">
        <v>205</v>
      </c>
      <c r="K101" s="63">
        <v>1</v>
      </c>
      <c r="L101" s="63"/>
      <c r="M101" s="63"/>
      <c r="N101" s="63">
        <v>1</v>
      </c>
      <c r="O101" s="63"/>
      <c r="P101" s="63"/>
      <c r="Q101" s="63">
        <v>1</v>
      </c>
      <c r="R101" s="63">
        <v>1</v>
      </c>
      <c r="S101" s="296">
        <v>1</v>
      </c>
      <c r="T101" s="63"/>
      <c r="U101" s="10"/>
      <c r="V101" s="90"/>
      <c r="W101" s="136"/>
      <c r="X101" s="137"/>
    </row>
    <row r="102" spans="1:24">
      <c r="A102" s="2"/>
      <c r="B102" s="87">
        <f t="shared" si="22"/>
        <v>5</v>
      </c>
      <c r="C102" s="274">
        <v>45896</v>
      </c>
      <c r="D102" s="276">
        <v>72655</v>
      </c>
      <c r="E102" s="276" t="s">
        <v>382</v>
      </c>
      <c r="F102" s="277">
        <v>1861</v>
      </c>
      <c r="G102" s="277">
        <v>39.700000000000003</v>
      </c>
      <c r="H102" s="277"/>
      <c r="I102" s="278">
        <f t="shared" si="21"/>
        <v>1821.3</v>
      </c>
      <c r="J102" s="279" t="s">
        <v>156</v>
      </c>
      <c r="K102" s="279">
        <v>1</v>
      </c>
      <c r="L102" s="279"/>
      <c r="M102" s="279">
        <v>1</v>
      </c>
      <c r="N102" s="279">
        <v>1</v>
      </c>
      <c r="O102" s="279"/>
      <c r="P102" s="279"/>
      <c r="Q102" s="279">
        <v>1</v>
      </c>
      <c r="R102" s="279">
        <v>1</v>
      </c>
      <c r="S102" s="280"/>
      <c r="T102" s="63"/>
      <c r="U102" s="10"/>
      <c r="V102" s="90">
        <v>93.5</v>
      </c>
      <c r="W102" s="136"/>
      <c r="X102" s="137"/>
    </row>
    <row r="103" spans="1:24">
      <c r="A103" s="2"/>
      <c r="B103" s="87">
        <f t="shared" si="22"/>
        <v>6</v>
      </c>
      <c r="C103" s="295">
        <v>45896</v>
      </c>
      <c r="D103" s="10" t="s">
        <v>776</v>
      </c>
      <c r="E103" s="10" t="s">
        <v>327</v>
      </c>
      <c r="F103" s="62">
        <v>8614</v>
      </c>
      <c r="G103" s="62">
        <v>39.700000000000003</v>
      </c>
      <c r="H103" s="62"/>
      <c r="I103" s="89">
        <f t="shared" si="21"/>
        <v>8574.2999999999993</v>
      </c>
      <c r="J103" s="63" t="s">
        <v>205</v>
      </c>
      <c r="K103" s="63">
        <v>1</v>
      </c>
      <c r="L103" s="63"/>
      <c r="M103" s="63"/>
      <c r="N103" s="63">
        <v>1</v>
      </c>
      <c r="O103" s="63"/>
      <c r="P103" s="63"/>
      <c r="Q103" s="63"/>
      <c r="R103" s="63"/>
      <c r="S103" s="296"/>
      <c r="T103" s="63"/>
      <c r="U103" s="10"/>
      <c r="V103" s="90"/>
      <c r="W103" s="136"/>
      <c r="X103" s="137"/>
    </row>
    <row r="104" spans="1:24">
      <c r="A104" s="2"/>
      <c r="B104" s="87">
        <f t="shared" si="22"/>
        <v>7</v>
      </c>
      <c r="C104" s="295">
        <v>45896</v>
      </c>
      <c r="D104" s="10">
        <v>72670</v>
      </c>
      <c r="E104" s="10" t="s">
        <v>327</v>
      </c>
      <c r="F104" s="62">
        <v>433</v>
      </c>
      <c r="G104" s="62"/>
      <c r="H104" s="62"/>
      <c r="I104" s="89">
        <f t="shared" si="21"/>
        <v>433</v>
      </c>
      <c r="J104" s="63" t="s">
        <v>205</v>
      </c>
      <c r="K104" s="63">
        <v>1</v>
      </c>
      <c r="L104" s="63"/>
      <c r="M104" s="63"/>
      <c r="N104" s="63">
        <v>1</v>
      </c>
      <c r="O104" s="63"/>
      <c r="P104" s="63"/>
      <c r="Q104" s="63">
        <v>1</v>
      </c>
      <c r="R104" s="63">
        <v>1</v>
      </c>
      <c r="S104" s="296">
        <v>1</v>
      </c>
      <c r="T104" s="63"/>
      <c r="U104" s="10"/>
      <c r="V104" s="90"/>
      <c r="W104" s="136"/>
      <c r="X104" s="137"/>
    </row>
    <row r="105" spans="1:24">
      <c r="A105" s="2"/>
      <c r="B105" s="87">
        <f>B104+1</f>
        <v>8</v>
      </c>
      <c r="C105" s="282">
        <v>45896</v>
      </c>
      <c r="D105" s="283">
        <v>72685</v>
      </c>
      <c r="E105" s="283" t="s">
        <v>253</v>
      </c>
      <c r="F105" s="284">
        <v>681</v>
      </c>
      <c r="G105" s="284"/>
      <c r="H105" s="284"/>
      <c r="I105" s="285">
        <f>F105-G105-H105</f>
        <v>681</v>
      </c>
      <c r="J105" s="286"/>
      <c r="K105" s="286">
        <v>1</v>
      </c>
      <c r="L105" s="286"/>
      <c r="M105" s="286"/>
      <c r="N105" s="286"/>
      <c r="O105" s="286">
        <v>1</v>
      </c>
      <c r="P105" s="286"/>
      <c r="Q105" s="286"/>
      <c r="R105" s="286"/>
      <c r="S105" s="287"/>
      <c r="T105" s="63"/>
      <c r="U105" s="94" t="s">
        <v>777</v>
      </c>
      <c r="V105" s="90"/>
      <c r="W105" s="136"/>
      <c r="X105" s="137"/>
    </row>
    <row r="106" spans="1:24">
      <c r="A106" s="2"/>
      <c r="B106" s="87">
        <f>B105+1</f>
        <v>9</v>
      </c>
      <c r="C106" s="295">
        <v>45897</v>
      </c>
      <c r="D106" s="10">
        <v>72705</v>
      </c>
      <c r="E106" s="101" t="s">
        <v>363</v>
      </c>
      <c r="F106" s="62">
        <v>2176</v>
      </c>
      <c r="G106" s="62">
        <v>39.700000000000003</v>
      </c>
      <c r="H106" s="62"/>
      <c r="I106" s="89">
        <f t="shared" si="21"/>
        <v>2136.3000000000002</v>
      </c>
      <c r="J106" s="63" t="s">
        <v>205</v>
      </c>
      <c r="K106" s="63">
        <v>1</v>
      </c>
      <c r="L106" s="63"/>
      <c r="M106" s="63"/>
      <c r="N106" s="63">
        <v>1</v>
      </c>
      <c r="O106" s="63"/>
      <c r="P106" s="63"/>
      <c r="Q106" s="63">
        <v>1</v>
      </c>
      <c r="R106" s="63">
        <v>1</v>
      </c>
      <c r="S106" s="296">
        <v>1</v>
      </c>
      <c r="T106" s="63"/>
      <c r="U106" s="10"/>
      <c r="V106" s="90"/>
      <c r="W106" s="136"/>
      <c r="X106" s="137"/>
    </row>
    <row r="107" spans="1:24">
      <c r="A107" s="2"/>
      <c r="B107" s="87">
        <f t="shared" si="22"/>
        <v>10</v>
      </c>
      <c r="C107" s="274">
        <v>45898</v>
      </c>
      <c r="D107" s="276">
        <v>72776</v>
      </c>
      <c r="E107" s="276" t="s">
        <v>464</v>
      </c>
      <c r="F107" s="277">
        <v>7393</v>
      </c>
      <c r="G107" s="277">
        <v>39.700000000000003</v>
      </c>
      <c r="H107" s="277"/>
      <c r="I107" s="278">
        <f t="shared" si="21"/>
        <v>7353.3</v>
      </c>
      <c r="J107" s="279" t="s">
        <v>205</v>
      </c>
      <c r="K107" s="279">
        <v>1</v>
      </c>
      <c r="L107" s="279"/>
      <c r="M107" s="279"/>
      <c r="N107" s="279">
        <v>1</v>
      </c>
      <c r="O107" s="279"/>
      <c r="P107" s="279"/>
      <c r="Q107" s="279">
        <v>1</v>
      </c>
      <c r="R107" s="279">
        <v>1</v>
      </c>
      <c r="S107" s="280">
        <v>1</v>
      </c>
      <c r="T107" s="63"/>
      <c r="U107" s="10"/>
      <c r="V107" s="90"/>
      <c r="W107" s="136"/>
      <c r="X107" s="137"/>
    </row>
    <row r="108" spans="1:24">
      <c r="A108" s="2"/>
      <c r="B108" s="87">
        <f t="shared" si="22"/>
        <v>11</v>
      </c>
      <c r="C108" s="295">
        <v>45898</v>
      </c>
      <c r="D108" s="10">
        <v>72786</v>
      </c>
      <c r="E108" s="10" t="s">
        <v>778</v>
      </c>
      <c r="F108" s="62">
        <v>5233</v>
      </c>
      <c r="G108" s="62">
        <v>39.700000000000003</v>
      </c>
      <c r="H108" s="62"/>
      <c r="I108" s="89">
        <f t="shared" si="21"/>
        <v>5193.3</v>
      </c>
      <c r="J108" s="63" t="s">
        <v>205</v>
      </c>
      <c r="K108" s="63">
        <v>1</v>
      </c>
      <c r="L108" s="63"/>
      <c r="M108" s="63"/>
      <c r="N108" s="63">
        <v>1</v>
      </c>
      <c r="O108" s="63"/>
      <c r="P108" s="63"/>
      <c r="Q108" s="63"/>
      <c r="R108" s="63"/>
      <c r="S108" s="296"/>
      <c r="T108" s="63"/>
      <c r="U108" s="10"/>
      <c r="V108" s="90"/>
      <c r="W108" s="136"/>
      <c r="X108" s="137"/>
    </row>
    <row r="109" spans="1:24">
      <c r="A109" s="2"/>
      <c r="B109" s="87">
        <f>B108+1</f>
        <v>12</v>
      </c>
      <c r="C109" s="295">
        <v>45898</v>
      </c>
      <c r="D109" s="10">
        <v>72771</v>
      </c>
      <c r="E109" s="10" t="s">
        <v>761</v>
      </c>
      <c r="F109" s="62">
        <v>2814</v>
      </c>
      <c r="G109" s="62">
        <f>39.7</f>
        <v>39.700000000000003</v>
      </c>
      <c r="H109" s="62"/>
      <c r="I109" s="89">
        <f>F109-G109-H109</f>
        <v>2774.3</v>
      </c>
      <c r="J109" s="63" t="s">
        <v>156</v>
      </c>
      <c r="K109" s="63">
        <v>1</v>
      </c>
      <c r="L109" s="63"/>
      <c r="M109" s="63">
        <v>1</v>
      </c>
      <c r="N109" s="63">
        <v>1</v>
      </c>
      <c r="O109" s="63">
        <v>1</v>
      </c>
      <c r="P109" s="63">
        <v>1</v>
      </c>
      <c r="Q109" s="63"/>
      <c r="R109" s="63"/>
      <c r="S109" s="296"/>
      <c r="T109" s="21">
        <v>1</v>
      </c>
      <c r="U109" s="94" t="s">
        <v>779</v>
      </c>
      <c r="V109" s="90">
        <f>300</f>
        <v>300</v>
      </c>
      <c r="W109" s="136"/>
      <c r="X109" s="137"/>
    </row>
    <row r="110" spans="1:24">
      <c r="A110" s="2"/>
      <c r="B110" s="87">
        <f>B109+1</f>
        <v>13</v>
      </c>
      <c r="C110" s="295">
        <v>45898</v>
      </c>
      <c r="D110" s="10">
        <v>72760</v>
      </c>
      <c r="E110" s="10" t="s">
        <v>780</v>
      </c>
      <c r="F110" s="62">
        <v>18161</v>
      </c>
      <c r="G110" s="62">
        <v>39.700000000000003</v>
      </c>
      <c r="H110" s="62"/>
      <c r="I110" s="89">
        <f t="shared" si="21"/>
        <v>18121.3</v>
      </c>
      <c r="J110" s="63" t="s">
        <v>205</v>
      </c>
      <c r="K110" s="63">
        <v>1</v>
      </c>
      <c r="L110" s="63"/>
      <c r="M110" s="63"/>
      <c r="N110" s="63">
        <v>1</v>
      </c>
      <c r="O110" s="63"/>
      <c r="P110" s="63"/>
      <c r="Q110" s="63">
        <v>1</v>
      </c>
      <c r="R110" s="63">
        <v>1</v>
      </c>
      <c r="S110" s="296">
        <v>1</v>
      </c>
      <c r="T110" s="63"/>
      <c r="U110" s="10"/>
      <c r="V110" s="90"/>
      <c r="W110" s="136"/>
      <c r="X110" s="137"/>
    </row>
    <row r="111" spans="1:24">
      <c r="A111" s="2"/>
      <c r="B111" s="87">
        <f t="shared" si="22"/>
        <v>14</v>
      </c>
      <c r="C111" s="282">
        <v>45898</v>
      </c>
      <c r="D111" s="283">
        <v>72797</v>
      </c>
      <c r="E111" s="283" t="s">
        <v>162</v>
      </c>
      <c r="F111" s="284">
        <v>1781</v>
      </c>
      <c r="G111" s="284">
        <v>39.700000000000003</v>
      </c>
      <c r="H111" s="284"/>
      <c r="I111" s="285">
        <f t="shared" si="21"/>
        <v>1741.3</v>
      </c>
      <c r="J111" s="286" t="s">
        <v>205</v>
      </c>
      <c r="K111" s="286">
        <v>1</v>
      </c>
      <c r="L111" s="286"/>
      <c r="M111" s="286"/>
      <c r="N111" s="286">
        <v>1</v>
      </c>
      <c r="O111" s="286"/>
      <c r="P111" s="286"/>
      <c r="Q111" s="286">
        <v>1</v>
      </c>
      <c r="R111" s="286">
        <v>1</v>
      </c>
      <c r="S111" s="287">
        <v>1</v>
      </c>
      <c r="T111" s="63"/>
      <c r="U111" s="10"/>
      <c r="V111" s="90"/>
      <c r="W111" s="136"/>
      <c r="X111" s="137"/>
    </row>
    <row r="112" spans="1:24">
      <c r="A112" s="2"/>
      <c r="B112" s="11"/>
      <c r="C112" s="36"/>
      <c r="D112" s="10"/>
      <c r="E112" s="10"/>
      <c r="F112" s="97">
        <f>SUM(F98:F111)</f>
        <v>64689</v>
      </c>
      <c r="G112" s="97">
        <f>SUM(G98:G111)</f>
        <v>436.69999999999993</v>
      </c>
      <c r="H112" s="97">
        <f>SUM(H98:H111)</f>
        <v>0</v>
      </c>
      <c r="I112" s="98">
        <f>SUM(I98:I111)</f>
        <v>64252.3</v>
      </c>
      <c r="J112" s="10"/>
      <c r="K112" s="10"/>
      <c r="L112" s="10"/>
      <c r="M112" s="10"/>
      <c r="N112" s="10"/>
      <c r="O112" s="10"/>
      <c r="P112" s="10"/>
      <c r="Q112" s="10"/>
      <c r="R112" s="10"/>
      <c r="S112" s="10"/>
      <c r="T112" s="63"/>
      <c r="U112" s="10"/>
      <c r="V112" s="138"/>
      <c r="W112" s="136"/>
      <c r="X112" s="137"/>
    </row>
    <row r="113" spans="1:24">
      <c r="A113" s="2"/>
      <c r="B113" s="26"/>
      <c r="C113" s="140"/>
      <c r="D113" s="141"/>
      <c r="E113" s="141"/>
      <c r="F113" s="141"/>
      <c r="G113" s="141"/>
      <c r="H113" s="141"/>
      <c r="I113" s="141"/>
      <c r="J113" s="141"/>
      <c r="K113" s="142"/>
      <c r="L113" s="142"/>
      <c r="M113" s="142"/>
      <c r="N113" s="142"/>
      <c r="O113" s="142"/>
      <c r="P113" s="142"/>
      <c r="Q113" s="142"/>
      <c r="R113" s="142"/>
      <c r="S113" s="142"/>
      <c r="T113" s="143">
        <f>SUM(T75:T112)</f>
        <v>5</v>
      </c>
      <c r="U113" s="141"/>
      <c r="V113" s="144">
        <f>SUM(V75:V112)</f>
        <v>26146.9</v>
      </c>
      <c r="W113" s="144">
        <f>SUM(W75:W112)</f>
        <v>0</v>
      </c>
      <c r="X113" s="144">
        <f>SUM(X75:X112)</f>
        <v>0</v>
      </c>
    </row>
    <row r="116" spans="1:24">
      <c r="B116" s="4" t="s">
        <v>1</v>
      </c>
      <c r="C116" s="5"/>
      <c r="D116" s="6"/>
      <c r="E116" s="6"/>
      <c r="F116" s="7" t="s">
        <v>2</v>
      </c>
      <c r="G116" s="618">
        <v>45907</v>
      </c>
      <c r="H116" s="7"/>
      <c r="I116" s="6"/>
      <c r="J116" s="6"/>
      <c r="K116" s="6"/>
      <c r="L116" s="6"/>
      <c r="M116" s="6"/>
      <c r="N116" s="6"/>
      <c r="O116" s="6"/>
      <c r="P116" s="6"/>
      <c r="Q116" s="6"/>
      <c r="R116" s="6"/>
      <c r="S116" s="6"/>
      <c r="T116" s="6"/>
      <c r="U116" s="9"/>
      <c r="V116" s="10"/>
      <c r="W116" s="10"/>
      <c r="X116" s="10"/>
    </row>
    <row r="117" spans="1:24">
      <c r="B117" s="11"/>
      <c r="C117" s="10"/>
      <c r="D117" s="10"/>
      <c r="E117" s="10"/>
      <c r="F117" s="10"/>
      <c r="G117" s="7"/>
      <c r="H117" s="12"/>
      <c r="I117" s="10"/>
      <c r="J117" s="10"/>
      <c r="K117" s="13" t="s">
        <v>3</v>
      </c>
      <c r="L117" s="14"/>
      <c r="M117" s="15"/>
      <c r="N117" s="13" t="s">
        <v>4</v>
      </c>
      <c r="O117" s="14"/>
      <c r="P117" s="15"/>
      <c r="Q117" s="13" t="s">
        <v>5</v>
      </c>
      <c r="R117" s="14"/>
      <c r="S117" s="15"/>
      <c r="T117" s="16"/>
      <c r="U117" s="17"/>
      <c r="V117" s="10"/>
      <c r="W117" s="10"/>
      <c r="X117" s="10"/>
    </row>
    <row r="118" spans="1:24">
      <c r="B118" s="18" t="s">
        <v>6</v>
      </c>
      <c r="C118" s="19">
        <f>C119+C120</f>
        <v>25</v>
      </c>
      <c r="D118" s="10"/>
      <c r="E118" s="18" t="s">
        <v>7</v>
      </c>
      <c r="F118" s="6"/>
      <c r="G118" s="9"/>
      <c r="H118" s="10"/>
      <c r="I118" s="10"/>
      <c r="J118" s="10"/>
      <c r="K118" s="20" t="s">
        <v>8</v>
      </c>
      <c r="L118" s="21" t="s">
        <v>9</v>
      </c>
      <c r="M118" s="21" t="s">
        <v>10</v>
      </c>
      <c r="N118" s="20" t="s">
        <v>11</v>
      </c>
      <c r="O118" s="21" t="s">
        <v>12</v>
      </c>
      <c r="P118" s="22" t="s">
        <v>13</v>
      </c>
      <c r="Q118" s="21" t="s">
        <v>11</v>
      </c>
      <c r="R118" s="21" t="s">
        <v>12</v>
      </c>
      <c r="S118" s="22" t="s">
        <v>13</v>
      </c>
      <c r="T118" s="23" t="s">
        <v>14</v>
      </c>
      <c r="U118" s="17"/>
      <c r="V118" s="10"/>
      <c r="W118" s="10"/>
      <c r="X118" s="10"/>
    </row>
    <row r="119" spans="1:24">
      <c r="B119" s="24" t="s">
        <v>15</v>
      </c>
      <c r="C119" s="25">
        <f>P126</f>
        <v>10</v>
      </c>
      <c r="D119" s="10"/>
      <c r="E119" s="26" t="s">
        <v>16</v>
      </c>
      <c r="F119" s="27">
        <v>0.05</v>
      </c>
      <c r="G119" s="28"/>
      <c r="H119" s="10"/>
      <c r="I119" s="10"/>
      <c r="J119" s="18" t="s">
        <v>17</v>
      </c>
      <c r="K119" s="29">
        <f>K153</f>
        <v>9</v>
      </c>
      <c r="L119" s="29">
        <f t="shared" ref="L119:S119" si="23">L153</f>
        <v>7</v>
      </c>
      <c r="M119" s="29">
        <f t="shared" si="23"/>
        <v>9</v>
      </c>
      <c r="N119" s="29">
        <f t="shared" si="23"/>
        <v>9</v>
      </c>
      <c r="O119" s="29">
        <f t="shared" si="23"/>
        <v>9</v>
      </c>
      <c r="P119" s="29">
        <f t="shared" si="23"/>
        <v>8</v>
      </c>
      <c r="Q119" s="29">
        <f t="shared" si="23"/>
        <v>8</v>
      </c>
      <c r="R119" s="29">
        <f t="shared" si="23"/>
        <v>8</v>
      </c>
      <c r="S119" s="29">
        <f t="shared" si="23"/>
        <v>4</v>
      </c>
      <c r="T119" s="30">
        <f>T180</f>
        <v>5</v>
      </c>
      <c r="U119" s="17"/>
      <c r="V119" s="10"/>
      <c r="W119" s="10"/>
      <c r="X119" s="10"/>
    </row>
    <row r="120" spans="1:24">
      <c r="B120" s="24" t="s">
        <v>18</v>
      </c>
      <c r="C120" s="25">
        <f>P127</f>
        <v>15</v>
      </c>
      <c r="D120" s="10"/>
      <c r="E120" s="10"/>
      <c r="F120" s="10"/>
      <c r="G120" s="31"/>
      <c r="H120" s="10"/>
      <c r="I120" s="10"/>
      <c r="J120" s="32" t="s">
        <v>19</v>
      </c>
      <c r="K120" s="33">
        <f>K153/K152</f>
        <v>1</v>
      </c>
      <c r="L120" s="33">
        <f t="shared" ref="L120:S120" si="24">L153/L152</f>
        <v>0.77777777777777779</v>
      </c>
      <c r="M120" s="33">
        <f t="shared" si="24"/>
        <v>1</v>
      </c>
      <c r="N120" s="33">
        <f t="shared" si="24"/>
        <v>1</v>
      </c>
      <c r="O120" s="33">
        <f t="shared" si="24"/>
        <v>1</v>
      </c>
      <c r="P120" s="33">
        <f t="shared" si="24"/>
        <v>0.88888888888888884</v>
      </c>
      <c r="Q120" s="33">
        <f t="shared" si="24"/>
        <v>0.88888888888888884</v>
      </c>
      <c r="R120" s="33">
        <f t="shared" si="24"/>
        <v>0.88888888888888884</v>
      </c>
      <c r="S120" s="33">
        <f t="shared" si="24"/>
        <v>0.44444444444444442</v>
      </c>
      <c r="T120" s="23"/>
      <c r="U120" s="17" t="s">
        <v>20</v>
      </c>
      <c r="V120" s="10"/>
      <c r="W120" s="10"/>
      <c r="X120" s="10"/>
    </row>
    <row r="121" spans="1:24">
      <c r="B121" s="24" t="s">
        <v>21</v>
      </c>
      <c r="C121" s="34">
        <f>P128</f>
        <v>0.4</v>
      </c>
      <c r="D121" s="10"/>
      <c r="E121" s="10"/>
      <c r="F121" s="10"/>
      <c r="G121" s="10"/>
      <c r="H121" s="10"/>
      <c r="I121" s="10"/>
      <c r="J121" s="10"/>
      <c r="K121" s="10"/>
      <c r="L121" s="10"/>
      <c r="M121" s="10"/>
      <c r="N121" s="10"/>
      <c r="O121" s="10"/>
      <c r="P121" s="10"/>
      <c r="Q121" s="10"/>
      <c r="R121" s="10"/>
      <c r="S121" s="10"/>
      <c r="T121" s="10"/>
      <c r="U121" s="17"/>
      <c r="V121" s="10"/>
      <c r="W121" s="10"/>
      <c r="X121" s="10"/>
    </row>
    <row r="122" spans="1:24">
      <c r="B122" s="24"/>
      <c r="C122" s="25"/>
      <c r="D122" s="10"/>
      <c r="E122" s="10"/>
      <c r="F122" s="18" t="s">
        <v>22</v>
      </c>
      <c r="G122" s="19" t="s">
        <v>23</v>
      </c>
      <c r="H122" s="35" t="s">
        <v>24</v>
      </c>
      <c r="I122" s="10"/>
      <c r="J122" s="10"/>
      <c r="K122" s="36"/>
      <c r="L122" s="36"/>
      <c r="M122" s="36"/>
      <c r="N122" s="36"/>
      <c r="O122" s="36"/>
      <c r="P122" s="36"/>
      <c r="Q122" s="36"/>
      <c r="R122" s="10"/>
      <c r="S122" s="10"/>
      <c r="T122" s="10"/>
      <c r="U122" s="17"/>
      <c r="V122" s="10"/>
      <c r="W122" s="10"/>
      <c r="X122" s="10"/>
    </row>
    <row r="123" spans="1:24">
      <c r="B123" s="32" t="s">
        <v>25</v>
      </c>
      <c r="C123" s="37">
        <f>P129</f>
        <v>1751.23</v>
      </c>
      <c r="D123" s="10"/>
      <c r="E123" s="18" t="s">
        <v>26</v>
      </c>
      <c r="F123" s="38">
        <f>P125</f>
        <v>17512.3</v>
      </c>
      <c r="G123" s="39">
        <f>I152+I157</f>
        <v>17512.3</v>
      </c>
      <c r="H123" s="40"/>
      <c r="I123" s="41"/>
      <c r="J123" s="42"/>
      <c r="K123" s="43" t="s">
        <v>27</v>
      </c>
      <c r="L123" s="44"/>
      <c r="M123" s="44"/>
      <c r="N123" s="44"/>
      <c r="O123" s="44"/>
      <c r="P123" s="44"/>
      <c r="Q123" s="45"/>
      <c r="R123" s="46" t="s">
        <v>28</v>
      </c>
      <c r="S123" s="47" t="s">
        <v>29</v>
      </c>
      <c r="T123" s="10"/>
      <c r="U123" s="17"/>
      <c r="V123" s="10"/>
      <c r="W123" s="10"/>
      <c r="X123" s="10"/>
    </row>
    <row r="124" spans="1:24">
      <c r="B124" s="11"/>
      <c r="C124" s="10"/>
      <c r="D124" s="10"/>
      <c r="E124" s="24" t="s">
        <v>30</v>
      </c>
      <c r="F124" s="48">
        <f>F119</f>
        <v>0.05</v>
      </c>
      <c r="G124" s="17"/>
      <c r="H124" s="40"/>
      <c r="I124" s="41"/>
      <c r="J124" s="42"/>
      <c r="K124" s="20" t="s">
        <v>31</v>
      </c>
      <c r="L124" s="21" t="s">
        <v>32</v>
      </c>
      <c r="M124" s="21" t="s">
        <v>33</v>
      </c>
      <c r="N124" s="21" t="s">
        <v>34</v>
      </c>
      <c r="O124" s="21" t="s">
        <v>35</v>
      </c>
      <c r="P124" s="21" t="s">
        <v>36</v>
      </c>
      <c r="Q124" s="49" t="s">
        <v>37</v>
      </c>
      <c r="R124" s="50" t="s">
        <v>38</v>
      </c>
      <c r="S124" s="50" t="s">
        <v>38</v>
      </c>
      <c r="T124" s="10"/>
      <c r="U124" s="17"/>
      <c r="V124" s="10"/>
      <c r="W124" s="10"/>
      <c r="X124" s="10"/>
    </row>
    <row r="125" spans="1:24">
      <c r="B125" s="11"/>
      <c r="C125" s="10"/>
      <c r="D125" s="10"/>
      <c r="E125" s="51" t="s">
        <v>39</v>
      </c>
      <c r="F125" s="52">
        <f>(F123-I146-I156)*F124</f>
        <v>790.5</v>
      </c>
      <c r="G125" s="53" t="s">
        <v>40</v>
      </c>
      <c r="H125" s="54">
        <f>F125/1.12</f>
        <v>705.80357142857133</v>
      </c>
      <c r="I125" s="55"/>
      <c r="J125" s="42"/>
      <c r="K125" s="56">
        <f>I144+I145+I146+I143</f>
        <v>4722.46</v>
      </c>
      <c r="L125" s="57">
        <f>I147</f>
        <v>3711.84</v>
      </c>
      <c r="M125" s="57">
        <f>I148</f>
        <v>400</v>
      </c>
      <c r="N125" s="57">
        <f>I149</f>
        <v>1641.3</v>
      </c>
      <c r="O125" s="57">
        <f>I150+I151+I156</f>
        <v>7036.7000000000007</v>
      </c>
      <c r="P125" s="57">
        <f>SUM(K125:O125)</f>
        <v>17512.3</v>
      </c>
      <c r="Q125" s="58">
        <v>0</v>
      </c>
      <c r="R125" s="59">
        <f>I157</f>
        <v>1221.3</v>
      </c>
      <c r="S125" s="59">
        <v>0</v>
      </c>
      <c r="T125" s="10"/>
      <c r="U125" s="17"/>
      <c r="V125" s="10"/>
      <c r="W125" s="10"/>
      <c r="X125" s="10"/>
    </row>
    <row r="126" spans="1:24">
      <c r="B126" s="11"/>
      <c r="C126" s="10"/>
      <c r="D126" s="10"/>
      <c r="E126" s="24" t="s">
        <v>41</v>
      </c>
      <c r="F126" s="60">
        <f>Q125</f>
        <v>0</v>
      </c>
      <c r="G126" s="61" t="s">
        <v>40</v>
      </c>
      <c r="H126" s="62"/>
      <c r="I126" s="62"/>
      <c r="J126" s="10" t="s">
        <v>42</v>
      </c>
      <c r="K126" s="63">
        <v>4</v>
      </c>
      <c r="L126" s="63">
        <v>1</v>
      </c>
      <c r="M126" s="63">
        <v>1</v>
      </c>
      <c r="N126" s="63">
        <v>1</v>
      </c>
      <c r="O126" s="63">
        <v>3</v>
      </c>
      <c r="P126" s="21">
        <f>SUM(K126:O126)</f>
        <v>10</v>
      </c>
      <c r="Q126" s="64"/>
      <c r="R126" s="63"/>
      <c r="S126" s="10"/>
      <c r="T126" s="10"/>
      <c r="U126" s="17"/>
      <c r="V126" s="10"/>
      <c r="W126" s="10"/>
      <c r="X126" s="10"/>
    </row>
    <row r="127" spans="1:24">
      <c r="B127" s="11"/>
      <c r="C127" s="10"/>
      <c r="D127" s="10"/>
      <c r="E127" s="51" t="s">
        <v>43</v>
      </c>
      <c r="F127" s="52">
        <f>F126*0.25</f>
        <v>0</v>
      </c>
      <c r="G127" s="53" t="s">
        <v>40</v>
      </c>
      <c r="H127" s="54">
        <f>F127/1.12</f>
        <v>0</v>
      </c>
      <c r="I127" s="10"/>
      <c r="J127" s="10" t="s">
        <v>44</v>
      </c>
      <c r="K127" s="63">
        <v>2</v>
      </c>
      <c r="L127" s="63">
        <v>3</v>
      </c>
      <c r="M127" s="63">
        <v>5</v>
      </c>
      <c r="N127" s="63">
        <v>4</v>
      </c>
      <c r="O127" s="63">
        <v>1</v>
      </c>
      <c r="P127" s="21">
        <f>SUM(K127:O127)</f>
        <v>15</v>
      </c>
      <c r="Q127" s="64"/>
      <c r="R127" s="63"/>
      <c r="S127" s="10"/>
      <c r="T127" s="10"/>
      <c r="U127" s="17"/>
      <c r="V127" s="10"/>
      <c r="W127" s="10"/>
      <c r="X127" s="10"/>
    </row>
    <row r="128" spans="1:24">
      <c r="B128" s="11"/>
      <c r="C128" s="10"/>
      <c r="D128" s="10"/>
      <c r="E128" s="24" t="s">
        <v>45</v>
      </c>
      <c r="F128" s="60"/>
      <c r="G128" s="61" t="s">
        <v>40</v>
      </c>
      <c r="H128" s="62"/>
      <c r="I128" s="10"/>
      <c r="J128" s="10" t="s">
        <v>46</v>
      </c>
      <c r="K128" s="31">
        <f t="shared" ref="K128:Q128" si="25">K126/(K126+K127)</f>
        <v>0.66666666666666663</v>
      </c>
      <c r="L128" s="31">
        <f t="shared" si="25"/>
        <v>0.25</v>
      </c>
      <c r="M128" s="31">
        <f t="shared" si="25"/>
        <v>0.16666666666666666</v>
      </c>
      <c r="N128" s="31">
        <f t="shared" si="25"/>
        <v>0.2</v>
      </c>
      <c r="O128" s="31">
        <f t="shared" si="25"/>
        <v>0.75</v>
      </c>
      <c r="P128" s="31">
        <f t="shared" si="25"/>
        <v>0.4</v>
      </c>
      <c r="Q128" s="31" t="e">
        <f t="shared" si="25"/>
        <v>#DIV/0!</v>
      </c>
      <c r="R128" s="63"/>
      <c r="S128" s="10"/>
      <c r="T128" s="10"/>
      <c r="U128" s="17"/>
      <c r="V128" s="10"/>
      <c r="W128" s="10"/>
      <c r="X128" s="10"/>
    </row>
    <row r="129" spans="2:24">
      <c r="B129" s="11"/>
      <c r="C129" s="10"/>
      <c r="D129" s="10"/>
      <c r="E129" s="51" t="s">
        <v>47</v>
      </c>
      <c r="F129" s="52">
        <f>F128*0.05</f>
        <v>0</v>
      </c>
      <c r="G129" s="65" t="s">
        <v>40</v>
      </c>
      <c r="H129" s="54">
        <f>F129/1.12</f>
        <v>0</v>
      </c>
      <c r="I129" s="42"/>
      <c r="J129" s="10" t="s">
        <v>48</v>
      </c>
      <c r="K129" s="66">
        <f>K125/K126</f>
        <v>1180.615</v>
      </c>
      <c r="L129" s="66">
        <f t="shared" ref="L129:Q129" si="26">L125/L126</f>
        <v>3711.84</v>
      </c>
      <c r="M129" s="66">
        <f t="shared" si="26"/>
        <v>400</v>
      </c>
      <c r="N129" s="66">
        <f t="shared" si="26"/>
        <v>1641.3</v>
      </c>
      <c r="O129" s="66">
        <f t="shared" si="26"/>
        <v>2345.5666666666671</v>
      </c>
      <c r="P129" s="66">
        <f t="shared" si="26"/>
        <v>1751.23</v>
      </c>
      <c r="Q129" s="66" t="e">
        <f t="shared" si="26"/>
        <v>#DIV/0!</v>
      </c>
      <c r="R129" s="63"/>
      <c r="S129" s="10"/>
      <c r="T129" s="10"/>
      <c r="U129" s="17"/>
      <c r="V129" s="10"/>
      <c r="W129" s="10"/>
      <c r="X129" s="10"/>
    </row>
    <row r="130" spans="2:24">
      <c r="B130" s="11"/>
      <c r="C130" s="10"/>
      <c r="D130" s="10"/>
      <c r="E130" s="67" t="s">
        <v>14</v>
      </c>
      <c r="F130" s="68">
        <f>4*50</f>
        <v>200</v>
      </c>
      <c r="G130" s="10"/>
      <c r="H130" s="54">
        <f>F130/1.12</f>
        <v>178.57142857142856</v>
      </c>
      <c r="I130" s="10"/>
      <c r="J130" s="10"/>
      <c r="K130" s="10"/>
      <c r="L130" s="10"/>
      <c r="M130" s="10"/>
      <c r="N130" s="10"/>
      <c r="O130" s="10"/>
      <c r="P130" s="10"/>
      <c r="Q130" s="10"/>
      <c r="R130" s="10"/>
      <c r="S130" s="10"/>
      <c r="T130" s="10"/>
      <c r="U130" s="17"/>
      <c r="V130" s="10"/>
      <c r="W130" s="10"/>
      <c r="X130" s="10"/>
    </row>
    <row r="131" spans="2:24">
      <c r="B131" s="11"/>
      <c r="C131" s="10"/>
      <c r="D131" s="10"/>
      <c r="E131" s="155" t="s">
        <v>49</v>
      </c>
      <c r="F131" s="364">
        <f>T120</f>
        <v>0</v>
      </c>
      <c r="G131" s="10"/>
      <c r="H131" s="54"/>
      <c r="I131" s="55"/>
      <c r="J131" s="42"/>
      <c r="K131" s="764" t="s">
        <v>50</v>
      </c>
      <c r="L131" s="764"/>
      <c r="M131" s="764"/>
      <c r="N131" s="764"/>
      <c r="O131" s="764"/>
      <c r="P131" s="764"/>
      <c r="Q131" s="764"/>
      <c r="R131" s="70" t="s">
        <v>28</v>
      </c>
      <c r="S131" s="71" t="s">
        <v>29</v>
      </c>
      <c r="T131" s="10"/>
      <c r="U131" s="17"/>
      <c r="V131" s="10"/>
      <c r="W131" s="10"/>
      <c r="X131" s="10"/>
    </row>
    <row r="132" spans="2:24">
      <c r="B132" s="11"/>
      <c r="C132" s="10"/>
      <c r="D132" s="10"/>
      <c r="E132" s="12"/>
      <c r="F132" s="76"/>
      <c r="G132" s="10"/>
      <c r="H132" s="10"/>
      <c r="I132" s="10"/>
      <c r="J132" s="42"/>
      <c r="K132" s="20" t="s">
        <v>31</v>
      </c>
      <c r="L132" s="21" t="s">
        <v>32</v>
      </c>
      <c r="M132" s="21" t="s">
        <v>33</v>
      </c>
      <c r="N132" s="21" t="s">
        <v>34</v>
      </c>
      <c r="O132" s="21" t="s">
        <v>35</v>
      </c>
      <c r="P132" s="21" t="s">
        <v>36</v>
      </c>
      <c r="Q132" s="49" t="s">
        <v>37</v>
      </c>
      <c r="R132" s="50" t="s">
        <v>38</v>
      </c>
      <c r="S132" s="50" t="s">
        <v>38</v>
      </c>
      <c r="T132" s="10"/>
      <c r="U132" s="17"/>
      <c r="V132" s="10"/>
      <c r="W132" s="10"/>
      <c r="X132" s="10"/>
    </row>
    <row r="133" spans="2:24">
      <c r="B133" s="11"/>
      <c r="C133" s="10"/>
      <c r="D133" s="10"/>
      <c r="E133" s="10"/>
      <c r="F133" s="10"/>
      <c r="G133" s="10"/>
      <c r="H133" s="10"/>
      <c r="I133" s="10"/>
      <c r="J133" s="42"/>
      <c r="K133" s="56">
        <f>F144+F145+F146+F143</f>
        <v>6696</v>
      </c>
      <c r="L133" s="57">
        <f>F147</f>
        <v>5814</v>
      </c>
      <c r="M133" s="57">
        <f>F148</f>
        <v>400</v>
      </c>
      <c r="N133" s="57">
        <f>F149</f>
        <v>1681</v>
      </c>
      <c r="O133" s="57">
        <f>F150+F151+F156</f>
        <v>7403</v>
      </c>
      <c r="P133" s="57">
        <f>SUM(K133:O133)</f>
        <v>21994</v>
      </c>
      <c r="Q133" s="58">
        <v>0</v>
      </c>
      <c r="R133" s="59">
        <f>F157</f>
        <v>1261</v>
      </c>
      <c r="S133" s="59">
        <v>0</v>
      </c>
      <c r="T133" s="10"/>
      <c r="U133" s="17"/>
      <c r="V133" s="10"/>
      <c r="W133" s="10"/>
      <c r="X133" s="10"/>
    </row>
    <row r="134" spans="2:24">
      <c r="B134" s="11"/>
      <c r="C134" s="10"/>
      <c r="D134" s="10"/>
      <c r="E134" s="10"/>
      <c r="F134" s="10"/>
      <c r="G134" s="10"/>
      <c r="H134" s="10"/>
      <c r="I134" s="10"/>
      <c r="J134" s="10" t="s">
        <v>42</v>
      </c>
      <c r="K134" s="63">
        <f>K126</f>
        <v>4</v>
      </c>
      <c r="L134" s="63">
        <f t="shared" ref="L134:Q135" si="27">L126</f>
        <v>1</v>
      </c>
      <c r="M134" s="63">
        <f t="shared" si="27"/>
        <v>1</v>
      </c>
      <c r="N134" s="63">
        <f t="shared" si="27"/>
        <v>1</v>
      </c>
      <c r="O134" s="63">
        <f t="shared" si="27"/>
        <v>3</v>
      </c>
      <c r="P134" s="63">
        <f t="shared" si="27"/>
        <v>10</v>
      </c>
      <c r="Q134" s="63">
        <f t="shared" si="27"/>
        <v>0</v>
      </c>
      <c r="R134" s="63"/>
      <c r="S134" s="10"/>
      <c r="T134" s="10"/>
      <c r="U134" s="17"/>
      <c r="V134" s="10"/>
      <c r="W134" s="10"/>
      <c r="X134" s="10"/>
    </row>
    <row r="135" spans="2:24">
      <c r="B135" s="11"/>
      <c r="C135" s="10"/>
      <c r="D135" s="10"/>
      <c r="E135" s="10"/>
      <c r="F135" s="10"/>
      <c r="G135" s="10"/>
      <c r="H135" s="10"/>
      <c r="I135" s="10"/>
      <c r="J135" s="10" t="s">
        <v>44</v>
      </c>
      <c r="K135" s="63">
        <f>K127</f>
        <v>2</v>
      </c>
      <c r="L135" s="63">
        <f t="shared" si="27"/>
        <v>3</v>
      </c>
      <c r="M135" s="63">
        <f t="shared" si="27"/>
        <v>5</v>
      </c>
      <c r="N135" s="63">
        <f t="shared" si="27"/>
        <v>4</v>
      </c>
      <c r="O135" s="63">
        <f t="shared" si="27"/>
        <v>1</v>
      </c>
      <c r="P135" s="63">
        <f t="shared" si="27"/>
        <v>15</v>
      </c>
      <c r="Q135" s="63">
        <f t="shared" si="27"/>
        <v>0</v>
      </c>
      <c r="R135" s="63"/>
      <c r="S135" s="10"/>
      <c r="T135" s="10"/>
      <c r="U135" s="17"/>
      <c r="V135" s="10"/>
      <c r="W135" s="10"/>
      <c r="X135" s="10"/>
    </row>
    <row r="136" spans="2:24">
      <c r="B136" s="11"/>
      <c r="C136" s="10"/>
      <c r="D136" s="10"/>
      <c r="E136" s="12"/>
      <c r="F136" s="76"/>
      <c r="G136" s="10"/>
      <c r="H136" s="10"/>
      <c r="I136" s="10"/>
      <c r="J136" s="10" t="s">
        <v>46</v>
      </c>
      <c r="K136" s="31">
        <f t="shared" ref="K136:Q136" si="28">K134/(K134+K135)</f>
        <v>0.66666666666666663</v>
      </c>
      <c r="L136" s="31">
        <f t="shared" si="28"/>
        <v>0.25</v>
      </c>
      <c r="M136" s="31">
        <f t="shared" si="28"/>
        <v>0.16666666666666666</v>
      </c>
      <c r="N136" s="31">
        <f t="shared" si="28"/>
        <v>0.2</v>
      </c>
      <c r="O136" s="31">
        <f t="shared" si="28"/>
        <v>0.75</v>
      </c>
      <c r="P136" s="31">
        <f t="shared" si="28"/>
        <v>0.4</v>
      </c>
      <c r="Q136" s="31" t="e">
        <f t="shared" si="28"/>
        <v>#DIV/0!</v>
      </c>
      <c r="R136" s="63"/>
      <c r="S136" s="10"/>
      <c r="T136" s="10"/>
      <c r="U136" s="17"/>
      <c r="V136" s="10"/>
      <c r="W136" s="10"/>
      <c r="X136" s="10"/>
    </row>
    <row r="137" spans="2:24">
      <c r="B137" s="11"/>
      <c r="C137" s="10"/>
      <c r="D137" s="10"/>
      <c r="E137" s="10"/>
      <c r="F137" s="10"/>
      <c r="G137" s="10"/>
      <c r="H137" s="10"/>
      <c r="I137" s="10"/>
      <c r="J137" s="10" t="s">
        <v>48</v>
      </c>
      <c r="K137" s="66">
        <f t="shared" ref="K137:Q137" si="29">K133/K134</f>
        <v>1674</v>
      </c>
      <c r="L137" s="66">
        <f t="shared" si="29"/>
        <v>5814</v>
      </c>
      <c r="M137" s="66">
        <f t="shared" si="29"/>
        <v>400</v>
      </c>
      <c r="N137" s="66">
        <f t="shared" si="29"/>
        <v>1681</v>
      </c>
      <c r="O137" s="66">
        <f t="shared" si="29"/>
        <v>2467.6666666666665</v>
      </c>
      <c r="P137" s="66">
        <f t="shared" si="29"/>
        <v>2199.4</v>
      </c>
      <c r="Q137" s="66" t="e">
        <f t="shared" si="29"/>
        <v>#DIV/0!</v>
      </c>
      <c r="R137" s="63"/>
      <c r="S137" s="10"/>
      <c r="T137" s="10"/>
      <c r="U137" s="17"/>
      <c r="V137" s="10"/>
      <c r="W137" s="10"/>
      <c r="X137" s="10"/>
    </row>
    <row r="138" spans="2:24">
      <c r="B138" s="11"/>
      <c r="C138" s="10"/>
      <c r="D138" s="10"/>
      <c r="E138" s="10"/>
      <c r="F138" s="10"/>
      <c r="G138" s="10"/>
      <c r="H138" s="10"/>
      <c r="I138" s="10"/>
      <c r="J138" s="10"/>
      <c r="K138" s="10"/>
      <c r="L138" s="10"/>
      <c r="M138" s="10"/>
      <c r="N138" s="10"/>
      <c r="O138" s="10"/>
      <c r="P138" s="10"/>
      <c r="Q138" s="10"/>
      <c r="R138" s="10"/>
      <c r="S138" s="10"/>
      <c r="T138" s="10"/>
      <c r="U138" s="17"/>
      <c r="V138" s="10"/>
      <c r="W138" s="10"/>
      <c r="X138" s="10"/>
    </row>
    <row r="139" spans="2:24">
      <c r="B139" s="11"/>
      <c r="C139" s="10"/>
      <c r="D139" s="10"/>
      <c r="E139" s="10"/>
      <c r="F139" s="10"/>
      <c r="G139" s="10"/>
      <c r="H139" s="10"/>
      <c r="I139" s="10"/>
      <c r="J139" s="10"/>
      <c r="K139" s="10"/>
      <c r="L139" s="10"/>
      <c r="M139" s="10"/>
      <c r="N139" s="10"/>
      <c r="O139" s="10"/>
      <c r="P139" s="10"/>
      <c r="Q139" s="10"/>
      <c r="R139" s="10"/>
      <c r="S139" s="10"/>
      <c r="T139" s="10"/>
      <c r="U139" s="17"/>
      <c r="V139" s="10"/>
      <c r="W139" s="10"/>
      <c r="X139" s="10"/>
    </row>
    <row r="140" spans="2:24">
      <c r="B140" s="18" t="s">
        <v>51</v>
      </c>
      <c r="C140" s="14"/>
      <c r="D140" s="14"/>
      <c r="E140" s="14"/>
      <c r="F140" s="13" t="s">
        <v>52</v>
      </c>
      <c r="G140" s="14"/>
      <c r="H140" s="14"/>
      <c r="I140" s="14"/>
      <c r="J140" s="14"/>
      <c r="K140" s="13" t="s">
        <v>3</v>
      </c>
      <c r="L140" s="14"/>
      <c r="M140" s="14"/>
      <c r="N140" s="13" t="s">
        <v>4</v>
      </c>
      <c r="O140" s="14"/>
      <c r="P140" s="14"/>
      <c r="Q140" s="13" t="s">
        <v>5</v>
      </c>
      <c r="R140" s="14"/>
      <c r="S140" s="14"/>
      <c r="T140" s="18"/>
      <c r="U140" s="16" t="s">
        <v>53</v>
      </c>
      <c r="V140" s="77"/>
      <c r="W140" s="77"/>
      <c r="X140" s="77"/>
    </row>
    <row r="141" spans="2:24">
      <c r="B141" s="24" t="s">
        <v>54</v>
      </c>
      <c r="C141" s="21" t="s">
        <v>55</v>
      </c>
      <c r="D141" s="21" t="s">
        <v>56</v>
      </c>
      <c r="E141" s="21" t="s">
        <v>57</v>
      </c>
      <c r="F141" s="20" t="s">
        <v>58</v>
      </c>
      <c r="G141" s="21" t="s">
        <v>59</v>
      </c>
      <c r="H141" s="21" t="s">
        <v>60</v>
      </c>
      <c r="I141" s="21" t="s">
        <v>26</v>
      </c>
      <c r="J141" s="22" t="s">
        <v>61</v>
      </c>
      <c r="K141" s="21" t="s">
        <v>8</v>
      </c>
      <c r="L141" s="21" t="s">
        <v>9</v>
      </c>
      <c r="M141" s="21" t="s">
        <v>10</v>
      </c>
      <c r="N141" s="20" t="s">
        <v>11</v>
      </c>
      <c r="O141" s="21" t="s">
        <v>12</v>
      </c>
      <c r="P141" s="22" t="s">
        <v>13</v>
      </c>
      <c r="Q141" s="21" t="s">
        <v>11</v>
      </c>
      <c r="R141" s="21" t="s">
        <v>12</v>
      </c>
      <c r="S141" s="21" t="s">
        <v>13</v>
      </c>
      <c r="T141" s="78" t="s">
        <v>14</v>
      </c>
      <c r="U141" s="30"/>
      <c r="V141" s="79" t="s">
        <v>62</v>
      </c>
      <c r="W141" s="80" t="s">
        <v>63</v>
      </c>
      <c r="X141" s="81" t="s">
        <v>64</v>
      </c>
    </row>
    <row r="142" spans="2:24">
      <c r="B142" s="4" t="s">
        <v>65</v>
      </c>
      <c r="C142" s="6"/>
      <c r="D142" s="6"/>
      <c r="E142" s="6"/>
      <c r="F142" s="6"/>
      <c r="G142" s="6"/>
      <c r="H142" s="6"/>
      <c r="I142" s="82"/>
      <c r="J142" s="6"/>
      <c r="K142" s="6"/>
      <c r="L142" s="6"/>
      <c r="M142" s="6"/>
      <c r="N142" s="6"/>
      <c r="O142" s="6"/>
      <c r="P142" s="6"/>
      <c r="Q142" s="6"/>
      <c r="R142" s="6"/>
      <c r="S142" s="6"/>
      <c r="T142" s="83"/>
      <c r="U142" s="6"/>
      <c r="V142" s="84"/>
      <c r="W142" s="85"/>
      <c r="X142" s="86"/>
    </row>
    <row r="143" spans="2:24">
      <c r="B143" s="87">
        <v>1</v>
      </c>
      <c r="C143" s="274">
        <v>45901</v>
      </c>
      <c r="D143" s="327">
        <v>72824</v>
      </c>
      <c r="E143" s="276" t="s">
        <v>508</v>
      </c>
      <c r="F143" s="277">
        <v>5013</v>
      </c>
      <c r="G143" s="277">
        <f>39.7+(188.1)+(1495.74)+250</f>
        <v>1973.54</v>
      </c>
      <c r="H143" s="277"/>
      <c r="I143" s="321">
        <f>F143-G143-H143</f>
        <v>3039.46</v>
      </c>
      <c r="J143" s="279" t="s">
        <v>156</v>
      </c>
      <c r="K143" s="279">
        <v>1</v>
      </c>
      <c r="L143" s="279">
        <v>1</v>
      </c>
      <c r="M143" s="279">
        <v>1</v>
      </c>
      <c r="N143" s="279">
        <v>1</v>
      </c>
      <c r="O143" s="279">
        <v>1</v>
      </c>
      <c r="P143" s="279">
        <v>1</v>
      </c>
      <c r="Q143" s="322">
        <v>0</v>
      </c>
      <c r="R143" s="322">
        <v>0</v>
      </c>
      <c r="S143" s="328">
        <v>0</v>
      </c>
      <c r="T143" s="63"/>
      <c r="U143" s="94" t="s">
        <v>781</v>
      </c>
      <c r="V143" s="90">
        <f>500+1500+3514.3</f>
        <v>5514.3</v>
      </c>
      <c r="W143" s="578"/>
      <c r="X143" s="579"/>
    </row>
    <row r="144" spans="2:24">
      <c r="B144" s="87">
        <f>B143+1</f>
        <v>2</v>
      </c>
      <c r="C144" s="295">
        <v>45901</v>
      </c>
      <c r="D144" s="323">
        <v>72806</v>
      </c>
      <c r="E144" s="10" t="s">
        <v>178</v>
      </c>
      <c r="F144" s="62">
        <v>621</v>
      </c>
      <c r="G144" s="62"/>
      <c r="H144" s="88"/>
      <c r="I144" s="324">
        <f t="shared" ref="I144:I151" si="30">F144-G144-H144</f>
        <v>621</v>
      </c>
      <c r="J144" s="63" t="s">
        <v>156</v>
      </c>
      <c r="K144" s="63">
        <v>1</v>
      </c>
      <c r="L144" s="63">
        <v>1</v>
      </c>
      <c r="M144" s="63">
        <v>1</v>
      </c>
      <c r="N144" s="63">
        <v>1</v>
      </c>
      <c r="O144" s="63">
        <v>1</v>
      </c>
      <c r="P144" s="63">
        <v>1</v>
      </c>
      <c r="Q144" s="63">
        <v>1</v>
      </c>
      <c r="R144" s="63">
        <v>1</v>
      </c>
      <c r="S144" s="326">
        <v>0</v>
      </c>
      <c r="T144" s="63"/>
      <c r="U144" s="10"/>
      <c r="V144" s="90">
        <v>683.1</v>
      </c>
      <c r="W144" s="91"/>
      <c r="X144" s="92"/>
    </row>
    <row r="145" spans="1:24">
      <c r="B145" s="87">
        <f t="shared" ref="B145:B151" si="31">B144+1</f>
        <v>3</v>
      </c>
      <c r="C145" s="295">
        <v>45901</v>
      </c>
      <c r="D145" s="323">
        <v>72842</v>
      </c>
      <c r="E145" s="10" t="s">
        <v>769</v>
      </c>
      <c r="F145" s="62">
        <v>581</v>
      </c>
      <c r="G145" s="62"/>
      <c r="H145" s="62"/>
      <c r="I145" s="324">
        <f t="shared" si="30"/>
        <v>581</v>
      </c>
      <c r="J145" s="63" t="s">
        <v>156</v>
      </c>
      <c r="K145" s="63">
        <v>1</v>
      </c>
      <c r="L145" s="325">
        <v>0</v>
      </c>
      <c r="M145" s="63">
        <v>1</v>
      </c>
      <c r="N145" s="63">
        <v>1</v>
      </c>
      <c r="O145" s="63">
        <v>1</v>
      </c>
      <c r="P145" s="63">
        <v>1</v>
      </c>
      <c r="Q145" s="63">
        <v>1</v>
      </c>
      <c r="R145" s="63">
        <v>1</v>
      </c>
      <c r="S145" s="296">
        <v>1</v>
      </c>
      <c r="T145" s="21">
        <v>1</v>
      </c>
      <c r="U145" s="10"/>
      <c r="V145" s="90">
        <v>639.1</v>
      </c>
      <c r="W145" s="91"/>
      <c r="X145" s="92"/>
    </row>
    <row r="146" spans="1:24">
      <c r="B146" s="87">
        <f t="shared" si="31"/>
        <v>4</v>
      </c>
      <c r="C146" s="282">
        <v>45901</v>
      </c>
      <c r="D146" s="368">
        <v>72836</v>
      </c>
      <c r="E146" s="283" t="s">
        <v>155</v>
      </c>
      <c r="F146" s="284">
        <v>481</v>
      </c>
      <c r="G146" s="284"/>
      <c r="H146" s="284"/>
      <c r="I146" s="331">
        <f t="shared" si="30"/>
        <v>481</v>
      </c>
      <c r="J146" s="286" t="s">
        <v>156</v>
      </c>
      <c r="K146" s="286">
        <v>1</v>
      </c>
      <c r="L146" s="332">
        <v>0</v>
      </c>
      <c r="M146" s="286">
        <v>1</v>
      </c>
      <c r="N146" s="286">
        <v>1</v>
      </c>
      <c r="O146" s="286">
        <v>1</v>
      </c>
      <c r="P146" s="332">
        <v>0</v>
      </c>
      <c r="Q146" s="286">
        <v>1</v>
      </c>
      <c r="R146" s="286">
        <v>1</v>
      </c>
      <c r="S146" s="287">
        <v>1</v>
      </c>
      <c r="T146" s="63"/>
      <c r="U146" s="10" t="s">
        <v>782</v>
      </c>
      <c r="V146" s="90">
        <v>529.1</v>
      </c>
      <c r="W146" s="91"/>
      <c r="X146" s="92"/>
    </row>
    <row r="147" spans="1:24">
      <c r="A147" t="s">
        <v>783</v>
      </c>
      <c r="B147" s="87">
        <f t="shared" si="31"/>
        <v>5</v>
      </c>
      <c r="C147" s="295">
        <v>45902</v>
      </c>
      <c r="D147" s="323">
        <v>72876</v>
      </c>
      <c r="E147" s="94" t="s">
        <v>210</v>
      </c>
      <c r="F147" s="62">
        <v>5814</v>
      </c>
      <c r="G147" s="62">
        <f>39.7+(1312.46)+250+500</f>
        <v>2102.16</v>
      </c>
      <c r="H147" s="62"/>
      <c r="I147" s="324">
        <f t="shared" si="30"/>
        <v>3711.84</v>
      </c>
      <c r="J147" s="63" t="s">
        <v>156</v>
      </c>
      <c r="K147" s="63">
        <v>1</v>
      </c>
      <c r="L147" s="63">
        <v>1</v>
      </c>
      <c r="M147" s="63">
        <v>1</v>
      </c>
      <c r="N147" s="63">
        <v>1</v>
      </c>
      <c r="O147" s="63">
        <v>1</v>
      </c>
      <c r="P147" s="63">
        <v>1</v>
      </c>
      <c r="Q147" s="63">
        <v>1</v>
      </c>
      <c r="R147" s="63">
        <v>1</v>
      </c>
      <c r="S147" s="326">
        <v>0</v>
      </c>
      <c r="T147" s="21">
        <v>1</v>
      </c>
      <c r="U147" s="10" t="s">
        <v>784</v>
      </c>
      <c r="V147" s="90">
        <f>600+1700+4095.4</f>
        <v>6395.4</v>
      </c>
      <c r="W147" s="91"/>
      <c r="X147" s="92"/>
    </row>
    <row r="148" spans="1:24">
      <c r="B148" s="87">
        <f t="shared" si="31"/>
        <v>6</v>
      </c>
      <c r="C148" s="274">
        <v>45903</v>
      </c>
      <c r="D148" s="327">
        <v>72930</v>
      </c>
      <c r="E148" s="276" t="s">
        <v>355</v>
      </c>
      <c r="F148" s="277">
        <v>400</v>
      </c>
      <c r="G148" s="277"/>
      <c r="H148" s="277"/>
      <c r="I148" s="321">
        <f t="shared" si="30"/>
        <v>400</v>
      </c>
      <c r="J148" s="279" t="s">
        <v>156</v>
      </c>
      <c r="K148" s="279">
        <v>1</v>
      </c>
      <c r="L148" s="279">
        <v>1</v>
      </c>
      <c r="M148" s="279">
        <v>1</v>
      </c>
      <c r="N148" s="279">
        <v>1</v>
      </c>
      <c r="O148" s="279">
        <v>1</v>
      </c>
      <c r="P148" s="279">
        <v>1</v>
      </c>
      <c r="Q148" s="279">
        <v>1</v>
      </c>
      <c r="R148" s="279">
        <v>1</v>
      </c>
      <c r="S148" s="328">
        <v>0</v>
      </c>
      <c r="T148" s="63"/>
      <c r="U148" s="10"/>
      <c r="V148" s="90">
        <v>440</v>
      </c>
      <c r="W148" s="91"/>
      <c r="X148" s="92"/>
    </row>
    <row r="149" spans="1:24">
      <c r="B149" s="87">
        <f t="shared" si="31"/>
        <v>7</v>
      </c>
      <c r="C149" s="274">
        <v>45904</v>
      </c>
      <c r="D149" s="327">
        <v>72979</v>
      </c>
      <c r="E149" s="276" t="s">
        <v>294</v>
      </c>
      <c r="F149" s="277">
        <v>1681</v>
      </c>
      <c r="G149" s="277">
        <f>39.7</f>
        <v>39.700000000000003</v>
      </c>
      <c r="H149" s="297"/>
      <c r="I149" s="321">
        <f t="shared" si="30"/>
        <v>1641.3</v>
      </c>
      <c r="J149" s="279" t="s">
        <v>156</v>
      </c>
      <c r="K149" s="279">
        <v>1</v>
      </c>
      <c r="L149" s="279">
        <v>1</v>
      </c>
      <c r="M149" s="279">
        <v>1</v>
      </c>
      <c r="N149" s="279">
        <v>1</v>
      </c>
      <c r="O149" s="279">
        <v>1</v>
      </c>
      <c r="P149" s="279">
        <v>1</v>
      </c>
      <c r="Q149" s="279">
        <v>1</v>
      </c>
      <c r="R149" s="279">
        <v>1</v>
      </c>
      <c r="S149" s="328">
        <v>0</v>
      </c>
      <c r="T149" s="21">
        <v>1</v>
      </c>
      <c r="U149" s="10"/>
      <c r="V149" s="90">
        <v>1849.1</v>
      </c>
      <c r="W149" s="91"/>
      <c r="X149" s="92"/>
    </row>
    <row r="150" spans="1:24">
      <c r="B150" s="87">
        <f t="shared" si="31"/>
        <v>8</v>
      </c>
      <c r="C150" s="274">
        <v>45905</v>
      </c>
      <c r="D150" s="327">
        <v>73007</v>
      </c>
      <c r="E150" s="276" t="s">
        <v>292</v>
      </c>
      <c r="F150" s="277">
        <v>1681</v>
      </c>
      <c r="G150" s="277">
        <f>39.7</f>
        <v>39.700000000000003</v>
      </c>
      <c r="H150" s="297"/>
      <c r="I150" s="278">
        <f t="shared" si="30"/>
        <v>1641.3</v>
      </c>
      <c r="J150" s="279" t="s">
        <v>156</v>
      </c>
      <c r="K150" s="279">
        <v>1</v>
      </c>
      <c r="L150" s="279">
        <v>1</v>
      </c>
      <c r="M150" s="279">
        <v>1</v>
      </c>
      <c r="N150" s="279">
        <v>1</v>
      </c>
      <c r="O150" s="279">
        <v>1</v>
      </c>
      <c r="P150" s="279">
        <v>1</v>
      </c>
      <c r="Q150" s="279">
        <v>1</v>
      </c>
      <c r="R150" s="279">
        <v>1</v>
      </c>
      <c r="S150" s="280">
        <v>1</v>
      </c>
      <c r="T150" s="21">
        <v>1</v>
      </c>
      <c r="U150" s="10"/>
      <c r="V150" s="90">
        <v>1849.1</v>
      </c>
      <c r="W150" s="91"/>
      <c r="X150" s="92"/>
    </row>
    <row r="151" spans="1:24">
      <c r="B151" s="87">
        <f t="shared" si="31"/>
        <v>9</v>
      </c>
      <c r="C151" s="282">
        <v>45905</v>
      </c>
      <c r="D151" s="368">
        <v>73023</v>
      </c>
      <c r="E151" s="283" t="s">
        <v>211</v>
      </c>
      <c r="F151" s="284">
        <v>4461</v>
      </c>
      <c r="G151" s="284">
        <f>39.7+(13.84)+(33.36)+200</f>
        <v>286.89999999999998</v>
      </c>
      <c r="H151" s="315"/>
      <c r="I151" s="285">
        <f t="shared" si="30"/>
        <v>4174.1000000000004</v>
      </c>
      <c r="J151" s="286" t="s">
        <v>156</v>
      </c>
      <c r="K151" s="286">
        <v>1</v>
      </c>
      <c r="L151" s="286">
        <v>1</v>
      </c>
      <c r="M151" s="286">
        <v>1</v>
      </c>
      <c r="N151" s="286">
        <v>1</v>
      </c>
      <c r="O151" s="286">
        <v>1</v>
      </c>
      <c r="P151" s="286">
        <v>1</v>
      </c>
      <c r="Q151" s="286">
        <v>1</v>
      </c>
      <c r="R151" s="286">
        <v>1</v>
      </c>
      <c r="S151" s="287">
        <v>1</v>
      </c>
      <c r="T151" s="21">
        <v>1</v>
      </c>
      <c r="U151" s="10" t="s">
        <v>785</v>
      </c>
      <c r="V151" s="90">
        <v>4907.1000000000004</v>
      </c>
      <c r="W151" s="91"/>
      <c r="X151" s="92"/>
    </row>
    <row r="152" spans="1:24">
      <c r="B152" s="87"/>
      <c r="C152" s="36"/>
      <c r="D152" s="10"/>
      <c r="E152" s="10"/>
      <c r="F152" s="98">
        <f>SUM(F143:F151)</f>
        <v>20733</v>
      </c>
      <c r="G152" s="98">
        <f>SUM(G143:G151)</f>
        <v>4441.9999999999991</v>
      </c>
      <c r="H152" s="98">
        <f>SUM(H143:H151)</f>
        <v>0</v>
      </c>
      <c r="I152" s="98">
        <f>SUM(I143:I151)</f>
        <v>16290.999999999998</v>
      </c>
      <c r="J152" s="63"/>
      <c r="K152" s="63">
        <f>COUNT(K143:K151)</f>
        <v>9</v>
      </c>
      <c r="L152" s="63">
        <f>COUNT(L143:L151)</f>
        <v>9</v>
      </c>
      <c r="M152" s="63">
        <f>COUNT(M143:M151)</f>
        <v>9</v>
      </c>
      <c r="N152" s="63">
        <f>COUNT(N143:N151)</f>
        <v>9</v>
      </c>
      <c r="O152" s="63">
        <f>COUNT(O143:O151)</f>
        <v>9</v>
      </c>
      <c r="P152" s="63">
        <f>COUNT(P143:P151)</f>
        <v>9</v>
      </c>
      <c r="Q152" s="63">
        <f>COUNT(Q143:Q151)</f>
        <v>9</v>
      </c>
      <c r="R152" s="63">
        <f>COUNT(R143:R151)</f>
        <v>9</v>
      </c>
      <c r="S152" s="63">
        <f>COUNT(S143:S151)</f>
        <v>9</v>
      </c>
      <c r="T152" s="63"/>
      <c r="U152" s="10"/>
      <c r="V152" s="90"/>
      <c r="W152" s="91"/>
      <c r="X152" s="92"/>
    </row>
    <row r="153" spans="1:24">
      <c r="B153" s="87"/>
      <c r="C153" s="36"/>
      <c r="D153" s="10"/>
      <c r="E153" s="10"/>
      <c r="F153" s="88"/>
      <c r="G153" s="88"/>
      <c r="H153" s="88"/>
      <c r="I153" s="99"/>
      <c r="J153" s="63"/>
      <c r="K153" s="21">
        <f>SUM(K143:K151)</f>
        <v>9</v>
      </c>
      <c r="L153" s="21">
        <f>SUM(L143:L151)</f>
        <v>7</v>
      </c>
      <c r="M153" s="21">
        <f>SUM(M143:M151)</f>
        <v>9</v>
      </c>
      <c r="N153" s="21">
        <f>SUM(N143:N151)</f>
        <v>9</v>
      </c>
      <c r="O153" s="21">
        <f>SUM(O143:O151)</f>
        <v>9</v>
      </c>
      <c r="P153" s="21">
        <f>SUM(P143:P151)</f>
        <v>8</v>
      </c>
      <c r="Q153" s="21">
        <f>SUM(Q143:Q151)</f>
        <v>8</v>
      </c>
      <c r="R153" s="21">
        <f>SUM(R143:R151)</f>
        <v>8</v>
      </c>
      <c r="S153" s="21">
        <f>SUM(S143:S151)</f>
        <v>4</v>
      </c>
      <c r="T153" s="63"/>
      <c r="U153" s="10"/>
      <c r="V153" s="90"/>
      <c r="W153" s="91"/>
      <c r="X153" s="92"/>
    </row>
    <row r="154" spans="1:24">
      <c r="B154" s="11"/>
      <c r="C154" s="36"/>
      <c r="D154" s="10"/>
      <c r="E154" s="10"/>
      <c r="F154" s="88"/>
      <c r="G154" s="88"/>
      <c r="H154" s="88"/>
      <c r="I154" s="99"/>
      <c r="J154" s="63"/>
      <c r="K154" s="21"/>
      <c r="L154" s="21"/>
      <c r="M154" s="21"/>
      <c r="N154" s="21"/>
      <c r="O154" s="21"/>
      <c r="P154" s="21"/>
      <c r="Q154" s="21"/>
      <c r="R154" s="21"/>
      <c r="S154" s="21"/>
      <c r="T154" s="63"/>
      <c r="U154" s="94"/>
      <c r="V154" s="90"/>
      <c r="W154" s="91"/>
      <c r="X154" s="92"/>
    </row>
    <row r="155" spans="1:24">
      <c r="B155" s="121" t="s">
        <v>68</v>
      </c>
      <c r="C155" s="122"/>
      <c r="D155" s="123"/>
      <c r="E155" s="123"/>
      <c r="F155" s="124"/>
      <c r="G155" s="125"/>
      <c r="H155" s="124"/>
      <c r="I155" s="126"/>
      <c r="J155" s="127"/>
      <c r="K155" s="128"/>
      <c r="L155" s="128"/>
      <c r="M155" s="128"/>
      <c r="N155" s="128"/>
      <c r="O155" s="128"/>
      <c r="P155" s="128"/>
      <c r="Q155" s="128"/>
      <c r="R155" s="128"/>
      <c r="S155" s="128"/>
      <c r="T155" s="127"/>
      <c r="U155" s="123"/>
      <c r="V155" s="129"/>
      <c r="W155" s="130"/>
      <c r="X155" s="131"/>
    </row>
    <row r="156" spans="1:24" s="342" customFormat="1">
      <c r="A156" s="492">
        <v>0.05</v>
      </c>
      <c r="B156" s="333">
        <v>1</v>
      </c>
      <c r="C156" s="350">
        <v>45905</v>
      </c>
      <c r="D156" s="263">
        <v>73026</v>
      </c>
      <c r="E156" s="351" t="s">
        <v>294</v>
      </c>
      <c r="F156" s="352">
        <v>1261</v>
      </c>
      <c r="G156" s="352">
        <f>39.7</f>
        <v>39.700000000000003</v>
      </c>
      <c r="H156" s="352"/>
      <c r="I156" s="353">
        <f t="shared" ref="I156" si="32">F156-G156-H156</f>
        <v>1221.3</v>
      </c>
      <c r="J156" s="354"/>
      <c r="K156" s="354">
        <v>1</v>
      </c>
      <c r="L156" s="354">
        <v>1</v>
      </c>
      <c r="M156" s="354"/>
      <c r="N156" s="354">
        <v>1</v>
      </c>
      <c r="O156" s="354">
        <v>1</v>
      </c>
      <c r="P156" s="314">
        <v>0</v>
      </c>
      <c r="Q156" s="354">
        <v>1</v>
      </c>
      <c r="R156" s="354">
        <v>1</v>
      </c>
      <c r="S156" s="366">
        <v>0</v>
      </c>
      <c r="T156" s="127"/>
      <c r="U156" s="123"/>
      <c r="V156" s="129"/>
      <c r="W156" s="130"/>
      <c r="X156" s="131"/>
    </row>
    <row r="157" spans="1:24">
      <c r="B157" s="132"/>
      <c r="C157" s="122"/>
      <c r="D157" s="123"/>
      <c r="E157" s="123"/>
      <c r="F157" s="133">
        <f>SUM(F156:F156)</f>
        <v>1261</v>
      </c>
      <c r="G157" s="133">
        <f>SUM(G156:G156)</f>
        <v>39.700000000000003</v>
      </c>
      <c r="H157" s="133">
        <f>SUM(H156:H156)</f>
        <v>0</v>
      </c>
      <c r="I157" s="134">
        <f>SUM(I156:I156)</f>
        <v>1221.3</v>
      </c>
      <c r="J157" s="127"/>
      <c r="K157" s="64"/>
      <c r="L157" s="64"/>
      <c r="M157" s="64"/>
      <c r="N157" s="64"/>
      <c r="O157" s="64"/>
      <c r="P157" s="64"/>
      <c r="Q157" s="64"/>
      <c r="R157" s="64"/>
      <c r="S157" s="64"/>
      <c r="T157" s="127"/>
      <c r="U157" s="123"/>
      <c r="V157" s="129"/>
      <c r="W157" s="130"/>
      <c r="X157" s="131"/>
    </row>
    <row r="158" spans="1:24">
      <c r="B158" s="11"/>
      <c r="C158" s="36"/>
      <c r="D158" s="10"/>
      <c r="E158" s="10"/>
      <c r="F158" s="88"/>
      <c r="G158" s="88"/>
      <c r="H158" s="88"/>
      <c r="I158" s="99"/>
      <c r="J158" s="63"/>
      <c r="K158" s="21"/>
      <c r="L158" s="21"/>
      <c r="M158" s="21"/>
      <c r="N158" s="21"/>
      <c r="O158" s="21"/>
      <c r="P158" s="21"/>
      <c r="Q158" s="21"/>
      <c r="R158" s="21"/>
      <c r="S158" s="21"/>
      <c r="T158" s="63"/>
      <c r="U158" s="94"/>
      <c r="V158" s="90"/>
      <c r="W158" s="91"/>
      <c r="X158" s="92"/>
    </row>
    <row r="159" spans="1:24" s="260" customFormat="1">
      <c r="A159" s="181"/>
      <c r="B159" s="100" t="s">
        <v>152</v>
      </c>
      <c r="C159" s="36"/>
      <c r="D159" s="10"/>
      <c r="E159" s="10"/>
      <c r="F159" s="88"/>
      <c r="G159" s="62"/>
      <c r="H159" s="88"/>
      <c r="I159" s="99"/>
      <c r="J159" s="63"/>
      <c r="K159" s="181"/>
      <c r="L159" s="181"/>
      <c r="M159" s="181"/>
      <c r="N159" s="181"/>
      <c r="O159" s="181"/>
      <c r="P159" s="181"/>
      <c r="Q159" s="181"/>
      <c r="R159" s="181"/>
      <c r="S159" s="181"/>
      <c r="T159" s="63"/>
      <c r="U159" s="10"/>
      <c r="V159" s="90"/>
      <c r="W159" s="91"/>
      <c r="X159" s="92"/>
    </row>
    <row r="160" spans="1:24" s="260" customFormat="1">
      <c r="A160" s="181"/>
      <c r="B160" s="87">
        <v>1</v>
      </c>
      <c r="C160" s="262">
        <v>45890</v>
      </c>
      <c r="D160" s="357" t="s">
        <v>759</v>
      </c>
      <c r="E160" s="271" t="s">
        <v>369</v>
      </c>
      <c r="F160" s="265">
        <v>4112</v>
      </c>
      <c r="G160" s="265">
        <f>39.7+(847.9+27.43+26.8)+300</f>
        <v>1241.83</v>
      </c>
      <c r="H160" s="265"/>
      <c r="I160" s="272">
        <f>F160-G160-H160</f>
        <v>2870.17</v>
      </c>
      <c r="J160" s="267" t="s">
        <v>228</v>
      </c>
      <c r="K160" s="267">
        <v>1</v>
      </c>
      <c r="L160" s="267">
        <v>0</v>
      </c>
      <c r="M160" s="267">
        <v>1</v>
      </c>
      <c r="N160" s="267">
        <v>1</v>
      </c>
      <c r="O160" s="267">
        <v>1</v>
      </c>
      <c r="P160" s="267">
        <v>1</v>
      </c>
      <c r="Q160" s="267">
        <v>1</v>
      </c>
      <c r="R160" s="267">
        <v>1</v>
      </c>
      <c r="S160" s="269">
        <v>0</v>
      </c>
      <c r="T160" s="63"/>
      <c r="U160" s="10" t="s">
        <v>760</v>
      </c>
      <c r="V160" s="90"/>
      <c r="W160" s="136"/>
      <c r="X160" s="137"/>
    </row>
    <row r="161" spans="1:24" s="260" customFormat="1">
      <c r="A161" s="181"/>
      <c r="B161" s="11"/>
      <c r="C161" s="36"/>
      <c r="D161" s="10"/>
      <c r="E161" s="10"/>
      <c r="F161" s="98">
        <f>SUM(F160)</f>
        <v>4112</v>
      </c>
      <c r="G161" s="98">
        <f>SUM(G160)</f>
        <v>1241.83</v>
      </c>
      <c r="H161" s="98">
        <f>SUM(H160)</f>
        <v>0</v>
      </c>
      <c r="I161" s="98">
        <f>SUM(I160)</f>
        <v>2870.17</v>
      </c>
      <c r="J161" s="63"/>
      <c r="K161" s="21"/>
      <c r="L161" s="21"/>
      <c r="M161" s="21"/>
      <c r="N161" s="21"/>
      <c r="O161" s="21"/>
      <c r="P161" s="21"/>
      <c r="Q161" s="21"/>
      <c r="R161" s="21"/>
      <c r="S161" s="21"/>
      <c r="T161" s="63"/>
      <c r="U161" s="94"/>
      <c r="V161" s="90"/>
      <c r="W161" s="91"/>
      <c r="X161" s="92"/>
    </row>
    <row r="162" spans="1:24" s="260" customFormat="1">
      <c r="A162" s="181"/>
      <c r="B162" s="11"/>
      <c r="C162" s="36"/>
      <c r="D162" s="10"/>
      <c r="E162" s="10"/>
      <c r="F162" s="88"/>
      <c r="G162" s="88"/>
      <c r="H162" s="88"/>
      <c r="I162" s="99"/>
      <c r="J162" s="63"/>
      <c r="K162" s="21"/>
      <c r="L162" s="21"/>
      <c r="M162" s="21"/>
      <c r="N162" s="21"/>
      <c r="O162" s="21"/>
      <c r="P162" s="21"/>
      <c r="Q162" s="21"/>
      <c r="R162" s="21"/>
      <c r="S162" s="21"/>
      <c r="T162" s="63"/>
      <c r="U162" s="94"/>
      <c r="V162" s="90"/>
      <c r="W162" s="91"/>
      <c r="X162" s="92"/>
    </row>
    <row r="163" spans="1:24">
      <c r="B163" s="100" t="s">
        <v>72</v>
      </c>
      <c r="C163" s="36"/>
      <c r="D163" s="10"/>
      <c r="E163" s="10"/>
      <c r="F163" s="88"/>
      <c r="G163" s="88"/>
      <c r="H163" s="88"/>
      <c r="I163" s="99"/>
      <c r="J163" s="63"/>
      <c r="K163" s="63"/>
      <c r="L163" s="63"/>
      <c r="M163" s="63"/>
      <c r="N163" s="63"/>
      <c r="O163" s="63"/>
      <c r="P163" s="63"/>
      <c r="Q163" s="63"/>
      <c r="R163" s="63"/>
      <c r="S163" s="63"/>
      <c r="T163" s="63"/>
      <c r="U163" s="10"/>
      <c r="V163" s="90"/>
      <c r="W163" s="91"/>
      <c r="X163" s="92"/>
    </row>
    <row r="164" spans="1:24">
      <c r="B164" s="87">
        <v>1</v>
      </c>
      <c r="C164" s="274">
        <v>45901</v>
      </c>
      <c r="D164" s="276">
        <v>72850</v>
      </c>
      <c r="E164" s="276" t="s">
        <v>304</v>
      </c>
      <c r="F164" s="277">
        <v>796</v>
      </c>
      <c r="G164" s="277">
        <v>39.700000000000003</v>
      </c>
      <c r="H164" s="277"/>
      <c r="I164" s="278">
        <f t="shared" ref="I164:I178" si="33">F164-G164-H164</f>
        <v>756.3</v>
      </c>
      <c r="J164" s="279" t="s">
        <v>205</v>
      </c>
      <c r="K164" s="279">
        <v>1</v>
      </c>
      <c r="L164" s="279"/>
      <c r="M164" s="279"/>
      <c r="N164" s="279">
        <v>1</v>
      </c>
      <c r="O164" s="279"/>
      <c r="P164" s="279"/>
      <c r="Q164" s="279">
        <v>1</v>
      </c>
      <c r="R164" s="279">
        <v>1</v>
      </c>
      <c r="S164" s="280">
        <v>1</v>
      </c>
      <c r="T164" s="63"/>
      <c r="U164" s="3"/>
      <c r="V164" s="90"/>
      <c r="W164" s="91"/>
      <c r="X164" s="92"/>
    </row>
    <row r="165" spans="1:24">
      <c r="B165" s="87">
        <f t="shared" ref="B165:B178" si="34">B164+1</f>
        <v>2</v>
      </c>
      <c r="C165" s="295">
        <v>45901</v>
      </c>
      <c r="D165" s="10">
        <v>72847</v>
      </c>
      <c r="E165" s="10" t="s">
        <v>769</v>
      </c>
      <c r="F165" s="62">
        <v>7753</v>
      </c>
      <c r="G165" s="62">
        <v>39.700000000000003</v>
      </c>
      <c r="H165" s="62"/>
      <c r="I165" s="89">
        <f t="shared" si="33"/>
        <v>7713.3</v>
      </c>
      <c r="J165" s="63" t="s">
        <v>205</v>
      </c>
      <c r="K165" s="63">
        <v>1</v>
      </c>
      <c r="L165" s="63"/>
      <c r="M165" s="63"/>
      <c r="N165" s="63">
        <v>1</v>
      </c>
      <c r="O165" s="63"/>
      <c r="P165" s="63"/>
      <c r="Q165" s="63">
        <v>1</v>
      </c>
      <c r="R165" s="63">
        <v>1</v>
      </c>
      <c r="S165" s="296">
        <v>1</v>
      </c>
      <c r="T165" s="63"/>
      <c r="U165" s="10"/>
      <c r="V165" s="90"/>
      <c r="W165" s="136"/>
      <c r="X165" s="137"/>
    </row>
    <row r="166" spans="1:24">
      <c r="B166" s="87">
        <f t="shared" si="34"/>
        <v>3</v>
      </c>
      <c r="C166" s="274">
        <v>45902</v>
      </c>
      <c r="D166" s="276">
        <v>72871</v>
      </c>
      <c r="E166" s="276" t="s">
        <v>203</v>
      </c>
      <c r="F166" s="277">
        <v>1138</v>
      </c>
      <c r="G166" s="277">
        <v>39.700000000000003</v>
      </c>
      <c r="H166" s="277"/>
      <c r="I166" s="278">
        <f t="shared" si="33"/>
        <v>1098.3</v>
      </c>
      <c r="J166" s="279" t="s">
        <v>205</v>
      </c>
      <c r="K166" s="279">
        <v>1</v>
      </c>
      <c r="L166" s="279"/>
      <c r="M166" s="279"/>
      <c r="N166" s="279">
        <v>1</v>
      </c>
      <c r="O166" s="279"/>
      <c r="P166" s="279"/>
      <c r="Q166" s="279">
        <v>1</v>
      </c>
      <c r="R166" s="279">
        <v>1</v>
      </c>
      <c r="S166" s="280"/>
      <c r="T166" s="63"/>
      <c r="U166" s="10"/>
      <c r="V166" s="90"/>
      <c r="W166" s="136"/>
      <c r="X166" s="137"/>
    </row>
    <row r="167" spans="1:24">
      <c r="B167" s="87">
        <f t="shared" si="34"/>
        <v>4</v>
      </c>
      <c r="C167" s="295">
        <v>45902</v>
      </c>
      <c r="D167" s="10">
        <v>72853</v>
      </c>
      <c r="E167" s="10" t="s">
        <v>786</v>
      </c>
      <c r="F167" s="62">
        <v>0</v>
      </c>
      <c r="G167" s="62">
        <v>0</v>
      </c>
      <c r="H167" s="62"/>
      <c r="I167" s="89">
        <f t="shared" si="33"/>
        <v>0</v>
      </c>
      <c r="J167" s="63" t="s">
        <v>205</v>
      </c>
      <c r="K167" s="63">
        <v>1</v>
      </c>
      <c r="L167" s="63"/>
      <c r="M167" s="63"/>
      <c r="N167" s="63"/>
      <c r="O167" s="63"/>
      <c r="P167" s="63"/>
      <c r="Q167" s="63">
        <v>1</v>
      </c>
      <c r="R167" s="63">
        <v>1</v>
      </c>
      <c r="S167" s="296">
        <v>1</v>
      </c>
      <c r="T167" s="63"/>
      <c r="U167" s="10"/>
      <c r="V167" s="90"/>
      <c r="W167" s="136"/>
      <c r="X167" s="137"/>
    </row>
    <row r="168" spans="1:24">
      <c r="B168" s="87">
        <f t="shared" si="34"/>
        <v>5</v>
      </c>
      <c r="C168" s="295">
        <v>45902</v>
      </c>
      <c r="D168" s="10">
        <v>72889</v>
      </c>
      <c r="E168" s="10" t="s">
        <v>349</v>
      </c>
      <c r="F168" s="62">
        <v>2035</v>
      </c>
      <c r="G168" s="62">
        <v>39.700000000000003</v>
      </c>
      <c r="H168" s="62"/>
      <c r="I168" s="89">
        <f t="shared" si="33"/>
        <v>1995.3</v>
      </c>
      <c r="J168" s="63" t="s">
        <v>205</v>
      </c>
      <c r="K168" s="63">
        <v>1</v>
      </c>
      <c r="L168" s="63"/>
      <c r="M168" s="63"/>
      <c r="N168" s="63">
        <v>1</v>
      </c>
      <c r="O168" s="63"/>
      <c r="P168" s="63"/>
      <c r="Q168" s="63">
        <v>1</v>
      </c>
      <c r="R168" s="63">
        <v>1</v>
      </c>
      <c r="S168" s="296">
        <v>1</v>
      </c>
      <c r="T168" s="63"/>
      <c r="U168" s="10"/>
      <c r="V168" s="90"/>
      <c r="W168" s="136"/>
      <c r="X168" s="137"/>
    </row>
    <row r="169" spans="1:24">
      <c r="B169" s="87">
        <f t="shared" si="34"/>
        <v>6</v>
      </c>
      <c r="C169" s="274">
        <v>45903</v>
      </c>
      <c r="D169" s="276">
        <v>72910</v>
      </c>
      <c r="E169" s="281" t="s">
        <v>401</v>
      </c>
      <c r="F169" s="277">
        <v>1261</v>
      </c>
      <c r="G169" s="277">
        <v>39.700000000000003</v>
      </c>
      <c r="H169" s="277"/>
      <c r="I169" s="278">
        <f t="shared" si="33"/>
        <v>1221.3</v>
      </c>
      <c r="J169" s="279" t="s">
        <v>205</v>
      </c>
      <c r="K169" s="279">
        <v>1</v>
      </c>
      <c r="L169" s="279"/>
      <c r="M169" s="279"/>
      <c r="N169" s="279">
        <v>1</v>
      </c>
      <c r="O169" s="279"/>
      <c r="P169" s="279"/>
      <c r="Q169" s="279">
        <v>1</v>
      </c>
      <c r="R169" s="279">
        <v>1</v>
      </c>
      <c r="S169" s="280">
        <v>1</v>
      </c>
      <c r="T169" s="63"/>
      <c r="U169" s="10"/>
      <c r="V169" s="90"/>
      <c r="W169" s="136"/>
      <c r="X169" s="137"/>
    </row>
    <row r="170" spans="1:24">
      <c r="B170" s="87">
        <f t="shared" si="34"/>
        <v>7</v>
      </c>
      <c r="C170" s="295">
        <v>45903</v>
      </c>
      <c r="D170" s="10">
        <v>72914</v>
      </c>
      <c r="E170" s="101" t="s">
        <v>327</v>
      </c>
      <c r="F170" s="62">
        <v>2533</v>
      </c>
      <c r="G170" s="62">
        <v>39.700000000000003</v>
      </c>
      <c r="H170" s="62"/>
      <c r="I170" s="89">
        <f t="shared" si="33"/>
        <v>2493.3000000000002</v>
      </c>
      <c r="J170" s="63" t="s">
        <v>205</v>
      </c>
      <c r="K170" s="63">
        <v>1</v>
      </c>
      <c r="L170" s="63"/>
      <c r="M170" s="63"/>
      <c r="N170" s="63">
        <v>1</v>
      </c>
      <c r="O170" s="63"/>
      <c r="P170" s="63"/>
      <c r="Q170" s="63">
        <v>1</v>
      </c>
      <c r="R170" s="63">
        <v>1</v>
      </c>
      <c r="S170" s="296">
        <v>1</v>
      </c>
      <c r="T170" s="63"/>
      <c r="U170" s="10"/>
      <c r="V170" s="90"/>
      <c r="W170" s="136"/>
      <c r="X170" s="137"/>
    </row>
    <row r="171" spans="1:24">
      <c r="B171" s="87">
        <f t="shared" si="34"/>
        <v>8</v>
      </c>
      <c r="C171" s="295">
        <v>45903</v>
      </c>
      <c r="D171" s="10">
        <v>72925</v>
      </c>
      <c r="E171" s="101" t="s">
        <v>787</v>
      </c>
      <c r="F171" s="62">
        <v>0</v>
      </c>
      <c r="G171" s="62">
        <v>0</v>
      </c>
      <c r="H171" s="62"/>
      <c r="I171" s="89">
        <f t="shared" si="33"/>
        <v>0</v>
      </c>
      <c r="J171" s="63" t="s">
        <v>205</v>
      </c>
      <c r="K171" s="63">
        <v>1</v>
      </c>
      <c r="L171" s="63"/>
      <c r="M171" s="63"/>
      <c r="N171" s="63"/>
      <c r="O171" s="63"/>
      <c r="P171" s="63"/>
      <c r="Q171" s="63">
        <v>1</v>
      </c>
      <c r="R171" s="63">
        <v>1</v>
      </c>
      <c r="S171" s="296">
        <v>1</v>
      </c>
      <c r="T171" s="63"/>
      <c r="U171" s="10"/>
      <c r="V171" s="90"/>
      <c r="W171" s="136"/>
      <c r="X171" s="137"/>
    </row>
    <row r="172" spans="1:24">
      <c r="B172" s="87">
        <f t="shared" si="34"/>
        <v>9</v>
      </c>
      <c r="C172" s="295">
        <v>45903</v>
      </c>
      <c r="D172" s="10">
        <v>72900</v>
      </c>
      <c r="E172" s="10" t="s">
        <v>382</v>
      </c>
      <c r="F172" s="62">
        <v>0</v>
      </c>
      <c r="G172" s="62">
        <v>0</v>
      </c>
      <c r="H172" s="62"/>
      <c r="I172" s="89">
        <f>F172-G172-H172</f>
        <v>0</v>
      </c>
      <c r="J172" s="63" t="s">
        <v>205</v>
      </c>
      <c r="K172" s="63">
        <v>1</v>
      </c>
      <c r="L172" s="63"/>
      <c r="M172" s="63"/>
      <c r="N172" s="63"/>
      <c r="O172" s="63"/>
      <c r="P172" s="63"/>
      <c r="Q172" s="63">
        <v>1</v>
      </c>
      <c r="R172" s="63">
        <v>1</v>
      </c>
      <c r="S172" s="296">
        <v>1</v>
      </c>
      <c r="T172" s="63"/>
      <c r="U172" s="10"/>
      <c r="V172" s="90"/>
      <c r="W172" s="136"/>
      <c r="X172" s="137"/>
    </row>
    <row r="173" spans="1:24">
      <c r="B173" s="87">
        <f t="shared" si="34"/>
        <v>10</v>
      </c>
      <c r="C173" s="295">
        <v>45903</v>
      </c>
      <c r="D173" s="10">
        <v>72924</v>
      </c>
      <c r="E173" s="101" t="s">
        <v>563</v>
      </c>
      <c r="F173" s="62">
        <v>1261</v>
      </c>
      <c r="G173" s="62">
        <v>39.700000000000003</v>
      </c>
      <c r="H173" s="62"/>
      <c r="I173" s="89">
        <f t="shared" si="33"/>
        <v>1221.3</v>
      </c>
      <c r="J173" s="63" t="s">
        <v>205</v>
      </c>
      <c r="K173" s="63">
        <v>1</v>
      </c>
      <c r="L173" s="63"/>
      <c r="M173" s="63"/>
      <c r="N173" s="63">
        <v>1</v>
      </c>
      <c r="O173" s="63"/>
      <c r="P173" s="63"/>
      <c r="Q173" s="63">
        <v>1</v>
      </c>
      <c r="R173" s="63">
        <v>1</v>
      </c>
      <c r="S173" s="296">
        <v>1</v>
      </c>
      <c r="T173" s="63"/>
      <c r="U173" s="10"/>
      <c r="V173" s="90"/>
      <c r="W173" s="136"/>
      <c r="X173" s="137"/>
    </row>
    <row r="174" spans="1:24">
      <c r="B174" s="87">
        <f t="shared" si="34"/>
        <v>11</v>
      </c>
      <c r="C174" s="274">
        <v>45904</v>
      </c>
      <c r="D174" s="276">
        <v>72954</v>
      </c>
      <c r="E174" s="281" t="s">
        <v>788</v>
      </c>
      <c r="F174" s="277">
        <v>681</v>
      </c>
      <c r="G174" s="277">
        <v>0</v>
      </c>
      <c r="H174" s="277"/>
      <c r="I174" s="278">
        <f t="shared" si="33"/>
        <v>681</v>
      </c>
      <c r="J174" s="279" t="s">
        <v>205</v>
      </c>
      <c r="K174" s="279">
        <v>1</v>
      </c>
      <c r="L174" s="279"/>
      <c r="M174" s="279"/>
      <c r="N174" s="279">
        <v>1</v>
      </c>
      <c r="O174" s="279"/>
      <c r="P174" s="279"/>
      <c r="Q174" s="279">
        <v>1</v>
      </c>
      <c r="R174" s="279">
        <v>1</v>
      </c>
      <c r="S174" s="280">
        <v>1</v>
      </c>
      <c r="T174" s="63"/>
      <c r="U174" s="10"/>
      <c r="V174" s="90"/>
      <c r="W174" s="136"/>
      <c r="X174" s="137"/>
    </row>
    <row r="175" spans="1:24">
      <c r="B175" s="87">
        <f t="shared" si="34"/>
        <v>12</v>
      </c>
      <c r="C175" s="295">
        <v>45904</v>
      </c>
      <c r="D175" s="10">
        <v>72941</v>
      </c>
      <c r="E175" s="101" t="s">
        <v>507</v>
      </c>
      <c r="F175" s="62">
        <v>1135</v>
      </c>
      <c r="G175" s="62">
        <v>39.700000000000003</v>
      </c>
      <c r="H175" s="62"/>
      <c r="I175" s="89">
        <f t="shared" si="33"/>
        <v>1095.3</v>
      </c>
      <c r="J175" s="63" t="s">
        <v>205</v>
      </c>
      <c r="K175" s="63">
        <v>1</v>
      </c>
      <c r="L175" s="63"/>
      <c r="M175" s="63"/>
      <c r="N175" s="63">
        <v>1</v>
      </c>
      <c r="O175" s="63"/>
      <c r="P175" s="63"/>
      <c r="Q175" s="63">
        <v>1</v>
      </c>
      <c r="R175" s="63">
        <v>1</v>
      </c>
      <c r="S175" s="296">
        <v>1</v>
      </c>
      <c r="T175" s="63"/>
      <c r="U175" s="10"/>
      <c r="V175" s="90"/>
      <c r="W175" s="136"/>
      <c r="X175" s="137"/>
    </row>
    <row r="176" spans="1:24">
      <c r="B176" s="87">
        <f t="shared" si="34"/>
        <v>13</v>
      </c>
      <c r="C176" s="295">
        <v>45904</v>
      </c>
      <c r="D176" s="10" t="s">
        <v>789</v>
      </c>
      <c r="E176" s="101" t="s">
        <v>294</v>
      </c>
      <c r="F176" s="62">
        <v>8641</v>
      </c>
      <c r="G176" s="62">
        <v>39.700000000000003</v>
      </c>
      <c r="H176" s="62"/>
      <c r="I176" s="89">
        <f t="shared" si="33"/>
        <v>8601.2999999999993</v>
      </c>
      <c r="J176" s="63" t="s">
        <v>205</v>
      </c>
      <c r="K176" s="63">
        <v>1</v>
      </c>
      <c r="L176" s="63"/>
      <c r="M176" s="63"/>
      <c r="N176" s="63">
        <v>1</v>
      </c>
      <c r="O176" s="63"/>
      <c r="P176" s="63"/>
      <c r="Q176" s="63"/>
      <c r="R176" s="63"/>
      <c r="S176" s="296"/>
      <c r="T176" s="63"/>
      <c r="U176" s="10"/>
      <c r="V176" s="90"/>
      <c r="W176" s="136"/>
      <c r="X176" s="137"/>
    </row>
    <row r="177" spans="2:25">
      <c r="B177" s="87">
        <f t="shared" si="34"/>
        <v>14</v>
      </c>
      <c r="C177" s="295">
        <v>45904</v>
      </c>
      <c r="D177" s="10" t="s">
        <v>790</v>
      </c>
      <c r="E177" s="101" t="s">
        <v>294</v>
      </c>
      <c r="F177" s="62">
        <v>10214</v>
      </c>
      <c r="G177" s="62">
        <v>39.700000000000003</v>
      </c>
      <c r="H177" s="62"/>
      <c r="I177" s="89">
        <f t="shared" si="33"/>
        <v>10174.299999999999</v>
      </c>
      <c r="J177" s="63" t="s">
        <v>205</v>
      </c>
      <c r="K177" s="63">
        <v>1</v>
      </c>
      <c r="L177" s="63"/>
      <c r="M177" s="63"/>
      <c r="N177" s="63">
        <v>1</v>
      </c>
      <c r="O177" s="63"/>
      <c r="P177" s="63"/>
      <c r="Q177" s="63"/>
      <c r="R177" s="63"/>
      <c r="S177" s="296"/>
      <c r="T177" s="63"/>
      <c r="U177" s="10"/>
      <c r="V177" s="90"/>
      <c r="W177" s="136"/>
      <c r="X177" s="137"/>
    </row>
    <row r="178" spans="2:25">
      <c r="B178" s="87">
        <f t="shared" si="34"/>
        <v>15</v>
      </c>
      <c r="C178" s="262">
        <v>45905</v>
      </c>
      <c r="D178" s="271">
        <v>72906</v>
      </c>
      <c r="E178" s="271" t="s">
        <v>169</v>
      </c>
      <c r="F178" s="265">
        <v>0</v>
      </c>
      <c r="G178" s="265">
        <v>0</v>
      </c>
      <c r="H178" s="265"/>
      <c r="I178" s="272">
        <f t="shared" si="33"/>
        <v>0</v>
      </c>
      <c r="J178" s="267" t="s">
        <v>205</v>
      </c>
      <c r="K178" s="267"/>
      <c r="L178" s="267"/>
      <c r="M178" s="267"/>
      <c r="N178" s="267"/>
      <c r="O178" s="267"/>
      <c r="P178" s="267"/>
      <c r="Q178" s="267">
        <v>1</v>
      </c>
      <c r="R178" s="267">
        <v>1</v>
      </c>
      <c r="S178" s="269"/>
      <c r="T178" s="63"/>
      <c r="U178" s="10"/>
      <c r="V178" s="90"/>
      <c r="W178" s="136"/>
      <c r="X178" s="137"/>
    </row>
    <row r="179" spans="2:25">
      <c r="B179" s="11"/>
      <c r="C179" s="36"/>
      <c r="D179" s="10"/>
      <c r="E179" s="10"/>
      <c r="F179" s="97">
        <f>SUM(F164:F178)</f>
        <v>37448</v>
      </c>
      <c r="G179" s="97">
        <f>SUM(G164:G178)</f>
        <v>396.99999999999994</v>
      </c>
      <c r="H179" s="97">
        <f>SUM(H164:H178)</f>
        <v>0</v>
      </c>
      <c r="I179" s="98">
        <f>SUM(I164:I178)</f>
        <v>37051</v>
      </c>
      <c r="J179" s="10"/>
      <c r="K179" s="10"/>
      <c r="L179" s="10"/>
      <c r="M179" s="10"/>
      <c r="N179" s="10"/>
      <c r="O179" s="10"/>
      <c r="P179" s="10"/>
      <c r="Q179" s="10"/>
      <c r="R179" s="10"/>
      <c r="S179" s="10"/>
      <c r="T179" s="63"/>
      <c r="U179" s="10"/>
      <c r="V179" s="138"/>
      <c r="W179" s="136"/>
      <c r="X179" s="137"/>
    </row>
    <row r="180" spans="2:25">
      <c r="B180" s="26"/>
      <c r="C180" s="140"/>
      <c r="D180" s="141"/>
      <c r="E180" s="141"/>
      <c r="F180" s="141"/>
      <c r="G180" s="141"/>
      <c r="H180" s="141"/>
      <c r="I180" s="141"/>
      <c r="J180" s="141"/>
      <c r="K180" s="142"/>
      <c r="L180" s="142"/>
      <c r="M180" s="142"/>
      <c r="N180" s="142"/>
      <c r="O180" s="142"/>
      <c r="P180" s="142"/>
      <c r="Q180" s="142"/>
      <c r="R180" s="142"/>
      <c r="S180" s="142"/>
      <c r="T180" s="143">
        <f>SUM(T142:T179)</f>
        <v>5</v>
      </c>
      <c r="U180" s="141"/>
      <c r="V180" s="144">
        <f>SUM(V142:V179)</f>
        <v>22806.300000000003</v>
      </c>
      <c r="W180" s="144">
        <f>SUM(W142:W179)</f>
        <v>0</v>
      </c>
      <c r="X180" s="144">
        <f>SUM(X142:X179)</f>
        <v>0</v>
      </c>
    </row>
    <row r="181" spans="2:25">
      <c r="B181" s="10"/>
      <c r="C181" s="36"/>
      <c r="D181" s="10"/>
      <c r="E181" s="10"/>
      <c r="F181" s="10"/>
      <c r="G181" s="10"/>
      <c r="H181" s="10"/>
      <c r="I181" s="10"/>
      <c r="J181" s="10"/>
      <c r="K181" s="147"/>
      <c r="L181" s="147"/>
      <c r="M181" s="147"/>
      <c r="N181" s="147"/>
      <c r="O181" s="147"/>
      <c r="P181" s="147"/>
      <c r="Q181" s="147"/>
      <c r="R181" s="147"/>
      <c r="S181" s="147"/>
      <c r="T181" s="21"/>
      <c r="U181" s="10"/>
      <c r="V181" s="99"/>
      <c r="W181" s="99"/>
      <c r="X181" s="99"/>
    </row>
    <row r="183" spans="2:25">
      <c r="B183" s="4" t="s">
        <v>1</v>
      </c>
      <c r="C183" s="5"/>
      <c r="D183" s="6"/>
      <c r="E183" s="6"/>
      <c r="F183" s="7" t="s">
        <v>2</v>
      </c>
      <c r="G183" s="608">
        <v>45914</v>
      </c>
      <c r="H183" s="7"/>
      <c r="I183" s="6"/>
      <c r="J183" s="6"/>
      <c r="K183" s="6"/>
      <c r="L183" s="6"/>
      <c r="M183" s="6"/>
      <c r="N183" s="6"/>
      <c r="O183" s="6"/>
      <c r="P183" s="6"/>
      <c r="Q183" s="6"/>
      <c r="R183" s="6"/>
      <c r="S183" s="6"/>
      <c r="T183" s="6"/>
      <c r="U183" s="9"/>
      <c r="V183" s="10"/>
      <c r="W183" s="10"/>
      <c r="X183" s="10"/>
      <c r="Y183" s="2"/>
    </row>
    <row r="184" spans="2:25">
      <c r="B184" s="11"/>
      <c r="C184" s="10"/>
      <c r="D184" s="10"/>
      <c r="E184" s="10"/>
      <c r="F184" s="10"/>
      <c r="G184" s="7"/>
      <c r="H184" s="12"/>
      <c r="I184" s="10"/>
      <c r="J184" s="10"/>
      <c r="K184" s="13" t="s">
        <v>3</v>
      </c>
      <c r="L184" s="14"/>
      <c r="M184" s="15"/>
      <c r="N184" s="13" t="s">
        <v>4</v>
      </c>
      <c r="O184" s="14"/>
      <c r="P184" s="15"/>
      <c r="Q184" s="13" t="s">
        <v>5</v>
      </c>
      <c r="R184" s="14"/>
      <c r="S184" s="15"/>
      <c r="T184" s="16"/>
      <c r="U184" s="17"/>
      <c r="V184" s="10"/>
      <c r="W184" s="10"/>
      <c r="X184" s="10"/>
      <c r="Y184" s="2"/>
    </row>
    <row r="185" spans="2:25">
      <c r="B185" s="18" t="s">
        <v>6</v>
      </c>
      <c r="C185" s="19">
        <f>C186+C187</f>
        <v>31</v>
      </c>
      <c r="D185" s="10"/>
      <c r="E185" s="18" t="s">
        <v>7</v>
      </c>
      <c r="F185" s="6"/>
      <c r="G185" s="9"/>
      <c r="H185" s="10"/>
      <c r="I185" s="10"/>
      <c r="J185" s="10"/>
      <c r="K185" s="20" t="s">
        <v>8</v>
      </c>
      <c r="L185" s="21" t="s">
        <v>9</v>
      </c>
      <c r="M185" s="21" t="s">
        <v>10</v>
      </c>
      <c r="N185" s="20" t="s">
        <v>11</v>
      </c>
      <c r="O185" s="21" t="s">
        <v>12</v>
      </c>
      <c r="P185" s="22" t="s">
        <v>13</v>
      </c>
      <c r="Q185" s="21" t="s">
        <v>11</v>
      </c>
      <c r="R185" s="21" t="s">
        <v>12</v>
      </c>
      <c r="S185" s="22" t="s">
        <v>13</v>
      </c>
      <c r="T185" s="23" t="s">
        <v>14</v>
      </c>
      <c r="U185" s="17"/>
      <c r="V185" s="10"/>
      <c r="W185" s="10"/>
      <c r="X185" s="10"/>
      <c r="Y185" s="2"/>
    </row>
    <row r="186" spans="2:25">
      <c r="B186" s="24" t="s">
        <v>15</v>
      </c>
      <c r="C186" s="25">
        <f>P193</f>
        <v>17</v>
      </c>
      <c r="D186" s="10"/>
      <c r="E186" s="26" t="s">
        <v>16</v>
      </c>
      <c r="F186" s="27">
        <v>0.05</v>
      </c>
      <c r="G186" s="28"/>
      <c r="H186" s="10"/>
      <c r="I186" s="10"/>
      <c r="J186" s="18" t="s">
        <v>17</v>
      </c>
      <c r="K186" s="29">
        <f>K226</f>
        <v>15</v>
      </c>
      <c r="L186" s="29">
        <f t="shared" ref="L186:S186" si="35">L226</f>
        <v>14</v>
      </c>
      <c r="M186" s="29">
        <f t="shared" si="35"/>
        <v>14</v>
      </c>
      <c r="N186" s="29">
        <f t="shared" si="35"/>
        <v>15</v>
      </c>
      <c r="O186" s="29">
        <f t="shared" si="35"/>
        <v>15</v>
      </c>
      <c r="P186" s="29">
        <f t="shared" si="35"/>
        <v>14</v>
      </c>
      <c r="Q186" s="29">
        <f t="shared" si="35"/>
        <v>15</v>
      </c>
      <c r="R186" s="29">
        <f t="shared" si="35"/>
        <v>11</v>
      </c>
      <c r="S186" s="29">
        <f t="shared" si="35"/>
        <v>13</v>
      </c>
      <c r="T186" s="30">
        <f>T254</f>
        <v>5</v>
      </c>
      <c r="U186" s="17"/>
      <c r="V186" s="10"/>
      <c r="W186" s="10"/>
      <c r="X186" s="10"/>
      <c r="Y186" s="2"/>
    </row>
    <row r="187" spans="2:25">
      <c r="B187" s="24" t="s">
        <v>18</v>
      </c>
      <c r="C187" s="25">
        <f>P194</f>
        <v>14</v>
      </c>
      <c r="D187" s="10"/>
      <c r="E187" s="10"/>
      <c r="F187" s="10"/>
      <c r="G187" s="31"/>
      <c r="H187" s="10"/>
      <c r="I187" s="10"/>
      <c r="J187" s="32" t="s">
        <v>19</v>
      </c>
      <c r="K187" s="33">
        <f>K226/K225</f>
        <v>1</v>
      </c>
      <c r="L187" s="33">
        <f t="shared" ref="L187:S187" si="36">L226/L225</f>
        <v>0.93333333333333335</v>
      </c>
      <c r="M187" s="33">
        <f t="shared" si="36"/>
        <v>0.93333333333333335</v>
      </c>
      <c r="N187" s="33">
        <f t="shared" si="36"/>
        <v>1</v>
      </c>
      <c r="O187" s="33">
        <f t="shared" si="36"/>
        <v>1</v>
      </c>
      <c r="P187" s="33">
        <f t="shared" si="36"/>
        <v>0.93333333333333335</v>
      </c>
      <c r="Q187" s="33">
        <f t="shared" si="36"/>
        <v>1</v>
      </c>
      <c r="R187" s="33">
        <f t="shared" si="36"/>
        <v>0.73333333333333328</v>
      </c>
      <c r="S187" s="33">
        <f t="shared" si="36"/>
        <v>0.8666666666666667</v>
      </c>
      <c r="T187" s="23"/>
      <c r="U187" s="17" t="s">
        <v>20</v>
      </c>
      <c r="V187" s="10"/>
      <c r="W187" s="10"/>
      <c r="X187" s="10"/>
      <c r="Y187" s="2"/>
    </row>
    <row r="188" spans="2:25">
      <c r="B188" s="24" t="s">
        <v>21</v>
      </c>
      <c r="C188" s="34">
        <f>P195</f>
        <v>0.54838709677419351</v>
      </c>
      <c r="D188" s="10"/>
      <c r="E188" s="10"/>
      <c r="F188" s="10"/>
      <c r="G188" s="10"/>
      <c r="H188" s="10"/>
      <c r="I188" s="10"/>
      <c r="J188" s="10"/>
      <c r="K188" s="10"/>
      <c r="L188" s="10"/>
      <c r="M188" s="10"/>
      <c r="N188" s="10"/>
      <c r="O188" s="10"/>
      <c r="P188" s="10"/>
      <c r="Q188" s="10"/>
      <c r="R188" s="10"/>
      <c r="S188" s="10"/>
      <c r="T188" s="10"/>
      <c r="U188" s="17"/>
      <c r="V188" s="10"/>
      <c r="W188" s="10"/>
      <c r="X188" s="10"/>
      <c r="Y188" s="2"/>
    </row>
    <row r="189" spans="2:25">
      <c r="B189" s="24"/>
      <c r="C189" s="25"/>
      <c r="D189" s="10"/>
      <c r="E189" s="10"/>
      <c r="F189" s="18" t="s">
        <v>22</v>
      </c>
      <c r="G189" s="19" t="s">
        <v>23</v>
      </c>
      <c r="H189" s="35" t="s">
        <v>24</v>
      </c>
      <c r="I189" s="10"/>
      <c r="J189" s="10"/>
      <c r="K189" s="36"/>
      <c r="L189" s="36"/>
      <c r="M189" s="36"/>
      <c r="N189" s="36"/>
      <c r="O189" s="36"/>
      <c r="P189" s="36"/>
      <c r="Q189" s="36"/>
      <c r="R189" s="10"/>
      <c r="S189" s="10"/>
      <c r="T189" s="10"/>
      <c r="U189" s="17"/>
      <c r="V189" s="10"/>
      <c r="W189" s="10"/>
      <c r="X189" s="10"/>
      <c r="Y189" s="2"/>
    </row>
    <row r="190" spans="2:25">
      <c r="B190" s="32" t="s">
        <v>25</v>
      </c>
      <c r="C190" s="37">
        <f>P196</f>
        <v>2106.3117647058825</v>
      </c>
      <c r="D190" s="10"/>
      <c r="E190" s="18" t="s">
        <v>26</v>
      </c>
      <c r="F190" s="38">
        <f>P192</f>
        <v>35807.300000000003</v>
      </c>
      <c r="G190" s="39">
        <f>I225+I231</f>
        <v>35807.299999999996</v>
      </c>
      <c r="H190" s="40"/>
      <c r="I190" s="41"/>
      <c r="J190" s="42"/>
      <c r="K190" s="43" t="s">
        <v>27</v>
      </c>
      <c r="L190" s="44"/>
      <c r="M190" s="44"/>
      <c r="N190" s="44"/>
      <c r="O190" s="44"/>
      <c r="P190" s="44"/>
      <c r="Q190" s="45"/>
      <c r="R190" s="46" t="s">
        <v>28</v>
      </c>
      <c r="S190" s="47" t="s">
        <v>29</v>
      </c>
      <c r="T190" s="10"/>
      <c r="U190" s="17"/>
      <c r="V190" s="10"/>
      <c r="W190" s="10"/>
      <c r="X190" s="10"/>
      <c r="Y190" s="2"/>
    </row>
    <row r="191" spans="2:25">
      <c r="B191" s="11"/>
      <c r="C191" s="10"/>
      <c r="D191" s="10"/>
      <c r="E191" s="24" t="s">
        <v>30</v>
      </c>
      <c r="F191" s="48">
        <f>F186</f>
        <v>0.05</v>
      </c>
      <c r="G191" s="17"/>
      <c r="H191" s="40"/>
      <c r="I191" s="41"/>
      <c r="J191" s="42"/>
      <c r="K191" s="20" t="s">
        <v>31</v>
      </c>
      <c r="L191" s="21" t="s">
        <v>32</v>
      </c>
      <c r="M191" s="21" t="s">
        <v>33</v>
      </c>
      <c r="N191" s="21" t="s">
        <v>34</v>
      </c>
      <c r="O191" s="21" t="s">
        <v>35</v>
      </c>
      <c r="P191" s="21" t="s">
        <v>36</v>
      </c>
      <c r="Q191" s="49" t="s">
        <v>37</v>
      </c>
      <c r="R191" s="50" t="s">
        <v>38</v>
      </c>
      <c r="S191" s="50" t="s">
        <v>38</v>
      </c>
      <c r="T191" s="10"/>
      <c r="U191" s="17"/>
      <c r="V191" s="10"/>
      <c r="W191" s="10"/>
      <c r="X191" s="10"/>
      <c r="Y191" s="2"/>
    </row>
    <row r="192" spans="2:25">
      <c r="B192" s="11"/>
      <c r="C192" s="10"/>
      <c r="D192" s="10"/>
      <c r="E192" s="51" t="s">
        <v>39</v>
      </c>
      <c r="F192" s="52">
        <f>(F190+F199+F200+F201+F202-I214-I215-I222-I229-I230)*F191</f>
        <v>778.88299999999981</v>
      </c>
      <c r="G192" s="53" t="s">
        <v>40</v>
      </c>
      <c r="H192" s="54">
        <f>F192/1.12</f>
        <v>695.43124999999975</v>
      </c>
      <c r="I192" s="55"/>
      <c r="J192" s="42"/>
      <c r="K192" s="56">
        <f>I210+I229</f>
        <v>1502.3</v>
      </c>
      <c r="L192" s="57">
        <f>I212+I213+I214+I211+I215</f>
        <v>6174.2</v>
      </c>
      <c r="M192" s="57">
        <f>I216</f>
        <v>1098.3</v>
      </c>
      <c r="N192" s="57">
        <f>I217+I218+I219+I220+I221+I230</f>
        <v>22243.16</v>
      </c>
      <c r="O192" s="57">
        <f>I223+I224+I222</f>
        <v>4789.34</v>
      </c>
      <c r="P192" s="57">
        <f>SUM(K192:O192)</f>
        <v>35807.300000000003</v>
      </c>
      <c r="Q192" s="58">
        <v>0</v>
      </c>
      <c r="R192" s="59">
        <f>+I231</f>
        <v>14496.349999999999</v>
      </c>
      <c r="S192" s="59">
        <v>0</v>
      </c>
      <c r="T192" s="10"/>
      <c r="U192" s="17"/>
      <c r="V192" s="10"/>
      <c r="W192" s="10"/>
      <c r="X192" s="10"/>
      <c r="Y192" s="2"/>
    </row>
    <row r="193" spans="2:25">
      <c r="B193" s="11"/>
      <c r="C193" s="10"/>
      <c r="D193" s="10"/>
      <c r="E193" s="24" t="s">
        <v>41</v>
      </c>
      <c r="F193" s="60">
        <f>Q192</f>
        <v>0</v>
      </c>
      <c r="G193" s="61" t="s">
        <v>40</v>
      </c>
      <c r="H193" s="62"/>
      <c r="I193" s="62"/>
      <c r="J193" s="10" t="s">
        <v>42</v>
      </c>
      <c r="K193" s="63">
        <v>2</v>
      </c>
      <c r="L193" s="63">
        <v>5</v>
      </c>
      <c r="M193" s="63">
        <v>1</v>
      </c>
      <c r="N193" s="63">
        <v>6</v>
      </c>
      <c r="O193" s="63">
        <v>3</v>
      </c>
      <c r="P193" s="21">
        <f>SUM(K193:O193)</f>
        <v>17</v>
      </c>
      <c r="Q193" s="64"/>
      <c r="R193" s="63"/>
      <c r="S193" s="10"/>
      <c r="T193" s="10"/>
      <c r="U193" s="17"/>
      <c r="V193" s="10"/>
      <c r="W193" s="10"/>
      <c r="X193" s="10"/>
      <c r="Y193" s="2"/>
    </row>
    <row r="194" spans="2:25">
      <c r="B194" s="11"/>
      <c r="C194" s="10"/>
      <c r="D194" s="10"/>
      <c r="E194" s="51" t="s">
        <v>43</v>
      </c>
      <c r="F194" s="52">
        <f>F193*0.25</f>
        <v>0</v>
      </c>
      <c r="G194" s="53" t="s">
        <v>40</v>
      </c>
      <c r="H194" s="54">
        <f>F194/1.12</f>
        <v>0</v>
      </c>
      <c r="I194" s="10"/>
      <c r="J194" s="10" t="s">
        <v>44</v>
      </c>
      <c r="K194" s="63">
        <v>3</v>
      </c>
      <c r="L194" s="63">
        <v>3</v>
      </c>
      <c r="M194" s="63">
        <v>5</v>
      </c>
      <c r="N194" s="63">
        <v>0</v>
      </c>
      <c r="O194" s="63">
        <v>3</v>
      </c>
      <c r="P194" s="21">
        <f>SUM(K194:O194)</f>
        <v>14</v>
      </c>
      <c r="Q194" s="64"/>
      <c r="R194" s="63"/>
      <c r="S194" s="10"/>
      <c r="T194" s="10"/>
      <c r="U194" s="17"/>
      <c r="V194" s="10"/>
      <c r="W194" s="10"/>
      <c r="X194" s="10"/>
      <c r="Y194" s="2"/>
    </row>
    <row r="195" spans="2:25">
      <c r="B195" s="11"/>
      <c r="C195" s="10"/>
      <c r="D195" s="10"/>
      <c r="E195" s="24" t="s">
        <v>45</v>
      </c>
      <c r="F195" s="60"/>
      <c r="G195" s="61" t="s">
        <v>40</v>
      </c>
      <c r="H195" s="62"/>
      <c r="I195" s="10"/>
      <c r="J195" s="10" t="s">
        <v>46</v>
      </c>
      <c r="K195" s="31">
        <f t="shared" ref="K195:Q195" si="37">K193/(K193+K194)</f>
        <v>0.4</v>
      </c>
      <c r="L195" s="31">
        <f t="shared" si="37"/>
        <v>0.625</v>
      </c>
      <c r="M195" s="31">
        <f t="shared" si="37"/>
        <v>0.16666666666666666</v>
      </c>
      <c r="N195" s="31">
        <f t="shared" si="37"/>
        <v>1</v>
      </c>
      <c r="O195" s="31">
        <f t="shared" si="37"/>
        <v>0.5</v>
      </c>
      <c r="P195" s="31">
        <f t="shared" si="37"/>
        <v>0.54838709677419351</v>
      </c>
      <c r="Q195" s="31" t="e">
        <f t="shared" si="37"/>
        <v>#DIV/0!</v>
      </c>
      <c r="R195" s="63"/>
      <c r="S195" s="10"/>
      <c r="T195" s="10"/>
      <c r="U195" s="17"/>
      <c r="V195" s="10"/>
      <c r="W195" s="10"/>
      <c r="X195" s="10"/>
      <c r="Y195" s="2"/>
    </row>
    <row r="196" spans="2:25">
      <c r="B196" s="11"/>
      <c r="C196" s="10"/>
      <c r="D196" s="10"/>
      <c r="E196" s="51" t="s">
        <v>47</v>
      </c>
      <c r="F196" s="52">
        <f>F195*0.05</f>
        <v>0</v>
      </c>
      <c r="G196" s="65" t="s">
        <v>40</v>
      </c>
      <c r="H196" s="54">
        <f>F196/1.12</f>
        <v>0</v>
      </c>
      <c r="I196" s="42"/>
      <c r="J196" s="10" t="s">
        <v>48</v>
      </c>
      <c r="K196" s="66">
        <f>K192/K193</f>
        <v>751.15</v>
      </c>
      <c r="L196" s="66">
        <f t="shared" ref="L196:Q196" si="38">L192/L193</f>
        <v>1234.8399999999999</v>
      </c>
      <c r="M196" s="66">
        <f t="shared" si="38"/>
        <v>1098.3</v>
      </c>
      <c r="N196" s="66">
        <f t="shared" si="38"/>
        <v>3707.1933333333332</v>
      </c>
      <c r="O196" s="66">
        <f t="shared" si="38"/>
        <v>1596.4466666666667</v>
      </c>
      <c r="P196" s="66">
        <f t="shared" si="38"/>
        <v>2106.3117647058825</v>
      </c>
      <c r="Q196" s="66" t="e">
        <f t="shared" si="38"/>
        <v>#DIV/0!</v>
      </c>
      <c r="R196" s="63"/>
      <c r="S196" s="10"/>
      <c r="T196" s="10"/>
      <c r="U196" s="17"/>
      <c r="V196" s="10"/>
      <c r="W196" s="10"/>
      <c r="X196" s="10"/>
      <c r="Y196" s="2"/>
    </row>
    <row r="197" spans="2:25">
      <c r="B197" s="11"/>
      <c r="C197" s="10"/>
      <c r="D197" s="10"/>
      <c r="E197" s="67" t="s">
        <v>14</v>
      </c>
      <c r="F197" s="68">
        <f>50*4</f>
        <v>200</v>
      </c>
      <c r="G197" s="10"/>
      <c r="H197" s="54">
        <f>F197/1.12</f>
        <v>178.57142857142856</v>
      </c>
      <c r="I197" s="10"/>
      <c r="J197" s="10"/>
      <c r="K197" s="10"/>
      <c r="L197" s="10"/>
      <c r="M197" s="10"/>
      <c r="N197" s="10"/>
      <c r="O197" s="10"/>
      <c r="P197" s="10"/>
      <c r="Q197" s="10"/>
      <c r="R197" s="10"/>
      <c r="S197" s="10"/>
      <c r="T197" s="10"/>
      <c r="U197" s="17"/>
      <c r="V197" s="10"/>
      <c r="W197" s="10"/>
      <c r="X197" s="10"/>
      <c r="Y197" s="2"/>
    </row>
    <row r="198" spans="2:25">
      <c r="B198" s="11"/>
      <c r="C198" s="10"/>
      <c r="D198" s="10"/>
      <c r="E198" s="155" t="s">
        <v>49</v>
      </c>
      <c r="F198" s="364">
        <f>T187</f>
        <v>0</v>
      </c>
      <c r="G198" s="10"/>
      <c r="H198" s="54"/>
      <c r="I198" s="55"/>
      <c r="J198" s="42"/>
      <c r="K198" s="764" t="s">
        <v>50</v>
      </c>
      <c r="L198" s="764"/>
      <c r="M198" s="764"/>
      <c r="N198" s="764"/>
      <c r="O198" s="764"/>
      <c r="P198" s="764"/>
      <c r="Q198" s="764"/>
      <c r="R198" s="70" t="s">
        <v>28</v>
      </c>
      <c r="S198" s="71" t="s">
        <v>29</v>
      </c>
      <c r="T198" s="10"/>
      <c r="U198" s="17"/>
      <c r="V198" s="10"/>
      <c r="W198" s="10"/>
      <c r="X198" s="10"/>
      <c r="Y198" s="2"/>
    </row>
    <row r="199" spans="2:25">
      <c r="B199" s="11"/>
      <c r="C199" s="10"/>
      <c r="D199" s="10"/>
      <c r="E199" s="72" t="s">
        <v>791</v>
      </c>
      <c r="F199" s="73">
        <v>-0.89</v>
      </c>
      <c r="G199" s="10"/>
      <c r="H199" s="10"/>
      <c r="I199" s="10"/>
      <c r="J199" s="42"/>
      <c r="K199" s="20" t="s">
        <v>31</v>
      </c>
      <c r="L199" s="21" t="s">
        <v>32</v>
      </c>
      <c r="M199" s="21" t="s">
        <v>33</v>
      </c>
      <c r="N199" s="21" t="s">
        <v>34</v>
      </c>
      <c r="O199" s="21" t="s">
        <v>35</v>
      </c>
      <c r="P199" s="21" t="s">
        <v>36</v>
      </c>
      <c r="Q199" s="49" t="s">
        <v>37</v>
      </c>
      <c r="R199" s="50" t="s">
        <v>38</v>
      </c>
      <c r="S199" s="50" t="s">
        <v>38</v>
      </c>
      <c r="T199" s="10"/>
      <c r="U199" s="17"/>
      <c r="V199" s="10"/>
      <c r="W199" s="10"/>
      <c r="X199" s="10"/>
      <c r="Y199" s="2"/>
    </row>
    <row r="200" spans="2:25">
      <c r="B200" s="11"/>
      <c r="C200" s="10"/>
      <c r="D200" s="10"/>
      <c r="E200" s="72" t="s">
        <v>792</v>
      </c>
      <c r="F200" s="73">
        <v>-38.909999999999997</v>
      </c>
      <c r="G200" s="10"/>
      <c r="H200" s="10"/>
      <c r="I200" s="10"/>
      <c r="J200" s="42"/>
      <c r="K200" s="56">
        <f>F210+F229</f>
        <v>1542</v>
      </c>
      <c r="L200" s="57">
        <f>F212+F213+F214+F211+F215</f>
        <v>6533</v>
      </c>
      <c r="M200" s="57">
        <f>F216</f>
        <v>1138</v>
      </c>
      <c r="N200" s="57">
        <f>F217+F218+F219+F220+F221+F230</f>
        <v>23915</v>
      </c>
      <c r="O200" s="57">
        <f>F223+F224+F222</f>
        <v>5190</v>
      </c>
      <c r="P200" s="57">
        <f>SUM(K200:O200)</f>
        <v>38318</v>
      </c>
      <c r="Q200" s="58">
        <v>0</v>
      </c>
      <c r="R200" s="59">
        <f>+F231</f>
        <v>15814</v>
      </c>
      <c r="S200" s="59">
        <v>0</v>
      </c>
      <c r="T200" s="10"/>
      <c r="U200" s="17"/>
      <c r="V200" s="10"/>
      <c r="W200" s="10"/>
      <c r="X200" s="10"/>
      <c r="Y200" s="2"/>
    </row>
    <row r="201" spans="2:25">
      <c r="B201" s="11"/>
      <c r="C201" s="10"/>
      <c r="D201" s="10"/>
      <c r="E201" s="72" t="s">
        <v>793</v>
      </c>
      <c r="F201" s="75">
        <v>-12.78</v>
      </c>
      <c r="G201" s="10"/>
      <c r="H201" s="10"/>
      <c r="I201" s="10"/>
      <c r="J201" s="10" t="s">
        <v>42</v>
      </c>
      <c r="K201" s="63">
        <f>K193</f>
        <v>2</v>
      </c>
      <c r="L201" s="63">
        <f t="shared" ref="L201:Q202" si="39">L193</f>
        <v>5</v>
      </c>
      <c r="M201" s="63">
        <f t="shared" si="39"/>
        <v>1</v>
      </c>
      <c r="N201" s="63">
        <f t="shared" si="39"/>
        <v>6</v>
      </c>
      <c r="O201" s="63">
        <f t="shared" si="39"/>
        <v>3</v>
      </c>
      <c r="P201" s="63">
        <f t="shared" si="39"/>
        <v>17</v>
      </c>
      <c r="Q201" s="63">
        <f t="shared" si="39"/>
        <v>0</v>
      </c>
      <c r="R201" s="63"/>
      <c r="S201" s="10"/>
      <c r="T201" s="10"/>
      <c r="U201" s="17"/>
      <c r="V201" s="10"/>
      <c r="W201" s="10"/>
      <c r="X201" s="10"/>
      <c r="Y201" s="2"/>
    </row>
    <row r="202" spans="2:25">
      <c r="B202" s="11"/>
      <c r="C202" s="10"/>
      <c r="D202" s="10"/>
      <c r="E202" s="74" t="s">
        <v>794</v>
      </c>
      <c r="F202" s="75">
        <v>-29.37</v>
      </c>
      <c r="G202" s="10"/>
      <c r="H202" s="10"/>
      <c r="I202" s="10"/>
      <c r="J202" s="10" t="s">
        <v>44</v>
      </c>
      <c r="K202" s="63">
        <f>K194</f>
        <v>3</v>
      </c>
      <c r="L202" s="63">
        <f t="shared" si="39"/>
        <v>3</v>
      </c>
      <c r="M202" s="63">
        <f t="shared" si="39"/>
        <v>5</v>
      </c>
      <c r="N202" s="63">
        <f t="shared" si="39"/>
        <v>0</v>
      </c>
      <c r="O202" s="63">
        <f t="shared" si="39"/>
        <v>3</v>
      </c>
      <c r="P202" s="63">
        <f t="shared" si="39"/>
        <v>14</v>
      </c>
      <c r="Q202" s="63">
        <f t="shared" si="39"/>
        <v>0</v>
      </c>
      <c r="R202" s="63"/>
      <c r="S202" s="10"/>
      <c r="T202" s="10"/>
      <c r="U202" s="17"/>
      <c r="V202" s="10"/>
      <c r="W202" s="10"/>
      <c r="X202" s="10"/>
      <c r="Y202" s="2"/>
    </row>
    <row r="203" spans="2:25">
      <c r="B203" s="11"/>
      <c r="C203" s="10"/>
      <c r="D203" s="10"/>
      <c r="E203" s="10"/>
      <c r="F203" s="10"/>
      <c r="G203" s="10"/>
      <c r="H203" s="10"/>
      <c r="I203" s="10"/>
      <c r="J203" s="10" t="s">
        <v>46</v>
      </c>
      <c r="K203" s="31">
        <f t="shared" ref="K203:Q203" si="40">K201/(K201+K202)</f>
        <v>0.4</v>
      </c>
      <c r="L203" s="31">
        <f t="shared" si="40"/>
        <v>0.625</v>
      </c>
      <c r="M203" s="31">
        <f t="shared" si="40"/>
        <v>0.16666666666666666</v>
      </c>
      <c r="N203" s="31">
        <f t="shared" si="40"/>
        <v>1</v>
      </c>
      <c r="O203" s="31">
        <f t="shared" si="40"/>
        <v>0.5</v>
      </c>
      <c r="P203" s="31">
        <f t="shared" si="40"/>
        <v>0.54838709677419351</v>
      </c>
      <c r="Q203" s="31" t="e">
        <f t="shared" si="40"/>
        <v>#DIV/0!</v>
      </c>
      <c r="R203" s="63"/>
      <c r="S203" s="10"/>
      <c r="T203" s="10"/>
      <c r="U203" s="17"/>
      <c r="V203" s="10"/>
      <c r="W203" s="10"/>
      <c r="X203" s="10"/>
      <c r="Y203" s="2"/>
    </row>
    <row r="204" spans="2:25">
      <c r="B204" s="11"/>
      <c r="C204" s="10"/>
      <c r="D204" s="10"/>
      <c r="E204" s="10"/>
      <c r="F204" s="10"/>
      <c r="G204" s="10"/>
      <c r="H204" s="10"/>
      <c r="I204" s="10"/>
      <c r="J204" s="10" t="s">
        <v>48</v>
      </c>
      <c r="K204" s="66">
        <f t="shared" ref="K204:Q204" si="41">K200/K201</f>
        <v>771</v>
      </c>
      <c r="L204" s="66">
        <f t="shared" si="41"/>
        <v>1306.5999999999999</v>
      </c>
      <c r="M204" s="66">
        <f t="shared" si="41"/>
        <v>1138</v>
      </c>
      <c r="N204" s="66">
        <f t="shared" si="41"/>
        <v>3985.8333333333335</v>
      </c>
      <c r="O204" s="66">
        <f t="shared" si="41"/>
        <v>1730</v>
      </c>
      <c r="P204" s="66">
        <f t="shared" si="41"/>
        <v>2254</v>
      </c>
      <c r="Q204" s="66" t="e">
        <f t="shared" si="41"/>
        <v>#DIV/0!</v>
      </c>
      <c r="R204" s="63"/>
      <c r="S204" s="10"/>
      <c r="T204" s="10"/>
      <c r="U204" s="17"/>
      <c r="V204" s="10"/>
      <c r="W204" s="10"/>
      <c r="X204" s="10"/>
      <c r="Y204" s="2"/>
    </row>
    <row r="205" spans="2:25">
      <c r="B205" s="11"/>
      <c r="C205" s="10"/>
      <c r="D205" s="10"/>
      <c r="E205" s="10"/>
      <c r="F205" s="10"/>
      <c r="G205" s="10"/>
      <c r="H205" s="10"/>
      <c r="I205" s="10"/>
      <c r="J205" s="10"/>
      <c r="K205" s="10"/>
      <c r="L205" s="10"/>
      <c r="M205" s="10"/>
      <c r="N205" s="10"/>
      <c r="O205" s="10"/>
      <c r="P205" s="10"/>
      <c r="Q205" s="10"/>
      <c r="R205" s="10"/>
      <c r="S205" s="10"/>
      <c r="T205" s="10"/>
      <c r="U205" s="17"/>
      <c r="V205" s="10"/>
      <c r="W205" s="10"/>
      <c r="X205" s="10"/>
      <c r="Y205" s="2"/>
    </row>
    <row r="206" spans="2:25">
      <c r="B206" s="11"/>
      <c r="C206" s="10"/>
      <c r="D206" s="10"/>
      <c r="E206" s="10"/>
      <c r="F206" s="10"/>
      <c r="G206" s="10"/>
      <c r="H206" s="10"/>
      <c r="I206" s="10"/>
      <c r="J206" s="10"/>
      <c r="K206" s="10"/>
      <c r="L206" s="10"/>
      <c r="M206" s="10"/>
      <c r="N206" s="10"/>
      <c r="O206" s="10"/>
      <c r="P206" s="10"/>
      <c r="Q206" s="10"/>
      <c r="R206" s="10"/>
      <c r="S206" s="10"/>
      <c r="T206" s="10"/>
      <c r="U206" s="17"/>
      <c r="V206" s="10"/>
      <c r="W206" s="10"/>
      <c r="X206" s="10"/>
      <c r="Y206" s="2"/>
    </row>
    <row r="207" spans="2:25">
      <c r="B207" s="18" t="s">
        <v>51</v>
      </c>
      <c r="C207" s="14"/>
      <c r="D207" s="14"/>
      <c r="E207" s="14"/>
      <c r="F207" s="13" t="s">
        <v>52</v>
      </c>
      <c r="G207" s="14"/>
      <c r="H207" s="14"/>
      <c r="I207" s="14"/>
      <c r="J207" s="14"/>
      <c r="K207" s="13" t="s">
        <v>3</v>
      </c>
      <c r="L207" s="14"/>
      <c r="M207" s="14"/>
      <c r="N207" s="13" t="s">
        <v>4</v>
      </c>
      <c r="O207" s="14"/>
      <c r="P207" s="14"/>
      <c r="Q207" s="13" t="s">
        <v>5</v>
      </c>
      <c r="R207" s="14"/>
      <c r="S207" s="14"/>
      <c r="T207" s="18"/>
      <c r="U207" s="16" t="s">
        <v>53</v>
      </c>
      <c r="V207" s="77"/>
      <c r="W207" s="77"/>
      <c r="X207" s="77"/>
      <c r="Y207" s="2"/>
    </row>
    <row r="208" spans="2:25">
      <c r="B208" s="24" t="s">
        <v>54</v>
      </c>
      <c r="C208" s="21" t="s">
        <v>55</v>
      </c>
      <c r="D208" s="21" t="s">
        <v>56</v>
      </c>
      <c r="E208" s="21" t="s">
        <v>57</v>
      </c>
      <c r="F208" s="20" t="s">
        <v>58</v>
      </c>
      <c r="G208" s="21" t="s">
        <v>59</v>
      </c>
      <c r="H208" s="21" t="s">
        <v>60</v>
      </c>
      <c r="I208" s="21" t="s">
        <v>26</v>
      </c>
      <c r="J208" s="22" t="s">
        <v>61</v>
      </c>
      <c r="K208" s="21" t="s">
        <v>8</v>
      </c>
      <c r="L208" s="21" t="s">
        <v>9</v>
      </c>
      <c r="M208" s="21" t="s">
        <v>10</v>
      </c>
      <c r="N208" s="20" t="s">
        <v>11</v>
      </c>
      <c r="O208" s="21" t="s">
        <v>12</v>
      </c>
      <c r="P208" s="22" t="s">
        <v>13</v>
      </c>
      <c r="Q208" s="21" t="s">
        <v>11</v>
      </c>
      <c r="R208" s="21" t="s">
        <v>12</v>
      </c>
      <c r="S208" s="21" t="s">
        <v>13</v>
      </c>
      <c r="T208" s="78" t="s">
        <v>14</v>
      </c>
      <c r="U208" s="30"/>
      <c r="V208" s="79" t="s">
        <v>62</v>
      </c>
      <c r="W208" s="80" t="s">
        <v>63</v>
      </c>
      <c r="X208" s="81" t="s">
        <v>64</v>
      </c>
      <c r="Y208" s="2"/>
    </row>
    <row r="209" spans="1:25">
      <c r="B209" s="4" t="s">
        <v>65</v>
      </c>
      <c r="C209" s="6"/>
      <c r="D209" s="6"/>
      <c r="E209" s="6"/>
      <c r="F209" s="6"/>
      <c r="G209" s="6"/>
      <c r="H209" s="6"/>
      <c r="I209" s="82"/>
      <c r="J209" s="6"/>
      <c r="K209" s="6"/>
      <c r="L209" s="6"/>
      <c r="M209" s="6"/>
      <c r="N209" s="6"/>
      <c r="O209" s="6"/>
      <c r="P209" s="6"/>
      <c r="Q209" s="6"/>
      <c r="R209" s="6"/>
      <c r="S209" s="6"/>
      <c r="T209" s="83"/>
      <c r="U209" s="6"/>
      <c r="V209" s="84"/>
      <c r="W209" s="85"/>
      <c r="X209" s="86"/>
      <c r="Y209" s="2"/>
    </row>
    <row r="210" spans="1:25">
      <c r="B210" s="87">
        <v>1</v>
      </c>
      <c r="C210" s="274">
        <v>45908</v>
      </c>
      <c r="D210" s="327">
        <v>73061</v>
      </c>
      <c r="E210" s="276" t="s">
        <v>294</v>
      </c>
      <c r="F210" s="277">
        <f>766-85</f>
        <v>681</v>
      </c>
      <c r="G210" s="277"/>
      <c r="H210" s="297"/>
      <c r="I210" s="278">
        <f t="shared" ref="I210:I224" si="42">F210-G210-H210</f>
        <v>681</v>
      </c>
      <c r="J210" s="279" t="s">
        <v>156</v>
      </c>
      <c r="K210" s="279">
        <v>1</v>
      </c>
      <c r="L210" s="279">
        <v>1</v>
      </c>
      <c r="M210" s="279">
        <v>1</v>
      </c>
      <c r="N210" s="279">
        <v>1</v>
      </c>
      <c r="O210" s="279">
        <v>1</v>
      </c>
      <c r="P210" s="279">
        <v>1</v>
      </c>
      <c r="Q210" s="279">
        <v>1</v>
      </c>
      <c r="R210" s="279">
        <v>1</v>
      </c>
      <c r="S210" s="280">
        <v>1</v>
      </c>
      <c r="T210" s="21">
        <v>1</v>
      </c>
      <c r="U210" s="10"/>
      <c r="V210" s="90">
        <f>93.5+749.1</f>
        <v>842.6</v>
      </c>
      <c r="W210" s="91"/>
      <c r="X210" s="92"/>
      <c r="Y210" s="2"/>
    </row>
    <row r="211" spans="1:25">
      <c r="B211" s="87">
        <f>B210+1</f>
        <v>2</v>
      </c>
      <c r="C211" s="274">
        <v>45909</v>
      </c>
      <c r="D211" s="327">
        <v>73098</v>
      </c>
      <c r="E211" s="276" t="s">
        <v>317</v>
      </c>
      <c r="F211" s="277">
        <f>1349-85</f>
        <v>1264</v>
      </c>
      <c r="G211" s="277">
        <f>39.7</f>
        <v>39.700000000000003</v>
      </c>
      <c r="H211" s="277"/>
      <c r="I211" s="278">
        <f>F211-G211-H211</f>
        <v>1224.3</v>
      </c>
      <c r="J211" s="279" t="s">
        <v>228</v>
      </c>
      <c r="K211" s="279">
        <v>1</v>
      </c>
      <c r="L211" s="279">
        <v>1</v>
      </c>
      <c r="M211" s="279">
        <v>1</v>
      </c>
      <c r="N211" s="279">
        <v>1</v>
      </c>
      <c r="O211" s="279">
        <v>1</v>
      </c>
      <c r="P211" s="279">
        <v>1</v>
      </c>
      <c r="Q211" s="279">
        <v>1</v>
      </c>
      <c r="R211" s="279">
        <v>1</v>
      </c>
      <c r="S211" s="280">
        <v>1</v>
      </c>
      <c r="T211" s="21">
        <v>1</v>
      </c>
      <c r="U211" s="10"/>
      <c r="V211" s="90">
        <f>93.5+1390.4</f>
        <v>1483.9</v>
      </c>
      <c r="W211" s="91"/>
      <c r="X211" s="92"/>
      <c r="Y211" s="2"/>
    </row>
    <row r="212" spans="1:25">
      <c r="B212" s="87">
        <f>B211+1</f>
        <v>3</v>
      </c>
      <c r="C212" s="295">
        <v>45909</v>
      </c>
      <c r="D212" s="323">
        <v>73084</v>
      </c>
      <c r="E212" s="10" t="s">
        <v>172</v>
      </c>
      <c r="F212" s="62">
        <v>814</v>
      </c>
      <c r="G212" s="62">
        <f>39.7</f>
        <v>39.700000000000003</v>
      </c>
      <c r="H212" s="62"/>
      <c r="I212" s="89">
        <f t="shared" si="42"/>
        <v>774.3</v>
      </c>
      <c r="J212" s="63" t="s">
        <v>156</v>
      </c>
      <c r="K212" s="63">
        <v>1</v>
      </c>
      <c r="L212" s="63">
        <v>1</v>
      </c>
      <c r="M212" s="63">
        <v>1</v>
      </c>
      <c r="N212" s="63">
        <v>1</v>
      </c>
      <c r="O212" s="63">
        <v>1</v>
      </c>
      <c r="P212" s="63">
        <v>1</v>
      </c>
      <c r="Q212" s="63">
        <v>1</v>
      </c>
      <c r="R212" s="63">
        <v>1</v>
      </c>
      <c r="S212" s="296">
        <v>1</v>
      </c>
      <c r="T212" s="21">
        <v>1</v>
      </c>
      <c r="U212" s="10"/>
      <c r="V212" s="90">
        <v>895.4</v>
      </c>
      <c r="W212" s="91"/>
      <c r="X212" s="92"/>
      <c r="Y212" s="2"/>
    </row>
    <row r="213" spans="1:25">
      <c r="B213" s="87">
        <f t="shared" ref="B213:B224" si="43">B212+1</f>
        <v>4</v>
      </c>
      <c r="C213" s="295">
        <v>45909</v>
      </c>
      <c r="D213" s="323">
        <v>73040</v>
      </c>
      <c r="E213" s="10" t="s">
        <v>382</v>
      </c>
      <c r="F213" s="62">
        <v>1513</v>
      </c>
      <c r="G213" s="62">
        <f>39.7</f>
        <v>39.700000000000003</v>
      </c>
      <c r="H213" s="62"/>
      <c r="I213" s="324">
        <f t="shared" si="42"/>
        <v>1473.3</v>
      </c>
      <c r="J213" s="63" t="s">
        <v>156</v>
      </c>
      <c r="K213" s="63">
        <v>1</v>
      </c>
      <c r="L213" s="63">
        <v>1</v>
      </c>
      <c r="M213" s="63">
        <v>1</v>
      </c>
      <c r="N213" s="63">
        <v>1</v>
      </c>
      <c r="O213" s="63">
        <v>1</v>
      </c>
      <c r="P213" s="63">
        <v>1</v>
      </c>
      <c r="Q213" s="63">
        <v>1</v>
      </c>
      <c r="R213" s="63">
        <v>1</v>
      </c>
      <c r="S213" s="326">
        <v>0</v>
      </c>
      <c r="T213" s="63"/>
      <c r="U213" s="10"/>
      <c r="V213" s="90">
        <v>1664.3</v>
      </c>
      <c r="W213" s="91"/>
      <c r="X213" s="92"/>
      <c r="Y213" s="2"/>
    </row>
    <row r="214" spans="1:25">
      <c r="B214" s="87">
        <f t="shared" si="43"/>
        <v>5</v>
      </c>
      <c r="C214" s="295">
        <v>45909</v>
      </c>
      <c r="D214" s="323">
        <v>73130</v>
      </c>
      <c r="E214" s="94" t="s">
        <v>795</v>
      </c>
      <c r="F214" s="62">
        <v>681</v>
      </c>
      <c r="G214" s="62"/>
      <c r="H214" s="62"/>
      <c r="I214" s="369">
        <f t="shared" si="42"/>
        <v>681</v>
      </c>
      <c r="J214" s="63" t="s">
        <v>156</v>
      </c>
      <c r="K214" s="63">
        <v>1</v>
      </c>
      <c r="L214" s="63">
        <v>1</v>
      </c>
      <c r="M214" s="63">
        <v>1</v>
      </c>
      <c r="N214" s="63">
        <v>1</v>
      </c>
      <c r="O214" s="63">
        <v>1</v>
      </c>
      <c r="P214" s="63">
        <v>1</v>
      </c>
      <c r="Q214" s="63">
        <v>1</v>
      </c>
      <c r="R214" s="63">
        <v>1</v>
      </c>
      <c r="S214" s="326">
        <v>0</v>
      </c>
      <c r="T214" s="63"/>
      <c r="U214" s="10" t="s">
        <v>568</v>
      </c>
      <c r="V214" s="90">
        <v>749.1</v>
      </c>
      <c r="W214" s="91"/>
      <c r="X214" s="92"/>
      <c r="Y214" s="2"/>
    </row>
    <row r="215" spans="1:25">
      <c r="A215" s="464">
        <v>45915</v>
      </c>
      <c r="B215" s="87">
        <f t="shared" si="43"/>
        <v>6</v>
      </c>
      <c r="C215" s="282">
        <v>45909</v>
      </c>
      <c r="D215" s="368">
        <v>73163</v>
      </c>
      <c r="E215" s="283" t="s">
        <v>329</v>
      </c>
      <c r="F215" s="284">
        <v>2261</v>
      </c>
      <c r="G215" s="284">
        <f>39.7+200</f>
        <v>239.7</v>
      </c>
      <c r="H215" s="284"/>
      <c r="I215" s="331">
        <f t="shared" ref="I215" si="44">F215-G215-H215</f>
        <v>2021.3</v>
      </c>
      <c r="J215" s="286" t="s">
        <v>156</v>
      </c>
      <c r="K215" s="286">
        <v>1</v>
      </c>
      <c r="L215" s="286">
        <v>1</v>
      </c>
      <c r="M215" s="286">
        <v>1</v>
      </c>
      <c r="N215" s="286">
        <v>1</v>
      </c>
      <c r="O215" s="286">
        <v>1</v>
      </c>
      <c r="P215" s="286">
        <v>1</v>
      </c>
      <c r="Q215" s="286">
        <v>1</v>
      </c>
      <c r="R215" s="286">
        <v>1</v>
      </c>
      <c r="S215" s="287">
        <v>1</v>
      </c>
      <c r="T215" s="63"/>
      <c r="U215" s="94" t="s">
        <v>796</v>
      </c>
      <c r="V215" s="90">
        <f>170.5+2000+316.6</f>
        <v>2487.1</v>
      </c>
      <c r="W215" s="91"/>
      <c r="X215" s="92"/>
      <c r="Y215" s="2"/>
    </row>
    <row r="216" spans="1:25">
      <c r="B216" s="87">
        <f t="shared" si="43"/>
        <v>7</v>
      </c>
      <c r="C216" s="295">
        <v>45910</v>
      </c>
      <c r="D216" s="323">
        <v>73203</v>
      </c>
      <c r="E216" s="10" t="s">
        <v>211</v>
      </c>
      <c r="F216" s="62">
        <v>1138</v>
      </c>
      <c r="G216" s="62">
        <f>39.7</f>
        <v>39.700000000000003</v>
      </c>
      <c r="H216" s="88"/>
      <c r="I216" s="324">
        <f t="shared" si="42"/>
        <v>1098.3</v>
      </c>
      <c r="J216" s="63" t="s">
        <v>156</v>
      </c>
      <c r="K216" s="63">
        <v>1</v>
      </c>
      <c r="L216" s="63">
        <v>1</v>
      </c>
      <c r="M216" s="63">
        <v>1</v>
      </c>
      <c r="N216" s="63">
        <v>1</v>
      </c>
      <c r="O216" s="63">
        <v>1</v>
      </c>
      <c r="P216" s="63">
        <v>1</v>
      </c>
      <c r="Q216" s="63">
        <v>1</v>
      </c>
      <c r="R216" s="325">
        <v>0</v>
      </c>
      <c r="S216" s="296">
        <v>1</v>
      </c>
      <c r="T216" s="63"/>
      <c r="U216" s="10" t="s">
        <v>797</v>
      </c>
      <c r="V216" s="90">
        <v>1251.8</v>
      </c>
      <c r="W216" s="91"/>
      <c r="X216" s="92"/>
      <c r="Y216" s="2"/>
    </row>
    <row r="217" spans="1:25">
      <c r="B217" s="87">
        <f t="shared" si="43"/>
        <v>8</v>
      </c>
      <c r="C217" s="274">
        <v>45911</v>
      </c>
      <c r="D217" s="327">
        <v>73196</v>
      </c>
      <c r="E217" s="276" t="s">
        <v>798</v>
      </c>
      <c r="F217" s="277">
        <f>1346-85</f>
        <v>1261</v>
      </c>
      <c r="G217" s="277">
        <f>39.7</f>
        <v>39.700000000000003</v>
      </c>
      <c r="H217" s="297"/>
      <c r="I217" s="278">
        <f t="shared" si="42"/>
        <v>1221.3</v>
      </c>
      <c r="J217" s="279" t="s">
        <v>156</v>
      </c>
      <c r="K217" s="279">
        <v>1</v>
      </c>
      <c r="L217" s="279">
        <v>1</v>
      </c>
      <c r="M217" s="279">
        <v>1</v>
      </c>
      <c r="N217" s="279">
        <v>1</v>
      </c>
      <c r="O217" s="279">
        <v>1</v>
      </c>
      <c r="P217" s="279">
        <v>1</v>
      </c>
      <c r="Q217" s="279">
        <v>1</v>
      </c>
      <c r="R217" s="279">
        <v>1</v>
      </c>
      <c r="S217" s="280">
        <v>1</v>
      </c>
      <c r="T217" s="63"/>
      <c r="U217" s="10"/>
      <c r="V217" s="90">
        <f>93.5+1293.6</f>
        <v>1387.1</v>
      </c>
      <c r="W217" s="91"/>
      <c r="X217" s="92"/>
      <c r="Y217" s="2"/>
    </row>
    <row r="218" spans="1:25">
      <c r="B218" s="87">
        <f t="shared" si="43"/>
        <v>9</v>
      </c>
      <c r="C218" s="295">
        <v>45911</v>
      </c>
      <c r="D218" s="323">
        <v>73217</v>
      </c>
      <c r="E218" s="10" t="s">
        <v>172</v>
      </c>
      <c r="F218" s="62">
        <v>2749</v>
      </c>
      <c r="G218" s="62">
        <f>39.7+(195.39)</f>
        <v>235.08999999999997</v>
      </c>
      <c r="H218" s="88"/>
      <c r="I218" s="89">
        <f t="shared" si="42"/>
        <v>2513.91</v>
      </c>
      <c r="J218" s="63" t="s">
        <v>156</v>
      </c>
      <c r="K218" s="63">
        <v>1</v>
      </c>
      <c r="L218" s="63">
        <v>1</v>
      </c>
      <c r="M218" s="63">
        <v>1</v>
      </c>
      <c r="N218" s="63">
        <v>1</v>
      </c>
      <c r="O218" s="63">
        <v>1</v>
      </c>
      <c r="P218" s="63">
        <v>1</v>
      </c>
      <c r="Q218" s="63">
        <v>1</v>
      </c>
      <c r="R218" s="63">
        <v>1</v>
      </c>
      <c r="S218" s="296">
        <v>1</v>
      </c>
      <c r="T218" s="21">
        <v>1</v>
      </c>
      <c r="U218" s="10"/>
      <c r="V218" s="90">
        <f>300+2723.9</f>
        <v>3023.9</v>
      </c>
      <c r="W218" s="91"/>
      <c r="X218" s="92"/>
      <c r="Y218" s="2"/>
    </row>
    <row r="219" spans="1:25">
      <c r="A219" t="s">
        <v>799</v>
      </c>
      <c r="B219" s="87">
        <f t="shared" si="43"/>
        <v>10</v>
      </c>
      <c r="C219" s="295">
        <v>45911</v>
      </c>
      <c r="D219" s="323" t="s">
        <v>800</v>
      </c>
      <c r="E219" s="10" t="s">
        <v>296</v>
      </c>
      <c r="F219" s="62">
        <v>2276</v>
      </c>
      <c r="G219" s="62">
        <f>39.7</f>
        <v>39.700000000000003</v>
      </c>
      <c r="H219" s="88"/>
      <c r="I219" s="89">
        <f t="shared" si="42"/>
        <v>2236.3000000000002</v>
      </c>
      <c r="J219" s="63" t="s">
        <v>156</v>
      </c>
      <c r="K219" s="63">
        <v>1</v>
      </c>
      <c r="L219" s="63">
        <v>1</v>
      </c>
      <c r="M219" s="63">
        <v>1</v>
      </c>
      <c r="N219" s="63">
        <v>1</v>
      </c>
      <c r="O219" s="63">
        <v>1</v>
      </c>
      <c r="P219" s="63">
        <v>1</v>
      </c>
      <c r="Q219" s="63">
        <v>1</v>
      </c>
      <c r="R219" s="63">
        <v>1</v>
      </c>
      <c r="S219" s="296">
        <v>1</v>
      </c>
      <c r="T219" s="21">
        <v>1</v>
      </c>
      <c r="U219" s="10" t="s">
        <v>801</v>
      </c>
      <c r="V219" s="90">
        <v>2503.6</v>
      </c>
      <c r="W219" s="91"/>
      <c r="X219" s="92"/>
      <c r="Y219" s="2"/>
    </row>
    <row r="220" spans="1:25">
      <c r="B220" s="87">
        <f t="shared" si="43"/>
        <v>11</v>
      </c>
      <c r="C220" s="295">
        <v>45911</v>
      </c>
      <c r="D220" s="323">
        <v>73224</v>
      </c>
      <c r="E220" s="10" t="s">
        <v>346</v>
      </c>
      <c r="F220" s="62">
        <v>1284</v>
      </c>
      <c r="G220" s="62">
        <f>39.7</f>
        <v>39.700000000000003</v>
      </c>
      <c r="H220" s="88"/>
      <c r="I220" s="324">
        <f t="shared" si="42"/>
        <v>1244.3</v>
      </c>
      <c r="J220" s="63" t="s">
        <v>236</v>
      </c>
      <c r="K220" s="63">
        <v>1</v>
      </c>
      <c r="L220" s="63">
        <v>1</v>
      </c>
      <c r="M220" s="63">
        <v>1</v>
      </c>
      <c r="N220" s="63">
        <v>1</v>
      </c>
      <c r="O220" s="63">
        <v>1</v>
      </c>
      <c r="P220" s="63">
        <v>1</v>
      </c>
      <c r="Q220" s="63">
        <v>1</v>
      </c>
      <c r="R220" s="325">
        <v>0</v>
      </c>
      <c r="S220" s="296">
        <v>1</v>
      </c>
      <c r="T220" s="63"/>
      <c r="U220" s="10" t="s">
        <v>802</v>
      </c>
      <c r="V220" s="90">
        <v>612.4</v>
      </c>
      <c r="W220" s="440">
        <v>800</v>
      </c>
      <c r="X220" s="92"/>
      <c r="Y220" s="2"/>
    </row>
    <row r="221" spans="1:25">
      <c r="B221" s="87">
        <f t="shared" si="43"/>
        <v>12</v>
      </c>
      <c r="C221" s="295">
        <v>45911</v>
      </c>
      <c r="D221" s="323">
        <v>73235</v>
      </c>
      <c r="E221" s="10" t="s">
        <v>327</v>
      </c>
      <c r="F221" s="95">
        <v>1392</v>
      </c>
      <c r="G221" s="62">
        <f>39.7</f>
        <v>39.700000000000003</v>
      </c>
      <c r="H221" s="62"/>
      <c r="I221" s="89">
        <f t="shared" si="42"/>
        <v>1352.3</v>
      </c>
      <c r="J221" s="63" t="s">
        <v>156</v>
      </c>
      <c r="K221" s="63">
        <v>1</v>
      </c>
      <c r="L221" s="63">
        <v>1</v>
      </c>
      <c r="M221" s="63">
        <v>1</v>
      </c>
      <c r="N221" s="63">
        <v>1</v>
      </c>
      <c r="O221" s="63">
        <v>1</v>
      </c>
      <c r="P221" s="63">
        <v>1</v>
      </c>
      <c r="Q221" s="63">
        <v>1</v>
      </c>
      <c r="R221" s="63">
        <v>1</v>
      </c>
      <c r="S221" s="296">
        <v>1</v>
      </c>
      <c r="T221" s="63"/>
      <c r="U221" s="10" t="s">
        <v>803</v>
      </c>
      <c r="V221" s="90">
        <v>1531.2</v>
      </c>
      <c r="W221" s="91"/>
      <c r="X221" s="92"/>
      <c r="Y221" s="2"/>
    </row>
    <row r="222" spans="1:25">
      <c r="A222" t="s">
        <v>804</v>
      </c>
      <c r="B222" s="87">
        <f>B221+1</f>
        <v>13</v>
      </c>
      <c r="C222" s="274">
        <v>45912</v>
      </c>
      <c r="D222" s="327">
        <v>73264</v>
      </c>
      <c r="E222" s="276" t="s">
        <v>329</v>
      </c>
      <c r="F222" s="277">
        <v>3310</v>
      </c>
      <c r="G222" s="277">
        <f>39.7+(121.26)+200</f>
        <v>360.96000000000004</v>
      </c>
      <c r="H222" s="277"/>
      <c r="I222" s="329">
        <f>F222-G222-H222</f>
        <v>2949.04</v>
      </c>
      <c r="J222" s="279" t="s">
        <v>374</v>
      </c>
      <c r="K222" s="279">
        <v>1</v>
      </c>
      <c r="L222" s="279">
        <v>1</v>
      </c>
      <c r="M222" s="279">
        <v>1</v>
      </c>
      <c r="N222" s="279">
        <v>1</v>
      </c>
      <c r="O222" s="279">
        <v>1</v>
      </c>
      <c r="P222" s="322">
        <v>0</v>
      </c>
      <c r="Q222" s="279">
        <v>1</v>
      </c>
      <c r="R222" s="322">
        <v>0</v>
      </c>
      <c r="S222" s="280">
        <v>1</v>
      </c>
      <c r="T222" s="63"/>
      <c r="U222" s="94" t="s">
        <v>805</v>
      </c>
      <c r="V222" s="90">
        <f>3641</f>
        <v>3641</v>
      </c>
      <c r="W222" s="91"/>
      <c r="X222" s="92"/>
      <c r="Y222" s="2"/>
    </row>
    <row r="223" spans="1:25">
      <c r="B223" s="87">
        <f>B222+1</f>
        <v>14</v>
      </c>
      <c r="C223" s="295">
        <v>45912</v>
      </c>
      <c r="D223" s="323">
        <v>73256</v>
      </c>
      <c r="E223" s="10" t="s">
        <v>327</v>
      </c>
      <c r="F223" s="95">
        <v>616</v>
      </c>
      <c r="G223" s="62"/>
      <c r="H223" s="62"/>
      <c r="I223" s="324">
        <f t="shared" si="42"/>
        <v>616</v>
      </c>
      <c r="J223" s="63" t="s">
        <v>236</v>
      </c>
      <c r="K223" s="63">
        <v>1</v>
      </c>
      <c r="L223" s="63">
        <v>1</v>
      </c>
      <c r="M223" s="325">
        <v>0</v>
      </c>
      <c r="N223" s="63">
        <v>1</v>
      </c>
      <c r="O223" s="63">
        <v>1</v>
      </c>
      <c r="P223" s="63">
        <v>1</v>
      </c>
      <c r="Q223" s="63">
        <v>1</v>
      </c>
      <c r="R223" s="325">
        <v>0</v>
      </c>
      <c r="S223" s="296">
        <v>1</v>
      </c>
      <c r="T223" s="63"/>
      <c r="U223" s="10"/>
      <c r="V223" s="90">
        <v>27.6</v>
      </c>
      <c r="W223" s="440">
        <v>650</v>
      </c>
      <c r="X223" s="92"/>
      <c r="Y223" s="2"/>
    </row>
    <row r="224" spans="1:25">
      <c r="B224" s="87">
        <f t="shared" si="43"/>
        <v>15</v>
      </c>
      <c r="C224" s="282">
        <v>45912</v>
      </c>
      <c r="D224" s="368">
        <v>73275</v>
      </c>
      <c r="E224" s="283" t="s">
        <v>497</v>
      </c>
      <c r="F224" s="423">
        <v>1264</v>
      </c>
      <c r="G224" s="284">
        <f>39.7</f>
        <v>39.700000000000003</v>
      </c>
      <c r="H224" s="284"/>
      <c r="I224" s="300">
        <f t="shared" si="42"/>
        <v>1224.3</v>
      </c>
      <c r="J224" s="286" t="s">
        <v>156</v>
      </c>
      <c r="K224" s="286">
        <v>1</v>
      </c>
      <c r="L224" s="332">
        <v>0</v>
      </c>
      <c r="M224" s="286">
        <v>1</v>
      </c>
      <c r="N224" s="286">
        <v>1</v>
      </c>
      <c r="O224" s="286">
        <v>1</v>
      </c>
      <c r="P224" s="286">
        <v>1</v>
      </c>
      <c r="Q224" s="286">
        <v>1</v>
      </c>
      <c r="R224" s="286">
        <v>1</v>
      </c>
      <c r="S224" s="287">
        <v>1</v>
      </c>
      <c r="T224" s="63"/>
      <c r="U224" s="10"/>
      <c r="V224" s="90">
        <v>1390.4</v>
      </c>
      <c r="W224" s="91"/>
      <c r="X224" s="92"/>
      <c r="Y224" s="2"/>
    </row>
    <row r="225" spans="1:25">
      <c r="B225" s="87"/>
      <c r="C225" s="36"/>
      <c r="D225" s="10"/>
      <c r="E225" s="10"/>
      <c r="F225" s="97">
        <f>SUM(F210:F224)</f>
        <v>22504</v>
      </c>
      <c r="G225" s="97">
        <f>SUM(G210:G224)</f>
        <v>1193.0500000000002</v>
      </c>
      <c r="H225" s="97">
        <f>SUM(H210:H224)</f>
        <v>0</v>
      </c>
      <c r="I225" s="98">
        <f>SUM(I210:I224)</f>
        <v>21310.949999999997</v>
      </c>
      <c r="J225" s="63"/>
      <c r="K225" s="63">
        <f>COUNT(K210:K224)</f>
        <v>15</v>
      </c>
      <c r="L225" s="63">
        <f>COUNT(L210:L224)</f>
        <v>15</v>
      </c>
      <c r="M225" s="63">
        <f>COUNT(M210:M224)</f>
        <v>15</v>
      </c>
      <c r="N225" s="63">
        <f>COUNT(N210:N224)</f>
        <v>15</v>
      </c>
      <c r="O225" s="63">
        <f>COUNT(O210:O224)</f>
        <v>15</v>
      </c>
      <c r="P225" s="63">
        <f>COUNT(P210:P224)</f>
        <v>15</v>
      </c>
      <c r="Q225" s="63">
        <f>COUNT(Q210:Q224)</f>
        <v>15</v>
      </c>
      <c r="R225" s="63">
        <f>COUNT(R210:R224)</f>
        <v>15</v>
      </c>
      <c r="S225" s="63">
        <f>COUNT(S210:S224)</f>
        <v>15</v>
      </c>
      <c r="T225" s="63"/>
      <c r="U225" s="10"/>
      <c r="V225" s="90"/>
      <c r="W225" s="91"/>
      <c r="X225" s="92"/>
      <c r="Y225" s="2"/>
    </row>
    <row r="226" spans="1:25">
      <c r="B226" s="87"/>
      <c r="C226" s="36"/>
      <c r="D226" s="10"/>
      <c r="E226" s="10"/>
      <c r="F226" s="88"/>
      <c r="G226" s="88"/>
      <c r="H226" s="88"/>
      <c r="I226" s="99"/>
      <c r="J226" s="63"/>
      <c r="K226" s="21">
        <f>SUM(K210:K224)</f>
        <v>15</v>
      </c>
      <c r="L226" s="21">
        <f>SUM(L210:L224)</f>
        <v>14</v>
      </c>
      <c r="M226" s="21">
        <f>SUM(M210:M224)</f>
        <v>14</v>
      </c>
      <c r="N226" s="21">
        <f>SUM(N210:N224)</f>
        <v>15</v>
      </c>
      <c r="O226" s="21">
        <f>SUM(O210:O224)</f>
        <v>15</v>
      </c>
      <c r="P226" s="21">
        <f>SUM(P210:P224)</f>
        <v>14</v>
      </c>
      <c r="Q226" s="21">
        <f>SUM(Q210:Q224)</f>
        <v>15</v>
      </c>
      <c r="R226" s="21">
        <f>SUM(R210:R224)</f>
        <v>11</v>
      </c>
      <c r="S226" s="21">
        <f>SUM(S210:S224)</f>
        <v>13</v>
      </c>
      <c r="T226" s="63"/>
      <c r="U226" s="10"/>
      <c r="V226" s="90"/>
      <c r="W226" s="91"/>
      <c r="X226" s="92"/>
      <c r="Y226" s="2"/>
    </row>
    <row r="227" spans="1:25">
      <c r="B227" s="11"/>
      <c r="C227" s="36"/>
      <c r="D227" s="10"/>
      <c r="E227" s="10"/>
      <c r="F227" s="88"/>
      <c r="G227" s="88"/>
      <c r="H227" s="88"/>
      <c r="I227" s="99"/>
      <c r="J227" s="63"/>
      <c r="K227" s="21"/>
      <c r="L227" s="21"/>
      <c r="M227" s="21"/>
      <c r="N227" s="21"/>
      <c r="O227" s="21"/>
      <c r="P227" s="21"/>
      <c r="Q227" s="21"/>
      <c r="R227" s="21"/>
      <c r="S227" s="21"/>
      <c r="T227" s="63"/>
      <c r="U227" s="94"/>
      <c r="V227" s="90"/>
      <c r="W227" s="91"/>
      <c r="X227" s="92"/>
      <c r="Y227" s="2"/>
    </row>
    <row r="228" spans="1:25">
      <c r="B228" s="121" t="s">
        <v>70</v>
      </c>
      <c r="C228" s="36"/>
      <c r="D228" s="123"/>
      <c r="E228" s="128"/>
      <c r="F228" s="124"/>
      <c r="G228" s="124"/>
      <c r="H228" s="124"/>
      <c r="I228" s="126"/>
      <c r="J228" s="127"/>
      <c r="K228" s="64"/>
      <c r="L228" s="64"/>
      <c r="M228" s="64"/>
      <c r="N228" s="64"/>
      <c r="O228" s="64"/>
      <c r="P228" s="64"/>
      <c r="Q228" s="64"/>
      <c r="R228" s="64"/>
      <c r="S228" s="64"/>
      <c r="T228" s="127"/>
      <c r="U228" s="135"/>
      <c r="V228" s="129"/>
      <c r="W228" s="130"/>
      <c r="X228" s="131"/>
      <c r="Y228" s="128"/>
    </row>
    <row r="229" spans="1:25" s="342" customFormat="1">
      <c r="A229" s="492">
        <v>0.05</v>
      </c>
      <c r="B229" s="333">
        <v>1</v>
      </c>
      <c r="C229" s="334">
        <v>45908</v>
      </c>
      <c r="D229" s="327">
        <v>73048</v>
      </c>
      <c r="E229" s="335" t="s">
        <v>211</v>
      </c>
      <c r="F229" s="336">
        <v>861</v>
      </c>
      <c r="G229" s="336">
        <f>39.7</f>
        <v>39.700000000000003</v>
      </c>
      <c r="H229" s="336"/>
      <c r="I229" s="337">
        <f>F229-G229-H229</f>
        <v>821.3</v>
      </c>
      <c r="J229" s="338" t="s">
        <v>156</v>
      </c>
      <c r="K229" s="338">
        <v>1</v>
      </c>
      <c r="L229" s="338"/>
      <c r="M229" s="338">
        <v>1</v>
      </c>
      <c r="N229" s="338">
        <v>1</v>
      </c>
      <c r="O229" s="338">
        <v>1</v>
      </c>
      <c r="P229" s="338">
        <v>1</v>
      </c>
      <c r="Q229" s="338"/>
      <c r="R229" s="338"/>
      <c r="S229" s="339"/>
      <c r="T229" s="127"/>
      <c r="U229" s="135" t="s">
        <v>806</v>
      </c>
      <c r="V229" s="129">
        <f>100</f>
        <v>100</v>
      </c>
      <c r="W229" s="340"/>
      <c r="X229" s="341"/>
      <c r="Y229" s="128"/>
    </row>
    <row r="230" spans="1:25" s="342" customFormat="1">
      <c r="A230" s="492">
        <v>0.05</v>
      </c>
      <c r="B230" s="333">
        <f>B229+1</f>
        <v>2</v>
      </c>
      <c r="C230" s="350">
        <v>45911</v>
      </c>
      <c r="D230" s="263" t="s">
        <v>807</v>
      </c>
      <c r="E230" s="358" t="s">
        <v>798</v>
      </c>
      <c r="F230" s="352">
        <v>14953</v>
      </c>
      <c r="G230" s="352">
        <f>39.7+47.52+(35.4+58.44+96.89)+1000</f>
        <v>1277.95</v>
      </c>
      <c r="H230" s="352"/>
      <c r="I230" s="353">
        <f>F230-G230-H230</f>
        <v>13675.05</v>
      </c>
      <c r="J230" s="354" t="s">
        <v>228</v>
      </c>
      <c r="K230" s="354">
        <v>1</v>
      </c>
      <c r="L230" s="354"/>
      <c r="M230" s="354">
        <v>1</v>
      </c>
      <c r="N230" s="354">
        <v>1</v>
      </c>
      <c r="O230" s="354">
        <v>1</v>
      </c>
      <c r="P230" s="314">
        <v>0</v>
      </c>
      <c r="Q230" s="354"/>
      <c r="R230" s="354"/>
      <c r="S230" s="355"/>
      <c r="T230" s="127"/>
      <c r="U230" s="135" t="s">
        <v>808</v>
      </c>
      <c r="V230" s="129">
        <f>1700+2500+4000</f>
        <v>8200</v>
      </c>
      <c r="W230" s="340"/>
      <c r="X230" s="341"/>
      <c r="Y230" s="128"/>
    </row>
    <row r="231" spans="1:25">
      <c r="B231" s="132"/>
      <c r="C231" s="36"/>
      <c r="D231" s="123"/>
      <c r="E231" s="123"/>
      <c r="F231" s="133">
        <f>SUM(F229:F230)</f>
        <v>15814</v>
      </c>
      <c r="G231" s="133">
        <f>SUM(G229:G230)</f>
        <v>1317.65</v>
      </c>
      <c r="H231" s="133">
        <f>SUM(H229:H230)</f>
        <v>0</v>
      </c>
      <c r="I231" s="134">
        <f>SUM(I229:I230)</f>
        <v>14496.349999999999</v>
      </c>
      <c r="J231" s="127"/>
      <c r="K231" s="64"/>
      <c r="L231" s="64"/>
      <c r="M231" s="64"/>
      <c r="N231" s="64"/>
      <c r="O231" s="64"/>
      <c r="P231" s="64"/>
      <c r="Q231" s="64"/>
      <c r="R231" s="64"/>
      <c r="S231" s="64"/>
      <c r="T231" s="127"/>
      <c r="U231" s="135"/>
      <c r="V231" s="129"/>
      <c r="W231" s="130"/>
      <c r="X231" s="131"/>
      <c r="Y231" s="128"/>
    </row>
    <row r="232" spans="1:25">
      <c r="B232" s="11"/>
      <c r="C232" s="36"/>
      <c r="D232" s="10"/>
      <c r="E232" s="10"/>
      <c r="F232" s="88"/>
      <c r="G232" s="88"/>
      <c r="H232" s="88"/>
      <c r="I232" s="99"/>
      <c r="J232" s="63"/>
      <c r="K232" s="21"/>
      <c r="L232" s="21"/>
      <c r="M232" s="21"/>
      <c r="N232" s="21"/>
      <c r="O232" s="21"/>
      <c r="P232" s="21"/>
      <c r="Q232" s="21"/>
      <c r="R232" s="21"/>
      <c r="S232" s="21"/>
      <c r="T232" s="63"/>
      <c r="U232" s="94"/>
      <c r="V232" s="90"/>
      <c r="W232" s="91"/>
      <c r="X232" s="92"/>
      <c r="Y232" s="2"/>
    </row>
    <row r="233" spans="1:25" s="260" customFormat="1">
      <c r="A233" s="181"/>
      <c r="B233" s="100" t="s">
        <v>152</v>
      </c>
      <c r="C233" s="36"/>
      <c r="D233" s="10"/>
      <c r="E233" s="10"/>
      <c r="F233" s="88"/>
      <c r="G233" s="62"/>
      <c r="H233" s="88"/>
      <c r="I233" s="99"/>
      <c r="J233" s="63"/>
      <c r="K233" s="181"/>
      <c r="L233" s="181"/>
      <c r="M233" s="181"/>
      <c r="N233" s="181"/>
      <c r="O233" s="181"/>
      <c r="P233" s="181"/>
      <c r="Q233" s="181"/>
      <c r="R233" s="181"/>
      <c r="S233" s="181"/>
      <c r="T233" s="63"/>
      <c r="U233" s="10"/>
      <c r="V233" s="90"/>
      <c r="W233" s="91"/>
      <c r="X233" s="92"/>
    </row>
    <row r="234" spans="1:25" s="260" customFormat="1">
      <c r="A234" s="494">
        <v>0.05</v>
      </c>
      <c r="B234" s="87">
        <v>1</v>
      </c>
      <c r="C234" s="262">
        <v>45890</v>
      </c>
      <c r="D234" s="357" t="s">
        <v>759</v>
      </c>
      <c r="E234" s="271" t="s">
        <v>369</v>
      </c>
      <c r="F234" s="265">
        <v>4112</v>
      </c>
      <c r="G234" s="265">
        <f>39.7+(847.9+27.43+26.8)+300</f>
        <v>1241.83</v>
      </c>
      <c r="H234" s="265"/>
      <c r="I234" s="266">
        <f>F234-G234-H234</f>
        <v>2870.17</v>
      </c>
      <c r="J234" s="267" t="s">
        <v>228</v>
      </c>
      <c r="K234" s="267">
        <v>1</v>
      </c>
      <c r="L234" s="314">
        <v>0</v>
      </c>
      <c r="M234" s="267">
        <v>1</v>
      </c>
      <c r="N234" s="267">
        <v>1</v>
      </c>
      <c r="O234" s="267">
        <v>1</v>
      </c>
      <c r="P234" s="267">
        <v>1</v>
      </c>
      <c r="Q234" s="267">
        <v>1</v>
      </c>
      <c r="R234" s="267">
        <v>1</v>
      </c>
      <c r="S234" s="366">
        <v>0</v>
      </c>
      <c r="T234" s="63"/>
      <c r="U234" s="10" t="s">
        <v>760</v>
      </c>
      <c r="V234" s="90"/>
      <c r="W234" s="136"/>
      <c r="X234" s="137"/>
    </row>
    <row r="235" spans="1:25" s="260" customFormat="1">
      <c r="A235" s="494">
        <v>0.05</v>
      </c>
      <c r="B235" s="87">
        <f>B234+1</f>
        <v>2</v>
      </c>
      <c r="C235" s="262">
        <v>45905</v>
      </c>
      <c r="D235" s="263">
        <v>73026</v>
      </c>
      <c r="E235" s="264" t="s">
        <v>294</v>
      </c>
      <c r="F235" s="265">
        <v>1261</v>
      </c>
      <c r="G235" s="265">
        <f>39.7</f>
        <v>39.700000000000003</v>
      </c>
      <c r="H235" s="265"/>
      <c r="I235" s="266">
        <f t="shared" ref="I235" si="45">F235-G235-H235</f>
        <v>1221.3</v>
      </c>
      <c r="J235" s="267"/>
      <c r="K235" s="267">
        <v>1</v>
      </c>
      <c r="L235" s="267">
        <v>1</v>
      </c>
      <c r="M235" s="267"/>
      <c r="N235" s="267">
        <v>1</v>
      </c>
      <c r="O235" s="267">
        <v>1</v>
      </c>
      <c r="P235" s="314">
        <v>0</v>
      </c>
      <c r="Q235" s="267">
        <v>1</v>
      </c>
      <c r="R235" s="267">
        <v>1</v>
      </c>
      <c r="S235" s="366">
        <v>0</v>
      </c>
      <c r="T235" s="63"/>
      <c r="U235" s="10"/>
      <c r="V235" s="90"/>
      <c r="W235" s="91"/>
      <c r="X235" s="92"/>
    </row>
    <row r="236" spans="1:25" s="260" customFormat="1">
      <c r="A236" s="181"/>
      <c r="B236" s="11"/>
      <c r="C236" s="36"/>
      <c r="D236" s="10"/>
      <c r="E236" s="10"/>
      <c r="F236" s="98">
        <f>SUM(F234:F235)</f>
        <v>5373</v>
      </c>
      <c r="G236" s="98">
        <f t="shared" ref="G236:I236" si="46">SUM(G234:G235)</f>
        <v>1281.53</v>
      </c>
      <c r="H236" s="98">
        <f t="shared" si="46"/>
        <v>0</v>
      </c>
      <c r="I236" s="98">
        <f t="shared" si="46"/>
        <v>4091.4700000000003</v>
      </c>
      <c r="J236" s="63"/>
      <c r="K236" s="21"/>
      <c r="L236" s="21"/>
      <c r="M236" s="21"/>
      <c r="N236" s="21"/>
      <c r="O236" s="21"/>
      <c r="P236" s="21"/>
      <c r="Q236" s="21"/>
      <c r="R236" s="21"/>
      <c r="S236" s="21"/>
      <c r="T236" s="63"/>
      <c r="U236" s="94"/>
      <c r="V236" s="90"/>
      <c r="W236" s="91"/>
      <c r="X236" s="92"/>
    </row>
    <row r="237" spans="1:25" s="260" customFormat="1">
      <c r="A237" s="181"/>
      <c r="B237" s="11"/>
      <c r="C237" s="36"/>
      <c r="D237" s="10"/>
      <c r="E237" s="10"/>
      <c r="F237" s="88"/>
      <c r="G237" s="88"/>
      <c r="H237" s="88"/>
      <c r="I237" s="99"/>
      <c r="J237" s="63"/>
      <c r="K237" s="21"/>
      <c r="L237" s="21"/>
      <c r="M237" s="21"/>
      <c r="N237" s="21"/>
      <c r="O237" s="21"/>
      <c r="P237" s="21"/>
      <c r="Q237" s="21"/>
      <c r="R237" s="21"/>
      <c r="S237" s="21"/>
      <c r="T237" s="63"/>
      <c r="U237" s="94"/>
      <c r="V237" s="90"/>
      <c r="W237" s="91"/>
      <c r="X237" s="92"/>
    </row>
    <row r="238" spans="1:25">
      <c r="B238" s="100" t="s">
        <v>72</v>
      </c>
      <c r="C238" s="609"/>
      <c r="D238" s="10"/>
      <c r="E238" s="10"/>
      <c r="F238" s="88"/>
      <c r="G238" s="88"/>
      <c r="H238" s="88"/>
      <c r="I238" s="99"/>
      <c r="J238" s="63"/>
      <c r="K238" s="63"/>
      <c r="L238" s="63"/>
      <c r="M238" s="63"/>
      <c r="N238" s="63"/>
      <c r="O238" s="63"/>
      <c r="P238" s="63"/>
      <c r="Q238" s="63"/>
      <c r="R238" s="63"/>
      <c r="S238" s="63"/>
      <c r="T238" s="63"/>
      <c r="U238" s="10"/>
      <c r="V238" s="90"/>
      <c r="W238" s="91"/>
      <c r="X238" s="92"/>
      <c r="Y238" s="2"/>
    </row>
    <row r="239" spans="1:25">
      <c r="B239" s="87">
        <v>1</v>
      </c>
      <c r="C239" s="274">
        <v>45908</v>
      </c>
      <c r="D239" s="276">
        <v>73047</v>
      </c>
      <c r="E239" s="276" t="s">
        <v>739</v>
      </c>
      <c r="F239" s="277">
        <v>1681</v>
      </c>
      <c r="G239" s="277">
        <v>39.700000000000003</v>
      </c>
      <c r="H239" s="277"/>
      <c r="I239" s="278">
        <f t="shared" ref="I239:I252" si="47">F239-G239-H239</f>
        <v>1641.3</v>
      </c>
      <c r="J239" s="279" t="s">
        <v>205</v>
      </c>
      <c r="K239" s="279">
        <v>1</v>
      </c>
      <c r="L239" s="279"/>
      <c r="M239" s="279"/>
      <c r="N239" s="279">
        <v>1</v>
      </c>
      <c r="O239" s="279"/>
      <c r="P239" s="279"/>
      <c r="Q239" s="279"/>
      <c r="R239" s="279"/>
      <c r="S239" s="280"/>
      <c r="T239" s="63"/>
      <c r="U239" s="3"/>
      <c r="V239" s="90"/>
      <c r="W239" s="91"/>
      <c r="X239" s="92"/>
      <c r="Y239" s="2"/>
    </row>
    <row r="240" spans="1:25">
      <c r="B240" s="87">
        <f t="shared" ref="B240:B252" si="48">B239+1</f>
        <v>2</v>
      </c>
      <c r="C240" s="295">
        <v>45908</v>
      </c>
      <c r="D240" s="10">
        <v>73083</v>
      </c>
      <c r="E240" s="10" t="s">
        <v>382</v>
      </c>
      <c r="F240" s="62">
        <v>681</v>
      </c>
      <c r="G240" s="62"/>
      <c r="H240" s="62"/>
      <c r="I240" s="89">
        <f t="shared" si="47"/>
        <v>681</v>
      </c>
      <c r="J240" s="63" t="s">
        <v>205</v>
      </c>
      <c r="K240" s="63">
        <v>1</v>
      </c>
      <c r="L240" s="63"/>
      <c r="M240" s="63"/>
      <c r="N240" s="63">
        <v>1</v>
      </c>
      <c r="O240" s="63"/>
      <c r="P240" s="63"/>
      <c r="Q240" s="63">
        <v>1</v>
      </c>
      <c r="R240" s="63">
        <v>1</v>
      </c>
      <c r="S240" s="296">
        <v>1</v>
      </c>
      <c r="T240" s="63"/>
      <c r="U240" s="10"/>
      <c r="V240" s="90"/>
      <c r="W240" s="136"/>
      <c r="X240" s="137"/>
      <c r="Y240" s="2"/>
    </row>
    <row r="241" spans="2:25">
      <c r="B241" s="87">
        <f t="shared" si="48"/>
        <v>3</v>
      </c>
      <c r="C241" s="295">
        <v>45908</v>
      </c>
      <c r="D241" s="10">
        <v>73078</v>
      </c>
      <c r="E241" s="10" t="s">
        <v>355</v>
      </c>
      <c r="F241" s="62">
        <v>681</v>
      </c>
      <c r="G241" s="62"/>
      <c r="H241" s="62"/>
      <c r="I241" s="89">
        <f t="shared" si="47"/>
        <v>681</v>
      </c>
      <c r="J241" s="63" t="s">
        <v>205</v>
      </c>
      <c r="K241" s="63">
        <v>1</v>
      </c>
      <c r="L241" s="63"/>
      <c r="M241" s="63"/>
      <c r="N241" s="63">
        <v>1</v>
      </c>
      <c r="O241" s="63"/>
      <c r="P241" s="63"/>
      <c r="Q241" s="63">
        <v>1</v>
      </c>
      <c r="R241" s="63">
        <v>1</v>
      </c>
      <c r="S241" s="296">
        <v>1</v>
      </c>
      <c r="T241" s="63"/>
      <c r="U241" s="10"/>
      <c r="V241" s="90"/>
      <c r="W241" s="136"/>
      <c r="X241" s="137"/>
      <c r="Y241" s="2"/>
    </row>
    <row r="242" spans="2:25">
      <c r="B242" s="87">
        <f t="shared" si="48"/>
        <v>4</v>
      </c>
      <c r="C242" s="274">
        <v>45909</v>
      </c>
      <c r="D242" s="276">
        <v>73132</v>
      </c>
      <c r="E242" s="276" t="s">
        <v>809</v>
      </c>
      <c r="F242" s="277">
        <v>1429</v>
      </c>
      <c r="G242" s="277">
        <v>39.700000000000003</v>
      </c>
      <c r="H242" s="277"/>
      <c r="I242" s="278">
        <f t="shared" si="47"/>
        <v>1389.3</v>
      </c>
      <c r="J242" s="279" t="s">
        <v>205</v>
      </c>
      <c r="K242" s="279">
        <v>1</v>
      </c>
      <c r="L242" s="279"/>
      <c r="M242" s="279"/>
      <c r="N242" s="279">
        <v>1</v>
      </c>
      <c r="O242" s="279"/>
      <c r="P242" s="279"/>
      <c r="Q242" s="279">
        <v>1</v>
      </c>
      <c r="R242" s="279">
        <v>1</v>
      </c>
      <c r="S242" s="280">
        <v>1</v>
      </c>
      <c r="T242" s="63"/>
      <c r="U242" s="10"/>
      <c r="V242" s="90"/>
      <c r="W242" s="136"/>
      <c r="X242" s="137"/>
      <c r="Y242" s="2"/>
    </row>
    <row r="243" spans="2:25">
      <c r="B243" s="87">
        <f t="shared" si="48"/>
        <v>5</v>
      </c>
      <c r="C243" s="295">
        <v>45909</v>
      </c>
      <c r="D243" s="10">
        <v>73133</v>
      </c>
      <c r="E243" s="10" t="s">
        <v>172</v>
      </c>
      <c r="F243" s="62">
        <v>2432</v>
      </c>
      <c r="G243" s="62">
        <v>39.700000000000003</v>
      </c>
      <c r="H243" s="62"/>
      <c r="I243" s="89">
        <f t="shared" si="47"/>
        <v>2392.3000000000002</v>
      </c>
      <c r="J243" s="63" t="s">
        <v>205</v>
      </c>
      <c r="K243" s="63">
        <v>1</v>
      </c>
      <c r="L243" s="63"/>
      <c r="M243" s="63"/>
      <c r="N243" s="63">
        <v>1</v>
      </c>
      <c r="O243" s="63"/>
      <c r="P243" s="63"/>
      <c r="Q243" s="63">
        <v>1</v>
      </c>
      <c r="R243" s="63">
        <v>1</v>
      </c>
      <c r="S243" s="296">
        <v>1</v>
      </c>
      <c r="T243" s="63"/>
      <c r="U243" s="10"/>
      <c r="V243" s="90"/>
      <c r="W243" s="136"/>
      <c r="X243" s="137"/>
      <c r="Y243" s="2"/>
    </row>
    <row r="244" spans="2:25">
      <c r="B244" s="87">
        <f t="shared" si="48"/>
        <v>6</v>
      </c>
      <c r="C244" s="295">
        <v>45909</v>
      </c>
      <c r="D244" s="10">
        <v>73142</v>
      </c>
      <c r="E244" s="101" t="s">
        <v>329</v>
      </c>
      <c r="F244" s="62">
        <v>0</v>
      </c>
      <c r="G244" s="62">
        <v>0</v>
      </c>
      <c r="H244" s="62"/>
      <c r="I244" s="89">
        <f t="shared" si="47"/>
        <v>0</v>
      </c>
      <c r="J244" s="63" t="s">
        <v>810</v>
      </c>
      <c r="K244" s="63"/>
      <c r="L244" s="63"/>
      <c r="M244" s="63"/>
      <c r="N244" s="63"/>
      <c r="O244" s="63"/>
      <c r="P244" s="63"/>
      <c r="Q244" s="63"/>
      <c r="R244" s="63"/>
      <c r="S244" s="296"/>
      <c r="T244" s="63"/>
      <c r="U244" s="10"/>
      <c r="V244" s="90"/>
      <c r="W244" s="136"/>
      <c r="X244" s="137"/>
      <c r="Y244" s="2"/>
    </row>
    <row r="245" spans="2:25">
      <c r="B245" s="87">
        <f t="shared" si="48"/>
        <v>7</v>
      </c>
      <c r="C245" s="274">
        <v>45910</v>
      </c>
      <c r="D245" s="276">
        <v>73152</v>
      </c>
      <c r="E245" s="281" t="s">
        <v>172</v>
      </c>
      <c r="F245" s="277">
        <v>8214</v>
      </c>
      <c r="G245" s="277">
        <f>39.7</f>
        <v>39.700000000000003</v>
      </c>
      <c r="H245" s="277"/>
      <c r="I245" s="278">
        <f t="shared" si="47"/>
        <v>8174.3</v>
      </c>
      <c r="J245" s="279" t="s">
        <v>205</v>
      </c>
      <c r="K245" s="279">
        <v>1</v>
      </c>
      <c r="L245" s="279"/>
      <c r="M245" s="279"/>
      <c r="N245" s="279">
        <v>1</v>
      </c>
      <c r="O245" s="279"/>
      <c r="P245" s="279"/>
      <c r="Q245" s="279">
        <v>1</v>
      </c>
      <c r="R245" s="279">
        <v>1</v>
      </c>
      <c r="S245" s="280">
        <v>1</v>
      </c>
      <c r="T245" s="63"/>
      <c r="U245" s="10"/>
      <c r="V245" s="90"/>
      <c r="W245" s="136"/>
      <c r="X245" s="137"/>
      <c r="Y245" s="2"/>
    </row>
    <row r="246" spans="2:25">
      <c r="B246" s="87">
        <f t="shared" si="48"/>
        <v>8</v>
      </c>
      <c r="C246" s="295">
        <v>45910</v>
      </c>
      <c r="D246" s="10">
        <v>73169</v>
      </c>
      <c r="E246" s="101" t="s">
        <v>317</v>
      </c>
      <c r="F246" s="62">
        <v>6381</v>
      </c>
      <c r="G246" s="62">
        <v>39.700000000000003</v>
      </c>
      <c r="H246" s="62"/>
      <c r="I246" s="89">
        <f t="shared" si="47"/>
        <v>6341.3</v>
      </c>
      <c r="J246" s="63" t="s">
        <v>205</v>
      </c>
      <c r="K246" s="63">
        <v>1</v>
      </c>
      <c r="L246" s="63"/>
      <c r="M246" s="63"/>
      <c r="N246" s="63">
        <v>1</v>
      </c>
      <c r="O246" s="63">
        <v>1</v>
      </c>
      <c r="P246" s="63">
        <v>1</v>
      </c>
      <c r="Q246" s="63">
        <v>1</v>
      </c>
      <c r="R246" s="63">
        <v>1</v>
      </c>
      <c r="S246" s="296">
        <v>1</v>
      </c>
      <c r="T246" s="63"/>
      <c r="U246" s="10"/>
      <c r="V246" s="90"/>
      <c r="W246" s="136"/>
      <c r="X246" s="137"/>
      <c r="Y246" s="2"/>
    </row>
    <row r="247" spans="2:25">
      <c r="B247" s="87">
        <f t="shared" si="48"/>
        <v>9</v>
      </c>
      <c r="C247" s="295">
        <v>45910</v>
      </c>
      <c r="D247" s="10">
        <v>73180</v>
      </c>
      <c r="E247" s="101" t="s">
        <v>172</v>
      </c>
      <c r="F247" s="62">
        <v>8641</v>
      </c>
      <c r="G247" s="62">
        <v>39.700000000000003</v>
      </c>
      <c r="H247" s="62"/>
      <c r="I247" s="89">
        <f t="shared" si="47"/>
        <v>8601.2999999999993</v>
      </c>
      <c r="J247" s="63" t="s">
        <v>205</v>
      </c>
      <c r="K247" s="63">
        <v>1</v>
      </c>
      <c r="L247" s="63"/>
      <c r="M247" s="63"/>
      <c r="N247" s="63">
        <v>1</v>
      </c>
      <c r="O247" s="63"/>
      <c r="P247" s="63">
        <v>1</v>
      </c>
      <c r="Q247" s="63">
        <v>1</v>
      </c>
      <c r="R247" s="63">
        <v>1</v>
      </c>
      <c r="S247" s="296"/>
      <c r="T247" s="63"/>
      <c r="U247" s="10"/>
      <c r="V247" s="90"/>
      <c r="W247" s="136"/>
      <c r="X247" s="137"/>
      <c r="Y247" s="2"/>
    </row>
    <row r="248" spans="2:25">
      <c r="B248" s="87">
        <f t="shared" si="48"/>
        <v>10</v>
      </c>
      <c r="C248" s="295">
        <v>45910</v>
      </c>
      <c r="D248" s="10">
        <v>73199</v>
      </c>
      <c r="E248" s="101" t="s">
        <v>811</v>
      </c>
      <c r="F248" s="62">
        <v>2847</v>
      </c>
      <c r="G248" s="62">
        <v>39.700000000000003</v>
      </c>
      <c r="H248" s="62"/>
      <c r="I248" s="89">
        <f t="shared" si="47"/>
        <v>2807.3</v>
      </c>
      <c r="J248" s="63" t="s">
        <v>205</v>
      </c>
      <c r="K248" s="63">
        <v>1</v>
      </c>
      <c r="L248" s="63"/>
      <c r="M248" s="63"/>
      <c r="N248" s="63">
        <v>1</v>
      </c>
      <c r="O248" s="63"/>
      <c r="P248" s="63"/>
      <c r="Q248" s="63">
        <v>1</v>
      </c>
      <c r="R248" s="63">
        <v>1</v>
      </c>
      <c r="S248" s="296">
        <v>1</v>
      </c>
      <c r="T248" s="63"/>
      <c r="U248" s="10"/>
      <c r="V248" s="90"/>
      <c r="W248" s="136"/>
      <c r="X248" s="137"/>
      <c r="Y248" s="2"/>
    </row>
    <row r="249" spans="2:25">
      <c r="B249" s="87">
        <f t="shared" si="48"/>
        <v>11</v>
      </c>
      <c r="C249" s="295">
        <v>45910</v>
      </c>
      <c r="D249" s="10" t="s">
        <v>812</v>
      </c>
      <c r="E249" s="10" t="s">
        <v>211</v>
      </c>
      <c r="F249" s="62">
        <v>19261</v>
      </c>
      <c r="G249" s="62">
        <v>39.700000000000003</v>
      </c>
      <c r="H249" s="62"/>
      <c r="I249" s="89">
        <f t="shared" si="47"/>
        <v>19221.3</v>
      </c>
      <c r="J249" s="63" t="s">
        <v>205</v>
      </c>
      <c r="K249" s="63">
        <v>1</v>
      </c>
      <c r="L249" s="63"/>
      <c r="M249" s="63"/>
      <c r="N249" s="63">
        <v>1</v>
      </c>
      <c r="O249" s="63"/>
      <c r="P249" s="63"/>
      <c r="Q249" s="63"/>
      <c r="R249" s="63"/>
      <c r="S249" s="296"/>
      <c r="T249" s="63"/>
      <c r="U249" s="10"/>
      <c r="V249" s="90"/>
      <c r="W249" s="136"/>
      <c r="X249" s="137"/>
      <c r="Y249" s="2"/>
    </row>
    <row r="250" spans="2:25">
      <c r="B250" s="87">
        <f t="shared" si="48"/>
        <v>12</v>
      </c>
      <c r="C250" s="274">
        <v>45912</v>
      </c>
      <c r="D250" s="276">
        <v>73257</v>
      </c>
      <c r="E250" s="281" t="s">
        <v>813</v>
      </c>
      <c r="F250" s="277">
        <v>4419</v>
      </c>
      <c r="G250" s="277">
        <v>39.700000000000003</v>
      </c>
      <c r="H250" s="277"/>
      <c r="I250" s="278">
        <f t="shared" si="47"/>
        <v>4379.3</v>
      </c>
      <c r="J250" s="279" t="s">
        <v>205</v>
      </c>
      <c r="K250" s="279">
        <v>1</v>
      </c>
      <c r="L250" s="279"/>
      <c r="M250" s="279"/>
      <c r="N250" s="279">
        <v>1</v>
      </c>
      <c r="O250" s="279"/>
      <c r="P250" s="279"/>
      <c r="Q250" s="279">
        <v>1</v>
      </c>
      <c r="R250" s="279">
        <v>1</v>
      </c>
      <c r="S250" s="280">
        <v>1</v>
      </c>
      <c r="T250" s="63"/>
      <c r="U250" s="10"/>
      <c r="V250" s="90"/>
      <c r="W250" s="136"/>
      <c r="X250" s="137"/>
      <c r="Y250" s="2"/>
    </row>
    <row r="251" spans="2:25">
      <c r="B251" s="87">
        <f t="shared" si="48"/>
        <v>13</v>
      </c>
      <c r="C251" s="295">
        <v>45912</v>
      </c>
      <c r="D251" s="10">
        <v>73266</v>
      </c>
      <c r="E251" s="101" t="s">
        <v>349</v>
      </c>
      <c r="F251" s="62">
        <v>422</v>
      </c>
      <c r="G251" s="62"/>
      <c r="H251" s="62"/>
      <c r="I251" s="89">
        <f t="shared" si="47"/>
        <v>422</v>
      </c>
      <c r="J251" s="63" t="s">
        <v>205</v>
      </c>
      <c r="K251" s="63">
        <v>1</v>
      </c>
      <c r="L251" s="63"/>
      <c r="M251" s="63"/>
      <c r="N251" s="63">
        <v>1</v>
      </c>
      <c r="O251" s="63"/>
      <c r="P251" s="63"/>
      <c r="Q251" s="63">
        <v>1</v>
      </c>
      <c r="R251" s="63">
        <v>1</v>
      </c>
      <c r="S251" s="296">
        <v>1</v>
      </c>
      <c r="T251" s="63"/>
      <c r="U251" s="10"/>
      <c r="V251" s="90"/>
      <c r="W251" s="136"/>
      <c r="X251" s="137"/>
      <c r="Y251" s="2"/>
    </row>
    <row r="252" spans="2:25">
      <c r="B252" s="87">
        <f t="shared" si="48"/>
        <v>14</v>
      </c>
      <c r="C252" s="282">
        <v>45912</v>
      </c>
      <c r="D252" s="283">
        <v>73268</v>
      </c>
      <c r="E252" s="283" t="s">
        <v>750</v>
      </c>
      <c r="F252" s="284">
        <v>1675</v>
      </c>
      <c r="G252" s="284">
        <v>39.700000000000003</v>
      </c>
      <c r="H252" s="284"/>
      <c r="I252" s="285">
        <f t="shared" si="47"/>
        <v>1635.3</v>
      </c>
      <c r="J252" s="286" t="s">
        <v>205</v>
      </c>
      <c r="K252" s="286">
        <v>1</v>
      </c>
      <c r="L252" s="286"/>
      <c r="M252" s="286"/>
      <c r="N252" s="286">
        <v>1</v>
      </c>
      <c r="O252" s="286"/>
      <c r="P252" s="286"/>
      <c r="Q252" s="286">
        <v>1</v>
      </c>
      <c r="R252" s="286">
        <v>1</v>
      </c>
      <c r="S252" s="287">
        <v>1</v>
      </c>
      <c r="T252" s="63"/>
      <c r="U252" s="10"/>
      <c r="V252" s="90"/>
      <c r="W252" s="136"/>
      <c r="X252" s="137"/>
      <c r="Y252" s="2"/>
    </row>
    <row r="253" spans="2:25">
      <c r="B253" s="11"/>
      <c r="C253" s="609"/>
      <c r="D253" s="10"/>
      <c r="E253" s="10"/>
      <c r="F253" s="97">
        <f>SUM(F239:F252)</f>
        <v>58764</v>
      </c>
      <c r="G253" s="97">
        <f>SUM(G239:G252)</f>
        <v>396.99999999999994</v>
      </c>
      <c r="H253" s="97">
        <f>SUM(H239:H252)</f>
        <v>0</v>
      </c>
      <c r="I253" s="98">
        <f>SUM(I239:I252)</f>
        <v>58367</v>
      </c>
      <c r="J253" s="10"/>
      <c r="K253" s="10"/>
      <c r="L253" s="10"/>
      <c r="M253" s="10"/>
      <c r="N253" s="10"/>
      <c r="O253" s="10"/>
      <c r="P253" s="10"/>
      <c r="Q253" s="10"/>
      <c r="R253" s="10"/>
      <c r="S253" s="10"/>
      <c r="T253" s="63"/>
      <c r="U253" s="10"/>
      <c r="V253" s="138"/>
      <c r="W253" s="136"/>
      <c r="X253" s="137"/>
      <c r="Y253" s="2"/>
    </row>
    <row r="254" spans="2:25">
      <c r="B254" s="26"/>
      <c r="C254" s="612"/>
      <c r="D254" s="141"/>
      <c r="E254" s="141"/>
      <c r="F254" s="141"/>
      <c r="G254" s="141"/>
      <c r="H254" s="141"/>
      <c r="I254" s="141"/>
      <c r="J254" s="141"/>
      <c r="K254" s="142"/>
      <c r="L254" s="142"/>
      <c r="M254" s="142"/>
      <c r="N254" s="142"/>
      <c r="O254" s="142"/>
      <c r="P254" s="142"/>
      <c r="Q254" s="142"/>
      <c r="R254" s="142"/>
      <c r="S254" s="142"/>
      <c r="T254" s="143">
        <f>SUM(T209:T253)</f>
        <v>5</v>
      </c>
      <c r="U254" s="141"/>
      <c r="V254" s="144">
        <f>SUM(V209:V253)</f>
        <v>31791.4</v>
      </c>
      <c r="W254" s="144">
        <f t="shared" ref="W254:X254" si="49">SUM(W209:W253)</f>
        <v>1450</v>
      </c>
      <c r="X254" s="144">
        <f t="shared" si="49"/>
        <v>0</v>
      </c>
      <c r="Y254" s="2"/>
    </row>
    <row r="255" spans="2:25">
      <c r="B255" s="10"/>
      <c r="C255" s="36"/>
      <c r="D255" s="10"/>
      <c r="E255" s="10"/>
      <c r="F255" s="10"/>
      <c r="G255" s="10"/>
      <c r="H255" s="10"/>
      <c r="I255" s="10"/>
      <c r="J255" s="10"/>
      <c r="K255" s="147"/>
      <c r="L255" s="147"/>
      <c r="M255" s="147"/>
      <c r="N255" s="147"/>
      <c r="O255" s="147"/>
      <c r="P255" s="147"/>
      <c r="Q255" s="147"/>
      <c r="R255" s="147"/>
      <c r="S255" s="147"/>
      <c r="T255" s="21"/>
      <c r="U255" s="10"/>
      <c r="V255" s="99"/>
      <c r="W255" s="99"/>
      <c r="X255" s="99"/>
      <c r="Y255" s="2"/>
    </row>
    <row r="257" spans="1:24">
      <c r="A257" s="613"/>
      <c r="B257" s="4" t="s">
        <v>1</v>
      </c>
      <c r="C257" s="5"/>
      <c r="D257" s="6"/>
      <c r="E257" s="6"/>
      <c r="F257" s="7" t="s">
        <v>2</v>
      </c>
      <c r="G257" s="608">
        <v>45921</v>
      </c>
      <c r="H257" s="7"/>
      <c r="I257" s="6"/>
      <c r="J257" s="6"/>
      <c r="K257" s="6"/>
      <c r="L257" s="6"/>
      <c r="M257" s="6"/>
      <c r="N257" s="6"/>
      <c r="O257" s="6"/>
      <c r="P257" s="6"/>
      <c r="Q257" s="6"/>
      <c r="R257" s="6"/>
      <c r="S257" s="6"/>
      <c r="T257" s="6"/>
      <c r="U257" s="9"/>
      <c r="V257" s="10"/>
      <c r="W257" s="10"/>
      <c r="X257" s="10"/>
    </row>
    <row r="258" spans="1:24">
      <c r="A258" s="614"/>
      <c r="B258" s="11"/>
      <c r="C258" s="10"/>
      <c r="D258" s="10"/>
      <c r="E258" s="10"/>
      <c r="F258" s="10"/>
      <c r="G258" s="7"/>
      <c r="H258" s="12"/>
      <c r="I258" s="10"/>
      <c r="J258" s="10"/>
      <c r="K258" s="13" t="s">
        <v>3</v>
      </c>
      <c r="L258" s="14"/>
      <c r="M258" s="15"/>
      <c r="N258" s="13" t="s">
        <v>4</v>
      </c>
      <c r="O258" s="14"/>
      <c r="P258" s="15"/>
      <c r="Q258" s="13" t="s">
        <v>5</v>
      </c>
      <c r="R258" s="14"/>
      <c r="S258" s="15"/>
      <c r="T258" s="16"/>
      <c r="U258" s="17"/>
      <c r="V258" s="10"/>
      <c r="W258" s="10"/>
      <c r="X258" s="10"/>
    </row>
    <row r="259" spans="1:24">
      <c r="A259" s="614"/>
      <c r="B259" s="18" t="s">
        <v>6</v>
      </c>
      <c r="C259" s="19">
        <f>C260+C261</f>
        <v>21</v>
      </c>
      <c r="D259" s="10"/>
      <c r="E259" s="18" t="s">
        <v>7</v>
      </c>
      <c r="F259" s="6"/>
      <c r="G259" s="9"/>
      <c r="H259" s="10"/>
      <c r="I259" s="10"/>
      <c r="J259" s="10"/>
      <c r="K259" s="20" t="s">
        <v>8</v>
      </c>
      <c r="L259" s="21" t="s">
        <v>9</v>
      </c>
      <c r="M259" s="21" t="s">
        <v>10</v>
      </c>
      <c r="N259" s="20" t="s">
        <v>11</v>
      </c>
      <c r="O259" s="21" t="s">
        <v>12</v>
      </c>
      <c r="P259" s="22" t="s">
        <v>13</v>
      </c>
      <c r="Q259" s="21" t="s">
        <v>11</v>
      </c>
      <c r="R259" s="21" t="s">
        <v>12</v>
      </c>
      <c r="S259" s="22" t="s">
        <v>13</v>
      </c>
      <c r="T259" s="23" t="s">
        <v>14</v>
      </c>
      <c r="U259" s="17"/>
      <c r="V259" s="10"/>
      <c r="W259" s="10"/>
      <c r="X259" s="10"/>
    </row>
    <row r="260" spans="1:24">
      <c r="A260" s="614"/>
      <c r="B260" s="24" t="s">
        <v>15</v>
      </c>
      <c r="C260" s="25">
        <f>P267</f>
        <v>8</v>
      </c>
      <c r="D260" s="10"/>
      <c r="E260" s="26" t="s">
        <v>16</v>
      </c>
      <c r="F260" s="27">
        <v>0.05</v>
      </c>
      <c r="G260" s="28"/>
      <c r="H260" s="10"/>
      <c r="I260" s="10"/>
      <c r="J260" s="18" t="s">
        <v>17</v>
      </c>
      <c r="K260" s="29">
        <f>K292</f>
        <v>7</v>
      </c>
      <c r="L260" s="29">
        <f t="shared" ref="L260:S260" si="50">L292</f>
        <v>7</v>
      </c>
      <c r="M260" s="29">
        <f t="shared" si="50"/>
        <v>7</v>
      </c>
      <c r="N260" s="29">
        <f t="shared" si="50"/>
        <v>7</v>
      </c>
      <c r="O260" s="29">
        <f t="shared" si="50"/>
        <v>7</v>
      </c>
      <c r="P260" s="29">
        <f t="shared" si="50"/>
        <v>5</v>
      </c>
      <c r="Q260" s="29">
        <f t="shared" si="50"/>
        <v>7</v>
      </c>
      <c r="R260" s="29">
        <f t="shared" si="50"/>
        <v>7</v>
      </c>
      <c r="S260" s="29">
        <f t="shared" si="50"/>
        <v>4</v>
      </c>
      <c r="T260" s="30">
        <f>T323</f>
        <v>4</v>
      </c>
      <c r="U260" s="17"/>
      <c r="V260" s="10"/>
      <c r="W260" s="10"/>
      <c r="X260" s="10"/>
    </row>
    <row r="261" spans="1:24">
      <c r="A261" s="614"/>
      <c r="B261" s="24" t="s">
        <v>18</v>
      </c>
      <c r="C261" s="25">
        <f>P268</f>
        <v>13</v>
      </c>
      <c r="D261" s="10"/>
      <c r="E261" s="10"/>
      <c r="F261" s="10"/>
      <c r="G261" s="31"/>
      <c r="H261" s="10"/>
      <c r="I261" s="10"/>
      <c r="J261" s="32" t="s">
        <v>19</v>
      </c>
      <c r="K261" s="33">
        <f>K292/K291</f>
        <v>1</v>
      </c>
      <c r="L261" s="33">
        <f t="shared" ref="L261:S261" si="51">L292/L291</f>
        <v>1</v>
      </c>
      <c r="M261" s="33">
        <f t="shared" si="51"/>
        <v>1</v>
      </c>
      <c r="N261" s="33">
        <f t="shared" si="51"/>
        <v>1</v>
      </c>
      <c r="O261" s="33">
        <f t="shared" si="51"/>
        <v>1</v>
      </c>
      <c r="P261" s="33">
        <f t="shared" si="51"/>
        <v>0.7142857142857143</v>
      </c>
      <c r="Q261" s="33">
        <f t="shared" si="51"/>
        <v>1</v>
      </c>
      <c r="R261" s="33">
        <f t="shared" si="51"/>
        <v>1</v>
      </c>
      <c r="S261" s="33">
        <f t="shared" si="51"/>
        <v>0.5714285714285714</v>
      </c>
      <c r="T261" s="23"/>
      <c r="U261" s="17" t="s">
        <v>20</v>
      </c>
      <c r="V261" s="10"/>
      <c r="W261" s="10"/>
      <c r="X261" s="10"/>
    </row>
    <row r="262" spans="1:24">
      <c r="A262" s="614"/>
      <c r="B262" s="24" t="s">
        <v>21</v>
      </c>
      <c r="C262" s="34">
        <f>P269</f>
        <v>0.38095238095238093</v>
      </c>
      <c r="D262" s="10"/>
      <c r="E262" s="10"/>
      <c r="F262" s="10"/>
      <c r="G262" s="10"/>
      <c r="H262" s="10"/>
      <c r="I262" s="10"/>
      <c r="J262" s="10"/>
      <c r="K262" s="10"/>
      <c r="L262" s="10"/>
      <c r="M262" s="10"/>
      <c r="N262" s="10"/>
      <c r="O262" s="10"/>
      <c r="P262" s="10"/>
      <c r="Q262" s="10"/>
      <c r="R262" s="10"/>
      <c r="S262" s="10"/>
      <c r="T262" s="10"/>
      <c r="U262" s="17"/>
      <c r="V262" s="10"/>
      <c r="W262" s="10"/>
      <c r="X262" s="10"/>
    </row>
    <row r="263" spans="1:24">
      <c r="A263" s="614"/>
      <c r="B263" s="24"/>
      <c r="C263" s="25"/>
      <c r="D263" s="10"/>
      <c r="E263" s="10"/>
      <c r="F263" s="18" t="s">
        <v>22</v>
      </c>
      <c r="G263" s="19" t="s">
        <v>23</v>
      </c>
      <c r="H263" s="35" t="s">
        <v>24</v>
      </c>
      <c r="I263" s="10"/>
      <c r="J263" s="10"/>
      <c r="K263" s="36"/>
      <c r="L263" s="36"/>
      <c r="M263" s="36"/>
      <c r="N263" s="36"/>
      <c r="O263" s="36"/>
      <c r="P263" s="36"/>
      <c r="Q263" s="36"/>
      <c r="R263" s="10"/>
      <c r="S263" s="10"/>
      <c r="T263" s="10"/>
      <c r="U263" s="17"/>
      <c r="V263" s="10"/>
      <c r="W263" s="10"/>
      <c r="X263" s="10"/>
    </row>
    <row r="264" spans="1:24" ht="17.25" customHeight="1">
      <c r="A264" s="614"/>
      <c r="B264" s="32" t="s">
        <v>25</v>
      </c>
      <c r="C264" s="37">
        <f>P270</f>
        <v>3118.5525000000002</v>
      </c>
      <c r="D264" s="10"/>
      <c r="E264" s="18" t="s">
        <v>26</v>
      </c>
      <c r="F264" s="38">
        <f>P266</f>
        <v>24948.420000000002</v>
      </c>
      <c r="G264" s="39">
        <f>I291+I296</f>
        <v>24948.42</v>
      </c>
      <c r="H264" s="767" t="s">
        <v>583</v>
      </c>
      <c r="I264" s="767"/>
      <c r="J264" s="767"/>
      <c r="K264" s="43" t="s">
        <v>27</v>
      </c>
      <c r="L264" s="44"/>
      <c r="M264" s="44"/>
      <c r="N264" s="44"/>
      <c r="O264" s="44"/>
      <c r="P264" s="44"/>
      <c r="Q264" s="45"/>
      <c r="R264" s="46" t="s">
        <v>28</v>
      </c>
      <c r="S264" s="47" t="s">
        <v>29</v>
      </c>
      <c r="T264" s="10"/>
      <c r="U264" s="17"/>
      <c r="V264" s="10"/>
      <c r="W264" s="10"/>
      <c r="X264" s="10"/>
    </row>
    <row r="265" spans="1:24">
      <c r="A265" s="614"/>
      <c r="B265" s="11"/>
      <c r="C265" s="10"/>
      <c r="D265" s="10"/>
      <c r="E265" s="24" t="s">
        <v>30</v>
      </c>
      <c r="F265" s="48">
        <f>F260</f>
        <v>0.05</v>
      </c>
      <c r="G265" s="17"/>
      <c r="H265" s="767"/>
      <c r="I265" s="767"/>
      <c r="J265" s="767"/>
      <c r="K265" s="20" t="s">
        <v>31</v>
      </c>
      <c r="L265" s="21" t="s">
        <v>32</v>
      </c>
      <c r="M265" s="21" t="s">
        <v>33</v>
      </c>
      <c r="N265" s="21" t="s">
        <v>34</v>
      </c>
      <c r="O265" s="21" t="s">
        <v>35</v>
      </c>
      <c r="P265" s="21" t="s">
        <v>36</v>
      </c>
      <c r="Q265" s="49" t="s">
        <v>37</v>
      </c>
      <c r="R265" s="50" t="s">
        <v>38</v>
      </c>
      <c r="S265" s="50" t="s">
        <v>38</v>
      </c>
      <c r="T265" s="10"/>
      <c r="U265" s="17"/>
      <c r="V265" s="10"/>
      <c r="W265" s="10"/>
      <c r="X265" s="10"/>
    </row>
    <row r="266" spans="1:24">
      <c r="A266" s="614"/>
      <c r="B266" s="11"/>
      <c r="C266" s="10"/>
      <c r="D266" s="10"/>
      <c r="E266" s="51" t="s">
        <v>39</v>
      </c>
      <c r="F266" s="52">
        <f>(F264-I295)*F265</f>
        <v>1062.0620000000001</v>
      </c>
      <c r="G266" s="53" t="s">
        <v>40</v>
      </c>
      <c r="H266" s="54">
        <f>F266/1.12</f>
        <v>948.26964285714291</v>
      </c>
      <c r="I266" s="570" t="s">
        <v>814</v>
      </c>
      <c r="J266" s="42"/>
      <c r="K266" s="56">
        <v>0</v>
      </c>
      <c r="L266" s="57">
        <f>I284+I285</f>
        <v>3840.92</v>
      </c>
      <c r="M266" s="57">
        <f>I286+I288+I287+I295</f>
        <v>17562.620000000003</v>
      </c>
      <c r="N266" s="57">
        <v>0</v>
      </c>
      <c r="O266" s="57">
        <f>I289+I290</f>
        <v>3544.88</v>
      </c>
      <c r="P266" s="57">
        <f>SUM(K266:O266)</f>
        <v>24948.420000000002</v>
      </c>
      <c r="Q266" s="58">
        <v>0</v>
      </c>
      <c r="R266" s="59">
        <f>+I296</f>
        <v>3707.1800000000003</v>
      </c>
      <c r="S266" s="59">
        <v>0</v>
      </c>
      <c r="T266" s="10"/>
      <c r="U266" s="17"/>
      <c r="V266" s="10"/>
      <c r="W266" s="10"/>
      <c r="X266" s="10"/>
    </row>
    <row r="267" spans="1:24">
      <c r="A267" s="614"/>
      <c r="B267" s="11"/>
      <c r="C267" s="10"/>
      <c r="D267" s="10"/>
      <c r="E267" s="24" t="s">
        <v>41</v>
      </c>
      <c r="F267" s="60">
        <f>Q266</f>
        <v>0</v>
      </c>
      <c r="G267" s="61" t="s">
        <v>40</v>
      </c>
      <c r="H267" s="62"/>
      <c r="I267" s="62"/>
      <c r="J267" s="10" t="s">
        <v>42</v>
      </c>
      <c r="K267" s="63">
        <v>0</v>
      </c>
      <c r="L267" s="63">
        <v>2</v>
      </c>
      <c r="M267" s="63">
        <v>4</v>
      </c>
      <c r="N267" s="63">
        <v>0</v>
      </c>
      <c r="O267" s="63">
        <v>2</v>
      </c>
      <c r="P267" s="21">
        <f>SUM(K267:O267)</f>
        <v>8</v>
      </c>
      <c r="Q267" s="64"/>
      <c r="R267" s="63"/>
      <c r="S267" s="10"/>
      <c r="T267" s="10"/>
      <c r="U267" s="17"/>
      <c r="V267" s="10"/>
      <c r="W267" s="10"/>
      <c r="X267" s="10"/>
    </row>
    <row r="268" spans="1:24">
      <c r="A268" s="614"/>
      <c r="B268" s="11"/>
      <c r="C268" s="10"/>
      <c r="D268" s="10"/>
      <c r="E268" s="51" t="s">
        <v>43</v>
      </c>
      <c r="F268" s="52">
        <f>F267*0.25</f>
        <v>0</v>
      </c>
      <c r="G268" s="53" t="s">
        <v>40</v>
      </c>
      <c r="H268" s="54">
        <f>F268/1.12</f>
        <v>0</v>
      </c>
      <c r="I268" s="10"/>
      <c r="J268" s="10" t="s">
        <v>44</v>
      </c>
      <c r="K268" s="63">
        <v>0</v>
      </c>
      <c r="L268" s="63">
        <v>4</v>
      </c>
      <c r="M268" s="63">
        <v>1</v>
      </c>
      <c r="N268" s="63">
        <v>3</v>
      </c>
      <c r="O268" s="63">
        <v>5</v>
      </c>
      <c r="P268" s="21">
        <f>SUM(K268:O268)</f>
        <v>13</v>
      </c>
      <c r="Q268" s="64"/>
      <c r="R268" s="63"/>
      <c r="S268" s="10"/>
      <c r="T268" s="10"/>
      <c r="U268" s="17"/>
      <c r="V268" s="10"/>
      <c r="W268" s="10"/>
      <c r="X268" s="10"/>
    </row>
    <row r="269" spans="1:24">
      <c r="A269" s="614"/>
      <c r="B269" s="11"/>
      <c r="C269" s="10"/>
      <c r="D269" s="10"/>
      <c r="E269" s="24" t="s">
        <v>45</v>
      </c>
      <c r="F269" s="60"/>
      <c r="G269" s="61" t="s">
        <v>40</v>
      </c>
      <c r="H269" s="62"/>
      <c r="I269" s="10"/>
      <c r="J269" s="10" t="s">
        <v>46</v>
      </c>
      <c r="K269" s="31" t="e">
        <f t="shared" ref="K269:Q269" si="52">K267/(K267+K268)</f>
        <v>#DIV/0!</v>
      </c>
      <c r="L269" s="31">
        <f t="shared" si="52"/>
        <v>0.33333333333333331</v>
      </c>
      <c r="M269" s="31">
        <f t="shared" si="52"/>
        <v>0.8</v>
      </c>
      <c r="N269" s="31">
        <f t="shared" si="52"/>
        <v>0</v>
      </c>
      <c r="O269" s="31">
        <f t="shared" si="52"/>
        <v>0.2857142857142857</v>
      </c>
      <c r="P269" s="31">
        <f t="shared" si="52"/>
        <v>0.38095238095238093</v>
      </c>
      <c r="Q269" s="31" t="e">
        <f t="shared" si="52"/>
        <v>#DIV/0!</v>
      </c>
      <c r="R269" s="63"/>
      <c r="S269" s="10"/>
      <c r="T269" s="10"/>
      <c r="U269" s="17"/>
      <c r="V269" s="10"/>
      <c r="W269" s="10"/>
      <c r="X269" s="10"/>
    </row>
    <row r="270" spans="1:24">
      <c r="A270" s="614"/>
      <c r="B270" s="11"/>
      <c r="C270" s="10"/>
      <c r="D270" s="10"/>
      <c r="E270" s="51" t="s">
        <v>47</v>
      </c>
      <c r="F270" s="52">
        <f>F269*0.05</f>
        <v>0</v>
      </c>
      <c r="G270" s="65" t="s">
        <v>40</v>
      </c>
      <c r="H270" s="54">
        <f>F270/1.12</f>
        <v>0</v>
      </c>
      <c r="I270" s="42"/>
      <c r="J270" s="10" t="s">
        <v>48</v>
      </c>
      <c r="K270" s="66" t="e">
        <f>K266/K267</f>
        <v>#DIV/0!</v>
      </c>
      <c r="L270" s="66">
        <f t="shared" ref="L270:Q270" si="53">L266/L267</f>
        <v>1920.46</v>
      </c>
      <c r="M270" s="66">
        <f t="shared" si="53"/>
        <v>4390.6550000000007</v>
      </c>
      <c r="N270" s="66" t="e">
        <f t="shared" si="53"/>
        <v>#DIV/0!</v>
      </c>
      <c r="O270" s="66">
        <f t="shared" si="53"/>
        <v>1772.44</v>
      </c>
      <c r="P270" s="66">
        <f t="shared" si="53"/>
        <v>3118.5525000000002</v>
      </c>
      <c r="Q270" s="66" t="e">
        <f t="shared" si="53"/>
        <v>#DIV/0!</v>
      </c>
      <c r="R270" s="63"/>
      <c r="S270" s="10"/>
      <c r="T270" s="10"/>
      <c r="U270" s="17"/>
      <c r="V270" s="10"/>
      <c r="W270" s="10"/>
      <c r="X270" s="10"/>
    </row>
    <row r="271" spans="1:24">
      <c r="A271" s="614"/>
      <c r="B271" s="11"/>
      <c r="C271" s="10"/>
      <c r="D271" s="10"/>
      <c r="E271" s="67" t="s">
        <v>14</v>
      </c>
      <c r="F271" s="68">
        <f>5*50</f>
        <v>250</v>
      </c>
      <c r="G271" s="10"/>
      <c r="H271" s="54">
        <f>F271/1.12</f>
        <v>223.21428571428569</v>
      </c>
      <c r="I271" s="10"/>
      <c r="J271" s="10"/>
      <c r="K271" s="10"/>
      <c r="L271" s="10"/>
      <c r="M271" s="10"/>
      <c r="N271" s="10"/>
      <c r="O271" s="10"/>
      <c r="P271" s="10"/>
      <c r="Q271" s="10"/>
      <c r="R271" s="10"/>
      <c r="S271" s="10"/>
      <c r="T271" s="10"/>
      <c r="U271" s="17"/>
      <c r="V271" s="10"/>
      <c r="W271" s="10"/>
      <c r="X271" s="10"/>
    </row>
    <row r="272" spans="1:24">
      <c r="A272" s="614"/>
      <c r="B272" s="11"/>
      <c r="C272" s="10"/>
      <c r="D272" s="10"/>
      <c r="E272" s="155" t="s">
        <v>49</v>
      </c>
      <c r="F272" s="364">
        <f>T261</f>
        <v>0</v>
      </c>
      <c r="G272" s="10"/>
      <c r="H272" s="54"/>
      <c r="I272" s="55"/>
      <c r="J272" s="42"/>
      <c r="K272" s="764" t="s">
        <v>50</v>
      </c>
      <c r="L272" s="764"/>
      <c r="M272" s="764"/>
      <c r="N272" s="764"/>
      <c r="O272" s="764"/>
      <c r="P272" s="764"/>
      <c r="Q272" s="764"/>
      <c r="R272" s="70" t="s">
        <v>28</v>
      </c>
      <c r="S272" s="71" t="s">
        <v>29</v>
      </c>
      <c r="T272" s="10"/>
      <c r="U272" s="17"/>
      <c r="V272" s="10"/>
      <c r="W272" s="10"/>
      <c r="X272" s="10"/>
    </row>
    <row r="273" spans="1:24">
      <c r="A273" s="614"/>
      <c r="B273" s="11"/>
      <c r="C273" s="10"/>
      <c r="D273" s="10"/>
      <c r="E273" s="10"/>
      <c r="F273" s="10"/>
      <c r="G273" s="10"/>
      <c r="H273" s="10"/>
      <c r="I273" s="10"/>
      <c r="J273" s="42"/>
      <c r="K273" s="20" t="s">
        <v>31</v>
      </c>
      <c r="L273" s="21" t="s">
        <v>32</v>
      </c>
      <c r="M273" s="21" t="s">
        <v>33</v>
      </c>
      <c r="N273" s="21" t="s">
        <v>34</v>
      </c>
      <c r="O273" s="21" t="s">
        <v>35</v>
      </c>
      <c r="P273" s="21" t="s">
        <v>36</v>
      </c>
      <c r="Q273" s="49" t="s">
        <v>37</v>
      </c>
      <c r="R273" s="50" t="s">
        <v>38</v>
      </c>
      <c r="S273" s="50" t="s">
        <v>38</v>
      </c>
      <c r="T273" s="10"/>
      <c r="U273" s="17"/>
      <c r="V273" s="10"/>
      <c r="W273" s="10"/>
      <c r="X273" s="10"/>
    </row>
    <row r="274" spans="1:24">
      <c r="A274" s="614"/>
      <c r="B274" s="11"/>
      <c r="C274" s="10"/>
      <c r="D274" s="10"/>
      <c r="E274" s="10"/>
      <c r="F274" s="10"/>
      <c r="G274" s="10"/>
      <c r="H274" s="10"/>
      <c r="I274" s="10"/>
      <c r="J274" s="42"/>
      <c r="K274" s="56">
        <v>0</v>
      </c>
      <c r="L274" s="57">
        <f>F284+F285</f>
        <v>4464</v>
      </c>
      <c r="M274" s="57">
        <f>F286+F288+F287+F295</f>
        <v>19978</v>
      </c>
      <c r="N274" s="57">
        <v>0</v>
      </c>
      <c r="O274" s="57">
        <f>F289+F290</f>
        <v>3752</v>
      </c>
      <c r="P274" s="57">
        <f>SUM(K274:O274)</f>
        <v>28194</v>
      </c>
      <c r="Q274" s="58">
        <v>0</v>
      </c>
      <c r="R274" s="59">
        <f>+F296</f>
        <v>4619</v>
      </c>
      <c r="S274" s="59">
        <v>0</v>
      </c>
      <c r="T274" s="10"/>
      <c r="U274" s="17"/>
      <c r="V274" s="10"/>
      <c r="W274" s="10"/>
      <c r="X274" s="10"/>
    </row>
    <row r="275" spans="1:24">
      <c r="A275" s="614"/>
      <c r="B275" s="11"/>
      <c r="C275" s="10"/>
      <c r="D275" s="10"/>
      <c r="E275" s="10"/>
      <c r="F275" s="10"/>
      <c r="G275" s="10"/>
      <c r="H275" s="10"/>
      <c r="I275" s="10"/>
      <c r="J275" s="10" t="s">
        <v>42</v>
      </c>
      <c r="K275" s="63">
        <f>K267</f>
        <v>0</v>
      </c>
      <c r="L275" s="63">
        <f t="shared" ref="L275:Q276" si="54">L267</f>
        <v>2</v>
      </c>
      <c r="M275" s="63">
        <f t="shared" si="54"/>
        <v>4</v>
      </c>
      <c r="N275" s="63">
        <f t="shared" si="54"/>
        <v>0</v>
      </c>
      <c r="O275" s="63">
        <f t="shared" si="54"/>
        <v>2</v>
      </c>
      <c r="P275" s="63">
        <f t="shared" si="54"/>
        <v>8</v>
      </c>
      <c r="Q275" s="63">
        <f t="shared" si="54"/>
        <v>0</v>
      </c>
      <c r="R275" s="63"/>
      <c r="S275" s="10"/>
      <c r="T275" s="10"/>
      <c r="U275" s="17"/>
      <c r="V275" s="10"/>
      <c r="W275" s="10"/>
      <c r="X275" s="10"/>
    </row>
    <row r="276" spans="1:24">
      <c r="A276" s="614"/>
      <c r="B276" s="11"/>
      <c r="C276" s="10"/>
      <c r="D276" s="10"/>
      <c r="E276" s="10"/>
      <c r="F276" s="10"/>
      <c r="G276" s="10"/>
      <c r="H276" s="10"/>
      <c r="I276" s="10"/>
      <c r="J276" s="10" t="s">
        <v>44</v>
      </c>
      <c r="K276" s="63">
        <f>K268</f>
        <v>0</v>
      </c>
      <c r="L276" s="63">
        <f t="shared" si="54"/>
        <v>4</v>
      </c>
      <c r="M276" s="63">
        <f t="shared" si="54"/>
        <v>1</v>
      </c>
      <c r="N276" s="63">
        <f t="shared" si="54"/>
        <v>3</v>
      </c>
      <c r="O276" s="63">
        <f t="shared" si="54"/>
        <v>5</v>
      </c>
      <c r="P276" s="63">
        <f t="shared" si="54"/>
        <v>13</v>
      </c>
      <c r="Q276" s="63">
        <f t="shared" si="54"/>
        <v>0</v>
      </c>
      <c r="R276" s="63"/>
      <c r="S276" s="10"/>
      <c r="T276" s="10"/>
      <c r="U276" s="17"/>
      <c r="V276" s="10"/>
      <c r="W276" s="10"/>
      <c r="X276" s="10"/>
    </row>
    <row r="277" spans="1:24">
      <c r="A277" s="614"/>
      <c r="B277" s="11"/>
      <c r="C277" s="10"/>
      <c r="D277" s="10"/>
      <c r="E277" s="10"/>
      <c r="F277" s="10"/>
      <c r="G277" s="10"/>
      <c r="H277" s="10"/>
      <c r="I277" s="10"/>
      <c r="J277" s="10" t="s">
        <v>46</v>
      </c>
      <c r="K277" s="31" t="e">
        <f t="shared" ref="K277:Q277" si="55">K275/(K275+K276)</f>
        <v>#DIV/0!</v>
      </c>
      <c r="L277" s="31">
        <f t="shared" si="55"/>
        <v>0.33333333333333331</v>
      </c>
      <c r="M277" s="31">
        <f t="shared" si="55"/>
        <v>0.8</v>
      </c>
      <c r="N277" s="31">
        <f t="shared" si="55"/>
        <v>0</v>
      </c>
      <c r="O277" s="31">
        <f t="shared" si="55"/>
        <v>0.2857142857142857</v>
      </c>
      <c r="P277" s="31">
        <f t="shared" si="55"/>
        <v>0.38095238095238093</v>
      </c>
      <c r="Q277" s="31" t="e">
        <f t="shared" si="55"/>
        <v>#DIV/0!</v>
      </c>
      <c r="R277" s="63"/>
      <c r="S277" s="10"/>
      <c r="T277" s="10"/>
      <c r="U277" s="17"/>
      <c r="V277" s="10"/>
      <c r="W277" s="10"/>
      <c r="X277" s="10"/>
    </row>
    <row r="278" spans="1:24">
      <c r="A278" s="614"/>
      <c r="B278" s="11"/>
      <c r="C278" s="10"/>
      <c r="D278" s="10"/>
      <c r="E278" s="10"/>
      <c r="F278" s="10"/>
      <c r="G278" s="10"/>
      <c r="H278" s="10"/>
      <c r="I278" s="10"/>
      <c r="J278" s="10" t="s">
        <v>48</v>
      </c>
      <c r="K278" s="66" t="e">
        <f t="shared" ref="K278:Q278" si="56">K274/K275</f>
        <v>#DIV/0!</v>
      </c>
      <c r="L278" s="66">
        <f t="shared" si="56"/>
        <v>2232</v>
      </c>
      <c r="M278" s="66">
        <f t="shared" si="56"/>
        <v>4994.5</v>
      </c>
      <c r="N278" s="66" t="e">
        <f t="shared" si="56"/>
        <v>#DIV/0!</v>
      </c>
      <c r="O278" s="66">
        <f t="shared" si="56"/>
        <v>1876</v>
      </c>
      <c r="P278" s="66">
        <f t="shared" si="56"/>
        <v>3524.25</v>
      </c>
      <c r="Q278" s="66" t="e">
        <f t="shared" si="56"/>
        <v>#DIV/0!</v>
      </c>
      <c r="R278" s="63"/>
      <c r="S278" s="10"/>
      <c r="T278" s="10"/>
      <c r="U278" s="17"/>
      <c r="V278" s="10"/>
      <c r="W278" s="10"/>
      <c r="X278" s="10"/>
    </row>
    <row r="279" spans="1:24">
      <c r="A279" s="614"/>
      <c r="B279" s="11"/>
      <c r="C279" s="10"/>
      <c r="D279" s="10"/>
      <c r="E279" s="10"/>
      <c r="F279" s="10"/>
      <c r="G279" s="10"/>
      <c r="H279" s="10"/>
      <c r="I279" s="10"/>
      <c r="J279" s="10"/>
      <c r="K279" s="10"/>
      <c r="L279" s="10"/>
      <c r="M279" s="10"/>
      <c r="N279" s="10"/>
      <c r="O279" s="10"/>
      <c r="P279" s="10"/>
      <c r="Q279" s="10"/>
      <c r="R279" s="10"/>
      <c r="S279" s="10"/>
      <c r="T279" s="10"/>
      <c r="U279" s="17"/>
      <c r="V279" s="10"/>
      <c r="W279" s="10"/>
      <c r="X279" s="10"/>
    </row>
    <row r="280" spans="1:24">
      <c r="A280" s="614"/>
      <c r="B280" s="11"/>
      <c r="C280" s="10"/>
      <c r="D280" s="10"/>
      <c r="E280" s="10"/>
      <c r="F280" s="10"/>
      <c r="G280" s="10"/>
      <c r="H280" s="10"/>
      <c r="I280" s="10"/>
      <c r="J280" s="10"/>
      <c r="K280" s="10"/>
      <c r="L280" s="10"/>
      <c r="M280" s="10"/>
      <c r="N280" s="10"/>
      <c r="O280" s="10"/>
      <c r="P280" s="10"/>
      <c r="Q280" s="10"/>
      <c r="R280" s="10"/>
      <c r="S280" s="10"/>
      <c r="T280" s="10"/>
      <c r="U280" s="17"/>
      <c r="V280" s="10"/>
      <c r="W280" s="10"/>
      <c r="X280" s="10"/>
    </row>
    <row r="281" spans="1:24">
      <c r="A281" s="614"/>
      <c r="B281" s="18" t="s">
        <v>51</v>
      </c>
      <c r="C281" s="14"/>
      <c r="D281" s="14"/>
      <c r="E281" s="14"/>
      <c r="F281" s="13" t="s">
        <v>52</v>
      </c>
      <c r="G281" s="14"/>
      <c r="H281" s="14"/>
      <c r="I281" s="14"/>
      <c r="J281" s="14"/>
      <c r="K281" s="13" t="s">
        <v>3</v>
      </c>
      <c r="L281" s="14"/>
      <c r="M281" s="14"/>
      <c r="N281" s="13" t="s">
        <v>4</v>
      </c>
      <c r="O281" s="14"/>
      <c r="P281" s="14"/>
      <c r="Q281" s="13" t="s">
        <v>5</v>
      </c>
      <c r="R281" s="14"/>
      <c r="S281" s="14"/>
      <c r="T281" s="18"/>
      <c r="U281" s="16" t="s">
        <v>53</v>
      </c>
      <c r="V281" s="77"/>
      <c r="W281" s="77"/>
      <c r="X281" s="77"/>
    </row>
    <row r="282" spans="1:24">
      <c r="A282" s="614"/>
      <c r="B282" s="24" t="s">
        <v>54</v>
      </c>
      <c r="C282" s="21" t="s">
        <v>55</v>
      </c>
      <c r="D282" s="21" t="s">
        <v>56</v>
      </c>
      <c r="E282" s="21" t="s">
        <v>57</v>
      </c>
      <c r="F282" s="20" t="s">
        <v>58</v>
      </c>
      <c r="G282" s="21" t="s">
        <v>59</v>
      </c>
      <c r="H282" s="21" t="s">
        <v>60</v>
      </c>
      <c r="I282" s="21" t="s">
        <v>26</v>
      </c>
      <c r="J282" s="22" t="s">
        <v>61</v>
      </c>
      <c r="K282" s="21" t="s">
        <v>8</v>
      </c>
      <c r="L282" s="21" t="s">
        <v>9</v>
      </c>
      <c r="M282" s="21" t="s">
        <v>10</v>
      </c>
      <c r="N282" s="20" t="s">
        <v>11</v>
      </c>
      <c r="O282" s="21" t="s">
        <v>12</v>
      </c>
      <c r="P282" s="22" t="s">
        <v>13</v>
      </c>
      <c r="Q282" s="21" t="s">
        <v>11</v>
      </c>
      <c r="R282" s="21" t="s">
        <v>12</v>
      </c>
      <c r="S282" s="21" t="s">
        <v>13</v>
      </c>
      <c r="T282" s="78" t="s">
        <v>14</v>
      </c>
      <c r="U282" s="30"/>
      <c r="V282" s="79" t="s">
        <v>62</v>
      </c>
      <c r="W282" s="80" t="s">
        <v>63</v>
      </c>
      <c r="X282" s="81" t="s">
        <v>64</v>
      </c>
    </row>
    <row r="283" spans="1:24">
      <c r="A283" s="614"/>
      <c r="B283" s="4" t="s">
        <v>65</v>
      </c>
      <c r="C283" s="6"/>
      <c r="D283" s="6"/>
      <c r="E283" s="6"/>
      <c r="F283" s="6"/>
      <c r="G283" s="6"/>
      <c r="H283" s="6"/>
      <c r="I283" s="82"/>
      <c r="J283" s="6"/>
      <c r="K283" s="6"/>
      <c r="L283" s="6"/>
      <c r="M283" s="6"/>
      <c r="N283" s="6"/>
      <c r="O283" s="6"/>
      <c r="P283" s="6"/>
      <c r="Q283" s="6"/>
      <c r="R283" s="6"/>
      <c r="S283" s="6"/>
      <c r="T283" s="83"/>
      <c r="U283" s="6"/>
      <c r="V283" s="84"/>
      <c r="W283" s="85"/>
      <c r="X283" s="86"/>
    </row>
    <row r="284" spans="1:24">
      <c r="A284" s="614"/>
      <c r="B284" s="87">
        <v>1</v>
      </c>
      <c r="C284" s="274">
        <v>45916</v>
      </c>
      <c r="D284" s="327">
        <v>73349</v>
      </c>
      <c r="E284" s="276" t="s">
        <v>294</v>
      </c>
      <c r="F284" s="277">
        <f>1835-185</f>
        <v>1650</v>
      </c>
      <c r="G284" s="277">
        <f>39.7</f>
        <v>39.700000000000003</v>
      </c>
      <c r="H284" s="297"/>
      <c r="I284" s="321">
        <f t="shared" ref="I284:I290" si="57">F284-G284-H284</f>
        <v>1610.3</v>
      </c>
      <c r="J284" s="279" t="s">
        <v>156</v>
      </c>
      <c r="K284" s="279">
        <v>1</v>
      </c>
      <c r="L284" s="279">
        <v>1</v>
      </c>
      <c r="M284" s="279">
        <v>1</v>
      </c>
      <c r="N284" s="279">
        <v>1</v>
      </c>
      <c r="O284" s="279">
        <v>1</v>
      </c>
      <c r="P284" s="279">
        <v>1</v>
      </c>
      <c r="Q284" s="279">
        <v>1</v>
      </c>
      <c r="R284" s="279">
        <v>1</v>
      </c>
      <c r="S284" s="328">
        <v>0</v>
      </c>
      <c r="T284" s="63"/>
      <c r="U284" s="10"/>
      <c r="V284" s="90">
        <f>203.5+1611.5</f>
        <v>1815</v>
      </c>
      <c r="W284" s="91"/>
      <c r="X284" s="92"/>
    </row>
    <row r="285" spans="1:24">
      <c r="A285" s="614">
        <v>45917</v>
      </c>
      <c r="B285" s="87">
        <f>B284+1</f>
        <v>2</v>
      </c>
      <c r="C285" s="295">
        <v>45916</v>
      </c>
      <c r="D285" s="323">
        <v>73328</v>
      </c>
      <c r="E285" s="10" t="s">
        <v>317</v>
      </c>
      <c r="F285" s="62">
        <v>2814</v>
      </c>
      <c r="G285" s="62">
        <f>39.7+(22.21+321.47)+200</f>
        <v>583.38</v>
      </c>
      <c r="H285" s="62"/>
      <c r="I285" s="324">
        <f>F285-G285-H285</f>
        <v>2230.62</v>
      </c>
      <c r="J285" s="63" t="s">
        <v>156</v>
      </c>
      <c r="K285" s="63">
        <v>1</v>
      </c>
      <c r="L285" s="63">
        <v>1</v>
      </c>
      <c r="M285" s="63">
        <v>1</v>
      </c>
      <c r="N285" s="63">
        <v>1</v>
      </c>
      <c r="O285" s="63">
        <v>1</v>
      </c>
      <c r="P285" s="325">
        <v>0</v>
      </c>
      <c r="Q285" s="63">
        <v>1</v>
      </c>
      <c r="R285" s="63">
        <v>1</v>
      </c>
      <c r="S285" s="296">
        <v>1</v>
      </c>
      <c r="T285" s="63"/>
      <c r="U285" s="94" t="s">
        <v>815</v>
      </c>
      <c r="V285" s="90">
        <f>300+2795.4</f>
        <v>3095.4</v>
      </c>
      <c r="W285" s="91"/>
      <c r="X285" s="92"/>
    </row>
    <row r="286" spans="1:24">
      <c r="A286" s="614"/>
      <c r="B286" s="87">
        <f>B285+1</f>
        <v>3</v>
      </c>
      <c r="C286" s="274">
        <v>45917</v>
      </c>
      <c r="D286" s="327">
        <v>73377</v>
      </c>
      <c r="E286" s="276" t="s">
        <v>728</v>
      </c>
      <c r="F286" s="277">
        <v>1264</v>
      </c>
      <c r="G286" s="277">
        <f>39.7</f>
        <v>39.700000000000003</v>
      </c>
      <c r="H286" s="277"/>
      <c r="I286" s="278">
        <f t="shared" si="57"/>
        <v>1224.3</v>
      </c>
      <c r="J286" s="279" t="s">
        <v>236</v>
      </c>
      <c r="K286" s="279">
        <v>1</v>
      </c>
      <c r="L286" s="279">
        <v>1</v>
      </c>
      <c r="M286" s="279">
        <v>1</v>
      </c>
      <c r="N286" s="279">
        <v>1</v>
      </c>
      <c r="O286" s="279">
        <v>1</v>
      </c>
      <c r="P286" s="279">
        <v>1</v>
      </c>
      <c r="Q286" s="279">
        <v>1</v>
      </c>
      <c r="R286" s="279">
        <v>1</v>
      </c>
      <c r="S286" s="280">
        <v>1</v>
      </c>
      <c r="T286" s="63"/>
      <c r="U286" s="10"/>
      <c r="V286" s="90">
        <v>190.4</v>
      </c>
      <c r="W286" s="440">
        <v>1200</v>
      </c>
      <c r="X286" s="92"/>
    </row>
    <row r="287" spans="1:24">
      <c r="A287" s="614">
        <v>45918</v>
      </c>
      <c r="B287" s="87">
        <f>B286+1</f>
        <v>4</v>
      </c>
      <c r="C287" s="295">
        <v>45917</v>
      </c>
      <c r="D287" s="323" t="s">
        <v>816</v>
      </c>
      <c r="E287" s="10" t="s">
        <v>728</v>
      </c>
      <c r="F287" s="62">
        <v>12814</v>
      </c>
      <c r="G287" s="62">
        <f>39.7+(104.04)+1000</f>
        <v>1143.74</v>
      </c>
      <c r="H287" s="62"/>
      <c r="I287" s="324">
        <f t="shared" ref="I287" si="58">F287-G287-H287</f>
        <v>11670.26</v>
      </c>
      <c r="J287" s="63" t="s">
        <v>817</v>
      </c>
      <c r="K287" s="63">
        <v>1</v>
      </c>
      <c r="L287" s="63">
        <v>1</v>
      </c>
      <c r="M287" s="63">
        <v>1</v>
      </c>
      <c r="N287" s="63">
        <v>1</v>
      </c>
      <c r="O287" s="63">
        <v>1</v>
      </c>
      <c r="P287" s="325">
        <v>0</v>
      </c>
      <c r="Q287" s="63">
        <v>1</v>
      </c>
      <c r="R287" s="63">
        <v>1</v>
      </c>
      <c r="S287" s="326">
        <v>0</v>
      </c>
      <c r="T287" s="21">
        <v>1</v>
      </c>
      <c r="U287" s="94" t="s">
        <v>818</v>
      </c>
      <c r="V287" s="90">
        <v>8095.4</v>
      </c>
      <c r="W287" s="456">
        <f>2000+4000</f>
        <v>6000</v>
      </c>
      <c r="X287" s="92"/>
    </row>
    <row r="288" spans="1:24">
      <c r="A288" s="613"/>
      <c r="B288" s="87">
        <f>B287+1</f>
        <v>5</v>
      </c>
      <c r="C288" s="282">
        <v>45917</v>
      </c>
      <c r="D288" s="368">
        <v>73326</v>
      </c>
      <c r="E288" s="283" t="s">
        <v>659</v>
      </c>
      <c r="F288" s="284">
        <v>1281</v>
      </c>
      <c r="G288" s="284">
        <f>39.7+(280.42)</f>
        <v>320.12</v>
      </c>
      <c r="H288" s="284"/>
      <c r="I288" s="300">
        <f t="shared" si="57"/>
        <v>960.88</v>
      </c>
      <c r="J288" s="286" t="s">
        <v>150</v>
      </c>
      <c r="K288" s="286">
        <v>1</v>
      </c>
      <c r="L288" s="286">
        <v>1</v>
      </c>
      <c r="M288" s="286">
        <v>1</v>
      </c>
      <c r="N288" s="286">
        <v>1</v>
      </c>
      <c r="O288" s="286">
        <v>1</v>
      </c>
      <c r="P288" s="286">
        <v>1</v>
      </c>
      <c r="Q288" s="286">
        <v>1</v>
      </c>
      <c r="R288" s="286">
        <v>1</v>
      </c>
      <c r="S288" s="370">
        <v>0</v>
      </c>
      <c r="T288" s="21">
        <v>1</v>
      </c>
      <c r="U288" s="10"/>
      <c r="V288" s="90">
        <v>0</v>
      </c>
      <c r="W288" s="440">
        <v>1409.1</v>
      </c>
      <c r="X288" s="92"/>
    </row>
    <row r="289" spans="1:25">
      <c r="A289" s="614"/>
      <c r="B289" s="87">
        <f t="shared" ref="B289:B290" si="59">B288+1</f>
        <v>6</v>
      </c>
      <c r="C289" s="295">
        <v>45919</v>
      </c>
      <c r="D289" s="323">
        <v>73464</v>
      </c>
      <c r="E289" s="94" t="s">
        <v>464</v>
      </c>
      <c r="F289" s="62">
        <v>1138</v>
      </c>
      <c r="G289" s="62">
        <f>39.7</f>
        <v>39.700000000000003</v>
      </c>
      <c r="H289" s="62"/>
      <c r="I289" s="89">
        <f t="shared" si="57"/>
        <v>1098.3</v>
      </c>
      <c r="J289" s="63" t="s">
        <v>156</v>
      </c>
      <c r="K289" s="63">
        <v>1</v>
      </c>
      <c r="L289" s="63">
        <v>1</v>
      </c>
      <c r="M289" s="63">
        <v>1</v>
      </c>
      <c r="N289" s="63">
        <v>1</v>
      </c>
      <c r="O289" s="63">
        <v>1</v>
      </c>
      <c r="P289" s="63">
        <v>1</v>
      </c>
      <c r="Q289" s="63">
        <v>1</v>
      </c>
      <c r="R289" s="63">
        <v>1</v>
      </c>
      <c r="S289" s="296">
        <v>1</v>
      </c>
      <c r="T289" s="63"/>
      <c r="U289" s="10"/>
      <c r="V289" s="90">
        <v>1251.8</v>
      </c>
      <c r="W289" s="91"/>
      <c r="X289" s="92"/>
    </row>
    <row r="290" spans="1:25">
      <c r="A290" s="614"/>
      <c r="B290" s="87">
        <f t="shared" si="59"/>
        <v>7</v>
      </c>
      <c r="C290" s="282">
        <v>45919</v>
      </c>
      <c r="D290" s="368" t="s">
        <v>819</v>
      </c>
      <c r="E290" s="441" t="s">
        <v>464</v>
      </c>
      <c r="F290" s="284">
        <v>2614</v>
      </c>
      <c r="G290" s="284">
        <f>39.7+(127.72)</f>
        <v>167.42000000000002</v>
      </c>
      <c r="H290" s="284"/>
      <c r="I290" s="285">
        <f t="shared" si="57"/>
        <v>2446.58</v>
      </c>
      <c r="J290" s="286" t="s">
        <v>156</v>
      </c>
      <c r="K290" s="286">
        <v>1</v>
      </c>
      <c r="L290" s="286">
        <v>1</v>
      </c>
      <c r="M290" s="286">
        <v>1</v>
      </c>
      <c r="N290" s="286">
        <v>1</v>
      </c>
      <c r="O290" s="286">
        <v>1</v>
      </c>
      <c r="P290" s="286">
        <v>1</v>
      </c>
      <c r="Q290" s="286">
        <v>1</v>
      </c>
      <c r="R290" s="286">
        <v>1</v>
      </c>
      <c r="S290" s="287">
        <v>1</v>
      </c>
      <c r="T290" s="21">
        <v>1</v>
      </c>
      <c r="U290" s="10"/>
      <c r="V290" s="90">
        <v>2875.4</v>
      </c>
      <c r="W290" s="91"/>
      <c r="X290" s="92"/>
    </row>
    <row r="291" spans="1:25">
      <c r="A291" s="614"/>
      <c r="B291" s="87"/>
      <c r="C291" s="36"/>
      <c r="D291" s="10"/>
      <c r="E291" s="10"/>
      <c r="F291" s="97">
        <f>SUM(F284:F290)</f>
        <v>23575</v>
      </c>
      <c r="G291" s="97">
        <f>SUM(G284:G290)</f>
        <v>2333.7599999999998</v>
      </c>
      <c r="H291" s="97">
        <f>SUM(H284:H290)</f>
        <v>0</v>
      </c>
      <c r="I291" s="98">
        <f>SUM(I284:I290)</f>
        <v>21241.239999999998</v>
      </c>
      <c r="J291" s="63"/>
      <c r="K291" s="63">
        <f>COUNT(K284:K290)</f>
        <v>7</v>
      </c>
      <c r="L291" s="63">
        <f>COUNT(L284:L290)</f>
        <v>7</v>
      </c>
      <c r="M291" s="63">
        <f>COUNT(M284:M290)</f>
        <v>7</v>
      </c>
      <c r="N291" s="63">
        <f>COUNT(N284:N290)</f>
        <v>7</v>
      </c>
      <c r="O291" s="63">
        <f>COUNT(O284:O290)</f>
        <v>7</v>
      </c>
      <c r="P291" s="63">
        <f>COUNT(P284:P290)</f>
        <v>7</v>
      </c>
      <c r="Q291" s="63">
        <f>COUNT(Q284:Q290)</f>
        <v>7</v>
      </c>
      <c r="R291" s="63">
        <f>COUNT(R284:R290)</f>
        <v>7</v>
      </c>
      <c r="S291" s="63">
        <f>COUNT(S284:S290)</f>
        <v>7</v>
      </c>
      <c r="T291" s="63"/>
      <c r="U291" s="10"/>
      <c r="V291" s="90"/>
      <c r="W291" s="91"/>
      <c r="X291" s="92"/>
    </row>
    <row r="292" spans="1:25">
      <c r="A292" s="614"/>
      <c r="B292" s="87"/>
      <c r="C292" s="36"/>
      <c r="D292" s="10"/>
      <c r="E292" s="10"/>
      <c r="F292" s="88"/>
      <c r="G292" s="88"/>
      <c r="H292" s="88"/>
      <c r="I292" s="99"/>
      <c r="J292" s="63"/>
      <c r="K292" s="21">
        <f>SUM(K284:K290)</f>
        <v>7</v>
      </c>
      <c r="L292" s="21">
        <f>SUM(L284:L290)</f>
        <v>7</v>
      </c>
      <c r="M292" s="21">
        <f>SUM(M284:M290)</f>
        <v>7</v>
      </c>
      <c r="N292" s="21">
        <f>SUM(N284:N290)</f>
        <v>7</v>
      </c>
      <c r="O292" s="21">
        <f>SUM(O284:O290)</f>
        <v>7</v>
      </c>
      <c r="P292" s="21">
        <f>SUM(P284:P290)</f>
        <v>5</v>
      </c>
      <c r="Q292" s="21">
        <f>SUM(Q284:Q290)</f>
        <v>7</v>
      </c>
      <c r="R292" s="21">
        <f>SUM(R284:R290)</f>
        <v>7</v>
      </c>
      <c r="S292" s="21">
        <f>SUM(S284:S290)</f>
        <v>4</v>
      </c>
      <c r="T292" s="63"/>
      <c r="U292" s="10"/>
      <c r="V292" s="90"/>
      <c r="W292" s="91"/>
      <c r="X292" s="92"/>
    </row>
    <row r="293" spans="1:25">
      <c r="A293" s="614"/>
      <c r="B293" s="11"/>
      <c r="C293" s="36"/>
      <c r="D293" s="10"/>
      <c r="E293" s="10"/>
      <c r="F293" s="88"/>
      <c r="G293" s="88"/>
      <c r="H293" s="88"/>
      <c r="I293" s="99"/>
      <c r="J293" s="63"/>
      <c r="K293" s="21"/>
      <c r="L293" s="21"/>
      <c r="M293" s="21"/>
      <c r="N293" s="21"/>
      <c r="O293" s="21"/>
      <c r="P293" s="21"/>
      <c r="Q293" s="21"/>
      <c r="R293" s="21"/>
      <c r="S293" s="21"/>
      <c r="T293" s="63"/>
      <c r="U293" s="94"/>
      <c r="V293" s="90"/>
      <c r="W293" s="91"/>
      <c r="X293" s="92"/>
    </row>
    <row r="294" spans="1:25">
      <c r="A294" s="615"/>
      <c r="B294" s="121" t="s">
        <v>70</v>
      </c>
      <c r="C294" s="36"/>
      <c r="D294" s="123"/>
      <c r="E294" s="128"/>
      <c r="F294" s="124"/>
      <c r="G294" s="124"/>
      <c r="H294" s="124"/>
      <c r="I294" s="126"/>
      <c r="J294" s="127"/>
      <c r="K294" s="64"/>
      <c r="L294" s="64"/>
      <c r="M294" s="64"/>
      <c r="N294" s="64"/>
      <c r="O294" s="64"/>
      <c r="P294" s="64"/>
      <c r="Q294" s="64"/>
      <c r="R294" s="64"/>
      <c r="S294" s="64"/>
      <c r="T294" s="127"/>
      <c r="U294" s="135"/>
      <c r="V294" s="129"/>
      <c r="W294" s="130"/>
      <c r="X294" s="131"/>
    </row>
    <row r="295" spans="1:25" s="342" customFormat="1">
      <c r="A295" s="356">
        <v>0.05</v>
      </c>
      <c r="B295" s="333">
        <v>1</v>
      </c>
      <c r="C295" s="350">
        <v>45917</v>
      </c>
      <c r="D295" s="263">
        <v>73379</v>
      </c>
      <c r="E295" s="358" t="s">
        <v>159</v>
      </c>
      <c r="F295" s="352">
        <v>4619</v>
      </c>
      <c r="G295" s="352">
        <f>39.7+300+(88.82+47.5+58.8)+(77)+300</f>
        <v>911.81999999999994</v>
      </c>
      <c r="H295" s="352"/>
      <c r="I295" s="353">
        <f>F295-G295-H295</f>
        <v>3707.1800000000003</v>
      </c>
      <c r="J295" s="354" t="s">
        <v>228</v>
      </c>
      <c r="K295" s="354">
        <v>1</v>
      </c>
      <c r="L295" s="354"/>
      <c r="M295" s="354">
        <v>1</v>
      </c>
      <c r="N295" s="354">
        <v>1</v>
      </c>
      <c r="O295" s="354">
        <v>1</v>
      </c>
      <c r="P295" s="314">
        <v>0</v>
      </c>
      <c r="Q295" s="354"/>
      <c r="R295" s="354"/>
      <c r="S295" s="355"/>
      <c r="T295" s="127"/>
      <c r="U295" s="135" t="s">
        <v>820</v>
      </c>
      <c r="V295" s="129">
        <f>500+1000</f>
        <v>1500</v>
      </c>
      <c r="W295" s="340"/>
      <c r="X295" s="341"/>
    </row>
    <row r="296" spans="1:25">
      <c r="A296" s="615"/>
      <c r="B296" s="132"/>
      <c r="C296" s="36"/>
      <c r="D296" s="123"/>
      <c r="E296" s="123"/>
      <c r="F296" s="134">
        <f>SUM(F295:F295)</f>
        <v>4619</v>
      </c>
      <c r="G296" s="134">
        <f>SUM(G295:G295)</f>
        <v>911.81999999999994</v>
      </c>
      <c r="H296" s="134">
        <f>SUM(H295:H295)</f>
        <v>0</v>
      </c>
      <c r="I296" s="134">
        <f>SUM(I295:I295)</f>
        <v>3707.1800000000003</v>
      </c>
      <c r="J296" s="127"/>
      <c r="K296" s="64"/>
      <c r="L296" s="64"/>
      <c r="M296" s="64"/>
      <c r="N296" s="64"/>
      <c r="O296" s="64"/>
      <c r="P296" s="64"/>
      <c r="Q296" s="64"/>
      <c r="R296" s="64"/>
      <c r="S296" s="64"/>
      <c r="T296" s="127"/>
      <c r="U296" s="135"/>
      <c r="V296" s="129"/>
      <c r="W296" s="130"/>
      <c r="X296" s="131"/>
    </row>
    <row r="297" spans="1:25">
      <c r="A297" s="614"/>
      <c r="B297" s="11"/>
      <c r="C297" s="609"/>
      <c r="D297" s="10"/>
      <c r="E297" s="10"/>
      <c r="F297" s="88"/>
      <c r="G297" s="88"/>
      <c r="H297" s="88"/>
      <c r="I297" s="99"/>
      <c r="J297" s="63"/>
      <c r="K297" s="21"/>
      <c r="L297" s="21"/>
      <c r="M297" s="21"/>
      <c r="N297" s="21"/>
      <c r="O297" s="21"/>
      <c r="P297" s="21"/>
      <c r="Q297" s="21"/>
      <c r="R297" s="21"/>
      <c r="S297" s="21"/>
      <c r="T297" s="63"/>
      <c r="U297" s="94"/>
      <c r="V297" s="90"/>
      <c r="W297" s="91"/>
      <c r="X297" s="92"/>
    </row>
    <row r="298" spans="1:25" s="260" customFormat="1">
      <c r="A298" s="181"/>
      <c r="B298" s="100" t="s">
        <v>152</v>
      </c>
      <c r="C298" s="36"/>
      <c r="D298" s="10"/>
      <c r="E298" s="10"/>
      <c r="F298" s="88"/>
      <c r="G298" s="62"/>
      <c r="H298" s="88"/>
      <c r="I298" s="99"/>
      <c r="J298" s="63"/>
      <c r="K298" s="181"/>
      <c r="L298" s="181"/>
      <c r="M298" s="181"/>
      <c r="N298" s="181"/>
      <c r="O298" s="181"/>
      <c r="P298" s="181"/>
      <c r="Q298" s="181"/>
      <c r="R298" s="181"/>
      <c r="S298" s="181"/>
      <c r="T298" s="63"/>
      <c r="U298" s="10"/>
      <c r="V298" s="90"/>
      <c r="W298" s="91"/>
      <c r="X298" s="92"/>
    </row>
    <row r="299" spans="1:25" s="260" customFormat="1">
      <c r="A299" s="494">
        <v>0.05</v>
      </c>
      <c r="B299" s="87">
        <v>1</v>
      </c>
      <c r="C299" s="262">
        <v>45890</v>
      </c>
      <c r="D299" s="357" t="s">
        <v>759</v>
      </c>
      <c r="E299" s="271" t="s">
        <v>369</v>
      </c>
      <c r="F299" s="265">
        <v>4112</v>
      </c>
      <c r="G299" s="265">
        <f>39.7+(847.9+27.43+26.8)+300</f>
        <v>1241.83</v>
      </c>
      <c r="H299" s="265"/>
      <c r="I299" s="266">
        <f>F299-G299-H299</f>
        <v>2870.17</v>
      </c>
      <c r="J299" s="267" t="s">
        <v>228</v>
      </c>
      <c r="K299" s="267">
        <v>1</v>
      </c>
      <c r="L299" s="314">
        <v>0</v>
      </c>
      <c r="M299" s="267">
        <v>1</v>
      </c>
      <c r="N299" s="267">
        <v>1</v>
      </c>
      <c r="O299" s="267">
        <v>1</v>
      </c>
      <c r="P299" s="267">
        <v>1</v>
      </c>
      <c r="Q299" s="267">
        <v>1</v>
      </c>
      <c r="R299" s="267">
        <v>1</v>
      </c>
      <c r="S299" s="366">
        <v>0</v>
      </c>
      <c r="T299" s="63"/>
      <c r="U299" s="10" t="s">
        <v>760</v>
      </c>
      <c r="V299" s="90"/>
      <c r="W299" s="136"/>
      <c r="X299" s="137"/>
    </row>
    <row r="300" spans="1:25" s="260" customFormat="1">
      <c r="A300" s="494">
        <v>0.05</v>
      </c>
      <c r="B300" s="87">
        <f>B299+1</f>
        <v>2</v>
      </c>
      <c r="C300" s="262">
        <v>45905</v>
      </c>
      <c r="D300" s="263">
        <v>73026</v>
      </c>
      <c r="E300" s="264" t="s">
        <v>294</v>
      </c>
      <c r="F300" s="265">
        <v>1261</v>
      </c>
      <c r="G300" s="265">
        <f>39.7</f>
        <v>39.700000000000003</v>
      </c>
      <c r="H300" s="265"/>
      <c r="I300" s="266">
        <f t="shared" ref="I300" si="60">F300-G300-H300</f>
        <v>1221.3</v>
      </c>
      <c r="J300" s="267"/>
      <c r="K300" s="267">
        <v>1</v>
      </c>
      <c r="L300" s="267">
        <v>1</v>
      </c>
      <c r="M300" s="267"/>
      <c r="N300" s="267">
        <v>1</v>
      </c>
      <c r="O300" s="267">
        <v>1</v>
      </c>
      <c r="P300" s="314">
        <v>0</v>
      </c>
      <c r="Q300" s="267">
        <v>1</v>
      </c>
      <c r="R300" s="267">
        <v>1</v>
      </c>
      <c r="S300" s="366">
        <v>0</v>
      </c>
      <c r="T300" s="63"/>
      <c r="U300" s="10"/>
      <c r="V300" s="90"/>
      <c r="W300" s="91"/>
      <c r="X300" s="92"/>
    </row>
    <row r="301" spans="1:25" s="260" customFormat="1">
      <c r="A301" s="181"/>
      <c r="B301" s="11"/>
      <c r="C301" s="36"/>
      <c r="D301" s="10"/>
      <c r="E301" s="10"/>
      <c r="F301" s="98">
        <f>SUM(F299:F300)</f>
        <v>5373</v>
      </c>
      <c r="G301" s="98">
        <f t="shared" ref="G301:I301" si="61">SUM(G299:G300)</f>
        <v>1281.53</v>
      </c>
      <c r="H301" s="98">
        <f t="shared" si="61"/>
        <v>0</v>
      </c>
      <c r="I301" s="98">
        <f t="shared" si="61"/>
        <v>4091.4700000000003</v>
      </c>
      <c r="J301" s="63"/>
      <c r="K301" s="21"/>
      <c r="L301" s="21"/>
      <c r="M301" s="21"/>
      <c r="N301" s="21"/>
      <c r="O301" s="21"/>
      <c r="P301" s="21"/>
      <c r="Q301" s="21"/>
      <c r="R301" s="21"/>
      <c r="S301" s="21"/>
      <c r="T301" s="63"/>
      <c r="U301" s="94"/>
      <c r="V301" s="90"/>
      <c r="W301" s="91"/>
      <c r="X301" s="92"/>
    </row>
    <row r="302" spans="1:25" s="260" customFormat="1">
      <c r="A302" s="181"/>
      <c r="B302" s="11"/>
      <c r="C302" s="36"/>
      <c r="D302" s="10"/>
      <c r="E302" s="10"/>
      <c r="F302" s="88"/>
      <c r="G302" s="88"/>
      <c r="H302" s="88"/>
      <c r="I302" s="99"/>
      <c r="J302" s="63"/>
      <c r="K302" s="21"/>
      <c r="L302" s="21"/>
      <c r="M302" s="21"/>
      <c r="N302" s="21"/>
      <c r="O302" s="21"/>
      <c r="P302" s="21"/>
      <c r="Q302" s="21"/>
      <c r="R302" s="21"/>
      <c r="S302" s="21"/>
      <c r="T302" s="63"/>
      <c r="U302" s="94"/>
      <c r="V302" s="90"/>
      <c r="W302" s="91"/>
      <c r="X302" s="92"/>
    </row>
    <row r="303" spans="1:25" s="260" customFormat="1">
      <c r="B303" s="100" t="s">
        <v>202</v>
      </c>
      <c r="C303" s="36"/>
      <c r="D303" s="10"/>
      <c r="E303" s="181"/>
      <c r="F303" s="88"/>
      <c r="G303" s="88"/>
      <c r="H303" s="88"/>
      <c r="I303" s="99"/>
      <c r="J303" s="63"/>
      <c r="K303" s="21"/>
      <c r="L303" s="21"/>
      <c r="M303" s="21"/>
      <c r="N303" s="21"/>
      <c r="O303" s="21"/>
      <c r="P303" s="21"/>
      <c r="Q303" s="21"/>
      <c r="R303" s="21"/>
      <c r="S303" s="21"/>
      <c r="T303" s="63"/>
      <c r="U303" s="94"/>
      <c r="V303" s="90"/>
      <c r="W303" s="91"/>
      <c r="X303" s="92"/>
      <c r="Y303" s="181"/>
    </row>
    <row r="304" spans="1:25" s="260" customFormat="1">
      <c r="A304" s="494">
        <v>0.05</v>
      </c>
      <c r="B304" s="87">
        <v>1</v>
      </c>
      <c r="C304" s="274">
        <v>45908</v>
      </c>
      <c r="D304" s="327">
        <v>73048</v>
      </c>
      <c r="E304" s="276" t="s">
        <v>211</v>
      </c>
      <c r="F304" s="277">
        <v>861</v>
      </c>
      <c r="G304" s="277">
        <f>39.7</f>
        <v>39.700000000000003</v>
      </c>
      <c r="H304" s="277"/>
      <c r="I304" s="278">
        <f>F304-G304-H304</f>
        <v>821.3</v>
      </c>
      <c r="J304" s="279" t="s">
        <v>156</v>
      </c>
      <c r="K304" s="279">
        <v>1</v>
      </c>
      <c r="L304" s="279"/>
      <c r="M304" s="279">
        <v>1</v>
      </c>
      <c r="N304" s="279">
        <v>1</v>
      </c>
      <c r="O304" s="279">
        <v>1</v>
      </c>
      <c r="P304" s="279">
        <v>1</v>
      </c>
      <c r="Q304" s="279"/>
      <c r="R304" s="279"/>
      <c r="S304" s="280"/>
      <c r="T304" s="63"/>
      <c r="U304" s="94" t="s">
        <v>806</v>
      </c>
      <c r="V304" s="90">
        <f>100</f>
        <v>100</v>
      </c>
      <c r="W304" s="136"/>
      <c r="X304" s="137"/>
      <c r="Y304" s="181"/>
    </row>
    <row r="305" spans="1:25" s="260" customFormat="1">
      <c r="A305" s="494" t="s">
        <v>821</v>
      </c>
      <c r="B305" s="87">
        <f>B304+1</f>
        <v>2</v>
      </c>
      <c r="C305" s="262">
        <v>45911</v>
      </c>
      <c r="D305" s="263" t="s">
        <v>807</v>
      </c>
      <c r="E305" s="271" t="s">
        <v>798</v>
      </c>
      <c r="F305" s="265">
        <v>14953</v>
      </c>
      <c r="G305" s="265">
        <f>39.7+47.52+(35.4+58.44+96.89+95.72+63.1)+(249.7+60.44)+1000</f>
        <v>1746.91</v>
      </c>
      <c r="H305" s="265"/>
      <c r="I305" s="266">
        <f>F305-G305-H305</f>
        <v>13206.09</v>
      </c>
      <c r="J305" s="267" t="s">
        <v>228</v>
      </c>
      <c r="K305" s="267">
        <v>1</v>
      </c>
      <c r="L305" s="267">
        <v>1</v>
      </c>
      <c r="M305" s="267">
        <v>1</v>
      </c>
      <c r="N305" s="267">
        <v>1</v>
      </c>
      <c r="O305" s="267">
        <v>1</v>
      </c>
      <c r="P305" s="314">
        <v>0</v>
      </c>
      <c r="Q305" s="267">
        <v>1</v>
      </c>
      <c r="R305" s="267">
        <v>1</v>
      </c>
      <c r="S305" s="269">
        <v>1</v>
      </c>
      <c r="T305" s="63"/>
      <c r="U305" s="94" t="s">
        <v>822</v>
      </c>
      <c r="V305" s="90">
        <f>5000+3248.3</f>
        <v>8248.2999999999993</v>
      </c>
      <c r="W305" s="136"/>
      <c r="X305" s="137"/>
      <c r="Y305" s="181"/>
    </row>
    <row r="306" spans="1:25" s="260" customFormat="1">
      <c r="B306" s="11"/>
      <c r="C306" s="36"/>
      <c r="D306" s="10"/>
      <c r="E306" s="10"/>
      <c r="F306" s="97">
        <f>SUM(F304:F305)</f>
        <v>15814</v>
      </c>
      <c r="G306" s="97">
        <f>SUM(G304:G305)</f>
        <v>1786.6100000000001</v>
      </c>
      <c r="H306" s="97">
        <f>SUM(H304:H305)</f>
        <v>0</v>
      </c>
      <c r="I306" s="98">
        <f>SUM(I304:I305)</f>
        <v>14027.39</v>
      </c>
      <c r="J306" s="63"/>
      <c r="K306" s="21"/>
      <c r="L306" s="21"/>
      <c r="M306" s="21"/>
      <c r="N306" s="21"/>
      <c r="O306" s="21"/>
      <c r="P306" s="21"/>
      <c r="Q306" s="21"/>
      <c r="R306" s="21"/>
      <c r="S306" s="21"/>
      <c r="T306" s="63"/>
      <c r="U306" s="94"/>
      <c r="V306" s="90"/>
      <c r="W306" s="91"/>
      <c r="X306" s="92"/>
      <c r="Y306" s="181"/>
    </row>
    <row r="307" spans="1:25" s="260" customFormat="1">
      <c r="B307" s="11"/>
      <c r="C307" s="36"/>
      <c r="D307" s="10"/>
      <c r="E307" s="10"/>
      <c r="F307" s="88"/>
      <c r="G307" s="88"/>
      <c r="H307" s="88"/>
      <c r="I307" s="99"/>
      <c r="J307" s="63"/>
      <c r="K307" s="21"/>
      <c r="L307" s="21"/>
      <c r="M307" s="21"/>
      <c r="N307" s="21"/>
      <c r="O307" s="21"/>
      <c r="P307" s="21"/>
      <c r="Q307" s="21"/>
      <c r="R307" s="21"/>
      <c r="S307" s="21"/>
      <c r="T307" s="63"/>
      <c r="U307" s="94"/>
      <c r="V307" s="90"/>
      <c r="W307" s="91"/>
      <c r="X307" s="92"/>
      <c r="Y307" s="181"/>
    </row>
    <row r="308" spans="1:25">
      <c r="A308" s="614"/>
      <c r="B308" s="100" t="s">
        <v>72</v>
      </c>
      <c r="C308" s="609"/>
      <c r="D308" s="10"/>
      <c r="E308" s="10"/>
      <c r="F308" s="88"/>
      <c r="G308" s="88"/>
      <c r="H308" s="88"/>
      <c r="I308" s="99"/>
      <c r="J308" s="63"/>
      <c r="K308" s="63"/>
      <c r="L308" s="63"/>
      <c r="M308" s="63"/>
      <c r="N308" s="63"/>
      <c r="O308" s="63"/>
      <c r="P308" s="63"/>
      <c r="Q308" s="63"/>
      <c r="R308" s="63"/>
      <c r="S308" s="63"/>
      <c r="T308" s="63"/>
      <c r="U308" s="10"/>
      <c r="V308" s="90"/>
      <c r="W308" s="91"/>
      <c r="X308" s="92"/>
    </row>
    <row r="309" spans="1:25">
      <c r="A309" s="614"/>
      <c r="B309" s="87">
        <v>1</v>
      </c>
      <c r="C309" s="274">
        <v>45916</v>
      </c>
      <c r="D309" s="276">
        <v>73149</v>
      </c>
      <c r="E309" s="276" t="s">
        <v>737</v>
      </c>
      <c r="F309" s="277">
        <v>6814</v>
      </c>
      <c r="G309" s="277">
        <v>39.700000000000003</v>
      </c>
      <c r="H309" s="277"/>
      <c r="I309" s="278">
        <f t="shared" ref="I309:I321" si="62">F309-G309-H309</f>
        <v>6774.3</v>
      </c>
      <c r="J309" s="279" t="s">
        <v>205</v>
      </c>
      <c r="K309" s="279">
        <v>1</v>
      </c>
      <c r="L309" s="279"/>
      <c r="M309" s="279"/>
      <c r="N309" s="279">
        <v>1</v>
      </c>
      <c r="O309" s="279"/>
      <c r="P309" s="279"/>
      <c r="Q309" s="279">
        <v>1</v>
      </c>
      <c r="R309" s="279">
        <v>1</v>
      </c>
      <c r="S309" s="280">
        <v>1</v>
      </c>
      <c r="T309" s="63"/>
      <c r="U309" s="3"/>
      <c r="V309" s="90"/>
      <c r="W309" s="91"/>
      <c r="X309" s="92"/>
    </row>
    <row r="310" spans="1:25">
      <c r="A310" s="614"/>
      <c r="B310" s="87">
        <f t="shared" ref="B310:B321" si="63">B309+1</f>
        <v>2</v>
      </c>
      <c r="C310" s="295">
        <v>45916</v>
      </c>
      <c r="D310" s="10">
        <v>73348</v>
      </c>
      <c r="E310" s="10" t="s">
        <v>659</v>
      </c>
      <c r="F310" s="62">
        <v>681</v>
      </c>
      <c r="G310" s="62"/>
      <c r="H310" s="62"/>
      <c r="I310" s="89">
        <f t="shared" si="62"/>
        <v>681</v>
      </c>
      <c r="J310" s="63" t="s">
        <v>156</v>
      </c>
      <c r="K310" s="63">
        <v>1</v>
      </c>
      <c r="L310" s="63"/>
      <c r="M310" s="63">
        <v>1</v>
      </c>
      <c r="N310" s="63">
        <v>1</v>
      </c>
      <c r="O310" s="63"/>
      <c r="P310" s="63"/>
      <c r="Q310" s="63">
        <v>1</v>
      </c>
      <c r="R310" s="63">
        <v>1</v>
      </c>
      <c r="S310" s="296"/>
      <c r="T310" s="63"/>
      <c r="U310" s="10"/>
      <c r="V310" s="90">
        <v>93.5</v>
      </c>
      <c r="W310" s="136"/>
      <c r="X310" s="137"/>
    </row>
    <row r="311" spans="1:25">
      <c r="A311" s="614"/>
      <c r="B311" s="87">
        <f t="shared" si="63"/>
        <v>3</v>
      </c>
      <c r="C311" s="295">
        <v>45916</v>
      </c>
      <c r="D311" s="10">
        <v>73358</v>
      </c>
      <c r="E311" s="10" t="s">
        <v>746</v>
      </c>
      <c r="F311" s="62">
        <v>1541</v>
      </c>
      <c r="G311" s="62">
        <v>39.700000000000003</v>
      </c>
      <c r="H311" s="62"/>
      <c r="I311" s="89">
        <f t="shared" si="62"/>
        <v>1501.3</v>
      </c>
      <c r="J311" s="63" t="s">
        <v>205</v>
      </c>
      <c r="K311" s="63">
        <v>1</v>
      </c>
      <c r="L311" s="63"/>
      <c r="M311" s="63"/>
      <c r="N311" s="63">
        <v>1</v>
      </c>
      <c r="O311" s="63"/>
      <c r="P311" s="63"/>
      <c r="Q311" s="63">
        <v>1</v>
      </c>
      <c r="R311" s="63">
        <v>1</v>
      </c>
      <c r="S311" s="296">
        <v>1</v>
      </c>
      <c r="T311" s="63"/>
      <c r="U311" s="10"/>
      <c r="V311" s="90"/>
      <c r="W311" s="136"/>
      <c r="X311" s="137"/>
    </row>
    <row r="312" spans="1:25">
      <c r="A312" s="614"/>
      <c r="B312" s="87">
        <f t="shared" si="63"/>
        <v>4</v>
      </c>
      <c r="C312" s="295">
        <v>45916</v>
      </c>
      <c r="D312" s="10">
        <v>73106</v>
      </c>
      <c r="E312" s="10" t="s">
        <v>681</v>
      </c>
      <c r="F312" s="62">
        <v>681</v>
      </c>
      <c r="G312" s="62"/>
      <c r="H312" s="62"/>
      <c r="I312" s="89">
        <f t="shared" si="62"/>
        <v>681</v>
      </c>
      <c r="J312" s="63" t="s">
        <v>205</v>
      </c>
      <c r="K312" s="63">
        <v>1</v>
      </c>
      <c r="L312" s="63"/>
      <c r="M312" s="63"/>
      <c r="N312" s="63">
        <v>1</v>
      </c>
      <c r="O312" s="63"/>
      <c r="P312" s="63"/>
      <c r="Q312" s="63">
        <v>1</v>
      </c>
      <c r="R312" s="63">
        <v>1</v>
      </c>
      <c r="S312" s="296">
        <v>1</v>
      </c>
      <c r="T312" s="63"/>
      <c r="U312" s="10"/>
      <c r="V312" s="90"/>
      <c r="W312" s="136"/>
      <c r="X312" s="137"/>
    </row>
    <row r="313" spans="1:25">
      <c r="A313" s="614"/>
      <c r="B313" s="87">
        <f t="shared" si="63"/>
        <v>5</v>
      </c>
      <c r="C313" s="274">
        <v>45917</v>
      </c>
      <c r="D313" s="276">
        <v>73305</v>
      </c>
      <c r="E313" s="276" t="s">
        <v>294</v>
      </c>
      <c r="F313" s="277">
        <v>18161</v>
      </c>
      <c r="G313" s="277">
        <v>39.700000000000003</v>
      </c>
      <c r="H313" s="277"/>
      <c r="I313" s="278">
        <f t="shared" si="62"/>
        <v>18121.3</v>
      </c>
      <c r="J313" s="279" t="s">
        <v>156</v>
      </c>
      <c r="K313" s="279">
        <v>1</v>
      </c>
      <c r="L313" s="279"/>
      <c r="M313" s="279">
        <v>1</v>
      </c>
      <c r="N313" s="279">
        <v>1</v>
      </c>
      <c r="O313" s="279"/>
      <c r="P313" s="279"/>
      <c r="Q313" s="279">
        <v>1</v>
      </c>
      <c r="R313" s="279">
        <v>1</v>
      </c>
      <c r="S313" s="280"/>
      <c r="T313" s="63"/>
      <c r="U313" s="10"/>
      <c r="V313" s="90">
        <v>93.5</v>
      </c>
      <c r="W313" s="136"/>
      <c r="X313" s="137"/>
    </row>
    <row r="314" spans="1:25">
      <c r="A314" s="614"/>
      <c r="B314" s="87">
        <f t="shared" si="63"/>
        <v>6</v>
      </c>
      <c r="C314" s="274">
        <v>45918</v>
      </c>
      <c r="D314" s="276">
        <v>73408</v>
      </c>
      <c r="E314" s="281" t="s">
        <v>728</v>
      </c>
      <c r="F314" s="277">
        <v>0</v>
      </c>
      <c r="G314" s="277">
        <v>0</v>
      </c>
      <c r="H314" s="277"/>
      <c r="I314" s="278">
        <f t="shared" si="62"/>
        <v>0</v>
      </c>
      <c r="J314" s="279" t="s">
        <v>205</v>
      </c>
      <c r="K314" s="279">
        <v>1</v>
      </c>
      <c r="L314" s="279"/>
      <c r="M314" s="279"/>
      <c r="N314" s="279"/>
      <c r="O314" s="279"/>
      <c r="P314" s="279"/>
      <c r="Q314" s="279">
        <v>1</v>
      </c>
      <c r="R314" s="279">
        <v>1</v>
      </c>
      <c r="S314" s="280">
        <v>1</v>
      </c>
      <c r="T314" s="63"/>
      <c r="U314" s="10"/>
      <c r="V314" s="90"/>
      <c r="W314" s="136"/>
      <c r="X314" s="137"/>
    </row>
    <row r="315" spans="1:25">
      <c r="A315" s="614"/>
      <c r="B315" s="87">
        <f t="shared" si="63"/>
        <v>7</v>
      </c>
      <c r="C315" s="295">
        <v>45918</v>
      </c>
      <c r="D315" s="10">
        <v>73420</v>
      </c>
      <c r="E315" s="101" t="s">
        <v>681</v>
      </c>
      <c r="F315" s="62">
        <v>0</v>
      </c>
      <c r="G315" s="62">
        <v>0</v>
      </c>
      <c r="H315" s="62"/>
      <c r="I315" s="89">
        <f t="shared" si="62"/>
        <v>0</v>
      </c>
      <c r="J315" s="63" t="s">
        <v>205</v>
      </c>
      <c r="K315" s="63">
        <v>1</v>
      </c>
      <c r="L315" s="63"/>
      <c r="M315" s="63"/>
      <c r="N315" s="63"/>
      <c r="O315" s="63"/>
      <c r="P315" s="63"/>
      <c r="Q315" s="63">
        <v>1</v>
      </c>
      <c r="R315" s="63">
        <v>1</v>
      </c>
      <c r="S315" s="296">
        <v>1</v>
      </c>
      <c r="T315" s="63"/>
      <c r="U315" s="10"/>
      <c r="V315" s="90"/>
      <c r="W315" s="136"/>
      <c r="X315" s="137"/>
    </row>
    <row r="316" spans="1:25">
      <c r="A316" s="614"/>
      <c r="B316" s="87">
        <f t="shared" si="63"/>
        <v>8</v>
      </c>
      <c r="C316" s="295">
        <v>45918</v>
      </c>
      <c r="D316" s="10">
        <v>73428</v>
      </c>
      <c r="E316" s="101" t="s">
        <v>159</v>
      </c>
      <c r="F316" s="62">
        <v>0</v>
      </c>
      <c r="G316" s="62">
        <v>0</v>
      </c>
      <c r="H316" s="62"/>
      <c r="I316" s="89">
        <f t="shared" si="62"/>
        <v>0</v>
      </c>
      <c r="J316" s="63" t="s">
        <v>205</v>
      </c>
      <c r="K316" s="63">
        <v>1</v>
      </c>
      <c r="L316" s="63"/>
      <c r="M316" s="63"/>
      <c r="N316" s="63"/>
      <c r="O316" s="63"/>
      <c r="P316" s="63"/>
      <c r="Q316" s="63">
        <v>1</v>
      </c>
      <c r="R316" s="63">
        <v>1</v>
      </c>
      <c r="S316" s="296">
        <v>1</v>
      </c>
      <c r="T316" s="63"/>
      <c r="U316" s="10"/>
      <c r="V316" s="90"/>
      <c r="W316" s="136"/>
      <c r="X316" s="137"/>
    </row>
    <row r="317" spans="1:25">
      <c r="A317" s="614"/>
      <c r="B317" s="87">
        <f t="shared" si="63"/>
        <v>9</v>
      </c>
      <c r="C317" s="274">
        <v>45919</v>
      </c>
      <c r="D317" s="276">
        <v>73455</v>
      </c>
      <c r="E317" s="281" t="s">
        <v>737</v>
      </c>
      <c r="F317" s="277">
        <v>6814</v>
      </c>
      <c r="G317" s="277">
        <v>39.700000000000003</v>
      </c>
      <c r="H317" s="277"/>
      <c r="I317" s="278">
        <f t="shared" si="62"/>
        <v>6774.3</v>
      </c>
      <c r="J317" s="279" t="s">
        <v>205</v>
      </c>
      <c r="K317" s="279">
        <v>1</v>
      </c>
      <c r="L317" s="279"/>
      <c r="M317" s="279"/>
      <c r="N317" s="279">
        <v>1</v>
      </c>
      <c r="O317" s="279"/>
      <c r="P317" s="279"/>
      <c r="Q317" s="279">
        <v>1</v>
      </c>
      <c r="R317" s="279">
        <v>1</v>
      </c>
      <c r="S317" s="280">
        <v>1</v>
      </c>
      <c r="T317" s="63"/>
      <c r="U317" s="10"/>
      <c r="V317" s="90"/>
      <c r="W317" s="136"/>
      <c r="X317" s="137"/>
    </row>
    <row r="318" spans="1:25">
      <c r="A318" s="614"/>
      <c r="B318" s="87">
        <f t="shared" si="63"/>
        <v>10</v>
      </c>
      <c r="C318" s="295">
        <v>45919</v>
      </c>
      <c r="D318" s="10">
        <v>73459</v>
      </c>
      <c r="E318" s="101" t="s">
        <v>294</v>
      </c>
      <c r="F318" s="62">
        <v>1861</v>
      </c>
      <c r="G318" s="62">
        <v>39.700000000000003</v>
      </c>
      <c r="H318" s="62"/>
      <c r="I318" s="89">
        <f t="shared" si="62"/>
        <v>1821.3</v>
      </c>
      <c r="J318" s="63" t="s">
        <v>156</v>
      </c>
      <c r="K318" s="63">
        <v>1</v>
      </c>
      <c r="L318" s="63"/>
      <c r="M318" s="63">
        <v>1</v>
      </c>
      <c r="N318" s="63">
        <v>1</v>
      </c>
      <c r="O318" s="63"/>
      <c r="P318" s="63"/>
      <c r="Q318" s="63">
        <v>1</v>
      </c>
      <c r="R318" s="63">
        <v>1</v>
      </c>
      <c r="S318" s="296"/>
      <c r="T318" s="63"/>
      <c r="U318" s="10"/>
      <c r="V318" s="90">
        <v>93.5</v>
      </c>
      <c r="W318" s="136"/>
      <c r="X318" s="137"/>
    </row>
    <row r="319" spans="1:25">
      <c r="A319" s="614"/>
      <c r="B319" s="87">
        <f t="shared" si="63"/>
        <v>11</v>
      </c>
      <c r="C319" s="295">
        <v>45919</v>
      </c>
      <c r="D319" s="10">
        <v>73469</v>
      </c>
      <c r="E319" s="101" t="s">
        <v>159</v>
      </c>
      <c r="F319" s="62">
        <v>1461</v>
      </c>
      <c r="G319" s="62">
        <v>39.700000000000003</v>
      </c>
      <c r="H319" s="62"/>
      <c r="I319" s="89">
        <f t="shared" si="62"/>
        <v>1421.3</v>
      </c>
      <c r="J319" s="63" t="s">
        <v>205</v>
      </c>
      <c r="K319" s="63">
        <v>1</v>
      </c>
      <c r="L319" s="63"/>
      <c r="M319" s="63"/>
      <c r="N319" s="63">
        <v>1</v>
      </c>
      <c r="O319" s="63"/>
      <c r="P319" s="63"/>
      <c r="Q319" s="63">
        <v>1</v>
      </c>
      <c r="R319" s="63">
        <v>1</v>
      </c>
      <c r="S319" s="296">
        <v>1</v>
      </c>
      <c r="T319" s="63"/>
      <c r="U319" s="10"/>
      <c r="V319" s="90"/>
      <c r="W319" s="136"/>
      <c r="X319" s="137"/>
    </row>
    <row r="320" spans="1:25">
      <c r="A320" s="614"/>
      <c r="B320" s="87">
        <f t="shared" si="63"/>
        <v>12</v>
      </c>
      <c r="C320" s="295">
        <v>45919</v>
      </c>
      <c r="D320" s="10">
        <v>73295</v>
      </c>
      <c r="E320" s="101" t="s">
        <v>213</v>
      </c>
      <c r="F320" s="62">
        <v>0</v>
      </c>
      <c r="G320" s="62"/>
      <c r="H320" s="62"/>
      <c r="I320" s="89">
        <f t="shared" ref="I320" si="64">F320-G320-H320</f>
        <v>0</v>
      </c>
      <c r="J320" s="63" t="s">
        <v>205</v>
      </c>
      <c r="K320" s="63">
        <v>1</v>
      </c>
      <c r="L320" s="63"/>
      <c r="M320" s="63"/>
      <c r="N320" s="63">
        <v>1</v>
      </c>
      <c r="O320" s="63"/>
      <c r="P320" s="63"/>
      <c r="Q320" s="63">
        <v>1</v>
      </c>
      <c r="R320" s="63">
        <v>1</v>
      </c>
      <c r="S320" s="296">
        <v>1</v>
      </c>
      <c r="T320" s="63">
        <v>1</v>
      </c>
      <c r="U320" s="10"/>
      <c r="V320" s="90"/>
      <c r="W320" s="136"/>
      <c r="X320" s="137"/>
    </row>
    <row r="321" spans="1:24">
      <c r="A321" s="614"/>
      <c r="B321" s="87">
        <f t="shared" si="63"/>
        <v>13</v>
      </c>
      <c r="C321" s="282">
        <v>45919</v>
      </c>
      <c r="D321" s="283">
        <v>73476</v>
      </c>
      <c r="E321" s="319" t="s">
        <v>811</v>
      </c>
      <c r="F321" s="284">
        <v>681</v>
      </c>
      <c r="G321" s="284"/>
      <c r="H321" s="284"/>
      <c r="I321" s="285">
        <f t="shared" si="62"/>
        <v>681</v>
      </c>
      <c r="J321" s="286" t="s">
        <v>205</v>
      </c>
      <c r="K321" s="286">
        <v>1</v>
      </c>
      <c r="L321" s="286"/>
      <c r="M321" s="286"/>
      <c r="N321" s="286">
        <v>1</v>
      </c>
      <c r="O321" s="286"/>
      <c r="P321" s="286"/>
      <c r="Q321" s="286">
        <v>1</v>
      </c>
      <c r="R321" s="286">
        <v>1</v>
      </c>
      <c r="S321" s="287">
        <v>1</v>
      </c>
      <c r="T321" s="63"/>
      <c r="U321" s="10"/>
      <c r="V321" s="90"/>
      <c r="W321" s="136"/>
      <c r="X321" s="137"/>
    </row>
    <row r="322" spans="1:24">
      <c r="A322" s="614"/>
      <c r="B322" s="11"/>
      <c r="C322" s="36"/>
      <c r="D322" s="10"/>
      <c r="E322" s="10"/>
      <c r="F322" s="97">
        <f>SUM(F309:F321)</f>
        <v>38695</v>
      </c>
      <c r="G322" s="97">
        <f>SUM(G309:G321)</f>
        <v>238.2</v>
      </c>
      <c r="H322" s="97">
        <f>SUM(H309:H321)</f>
        <v>0</v>
      </c>
      <c r="I322" s="98">
        <f>SUM(I309:I321)</f>
        <v>38456.80000000001</v>
      </c>
      <c r="J322" s="10"/>
      <c r="K322" s="10"/>
      <c r="L322" s="10"/>
      <c r="M322" s="10"/>
      <c r="N322" s="10"/>
      <c r="O322" s="10"/>
      <c r="P322" s="10"/>
      <c r="Q322" s="10"/>
      <c r="R322" s="10"/>
      <c r="S322" s="10"/>
      <c r="T322" s="63"/>
      <c r="U322" s="10"/>
      <c r="V322" s="138"/>
      <c r="W322" s="136"/>
      <c r="X322" s="137"/>
    </row>
    <row r="323" spans="1:24">
      <c r="A323" s="614"/>
      <c r="B323" s="26"/>
      <c r="C323" s="612"/>
      <c r="D323" s="141"/>
      <c r="E323" s="141"/>
      <c r="F323" s="141"/>
      <c r="G323" s="141"/>
      <c r="H323" s="141"/>
      <c r="I323" s="141"/>
      <c r="J323" s="141"/>
      <c r="K323" s="142"/>
      <c r="L323" s="142"/>
      <c r="M323" s="142"/>
      <c r="N323" s="142"/>
      <c r="O323" s="142"/>
      <c r="P323" s="142"/>
      <c r="Q323" s="142"/>
      <c r="R323" s="142"/>
      <c r="S323" s="142"/>
      <c r="T323" s="143">
        <f>SUM(T283:T322)</f>
        <v>4</v>
      </c>
      <c r="U323" s="141"/>
      <c r="V323" s="144">
        <f>SUM(V283:V322)</f>
        <v>27452.199999999997</v>
      </c>
      <c r="W323" s="144">
        <f>SUM(W283:W322)</f>
        <v>8609.1</v>
      </c>
      <c r="X323" s="144">
        <f>SUM(X283:X322)</f>
        <v>0</v>
      </c>
    </row>
    <row r="326" spans="1:24">
      <c r="B326" s="4" t="s">
        <v>1</v>
      </c>
      <c r="C326" s="5"/>
      <c r="D326" s="6"/>
      <c r="E326" s="6"/>
      <c r="F326" s="7" t="s">
        <v>2</v>
      </c>
      <c r="G326" s="608">
        <v>45928</v>
      </c>
      <c r="H326" s="7"/>
      <c r="I326" s="6"/>
      <c r="J326" s="6"/>
      <c r="K326" s="6"/>
      <c r="L326" s="6"/>
      <c r="M326" s="6"/>
      <c r="N326" s="6"/>
      <c r="O326" s="6"/>
      <c r="P326" s="6"/>
      <c r="Q326" s="6"/>
      <c r="R326" s="6"/>
      <c r="S326" s="6"/>
      <c r="T326" s="6"/>
      <c r="U326" s="9"/>
      <c r="V326" s="10"/>
      <c r="W326" s="10"/>
      <c r="X326" s="10"/>
    </row>
    <row r="327" spans="1:24">
      <c r="B327" s="11"/>
      <c r="C327" s="10"/>
      <c r="D327" s="10"/>
      <c r="E327" s="10"/>
      <c r="F327" s="10"/>
      <c r="G327" s="7"/>
      <c r="H327" s="12"/>
      <c r="I327" s="10"/>
      <c r="J327" s="10"/>
      <c r="K327" s="13" t="s">
        <v>3</v>
      </c>
      <c r="L327" s="14"/>
      <c r="M327" s="15"/>
      <c r="N327" s="13" t="s">
        <v>4</v>
      </c>
      <c r="O327" s="14"/>
      <c r="P327" s="15"/>
      <c r="Q327" s="13" t="s">
        <v>5</v>
      </c>
      <c r="R327" s="14"/>
      <c r="S327" s="15"/>
      <c r="T327" s="16"/>
      <c r="U327" s="17"/>
      <c r="V327" s="10"/>
      <c r="W327" s="10"/>
      <c r="X327" s="10"/>
    </row>
    <row r="328" spans="1:24">
      <c r="B328" s="18" t="s">
        <v>6</v>
      </c>
      <c r="C328" s="19">
        <f>C329+C330</f>
        <v>27</v>
      </c>
      <c r="D328" s="10"/>
      <c r="E328" s="18" t="s">
        <v>7</v>
      </c>
      <c r="F328" s="6"/>
      <c r="G328" s="9"/>
      <c r="H328" s="10"/>
      <c r="I328" s="10"/>
      <c r="J328" s="10"/>
      <c r="K328" s="20" t="s">
        <v>8</v>
      </c>
      <c r="L328" s="21" t="s">
        <v>9</v>
      </c>
      <c r="M328" s="21" t="s">
        <v>10</v>
      </c>
      <c r="N328" s="20" t="s">
        <v>11</v>
      </c>
      <c r="O328" s="21" t="s">
        <v>12</v>
      </c>
      <c r="P328" s="22" t="s">
        <v>13</v>
      </c>
      <c r="Q328" s="21" t="s">
        <v>11</v>
      </c>
      <c r="R328" s="21" t="s">
        <v>12</v>
      </c>
      <c r="S328" s="22" t="s">
        <v>13</v>
      </c>
      <c r="T328" s="23" t="s">
        <v>14</v>
      </c>
      <c r="U328" s="17"/>
      <c r="V328" s="10"/>
      <c r="W328" s="10"/>
      <c r="X328" s="10"/>
    </row>
    <row r="329" spans="1:24">
      <c r="B329" s="24" t="s">
        <v>15</v>
      </c>
      <c r="C329" s="25">
        <f>P336</f>
        <v>13</v>
      </c>
      <c r="D329" s="10"/>
      <c r="E329" s="26" t="s">
        <v>16</v>
      </c>
      <c r="F329" s="27">
        <v>0.05</v>
      </c>
      <c r="G329" s="28"/>
      <c r="H329" s="10"/>
      <c r="I329" s="10"/>
      <c r="J329" s="18" t="s">
        <v>17</v>
      </c>
      <c r="K329" s="29">
        <f>K367</f>
        <v>13</v>
      </c>
      <c r="L329" s="29">
        <f t="shared" ref="L329:S329" si="65">L367</f>
        <v>10</v>
      </c>
      <c r="M329" s="29">
        <f t="shared" si="65"/>
        <v>13</v>
      </c>
      <c r="N329" s="29">
        <f t="shared" si="65"/>
        <v>13</v>
      </c>
      <c r="O329" s="29">
        <f t="shared" si="65"/>
        <v>13</v>
      </c>
      <c r="P329" s="29">
        <f t="shared" si="65"/>
        <v>13</v>
      </c>
      <c r="Q329" s="29">
        <f t="shared" si="65"/>
        <v>12</v>
      </c>
      <c r="R329" s="29">
        <f t="shared" si="65"/>
        <v>12</v>
      </c>
      <c r="S329" s="29">
        <f t="shared" si="65"/>
        <v>10</v>
      </c>
      <c r="T329" s="30">
        <f>T399</f>
        <v>4</v>
      </c>
      <c r="U329" s="17"/>
      <c r="V329" s="10"/>
      <c r="W329" s="10"/>
      <c r="X329" s="10"/>
    </row>
    <row r="330" spans="1:24">
      <c r="B330" s="24" t="s">
        <v>18</v>
      </c>
      <c r="C330" s="25">
        <f>P337</f>
        <v>14</v>
      </c>
      <c r="D330" s="10"/>
      <c r="E330" s="10"/>
      <c r="F330" s="10"/>
      <c r="G330" s="31"/>
      <c r="H330" s="10"/>
      <c r="I330" s="10"/>
      <c r="J330" s="32" t="s">
        <v>19</v>
      </c>
      <c r="K330" s="33">
        <f>K367/K366</f>
        <v>1</v>
      </c>
      <c r="L330" s="33">
        <f t="shared" ref="L330:S330" si="66">L367/L366</f>
        <v>0.76923076923076927</v>
      </c>
      <c r="M330" s="33">
        <f t="shared" si="66"/>
        <v>1</v>
      </c>
      <c r="N330" s="33">
        <f t="shared" si="66"/>
        <v>1</v>
      </c>
      <c r="O330" s="33">
        <f t="shared" si="66"/>
        <v>1</v>
      </c>
      <c r="P330" s="33">
        <f t="shared" si="66"/>
        <v>1</v>
      </c>
      <c r="Q330" s="33">
        <f t="shared" si="66"/>
        <v>0.92307692307692313</v>
      </c>
      <c r="R330" s="33">
        <f t="shared" si="66"/>
        <v>0.92307692307692313</v>
      </c>
      <c r="S330" s="33">
        <f t="shared" si="66"/>
        <v>0.76923076923076927</v>
      </c>
      <c r="T330" s="23"/>
      <c r="U330" s="17" t="s">
        <v>20</v>
      </c>
      <c r="V330" s="10"/>
      <c r="W330" s="10"/>
      <c r="X330" s="10"/>
    </row>
    <row r="331" spans="1:24">
      <c r="B331" s="24" t="s">
        <v>21</v>
      </c>
      <c r="C331" s="34">
        <f>P338</f>
        <v>0.48148148148148145</v>
      </c>
      <c r="D331" s="10"/>
      <c r="E331" s="10"/>
      <c r="F331" s="10"/>
      <c r="G331" s="10"/>
      <c r="H331" s="10"/>
      <c r="I331" s="10"/>
      <c r="J331" s="10"/>
      <c r="K331" s="10"/>
      <c r="L331" s="10"/>
      <c r="M331" s="10"/>
      <c r="N331" s="10"/>
      <c r="O331" s="10"/>
      <c r="P331" s="10"/>
      <c r="Q331" s="10"/>
      <c r="R331" s="10"/>
      <c r="S331" s="10"/>
      <c r="T331" s="10"/>
      <c r="U331" s="17"/>
      <c r="V331" s="10"/>
      <c r="W331" s="10"/>
      <c r="X331" s="10"/>
    </row>
    <row r="332" spans="1:24">
      <c r="B332" s="24"/>
      <c r="C332" s="25"/>
      <c r="D332" s="10"/>
      <c r="E332" s="10"/>
      <c r="F332" s="18" t="s">
        <v>22</v>
      </c>
      <c r="G332" s="19" t="s">
        <v>23</v>
      </c>
      <c r="H332" s="35" t="s">
        <v>24</v>
      </c>
      <c r="I332" s="10"/>
      <c r="J332" s="10"/>
      <c r="K332" s="36"/>
      <c r="L332" s="36"/>
      <c r="M332" s="36"/>
      <c r="N332" s="36"/>
      <c r="O332" s="36"/>
      <c r="P332" s="36"/>
      <c r="Q332" s="36"/>
      <c r="R332" s="10"/>
      <c r="S332" s="10"/>
      <c r="T332" s="10"/>
      <c r="U332" s="17"/>
      <c r="V332" s="10"/>
      <c r="W332" s="10"/>
      <c r="X332" s="10"/>
    </row>
    <row r="333" spans="1:24">
      <c r="B333" s="32" t="s">
        <v>25</v>
      </c>
      <c r="C333" s="37">
        <f>P339</f>
        <v>1252.7461538461539</v>
      </c>
      <c r="D333" s="10"/>
      <c r="E333" s="18" t="s">
        <v>26</v>
      </c>
      <c r="F333" s="38">
        <f>P335</f>
        <v>16285.7</v>
      </c>
      <c r="G333" s="39">
        <f>I366</f>
        <v>16285.699999999997</v>
      </c>
      <c r="H333" s="40"/>
      <c r="I333" s="41"/>
      <c r="J333" s="42"/>
      <c r="K333" s="43" t="s">
        <v>27</v>
      </c>
      <c r="L333" s="44"/>
      <c r="M333" s="44"/>
      <c r="N333" s="44"/>
      <c r="O333" s="44"/>
      <c r="P333" s="44"/>
      <c r="Q333" s="45"/>
      <c r="R333" s="46" t="s">
        <v>28</v>
      </c>
      <c r="S333" s="47" t="s">
        <v>29</v>
      </c>
      <c r="T333" s="10"/>
      <c r="U333" s="17"/>
      <c r="V333" s="10"/>
      <c r="W333" s="10"/>
      <c r="X333" s="10"/>
    </row>
    <row r="334" spans="1:24">
      <c r="B334" s="11"/>
      <c r="C334" s="10"/>
      <c r="D334" s="10"/>
      <c r="E334" s="24" t="s">
        <v>30</v>
      </c>
      <c r="F334" s="48">
        <f>F329</f>
        <v>0.05</v>
      </c>
      <c r="G334" s="17"/>
      <c r="H334" s="40"/>
      <c r="I334" s="41"/>
      <c r="J334" s="42"/>
      <c r="K334" s="20" t="s">
        <v>31</v>
      </c>
      <c r="L334" s="21" t="s">
        <v>32</v>
      </c>
      <c r="M334" s="21" t="s">
        <v>33</v>
      </c>
      <c r="N334" s="21" t="s">
        <v>34</v>
      </c>
      <c r="O334" s="21" t="s">
        <v>35</v>
      </c>
      <c r="P334" s="21" t="s">
        <v>36</v>
      </c>
      <c r="Q334" s="49" t="s">
        <v>37</v>
      </c>
      <c r="R334" s="50" t="s">
        <v>38</v>
      </c>
      <c r="S334" s="50" t="s">
        <v>38</v>
      </c>
      <c r="T334" s="10"/>
      <c r="U334" s="17"/>
      <c r="V334" s="10"/>
      <c r="W334" s="10"/>
      <c r="X334" s="10"/>
    </row>
    <row r="335" spans="1:24">
      <c r="B335" s="11"/>
      <c r="C335" s="10"/>
      <c r="D335" s="10"/>
      <c r="E335" s="51" t="s">
        <v>39</v>
      </c>
      <c r="F335" s="52">
        <f>(F333-I353-I356-I359-I360)*F334</f>
        <v>555.57400000000007</v>
      </c>
      <c r="G335" s="53" t="s">
        <v>40</v>
      </c>
      <c r="H335" s="54">
        <f>F335/1.12</f>
        <v>496.04821428571432</v>
      </c>
      <c r="I335" s="55"/>
      <c r="J335" s="42"/>
      <c r="K335" s="56">
        <f>I353+I354+I355+I356</f>
        <v>4961.2199999999993</v>
      </c>
      <c r="L335" s="57">
        <f>I357+I358</f>
        <v>1621.1599999999999</v>
      </c>
      <c r="M335" s="57">
        <f>I359+I360+I361+I362</f>
        <v>5244.37</v>
      </c>
      <c r="N335" s="57">
        <f>I363+I364+I365</f>
        <v>4458.95</v>
      </c>
      <c r="O335" s="57">
        <v>0</v>
      </c>
      <c r="P335" s="57">
        <f>SUM(K335:O335)</f>
        <v>16285.7</v>
      </c>
      <c r="Q335" s="58">
        <v>0</v>
      </c>
      <c r="R335" s="59">
        <f>0</f>
        <v>0</v>
      </c>
      <c r="S335" s="59">
        <f>0</f>
        <v>0</v>
      </c>
      <c r="T335" s="10"/>
      <c r="U335" s="17"/>
      <c r="V335" s="10"/>
      <c r="W335" s="10"/>
      <c r="X335" s="10"/>
    </row>
    <row r="336" spans="1:24">
      <c r="B336" s="11"/>
      <c r="C336" s="10"/>
      <c r="D336" s="10"/>
      <c r="E336" s="24" t="s">
        <v>41</v>
      </c>
      <c r="F336" s="60">
        <f>Q335</f>
        <v>0</v>
      </c>
      <c r="G336" s="61" t="s">
        <v>40</v>
      </c>
      <c r="H336" s="62"/>
      <c r="I336" s="62"/>
      <c r="J336" s="10" t="s">
        <v>42</v>
      </c>
      <c r="K336" s="63">
        <v>4</v>
      </c>
      <c r="L336" s="63">
        <v>2</v>
      </c>
      <c r="M336" s="63">
        <v>4</v>
      </c>
      <c r="N336" s="63">
        <v>3</v>
      </c>
      <c r="O336" s="63">
        <v>0</v>
      </c>
      <c r="P336" s="21">
        <f>SUM(K336:O336)</f>
        <v>13</v>
      </c>
      <c r="Q336" s="64"/>
      <c r="R336" s="63"/>
      <c r="S336" s="10"/>
      <c r="T336" s="10"/>
      <c r="U336" s="17"/>
      <c r="V336" s="10"/>
      <c r="W336" s="10"/>
      <c r="X336" s="10"/>
    </row>
    <row r="337" spans="2:24">
      <c r="B337" s="11"/>
      <c r="C337" s="10"/>
      <c r="D337" s="10"/>
      <c r="E337" s="51" t="s">
        <v>43</v>
      </c>
      <c r="F337" s="52">
        <f>F336*0.25</f>
        <v>0</v>
      </c>
      <c r="G337" s="53" t="s">
        <v>40</v>
      </c>
      <c r="H337" s="54">
        <f>F337/1.12</f>
        <v>0</v>
      </c>
      <c r="I337" s="10"/>
      <c r="J337" s="10" t="s">
        <v>44</v>
      </c>
      <c r="K337" s="63">
        <v>2</v>
      </c>
      <c r="L337" s="63">
        <v>5</v>
      </c>
      <c r="M337" s="63">
        <v>6</v>
      </c>
      <c r="N337" s="63">
        <v>1</v>
      </c>
      <c r="O337" s="63">
        <v>0</v>
      </c>
      <c r="P337" s="21">
        <f>SUM(K337:O337)</f>
        <v>14</v>
      </c>
      <c r="Q337" s="64"/>
      <c r="R337" s="63"/>
      <c r="S337" s="10"/>
      <c r="T337" s="10"/>
      <c r="U337" s="17"/>
      <c r="V337" s="10"/>
      <c r="W337" s="10"/>
      <c r="X337" s="10"/>
    </row>
    <row r="338" spans="2:24">
      <c r="B338" s="11"/>
      <c r="C338" s="10"/>
      <c r="D338" s="10"/>
      <c r="E338" s="24" t="s">
        <v>45</v>
      </c>
      <c r="F338" s="60">
        <f>I371</f>
        <v>13206.09</v>
      </c>
      <c r="G338" s="61" t="s">
        <v>40</v>
      </c>
      <c r="H338" s="62"/>
      <c r="I338" s="10"/>
      <c r="J338" s="10" t="s">
        <v>46</v>
      </c>
      <c r="K338" s="31">
        <f t="shared" ref="K338:Q338" si="67">K336/(K336+K337)</f>
        <v>0.66666666666666663</v>
      </c>
      <c r="L338" s="31">
        <f t="shared" si="67"/>
        <v>0.2857142857142857</v>
      </c>
      <c r="M338" s="31">
        <f t="shared" si="67"/>
        <v>0.4</v>
      </c>
      <c r="N338" s="31">
        <f t="shared" si="67"/>
        <v>0.75</v>
      </c>
      <c r="O338" s="31" t="e">
        <f t="shared" si="67"/>
        <v>#DIV/0!</v>
      </c>
      <c r="P338" s="31">
        <f t="shared" si="67"/>
        <v>0.48148148148148145</v>
      </c>
      <c r="Q338" s="31" t="e">
        <f t="shared" si="67"/>
        <v>#DIV/0!</v>
      </c>
      <c r="R338" s="63"/>
      <c r="S338" s="10"/>
      <c r="T338" s="10"/>
      <c r="U338" s="17"/>
      <c r="V338" s="10"/>
      <c r="W338" s="10"/>
      <c r="X338" s="10"/>
    </row>
    <row r="339" spans="2:24">
      <c r="B339" s="11"/>
      <c r="C339" s="10"/>
      <c r="D339" s="10"/>
      <c r="E339" s="51" t="s">
        <v>47</v>
      </c>
      <c r="F339" s="52">
        <f>(F338+F344)*0.05</f>
        <v>626.58300000000008</v>
      </c>
      <c r="G339" s="65" t="s">
        <v>40</v>
      </c>
      <c r="H339" s="54">
        <f>F339/1.12</f>
        <v>559.4491071428572</v>
      </c>
      <c r="I339" s="42"/>
      <c r="J339" s="10" t="s">
        <v>48</v>
      </c>
      <c r="K339" s="66">
        <f>K335/K336</f>
        <v>1240.3049999999998</v>
      </c>
      <c r="L339" s="66">
        <f t="shared" ref="L339:Q339" si="68">L335/L336</f>
        <v>810.57999999999993</v>
      </c>
      <c r="M339" s="66">
        <f t="shared" si="68"/>
        <v>1311.0925</v>
      </c>
      <c r="N339" s="66">
        <f t="shared" si="68"/>
        <v>1486.3166666666666</v>
      </c>
      <c r="O339" s="66" t="e">
        <f t="shared" si="68"/>
        <v>#DIV/0!</v>
      </c>
      <c r="P339" s="66">
        <f t="shared" si="68"/>
        <v>1252.7461538461539</v>
      </c>
      <c r="Q339" s="66" t="e">
        <f t="shared" si="68"/>
        <v>#DIV/0!</v>
      </c>
      <c r="R339" s="63"/>
      <c r="S339" s="10"/>
      <c r="T339" s="10"/>
      <c r="U339" s="17"/>
      <c r="V339" s="10"/>
      <c r="W339" s="10"/>
      <c r="X339" s="10"/>
    </row>
    <row r="340" spans="2:24">
      <c r="B340" s="11"/>
      <c r="C340" s="10"/>
      <c r="D340" s="10"/>
      <c r="E340" s="67" t="s">
        <v>14</v>
      </c>
      <c r="F340" s="68">
        <f>4*50</f>
        <v>200</v>
      </c>
      <c r="G340" s="10"/>
      <c r="H340" s="54">
        <f>F340/1.12</f>
        <v>178.57142857142856</v>
      </c>
      <c r="I340" s="10"/>
      <c r="J340" s="10"/>
      <c r="K340" s="10"/>
      <c r="L340" s="10"/>
      <c r="M340" s="10"/>
      <c r="N340" s="10"/>
      <c r="O340" s="10"/>
      <c r="P340" s="10"/>
      <c r="Q340" s="10"/>
      <c r="R340" s="10"/>
      <c r="S340" s="10"/>
      <c r="T340" s="10"/>
      <c r="U340" s="17"/>
      <c r="V340" s="10"/>
      <c r="W340" s="10"/>
      <c r="X340" s="10"/>
    </row>
    <row r="341" spans="2:24">
      <c r="B341" s="11"/>
      <c r="C341" s="10"/>
      <c r="D341" s="10"/>
      <c r="E341" s="67" t="s">
        <v>49</v>
      </c>
      <c r="F341" s="69">
        <f>T330</f>
        <v>0</v>
      </c>
      <c r="G341" s="10"/>
      <c r="H341" s="54"/>
      <c r="I341" s="55"/>
      <c r="J341" s="42"/>
      <c r="K341" s="764" t="s">
        <v>50</v>
      </c>
      <c r="L341" s="764"/>
      <c r="M341" s="764"/>
      <c r="N341" s="764"/>
      <c r="O341" s="764"/>
      <c r="P341" s="764"/>
      <c r="Q341" s="764"/>
      <c r="R341" s="70" t="s">
        <v>28</v>
      </c>
      <c r="S341" s="71" t="s">
        <v>29</v>
      </c>
      <c r="T341" s="10"/>
      <c r="U341" s="17"/>
      <c r="V341" s="10"/>
      <c r="W341" s="10"/>
      <c r="X341" s="10"/>
    </row>
    <row r="342" spans="2:24">
      <c r="B342" s="11"/>
      <c r="C342" s="10"/>
      <c r="D342" s="10"/>
      <c r="E342" s="67" t="s">
        <v>648</v>
      </c>
      <c r="F342" s="68">
        <f>$F$266</f>
        <v>1062.0620000000001</v>
      </c>
      <c r="G342" s="123"/>
      <c r="H342" s="54">
        <f>F342/1.12</f>
        <v>948.26964285714291</v>
      </c>
      <c r="I342" s="10"/>
      <c r="J342" s="42"/>
      <c r="K342" s="20" t="s">
        <v>31</v>
      </c>
      <c r="L342" s="21" t="s">
        <v>32</v>
      </c>
      <c r="M342" s="21" t="s">
        <v>33</v>
      </c>
      <c r="N342" s="21" t="s">
        <v>34</v>
      </c>
      <c r="O342" s="21" t="s">
        <v>35</v>
      </c>
      <c r="P342" s="21" t="s">
        <v>36</v>
      </c>
      <c r="Q342" s="49" t="s">
        <v>37</v>
      </c>
      <c r="R342" s="50" t="s">
        <v>38</v>
      </c>
      <c r="S342" s="50" t="s">
        <v>38</v>
      </c>
      <c r="T342" s="10"/>
      <c r="U342" s="17"/>
      <c r="V342" s="10"/>
      <c r="W342" s="10"/>
      <c r="X342" s="10"/>
    </row>
    <row r="343" spans="2:24">
      <c r="B343" s="11"/>
      <c r="C343" s="10"/>
      <c r="D343" s="10"/>
      <c r="E343" s="67" t="s">
        <v>285</v>
      </c>
      <c r="F343" s="68">
        <f>180</f>
        <v>180</v>
      </c>
      <c r="G343" s="123"/>
      <c r="H343" s="54"/>
      <c r="I343" s="10"/>
      <c r="J343" s="42"/>
      <c r="K343" s="56">
        <f>F353+F354+F355+F356</f>
        <v>5386.85</v>
      </c>
      <c r="L343" s="57">
        <f>F357+F358</f>
        <v>1719</v>
      </c>
      <c r="M343" s="57">
        <f>F359+F360+F361+F362</f>
        <v>5664</v>
      </c>
      <c r="N343" s="57">
        <f>F363+F364+F365</f>
        <v>4619</v>
      </c>
      <c r="O343" s="57">
        <v>0</v>
      </c>
      <c r="P343" s="57">
        <f>SUM(K343:O343)</f>
        <v>17388.849999999999</v>
      </c>
      <c r="Q343" s="58">
        <v>0</v>
      </c>
      <c r="R343" s="59">
        <f>0</f>
        <v>0</v>
      </c>
      <c r="S343" s="59">
        <f>0</f>
        <v>0</v>
      </c>
      <c r="T343" s="10"/>
      <c r="U343" s="17"/>
      <c r="V343" s="10"/>
      <c r="W343" s="10"/>
      <c r="X343" s="10"/>
    </row>
    <row r="344" spans="2:24">
      <c r="B344" s="11"/>
      <c r="C344" s="10"/>
      <c r="D344" s="10"/>
      <c r="E344" s="74" t="s">
        <v>823</v>
      </c>
      <c r="F344" s="75">
        <v>-674.43</v>
      </c>
      <c r="G344" s="10"/>
      <c r="H344" s="10"/>
      <c r="I344" s="10"/>
      <c r="J344" s="10" t="s">
        <v>42</v>
      </c>
      <c r="K344" s="63">
        <f>K336</f>
        <v>4</v>
      </c>
      <c r="L344" s="63">
        <f t="shared" ref="L344:Q345" si="69">L336</f>
        <v>2</v>
      </c>
      <c r="M344" s="63">
        <f t="shared" si="69"/>
        <v>4</v>
      </c>
      <c r="N344" s="63">
        <f t="shared" si="69"/>
        <v>3</v>
      </c>
      <c r="O344" s="63">
        <f t="shared" si="69"/>
        <v>0</v>
      </c>
      <c r="P344" s="63">
        <f t="shared" si="69"/>
        <v>13</v>
      </c>
      <c r="Q344" s="63">
        <f t="shared" si="69"/>
        <v>0</v>
      </c>
      <c r="R344" s="63"/>
      <c r="S344" s="10"/>
      <c r="T344" s="10"/>
      <c r="U344" s="17"/>
      <c r="V344" s="10"/>
      <c r="W344" s="10"/>
      <c r="X344" s="10"/>
    </row>
    <row r="345" spans="2:24">
      <c r="B345" s="11"/>
      <c r="C345" s="10"/>
      <c r="D345" s="10"/>
      <c r="E345" s="10"/>
      <c r="F345" s="10"/>
      <c r="G345" s="10"/>
      <c r="H345" s="10"/>
      <c r="I345" s="10"/>
      <c r="J345" s="10" t="s">
        <v>44</v>
      </c>
      <c r="K345" s="63">
        <f>K337</f>
        <v>2</v>
      </c>
      <c r="L345" s="63">
        <f t="shared" si="69"/>
        <v>5</v>
      </c>
      <c r="M345" s="63">
        <f t="shared" si="69"/>
        <v>6</v>
      </c>
      <c r="N345" s="63">
        <f t="shared" si="69"/>
        <v>1</v>
      </c>
      <c r="O345" s="63">
        <f t="shared" si="69"/>
        <v>0</v>
      </c>
      <c r="P345" s="63">
        <f t="shared" si="69"/>
        <v>14</v>
      </c>
      <c r="Q345" s="63">
        <f t="shared" si="69"/>
        <v>0</v>
      </c>
      <c r="R345" s="63"/>
      <c r="S345" s="10"/>
      <c r="T345" s="10"/>
      <c r="U345" s="17"/>
      <c r="V345" s="10"/>
      <c r="W345" s="10"/>
      <c r="X345" s="10"/>
    </row>
    <row r="346" spans="2:24">
      <c r="B346" s="11"/>
      <c r="C346" s="10"/>
      <c r="D346" s="10"/>
      <c r="E346" s="12"/>
      <c r="F346" s="76"/>
      <c r="G346" s="10"/>
      <c r="H346" s="10"/>
      <c r="I346" s="10"/>
      <c r="J346" s="10" t="s">
        <v>46</v>
      </c>
      <c r="K346" s="31">
        <f t="shared" ref="K346:Q346" si="70">K344/(K344+K345)</f>
        <v>0.66666666666666663</v>
      </c>
      <c r="L346" s="31">
        <f t="shared" si="70"/>
        <v>0.2857142857142857</v>
      </c>
      <c r="M346" s="31">
        <f t="shared" si="70"/>
        <v>0.4</v>
      </c>
      <c r="N346" s="31">
        <f t="shared" si="70"/>
        <v>0.75</v>
      </c>
      <c r="O346" s="31" t="e">
        <f t="shared" si="70"/>
        <v>#DIV/0!</v>
      </c>
      <c r="P346" s="31">
        <f t="shared" si="70"/>
        <v>0.48148148148148145</v>
      </c>
      <c r="Q346" s="31" t="e">
        <f t="shared" si="70"/>
        <v>#DIV/0!</v>
      </c>
      <c r="R346" s="63"/>
      <c r="S346" s="10"/>
      <c r="T346" s="10"/>
      <c r="U346" s="17"/>
      <c r="V346" s="10"/>
      <c r="W346" s="10"/>
      <c r="X346" s="10"/>
    </row>
    <row r="347" spans="2:24">
      <c r="B347" s="11"/>
      <c r="C347" s="10"/>
      <c r="D347" s="10"/>
      <c r="E347" s="10"/>
      <c r="F347" s="10"/>
      <c r="G347" s="10"/>
      <c r="H347" s="10"/>
      <c r="I347" s="10"/>
      <c r="J347" s="10" t="s">
        <v>48</v>
      </c>
      <c r="K347" s="66">
        <f t="shared" ref="K347:Q347" si="71">K343/K344</f>
        <v>1346.7125000000001</v>
      </c>
      <c r="L347" s="66">
        <f t="shared" si="71"/>
        <v>859.5</v>
      </c>
      <c r="M347" s="66">
        <f t="shared" si="71"/>
        <v>1416</v>
      </c>
      <c r="N347" s="66">
        <f t="shared" si="71"/>
        <v>1539.6666666666667</v>
      </c>
      <c r="O347" s="66" t="e">
        <f t="shared" si="71"/>
        <v>#DIV/0!</v>
      </c>
      <c r="P347" s="66">
        <f t="shared" si="71"/>
        <v>1337.603846153846</v>
      </c>
      <c r="Q347" s="66" t="e">
        <f t="shared" si="71"/>
        <v>#DIV/0!</v>
      </c>
      <c r="R347" s="63"/>
      <c r="S347" s="10"/>
      <c r="T347" s="10"/>
      <c r="U347" s="17"/>
      <c r="V347" s="10"/>
      <c r="W347" s="10"/>
      <c r="X347" s="10"/>
    </row>
    <row r="348" spans="2:24">
      <c r="B348" s="11"/>
      <c r="C348" s="10"/>
      <c r="D348" s="10"/>
      <c r="E348" s="10"/>
      <c r="F348" s="10"/>
      <c r="G348" s="10"/>
      <c r="H348" s="10"/>
      <c r="I348" s="10"/>
      <c r="J348" s="10"/>
      <c r="K348" s="10"/>
      <c r="L348" s="10"/>
      <c r="M348" s="10"/>
      <c r="N348" s="10"/>
      <c r="O348" s="10"/>
      <c r="P348" s="10"/>
      <c r="Q348" s="10"/>
      <c r="R348" s="10"/>
      <c r="S348" s="10"/>
      <c r="T348" s="10"/>
      <c r="U348" s="17"/>
      <c r="V348" s="10"/>
      <c r="W348" s="10"/>
      <c r="X348" s="10"/>
    </row>
    <row r="349" spans="2:24">
      <c r="B349" s="11"/>
      <c r="C349" s="10"/>
      <c r="D349" s="10"/>
      <c r="E349" s="10"/>
      <c r="F349" s="10"/>
      <c r="G349" s="10"/>
      <c r="H349" s="10"/>
      <c r="I349" s="10"/>
      <c r="J349" s="10"/>
      <c r="K349" s="10"/>
      <c r="L349" s="10"/>
      <c r="M349" s="10"/>
      <c r="N349" s="10"/>
      <c r="O349" s="10"/>
      <c r="P349" s="10"/>
      <c r="Q349" s="10"/>
      <c r="R349" s="10"/>
      <c r="S349" s="10"/>
      <c r="T349" s="10"/>
      <c r="U349" s="17"/>
      <c r="V349" s="10"/>
      <c r="W349" s="10"/>
      <c r="X349" s="10"/>
    </row>
    <row r="350" spans="2:24">
      <c r="B350" s="18" t="s">
        <v>51</v>
      </c>
      <c r="C350" s="14"/>
      <c r="D350" s="14"/>
      <c r="E350" s="14"/>
      <c r="F350" s="13" t="s">
        <v>52</v>
      </c>
      <c r="G350" s="14"/>
      <c r="H350" s="14"/>
      <c r="I350" s="14"/>
      <c r="J350" s="14"/>
      <c r="K350" s="13" t="s">
        <v>3</v>
      </c>
      <c r="L350" s="14"/>
      <c r="M350" s="14"/>
      <c r="N350" s="13" t="s">
        <v>4</v>
      </c>
      <c r="O350" s="14"/>
      <c r="P350" s="14"/>
      <c r="Q350" s="13" t="s">
        <v>5</v>
      </c>
      <c r="R350" s="14"/>
      <c r="S350" s="14"/>
      <c r="T350" s="18"/>
      <c r="U350" s="16" t="s">
        <v>53</v>
      </c>
      <c r="V350" s="77"/>
      <c r="W350" s="77"/>
      <c r="X350" s="77"/>
    </row>
    <row r="351" spans="2:24">
      <c r="B351" s="24" t="s">
        <v>54</v>
      </c>
      <c r="C351" s="21" t="s">
        <v>55</v>
      </c>
      <c r="D351" s="21" t="s">
        <v>56</v>
      </c>
      <c r="E351" s="21" t="s">
        <v>57</v>
      </c>
      <c r="F351" s="20" t="s">
        <v>58</v>
      </c>
      <c r="G351" s="21" t="s">
        <v>59</v>
      </c>
      <c r="H351" s="21" t="s">
        <v>60</v>
      </c>
      <c r="I351" s="21" t="s">
        <v>26</v>
      </c>
      <c r="J351" s="22" t="s">
        <v>61</v>
      </c>
      <c r="K351" s="21" t="s">
        <v>8</v>
      </c>
      <c r="L351" s="21" t="s">
        <v>9</v>
      </c>
      <c r="M351" s="21" t="s">
        <v>10</v>
      </c>
      <c r="N351" s="20" t="s">
        <v>11</v>
      </c>
      <c r="O351" s="21" t="s">
        <v>12</v>
      </c>
      <c r="P351" s="22" t="s">
        <v>13</v>
      </c>
      <c r="Q351" s="21" t="s">
        <v>11</v>
      </c>
      <c r="R351" s="21" t="s">
        <v>12</v>
      </c>
      <c r="S351" s="21" t="s">
        <v>13</v>
      </c>
      <c r="T351" s="78" t="s">
        <v>14</v>
      </c>
      <c r="U351" s="30"/>
      <c r="V351" s="79" t="s">
        <v>62</v>
      </c>
      <c r="W351" s="80" t="s">
        <v>63</v>
      </c>
      <c r="X351" s="81" t="s">
        <v>64</v>
      </c>
    </row>
    <row r="352" spans="2:24">
      <c r="B352" s="4" t="s">
        <v>65</v>
      </c>
      <c r="C352" s="6"/>
      <c r="D352" s="6"/>
      <c r="E352" s="6"/>
      <c r="F352" s="6"/>
      <c r="G352" s="6"/>
      <c r="H352" s="6"/>
      <c r="I352" s="82"/>
      <c r="J352" s="6"/>
      <c r="K352" s="6"/>
      <c r="L352" s="6"/>
      <c r="M352" s="6"/>
      <c r="N352" s="6"/>
      <c r="O352" s="6"/>
      <c r="P352" s="6"/>
      <c r="Q352" s="6"/>
      <c r="R352" s="6"/>
      <c r="S352" s="6"/>
      <c r="T352" s="83"/>
      <c r="U352" s="6"/>
      <c r="V352" s="84"/>
      <c r="W352" s="85"/>
      <c r="X352" s="86"/>
    </row>
    <row r="353" spans="1:24">
      <c r="A353" s="2" t="s">
        <v>824</v>
      </c>
      <c r="B353" s="87">
        <v>1</v>
      </c>
      <c r="C353" s="274">
        <v>45922</v>
      </c>
      <c r="D353" s="320" t="s">
        <v>825</v>
      </c>
      <c r="E353" s="276" t="s">
        <v>317</v>
      </c>
      <c r="F353" s="277">
        <v>523</v>
      </c>
      <c r="G353" s="277">
        <f>+(18)+200</f>
        <v>218</v>
      </c>
      <c r="H353" s="297"/>
      <c r="I353" s="329">
        <f>F353-G353-H353</f>
        <v>305</v>
      </c>
      <c r="J353" s="279" t="s">
        <v>156</v>
      </c>
      <c r="K353" s="279">
        <v>1</v>
      </c>
      <c r="L353" s="322">
        <v>0</v>
      </c>
      <c r="M353" s="279">
        <v>1</v>
      </c>
      <c r="N353" s="279">
        <v>1</v>
      </c>
      <c r="O353" s="279">
        <v>1</v>
      </c>
      <c r="P353" s="279">
        <v>1</v>
      </c>
      <c r="Q353" s="279">
        <v>1</v>
      </c>
      <c r="R353" s="279">
        <v>1</v>
      </c>
      <c r="S353" s="280">
        <v>1</v>
      </c>
      <c r="T353" s="63"/>
      <c r="U353" s="10" t="s">
        <v>826</v>
      </c>
      <c r="V353" s="90">
        <v>575.29999999999995</v>
      </c>
      <c r="W353" s="91"/>
      <c r="X353" s="92"/>
    </row>
    <row r="354" spans="1:24">
      <c r="B354" s="87">
        <f t="shared" ref="B354:B365" si="72">B353+1</f>
        <v>2</v>
      </c>
      <c r="C354" s="295">
        <v>45922</v>
      </c>
      <c r="D354" s="323">
        <v>73491</v>
      </c>
      <c r="E354" s="10" t="s">
        <v>382</v>
      </c>
      <c r="F354" s="62">
        <f>1766-85</f>
        <v>1681</v>
      </c>
      <c r="G354" s="62">
        <f>39.7+(88.53)</f>
        <v>128.23000000000002</v>
      </c>
      <c r="H354" s="62"/>
      <c r="I354" s="89">
        <f>F354-G354-H354</f>
        <v>1552.77</v>
      </c>
      <c r="J354" s="63" t="s">
        <v>156</v>
      </c>
      <c r="K354" s="63">
        <v>1</v>
      </c>
      <c r="L354" s="63">
        <v>1</v>
      </c>
      <c r="M354" s="63">
        <v>1</v>
      </c>
      <c r="N354" s="63">
        <v>1</v>
      </c>
      <c r="O354" s="63">
        <v>1</v>
      </c>
      <c r="P354" s="63">
        <v>1</v>
      </c>
      <c r="Q354" s="63">
        <v>1</v>
      </c>
      <c r="R354" s="63">
        <v>1</v>
      </c>
      <c r="S354" s="296">
        <v>1</v>
      </c>
      <c r="T354" s="63"/>
      <c r="U354" s="10"/>
      <c r="V354" s="90">
        <f>93.5+1755.6</f>
        <v>1849.1</v>
      </c>
      <c r="W354" s="91"/>
      <c r="X354" s="92"/>
    </row>
    <row r="355" spans="1:24">
      <c r="B355" s="87">
        <f t="shared" si="72"/>
        <v>3</v>
      </c>
      <c r="C355" s="295">
        <v>45922</v>
      </c>
      <c r="D355" s="323" t="s">
        <v>827</v>
      </c>
      <c r="E355" s="10" t="s">
        <v>382</v>
      </c>
      <c r="F355" s="62">
        <v>1261</v>
      </c>
      <c r="G355" s="62">
        <f>39.7</f>
        <v>39.700000000000003</v>
      </c>
      <c r="H355" s="62"/>
      <c r="I355" s="324">
        <f>F355-G355-H355</f>
        <v>1221.3</v>
      </c>
      <c r="J355" s="63" t="s">
        <v>156</v>
      </c>
      <c r="K355" s="63">
        <v>1</v>
      </c>
      <c r="L355" s="63">
        <v>1</v>
      </c>
      <c r="M355" s="63">
        <v>1</v>
      </c>
      <c r="N355" s="63">
        <v>1</v>
      </c>
      <c r="O355" s="63">
        <v>1</v>
      </c>
      <c r="P355" s="63">
        <v>1</v>
      </c>
      <c r="Q355" s="325">
        <v>0</v>
      </c>
      <c r="R355" s="325">
        <v>0</v>
      </c>
      <c r="S355" s="326">
        <v>0</v>
      </c>
      <c r="T355" s="63"/>
      <c r="U355" s="10"/>
      <c r="V355" s="90">
        <v>1387.1</v>
      </c>
      <c r="W355" s="91"/>
      <c r="X355" s="92"/>
    </row>
    <row r="356" spans="1:24">
      <c r="B356" s="87">
        <f t="shared" si="72"/>
        <v>4</v>
      </c>
      <c r="C356" s="295">
        <v>45922</v>
      </c>
      <c r="D356" s="323">
        <v>73503</v>
      </c>
      <c r="E356" s="94" t="s">
        <v>292</v>
      </c>
      <c r="F356" s="62">
        <v>1921.85</v>
      </c>
      <c r="G356" s="62">
        <f>39.7</f>
        <v>39.700000000000003</v>
      </c>
      <c r="H356" s="62"/>
      <c r="I356" s="369">
        <f>F356-G356-H356</f>
        <v>1882.1499999999999</v>
      </c>
      <c r="J356" s="63" t="s">
        <v>156</v>
      </c>
      <c r="K356" s="63">
        <v>1</v>
      </c>
      <c r="L356" s="63">
        <v>1</v>
      </c>
      <c r="M356" s="63">
        <v>1</v>
      </c>
      <c r="N356" s="63">
        <v>1</v>
      </c>
      <c r="O356" s="63">
        <v>1</v>
      </c>
      <c r="P356" s="63">
        <v>1</v>
      </c>
      <c r="Q356" s="63">
        <v>1</v>
      </c>
      <c r="R356" s="63">
        <v>1</v>
      </c>
      <c r="S356" s="326">
        <v>0</v>
      </c>
      <c r="T356" s="21">
        <v>1</v>
      </c>
      <c r="U356" s="10" t="s">
        <v>828</v>
      </c>
      <c r="V356" s="90">
        <v>2114.04</v>
      </c>
      <c r="W356" s="91"/>
      <c r="X356" s="92"/>
    </row>
    <row r="357" spans="1:24">
      <c r="B357" s="87">
        <f t="shared" si="72"/>
        <v>5</v>
      </c>
      <c r="C357" s="274">
        <v>45923</v>
      </c>
      <c r="D357" s="327">
        <v>73374</v>
      </c>
      <c r="E357" s="276" t="s">
        <v>327</v>
      </c>
      <c r="F357" s="277">
        <v>1038</v>
      </c>
      <c r="G357" s="277">
        <f>39.7+(58.14)</f>
        <v>97.84</v>
      </c>
      <c r="H357" s="277"/>
      <c r="I357" s="278">
        <f>F357-G357-H357</f>
        <v>940.16</v>
      </c>
      <c r="J357" s="279" t="s">
        <v>156</v>
      </c>
      <c r="K357" s="279">
        <v>1</v>
      </c>
      <c r="L357" s="279">
        <v>1</v>
      </c>
      <c r="M357" s="279">
        <v>1</v>
      </c>
      <c r="N357" s="279">
        <v>1</v>
      </c>
      <c r="O357" s="279">
        <v>1</v>
      </c>
      <c r="P357" s="279">
        <v>1</v>
      </c>
      <c r="Q357" s="279">
        <v>1</v>
      </c>
      <c r="R357" s="279">
        <v>1</v>
      </c>
      <c r="S357" s="280">
        <v>1</v>
      </c>
      <c r="T357" s="21">
        <v>3</v>
      </c>
      <c r="U357" s="10"/>
      <c r="V357" s="90">
        <v>1141.8</v>
      </c>
      <c r="W357" s="91"/>
      <c r="X357" s="92"/>
    </row>
    <row r="358" spans="1:24">
      <c r="B358" s="87">
        <f t="shared" si="72"/>
        <v>6</v>
      </c>
      <c r="C358" s="295">
        <v>45923</v>
      </c>
      <c r="D358" s="323">
        <v>73535</v>
      </c>
      <c r="E358" s="10" t="s">
        <v>384</v>
      </c>
      <c r="F358" s="62">
        <v>681</v>
      </c>
      <c r="G358" s="62"/>
      <c r="H358" s="88"/>
      <c r="I358" s="89">
        <f>F358-G358-H358</f>
        <v>681</v>
      </c>
      <c r="J358" s="63" t="s">
        <v>156</v>
      </c>
      <c r="K358" s="63">
        <v>1</v>
      </c>
      <c r="L358" s="63">
        <v>1</v>
      </c>
      <c r="M358" s="63">
        <v>1</v>
      </c>
      <c r="N358" s="63">
        <v>1</v>
      </c>
      <c r="O358" s="63">
        <v>1</v>
      </c>
      <c r="P358" s="63">
        <v>1</v>
      </c>
      <c r="Q358" s="63">
        <v>1</v>
      </c>
      <c r="R358" s="63">
        <v>1</v>
      </c>
      <c r="S358" s="296">
        <v>1</v>
      </c>
      <c r="T358" s="63"/>
      <c r="U358" s="10"/>
      <c r="V358" s="90">
        <v>749.1</v>
      </c>
      <c r="W358" s="91"/>
      <c r="X358" s="92"/>
    </row>
    <row r="359" spans="1:24">
      <c r="A359" t="s">
        <v>230</v>
      </c>
      <c r="B359" s="87">
        <f>B358+1</f>
        <v>7</v>
      </c>
      <c r="C359" s="274">
        <v>45924</v>
      </c>
      <c r="D359" s="327">
        <v>73553</v>
      </c>
      <c r="E359" s="276" t="s">
        <v>302</v>
      </c>
      <c r="F359" s="277">
        <v>1153</v>
      </c>
      <c r="G359" s="277">
        <f>39.7</f>
        <v>39.700000000000003</v>
      </c>
      <c r="H359" s="297"/>
      <c r="I359" s="329">
        <f>F359-G359-H359</f>
        <v>1113.3</v>
      </c>
      <c r="J359" s="279" t="s">
        <v>156</v>
      </c>
      <c r="K359" s="279">
        <v>1</v>
      </c>
      <c r="L359" s="322">
        <v>0</v>
      </c>
      <c r="M359" s="279">
        <v>1</v>
      </c>
      <c r="N359" s="279">
        <v>1</v>
      </c>
      <c r="O359" s="279">
        <v>1</v>
      </c>
      <c r="P359" s="279">
        <v>1</v>
      </c>
      <c r="Q359" s="279">
        <v>1</v>
      </c>
      <c r="R359" s="279">
        <v>1</v>
      </c>
      <c r="S359" s="280">
        <v>1</v>
      </c>
      <c r="T359" s="63"/>
      <c r="U359" s="10"/>
      <c r="V359" s="90">
        <f>250+1018.3</f>
        <v>1268.3</v>
      </c>
      <c r="W359" s="91"/>
      <c r="X359" s="92"/>
    </row>
    <row r="360" spans="1:24">
      <c r="A360" t="s">
        <v>230</v>
      </c>
      <c r="B360" s="87">
        <f t="shared" si="72"/>
        <v>8</v>
      </c>
      <c r="C360" s="295">
        <v>45924</v>
      </c>
      <c r="D360" s="323" t="s">
        <v>829</v>
      </c>
      <c r="E360" s="10" t="s">
        <v>302</v>
      </c>
      <c r="F360" s="62">
        <v>2214</v>
      </c>
      <c r="G360" s="62">
        <f>39.7+(300.53)</f>
        <v>340.22999999999996</v>
      </c>
      <c r="H360" s="88"/>
      <c r="I360" s="369">
        <f>F360-G360-H360</f>
        <v>1873.77</v>
      </c>
      <c r="J360" s="63" t="s">
        <v>156</v>
      </c>
      <c r="K360" s="63">
        <v>1</v>
      </c>
      <c r="L360" s="325">
        <v>0</v>
      </c>
      <c r="M360" s="63">
        <v>1</v>
      </c>
      <c r="N360" s="63">
        <v>1</v>
      </c>
      <c r="O360" s="63">
        <v>1</v>
      </c>
      <c r="P360" s="63">
        <v>1</v>
      </c>
      <c r="Q360" s="63">
        <v>1</v>
      </c>
      <c r="R360" s="63">
        <v>1</v>
      </c>
      <c r="S360" s="296">
        <v>1</v>
      </c>
      <c r="T360" s="63"/>
      <c r="U360" s="10"/>
      <c r="V360" s="90">
        <v>2435.4</v>
      </c>
      <c r="W360" s="91"/>
      <c r="X360" s="92"/>
    </row>
    <row r="361" spans="1:24">
      <c r="B361" s="87">
        <f t="shared" si="72"/>
        <v>9</v>
      </c>
      <c r="C361" s="295">
        <v>45924</v>
      </c>
      <c r="D361" s="323">
        <v>73627</v>
      </c>
      <c r="E361" s="10" t="s">
        <v>382</v>
      </c>
      <c r="F361" s="62">
        <v>616</v>
      </c>
      <c r="G361" s="62"/>
      <c r="H361" s="88"/>
      <c r="I361" s="89">
        <f>F361-G361-H361</f>
        <v>616</v>
      </c>
      <c r="J361" s="63" t="s">
        <v>156</v>
      </c>
      <c r="K361" s="63">
        <v>1</v>
      </c>
      <c r="L361" s="63">
        <v>1</v>
      </c>
      <c r="M361" s="63">
        <v>1</v>
      </c>
      <c r="N361" s="63">
        <v>1</v>
      </c>
      <c r="O361" s="63">
        <v>1</v>
      </c>
      <c r="P361" s="63">
        <v>1</v>
      </c>
      <c r="Q361" s="63">
        <v>1</v>
      </c>
      <c r="R361" s="63">
        <v>1</v>
      </c>
      <c r="S361" s="296">
        <v>1</v>
      </c>
      <c r="T361" s="63"/>
      <c r="U361" s="10"/>
      <c r="V361" s="90">
        <v>677.6</v>
      </c>
      <c r="W361" s="91"/>
      <c r="X361" s="92"/>
    </row>
    <row r="362" spans="1:24">
      <c r="B362" s="87">
        <f t="shared" si="72"/>
        <v>10</v>
      </c>
      <c r="C362" s="295">
        <v>45924</v>
      </c>
      <c r="D362" s="323">
        <v>73649</v>
      </c>
      <c r="E362" s="10" t="s">
        <v>327</v>
      </c>
      <c r="F362" s="95">
        <v>1681</v>
      </c>
      <c r="G362" s="62">
        <f>39.7</f>
        <v>39.700000000000003</v>
      </c>
      <c r="H362" s="62"/>
      <c r="I362" s="89">
        <f>F362-G362-H362</f>
        <v>1641.3</v>
      </c>
      <c r="J362" s="63" t="s">
        <v>156</v>
      </c>
      <c r="K362" s="63">
        <v>1</v>
      </c>
      <c r="L362" s="63">
        <v>1</v>
      </c>
      <c r="M362" s="63">
        <v>1</v>
      </c>
      <c r="N362" s="63">
        <v>1</v>
      </c>
      <c r="O362" s="63">
        <v>1</v>
      </c>
      <c r="P362" s="63">
        <v>1</v>
      </c>
      <c r="Q362" s="63">
        <v>1</v>
      </c>
      <c r="R362" s="63">
        <v>1</v>
      </c>
      <c r="S362" s="296">
        <v>1</v>
      </c>
      <c r="T362" s="63"/>
      <c r="U362" s="10" t="s">
        <v>830</v>
      </c>
      <c r="V362" s="90">
        <v>1849.1</v>
      </c>
      <c r="W362" s="91"/>
      <c r="X362" s="92"/>
    </row>
    <row r="363" spans="1:24">
      <c r="B363" s="87">
        <f t="shared" si="72"/>
        <v>11</v>
      </c>
      <c r="C363" s="274">
        <v>45925</v>
      </c>
      <c r="D363" s="327">
        <v>73676</v>
      </c>
      <c r="E363" s="276" t="s">
        <v>317</v>
      </c>
      <c r="F363" s="447">
        <v>581</v>
      </c>
      <c r="G363" s="277"/>
      <c r="H363" s="277"/>
      <c r="I363" s="321">
        <f>F363-G363-H363</f>
        <v>581</v>
      </c>
      <c r="J363" s="279" t="s">
        <v>156</v>
      </c>
      <c r="K363" s="279">
        <v>1</v>
      </c>
      <c r="L363" s="279">
        <v>1</v>
      </c>
      <c r="M363" s="279">
        <v>1</v>
      </c>
      <c r="N363" s="279">
        <v>1</v>
      </c>
      <c r="O363" s="279">
        <v>1</v>
      </c>
      <c r="P363" s="279">
        <v>1</v>
      </c>
      <c r="Q363" s="279">
        <v>1</v>
      </c>
      <c r="R363" s="279">
        <v>1</v>
      </c>
      <c r="S363" s="328">
        <v>0</v>
      </c>
      <c r="T363" s="63"/>
      <c r="U363" s="10"/>
      <c r="V363" s="90">
        <v>639.1</v>
      </c>
      <c r="W363" s="91"/>
      <c r="X363" s="92"/>
    </row>
    <row r="364" spans="1:24">
      <c r="B364" s="87">
        <f t="shared" si="72"/>
        <v>12</v>
      </c>
      <c r="C364" s="295">
        <v>45925</v>
      </c>
      <c r="D364" s="323">
        <v>73436</v>
      </c>
      <c r="E364" s="10" t="s">
        <v>172</v>
      </c>
      <c r="F364" s="95">
        <v>3305</v>
      </c>
      <c r="G364" s="62">
        <f>39.7+80.65</f>
        <v>120.35000000000001</v>
      </c>
      <c r="H364" s="62"/>
      <c r="I364" s="89">
        <f>F364-G364-H364</f>
        <v>3184.65</v>
      </c>
      <c r="J364" s="63" t="s">
        <v>156</v>
      </c>
      <c r="K364" s="63">
        <v>1</v>
      </c>
      <c r="L364" s="63">
        <v>1</v>
      </c>
      <c r="M364" s="63">
        <v>1</v>
      </c>
      <c r="N364" s="63">
        <v>1</v>
      </c>
      <c r="O364" s="63">
        <v>1</v>
      </c>
      <c r="P364" s="63">
        <v>1</v>
      </c>
      <c r="Q364" s="63">
        <v>1</v>
      </c>
      <c r="R364" s="63">
        <v>1</v>
      </c>
      <c r="S364" s="296">
        <v>1</v>
      </c>
      <c r="T364" s="63"/>
      <c r="U364" s="10"/>
      <c r="V364" s="90">
        <v>3635.5</v>
      </c>
      <c r="W364" s="91"/>
      <c r="X364" s="92"/>
    </row>
    <row r="365" spans="1:24">
      <c r="B365" s="87">
        <f t="shared" si="72"/>
        <v>13</v>
      </c>
      <c r="C365" s="282">
        <v>45925</v>
      </c>
      <c r="D365" s="368">
        <v>73685</v>
      </c>
      <c r="E365" s="283" t="s">
        <v>278</v>
      </c>
      <c r="F365" s="423">
        <v>733</v>
      </c>
      <c r="G365" s="284">
        <f>39.7</f>
        <v>39.700000000000003</v>
      </c>
      <c r="H365" s="284"/>
      <c r="I365" s="285">
        <f>F365-G365-H365</f>
        <v>693.3</v>
      </c>
      <c r="J365" s="286" t="s">
        <v>156</v>
      </c>
      <c r="K365" s="286">
        <v>1</v>
      </c>
      <c r="L365" s="286">
        <v>1</v>
      </c>
      <c r="M365" s="286">
        <v>1</v>
      </c>
      <c r="N365" s="286">
        <v>1</v>
      </c>
      <c r="O365" s="286">
        <v>1</v>
      </c>
      <c r="P365" s="286">
        <v>1</v>
      </c>
      <c r="Q365" s="286">
        <v>1</v>
      </c>
      <c r="R365" s="286">
        <v>1</v>
      </c>
      <c r="S365" s="287">
        <v>1</v>
      </c>
      <c r="T365" s="63"/>
      <c r="U365" s="10"/>
      <c r="V365" s="90">
        <v>806.3</v>
      </c>
      <c r="W365" s="91"/>
      <c r="X365" s="92"/>
    </row>
    <row r="366" spans="1:24">
      <c r="B366" s="87"/>
      <c r="C366" s="36"/>
      <c r="D366" s="10"/>
      <c r="E366" s="10"/>
      <c r="F366" s="97">
        <f>SUM(F353:F365)</f>
        <v>17388.849999999999</v>
      </c>
      <c r="G366" s="97">
        <f>SUM(G353:G365)</f>
        <v>1103.1500000000001</v>
      </c>
      <c r="H366" s="97">
        <f>SUM(H353:H365)</f>
        <v>0</v>
      </c>
      <c r="I366" s="98">
        <f>SUM(I353:I365)</f>
        <v>16285.699999999997</v>
      </c>
      <c r="J366" s="63"/>
      <c r="K366" s="63">
        <f>COUNT(K353:K365)</f>
        <v>13</v>
      </c>
      <c r="L366" s="63">
        <f>COUNT(L353:L365)</f>
        <v>13</v>
      </c>
      <c r="M366" s="63">
        <f>COUNT(M353:M365)</f>
        <v>13</v>
      </c>
      <c r="N366" s="63">
        <f>COUNT(N353:N365)</f>
        <v>13</v>
      </c>
      <c r="O366" s="63">
        <f>COUNT(O353:O365)</f>
        <v>13</v>
      </c>
      <c r="P366" s="63">
        <f>COUNT(P353:P365)</f>
        <v>13</v>
      </c>
      <c r="Q366" s="63">
        <f>COUNT(Q353:Q365)</f>
        <v>13</v>
      </c>
      <c r="R366" s="63">
        <f>COUNT(R353:R365)</f>
        <v>13</v>
      </c>
      <c r="S366" s="63">
        <f>COUNT(S353:S365)</f>
        <v>13</v>
      </c>
      <c r="T366" s="63"/>
      <c r="U366" s="10"/>
      <c r="V366" s="90"/>
      <c r="W366" s="91"/>
      <c r="X366" s="92"/>
    </row>
    <row r="367" spans="1:24">
      <c r="B367" s="87"/>
      <c r="C367" s="36"/>
      <c r="D367" s="10"/>
      <c r="E367" s="10"/>
      <c r="F367" s="88"/>
      <c r="G367" s="88"/>
      <c r="H367" s="88"/>
      <c r="I367" s="99"/>
      <c r="J367" s="63"/>
      <c r="K367" s="21">
        <f>SUM(K353:K365)</f>
        <v>13</v>
      </c>
      <c r="L367" s="21">
        <f>SUM(L353:L365)</f>
        <v>10</v>
      </c>
      <c r="M367" s="21">
        <f>SUM(M353:M365)</f>
        <v>13</v>
      </c>
      <c r="N367" s="21">
        <f>SUM(N353:N365)</f>
        <v>13</v>
      </c>
      <c r="O367" s="21">
        <f>SUM(O353:O365)</f>
        <v>13</v>
      </c>
      <c r="P367" s="21">
        <f>SUM(P353:P365)</f>
        <v>13</v>
      </c>
      <c r="Q367" s="21">
        <f>SUM(Q353:Q365)</f>
        <v>12</v>
      </c>
      <c r="R367" s="21">
        <f>SUM(R353:R365)</f>
        <v>12</v>
      </c>
      <c r="S367" s="21">
        <f>SUM(S353:S365)</f>
        <v>10</v>
      </c>
      <c r="T367" s="63"/>
      <c r="U367" s="10"/>
      <c r="V367" s="90"/>
      <c r="W367" s="91"/>
      <c r="X367" s="92"/>
    </row>
    <row r="368" spans="1:24">
      <c r="B368" s="11"/>
      <c r="C368" s="36"/>
      <c r="D368" s="10"/>
      <c r="E368" s="10"/>
      <c r="F368" s="88"/>
      <c r="G368" s="88"/>
      <c r="H368" s="88"/>
      <c r="I368" s="99"/>
      <c r="J368" s="63"/>
      <c r="K368" s="21"/>
      <c r="L368" s="21"/>
      <c r="M368" s="21"/>
      <c r="N368" s="21"/>
      <c r="O368" s="21"/>
      <c r="P368" s="21"/>
      <c r="Q368" s="21"/>
      <c r="R368" s="21"/>
      <c r="S368" s="21"/>
      <c r="T368" s="63"/>
      <c r="U368" s="94"/>
      <c r="V368" s="90"/>
      <c r="W368" s="91"/>
      <c r="X368" s="92"/>
    </row>
    <row r="369" spans="1:25">
      <c r="B369" s="100" t="s">
        <v>67</v>
      </c>
      <c r="C369" s="36"/>
      <c r="D369" s="10"/>
      <c r="E369" s="10"/>
      <c r="F369" s="88"/>
      <c r="G369" s="62"/>
      <c r="H369" s="88"/>
      <c r="I369" s="99"/>
      <c r="J369" s="63"/>
      <c r="K369" s="2"/>
      <c r="L369" s="2"/>
      <c r="M369" s="2"/>
      <c r="N369" s="2"/>
      <c r="O369" s="2"/>
      <c r="P369" s="2"/>
      <c r="Q369" s="2"/>
      <c r="R369" s="2"/>
      <c r="S369" s="2"/>
      <c r="T369" s="63"/>
      <c r="U369" s="94"/>
      <c r="V369" s="90"/>
      <c r="W369" s="91"/>
      <c r="X369" s="92"/>
    </row>
    <row r="370" spans="1:25">
      <c r="A370" s="494" t="s">
        <v>821</v>
      </c>
      <c r="B370" s="87">
        <v>1</v>
      </c>
      <c r="C370" s="262">
        <v>45911</v>
      </c>
      <c r="D370" s="263" t="s">
        <v>807</v>
      </c>
      <c r="E370" s="271" t="s">
        <v>798</v>
      </c>
      <c r="F370" s="265">
        <v>14953</v>
      </c>
      <c r="G370" s="265">
        <f>39.7+47.52+(35.4+58.44+96.89+95.72+63.1)+(249.7+60.44)+1000</f>
        <v>1746.91</v>
      </c>
      <c r="H370" s="265"/>
      <c r="I370" s="266">
        <f>F370-G370-H370</f>
        <v>13206.09</v>
      </c>
      <c r="J370" s="267" t="s">
        <v>228</v>
      </c>
      <c r="K370" s="267">
        <v>1</v>
      </c>
      <c r="L370" s="267">
        <v>1</v>
      </c>
      <c r="M370" s="267">
        <v>1</v>
      </c>
      <c r="N370" s="267">
        <v>1</v>
      </c>
      <c r="O370" s="267">
        <v>1</v>
      </c>
      <c r="P370" s="314">
        <v>0</v>
      </c>
      <c r="Q370" s="267">
        <v>1</v>
      </c>
      <c r="R370" s="267">
        <v>1</v>
      </c>
      <c r="S370" s="269">
        <v>1</v>
      </c>
      <c r="T370" s="63"/>
      <c r="U370" s="94" t="s">
        <v>831</v>
      </c>
      <c r="V370" s="90"/>
      <c r="W370" s="136"/>
      <c r="X370" s="137"/>
      <c r="Y370" s="181"/>
    </row>
    <row r="371" spans="1:25">
      <c r="B371" s="11"/>
      <c r="C371" s="36"/>
      <c r="D371" s="10"/>
      <c r="E371" s="10"/>
      <c r="F371" s="97">
        <f>SUM(F370:F370)</f>
        <v>14953</v>
      </c>
      <c r="G371" s="97">
        <f>SUM(G370:G370)</f>
        <v>1746.91</v>
      </c>
      <c r="H371" s="97">
        <f>SUM(H370:H370)</f>
        <v>0</v>
      </c>
      <c r="I371" s="98">
        <f>SUM(I370:I370)</f>
        <v>13206.09</v>
      </c>
      <c r="J371" s="63"/>
      <c r="K371" s="21"/>
      <c r="L371" s="21"/>
      <c r="M371" s="21"/>
      <c r="N371" s="21"/>
      <c r="O371" s="21"/>
      <c r="P371" s="21"/>
      <c r="Q371" s="21"/>
      <c r="R371" s="21"/>
      <c r="S371" s="21"/>
      <c r="T371" s="63"/>
      <c r="U371" s="94"/>
      <c r="V371" s="90"/>
      <c r="W371" s="91"/>
      <c r="X371" s="92"/>
    </row>
    <row r="372" spans="1:25">
      <c r="B372" s="11"/>
      <c r="C372" s="36"/>
      <c r="D372" s="10"/>
      <c r="E372" s="10"/>
      <c r="F372" s="88"/>
      <c r="G372" s="88"/>
      <c r="H372" s="88"/>
      <c r="I372" s="99"/>
      <c r="J372" s="63"/>
      <c r="K372" s="21"/>
      <c r="L372" s="21"/>
      <c r="M372" s="21"/>
      <c r="N372" s="21"/>
      <c r="O372" s="21"/>
      <c r="P372" s="21"/>
      <c r="Q372" s="21"/>
      <c r="R372" s="21"/>
      <c r="S372" s="21"/>
      <c r="T372" s="63"/>
      <c r="U372" s="94"/>
      <c r="V372" s="90"/>
      <c r="W372" s="91"/>
      <c r="X372" s="92"/>
    </row>
    <row r="373" spans="1:25" s="260" customFormat="1">
      <c r="A373" s="181"/>
      <c r="B373" s="100" t="s">
        <v>152</v>
      </c>
      <c r="C373" s="36"/>
      <c r="D373" s="10"/>
      <c r="E373" s="10"/>
      <c r="F373" s="88"/>
      <c r="G373" s="62"/>
      <c r="H373" s="88"/>
      <c r="I373" s="99"/>
      <c r="J373" s="63"/>
      <c r="K373" s="181"/>
      <c r="L373" s="181"/>
      <c r="M373" s="181"/>
      <c r="N373" s="181"/>
      <c r="O373" s="181"/>
      <c r="P373" s="181"/>
      <c r="Q373" s="181"/>
      <c r="R373" s="181"/>
      <c r="S373" s="181"/>
      <c r="T373" s="63"/>
      <c r="U373" s="10"/>
      <c r="V373" s="90"/>
      <c r="W373" s="91"/>
      <c r="X373" s="92"/>
    </row>
    <row r="374" spans="1:25" s="260" customFormat="1">
      <c r="A374" s="494">
        <v>0.05</v>
      </c>
      <c r="B374" s="87">
        <v>1</v>
      </c>
      <c r="C374" s="262">
        <v>45890</v>
      </c>
      <c r="D374" s="357" t="s">
        <v>759</v>
      </c>
      <c r="E374" s="271" t="s">
        <v>369</v>
      </c>
      <c r="F374" s="265">
        <v>4112</v>
      </c>
      <c r="G374" s="265">
        <f>39.7+(847.9+27.43+26.8)+300</f>
        <v>1241.83</v>
      </c>
      <c r="H374" s="265"/>
      <c r="I374" s="266">
        <f>F374-G374-H374</f>
        <v>2870.17</v>
      </c>
      <c r="J374" s="267" t="s">
        <v>228</v>
      </c>
      <c r="K374" s="267">
        <v>1</v>
      </c>
      <c r="L374" s="314">
        <v>0</v>
      </c>
      <c r="M374" s="267">
        <v>1</v>
      </c>
      <c r="N374" s="267">
        <v>1</v>
      </c>
      <c r="O374" s="267">
        <v>1</v>
      </c>
      <c r="P374" s="267">
        <v>1</v>
      </c>
      <c r="Q374" s="267">
        <v>1</v>
      </c>
      <c r="R374" s="267">
        <v>1</v>
      </c>
      <c r="S374" s="366">
        <v>0</v>
      </c>
      <c r="T374" s="63"/>
      <c r="U374" s="10" t="s">
        <v>760</v>
      </c>
      <c r="V374" s="90"/>
      <c r="W374" s="136"/>
      <c r="X374" s="137"/>
    </row>
    <row r="375" spans="1:25" s="260" customFormat="1">
      <c r="A375" s="494">
        <v>0.05</v>
      </c>
      <c r="B375" s="87">
        <f>B374+1</f>
        <v>2</v>
      </c>
      <c r="C375" s="262">
        <v>45905</v>
      </c>
      <c r="D375" s="263">
        <v>73026</v>
      </c>
      <c r="E375" s="264" t="s">
        <v>294</v>
      </c>
      <c r="F375" s="265">
        <f>1261-89</f>
        <v>1172</v>
      </c>
      <c r="G375" s="265">
        <f>39.7</f>
        <v>39.700000000000003</v>
      </c>
      <c r="H375" s="265"/>
      <c r="I375" s="266">
        <f>F375-G375-H375</f>
        <v>1132.3</v>
      </c>
      <c r="J375" s="267"/>
      <c r="K375" s="267">
        <v>1</v>
      </c>
      <c r="L375" s="267">
        <v>1</v>
      </c>
      <c r="M375" s="267"/>
      <c r="N375" s="267">
        <v>1</v>
      </c>
      <c r="O375" s="267">
        <v>1</v>
      </c>
      <c r="P375" s="314">
        <v>0</v>
      </c>
      <c r="Q375" s="267">
        <v>1</v>
      </c>
      <c r="R375" s="267">
        <v>1</v>
      </c>
      <c r="S375" s="366">
        <v>0</v>
      </c>
      <c r="T375" s="63"/>
      <c r="U375" s="10"/>
      <c r="V375" s="90"/>
      <c r="W375" s="91"/>
      <c r="X375" s="92"/>
    </row>
    <row r="376" spans="1:25" s="260" customFormat="1">
      <c r="A376" s="181"/>
      <c r="B376" s="11"/>
      <c r="C376" s="36"/>
      <c r="D376" s="10"/>
      <c r="E376" s="10"/>
      <c r="F376" s="98">
        <f>SUM(F374:F375)</f>
        <v>5284</v>
      </c>
      <c r="G376" s="98">
        <f>SUM(G374:G375)</f>
        <v>1281.53</v>
      </c>
      <c r="H376" s="98">
        <f>SUM(H374:H375)</f>
        <v>0</v>
      </c>
      <c r="I376" s="98">
        <f>SUM(I374:I375)</f>
        <v>4002.4700000000003</v>
      </c>
      <c r="J376" s="63"/>
      <c r="K376" s="21"/>
      <c r="L376" s="21"/>
      <c r="M376" s="21"/>
      <c r="N376" s="21"/>
      <c r="O376" s="21"/>
      <c r="P376" s="21"/>
      <c r="Q376" s="21"/>
      <c r="R376" s="21"/>
      <c r="S376" s="21"/>
      <c r="T376" s="63"/>
      <c r="U376" s="94"/>
      <c r="V376" s="90"/>
      <c r="W376" s="91"/>
      <c r="X376" s="92"/>
    </row>
    <row r="377" spans="1:25" s="260" customFormat="1">
      <c r="A377" s="181"/>
      <c r="B377" s="11"/>
      <c r="C377" s="36"/>
      <c r="D377" s="10"/>
      <c r="E377" s="10"/>
      <c r="F377" s="88"/>
      <c r="G377" s="88"/>
      <c r="H377" s="88"/>
      <c r="I377" s="99"/>
      <c r="J377" s="63"/>
      <c r="K377" s="21"/>
      <c r="L377" s="21"/>
      <c r="M377" s="21"/>
      <c r="N377" s="21"/>
      <c r="O377" s="21"/>
      <c r="P377" s="21"/>
      <c r="Q377" s="21"/>
      <c r="R377" s="21"/>
      <c r="S377" s="21"/>
      <c r="T377" s="63"/>
      <c r="U377" s="94"/>
      <c r="V377" s="90"/>
      <c r="W377" s="91"/>
      <c r="X377" s="92"/>
    </row>
    <row r="378" spans="1:25" s="260" customFormat="1">
      <c r="B378" s="100" t="s">
        <v>202</v>
      </c>
      <c r="C378" s="36"/>
      <c r="D378" s="10"/>
      <c r="E378" s="181"/>
      <c r="F378" s="88"/>
      <c r="G378" s="88"/>
      <c r="H378" s="88"/>
      <c r="I378" s="99"/>
      <c r="J378" s="63"/>
      <c r="K378" s="21"/>
      <c r="L378" s="21"/>
      <c r="M378" s="21"/>
      <c r="N378" s="21"/>
      <c r="O378" s="21"/>
      <c r="P378" s="21"/>
      <c r="Q378" s="21"/>
      <c r="R378" s="21"/>
      <c r="S378" s="21"/>
      <c r="T378" s="63"/>
      <c r="U378" s="94"/>
      <c r="V378" s="90"/>
      <c r="W378" s="91"/>
      <c r="X378" s="92"/>
      <c r="Y378" s="181"/>
    </row>
    <row r="379" spans="1:25" s="260" customFormat="1">
      <c r="A379" s="494">
        <v>0.05</v>
      </c>
      <c r="B379" s="87">
        <v>1</v>
      </c>
      <c r="C379" s="274">
        <v>45908</v>
      </c>
      <c r="D379" s="327">
        <v>73048</v>
      </c>
      <c r="E379" s="276" t="s">
        <v>211</v>
      </c>
      <c r="F379" s="277">
        <v>861</v>
      </c>
      <c r="G379" s="277">
        <f>39.7</f>
        <v>39.700000000000003</v>
      </c>
      <c r="H379" s="277"/>
      <c r="I379" s="278">
        <f>F379-G379-H379</f>
        <v>821.3</v>
      </c>
      <c r="J379" s="279" t="s">
        <v>156</v>
      </c>
      <c r="K379" s="279">
        <v>1</v>
      </c>
      <c r="L379" s="279"/>
      <c r="M379" s="279">
        <v>1</v>
      </c>
      <c r="N379" s="279">
        <v>1</v>
      </c>
      <c r="O379" s="279">
        <v>1</v>
      </c>
      <c r="P379" s="279">
        <v>1</v>
      </c>
      <c r="Q379" s="279"/>
      <c r="R379" s="279"/>
      <c r="S379" s="280"/>
      <c r="T379" s="63"/>
      <c r="U379" s="94" t="s">
        <v>806</v>
      </c>
      <c r="V379" s="90"/>
      <c r="W379" s="136"/>
      <c r="X379" s="137"/>
      <c r="Y379" s="181"/>
    </row>
    <row r="380" spans="1:25" s="260" customFormat="1">
      <c r="A380" s="261">
        <v>0.05</v>
      </c>
      <c r="B380" s="87">
        <f>B379+1</f>
        <v>2</v>
      </c>
      <c r="C380" s="262">
        <v>45917</v>
      </c>
      <c r="D380" s="263">
        <v>73379</v>
      </c>
      <c r="E380" s="271" t="s">
        <v>159</v>
      </c>
      <c r="F380" s="265">
        <v>4619</v>
      </c>
      <c r="G380" s="265">
        <f>39.7+300+(88.82+47.5+58.8)+(77+674.43)+300</f>
        <v>1586.25</v>
      </c>
      <c r="H380" s="265"/>
      <c r="I380" s="266">
        <f>F380-G380-H380</f>
        <v>3032.75</v>
      </c>
      <c r="J380" s="267" t="s">
        <v>228</v>
      </c>
      <c r="K380" s="267">
        <v>1</v>
      </c>
      <c r="L380" s="267"/>
      <c r="M380" s="267">
        <v>1</v>
      </c>
      <c r="N380" s="267">
        <v>1</v>
      </c>
      <c r="O380" s="267">
        <v>1</v>
      </c>
      <c r="P380" s="314">
        <v>0</v>
      </c>
      <c r="Q380" s="267"/>
      <c r="R380" s="267"/>
      <c r="S380" s="269"/>
      <c r="T380" s="63"/>
      <c r="U380" s="94" t="s">
        <v>832</v>
      </c>
      <c r="V380" s="90"/>
      <c r="W380" s="136"/>
      <c r="X380" s="137"/>
    </row>
    <row r="381" spans="1:25" s="260" customFormat="1">
      <c r="B381" s="11"/>
      <c r="C381" s="36"/>
      <c r="D381" s="10"/>
      <c r="E381" s="10"/>
      <c r="F381" s="97">
        <f>SUM(F379:F380)</f>
        <v>5480</v>
      </c>
      <c r="G381" s="97">
        <f t="shared" ref="G381:I381" si="73">SUM(G379:G380)</f>
        <v>1625.95</v>
      </c>
      <c r="H381" s="97">
        <f t="shared" si="73"/>
        <v>0</v>
      </c>
      <c r="I381" s="97">
        <f t="shared" si="73"/>
        <v>3854.05</v>
      </c>
      <c r="J381" s="63"/>
      <c r="K381" s="21"/>
      <c r="L381" s="21"/>
      <c r="M381" s="21"/>
      <c r="N381" s="21"/>
      <c r="O381" s="21"/>
      <c r="P381" s="21"/>
      <c r="Q381" s="21"/>
      <c r="R381" s="21"/>
      <c r="S381" s="21"/>
      <c r="T381" s="63"/>
      <c r="U381" s="94"/>
      <c r="V381" s="90"/>
      <c r="W381" s="91"/>
      <c r="X381" s="92"/>
      <c r="Y381" s="181"/>
    </row>
    <row r="382" spans="1:25" s="260" customFormat="1">
      <c r="B382" s="11"/>
      <c r="C382" s="36"/>
      <c r="D382" s="10"/>
      <c r="E382" s="10"/>
      <c r="F382" s="88"/>
      <c r="G382" s="88"/>
      <c r="H382" s="88"/>
      <c r="I382" s="99"/>
      <c r="J382" s="63"/>
      <c r="K382" s="21"/>
      <c r="L382" s="21"/>
      <c r="M382" s="21"/>
      <c r="N382" s="21"/>
      <c r="O382" s="21"/>
      <c r="P382" s="21"/>
      <c r="Q382" s="21"/>
      <c r="R382" s="21"/>
      <c r="S382" s="21"/>
      <c r="T382" s="63"/>
      <c r="U382" s="94"/>
      <c r="V382" s="90"/>
      <c r="W382" s="91"/>
      <c r="X382" s="92"/>
      <c r="Y382" s="181"/>
    </row>
    <row r="383" spans="1:25">
      <c r="B383" s="100" t="s">
        <v>72</v>
      </c>
      <c r="C383" s="609"/>
      <c r="D383" s="10"/>
      <c r="E383" s="10"/>
      <c r="F383" s="88"/>
      <c r="G383" s="88"/>
      <c r="H383" s="88"/>
      <c r="I383" s="99"/>
      <c r="J383" s="63"/>
      <c r="K383" s="63"/>
      <c r="L383" s="63"/>
      <c r="M383" s="63"/>
      <c r="N383" s="63"/>
      <c r="O383" s="63"/>
      <c r="P383" s="63"/>
      <c r="Q383" s="63"/>
      <c r="R383" s="63"/>
      <c r="S383" s="63"/>
      <c r="T383" s="63"/>
      <c r="U383" s="10"/>
      <c r="V383" s="90"/>
      <c r="W383" s="91"/>
      <c r="X383" s="92"/>
    </row>
    <row r="384" spans="1:25">
      <c r="B384" s="87">
        <v>1</v>
      </c>
      <c r="C384" s="274">
        <v>45922</v>
      </c>
      <c r="D384" s="276">
        <v>73487</v>
      </c>
      <c r="E384" s="276" t="s">
        <v>317</v>
      </c>
      <c r="F384" s="277">
        <v>681</v>
      </c>
      <c r="G384" s="277"/>
      <c r="H384" s="277"/>
      <c r="I384" s="278">
        <f t="shared" ref="I384:I397" si="74">F384-G384-H384</f>
        <v>681</v>
      </c>
      <c r="J384" s="279" t="s">
        <v>205</v>
      </c>
      <c r="K384" s="279">
        <v>1</v>
      </c>
      <c r="L384" s="279"/>
      <c r="M384" s="279"/>
      <c r="N384" s="279">
        <v>1</v>
      </c>
      <c r="O384" s="279"/>
      <c r="P384" s="279"/>
      <c r="Q384" s="279">
        <v>1</v>
      </c>
      <c r="R384" s="279">
        <v>1</v>
      </c>
      <c r="S384" s="280">
        <v>1</v>
      </c>
      <c r="T384" s="63"/>
      <c r="U384" s="3"/>
      <c r="V384" s="90"/>
      <c r="W384" s="91"/>
      <c r="X384" s="92"/>
    </row>
    <row r="385" spans="2:24">
      <c r="B385" s="87">
        <f t="shared" ref="B385:B397" si="75">B384+1</f>
        <v>2</v>
      </c>
      <c r="C385" s="295">
        <v>45922</v>
      </c>
      <c r="D385" s="10">
        <v>73519</v>
      </c>
      <c r="E385" s="10" t="s">
        <v>833</v>
      </c>
      <c r="F385" s="62">
        <v>5814</v>
      </c>
      <c r="G385" s="62">
        <v>39.700000000000003</v>
      </c>
      <c r="H385" s="62"/>
      <c r="I385" s="89">
        <f t="shared" si="74"/>
        <v>5774.3</v>
      </c>
      <c r="J385" s="63" t="s">
        <v>205</v>
      </c>
      <c r="K385" s="63">
        <v>1</v>
      </c>
      <c r="L385" s="63"/>
      <c r="M385" s="63"/>
      <c r="N385" s="63">
        <v>1</v>
      </c>
      <c r="O385" s="63"/>
      <c r="P385" s="63"/>
      <c r="Q385" s="63">
        <v>1</v>
      </c>
      <c r="R385" s="63">
        <v>1</v>
      </c>
      <c r="S385" s="296">
        <v>1</v>
      </c>
      <c r="T385" s="63"/>
      <c r="U385" s="10"/>
      <c r="V385" s="90"/>
      <c r="W385" s="136"/>
      <c r="X385" s="137"/>
    </row>
    <row r="386" spans="2:24">
      <c r="B386" s="87">
        <f t="shared" si="75"/>
        <v>3</v>
      </c>
      <c r="C386" s="274">
        <v>45923</v>
      </c>
      <c r="D386" s="276">
        <v>73575</v>
      </c>
      <c r="E386" s="276" t="s">
        <v>471</v>
      </c>
      <c r="F386" s="277">
        <v>0</v>
      </c>
      <c r="G386" s="277">
        <v>0</v>
      </c>
      <c r="H386" s="277"/>
      <c r="I386" s="278">
        <f t="shared" si="74"/>
        <v>0</v>
      </c>
      <c r="J386" s="279" t="s">
        <v>205</v>
      </c>
      <c r="K386" s="279">
        <v>1</v>
      </c>
      <c r="L386" s="279"/>
      <c r="M386" s="279"/>
      <c r="N386" s="279"/>
      <c r="O386" s="279"/>
      <c r="P386" s="279"/>
      <c r="Q386" s="279">
        <v>1</v>
      </c>
      <c r="R386" s="279">
        <v>1</v>
      </c>
      <c r="S386" s="280">
        <v>1</v>
      </c>
      <c r="T386" s="63"/>
      <c r="U386" s="10"/>
      <c r="V386" s="90"/>
      <c r="W386" s="136"/>
      <c r="X386" s="137"/>
    </row>
    <row r="387" spans="2:24">
      <c r="B387" s="87">
        <f t="shared" si="75"/>
        <v>4</v>
      </c>
      <c r="C387" s="295">
        <v>45923</v>
      </c>
      <c r="D387" s="10">
        <v>73560</v>
      </c>
      <c r="E387" s="10" t="s">
        <v>271</v>
      </c>
      <c r="F387" s="62">
        <v>3861</v>
      </c>
      <c r="G387" s="62">
        <v>39.700000000000003</v>
      </c>
      <c r="H387" s="62"/>
      <c r="I387" s="89">
        <f t="shared" si="74"/>
        <v>3821.3</v>
      </c>
      <c r="J387" s="63" t="s">
        <v>205</v>
      </c>
      <c r="K387" s="63">
        <v>1</v>
      </c>
      <c r="L387" s="63"/>
      <c r="M387" s="63"/>
      <c r="N387" s="63">
        <v>1</v>
      </c>
      <c r="O387" s="63"/>
      <c r="P387" s="63"/>
      <c r="Q387" s="63">
        <v>1</v>
      </c>
      <c r="R387" s="63">
        <v>1</v>
      </c>
      <c r="S387" s="296">
        <v>1</v>
      </c>
      <c r="T387" s="63"/>
      <c r="U387" s="10"/>
      <c r="V387" s="90"/>
      <c r="W387" s="136"/>
      <c r="X387" s="137"/>
    </row>
    <row r="388" spans="2:24">
      <c r="B388" s="87">
        <f t="shared" si="75"/>
        <v>5</v>
      </c>
      <c r="C388" s="295">
        <v>45923</v>
      </c>
      <c r="D388" s="10">
        <v>73597</v>
      </c>
      <c r="E388" s="10" t="s">
        <v>203</v>
      </c>
      <c r="F388" s="62">
        <v>0</v>
      </c>
      <c r="G388" s="62">
        <v>0</v>
      </c>
      <c r="H388" s="62"/>
      <c r="I388" s="89">
        <f t="shared" si="74"/>
        <v>0</v>
      </c>
      <c r="J388" s="63" t="s">
        <v>205</v>
      </c>
      <c r="K388" s="63">
        <v>1</v>
      </c>
      <c r="L388" s="63"/>
      <c r="M388" s="63"/>
      <c r="N388" s="63">
        <v>1</v>
      </c>
      <c r="O388" s="63"/>
      <c r="P388" s="63"/>
      <c r="Q388" s="63">
        <v>1</v>
      </c>
      <c r="R388" s="63">
        <v>1</v>
      </c>
      <c r="S388" s="296">
        <v>1</v>
      </c>
      <c r="T388" s="63"/>
      <c r="U388" s="10"/>
      <c r="V388" s="90"/>
      <c r="W388" s="136"/>
      <c r="X388" s="137"/>
    </row>
    <row r="389" spans="2:24">
      <c r="B389" s="87">
        <f t="shared" si="75"/>
        <v>6</v>
      </c>
      <c r="C389" s="295">
        <v>45923</v>
      </c>
      <c r="D389" s="10">
        <v>73581</v>
      </c>
      <c r="E389" s="101" t="s">
        <v>752</v>
      </c>
      <c r="F389" s="62">
        <v>5233</v>
      </c>
      <c r="G389" s="62">
        <v>39.700000000000003</v>
      </c>
      <c r="H389" s="62"/>
      <c r="I389" s="89">
        <f t="shared" si="74"/>
        <v>5193.3</v>
      </c>
      <c r="J389" s="63" t="s">
        <v>205</v>
      </c>
      <c r="K389" s="63">
        <v>1</v>
      </c>
      <c r="L389" s="63"/>
      <c r="M389" s="63"/>
      <c r="N389" s="63">
        <v>1</v>
      </c>
      <c r="O389" s="63"/>
      <c r="P389" s="63"/>
      <c r="Q389" s="63">
        <v>1</v>
      </c>
      <c r="R389" s="63">
        <v>1</v>
      </c>
      <c r="S389" s="296">
        <v>1</v>
      </c>
      <c r="T389" s="63"/>
      <c r="U389" s="10"/>
      <c r="V389" s="90"/>
      <c r="W389" s="136"/>
      <c r="X389" s="137"/>
    </row>
    <row r="390" spans="2:24">
      <c r="B390" s="87">
        <f t="shared" si="75"/>
        <v>7</v>
      </c>
      <c r="C390" s="295">
        <v>45923</v>
      </c>
      <c r="D390" s="10">
        <v>73602</v>
      </c>
      <c r="E390" s="101" t="s">
        <v>563</v>
      </c>
      <c r="F390" s="62">
        <v>1138</v>
      </c>
      <c r="G390" s="62">
        <v>39.700000000000003</v>
      </c>
      <c r="H390" s="62"/>
      <c r="I390" s="89">
        <f t="shared" si="74"/>
        <v>1098.3</v>
      </c>
      <c r="J390" s="63" t="s">
        <v>205</v>
      </c>
      <c r="K390" s="63">
        <v>1</v>
      </c>
      <c r="L390" s="63"/>
      <c r="M390" s="63"/>
      <c r="N390" s="63">
        <v>1</v>
      </c>
      <c r="O390" s="63"/>
      <c r="P390" s="63"/>
      <c r="Q390" s="63">
        <v>1</v>
      </c>
      <c r="R390" s="63">
        <v>1</v>
      </c>
      <c r="S390" s="296">
        <v>1</v>
      </c>
      <c r="T390" s="63"/>
      <c r="U390" s="10"/>
      <c r="V390" s="90"/>
      <c r="W390" s="136"/>
      <c r="X390" s="137"/>
    </row>
    <row r="391" spans="2:24">
      <c r="B391" s="87">
        <f t="shared" si="75"/>
        <v>8</v>
      </c>
      <c r="C391" s="274">
        <v>45924</v>
      </c>
      <c r="D391" s="276" t="s">
        <v>834</v>
      </c>
      <c r="E391" s="281" t="s">
        <v>835</v>
      </c>
      <c r="F391" s="277">
        <v>19276</v>
      </c>
      <c r="G391" s="277">
        <f>39.7</f>
        <v>39.700000000000003</v>
      </c>
      <c r="H391" s="277"/>
      <c r="I391" s="278">
        <f t="shared" si="74"/>
        <v>19236.3</v>
      </c>
      <c r="J391" s="279" t="s">
        <v>205</v>
      </c>
      <c r="K391" s="279">
        <v>1</v>
      </c>
      <c r="L391" s="279"/>
      <c r="M391" s="279"/>
      <c r="N391" s="279">
        <v>1</v>
      </c>
      <c r="O391" s="279"/>
      <c r="P391" s="279">
        <v>1</v>
      </c>
      <c r="Q391" s="279">
        <v>1</v>
      </c>
      <c r="R391" s="279">
        <v>1</v>
      </c>
      <c r="S391" s="280">
        <v>1</v>
      </c>
      <c r="T391" s="63"/>
      <c r="U391" s="10"/>
      <c r="V391" s="90"/>
      <c r="W391" s="136"/>
      <c r="X391" s="137"/>
    </row>
    <row r="392" spans="2:24">
      <c r="B392" s="87">
        <f t="shared" si="75"/>
        <v>9</v>
      </c>
      <c r="C392" s="295">
        <v>45924</v>
      </c>
      <c r="D392" s="10" t="s">
        <v>836</v>
      </c>
      <c r="E392" s="101" t="s">
        <v>835</v>
      </c>
      <c r="F392" s="62">
        <v>26419</v>
      </c>
      <c r="G392" s="62">
        <f>39.7</f>
        <v>39.700000000000003</v>
      </c>
      <c r="H392" s="62"/>
      <c r="I392" s="89">
        <f t="shared" si="74"/>
        <v>26379.3</v>
      </c>
      <c r="J392" s="63" t="s">
        <v>205</v>
      </c>
      <c r="K392" s="63">
        <v>1</v>
      </c>
      <c r="L392" s="63"/>
      <c r="M392" s="63"/>
      <c r="N392" s="63">
        <v>1</v>
      </c>
      <c r="O392" s="63"/>
      <c r="P392" s="63">
        <v>1</v>
      </c>
      <c r="Q392" s="63">
        <v>1</v>
      </c>
      <c r="R392" s="63">
        <v>1</v>
      </c>
      <c r="S392" s="296">
        <v>1</v>
      </c>
      <c r="T392" s="63"/>
      <c r="U392" s="10"/>
      <c r="V392" s="90"/>
      <c r="W392" s="136"/>
      <c r="X392" s="137"/>
    </row>
    <row r="393" spans="2:24">
      <c r="B393" s="87">
        <f t="shared" si="75"/>
        <v>10</v>
      </c>
      <c r="C393" s="295">
        <v>45924</v>
      </c>
      <c r="D393" s="10">
        <v>73653</v>
      </c>
      <c r="E393" s="101" t="s">
        <v>798</v>
      </c>
      <c r="F393" s="62">
        <v>1681</v>
      </c>
      <c r="G393" s="62">
        <v>39.700000000000003</v>
      </c>
      <c r="H393" s="62"/>
      <c r="I393" s="89">
        <f t="shared" si="74"/>
        <v>1641.3</v>
      </c>
      <c r="J393" s="63" t="s">
        <v>205</v>
      </c>
      <c r="K393" s="63">
        <v>1</v>
      </c>
      <c r="L393" s="63"/>
      <c r="M393" s="63"/>
      <c r="N393" s="63">
        <v>1</v>
      </c>
      <c r="O393" s="63"/>
      <c r="P393" s="63"/>
      <c r="Q393" s="63">
        <v>1</v>
      </c>
      <c r="R393" s="63">
        <v>1</v>
      </c>
      <c r="S393" s="296">
        <v>1</v>
      </c>
      <c r="T393" s="63"/>
      <c r="U393" s="10"/>
      <c r="V393" s="90"/>
      <c r="W393" s="136"/>
      <c r="X393" s="137"/>
    </row>
    <row r="394" spans="2:24">
      <c r="B394" s="87">
        <f t="shared" si="75"/>
        <v>11</v>
      </c>
      <c r="C394" s="295">
        <v>45924</v>
      </c>
      <c r="D394" s="10">
        <v>73650</v>
      </c>
      <c r="E394" s="101" t="s">
        <v>292</v>
      </c>
      <c r="F394" s="62">
        <v>0</v>
      </c>
      <c r="G394" s="62">
        <v>0</v>
      </c>
      <c r="H394" s="62"/>
      <c r="I394" s="89">
        <f t="shared" si="74"/>
        <v>0</v>
      </c>
      <c r="J394" s="63" t="s">
        <v>205</v>
      </c>
      <c r="K394" s="63"/>
      <c r="L394" s="63"/>
      <c r="M394" s="63"/>
      <c r="N394" s="63"/>
      <c r="O394" s="63"/>
      <c r="P394" s="63"/>
      <c r="Q394" s="63">
        <v>1</v>
      </c>
      <c r="R394" s="63">
        <v>1</v>
      </c>
      <c r="S394" s="296">
        <v>1</v>
      </c>
      <c r="T394" s="63"/>
      <c r="U394" s="10"/>
      <c r="V394" s="90"/>
      <c r="W394" s="136"/>
      <c r="X394" s="137"/>
    </row>
    <row r="395" spans="2:24">
      <c r="B395" s="87">
        <f t="shared" si="75"/>
        <v>12</v>
      </c>
      <c r="C395" s="295">
        <v>45924</v>
      </c>
      <c r="D395" s="10">
        <v>73664</v>
      </c>
      <c r="E395" s="101" t="s">
        <v>349</v>
      </c>
      <c r="F395" s="62">
        <v>11533</v>
      </c>
      <c r="G395" s="62">
        <v>39.700000000000003</v>
      </c>
      <c r="H395" s="62"/>
      <c r="I395" s="89">
        <f t="shared" si="74"/>
        <v>11493.3</v>
      </c>
      <c r="J395" s="63" t="s">
        <v>205</v>
      </c>
      <c r="K395" s="63">
        <v>1</v>
      </c>
      <c r="L395" s="63"/>
      <c r="M395" s="63"/>
      <c r="N395" s="63">
        <v>1</v>
      </c>
      <c r="O395" s="63"/>
      <c r="P395" s="63"/>
      <c r="Q395" s="63">
        <v>1</v>
      </c>
      <c r="R395" s="63">
        <v>1</v>
      </c>
      <c r="S395" s="296">
        <v>1</v>
      </c>
      <c r="T395" s="63"/>
      <c r="U395" s="10"/>
      <c r="V395" s="90"/>
      <c r="W395" s="136"/>
      <c r="X395" s="137"/>
    </row>
    <row r="396" spans="2:24">
      <c r="B396" s="87">
        <f t="shared" si="75"/>
        <v>13</v>
      </c>
      <c r="C396" s="295">
        <v>45924</v>
      </c>
      <c r="D396" s="10">
        <v>73643</v>
      </c>
      <c r="E396" s="101" t="s">
        <v>837</v>
      </c>
      <c r="F396" s="62">
        <v>1861</v>
      </c>
      <c r="G396" s="62">
        <v>39.700000000000003</v>
      </c>
      <c r="H396" s="62"/>
      <c r="I396" s="89">
        <f t="shared" si="74"/>
        <v>1821.3</v>
      </c>
      <c r="J396" s="63" t="s">
        <v>205</v>
      </c>
      <c r="K396" s="63">
        <v>1</v>
      </c>
      <c r="L396" s="63"/>
      <c r="M396" s="63"/>
      <c r="N396" s="63">
        <v>1</v>
      </c>
      <c r="O396" s="63"/>
      <c r="P396" s="63"/>
      <c r="Q396" s="63">
        <v>1</v>
      </c>
      <c r="R396" s="63">
        <v>1</v>
      </c>
      <c r="S396" s="296">
        <v>1</v>
      </c>
      <c r="T396" s="63"/>
      <c r="U396" s="10"/>
      <c r="V396" s="90"/>
      <c r="W396" s="136"/>
      <c r="X396" s="137"/>
    </row>
    <row r="397" spans="2:24">
      <c r="B397" s="87">
        <f t="shared" si="75"/>
        <v>14</v>
      </c>
      <c r="C397" s="262">
        <v>45925</v>
      </c>
      <c r="D397" s="271">
        <v>73678</v>
      </c>
      <c r="E397" s="271" t="s">
        <v>294</v>
      </c>
      <c r="F397" s="265">
        <v>0</v>
      </c>
      <c r="G397" s="265">
        <v>0</v>
      </c>
      <c r="H397" s="265"/>
      <c r="I397" s="272">
        <f t="shared" si="74"/>
        <v>0</v>
      </c>
      <c r="J397" s="267" t="s">
        <v>205</v>
      </c>
      <c r="K397" s="267"/>
      <c r="L397" s="267"/>
      <c r="M397" s="267"/>
      <c r="N397" s="267"/>
      <c r="O397" s="267"/>
      <c r="P397" s="267"/>
      <c r="Q397" s="267"/>
      <c r="R397" s="267"/>
      <c r="S397" s="269"/>
      <c r="T397" s="63"/>
      <c r="U397" s="10"/>
      <c r="V397" s="90"/>
      <c r="W397" s="136"/>
      <c r="X397" s="137"/>
    </row>
    <row r="398" spans="2:24">
      <c r="B398" s="11"/>
      <c r="C398" s="36"/>
      <c r="D398" s="10"/>
      <c r="E398" s="10"/>
      <c r="F398" s="97">
        <f>SUM(F384:F397)</f>
        <v>77497</v>
      </c>
      <c r="G398" s="97">
        <f>SUM(G384:G397)</f>
        <v>357.29999999999995</v>
      </c>
      <c r="H398" s="97">
        <f>SUM(H384:H397)</f>
        <v>0</v>
      </c>
      <c r="I398" s="98">
        <f>SUM(I384:I397)</f>
        <v>77139.700000000012</v>
      </c>
      <c r="J398" s="10"/>
      <c r="K398" s="10"/>
      <c r="L398" s="10"/>
      <c r="M398" s="10"/>
      <c r="N398" s="10"/>
      <c r="O398" s="10"/>
      <c r="P398" s="10"/>
      <c r="Q398" s="10"/>
      <c r="R398" s="10"/>
      <c r="S398" s="10"/>
      <c r="T398" s="63"/>
      <c r="U398" s="10"/>
      <c r="V398" s="138"/>
      <c r="W398" s="136"/>
      <c r="X398" s="137"/>
    </row>
    <row r="399" spans="2:24">
      <c r="B399" s="26"/>
      <c r="C399" s="612"/>
      <c r="D399" s="141"/>
      <c r="E399" s="141"/>
      <c r="F399" s="141"/>
      <c r="G399" s="141"/>
      <c r="H399" s="141"/>
      <c r="I399" s="141"/>
      <c r="J399" s="141"/>
      <c r="K399" s="142"/>
      <c r="L399" s="142"/>
      <c r="M399" s="142"/>
      <c r="N399" s="142"/>
      <c r="O399" s="142"/>
      <c r="P399" s="142"/>
      <c r="Q399" s="142"/>
      <c r="R399" s="142"/>
      <c r="S399" s="142"/>
      <c r="T399" s="143">
        <f>SUM(T352:T398)</f>
        <v>4</v>
      </c>
      <c r="U399" s="141"/>
      <c r="V399" s="144">
        <f>SUM(V352:V398)</f>
        <v>19127.740000000002</v>
      </c>
      <c r="W399" s="144">
        <f>SUM(W352:W398)</f>
        <v>0</v>
      </c>
      <c r="X399" s="144">
        <f>SUM(X352:X398)</f>
        <v>0</v>
      </c>
    </row>
    <row r="400" spans="2:24">
      <c r="B400" s="10"/>
      <c r="C400" s="36"/>
      <c r="D400" s="10"/>
      <c r="E400" s="10"/>
      <c r="F400" s="10"/>
      <c r="G400" s="10"/>
      <c r="H400" s="10"/>
      <c r="I400" s="10"/>
      <c r="J400" s="10"/>
      <c r="K400" s="147"/>
      <c r="L400" s="147"/>
      <c r="M400" s="147"/>
      <c r="N400" s="147"/>
      <c r="O400" s="147"/>
      <c r="P400" s="147"/>
      <c r="Q400" s="147"/>
      <c r="R400" s="147"/>
      <c r="S400" s="147"/>
      <c r="T400" s="21"/>
      <c r="U400" s="10"/>
      <c r="V400" s="99"/>
      <c r="W400" s="99"/>
      <c r="X400" s="99"/>
    </row>
    <row r="402" spans="1:24">
      <c r="A402" s="613"/>
      <c r="B402" s="4" t="s">
        <v>1</v>
      </c>
      <c r="C402" s="5"/>
      <c r="D402" s="6"/>
      <c r="E402" s="6"/>
      <c r="F402" s="7" t="s">
        <v>2</v>
      </c>
      <c r="G402" s="608">
        <v>45935</v>
      </c>
      <c r="H402" s="7"/>
      <c r="I402" s="6"/>
      <c r="J402" s="6"/>
      <c r="K402" s="6"/>
      <c r="L402" s="6"/>
      <c r="M402" s="6"/>
      <c r="N402" s="6"/>
      <c r="O402" s="6"/>
      <c r="P402" s="6"/>
      <c r="Q402" s="6"/>
      <c r="R402" s="6"/>
      <c r="S402" s="6"/>
      <c r="T402" s="6"/>
      <c r="U402" s="9"/>
      <c r="V402" s="10"/>
      <c r="W402" s="10"/>
      <c r="X402" s="10"/>
    </row>
    <row r="403" spans="1:24">
      <c r="A403" s="614"/>
      <c r="B403" s="11"/>
      <c r="C403" s="10"/>
      <c r="D403" s="10"/>
      <c r="E403" s="10"/>
      <c r="F403" s="10"/>
      <c r="G403" s="7"/>
      <c r="H403" s="12"/>
      <c r="I403" s="10"/>
      <c r="J403" s="10"/>
      <c r="K403" s="13" t="s">
        <v>3</v>
      </c>
      <c r="L403" s="14"/>
      <c r="M403" s="15"/>
      <c r="N403" s="13" t="s">
        <v>4</v>
      </c>
      <c r="O403" s="14"/>
      <c r="P403" s="15"/>
      <c r="Q403" s="13" t="s">
        <v>5</v>
      </c>
      <c r="R403" s="14"/>
      <c r="S403" s="15"/>
      <c r="T403" s="16"/>
      <c r="U403" s="17"/>
      <c r="V403" s="10"/>
      <c r="W403" s="10"/>
      <c r="X403" s="10"/>
    </row>
    <row r="404" spans="1:24">
      <c r="A404" s="614"/>
      <c r="B404" s="18" t="s">
        <v>6</v>
      </c>
      <c r="C404" s="19">
        <f>C405+C406</f>
        <v>37</v>
      </c>
      <c r="D404" s="10"/>
      <c r="E404" s="18" t="s">
        <v>7</v>
      </c>
      <c r="F404" s="6"/>
      <c r="G404" s="9"/>
      <c r="H404" s="10"/>
      <c r="I404" s="10"/>
      <c r="J404" s="10"/>
      <c r="K404" s="20" t="s">
        <v>8</v>
      </c>
      <c r="L404" s="21" t="s">
        <v>9</v>
      </c>
      <c r="M404" s="21" t="s">
        <v>10</v>
      </c>
      <c r="N404" s="20" t="s">
        <v>11</v>
      </c>
      <c r="O404" s="21" t="s">
        <v>12</v>
      </c>
      <c r="P404" s="22" t="s">
        <v>13</v>
      </c>
      <c r="Q404" s="21" t="s">
        <v>11</v>
      </c>
      <c r="R404" s="21" t="s">
        <v>12</v>
      </c>
      <c r="S404" s="22" t="s">
        <v>13</v>
      </c>
      <c r="T404" s="23" t="s">
        <v>14</v>
      </c>
      <c r="U404" s="17"/>
      <c r="V404" s="10"/>
      <c r="W404" s="10"/>
      <c r="X404" s="10"/>
    </row>
    <row r="405" spans="1:24">
      <c r="A405" s="614"/>
      <c r="B405" s="24" t="s">
        <v>15</v>
      </c>
      <c r="C405" s="25">
        <f>P412</f>
        <v>12</v>
      </c>
      <c r="D405" s="10"/>
      <c r="E405" s="26" t="s">
        <v>16</v>
      </c>
      <c r="F405" s="27">
        <v>0.05</v>
      </c>
      <c r="G405" s="28"/>
      <c r="H405" s="10"/>
      <c r="I405" s="10"/>
      <c r="J405" s="18" t="s">
        <v>17</v>
      </c>
      <c r="K405" s="29">
        <f>K440</f>
        <v>10</v>
      </c>
      <c r="L405" s="29">
        <f t="shared" ref="L405:S405" si="76">L440</f>
        <v>10</v>
      </c>
      <c r="M405" s="29">
        <f t="shared" si="76"/>
        <v>10</v>
      </c>
      <c r="N405" s="29">
        <f t="shared" si="76"/>
        <v>10</v>
      </c>
      <c r="O405" s="29">
        <f t="shared" si="76"/>
        <v>10</v>
      </c>
      <c r="P405" s="29">
        <f t="shared" si="76"/>
        <v>10</v>
      </c>
      <c r="Q405" s="29">
        <f t="shared" si="76"/>
        <v>9</v>
      </c>
      <c r="R405" s="29">
        <f t="shared" si="76"/>
        <v>9</v>
      </c>
      <c r="S405" s="29">
        <f t="shared" si="76"/>
        <v>7</v>
      </c>
      <c r="T405" s="30">
        <f>T487</f>
        <v>3</v>
      </c>
      <c r="U405" s="17"/>
      <c r="V405" s="10"/>
      <c r="W405" s="10"/>
      <c r="X405" s="10"/>
    </row>
    <row r="406" spans="1:24">
      <c r="A406" s="614"/>
      <c r="B406" s="24" t="s">
        <v>18</v>
      </c>
      <c r="C406" s="25">
        <f>P413</f>
        <v>25</v>
      </c>
      <c r="D406" s="10"/>
      <c r="E406" s="10"/>
      <c r="F406" s="10"/>
      <c r="G406" s="31"/>
      <c r="H406" s="10"/>
      <c r="I406" s="10"/>
      <c r="J406" s="32" t="s">
        <v>19</v>
      </c>
      <c r="K406" s="33">
        <f>K440/K439</f>
        <v>1</v>
      </c>
      <c r="L406" s="33">
        <f t="shared" ref="L406:S406" si="77">L440/L439</f>
        <v>1</v>
      </c>
      <c r="M406" s="33">
        <f t="shared" si="77"/>
        <v>1</v>
      </c>
      <c r="N406" s="33">
        <f t="shared" si="77"/>
        <v>1</v>
      </c>
      <c r="O406" s="33">
        <f t="shared" si="77"/>
        <v>1</v>
      </c>
      <c r="P406" s="33">
        <f t="shared" si="77"/>
        <v>1</v>
      </c>
      <c r="Q406" s="33">
        <f t="shared" si="77"/>
        <v>0.9</v>
      </c>
      <c r="R406" s="33">
        <f t="shared" si="77"/>
        <v>0.9</v>
      </c>
      <c r="S406" s="33">
        <f t="shared" si="77"/>
        <v>0.7</v>
      </c>
      <c r="T406" s="23"/>
      <c r="U406" s="17" t="s">
        <v>20</v>
      </c>
      <c r="V406" s="10"/>
      <c r="W406" s="10"/>
      <c r="X406" s="10"/>
    </row>
    <row r="407" spans="1:24">
      <c r="A407" s="614"/>
      <c r="B407" s="24" t="s">
        <v>21</v>
      </c>
      <c r="C407" s="34">
        <f>P414</f>
        <v>0.32432432432432434</v>
      </c>
      <c r="D407" s="10"/>
      <c r="E407" s="10"/>
      <c r="F407" s="10"/>
      <c r="G407" s="10"/>
      <c r="H407" s="10"/>
      <c r="I407" s="10"/>
      <c r="J407" s="10"/>
      <c r="K407" s="10"/>
      <c r="L407" s="10"/>
      <c r="M407" s="10"/>
      <c r="N407" s="10"/>
      <c r="O407" s="10"/>
      <c r="P407" s="10"/>
      <c r="Q407" s="10"/>
      <c r="R407" s="10"/>
      <c r="S407" s="10"/>
      <c r="T407" s="10"/>
      <c r="U407" s="17"/>
      <c r="V407" s="10"/>
      <c r="W407" s="10"/>
      <c r="X407" s="10"/>
    </row>
    <row r="408" spans="1:24">
      <c r="A408" s="614"/>
      <c r="B408" s="24"/>
      <c r="C408" s="25"/>
      <c r="D408" s="10"/>
      <c r="E408" s="10"/>
      <c r="F408" s="18" t="s">
        <v>22</v>
      </c>
      <c r="G408" s="19" t="s">
        <v>23</v>
      </c>
      <c r="H408" s="35" t="s">
        <v>24</v>
      </c>
      <c r="I408" s="10"/>
      <c r="J408" s="10"/>
      <c r="K408" s="36"/>
      <c r="L408" s="36"/>
      <c r="M408" s="36"/>
      <c r="N408" s="36"/>
      <c r="O408" s="36"/>
      <c r="P408" s="36"/>
      <c r="Q408" s="36"/>
      <c r="R408" s="10"/>
      <c r="S408" s="10"/>
      <c r="T408" s="10"/>
      <c r="U408" s="17"/>
      <c r="V408" s="10"/>
      <c r="W408" s="10"/>
      <c r="X408" s="10"/>
    </row>
    <row r="409" spans="1:24" ht="21" customHeight="1">
      <c r="A409" s="614"/>
      <c r="B409" s="32" t="s">
        <v>25</v>
      </c>
      <c r="C409" s="37">
        <f>P415</f>
        <v>938.19999999999982</v>
      </c>
      <c r="D409" s="10"/>
      <c r="E409" s="18" t="s">
        <v>26</v>
      </c>
      <c r="F409" s="38">
        <f>P411</f>
        <v>11258.399999999998</v>
      </c>
      <c r="G409" s="39">
        <f>I439+I444+I448</f>
        <v>11258.399999999998</v>
      </c>
      <c r="H409" s="767" t="s">
        <v>624</v>
      </c>
      <c r="I409" s="767"/>
      <c r="J409" s="767"/>
      <c r="K409" s="43" t="s">
        <v>27</v>
      </c>
      <c r="L409" s="44"/>
      <c r="M409" s="44"/>
      <c r="N409" s="44"/>
      <c r="O409" s="44"/>
      <c r="P409" s="44"/>
      <c r="Q409" s="45"/>
      <c r="R409" s="46" t="s">
        <v>28</v>
      </c>
      <c r="S409" s="47" t="s">
        <v>29</v>
      </c>
      <c r="T409" s="10"/>
      <c r="U409" s="17"/>
      <c r="V409" s="10"/>
      <c r="W409" s="10"/>
      <c r="X409" s="10"/>
    </row>
    <row r="410" spans="1:24">
      <c r="A410" s="614"/>
      <c r="B410" s="11"/>
      <c r="C410" s="10"/>
      <c r="D410" s="10"/>
      <c r="E410" s="24" t="s">
        <v>30</v>
      </c>
      <c r="F410" s="48">
        <f>F405</f>
        <v>0.05</v>
      </c>
      <c r="G410" s="17"/>
      <c r="H410" s="767"/>
      <c r="I410" s="767"/>
      <c r="J410" s="767"/>
      <c r="K410" s="20" t="s">
        <v>31</v>
      </c>
      <c r="L410" s="21" t="s">
        <v>32</v>
      </c>
      <c r="M410" s="21" t="s">
        <v>33</v>
      </c>
      <c r="N410" s="21" t="s">
        <v>34</v>
      </c>
      <c r="O410" s="21" t="s">
        <v>35</v>
      </c>
      <c r="P410" s="21" t="s">
        <v>36</v>
      </c>
      <c r="Q410" s="49" t="s">
        <v>37</v>
      </c>
      <c r="R410" s="50" t="s">
        <v>38</v>
      </c>
      <c r="S410" s="50" t="s">
        <v>38</v>
      </c>
      <c r="T410" s="10"/>
      <c r="U410" s="17"/>
      <c r="V410" s="10"/>
      <c r="W410" s="10"/>
      <c r="X410" s="10"/>
    </row>
    <row r="411" spans="1:24">
      <c r="A411" s="614"/>
      <c r="B411" s="11"/>
      <c r="C411" s="10"/>
      <c r="D411" s="10"/>
      <c r="E411" s="51" t="s">
        <v>39</v>
      </c>
      <c r="F411" s="52">
        <f>(F409+F418-I443-I447)*F410</f>
        <v>438.71299999999997</v>
      </c>
      <c r="G411" s="53" t="s">
        <v>40</v>
      </c>
      <c r="H411" s="54">
        <f>F411/1.12</f>
        <v>391.70803571428564</v>
      </c>
      <c r="I411" s="570" t="s">
        <v>838</v>
      </c>
      <c r="J411" s="42"/>
      <c r="K411" s="56">
        <f>I429+I430+I443</f>
        <v>3620.8999999999996</v>
      </c>
      <c r="L411" s="57">
        <f>I431+I432+I433+I434</f>
        <v>3687.8999999999996</v>
      </c>
      <c r="M411" s="57">
        <f>I435</f>
        <v>1013.3</v>
      </c>
      <c r="N411" s="57">
        <f>I436+I437</f>
        <v>1102</v>
      </c>
      <c r="O411" s="57">
        <f>I438+I447</f>
        <v>1834.3</v>
      </c>
      <c r="P411" s="57">
        <f>SUM(K411:O411)</f>
        <v>11258.399999999998</v>
      </c>
      <c r="Q411" s="58">
        <v>0</v>
      </c>
      <c r="R411" s="59">
        <f>I444+I448</f>
        <v>2451.6</v>
      </c>
      <c r="S411" s="59">
        <v>0</v>
      </c>
      <c r="T411" s="10"/>
      <c r="U411" s="17"/>
      <c r="V411" s="10"/>
      <c r="W411" s="10"/>
      <c r="X411" s="10"/>
    </row>
    <row r="412" spans="1:24">
      <c r="A412" s="614"/>
      <c r="B412" s="11"/>
      <c r="C412" s="10"/>
      <c r="D412" s="10"/>
      <c r="E412" s="24" t="s">
        <v>41</v>
      </c>
      <c r="F412" s="60">
        <f>Q411</f>
        <v>0</v>
      </c>
      <c r="G412" s="61" t="s">
        <v>40</v>
      </c>
      <c r="H412" s="62"/>
      <c r="I412" s="62"/>
      <c r="J412" s="10" t="s">
        <v>42</v>
      </c>
      <c r="K412" s="63">
        <v>3</v>
      </c>
      <c r="L412" s="63">
        <v>4</v>
      </c>
      <c r="M412" s="63">
        <v>1</v>
      </c>
      <c r="N412" s="63">
        <v>2</v>
      </c>
      <c r="O412" s="63">
        <v>2</v>
      </c>
      <c r="P412" s="21">
        <f>SUM(K412:O412)</f>
        <v>12</v>
      </c>
      <c r="Q412" s="64">
        <v>0</v>
      </c>
      <c r="R412" s="63"/>
      <c r="S412" s="10"/>
      <c r="T412" s="10"/>
      <c r="U412" s="17"/>
      <c r="V412" s="10"/>
      <c r="W412" s="10"/>
      <c r="X412" s="10"/>
    </row>
    <row r="413" spans="1:24">
      <c r="A413" s="614"/>
      <c r="B413" s="11"/>
      <c r="C413" s="10"/>
      <c r="D413" s="10"/>
      <c r="E413" s="51" t="s">
        <v>43</v>
      </c>
      <c r="F413" s="52">
        <f>F412*0.25</f>
        <v>0</v>
      </c>
      <c r="G413" s="53" t="s">
        <v>40</v>
      </c>
      <c r="H413" s="54">
        <f>F413/1.12</f>
        <v>0</v>
      </c>
      <c r="I413" s="10"/>
      <c r="J413" s="10" t="s">
        <v>44</v>
      </c>
      <c r="K413" s="63">
        <v>5</v>
      </c>
      <c r="L413" s="63">
        <v>3</v>
      </c>
      <c r="M413" s="63">
        <v>7</v>
      </c>
      <c r="N413" s="63">
        <v>3</v>
      </c>
      <c r="O413" s="63">
        <v>7</v>
      </c>
      <c r="P413" s="21">
        <f>SUM(K413:O413)</f>
        <v>25</v>
      </c>
      <c r="Q413" s="64">
        <v>0</v>
      </c>
      <c r="R413" s="63"/>
      <c r="S413" s="10"/>
      <c r="T413" s="10"/>
      <c r="U413" s="17"/>
      <c r="V413" s="10"/>
      <c r="W413" s="10"/>
      <c r="X413" s="10"/>
    </row>
    <row r="414" spans="1:24">
      <c r="A414" s="614"/>
      <c r="B414" s="11"/>
      <c r="C414" s="10"/>
      <c r="D414" s="10"/>
      <c r="E414" s="24" t="s">
        <v>45</v>
      </c>
      <c r="F414" s="60"/>
      <c r="G414" s="61" t="s">
        <v>40</v>
      </c>
      <c r="H414" s="62"/>
      <c r="I414" s="10"/>
      <c r="J414" s="10" t="s">
        <v>46</v>
      </c>
      <c r="K414" s="31">
        <f t="shared" ref="K414:Q414" si="78">K412/(K412+K413)</f>
        <v>0.375</v>
      </c>
      <c r="L414" s="31">
        <f t="shared" si="78"/>
        <v>0.5714285714285714</v>
      </c>
      <c r="M414" s="31">
        <f t="shared" si="78"/>
        <v>0.125</v>
      </c>
      <c r="N414" s="31">
        <f t="shared" si="78"/>
        <v>0.4</v>
      </c>
      <c r="O414" s="31">
        <f t="shared" si="78"/>
        <v>0.22222222222222221</v>
      </c>
      <c r="P414" s="31">
        <f t="shared" si="78"/>
        <v>0.32432432432432434</v>
      </c>
      <c r="Q414" s="31" t="e">
        <f t="shared" si="78"/>
        <v>#DIV/0!</v>
      </c>
      <c r="R414" s="63"/>
      <c r="S414" s="10"/>
      <c r="T414" s="10"/>
      <c r="U414" s="17"/>
      <c r="V414" s="10"/>
      <c r="W414" s="10"/>
      <c r="X414" s="10"/>
    </row>
    <row r="415" spans="1:24">
      <c r="A415" s="614"/>
      <c r="B415" s="11"/>
      <c r="C415" s="10"/>
      <c r="D415" s="10"/>
      <c r="E415" s="51" t="s">
        <v>47</v>
      </c>
      <c r="F415" s="52">
        <f>F414*0.05</f>
        <v>0</v>
      </c>
      <c r="G415" s="65" t="s">
        <v>40</v>
      </c>
      <c r="H415" s="54">
        <f>F415/1.12</f>
        <v>0</v>
      </c>
      <c r="I415" s="42"/>
      <c r="J415" s="10" t="s">
        <v>48</v>
      </c>
      <c r="K415" s="66">
        <f>K411/K412</f>
        <v>1206.9666666666665</v>
      </c>
      <c r="L415" s="66">
        <f t="shared" ref="L415:Q415" si="79">L411/L412</f>
        <v>921.97499999999991</v>
      </c>
      <c r="M415" s="66">
        <f t="shared" si="79"/>
        <v>1013.3</v>
      </c>
      <c r="N415" s="66">
        <f t="shared" si="79"/>
        <v>551</v>
      </c>
      <c r="O415" s="66">
        <f t="shared" si="79"/>
        <v>917.15</v>
      </c>
      <c r="P415" s="66">
        <f t="shared" si="79"/>
        <v>938.19999999999982</v>
      </c>
      <c r="Q415" s="66" t="e">
        <f t="shared" si="79"/>
        <v>#DIV/0!</v>
      </c>
      <c r="R415" s="63"/>
      <c r="S415" s="10"/>
      <c r="T415" s="10"/>
      <c r="U415" s="17"/>
      <c r="V415" s="10"/>
      <c r="W415" s="10"/>
      <c r="X415" s="10"/>
    </row>
    <row r="416" spans="1:24">
      <c r="A416" s="614"/>
      <c r="B416" s="11"/>
      <c r="C416" s="10"/>
      <c r="D416" s="10"/>
      <c r="E416" s="67" t="s">
        <v>14</v>
      </c>
      <c r="F416" s="68">
        <f>3*50</f>
        <v>150</v>
      </c>
      <c r="G416" s="10"/>
      <c r="H416" s="54">
        <f>F416/1.12</f>
        <v>133.92857142857142</v>
      </c>
      <c r="I416" s="10"/>
      <c r="J416" s="10"/>
      <c r="K416" s="10"/>
      <c r="L416" s="10"/>
      <c r="M416" s="10"/>
      <c r="N416" s="10"/>
      <c r="O416" s="10"/>
      <c r="P416" s="10"/>
      <c r="Q416" s="10"/>
      <c r="R416" s="10"/>
      <c r="S416" s="10"/>
      <c r="T416" s="10"/>
      <c r="U416" s="17"/>
      <c r="V416" s="10"/>
      <c r="W416" s="10"/>
      <c r="X416" s="10"/>
    </row>
    <row r="417" spans="1:24">
      <c r="A417" s="614"/>
      <c r="B417" s="11"/>
      <c r="C417" s="10"/>
      <c r="D417" s="10"/>
      <c r="E417" s="67" t="s">
        <v>49</v>
      </c>
      <c r="F417" s="69">
        <f>T406</f>
        <v>0</v>
      </c>
      <c r="G417" s="10"/>
      <c r="H417" s="54"/>
      <c r="I417" s="55"/>
      <c r="J417" s="42"/>
      <c r="K417" s="764" t="s">
        <v>50</v>
      </c>
      <c r="L417" s="764"/>
      <c r="M417" s="764"/>
      <c r="N417" s="764"/>
      <c r="O417" s="764"/>
      <c r="P417" s="764"/>
      <c r="Q417" s="764"/>
      <c r="R417" s="70" t="s">
        <v>28</v>
      </c>
      <c r="S417" s="71" t="s">
        <v>29</v>
      </c>
      <c r="T417" s="10"/>
      <c r="U417" s="17"/>
      <c r="V417" s="10"/>
      <c r="W417" s="10"/>
      <c r="X417" s="10"/>
    </row>
    <row r="418" spans="1:24">
      <c r="A418" s="614"/>
      <c r="B418" s="11"/>
      <c r="C418" s="10"/>
      <c r="D418" s="10"/>
      <c r="E418" s="74" t="s">
        <v>839</v>
      </c>
      <c r="F418" s="75">
        <v>-32.54</v>
      </c>
      <c r="G418" s="10"/>
      <c r="H418" s="10"/>
      <c r="I418" s="10"/>
      <c r="J418" s="42"/>
      <c r="K418" s="20" t="s">
        <v>31</v>
      </c>
      <c r="L418" s="21" t="s">
        <v>32</v>
      </c>
      <c r="M418" s="21" t="s">
        <v>33</v>
      </c>
      <c r="N418" s="21" t="s">
        <v>34</v>
      </c>
      <c r="O418" s="21" t="s">
        <v>35</v>
      </c>
      <c r="P418" s="21" t="s">
        <v>36</v>
      </c>
      <c r="Q418" s="49" t="s">
        <v>37</v>
      </c>
      <c r="R418" s="50" t="s">
        <v>38</v>
      </c>
      <c r="S418" s="50" t="s">
        <v>38</v>
      </c>
      <c r="T418" s="10"/>
      <c r="U418" s="17"/>
      <c r="V418" s="10"/>
      <c r="W418" s="10"/>
      <c r="X418" s="10"/>
    </row>
    <row r="419" spans="1:24">
      <c r="A419" s="614"/>
      <c r="B419" s="11"/>
      <c r="C419" s="10"/>
      <c r="D419" s="10"/>
      <c r="E419" s="12"/>
      <c r="F419" s="76"/>
      <c r="G419" s="10"/>
      <c r="H419" s="10"/>
      <c r="I419" s="10"/>
      <c r="J419" s="42"/>
      <c r="K419" s="56">
        <f>F429+F430+F443</f>
        <v>3740</v>
      </c>
      <c r="L419" s="57">
        <f>F431+F432+F433+F434</f>
        <v>3807</v>
      </c>
      <c r="M419" s="57">
        <f>F435</f>
        <v>1053</v>
      </c>
      <c r="N419" s="57">
        <f>F436+F437</f>
        <v>1102</v>
      </c>
      <c r="O419" s="57">
        <f>F438+F447</f>
        <v>2342</v>
      </c>
      <c r="P419" s="57">
        <f>SUM(K419:O419)</f>
        <v>12044</v>
      </c>
      <c r="Q419" s="58">
        <v>0</v>
      </c>
      <c r="R419" s="59">
        <f>F444+F448</f>
        <v>2999</v>
      </c>
      <c r="S419" s="59">
        <v>0</v>
      </c>
      <c r="T419" s="10"/>
      <c r="U419" s="17"/>
      <c r="V419" s="10"/>
      <c r="W419" s="10"/>
      <c r="X419" s="10"/>
    </row>
    <row r="420" spans="1:24">
      <c r="A420" s="614"/>
      <c r="B420" s="11"/>
      <c r="C420" s="10"/>
      <c r="D420" s="10"/>
      <c r="E420" s="12"/>
      <c r="F420" s="76"/>
      <c r="G420" s="10"/>
      <c r="H420" s="10"/>
      <c r="I420" s="10"/>
      <c r="J420" s="10" t="s">
        <v>42</v>
      </c>
      <c r="K420" s="63">
        <f>K412</f>
        <v>3</v>
      </c>
      <c r="L420" s="63">
        <f t="shared" ref="L420:Q421" si="80">L412</f>
        <v>4</v>
      </c>
      <c r="M420" s="63">
        <f t="shared" si="80"/>
        <v>1</v>
      </c>
      <c r="N420" s="63">
        <f t="shared" si="80"/>
        <v>2</v>
      </c>
      <c r="O420" s="63">
        <f t="shared" si="80"/>
        <v>2</v>
      </c>
      <c r="P420" s="63">
        <f t="shared" si="80"/>
        <v>12</v>
      </c>
      <c r="Q420" s="63">
        <f t="shared" si="80"/>
        <v>0</v>
      </c>
      <c r="R420" s="63"/>
      <c r="S420" s="10"/>
      <c r="T420" s="10"/>
      <c r="U420" s="17"/>
      <c r="V420" s="10"/>
      <c r="W420" s="10"/>
      <c r="X420" s="10"/>
    </row>
    <row r="421" spans="1:24">
      <c r="A421" s="614"/>
      <c r="B421" s="11"/>
      <c r="C421" s="10"/>
      <c r="D421" s="10"/>
      <c r="E421" s="12"/>
      <c r="F421" s="76"/>
      <c r="G421" s="10"/>
      <c r="H421" s="10"/>
      <c r="I421" s="10"/>
      <c r="J421" s="10" t="s">
        <v>44</v>
      </c>
      <c r="K421" s="63">
        <f>K413</f>
        <v>5</v>
      </c>
      <c r="L421" s="63">
        <f t="shared" si="80"/>
        <v>3</v>
      </c>
      <c r="M421" s="63">
        <f t="shared" si="80"/>
        <v>7</v>
      </c>
      <c r="N421" s="63">
        <f t="shared" si="80"/>
        <v>3</v>
      </c>
      <c r="O421" s="63">
        <f t="shared" si="80"/>
        <v>7</v>
      </c>
      <c r="P421" s="63">
        <f t="shared" si="80"/>
        <v>25</v>
      </c>
      <c r="Q421" s="63">
        <f t="shared" si="80"/>
        <v>0</v>
      </c>
      <c r="R421" s="63"/>
      <c r="S421" s="10"/>
      <c r="T421" s="10"/>
      <c r="U421" s="17"/>
      <c r="V421" s="10"/>
      <c r="W421" s="10"/>
      <c r="X421" s="10"/>
    </row>
    <row r="422" spans="1:24">
      <c r="A422" s="614"/>
      <c r="B422" s="11"/>
      <c r="C422" s="10"/>
      <c r="D422" s="10"/>
      <c r="E422" s="12"/>
      <c r="F422" s="76"/>
      <c r="G422" s="10"/>
      <c r="H422" s="10"/>
      <c r="I422" s="10"/>
      <c r="J422" s="10" t="s">
        <v>46</v>
      </c>
      <c r="K422" s="31">
        <f t="shared" ref="K422:Q422" si="81">K420/(K420+K421)</f>
        <v>0.375</v>
      </c>
      <c r="L422" s="31">
        <f t="shared" si="81"/>
        <v>0.5714285714285714</v>
      </c>
      <c r="M422" s="31">
        <f t="shared" si="81"/>
        <v>0.125</v>
      </c>
      <c r="N422" s="31">
        <f t="shared" si="81"/>
        <v>0.4</v>
      </c>
      <c r="O422" s="31">
        <f t="shared" si="81"/>
        <v>0.22222222222222221</v>
      </c>
      <c r="P422" s="31">
        <f t="shared" si="81"/>
        <v>0.32432432432432434</v>
      </c>
      <c r="Q422" s="31" t="e">
        <f t="shared" si="81"/>
        <v>#DIV/0!</v>
      </c>
      <c r="R422" s="63"/>
      <c r="S422" s="10"/>
      <c r="T422" s="10"/>
      <c r="U422" s="17"/>
      <c r="V422" s="10"/>
      <c r="W422" s="10"/>
      <c r="X422" s="10"/>
    </row>
    <row r="423" spans="1:24">
      <c r="A423" s="614"/>
      <c r="B423" s="11"/>
      <c r="C423" s="10"/>
      <c r="D423" s="10"/>
      <c r="E423" s="10"/>
      <c r="F423" s="10"/>
      <c r="G423" s="10"/>
      <c r="H423" s="10"/>
      <c r="I423" s="10"/>
      <c r="J423" s="10" t="s">
        <v>48</v>
      </c>
      <c r="K423" s="66">
        <f t="shared" ref="K423:Q423" si="82">K419/K420</f>
        <v>1246.6666666666667</v>
      </c>
      <c r="L423" s="66">
        <f t="shared" si="82"/>
        <v>951.75</v>
      </c>
      <c r="M423" s="66">
        <f t="shared" si="82"/>
        <v>1053</v>
      </c>
      <c r="N423" s="66">
        <f t="shared" si="82"/>
        <v>551</v>
      </c>
      <c r="O423" s="66">
        <f t="shared" si="82"/>
        <v>1171</v>
      </c>
      <c r="P423" s="66">
        <f t="shared" si="82"/>
        <v>1003.6666666666666</v>
      </c>
      <c r="Q423" s="66" t="e">
        <f t="shared" si="82"/>
        <v>#DIV/0!</v>
      </c>
      <c r="R423" s="63"/>
      <c r="S423" s="10"/>
      <c r="T423" s="10"/>
      <c r="U423" s="17"/>
      <c r="V423" s="10"/>
      <c r="W423" s="10"/>
      <c r="X423" s="10"/>
    </row>
    <row r="424" spans="1:24">
      <c r="A424" s="614"/>
      <c r="B424" s="11"/>
      <c r="C424" s="10"/>
      <c r="D424" s="10"/>
      <c r="E424" s="10"/>
      <c r="F424" s="10"/>
      <c r="G424" s="10"/>
      <c r="H424" s="10"/>
      <c r="I424" s="10"/>
      <c r="J424" s="10"/>
      <c r="K424" s="10"/>
      <c r="L424" s="10"/>
      <c r="M424" s="10"/>
      <c r="N424" s="10"/>
      <c r="O424" s="10"/>
      <c r="P424" s="10"/>
      <c r="Q424" s="10"/>
      <c r="R424" s="10"/>
      <c r="S424" s="10"/>
      <c r="T424" s="10"/>
      <c r="U424" s="17"/>
      <c r="V424" s="10"/>
      <c r="W424" s="10"/>
      <c r="X424" s="10"/>
    </row>
    <row r="425" spans="1:24">
      <c r="A425" s="614"/>
      <c r="B425" s="11"/>
      <c r="C425" s="10"/>
      <c r="D425" s="10"/>
      <c r="E425" s="10"/>
      <c r="F425" s="10"/>
      <c r="G425" s="10"/>
      <c r="H425" s="10"/>
      <c r="I425" s="10"/>
      <c r="J425" s="10"/>
      <c r="K425" s="10"/>
      <c r="L425" s="10"/>
      <c r="M425" s="10"/>
      <c r="N425" s="10"/>
      <c r="O425" s="10"/>
      <c r="P425" s="10"/>
      <c r="Q425" s="10"/>
      <c r="R425" s="10"/>
      <c r="S425" s="10"/>
      <c r="T425" s="10"/>
      <c r="U425" s="17"/>
      <c r="V425" s="10"/>
      <c r="W425" s="10"/>
      <c r="X425" s="10"/>
    </row>
    <row r="426" spans="1:24">
      <c r="A426" s="614"/>
      <c r="B426" s="18" t="s">
        <v>51</v>
      </c>
      <c r="C426" s="14"/>
      <c r="D426" s="14"/>
      <c r="E426" s="14"/>
      <c r="F426" s="13" t="s">
        <v>52</v>
      </c>
      <c r="G426" s="14"/>
      <c r="H426" s="14"/>
      <c r="I426" s="14"/>
      <c r="J426" s="14"/>
      <c r="K426" s="13" t="s">
        <v>3</v>
      </c>
      <c r="L426" s="14"/>
      <c r="M426" s="14"/>
      <c r="N426" s="13" t="s">
        <v>4</v>
      </c>
      <c r="O426" s="14"/>
      <c r="P426" s="14"/>
      <c r="Q426" s="13" t="s">
        <v>5</v>
      </c>
      <c r="R426" s="14"/>
      <c r="S426" s="14"/>
      <c r="T426" s="18"/>
      <c r="U426" s="16" t="s">
        <v>53</v>
      </c>
      <c r="V426" s="77"/>
      <c r="W426" s="77"/>
      <c r="X426" s="77"/>
    </row>
    <row r="427" spans="1:24">
      <c r="A427" s="614"/>
      <c r="B427" s="24" t="s">
        <v>54</v>
      </c>
      <c r="C427" s="21" t="s">
        <v>55</v>
      </c>
      <c r="D427" s="21" t="s">
        <v>56</v>
      </c>
      <c r="E427" s="21" t="s">
        <v>57</v>
      </c>
      <c r="F427" s="20" t="s">
        <v>58</v>
      </c>
      <c r="G427" s="21" t="s">
        <v>59</v>
      </c>
      <c r="H427" s="21" t="s">
        <v>60</v>
      </c>
      <c r="I427" s="21" t="s">
        <v>26</v>
      </c>
      <c r="J427" s="22" t="s">
        <v>61</v>
      </c>
      <c r="K427" s="21" t="s">
        <v>8</v>
      </c>
      <c r="L427" s="21" t="s">
        <v>9</v>
      </c>
      <c r="M427" s="21" t="s">
        <v>10</v>
      </c>
      <c r="N427" s="20" t="s">
        <v>11</v>
      </c>
      <c r="O427" s="21" t="s">
        <v>12</v>
      </c>
      <c r="P427" s="22" t="s">
        <v>13</v>
      </c>
      <c r="Q427" s="21" t="s">
        <v>11</v>
      </c>
      <c r="R427" s="21" t="s">
        <v>12</v>
      </c>
      <c r="S427" s="21" t="s">
        <v>13</v>
      </c>
      <c r="T427" s="78" t="s">
        <v>14</v>
      </c>
      <c r="U427" s="30"/>
      <c r="V427" s="79" t="s">
        <v>62</v>
      </c>
      <c r="W427" s="80" t="s">
        <v>63</v>
      </c>
      <c r="X427" s="81" t="s">
        <v>64</v>
      </c>
    </row>
    <row r="428" spans="1:24">
      <c r="A428" s="614"/>
      <c r="B428" s="4" t="s">
        <v>65</v>
      </c>
      <c r="C428" s="6"/>
      <c r="D428" s="6"/>
      <c r="E428" s="6"/>
      <c r="F428" s="6"/>
      <c r="G428" s="6"/>
      <c r="H428" s="6"/>
      <c r="I428" s="82"/>
      <c r="J428" s="6"/>
      <c r="K428" s="6"/>
      <c r="L428" s="6"/>
      <c r="M428" s="6"/>
      <c r="N428" s="6"/>
      <c r="O428" s="6"/>
      <c r="P428" s="6"/>
      <c r="Q428" s="6"/>
      <c r="R428" s="6"/>
      <c r="S428" s="6"/>
      <c r="T428" s="83"/>
      <c r="U428" s="6"/>
      <c r="V428" s="84"/>
      <c r="W428" s="85"/>
      <c r="X428" s="86"/>
    </row>
    <row r="429" spans="1:24">
      <c r="A429" s="614"/>
      <c r="B429" s="87">
        <v>1</v>
      </c>
      <c r="C429" s="274">
        <v>45929</v>
      </c>
      <c r="D429" s="327">
        <v>73722</v>
      </c>
      <c r="E429" s="276" t="s">
        <v>681</v>
      </c>
      <c r="F429" s="277">
        <v>1141</v>
      </c>
      <c r="G429" s="277">
        <f>39.7</f>
        <v>39.700000000000003</v>
      </c>
      <c r="H429" s="297"/>
      <c r="I429" s="278">
        <f t="shared" ref="I429:I438" si="83">F429-G429-H429</f>
        <v>1101.3</v>
      </c>
      <c r="J429" s="279" t="s">
        <v>156</v>
      </c>
      <c r="K429" s="279">
        <v>1</v>
      </c>
      <c r="L429" s="279">
        <v>1</v>
      </c>
      <c r="M429" s="279">
        <v>1</v>
      </c>
      <c r="N429" s="279">
        <v>1</v>
      </c>
      <c r="O429" s="279">
        <v>1</v>
      </c>
      <c r="P429" s="279">
        <v>1</v>
      </c>
      <c r="Q429" s="279">
        <v>1</v>
      </c>
      <c r="R429" s="279">
        <v>1</v>
      </c>
      <c r="S429" s="280">
        <v>1</v>
      </c>
      <c r="T429" s="63"/>
      <c r="U429" s="10"/>
      <c r="V429" s="90">
        <v>1255.0999999999999</v>
      </c>
      <c r="W429" s="91"/>
      <c r="X429" s="92"/>
    </row>
    <row r="430" spans="1:24">
      <c r="A430" s="614"/>
      <c r="B430" s="87">
        <f t="shared" ref="B430:B438" si="84">B429+1</f>
        <v>2</v>
      </c>
      <c r="C430" s="295">
        <v>45929</v>
      </c>
      <c r="D430" s="323">
        <v>73749</v>
      </c>
      <c r="E430" s="10" t="s">
        <v>840</v>
      </c>
      <c r="F430" s="62">
        <v>1461</v>
      </c>
      <c r="G430" s="62">
        <f>39.7</f>
        <v>39.700000000000003</v>
      </c>
      <c r="H430" s="62"/>
      <c r="I430" s="89">
        <f t="shared" si="83"/>
        <v>1421.3</v>
      </c>
      <c r="J430" s="63" t="s">
        <v>156</v>
      </c>
      <c r="K430" s="63">
        <v>1</v>
      </c>
      <c r="L430" s="63">
        <v>1</v>
      </c>
      <c r="M430" s="63">
        <v>1</v>
      </c>
      <c r="N430" s="63">
        <v>1</v>
      </c>
      <c r="O430" s="63">
        <v>1</v>
      </c>
      <c r="P430" s="63">
        <v>1</v>
      </c>
      <c r="Q430" s="63">
        <v>1</v>
      </c>
      <c r="R430" s="63">
        <v>1</v>
      </c>
      <c r="S430" s="296">
        <v>1</v>
      </c>
      <c r="T430" s="63"/>
      <c r="U430" s="17" t="s">
        <v>841</v>
      </c>
      <c r="V430" s="90">
        <v>1607.1</v>
      </c>
      <c r="W430" s="91"/>
      <c r="X430" s="92"/>
    </row>
    <row r="431" spans="1:24">
      <c r="A431" s="613"/>
      <c r="B431" s="87">
        <f t="shared" si="84"/>
        <v>3</v>
      </c>
      <c r="C431" s="274">
        <v>45930</v>
      </c>
      <c r="D431" s="327">
        <v>73774</v>
      </c>
      <c r="E431" s="276" t="s">
        <v>842</v>
      </c>
      <c r="F431" s="277">
        <v>1138</v>
      </c>
      <c r="G431" s="277">
        <f>39.7</f>
        <v>39.700000000000003</v>
      </c>
      <c r="H431" s="277"/>
      <c r="I431" s="278">
        <f t="shared" si="83"/>
        <v>1098.3</v>
      </c>
      <c r="J431" s="279" t="s">
        <v>156</v>
      </c>
      <c r="K431" s="279">
        <v>1</v>
      </c>
      <c r="L431" s="279">
        <v>1</v>
      </c>
      <c r="M431" s="279">
        <v>1</v>
      </c>
      <c r="N431" s="279">
        <v>1</v>
      </c>
      <c r="O431" s="279">
        <v>1</v>
      </c>
      <c r="P431" s="279">
        <v>1</v>
      </c>
      <c r="Q431" s="279">
        <v>1</v>
      </c>
      <c r="R431" s="279">
        <v>1</v>
      </c>
      <c r="S431" s="280">
        <v>1</v>
      </c>
      <c r="T431" s="63"/>
      <c r="U431" s="10"/>
      <c r="V431" s="90">
        <v>1251.8</v>
      </c>
      <c r="W431" s="91"/>
      <c r="X431" s="92"/>
    </row>
    <row r="432" spans="1:24">
      <c r="A432" s="614"/>
      <c r="B432" s="87">
        <f t="shared" si="84"/>
        <v>4</v>
      </c>
      <c r="C432" s="295">
        <v>45930</v>
      </c>
      <c r="D432" s="323">
        <v>73784</v>
      </c>
      <c r="E432" s="94" t="s">
        <v>363</v>
      </c>
      <c r="F432" s="62">
        <v>616</v>
      </c>
      <c r="G432" s="62"/>
      <c r="H432" s="62"/>
      <c r="I432" s="324">
        <f t="shared" si="83"/>
        <v>616</v>
      </c>
      <c r="J432" s="63" t="s">
        <v>156</v>
      </c>
      <c r="K432" s="63">
        <v>1</v>
      </c>
      <c r="L432" s="63">
        <v>1</v>
      </c>
      <c r="M432" s="63">
        <v>1</v>
      </c>
      <c r="N432" s="63">
        <v>1</v>
      </c>
      <c r="O432" s="63">
        <v>1</v>
      </c>
      <c r="P432" s="63">
        <v>1</v>
      </c>
      <c r="Q432" s="63">
        <v>1</v>
      </c>
      <c r="R432" s="63">
        <v>1</v>
      </c>
      <c r="S432" s="326">
        <v>0</v>
      </c>
      <c r="T432" s="63"/>
      <c r="U432" s="10"/>
      <c r="V432" s="90">
        <v>677.6</v>
      </c>
      <c r="W432" s="91"/>
      <c r="X432" s="92"/>
    </row>
    <row r="433" spans="1:24">
      <c r="A433" s="614"/>
      <c r="B433" s="87">
        <f t="shared" si="84"/>
        <v>5</v>
      </c>
      <c r="C433" s="295">
        <v>45930</v>
      </c>
      <c r="D433" s="323">
        <v>73779</v>
      </c>
      <c r="E433" s="10" t="s">
        <v>327</v>
      </c>
      <c r="F433" s="62">
        <v>915</v>
      </c>
      <c r="G433" s="62">
        <f>39.7</f>
        <v>39.700000000000003</v>
      </c>
      <c r="H433" s="62"/>
      <c r="I433" s="89">
        <f t="shared" si="83"/>
        <v>875.3</v>
      </c>
      <c r="J433" s="63" t="s">
        <v>156</v>
      </c>
      <c r="K433" s="63">
        <v>1</v>
      </c>
      <c r="L433" s="63">
        <v>1</v>
      </c>
      <c r="M433" s="63">
        <v>1</v>
      </c>
      <c r="N433" s="63">
        <v>1</v>
      </c>
      <c r="O433" s="63">
        <v>1</v>
      </c>
      <c r="P433" s="63">
        <v>1</v>
      </c>
      <c r="Q433" s="63">
        <v>1</v>
      </c>
      <c r="R433" s="63">
        <v>1</v>
      </c>
      <c r="S433" s="296">
        <v>1</v>
      </c>
      <c r="T433" s="21">
        <v>1</v>
      </c>
      <c r="U433" s="10"/>
      <c r="V433" s="90">
        <v>1006.5</v>
      </c>
      <c r="W433" s="91"/>
      <c r="X433" s="92"/>
    </row>
    <row r="434" spans="1:24">
      <c r="A434" s="614"/>
      <c r="B434" s="87">
        <f t="shared" si="84"/>
        <v>6</v>
      </c>
      <c r="C434" s="295">
        <v>45930</v>
      </c>
      <c r="D434" s="323">
        <v>73841</v>
      </c>
      <c r="E434" s="10" t="s">
        <v>563</v>
      </c>
      <c r="F434" s="62">
        <v>1138</v>
      </c>
      <c r="G434" s="62">
        <f>39.7</f>
        <v>39.700000000000003</v>
      </c>
      <c r="H434" s="62"/>
      <c r="I434" s="89">
        <f>F434-G434-H434</f>
        <v>1098.3</v>
      </c>
      <c r="J434" s="63" t="s">
        <v>374</v>
      </c>
      <c r="K434" s="63">
        <v>1</v>
      </c>
      <c r="L434" s="63">
        <v>1</v>
      </c>
      <c r="M434" s="63">
        <v>1</v>
      </c>
      <c r="N434" s="63">
        <v>1</v>
      </c>
      <c r="O434" s="63">
        <v>1</v>
      </c>
      <c r="P434" s="63">
        <v>1</v>
      </c>
      <c r="Q434" s="63">
        <v>1</v>
      </c>
      <c r="R434" s="63">
        <v>1</v>
      </c>
      <c r="S434" s="296">
        <v>1</v>
      </c>
      <c r="T434" s="63"/>
      <c r="U434" s="10"/>
      <c r="V434" s="90">
        <v>1251.8</v>
      </c>
      <c r="W434" s="91"/>
      <c r="X434" s="92"/>
    </row>
    <row r="435" spans="1:24">
      <c r="A435" s="614"/>
      <c r="B435" s="87">
        <f t="shared" si="84"/>
        <v>7</v>
      </c>
      <c r="C435" s="274">
        <v>45931</v>
      </c>
      <c r="D435" s="327">
        <v>73879</v>
      </c>
      <c r="E435" s="276" t="s">
        <v>643</v>
      </c>
      <c r="F435" s="277">
        <v>1053</v>
      </c>
      <c r="G435" s="277">
        <f>39.7</f>
        <v>39.700000000000003</v>
      </c>
      <c r="H435" s="297"/>
      <c r="I435" s="321">
        <f t="shared" si="83"/>
        <v>1013.3</v>
      </c>
      <c r="J435" s="279" t="s">
        <v>156</v>
      </c>
      <c r="K435" s="279">
        <v>1</v>
      </c>
      <c r="L435" s="279">
        <v>1</v>
      </c>
      <c r="M435" s="279">
        <v>1</v>
      </c>
      <c r="N435" s="279">
        <v>1</v>
      </c>
      <c r="O435" s="279">
        <v>1</v>
      </c>
      <c r="P435" s="279">
        <v>1</v>
      </c>
      <c r="Q435" s="322">
        <v>0</v>
      </c>
      <c r="R435" s="322">
        <v>0</v>
      </c>
      <c r="S435" s="328">
        <v>0</v>
      </c>
      <c r="T435" s="63"/>
      <c r="U435" s="10"/>
      <c r="V435" s="90">
        <v>1158.3</v>
      </c>
      <c r="W435" s="91"/>
      <c r="X435" s="92"/>
    </row>
    <row r="436" spans="1:24">
      <c r="A436" s="614"/>
      <c r="B436" s="87">
        <f t="shared" si="84"/>
        <v>8</v>
      </c>
      <c r="C436" s="274">
        <v>45932</v>
      </c>
      <c r="D436" s="327">
        <v>73920</v>
      </c>
      <c r="E436" s="276" t="s">
        <v>843</v>
      </c>
      <c r="F436" s="277">
        <v>421</v>
      </c>
      <c r="G436" s="277"/>
      <c r="H436" s="297"/>
      <c r="I436" s="278">
        <f t="shared" si="83"/>
        <v>421</v>
      </c>
      <c r="J436" s="279" t="s">
        <v>156</v>
      </c>
      <c r="K436" s="279">
        <v>1</v>
      </c>
      <c r="L436" s="279">
        <v>1</v>
      </c>
      <c r="M436" s="279">
        <v>1</v>
      </c>
      <c r="N436" s="279">
        <v>1</v>
      </c>
      <c r="O436" s="279">
        <v>1</v>
      </c>
      <c r="P436" s="279">
        <v>1</v>
      </c>
      <c r="Q436" s="279">
        <v>1</v>
      </c>
      <c r="R436" s="279">
        <v>1</v>
      </c>
      <c r="S436" s="280">
        <v>1</v>
      </c>
      <c r="T436" s="63"/>
      <c r="U436" s="10"/>
      <c r="V436" s="90">
        <v>463.1</v>
      </c>
      <c r="W436" s="91"/>
      <c r="X436" s="92"/>
    </row>
    <row r="437" spans="1:24">
      <c r="A437" s="614"/>
      <c r="B437" s="87">
        <f t="shared" si="84"/>
        <v>9</v>
      </c>
      <c r="C437" s="295">
        <v>45932</v>
      </c>
      <c r="D437" s="323">
        <v>73971</v>
      </c>
      <c r="E437" s="10" t="s">
        <v>327</v>
      </c>
      <c r="F437" s="62">
        <v>681</v>
      </c>
      <c r="G437" s="62"/>
      <c r="H437" s="88"/>
      <c r="I437" s="324">
        <f t="shared" si="83"/>
        <v>681</v>
      </c>
      <c r="J437" s="63" t="s">
        <v>156</v>
      </c>
      <c r="K437" s="63">
        <v>1</v>
      </c>
      <c r="L437" s="63">
        <v>1</v>
      </c>
      <c r="M437" s="63">
        <v>1</v>
      </c>
      <c r="N437" s="63">
        <v>1</v>
      </c>
      <c r="O437" s="63">
        <v>1</v>
      </c>
      <c r="P437" s="63">
        <v>1</v>
      </c>
      <c r="Q437" s="63">
        <v>1</v>
      </c>
      <c r="R437" s="63">
        <v>1</v>
      </c>
      <c r="S437" s="326">
        <v>0</v>
      </c>
      <c r="T437" s="21">
        <v>1</v>
      </c>
      <c r="U437" s="10"/>
      <c r="V437" s="90">
        <v>749.1</v>
      </c>
      <c r="W437" s="91"/>
      <c r="X437" s="92"/>
    </row>
    <row r="438" spans="1:24">
      <c r="A438" s="614"/>
      <c r="B438" s="87">
        <f t="shared" si="84"/>
        <v>10</v>
      </c>
      <c r="C438" s="262">
        <v>45933</v>
      </c>
      <c r="D438" s="263">
        <v>74005</v>
      </c>
      <c r="E438" s="271" t="s">
        <v>428</v>
      </c>
      <c r="F438" s="265">
        <v>481</v>
      </c>
      <c r="G438" s="265"/>
      <c r="H438" s="365"/>
      <c r="I438" s="272">
        <f t="shared" si="83"/>
        <v>481</v>
      </c>
      <c r="J438" s="267" t="s">
        <v>156</v>
      </c>
      <c r="K438" s="267">
        <v>1</v>
      </c>
      <c r="L438" s="267">
        <v>1</v>
      </c>
      <c r="M438" s="267">
        <v>1</v>
      </c>
      <c r="N438" s="267">
        <v>1</v>
      </c>
      <c r="O438" s="267">
        <v>1</v>
      </c>
      <c r="P438" s="267">
        <v>1</v>
      </c>
      <c r="Q438" s="267">
        <v>1</v>
      </c>
      <c r="R438" s="267">
        <v>1</v>
      </c>
      <c r="S438" s="269">
        <v>1</v>
      </c>
      <c r="T438" s="63"/>
      <c r="U438" s="10"/>
      <c r="V438" s="90">
        <v>529.1</v>
      </c>
      <c r="W438" s="91"/>
      <c r="X438" s="92"/>
    </row>
    <row r="439" spans="1:24">
      <c r="A439" s="614"/>
      <c r="B439" s="87"/>
      <c r="C439" s="36"/>
      <c r="D439" s="10"/>
      <c r="E439" s="10"/>
      <c r="F439" s="97">
        <f>SUM(F429:F438)</f>
        <v>9045</v>
      </c>
      <c r="G439" s="97">
        <f>SUM(G429:G438)</f>
        <v>238.2</v>
      </c>
      <c r="H439" s="97">
        <f>SUM(H429:H438)</f>
        <v>0</v>
      </c>
      <c r="I439" s="98">
        <f>SUM(I429:I438)</f>
        <v>8806.7999999999993</v>
      </c>
      <c r="J439" s="63"/>
      <c r="K439" s="63">
        <f>COUNT(K429:K438)</f>
        <v>10</v>
      </c>
      <c r="L439" s="63">
        <f>COUNT(L429:L438)</f>
        <v>10</v>
      </c>
      <c r="M439" s="63">
        <f>COUNT(M429:M438)</f>
        <v>10</v>
      </c>
      <c r="N439" s="63">
        <f>COUNT(N429:N438)</f>
        <v>10</v>
      </c>
      <c r="O439" s="63">
        <f>COUNT(O429:O438)</f>
        <v>10</v>
      </c>
      <c r="P439" s="63">
        <f>COUNT(P429:P438)</f>
        <v>10</v>
      </c>
      <c r="Q439" s="63">
        <f>COUNT(Q429:Q438)</f>
        <v>10</v>
      </c>
      <c r="R439" s="63">
        <f>COUNT(R429:R438)</f>
        <v>10</v>
      </c>
      <c r="S439" s="63">
        <f>COUNT(S429:S438)</f>
        <v>10</v>
      </c>
      <c r="T439" s="63"/>
      <c r="U439" s="10"/>
      <c r="V439" s="90"/>
      <c r="W439" s="91"/>
      <c r="X439" s="92"/>
    </row>
    <row r="440" spans="1:24">
      <c r="A440" s="614"/>
      <c r="B440" s="87"/>
      <c r="C440" s="36"/>
      <c r="D440" s="10"/>
      <c r="E440" s="10"/>
      <c r="F440" s="88"/>
      <c r="G440" s="88"/>
      <c r="H440" s="88"/>
      <c r="I440" s="99"/>
      <c r="J440" s="63"/>
      <c r="K440" s="21">
        <f>SUM(K429:K438)</f>
        <v>10</v>
      </c>
      <c r="L440" s="21">
        <f>SUM(L429:L438)</f>
        <v>10</v>
      </c>
      <c r="M440" s="21">
        <f>SUM(M429:M438)</f>
        <v>10</v>
      </c>
      <c r="N440" s="21">
        <f>SUM(N429:N438)</f>
        <v>10</v>
      </c>
      <c r="O440" s="21">
        <f>SUM(O429:O438)</f>
        <v>10</v>
      </c>
      <c r="P440" s="21">
        <f>SUM(P429:P438)</f>
        <v>10</v>
      </c>
      <c r="Q440" s="21">
        <f>SUM(Q429:Q438)</f>
        <v>9</v>
      </c>
      <c r="R440" s="21">
        <f>SUM(R429:R438)</f>
        <v>9</v>
      </c>
      <c r="S440" s="21">
        <f>SUM(S429:S438)</f>
        <v>7</v>
      </c>
      <c r="T440" s="63"/>
      <c r="U440" s="10"/>
      <c r="V440" s="90"/>
      <c r="W440" s="91"/>
      <c r="X440" s="92"/>
    </row>
    <row r="441" spans="1:24">
      <c r="A441" s="614"/>
      <c r="B441" s="11"/>
      <c r="C441" s="609"/>
      <c r="D441" s="10"/>
      <c r="E441" s="10"/>
      <c r="F441" s="88"/>
      <c r="G441" s="88"/>
      <c r="H441" s="88"/>
      <c r="I441" s="99"/>
      <c r="J441" s="63"/>
      <c r="K441" s="21"/>
      <c r="L441" s="21"/>
      <c r="M441" s="21"/>
      <c r="N441" s="21"/>
      <c r="O441" s="21"/>
      <c r="P441" s="21"/>
      <c r="Q441" s="21"/>
      <c r="R441" s="21"/>
      <c r="S441" s="21"/>
      <c r="T441" s="63"/>
      <c r="U441" s="94"/>
      <c r="V441" s="90"/>
      <c r="W441" s="91"/>
      <c r="X441" s="92"/>
    </row>
    <row r="442" spans="1:24">
      <c r="A442" s="615"/>
      <c r="B442" s="121" t="s">
        <v>68</v>
      </c>
      <c r="C442" s="611"/>
      <c r="D442" s="123"/>
      <c r="E442" s="123"/>
      <c r="F442" s="124"/>
      <c r="G442" s="125"/>
      <c r="H442" s="124"/>
      <c r="I442" s="126"/>
      <c r="J442" s="127"/>
      <c r="K442" s="128"/>
      <c r="L442" s="128"/>
      <c r="M442" s="128"/>
      <c r="N442" s="128"/>
      <c r="O442" s="128"/>
      <c r="P442" s="128"/>
      <c r="Q442" s="128"/>
      <c r="R442" s="128"/>
      <c r="S442" s="128"/>
      <c r="T442" s="127"/>
      <c r="U442" s="123"/>
      <c r="V442" s="129"/>
      <c r="W442" s="130"/>
      <c r="X442" s="131"/>
    </row>
    <row r="443" spans="1:24" s="342" customFormat="1">
      <c r="A443" s="492">
        <v>0.05</v>
      </c>
      <c r="B443" s="333">
        <v>1</v>
      </c>
      <c r="C443" s="350">
        <v>45929</v>
      </c>
      <c r="D443" s="263">
        <v>73756</v>
      </c>
      <c r="E443" s="358" t="s">
        <v>363</v>
      </c>
      <c r="F443" s="352">
        <v>1138</v>
      </c>
      <c r="G443" s="352">
        <f>39.7</f>
        <v>39.700000000000003</v>
      </c>
      <c r="H443" s="352"/>
      <c r="I443" s="353">
        <f t="shared" ref="I443" si="85">F443-G443-H443</f>
        <v>1098.3</v>
      </c>
      <c r="J443" s="354" t="s">
        <v>156</v>
      </c>
      <c r="K443" s="314">
        <v>0</v>
      </c>
      <c r="L443" s="354">
        <v>1</v>
      </c>
      <c r="M443" s="354">
        <v>1</v>
      </c>
      <c r="N443" s="354">
        <v>1</v>
      </c>
      <c r="O443" s="354">
        <v>1</v>
      </c>
      <c r="P443" s="354">
        <v>1</v>
      </c>
      <c r="Q443" s="354">
        <v>1</v>
      </c>
      <c r="R443" s="354">
        <v>1</v>
      </c>
      <c r="S443" s="355">
        <v>1</v>
      </c>
      <c r="T443" s="127"/>
      <c r="U443" s="123"/>
      <c r="V443" s="129">
        <f>150+951.8</f>
        <v>1101.8</v>
      </c>
      <c r="W443" s="130"/>
      <c r="X443" s="131"/>
    </row>
    <row r="444" spans="1:24">
      <c r="A444" s="615"/>
      <c r="B444" s="132"/>
      <c r="C444" s="36"/>
      <c r="D444" s="123"/>
      <c r="E444" s="123"/>
      <c r="F444" s="133">
        <f>SUM(F443:F443)</f>
        <v>1138</v>
      </c>
      <c r="G444" s="133">
        <f>SUM(G443:G443)</f>
        <v>39.700000000000003</v>
      </c>
      <c r="H444" s="133">
        <f>SUM(H443:H443)</f>
        <v>0</v>
      </c>
      <c r="I444" s="134">
        <f>SUM(I443:I443)</f>
        <v>1098.3</v>
      </c>
      <c r="J444" s="127"/>
      <c r="K444" s="64"/>
      <c r="L444" s="64"/>
      <c r="M444" s="64"/>
      <c r="N444" s="64"/>
      <c r="O444" s="64"/>
      <c r="P444" s="64"/>
      <c r="Q444" s="64"/>
      <c r="R444" s="64"/>
      <c r="S444" s="64"/>
      <c r="T444" s="127"/>
      <c r="U444" s="123"/>
      <c r="V444" s="129"/>
      <c r="W444" s="130"/>
      <c r="X444" s="131"/>
    </row>
    <row r="445" spans="1:24">
      <c r="A445" s="614"/>
      <c r="B445" s="11"/>
      <c r="C445" s="36"/>
      <c r="D445" s="10"/>
      <c r="E445" s="10"/>
      <c r="F445" s="88"/>
      <c r="G445" s="88"/>
      <c r="H445" s="88"/>
      <c r="I445" s="99"/>
      <c r="J445" s="63"/>
      <c r="K445" s="21"/>
      <c r="L445" s="21"/>
      <c r="M445" s="21"/>
      <c r="N445" s="21"/>
      <c r="O445" s="21"/>
      <c r="P445" s="21"/>
      <c r="Q445" s="21"/>
      <c r="R445" s="21"/>
      <c r="S445" s="21"/>
      <c r="T445" s="63"/>
      <c r="U445" s="94"/>
      <c r="V445" s="90"/>
      <c r="W445" s="91"/>
      <c r="X445" s="92"/>
    </row>
    <row r="446" spans="1:24">
      <c r="A446" s="615"/>
      <c r="B446" s="121" t="s">
        <v>70</v>
      </c>
      <c r="C446" s="36"/>
      <c r="D446" s="123"/>
      <c r="E446" s="128"/>
      <c r="F446" s="124"/>
      <c r="G446" s="124"/>
      <c r="H446" s="124"/>
      <c r="I446" s="126"/>
      <c r="J446" s="127"/>
      <c r="K446" s="64"/>
      <c r="L446" s="64"/>
      <c r="M446" s="64"/>
      <c r="N446" s="64"/>
      <c r="O446" s="64"/>
      <c r="P446" s="64"/>
      <c r="Q446" s="64"/>
      <c r="R446" s="64"/>
      <c r="S446" s="64"/>
      <c r="T446" s="127"/>
      <c r="U446" s="135"/>
      <c r="V446" s="129"/>
      <c r="W446" s="130"/>
      <c r="X446" s="131"/>
    </row>
    <row r="447" spans="1:24" s="342" customFormat="1">
      <c r="A447" s="492">
        <v>0.05</v>
      </c>
      <c r="B447" s="333">
        <v>1</v>
      </c>
      <c r="C447" s="350">
        <v>45933</v>
      </c>
      <c r="D447" s="263">
        <v>74034</v>
      </c>
      <c r="E447" s="358" t="s">
        <v>643</v>
      </c>
      <c r="F447" s="352">
        <v>1861</v>
      </c>
      <c r="G447" s="352">
        <f>39.7+468</f>
        <v>507.7</v>
      </c>
      <c r="H447" s="352"/>
      <c r="I447" s="353">
        <f>F447-G447-H447</f>
        <v>1353.3</v>
      </c>
      <c r="J447" s="354"/>
      <c r="K447" s="354">
        <v>1</v>
      </c>
      <c r="L447" s="354"/>
      <c r="M447" s="354"/>
      <c r="N447" s="354">
        <v>1</v>
      </c>
      <c r="O447" s="354">
        <v>1</v>
      </c>
      <c r="P447" s="314">
        <v>0</v>
      </c>
      <c r="Q447" s="354"/>
      <c r="R447" s="354"/>
      <c r="S447" s="355"/>
      <c r="T447" s="127"/>
      <c r="U447" s="135" t="s">
        <v>844</v>
      </c>
      <c r="V447" s="129"/>
      <c r="W447" s="340"/>
      <c r="X447" s="341"/>
    </row>
    <row r="448" spans="1:24">
      <c r="A448" s="615"/>
      <c r="B448" s="132"/>
      <c r="C448" s="36"/>
      <c r="D448" s="123"/>
      <c r="E448" s="123"/>
      <c r="F448" s="133">
        <f>SUM(F447:F447)</f>
        <v>1861</v>
      </c>
      <c r="G448" s="133">
        <f>SUM(G447:G447)</f>
        <v>507.7</v>
      </c>
      <c r="H448" s="133">
        <f>SUM(H447:H447)</f>
        <v>0</v>
      </c>
      <c r="I448" s="134">
        <f>SUM(I447:I447)</f>
        <v>1353.3</v>
      </c>
      <c r="J448" s="127"/>
      <c r="K448" s="64"/>
      <c r="L448" s="64"/>
      <c r="M448" s="64"/>
      <c r="N448" s="64"/>
      <c r="O448" s="64"/>
      <c r="P448" s="64"/>
      <c r="Q448" s="64"/>
      <c r="R448" s="64"/>
      <c r="S448" s="64"/>
      <c r="T448" s="127"/>
      <c r="U448" s="135"/>
      <c r="V448" s="129"/>
      <c r="W448" s="130"/>
      <c r="X448" s="131"/>
    </row>
    <row r="449" spans="1:25">
      <c r="A449" s="614"/>
      <c r="B449" s="11"/>
      <c r="C449" s="609"/>
      <c r="D449" s="10"/>
      <c r="E449" s="10"/>
      <c r="F449" s="88"/>
      <c r="G449" s="88"/>
      <c r="H449" s="88"/>
      <c r="I449" s="99"/>
      <c r="J449" s="63"/>
      <c r="K449" s="21"/>
      <c r="L449" s="21"/>
      <c r="M449" s="21"/>
      <c r="N449" s="21"/>
      <c r="O449" s="21"/>
      <c r="P449" s="21"/>
      <c r="Q449" s="21"/>
      <c r="R449" s="21"/>
      <c r="S449" s="21"/>
      <c r="T449" s="63"/>
      <c r="U449" s="94"/>
      <c r="V449" s="90"/>
      <c r="W449" s="91"/>
      <c r="X449" s="92"/>
    </row>
    <row r="450" spans="1:25" s="260" customFormat="1">
      <c r="A450" s="181"/>
      <c r="B450" s="100" t="s">
        <v>152</v>
      </c>
      <c r="C450" s="36"/>
      <c r="D450" s="10"/>
      <c r="E450" s="10"/>
      <c r="F450" s="88"/>
      <c r="G450" s="62"/>
      <c r="H450" s="88"/>
      <c r="I450" s="99"/>
      <c r="J450" s="63"/>
      <c r="K450" s="181"/>
      <c r="L450" s="181"/>
      <c r="M450" s="181"/>
      <c r="N450" s="181"/>
      <c r="O450" s="181"/>
      <c r="P450" s="181"/>
      <c r="Q450" s="181"/>
      <c r="R450" s="181"/>
      <c r="S450" s="181"/>
      <c r="T450" s="63"/>
      <c r="U450" s="10"/>
      <c r="V450" s="90"/>
      <c r="W450" s="91"/>
      <c r="X450" s="92"/>
    </row>
    <row r="451" spans="1:25" s="260" customFormat="1">
      <c r="A451" s="494">
        <v>0.05</v>
      </c>
      <c r="B451" s="87">
        <v>1</v>
      </c>
      <c r="C451" s="262">
        <v>45890</v>
      </c>
      <c r="D451" s="357" t="s">
        <v>759</v>
      </c>
      <c r="E451" s="271" t="s">
        <v>369</v>
      </c>
      <c r="F451" s="265">
        <f>4112-450</f>
        <v>3662</v>
      </c>
      <c r="G451" s="265">
        <f>39.7+(847.9+27.43+26.8)+300</f>
        <v>1241.83</v>
      </c>
      <c r="H451" s="265"/>
      <c r="I451" s="266">
        <f>F451-G451-H451</f>
        <v>2420.17</v>
      </c>
      <c r="J451" s="267" t="s">
        <v>228</v>
      </c>
      <c r="K451" s="267">
        <v>1</v>
      </c>
      <c r="L451" s="314">
        <v>0</v>
      </c>
      <c r="M451" s="267">
        <v>1</v>
      </c>
      <c r="N451" s="267">
        <v>1</v>
      </c>
      <c r="O451" s="267">
        <v>1</v>
      </c>
      <c r="P451" s="267">
        <v>1</v>
      </c>
      <c r="Q451" s="267">
        <v>1</v>
      </c>
      <c r="R451" s="267">
        <v>1</v>
      </c>
      <c r="S451" s="366">
        <v>0</v>
      </c>
      <c r="T451" s="63"/>
      <c r="U451" s="10" t="s">
        <v>760</v>
      </c>
      <c r="V451" s="90"/>
      <c r="W451" s="136"/>
      <c r="X451" s="137"/>
    </row>
    <row r="452" spans="1:25" s="260" customFormat="1">
      <c r="A452" s="494">
        <v>0.05</v>
      </c>
      <c r="B452" s="87">
        <f>B451+1</f>
        <v>2</v>
      </c>
      <c r="C452" s="262">
        <v>45905</v>
      </c>
      <c r="D452" s="263">
        <v>73026</v>
      </c>
      <c r="E452" s="264" t="s">
        <v>294</v>
      </c>
      <c r="F452" s="265">
        <f>1261-89</f>
        <v>1172</v>
      </c>
      <c r="G452" s="265">
        <f>39.7</f>
        <v>39.700000000000003</v>
      </c>
      <c r="H452" s="265"/>
      <c r="I452" s="266">
        <f>F452-G452-H452</f>
        <v>1132.3</v>
      </c>
      <c r="J452" s="267"/>
      <c r="K452" s="267">
        <v>1</v>
      </c>
      <c r="L452" s="267">
        <v>1</v>
      </c>
      <c r="M452" s="267"/>
      <c r="N452" s="267">
        <v>1</v>
      </c>
      <c r="O452" s="267">
        <v>1</v>
      </c>
      <c r="P452" s="314">
        <v>0</v>
      </c>
      <c r="Q452" s="267">
        <v>1</v>
      </c>
      <c r="R452" s="267">
        <v>1</v>
      </c>
      <c r="S452" s="366">
        <v>0</v>
      </c>
      <c r="T452" s="63"/>
      <c r="U452" s="10"/>
      <c r="V452" s="90"/>
      <c r="W452" s="91"/>
      <c r="X452" s="92"/>
    </row>
    <row r="453" spans="1:25" s="260" customFormat="1">
      <c r="A453" s="181"/>
      <c r="B453" s="11"/>
      <c r="C453" s="36"/>
      <c r="D453" s="10"/>
      <c r="E453" s="10"/>
      <c r="F453" s="98">
        <f>SUM(F451:F452)</f>
        <v>4834</v>
      </c>
      <c r="G453" s="98">
        <f>SUM(G451:G452)</f>
        <v>1281.53</v>
      </c>
      <c r="H453" s="98">
        <f>SUM(H451:H452)</f>
        <v>0</v>
      </c>
      <c r="I453" s="98">
        <f>SUM(I451:I452)</f>
        <v>3552.4700000000003</v>
      </c>
      <c r="J453" s="63"/>
      <c r="K453" s="21"/>
      <c r="L453" s="21"/>
      <c r="M453" s="21"/>
      <c r="N453" s="21"/>
      <c r="O453" s="21"/>
      <c r="P453" s="21"/>
      <c r="Q453" s="21"/>
      <c r="R453" s="21"/>
      <c r="S453" s="21"/>
      <c r="T453" s="63"/>
      <c r="U453" s="94"/>
      <c r="V453" s="90"/>
      <c r="W453" s="91"/>
      <c r="X453" s="92"/>
    </row>
    <row r="454" spans="1:25" s="260" customFormat="1">
      <c r="A454" s="181"/>
      <c r="B454" s="11"/>
      <c r="C454" s="36"/>
      <c r="D454" s="10"/>
      <c r="E454" s="10"/>
      <c r="F454" s="88"/>
      <c r="G454" s="88"/>
      <c r="H454" s="88"/>
      <c r="I454" s="99"/>
      <c r="J454" s="63"/>
      <c r="K454" s="21"/>
      <c r="L454" s="21"/>
      <c r="M454" s="21"/>
      <c r="N454" s="21"/>
      <c r="O454" s="21"/>
      <c r="P454" s="21"/>
      <c r="Q454" s="21"/>
      <c r="R454" s="21"/>
      <c r="S454" s="21"/>
      <c r="T454" s="63"/>
      <c r="U454" s="94"/>
      <c r="V454" s="90"/>
      <c r="W454" s="91"/>
      <c r="X454" s="92"/>
    </row>
    <row r="455" spans="1:25" s="260" customFormat="1">
      <c r="B455" s="100" t="s">
        <v>202</v>
      </c>
      <c r="C455" s="36"/>
      <c r="D455" s="10"/>
      <c r="E455" s="181"/>
      <c r="F455" s="88"/>
      <c r="G455" s="88"/>
      <c r="H455" s="88"/>
      <c r="I455" s="99"/>
      <c r="J455" s="63"/>
      <c r="K455" s="21"/>
      <c r="L455" s="21"/>
      <c r="M455" s="21"/>
      <c r="N455" s="21"/>
      <c r="O455" s="21"/>
      <c r="P455" s="21"/>
      <c r="Q455" s="21"/>
      <c r="R455" s="21"/>
      <c r="S455" s="21"/>
      <c r="T455" s="63"/>
      <c r="U455" s="94"/>
      <c r="V455" s="90"/>
      <c r="W455" s="91"/>
      <c r="X455" s="92"/>
      <c r="Y455" s="181"/>
    </row>
    <row r="456" spans="1:25" s="260" customFormat="1">
      <c r="A456" s="494">
        <v>0.05</v>
      </c>
      <c r="B456" s="87">
        <v>1</v>
      </c>
      <c r="C456" s="274">
        <v>45908</v>
      </c>
      <c r="D456" s="327">
        <v>73048</v>
      </c>
      <c r="E456" s="276" t="s">
        <v>211</v>
      </c>
      <c r="F456" s="277">
        <v>861</v>
      </c>
      <c r="G456" s="277">
        <f>39.7</f>
        <v>39.700000000000003</v>
      </c>
      <c r="H456" s="277"/>
      <c r="I456" s="278">
        <f>F456-G456-H456</f>
        <v>821.3</v>
      </c>
      <c r="J456" s="279" t="s">
        <v>156</v>
      </c>
      <c r="K456" s="279">
        <v>1</v>
      </c>
      <c r="L456" s="279"/>
      <c r="M456" s="279">
        <v>1</v>
      </c>
      <c r="N456" s="279">
        <v>1</v>
      </c>
      <c r="O456" s="279">
        <v>1</v>
      </c>
      <c r="P456" s="279">
        <v>1</v>
      </c>
      <c r="Q456" s="279"/>
      <c r="R456" s="279"/>
      <c r="S456" s="280"/>
      <c r="T456" s="63"/>
      <c r="U456" s="94" t="s">
        <v>806</v>
      </c>
      <c r="V456" s="90"/>
      <c r="W456" s="136"/>
      <c r="X456" s="137"/>
      <c r="Y456" s="181"/>
    </row>
    <row r="457" spans="1:25" s="260" customFormat="1">
      <c r="A457" s="261">
        <v>0.05</v>
      </c>
      <c r="B457" s="87">
        <f>B456+1</f>
        <v>2</v>
      </c>
      <c r="C457" s="262">
        <v>45917</v>
      </c>
      <c r="D457" s="263">
        <v>73379</v>
      </c>
      <c r="E457" s="271" t="s">
        <v>159</v>
      </c>
      <c r="F457" s="265">
        <v>4619</v>
      </c>
      <c r="G457" s="265">
        <f>39.7+300+(88.82+47.5+58.8)+(77+674.43+129.7)+300</f>
        <v>1715.9499999999998</v>
      </c>
      <c r="H457" s="265"/>
      <c r="I457" s="266">
        <f>F457-G457-H457</f>
        <v>2903.05</v>
      </c>
      <c r="J457" s="267" t="s">
        <v>228</v>
      </c>
      <c r="K457" s="267">
        <v>1</v>
      </c>
      <c r="L457" s="267"/>
      <c r="M457" s="267">
        <v>1</v>
      </c>
      <c r="N457" s="267">
        <v>1</v>
      </c>
      <c r="O457" s="267">
        <v>1</v>
      </c>
      <c r="P457" s="314">
        <v>0</v>
      </c>
      <c r="Q457" s="267"/>
      <c r="R457" s="267"/>
      <c r="S457" s="269"/>
      <c r="T457" s="63"/>
      <c r="U457" s="94" t="s">
        <v>832</v>
      </c>
      <c r="V457" s="90"/>
      <c r="W457" s="136"/>
      <c r="X457" s="137"/>
    </row>
    <row r="458" spans="1:25" s="260" customFormat="1">
      <c r="B458" s="11"/>
      <c r="C458" s="36"/>
      <c r="D458" s="10"/>
      <c r="E458" s="10"/>
      <c r="F458" s="97">
        <f>SUM(F456:F457)</f>
        <v>5480</v>
      </c>
      <c r="G458" s="97">
        <f t="shared" ref="G458:I458" si="86">SUM(G456:G457)</f>
        <v>1755.6499999999999</v>
      </c>
      <c r="H458" s="97">
        <f t="shared" si="86"/>
        <v>0</v>
      </c>
      <c r="I458" s="97">
        <f t="shared" si="86"/>
        <v>3724.3500000000004</v>
      </c>
      <c r="J458" s="63"/>
      <c r="K458" s="21"/>
      <c r="L458" s="21"/>
      <c r="M458" s="21"/>
      <c r="N458" s="21"/>
      <c r="O458" s="21"/>
      <c r="P458" s="21"/>
      <c r="Q458" s="21"/>
      <c r="R458" s="21"/>
      <c r="S458" s="21"/>
      <c r="T458" s="63"/>
      <c r="U458" s="94"/>
      <c r="V458" s="90"/>
      <c r="W458" s="91"/>
      <c r="X458" s="92"/>
      <c r="Y458" s="181"/>
    </row>
    <row r="459" spans="1:25" s="260" customFormat="1">
      <c r="B459" s="11"/>
      <c r="C459" s="36"/>
      <c r="D459" s="10"/>
      <c r="E459" s="10"/>
      <c r="F459" s="88"/>
      <c r="G459" s="88"/>
      <c r="H459" s="88"/>
      <c r="I459" s="99"/>
      <c r="J459" s="63"/>
      <c r="K459" s="21"/>
      <c r="L459" s="21"/>
      <c r="M459" s="21"/>
      <c r="N459" s="21"/>
      <c r="O459" s="21"/>
      <c r="P459" s="21"/>
      <c r="Q459" s="21"/>
      <c r="R459" s="21"/>
      <c r="S459" s="21"/>
      <c r="T459" s="63"/>
      <c r="U459" s="94"/>
      <c r="V459" s="90"/>
      <c r="W459" s="91"/>
      <c r="X459" s="92"/>
      <c r="Y459" s="181"/>
    </row>
    <row r="460" spans="1:25">
      <c r="A460" s="614"/>
      <c r="B460" s="100" t="s">
        <v>72</v>
      </c>
      <c r="C460" s="609"/>
      <c r="D460" s="10"/>
      <c r="E460" s="10"/>
      <c r="F460" s="88"/>
      <c r="G460" s="88"/>
      <c r="H460" s="88"/>
      <c r="I460" s="99"/>
      <c r="J460" s="63"/>
      <c r="K460" s="63"/>
      <c r="L460" s="63"/>
      <c r="M460" s="63"/>
      <c r="N460" s="63"/>
      <c r="O460" s="63"/>
      <c r="P460" s="63"/>
      <c r="Q460" s="63"/>
      <c r="R460" s="63"/>
      <c r="S460" s="63"/>
      <c r="T460" s="63"/>
      <c r="U460" s="10"/>
      <c r="V460" s="90"/>
      <c r="W460" s="91"/>
      <c r="X460" s="92"/>
    </row>
    <row r="461" spans="1:25">
      <c r="A461" s="614"/>
      <c r="B461" s="87">
        <v>1</v>
      </c>
      <c r="C461" s="274">
        <v>45929</v>
      </c>
      <c r="D461" s="276">
        <v>73708</v>
      </c>
      <c r="E461" s="276" t="s">
        <v>643</v>
      </c>
      <c r="F461" s="277">
        <v>0</v>
      </c>
      <c r="G461" s="277">
        <v>0</v>
      </c>
      <c r="H461" s="277"/>
      <c r="I461" s="278">
        <f t="shared" ref="I461:I485" si="87">F461-G461-H461</f>
        <v>0</v>
      </c>
      <c r="J461" s="279" t="s">
        <v>205</v>
      </c>
      <c r="K461" s="279"/>
      <c r="L461" s="279"/>
      <c r="M461" s="279"/>
      <c r="N461" s="279"/>
      <c r="O461" s="279"/>
      <c r="P461" s="279"/>
      <c r="Q461" s="279"/>
      <c r="R461" s="279"/>
      <c r="S461" s="280"/>
      <c r="T461" s="63"/>
      <c r="U461" s="3"/>
      <c r="V461" s="90"/>
      <c r="W461" s="91"/>
      <c r="X461" s="92"/>
    </row>
    <row r="462" spans="1:25">
      <c r="A462" s="614"/>
      <c r="B462" s="87">
        <f t="shared" ref="B462:B475" si="88">B461+1</f>
        <v>2</v>
      </c>
      <c r="C462" s="295">
        <v>45929</v>
      </c>
      <c r="D462" s="10">
        <v>73693</v>
      </c>
      <c r="E462" s="10" t="s">
        <v>381</v>
      </c>
      <c r="F462" s="62">
        <v>1261</v>
      </c>
      <c r="G462" s="62">
        <v>39.700000000000003</v>
      </c>
      <c r="H462" s="62"/>
      <c r="I462" s="89">
        <f t="shared" si="87"/>
        <v>1221.3</v>
      </c>
      <c r="J462" s="63" t="s">
        <v>205</v>
      </c>
      <c r="K462" s="63">
        <v>1</v>
      </c>
      <c r="L462" s="63"/>
      <c r="M462" s="63"/>
      <c r="N462" s="63">
        <v>1</v>
      </c>
      <c r="O462" s="63"/>
      <c r="P462" s="63"/>
      <c r="Q462" s="63">
        <v>1</v>
      </c>
      <c r="R462" s="63">
        <v>1</v>
      </c>
      <c r="S462" s="296">
        <v>1</v>
      </c>
      <c r="T462" s="63"/>
      <c r="U462" s="10"/>
      <c r="V462" s="90"/>
      <c r="W462" s="136"/>
      <c r="X462" s="137"/>
    </row>
    <row r="463" spans="1:25">
      <c r="A463" s="614"/>
      <c r="B463" s="87">
        <f t="shared" si="88"/>
        <v>3</v>
      </c>
      <c r="C463" s="295">
        <v>45929</v>
      </c>
      <c r="D463" s="10">
        <v>73744</v>
      </c>
      <c r="E463" s="10" t="s">
        <v>363</v>
      </c>
      <c r="F463" s="62">
        <v>680</v>
      </c>
      <c r="G463" s="62"/>
      <c r="H463" s="62"/>
      <c r="I463" s="89">
        <f>F463-G463-H463</f>
        <v>680</v>
      </c>
      <c r="J463" s="63" t="s">
        <v>205</v>
      </c>
      <c r="K463" s="63">
        <v>1</v>
      </c>
      <c r="L463" s="63"/>
      <c r="M463" s="63"/>
      <c r="N463" s="63">
        <v>1</v>
      </c>
      <c r="O463" s="63"/>
      <c r="P463" s="63"/>
      <c r="Q463" s="63">
        <v>1</v>
      </c>
      <c r="R463" s="63">
        <v>1</v>
      </c>
      <c r="S463" s="296">
        <v>1</v>
      </c>
      <c r="T463" s="63"/>
      <c r="U463" s="10"/>
      <c r="V463" s="90"/>
      <c r="W463" s="136"/>
      <c r="X463" s="137"/>
    </row>
    <row r="464" spans="1:25">
      <c r="A464" s="614"/>
      <c r="B464" s="87">
        <f t="shared" si="88"/>
        <v>4</v>
      </c>
      <c r="C464" s="295">
        <v>45929</v>
      </c>
      <c r="D464" s="10">
        <v>73741</v>
      </c>
      <c r="E464" s="10" t="s">
        <v>845</v>
      </c>
      <c r="F464" s="62">
        <v>0</v>
      </c>
      <c r="G464" s="62">
        <v>0</v>
      </c>
      <c r="H464" s="62"/>
      <c r="I464" s="89">
        <f t="shared" si="87"/>
        <v>0</v>
      </c>
      <c r="J464" s="63" t="s">
        <v>205</v>
      </c>
      <c r="K464" s="63"/>
      <c r="L464" s="63"/>
      <c r="M464" s="63"/>
      <c r="N464" s="63">
        <v>1</v>
      </c>
      <c r="O464" s="63"/>
      <c r="P464" s="63"/>
      <c r="Q464" s="63">
        <v>1</v>
      </c>
      <c r="R464" s="63">
        <v>1</v>
      </c>
      <c r="S464" s="296">
        <v>1</v>
      </c>
      <c r="T464" s="63"/>
      <c r="U464" s="10"/>
      <c r="V464" s="90"/>
      <c r="W464" s="136"/>
      <c r="X464" s="137"/>
    </row>
    <row r="465" spans="1:24">
      <c r="A465" s="614"/>
      <c r="B465" s="87">
        <f t="shared" si="88"/>
        <v>5</v>
      </c>
      <c r="C465" s="295">
        <v>45929</v>
      </c>
      <c r="D465" s="10">
        <v>73765</v>
      </c>
      <c r="E465" s="10" t="s">
        <v>846</v>
      </c>
      <c r="F465" s="62">
        <v>596</v>
      </c>
      <c r="G465" s="62"/>
      <c r="H465" s="62"/>
      <c r="I465" s="89">
        <f t="shared" si="87"/>
        <v>596</v>
      </c>
      <c r="J465" s="63" t="s">
        <v>205</v>
      </c>
      <c r="K465" s="63">
        <v>1</v>
      </c>
      <c r="L465" s="63"/>
      <c r="M465" s="63"/>
      <c r="N465" s="63">
        <v>1</v>
      </c>
      <c r="O465" s="63"/>
      <c r="P465" s="63"/>
      <c r="Q465" s="63">
        <v>1</v>
      </c>
      <c r="R465" s="63">
        <v>1</v>
      </c>
      <c r="S465" s="296"/>
      <c r="T465" s="63"/>
      <c r="U465" s="10"/>
      <c r="V465" s="90"/>
      <c r="W465" s="136"/>
      <c r="X465" s="137"/>
    </row>
    <row r="466" spans="1:24">
      <c r="A466" s="614"/>
      <c r="B466" s="87">
        <f t="shared" si="88"/>
        <v>6</v>
      </c>
      <c r="C466" s="274">
        <v>45930</v>
      </c>
      <c r="D466" s="276">
        <v>73840</v>
      </c>
      <c r="E466" s="281" t="s">
        <v>563</v>
      </c>
      <c r="F466" s="277">
        <v>1134</v>
      </c>
      <c r="G466" s="277">
        <f>39.7</f>
        <v>39.700000000000003</v>
      </c>
      <c r="H466" s="277"/>
      <c r="I466" s="278">
        <f t="shared" si="87"/>
        <v>1094.3</v>
      </c>
      <c r="J466" s="279" t="s">
        <v>205</v>
      </c>
      <c r="K466" s="279">
        <v>1</v>
      </c>
      <c r="L466" s="279"/>
      <c r="M466" s="279"/>
      <c r="N466" s="279">
        <v>1</v>
      </c>
      <c r="O466" s="279"/>
      <c r="P466" s="279"/>
      <c r="Q466" s="279">
        <v>1</v>
      </c>
      <c r="R466" s="279">
        <v>1</v>
      </c>
      <c r="S466" s="280">
        <v>1</v>
      </c>
      <c r="T466" s="63"/>
      <c r="U466" s="10"/>
      <c r="V466" s="90"/>
      <c r="W466" s="136"/>
      <c r="X466" s="137"/>
    </row>
    <row r="467" spans="1:24">
      <c r="A467" s="614"/>
      <c r="B467" s="87">
        <f t="shared" si="88"/>
        <v>7</v>
      </c>
      <c r="C467" s="295">
        <v>45930</v>
      </c>
      <c r="D467" s="10">
        <v>73857</v>
      </c>
      <c r="E467" s="101" t="s">
        <v>327</v>
      </c>
      <c r="F467" s="62">
        <v>2220</v>
      </c>
      <c r="G467" s="62">
        <v>39.700000000000003</v>
      </c>
      <c r="H467" s="62"/>
      <c r="I467" s="89">
        <f t="shared" si="87"/>
        <v>2180.3000000000002</v>
      </c>
      <c r="J467" s="63" t="s">
        <v>205</v>
      </c>
      <c r="K467" s="63">
        <v>1</v>
      </c>
      <c r="L467" s="63"/>
      <c r="M467" s="63"/>
      <c r="N467" s="63">
        <v>1</v>
      </c>
      <c r="O467" s="63"/>
      <c r="P467" s="63"/>
      <c r="Q467" s="63">
        <v>1</v>
      </c>
      <c r="R467" s="63">
        <v>1</v>
      </c>
      <c r="S467" s="296">
        <v>1</v>
      </c>
      <c r="T467" s="63"/>
      <c r="U467" s="10"/>
      <c r="V467" s="90"/>
      <c r="W467" s="136"/>
      <c r="X467" s="137"/>
    </row>
    <row r="468" spans="1:24">
      <c r="A468" s="614"/>
      <c r="B468" s="87">
        <f t="shared" si="88"/>
        <v>8</v>
      </c>
      <c r="C468" s="295">
        <v>45930</v>
      </c>
      <c r="D468" s="10">
        <v>73829</v>
      </c>
      <c r="E468" s="101" t="s">
        <v>847</v>
      </c>
      <c r="F468" s="62">
        <v>2261</v>
      </c>
      <c r="G468" s="62">
        <v>39.700000000000003</v>
      </c>
      <c r="H468" s="62"/>
      <c r="I468" s="89">
        <f t="shared" si="87"/>
        <v>2221.3000000000002</v>
      </c>
      <c r="J468" s="63" t="s">
        <v>205</v>
      </c>
      <c r="K468" s="63">
        <v>1</v>
      </c>
      <c r="L468" s="63"/>
      <c r="M468" s="63"/>
      <c r="N468" s="63">
        <v>1</v>
      </c>
      <c r="O468" s="63"/>
      <c r="P468" s="63"/>
      <c r="Q468" s="63">
        <v>1</v>
      </c>
      <c r="R468" s="63">
        <v>1</v>
      </c>
      <c r="S468" s="296">
        <v>1</v>
      </c>
      <c r="T468" s="63"/>
      <c r="U468" s="10"/>
      <c r="V468" s="90"/>
      <c r="W468" s="136"/>
      <c r="X468" s="137"/>
    </row>
    <row r="469" spans="1:24">
      <c r="A469" s="614"/>
      <c r="B469" s="87">
        <f t="shared" si="88"/>
        <v>9</v>
      </c>
      <c r="C469" s="274">
        <v>45931</v>
      </c>
      <c r="D469" s="276">
        <v>73873</v>
      </c>
      <c r="E469" s="281" t="s">
        <v>363</v>
      </c>
      <c r="F469" s="277">
        <v>1238</v>
      </c>
      <c r="G469" s="277">
        <v>39.700000000000003</v>
      </c>
      <c r="H469" s="277"/>
      <c r="I469" s="278">
        <f t="shared" si="87"/>
        <v>1198.3</v>
      </c>
      <c r="J469" s="279" t="s">
        <v>205</v>
      </c>
      <c r="K469" s="279">
        <v>1</v>
      </c>
      <c r="L469" s="279"/>
      <c r="M469" s="279"/>
      <c r="N469" s="279">
        <v>1</v>
      </c>
      <c r="O469" s="279"/>
      <c r="P469" s="279"/>
      <c r="Q469" s="279">
        <v>1</v>
      </c>
      <c r="R469" s="279">
        <v>1</v>
      </c>
      <c r="S469" s="280">
        <v>1</v>
      </c>
      <c r="T469" s="63"/>
      <c r="U469" s="10"/>
      <c r="V469" s="90"/>
      <c r="W469" s="136"/>
      <c r="X469" s="137"/>
    </row>
    <row r="470" spans="1:24">
      <c r="A470" s="614"/>
      <c r="B470" s="87">
        <f t="shared" si="88"/>
        <v>10</v>
      </c>
      <c r="C470" s="295">
        <v>45931</v>
      </c>
      <c r="D470" s="10">
        <v>73793</v>
      </c>
      <c r="E470" s="101" t="s">
        <v>327</v>
      </c>
      <c r="F470" s="62">
        <v>1138</v>
      </c>
      <c r="G470" s="62">
        <v>39.700000000000003</v>
      </c>
      <c r="H470" s="62"/>
      <c r="I470" s="89">
        <f t="shared" si="87"/>
        <v>1098.3</v>
      </c>
      <c r="J470" s="63" t="s">
        <v>205</v>
      </c>
      <c r="K470" s="63">
        <v>1</v>
      </c>
      <c r="L470" s="63"/>
      <c r="M470" s="63"/>
      <c r="N470" s="63">
        <v>1</v>
      </c>
      <c r="O470" s="63"/>
      <c r="P470" s="63"/>
      <c r="Q470" s="63">
        <v>1</v>
      </c>
      <c r="R470" s="63">
        <v>1</v>
      </c>
      <c r="S470" s="296">
        <v>1</v>
      </c>
      <c r="T470" s="63"/>
      <c r="U470" s="10"/>
      <c r="V470" s="90"/>
      <c r="W470" s="136"/>
      <c r="X470" s="137"/>
    </row>
    <row r="471" spans="1:24">
      <c r="A471" s="614"/>
      <c r="B471" s="87">
        <f t="shared" si="88"/>
        <v>11</v>
      </c>
      <c r="C471" s="295">
        <v>45931</v>
      </c>
      <c r="D471" s="10">
        <v>73874</v>
      </c>
      <c r="E471" s="101" t="s">
        <v>327</v>
      </c>
      <c r="F471" s="62">
        <v>581</v>
      </c>
      <c r="G471" s="62"/>
      <c r="H471" s="62"/>
      <c r="I471" s="89">
        <f t="shared" si="87"/>
        <v>581</v>
      </c>
      <c r="J471" s="63" t="s">
        <v>205</v>
      </c>
      <c r="K471" s="63">
        <v>1</v>
      </c>
      <c r="L471" s="63"/>
      <c r="M471" s="63"/>
      <c r="N471" s="63">
        <v>1</v>
      </c>
      <c r="O471" s="63"/>
      <c r="P471" s="63"/>
      <c r="Q471" s="63">
        <v>1</v>
      </c>
      <c r="R471" s="63">
        <v>1</v>
      </c>
      <c r="S471" s="296">
        <v>1</v>
      </c>
      <c r="T471" s="63"/>
      <c r="U471" s="10"/>
      <c r="V471" s="90"/>
      <c r="W471" s="136"/>
      <c r="X471" s="137"/>
    </row>
    <row r="472" spans="1:24">
      <c r="A472" s="614"/>
      <c r="B472" s="87">
        <f t="shared" si="88"/>
        <v>12</v>
      </c>
      <c r="C472" s="295">
        <v>45931</v>
      </c>
      <c r="D472" s="10">
        <v>73884</v>
      </c>
      <c r="E472" s="101" t="s">
        <v>848</v>
      </c>
      <c r="F472" s="62">
        <v>481</v>
      </c>
      <c r="G472" s="62"/>
      <c r="H472" s="62"/>
      <c r="I472" s="89">
        <f t="shared" si="87"/>
        <v>481</v>
      </c>
      <c r="J472" s="63" t="s">
        <v>205</v>
      </c>
      <c r="K472" s="63">
        <v>1</v>
      </c>
      <c r="L472" s="63"/>
      <c r="M472" s="63"/>
      <c r="N472" s="63">
        <v>1</v>
      </c>
      <c r="O472" s="63"/>
      <c r="P472" s="63"/>
      <c r="Q472" s="63">
        <v>1</v>
      </c>
      <c r="R472" s="63">
        <v>1</v>
      </c>
      <c r="S472" s="296">
        <v>1</v>
      </c>
      <c r="T472" s="63"/>
      <c r="U472" s="10"/>
      <c r="V472" s="90"/>
      <c r="W472" s="136"/>
      <c r="X472" s="137"/>
    </row>
    <row r="473" spans="1:24">
      <c r="A473" s="614"/>
      <c r="B473" s="87">
        <f t="shared" si="88"/>
        <v>13</v>
      </c>
      <c r="C473" s="295">
        <v>45931</v>
      </c>
      <c r="D473" s="10">
        <v>73855</v>
      </c>
      <c r="E473" s="101" t="s">
        <v>787</v>
      </c>
      <c r="F473" s="62">
        <v>5066</v>
      </c>
      <c r="G473" s="62">
        <v>39.700000000000003</v>
      </c>
      <c r="H473" s="62"/>
      <c r="I473" s="89">
        <f t="shared" si="87"/>
        <v>5026.3</v>
      </c>
      <c r="J473" s="63" t="s">
        <v>205</v>
      </c>
      <c r="K473" s="63">
        <v>1</v>
      </c>
      <c r="L473" s="63"/>
      <c r="M473" s="63"/>
      <c r="N473" s="63">
        <v>1</v>
      </c>
      <c r="O473" s="63"/>
      <c r="P473" s="63"/>
      <c r="Q473" s="63">
        <v>1</v>
      </c>
      <c r="R473" s="63">
        <v>1</v>
      </c>
      <c r="S473" s="296">
        <v>1</v>
      </c>
      <c r="T473" s="63"/>
      <c r="U473" s="10"/>
      <c r="V473" s="90"/>
      <c r="W473" s="136"/>
      <c r="X473" s="137"/>
    </row>
    <row r="474" spans="1:24">
      <c r="A474" s="614"/>
      <c r="B474" s="87">
        <f t="shared" si="88"/>
        <v>14</v>
      </c>
      <c r="C474" s="295">
        <v>45931</v>
      </c>
      <c r="D474" s="10">
        <v>73846</v>
      </c>
      <c r="E474" s="10" t="s">
        <v>401</v>
      </c>
      <c r="F474" s="62">
        <v>16214</v>
      </c>
      <c r="G474" s="62">
        <v>39.700000000000003</v>
      </c>
      <c r="H474" s="62"/>
      <c r="I474" s="89">
        <f t="shared" si="87"/>
        <v>16174.3</v>
      </c>
      <c r="J474" s="63" t="s">
        <v>205</v>
      </c>
      <c r="K474" s="63">
        <v>1</v>
      </c>
      <c r="L474" s="63"/>
      <c r="M474" s="63"/>
      <c r="N474" s="63">
        <v>1</v>
      </c>
      <c r="O474" s="63"/>
      <c r="P474" s="63"/>
      <c r="Q474" s="63">
        <v>1</v>
      </c>
      <c r="R474" s="63">
        <v>1</v>
      </c>
      <c r="S474" s="296">
        <v>1</v>
      </c>
      <c r="T474" s="63"/>
      <c r="U474" s="10"/>
      <c r="V474" s="90"/>
      <c r="W474" s="136"/>
      <c r="X474" s="137"/>
    </row>
    <row r="475" spans="1:24">
      <c r="A475" s="614"/>
      <c r="B475" s="87">
        <f t="shared" si="88"/>
        <v>15</v>
      </c>
      <c r="C475" s="295">
        <v>45931</v>
      </c>
      <c r="D475" s="10">
        <v>73918</v>
      </c>
      <c r="E475" s="10" t="s">
        <v>563</v>
      </c>
      <c r="F475" s="62">
        <v>1028</v>
      </c>
      <c r="G475" s="62">
        <v>39.700000000000003</v>
      </c>
      <c r="H475" s="62"/>
      <c r="I475" s="89">
        <f t="shared" si="87"/>
        <v>988.3</v>
      </c>
      <c r="J475" s="63" t="s">
        <v>205</v>
      </c>
      <c r="K475" s="63">
        <v>1</v>
      </c>
      <c r="L475" s="63"/>
      <c r="M475" s="63"/>
      <c r="N475" s="63">
        <v>1</v>
      </c>
      <c r="O475" s="63"/>
      <c r="P475" s="63"/>
      <c r="Q475" s="63">
        <v>1</v>
      </c>
      <c r="R475" s="63">
        <v>1</v>
      </c>
      <c r="S475" s="296">
        <v>1</v>
      </c>
      <c r="T475" s="63"/>
      <c r="U475" s="10"/>
      <c r="V475" s="90"/>
      <c r="W475" s="136"/>
      <c r="X475" s="137"/>
    </row>
    <row r="476" spans="1:24">
      <c r="A476" s="614"/>
      <c r="B476" s="87">
        <f>B475+1</f>
        <v>16</v>
      </c>
      <c r="C476" s="274">
        <v>45932</v>
      </c>
      <c r="D476" s="276">
        <v>73718</v>
      </c>
      <c r="E476" s="276" t="s">
        <v>849</v>
      </c>
      <c r="F476" s="277">
        <v>1134</v>
      </c>
      <c r="G476" s="277">
        <v>39.700000000000003</v>
      </c>
      <c r="H476" s="277"/>
      <c r="I476" s="278">
        <f t="shared" si="87"/>
        <v>1094.3</v>
      </c>
      <c r="J476" s="279" t="s">
        <v>205</v>
      </c>
      <c r="K476" s="279"/>
      <c r="L476" s="279"/>
      <c r="M476" s="279"/>
      <c r="N476" s="279">
        <v>1</v>
      </c>
      <c r="O476" s="279"/>
      <c r="P476" s="279"/>
      <c r="Q476" s="279">
        <v>1</v>
      </c>
      <c r="R476" s="279">
        <v>1</v>
      </c>
      <c r="S476" s="280">
        <v>1</v>
      </c>
      <c r="T476" s="63"/>
      <c r="U476" s="10"/>
      <c r="V476" s="90"/>
      <c r="W476" s="136"/>
      <c r="X476" s="137"/>
    </row>
    <row r="477" spans="1:24">
      <c r="A477" s="614"/>
      <c r="B477" s="87">
        <f>B476+1</f>
        <v>17</v>
      </c>
      <c r="C477" s="295">
        <v>45932</v>
      </c>
      <c r="D477" s="10">
        <v>73958</v>
      </c>
      <c r="E477" s="10" t="s">
        <v>846</v>
      </c>
      <c r="F477" s="62">
        <v>0</v>
      </c>
      <c r="G477" s="62">
        <v>0</v>
      </c>
      <c r="H477" s="62"/>
      <c r="I477" s="89">
        <f t="shared" si="87"/>
        <v>0</v>
      </c>
      <c r="J477" s="63" t="s">
        <v>205</v>
      </c>
      <c r="K477" s="63">
        <v>1</v>
      </c>
      <c r="L477" s="63"/>
      <c r="M477" s="63"/>
      <c r="N477" s="63"/>
      <c r="O477" s="63"/>
      <c r="P477" s="63"/>
      <c r="Q477" s="63">
        <v>1</v>
      </c>
      <c r="R477" s="63">
        <v>1</v>
      </c>
      <c r="S477" s="296">
        <v>1</v>
      </c>
      <c r="T477" s="21">
        <v>1</v>
      </c>
      <c r="U477" s="10"/>
      <c r="V477" s="90"/>
      <c r="W477" s="136"/>
      <c r="X477" s="137"/>
    </row>
    <row r="478" spans="1:24">
      <c r="A478" s="614"/>
      <c r="B478" s="87">
        <f>B477+1</f>
        <v>18</v>
      </c>
      <c r="C478" s="295">
        <v>45932</v>
      </c>
      <c r="D478" s="10">
        <v>73983</v>
      </c>
      <c r="E478" s="10" t="s">
        <v>850</v>
      </c>
      <c r="F478" s="62">
        <v>6814</v>
      </c>
      <c r="G478" s="62"/>
      <c r="H478" s="62"/>
      <c r="I478" s="89">
        <f t="shared" si="87"/>
        <v>6814</v>
      </c>
      <c r="J478" s="63" t="s">
        <v>205</v>
      </c>
      <c r="K478" s="63">
        <v>1</v>
      </c>
      <c r="L478" s="63"/>
      <c r="M478" s="63"/>
      <c r="N478" s="63">
        <v>1</v>
      </c>
      <c r="O478" s="63"/>
      <c r="P478" s="63"/>
      <c r="Q478" s="63">
        <v>1</v>
      </c>
      <c r="R478" s="63">
        <v>1</v>
      </c>
      <c r="S478" s="296">
        <v>1</v>
      </c>
      <c r="T478" s="63"/>
      <c r="U478" s="10"/>
      <c r="V478" s="90"/>
      <c r="W478" s="136"/>
      <c r="X478" s="137"/>
    </row>
    <row r="479" spans="1:24">
      <c r="A479" s="614"/>
      <c r="B479" s="87">
        <f>B478+1</f>
        <v>19</v>
      </c>
      <c r="C479" s="274">
        <v>45933</v>
      </c>
      <c r="D479" s="276">
        <v>73993</v>
      </c>
      <c r="E479" s="276" t="s">
        <v>848</v>
      </c>
      <c r="F479" s="277">
        <v>569</v>
      </c>
      <c r="G479" s="277"/>
      <c r="H479" s="277"/>
      <c r="I479" s="278">
        <f t="shared" si="87"/>
        <v>569</v>
      </c>
      <c r="J479" s="279" t="s">
        <v>205</v>
      </c>
      <c r="K479" s="279">
        <v>1</v>
      </c>
      <c r="L479" s="279"/>
      <c r="M479" s="279"/>
      <c r="N479" s="279">
        <v>1</v>
      </c>
      <c r="O479" s="279"/>
      <c r="P479" s="279"/>
      <c r="Q479" s="279">
        <v>1</v>
      </c>
      <c r="R479" s="279">
        <v>1</v>
      </c>
      <c r="S479" s="280">
        <v>1</v>
      </c>
      <c r="T479" s="63"/>
      <c r="U479" s="10"/>
      <c r="V479" s="90"/>
      <c r="W479" s="136"/>
      <c r="X479" s="137"/>
    </row>
    <row r="480" spans="1:24">
      <c r="A480" s="614"/>
      <c r="B480" s="87">
        <f>B479+1</f>
        <v>20</v>
      </c>
      <c r="C480" s="295">
        <v>45933</v>
      </c>
      <c r="D480" s="10">
        <v>73992</v>
      </c>
      <c r="E480" s="10" t="s">
        <v>643</v>
      </c>
      <c r="F480" s="62">
        <v>681</v>
      </c>
      <c r="G480" s="62"/>
      <c r="H480" s="62"/>
      <c r="I480" s="89">
        <f t="shared" si="87"/>
        <v>681</v>
      </c>
      <c r="J480" s="63" t="s">
        <v>205</v>
      </c>
      <c r="K480" s="63">
        <v>1</v>
      </c>
      <c r="L480" s="63"/>
      <c r="M480" s="63"/>
      <c r="N480" s="63">
        <v>1</v>
      </c>
      <c r="O480" s="63"/>
      <c r="P480" s="63"/>
      <c r="Q480" s="63">
        <v>1</v>
      </c>
      <c r="R480" s="63">
        <v>1</v>
      </c>
      <c r="S480" s="296">
        <v>1</v>
      </c>
      <c r="T480" s="63"/>
      <c r="U480" s="10"/>
      <c r="V480" s="90"/>
      <c r="W480" s="136"/>
      <c r="X480" s="137"/>
    </row>
    <row r="481" spans="1:24">
      <c r="A481" s="614"/>
      <c r="B481" s="87">
        <f>B480+1</f>
        <v>21</v>
      </c>
      <c r="C481" s="295">
        <v>45933</v>
      </c>
      <c r="D481" s="10">
        <v>73966</v>
      </c>
      <c r="E481" s="10" t="s">
        <v>344</v>
      </c>
      <c r="F481" s="62">
        <v>0</v>
      </c>
      <c r="G481" s="62">
        <v>0</v>
      </c>
      <c r="H481" s="62"/>
      <c r="I481" s="89">
        <f t="shared" si="87"/>
        <v>0</v>
      </c>
      <c r="J481" s="63" t="s">
        <v>205</v>
      </c>
      <c r="K481" s="63"/>
      <c r="L481" s="63"/>
      <c r="M481" s="63"/>
      <c r="N481" s="63"/>
      <c r="O481" s="63"/>
      <c r="P481" s="63"/>
      <c r="Q481" s="63"/>
      <c r="R481" s="63"/>
      <c r="S481" s="296"/>
      <c r="T481" s="63"/>
      <c r="U481" s="10"/>
      <c r="V481" s="90"/>
      <c r="W481" s="136"/>
      <c r="X481" s="137"/>
    </row>
    <row r="482" spans="1:24">
      <c r="A482" s="614"/>
      <c r="B482" s="87">
        <f>B481+1</f>
        <v>22</v>
      </c>
      <c r="C482" s="295">
        <v>45933</v>
      </c>
      <c r="D482" s="10">
        <v>74019</v>
      </c>
      <c r="E482" s="10" t="s">
        <v>344</v>
      </c>
      <c r="F482" s="62">
        <v>0</v>
      </c>
      <c r="G482" s="62">
        <v>0</v>
      </c>
      <c r="H482" s="62"/>
      <c r="I482" s="89">
        <f t="shared" si="87"/>
        <v>0</v>
      </c>
      <c r="J482" s="63" t="s">
        <v>205</v>
      </c>
      <c r="K482" s="63"/>
      <c r="L482" s="63"/>
      <c r="M482" s="63"/>
      <c r="N482" s="63"/>
      <c r="O482" s="63"/>
      <c r="P482" s="63"/>
      <c r="Q482" s="63">
        <v>1</v>
      </c>
      <c r="R482" s="63">
        <v>1</v>
      </c>
      <c r="S482" s="296">
        <v>1</v>
      </c>
      <c r="T482" s="63"/>
      <c r="U482" s="10"/>
      <c r="V482" s="90"/>
      <c r="W482" s="136"/>
      <c r="X482" s="137"/>
    </row>
    <row r="483" spans="1:24">
      <c r="A483" s="614"/>
      <c r="B483" s="87">
        <f>B482+1</f>
        <v>23</v>
      </c>
      <c r="C483" s="295">
        <v>45933</v>
      </c>
      <c r="D483" s="10">
        <v>73861</v>
      </c>
      <c r="E483" s="10" t="s">
        <v>384</v>
      </c>
      <c r="F483" s="62">
        <v>2575</v>
      </c>
      <c r="G483" s="62">
        <f>39.7</f>
        <v>39.700000000000003</v>
      </c>
      <c r="H483" s="62"/>
      <c r="I483" s="89">
        <f t="shared" si="87"/>
        <v>2535.3000000000002</v>
      </c>
      <c r="J483" s="63" t="s">
        <v>205</v>
      </c>
      <c r="K483" s="63">
        <v>1</v>
      </c>
      <c r="L483" s="63"/>
      <c r="M483" s="63"/>
      <c r="N483" s="63">
        <v>1</v>
      </c>
      <c r="O483" s="63"/>
      <c r="P483" s="63"/>
      <c r="Q483" s="63">
        <v>1</v>
      </c>
      <c r="R483" s="63">
        <v>1</v>
      </c>
      <c r="S483" s="296"/>
      <c r="T483" s="63"/>
      <c r="U483" s="10"/>
      <c r="V483" s="90"/>
      <c r="W483" s="136"/>
      <c r="X483" s="137"/>
    </row>
    <row r="484" spans="1:24">
      <c r="A484" s="614"/>
      <c r="B484" s="87">
        <f>B483+1</f>
        <v>24</v>
      </c>
      <c r="C484" s="295">
        <v>45933</v>
      </c>
      <c r="D484" s="10">
        <v>73968</v>
      </c>
      <c r="E484" s="10" t="s">
        <v>363</v>
      </c>
      <c r="F484" s="62">
        <v>0</v>
      </c>
      <c r="G484" s="62">
        <v>0</v>
      </c>
      <c r="H484" s="62"/>
      <c r="I484" s="89">
        <f t="shared" si="87"/>
        <v>0</v>
      </c>
      <c r="J484" s="63" t="s">
        <v>205</v>
      </c>
      <c r="K484" s="63"/>
      <c r="L484" s="63"/>
      <c r="M484" s="63"/>
      <c r="N484" s="63"/>
      <c r="O484" s="63"/>
      <c r="P484" s="63"/>
      <c r="Q484" s="63"/>
      <c r="R484" s="63"/>
      <c r="S484" s="296"/>
      <c r="T484" s="63"/>
      <c r="U484" s="10"/>
      <c r="V484" s="90"/>
      <c r="W484" s="136"/>
      <c r="X484" s="137"/>
    </row>
    <row r="485" spans="1:24">
      <c r="A485" s="614"/>
      <c r="B485" s="87">
        <f>B484+1</f>
        <v>25</v>
      </c>
      <c r="C485" s="282">
        <v>45933</v>
      </c>
      <c r="D485" s="283">
        <v>73924</v>
      </c>
      <c r="E485" s="283" t="s">
        <v>196</v>
      </c>
      <c r="F485" s="284">
        <v>2814</v>
      </c>
      <c r="G485" s="284">
        <v>39.700000000000003</v>
      </c>
      <c r="H485" s="284"/>
      <c r="I485" s="285">
        <f t="shared" si="87"/>
        <v>2774.3</v>
      </c>
      <c r="J485" s="286" t="s">
        <v>205</v>
      </c>
      <c r="K485" s="286">
        <v>1</v>
      </c>
      <c r="L485" s="286"/>
      <c r="M485" s="286"/>
      <c r="N485" s="286">
        <v>1</v>
      </c>
      <c r="O485" s="286"/>
      <c r="P485" s="286"/>
      <c r="Q485" s="286">
        <v>1</v>
      </c>
      <c r="R485" s="286">
        <v>1</v>
      </c>
      <c r="S485" s="287">
        <v>1</v>
      </c>
      <c r="T485" s="63"/>
      <c r="U485" s="10"/>
      <c r="V485" s="90"/>
      <c r="W485" s="136"/>
      <c r="X485" s="137"/>
    </row>
    <row r="486" spans="1:24">
      <c r="A486" s="614"/>
      <c r="B486" s="11"/>
      <c r="C486" s="36"/>
      <c r="D486" s="10"/>
      <c r="E486" s="10"/>
      <c r="F486" s="97">
        <f>SUM(F461:F485)</f>
        <v>48485</v>
      </c>
      <c r="G486" s="97">
        <f>SUM(G461:G485)</f>
        <v>476.39999999999992</v>
      </c>
      <c r="H486" s="97">
        <f>SUM(H461:H485)</f>
        <v>0</v>
      </c>
      <c r="I486" s="98">
        <f>SUM(I461:I485)</f>
        <v>48008.600000000006</v>
      </c>
      <c r="J486" s="10"/>
      <c r="K486" s="10"/>
      <c r="L486" s="10"/>
      <c r="M486" s="10"/>
      <c r="N486" s="10"/>
      <c r="O486" s="10"/>
      <c r="P486" s="10"/>
      <c r="Q486" s="10"/>
      <c r="R486" s="10"/>
      <c r="S486" s="10"/>
      <c r="T486" s="63"/>
      <c r="U486" s="10"/>
      <c r="V486" s="138"/>
      <c r="W486" s="136"/>
      <c r="X486" s="137"/>
    </row>
    <row r="487" spans="1:24">
      <c r="A487" s="614"/>
      <c r="B487" s="26"/>
      <c r="C487" s="612"/>
      <c r="D487" s="141"/>
      <c r="E487" s="141"/>
      <c r="F487" s="141"/>
      <c r="G487" s="141"/>
      <c r="H487" s="141"/>
      <c r="I487" s="141"/>
      <c r="J487" s="141"/>
      <c r="K487" s="142"/>
      <c r="L487" s="142"/>
      <c r="M487" s="142"/>
      <c r="N487" s="142"/>
      <c r="O487" s="142"/>
      <c r="P487" s="142"/>
      <c r="Q487" s="142"/>
      <c r="R487" s="142"/>
      <c r="S487" s="142"/>
      <c r="T487" s="143">
        <f>SUM(T428:T486)</f>
        <v>3</v>
      </c>
      <c r="U487" s="141"/>
      <c r="V487" s="144">
        <f>SUM(V428:V486)</f>
        <v>11051.300000000001</v>
      </c>
      <c r="W487" s="144">
        <f t="shared" ref="W487:X487" si="89">SUM(W428:W486)</f>
        <v>0</v>
      </c>
      <c r="X487" s="144">
        <f t="shared" si="89"/>
        <v>0</v>
      </c>
    </row>
    <row r="490" spans="1:24">
      <c r="B490" s="4" t="s">
        <v>1</v>
      </c>
      <c r="C490" s="5"/>
      <c r="D490" s="6"/>
      <c r="E490" s="6"/>
      <c r="F490" s="7" t="s">
        <v>2</v>
      </c>
      <c r="G490" s="608">
        <v>45942</v>
      </c>
      <c r="H490" s="7"/>
      <c r="I490" s="6"/>
      <c r="J490" s="6"/>
      <c r="K490" s="6"/>
      <c r="L490" s="6"/>
      <c r="M490" s="6"/>
      <c r="N490" s="6"/>
      <c r="O490" s="6"/>
      <c r="P490" s="6"/>
      <c r="Q490" s="6"/>
      <c r="R490" s="6"/>
      <c r="S490" s="6"/>
      <c r="T490" s="6"/>
      <c r="U490" s="9"/>
      <c r="V490" s="10"/>
      <c r="W490" s="10"/>
      <c r="X490" s="10"/>
    </row>
    <row r="491" spans="1:24">
      <c r="B491" s="11"/>
      <c r="C491" s="10"/>
      <c r="D491" s="10"/>
      <c r="E491" s="10"/>
      <c r="F491" s="10"/>
      <c r="G491" s="7"/>
      <c r="H491" s="12"/>
      <c r="I491" s="10"/>
      <c r="J491" s="10"/>
      <c r="K491" s="13" t="s">
        <v>3</v>
      </c>
      <c r="L491" s="14"/>
      <c r="M491" s="15"/>
      <c r="N491" s="13" t="s">
        <v>4</v>
      </c>
      <c r="O491" s="14"/>
      <c r="P491" s="15"/>
      <c r="Q491" s="13" t="s">
        <v>5</v>
      </c>
      <c r="R491" s="14"/>
      <c r="S491" s="15"/>
      <c r="T491" s="16"/>
      <c r="U491" s="17"/>
      <c r="V491" s="10"/>
      <c r="W491" s="10"/>
      <c r="X491" s="10"/>
    </row>
    <row r="492" spans="1:24">
      <c r="B492" s="18" t="s">
        <v>6</v>
      </c>
      <c r="C492" s="19">
        <f>C493+C494</f>
        <v>32</v>
      </c>
      <c r="D492" s="10"/>
      <c r="E492" s="18" t="s">
        <v>7</v>
      </c>
      <c r="F492" s="6"/>
      <c r="G492" s="9"/>
      <c r="H492" s="10"/>
      <c r="I492" s="10"/>
      <c r="J492" s="10"/>
      <c r="K492" s="20" t="s">
        <v>8</v>
      </c>
      <c r="L492" s="21" t="s">
        <v>9</v>
      </c>
      <c r="M492" s="21" t="s">
        <v>10</v>
      </c>
      <c r="N492" s="20" t="s">
        <v>11</v>
      </c>
      <c r="O492" s="21" t="s">
        <v>12</v>
      </c>
      <c r="P492" s="22" t="s">
        <v>13</v>
      </c>
      <c r="Q492" s="21" t="s">
        <v>11</v>
      </c>
      <c r="R492" s="21" t="s">
        <v>12</v>
      </c>
      <c r="S492" s="22" t="s">
        <v>13</v>
      </c>
      <c r="T492" s="23" t="s">
        <v>14</v>
      </c>
      <c r="U492" s="17"/>
      <c r="V492" s="10"/>
      <c r="W492" s="10"/>
      <c r="X492" s="10"/>
    </row>
    <row r="493" spans="1:24">
      <c r="B493" s="24" t="s">
        <v>15</v>
      </c>
      <c r="C493" s="25">
        <f>P500</f>
        <v>13</v>
      </c>
      <c r="D493" s="10"/>
      <c r="E493" s="26" t="s">
        <v>16</v>
      </c>
      <c r="F493" s="27">
        <v>0.05</v>
      </c>
      <c r="G493" s="28"/>
      <c r="H493" s="10"/>
      <c r="I493" s="10"/>
      <c r="J493" s="18" t="s">
        <v>17</v>
      </c>
      <c r="K493" s="29">
        <f>K526</f>
        <v>8</v>
      </c>
      <c r="L493" s="29">
        <f t="shared" ref="L493:S493" si="90">L526</f>
        <v>7</v>
      </c>
      <c r="M493" s="29">
        <f t="shared" si="90"/>
        <v>8</v>
      </c>
      <c r="N493" s="29">
        <f t="shared" si="90"/>
        <v>8</v>
      </c>
      <c r="O493" s="29">
        <f t="shared" si="90"/>
        <v>8</v>
      </c>
      <c r="P493" s="29">
        <f t="shared" si="90"/>
        <v>7</v>
      </c>
      <c r="Q493" s="29">
        <f t="shared" si="90"/>
        <v>8</v>
      </c>
      <c r="R493" s="29">
        <f t="shared" si="90"/>
        <v>7</v>
      </c>
      <c r="S493" s="29">
        <f t="shared" si="90"/>
        <v>4</v>
      </c>
      <c r="T493" s="30">
        <f>T572</f>
        <v>0</v>
      </c>
      <c r="U493" s="17"/>
      <c r="V493" s="10"/>
      <c r="W493" s="10"/>
      <c r="X493" s="10"/>
    </row>
    <row r="494" spans="1:24">
      <c r="B494" s="24" t="s">
        <v>18</v>
      </c>
      <c r="C494" s="25">
        <f>P501</f>
        <v>19</v>
      </c>
      <c r="D494" s="10"/>
      <c r="E494" s="10"/>
      <c r="F494" s="10"/>
      <c r="G494" s="31"/>
      <c r="H494" s="10"/>
      <c r="I494" s="10"/>
      <c r="J494" s="32" t="s">
        <v>19</v>
      </c>
      <c r="K494" s="33">
        <f>K526/K525</f>
        <v>1</v>
      </c>
      <c r="L494" s="33">
        <f t="shared" ref="L494:S494" si="91">L526/L525</f>
        <v>0.875</v>
      </c>
      <c r="M494" s="33">
        <f t="shared" si="91"/>
        <v>1</v>
      </c>
      <c r="N494" s="33">
        <f t="shared" si="91"/>
        <v>1</v>
      </c>
      <c r="O494" s="33">
        <f t="shared" si="91"/>
        <v>1</v>
      </c>
      <c r="P494" s="33">
        <f t="shared" si="91"/>
        <v>0.875</v>
      </c>
      <c r="Q494" s="33">
        <f t="shared" si="91"/>
        <v>1</v>
      </c>
      <c r="R494" s="33">
        <f t="shared" si="91"/>
        <v>0.875</v>
      </c>
      <c r="S494" s="33">
        <f t="shared" si="91"/>
        <v>0.5</v>
      </c>
      <c r="T494" s="23"/>
      <c r="U494" s="17" t="s">
        <v>20</v>
      </c>
      <c r="V494" s="10"/>
      <c r="W494" s="10"/>
      <c r="X494" s="10"/>
    </row>
    <row r="495" spans="1:24">
      <c r="B495" s="24" t="s">
        <v>21</v>
      </c>
      <c r="C495" s="34">
        <f>P502</f>
        <v>0.40625</v>
      </c>
      <c r="D495" s="10"/>
      <c r="E495" s="10"/>
      <c r="F495" s="10"/>
      <c r="G495" s="10"/>
      <c r="H495" s="10"/>
      <c r="I495" s="10"/>
      <c r="J495" s="10"/>
      <c r="K495" s="10"/>
      <c r="L495" s="10"/>
      <c r="M495" s="10"/>
      <c r="N495" s="10"/>
      <c r="O495" s="10"/>
      <c r="P495" s="10"/>
      <c r="Q495" s="10"/>
      <c r="R495" s="10"/>
      <c r="S495" s="10"/>
      <c r="T495" s="10"/>
      <c r="U495" s="17"/>
      <c r="V495" s="10"/>
      <c r="W495" s="10"/>
      <c r="X495" s="10"/>
    </row>
    <row r="496" spans="1:24">
      <c r="B496" s="24"/>
      <c r="C496" s="25"/>
      <c r="D496" s="10"/>
      <c r="E496" s="10"/>
      <c r="F496" s="18" t="s">
        <v>22</v>
      </c>
      <c r="G496" s="19" t="s">
        <v>23</v>
      </c>
      <c r="H496" s="35" t="s">
        <v>24</v>
      </c>
      <c r="I496" s="10"/>
      <c r="J496" s="10"/>
      <c r="K496" s="36"/>
      <c r="L496" s="36"/>
      <c r="M496" s="36"/>
      <c r="N496" s="36"/>
      <c r="O496" s="36"/>
      <c r="P496" s="36"/>
      <c r="Q496" s="36"/>
      <c r="R496" s="10"/>
      <c r="S496" s="10"/>
      <c r="T496" s="10"/>
      <c r="U496" s="17"/>
      <c r="V496" s="10"/>
      <c r="W496" s="10"/>
      <c r="X496" s="10"/>
    </row>
    <row r="497" spans="2:24">
      <c r="B497" s="32" t="s">
        <v>25</v>
      </c>
      <c r="C497" s="37">
        <f>P503</f>
        <v>2218.7192307692308</v>
      </c>
      <c r="D497" s="10"/>
      <c r="E497" s="18" t="s">
        <v>26</v>
      </c>
      <c r="F497" s="38">
        <f>P499</f>
        <v>28843.35</v>
      </c>
      <c r="G497" s="39">
        <f>I525+I533+I537</f>
        <v>28843.35</v>
      </c>
      <c r="H497" s="767" t="s">
        <v>851</v>
      </c>
      <c r="I497" s="767"/>
      <c r="J497" s="767"/>
      <c r="K497" s="43" t="s">
        <v>27</v>
      </c>
      <c r="L497" s="44"/>
      <c r="M497" s="44"/>
      <c r="N497" s="44"/>
      <c r="O497" s="44"/>
      <c r="P497" s="44"/>
      <c r="Q497" s="45"/>
      <c r="R497" s="46" t="s">
        <v>28</v>
      </c>
      <c r="S497" s="47" t="s">
        <v>29</v>
      </c>
      <c r="T497" s="10"/>
      <c r="U497" s="17"/>
      <c r="V497" s="10"/>
      <c r="W497" s="10"/>
      <c r="X497" s="10"/>
    </row>
    <row r="498" spans="2:24">
      <c r="B498" s="11"/>
      <c r="C498" s="10"/>
      <c r="D498" s="10"/>
      <c r="E498" s="24" t="s">
        <v>30</v>
      </c>
      <c r="F498" s="48">
        <f>F493</f>
        <v>0.05</v>
      </c>
      <c r="G498" s="17"/>
      <c r="H498" s="767"/>
      <c r="I498" s="767"/>
      <c r="J498" s="767"/>
      <c r="K498" s="20" t="s">
        <v>31</v>
      </c>
      <c r="L498" s="21" t="s">
        <v>32</v>
      </c>
      <c r="M498" s="21" t="s">
        <v>33</v>
      </c>
      <c r="N498" s="21" t="s">
        <v>34</v>
      </c>
      <c r="O498" s="21" t="s">
        <v>35</v>
      </c>
      <c r="P498" s="21" t="s">
        <v>36</v>
      </c>
      <c r="Q498" s="49" t="s">
        <v>37</v>
      </c>
      <c r="R498" s="50" t="s">
        <v>38</v>
      </c>
      <c r="S498" s="50" t="s">
        <v>38</v>
      </c>
      <c r="T498" s="10"/>
      <c r="U498" s="17"/>
      <c r="V498" s="10"/>
      <c r="W498" s="10"/>
      <c r="X498" s="10"/>
    </row>
    <row r="499" spans="2:24">
      <c r="B499" s="11"/>
      <c r="C499" s="10"/>
      <c r="D499" s="10"/>
      <c r="E499" s="51" t="s">
        <v>39</v>
      </c>
      <c r="F499" s="52">
        <f>(F497+F506-I529-I530-I531-I532-I536)*F498</f>
        <v>616.11649999999997</v>
      </c>
      <c r="G499" s="53" t="s">
        <v>40</v>
      </c>
      <c r="H499" s="54">
        <f>F499/1.12</f>
        <v>550.10401785714282</v>
      </c>
      <c r="I499" s="570" t="s">
        <v>838</v>
      </c>
      <c r="J499" s="42"/>
      <c r="K499" s="56">
        <f>I517+I518+I529</f>
        <v>5267.57</v>
      </c>
      <c r="L499" s="57">
        <f>I519+I520</f>
        <v>7903.86</v>
      </c>
      <c r="M499" s="57">
        <f>I522+I521+I523</f>
        <v>2418.3000000000002</v>
      </c>
      <c r="N499" s="57">
        <f>I530+I531+I532</f>
        <v>5139.8999999999996</v>
      </c>
      <c r="O499" s="57">
        <f>I524+I536</f>
        <v>8113.72</v>
      </c>
      <c r="P499" s="57">
        <f>SUM(K499:O499)</f>
        <v>28843.35</v>
      </c>
      <c r="Q499" s="58">
        <v>0</v>
      </c>
      <c r="R499" s="59">
        <f>I533+I537</f>
        <v>16036.89</v>
      </c>
      <c r="S499" s="59">
        <v>0</v>
      </c>
      <c r="T499" s="10"/>
      <c r="U499" s="17"/>
      <c r="V499" s="10"/>
      <c r="W499" s="10"/>
      <c r="X499" s="10"/>
    </row>
    <row r="500" spans="2:24">
      <c r="B500" s="11"/>
      <c r="C500" s="10"/>
      <c r="D500" s="10"/>
      <c r="E500" s="24" t="s">
        <v>41</v>
      </c>
      <c r="F500" s="60">
        <f>Q499</f>
        <v>0</v>
      </c>
      <c r="G500" s="61" t="s">
        <v>40</v>
      </c>
      <c r="H500" s="62"/>
      <c r="I500" s="62"/>
      <c r="J500" s="10" t="s">
        <v>42</v>
      </c>
      <c r="K500" s="63">
        <v>3</v>
      </c>
      <c r="L500" s="63">
        <v>2</v>
      </c>
      <c r="M500" s="63">
        <v>3</v>
      </c>
      <c r="N500" s="63">
        <v>3</v>
      </c>
      <c r="O500" s="63">
        <v>2</v>
      </c>
      <c r="P500" s="21">
        <f>SUM(K500:O500)</f>
        <v>13</v>
      </c>
      <c r="Q500" s="64">
        <v>0</v>
      </c>
      <c r="R500" s="63"/>
      <c r="S500" s="10"/>
      <c r="T500" s="10"/>
      <c r="U500" s="17"/>
      <c r="V500" s="10"/>
      <c r="W500" s="10"/>
      <c r="X500" s="10"/>
    </row>
    <row r="501" spans="2:24">
      <c r="B501" s="11"/>
      <c r="C501" s="10"/>
      <c r="D501" s="10"/>
      <c r="E501" s="51" t="s">
        <v>43</v>
      </c>
      <c r="F501" s="52">
        <f>F500*0.25</f>
        <v>0</v>
      </c>
      <c r="G501" s="53" t="s">
        <v>40</v>
      </c>
      <c r="H501" s="54">
        <f>F501/1.12</f>
        <v>0</v>
      </c>
      <c r="I501" s="10"/>
      <c r="J501" s="10" t="s">
        <v>44</v>
      </c>
      <c r="K501" s="63">
        <v>3</v>
      </c>
      <c r="L501" s="63">
        <v>5</v>
      </c>
      <c r="M501" s="63">
        <v>4</v>
      </c>
      <c r="N501" s="63">
        <v>5</v>
      </c>
      <c r="O501" s="63">
        <v>2</v>
      </c>
      <c r="P501" s="21">
        <f>SUM(K501:O501)</f>
        <v>19</v>
      </c>
      <c r="Q501" s="64">
        <v>0</v>
      </c>
      <c r="R501" s="63"/>
      <c r="S501" s="10"/>
      <c r="T501" s="10"/>
      <c r="U501" s="17"/>
      <c r="V501" s="10"/>
      <c r="W501" s="10"/>
      <c r="X501" s="10"/>
    </row>
    <row r="502" spans="2:24">
      <c r="B502" s="11"/>
      <c r="C502" s="10"/>
      <c r="D502" s="10"/>
      <c r="E502" s="24" t="s">
        <v>45</v>
      </c>
      <c r="F502" s="60"/>
      <c r="G502" s="61" t="s">
        <v>40</v>
      </c>
      <c r="H502" s="62"/>
      <c r="I502" s="10"/>
      <c r="J502" s="10" t="s">
        <v>46</v>
      </c>
      <c r="K502" s="31">
        <f t="shared" ref="K502:Q502" si="92">K500/(K500+K501)</f>
        <v>0.5</v>
      </c>
      <c r="L502" s="31">
        <f t="shared" si="92"/>
        <v>0.2857142857142857</v>
      </c>
      <c r="M502" s="31">
        <f t="shared" si="92"/>
        <v>0.42857142857142855</v>
      </c>
      <c r="N502" s="31">
        <f t="shared" si="92"/>
        <v>0.375</v>
      </c>
      <c r="O502" s="31">
        <f t="shared" si="92"/>
        <v>0.5</v>
      </c>
      <c r="P502" s="31">
        <f t="shared" si="92"/>
        <v>0.40625</v>
      </c>
      <c r="Q502" s="31" t="e">
        <f t="shared" si="92"/>
        <v>#DIV/0!</v>
      </c>
      <c r="R502" s="63"/>
      <c r="S502" s="10"/>
      <c r="T502" s="10"/>
      <c r="U502" s="17"/>
      <c r="V502" s="10"/>
      <c r="W502" s="10"/>
      <c r="X502" s="10"/>
    </row>
    <row r="503" spans="2:24">
      <c r="B503" s="11"/>
      <c r="C503" s="10"/>
      <c r="D503" s="10"/>
      <c r="E503" s="51" t="s">
        <v>47</v>
      </c>
      <c r="F503" s="52">
        <f>F502*0.05</f>
        <v>0</v>
      </c>
      <c r="G503" s="65" t="s">
        <v>40</v>
      </c>
      <c r="H503" s="54">
        <f>F503/1.12</f>
        <v>0</v>
      </c>
      <c r="I503" s="42"/>
      <c r="J503" s="10" t="s">
        <v>48</v>
      </c>
      <c r="K503" s="66">
        <f>K499/K500</f>
        <v>1755.8566666666666</v>
      </c>
      <c r="L503" s="66">
        <f t="shared" ref="L503:Q503" si="93">L499/L500</f>
        <v>3951.93</v>
      </c>
      <c r="M503" s="66">
        <f t="shared" si="93"/>
        <v>806.1</v>
      </c>
      <c r="N503" s="66">
        <f t="shared" si="93"/>
        <v>1713.3</v>
      </c>
      <c r="O503" s="66">
        <f t="shared" si="93"/>
        <v>4056.86</v>
      </c>
      <c r="P503" s="66">
        <f t="shared" si="93"/>
        <v>2218.7192307692308</v>
      </c>
      <c r="Q503" s="66" t="e">
        <f t="shared" si="93"/>
        <v>#DIV/0!</v>
      </c>
      <c r="R503" s="63"/>
      <c r="S503" s="10"/>
      <c r="T503" s="10"/>
      <c r="U503" s="17"/>
      <c r="V503" s="10"/>
      <c r="W503" s="10"/>
      <c r="X503" s="10"/>
    </row>
    <row r="504" spans="2:24">
      <c r="B504" s="11"/>
      <c r="C504" s="10"/>
      <c r="D504" s="10"/>
      <c r="E504" s="67" t="s">
        <v>14</v>
      </c>
      <c r="F504" s="68">
        <f>1*50</f>
        <v>50</v>
      </c>
      <c r="G504" s="10"/>
      <c r="H504" s="54">
        <f>F504/1.12</f>
        <v>44.642857142857139</v>
      </c>
      <c r="I504" s="10"/>
      <c r="J504" s="10"/>
      <c r="K504" s="10"/>
      <c r="L504" s="10"/>
      <c r="M504" s="10"/>
      <c r="N504" s="10"/>
      <c r="O504" s="10"/>
      <c r="P504" s="10"/>
      <c r="Q504" s="10"/>
      <c r="R504" s="10"/>
      <c r="S504" s="10"/>
      <c r="T504" s="10"/>
      <c r="U504" s="17"/>
      <c r="V504" s="10"/>
      <c r="W504" s="10"/>
      <c r="X504" s="10"/>
    </row>
    <row r="505" spans="2:24">
      <c r="B505" s="11"/>
      <c r="C505" s="10"/>
      <c r="D505" s="10"/>
      <c r="E505" s="67" t="s">
        <v>49</v>
      </c>
      <c r="F505" s="69">
        <f>T494</f>
        <v>0</v>
      </c>
      <c r="G505" s="10"/>
      <c r="H505" s="54"/>
      <c r="I505" s="55"/>
      <c r="J505" s="42"/>
      <c r="K505" s="764" t="s">
        <v>50</v>
      </c>
      <c r="L505" s="764"/>
      <c r="M505" s="764"/>
      <c r="N505" s="764"/>
      <c r="O505" s="764"/>
      <c r="P505" s="764"/>
      <c r="Q505" s="764"/>
      <c r="R505" s="70" t="s">
        <v>28</v>
      </c>
      <c r="S505" s="71" t="s">
        <v>29</v>
      </c>
      <c r="T505" s="10"/>
      <c r="U505" s="17"/>
      <c r="V505" s="10"/>
      <c r="W505" s="10"/>
      <c r="X505" s="10"/>
    </row>
    <row r="506" spans="2:24">
      <c r="B506" s="11"/>
      <c r="C506" s="10"/>
      <c r="D506" s="10"/>
      <c r="E506" s="74" t="s">
        <v>852</v>
      </c>
      <c r="F506" s="75">
        <v>-484.13</v>
      </c>
      <c r="G506" s="10"/>
      <c r="H506" s="10"/>
      <c r="I506" s="10"/>
      <c r="J506" s="42"/>
      <c r="K506" s="20" t="s">
        <v>31</v>
      </c>
      <c r="L506" s="21" t="s">
        <v>32</v>
      </c>
      <c r="M506" s="21" t="s">
        <v>33</v>
      </c>
      <c r="N506" s="21" t="s">
        <v>34</v>
      </c>
      <c r="O506" s="21" t="s">
        <v>35</v>
      </c>
      <c r="P506" s="21" t="s">
        <v>36</v>
      </c>
      <c r="Q506" s="49" t="s">
        <v>37</v>
      </c>
      <c r="R506" s="50" t="s">
        <v>38</v>
      </c>
      <c r="S506" s="50" t="s">
        <v>38</v>
      </c>
      <c r="T506" s="10"/>
      <c r="U506" s="17"/>
      <c r="V506" s="10"/>
      <c r="W506" s="10"/>
      <c r="X506" s="10"/>
    </row>
    <row r="507" spans="2:24">
      <c r="B507" s="11"/>
      <c r="C507" s="10"/>
      <c r="D507" s="10"/>
      <c r="E507" s="12"/>
      <c r="F507" s="76"/>
      <c r="G507" s="10"/>
      <c r="H507" s="10"/>
      <c r="I507" s="10"/>
      <c r="J507" s="42"/>
      <c r="K507" s="56">
        <f>F517+F518+F529</f>
        <v>6976</v>
      </c>
      <c r="L507" s="57">
        <f>F519+F520</f>
        <v>9895</v>
      </c>
      <c r="M507" s="57">
        <f>F522+F521+F523</f>
        <v>2458</v>
      </c>
      <c r="N507" s="57">
        <f>F530+F531+F532</f>
        <v>5259</v>
      </c>
      <c r="O507" s="57">
        <f>F524+F536</f>
        <v>12814</v>
      </c>
      <c r="P507" s="57">
        <f>SUM(K507:O507)</f>
        <v>37402</v>
      </c>
      <c r="Q507" s="58">
        <v>0</v>
      </c>
      <c r="R507" s="59">
        <f>F533+F537</f>
        <v>22525</v>
      </c>
      <c r="S507" s="59">
        <v>0</v>
      </c>
      <c r="T507" s="10"/>
      <c r="U507" s="17"/>
      <c r="V507" s="10"/>
      <c r="W507" s="10"/>
      <c r="X507" s="10"/>
    </row>
    <row r="508" spans="2:24">
      <c r="B508" s="11"/>
      <c r="C508" s="10"/>
      <c r="D508" s="10"/>
      <c r="E508" s="12"/>
      <c r="F508" s="76"/>
      <c r="G508" s="10"/>
      <c r="H508" s="10"/>
      <c r="I508" s="10"/>
      <c r="J508" s="10" t="s">
        <v>42</v>
      </c>
      <c r="K508" s="63">
        <f>K500</f>
        <v>3</v>
      </c>
      <c r="L508" s="63">
        <f t="shared" ref="L508:Q509" si="94">L500</f>
        <v>2</v>
      </c>
      <c r="M508" s="63">
        <f t="shared" si="94"/>
        <v>3</v>
      </c>
      <c r="N508" s="63">
        <f t="shared" si="94"/>
        <v>3</v>
      </c>
      <c r="O508" s="63">
        <f t="shared" si="94"/>
        <v>2</v>
      </c>
      <c r="P508" s="63">
        <f t="shared" si="94"/>
        <v>13</v>
      </c>
      <c r="Q508" s="63">
        <f t="shared" si="94"/>
        <v>0</v>
      </c>
      <c r="R508" s="63"/>
      <c r="S508" s="10"/>
      <c r="T508" s="10"/>
      <c r="U508" s="17"/>
      <c r="V508" s="10"/>
      <c r="W508" s="10"/>
      <c r="X508" s="10"/>
    </row>
    <row r="509" spans="2:24">
      <c r="B509" s="11"/>
      <c r="C509" s="10"/>
      <c r="D509" s="10"/>
      <c r="E509" s="10"/>
      <c r="F509" s="10"/>
      <c r="G509" s="10"/>
      <c r="H509" s="10"/>
      <c r="I509" s="10"/>
      <c r="J509" s="10" t="s">
        <v>44</v>
      </c>
      <c r="K509" s="63">
        <f>K501</f>
        <v>3</v>
      </c>
      <c r="L509" s="63">
        <f t="shared" si="94"/>
        <v>5</v>
      </c>
      <c r="M509" s="63">
        <f t="shared" si="94"/>
        <v>4</v>
      </c>
      <c r="N509" s="63">
        <f t="shared" si="94"/>
        <v>5</v>
      </c>
      <c r="O509" s="63">
        <f t="shared" si="94"/>
        <v>2</v>
      </c>
      <c r="P509" s="63">
        <f t="shared" si="94"/>
        <v>19</v>
      </c>
      <c r="Q509" s="63">
        <f t="shared" si="94"/>
        <v>0</v>
      </c>
      <c r="R509" s="63"/>
      <c r="S509" s="10"/>
      <c r="T509" s="10"/>
      <c r="U509" s="17"/>
      <c r="V509" s="10"/>
      <c r="W509" s="10"/>
      <c r="X509" s="10"/>
    </row>
    <row r="510" spans="2:24">
      <c r="B510" s="11"/>
      <c r="C510" s="10"/>
      <c r="D510" s="10"/>
      <c r="E510" s="12"/>
      <c r="F510" s="76"/>
      <c r="G510" s="10"/>
      <c r="H510" s="10"/>
      <c r="I510" s="10"/>
      <c r="J510" s="10" t="s">
        <v>46</v>
      </c>
      <c r="K510" s="31">
        <f t="shared" ref="K510:Q510" si="95">K508/(K508+K509)</f>
        <v>0.5</v>
      </c>
      <c r="L510" s="31">
        <f t="shared" si="95"/>
        <v>0.2857142857142857</v>
      </c>
      <c r="M510" s="31">
        <f t="shared" si="95"/>
        <v>0.42857142857142855</v>
      </c>
      <c r="N510" s="31">
        <f t="shared" si="95"/>
        <v>0.375</v>
      </c>
      <c r="O510" s="31">
        <f t="shared" si="95"/>
        <v>0.5</v>
      </c>
      <c r="P510" s="31">
        <f t="shared" si="95"/>
        <v>0.40625</v>
      </c>
      <c r="Q510" s="31" t="e">
        <f t="shared" si="95"/>
        <v>#DIV/0!</v>
      </c>
      <c r="R510" s="63"/>
      <c r="S510" s="10"/>
      <c r="T510" s="10"/>
      <c r="U510" s="17"/>
      <c r="V510" s="10"/>
      <c r="W510" s="10"/>
      <c r="X510" s="10"/>
    </row>
    <row r="511" spans="2:24">
      <c r="B511" s="11"/>
      <c r="C511" s="10"/>
      <c r="D511" s="10"/>
      <c r="E511" s="10"/>
      <c r="F511" s="10"/>
      <c r="G511" s="10"/>
      <c r="H511" s="10"/>
      <c r="I511" s="10"/>
      <c r="J511" s="10" t="s">
        <v>48</v>
      </c>
      <c r="K511" s="66">
        <f t="shared" ref="K511:Q511" si="96">K507/K508</f>
        <v>2325.3333333333335</v>
      </c>
      <c r="L511" s="66">
        <f t="shared" si="96"/>
        <v>4947.5</v>
      </c>
      <c r="M511" s="66">
        <f t="shared" si="96"/>
        <v>819.33333333333337</v>
      </c>
      <c r="N511" s="66">
        <f t="shared" si="96"/>
        <v>1753</v>
      </c>
      <c r="O511" s="66">
        <f t="shared" si="96"/>
        <v>6407</v>
      </c>
      <c r="P511" s="66">
        <f t="shared" si="96"/>
        <v>2877.0769230769229</v>
      </c>
      <c r="Q511" s="66" t="e">
        <f t="shared" si="96"/>
        <v>#DIV/0!</v>
      </c>
      <c r="R511" s="63"/>
      <c r="S511" s="10"/>
      <c r="T511" s="10"/>
      <c r="U511" s="17"/>
      <c r="V511" s="10"/>
      <c r="W511" s="10"/>
      <c r="X511" s="10"/>
    </row>
    <row r="512" spans="2:24">
      <c r="B512" s="11"/>
      <c r="C512" s="10"/>
      <c r="D512" s="10"/>
      <c r="E512" s="10"/>
      <c r="F512" s="10"/>
      <c r="G512" s="10"/>
      <c r="H512" s="10"/>
      <c r="I512" s="10"/>
      <c r="J512" s="10"/>
      <c r="K512" s="10"/>
      <c r="L512" s="10"/>
      <c r="M512" s="10"/>
      <c r="N512" s="10"/>
      <c r="O512" s="10"/>
      <c r="P512" s="10"/>
      <c r="Q512" s="10"/>
      <c r="R512" s="10"/>
      <c r="S512" s="10"/>
      <c r="T512" s="10"/>
      <c r="U512" s="17"/>
      <c r="V512" s="10"/>
      <c r="W512" s="10"/>
      <c r="X512" s="10"/>
    </row>
    <row r="513" spans="1:24">
      <c r="B513" s="11"/>
      <c r="C513" s="10"/>
      <c r="D513" s="10"/>
      <c r="E513" s="10"/>
      <c r="F513" s="10"/>
      <c r="G513" s="10"/>
      <c r="H513" s="10"/>
      <c r="I513" s="10"/>
      <c r="J513" s="10"/>
      <c r="K513" s="10"/>
      <c r="L513" s="10"/>
      <c r="M513" s="10"/>
      <c r="N513" s="10"/>
      <c r="O513" s="10"/>
      <c r="P513" s="10"/>
      <c r="Q513" s="10"/>
      <c r="R513" s="10"/>
      <c r="S513" s="10"/>
      <c r="T513" s="10"/>
      <c r="U513" s="17"/>
      <c r="V513" s="10"/>
      <c r="W513" s="10"/>
      <c r="X513" s="10"/>
    </row>
    <row r="514" spans="1:24">
      <c r="B514" s="18" t="s">
        <v>51</v>
      </c>
      <c r="C514" s="14"/>
      <c r="D514" s="14"/>
      <c r="E514" s="14"/>
      <c r="F514" s="13" t="s">
        <v>52</v>
      </c>
      <c r="G514" s="14"/>
      <c r="H514" s="14"/>
      <c r="I514" s="14"/>
      <c r="J514" s="14"/>
      <c r="K514" s="13" t="s">
        <v>3</v>
      </c>
      <c r="L514" s="14"/>
      <c r="M514" s="14"/>
      <c r="N514" s="13" t="s">
        <v>4</v>
      </c>
      <c r="O514" s="14"/>
      <c r="P514" s="14"/>
      <c r="Q514" s="13" t="s">
        <v>5</v>
      </c>
      <c r="R514" s="14"/>
      <c r="S514" s="14"/>
      <c r="T514" s="18"/>
      <c r="U514" s="16" t="s">
        <v>53</v>
      </c>
      <c r="V514" s="77"/>
      <c r="W514" s="77"/>
      <c r="X514" s="77"/>
    </row>
    <row r="515" spans="1:24">
      <c r="B515" s="24" t="s">
        <v>54</v>
      </c>
      <c r="C515" s="21" t="s">
        <v>55</v>
      </c>
      <c r="D515" s="21" t="s">
        <v>56</v>
      </c>
      <c r="E515" s="21" t="s">
        <v>57</v>
      </c>
      <c r="F515" s="20" t="s">
        <v>58</v>
      </c>
      <c r="G515" s="21" t="s">
        <v>59</v>
      </c>
      <c r="H515" s="21" t="s">
        <v>60</v>
      </c>
      <c r="I515" s="21" t="s">
        <v>26</v>
      </c>
      <c r="J515" s="22" t="s">
        <v>61</v>
      </c>
      <c r="K515" s="21" t="s">
        <v>8</v>
      </c>
      <c r="L515" s="21" t="s">
        <v>9</v>
      </c>
      <c r="M515" s="21" t="s">
        <v>10</v>
      </c>
      <c r="N515" s="20" t="s">
        <v>11</v>
      </c>
      <c r="O515" s="21" t="s">
        <v>12</v>
      </c>
      <c r="P515" s="22" t="s">
        <v>13</v>
      </c>
      <c r="Q515" s="21" t="s">
        <v>11</v>
      </c>
      <c r="R515" s="21" t="s">
        <v>12</v>
      </c>
      <c r="S515" s="21" t="s">
        <v>13</v>
      </c>
      <c r="T515" s="78" t="s">
        <v>14</v>
      </c>
      <c r="U515" s="30"/>
      <c r="V515" s="79" t="s">
        <v>62</v>
      </c>
      <c r="W515" s="80" t="s">
        <v>63</v>
      </c>
      <c r="X515" s="81" t="s">
        <v>64</v>
      </c>
    </row>
    <row r="516" spans="1:24">
      <c r="B516" s="4" t="s">
        <v>65</v>
      </c>
      <c r="C516" s="6"/>
      <c r="D516" s="6"/>
      <c r="E516" s="6"/>
      <c r="F516" s="6"/>
      <c r="G516" s="6"/>
      <c r="H516" s="6"/>
      <c r="I516" s="82"/>
      <c r="J516" s="6"/>
      <c r="K516" s="6"/>
      <c r="L516" s="6"/>
      <c r="M516" s="6"/>
      <c r="N516" s="6"/>
      <c r="O516" s="6"/>
      <c r="P516" s="6"/>
      <c r="Q516" s="6"/>
      <c r="R516" s="6"/>
      <c r="S516" s="6"/>
      <c r="T516" s="83"/>
      <c r="U516" s="6"/>
      <c r="V516" s="84"/>
      <c r="W516" s="85"/>
      <c r="X516" s="86"/>
    </row>
    <row r="517" spans="1:24">
      <c r="B517" s="87">
        <v>1</v>
      </c>
      <c r="C517" s="274">
        <v>45936</v>
      </c>
      <c r="D517" s="276">
        <v>74045</v>
      </c>
      <c r="E517" s="276" t="s">
        <v>840</v>
      </c>
      <c r="F517" s="277">
        <v>1162</v>
      </c>
      <c r="G517" s="277">
        <f>39.7</f>
        <v>39.700000000000003</v>
      </c>
      <c r="H517" s="297"/>
      <c r="I517" s="321">
        <f t="shared" ref="I517:I524" si="97">F517-G517-H517</f>
        <v>1122.3</v>
      </c>
      <c r="J517" s="279" t="s">
        <v>156</v>
      </c>
      <c r="K517" s="279">
        <v>1</v>
      </c>
      <c r="L517" s="279">
        <v>1</v>
      </c>
      <c r="M517" s="279">
        <v>1</v>
      </c>
      <c r="N517" s="279">
        <v>1</v>
      </c>
      <c r="O517" s="279">
        <v>1</v>
      </c>
      <c r="P517" s="279">
        <v>1</v>
      </c>
      <c r="Q517" s="279">
        <v>1</v>
      </c>
      <c r="R517" s="279">
        <v>1</v>
      </c>
      <c r="S517" s="328">
        <v>0</v>
      </c>
      <c r="T517" s="63"/>
      <c r="U517" s="10"/>
      <c r="V517" s="90">
        <f>1278.2</f>
        <v>1278.2</v>
      </c>
      <c r="W517" s="91"/>
      <c r="X517" s="92"/>
    </row>
    <row r="518" spans="1:24">
      <c r="B518" s="87">
        <f t="shared" ref="B518:B524" si="98">B517+1</f>
        <v>2</v>
      </c>
      <c r="C518" s="295">
        <v>45936</v>
      </c>
      <c r="D518" s="10">
        <v>74057</v>
      </c>
      <c r="E518" s="10" t="s">
        <v>853</v>
      </c>
      <c r="F518" s="62">
        <v>681</v>
      </c>
      <c r="G518" s="62"/>
      <c r="H518" s="62"/>
      <c r="I518" s="89">
        <f t="shared" si="97"/>
        <v>681</v>
      </c>
      <c r="J518" s="63" t="s">
        <v>156</v>
      </c>
      <c r="K518" s="63">
        <v>1</v>
      </c>
      <c r="L518" s="63">
        <v>1</v>
      </c>
      <c r="M518" s="63">
        <v>1</v>
      </c>
      <c r="N518" s="63">
        <v>1</v>
      </c>
      <c r="O518" s="63">
        <v>1</v>
      </c>
      <c r="P518" s="63">
        <v>1</v>
      </c>
      <c r="Q518" s="63">
        <v>1</v>
      </c>
      <c r="R518" s="63">
        <v>1</v>
      </c>
      <c r="S518" s="296">
        <v>1</v>
      </c>
      <c r="T518" s="63"/>
      <c r="U518" s="10"/>
      <c r="V518" s="90">
        <v>749.1</v>
      </c>
      <c r="W518" s="91"/>
      <c r="X518" s="92"/>
    </row>
    <row r="519" spans="1:24">
      <c r="B519" s="87">
        <f t="shared" si="98"/>
        <v>3</v>
      </c>
      <c r="C519" s="274">
        <v>45937</v>
      </c>
      <c r="D519" s="509">
        <v>74105</v>
      </c>
      <c r="E519" s="276" t="s">
        <v>854</v>
      </c>
      <c r="F519" s="277">
        <v>681</v>
      </c>
      <c r="G519" s="277"/>
      <c r="H519" s="277"/>
      <c r="I519" s="278">
        <f t="shared" si="97"/>
        <v>681</v>
      </c>
      <c r="J519" s="279" t="s">
        <v>150</v>
      </c>
      <c r="K519" s="279">
        <v>1</v>
      </c>
      <c r="L519" s="279">
        <v>1</v>
      </c>
      <c r="M519" s="279">
        <v>1</v>
      </c>
      <c r="N519" s="279">
        <v>1</v>
      </c>
      <c r="O519" s="279">
        <v>1</v>
      </c>
      <c r="P519" s="279">
        <v>1</v>
      </c>
      <c r="Q519" s="279">
        <v>1</v>
      </c>
      <c r="R519" s="279">
        <v>1</v>
      </c>
      <c r="S519" s="280">
        <v>1</v>
      </c>
      <c r="T519" s="63"/>
      <c r="U519" s="10"/>
      <c r="V519" s="90">
        <v>0</v>
      </c>
      <c r="W519" s="440">
        <v>750</v>
      </c>
      <c r="X519" s="92"/>
    </row>
    <row r="520" spans="1:24">
      <c r="B520" s="87">
        <f>B519+1</f>
        <v>4</v>
      </c>
      <c r="C520" s="295">
        <v>45937</v>
      </c>
      <c r="D520" s="3" t="s">
        <v>855</v>
      </c>
      <c r="E520" s="10" t="s">
        <v>854</v>
      </c>
      <c r="F520" s="62">
        <v>9214</v>
      </c>
      <c r="G520" s="62">
        <f>39.7+(1201.44)+750</f>
        <v>1991.14</v>
      </c>
      <c r="H520" s="62"/>
      <c r="I520" s="324">
        <f>F520-G520-H520</f>
        <v>7222.86</v>
      </c>
      <c r="J520" s="63" t="s">
        <v>817</v>
      </c>
      <c r="K520" s="63">
        <v>1</v>
      </c>
      <c r="L520" s="325">
        <v>0</v>
      </c>
      <c r="M520" s="63">
        <v>1</v>
      </c>
      <c r="N520" s="63">
        <v>1</v>
      </c>
      <c r="O520" s="63">
        <v>1</v>
      </c>
      <c r="P520" s="325">
        <v>0</v>
      </c>
      <c r="Q520" s="63">
        <v>1</v>
      </c>
      <c r="R520" s="63">
        <v>1</v>
      </c>
      <c r="S520" s="326">
        <v>0</v>
      </c>
      <c r="T520" s="63"/>
      <c r="U520" s="94" t="s">
        <v>856</v>
      </c>
      <c r="V520" s="90">
        <v>5135.3999999999996</v>
      </c>
      <c r="W520" s="456">
        <f>1000+4000</f>
        <v>5000</v>
      </c>
      <c r="X520" s="92"/>
    </row>
    <row r="521" spans="1:24">
      <c r="B521" s="87">
        <f>B520+1</f>
        <v>5</v>
      </c>
      <c r="C521" s="274">
        <v>45938</v>
      </c>
      <c r="D521" s="276">
        <v>74123</v>
      </c>
      <c r="E521" s="281" t="s">
        <v>845</v>
      </c>
      <c r="F521" s="277">
        <v>1196</v>
      </c>
      <c r="G521" s="277">
        <v>39.700000000000003</v>
      </c>
      <c r="H521" s="277"/>
      <c r="I521" s="278">
        <f>F521-G521-H521</f>
        <v>1156.3</v>
      </c>
      <c r="J521" s="279" t="s">
        <v>374</v>
      </c>
      <c r="K521" s="279">
        <v>1</v>
      </c>
      <c r="L521" s="279">
        <v>1</v>
      </c>
      <c r="M521" s="279">
        <v>1</v>
      </c>
      <c r="N521" s="279">
        <v>1</v>
      </c>
      <c r="O521" s="279">
        <v>1</v>
      </c>
      <c r="P521" s="279">
        <v>1</v>
      </c>
      <c r="Q521" s="279">
        <v>1</v>
      </c>
      <c r="R521" s="279">
        <v>1</v>
      </c>
      <c r="S521" s="280">
        <v>1</v>
      </c>
      <c r="T521" s="63"/>
      <c r="U521" s="10"/>
      <c r="V521" s="90">
        <v>1315.6</v>
      </c>
      <c r="W521" s="91"/>
      <c r="X521" s="92"/>
    </row>
    <row r="522" spans="1:24">
      <c r="A522" t="s">
        <v>857</v>
      </c>
      <c r="B522" s="87">
        <f>B521+1</f>
        <v>6</v>
      </c>
      <c r="C522" s="295">
        <v>45938</v>
      </c>
      <c r="D522" s="10" t="s">
        <v>858</v>
      </c>
      <c r="E522" s="94" t="s">
        <v>859</v>
      </c>
      <c r="F522" s="62">
        <v>681</v>
      </c>
      <c r="G522" s="62"/>
      <c r="H522" s="62"/>
      <c r="I522" s="89">
        <f t="shared" si="97"/>
        <v>681</v>
      </c>
      <c r="J522" s="63" t="s">
        <v>156</v>
      </c>
      <c r="K522" s="63">
        <v>1</v>
      </c>
      <c r="L522" s="63">
        <v>1</v>
      </c>
      <c r="M522" s="63">
        <v>1</v>
      </c>
      <c r="N522" s="63">
        <v>1</v>
      </c>
      <c r="O522" s="63">
        <v>1</v>
      </c>
      <c r="P522" s="63">
        <v>1</v>
      </c>
      <c r="Q522" s="63">
        <v>1</v>
      </c>
      <c r="R522" s="63">
        <v>1</v>
      </c>
      <c r="S522" s="296">
        <v>1</v>
      </c>
      <c r="T522" s="63"/>
      <c r="U522" s="10" t="s">
        <v>860</v>
      </c>
      <c r="V522" s="90">
        <v>749.1</v>
      </c>
      <c r="W522" s="91"/>
      <c r="X522" s="92"/>
    </row>
    <row r="523" spans="1:24">
      <c r="B523" s="87">
        <f t="shared" si="98"/>
        <v>7</v>
      </c>
      <c r="C523" s="295">
        <v>45938</v>
      </c>
      <c r="D523" s="10">
        <v>74200</v>
      </c>
      <c r="E523" s="101" t="s">
        <v>861</v>
      </c>
      <c r="F523" s="62">
        <v>581</v>
      </c>
      <c r="G523" s="62"/>
      <c r="H523" s="62"/>
      <c r="I523" s="324">
        <f>F523-G523-H523</f>
        <v>581</v>
      </c>
      <c r="J523" s="63" t="s">
        <v>374</v>
      </c>
      <c r="K523" s="63">
        <v>1</v>
      </c>
      <c r="L523" s="63">
        <v>1</v>
      </c>
      <c r="M523" s="63">
        <v>1</v>
      </c>
      <c r="N523" s="63">
        <v>1</v>
      </c>
      <c r="O523" s="63">
        <v>1</v>
      </c>
      <c r="P523" s="63">
        <v>1</v>
      </c>
      <c r="Q523" s="63">
        <v>1</v>
      </c>
      <c r="R523" s="325">
        <v>0</v>
      </c>
      <c r="S523" s="326">
        <v>0</v>
      </c>
      <c r="T523" s="63"/>
      <c r="U523" s="10"/>
      <c r="V523" s="90">
        <v>639.1</v>
      </c>
      <c r="W523" s="91"/>
      <c r="X523" s="92"/>
    </row>
    <row r="524" spans="1:24">
      <c r="B524" s="87">
        <f t="shared" si="98"/>
        <v>8</v>
      </c>
      <c r="C524" s="262">
        <v>45940</v>
      </c>
      <c r="D524" s="271">
        <v>74303</v>
      </c>
      <c r="E524" s="271" t="s">
        <v>862</v>
      </c>
      <c r="F524" s="265">
        <v>681</v>
      </c>
      <c r="G524" s="265"/>
      <c r="H524" s="365"/>
      <c r="I524" s="272">
        <f t="shared" si="97"/>
        <v>681</v>
      </c>
      <c r="J524" s="267" t="s">
        <v>156</v>
      </c>
      <c r="K524" s="267">
        <v>1</v>
      </c>
      <c r="L524" s="267">
        <v>1</v>
      </c>
      <c r="M524" s="267">
        <v>1</v>
      </c>
      <c r="N524" s="267">
        <v>1</v>
      </c>
      <c r="O524" s="267">
        <v>1</v>
      </c>
      <c r="P524" s="267">
        <v>1</v>
      </c>
      <c r="Q524" s="267">
        <v>1</v>
      </c>
      <c r="R524" s="267">
        <v>1</v>
      </c>
      <c r="S524" s="269">
        <v>0</v>
      </c>
      <c r="T524" s="63"/>
      <c r="U524" s="10"/>
      <c r="V524" s="90">
        <v>749.1</v>
      </c>
      <c r="W524" s="91"/>
      <c r="X524" s="92"/>
    </row>
    <row r="525" spans="1:24">
      <c r="B525" s="87"/>
      <c r="C525" s="36"/>
      <c r="D525" s="10"/>
      <c r="E525" s="10"/>
      <c r="F525" s="97">
        <f>SUM(F517:F524)</f>
        <v>14877</v>
      </c>
      <c r="G525" s="97">
        <f>SUM(G517:G524)</f>
        <v>2070.54</v>
      </c>
      <c r="H525" s="97">
        <f>SUM(H517:H524)</f>
        <v>0</v>
      </c>
      <c r="I525" s="98">
        <f>SUM(I517:I524)</f>
        <v>12806.46</v>
      </c>
      <c r="J525" s="63"/>
      <c r="K525" s="63">
        <f>COUNT(K517:K524)</f>
        <v>8</v>
      </c>
      <c r="L525" s="63">
        <f>COUNT(L517:L524)</f>
        <v>8</v>
      </c>
      <c r="M525" s="63">
        <f>COUNT(M517:M524)</f>
        <v>8</v>
      </c>
      <c r="N525" s="63">
        <f>COUNT(N517:N524)</f>
        <v>8</v>
      </c>
      <c r="O525" s="63">
        <f>COUNT(O517:O524)</f>
        <v>8</v>
      </c>
      <c r="P525" s="63">
        <f>COUNT(P517:P524)</f>
        <v>8</v>
      </c>
      <c r="Q525" s="63">
        <f>COUNT(Q517:Q524)</f>
        <v>8</v>
      </c>
      <c r="R525" s="63">
        <f>COUNT(R517:R524)</f>
        <v>8</v>
      </c>
      <c r="S525" s="63">
        <f>COUNT(S517:S524)</f>
        <v>8</v>
      </c>
      <c r="T525" s="63"/>
      <c r="U525" s="10"/>
      <c r="V525" s="90"/>
      <c r="W525" s="91"/>
      <c r="X525" s="92"/>
    </row>
    <row r="526" spans="1:24">
      <c r="B526" s="87"/>
      <c r="C526" s="36"/>
      <c r="D526" s="10"/>
      <c r="E526" s="10"/>
      <c r="F526" s="88"/>
      <c r="G526" s="88"/>
      <c r="H526" s="88"/>
      <c r="I526" s="99"/>
      <c r="J526" s="63"/>
      <c r="K526" s="21">
        <f>SUM(K517:K524)</f>
        <v>8</v>
      </c>
      <c r="L526" s="21">
        <f>SUM(L517:L524)</f>
        <v>7</v>
      </c>
      <c r="M526" s="21">
        <f>SUM(M517:M524)</f>
        <v>8</v>
      </c>
      <c r="N526" s="21">
        <f>SUM(N517:N524)</f>
        <v>8</v>
      </c>
      <c r="O526" s="21">
        <f>SUM(O517:O524)</f>
        <v>8</v>
      </c>
      <c r="P526" s="21">
        <f>SUM(P517:P524)</f>
        <v>7</v>
      </c>
      <c r="Q526" s="21">
        <f>SUM(Q517:Q524)</f>
        <v>8</v>
      </c>
      <c r="R526" s="21">
        <f>SUM(R517:R524)</f>
        <v>7</v>
      </c>
      <c r="S526" s="21">
        <f>SUM(S517:S524)</f>
        <v>4</v>
      </c>
      <c r="T526" s="63"/>
      <c r="U526" s="10"/>
      <c r="V526" s="90"/>
      <c r="W526" s="91"/>
      <c r="X526" s="92"/>
    </row>
    <row r="527" spans="1:24">
      <c r="B527" s="11"/>
      <c r="C527" s="609"/>
      <c r="D527" s="10"/>
      <c r="E527" s="10"/>
      <c r="F527" s="88"/>
      <c r="G527" s="88"/>
      <c r="H527" s="88"/>
      <c r="I527" s="99"/>
      <c r="J527" s="63"/>
      <c r="K527" s="21"/>
      <c r="L527" s="21"/>
      <c r="M527" s="21"/>
      <c r="N527" s="21"/>
      <c r="O527" s="21"/>
      <c r="P527" s="21"/>
      <c r="Q527" s="21"/>
      <c r="R527" s="21"/>
      <c r="S527" s="21"/>
      <c r="T527" s="63"/>
      <c r="U527" s="94"/>
      <c r="V527" s="90"/>
      <c r="W527" s="91"/>
      <c r="X527" s="92"/>
    </row>
    <row r="528" spans="1:24">
      <c r="B528" s="121" t="s">
        <v>68</v>
      </c>
      <c r="C528" s="611"/>
      <c r="D528" s="123"/>
      <c r="E528" s="123"/>
      <c r="F528" s="124"/>
      <c r="G528" s="125"/>
      <c r="H528" s="124"/>
      <c r="I528" s="126"/>
      <c r="J528" s="127"/>
      <c r="K528" s="128"/>
      <c r="L528" s="128"/>
      <c r="M528" s="128"/>
      <c r="N528" s="128"/>
      <c r="O528" s="128"/>
      <c r="P528" s="128"/>
      <c r="Q528" s="128"/>
      <c r="R528" s="128"/>
      <c r="S528" s="128"/>
      <c r="T528" s="127"/>
      <c r="U528" s="123"/>
      <c r="V528" s="129"/>
      <c r="W528" s="130"/>
      <c r="X528" s="131"/>
    </row>
    <row r="529" spans="1:24" s="342" customFormat="1">
      <c r="A529" s="128" t="s">
        <v>619</v>
      </c>
      <c r="B529" s="333">
        <v>1</v>
      </c>
      <c r="C529" s="334">
        <v>45936</v>
      </c>
      <c r="D529" s="335" t="s">
        <v>863</v>
      </c>
      <c r="E529" s="335" t="s">
        <v>853</v>
      </c>
      <c r="F529" s="336">
        <v>5133</v>
      </c>
      <c r="G529" s="336">
        <f>39.7+(89.36+1289.67)+250</f>
        <v>1668.73</v>
      </c>
      <c r="H529" s="336"/>
      <c r="I529" s="337">
        <f>F529-G529-H529</f>
        <v>3464.27</v>
      </c>
      <c r="J529" s="338" t="s">
        <v>156</v>
      </c>
      <c r="K529" s="338">
        <v>1</v>
      </c>
      <c r="L529" s="322">
        <v>0</v>
      </c>
      <c r="M529" s="338">
        <v>1</v>
      </c>
      <c r="N529" s="338">
        <v>1</v>
      </c>
      <c r="O529" s="338">
        <v>1</v>
      </c>
      <c r="P529" s="322">
        <v>0</v>
      </c>
      <c r="Q529" s="338">
        <v>1</v>
      </c>
      <c r="R529" s="338">
        <v>1</v>
      </c>
      <c r="S529" s="339">
        <v>1</v>
      </c>
      <c r="T529" s="127"/>
      <c r="U529" s="135" t="s">
        <v>864</v>
      </c>
      <c r="V529" s="129">
        <f>500</f>
        <v>500</v>
      </c>
      <c r="W529" s="130"/>
      <c r="X529" s="131"/>
    </row>
    <row r="530" spans="1:24" s="342" customFormat="1">
      <c r="A530" s="492">
        <v>0.05</v>
      </c>
      <c r="B530" s="333">
        <f>B529+1</f>
        <v>2</v>
      </c>
      <c r="C530" s="334">
        <v>45939</v>
      </c>
      <c r="D530" s="335">
        <v>74231</v>
      </c>
      <c r="E530" s="394" t="s">
        <v>865</v>
      </c>
      <c r="F530" s="336">
        <v>1134</v>
      </c>
      <c r="G530" s="336">
        <f>39.7</f>
        <v>39.700000000000003</v>
      </c>
      <c r="H530" s="336"/>
      <c r="I530" s="337">
        <f t="shared" ref="I530:I532" si="99">F530-G530-H530</f>
        <v>1094.3</v>
      </c>
      <c r="J530" s="338"/>
      <c r="K530" s="338">
        <v>1</v>
      </c>
      <c r="L530" s="338">
        <v>1</v>
      </c>
      <c r="M530" s="338"/>
      <c r="N530" s="338">
        <v>1</v>
      </c>
      <c r="O530" s="338">
        <v>1</v>
      </c>
      <c r="P530" s="338">
        <v>1</v>
      </c>
      <c r="Q530" s="338">
        <v>1</v>
      </c>
      <c r="R530" s="338">
        <v>1</v>
      </c>
      <c r="S530" s="339">
        <v>1</v>
      </c>
      <c r="T530" s="127"/>
      <c r="U530" s="123"/>
      <c r="V530" s="129"/>
      <c r="W530" s="130"/>
      <c r="X530" s="131"/>
    </row>
    <row r="531" spans="1:24" s="342" customFormat="1">
      <c r="A531" s="492">
        <v>0.05</v>
      </c>
      <c r="B531" s="333">
        <f t="shared" ref="B531:B532" si="100">B530+1</f>
        <v>3</v>
      </c>
      <c r="C531" s="345">
        <v>45939</v>
      </c>
      <c r="D531" s="123" t="s">
        <v>866</v>
      </c>
      <c r="E531" s="348" t="s">
        <v>563</v>
      </c>
      <c r="F531" s="125">
        <v>1264</v>
      </c>
      <c r="G531" s="125">
        <f>39.7</f>
        <v>39.700000000000003</v>
      </c>
      <c r="H531" s="125"/>
      <c r="I531" s="347">
        <f t="shared" si="99"/>
        <v>1224.3</v>
      </c>
      <c r="J531" s="127"/>
      <c r="K531" s="127">
        <v>1</v>
      </c>
      <c r="L531" s="325">
        <v>0</v>
      </c>
      <c r="M531" s="127"/>
      <c r="N531" s="127">
        <v>1</v>
      </c>
      <c r="O531" s="127">
        <v>1</v>
      </c>
      <c r="P531" s="127">
        <v>1</v>
      </c>
      <c r="Q531" s="127">
        <v>1</v>
      </c>
      <c r="R531" s="127">
        <v>1</v>
      </c>
      <c r="S531" s="349">
        <v>1</v>
      </c>
      <c r="T531" s="127"/>
      <c r="U531" s="123" t="s">
        <v>867</v>
      </c>
      <c r="V531" s="129"/>
      <c r="W531" s="130"/>
      <c r="X531" s="131"/>
    </row>
    <row r="532" spans="1:24" s="342" customFormat="1">
      <c r="A532" s="492">
        <v>0.05</v>
      </c>
      <c r="B532" s="333">
        <f t="shared" si="100"/>
        <v>4</v>
      </c>
      <c r="C532" s="395">
        <v>45939</v>
      </c>
      <c r="D532" s="396" t="s">
        <v>868</v>
      </c>
      <c r="E532" s="454" t="s">
        <v>563</v>
      </c>
      <c r="F532" s="397">
        <v>2861</v>
      </c>
      <c r="G532" s="397">
        <f>39.7</f>
        <v>39.700000000000003</v>
      </c>
      <c r="H532" s="397"/>
      <c r="I532" s="398">
        <f t="shared" si="99"/>
        <v>2821.3</v>
      </c>
      <c r="J532" s="399"/>
      <c r="K532" s="399">
        <v>1</v>
      </c>
      <c r="L532" s="332">
        <v>0</v>
      </c>
      <c r="M532" s="399"/>
      <c r="N532" s="399">
        <v>1</v>
      </c>
      <c r="O532" s="399">
        <v>1</v>
      </c>
      <c r="P532" s="399">
        <v>1</v>
      </c>
      <c r="Q532" s="399">
        <v>1</v>
      </c>
      <c r="R532" s="399">
        <v>1</v>
      </c>
      <c r="S532" s="400">
        <v>1</v>
      </c>
      <c r="T532" s="127"/>
      <c r="U532" s="123" t="s">
        <v>869</v>
      </c>
      <c r="V532" s="129"/>
      <c r="W532" s="130"/>
      <c r="X532" s="131"/>
    </row>
    <row r="533" spans="1:24">
      <c r="B533" s="132"/>
      <c r="C533" s="36"/>
      <c r="D533" s="123"/>
      <c r="E533" s="123"/>
      <c r="F533" s="133">
        <f>SUM(F529:F532)</f>
        <v>10392</v>
      </c>
      <c r="G533" s="133">
        <f>SUM(G529:G532)</f>
        <v>1787.8300000000002</v>
      </c>
      <c r="H533" s="133">
        <f>SUM(H529:H532)</f>
        <v>0</v>
      </c>
      <c r="I533" s="134">
        <f>SUM(I529:I532)</f>
        <v>8604.17</v>
      </c>
      <c r="J533" s="127"/>
      <c r="K533" s="64"/>
      <c r="L533" s="64"/>
      <c r="M533" s="64"/>
      <c r="N533" s="64"/>
      <c r="O533" s="64"/>
      <c r="P533" s="64"/>
      <c r="Q533" s="64"/>
      <c r="R533" s="64"/>
      <c r="S533" s="64"/>
      <c r="T533" s="127"/>
      <c r="U533" s="123"/>
      <c r="V533" s="129"/>
      <c r="W533" s="130"/>
      <c r="X533" s="131"/>
    </row>
    <row r="534" spans="1:24">
      <c r="B534" s="11"/>
      <c r="C534" s="36"/>
      <c r="D534" s="10"/>
      <c r="E534" s="10"/>
      <c r="F534" s="88"/>
      <c r="G534" s="88"/>
      <c r="H534" s="88"/>
      <c r="I534" s="99"/>
      <c r="J534" s="63"/>
      <c r="K534" s="21"/>
      <c r="L534" s="21"/>
      <c r="M534" s="21"/>
      <c r="N534" s="21"/>
      <c r="O534" s="21"/>
      <c r="P534" s="21"/>
      <c r="Q534" s="21"/>
      <c r="R534" s="21"/>
      <c r="S534" s="21"/>
      <c r="T534" s="63"/>
      <c r="U534" s="94"/>
      <c r="V534" s="90"/>
      <c r="W534" s="91"/>
      <c r="X534" s="92"/>
    </row>
    <row r="535" spans="1:24">
      <c r="B535" s="121" t="s">
        <v>70</v>
      </c>
      <c r="C535" s="36"/>
      <c r="D535" s="123"/>
      <c r="E535" s="128"/>
      <c r="F535" s="124"/>
      <c r="G535" s="124"/>
      <c r="H535" s="124"/>
      <c r="I535" s="126"/>
      <c r="J535" s="127"/>
      <c r="K535" s="64"/>
      <c r="L535" s="64"/>
      <c r="M535" s="64"/>
      <c r="N535" s="64"/>
      <c r="O535" s="64"/>
      <c r="P535" s="64"/>
      <c r="Q535" s="64"/>
      <c r="R535" s="64"/>
      <c r="S535" s="64"/>
      <c r="T535" s="127"/>
      <c r="U535" s="135"/>
      <c r="V535" s="129"/>
      <c r="W535" s="130"/>
      <c r="X535" s="131"/>
    </row>
    <row r="536" spans="1:24" s="342" customFormat="1">
      <c r="A536" s="492">
        <v>0.05</v>
      </c>
      <c r="B536" s="333">
        <v>1</v>
      </c>
      <c r="C536" s="350">
        <v>45940</v>
      </c>
      <c r="D536" s="358" t="s">
        <v>870</v>
      </c>
      <c r="E536" s="358" t="s">
        <v>862</v>
      </c>
      <c r="F536" s="352">
        <v>12133</v>
      </c>
      <c r="G536" s="352">
        <f>39.7+(3660.58)+1000</f>
        <v>4700.28</v>
      </c>
      <c r="H536" s="352"/>
      <c r="I536" s="353">
        <f t="shared" ref="I536" si="101">F536-G536-H536</f>
        <v>7432.72</v>
      </c>
      <c r="J536" s="354" t="s">
        <v>156</v>
      </c>
      <c r="K536" s="354">
        <v>1</v>
      </c>
      <c r="L536" s="354"/>
      <c r="M536" s="354">
        <v>1</v>
      </c>
      <c r="N536" s="354">
        <v>1</v>
      </c>
      <c r="O536" s="354">
        <v>1</v>
      </c>
      <c r="P536" s="354">
        <v>1</v>
      </c>
      <c r="Q536" s="354"/>
      <c r="R536" s="354"/>
      <c r="S536" s="355"/>
      <c r="T536" s="127"/>
      <c r="U536" s="135" t="s">
        <v>871</v>
      </c>
      <c r="V536" s="129">
        <f>1500+11846.3</f>
        <v>13346.3</v>
      </c>
      <c r="W536" s="340"/>
      <c r="X536" s="341"/>
    </row>
    <row r="537" spans="1:24">
      <c r="B537" s="132"/>
      <c r="C537" s="36"/>
      <c r="D537" s="123"/>
      <c r="E537" s="123"/>
      <c r="F537" s="134">
        <f>SUM(F536:F536)</f>
        <v>12133</v>
      </c>
      <c r="G537" s="134">
        <f>SUM(G536:G536)</f>
        <v>4700.28</v>
      </c>
      <c r="H537" s="134">
        <f>SUM(H536:H536)</f>
        <v>0</v>
      </c>
      <c r="I537" s="134">
        <f>SUM(I536:I536)</f>
        <v>7432.72</v>
      </c>
      <c r="J537" s="127"/>
      <c r="K537" s="64"/>
      <c r="L537" s="64"/>
      <c r="M537" s="64"/>
      <c r="N537" s="64"/>
      <c r="O537" s="64"/>
      <c r="P537" s="64"/>
      <c r="Q537" s="64"/>
      <c r="R537" s="64"/>
      <c r="S537" s="64"/>
      <c r="T537" s="127"/>
      <c r="U537" s="135"/>
      <c r="V537" s="129"/>
      <c r="W537" s="130"/>
      <c r="X537" s="131"/>
    </row>
    <row r="538" spans="1:24">
      <c r="B538" s="11"/>
      <c r="C538" s="36"/>
      <c r="D538" s="10"/>
      <c r="E538" s="10"/>
      <c r="F538" s="88"/>
      <c r="G538" s="88"/>
      <c r="H538" s="88"/>
      <c r="I538" s="99"/>
      <c r="J538" s="63"/>
      <c r="K538" s="21"/>
      <c r="L538" s="21"/>
      <c r="M538" s="21"/>
      <c r="N538" s="21"/>
      <c r="O538" s="21"/>
      <c r="P538" s="21"/>
      <c r="Q538" s="21"/>
      <c r="R538" s="21"/>
      <c r="S538" s="21"/>
      <c r="T538" s="63"/>
      <c r="U538" s="94"/>
      <c r="V538" s="90"/>
      <c r="W538" s="91"/>
      <c r="X538" s="92"/>
    </row>
    <row r="539" spans="1:24" s="260" customFormat="1">
      <c r="A539" s="181"/>
      <c r="B539" s="100" t="s">
        <v>152</v>
      </c>
      <c r="C539" s="36"/>
      <c r="D539" s="10"/>
      <c r="E539" s="10"/>
      <c r="F539" s="88"/>
      <c r="G539" s="62"/>
      <c r="H539" s="88"/>
      <c r="I539" s="99"/>
      <c r="J539" s="63"/>
      <c r="K539" s="181"/>
      <c r="L539" s="181"/>
      <c r="M539" s="181"/>
      <c r="N539" s="181"/>
      <c r="O539" s="181"/>
      <c r="P539" s="181"/>
      <c r="Q539" s="181"/>
      <c r="R539" s="181"/>
      <c r="S539" s="181"/>
      <c r="T539" s="63"/>
      <c r="U539" s="10"/>
      <c r="V539" s="90"/>
      <c r="W539" s="91"/>
      <c r="X539" s="92"/>
    </row>
    <row r="540" spans="1:24" s="260" customFormat="1">
      <c r="A540" s="494">
        <v>0.05</v>
      </c>
      <c r="B540" s="87">
        <v>1</v>
      </c>
      <c r="C540" s="262">
        <v>45890</v>
      </c>
      <c r="D540" s="357" t="s">
        <v>759</v>
      </c>
      <c r="E540" s="271" t="s">
        <v>369</v>
      </c>
      <c r="F540" s="265">
        <f>4112-450</f>
        <v>3662</v>
      </c>
      <c r="G540" s="265">
        <f>39.7+(847.9+27.43+26.8)+300</f>
        <v>1241.83</v>
      </c>
      <c r="H540" s="265"/>
      <c r="I540" s="266">
        <f>F540-G540-H540</f>
        <v>2420.17</v>
      </c>
      <c r="J540" s="267" t="s">
        <v>228</v>
      </c>
      <c r="K540" s="267">
        <v>1</v>
      </c>
      <c r="L540" s="314">
        <v>0</v>
      </c>
      <c r="M540" s="267">
        <v>1</v>
      </c>
      <c r="N540" s="267">
        <v>1</v>
      </c>
      <c r="O540" s="267">
        <v>1</v>
      </c>
      <c r="P540" s="267">
        <v>1</v>
      </c>
      <c r="Q540" s="267">
        <v>1</v>
      </c>
      <c r="R540" s="267">
        <v>1</v>
      </c>
      <c r="S540" s="366">
        <v>0</v>
      </c>
      <c r="T540" s="63"/>
      <c r="U540" s="10" t="s">
        <v>760</v>
      </c>
      <c r="V540" s="90"/>
      <c r="W540" s="136"/>
      <c r="X540" s="137"/>
    </row>
    <row r="541" spans="1:24" s="260" customFormat="1">
      <c r="A541" s="494">
        <v>0.05</v>
      </c>
      <c r="B541" s="87">
        <f>B540+1</f>
        <v>2</v>
      </c>
      <c r="C541" s="262">
        <v>45905</v>
      </c>
      <c r="D541" s="263">
        <v>73026</v>
      </c>
      <c r="E541" s="264" t="s">
        <v>294</v>
      </c>
      <c r="F541" s="265">
        <f>1261-89</f>
        <v>1172</v>
      </c>
      <c r="G541" s="265">
        <f>39.7</f>
        <v>39.700000000000003</v>
      </c>
      <c r="H541" s="265"/>
      <c r="I541" s="266">
        <f>F541-G541-H541</f>
        <v>1132.3</v>
      </c>
      <c r="J541" s="267"/>
      <c r="K541" s="267">
        <v>1</v>
      </c>
      <c r="L541" s="267">
        <v>1</v>
      </c>
      <c r="M541" s="267"/>
      <c r="N541" s="267">
        <v>1</v>
      </c>
      <c r="O541" s="267">
        <v>1</v>
      </c>
      <c r="P541" s="314">
        <v>0</v>
      </c>
      <c r="Q541" s="267">
        <v>1</v>
      </c>
      <c r="R541" s="267">
        <v>1</v>
      </c>
      <c r="S541" s="366">
        <v>0</v>
      </c>
      <c r="T541" s="63"/>
      <c r="U541" s="10" t="s">
        <v>872</v>
      </c>
      <c r="V541" s="90"/>
      <c r="W541" s="91"/>
      <c r="X541" s="92"/>
    </row>
    <row r="542" spans="1:24" s="260" customFormat="1">
      <c r="A542" s="494">
        <v>0.05</v>
      </c>
      <c r="B542" s="87">
        <f>B541+1</f>
        <v>3</v>
      </c>
      <c r="C542" s="262">
        <v>45929</v>
      </c>
      <c r="D542" s="263">
        <v>73756</v>
      </c>
      <c r="E542" s="271" t="s">
        <v>363</v>
      </c>
      <c r="F542" s="265">
        <v>1138</v>
      </c>
      <c r="G542" s="265">
        <f>39.7</f>
        <v>39.700000000000003</v>
      </c>
      <c r="H542" s="265"/>
      <c r="I542" s="266">
        <f t="shared" ref="I542" si="102">F542-G542-H542</f>
        <v>1098.3</v>
      </c>
      <c r="J542" s="267" t="s">
        <v>156</v>
      </c>
      <c r="K542" s="314">
        <v>0</v>
      </c>
      <c r="L542" s="267">
        <v>1</v>
      </c>
      <c r="M542" s="267">
        <v>1</v>
      </c>
      <c r="N542" s="267">
        <v>1</v>
      </c>
      <c r="O542" s="267">
        <v>1</v>
      </c>
      <c r="P542" s="267">
        <v>1</v>
      </c>
      <c r="Q542" s="267">
        <v>1</v>
      </c>
      <c r="R542" s="267">
        <v>1</v>
      </c>
      <c r="S542" s="269">
        <v>1</v>
      </c>
      <c r="T542" s="63"/>
      <c r="U542" s="10"/>
      <c r="V542" s="90"/>
      <c r="W542" s="91"/>
      <c r="X542" s="92"/>
    </row>
    <row r="543" spans="1:24" s="260" customFormat="1">
      <c r="A543" s="494">
        <v>0.05</v>
      </c>
      <c r="B543" s="87">
        <f>B542+1</f>
        <v>4</v>
      </c>
      <c r="C543" s="262">
        <v>45933</v>
      </c>
      <c r="D543" s="263">
        <v>74034</v>
      </c>
      <c r="E543" s="271" t="s">
        <v>643</v>
      </c>
      <c r="F543" s="265">
        <v>1861</v>
      </c>
      <c r="G543" s="265">
        <f>39.7+468</f>
        <v>507.7</v>
      </c>
      <c r="H543" s="265"/>
      <c r="I543" s="266">
        <f>F543-G543-H543</f>
        <v>1353.3</v>
      </c>
      <c r="J543" s="267"/>
      <c r="K543" s="267">
        <v>1</v>
      </c>
      <c r="L543" s="267">
        <v>1</v>
      </c>
      <c r="M543" s="267"/>
      <c r="N543" s="267">
        <v>1</v>
      </c>
      <c r="O543" s="267">
        <v>1</v>
      </c>
      <c r="P543" s="314">
        <v>0</v>
      </c>
      <c r="Q543" s="314">
        <v>0</v>
      </c>
      <c r="R543" s="314">
        <v>0</v>
      </c>
      <c r="S543" s="366">
        <v>0</v>
      </c>
      <c r="T543" s="63"/>
      <c r="U543" s="94" t="s">
        <v>873</v>
      </c>
      <c r="V543" s="90"/>
      <c r="W543" s="136"/>
      <c r="X543" s="137"/>
    </row>
    <row r="544" spans="1:24" s="260" customFormat="1">
      <c r="A544" s="181"/>
      <c r="B544" s="11"/>
      <c r="C544" s="36"/>
      <c r="D544" s="10"/>
      <c r="E544" s="10"/>
      <c r="F544" s="98">
        <f>SUM(F540:F543)</f>
        <v>7833</v>
      </c>
      <c r="G544" s="98">
        <f>SUM(G540:G543)</f>
        <v>1828.93</v>
      </c>
      <c r="H544" s="98">
        <f>SUM(H540:H543)</f>
        <v>0</v>
      </c>
      <c r="I544" s="98">
        <f>SUM(I540:I543)</f>
        <v>6004.0700000000006</v>
      </c>
      <c r="J544" s="63"/>
      <c r="K544" s="21"/>
      <c r="L544" s="21"/>
      <c r="M544" s="21"/>
      <c r="N544" s="21"/>
      <c r="O544" s="21"/>
      <c r="P544" s="21"/>
      <c r="Q544" s="21"/>
      <c r="R544" s="21"/>
      <c r="S544" s="21"/>
      <c r="T544" s="63"/>
      <c r="U544" s="94"/>
      <c r="V544" s="90"/>
      <c r="W544" s="91"/>
      <c r="X544" s="92"/>
    </row>
    <row r="545" spans="1:25" s="260" customFormat="1">
      <c r="A545" s="181"/>
      <c r="B545" s="11"/>
      <c r="C545" s="36"/>
      <c r="D545" s="10"/>
      <c r="E545" s="10"/>
      <c r="F545" s="88"/>
      <c r="G545" s="88"/>
      <c r="H545" s="88"/>
      <c r="I545" s="99"/>
      <c r="J545" s="63"/>
      <c r="K545" s="21"/>
      <c r="L545" s="21"/>
      <c r="M545" s="21"/>
      <c r="N545" s="21"/>
      <c r="O545" s="21"/>
      <c r="P545" s="21"/>
      <c r="Q545" s="21"/>
      <c r="R545" s="21"/>
      <c r="S545" s="21"/>
      <c r="T545" s="63"/>
      <c r="U545" s="94"/>
      <c r="V545" s="90"/>
      <c r="W545" s="91"/>
      <c r="X545" s="92"/>
    </row>
    <row r="546" spans="1:25" s="260" customFormat="1">
      <c r="B546" s="100" t="s">
        <v>202</v>
      </c>
      <c r="C546" s="36"/>
      <c r="D546" s="10"/>
      <c r="E546" s="181"/>
      <c r="F546" s="88"/>
      <c r="G546" s="88"/>
      <c r="H546" s="88"/>
      <c r="I546" s="99"/>
      <c r="J546" s="63"/>
      <c r="K546" s="21"/>
      <c r="L546" s="21"/>
      <c r="M546" s="21"/>
      <c r="N546" s="21"/>
      <c r="O546" s="21"/>
      <c r="P546" s="21"/>
      <c r="Q546" s="21"/>
      <c r="R546" s="21"/>
      <c r="S546" s="21"/>
      <c r="T546" s="63"/>
      <c r="U546" s="94"/>
      <c r="V546" s="90"/>
      <c r="W546" s="91"/>
      <c r="X546" s="92"/>
      <c r="Y546" s="181"/>
    </row>
    <row r="547" spans="1:25" s="260" customFormat="1">
      <c r="A547" s="494">
        <v>0.05</v>
      </c>
      <c r="B547" s="87">
        <v>1</v>
      </c>
      <c r="C547" s="274">
        <v>45908</v>
      </c>
      <c r="D547" s="327">
        <v>73048</v>
      </c>
      <c r="E547" s="276" t="s">
        <v>211</v>
      </c>
      <c r="F547" s="277">
        <v>861</v>
      </c>
      <c r="G547" s="277">
        <f>39.7</f>
        <v>39.700000000000003</v>
      </c>
      <c r="H547" s="277"/>
      <c r="I547" s="278">
        <f>F547-G547-H547</f>
        <v>821.3</v>
      </c>
      <c r="J547" s="279" t="s">
        <v>156</v>
      </c>
      <c r="K547" s="279">
        <v>1</v>
      </c>
      <c r="L547" s="279"/>
      <c r="M547" s="279">
        <v>1</v>
      </c>
      <c r="N547" s="279">
        <v>1</v>
      </c>
      <c r="O547" s="279">
        <v>1</v>
      </c>
      <c r="P547" s="279">
        <v>1</v>
      </c>
      <c r="Q547" s="279"/>
      <c r="R547" s="279"/>
      <c r="S547" s="280"/>
      <c r="T547" s="63"/>
      <c r="U547" s="94" t="s">
        <v>806</v>
      </c>
      <c r="V547" s="90"/>
      <c r="W547" s="136"/>
      <c r="X547" s="137"/>
      <c r="Y547" s="181"/>
    </row>
    <row r="548" spans="1:25" s="260" customFormat="1">
      <c r="A548" s="261">
        <v>0.05</v>
      </c>
      <c r="B548" s="87">
        <f>B547+1</f>
        <v>2</v>
      </c>
      <c r="C548" s="262">
        <v>45917</v>
      </c>
      <c r="D548" s="263">
        <v>73379</v>
      </c>
      <c r="E548" s="271" t="s">
        <v>159</v>
      </c>
      <c r="F548" s="265">
        <v>4619</v>
      </c>
      <c r="G548" s="265">
        <f>39.7+300+(88.82+47.5+58.8)+(77+674.43+129.7)+300</f>
        <v>1715.9499999999998</v>
      </c>
      <c r="H548" s="265"/>
      <c r="I548" s="266">
        <f>F548-G548-H548</f>
        <v>2903.05</v>
      </c>
      <c r="J548" s="267" t="s">
        <v>228</v>
      </c>
      <c r="K548" s="267">
        <v>1</v>
      </c>
      <c r="L548" s="267"/>
      <c r="M548" s="267">
        <v>1</v>
      </c>
      <c r="N548" s="267">
        <v>1</v>
      </c>
      <c r="O548" s="267">
        <v>1</v>
      </c>
      <c r="P548" s="314">
        <v>0</v>
      </c>
      <c r="Q548" s="267"/>
      <c r="R548" s="267"/>
      <c r="S548" s="269"/>
      <c r="T548" s="63"/>
      <c r="U548" s="94" t="s">
        <v>832</v>
      </c>
      <c r="V548" s="90">
        <f>1.35</f>
        <v>1.35</v>
      </c>
      <c r="W548" s="136"/>
      <c r="X548" s="137"/>
    </row>
    <row r="549" spans="1:25" s="260" customFormat="1">
      <c r="B549" s="11"/>
      <c r="C549" s="36"/>
      <c r="D549" s="10"/>
      <c r="E549" s="10"/>
      <c r="F549" s="97">
        <f>SUM(F547:F548)</f>
        <v>5480</v>
      </c>
      <c r="G549" s="97">
        <f>SUM(G547:G548)</f>
        <v>1755.6499999999999</v>
      </c>
      <c r="H549" s="97">
        <f>SUM(H547:H548)</f>
        <v>0</v>
      </c>
      <c r="I549" s="97">
        <f>SUM(I547:I548)</f>
        <v>3724.3500000000004</v>
      </c>
      <c r="J549" s="63"/>
      <c r="K549" s="21"/>
      <c r="L549" s="21"/>
      <c r="M549" s="21"/>
      <c r="N549" s="21"/>
      <c r="O549" s="21"/>
      <c r="P549" s="21"/>
      <c r="Q549" s="21"/>
      <c r="R549" s="21"/>
      <c r="S549" s="21"/>
      <c r="T549" s="63"/>
      <c r="U549" s="94"/>
      <c r="V549" s="90"/>
      <c r="W549" s="91"/>
      <c r="X549" s="92"/>
      <c r="Y549" s="181"/>
    </row>
    <row r="550" spans="1:25" s="260" customFormat="1">
      <c r="B550" s="11"/>
      <c r="C550" s="36"/>
      <c r="D550" s="10"/>
      <c r="E550" s="10"/>
      <c r="F550" s="88"/>
      <c r="G550" s="88"/>
      <c r="H550" s="88"/>
      <c r="I550" s="99"/>
      <c r="J550" s="63"/>
      <c r="K550" s="21"/>
      <c r="L550" s="21"/>
      <c r="M550" s="21"/>
      <c r="N550" s="21"/>
      <c r="O550" s="21"/>
      <c r="P550" s="21"/>
      <c r="Q550" s="21"/>
      <c r="R550" s="21"/>
      <c r="S550" s="21"/>
      <c r="T550" s="63"/>
      <c r="U550" s="94"/>
      <c r="V550" s="90"/>
      <c r="W550" s="91"/>
      <c r="X550" s="92"/>
      <c r="Y550" s="181"/>
    </row>
    <row r="551" spans="1:25">
      <c r="B551" s="100" t="s">
        <v>72</v>
      </c>
      <c r="C551" s="36"/>
      <c r="D551" s="10"/>
      <c r="E551" s="10"/>
      <c r="F551" s="88"/>
      <c r="G551" s="88"/>
      <c r="H551" s="88"/>
      <c r="I551" s="99"/>
      <c r="J551" s="63"/>
      <c r="K551" s="63"/>
      <c r="L551" s="63"/>
      <c r="M551" s="63"/>
      <c r="N551" s="63"/>
      <c r="O551" s="63"/>
      <c r="P551" s="63"/>
      <c r="Q551" s="63"/>
      <c r="R551" s="63"/>
      <c r="S551" s="63"/>
      <c r="T551" s="63"/>
      <c r="U551" s="10"/>
      <c r="V551" s="90"/>
      <c r="W551" s="91"/>
      <c r="X551" s="92"/>
    </row>
    <row r="552" spans="1:25">
      <c r="B552" s="87">
        <v>1</v>
      </c>
      <c r="C552" s="274">
        <v>45936</v>
      </c>
      <c r="D552" s="276">
        <v>74032</v>
      </c>
      <c r="E552" s="276" t="s">
        <v>874</v>
      </c>
      <c r="F552" s="277">
        <v>1134</v>
      </c>
      <c r="G552" s="277">
        <v>39.700000000000003</v>
      </c>
      <c r="H552" s="277"/>
      <c r="I552" s="278">
        <f t="shared" ref="I552:I570" si="103">F552-G552-H552</f>
        <v>1094.3</v>
      </c>
      <c r="J552" s="279" t="s">
        <v>205</v>
      </c>
      <c r="K552" s="279">
        <v>1</v>
      </c>
      <c r="L552" s="279"/>
      <c r="M552" s="279"/>
      <c r="N552" s="279">
        <v>1</v>
      </c>
      <c r="O552" s="279"/>
      <c r="P552" s="279"/>
      <c r="Q552" s="279">
        <v>1</v>
      </c>
      <c r="R552" s="279">
        <v>1</v>
      </c>
      <c r="S552" s="280">
        <v>1</v>
      </c>
      <c r="T552" s="63"/>
      <c r="U552" s="3"/>
      <c r="V552" s="90"/>
      <c r="W552" s="91"/>
      <c r="X552" s="92"/>
    </row>
    <row r="553" spans="1:25">
      <c r="B553" s="87">
        <f t="shared" ref="B553:B567" si="104">B552+1</f>
        <v>2</v>
      </c>
      <c r="C553" s="295">
        <v>45936</v>
      </c>
      <c r="D553" s="10">
        <v>74072</v>
      </c>
      <c r="E553" s="10" t="s">
        <v>875</v>
      </c>
      <c r="F553" s="62">
        <v>2261</v>
      </c>
      <c r="G553" s="62">
        <v>39.700000000000003</v>
      </c>
      <c r="H553" s="62"/>
      <c r="I553" s="89">
        <f t="shared" si="103"/>
        <v>2221.3000000000002</v>
      </c>
      <c r="J553" s="63" t="s">
        <v>156</v>
      </c>
      <c r="K553" s="63">
        <v>1</v>
      </c>
      <c r="L553" s="63"/>
      <c r="M553" s="63">
        <v>1</v>
      </c>
      <c r="N553" s="63">
        <v>1</v>
      </c>
      <c r="O553" s="63"/>
      <c r="P553" s="63">
        <v>1</v>
      </c>
      <c r="Q553" s="63">
        <v>1</v>
      </c>
      <c r="R553" s="63">
        <v>1</v>
      </c>
      <c r="S553" s="296">
        <v>1</v>
      </c>
      <c r="T553" s="63"/>
      <c r="U553" s="10"/>
      <c r="V553" s="90">
        <v>93.5</v>
      </c>
      <c r="W553" s="136"/>
      <c r="X553" s="137"/>
    </row>
    <row r="554" spans="1:25">
      <c r="B554" s="87">
        <f t="shared" si="104"/>
        <v>3</v>
      </c>
      <c r="C554" s="295">
        <v>45936</v>
      </c>
      <c r="D554" s="10">
        <v>74102</v>
      </c>
      <c r="E554" s="10" t="s">
        <v>849</v>
      </c>
      <c r="F554" s="62">
        <v>9248</v>
      </c>
      <c r="G554" s="62">
        <v>39.700000000000003</v>
      </c>
      <c r="H554" s="62"/>
      <c r="I554" s="89">
        <f t="shared" si="103"/>
        <v>9208.2999999999993</v>
      </c>
      <c r="J554" s="63" t="s">
        <v>205</v>
      </c>
      <c r="K554" s="63">
        <v>1</v>
      </c>
      <c r="L554" s="63"/>
      <c r="M554" s="63"/>
      <c r="N554" s="63">
        <v>1</v>
      </c>
      <c r="O554" s="63"/>
      <c r="P554" s="63"/>
      <c r="Q554" s="63">
        <v>1</v>
      </c>
      <c r="R554" s="63">
        <v>1</v>
      </c>
      <c r="S554" s="296">
        <v>1</v>
      </c>
      <c r="T554" s="63"/>
      <c r="U554" s="10"/>
      <c r="V554" s="90"/>
      <c r="W554" s="136"/>
      <c r="X554" s="137"/>
    </row>
    <row r="555" spans="1:25">
      <c r="B555" s="87">
        <f t="shared" si="104"/>
        <v>4</v>
      </c>
      <c r="C555" s="274">
        <v>45937</v>
      </c>
      <c r="D555" s="276">
        <v>74137</v>
      </c>
      <c r="E555" s="276" t="s">
        <v>876</v>
      </c>
      <c r="F555" s="277">
        <v>6214</v>
      </c>
      <c r="G555" s="277">
        <v>39.700000000000003</v>
      </c>
      <c r="H555" s="277"/>
      <c r="I555" s="278">
        <f t="shared" si="103"/>
        <v>6174.3</v>
      </c>
      <c r="J555" s="279" t="s">
        <v>205</v>
      </c>
      <c r="K555" s="279">
        <v>1</v>
      </c>
      <c r="L555" s="279"/>
      <c r="M555" s="279"/>
      <c r="N555" s="279">
        <v>1</v>
      </c>
      <c r="O555" s="279"/>
      <c r="P555" s="279"/>
      <c r="Q555" s="279">
        <v>1</v>
      </c>
      <c r="R555" s="279">
        <v>1</v>
      </c>
      <c r="S555" s="280"/>
      <c r="T555" s="63"/>
      <c r="U555" s="10"/>
      <c r="V555" s="90"/>
      <c r="W555" s="136"/>
      <c r="X555" s="137"/>
    </row>
    <row r="556" spans="1:25">
      <c r="B556" s="87">
        <f t="shared" si="104"/>
        <v>5</v>
      </c>
      <c r="C556" s="295">
        <v>45937</v>
      </c>
      <c r="D556" s="10">
        <v>74140</v>
      </c>
      <c r="E556" s="10" t="s">
        <v>854</v>
      </c>
      <c r="F556" s="62">
        <v>5233</v>
      </c>
      <c r="G556" s="62">
        <v>39.700000000000003</v>
      </c>
      <c r="H556" s="62"/>
      <c r="I556" s="89">
        <f t="shared" si="103"/>
        <v>5193.3</v>
      </c>
      <c r="J556" s="63" t="s">
        <v>205</v>
      </c>
      <c r="K556" s="63">
        <v>1</v>
      </c>
      <c r="L556" s="63"/>
      <c r="M556" s="63"/>
      <c r="N556" s="63">
        <v>1</v>
      </c>
      <c r="O556" s="63"/>
      <c r="P556" s="63"/>
      <c r="Q556" s="63">
        <v>1</v>
      </c>
      <c r="R556" s="63">
        <v>1</v>
      </c>
      <c r="S556" s="296">
        <v>1</v>
      </c>
      <c r="T556" s="63"/>
      <c r="U556" s="10"/>
      <c r="V556" s="90"/>
      <c r="W556" s="136"/>
      <c r="X556" s="137"/>
    </row>
    <row r="557" spans="1:25">
      <c r="B557" s="87">
        <f>B556+1</f>
        <v>6</v>
      </c>
      <c r="C557" s="295">
        <v>45937</v>
      </c>
      <c r="D557" s="10">
        <v>74121</v>
      </c>
      <c r="E557" s="101" t="s">
        <v>845</v>
      </c>
      <c r="F557" s="62">
        <v>1297</v>
      </c>
      <c r="G557" s="62">
        <f>39.7</f>
        <v>39.700000000000003</v>
      </c>
      <c r="H557" s="62"/>
      <c r="I557" s="89">
        <f t="shared" si="103"/>
        <v>1257.3</v>
      </c>
      <c r="J557" s="63" t="s">
        <v>205</v>
      </c>
      <c r="K557" s="63">
        <v>1</v>
      </c>
      <c r="L557" s="63"/>
      <c r="M557" s="63"/>
      <c r="N557" s="63">
        <v>1</v>
      </c>
      <c r="O557" s="63"/>
      <c r="P557" s="63"/>
      <c r="Q557" s="63"/>
      <c r="R557" s="63"/>
      <c r="S557" s="296"/>
      <c r="T557" s="63"/>
      <c r="U557" s="10"/>
      <c r="V557" s="90"/>
      <c r="W557" s="136"/>
      <c r="X557" s="137"/>
    </row>
    <row r="558" spans="1:25">
      <c r="B558" s="87">
        <f t="shared" si="104"/>
        <v>7</v>
      </c>
      <c r="C558" s="295">
        <v>45937</v>
      </c>
      <c r="D558" s="10">
        <v>74143</v>
      </c>
      <c r="E558" s="101" t="s">
        <v>840</v>
      </c>
      <c r="F558" s="62">
        <v>0</v>
      </c>
      <c r="G558" s="62">
        <v>0</v>
      </c>
      <c r="H558" s="62"/>
      <c r="I558" s="89">
        <f t="shared" si="103"/>
        <v>0</v>
      </c>
      <c r="J558" s="63" t="s">
        <v>205</v>
      </c>
      <c r="K558" s="63"/>
      <c r="L558" s="63"/>
      <c r="M558" s="63"/>
      <c r="N558" s="63"/>
      <c r="O558" s="63"/>
      <c r="P558" s="63"/>
      <c r="Q558" s="63">
        <v>1</v>
      </c>
      <c r="R558" s="63">
        <v>1</v>
      </c>
      <c r="S558" s="296">
        <v>1</v>
      </c>
      <c r="T558" s="63"/>
      <c r="U558" s="10"/>
      <c r="V558" s="90"/>
      <c r="W558" s="136"/>
      <c r="X558" s="137"/>
    </row>
    <row r="559" spans="1:25">
      <c r="B559" s="87">
        <f t="shared" si="104"/>
        <v>8</v>
      </c>
      <c r="C559" s="295">
        <v>45937</v>
      </c>
      <c r="D559" s="10">
        <v>74149</v>
      </c>
      <c r="E559" s="101" t="s">
        <v>877</v>
      </c>
      <c r="F559" s="62">
        <v>0</v>
      </c>
      <c r="G559" s="62">
        <v>0</v>
      </c>
      <c r="H559" s="62"/>
      <c r="I559" s="89">
        <f t="shared" si="103"/>
        <v>0</v>
      </c>
      <c r="J559" s="63" t="s">
        <v>205</v>
      </c>
      <c r="K559" s="63">
        <v>1</v>
      </c>
      <c r="L559" s="63"/>
      <c r="M559" s="63"/>
      <c r="N559" s="63"/>
      <c r="O559" s="63"/>
      <c r="P559" s="63"/>
      <c r="Q559" s="63">
        <v>1</v>
      </c>
      <c r="R559" s="63">
        <v>1</v>
      </c>
      <c r="S559" s="296">
        <v>1</v>
      </c>
      <c r="T559" s="63"/>
      <c r="U559" s="10"/>
      <c r="V559" s="90"/>
      <c r="W559" s="136"/>
      <c r="X559" s="137"/>
    </row>
    <row r="560" spans="1:25">
      <c r="B560" s="87">
        <f t="shared" si="104"/>
        <v>9</v>
      </c>
      <c r="C560" s="274">
        <v>45938</v>
      </c>
      <c r="D560" s="276" t="s">
        <v>878</v>
      </c>
      <c r="E560" s="281" t="s">
        <v>879</v>
      </c>
      <c r="F560" s="277">
        <v>8614</v>
      </c>
      <c r="G560" s="277">
        <v>39.700000000000003</v>
      </c>
      <c r="H560" s="277"/>
      <c r="I560" s="278">
        <f t="shared" si="103"/>
        <v>8574.2999999999993</v>
      </c>
      <c r="J560" s="279" t="s">
        <v>205</v>
      </c>
      <c r="K560" s="279">
        <v>1</v>
      </c>
      <c r="L560" s="279"/>
      <c r="M560" s="279"/>
      <c r="N560" s="279">
        <v>1</v>
      </c>
      <c r="O560" s="279"/>
      <c r="P560" s="279">
        <v>1</v>
      </c>
      <c r="Q560" s="279"/>
      <c r="R560" s="279"/>
      <c r="S560" s="280"/>
      <c r="T560" s="63"/>
      <c r="U560" s="10"/>
      <c r="V560" s="90"/>
      <c r="W560" s="136"/>
      <c r="X560" s="137"/>
    </row>
    <row r="561" spans="1:24">
      <c r="B561" s="87">
        <f t="shared" si="104"/>
        <v>10</v>
      </c>
      <c r="C561" s="295">
        <v>45938</v>
      </c>
      <c r="D561" s="10" t="s">
        <v>880</v>
      </c>
      <c r="E561" s="101" t="s">
        <v>879</v>
      </c>
      <c r="F561" s="62">
        <v>6814</v>
      </c>
      <c r="G561" s="62">
        <v>39.700000000000003</v>
      </c>
      <c r="H561" s="62"/>
      <c r="I561" s="89">
        <f t="shared" si="103"/>
        <v>6774.3</v>
      </c>
      <c r="J561" s="63" t="s">
        <v>205</v>
      </c>
      <c r="K561" s="63">
        <v>1</v>
      </c>
      <c r="L561" s="63"/>
      <c r="M561" s="63"/>
      <c r="N561" s="63">
        <v>1</v>
      </c>
      <c r="O561" s="63"/>
      <c r="P561" s="63">
        <v>1</v>
      </c>
      <c r="Q561" s="63"/>
      <c r="R561" s="63"/>
      <c r="S561" s="296"/>
      <c r="T561" s="63"/>
      <c r="U561" s="10"/>
      <c r="V561" s="90"/>
      <c r="W561" s="136"/>
      <c r="X561" s="137"/>
    </row>
    <row r="562" spans="1:24">
      <c r="B562" s="87">
        <f t="shared" si="104"/>
        <v>11</v>
      </c>
      <c r="C562" s="295">
        <v>45938</v>
      </c>
      <c r="D562" s="10">
        <v>74191</v>
      </c>
      <c r="E562" s="101" t="s">
        <v>881</v>
      </c>
      <c r="F562" s="62">
        <v>5814</v>
      </c>
      <c r="G562" s="62">
        <v>39.700000000000003</v>
      </c>
      <c r="H562" s="62"/>
      <c r="I562" s="89">
        <f t="shared" si="103"/>
        <v>5774.3</v>
      </c>
      <c r="J562" s="63" t="s">
        <v>156</v>
      </c>
      <c r="K562" s="63">
        <v>1</v>
      </c>
      <c r="L562" s="63"/>
      <c r="M562" s="63">
        <v>1</v>
      </c>
      <c r="N562" s="63">
        <v>1</v>
      </c>
      <c r="O562" s="63"/>
      <c r="P562" s="63">
        <v>1</v>
      </c>
      <c r="Q562" s="63">
        <v>1</v>
      </c>
      <c r="R562" s="63">
        <v>1</v>
      </c>
      <c r="S562" s="296">
        <v>1</v>
      </c>
      <c r="T562" s="63"/>
      <c r="U562" s="10"/>
      <c r="V562" s="90">
        <v>93.5</v>
      </c>
      <c r="W562" s="136"/>
      <c r="X562" s="137"/>
    </row>
    <row r="563" spans="1:24">
      <c r="B563" s="87">
        <f t="shared" si="104"/>
        <v>12</v>
      </c>
      <c r="C563" s="295">
        <v>45938</v>
      </c>
      <c r="D563" s="10">
        <v>74151</v>
      </c>
      <c r="E563" s="101" t="s">
        <v>849</v>
      </c>
      <c r="F563" s="62">
        <v>0</v>
      </c>
      <c r="G563" s="62">
        <v>0</v>
      </c>
      <c r="H563" s="62"/>
      <c r="I563" s="89">
        <f t="shared" si="103"/>
        <v>0</v>
      </c>
      <c r="J563" s="63" t="s">
        <v>205</v>
      </c>
      <c r="K563" s="63"/>
      <c r="L563" s="63"/>
      <c r="M563" s="63"/>
      <c r="N563" s="63"/>
      <c r="O563" s="63"/>
      <c r="P563" s="63"/>
      <c r="Q563" s="63">
        <v>1</v>
      </c>
      <c r="R563" s="63">
        <v>1</v>
      </c>
      <c r="S563" s="296">
        <v>1</v>
      </c>
      <c r="T563" s="63"/>
      <c r="U563" s="10"/>
      <c r="V563" s="90"/>
      <c r="W563" s="136"/>
      <c r="X563" s="137"/>
    </row>
    <row r="564" spans="1:24">
      <c r="B564" s="87">
        <f t="shared" si="104"/>
        <v>13</v>
      </c>
      <c r="C564" s="274">
        <v>45939</v>
      </c>
      <c r="D564" s="276" t="s">
        <v>882</v>
      </c>
      <c r="E564" s="281" t="s">
        <v>865</v>
      </c>
      <c r="F564" s="277">
        <v>8641</v>
      </c>
      <c r="G564" s="277">
        <v>39.700000000000003</v>
      </c>
      <c r="H564" s="277"/>
      <c r="I564" s="278">
        <f t="shared" si="103"/>
        <v>8601.2999999999993</v>
      </c>
      <c r="J564" s="279" t="s">
        <v>205</v>
      </c>
      <c r="K564" s="279">
        <v>1</v>
      </c>
      <c r="L564" s="279"/>
      <c r="M564" s="279"/>
      <c r="N564" s="279">
        <v>1</v>
      </c>
      <c r="O564" s="279"/>
      <c r="P564" s="279"/>
      <c r="Q564" s="279"/>
      <c r="R564" s="279"/>
      <c r="S564" s="280"/>
      <c r="T564" s="63"/>
      <c r="U564" s="10"/>
      <c r="V564" s="90"/>
      <c r="W564" s="136"/>
      <c r="X564" s="137"/>
    </row>
    <row r="565" spans="1:24">
      <c r="B565" s="87">
        <f t="shared" si="104"/>
        <v>14</v>
      </c>
      <c r="C565" s="295">
        <v>45939</v>
      </c>
      <c r="D565" s="10">
        <v>74239</v>
      </c>
      <c r="E565" s="10" t="s">
        <v>883</v>
      </c>
      <c r="F565" s="62">
        <v>681</v>
      </c>
      <c r="G565" s="62"/>
      <c r="H565" s="62"/>
      <c r="I565" s="89">
        <f t="shared" si="103"/>
        <v>681</v>
      </c>
      <c r="J565" s="63" t="s">
        <v>205</v>
      </c>
      <c r="K565" s="63">
        <v>1</v>
      </c>
      <c r="L565" s="63"/>
      <c r="M565" s="63"/>
      <c r="N565" s="63">
        <v>1</v>
      </c>
      <c r="O565" s="63"/>
      <c r="P565" s="63"/>
      <c r="Q565" s="63">
        <v>1</v>
      </c>
      <c r="R565" s="63">
        <v>1</v>
      </c>
      <c r="S565" s="296">
        <v>1</v>
      </c>
      <c r="T565" s="63"/>
      <c r="U565" s="10"/>
      <c r="V565" s="90"/>
      <c r="W565" s="136"/>
      <c r="X565" s="137"/>
    </row>
    <row r="566" spans="1:24">
      <c r="B566" s="87">
        <f t="shared" si="104"/>
        <v>15</v>
      </c>
      <c r="C566" s="295">
        <v>45939</v>
      </c>
      <c r="D566" s="10">
        <v>74244</v>
      </c>
      <c r="E566" s="10" t="s">
        <v>840</v>
      </c>
      <c r="F566" s="62">
        <v>1264</v>
      </c>
      <c r="G566" s="62">
        <v>39.700000000000003</v>
      </c>
      <c r="H566" s="62"/>
      <c r="I566" s="89">
        <f t="shared" si="103"/>
        <v>1224.3</v>
      </c>
      <c r="J566" s="63" t="s">
        <v>205</v>
      </c>
      <c r="K566" s="63">
        <v>1</v>
      </c>
      <c r="L566" s="63"/>
      <c r="M566" s="63"/>
      <c r="N566" s="63">
        <v>1</v>
      </c>
      <c r="O566" s="63"/>
      <c r="P566" s="63"/>
      <c r="Q566" s="63">
        <v>1</v>
      </c>
      <c r="R566" s="63">
        <v>1</v>
      </c>
      <c r="S566" s="296">
        <v>1</v>
      </c>
      <c r="T566" s="63"/>
      <c r="U566" s="10"/>
      <c r="V566" s="90"/>
      <c r="W566" s="136"/>
      <c r="X566" s="137"/>
    </row>
    <row r="567" spans="1:24">
      <c r="B567" s="87">
        <f t="shared" si="104"/>
        <v>16</v>
      </c>
      <c r="C567" s="295">
        <v>45939</v>
      </c>
      <c r="D567" s="10" t="s">
        <v>884</v>
      </c>
      <c r="E567" s="10" t="s">
        <v>643</v>
      </c>
      <c r="F567" s="62">
        <v>6133</v>
      </c>
      <c r="G567" s="62">
        <v>39.700000000000003</v>
      </c>
      <c r="H567" s="62"/>
      <c r="I567" s="89">
        <f t="shared" si="103"/>
        <v>6093.3</v>
      </c>
      <c r="J567" s="63" t="s">
        <v>205</v>
      </c>
      <c r="K567" s="63">
        <v>1</v>
      </c>
      <c r="L567" s="63"/>
      <c r="M567" s="63"/>
      <c r="N567" s="63">
        <v>1</v>
      </c>
      <c r="O567" s="63"/>
      <c r="P567" s="63"/>
      <c r="Q567" s="63"/>
      <c r="R567" s="63"/>
      <c r="S567" s="296"/>
      <c r="T567" s="63"/>
      <c r="U567" s="10"/>
      <c r="V567" s="90"/>
      <c r="W567" s="136"/>
      <c r="X567" s="137"/>
    </row>
    <row r="568" spans="1:24">
      <c r="B568" s="87">
        <f>B567+1</f>
        <v>17</v>
      </c>
      <c r="C568" s="295">
        <v>45939</v>
      </c>
      <c r="D568" s="10">
        <v>74260</v>
      </c>
      <c r="E568" s="10" t="s">
        <v>563</v>
      </c>
      <c r="F568" s="62">
        <v>5814</v>
      </c>
      <c r="G568" s="62">
        <v>39.700000000000003</v>
      </c>
      <c r="H568" s="62"/>
      <c r="I568" s="89">
        <f t="shared" si="103"/>
        <v>5774.3</v>
      </c>
      <c r="J568" s="63" t="s">
        <v>205</v>
      </c>
      <c r="K568" s="63">
        <v>1</v>
      </c>
      <c r="L568" s="63"/>
      <c r="M568" s="63"/>
      <c r="N568" s="63">
        <v>1</v>
      </c>
      <c r="O568" s="63"/>
      <c r="P568" s="63"/>
      <c r="Q568" s="63">
        <v>1</v>
      </c>
      <c r="R568" s="63">
        <v>1</v>
      </c>
      <c r="S568" s="296">
        <v>1</v>
      </c>
      <c r="T568" s="63"/>
      <c r="U568" s="10"/>
      <c r="V568" s="90"/>
      <c r="W568" s="136"/>
      <c r="X568" s="137"/>
    </row>
    <row r="569" spans="1:24">
      <c r="B569" s="87">
        <f>B568+1</f>
        <v>18</v>
      </c>
      <c r="C569" s="274">
        <v>45940</v>
      </c>
      <c r="D569" s="276">
        <v>74038</v>
      </c>
      <c r="E569" s="276" t="s">
        <v>849</v>
      </c>
      <c r="F569" s="277">
        <v>2861</v>
      </c>
      <c r="G569" s="277">
        <v>39.700000000000003</v>
      </c>
      <c r="H569" s="277"/>
      <c r="I569" s="278">
        <f t="shared" si="103"/>
        <v>2821.3</v>
      </c>
      <c r="J569" s="279" t="s">
        <v>205</v>
      </c>
      <c r="K569" s="279">
        <v>1</v>
      </c>
      <c r="L569" s="279"/>
      <c r="M569" s="279"/>
      <c r="N569" s="279">
        <v>1</v>
      </c>
      <c r="O569" s="279"/>
      <c r="P569" s="279"/>
      <c r="Q569" s="279">
        <v>1</v>
      </c>
      <c r="R569" s="279">
        <v>1</v>
      </c>
      <c r="S569" s="280">
        <v>1</v>
      </c>
      <c r="T569" s="63"/>
      <c r="U569" s="10"/>
      <c r="V569" s="90"/>
      <c r="W569" s="136"/>
      <c r="X569" s="137"/>
    </row>
    <row r="570" spans="1:24">
      <c r="B570" s="87">
        <f>B569+1</f>
        <v>19</v>
      </c>
      <c r="C570" s="282">
        <v>45940</v>
      </c>
      <c r="D570" s="283">
        <v>74305</v>
      </c>
      <c r="E570" s="283" t="s">
        <v>428</v>
      </c>
      <c r="F570" s="284">
        <v>0</v>
      </c>
      <c r="G570" s="284">
        <v>0</v>
      </c>
      <c r="H570" s="284"/>
      <c r="I570" s="285">
        <f t="shared" si="103"/>
        <v>0</v>
      </c>
      <c r="J570" s="286" t="s">
        <v>205</v>
      </c>
      <c r="K570" s="286"/>
      <c r="L570" s="286"/>
      <c r="M570" s="286"/>
      <c r="N570" s="286"/>
      <c r="O570" s="286"/>
      <c r="P570" s="286"/>
      <c r="Q570" s="286"/>
      <c r="R570" s="286"/>
      <c r="S570" s="287"/>
      <c r="T570" s="63"/>
      <c r="U570" s="10"/>
      <c r="V570" s="90"/>
      <c r="W570" s="136"/>
      <c r="X570" s="137"/>
    </row>
    <row r="571" spans="1:24">
      <c r="B571" s="11"/>
      <c r="C571" s="36"/>
      <c r="D571" s="10"/>
      <c r="E571" s="10"/>
      <c r="F571" s="97">
        <f>SUM(F552:F570)</f>
        <v>72023</v>
      </c>
      <c r="G571" s="97">
        <f>SUM(G552:G570)</f>
        <v>555.79999999999995</v>
      </c>
      <c r="H571" s="97">
        <f>SUM(H552:H570)</f>
        <v>0</v>
      </c>
      <c r="I571" s="98">
        <f>SUM(I552:I570)</f>
        <v>71467.200000000012</v>
      </c>
      <c r="J571" s="10"/>
      <c r="K571" s="10"/>
      <c r="L571" s="10"/>
      <c r="M571" s="10"/>
      <c r="N571" s="10"/>
      <c r="O571" s="10"/>
      <c r="P571" s="10"/>
      <c r="Q571" s="10"/>
      <c r="R571" s="10"/>
      <c r="S571" s="10"/>
      <c r="T571" s="63"/>
      <c r="U571" s="10"/>
      <c r="V571" s="138"/>
      <c r="W571" s="136"/>
      <c r="X571" s="137"/>
    </row>
    <row r="572" spans="1:24">
      <c r="B572" s="26"/>
      <c r="C572" s="612"/>
      <c r="D572" s="141"/>
      <c r="E572" s="141"/>
      <c r="F572" s="141"/>
      <c r="G572" s="141"/>
      <c r="H572" s="141"/>
      <c r="I572" s="141"/>
      <c r="J572" s="141"/>
      <c r="K572" s="142"/>
      <c r="L572" s="142"/>
      <c r="M572" s="142"/>
      <c r="N572" s="142"/>
      <c r="O572" s="142"/>
      <c r="P572" s="142"/>
      <c r="Q572" s="142"/>
      <c r="R572" s="142"/>
      <c r="S572" s="142"/>
      <c r="T572" s="143">
        <f>SUM(T516:T571)</f>
        <v>0</v>
      </c>
      <c r="U572" s="141"/>
      <c r="V572" s="144">
        <f>SUM(V516:V571)</f>
        <v>24650.25</v>
      </c>
      <c r="W572" s="144">
        <f t="shared" ref="W572:X572" si="105">SUM(W516:W571)</f>
        <v>5750</v>
      </c>
      <c r="X572" s="144">
        <f t="shared" si="105"/>
        <v>0</v>
      </c>
    </row>
    <row r="573" spans="1:24">
      <c r="B573" s="10"/>
      <c r="C573" s="36"/>
      <c r="D573" s="10"/>
      <c r="E573" s="10"/>
      <c r="F573" s="10"/>
      <c r="G573" s="10"/>
      <c r="H573" s="10"/>
      <c r="I573" s="10"/>
      <c r="J573" s="10"/>
      <c r="K573" s="147"/>
      <c r="L573" s="147"/>
      <c r="M573" s="147"/>
      <c r="N573" s="147"/>
      <c r="O573" s="147"/>
      <c r="P573" s="147"/>
      <c r="Q573" s="147"/>
      <c r="R573" s="147"/>
      <c r="S573" s="147"/>
      <c r="T573" s="21"/>
      <c r="U573" s="10"/>
      <c r="V573" s="99"/>
      <c r="W573" s="99"/>
      <c r="X573" s="99"/>
    </row>
    <row r="575" spans="1:24">
      <c r="A575" s="613"/>
      <c r="B575" s="4" t="s">
        <v>1</v>
      </c>
      <c r="C575" s="5"/>
      <c r="D575" s="6"/>
      <c r="E575" s="6"/>
      <c r="F575" s="7" t="s">
        <v>2</v>
      </c>
      <c r="G575" s="608">
        <v>45949</v>
      </c>
      <c r="H575" s="7"/>
      <c r="I575" s="6"/>
      <c r="J575" s="6"/>
      <c r="K575" s="6"/>
      <c r="L575" s="6"/>
      <c r="M575" s="6"/>
      <c r="N575" s="6"/>
      <c r="O575" s="6"/>
      <c r="P575" s="6"/>
      <c r="Q575" s="6"/>
      <c r="R575" s="6"/>
      <c r="S575" s="6"/>
      <c r="T575" s="6"/>
      <c r="U575" s="9"/>
      <c r="V575" s="10"/>
      <c r="W575" s="10"/>
      <c r="X575" s="10"/>
    </row>
    <row r="576" spans="1:24">
      <c r="A576" s="614"/>
      <c r="B576" s="11"/>
      <c r="C576" s="10"/>
      <c r="D576" s="10"/>
      <c r="E576" s="10"/>
      <c r="F576" s="10"/>
      <c r="G576" s="7"/>
      <c r="H576" s="12"/>
      <c r="I576" s="10"/>
      <c r="J576" s="10"/>
      <c r="K576" s="13" t="s">
        <v>3</v>
      </c>
      <c r="L576" s="14"/>
      <c r="M576" s="15"/>
      <c r="N576" s="13" t="s">
        <v>4</v>
      </c>
      <c r="O576" s="14"/>
      <c r="P576" s="15"/>
      <c r="Q576" s="13" t="s">
        <v>5</v>
      </c>
      <c r="R576" s="14"/>
      <c r="S576" s="15"/>
      <c r="T576" s="16"/>
      <c r="U576" s="17"/>
      <c r="V576" s="10"/>
      <c r="W576" s="10"/>
      <c r="X576" s="10"/>
    </row>
    <row r="577" spans="1:24">
      <c r="A577" s="614"/>
      <c r="B577" s="18" t="s">
        <v>6</v>
      </c>
      <c r="C577" s="19">
        <f>C578+C579</f>
        <v>31</v>
      </c>
      <c r="D577" s="10"/>
      <c r="E577" s="18" t="s">
        <v>7</v>
      </c>
      <c r="F577" s="6"/>
      <c r="G577" s="9"/>
      <c r="H577" s="10"/>
      <c r="I577" s="10"/>
      <c r="J577" s="10"/>
      <c r="K577" s="20" t="s">
        <v>8</v>
      </c>
      <c r="L577" s="21" t="s">
        <v>9</v>
      </c>
      <c r="M577" s="21" t="s">
        <v>10</v>
      </c>
      <c r="N577" s="20" t="s">
        <v>11</v>
      </c>
      <c r="O577" s="21" t="s">
        <v>12</v>
      </c>
      <c r="P577" s="22" t="s">
        <v>13</v>
      </c>
      <c r="Q577" s="21" t="s">
        <v>11</v>
      </c>
      <c r="R577" s="21" t="s">
        <v>12</v>
      </c>
      <c r="S577" s="22" t="s">
        <v>13</v>
      </c>
      <c r="T577" s="23" t="s">
        <v>14</v>
      </c>
      <c r="U577" s="17"/>
      <c r="V577" s="10"/>
      <c r="W577" s="10"/>
      <c r="X577" s="10"/>
    </row>
    <row r="578" spans="1:24">
      <c r="A578" s="614"/>
      <c r="B578" s="24" t="s">
        <v>15</v>
      </c>
      <c r="C578" s="25">
        <f>P585</f>
        <v>11</v>
      </c>
      <c r="D578" s="10"/>
      <c r="E578" s="26" t="s">
        <v>16</v>
      </c>
      <c r="F578" s="27">
        <v>0.05</v>
      </c>
      <c r="G578" s="28"/>
      <c r="H578" s="10"/>
      <c r="I578" s="10"/>
      <c r="J578" s="18" t="s">
        <v>17</v>
      </c>
      <c r="K578" s="29">
        <f>K611</f>
        <v>8</v>
      </c>
      <c r="L578" s="29">
        <f>L611</f>
        <v>7</v>
      </c>
      <c r="M578" s="29">
        <f>M611</f>
        <v>8</v>
      </c>
      <c r="N578" s="29">
        <f>N611</f>
        <v>8</v>
      </c>
      <c r="O578" s="29">
        <f>O611</f>
        <v>8</v>
      </c>
      <c r="P578" s="29">
        <f>P611</f>
        <v>7</v>
      </c>
      <c r="Q578" s="29">
        <f>Q611</f>
        <v>7</v>
      </c>
      <c r="R578" s="29">
        <f>R611</f>
        <v>7</v>
      </c>
      <c r="S578" s="29">
        <f>S611</f>
        <v>3</v>
      </c>
      <c r="T578" s="30">
        <f>T658</f>
        <v>2</v>
      </c>
      <c r="U578" s="17"/>
      <c r="V578" s="10"/>
      <c r="W578" s="10"/>
      <c r="X578" s="10"/>
    </row>
    <row r="579" spans="1:24">
      <c r="A579" s="614"/>
      <c r="B579" s="24" t="s">
        <v>18</v>
      </c>
      <c r="C579" s="25">
        <f>P586</f>
        <v>20</v>
      </c>
      <c r="D579" s="10"/>
      <c r="E579" s="10"/>
      <c r="F579" s="10"/>
      <c r="G579" s="31"/>
      <c r="H579" s="10"/>
      <c r="I579" s="10"/>
      <c r="J579" s="32" t="s">
        <v>19</v>
      </c>
      <c r="K579" s="33">
        <f>K611/K610</f>
        <v>1</v>
      </c>
      <c r="L579" s="33">
        <f>L611/L610</f>
        <v>0.875</v>
      </c>
      <c r="M579" s="33">
        <f>M611/M610</f>
        <v>1</v>
      </c>
      <c r="N579" s="33">
        <f>N611/N610</f>
        <v>1</v>
      </c>
      <c r="O579" s="33">
        <f>O611/O610</f>
        <v>1</v>
      </c>
      <c r="P579" s="33">
        <f>P611/P610</f>
        <v>0.875</v>
      </c>
      <c r="Q579" s="33">
        <f>Q611/Q610</f>
        <v>0.875</v>
      </c>
      <c r="R579" s="33">
        <f>R611/R610</f>
        <v>0.875</v>
      </c>
      <c r="S579" s="33">
        <f>S611/S610</f>
        <v>0.375</v>
      </c>
      <c r="T579" s="23">
        <v>2</v>
      </c>
      <c r="U579" s="17" t="s">
        <v>20</v>
      </c>
      <c r="V579" s="10"/>
      <c r="W579" s="10"/>
      <c r="X579" s="10"/>
    </row>
    <row r="580" spans="1:24">
      <c r="A580" s="614"/>
      <c r="B580" s="24" t="s">
        <v>21</v>
      </c>
      <c r="C580" s="34">
        <f>P587</f>
        <v>0.35483870967741937</v>
      </c>
      <c r="D580" s="10"/>
      <c r="E580" s="10"/>
      <c r="F580" s="10"/>
      <c r="G580" s="10"/>
      <c r="H580" s="10"/>
      <c r="I580" s="10"/>
      <c r="J580" s="10"/>
      <c r="K580" s="10"/>
      <c r="L580" s="10"/>
      <c r="M580" s="10"/>
      <c r="N580" s="10"/>
      <c r="O580" s="10"/>
      <c r="P580" s="10"/>
      <c r="Q580" s="10"/>
      <c r="R580" s="10"/>
      <c r="S580" s="10"/>
      <c r="T580" s="10"/>
      <c r="U580" s="17"/>
      <c r="V580" s="10"/>
      <c r="W580" s="10"/>
      <c r="X580" s="10"/>
    </row>
    <row r="581" spans="1:24">
      <c r="A581" s="614"/>
      <c r="B581" s="24"/>
      <c r="C581" s="25"/>
      <c r="D581" s="10"/>
      <c r="E581" s="10"/>
      <c r="F581" s="18" t="s">
        <v>22</v>
      </c>
      <c r="G581" s="19" t="s">
        <v>23</v>
      </c>
      <c r="H581" s="35" t="s">
        <v>24</v>
      </c>
      <c r="I581" s="10"/>
      <c r="J581" s="10"/>
      <c r="K581" s="36"/>
      <c r="L581" s="36"/>
      <c r="M581" s="36"/>
      <c r="N581" s="36"/>
      <c r="O581" s="36"/>
      <c r="P581" s="36"/>
      <c r="Q581" s="36"/>
      <c r="R581" s="10"/>
      <c r="S581" s="10"/>
      <c r="T581" s="10"/>
      <c r="U581" s="17"/>
      <c r="V581" s="10"/>
      <c r="W581" s="10"/>
      <c r="X581" s="10"/>
    </row>
    <row r="582" spans="1:24" ht="15.75" customHeight="1">
      <c r="A582" s="614"/>
      <c r="B582" s="32" t="s">
        <v>25</v>
      </c>
      <c r="C582" s="37">
        <f>P588</f>
        <v>2865.1781818181817</v>
      </c>
      <c r="D582" s="10"/>
      <c r="E582" s="18" t="s">
        <v>26</v>
      </c>
      <c r="F582" s="38">
        <f>P584</f>
        <v>31516.959999999999</v>
      </c>
      <c r="G582" s="39">
        <f>I610+I617</f>
        <v>31516.959999999999</v>
      </c>
      <c r="H582" s="767" t="s">
        <v>885</v>
      </c>
      <c r="I582" s="767"/>
      <c r="J582" s="767"/>
      <c r="K582" s="43" t="s">
        <v>27</v>
      </c>
      <c r="L582" s="44"/>
      <c r="M582" s="44"/>
      <c r="N582" s="44"/>
      <c r="O582" s="44"/>
      <c r="P582" s="44"/>
      <c r="Q582" s="45"/>
      <c r="R582" s="46" t="s">
        <v>28</v>
      </c>
      <c r="S582" s="47" t="s">
        <v>29</v>
      </c>
      <c r="T582" s="10"/>
      <c r="U582" s="17"/>
      <c r="V582" s="10"/>
      <c r="W582" s="10"/>
      <c r="X582" s="10"/>
    </row>
    <row r="583" spans="1:24">
      <c r="A583" s="614"/>
      <c r="B583" s="11"/>
      <c r="C583" s="10"/>
      <c r="D583" s="10"/>
      <c r="E583" s="24" t="s">
        <v>30</v>
      </c>
      <c r="F583" s="48">
        <f>F578</f>
        <v>0.05</v>
      </c>
      <c r="G583" s="17"/>
      <c r="H583" s="767"/>
      <c r="I583" s="767"/>
      <c r="J583" s="767"/>
      <c r="K583" s="20" t="s">
        <v>31</v>
      </c>
      <c r="L583" s="21" t="s">
        <v>32</v>
      </c>
      <c r="M583" s="21" t="s">
        <v>33</v>
      </c>
      <c r="N583" s="21" t="s">
        <v>34</v>
      </c>
      <c r="O583" s="21" t="s">
        <v>35</v>
      </c>
      <c r="P583" s="21" t="s">
        <v>36</v>
      </c>
      <c r="Q583" s="49" t="s">
        <v>37</v>
      </c>
      <c r="R583" s="50" t="s">
        <v>38</v>
      </c>
      <c r="S583" s="50" t="s">
        <v>38</v>
      </c>
      <c r="T583" s="10"/>
      <c r="U583" s="17"/>
      <c r="V583" s="10"/>
      <c r="W583" s="10"/>
      <c r="X583" s="10"/>
    </row>
    <row r="584" spans="1:24">
      <c r="A584" s="614"/>
      <c r="B584" s="11"/>
      <c r="C584" s="10"/>
      <c r="D584" s="10"/>
      <c r="E584" s="51" t="s">
        <v>39</v>
      </c>
      <c r="F584" s="52">
        <f>(F582-I614-I615-I616)*F583</f>
        <v>392.3725</v>
      </c>
      <c r="G584" s="53" t="s">
        <v>40</v>
      </c>
      <c r="H584" s="54">
        <f>F584/1.12</f>
        <v>350.33258928571428</v>
      </c>
      <c r="I584" s="570" t="s">
        <v>838</v>
      </c>
      <c r="J584" s="42"/>
      <c r="K584" s="56">
        <f>I602+I614+I615</f>
        <v>22929.21</v>
      </c>
      <c r="L584" s="57">
        <f>I603+I604</f>
        <v>2082.8000000000002</v>
      </c>
      <c r="M584" s="57">
        <f>I605</f>
        <v>2262.35</v>
      </c>
      <c r="N584" s="57">
        <f>I606+I607+I608+I616</f>
        <v>3781.6000000000004</v>
      </c>
      <c r="O584" s="57">
        <f>I609</f>
        <v>461</v>
      </c>
      <c r="P584" s="57">
        <f>SUM(K584:O584)</f>
        <v>31516.959999999999</v>
      </c>
      <c r="Q584" s="58">
        <v>0</v>
      </c>
      <c r="R584" s="59">
        <f>I617</f>
        <v>23669.51</v>
      </c>
      <c r="S584" s="59">
        <v>0</v>
      </c>
      <c r="T584" s="10"/>
      <c r="U584" s="17"/>
      <c r="V584" s="10"/>
      <c r="W584" s="10"/>
      <c r="X584" s="10"/>
    </row>
    <row r="585" spans="1:24">
      <c r="A585" s="614"/>
      <c r="B585" s="11"/>
      <c r="C585" s="10"/>
      <c r="D585" s="10"/>
      <c r="E585" s="24" t="s">
        <v>41</v>
      </c>
      <c r="F585" s="60">
        <f>Q584</f>
        <v>0</v>
      </c>
      <c r="G585" s="61" t="s">
        <v>40</v>
      </c>
      <c r="H585" s="62"/>
      <c r="I585" s="62"/>
      <c r="J585" s="10" t="s">
        <v>42</v>
      </c>
      <c r="K585" s="63">
        <v>3</v>
      </c>
      <c r="L585" s="63">
        <v>2</v>
      </c>
      <c r="M585" s="63">
        <v>1</v>
      </c>
      <c r="N585" s="63">
        <v>4</v>
      </c>
      <c r="O585" s="63">
        <v>1</v>
      </c>
      <c r="P585" s="21">
        <f>SUM(K585:O585)</f>
        <v>11</v>
      </c>
      <c r="Q585" s="64"/>
      <c r="R585" s="63"/>
      <c r="S585" s="10"/>
      <c r="T585" s="10"/>
      <c r="U585" s="17"/>
      <c r="V585" s="10"/>
      <c r="W585" s="10"/>
      <c r="X585" s="10"/>
    </row>
    <row r="586" spans="1:24">
      <c r="A586" s="614"/>
      <c r="B586" s="11"/>
      <c r="C586" s="10"/>
      <c r="D586" s="10"/>
      <c r="E586" s="51" t="s">
        <v>43</v>
      </c>
      <c r="F586" s="52">
        <f>F585*0.25</f>
        <v>0</v>
      </c>
      <c r="G586" s="53" t="s">
        <v>40</v>
      </c>
      <c r="H586" s="54">
        <f>F586/1.12</f>
        <v>0</v>
      </c>
      <c r="I586" s="10"/>
      <c r="J586" s="10" t="s">
        <v>44</v>
      </c>
      <c r="K586" s="63">
        <v>2</v>
      </c>
      <c r="L586" s="63">
        <v>6</v>
      </c>
      <c r="M586" s="63">
        <v>4</v>
      </c>
      <c r="N586" s="63">
        <v>4</v>
      </c>
      <c r="O586" s="63">
        <v>4</v>
      </c>
      <c r="P586" s="21">
        <f>SUM(K586:O586)</f>
        <v>20</v>
      </c>
      <c r="Q586" s="64"/>
      <c r="R586" s="63"/>
      <c r="S586" s="10"/>
      <c r="T586" s="10"/>
      <c r="U586" s="17"/>
      <c r="V586" s="10"/>
      <c r="W586" s="10"/>
      <c r="X586" s="10"/>
    </row>
    <row r="587" spans="1:24">
      <c r="A587" s="614"/>
      <c r="B587" s="11"/>
      <c r="C587" s="10"/>
      <c r="D587" s="10"/>
      <c r="E587" s="24" t="s">
        <v>45</v>
      </c>
      <c r="F587" s="60"/>
      <c r="G587" s="61" t="s">
        <v>40</v>
      </c>
      <c r="H587" s="62"/>
      <c r="I587" s="10"/>
      <c r="J587" s="10" t="s">
        <v>46</v>
      </c>
      <c r="K587" s="31">
        <f>K585/(K585+K586)</f>
        <v>0.6</v>
      </c>
      <c r="L587" s="31">
        <f>L585/(L585+L586)</f>
        <v>0.25</v>
      </c>
      <c r="M587" s="31">
        <f>M585/(M585+M586)</f>
        <v>0.2</v>
      </c>
      <c r="N587" s="31">
        <f>N585/(N585+N586)</f>
        <v>0.5</v>
      </c>
      <c r="O587" s="31">
        <f>O585/(O585+O586)</f>
        <v>0.2</v>
      </c>
      <c r="P587" s="31">
        <f>P585/(P585+P586)</f>
        <v>0.35483870967741937</v>
      </c>
      <c r="Q587" s="31" t="e">
        <f>Q585/(Q585+Q586)</f>
        <v>#DIV/0!</v>
      </c>
      <c r="R587" s="63"/>
      <c r="S587" s="10"/>
      <c r="T587" s="10"/>
      <c r="U587" s="17"/>
      <c r="V587" s="10"/>
      <c r="W587" s="10"/>
      <c r="X587" s="10"/>
    </row>
    <row r="588" spans="1:24">
      <c r="A588" s="614"/>
      <c r="B588" s="11"/>
      <c r="C588" s="10"/>
      <c r="D588" s="10"/>
      <c r="E588" s="51" t="s">
        <v>47</v>
      </c>
      <c r="F588" s="52">
        <f>F587*0.05</f>
        <v>0</v>
      </c>
      <c r="G588" s="65" t="s">
        <v>40</v>
      </c>
      <c r="H588" s="54">
        <f>F588/1.12</f>
        <v>0</v>
      </c>
      <c r="I588" s="42"/>
      <c r="J588" s="10" t="s">
        <v>48</v>
      </c>
      <c r="K588" s="66">
        <f>K584/K585</f>
        <v>7643.07</v>
      </c>
      <c r="L588" s="66">
        <f>L584/L585</f>
        <v>1041.4000000000001</v>
      </c>
      <c r="M588" s="66">
        <f>M584/M585</f>
        <v>2262.35</v>
      </c>
      <c r="N588" s="66">
        <f>N584/N585</f>
        <v>945.40000000000009</v>
      </c>
      <c r="O588" s="66">
        <f>O584/O585</f>
        <v>461</v>
      </c>
      <c r="P588" s="66">
        <f>P584/P585</f>
        <v>2865.1781818181817</v>
      </c>
      <c r="Q588" s="66" t="e">
        <f>Q584/Q585</f>
        <v>#DIV/0!</v>
      </c>
      <c r="R588" s="63"/>
      <c r="S588" s="10"/>
      <c r="T588" s="10"/>
      <c r="U588" s="17"/>
      <c r="V588" s="10"/>
      <c r="W588" s="10"/>
      <c r="X588" s="10"/>
    </row>
    <row r="589" spans="1:24">
      <c r="A589" s="614"/>
      <c r="B589" s="11"/>
      <c r="C589" s="10"/>
      <c r="D589" s="10"/>
      <c r="E589" s="67" t="s">
        <v>14</v>
      </c>
      <c r="F589" s="68">
        <f>5*50</f>
        <v>250</v>
      </c>
      <c r="G589" s="10"/>
      <c r="H589" s="54">
        <f>F589/1.12</f>
        <v>223.21428571428569</v>
      </c>
      <c r="I589" s="10"/>
      <c r="J589" s="10"/>
      <c r="K589" s="10"/>
      <c r="L589" s="10"/>
      <c r="M589" s="10"/>
      <c r="N589" s="10"/>
      <c r="O589" s="10"/>
      <c r="P589" s="10"/>
      <c r="Q589" s="10"/>
      <c r="R589" s="10"/>
      <c r="S589" s="10"/>
      <c r="T589" s="10"/>
      <c r="U589" s="17"/>
      <c r="V589" s="10"/>
      <c r="W589" s="10"/>
      <c r="X589" s="10"/>
    </row>
    <row r="590" spans="1:24">
      <c r="A590" s="614"/>
      <c r="B590" s="11"/>
      <c r="C590" s="10"/>
      <c r="D590" s="10"/>
      <c r="E590" s="155" t="s">
        <v>49</v>
      </c>
      <c r="F590" s="364">
        <f>T579</f>
        <v>2</v>
      </c>
      <c r="G590" s="10"/>
      <c r="H590" s="54"/>
      <c r="I590" s="55"/>
      <c r="J590" s="42"/>
      <c r="K590" s="764" t="s">
        <v>50</v>
      </c>
      <c r="L590" s="764"/>
      <c r="M590" s="764"/>
      <c r="N590" s="764"/>
      <c r="O590" s="764"/>
      <c r="P590" s="764"/>
      <c r="Q590" s="764"/>
      <c r="R590" s="70" t="s">
        <v>28</v>
      </c>
      <c r="S590" s="71" t="s">
        <v>29</v>
      </c>
      <c r="T590" s="10"/>
      <c r="U590" s="17"/>
      <c r="V590" s="10"/>
      <c r="W590" s="10"/>
      <c r="X590" s="10"/>
    </row>
    <row r="591" spans="1:24">
      <c r="A591" s="614"/>
      <c r="B591" s="11"/>
      <c r="C591" s="10"/>
      <c r="D591" s="10"/>
      <c r="E591" s="12"/>
      <c r="F591" s="76"/>
      <c r="G591" s="10"/>
      <c r="H591" s="10"/>
      <c r="I591" s="10"/>
      <c r="J591" s="42"/>
      <c r="K591" s="20" t="s">
        <v>31</v>
      </c>
      <c r="L591" s="21" t="s">
        <v>32</v>
      </c>
      <c r="M591" s="21" t="s">
        <v>33</v>
      </c>
      <c r="N591" s="21" t="s">
        <v>34</v>
      </c>
      <c r="O591" s="21" t="s">
        <v>35</v>
      </c>
      <c r="P591" s="21" t="s">
        <v>36</v>
      </c>
      <c r="Q591" s="49" t="s">
        <v>37</v>
      </c>
      <c r="R591" s="50" t="s">
        <v>38</v>
      </c>
      <c r="S591" s="50" t="s">
        <v>38</v>
      </c>
      <c r="T591" s="10"/>
      <c r="U591" s="17"/>
      <c r="V591" s="10"/>
      <c r="W591" s="10"/>
      <c r="X591" s="10"/>
    </row>
    <row r="592" spans="1:24">
      <c r="A592" s="614"/>
      <c r="B592" s="11"/>
      <c r="C592" s="10"/>
      <c r="D592" s="10"/>
      <c r="E592" s="10"/>
      <c r="F592" s="10"/>
      <c r="G592" s="10"/>
      <c r="H592" s="10"/>
      <c r="I592" s="10"/>
      <c r="J592" s="42"/>
      <c r="K592" s="56">
        <f>F602+F614+F615</f>
        <v>25556</v>
      </c>
      <c r="L592" s="57">
        <f>F603+F604</f>
        <v>2162.1999999999998</v>
      </c>
      <c r="M592" s="57">
        <f>F605</f>
        <v>2533</v>
      </c>
      <c r="N592" s="57">
        <f>F606+F607+F608+F616</f>
        <v>3861</v>
      </c>
      <c r="O592" s="57">
        <f>F609</f>
        <v>461</v>
      </c>
      <c r="P592" s="57">
        <f>SUM(K592:O592)</f>
        <v>34573.199999999997</v>
      </c>
      <c r="Q592" s="58">
        <v>0</v>
      </c>
      <c r="R592" s="59">
        <f>F617</f>
        <v>26336</v>
      </c>
      <c r="S592" s="59">
        <v>0</v>
      </c>
      <c r="T592" s="10"/>
      <c r="U592" s="17"/>
      <c r="V592" s="10"/>
      <c r="W592" s="10"/>
      <c r="X592" s="10"/>
    </row>
    <row r="593" spans="1:24">
      <c r="A593" s="614"/>
      <c r="B593" s="11"/>
      <c r="C593" s="10"/>
      <c r="D593" s="10"/>
      <c r="E593" s="10"/>
      <c r="F593" s="10"/>
      <c r="G593" s="10"/>
      <c r="H593" s="10"/>
      <c r="I593" s="10"/>
      <c r="J593" s="10" t="s">
        <v>42</v>
      </c>
      <c r="K593" s="63">
        <f>K585</f>
        <v>3</v>
      </c>
      <c r="L593" s="63">
        <f>L585</f>
        <v>2</v>
      </c>
      <c r="M593" s="63">
        <f>M585</f>
        <v>1</v>
      </c>
      <c r="N593" s="63">
        <f>N585</f>
        <v>4</v>
      </c>
      <c r="O593" s="63">
        <f>O585</f>
        <v>1</v>
      </c>
      <c r="P593" s="63">
        <f>P585</f>
        <v>11</v>
      </c>
      <c r="Q593" s="63">
        <f>Q585</f>
        <v>0</v>
      </c>
      <c r="R593" s="63"/>
      <c r="S593" s="10"/>
      <c r="T593" s="10"/>
      <c r="U593" s="17"/>
      <c r="V593" s="10"/>
      <c r="W593" s="10"/>
      <c r="X593" s="10"/>
    </row>
    <row r="594" spans="1:24">
      <c r="A594" s="614"/>
      <c r="B594" s="11"/>
      <c r="C594" s="10"/>
      <c r="D594" s="10"/>
      <c r="E594" s="10"/>
      <c r="F594" s="10"/>
      <c r="G594" s="10"/>
      <c r="H594" s="10"/>
      <c r="I594" s="10"/>
      <c r="J594" s="10" t="s">
        <v>44</v>
      </c>
      <c r="K594" s="63">
        <f>K586</f>
        <v>2</v>
      </c>
      <c r="L594" s="63">
        <f>L586</f>
        <v>6</v>
      </c>
      <c r="M594" s="63">
        <f>M586</f>
        <v>4</v>
      </c>
      <c r="N594" s="63">
        <f>N586</f>
        <v>4</v>
      </c>
      <c r="O594" s="63">
        <f>O586</f>
        <v>4</v>
      </c>
      <c r="P594" s="63">
        <f>P586</f>
        <v>20</v>
      </c>
      <c r="Q594" s="63">
        <f>Q586</f>
        <v>0</v>
      </c>
      <c r="R594" s="63"/>
      <c r="S594" s="10"/>
      <c r="T594" s="10"/>
      <c r="U594" s="17"/>
      <c r="V594" s="10"/>
      <c r="W594" s="10"/>
      <c r="X594" s="10"/>
    </row>
    <row r="595" spans="1:24">
      <c r="A595" s="614"/>
      <c r="B595" s="11"/>
      <c r="C595" s="10"/>
      <c r="D595" s="10"/>
      <c r="E595" s="12"/>
      <c r="F595" s="76"/>
      <c r="G595" s="10"/>
      <c r="H595" s="10"/>
      <c r="I595" s="10"/>
      <c r="J595" s="10" t="s">
        <v>46</v>
      </c>
      <c r="K595" s="31">
        <f>K593/(K593+K594)</f>
        <v>0.6</v>
      </c>
      <c r="L595" s="31">
        <f>L593/(L593+L594)</f>
        <v>0.25</v>
      </c>
      <c r="M595" s="31">
        <f>M593/(M593+M594)</f>
        <v>0.2</v>
      </c>
      <c r="N595" s="31">
        <f>N593/(N593+N594)</f>
        <v>0.5</v>
      </c>
      <c r="O595" s="31">
        <f>O593/(O593+O594)</f>
        <v>0.2</v>
      </c>
      <c r="P595" s="31">
        <f>P593/(P593+P594)</f>
        <v>0.35483870967741937</v>
      </c>
      <c r="Q595" s="31" t="e">
        <f>Q593/(Q593+Q594)</f>
        <v>#DIV/0!</v>
      </c>
      <c r="R595" s="63"/>
      <c r="S595" s="10"/>
      <c r="T595" s="10"/>
      <c r="U595" s="17"/>
      <c r="V595" s="10"/>
      <c r="W595" s="10"/>
      <c r="X595" s="10"/>
    </row>
    <row r="596" spans="1:24">
      <c r="A596" s="614"/>
      <c r="B596" s="11"/>
      <c r="C596" s="10"/>
      <c r="D596" s="10"/>
      <c r="E596" s="10"/>
      <c r="F596" s="10"/>
      <c r="G596" s="10"/>
      <c r="H596" s="10"/>
      <c r="I596" s="10"/>
      <c r="J596" s="10" t="s">
        <v>48</v>
      </c>
      <c r="K596" s="66">
        <f>K592/K593</f>
        <v>8518.6666666666661</v>
      </c>
      <c r="L596" s="66">
        <f>L592/L593</f>
        <v>1081.0999999999999</v>
      </c>
      <c r="M596" s="66">
        <f>M592/M593</f>
        <v>2533</v>
      </c>
      <c r="N596" s="66">
        <f>N592/N593</f>
        <v>965.25</v>
      </c>
      <c r="O596" s="66">
        <f>O592/O593</f>
        <v>461</v>
      </c>
      <c r="P596" s="66">
        <f>P592/P593</f>
        <v>3143.0181818181813</v>
      </c>
      <c r="Q596" s="66" t="e">
        <f>Q592/Q593</f>
        <v>#DIV/0!</v>
      </c>
      <c r="R596" s="63"/>
      <c r="S596" s="10"/>
      <c r="T596" s="10"/>
      <c r="U596" s="17"/>
      <c r="V596" s="10"/>
      <c r="W596" s="10"/>
      <c r="X596" s="10"/>
    </row>
    <row r="597" spans="1:24">
      <c r="A597" s="614"/>
      <c r="B597" s="11"/>
      <c r="C597" s="10"/>
      <c r="D597" s="10"/>
      <c r="E597" s="10"/>
      <c r="F597" s="10"/>
      <c r="G597" s="10"/>
      <c r="H597" s="10"/>
      <c r="I597" s="10"/>
      <c r="J597" s="10"/>
      <c r="K597" s="10"/>
      <c r="L597" s="10"/>
      <c r="M597" s="10"/>
      <c r="N597" s="10"/>
      <c r="O597" s="10"/>
      <c r="P597" s="10"/>
      <c r="Q597" s="10"/>
      <c r="R597" s="10"/>
      <c r="S597" s="10"/>
      <c r="T597" s="10"/>
      <c r="U597" s="17"/>
      <c r="V597" s="10"/>
      <c r="W597" s="10"/>
      <c r="X597" s="10"/>
    </row>
    <row r="598" spans="1:24">
      <c r="A598" s="614"/>
      <c r="B598" s="11"/>
      <c r="C598" s="10"/>
      <c r="D598" s="10"/>
      <c r="E598" s="10"/>
      <c r="F598" s="10"/>
      <c r="G598" s="10"/>
      <c r="H598" s="10"/>
      <c r="I598" s="10"/>
      <c r="J598" s="10"/>
      <c r="K598" s="10"/>
      <c r="L598" s="10"/>
      <c r="M598" s="10"/>
      <c r="N598" s="10"/>
      <c r="O598" s="10"/>
      <c r="P598" s="10"/>
      <c r="Q598" s="10"/>
      <c r="R598" s="10"/>
      <c r="S598" s="10"/>
      <c r="T598" s="10"/>
      <c r="U598" s="17"/>
      <c r="V598" s="10"/>
      <c r="W598" s="10"/>
      <c r="X598" s="10"/>
    </row>
    <row r="599" spans="1:24">
      <c r="A599" s="614"/>
      <c r="B599" s="18" t="s">
        <v>51</v>
      </c>
      <c r="C599" s="14"/>
      <c r="D599" s="14"/>
      <c r="E599" s="14"/>
      <c r="F599" s="13" t="s">
        <v>52</v>
      </c>
      <c r="G599" s="14"/>
      <c r="H599" s="14"/>
      <c r="I599" s="14"/>
      <c r="J599" s="14"/>
      <c r="K599" s="13" t="s">
        <v>3</v>
      </c>
      <c r="L599" s="14"/>
      <c r="M599" s="14"/>
      <c r="N599" s="13" t="s">
        <v>4</v>
      </c>
      <c r="O599" s="14"/>
      <c r="P599" s="14"/>
      <c r="Q599" s="13" t="s">
        <v>5</v>
      </c>
      <c r="R599" s="14"/>
      <c r="S599" s="14"/>
      <c r="T599" s="18"/>
      <c r="U599" s="16" t="s">
        <v>53</v>
      </c>
      <c r="V599" s="77"/>
      <c r="W599" s="77"/>
      <c r="X599" s="77"/>
    </row>
    <row r="600" spans="1:24">
      <c r="A600" s="614"/>
      <c r="B600" s="24" t="s">
        <v>54</v>
      </c>
      <c r="C600" s="21" t="s">
        <v>55</v>
      </c>
      <c r="D600" s="21" t="s">
        <v>56</v>
      </c>
      <c r="E600" s="21" t="s">
        <v>57</v>
      </c>
      <c r="F600" s="20" t="s">
        <v>58</v>
      </c>
      <c r="G600" s="21" t="s">
        <v>59</v>
      </c>
      <c r="H600" s="21" t="s">
        <v>60</v>
      </c>
      <c r="I600" s="21" t="s">
        <v>26</v>
      </c>
      <c r="J600" s="22" t="s">
        <v>61</v>
      </c>
      <c r="K600" s="21" t="s">
        <v>8</v>
      </c>
      <c r="L600" s="21" t="s">
        <v>9</v>
      </c>
      <c r="M600" s="21" t="s">
        <v>10</v>
      </c>
      <c r="N600" s="20" t="s">
        <v>11</v>
      </c>
      <c r="O600" s="21" t="s">
        <v>12</v>
      </c>
      <c r="P600" s="22" t="s">
        <v>13</v>
      </c>
      <c r="Q600" s="21" t="s">
        <v>11</v>
      </c>
      <c r="R600" s="21" t="s">
        <v>12</v>
      </c>
      <c r="S600" s="21" t="s">
        <v>13</v>
      </c>
      <c r="T600" s="78" t="s">
        <v>14</v>
      </c>
      <c r="U600" s="30"/>
      <c r="V600" s="79" t="s">
        <v>62</v>
      </c>
      <c r="W600" s="80" t="s">
        <v>63</v>
      </c>
      <c r="X600" s="81" t="s">
        <v>64</v>
      </c>
    </row>
    <row r="601" spans="1:24">
      <c r="A601" s="614"/>
      <c r="B601" s="4" t="s">
        <v>65</v>
      </c>
      <c r="C601" s="6"/>
      <c r="D601" s="6"/>
      <c r="E601" s="6"/>
      <c r="F601" s="6"/>
      <c r="G601" s="6"/>
      <c r="H601" s="6"/>
      <c r="I601" s="82"/>
      <c r="J601" s="6"/>
      <c r="K601" s="6"/>
      <c r="L601" s="6"/>
      <c r="M601" s="6"/>
      <c r="N601" s="6"/>
      <c r="O601" s="6"/>
      <c r="P601" s="6"/>
      <c r="Q601" s="6"/>
      <c r="R601" s="6"/>
      <c r="S601" s="6"/>
      <c r="T601" s="83"/>
      <c r="U601" s="6"/>
      <c r="V601" s="84"/>
      <c r="W601" s="85"/>
      <c r="X601" s="86"/>
    </row>
    <row r="602" spans="1:24">
      <c r="A602" s="614"/>
      <c r="B602" s="87">
        <v>1</v>
      </c>
      <c r="C602" s="274">
        <v>45943</v>
      </c>
      <c r="D602" s="276">
        <v>74373</v>
      </c>
      <c r="E602" s="276" t="s">
        <v>854</v>
      </c>
      <c r="F602" s="277">
        <v>681</v>
      </c>
      <c r="G602" s="277"/>
      <c r="H602" s="297"/>
      <c r="I602" s="321">
        <f>F602-G602-H602</f>
        <v>681</v>
      </c>
      <c r="J602" s="279" t="s">
        <v>156</v>
      </c>
      <c r="K602" s="279">
        <v>1</v>
      </c>
      <c r="L602" s="279">
        <v>1</v>
      </c>
      <c r="M602" s="279">
        <v>1</v>
      </c>
      <c r="N602" s="279">
        <v>1</v>
      </c>
      <c r="O602" s="279">
        <v>1</v>
      </c>
      <c r="P602" s="322">
        <v>0</v>
      </c>
      <c r="Q602" s="279">
        <v>1</v>
      </c>
      <c r="R602" s="279">
        <v>1</v>
      </c>
      <c r="S602" s="328">
        <v>0</v>
      </c>
      <c r="T602" s="63"/>
      <c r="U602" s="10"/>
      <c r="V602" s="90">
        <v>749.1</v>
      </c>
      <c r="W602" s="91"/>
      <c r="X602" s="92"/>
    </row>
    <row r="603" spans="1:24">
      <c r="A603" s="614"/>
      <c r="B603" s="87">
        <f>B602+1</f>
        <v>2</v>
      </c>
      <c r="C603" s="274">
        <v>45944</v>
      </c>
      <c r="D603" s="276">
        <v>74439</v>
      </c>
      <c r="E603" s="276" t="s">
        <v>886</v>
      </c>
      <c r="F603" s="277">
        <v>1024.2</v>
      </c>
      <c r="G603" s="277">
        <f>39.7</f>
        <v>39.700000000000003</v>
      </c>
      <c r="H603" s="277"/>
      <c r="I603" s="278">
        <f>F603-G603-H603</f>
        <v>984.5</v>
      </c>
      <c r="J603" s="279" t="s">
        <v>156</v>
      </c>
      <c r="K603" s="279">
        <v>1</v>
      </c>
      <c r="L603" s="279">
        <v>1</v>
      </c>
      <c r="M603" s="279">
        <v>1</v>
      </c>
      <c r="N603" s="279">
        <v>1</v>
      </c>
      <c r="O603" s="279">
        <v>1</v>
      </c>
      <c r="P603" s="279">
        <v>1</v>
      </c>
      <c r="Q603" s="279">
        <v>1</v>
      </c>
      <c r="R603" s="279">
        <v>1</v>
      </c>
      <c r="S603" s="280">
        <v>1</v>
      </c>
      <c r="T603" s="63"/>
      <c r="U603" s="10"/>
      <c r="V603" s="90">
        <v>1126.6199999999999</v>
      </c>
      <c r="W603" s="91"/>
      <c r="X603" s="92"/>
    </row>
    <row r="604" spans="1:24">
      <c r="A604" s="614"/>
      <c r="B604" s="87">
        <f>B603+1</f>
        <v>3</v>
      </c>
      <c r="C604" s="295">
        <v>45944</v>
      </c>
      <c r="D604" s="10">
        <v>74432</v>
      </c>
      <c r="E604" s="101" t="s">
        <v>887</v>
      </c>
      <c r="F604" s="62">
        <v>1138</v>
      </c>
      <c r="G604" s="62">
        <f>39.7</f>
        <v>39.700000000000003</v>
      </c>
      <c r="H604" s="62"/>
      <c r="I604" s="324">
        <f>F604-G604-H604</f>
        <v>1098.3</v>
      </c>
      <c r="J604" s="63" t="s">
        <v>374</v>
      </c>
      <c r="K604" s="63">
        <v>1</v>
      </c>
      <c r="L604" s="63">
        <v>1</v>
      </c>
      <c r="M604" s="63">
        <v>1</v>
      </c>
      <c r="N604" s="63">
        <v>1</v>
      </c>
      <c r="O604" s="63">
        <v>1</v>
      </c>
      <c r="P604" s="63">
        <v>1</v>
      </c>
      <c r="Q604" s="63">
        <v>1</v>
      </c>
      <c r="R604" s="63">
        <v>1</v>
      </c>
      <c r="S604" s="326">
        <v>0</v>
      </c>
      <c r="T604" s="63"/>
      <c r="U604" s="10" t="s">
        <v>888</v>
      </c>
      <c r="V604" s="90">
        <v>1251.8</v>
      </c>
      <c r="W604" s="91"/>
      <c r="X604" s="92"/>
    </row>
    <row r="605" spans="1:24">
      <c r="A605" s="614"/>
      <c r="B605" s="87">
        <f>B604+1</f>
        <v>4</v>
      </c>
      <c r="C605" s="262">
        <v>45945</v>
      </c>
      <c r="D605" s="750">
        <v>74506</v>
      </c>
      <c r="E605" s="264" t="s">
        <v>859</v>
      </c>
      <c r="F605" s="265">
        <v>2533</v>
      </c>
      <c r="G605" s="265">
        <f>39.7+(230.95)</f>
        <v>270.64999999999998</v>
      </c>
      <c r="H605" s="265"/>
      <c r="I605" s="266">
        <f>F605-G605-H605</f>
        <v>2262.35</v>
      </c>
      <c r="J605" s="267" t="s">
        <v>374</v>
      </c>
      <c r="K605" s="267">
        <v>1</v>
      </c>
      <c r="L605" s="267">
        <v>1</v>
      </c>
      <c r="M605" s="267">
        <v>1</v>
      </c>
      <c r="N605" s="267">
        <v>1</v>
      </c>
      <c r="O605" s="267">
        <v>1</v>
      </c>
      <c r="P605" s="267">
        <v>1</v>
      </c>
      <c r="Q605" s="267">
        <v>1</v>
      </c>
      <c r="R605" s="267">
        <v>1</v>
      </c>
      <c r="S605" s="366">
        <v>0</v>
      </c>
      <c r="T605" s="94" t="s">
        <v>889</v>
      </c>
      <c r="U605" s="10"/>
      <c r="V605" s="90">
        <v>2786.3</v>
      </c>
      <c r="W605" s="91"/>
      <c r="X605" s="92"/>
    </row>
    <row r="606" spans="1:24">
      <c r="A606" s="613"/>
      <c r="B606" s="87">
        <f>B605+1</f>
        <v>5</v>
      </c>
      <c r="C606" s="295">
        <v>45946</v>
      </c>
      <c r="D606" s="752">
        <v>74539</v>
      </c>
      <c r="E606" s="10" t="s">
        <v>879</v>
      </c>
      <c r="F606" s="62">
        <v>1138</v>
      </c>
      <c r="G606" s="62">
        <f>39.7</f>
        <v>39.700000000000003</v>
      </c>
      <c r="H606" s="62"/>
      <c r="I606" s="324">
        <f>F606-G606-H606</f>
        <v>1098.3</v>
      </c>
      <c r="J606" s="63" t="s">
        <v>156</v>
      </c>
      <c r="K606" s="63">
        <v>1</v>
      </c>
      <c r="L606" s="325">
        <v>0</v>
      </c>
      <c r="M606" s="63">
        <v>1</v>
      </c>
      <c r="N606" s="63">
        <v>1</v>
      </c>
      <c r="O606" s="63">
        <v>1</v>
      </c>
      <c r="P606" s="63">
        <v>1</v>
      </c>
      <c r="Q606" s="63">
        <v>1</v>
      </c>
      <c r="R606" s="63">
        <v>1</v>
      </c>
      <c r="S606" s="296">
        <v>1</v>
      </c>
      <c r="T606" s="17" t="s">
        <v>890</v>
      </c>
      <c r="U606" s="10"/>
      <c r="V606" s="90">
        <v>1251.8</v>
      </c>
      <c r="W606" s="91"/>
      <c r="X606" s="92"/>
    </row>
    <row r="607" spans="1:24">
      <c r="A607" s="614"/>
      <c r="B607" s="87">
        <f>B606+1</f>
        <v>6</v>
      </c>
      <c r="C607" s="295">
        <v>45946</v>
      </c>
      <c r="D607" s="10">
        <v>74572</v>
      </c>
      <c r="E607" s="94" t="s">
        <v>563</v>
      </c>
      <c r="F607" s="62">
        <v>581</v>
      </c>
      <c r="G607" s="62"/>
      <c r="H607" s="62"/>
      <c r="I607" s="89">
        <f>F607-G607-H607</f>
        <v>581</v>
      </c>
      <c r="J607" s="63" t="s">
        <v>156</v>
      </c>
      <c r="K607" s="63">
        <v>1</v>
      </c>
      <c r="L607" s="63">
        <v>1</v>
      </c>
      <c r="M607" s="63">
        <v>1</v>
      </c>
      <c r="N607" s="63">
        <v>1</v>
      </c>
      <c r="O607" s="63">
        <v>1</v>
      </c>
      <c r="P607" s="63">
        <v>1</v>
      </c>
      <c r="Q607" s="63">
        <v>1</v>
      </c>
      <c r="R607" s="63">
        <v>1</v>
      </c>
      <c r="S607" s="296">
        <v>1</v>
      </c>
      <c r="T607" s="63"/>
      <c r="U607" s="10"/>
      <c r="V607" s="90">
        <f>100+539.1</f>
        <v>639.1</v>
      </c>
      <c r="W607" s="91"/>
      <c r="X607" s="92"/>
    </row>
    <row r="608" spans="1:24">
      <c r="A608" s="614"/>
      <c r="B608" s="87">
        <f>B607+1</f>
        <v>7</v>
      </c>
      <c r="C608" s="295">
        <v>45946</v>
      </c>
      <c r="D608" s="10">
        <v>74571</v>
      </c>
      <c r="E608" s="10" t="s">
        <v>854</v>
      </c>
      <c r="F608" s="62">
        <v>681</v>
      </c>
      <c r="G608" s="62"/>
      <c r="H608" s="62"/>
      <c r="I608" s="324">
        <f>F608-G608-H608</f>
        <v>681</v>
      </c>
      <c r="J608" s="63" t="s">
        <v>156</v>
      </c>
      <c r="K608" s="63">
        <v>1</v>
      </c>
      <c r="L608" s="63">
        <v>1</v>
      </c>
      <c r="M608" s="63">
        <v>1</v>
      </c>
      <c r="N608" s="63">
        <v>1</v>
      </c>
      <c r="O608" s="63">
        <v>1</v>
      </c>
      <c r="P608" s="63">
        <v>1</v>
      </c>
      <c r="Q608" s="325">
        <v>0</v>
      </c>
      <c r="R608" s="325">
        <v>0</v>
      </c>
      <c r="S608" s="326">
        <v>0</v>
      </c>
      <c r="T608" s="63"/>
      <c r="U608" s="10"/>
      <c r="V608" s="90">
        <v>749.1</v>
      </c>
      <c r="W608" s="91"/>
      <c r="X608" s="92"/>
    </row>
    <row r="609" spans="1:24">
      <c r="A609" s="614"/>
      <c r="B609" s="87">
        <f>B608+1</f>
        <v>8</v>
      </c>
      <c r="C609" s="262">
        <v>45947</v>
      </c>
      <c r="D609" s="750">
        <v>74590</v>
      </c>
      <c r="E609" s="271" t="s">
        <v>363</v>
      </c>
      <c r="F609" s="265">
        <v>461</v>
      </c>
      <c r="G609" s="265"/>
      <c r="H609" s="365"/>
      <c r="I609" s="272">
        <f>F609-G609-H609</f>
        <v>461</v>
      </c>
      <c r="J609" s="267" t="s">
        <v>156</v>
      </c>
      <c r="K609" s="267">
        <v>1</v>
      </c>
      <c r="L609" s="267">
        <v>1</v>
      </c>
      <c r="M609" s="267">
        <v>1</v>
      </c>
      <c r="N609" s="267">
        <v>1</v>
      </c>
      <c r="O609" s="267">
        <v>1</v>
      </c>
      <c r="P609" s="267">
        <v>1</v>
      </c>
      <c r="Q609" s="267">
        <v>1</v>
      </c>
      <c r="R609" s="267">
        <v>1</v>
      </c>
      <c r="S609" s="366">
        <v>0</v>
      </c>
      <c r="T609" s="21">
        <v>1</v>
      </c>
      <c r="U609" s="10"/>
      <c r="V609" s="90">
        <f>50+457.1</f>
        <v>507.1</v>
      </c>
      <c r="W609" s="91"/>
      <c r="X609" s="92"/>
    </row>
    <row r="610" spans="1:24">
      <c r="A610" s="614"/>
      <c r="B610" s="87"/>
      <c r="C610" s="36"/>
      <c r="D610" s="10"/>
      <c r="E610" s="10"/>
      <c r="F610" s="97">
        <f>SUM(F602:F609)</f>
        <v>8237.2000000000007</v>
      </c>
      <c r="G610" s="97">
        <f>SUM(G602:G609)</f>
        <v>389.74999999999994</v>
      </c>
      <c r="H610" s="97">
        <f>SUM(H602:H609)</f>
        <v>0</v>
      </c>
      <c r="I610" s="98">
        <f>SUM(I602:I609)</f>
        <v>7847.45</v>
      </c>
      <c r="J610" s="63"/>
      <c r="K610" s="63">
        <f>COUNT(K602:K609)</f>
        <v>8</v>
      </c>
      <c r="L610" s="63">
        <f>COUNT(L602:L609)</f>
        <v>8</v>
      </c>
      <c r="M610" s="63">
        <f>COUNT(M602:M609)</f>
        <v>8</v>
      </c>
      <c r="N610" s="63">
        <f>COUNT(N602:N609)</f>
        <v>8</v>
      </c>
      <c r="O610" s="63">
        <f>COUNT(O602:O609)</f>
        <v>8</v>
      </c>
      <c r="P610" s="63">
        <f>COUNT(P602:P609)</f>
        <v>8</v>
      </c>
      <c r="Q610" s="63">
        <f>COUNT(Q602:Q609)</f>
        <v>8</v>
      </c>
      <c r="R610" s="63">
        <f>COUNT(R602:R609)</f>
        <v>8</v>
      </c>
      <c r="S610" s="63">
        <f>COUNT(S602:S609)</f>
        <v>8</v>
      </c>
      <c r="T610" s="63"/>
      <c r="U610" s="10"/>
      <c r="V610" s="90"/>
      <c r="W610" s="91"/>
      <c r="X610" s="92"/>
    </row>
    <row r="611" spans="1:24">
      <c r="A611" s="614"/>
      <c r="B611" s="87"/>
      <c r="C611" s="36"/>
      <c r="D611" s="10"/>
      <c r="E611" s="10"/>
      <c r="F611" s="88"/>
      <c r="G611" s="88"/>
      <c r="H611" s="88"/>
      <c r="I611" s="99"/>
      <c r="J611" s="63"/>
      <c r="K611" s="21">
        <f>SUM(K602:K609)</f>
        <v>8</v>
      </c>
      <c r="L611" s="21">
        <f>SUM(L602:L609)</f>
        <v>7</v>
      </c>
      <c r="M611" s="21">
        <f>SUM(M602:M609)</f>
        <v>8</v>
      </c>
      <c r="N611" s="21">
        <f>SUM(N602:N609)</f>
        <v>8</v>
      </c>
      <c r="O611" s="21">
        <f>SUM(O602:O609)</f>
        <v>8</v>
      </c>
      <c r="P611" s="21">
        <f>SUM(P602:P609)</f>
        <v>7</v>
      </c>
      <c r="Q611" s="21">
        <f>SUM(Q602:Q609)</f>
        <v>7</v>
      </c>
      <c r="R611" s="21">
        <f>SUM(R602:R609)</f>
        <v>7</v>
      </c>
      <c r="S611" s="21">
        <f>SUM(S602:S609)</f>
        <v>3</v>
      </c>
      <c r="T611" s="63"/>
      <c r="U611" s="10"/>
      <c r="V611" s="90"/>
      <c r="W611" s="91"/>
      <c r="X611" s="92"/>
    </row>
    <row r="612" spans="1:24">
      <c r="A612" s="614"/>
      <c r="B612" s="11"/>
      <c r="C612" s="609"/>
      <c r="D612" s="10"/>
      <c r="E612" s="10"/>
      <c r="F612" s="88"/>
      <c r="G612" s="88"/>
      <c r="H612" s="88"/>
      <c r="I612" s="99"/>
      <c r="J612" s="63"/>
      <c r="K612" s="21"/>
      <c r="L612" s="21"/>
      <c r="M612" s="21"/>
      <c r="N612" s="21"/>
      <c r="O612" s="21"/>
      <c r="P612" s="21"/>
      <c r="Q612" s="21"/>
      <c r="R612" s="21"/>
      <c r="S612" s="21"/>
      <c r="T612" s="63"/>
      <c r="U612" s="94"/>
      <c r="V612" s="90"/>
      <c r="W612" s="91"/>
      <c r="X612" s="92"/>
    </row>
    <row r="613" spans="1:24">
      <c r="A613" s="615"/>
      <c r="B613" s="121" t="s">
        <v>68</v>
      </c>
      <c r="C613" s="611"/>
      <c r="D613" s="123"/>
      <c r="E613" s="123"/>
      <c r="F613" s="124"/>
      <c r="G613" s="125"/>
      <c r="H613" s="124"/>
      <c r="I613" s="126"/>
      <c r="J613" s="127"/>
      <c r="K613" s="128"/>
      <c r="L613" s="128"/>
      <c r="M613" s="128"/>
      <c r="N613" s="128"/>
      <c r="O613" s="128"/>
      <c r="P613" s="128"/>
      <c r="Q613" s="128"/>
      <c r="R613" s="128"/>
      <c r="S613" s="128"/>
      <c r="T613" s="127"/>
      <c r="U613" s="123"/>
      <c r="V613" s="129"/>
      <c r="W613" s="130"/>
      <c r="X613" s="131"/>
    </row>
    <row r="614" spans="1:24" s="342" customFormat="1">
      <c r="A614" s="615" t="s">
        <v>619</v>
      </c>
      <c r="B614" s="333">
        <v>1</v>
      </c>
      <c r="C614" s="334">
        <v>45943</v>
      </c>
      <c r="D614" s="335" t="s">
        <v>891</v>
      </c>
      <c r="E614" s="335" t="s">
        <v>854</v>
      </c>
      <c r="F614" s="336">
        <v>22614</v>
      </c>
      <c r="G614" s="336">
        <f>39.7+(876.42-329.03)+2000</f>
        <v>2587.09</v>
      </c>
      <c r="H614" s="336"/>
      <c r="I614" s="337">
        <f>F614-G614-H614</f>
        <v>20026.91</v>
      </c>
      <c r="J614" s="338" t="s">
        <v>156</v>
      </c>
      <c r="K614" s="338">
        <v>1</v>
      </c>
      <c r="L614" s="338">
        <v>1</v>
      </c>
      <c r="M614" s="338">
        <v>1</v>
      </c>
      <c r="N614" s="338">
        <v>1</v>
      </c>
      <c r="O614" s="338">
        <v>1</v>
      </c>
      <c r="P614" s="322">
        <v>0</v>
      </c>
      <c r="Q614" s="338">
        <v>1</v>
      </c>
      <c r="R614" s="338">
        <v>1</v>
      </c>
      <c r="S614" s="339">
        <v>1</v>
      </c>
      <c r="T614" s="127"/>
      <c r="U614" s="135" t="s">
        <v>892</v>
      </c>
      <c r="V614" s="129">
        <f>1500</f>
        <v>1500</v>
      </c>
      <c r="W614" s="340"/>
      <c r="X614" s="341"/>
    </row>
    <row r="615" spans="1:24" s="342" customFormat="1">
      <c r="A615" s="356">
        <v>0.05</v>
      </c>
      <c r="B615" s="333">
        <f>B614+1</f>
        <v>2</v>
      </c>
      <c r="C615" s="345">
        <v>45943</v>
      </c>
      <c r="D615" s="323">
        <v>74072</v>
      </c>
      <c r="E615" s="123" t="s">
        <v>875</v>
      </c>
      <c r="F615" s="125">
        <f>2346-85</f>
        <v>2261</v>
      </c>
      <c r="G615" s="125">
        <f>39.7</f>
        <v>39.700000000000003</v>
      </c>
      <c r="H615" s="125"/>
      <c r="I615" s="347">
        <f>F615-G615-H615</f>
        <v>2221.3000000000002</v>
      </c>
      <c r="J615" s="127" t="s">
        <v>156</v>
      </c>
      <c r="K615" s="127">
        <v>1</v>
      </c>
      <c r="L615" s="127">
        <v>1</v>
      </c>
      <c r="M615" s="127">
        <v>1</v>
      </c>
      <c r="N615" s="127">
        <v>1</v>
      </c>
      <c r="O615" s="325">
        <v>0</v>
      </c>
      <c r="P615" s="127">
        <v>1</v>
      </c>
      <c r="Q615" s="127">
        <v>1</v>
      </c>
      <c r="R615" s="127">
        <v>1</v>
      </c>
      <c r="S615" s="349">
        <v>1</v>
      </c>
      <c r="T615" s="127"/>
      <c r="U615" s="135" t="s">
        <v>893</v>
      </c>
      <c r="V615" s="129">
        <f>93.5</f>
        <v>93.5</v>
      </c>
      <c r="W615" s="340"/>
      <c r="X615" s="341"/>
    </row>
    <row r="616" spans="1:24" s="342" customFormat="1">
      <c r="A616" s="356">
        <v>0.05</v>
      </c>
      <c r="B616" s="333">
        <f>B615+1</f>
        <v>3</v>
      </c>
      <c r="C616" s="350">
        <v>45946</v>
      </c>
      <c r="D616" s="751">
        <v>74433</v>
      </c>
      <c r="E616" s="351" t="s">
        <v>672</v>
      </c>
      <c r="F616" s="352">
        <v>1461</v>
      </c>
      <c r="G616" s="352">
        <f>39.7</f>
        <v>39.700000000000003</v>
      </c>
      <c r="H616" s="352"/>
      <c r="I616" s="353">
        <f>F616-G616-H616</f>
        <v>1421.3</v>
      </c>
      <c r="J616" s="354"/>
      <c r="K616" s="354">
        <v>1</v>
      </c>
      <c r="L616" s="354">
        <v>1</v>
      </c>
      <c r="M616" s="354"/>
      <c r="N616" s="354">
        <v>1</v>
      </c>
      <c r="O616" s="354">
        <v>1</v>
      </c>
      <c r="P616" s="354">
        <v>1</v>
      </c>
      <c r="Q616" s="354">
        <v>1</v>
      </c>
      <c r="R616" s="354">
        <v>1</v>
      </c>
      <c r="S616" s="355">
        <v>1</v>
      </c>
      <c r="T616" s="64">
        <v>1</v>
      </c>
      <c r="U616" s="123" t="s">
        <v>894</v>
      </c>
      <c r="V616" s="129"/>
      <c r="W616" s="130"/>
      <c r="X616" s="131"/>
    </row>
    <row r="617" spans="1:24">
      <c r="A617" s="615"/>
      <c r="B617" s="132"/>
      <c r="C617" s="36"/>
      <c r="D617" s="123"/>
      <c r="E617" s="123"/>
      <c r="F617" s="133">
        <f>SUM(F614:F616)</f>
        <v>26336</v>
      </c>
      <c r="G617" s="133">
        <f>SUM(G614:G616)</f>
        <v>2666.49</v>
      </c>
      <c r="H617" s="133">
        <f>SUM(H614:H616)</f>
        <v>0</v>
      </c>
      <c r="I617" s="134">
        <f>SUM(I614:I616)</f>
        <v>23669.51</v>
      </c>
      <c r="J617" s="127"/>
      <c r="K617" s="64"/>
      <c r="L617" s="64"/>
      <c r="M617" s="64"/>
      <c r="N617" s="64"/>
      <c r="O617" s="64"/>
      <c r="P617" s="64"/>
      <c r="Q617" s="64"/>
      <c r="R617" s="64"/>
      <c r="S617" s="64"/>
      <c r="T617" s="127"/>
      <c r="U617" s="123"/>
      <c r="V617" s="129"/>
      <c r="W617" s="130"/>
      <c r="X617" s="131"/>
    </row>
    <row r="618" spans="1:24">
      <c r="A618" s="614"/>
      <c r="B618" s="11"/>
      <c r="C618" s="609"/>
      <c r="D618" s="10"/>
      <c r="E618" s="10"/>
      <c r="F618" s="88"/>
      <c r="G618" s="88"/>
      <c r="H618" s="88"/>
      <c r="I618" s="99"/>
      <c r="J618" s="63"/>
      <c r="K618" s="21"/>
      <c r="L618" s="21"/>
      <c r="M618" s="21"/>
      <c r="N618" s="21"/>
      <c r="O618" s="21"/>
      <c r="P618" s="21"/>
      <c r="Q618" s="21"/>
      <c r="R618" s="21"/>
      <c r="S618" s="21"/>
      <c r="T618" s="63"/>
      <c r="U618" s="94"/>
      <c r="V618" s="90"/>
      <c r="W618" s="91"/>
      <c r="X618" s="92"/>
    </row>
    <row r="619" spans="1:24">
      <c r="B619" s="100" t="s">
        <v>152</v>
      </c>
    </row>
    <row r="620" spans="1:24" s="260" customFormat="1">
      <c r="A620" s="494">
        <v>0.05</v>
      </c>
      <c r="B620" s="87">
        <v>1</v>
      </c>
      <c r="C620" s="262">
        <v>45890</v>
      </c>
      <c r="D620" s="357" t="s">
        <v>759</v>
      </c>
      <c r="E620" s="271" t="s">
        <v>369</v>
      </c>
      <c r="F620" s="265">
        <f>4112-450</f>
        <v>3662</v>
      </c>
      <c r="G620" s="265">
        <f>39.7+(847.9+27.43+26.8)+300</f>
        <v>1241.83</v>
      </c>
      <c r="H620" s="265"/>
      <c r="I620" s="266">
        <f>F620-G620-H620</f>
        <v>2420.17</v>
      </c>
      <c r="J620" s="267" t="s">
        <v>228</v>
      </c>
      <c r="K620" s="267">
        <v>1</v>
      </c>
      <c r="L620" s="314">
        <v>0</v>
      </c>
      <c r="M620" s="267">
        <v>1</v>
      </c>
      <c r="N620" s="267">
        <v>1</v>
      </c>
      <c r="O620" s="267">
        <v>1</v>
      </c>
      <c r="P620" s="267">
        <v>1</v>
      </c>
      <c r="Q620" s="267">
        <v>1</v>
      </c>
      <c r="R620" s="267">
        <v>1</v>
      </c>
      <c r="S620" s="366">
        <v>0</v>
      </c>
      <c r="T620" s="63"/>
      <c r="U620" s="10" t="s">
        <v>760</v>
      </c>
      <c r="V620" s="90"/>
      <c r="W620" s="136"/>
      <c r="X620" s="137"/>
    </row>
    <row r="621" spans="1:24" s="260" customFormat="1">
      <c r="A621" s="494">
        <v>0.05</v>
      </c>
      <c r="B621" s="87">
        <f>B620+1</f>
        <v>2</v>
      </c>
      <c r="C621" s="262">
        <v>45905</v>
      </c>
      <c r="D621" s="263">
        <v>73026</v>
      </c>
      <c r="E621" s="264" t="s">
        <v>294</v>
      </c>
      <c r="F621" s="265">
        <f>1261-89</f>
        <v>1172</v>
      </c>
      <c r="G621" s="265">
        <f>39.7</f>
        <v>39.700000000000003</v>
      </c>
      <c r="H621" s="265"/>
      <c r="I621" s="266">
        <f>F621-G621-H621</f>
        <v>1132.3</v>
      </c>
      <c r="J621" s="267"/>
      <c r="K621" s="267">
        <v>1</v>
      </c>
      <c r="L621" s="267">
        <v>1</v>
      </c>
      <c r="M621" s="267"/>
      <c r="N621" s="267">
        <v>1</v>
      </c>
      <c r="O621" s="267">
        <v>1</v>
      </c>
      <c r="P621" s="314">
        <v>0</v>
      </c>
      <c r="Q621" s="267">
        <v>1</v>
      </c>
      <c r="R621" s="267">
        <v>1</v>
      </c>
      <c r="S621" s="366">
        <v>0</v>
      </c>
      <c r="T621" s="63"/>
      <c r="U621" s="10" t="s">
        <v>872</v>
      </c>
      <c r="V621" s="90"/>
      <c r="W621" s="91"/>
      <c r="X621" s="92"/>
    </row>
    <row r="622" spans="1:24" s="260" customFormat="1">
      <c r="A622" s="494">
        <v>0.05</v>
      </c>
      <c r="B622" s="87">
        <f>B621+1</f>
        <v>3</v>
      </c>
      <c r="C622" s="262">
        <v>45929</v>
      </c>
      <c r="D622" s="263">
        <v>73756</v>
      </c>
      <c r="E622" s="271" t="s">
        <v>363</v>
      </c>
      <c r="F622" s="265">
        <v>1138</v>
      </c>
      <c r="G622" s="265">
        <f>39.7</f>
        <v>39.700000000000003</v>
      </c>
      <c r="H622" s="265"/>
      <c r="I622" s="266">
        <f>F622-G622-H622</f>
        <v>1098.3</v>
      </c>
      <c r="J622" s="267" t="s">
        <v>156</v>
      </c>
      <c r="K622" s="314">
        <v>0</v>
      </c>
      <c r="L622" s="267">
        <v>1</v>
      </c>
      <c r="M622" s="267">
        <v>1</v>
      </c>
      <c r="N622" s="267">
        <v>1</v>
      </c>
      <c r="O622" s="267">
        <v>1</v>
      </c>
      <c r="P622" s="267">
        <v>1</v>
      </c>
      <c r="Q622" s="267">
        <v>1</v>
      </c>
      <c r="R622" s="267">
        <v>1</v>
      </c>
      <c r="S622" s="269">
        <v>1</v>
      </c>
      <c r="T622" s="63"/>
      <c r="U622" s="10"/>
      <c r="V622" s="90"/>
      <c r="W622" s="91"/>
      <c r="X622" s="92"/>
    </row>
    <row r="623" spans="1:24" s="260" customFormat="1">
      <c r="A623" s="494">
        <v>0.05</v>
      </c>
      <c r="B623" s="87">
        <f>B622+1</f>
        <v>4</v>
      </c>
      <c r="C623" s="262">
        <v>45933</v>
      </c>
      <c r="D623" s="263">
        <v>74034</v>
      </c>
      <c r="E623" s="271" t="s">
        <v>643</v>
      </c>
      <c r="F623" s="265">
        <v>1861</v>
      </c>
      <c r="G623" s="265">
        <f>39.7+468</f>
        <v>507.7</v>
      </c>
      <c r="H623" s="265"/>
      <c r="I623" s="266">
        <f>F623-G623-H623</f>
        <v>1353.3</v>
      </c>
      <c r="J623" s="267"/>
      <c r="K623" s="267">
        <v>1</v>
      </c>
      <c r="L623" s="267">
        <v>1</v>
      </c>
      <c r="M623" s="267"/>
      <c r="N623" s="267">
        <v>1</v>
      </c>
      <c r="O623" s="267">
        <v>1</v>
      </c>
      <c r="P623" s="314">
        <v>0</v>
      </c>
      <c r="Q623" s="314">
        <v>0</v>
      </c>
      <c r="R623" s="314">
        <v>0</v>
      </c>
      <c r="S623" s="366">
        <v>0</v>
      </c>
      <c r="T623" s="63"/>
      <c r="U623" s="94" t="s">
        <v>873</v>
      </c>
      <c r="V623" s="90"/>
      <c r="W623" s="136"/>
      <c r="X623" s="137"/>
    </row>
    <row r="624" spans="1:24" s="260" customFormat="1">
      <c r="A624" s="181" t="s">
        <v>619</v>
      </c>
      <c r="B624" s="87">
        <f t="shared" ref="B624:B628" si="106">B623+1</f>
        <v>5</v>
      </c>
      <c r="C624" s="274">
        <v>45936</v>
      </c>
      <c r="D624" s="327" t="s">
        <v>863</v>
      </c>
      <c r="E624" s="276" t="s">
        <v>853</v>
      </c>
      <c r="F624" s="277">
        <v>5133</v>
      </c>
      <c r="G624" s="277">
        <f>39.7+(89.36+1289.67)+250</f>
        <v>1668.73</v>
      </c>
      <c r="H624" s="277"/>
      <c r="I624" s="321">
        <f>F624-G624-H624</f>
        <v>3464.27</v>
      </c>
      <c r="J624" s="279" t="s">
        <v>156</v>
      </c>
      <c r="K624" s="279">
        <v>1</v>
      </c>
      <c r="L624" s="322">
        <v>0</v>
      </c>
      <c r="M624" s="279">
        <v>1</v>
      </c>
      <c r="N624" s="279">
        <v>1</v>
      </c>
      <c r="O624" s="279">
        <v>1</v>
      </c>
      <c r="P624" s="322">
        <v>0</v>
      </c>
      <c r="Q624" s="279">
        <v>1</v>
      </c>
      <c r="R624" s="279">
        <v>1</v>
      </c>
      <c r="S624" s="280">
        <v>1</v>
      </c>
      <c r="T624" s="63"/>
      <c r="U624" s="94"/>
      <c r="V624" s="90"/>
      <c r="W624" s="91"/>
      <c r="X624" s="92"/>
    </row>
    <row r="625" spans="1:25" s="260" customFormat="1">
      <c r="A625" s="494">
        <v>0.05</v>
      </c>
      <c r="B625" s="87">
        <f t="shared" si="106"/>
        <v>6</v>
      </c>
      <c r="C625" s="274">
        <v>45939</v>
      </c>
      <c r="D625" s="327">
        <v>74231</v>
      </c>
      <c r="E625" s="281" t="s">
        <v>865</v>
      </c>
      <c r="F625" s="277">
        <v>1134</v>
      </c>
      <c r="G625" s="277">
        <f>39.7</f>
        <v>39.700000000000003</v>
      </c>
      <c r="H625" s="277"/>
      <c r="I625" s="321">
        <f t="shared" ref="I625:I627" si="107">F625-G625-H625</f>
        <v>1094.3</v>
      </c>
      <c r="J625" s="279"/>
      <c r="K625" s="279">
        <v>1</v>
      </c>
      <c r="L625" s="279">
        <v>1</v>
      </c>
      <c r="M625" s="279"/>
      <c r="N625" s="279">
        <v>1</v>
      </c>
      <c r="O625" s="279">
        <v>1</v>
      </c>
      <c r="P625" s="279">
        <v>1</v>
      </c>
      <c r="Q625" s="279">
        <v>1</v>
      </c>
      <c r="R625" s="279">
        <v>1</v>
      </c>
      <c r="S625" s="280">
        <v>1</v>
      </c>
      <c r="T625" s="63"/>
      <c r="U625" s="10"/>
      <c r="V625" s="90"/>
      <c r="W625" s="91"/>
      <c r="X625" s="92"/>
    </row>
    <row r="626" spans="1:25" s="260" customFormat="1">
      <c r="A626" s="494" t="s">
        <v>895</v>
      </c>
      <c r="B626" s="87">
        <f t="shared" si="106"/>
        <v>7</v>
      </c>
      <c r="C626" s="295">
        <v>45939</v>
      </c>
      <c r="D626" s="323" t="s">
        <v>866</v>
      </c>
      <c r="E626" s="101" t="s">
        <v>563</v>
      </c>
      <c r="F626" s="62">
        <v>1264</v>
      </c>
      <c r="G626" s="62">
        <f>39.7</f>
        <v>39.700000000000003</v>
      </c>
      <c r="H626" s="62"/>
      <c r="I626" s="324">
        <f t="shared" si="107"/>
        <v>1224.3</v>
      </c>
      <c r="J626" s="63" t="s">
        <v>150</v>
      </c>
      <c r="K626" s="63">
        <v>1</v>
      </c>
      <c r="L626" s="325">
        <v>0</v>
      </c>
      <c r="M626" s="63">
        <v>1</v>
      </c>
      <c r="N626" s="63">
        <v>1</v>
      </c>
      <c r="O626" s="63">
        <v>1</v>
      </c>
      <c r="P626" s="63">
        <v>1</v>
      </c>
      <c r="Q626" s="63">
        <v>1</v>
      </c>
      <c r="R626" s="63">
        <v>1</v>
      </c>
      <c r="S626" s="296">
        <v>1</v>
      </c>
      <c r="T626" s="63"/>
      <c r="U626" s="10" t="s">
        <v>867</v>
      </c>
      <c r="V626" s="508">
        <v>1390.4</v>
      </c>
      <c r="W626" s="91"/>
      <c r="X626" s="92"/>
    </row>
    <row r="627" spans="1:25" s="260" customFormat="1">
      <c r="A627" s="494" t="s">
        <v>895</v>
      </c>
      <c r="B627" s="87">
        <f t="shared" si="106"/>
        <v>8</v>
      </c>
      <c r="C627" s="282">
        <v>45939</v>
      </c>
      <c r="D627" s="368" t="s">
        <v>868</v>
      </c>
      <c r="E627" s="319" t="s">
        <v>563</v>
      </c>
      <c r="F627" s="284">
        <v>2861</v>
      </c>
      <c r="G627" s="284">
        <f>39.7</f>
        <v>39.700000000000003</v>
      </c>
      <c r="H627" s="284"/>
      <c r="I627" s="300">
        <f t="shared" si="107"/>
        <v>2821.3</v>
      </c>
      <c r="J627" s="286" t="s">
        <v>150</v>
      </c>
      <c r="K627" s="286">
        <v>1</v>
      </c>
      <c r="L627" s="332">
        <v>0</v>
      </c>
      <c r="M627" s="286">
        <v>1</v>
      </c>
      <c r="N627" s="286">
        <v>1</v>
      </c>
      <c r="O627" s="286">
        <v>1</v>
      </c>
      <c r="P627" s="286">
        <v>1</v>
      </c>
      <c r="Q627" s="286">
        <v>1</v>
      </c>
      <c r="R627" s="286">
        <v>1</v>
      </c>
      <c r="S627" s="287">
        <v>1</v>
      </c>
      <c r="T627" s="63"/>
      <c r="U627" s="10" t="s">
        <v>869</v>
      </c>
      <c r="V627" s="508">
        <v>3147.1</v>
      </c>
      <c r="W627" s="91"/>
      <c r="X627" s="92"/>
    </row>
    <row r="628" spans="1:25" s="260" customFormat="1">
      <c r="A628" s="494" t="s">
        <v>895</v>
      </c>
      <c r="B628" s="87">
        <f t="shared" si="106"/>
        <v>9</v>
      </c>
      <c r="C628" s="262">
        <v>45940</v>
      </c>
      <c r="D628" s="263" t="s">
        <v>870</v>
      </c>
      <c r="E628" s="271" t="s">
        <v>862</v>
      </c>
      <c r="F628" s="265">
        <v>12133</v>
      </c>
      <c r="G628" s="265">
        <f>39.7+(3660.58)+1000</f>
        <v>4700.28</v>
      </c>
      <c r="H628" s="265"/>
      <c r="I628" s="266">
        <f t="shared" ref="I628" si="108">F628-G628-H628</f>
        <v>7432.72</v>
      </c>
      <c r="J628" s="267" t="s">
        <v>228</v>
      </c>
      <c r="K628" s="267">
        <v>1</v>
      </c>
      <c r="L628" s="267">
        <v>1</v>
      </c>
      <c r="M628" s="267">
        <v>1</v>
      </c>
      <c r="N628" s="267">
        <v>1</v>
      </c>
      <c r="O628" s="267">
        <v>1</v>
      </c>
      <c r="P628" s="267">
        <v>1</v>
      </c>
      <c r="Q628" s="267">
        <v>1</v>
      </c>
      <c r="R628" s="314">
        <v>0</v>
      </c>
      <c r="S628" s="269">
        <v>1</v>
      </c>
      <c r="T628" s="63"/>
      <c r="U628" s="94" t="s">
        <v>896</v>
      </c>
      <c r="V628" s="90">
        <f>11846.3</f>
        <v>11846.3</v>
      </c>
      <c r="W628" s="136"/>
      <c r="X628" s="137"/>
    </row>
    <row r="629" spans="1:25" s="260" customFormat="1">
      <c r="A629" s="181"/>
      <c r="B629" s="11"/>
      <c r="C629" s="36"/>
      <c r="D629" s="10"/>
      <c r="E629" s="10"/>
      <c r="F629" s="98">
        <f>SUM(F620:F628)</f>
        <v>30358</v>
      </c>
      <c r="G629" s="98">
        <f t="shared" ref="G629:I629" si="109">SUM(G620:G628)</f>
        <v>8317.0399999999991</v>
      </c>
      <c r="H629" s="98">
        <f t="shared" si="109"/>
        <v>0</v>
      </c>
      <c r="I629" s="98">
        <f t="shared" si="109"/>
        <v>22040.959999999999</v>
      </c>
      <c r="J629" s="63"/>
      <c r="K629" s="21"/>
      <c r="L629" s="21"/>
      <c r="M629" s="21"/>
      <c r="N629" s="21"/>
      <c r="O629" s="21"/>
      <c r="P629" s="21"/>
      <c r="Q629" s="21"/>
      <c r="R629" s="21"/>
      <c r="S629" s="21"/>
      <c r="T629" s="63"/>
      <c r="U629" s="94"/>
      <c r="V629" s="90"/>
      <c r="W629" s="91"/>
      <c r="X629" s="92"/>
    </row>
    <row r="630" spans="1:25" s="260" customFormat="1">
      <c r="A630" s="181"/>
      <c r="B630" s="11"/>
      <c r="C630" s="36"/>
      <c r="D630" s="10"/>
      <c r="E630" s="10"/>
      <c r="F630" s="88"/>
      <c r="G630" s="88"/>
      <c r="H630" s="88"/>
      <c r="I630" s="99"/>
      <c r="J630" s="63"/>
      <c r="K630" s="21"/>
      <c r="L630" s="21"/>
      <c r="M630" s="21"/>
      <c r="N630" s="21"/>
      <c r="O630" s="21"/>
      <c r="P630" s="21"/>
      <c r="Q630" s="21"/>
      <c r="R630" s="21"/>
      <c r="S630" s="21"/>
      <c r="T630" s="63"/>
      <c r="U630" s="94"/>
      <c r="V630" s="90"/>
      <c r="W630" s="91"/>
      <c r="X630" s="92"/>
    </row>
    <row r="631" spans="1:25" s="260" customFormat="1">
      <c r="B631" s="100" t="s">
        <v>202</v>
      </c>
      <c r="C631" s="36"/>
      <c r="D631" s="10"/>
      <c r="E631" s="181"/>
      <c r="F631" s="88"/>
      <c r="G631" s="88"/>
      <c r="H631" s="88"/>
      <c r="I631" s="99"/>
      <c r="J631" s="63"/>
      <c r="K631" s="21"/>
      <c r="L631" s="21"/>
      <c r="M631" s="21"/>
      <c r="N631" s="21"/>
      <c r="O631" s="21"/>
      <c r="P631" s="21"/>
      <c r="Q631" s="21"/>
      <c r="R631" s="21"/>
      <c r="S631" s="21"/>
      <c r="T631" s="63"/>
      <c r="U631" s="94"/>
      <c r="V631" s="90"/>
      <c r="W631" s="91"/>
      <c r="X631" s="92"/>
      <c r="Y631" s="181"/>
    </row>
    <row r="632" spans="1:25" s="260" customFormat="1">
      <c r="A632" s="494">
        <v>0.05</v>
      </c>
      <c r="B632" s="87">
        <v>1</v>
      </c>
      <c r="C632" s="274">
        <v>45908</v>
      </c>
      <c r="D632" s="327">
        <v>73048</v>
      </c>
      <c r="E632" s="276" t="s">
        <v>211</v>
      </c>
      <c r="F632" s="277">
        <v>861</v>
      </c>
      <c r="G632" s="277">
        <f>39.7</f>
        <v>39.700000000000003</v>
      </c>
      <c r="H632" s="277"/>
      <c r="I632" s="278">
        <f>F632-G632-H632</f>
        <v>821.3</v>
      </c>
      <c r="J632" s="279" t="s">
        <v>156</v>
      </c>
      <c r="K632" s="279">
        <v>1</v>
      </c>
      <c r="L632" s="279"/>
      <c r="M632" s="279">
        <v>1</v>
      </c>
      <c r="N632" s="279">
        <v>1</v>
      </c>
      <c r="O632" s="279">
        <v>1</v>
      </c>
      <c r="P632" s="279">
        <v>1</v>
      </c>
      <c r="Q632" s="279"/>
      <c r="R632" s="279"/>
      <c r="S632" s="280"/>
      <c r="T632" s="63"/>
      <c r="U632" s="94" t="s">
        <v>806</v>
      </c>
      <c r="V632" s="90"/>
      <c r="W632" s="136"/>
      <c r="X632" s="137"/>
      <c r="Y632" s="181"/>
    </row>
    <row r="633" spans="1:25" s="260" customFormat="1">
      <c r="A633" s="261">
        <v>0.05</v>
      </c>
      <c r="B633" s="87">
        <f>B632+1</f>
        <v>2</v>
      </c>
      <c r="C633" s="262">
        <v>45917</v>
      </c>
      <c r="D633" s="263">
        <v>73379</v>
      </c>
      <c r="E633" s="271" t="s">
        <v>159</v>
      </c>
      <c r="F633" s="265">
        <v>4619</v>
      </c>
      <c r="G633" s="265">
        <f>39.7+300+(88.82+47.5+58.8)+(77+674.43+129.7)+300</f>
        <v>1715.9499999999998</v>
      </c>
      <c r="H633" s="265"/>
      <c r="I633" s="266">
        <f>F633-G633-H633</f>
        <v>2903.05</v>
      </c>
      <c r="J633" s="267" t="s">
        <v>228</v>
      </c>
      <c r="K633" s="267">
        <v>1</v>
      </c>
      <c r="L633" s="267"/>
      <c r="M633" s="267">
        <v>1</v>
      </c>
      <c r="N633" s="267">
        <v>1</v>
      </c>
      <c r="O633" s="267">
        <v>1</v>
      </c>
      <c r="P633" s="314">
        <v>0</v>
      </c>
      <c r="Q633" s="267"/>
      <c r="R633" s="267"/>
      <c r="S633" s="269"/>
      <c r="T633" s="63"/>
      <c r="U633" s="94" t="s">
        <v>832</v>
      </c>
      <c r="V633" s="90"/>
      <c r="W633" s="136"/>
      <c r="X633" s="137"/>
    </row>
    <row r="634" spans="1:25" s="260" customFormat="1">
      <c r="B634" s="11"/>
      <c r="C634" s="36"/>
      <c r="D634" s="10"/>
      <c r="E634" s="10"/>
      <c r="F634" s="97">
        <f>SUM(F632:F633)</f>
        <v>5480</v>
      </c>
      <c r="G634" s="97">
        <f>SUM(G632:G633)</f>
        <v>1755.6499999999999</v>
      </c>
      <c r="H634" s="97">
        <f>SUM(H632:H633)</f>
        <v>0</v>
      </c>
      <c r="I634" s="97">
        <f>SUM(I632:I633)</f>
        <v>3724.3500000000004</v>
      </c>
      <c r="J634" s="63"/>
      <c r="K634" s="21"/>
      <c r="L634" s="21"/>
      <c r="M634" s="21"/>
      <c r="N634" s="21"/>
      <c r="O634" s="21"/>
      <c r="P634" s="21"/>
      <c r="Q634" s="21"/>
      <c r="R634" s="21"/>
      <c r="S634" s="21"/>
      <c r="T634" s="63"/>
      <c r="U634" s="94"/>
      <c r="V634" s="90"/>
      <c r="W634" s="91"/>
      <c r="X634" s="92"/>
      <c r="Y634" s="181"/>
    </row>
    <row r="635" spans="1:25" s="260" customFormat="1">
      <c r="B635" s="11"/>
      <c r="C635" s="36"/>
      <c r="D635" s="10"/>
      <c r="E635" s="10"/>
      <c r="F635" s="88"/>
      <c r="G635" s="88"/>
      <c r="H635" s="88"/>
      <c r="I635" s="99"/>
      <c r="J635" s="63"/>
      <c r="K635" s="21"/>
      <c r="L635" s="21"/>
      <c r="M635" s="21"/>
      <c r="N635" s="21"/>
      <c r="O635" s="21"/>
      <c r="P635" s="21"/>
      <c r="Q635" s="21"/>
      <c r="R635" s="21"/>
      <c r="S635" s="21"/>
      <c r="T635" s="63"/>
      <c r="U635" s="94"/>
      <c r="V635" s="90"/>
      <c r="W635" s="91"/>
      <c r="X635" s="92"/>
      <c r="Y635" s="181"/>
    </row>
    <row r="636" spans="1:25">
      <c r="A636" s="614"/>
      <c r="B636" s="100" t="s">
        <v>72</v>
      </c>
      <c r="C636" s="609"/>
      <c r="D636" s="10"/>
      <c r="E636" s="10"/>
      <c r="F636" s="88"/>
      <c r="G636" s="88"/>
      <c r="H636" s="88"/>
      <c r="I636" s="99"/>
      <c r="J636" s="63"/>
      <c r="K636" s="63"/>
      <c r="L636" s="63"/>
      <c r="M636" s="63"/>
      <c r="N636" s="63"/>
      <c r="O636" s="63"/>
      <c r="P636" s="63"/>
      <c r="Q636" s="63"/>
      <c r="R636" s="63"/>
      <c r="S636" s="63"/>
      <c r="T636" s="63"/>
      <c r="U636" s="10"/>
      <c r="V636" s="90"/>
      <c r="W636" s="91"/>
      <c r="X636" s="92"/>
    </row>
    <row r="637" spans="1:25">
      <c r="A637" s="614"/>
      <c r="B637" s="87">
        <v>1</v>
      </c>
      <c r="C637" s="274">
        <v>45943</v>
      </c>
      <c r="D637" s="276" t="s">
        <v>897</v>
      </c>
      <c r="E637" s="276" t="s">
        <v>875</v>
      </c>
      <c r="F637" s="277">
        <v>25842</v>
      </c>
      <c r="G637" s="277">
        <v>39.700000000000003</v>
      </c>
      <c r="H637" s="277"/>
      <c r="I637" s="278">
        <f>F637-G637-H637</f>
        <v>25802.3</v>
      </c>
      <c r="J637" s="279" t="s">
        <v>205</v>
      </c>
      <c r="K637" s="279">
        <v>1</v>
      </c>
      <c r="L637" s="279"/>
      <c r="M637" s="279"/>
      <c r="N637" s="279">
        <v>1</v>
      </c>
      <c r="O637" s="279"/>
      <c r="P637" s="279"/>
      <c r="Q637" s="279"/>
      <c r="R637" s="279"/>
      <c r="S637" s="280"/>
      <c r="T637" s="63"/>
      <c r="U637" s="3"/>
      <c r="V637" s="90"/>
      <c r="W637" s="91"/>
      <c r="X637" s="92"/>
    </row>
    <row r="638" spans="1:25">
      <c r="A638" s="614"/>
      <c r="B638" s="87">
        <f>B637+1</f>
        <v>2</v>
      </c>
      <c r="C638" s="295">
        <v>45943</v>
      </c>
      <c r="D638" s="10">
        <v>74379</v>
      </c>
      <c r="E638" s="10" t="s">
        <v>840</v>
      </c>
      <c r="F638" s="62">
        <v>1138</v>
      </c>
      <c r="G638" s="62">
        <v>39.700000000000003</v>
      </c>
      <c r="H638" s="62"/>
      <c r="I638" s="89">
        <f>F638-G638-H638</f>
        <v>1098.3</v>
      </c>
      <c r="J638" s="63" t="s">
        <v>205</v>
      </c>
      <c r="K638" s="63">
        <v>1</v>
      </c>
      <c r="L638" s="63"/>
      <c r="M638" s="63"/>
      <c r="N638" s="63">
        <v>1</v>
      </c>
      <c r="O638" s="63"/>
      <c r="P638" s="63"/>
      <c r="Q638" s="63">
        <v>1</v>
      </c>
      <c r="R638" s="63">
        <v>1</v>
      </c>
      <c r="S638" s="296">
        <v>1</v>
      </c>
      <c r="T638" s="63"/>
      <c r="U638" s="10"/>
      <c r="V638" s="90"/>
      <c r="W638" s="136"/>
      <c r="X638" s="137"/>
    </row>
    <row r="639" spans="1:25">
      <c r="A639" s="614"/>
      <c r="B639" s="87">
        <f>B638+1</f>
        <v>3</v>
      </c>
      <c r="C639" s="274">
        <v>45944</v>
      </c>
      <c r="D639" s="276">
        <v>74400</v>
      </c>
      <c r="E639" s="276" t="s">
        <v>877</v>
      </c>
      <c r="F639" s="277">
        <v>6214</v>
      </c>
      <c r="G639" s="277">
        <v>39.700000000000003</v>
      </c>
      <c r="H639" s="277"/>
      <c r="I639" s="278">
        <f>F639-G639-H639</f>
        <v>6174.3</v>
      </c>
      <c r="J639" s="279" t="s">
        <v>205</v>
      </c>
      <c r="K639" s="279">
        <v>1</v>
      </c>
      <c r="L639" s="279"/>
      <c r="M639" s="279"/>
      <c r="N639" s="279">
        <v>1</v>
      </c>
      <c r="O639" s="279"/>
      <c r="P639" s="279"/>
      <c r="Q639" s="279"/>
      <c r="R639" s="279"/>
      <c r="S639" s="280"/>
      <c r="T639" s="63"/>
      <c r="U639" s="10"/>
      <c r="V639" s="90"/>
      <c r="W639" s="136"/>
      <c r="X639" s="137"/>
    </row>
    <row r="640" spans="1:25">
      <c r="A640" s="614"/>
      <c r="B640" s="87">
        <f>B639+1</f>
        <v>4</v>
      </c>
      <c r="C640" s="295">
        <v>45944</v>
      </c>
      <c r="D640" s="10">
        <v>74385</v>
      </c>
      <c r="E640" s="10" t="s">
        <v>865</v>
      </c>
      <c r="F640" s="62">
        <v>0</v>
      </c>
      <c r="G640" s="62">
        <v>0</v>
      </c>
      <c r="H640" s="62"/>
      <c r="I640" s="89">
        <f>F640-G640-H640</f>
        <v>0</v>
      </c>
      <c r="J640" s="63" t="s">
        <v>205</v>
      </c>
      <c r="K640" s="63">
        <v>1</v>
      </c>
      <c r="L640" s="63"/>
      <c r="M640" s="63"/>
      <c r="N640" s="63"/>
      <c r="O640" s="63"/>
      <c r="P640" s="63"/>
      <c r="Q640" s="63">
        <v>1</v>
      </c>
      <c r="R640" s="63">
        <v>1</v>
      </c>
      <c r="S640" s="296"/>
      <c r="T640" s="63"/>
      <c r="U640" s="10"/>
      <c r="V640" s="90"/>
      <c r="W640" s="136"/>
      <c r="X640" s="137"/>
    </row>
    <row r="641" spans="1:24">
      <c r="A641" s="614"/>
      <c r="B641" s="87">
        <f>B640+1</f>
        <v>5</v>
      </c>
      <c r="C641" s="295">
        <v>45944</v>
      </c>
      <c r="D641" s="10" t="s">
        <v>898</v>
      </c>
      <c r="E641" s="10" t="s">
        <v>886</v>
      </c>
      <c r="F641" s="62">
        <v>15175</v>
      </c>
      <c r="G641" s="62">
        <f>39.7+(127.74+63.3)+(250.81)</f>
        <v>481.55</v>
      </c>
      <c r="H641" s="62"/>
      <c r="I641" s="89">
        <f>F641-G641-H641</f>
        <v>14693.45</v>
      </c>
      <c r="J641" s="63" t="s">
        <v>156</v>
      </c>
      <c r="K641" s="63">
        <v>1</v>
      </c>
      <c r="L641" s="63"/>
      <c r="M641" s="63">
        <v>1</v>
      </c>
      <c r="N641" s="63">
        <v>1</v>
      </c>
      <c r="O641" s="63">
        <v>1</v>
      </c>
      <c r="P641" s="63">
        <v>0</v>
      </c>
      <c r="Q641" s="63"/>
      <c r="R641" s="63"/>
      <c r="S641" s="296"/>
      <c r="T641" s="63"/>
      <c r="U641" s="94" t="s">
        <v>899</v>
      </c>
      <c r="V641" s="90">
        <f>1600+10000</f>
        <v>11600</v>
      </c>
      <c r="W641" s="136"/>
      <c r="X641" s="137"/>
    </row>
    <row r="642" spans="1:24">
      <c r="A642" s="614"/>
      <c r="B642" s="87">
        <f>B641+1</f>
        <v>6</v>
      </c>
      <c r="C642" s="295">
        <v>45944</v>
      </c>
      <c r="D642" s="10">
        <v>74444</v>
      </c>
      <c r="E642" s="10" t="s">
        <v>900</v>
      </c>
      <c r="F642" s="62">
        <v>0</v>
      </c>
      <c r="G642" s="62">
        <v>0</v>
      </c>
      <c r="H642" s="62"/>
      <c r="I642" s="89">
        <f>F642-G642-H642</f>
        <v>0</v>
      </c>
      <c r="J642" s="63" t="s">
        <v>205</v>
      </c>
      <c r="K642" s="63">
        <v>1</v>
      </c>
      <c r="L642" s="63"/>
      <c r="M642" s="63"/>
      <c r="N642" s="63"/>
      <c r="O642" s="63"/>
      <c r="P642" s="63"/>
      <c r="Q642" s="63">
        <v>1</v>
      </c>
      <c r="R642" s="63">
        <v>1</v>
      </c>
      <c r="S642" s="296">
        <v>1</v>
      </c>
      <c r="T642" s="63"/>
      <c r="U642" s="10"/>
      <c r="V642" s="90"/>
      <c r="W642" s="136"/>
      <c r="X642" s="137"/>
    </row>
    <row r="643" spans="1:24">
      <c r="A643" s="614"/>
      <c r="B643" s="87">
        <f>B642+1</f>
        <v>7</v>
      </c>
      <c r="C643" s="295">
        <v>45944</v>
      </c>
      <c r="D643" s="10">
        <v>74454</v>
      </c>
      <c r="E643" s="101" t="s">
        <v>842</v>
      </c>
      <c r="F643" s="62">
        <v>681</v>
      </c>
      <c r="G643" s="62"/>
      <c r="H643" s="62"/>
      <c r="I643" s="89">
        <f>F643-G643-H643</f>
        <v>681</v>
      </c>
      <c r="J643" s="63" t="s">
        <v>205</v>
      </c>
      <c r="K643" s="63">
        <v>1</v>
      </c>
      <c r="L643" s="63"/>
      <c r="M643" s="63"/>
      <c r="N643" s="63">
        <v>1</v>
      </c>
      <c r="O643" s="63"/>
      <c r="P643" s="63"/>
      <c r="Q643" s="63">
        <v>1</v>
      </c>
      <c r="R643" s="63">
        <v>1</v>
      </c>
      <c r="S643" s="296">
        <v>1</v>
      </c>
      <c r="T643" s="63"/>
      <c r="U643" s="10"/>
      <c r="V643" s="90"/>
      <c r="W643" s="136"/>
      <c r="X643" s="137"/>
    </row>
    <row r="644" spans="1:24">
      <c r="A644" s="614"/>
      <c r="B644" s="87">
        <f>B643+1</f>
        <v>8</v>
      </c>
      <c r="C644" s="282">
        <v>45944</v>
      </c>
      <c r="D644" s="283">
        <v>74445</v>
      </c>
      <c r="E644" s="319" t="s">
        <v>854</v>
      </c>
      <c r="F644" s="284">
        <v>0</v>
      </c>
      <c r="G644" s="284">
        <v>0</v>
      </c>
      <c r="H644" s="284"/>
      <c r="I644" s="285">
        <f>F644-G644-H644</f>
        <v>0</v>
      </c>
      <c r="J644" s="286" t="s">
        <v>205</v>
      </c>
      <c r="K644" s="286">
        <v>1</v>
      </c>
      <c r="L644" s="286"/>
      <c r="M644" s="286"/>
      <c r="N644" s="286"/>
      <c r="O644" s="286"/>
      <c r="P644" s="286"/>
      <c r="Q644" s="286">
        <v>1</v>
      </c>
      <c r="R644" s="286">
        <v>1</v>
      </c>
      <c r="S644" s="287">
        <v>1</v>
      </c>
      <c r="T644" s="63"/>
      <c r="U644" s="10"/>
      <c r="V644" s="90"/>
      <c r="W644" s="136"/>
      <c r="X644" s="137"/>
    </row>
    <row r="645" spans="1:24">
      <c r="A645" s="614"/>
      <c r="B645" s="87">
        <f>B644+1</f>
        <v>9</v>
      </c>
      <c r="C645" s="295">
        <v>45945</v>
      </c>
      <c r="D645" s="10">
        <v>74486</v>
      </c>
      <c r="E645" s="101" t="s">
        <v>901</v>
      </c>
      <c r="F645" s="62">
        <v>2261</v>
      </c>
      <c r="G645" s="62">
        <v>39.700000000000003</v>
      </c>
      <c r="H645" s="62"/>
      <c r="I645" s="89">
        <f>F645-G645-H645</f>
        <v>2221.3000000000002</v>
      </c>
      <c r="J645" s="63" t="s">
        <v>205</v>
      </c>
      <c r="K645" s="63">
        <v>1</v>
      </c>
      <c r="L645" s="63"/>
      <c r="M645" s="63"/>
      <c r="N645" s="63">
        <v>1</v>
      </c>
      <c r="O645" s="63"/>
      <c r="P645" s="63"/>
      <c r="Q645" s="63">
        <v>1</v>
      </c>
      <c r="R645" s="63">
        <v>1</v>
      </c>
      <c r="S645" s="296">
        <v>1</v>
      </c>
      <c r="T645" s="63"/>
      <c r="U645" s="10"/>
      <c r="V645" s="90"/>
      <c r="W645" s="136"/>
      <c r="X645" s="137"/>
    </row>
    <row r="646" spans="1:24">
      <c r="A646" s="614"/>
      <c r="B646" s="87">
        <f>B645+1</f>
        <v>10</v>
      </c>
      <c r="C646" s="295">
        <v>45945</v>
      </c>
      <c r="D646" s="10" t="s">
        <v>902</v>
      </c>
      <c r="E646" s="101" t="s">
        <v>563</v>
      </c>
      <c r="F646" s="62">
        <v>681</v>
      </c>
      <c r="G646" s="62"/>
      <c r="H646" s="62"/>
      <c r="I646" s="89">
        <f>F646-G646-H646</f>
        <v>681</v>
      </c>
      <c r="J646" s="63" t="s">
        <v>156</v>
      </c>
      <c r="K646" s="63">
        <v>1</v>
      </c>
      <c r="L646" s="63"/>
      <c r="M646" s="63">
        <v>1</v>
      </c>
      <c r="N646" s="63">
        <v>1</v>
      </c>
      <c r="O646" s="63"/>
      <c r="P646" s="63"/>
      <c r="Q646" s="63">
        <v>1</v>
      </c>
      <c r="R646" s="63">
        <v>1</v>
      </c>
      <c r="S646" s="296"/>
      <c r="T646" s="63"/>
      <c r="U646" s="10"/>
      <c r="V646" s="90">
        <v>203.5</v>
      </c>
      <c r="W646" s="136"/>
      <c r="X646" s="137"/>
    </row>
    <row r="647" spans="1:24">
      <c r="A647" s="614"/>
      <c r="B647" s="87">
        <f>B646+1</f>
        <v>11</v>
      </c>
      <c r="C647" s="295">
        <v>45945</v>
      </c>
      <c r="D647" s="10" t="s">
        <v>903</v>
      </c>
      <c r="E647" s="101" t="s">
        <v>563</v>
      </c>
      <c r="F647" s="62">
        <v>5814</v>
      </c>
      <c r="G647" s="62">
        <v>39.700000000000003</v>
      </c>
      <c r="H647" s="62"/>
      <c r="I647" s="89">
        <f>F647-G647-H647</f>
        <v>5774.3</v>
      </c>
      <c r="J647" s="63" t="s">
        <v>205</v>
      </c>
      <c r="K647" s="63">
        <v>1</v>
      </c>
      <c r="L647" s="63"/>
      <c r="M647" s="63"/>
      <c r="N647" s="63">
        <v>1</v>
      </c>
      <c r="O647" s="63"/>
      <c r="P647" s="63"/>
      <c r="Q647" s="63">
        <v>1</v>
      </c>
      <c r="R647" s="63">
        <v>1</v>
      </c>
      <c r="S647" s="296"/>
      <c r="T647" s="63"/>
      <c r="U647" s="10"/>
      <c r="V647" s="90"/>
      <c r="W647" s="136"/>
      <c r="X647" s="137"/>
    </row>
    <row r="648" spans="1:24">
      <c r="A648" s="614"/>
      <c r="B648" s="87">
        <f>B647+1</f>
        <v>12</v>
      </c>
      <c r="C648" s="295">
        <v>45945</v>
      </c>
      <c r="D648" s="10">
        <v>74478</v>
      </c>
      <c r="E648" s="101" t="s">
        <v>854</v>
      </c>
      <c r="F648" s="62">
        <v>0</v>
      </c>
      <c r="G648" s="62">
        <v>0</v>
      </c>
      <c r="H648" s="62"/>
      <c r="I648" s="89">
        <f>F648-G648-H648</f>
        <v>0</v>
      </c>
      <c r="J648" s="63" t="s">
        <v>205</v>
      </c>
      <c r="K648" s="63">
        <v>1</v>
      </c>
      <c r="L648" s="63"/>
      <c r="M648" s="63"/>
      <c r="N648" s="63"/>
      <c r="O648" s="63"/>
      <c r="P648" s="63"/>
      <c r="Q648" s="63">
        <v>1</v>
      </c>
      <c r="R648" s="63">
        <v>1</v>
      </c>
      <c r="S648" s="296">
        <v>1</v>
      </c>
      <c r="T648" s="63"/>
      <c r="U648" s="10"/>
      <c r="V648" s="90"/>
      <c r="W648" s="136"/>
      <c r="X648" s="137"/>
    </row>
    <row r="649" spans="1:24">
      <c r="A649" s="614"/>
      <c r="B649" s="87">
        <f>B648+1</f>
        <v>13</v>
      </c>
      <c r="C649" s="274">
        <v>45946</v>
      </c>
      <c r="D649" s="276">
        <v>74537</v>
      </c>
      <c r="E649" s="281" t="s">
        <v>879</v>
      </c>
      <c r="F649" s="277">
        <v>0</v>
      </c>
      <c r="G649" s="277">
        <v>0</v>
      </c>
      <c r="H649" s="277"/>
      <c r="I649" s="278">
        <f>F649-G649-H649</f>
        <v>0</v>
      </c>
      <c r="J649" s="279" t="s">
        <v>205</v>
      </c>
      <c r="K649" s="279"/>
      <c r="L649" s="279"/>
      <c r="M649" s="279"/>
      <c r="N649" s="279"/>
      <c r="O649" s="279"/>
      <c r="P649" s="279"/>
      <c r="Q649" s="279"/>
      <c r="R649" s="279"/>
      <c r="S649" s="280"/>
      <c r="T649" s="63"/>
      <c r="U649" s="10"/>
      <c r="V649" s="90"/>
      <c r="W649" s="136"/>
      <c r="X649" s="137"/>
    </row>
    <row r="650" spans="1:24">
      <c r="A650" s="614"/>
      <c r="B650" s="87">
        <f>B649+1</f>
        <v>14</v>
      </c>
      <c r="C650" s="295">
        <v>45946</v>
      </c>
      <c r="D650" s="10">
        <v>74542</v>
      </c>
      <c r="E650" s="101" t="s">
        <v>900</v>
      </c>
      <c r="F650" s="62">
        <v>581</v>
      </c>
      <c r="G650" s="62"/>
      <c r="H650" s="62"/>
      <c r="I650" s="89">
        <f>F650-G650-H650</f>
        <v>581</v>
      </c>
      <c r="J650" s="63" t="s">
        <v>205</v>
      </c>
      <c r="K650" s="63">
        <v>1</v>
      </c>
      <c r="L650" s="63"/>
      <c r="M650" s="63"/>
      <c r="N650" s="63">
        <v>1</v>
      </c>
      <c r="O650" s="63"/>
      <c r="P650" s="63"/>
      <c r="Q650" s="63">
        <v>1</v>
      </c>
      <c r="R650" s="63">
        <v>1</v>
      </c>
      <c r="S650" s="296">
        <v>1</v>
      </c>
      <c r="T650" s="63"/>
      <c r="U650" s="10"/>
      <c r="V650" s="90"/>
      <c r="W650" s="136"/>
      <c r="X650" s="137"/>
    </row>
    <row r="651" spans="1:24">
      <c r="A651" s="614"/>
      <c r="B651" s="87">
        <f>B650+1</f>
        <v>15</v>
      </c>
      <c r="C651" s="295">
        <v>45946</v>
      </c>
      <c r="D651" s="10">
        <v>74560</v>
      </c>
      <c r="E651" s="10" t="s">
        <v>881</v>
      </c>
      <c r="F651" s="62">
        <v>2814</v>
      </c>
      <c r="G651" s="62">
        <v>39.700000000000003</v>
      </c>
      <c r="H651" s="62"/>
      <c r="I651" s="89">
        <f>F651-G651-H651</f>
        <v>2774.3</v>
      </c>
      <c r="J651" s="63" t="s">
        <v>205</v>
      </c>
      <c r="K651" s="63">
        <v>1</v>
      </c>
      <c r="L651" s="63"/>
      <c r="M651" s="63"/>
      <c r="N651" s="63">
        <v>1</v>
      </c>
      <c r="O651" s="63"/>
      <c r="P651" s="63"/>
      <c r="Q651" s="63">
        <v>1</v>
      </c>
      <c r="R651" s="63">
        <v>1</v>
      </c>
      <c r="S651" s="296">
        <v>1</v>
      </c>
      <c r="T651" s="63"/>
      <c r="U651" s="10"/>
      <c r="V651" s="90"/>
      <c r="W651" s="136"/>
      <c r="X651" s="137"/>
    </row>
    <row r="652" spans="1:24">
      <c r="A652" s="614"/>
      <c r="B652" s="87">
        <f>B651+1</f>
        <v>16</v>
      </c>
      <c r="C652" s="295">
        <v>45946</v>
      </c>
      <c r="D652" s="10">
        <v>74545</v>
      </c>
      <c r="E652" s="10" t="s">
        <v>672</v>
      </c>
      <c r="F652" s="62">
        <v>581</v>
      </c>
      <c r="G652" s="62"/>
      <c r="H652" s="62"/>
      <c r="I652" s="89">
        <f>F652-G652-H652</f>
        <v>581</v>
      </c>
      <c r="J652" s="63" t="s">
        <v>205</v>
      </c>
      <c r="K652" s="63">
        <v>1</v>
      </c>
      <c r="L652" s="63"/>
      <c r="M652" s="63"/>
      <c r="N652" s="63">
        <v>1</v>
      </c>
      <c r="O652" s="63"/>
      <c r="P652" s="63"/>
      <c r="Q652" s="63">
        <v>1</v>
      </c>
      <c r="R652" s="63">
        <v>1</v>
      </c>
      <c r="S652" s="296"/>
      <c r="T652" s="63"/>
      <c r="U652" s="10"/>
      <c r="V652" s="90"/>
      <c r="W652" s="136"/>
      <c r="X652" s="137"/>
    </row>
    <row r="653" spans="1:24">
      <c r="A653" s="614"/>
      <c r="B653" s="87">
        <f>B652+1</f>
        <v>17</v>
      </c>
      <c r="C653" s="274">
        <v>45947</v>
      </c>
      <c r="D653" s="276">
        <v>74551</v>
      </c>
      <c r="E653" s="276" t="s">
        <v>795</v>
      </c>
      <c r="F653" s="277">
        <v>1861</v>
      </c>
      <c r="G653" s="277">
        <v>39.700000000000003</v>
      </c>
      <c r="H653" s="277"/>
      <c r="I653" s="278">
        <f>F653-G653-H653</f>
        <v>1821.3</v>
      </c>
      <c r="J653" s="279" t="s">
        <v>156</v>
      </c>
      <c r="K653" s="279">
        <v>1</v>
      </c>
      <c r="L653" s="279"/>
      <c r="M653" s="279">
        <v>1</v>
      </c>
      <c r="N653" s="279">
        <v>1</v>
      </c>
      <c r="O653" s="279"/>
      <c r="P653" s="279"/>
      <c r="Q653" s="279">
        <v>1</v>
      </c>
      <c r="R653" s="279">
        <v>1</v>
      </c>
      <c r="S653" s="280">
        <v>1</v>
      </c>
      <c r="T653" s="63"/>
      <c r="U653" s="10"/>
      <c r="V653" s="90">
        <v>200</v>
      </c>
      <c r="W653" s="136"/>
      <c r="X653" s="137"/>
    </row>
    <row r="654" spans="1:24">
      <c r="A654" s="614"/>
      <c r="B654" s="87">
        <f>B653+1</f>
        <v>18</v>
      </c>
      <c r="C654" s="295">
        <v>45947</v>
      </c>
      <c r="D654" s="104">
        <v>74597</v>
      </c>
      <c r="E654" s="10" t="s">
        <v>881</v>
      </c>
      <c r="F654" s="62">
        <v>0</v>
      </c>
      <c r="G654" s="62">
        <v>0</v>
      </c>
      <c r="H654" s="62"/>
      <c r="I654" s="89">
        <f>F654-G654-H654</f>
        <v>0</v>
      </c>
      <c r="J654" s="63" t="s">
        <v>205</v>
      </c>
      <c r="K654" s="63">
        <v>1</v>
      </c>
      <c r="L654" s="63"/>
      <c r="M654" s="63"/>
      <c r="N654" s="63"/>
      <c r="O654" s="63"/>
      <c r="P654" s="63"/>
      <c r="Q654" s="63">
        <v>1</v>
      </c>
      <c r="R654" s="63">
        <v>1</v>
      </c>
      <c r="S654" s="296">
        <v>1</v>
      </c>
      <c r="T654" s="63"/>
      <c r="U654" s="10"/>
      <c r="V654" s="90"/>
      <c r="W654" s="136"/>
      <c r="X654" s="137"/>
    </row>
    <row r="655" spans="1:24">
      <c r="A655" s="614"/>
      <c r="B655" s="87">
        <f>B654+1</f>
        <v>19</v>
      </c>
      <c r="C655" s="295">
        <v>45947</v>
      </c>
      <c r="D655" s="10">
        <v>74601</v>
      </c>
      <c r="E655" s="10" t="s">
        <v>904</v>
      </c>
      <c r="F655" s="62">
        <v>4461</v>
      </c>
      <c r="G655" s="62">
        <v>39.700000000000003</v>
      </c>
      <c r="H655" s="62"/>
      <c r="I655" s="89">
        <f>F655-G655-H655</f>
        <v>4421.3</v>
      </c>
      <c r="J655" s="63" t="s">
        <v>205</v>
      </c>
      <c r="K655" s="63">
        <v>1</v>
      </c>
      <c r="L655" s="63"/>
      <c r="M655" s="63"/>
      <c r="N655" s="63">
        <v>1</v>
      </c>
      <c r="O655" s="63"/>
      <c r="P655" s="63"/>
      <c r="Q655" s="63">
        <v>1</v>
      </c>
      <c r="R655" s="63">
        <v>1</v>
      </c>
      <c r="S655" s="296">
        <v>1</v>
      </c>
      <c r="T655" s="63"/>
      <c r="U655" s="10"/>
      <c r="V655" s="90"/>
      <c r="W655" s="136"/>
      <c r="X655" s="137"/>
    </row>
    <row r="656" spans="1:24">
      <c r="A656" s="614"/>
      <c r="B656" s="87">
        <f>B655+1</f>
        <v>20</v>
      </c>
      <c r="C656" s="282">
        <v>45947</v>
      </c>
      <c r="D656" s="283">
        <v>74596</v>
      </c>
      <c r="E656" s="283" t="s">
        <v>879</v>
      </c>
      <c r="F656" s="284">
        <v>2861</v>
      </c>
      <c r="G656" s="284">
        <v>39.700000000000003</v>
      </c>
      <c r="H656" s="284"/>
      <c r="I656" s="285">
        <f>F656-G656-H656</f>
        <v>2821.3</v>
      </c>
      <c r="J656" s="286" t="s">
        <v>205</v>
      </c>
      <c r="K656" s="286">
        <v>1</v>
      </c>
      <c r="L656" s="286"/>
      <c r="M656" s="286"/>
      <c r="N656" s="286">
        <v>1</v>
      </c>
      <c r="O656" s="286"/>
      <c r="P656" s="286"/>
      <c r="Q656" s="286">
        <v>1</v>
      </c>
      <c r="R656" s="286">
        <v>1</v>
      </c>
      <c r="S656" s="287">
        <v>1</v>
      </c>
      <c r="T656" s="63"/>
      <c r="U656" s="10"/>
      <c r="V656" s="90"/>
      <c r="W656" s="136"/>
      <c r="X656" s="137"/>
    </row>
    <row r="657" spans="1:25">
      <c r="A657" s="614"/>
      <c r="B657" s="11"/>
      <c r="C657" s="36"/>
      <c r="D657" s="10"/>
      <c r="E657" s="10"/>
      <c r="F657" s="97">
        <f>SUM(F637:F656)</f>
        <v>70965</v>
      </c>
      <c r="G657" s="97">
        <f>SUM(G637:G656)</f>
        <v>838.85000000000025</v>
      </c>
      <c r="H657" s="97">
        <f>SUM(H637:H656)</f>
        <v>0</v>
      </c>
      <c r="I657" s="98">
        <f>SUM(I637:I656)</f>
        <v>70126.150000000023</v>
      </c>
      <c r="J657" s="10"/>
      <c r="K657" s="10"/>
      <c r="L657" s="10"/>
      <c r="M657" s="10"/>
      <c r="N657" s="10"/>
      <c r="O657" s="10"/>
      <c r="P657" s="10"/>
      <c r="Q657" s="10"/>
      <c r="R657" s="10"/>
      <c r="S657" s="10"/>
      <c r="T657" s="63"/>
      <c r="U657" s="10"/>
      <c r="V657" s="138"/>
      <c r="W657" s="136"/>
      <c r="X657" s="137"/>
    </row>
    <row r="658" spans="1:25">
      <c r="A658" s="614"/>
      <c r="B658" s="26"/>
      <c r="C658" s="612"/>
      <c r="D658" s="141"/>
      <c r="E658" s="141"/>
      <c r="F658" s="141"/>
      <c r="G658" s="141"/>
      <c r="H658" s="141"/>
      <c r="I658" s="141"/>
      <c r="J658" s="141"/>
      <c r="K658" s="142"/>
      <c r="L658" s="142"/>
      <c r="M658" s="142"/>
      <c r="N658" s="142"/>
      <c r="O658" s="142"/>
      <c r="P658" s="142"/>
      <c r="Q658" s="142"/>
      <c r="R658" s="142"/>
      <c r="S658" s="142"/>
      <c r="T658" s="143">
        <f>SUM(T601:T657)</f>
        <v>2</v>
      </c>
      <c r="U658" s="141"/>
      <c r="V658" s="144">
        <f>SUM(V601:V657)</f>
        <v>39041.72</v>
      </c>
      <c r="W658" s="144">
        <f t="shared" ref="W658:X658" si="110">SUM(W601:W657)</f>
        <v>0</v>
      </c>
      <c r="X658" s="144">
        <f t="shared" si="110"/>
        <v>0</v>
      </c>
    </row>
    <row r="661" spans="1:25">
      <c r="B661" s="4" t="s">
        <v>1</v>
      </c>
      <c r="C661" s="5"/>
      <c r="D661" s="6"/>
      <c r="E661" s="6"/>
      <c r="F661" s="7" t="s">
        <v>2</v>
      </c>
      <c r="G661" s="608">
        <v>45956</v>
      </c>
      <c r="H661" s="7"/>
      <c r="I661" s="6"/>
      <c r="J661" s="6"/>
      <c r="K661" s="6"/>
      <c r="L661" s="6"/>
      <c r="M661" s="6"/>
      <c r="N661" s="6"/>
      <c r="O661" s="6"/>
      <c r="P661" s="6"/>
      <c r="Q661" s="6"/>
      <c r="R661" s="6"/>
      <c r="S661" s="6"/>
      <c r="T661" s="6"/>
      <c r="U661" s="9"/>
      <c r="V661" s="10"/>
      <c r="W661" s="10"/>
      <c r="X661" s="10"/>
      <c r="Y661" s="2"/>
    </row>
    <row r="662" spans="1:25">
      <c r="B662" s="11"/>
      <c r="C662" s="10"/>
      <c r="D662" s="10"/>
      <c r="E662" s="10"/>
      <c r="F662" s="10"/>
      <c r="G662" s="7"/>
      <c r="H662" s="12"/>
      <c r="I662" s="10"/>
      <c r="J662" s="10"/>
      <c r="K662" s="13" t="s">
        <v>3</v>
      </c>
      <c r="L662" s="14"/>
      <c r="M662" s="15"/>
      <c r="N662" s="13" t="s">
        <v>4</v>
      </c>
      <c r="O662" s="14"/>
      <c r="P662" s="15"/>
      <c r="Q662" s="13" t="s">
        <v>5</v>
      </c>
      <c r="R662" s="14"/>
      <c r="S662" s="15"/>
      <c r="T662" s="16"/>
      <c r="U662" s="17"/>
      <c r="V662" s="10"/>
      <c r="W662" s="10"/>
      <c r="X662" s="10"/>
      <c r="Y662" s="2"/>
    </row>
    <row r="663" spans="1:25">
      <c r="B663" s="18" t="s">
        <v>6</v>
      </c>
      <c r="C663" s="19">
        <f>C664+C665</f>
        <v>27</v>
      </c>
      <c r="D663" s="10"/>
      <c r="E663" s="18" t="s">
        <v>7</v>
      </c>
      <c r="F663" s="6"/>
      <c r="G663" s="9"/>
      <c r="H663" s="10"/>
      <c r="I663" s="10"/>
      <c r="J663" s="10"/>
      <c r="K663" s="20" t="s">
        <v>8</v>
      </c>
      <c r="L663" s="21" t="s">
        <v>9</v>
      </c>
      <c r="M663" s="21" t="s">
        <v>10</v>
      </c>
      <c r="N663" s="20" t="s">
        <v>11</v>
      </c>
      <c r="O663" s="21" t="s">
        <v>12</v>
      </c>
      <c r="P663" s="22" t="s">
        <v>13</v>
      </c>
      <c r="Q663" s="21" t="s">
        <v>11</v>
      </c>
      <c r="R663" s="21" t="s">
        <v>12</v>
      </c>
      <c r="S663" s="22" t="s">
        <v>13</v>
      </c>
      <c r="T663" s="23" t="s">
        <v>14</v>
      </c>
      <c r="U663" s="17"/>
      <c r="V663" s="10"/>
      <c r="W663" s="10"/>
      <c r="X663" s="10"/>
      <c r="Y663" s="2"/>
    </row>
    <row r="664" spans="1:25">
      <c r="B664" s="24" t="s">
        <v>15</v>
      </c>
      <c r="C664" s="25">
        <f>P671</f>
        <v>14</v>
      </c>
      <c r="D664" s="10"/>
      <c r="E664" s="26" t="s">
        <v>16</v>
      </c>
      <c r="F664" s="27">
        <v>0.05</v>
      </c>
      <c r="G664" s="28"/>
      <c r="H664" s="10"/>
      <c r="I664" s="10"/>
      <c r="J664" s="18" t="s">
        <v>17</v>
      </c>
      <c r="K664" s="29">
        <f>K701</f>
        <v>12</v>
      </c>
      <c r="L664" s="29">
        <f t="shared" ref="L664:S664" si="111">L701</f>
        <v>11</v>
      </c>
      <c r="M664" s="29">
        <f t="shared" si="111"/>
        <v>12</v>
      </c>
      <c r="N664" s="29">
        <f t="shared" si="111"/>
        <v>12</v>
      </c>
      <c r="O664" s="29">
        <f t="shared" si="111"/>
        <v>12</v>
      </c>
      <c r="P664" s="29">
        <f t="shared" si="111"/>
        <v>12</v>
      </c>
      <c r="Q664" s="29">
        <f t="shared" si="111"/>
        <v>12</v>
      </c>
      <c r="R664" s="29">
        <f t="shared" si="111"/>
        <v>12</v>
      </c>
      <c r="S664" s="29">
        <f t="shared" si="111"/>
        <v>10</v>
      </c>
      <c r="T664" s="30">
        <f>T746</f>
        <v>5</v>
      </c>
      <c r="U664" s="17"/>
      <c r="V664" s="10"/>
      <c r="W664" s="10"/>
      <c r="X664" s="10"/>
      <c r="Y664" s="2"/>
    </row>
    <row r="665" spans="1:25">
      <c r="B665" s="24" t="s">
        <v>18</v>
      </c>
      <c r="C665" s="25">
        <f>P672</f>
        <v>13</v>
      </c>
      <c r="D665" s="10"/>
      <c r="E665" s="10"/>
      <c r="F665" s="10"/>
      <c r="G665" s="31"/>
      <c r="H665" s="10"/>
      <c r="I665" s="10"/>
      <c r="J665" s="32" t="s">
        <v>19</v>
      </c>
      <c r="K665" s="33">
        <f>K701/K700</f>
        <v>1</v>
      </c>
      <c r="L665" s="33">
        <f t="shared" ref="L665:S665" si="112">L701/L700</f>
        <v>0.91666666666666663</v>
      </c>
      <c r="M665" s="33">
        <f t="shared" si="112"/>
        <v>1</v>
      </c>
      <c r="N665" s="33">
        <f t="shared" si="112"/>
        <v>1</v>
      </c>
      <c r="O665" s="33">
        <f t="shared" si="112"/>
        <v>1</v>
      </c>
      <c r="P665" s="33">
        <f t="shared" si="112"/>
        <v>1</v>
      </c>
      <c r="Q665" s="33">
        <f t="shared" si="112"/>
        <v>1</v>
      </c>
      <c r="R665" s="33">
        <f t="shared" si="112"/>
        <v>1</v>
      </c>
      <c r="S665" s="33">
        <f t="shared" si="112"/>
        <v>0.83333333333333337</v>
      </c>
      <c r="T665" s="23">
        <v>1</v>
      </c>
      <c r="U665" s="17" t="s">
        <v>20</v>
      </c>
      <c r="V665" s="10"/>
      <c r="W665" s="10"/>
      <c r="X665" s="10"/>
      <c r="Y665" s="2"/>
    </row>
    <row r="666" spans="1:25">
      <c r="B666" s="24" t="s">
        <v>21</v>
      </c>
      <c r="C666" s="34">
        <f>P673</f>
        <v>0.51851851851851849</v>
      </c>
      <c r="D666" s="10"/>
      <c r="E666" s="10"/>
      <c r="F666" s="10"/>
      <c r="G666" s="10"/>
      <c r="H666" s="10"/>
      <c r="I666" s="10"/>
      <c r="J666" s="10"/>
      <c r="K666" s="10"/>
      <c r="L666" s="10"/>
      <c r="M666" s="10"/>
      <c r="N666" s="10"/>
      <c r="O666" s="10"/>
      <c r="P666" s="10"/>
      <c r="Q666" s="10"/>
      <c r="R666" s="10"/>
      <c r="S666" s="10"/>
      <c r="T666" s="10"/>
      <c r="U666" s="17"/>
      <c r="V666" s="10"/>
      <c r="W666" s="10"/>
      <c r="X666" s="10"/>
      <c r="Y666" s="2"/>
    </row>
    <row r="667" spans="1:25">
      <c r="B667" s="24"/>
      <c r="C667" s="25"/>
      <c r="D667" s="10"/>
      <c r="E667" s="10"/>
      <c r="F667" s="18" t="s">
        <v>22</v>
      </c>
      <c r="G667" s="19" t="s">
        <v>23</v>
      </c>
      <c r="H667" s="35" t="s">
        <v>24</v>
      </c>
      <c r="I667" s="10"/>
      <c r="J667" s="10"/>
      <c r="K667" s="36"/>
      <c r="L667" s="36"/>
      <c r="M667" s="36"/>
      <c r="N667" s="36"/>
      <c r="O667" s="36"/>
      <c r="P667" s="36"/>
      <c r="Q667" s="36"/>
      <c r="R667" s="10"/>
      <c r="S667" s="10"/>
      <c r="T667" s="10"/>
      <c r="U667" s="17"/>
      <c r="V667" s="10"/>
      <c r="W667" s="10"/>
      <c r="X667" s="10"/>
      <c r="Y667" s="2"/>
    </row>
    <row r="668" spans="1:25">
      <c r="B668" s="32" t="s">
        <v>25</v>
      </c>
      <c r="C668" s="37">
        <f>P674</f>
        <v>1348.2271428571428</v>
      </c>
      <c r="D668" s="10"/>
      <c r="E668" s="18" t="s">
        <v>26</v>
      </c>
      <c r="F668" s="38">
        <f>P670</f>
        <v>18875.18</v>
      </c>
      <c r="G668" s="39">
        <f>I700+I705+I709</f>
        <v>18875.18</v>
      </c>
      <c r="H668" s="768" t="s">
        <v>905</v>
      </c>
      <c r="I668" s="769"/>
      <c r="J668" s="770"/>
      <c r="K668" s="43" t="s">
        <v>27</v>
      </c>
      <c r="L668" s="44"/>
      <c r="M668" s="44"/>
      <c r="N668" s="44"/>
      <c r="O668" s="44"/>
      <c r="P668" s="44"/>
      <c r="Q668" s="45"/>
      <c r="R668" s="46" t="s">
        <v>28</v>
      </c>
      <c r="S668" s="47" t="s">
        <v>29</v>
      </c>
      <c r="T668" s="10"/>
      <c r="U668" s="17"/>
      <c r="V668" s="10"/>
      <c r="W668" s="10"/>
      <c r="X668" s="10"/>
      <c r="Y668" s="2"/>
    </row>
    <row r="669" spans="1:25">
      <c r="B669" s="11"/>
      <c r="C669" s="10"/>
      <c r="D669" s="10"/>
      <c r="E669" s="24" t="s">
        <v>30</v>
      </c>
      <c r="F669" s="48">
        <f>F664</f>
        <v>0.05</v>
      </c>
      <c r="G669" s="17"/>
      <c r="H669" s="768"/>
      <c r="I669" s="769"/>
      <c r="J669" s="770"/>
      <c r="K669" s="20" t="s">
        <v>31</v>
      </c>
      <c r="L669" s="21" t="s">
        <v>32</v>
      </c>
      <c r="M669" s="21" t="s">
        <v>33</v>
      </c>
      <c r="N669" s="21" t="s">
        <v>34</v>
      </c>
      <c r="O669" s="21" t="s">
        <v>35</v>
      </c>
      <c r="P669" s="21" t="s">
        <v>36</v>
      </c>
      <c r="Q669" s="49" t="s">
        <v>37</v>
      </c>
      <c r="R669" s="50" t="s">
        <v>38</v>
      </c>
      <c r="S669" s="50" t="s">
        <v>38</v>
      </c>
      <c r="T669" s="10"/>
      <c r="U669" s="17"/>
      <c r="V669" s="10"/>
      <c r="W669" s="10"/>
      <c r="X669" s="10"/>
      <c r="Y669" s="2"/>
    </row>
    <row r="670" spans="1:25">
      <c r="B670" s="11"/>
      <c r="C670" s="10"/>
      <c r="D670" s="10"/>
      <c r="E670" s="51" t="s">
        <v>39</v>
      </c>
      <c r="F670" s="52">
        <f>(F668-I690-I691-I694-I698-I699-I704-I708)*F669</f>
        <v>349.625</v>
      </c>
      <c r="G670" s="53" t="s">
        <v>40</v>
      </c>
      <c r="H670" s="54">
        <f>F670/1.12</f>
        <v>312.16517857142856</v>
      </c>
      <c r="I670" s="55"/>
      <c r="J670" s="42"/>
      <c r="K670" s="56">
        <f>I688+I708</f>
        <v>1779.3</v>
      </c>
      <c r="L670" s="57">
        <f>I689+I690+I691</f>
        <v>7010.54</v>
      </c>
      <c r="M670" s="57">
        <f>I692+I693+I695+I694</f>
        <v>6483.04</v>
      </c>
      <c r="N670" s="57">
        <f>I696+I704</f>
        <v>1362</v>
      </c>
      <c r="O670" s="57">
        <f>I698+I699+I697</f>
        <v>2240.3000000000002</v>
      </c>
      <c r="P670" s="57">
        <f>SUM(K670:O670)</f>
        <v>18875.18</v>
      </c>
      <c r="Q670" s="58">
        <v>0</v>
      </c>
      <c r="R670" s="59">
        <f>I705+I709</f>
        <v>1362</v>
      </c>
      <c r="S670" s="59">
        <v>0</v>
      </c>
      <c r="T670" s="10"/>
      <c r="U670" s="17"/>
      <c r="V670" s="10"/>
      <c r="W670" s="10"/>
      <c r="X670" s="10"/>
      <c r="Y670" s="2"/>
    </row>
    <row r="671" spans="1:25">
      <c r="B671" s="11"/>
      <c r="C671" s="10"/>
      <c r="D671" s="10"/>
      <c r="E671" s="24" t="s">
        <v>41</v>
      </c>
      <c r="F671" s="60">
        <f>Q670</f>
        <v>0</v>
      </c>
      <c r="G671" s="61" t="s">
        <v>40</v>
      </c>
      <c r="H671" s="62"/>
      <c r="I671" s="62"/>
      <c r="J671" s="10" t="s">
        <v>42</v>
      </c>
      <c r="K671" s="63">
        <v>2</v>
      </c>
      <c r="L671" s="63">
        <v>3</v>
      </c>
      <c r="M671" s="63">
        <v>4</v>
      </c>
      <c r="N671" s="63">
        <v>2</v>
      </c>
      <c r="O671" s="63">
        <v>3</v>
      </c>
      <c r="P671" s="21">
        <f>SUM(K671:O671)</f>
        <v>14</v>
      </c>
      <c r="Q671" s="64"/>
      <c r="R671" s="63"/>
      <c r="S671" s="10"/>
      <c r="T671" s="10"/>
      <c r="U671" s="17"/>
      <c r="V671" s="10"/>
      <c r="W671" s="10"/>
      <c r="X671" s="10"/>
      <c r="Y671" s="2"/>
    </row>
    <row r="672" spans="1:25">
      <c r="B672" s="11"/>
      <c r="C672" s="10"/>
      <c r="D672" s="10"/>
      <c r="E672" s="51" t="s">
        <v>43</v>
      </c>
      <c r="F672" s="52">
        <f>F671*0.25</f>
        <v>0</v>
      </c>
      <c r="G672" s="53" t="s">
        <v>40</v>
      </c>
      <c r="H672" s="54">
        <f>F672/1.12</f>
        <v>0</v>
      </c>
      <c r="I672" s="10"/>
      <c r="J672" s="10" t="s">
        <v>44</v>
      </c>
      <c r="K672" s="63">
        <v>1</v>
      </c>
      <c r="L672" s="63">
        <v>3</v>
      </c>
      <c r="M672" s="63">
        <v>3</v>
      </c>
      <c r="N672" s="63">
        <v>3</v>
      </c>
      <c r="O672" s="63">
        <v>3</v>
      </c>
      <c r="P672" s="21">
        <f>SUM(K672:O672)</f>
        <v>13</v>
      </c>
      <c r="Q672" s="64"/>
      <c r="R672" s="63"/>
      <c r="S672" s="10"/>
      <c r="T672" s="10"/>
      <c r="U672" s="17"/>
      <c r="V672" s="10"/>
      <c r="W672" s="10"/>
      <c r="X672" s="10"/>
      <c r="Y672" s="2"/>
    </row>
    <row r="673" spans="2:25">
      <c r="B673" s="11"/>
      <c r="C673" s="10"/>
      <c r="D673" s="10"/>
      <c r="E673" s="24" t="s">
        <v>45</v>
      </c>
      <c r="F673" s="60"/>
      <c r="G673" s="61" t="s">
        <v>40</v>
      </c>
      <c r="H673" s="62"/>
      <c r="I673" s="10"/>
      <c r="J673" s="10" t="s">
        <v>46</v>
      </c>
      <c r="K673" s="31">
        <f t="shared" ref="K673:Q673" si="113">K671/(K671+K672)</f>
        <v>0.66666666666666663</v>
      </c>
      <c r="L673" s="31">
        <f t="shared" si="113"/>
        <v>0.5</v>
      </c>
      <c r="M673" s="31">
        <f t="shared" si="113"/>
        <v>0.5714285714285714</v>
      </c>
      <c r="N673" s="31">
        <f t="shared" si="113"/>
        <v>0.4</v>
      </c>
      <c r="O673" s="31">
        <f t="shared" si="113"/>
        <v>0.5</v>
      </c>
      <c r="P673" s="31">
        <f t="shared" si="113"/>
        <v>0.51851851851851849</v>
      </c>
      <c r="Q673" s="31" t="e">
        <f t="shared" si="113"/>
        <v>#DIV/0!</v>
      </c>
      <c r="R673" s="63"/>
      <c r="S673" s="10"/>
      <c r="T673" s="10"/>
      <c r="U673" s="17"/>
      <c r="V673" s="10"/>
      <c r="W673" s="10"/>
      <c r="X673" s="10"/>
      <c r="Y673" s="2"/>
    </row>
    <row r="674" spans="2:25">
      <c r="B674" s="11"/>
      <c r="C674" s="10"/>
      <c r="D674" s="10"/>
      <c r="E674" s="51" t="s">
        <v>47</v>
      </c>
      <c r="F674" s="52">
        <f>F673*0.05</f>
        <v>0</v>
      </c>
      <c r="G674" s="65" t="s">
        <v>40</v>
      </c>
      <c r="H674" s="54">
        <f>F674/1.12</f>
        <v>0</v>
      </c>
      <c r="I674" s="42"/>
      <c r="J674" s="10" t="s">
        <v>48</v>
      </c>
      <c r="K674" s="66">
        <f>K670/K671</f>
        <v>889.65</v>
      </c>
      <c r="L674" s="66">
        <f t="shared" ref="L674:Q674" si="114">L670/L671</f>
        <v>2336.8466666666668</v>
      </c>
      <c r="M674" s="66">
        <f t="shared" si="114"/>
        <v>1620.76</v>
      </c>
      <c r="N674" s="66">
        <f t="shared" si="114"/>
        <v>681</v>
      </c>
      <c r="O674" s="66">
        <f t="shared" si="114"/>
        <v>746.76666666666677</v>
      </c>
      <c r="P674" s="66">
        <f t="shared" si="114"/>
        <v>1348.2271428571428</v>
      </c>
      <c r="Q674" s="66" t="e">
        <f t="shared" si="114"/>
        <v>#DIV/0!</v>
      </c>
      <c r="R674" s="63"/>
      <c r="S674" s="10"/>
      <c r="T674" s="10"/>
      <c r="U674" s="17"/>
      <c r="V674" s="10"/>
      <c r="W674" s="10"/>
      <c r="X674" s="10"/>
      <c r="Y674" s="2"/>
    </row>
    <row r="675" spans="2:25">
      <c r="B675" s="11"/>
      <c r="C675" s="10"/>
      <c r="D675" s="10"/>
      <c r="E675" s="67" t="s">
        <v>14</v>
      </c>
      <c r="F675" s="68">
        <f>5*50</f>
        <v>250</v>
      </c>
      <c r="G675" s="10"/>
      <c r="H675" s="54">
        <f>F675/1.12</f>
        <v>223.21428571428569</v>
      </c>
      <c r="I675" s="10"/>
      <c r="J675" s="10"/>
      <c r="K675" s="10"/>
      <c r="L675" s="10"/>
      <c r="M675" s="10"/>
      <c r="N675" s="10"/>
      <c r="O675" s="10"/>
      <c r="P675" s="10"/>
      <c r="Q675" s="10"/>
      <c r="R675" s="10"/>
      <c r="S675" s="10"/>
      <c r="T675" s="10"/>
      <c r="U675" s="17"/>
      <c r="V675" s="10"/>
      <c r="W675" s="10"/>
      <c r="X675" s="10"/>
      <c r="Y675" s="2"/>
    </row>
    <row r="676" spans="2:25">
      <c r="B676" s="11"/>
      <c r="C676" s="10"/>
      <c r="D676" s="10"/>
      <c r="E676" s="67" t="s">
        <v>49</v>
      </c>
      <c r="F676" s="69">
        <f>T665</f>
        <v>1</v>
      </c>
      <c r="G676" s="10"/>
      <c r="H676" s="54"/>
      <c r="I676" s="55"/>
      <c r="J676" s="42"/>
      <c r="K676" s="764" t="s">
        <v>50</v>
      </c>
      <c r="L676" s="765"/>
      <c r="M676" s="765"/>
      <c r="N676" s="765"/>
      <c r="O676" s="765"/>
      <c r="P676" s="765"/>
      <c r="Q676" s="766"/>
      <c r="R676" s="70" t="s">
        <v>28</v>
      </c>
      <c r="S676" s="71" t="s">
        <v>29</v>
      </c>
      <c r="T676" s="10"/>
      <c r="U676" s="17"/>
      <c r="V676" s="10"/>
      <c r="W676" s="10"/>
      <c r="X676" s="10"/>
      <c r="Y676" s="2"/>
    </row>
    <row r="677" spans="2:25">
      <c r="B677" s="11"/>
      <c r="C677" s="10"/>
      <c r="D677" s="10"/>
      <c r="E677" s="67" t="s">
        <v>649</v>
      </c>
      <c r="F677" s="68">
        <f>$F$411</f>
        <v>438.71299999999997</v>
      </c>
      <c r="G677" s="123"/>
      <c r="H677" s="54">
        <f>F677/1.12</f>
        <v>391.70803571428564</v>
      </c>
      <c r="I677" s="10"/>
      <c r="J677" s="42"/>
      <c r="K677" s="20" t="s">
        <v>31</v>
      </c>
      <c r="L677" s="21" t="s">
        <v>32</v>
      </c>
      <c r="M677" s="21" t="s">
        <v>33</v>
      </c>
      <c r="N677" s="21" t="s">
        <v>34</v>
      </c>
      <c r="O677" s="21" t="s">
        <v>35</v>
      </c>
      <c r="P677" s="21" t="s">
        <v>36</v>
      </c>
      <c r="Q677" s="49" t="s">
        <v>37</v>
      </c>
      <c r="R677" s="50" t="s">
        <v>38</v>
      </c>
      <c r="S677" s="50" t="s">
        <v>38</v>
      </c>
      <c r="T677" s="10"/>
      <c r="U677" s="17"/>
      <c r="V677" s="10"/>
      <c r="W677" s="10"/>
      <c r="X677" s="10"/>
      <c r="Y677" s="2"/>
    </row>
    <row r="678" spans="2:25">
      <c r="B678" s="11"/>
      <c r="C678" s="10"/>
      <c r="D678" s="10"/>
      <c r="E678" s="67" t="s">
        <v>906</v>
      </c>
      <c r="F678" s="68">
        <f>$F$499</f>
        <v>616.11649999999997</v>
      </c>
      <c r="G678" s="123"/>
      <c r="H678" s="54">
        <f>F678/1.12</f>
        <v>550.10401785714282</v>
      </c>
      <c r="I678" s="10"/>
      <c r="J678" s="42"/>
      <c r="K678" s="56">
        <f>F688+F708</f>
        <v>1819</v>
      </c>
      <c r="L678" s="57">
        <f>F689+F690+F691</f>
        <v>7770</v>
      </c>
      <c r="M678" s="57">
        <f>F692+F693+F695+F694</f>
        <v>8106</v>
      </c>
      <c r="N678" s="57">
        <f>F696+F704</f>
        <v>1362</v>
      </c>
      <c r="O678" s="57">
        <f>F698+F699+F697</f>
        <v>2280</v>
      </c>
      <c r="P678" s="57">
        <f>SUM(K678:O678)</f>
        <v>21337</v>
      </c>
      <c r="Q678" s="58">
        <v>0</v>
      </c>
      <c r="R678" s="59">
        <f>F705+F709</f>
        <v>1362</v>
      </c>
      <c r="S678" s="59">
        <v>0</v>
      </c>
      <c r="T678" s="10"/>
      <c r="U678" s="17"/>
      <c r="V678" s="10"/>
      <c r="W678" s="10"/>
      <c r="X678" s="10"/>
      <c r="Y678" s="2"/>
    </row>
    <row r="679" spans="2:25">
      <c r="B679" s="11"/>
      <c r="C679" s="10"/>
      <c r="D679" s="10"/>
      <c r="E679" s="67" t="s">
        <v>907</v>
      </c>
      <c r="F679" s="68">
        <f>$F$584</f>
        <v>392.3725</v>
      </c>
      <c r="G679" s="123"/>
      <c r="H679" s="54">
        <f>F679/1.12</f>
        <v>350.33258928571428</v>
      </c>
      <c r="I679" s="10"/>
      <c r="J679" s="10" t="s">
        <v>42</v>
      </c>
      <c r="K679" s="63">
        <f>K671</f>
        <v>2</v>
      </c>
      <c r="L679" s="63">
        <f t="shared" ref="L679:Q680" si="115">L671</f>
        <v>3</v>
      </c>
      <c r="M679" s="63">
        <f t="shared" si="115"/>
        <v>4</v>
      </c>
      <c r="N679" s="63">
        <f t="shared" si="115"/>
        <v>2</v>
      </c>
      <c r="O679" s="63">
        <f t="shared" si="115"/>
        <v>3</v>
      </c>
      <c r="P679" s="63">
        <f t="shared" si="115"/>
        <v>14</v>
      </c>
      <c r="Q679" s="63">
        <f t="shared" si="115"/>
        <v>0</v>
      </c>
      <c r="R679" s="63"/>
      <c r="S679" s="10"/>
      <c r="T679" s="10"/>
      <c r="U679" s="17"/>
      <c r="V679" s="10"/>
      <c r="W679" s="10"/>
      <c r="X679" s="10"/>
      <c r="Y679" s="2"/>
    </row>
    <row r="680" spans="2:25">
      <c r="B680" s="11"/>
      <c r="C680" s="10"/>
      <c r="D680" s="10"/>
      <c r="E680" s="74" t="s">
        <v>908</v>
      </c>
      <c r="F680" s="75">
        <f>-227.6</f>
        <v>-227.6</v>
      </c>
      <c r="G680" s="10"/>
      <c r="H680" s="10"/>
      <c r="I680" s="10"/>
      <c r="J680" s="10" t="s">
        <v>44</v>
      </c>
      <c r="K680" s="63">
        <f>K672</f>
        <v>1</v>
      </c>
      <c r="L680" s="63">
        <f t="shared" si="115"/>
        <v>3</v>
      </c>
      <c r="M680" s="63">
        <f t="shared" si="115"/>
        <v>3</v>
      </c>
      <c r="N680" s="63">
        <f t="shared" si="115"/>
        <v>3</v>
      </c>
      <c r="O680" s="63">
        <f t="shared" si="115"/>
        <v>3</v>
      </c>
      <c r="P680" s="63">
        <f t="shared" si="115"/>
        <v>13</v>
      </c>
      <c r="Q680" s="63">
        <f t="shared" si="115"/>
        <v>0</v>
      </c>
      <c r="R680" s="63"/>
      <c r="S680" s="10"/>
      <c r="T680" s="10"/>
      <c r="U680" s="17"/>
      <c r="V680" s="10"/>
      <c r="W680" s="10"/>
      <c r="X680" s="10"/>
      <c r="Y680" s="2"/>
    </row>
    <row r="681" spans="2:25">
      <c r="B681" s="11"/>
      <c r="C681" s="10"/>
      <c r="D681" s="10"/>
      <c r="E681" s="528" t="s">
        <v>909</v>
      </c>
      <c r="F681" s="402">
        <f>1.39+1.39</f>
        <v>2.78</v>
      </c>
      <c r="G681" s="10"/>
      <c r="H681" s="10"/>
      <c r="I681" s="10"/>
      <c r="J681" s="10" t="s">
        <v>46</v>
      </c>
      <c r="K681" s="31">
        <f t="shared" ref="K681:Q681" si="116">K679/(K679+K680)</f>
        <v>0.66666666666666663</v>
      </c>
      <c r="L681" s="31">
        <f t="shared" si="116"/>
        <v>0.5</v>
      </c>
      <c r="M681" s="31">
        <f t="shared" si="116"/>
        <v>0.5714285714285714</v>
      </c>
      <c r="N681" s="31">
        <f t="shared" si="116"/>
        <v>0.4</v>
      </c>
      <c r="O681" s="31">
        <f t="shared" si="116"/>
        <v>0.5</v>
      </c>
      <c r="P681" s="31">
        <f t="shared" si="116"/>
        <v>0.51851851851851849</v>
      </c>
      <c r="Q681" s="31" t="e">
        <f t="shared" si="116"/>
        <v>#DIV/0!</v>
      </c>
      <c r="R681" s="63"/>
      <c r="S681" s="10"/>
      <c r="T681" s="10"/>
      <c r="U681" s="17"/>
      <c r="V681" s="10"/>
      <c r="W681" s="10"/>
      <c r="X681" s="10"/>
      <c r="Y681" s="2"/>
    </row>
    <row r="682" spans="2:25">
      <c r="B682" s="11"/>
      <c r="C682" s="10"/>
      <c r="D682" s="10"/>
      <c r="E682" s="485" t="s">
        <v>910</v>
      </c>
      <c r="F682" s="403">
        <v>2.77</v>
      </c>
      <c r="G682" s="10"/>
      <c r="H682" s="10"/>
      <c r="I682" s="10"/>
      <c r="J682" s="10" t="s">
        <v>48</v>
      </c>
      <c r="K682" s="66">
        <f t="shared" ref="K682:Q682" si="117">K678/K679</f>
        <v>909.5</v>
      </c>
      <c r="L682" s="66">
        <f t="shared" si="117"/>
        <v>2590</v>
      </c>
      <c r="M682" s="66">
        <f t="shared" si="117"/>
        <v>2026.5</v>
      </c>
      <c r="N682" s="66">
        <f t="shared" si="117"/>
        <v>681</v>
      </c>
      <c r="O682" s="66">
        <f t="shared" si="117"/>
        <v>760</v>
      </c>
      <c r="P682" s="66">
        <f t="shared" si="117"/>
        <v>1524.0714285714287</v>
      </c>
      <c r="Q682" s="66" t="e">
        <f t="shared" si="117"/>
        <v>#DIV/0!</v>
      </c>
      <c r="R682" s="63"/>
      <c r="S682" s="10"/>
      <c r="T682" s="10"/>
      <c r="U682" s="17"/>
      <c r="V682" s="10"/>
      <c r="W682" s="10"/>
      <c r="X682" s="10"/>
      <c r="Y682" s="2"/>
    </row>
    <row r="683" spans="2:25">
      <c r="B683" s="11"/>
      <c r="C683" s="10"/>
      <c r="D683" s="10"/>
      <c r="E683" s="10"/>
      <c r="F683" s="10"/>
      <c r="G683" s="10"/>
      <c r="H683" s="10"/>
      <c r="I683" s="10"/>
      <c r="J683" s="10"/>
      <c r="K683" s="10"/>
      <c r="L683" s="10"/>
      <c r="M683" s="10"/>
      <c r="N683" s="10"/>
      <c r="O683" s="10"/>
      <c r="P683" s="10"/>
      <c r="Q683" s="10"/>
      <c r="R683" s="10"/>
      <c r="S683" s="10"/>
      <c r="T683" s="10"/>
      <c r="U683" s="17"/>
      <c r="V683" s="10"/>
      <c r="W683" s="10"/>
      <c r="X683" s="10"/>
      <c r="Y683" s="2"/>
    </row>
    <row r="684" spans="2:25">
      <c r="B684" s="11"/>
      <c r="C684" s="10"/>
      <c r="D684" s="10"/>
      <c r="E684" s="10"/>
      <c r="F684" s="10"/>
      <c r="G684" s="10"/>
      <c r="H684" s="10"/>
      <c r="I684" s="10"/>
      <c r="J684" s="10"/>
      <c r="K684" s="10"/>
      <c r="L684" s="10"/>
      <c r="M684" s="10"/>
      <c r="N684" s="10"/>
      <c r="O684" s="10"/>
      <c r="P684" s="10"/>
      <c r="Q684" s="10"/>
      <c r="R684" s="10"/>
      <c r="S684" s="10"/>
      <c r="T684" s="10"/>
      <c r="U684" s="17"/>
      <c r="V684" s="10"/>
      <c r="W684" s="10"/>
      <c r="X684" s="10"/>
      <c r="Y684" s="2"/>
    </row>
    <row r="685" spans="2:25">
      <c r="B685" s="18" t="s">
        <v>51</v>
      </c>
      <c r="C685" s="14"/>
      <c r="D685" s="14"/>
      <c r="E685" s="14"/>
      <c r="F685" s="13" t="s">
        <v>52</v>
      </c>
      <c r="G685" s="14"/>
      <c r="H685" s="14"/>
      <c r="I685" s="14"/>
      <c r="J685" s="14"/>
      <c r="K685" s="13" t="s">
        <v>3</v>
      </c>
      <c r="L685" s="14"/>
      <c r="M685" s="14"/>
      <c r="N685" s="13" t="s">
        <v>4</v>
      </c>
      <c r="O685" s="14"/>
      <c r="P685" s="14"/>
      <c r="Q685" s="13" t="s">
        <v>5</v>
      </c>
      <c r="R685" s="14"/>
      <c r="S685" s="14"/>
      <c r="T685" s="18"/>
      <c r="U685" s="16" t="s">
        <v>53</v>
      </c>
      <c r="V685" s="77"/>
      <c r="W685" s="77"/>
      <c r="X685" s="77"/>
      <c r="Y685" s="2"/>
    </row>
    <row r="686" spans="2:25">
      <c r="B686" s="24" t="s">
        <v>54</v>
      </c>
      <c r="C686" s="21" t="s">
        <v>55</v>
      </c>
      <c r="D686" s="21" t="s">
        <v>56</v>
      </c>
      <c r="E686" s="21" t="s">
        <v>57</v>
      </c>
      <c r="F686" s="20" t="s">
        <v>58</v>
      </c>
      <c r="G686" s="21" t="s">
        <v>59</v>
      </c>
      <c r="H686" s="21" t="s">
        <v>60</v>
      </c>
      <c r="I686" s="21" t="s">
        <v>26</v>
      </c>
      <c r="J686" s="22" t="s">
        <v>61</v>
      </c>
      <c r="K686" s="21" t="s">
        <v>8</v>
      </c>
      <c r="L686" s="21" t="s">
        <v>9</v>
      </c>
      <c r="M686" s="21" t="s">
        <v>10</v>
      </c>
      <c r="N686" s="20" t="s">
        <v>11</v>
      </c>
      <c r="O686" s="21" t="s">
        <v>12</v>
      </c>
      <c r="P686" s="22" t="s">
        <v>13</v>
      </c>
      <c r="Q686" s="21" t="s">
        <v>11</v>
      </c>
      <c r="R686" s="21" t="s">
        <v>12</v>
      </c>
      <c r="S686" s="21" t="s">
        <v>13</v>
      </c>
      <c r="T686" s="78" t="s">
        <v>14</v>
      </c>
      <c r="U686" s="30"/>
      <c r="V686" s="79" t="s">
        <v>62</v>
      </c>
      <c r="W686" s="80" t="s">
        <v>63</v>
      </c>
      <c r="X686" s="81" t="s">
        <v>64</v>
      </c>
      <c r="Y686" s="2"/>
    </row>
    <row r="687" spans="2:25">
      <c r="B687" s="4" t="s">
        <v>65</v>
      </c>
      <c r="C687" s="6"/>
      <c r="D687" s="6"/>
      <c r="E687" s="6"/>
      <c r="F687" s="6"/>
      <c r="G687" s="6"/>
      <c r="H687" s="6"/>
      <c r="I687" s="82"/>
      <c r="J687" s="6"/>
      <c r="K687" s="6"/>
      <c r="L687" s="6"/>
      <c r="M687" s="6"/>
      <c r="N687" s="6"/>
      <c r="O687" s="6"/>
      <c r="P687" s="6"/>
      <c r="Q687" s="6"/>
      <c r="R687" s="6"/>
      <c r="S687" s="6"/>
      <c r="T687" s="83"/>
      <c r="U687" s="6"/>
      <c r="V687" s="84"/>
      <c r="W687" s="85"/>
      <c r="X687" s="86"/>
      <c r="Y687" s="2"/>
    </row>
    <row r="688" spans="2:25">
      <c r="B688" s="87">
        <v>1</v>
      </c>
      <c r="C688" s="274">
        <v>45950</v>
      </c>
      <c r="D688" s="327">
        <v>74624</v>
      </c>
      <c r="E688" s="276" t="s">
        <v>563</v>
      </c>
      <c r="F688" s="277">
        <v>1138</v>
      </c>
      <c r="G688" s="277">
        <v>39.700000000000003</v>
      </c>
      <c r="H688" s="297"/>
      <c r="I688" s="278">
        <f t="shared" ref="I688:I699" si="118">F688-G688-H688</f>
        <v>1098.3</v>
      </c>
      <c r="J688" s="279" t="s">
        <v>156</v>
      </c>
      <c r="K688" s="279">
        <v>1</v>
      </c>
      <c r="L688" s="279">
        <v>1</v>
      </c>
      <c r="M688" s="279">
        <v>1</v>
      </c>
      <c r="N688" s="279">
        <v>1</v>
      </c>
      <c r="O688" s="279">
        <v>1</v>
      </c>
      <c r="P688" s="279">
        <v>1</v>
      </c>
      <c r="Q688" s="279">
        <v>1</v>
      </c>
      <c r="R688" s="279">
        <v>1</v>
      </c>
      <c r="S688" s="280">
        <v>1</v>
      </c>
      <c r="T688" s="63"/>
      <c r="U688" s="10"/>
      <c r="V688" s="90">
        <v>1251.8</v>
      </c>
      <c r="W688" s="91"/>
      <c r="X688" s="92"/>
      <c r="Y688" s="2"/>
    </row>
    <row r="689" spans="1:25">
      <c r="B689" s="87">
        <f t="shared" ref="B689:B699" si="119">B688+1</f>
        <v>2</v>
      </c>
      <c r="C689" s="274">
        <v>45951</v>
      </c>
      <c r="D689" s="276" t="s">
        <v>911</v>
      </c>
      <c r="E689" s="276" t="s">
        <v>879</v>
      </c>
      <c r="F689" s="277">
        <v>1261</v>
      </c>
      <c r="G689" s="277">
        <f>39.7</f>
        <v>39.700000000000003</v>
      </c>
      <c r="H689" s="277"/>
      <c r="I689" s="278">
        <f t="shared" si="118"/>
        <v>1221.3</v>
      </c>
      <c r="J689" s="279" t="s">
        <v>156</v>
      </c>
      <c r="K689" s="279">
        <v>1</v>
      </c>
      <c r="L689" s="279">
        <v>1</v>
      </c>
      <c r="M689" s="279">
        <v>1</v>
      </c>
      <c r="N689" s="279">
        <v>1</v>
      </c>
      <c r="O689" s="279">
        <v>1</v>
      </c>
      <c r="P689" s="279">
        <v>1</v>
      </c>
      <c r="Q689" s="279">
        <v>1</v>
      </c>
      <c r="R689" s="279">
        <v>1</v>
      </c>
      <c r="S689" s="280">
        <v>1</v>
      </c>
      <c r="T689" s="63"/>
      <c r="U689" s="10"/>
      <c r="V689" s="90">
        <v>1387.1</v>
      </c>
      <c r="W689" s="91"/>
      <c r="X689" s="92"/>
      <c r="Y689" s="2"/>
    </row>
    <row r="690" spans="1:25">
      <c r="A690" s="2" t="s">
        <v>912</v>
      </c>
      <c r="B690" s="87">
        <f t="shared" si="119"/>
        <v>3</v>
      </c>
      <c r="C690" s="295">
        <v>45951</v>
      </c>
      <c r="D690" s="10" t="s">
        <v>913</v>
      </c>
      <c r="E690" s="10" t="s">
        <v>879</v>
      </c>
      <c r="F690" s="62">
        <v>581</v>
      </c>
      <c r="G690" s="62">
        <f>200</f>
        <v>200</v>
      </c>
      <c r="H690" s="62"/>
      <c r="I690" s="369">
        <f t="shared" si="118"/>
        <v>381</v>
      </c>
      <c r="J690" s="63" t="s">
        <v>156</v>
      </c>
      <c r="K690" s="63">
        <v>1</v>
      </c>
      <c r="L690" s="63">
        <v>1</v>
      </c>
      <c r="M690" s="63">
        <v>1</v>
      </c>
      <c r="N690" s="63">
        <v>1</v>
      </c>
      <c r="O690" s="63">
        <v>1</v>
      </c>
      <c r="P690" s="63">
        <v>1</v>
      </c>
      <c r="Q690" s="63">
        <v>1</v>
      </c>
      <c r="R690" s="63">
        <v>1</v>
      </c>
      <c r="S690" s="296">
        <v>1</v>
      </c>
      <c r="T690" s="63"/>
      <c r="U690" s="10" t="s">
        <v>914</v>
      </c>
      <c r="V690" s="90">
        <v>639.1</v>
      </c>
      <c r="W690" s="91"/>
      <c r="X690" s="92"/>
      <c r="Y690" s="2"/>
    </row>
    <row r="691" spans="1:25">
      <c r="B691" s="87">
        <f t="shared" si="119"/>
        <v>4</v>
      </c>
      <c r="C691" s="295">
        <v>45951</v>
      </c>
      <c r="D691" s="10">
        <v>74656</v>
      </c>
      <c r="E691" s="10" t="s">
        <v>327</v>
      </c>
      <c r="F691" s="62">
        <f>6133-205</f>
        <v>5928</v>
      </c>
      <c r="G691" s="62">
        <f>39.7+(242.7-62.64)+300</f>
        <v>519.76</v>
      </c>
      <c r="H691" s="62"/>
      <c r="I691" s="369">
        <f t="shared" ref="I691" si="120">F691-G691-H691</f>
        <v>5408.24</v>
      </c>
      <c r="J691" s="63" t="s">
        <v>156</v>
      </c>
      <c r="K691" s="63">
        <v>1</v>
      </c>
      <c r="L691" s="63">
        <v>1</v>
      </c>
      <c r="M691" s="63">
        <v>1</v>
      </c>
      <c r="N691" s="63">
        <v>1</v>
      </c>
      <c r="O691" s="63">
        <v>1</v>
      </c>
      <c r="P691" s="63">
        <v>1</v>
      </c>
      <c r="Q691" s="63">
        <v>1</v>
      </c>
      <c r="R691" s="63">
        <v>1</v>
      </c>
      <c r="S691" s="326">
        <v>0</v>
      </c>
      <c r="T691" s="21">
        <v>1</v>
      </c>
      <c r="U691" s="94" t="s">
        <v>915</v>
      </c>
      <c r="V691" s="90">
        <f>600+1900+4246.3</f>
        <v>6746.3</v>
      </c>
      <c r="W691" s="91"/>
      <c r="X691" s="92"/>
      <c r="Y691" s="2"/>
    </row>
    <row r="692" spans="1:25">
      <c r="B692" s="87">
        <f t="shared" si="119"/>
        <v>5</v>
      </c>
      <c r="C692" s="274">
        <v>45952</v>
      </c>
      <c r="D692" s="276">
        <v>74698</v>
      </c>
      <c r="E692" s="276" t="s">
        <v>916</v>
      </c>
      <c r="F692" s="277">
        <v>1154</v>
      </c>
      <c r="G692" s="277">
        <f>39.7</f>
        <v>39.700000000000003</v>
      </c>
      <c r="H692" s="277"/>
      <c r="I692" s="278">
        <f t="shared" si="118"/>
        <v>1114.3</v>
      </c>
      <c r="J692" s="279" t="s">
        <v>156</v>
      </c>
      <c r="K692" s="279">
        <v>1</v>
      </c>
      <c r="L692" s="279">
        <v>1</v>
      </c>
      <c r="M692" s="279">
        <v>1</v>
      </c>
      <c r="N692" s="279">
        <v>1</v>
      </c>
      <c r="O692" s="279">
        <v>1</v>
      </c>
      <c r="P692" s="279">
        <v>1</v>
      </c>
      <c r="Q692" s="279">
        <v>1</v>
      </c>
      <c r="R692" s="279">
        <v>1</v>
      </c>
      <c r="S692" s="280">
        <v>1</v>
      </c>
      <c r="T692" s="21">
        <v>1</v>
      </c>
      <c r="U692" s="10" t="s">
        <v>917</v>
      </c>
      <c r="V692" s="90">
        <v>1269.4000000000001</v>
      </c>
      <c r="W692" s="91"/>
      <c r="X692" s="92"/>
      <c r="Y692" s="2"/>
    </row>
    <row r="693" spans="1:25">
      <c r="B693" s="87">
        <f t="shared" si="119"/>
        <v>6</v>
      </c>
      <c r="C693" s="295">
        <v>45952</v>
      </c>
      <c r="D693" s="10">
        <v>74696</v>
      </c>
      <c r="E693" s="10" t="s">
        <v>854</v>
      </c>
      <c r="F693" s="62">
        <v>681</v>
      </c>
      <c r="G693" s="62"/>
      <c r="H693" s="88"/>
      <c r="I693" s="89">
        <f t="shared" si="118"/>
        <v>681</v>
      </c>
      <c r="J693" s="63" t="s">
        <v>156</v>
      </c>
      <c r="K693" s="63">
        <v>1</v>
      </c>
      <c r="L693" s="63">
        <v>1</v>
      </c>
      <c r="M693" s="63">
        <v>1</v>
      </c>
      <c r="N693" s="63">
        <v>1</v>
      </c>
      <c r="O693" s="63">
        <v>1</v>
      </c>
      <c r="P693" s="63">
        <v>1</v>
      </c>
      <c r="Q693" s="63">
        <v>1</v>
      </c>
      <c r="R693" s="63">
        <v>1</v>
      </c>
      <c r="S693" s="296">
        <v>1</v>
      </c>
      <c r="T693" s="63"/>
      <c r="U693" s="10"/>
      <c r="V693" s="90">
        <v>749.1</v>
      </c>
      <c r="W693" s="91"/>
      <c r="X693" s="92"/>
      <c r="Y693" s="2"/>
    </row>
    <row r="694" spans="1:25">
      <c r="B694" s="87">
        <f>B693+1</f>
        <v>7</v>
      </c>
      <c r="C694" s="295">
        <v>45952</v>
      </c>
      <c r="D694" s="323" t="s">
        <v>918</v>
      </c>
      <c r="E694" s="10" t="s">
        <v>854</v>
      </c>
      <c r="F694" s="62">
        <v>5133</v>
      </c>
      <c r="G694" s="62">
        <f>39.7+(1253.86)+250</f>
        <v>1543.56</v>
      </c>
      <c r="H694" s="62"/>
      <c r="I694" s="369">
        <f>F694-G694-H694</f>
        <v>3589.44</v>
      </c>
      <c r="J694" s="63" t="s">
        <v>374</v>
      </c>
      <c r="K694" s="63">
        <v>1</v>
      </c>
      <c r="L694" s="325">
        <v>0</v>
      </c>
      <c r="M694" s="63">
        <v>1</v>
      </c>
      <c r="N694" s="63">
        <v>1</v>
      </c>
      <c r="O694" s="63">
        <v>1</v>
      </c>
      <c r="P694" s="63">
        <v>1</v>
      </c>
      <c r="Q694" s="63">
        <v>1</v>
      </c>
      <c r="R694" s="63">
        <v>1</v>
      </c>
      <c r="S694" s="296">
        <v>1</v>
      </c>
      <c r="T694" s="21">
        <v>1</v>
      </c>
      <c r="U694" s="94" t="s">
        <v>919</v>
      </c>
      <c r="V694" s="90">
        <f>5000+646.3</f>
        <v>5646.3</v>
      </c>
      <c r="W694" s="91"/>
      <c r="X694" s="92"/>
      <c r="Y694" s="2"/>
    </row>
    <row r="695" spans="1:25">
      <c r="B695" s="87">
        <f>B694+1</f>
        <v>8</v>
      </c>
      <c r="C695" s="295">
        <v>45952</v>
      </c>
      <c r="D695" s="10">
        <v>74619</v>
      </c>
      <c r="E695" s="10" t="s">
        <v>920</v>
      </c>
      <c r="F695" s="62">
        <v>1138</v>
      </c>
      <c r="G695" s="62">
        <f>39.7</f>
        <v>39.700000000000003</v>
      </c>
      <c r="H695" s="88"/>
      <c r="I695" s="89">
        <f t="shared" si="118"/>
        <v>1098.3</v>
      </c>
      <c r="J695" s="63" t="s">
        <v>156</v>
      </c>
      <c r="K695" s="63">
        <v>1</v>
      </c>
      <c r="L695" s="63">
        <v>1</v>
      </c>
      <c r="M695" s="63">
        <v>1</v>
      </c>
      <c r="N695" s="63">
        <v>1</v>
      </c>
      <c r="O695" s="63">
        <v>1</v>
      </c>
      <c r="P695" s="63">
        <v>1</v>
      </c>
      <c r="Q695" s="63">
        <v>1</v>
      </c>
      <c r="R695" s="63">
        <v>1</v>
      </c>
      <c r="S695" s="296">
        <v>1</v>
      </c>
      <c r="T695" s="63"/>
      <c r="U695" s="10"/>
      <c r="V695" s="90">
        <v>1251.8</v>
      </c>
      <c r="W695" s="91"/>
      <c r="X695" s="92"/>
      <c r="Y695" s="2"/>
    </row>
    <row r="696" spans="1:25">
      <c r="B696" s="87">
        <f t="shared" si="119"/>
        <v>9</v>
      </c>
      <c r="C696" s="274">
        <v>45953</v>
      </c>
      <c r="D696" s="276">
        <v>74766</v>
      </c>
      <c r="E696" s="276" t="s">
        <v>921</v>
      </c>
      <c r="F696" s="277">
        <v>681</v>
      </c>
      <c r="G696" s="277"/>
      <c r="H696" s="297"/>
      <c r="I696" s="278">
        <f t="shared" si="118"/>
        <v>681</v>
      </c>
      <c r="J696" s="279" t="s">
        <v>156</v>
      </c>
      <c r="K696" s="279">
        <v>1</v>
      </c>
      <c r="L696" s="279">
        <v>1</v>
      </c>
      <c r="M696" s="279">
        <v>1</v>
      </c>
      <c r="N696" s="279">
        <v>1</v>
      </c>
      <c r="O696" s="279">
        <v>1</v>
      </c>
      <c r="P696" s="279">
        <v>1</v>
      </c>
      <c r="Q696" s="279">
        <v>1</v>
      </c>
      <c r="R696" s="279">
        <v>1</v>
      </c>
      <c r="S696" s="280">
        <v>1</v>
      </c>
      <c r="T696" s="63"/>
      <c r="U696" s="10"/>
      <c r="V696" s="90">
        <v>749.1</v>
      </c>
      <c r="W696" s="91"/>
      <c r="X696" s="92"/>
      <c r="Y696" s="2"/>
    </row>
    <row r="697" spans="1:25">
      <c r="B697" s="87">
        <f>B696+1</f>
        <v>10</v>
      </c>
      <c r="C697" s="274">
        <v>45954</v>
      </c>
      <c r="D697" s="276">
        <v>74813</v>
      </c>
      <c r="E697" s="281" t="s">
        <v>922</v>
      </c>
      <c r="F697" s="277">
        <v>1138</v>
      </c>
      <c r="G697" s="277">
        <v>39.700000000000003</v>
      </c>
      <c r="H697" s="277"/>
      <c r="I697" s="278">
        <f>F697-G697-H697</f>
        <v>1098.3</v>
      </c>
      <c r="J697" s="279" t="s">
        <v>374</v>
      </c>
      <c r="K697" s="279">
        <v>1</v>
      </c>
      <c r="L697" s="279">
        <v>1</v>
      </c>
      <c r="M697" s="279">
        <v>1</v>
      </c>
      <c r="N697" s="279">
        <v>1</v>
      </c>
      <c r="O697" s="279">
        <v>1</v>
      </c>
      <c r="P697" s="279">
        <v>1</v>
      </c>
      <c r="Q697" s="279">
        <v>1</v>
      </c>
      <c r="R697" s="279">
        <v>1</v>
      </c>
      <c r="S697" s="280">
        <v>1</v>
      </c>
      <c r="T697" s="63"/>
      <c r="U697" s="10"/>
      <c r="V697" s="90">
        <v>1251.8</v>
      </c>
      <c r="W697" s="91"/>
      <c r="X697" s="92"/>
      <c r="Y697" s="2"/>
    </row>
    <row r="698" spans="1:25">
      <c r="B698" s="87">
        <f>B697+1</f>
        <v>11</v>
      </c>
      <c r="C698" s="295">
        <v>45954</v>
      </c>
      <c r="D698" s="323">
        <v>74804</v>
      </c>
      <c r="E698" s="10" t="s">
        <v>659</v>
      </c>
      <c r="F698" s="62">
        <v>461</v>
      </c>
      <c r="G698" s="62"/>
      <c r="H698" s="88"/>
      <c r="I698" s="369">
        <f t="shared" si="118"/>
        <v>461</v>
      </c>
      <c r="J698" s="63" t="s">
        <v>150</v>
      </c>
      <c r="K698" s="63">
        <v>1</v>
      </c>
      <c r="L698" s="63">
        <v>1</v>
      </c>
      <c r="M698" s="63">
        <v>1</v>
      </c>
      <c r="N698" s="63">
        <v>1</v>
      </c>
      <c r="O698" s="63">
        <v>1</v>
      </c>
      <c r="P698" s="63">
        <v>1</v>
      </c>
      <c r="Q698" s="63">
        <v>1</v>
      </c>
      <c r="R698" s="63">
        <v>1</v>
      </c>
      <c r="S698" s="326">
        <v>0</v>
      </c>
      <c r="T698" s="21">
        <v>1</v>
      </c>
      <c r="U698" s="10"/>
      <c r="V698" s="90">
        <v>0</v>
      </c>
      <c r="W698" s="440">
        <v>507.1</v>
      </c>
      <c r="X698" s="92"/>
      <c r="Y698" s="2"/>
    </row>
    <row r="699" spans="1:25">
      <c r="B699" s="87">
        <f t="shared" si="119"/>
        <v>12</v>
      </c>
      <c r="C699" s="282">
        <v>45954</v>
      </c>
      <c r="D699" s="368">
        <v>74816</v>
      </c>
      <c r="E699" s="283" t="s">
        <v>923</v>
      </c>
      <c r="F699" s="284">
        <v>681</v>
      </c>
      <c r="G699" s="284"/>
      <c r="H699" s="315"/>
      <c r="I699" s="331">
        <f t="shared" si="118"/>
        <v>681</v>
      </c>
      <c r="J699" s="286" t="s">
        <v>156</v>
      </c>
      <c r="K699" s="286">
        <v>1</v>
      </c>
      <c r="L699" s="286">
        <v>1</v>
      </c>
      <c r="M699" s="286">
        <v>1</v>
      </c>
      <c r="N699" s="286">
        <v>1</v>
      </c>
      <c r="O699" s="286">
        <v>1</v>
      </c>
      <c r="P699" s="286">
        <v>1</v>
      </c>
      <c r="Q699" s="286">
        <v>1</v>
      </c>
      <c r="R699" s="286">
        <v>1</v>
      </c>
      <c r="S699" s="287">
        <v>1</v>
      </c>
      <c r="T699" s="63"/>
      <c r="U699" s="10" t="s">
        <v>924</v>
      </c>
      <c r="V699" s="90">
        <v>749.1</v>
      </c>
      <c r="W699" s="91"/>
      <c r="X699" s="92"/>
      <c r="Y699" s="2"/>
    </row>
    <row r="700" spans="1:25">
      <c r="B700" s="87"/>
      <c r="C700" s="36"/>
      <c r="D700" s="10"/>
      <c r="E700" s="10"/>
      <c r="F700" s="97">
        <f>SUM(F688:F699)</f>
        <v>19975</v>
      </c>
      <c r="G700" s="97">
        <f>SUM(G688:G699)</f>
        <v>2461.8199999999997</v>
      </c>
      <c r="H700" s="97">
        <f>SUM(H688:H699)</f>
        <v>0</v>
      </c>
      <c r="I700" s="98">
        <f>SUM(I688:I699)</f>
        <v>17513.18</v>
      </c>
      <c r="J700" s="63"/>
      <c r="K700" s="63">
        <f>COUNT(K688:K699)</f>
        <v>12</v>
      </c>
      <c r="L700" s="63">
        <f>COUNT(L688:L699)</f>
        <v>12</v>
      </c>
      <c r="M700" s="63">
        <f>COUNT(M688:M699)</f>
        <v>12</v>
      </c>
      <c r="N700" s="63">
        <f>COUNT(N688:N699)</f>
        <v>12</v>
      </c>
      <c r="O700" s="63">
        <f>COUNT(O688:O699)</f>
        <v>12</v>
      </c>
      <c r="P700" s="63">
        <f>COUNT(P688:P699)</f>
        <v>12</v>
      </c>
      <c r="Q700" s="63">
        <f>COUNT(Q688:Q699)</f>
        <v>12</v>
      </c>
      <c r="R700" s="63">
        <f>COUNT(R688:R699)</f>
        <v>12</v>
      </c>
      <c r="S700" s="63">
        <f>COUNT(S688:S699)</f>
        <v>12</v>
      </c>
      <c r="T700" s="63"/>
      <c r="U700" s="10"/>
      <c r="V700" s="90"/>
      <c r="W700" s="91"/>
      <c r="X700" s="92"/>
      <c r="Y700" s="2"/>
    </row>
    <row r="701" spans="1:25">
      <c r="B701" s="87"/>
      <c r="C701" s="36"/>
      <c r="D701" s="10"/>
      <c r="E701" s="10"/>
      <c r="F701" s="88"/>
      <c r="G701" s="88"/>
      <c r="H701" s="88"/>
      <c r="I701" s="99"/>
      <c r="J701" s="63"/>
      <c r="K701" s="21">
        <f>SUM(K688:K699)</f>
        <v>12</v>
      </c>
      <c r="L701" s="21">
        <f>SUM(L688:L699)</f>
        <v>11</v>
      </c>
      <c r="M701" s="21">
        <f>SUM(M688:M699)</f>
        <v>12</v>
      </c>
      <c r="N701" s="21">
        <f>SUM(N688:N699)</f>
        <v>12</v>
      </c>
      <c r="O701" s="21">
        <f>SUM(O688:O699)</f>
        <v>12</v>
      </c>
      <c r="P701" s="21">
        <f>SUM(P688:P699)</f>
        <v>12</v>
      </c>
      <c r="Q701" s="21">
        <f>SUM(Q688:Q699)</f>
        <v>12</v>
      </c>
      <c r="R701" s="21">
        <f>SUM(R688:R699)</f>
        <v>12</v>
      </c>
      <c r="S701" s="21">
        <f>SUM(S688:S699)</f>
        <v>10</v>
      </c>
      <c r="T701" s="63"/>
      <c r="U701" s="10"/>
      <c r="V701" s="90"/>
      <c r="W701" s="91"/>
      <c r="X701" s="92"/>
      <c r="Y701" s="2"/>
    </row>
    <row r="702" spans="1:25">
      <c r="B702" s="11"/>
      <c r="C702" s="609"/>
      <c r="D702" s="10"/>
      <c r="E702" s="10"/>
      <c r="F702" s="88"/>
      <c r="G702" s="88"/>
      <c r="H702" s="88"/>
      <c r="I702" s="99"/>
      <c r="J702" s="63"/>
      <c r="K702" s="21"/>
      <c r="L702" s="21"/>
      <c r="M702" s="21"/>
      <c r="N702" s="21"/>
      <c r="O702" s="21"/>
      <c r="P702" s="21"/>
      <c r="Q702" s="21"/>
      <c r="R702" s="21"/>
      <c r="S702" s="21"/>
      <c r="T702" s="63"/>
      <c r="U702" s="94"/>
      <c r="V702" s="90"/>
      <c r="W702" s="91"/>
      <c r="X702" s="92"/>
      <c r="Y702" s="2"/>
    </row>
    <row r="703" spans="1:25" s="381" customFormat="1">
      <c r="B703" s="690" t="s">
        <v>68</v>
      </c>
      <c r="C703" s="758"/>
      <c r="D703" s="42"/>
      <c r="E703" s="42"/>
      <c r="F703" s="76"/>
      <c r="G703" s="451"/>
      <c r="H703" s="76"/>
      <c r="I703" s="692"/>
      <c r="J703" s="325"/>
      <c r="K703" s="380"/>
      <c r="L703" s="380"/>
      <c r="M703" s="380"/>
      <c r="N703" s="380"/>
      <c r="O703" s="380"/>
      <c r="P703" s="380"/>
      <c r="Q703" s="380"/>
      <c r="R703" s="380"/>
      <c r="S703" s="380"/>
      <c r="T703" s="325"/>
      <c r="U703" s="42"/>
      <c r="V703" s="377"/>
      <c r="W703" s="378"/>
      <c r="X703" s="393"/>
      <c r="Y703" s="380"/>
    </row>
    <row r="704" spans="1:25" s="381" customFormat="1">
      <c r="A704" s="381" t="s">
        <v>259</v>
      </c>
      <c r="B704" s="372">
        <v>1</v>
      </c>
      <c r="C704" s="373">
        <v>45953</v>
      </c>
      <c r="D704" s="391">
        <v>74798</v>
      </c>
      <c r="E704" s="374" t="s">
        <v>877</v>
      </c>
      <c r="F704" s="375">
        <v>681</v>
      </c>
      <c r="G704" s="375"/>
      <c r="H704" s="375"/>
      <c r="I704" s="376">
        <f t="shared" ref="I704" si="121">F704-G704-H704</f>
        <v>681</v>
      </c>
      <c r="J704" s="314"/>
      <c r="K704" s="314">
        <v>1</v>
      </c>
      <c r="L704" s="314">
        <v>1</v>
      </c>
      <c r="M704" s="314"/>
      <c r="N704" s="314">
        <v>1</v>
      </c>
      <c r="O704" s="314">
        <v>1</v>
      </c>
      <c r="P704" s="314">
        <v>1</v>
      </c>
      <c r="Q704" s="314">
        <v>1</v>
      </c>
      <c r="R704" s="314">
        <v>1</v>
      </c>
      <c r="S704" s="366">
        <v>0</v>
      </c>
      <c r="T704" s="696">
        <v>1</v>
      </c>
      <c r="U704" s="42" t="s">
        <v>925</v>
      </c>
      <c r="V704" s="377"/>
      <c r="W704" s="378"/>
      <c r="X704" s="393"/>
      <c r="Y704" s="380"/>
    </row>
    <row r="705" spans="1:25" s="381" customFormat="1">
      <c r="B705" s="694"/>
      <c r="C705" s="714"/>
      <c r="D705" s="42"/>
      <c r="E705" s="42"/>
      <c r="F705" s="695">
        <f>SUM(F704:F704)</f>
        <v>681</v>
      </c>
      <c r="G705" s="695">
        <f>SUM(G704:G704)</f>
        <v>0</v>
      </c>
      <c r="H705" s="695">
        <f>SUM(H704:H704)</f>
        <v>0</v>
      </c>
      <c r="I705" s="695">
        <f>SUM(I704:I704)</f>
        <v>681</v>
      </c>
      <c r="J705" s="325"/>
      <c r="K705" s="696"/>
      <c r="L705" s="696"/>
      <c r="M705" s="696"/>
      <c r="N705" s="696"/>
      <c r="O705" s="696"/>
      <c r="P705" s="696"/>
      <c r="Q705" s="696"/>
      <c r="R705" s="696"/>
      <c r="S705" s="696"/>
      <c r="T705" s="325"/>
      <c r="U705" s="42"/>
      <c r="V705" s="377"/>
      <c r="W705" s="378"/>
      <c r="X705" s="393"/>
      <c r="Y705" s="380"/>
    </row>
    <row r="706" spans="1:25">
      <c r="B706" s="11"/>
      <c r="C706" s="36"/>
      <c r="D706" s="10"/>
      <c r="E706" s="10"/>
      <c r="F706" s="88"/>
      <c r="G706" s="88"/>
      <c r="H706" s="88"/>
      <c r="I706" s="99"/>
      <c r="J706" s="63"/>
      <c r="K706" s="21"/>
      <c r="L706" s="21"/>
      <c r="M706" s="21"/>
      <c r="N706" s="21"/>
      <c r="O706" s="21"/>
      <c r="P706" s="21"/>
      <c r="Q706" s="21"/>
      <c r="R706" s="21"/>
      <c r="S706" s="21"/>
      <c r="T706" s="63"/>
      <c r="U706" s="94"/>
      <c r="V706" s="90"/>
      <c r="W706" s="91"/>
      <c r="X706" s="92"/>
      <c r="Y706" s="2"/>
    </row>
    <row r="707" spans="1:25">
      <c r="B707" s="121" t="s">
        <v>70</v>
      </c>
      <c r="C707" s="36"/>
      <c r="D707" s="123"/>
      <c r="E707" s="128"/>
      <c r="F707" s="124"/>
      <c r="G707" s="124"/>
      <c r="H707" s="124"/>
      <c r="I707" s="126"/>
      <c r="J707" s="127"/>
      <c r="K707" s="64"/>
      <c r="L707" s="64"/>
      <c r="M707" s="64"/>
      <c r="N707" s="64"/>
      <c r="O707" s="64"/>
      <c r="P707" s="64"/>
      <c r="Q707" s="64"/>
      <c r="R707" s="64"/>
      <c r="S707" s="64"/>
      <c r="T707" s="127"/>
      <c r="U707" s="135"/>
      <c r="V707" s="129"/>
      <c r="W707" s="130"/>
      <c r="X707" s="131"/>
      <c r="Y707" s="128"/>
    </row>
    <row r="708" spans="1:25" s="342" customFormat="1">
      <c r="A708" s="572" t="s">
        <v>926</v>
      </c>
      <c r="B708" s="333">
        <v>1</v>
      </c>
      <c r="C708" s="350">
        <v>45950</v>
      </c>
      <c r="D708" s="263">
        <v>74637</v>
      </c>
      <c r="E708" s="358" t="s">
        <v>865</v>
      </c>
      <c r="F708" s="352">
        <v>681</v>
      </c>
      <c r="G708" s="352"/>
      <c r="H708" s="352"/>
      <c r="I708" s="353">
        <f>F708-G708-H708</f>
        <v>681</v>
      </c>
      <c r="J708" s="354" t="s">
        <v>156</v>
      </c>
      <c r="K708" s="354">
        <v>1</v>
      </c>
      <c r="L708" s="354">
        <v>1</v>
      </c>
      <c r="M708" s="354">
        <v>1</v>
      </c>
      <c r="N708" s="354">
        <v>1</v>
      </c>
      <c r="O708" s="354">
        <v>1</v>
      </c>
      <c r="P708" s="354">
        <v>1</v>
      </c>
      <c r="Q708" s="354">
        <v>1</v>
      </c>
      <c r="R708" s="354">
        <v>1</v>
      </c>
      <c r="S708" s="366">
        <v>0</v>
      </c>
      <c r="T708" s="127"/>
      <c r="U708" s="135" t="s">
        <v>927</v>
      </c>
      <c r="V708" s="129"/>
      <c r="W708" s="340"/>
      <c r="X708" s="341"/>
      <c r="Y708" s="128"/>
    </row>
    <row r="709" spans="1:25">
      <c r="B709" s="132"/>
      <c r="C709" s="36"/>
      <c r="D709" s="123"/>
      <c r="E709" s="123"/>
      <c r="F709" s="134">
        <f t="shared" ref="F709:H709" si="122">SUM(F708)</f>
        <v>681</v>
      </c>
      <c r="G709" s="134">
        <f t="shared" si="122"/>
        <v>0</v>
      </c>
      <c r="H709" s="134">
        <f t="shared" si="122"/>
        <v>0</v>
      </c>
      <c r="I709" s="134">
        <f>SUM(I708)</f>
        <v>681</v>
      </c>
      <c r="J709" s="127"/>
      <c r="K709" s="64"/>
      <c r="L709" s="64"/>
      <c r="M709" s="64"/>
      <c r="N709" s="64"/>
      <c r="O709" s="64"/>
      <c r="P709" s="64"/>
      <c r="Q709" s="64"/>
      <c r="R709" s="64"/>
      <c r="S709" s="64"/>
      <c r="T709" s="127"/>
      <c r="U709" s="135"/>
      <c r="V709" s="129"/>
      <c r="W709" s="130"/>
      <c r="X709" s="131"/>
      <c r="Y709" s="128"/>
    </row>
    <row r="710" spans="1:25">
      <c r="B710" s="11"/>
      <c r="C710" s="36"/>
      <c r="D710" s="10"/>
      <c r="E710" s="10"/>
      <c r="F710" s="88"/>
      <c r="G710" s="88"/>
      <c r="H710" s="88"/>
      <c r="I710" s="99"/>
      <c r="J710" s="63"/>
      <c r="K710" s="21"/>
      <c r="L710" s="21"/>
      <c r="M710" s="21"/>
      <c r="N710" s="21"/>
      <c r="O710" s="21"/>
      <c r="P710" s="21"/>
      <c r="Q710" s="21"/>
      <c r="R710" s="21"/>
      <c r="S710" s="21"/>
      <c r="T710" s="63"/>
      <c r="U710" s="94"/>
      <c r="V710" s="90"/>
      <c r="W710" s="91"/>
      <c r="X710" s="92"/>
      <c r="Y710" s="2"/>
    </row>
    <row r="711" spans="1:25">
      <c r="B711" s="100" t="s">
        <v>152</v>
      </c>
    </row>
    <row r="712" spans="1:25" s="260" customFormat="1">
      <c r="A712" s="494">
        <v>0.05</v>
      </c>
      <c r="B712" s="87">
        <v>1</v>
      </c>
      <c r="C712" s="262">
        <v>45890</v>
      </c>
      <c r="D712" s="273" t="s">
        <v>759</v>
      </c>
      <c r="E712" s="271" t="s">
        <v>369</v>
      </c>
      <c r="F712" s="265">
        <f>4112-450</f>
        <v>3662</v>
      </c>
      <c r="G712" s="265">
        <f>39.7+(847.9+27.43+26.8)+300</f>
        <v>1241.83</v>
      </c>
      <c r="H712" s="265"/>
      <c r="I712" s="266">
        <f>F712-G712-H712</f>
        <v>2420.17</v>
      </c>
      <c r="J712" s="267" t="s">
        <v>228</v>
      </c>
      <c r="K712" s="267">
        <v>1</v>
      </c>
      <c r="L712" s="314">
        <v>0</v>
      </c>
      <c r="M712" s="267">
        <v>1</v>
      </c>
      <c r="N712" s="267">
        <v>1</v>
      </c>
      <c r="O712" s="267">
        <v>1</v>
      </c>
      <c r="P712" s="267">
        <v>1</v>
      </c>
      <c r="Q712" s="267">
        <v>1</v>
      </c>
      <c r="R712" s="267">
        <v>1</v>
      </c>
      <c r="S712" s="366">
        <v>0</v>
      </c>
      <c r="T712" s="63"/>
      <c r="U712" s="10" t="s">
        <v>760</v>
      </c>
      <c r="V712" s="90"/>
      <c r="W712" s="136"/>
      <c r="X712" s="137"/>
    </row>
    <row r="713" spans="1:25" s="260" customFormat="1">
      <c r="A713" s="494">
        <v>0.05</v>
      </c>
      <c r="B713" s="87">
        <f>B712+1</f>
        <v>2</v>
      </c>
      <c r="C713" s="262">
        <v>45905</v>
      </c>
      <c r="D713" s="271">
        <v>73026</v>
      </c>
      <c r="E713" s="264" t="s">
        <v>294</v>
      </c>
      <c r="F713" s="265">
        <f>1261-89</f>
        <v>1172</v>
      </c>
      <c r="G713" s="265">
        <f>39.7</f>
        <v>39.700000000000003</v>
      </c>
      <c r="H713" s="265"/>
      <c r="I713" s="266">
        <f>F713-G713-H713</f>
        <v>1132.3</v>
      </c>
      <c r="J713" s="267"/>
      <c r="K713" s="267">
        <v>1</v>
      </c>
      <c r="L713" s="267">
        <v>1</v>
      </c>
      <c r="M713" s="267"/>
      <c r="N713" s="267">
        <v>1</v>
      </c>
      <c r="O713" s="267">
        <v>1</v>
      </c>
      <c r="P713" s="314">
        <v>0</v>
      </c>
      <c r="Q713" s="267">
        <v>1</v>
      </c>
      <c r="R713" s="267">
        <v>1</v>
      </c>
      <c r="S713" s="366">
        <v>0</v>
      </c>
      <c r="T713" s="63"/>
      <c r="U713" s="10" t="s">
        <v>872</v>
      </c>
      <c r="V713" s="90"/>
      <c r="W713" s="91"/>
      <c r="X713" s="92"/>
    </row>
    <row r="714" spans="1:25" s="260" customFormat="1">
      <c r="A714" s="494">
        <v>0.05</v>
      </c>
      <c r="B714" s="87">
        <f>B713+1</f>
        <v>3</v>
      </c>
      <c r="C714" s="262">
        <v>45929</v>
      </c>
      <c r="D714" s="271">
        <v>73756</v>
      </c>
      <c r="E714" s="271" t="s">
        <v>363</v>
      </c>
      <c r="F714" s="265">
        <v>1138</v>
      </c>
      <c r="G714" s="265">
        <f>39.7</f>
        <v>39.700000000000003</v>
      </c>
      <c r="H714" s="265"/>
      <c r="I714" s="266">
        <f>F714-G714-H714</f>
        <v>1098.3</v>
      </c>
      <c r="J714" s="267" t="s">
        <v>156</v>
      </c>
      <c r="K714" s="314">
        <v>0</v>
      </c>
      <c r="L714" s="267">
        <v>1</v>
      </c>
      <c r="M714" s="267">
        <v>1</v>
      </c>
      <c r="N714" s="267">
        <v>1</v>
      </c>
      <c r="O714" s="267">
        <v>1</v>
      </c>
      <c r="P714" s="267">
        <v>1</v>
      </c>
      <c r="Q714" s="267">
        <v>1</v>
      </c>
      <c r="R714" s="267">
        <v>1</v>
      </c>
      <c r="S714" s="269">
        <v>1</v>
      </c>
      <c r="T714" s="63"/>
      <c r="U714" s="10"/>
      <c r="V714" s="90"/>
      <c r="W714" s="91"/>
      <c r="X714" s="92"/>
    </row>
    <row r="715" spans="1:25" s="260" customFormat="1">
      <c r="A715" s="494">
        <v>0.05</v>
      </c>
      <c r="B715" s="87">
        <f>B714+1</f>
        <v>4</v>
      </c>
      <c r="C715" s="262">
        <v>45933</v>
      </c>
      <c r="D715" s="271">
        <v>74034</v>
      </c>
      <c r="E715" s="271" t="s">
        <v>643</v>
      </c>
      <c r="F715" s="265">
        <v>1861</v>
      </c>
      <c r="G715" s="265">
        <f>39.7+468</f>
        <v>507.7</v>
      </c>
      <c r="H715" s="265"/>
      <c r="I715" s="266">
        <f>F715-G715-H715</f>
        <v>1353.3</v>
      </c>
      <c r="J715" s="267"/>
      <c r="K715" s="267">
        <v>1</v>
      </c>
      <c r="L715" s="267">
        <v>1</v>
      </c>
      <c r="M715" s="267"/>
      <c r="N715" s="267">
        <v>1</v>
      </c>
      <c r="O715" s="267">
        <v>1</v>
      </c>
      <c r="P715" s="314">
        <v>0</v>
      </c>
      <c r="Q715" s="314">
        <v>0</v>
      </c>
      <c r="R715" s="314">
        <v>0</v>
      </c>
      <c r="S715" s="366">
        <v>0</v>
      </c>
      <c r="T715" s="63"/>
      <c r="U715" s="94" t="s">
        <v>873</v>
      </c>
      <c r="V715" s="90"/>
      <c r="W715" s="136"/>
      <c r="X715" s="137"/>
    </row>
    <row r="716" spans="1:25" s="260" customFormat="1">
      <c r="A716" s="181" t="s">
        <v>619</v>
      </c>
      <c r="B716" s="87">
        <f t="shared" ref="B716:B723" si="123">B715+1</f>
        <v>5</v>
      </c>
      <c r="C716" s="274">
        <v>45936</v>
      </c>
      <c r="D716" s="276" t="s">
        <v>863</v>
      </c>
      <c r="E716" s="276" t="s">
        <v>853</v>
      </c>
      <c r="F716" s="277">
        <v>5133</v>
      </c>
      <c r="G716" s="277">
        <f>39.7+(89.36+1289.67)+250</f>
        <v>1668.73</v>
      </c>
      <c r="H716" s="277"/>
      <c r="I716" s="321">
        <f>F716-G716-H716</f>
        <v>3464.27</v>
      </c>
      <c r="J716" s="279" t="s">
        <v>156</v>
      </c>
      <c r="K716" s="279">
        <v>1</v>
      </c>
      <c r="L716" s="322">
        <v>0</v>
      </c>
      <c r="M716" s="279">
        <v>1</v>
      </c>
      <c r="N716" s="279">
        <v>1</v>
      </c>
      <c r="O716" s="279">
        <v>1</v>
      </c>
      <c r="P716" s="322">
        <v>0</v>
      </c>
      <c r="Q716" s="279">
        <v>1</v>
      </c>
      <c r="R716" s="279">
        <v>1</v>
      </c>
      <c r="S716" s="280">
        <v>1</v>
      </c>
      <c r="T716" s="63"/>
      <c r="U716" s="94"/>
      <c r="V716" s="90"/>
      <c r="W716" s="91"/>
      <c r="X716" s="92"/>
    </row>
    <row r="717" spans="1:25" s="260" customFormat="1">
      <c r="A717" s="494">
        <v>0.05</v>
      </c>
      <c r="B717" s="87">
        <f t="shared" si="123"/>
        <v>6</v>
      </c>
      <c r="C717" s="274">
        <v>45939</v>
      </c>
      <c r="D717" s="276">
        <v>74231</v>
      </c>
      <c r="E717" s="281" t="s">
        <v>865</v>
      </c>
      <c r="F717" s="277">
        <v>1134</v>
      </c>
      <c r="G717" s="277">
        <f>39.7</f>
        <v>39.700000000000003</v>
      </c>
      <c r="H717" s="277"/>
      <c r="I717" s="321">
        <f t="shared" ref="I717:I720" si="124">F717-G717-H717</f>
        <v>1094.3</v>
      </c>
      <c r="J717" s="279"/>
      <c r="K717" s="279">
        <v>1</v>
      </c>
      <c r="L717" s="279">
        <v>1</v>
      </c>
      <c r="M717" s="279"/>
      <c r="N717" s="279">
        <v>1</v>
      </c>
      <c r="O717" s="279">
        <v>1</v>
      </c>
      <c r="P717" s="279">
        <v>1</v>
      </c>
      <c r="Q717" s="279">
        <v>1</v>
      </c>
      <c r="R717" s="279">
        <v>1</v>
      </c>
      <c r="S717" s="280">
        <v>1</v>
      </c>
      <c r="T717" s="63"/>
      <c r="U717" s="10"/>
      <c r="V717" s="90"/>
      <c r="W717" s="91"/>
      <c r="X717" s="92"/>
    </row>
    <row r="718" spans="1:25" s="260" customFormat="1">
      <c r="A718" s="494" t="s">
        <v>895</v>
      </c>
      <c r="B718" s="87">
        <f t="shared" si="123"/>
        <v>7</v>
      </c>
      <c r="C718" s="295">
        <v>45939</v>
      </c>
      <c r="D718" s="10" t="s">
        <v>866</v>
      </c>
      <c r="E718" s="101" t="s">
        <v>563</v>
      </c>
      <c r="F718" s="62">
        <v>1264</v>
      </c>
      <c r="G718" s="62">
        <f>39.7</f>
        <v>39.700000000000003</v>
      </c>
      <c r="H718" s="62"/>
      <c r="I718" s="324">
        <f t="shared" si="124"/>
        <v>1224.3</v>
      </c>
      <c r="J718" s="63" t="s">
        <v>150</v>
      </c>
      <c r="K718" s="63">
        <v>1</v>
      </c>
      <c r="L718" s="325">
        <v>0</v>
      </c>
      <c r="M718" s="63">
        <v>1</v>
      </c>
      <c r="N718" s="63">
        <v>1</v>
      </c>
      <c r="O718" s="63">
        <v>1</v>
      </c>
      <c r="P718" s="63">
        <v>1</v>
      </c>
      <c r="Q718" s="63">
        <v>1</v>
      </c>
      <c r="R718" s="63">
        <v>1</v>
      </c>
      <c r="S718" s="296">
        <v>1</v>
      </c>
      <c r="T718" s="63"/>
      <c r="U718" s="10" t="s">
        <v>867</v>
      </c>
      <c r="V718" s="90"/>
      <c r="W718" s="91"/>
      <c r="X718" s="92"/>
    </row>
    <row r="719" spans="1:25" s="260" customFormat="1">
      <c r="A719" s="494" t="s">
        <v>895</v>
      </c>
      <c r="B719" s="87">
        <f t="shared" si="123"/>
        <v>8</v>
      </c>
      <c r="C719" s="282">
        <v>45939</v>
      </c>
      <c r="D719" s="283" t="s">
        <v>868</v>
      </c>
      <c r="E719" s="319" t="s">
        <v>563</v>
      </c>
      <c r="F719" s="284">
        <v>2861</v>
      </c>
      <c r="G719" s="284">
        <f>39.7</f>
        <v>39.700000000000003</v>
      </c>
      <c r="H719" s="284"/>
      <c r="I719" s="300">
        <f t="shared" si="124"/>
        <v>2821.3</v>
      </c>
      <c r="J719" s="286" t="s">
        <v>150</v>
      </c>
      <c r="K719" s="286">
        <v>1</v>
      </c>
      <c r="L719" s="332">
        <v>0</v>
      </c>
      <c r="M719" s="286">
        <v>1</v>
      </c>
      <c r="N719" s="286">
        <v>1</v>
      </c>
      <c r="O719" s="286">
        <v>1</v>
      </c>
      <c r="P719" s="286">
        <v>1</v>
      </c>
      <c r="Q719" s="286">
        <v>1</v>
      </c>
      <c r="R719" s="286">
        <v>1</v>
      </c>
      <c r="S719" s="287">
        <v>1</v>
      </c>
      <c r="T719" s="63"/>
      <c r="U719" s="10" t="s">
        <v>869</v>
      </c>
      <c r="V719" s="90"/>
      <c r="W719" s="91"/>
      <c r="X719" s="92"/>
    </row>
    <row r="720" spans="1:25" s="260" customFormat="1">
      <c r="A720" s="494" t="s">
        <v>895</v>
      </c>
      <c r="B720" s="87">
        <f t="shared" si="123"/>
        <v>9</v>
      </c>
      <c r="C720" s="262">
        <v>45940</v>
      </c>
      <c r="D720" s="271" t="s">
        <v>870</v>
      </c>
      <c r="E720" s="271" t="s">
        <v>862</v>
      </c>
      <c r="F720" s="265">
        <v>12133</v>
      </c>
      <c r="G720" s="265">
        <f>39.7+(3660.58)+1000</f>
        <v>4700.28</v>
      </c>
      <c r="H720" s="265"/>
      <c r="I720" s="266">
        <f t="shared" si="124"/>
        <v>7432.72</v>
      </c>
      <c r="J720" s="267" t="s">
        <v>228</v>
      </c>
      <c r="K720" s="267">
        <v>1</v>
      </c>
      <c r="L720" s="267">
        <v>1</v>
      </c>
      <c r="M720" s="267">
        <v>1</v>
      </c>
      <c r="N720" s="267">
        <v>1</v>
      </c>
      <c r="O720" s="267">
        <v>1</v>
      </c>
      <c r="P720" s="267">
        <v>1</v>
      </c>
      <c r="Q720" s="267">
        <v>1</v>
      </c>
      <c r="R720" s="314">
        <v>0</v>
      </c>
      <c r="S720" s="269">
        <v>1</v>
      </c>
      <c r="T720" s="63"/>
      <c r="U720" s="94" t="s">
        <v>896</v>
      </c>
      <c r="V720" s="90"/>
      <c r="W720" s="136"/>
      <c r="X720" s="137"/>
    </row>
    <row r="721" spans="1:25" s="260" customFormat="1">
      <c r="A721" s="704" t="s">
        <v>619</v>
      </c>
      <c r="B721" s="87">
        <f t="shared" si="123"/>
        <v>10</v>
      </c>
      <c r="C721" s="274">
        <v>45943</v>
      </c>
      <c r="D721" s="276" t="s">
        <v>891</v>
      </c>
      <c r="E721" s="276" t="s">
        <v>854</v>
      </c>
      <c r="F721" s="277">
        <v>22614</v>
      </c>
      <c r="G721" s="277">
        <f>39.7+(876.42-329.03)+2000</f>
        <v>2587.09</v>
      </c>
      <c r="H721" s="277"/>
      <c r="I721" s="321">
        <f>F721-G721-H721</f>
        <v>20026.91</v>
      </c>
      <c r="J721" s="279" t="s">
        <v>156</v>
      </c>
      <c r="K721" s="279">
        <v>1</v>
      </c>
      <c r="L721" s="279">
        <v>1</v>
      </c>
      <c r="M721" s="279">
        <v>1</v>
      </c>
      <c r="N721" s="279">
        <v>1</v>
      </c>
      <c r="O721" s="279">
        <v>1</v>
      </c>
      <c r="P721" s="322">
        <v>0</v>
      </c>
      <c r="Q721" s="279">
        <v>1</v>
      </c>
      <c r="R721" s="279">
        <v>1</v>
      </c>
      <c r="S721" s="280">
        <v>1</v>
      </c>
      <c r="T721" s="63"/>
      <c r="U721" s="94" t="s">
        <v>892</v>
      </c>
      <c r="V721" s="90"/>
      <c r="W721" s="136"/>
      <c r="X721" s="137"/>
    </row>
    <row r="722" spans="1:25" s="260" customFormat="1">
      <c r="A722" s="261">
        <v>0.05</v>
      </c>
      <c r="B722" s="87">
        <f t="shared" si="123"/>
        <v>11</v>
      </c>
      <c r="C722" s="295">
        <v>45943</v>
      </c>
      <c r="D722" s="10">
        <v>74072</v>
      </c>
      <c r="E722" s="10" t="s">
        <v>875</v>
      </c>
      <c r="F722" s="62">
        <f>2346-85</f>
        <v>2261</v>
      </c>
      <c r="G722" s="62">
        <f>39.7</f>
        <v>39.700000000000003</v>
      </c>
      <c r="H722" s="62"/>
      <c r="I722" s="324">
        <f>F722-G722-H722</f>
        <v>2221.3000000000002</v>
      </c>
      <c r="J722" s="63" t="s">
        <v>156</v>
      </c>
      <c r="K722" s="63">
        <v>1</v>
      </c>
      <c r="L722" s="63">
        <v>1</v>
      </c>
      <c r="M722" s="63">
        <v>1</v>
      </c>
      <c r="N722" s="63">
        <v>1</v>
      </c>
      <c r="O722" s="325">
        <v>0</v>
      </c>
      <c r="P722" s="63">
        <v>1</v>
      </c>
      <c r="Q722" s="63">
        <v>1</v>
      </c>
      <c r="R722" s="63">
        <v>1</v>
      </c>
      <c r="S722" s="296">
        <v>1</v>
      </c>
      <c r="T722" s="63"/>
      <c r="U722" s="94" t="s">
        <v>893</v>
      </c>
      <c r="V722" s="90"/>
      <c r="W722" s="136"/>
      <c r="X722" s="137"/>
    </row>
    <row r="723" spans="1:25" s="260" customFormat="1">
      <c r="A723" s="261">
        <v>0.05</v>
      </c>
      <c r="B723" s="87">
        <f t="shared" si="123"/>
        <v>12</v>
      </c>
      <c r="C723" s="262">
        <v>45946</v>
      </c>
      <c r="D723" s="271">
        <v>74433</v>
      </c>
      <c r="E723" s="264" t="s">
        <v>672</v>
      </c>
      <c r="F723" s="265">
        <v>1461</v>
      </c>
      <c r="G723" s="265">
        <f>39.7</f>
        <v>39.700000000000003</v>
      </c>
      <c r="H723" s="265"/>
      <c r="I723" s="272">
        <f>F723-G723-H723</f>
        <v>1421.3</v>
      </c>
      <c r="J723" s="267"/>
      <c r="K723" s="267">
        <v>1</v>
      </c>
      <c r="L723" s="267">
        <v>1</v>
      </c>
      <c r="M723" s="267"/>
      <c r="N723" s="267">
        <v>1</v>
      </c>
      <c r="O723" s="267">
        <v>1</v>
      </c>
      <c r="P723" s="267">
        <v>1</v>
      </c>
      <c r="Q723" s="267">
        <v>1</v>
      </c>
      <c r="R723" s="267">
        <v>1</v>
      </c>
      <c r="S723" s="269">
        <v>1</v>
      </c>
      <c r="T723" s="21"/>
      <c r="U723" s="10" t="s">
        <v>894</v>
      </c>
      <c r="V723" s="90"/>
      <c r="W723" s="91"/>
      <c r="X723" s="92"/>
    </row>
    <row r="724" spans="1:25" s="260" customFormat="1">
      <c r="A724" s="181"/>
      <c r="B724" s="11"/>
      <c r="C724" s="36"/>
      <c r="D724" s="10"/>
      <c r="E724" s="10"/>
      <c r="F724" s="98">
        <f>SUM(F712:F723)</f>
        <v>56694</v>
      </c>
      <c r="G724" s="98">
        <f t="shared" ref="G724:I724" si="125">SUM(G712:G723)</f>
        <v>10983.53</v>
      </c>
      <c r="H724" s="98">
        <f t="shared" si="125"/>
        <v>0</v>
      </c>
      <c r="I724" s="98">
        <f t="shared" si="125"/>
        <v>45710.47</v>
      </c>
      <c r="J724" s="63"/>
      <c r="K724" s="21"/>
      <c r="L724" s="21"/>
      <c r="M724" s="21"/>
      <c r="N724" s="21"/>
      <c r="O724" s="21"/>
      <c r="P724" s="21"/>
      <c r="Q724" s="21"/>
      <c r="R724" s="21"/>
      <c r="S724" s="21"/>
      <c r="T724" s="63"/>
      <c r="U724" s="94"/>
      <c r="V724" s="90"/>
      <c r="W724" s="91"/>
      <c r="X724" s="92"/>
    </row>
    <row r="725" spans="1:25" s="260" customFormat="1">
      <c r="A725" s="181"/>
      <c r="B725" s="11"/>
      <c r="C725" s="36"/>
      <c r="D725" s="10"/>
      <c r="E725" s="10"/>
      <c r="F725" s="88"/>
      <c r="G725" s="88"/>
      <c r="H725" s="88"/>
      <c r="I725" s="99"/>
      <c r="J725" s="63"/>
      <c r="K725" s="21"/>
      <c r="L725" s="21"/>
      <c r="M725" s="21"/>
      <c r="N725" s="21"/>
      <c r="O725" s="21"/>
      <c r="P725" s="21"/>
      <c r="Q725" s="21"/>
      <c r="R725" s="21"/>
      <c r="S725" s="21"/>
      <c r="T725" s="63"/>
      <c r="U725" s="94"/>
      <c r="V725" s="90"/>
      <c r="W725" s="91"/>
      <c r="X725" s="92"/>
    </row>
    <row r="726" spans="1:25" s="260" customFormat="1">
      <c r="B726" s="100" t="s">
        <v>202</v>
      </c>
      <c r="C726" s="36"/>
      <c r="D726" s="10"/>
      <c r="E726" s="181"/>
      <c r="F726" s="88"/>
      <c r="G726" s="88"/>
      <c r="H726" s="88"/>
      <c r="I726" s="99"/>
      <c r="J726" s="63"/>
      <c r="K726" s="21"/>
      <c r="L726" s="21"/>
      <c r="M726" s="21"/>
      <c r="N726" s="21"/>
      <c r="O726" s="21"/>
      <c r="P726" s="21"/>
      <c r="Q726" s="21"/>
      <c r="R726" s="21"/>
      <c r="S726" s="21"/>
      <c r="T726" s="63"/>
      <c r="U726" s="94"/>
      <c r="V726" s="90"/>
      <c r="W726" s="91"/>
      <c r="X726" s="92"/>
      <c r="Y726" s="181"/>
    </row>
    <row r="727" spans="1:25" s="260" customFormat="1">
      <c r="A727" s="494">
        <v>0.05</v>
      </c>
      <c r="B727" s="87">
        <v>1</v>
      </c>
      <c r="C727" s="274">
        <v>45908</v>
      </c>
      <c r="D727" s="276">
        <v>73048</v>
      </c>
      <c r="E727" s="276" t="s">
        <v>211</v>
      </c>
      <c r="F727" s="277">
        <v>861</v>
      </c>
      <c r="G727" s="277">
        <f>39.7</f>
        <v>39.700000000000003</v>
      </c>
      <c r="H727" s="277"/>
      <c r="I727" s="278">
        <f>F727-G727-H727</f>
        <v>821.3</v>
      </c>
      <c r="J727" s="279" t="s">
        <v>156</v>
      </c>
      <c r="K727" s="279">
        <v>1</v>
      </c>
      <c r="L727" s="279"/>
      <c r="M727" s="279">
        <v>1</v>
      </c>
      <c r="N727" s="279">
        <v>1</v>
      </c>
      <c r="O727" s="279">
        <v>1</v>
      </c>
      <c r="P727" s="279">
        <v>1</v>
      </c>
      <c r="Q727" s="279"/>
      <c r="R727" s="279"/>
      <c r="S727" s="280"/>
      <c r="T727" s="63"/>
      <c r="U727" s="94" t="s">
        <v>806</v>
      </c>
      <c r="V727" s="90"/>
      <c r="W727" s="136"/>
      <c r="X727" s="137"/>
      <c r="Y727" s="181"/>
    </row>
    <row r="728" spans="1:25" s="260" customFormat="1">
      <c r="A728" s="261">
        <v>0.05</v>
      </c>
      <c r="B728" s="87">
        <f>B727+1</f>
        <v>2</v>
      </c>
      <c r="C728" s="262">
        <v>45917</v>
      </c>
      <c r="D728" s="271">
        <v>73379</v>
      </c>
      <c r="E728" s="271" t="s">
        <v>159</v>
      </c>
      <c r="F728" s="265">
        <v>4619</v>
      </c>
      <c r="G728" s="265">
        <f>39.7+300+(88.82+47.5+58.8)+(77+674.43+129.7)+300</f>
        <v>1715.9499999999998</v>
      </c>
      <c r="H728" s="265"/>
      <c r="I728" s="266">
        <f>F728-G728-H728</f>
        <v>2903.05</v>
      </c>
      <c r="J728" s="267" t="s">
        <v>228</v>
      </c>
      <c r="K728" s="267">
        <v>1</v>
      </c>
      <c r="L728" s="267"/>
      <c r="M728" s="267">
        <v>1</v>
      </c>
      <c r="N728" s="267">
        <v>1</v>
      </c>
      <c r="O728" s="267">
        <v>1</v>
      </c>
      <c r="P728" s="314">
        <v>0</v>
      </c>
      <c r="Q728" s="267"/>
      <c r="R728" s="267"/>
      <c r="S728" s="269"/>
      <c r="T728" s="63"/>
      <c r="U728" s="94" t="s">
        <v>832</v>
      </c>
      <c r="V728" s="90"/>
      <c r="W728" s="136"/>
      <c r="X728" s="137"/>
    </row>
    <row r="729" spans="1:25" s="260" customFormat="1">
      <c r="B729" s="11"/>
      <c r="C729" s="36"/>
      <c r="D729" s="10"/>
      <c r="E729" s="10"/>
      <c r="F729" s="97">
        <f>SUM(F727:F728)</f>
        <v>5480</v>
      </c>
      <c r="G729" s="97">
        <f>SUM(G727:G728)</f>
        <v>1755.6499999999999</v>
      </c>
      <c r="H729" s="97">
        <f>SUM(H727:H728)</f>
        <v>0</v>
      </c>
      <c r="I729" s="97">
        <f>SUM(I727:I728)</f>
        <v>3724.3500000000004</v>
      </c>
      <c r="J729" s="63"/>
      <c r="K729" s="21"/>
      <c r="L729" s="21"/>
      <c r="M729" s="21"/>
      <c r="N729" s="21"/>
      <c r="O729" s="21"/>
      <c r="P729" s="21"/>
      <c r="Q729" s="21"/>
      <c r="R729" s="21"/>
      <c r="S729" s="21"/>
      <c r="T729" s="63"/>
      <c r="U729" s="94"/>
      <c r="V729" s="90"/>
      <c r="W729" s="91"/>
      <c r="X729" s="92"/>
      <c r="Y729" s="181"/>
    </row>
    <row r="730" spans="1:25" s="260" customFormat="1">
      <c r="B730" s="11"/>
      <c r="C730" s="36"/>
      <c r="D730" s="10"/>
      <c r="E730" s="10"/>
      <c r="F730" s="88"/>
      <c r="G730" s="88"/>
      <c r="H730" s="88"/>
      <c r="I730" s="99"/>
      <c r="J730" s="63"/>
      <c r="K730" s="21"/>
      <c r="L730" s="21"/>
      <c r="M730" s="21"/>
      <c r="N730" s="21"/>
      <c r="O730" s="21"/>
      <c r="P730" s="21"/>
      <c r="Q730" s="21"/>
      <c r="R730" s="21"/>
      <c r="S730" s="21"/>
      <c r="T730" s="63"/>
      <c r="U730" s="94"/>
      <c r="V730" s="90"/>
      <c r="W730" s="91"/>
      <c r="X730" s="92"/>
      <c r="Y730" s="181"/>
    </row>
    <row r="731" spans="1:25">
      <c r="B731" s="100" t="s">
        <v>72</v>
      </c>
      <c r="C731" s="36"/>
      <c r="D731" s="10"/>
      <c r="E731" s="10"/>
      <c r="F731" s="88"/>
      <c r="G731" s="88"/>
      <c r="H731" s="88"/>
      <c r="I731" s="99"/>
      <c r="J731" s="63"/>
      <c r="K731" s="63"/>
      <c r="L731" s="63"/>
      <c r="M731" s="63"/>
      <c r="N731" s="63"/>
      <c r="O731" s="63"/>
      <c r="P731" s="63"/>
      <c r="Q731" s="63"/>
      <c r="R731" s="63"/>
      <c r="S731" s="63"/>
      <c r="T731" s="63"/>
      <c r="U731" s="10"/>
      <c r="V731" s="90"/>
      <c r="W731" s="91"/>
      <c r="X731" s="92"/>
      <c r="Y731" s="2"/>
    </row>
    <row r="732" spans="1:25">
      <c r="B732" s="87">
        <v>1</v>
      </c>
      <c r="C732" s="274">
        <v>45950</v>
      </c>
      <c r="D732" s="276">
        <v>74627</v>
      </c>
      <c r="E732" s="276" t="s">
        <v>672</v>
      </c>
      <c r="F732" s="277">
        <v>1461</v>
      </c>
      <c r="G732" s="277">
        <v>39.700000000000003</v>
      </c>
      <c r="H732" s="277"/>
      <c r="I732" s="278">
        <f t="shared" ref="I732:I744" si="126">F732-G732-H732</f>
        <v>1421.3</v>
      </c>
      <c r="J732" s="279" t="s">
        <v>205</v>
      </c>
      <c r="K732" s="279">
        <v>1</v>
      </c>
      <c r="L732" s="279"/>
      <c r="M732" s="279"/>
      <c r="N732" s="279">
        <v>1</v>
      </c>
      <c r="O732" s="279"/>
      <c r="P732" s="279"/>
      <c r="Q732" s="279">
        <v>1</v>
      </c>
      <c r="R732" s="279">
        <v>1</v>
      </c>
      <c r="S732" s="280">
        <v>1</v>
      </c>
      <c r="T732" s="63"/>
      <c r="U732" s="3"/>
      <c r="V732" s="90"/>
      <c r="W732" s="91"/>
      <c r="X732" s="92"/>
      <c r="Y732" s="2"/>
    </row>
    <row r="733" spans="1:25">
      <c r="B733" s="87">
        <f t="shared" ref="B733:B744" si="127">B732+1</f>
        <v>2</v>
      </c>
      <c r="C733" s="274">
        <v>45951</v>
      </c>
      <c r="D733" s="276">
        <v>74677</v>
      </c>
      <c r="E733" s="276" t="s">
        <v>886</v>
      </c>
      <c r="F733" s="277">
        <v>1138</v>
      </c>
      <c r="G733" s="277">
        <v>39.700000000000003</v>
      </c>
      <c r="H733" s="277"/>
      <c r="I733" s="278">
        <f t="shared" si="126"/>
        <v>1098.3</v>
      </c>
      <c r="J733" s="279" t="s">
        <v>205</v>
      </c>
      <c r="K733" s="279">
        <v>1</v>
      </c>
      <c r="L733" s="279"/>
      <c r="M733" s="279"/>
      <c r="N733" s="279">
        <v>1</v>
      </c>
      <c r="O733" s="279"/>
      <c r="P733" s="279"/>
      <c r="Q733" s="279">
        <v>1</v>
      </c>
      <c r="R733" s="279">
        <v>1</v>
      </c>
      <c r="S733" s="280">
        <v>1</v>
      </c>
      <c r="T733" s="63"/>
      <c r="U733" s="10"/>
      <c r="V733" s="90"/>
      <c r="W733" s="136"/>
      <c r="X733" s="137"/>
      <c r="Y733" s="2"/>
    </row>
    <row r="734" spans="1:25">
      <c r="B734" s="87">
        <f t="shared" si="127"/>
        <v>3</v>
      </c>
      <c r="C734" s="295">
        <v>45951</v>
      </c>
      <c r="D734" s="10">
        <v>74695</v>
      </c>
      <c r="E734" s="10" t="s">
        <v>672</v>
      </c>
      <c r="F734" s="62">
        <v>3619</v>
      </c>
      <c r="G734" s="62">
        <v>39.700000000000003</v>
      </c>
      <c r="H734" s="62"/>
      <c r="I734" s="89">
        <f t="shared" si="126"/>
        <v>3579.3</v>
      </c>
      <c r="J734" s="63" t="s">
        <v>205</v>
      </c>
      <c r="K734" s="63">
        <v>1</v>
      </c>
      <c r="L734" s="63"/>
      <c r="M734" s="63"/>
      <c r="N734" s="63">
        <v>1</v>
      </c>
      <c r="O734" s="63"/>
      <c r="P734" s="63"/>
      <c r="Q734" s="63">
        <v>1</v>
      </c>
      <c r="R734" s="63">
        <v>1</v>
      </c>
      <c r="S734" s="296">
        <v>1</v>
      </c>
      <c r="T734" s="63"/>
      <c r="U734" s="10"/>
      <c r="V734" s="90"/>
      <c r="W734" s="136"/>
      <c r="X734" s="137"/>
      <c r="Y734" s="2"/>
    </row>
    <row r="735" spans="1:25">
      <c r="B735" s="87">
        <f t="shared" si="127"/>
        <v>4</v>
      </c>
      <c r="C735" s="295">
        <v>45951</v>
      </c>
      <c r="D735" s="10">
        <v>74690</v>
      </c>
      <c r="E735" s="10" t="s">
        <v>854</v>
      </c>
      <c r="F735" s="62">
        <v>1138</v>
      </c>
      <c r="G735" s="62">
        <v>39.700000000000003</v>
      </c>
      <c r="H735" s="62"/>
      <c r="I735" s="89">
        <f t="shared" si="126"/>
        <v>1098.3</v>
      </c>
      <c r="J735" s="63" t="s">
        <v>205</v>
      </c>
      <c r="K735" s="63">
        <v>1</v>
      </c>
      <c r="L735" s="63"/>
      <c r="M735" s="63"/>
      <c r="N735" s="63">
        <v>1</v>
      </c>
      <c r="O735" s="63"/>
      <c r="P735" s="63"/>
      <c r="Q735" s="63">
        <v>1</v>
      </c>
      <c r="R735" s="63">
        <v>1</v>
      </c>
      <c r="S735" s="296"/>
      <c r="T735" s="63"/>
      <c r="U735" s="10"/>
      <c r="V735" s="90"/>
      <c r="W735" s="136"/>
      <c r="X735" s="137"/>
      <c r="Y735" s="2"/>
    </row>
    <row r="736" spans="1:25">
      <c r="B736" s="87">
        <f t="shared" si="127"/>
        <v>5</v>
      </c>
      <c r="C736" s="274">
        <v>45952</v>
      </c>
      <c r="D736" s="276" t="s">
        <v>928</v>
      </c>
      <c r="E736" s="276" t="s">
        <v>920</v>
      </c>
      <c r="F736" s="277">
        <v>12792.6</v>
      </c>
      <c r="G736" s="277">
        <v>39.700000000000003</v>
      </c>
      <c r="H736" s="277"/>
      <c r="I736" s="278">
        <f t="shared" si="126"/>
        <v>12752.9</v>
      </c>
      <c r="J736" s="279" t="s">
        <v>205</v>
      </c>
      <c r="K736" s="279">
        <v>1</v>
      </c>
      <c r="L736" s="279"/>
      <c r="M736" s="279"/>
      <c r="N736" s="279">
        <v>1</v>
      </c>
      <c r="O736" s="279"/>
      <c r="P736" s="279"/>
      <c r="Q736" s="279"/>
      <c r="R736" s="279"/>
      <c r="S736" s="280"/>
      <c r="T736" s="63"/>
      <c r="U736" s="10"/>
      <c r="V736" s="90"/>
      <c r="W736" s="136"/>
      <c r="X736" s="137"/>
      <c r="Y736" s="2"/>
    </row>
    <row r="737" spans="2:25">
      <c r="B737" s="87">
        <f t="shared" si="127"/>
        <v>6</v>
      </c>
      <c r="C737" s="295">
        <v>45952</v>
      </c>
      <c r="D737" s="10" t="s">
        <v>929</v>
      </c>
      <c r="E737" s="101" t="s">
        <v>930</v>
      </c>
      <c r="F737" s="62">
        <v>26214</v>
      </c>
      <c r="G737" s="62">
        <v>39.700000000000003</v>
      </c>
      <c r="H737" s="62"/>
      <c r="I737" s="89">
        <f t="shared" si="126"/>
        <v>26174.3</v>
      </c>
      <c r="J737" s="63" t="s">
        <v>205</v>
      </c>
      <c r="K737" s="63">
        <v>1</v>
      </c>
      <c r="L737" s="63"/>
      <c r="M737" s="63"/>
      <c r="N737" s="63">
        <v>1</v>
      </c>
      <c r="O737" s="63"/>
      <c r="P737" s="63"/>
      <c r="Q737" s="63">
        <v>1</v>
      </c>
      <c r="R737" s="63">
        <v>1</v>
      </c>
      <c r="S737" s="296">
        <v>1</v>
      </c>
      <c r="T737" s="63"/>
      <c r="U737" s="10"/>
      <c r="V737" s="90"/>
      <c r="W737" s="136"/>
      <c r="X737" s="137"/>
      <c r="Y737" s="2"/>
    </row>
    <row r="738" spans="2:25">
      <c r="B738" s="87">
        <f t="shared" si="127"/>
        <v>7</v>
      </c>
      <c r="C738" s="295">
        <v>45952</v>
      </c>
      <c r="D738" s="10" t="s">
        <v>931</v>
      </c>
      <c r="E738" s="101" t="s">
        <v>930</v>
      </c>
      <c r="F738" s="62">
        <v>6814</v>
      </c>
      <c r="G738" s="62">
        <v>39.700000000000003</v>
      </c>
      <c r="H738" s="62"/>
      <c r="I738" s="89">
        <f t="shared" si="126"/>
        <v>6774.3</v>
      </c>
      <c r="J738" s="63" t="s">
        <v>205</v>
      </c>
      <c r="K738" s="63">
        <v>1</v>
      </c>
      <c r="L738" s="63"/>
      <c r="M738" s="63"/>
      <c r="N738" s="63">
        <v>1</v>
      </c>
      <c r="O738" s="63"/>
      <c r="P738" s="63"/>
      <c r="Q738" s="63">
        <v>1</v>
      </c>
      <c r="R738" s="63">
        <v>1</v>
      </c>
      <c r="S738" s="296">
        <v>1</v>
      </c>
      <c r="T738" s="63"/>
      <c r="U738" s="10"/>
      <c r="V738" s="90"/>
      <c r="W738" s="136"/>
      <c r="X738" s="137"/>
      <c r="Y738" s="2"/>
    </row>
    <row r="739" spans="2:25">
      <c r="B739" s="87">
        <f>B738+1</f>
        <v>8</v>
      </c>
      <c r="C739" s="274">
        <v>45953</v>
      </c>
      <c r="D739" s="276">
        <v>74738</v>
      </c>
      <c r="E739" s="276" t="s">
        <v>932</v>
      </c>
      <c r="F739" s="277">
        <v>7393</v>
      </c>
      <c r="G739" s="277">
        <f>39.7</f>
        <v>39.700000000000003</v>
      </c>
      <c r="H739" s="277"/>
      <c r="I739" s="278">
        <f>F739-G739-H739</f>
        <v>7353.3</v>
      </c>
      <c r="J739" s="279" t="s">
        <v>205</v>
      </c>
      <c r="K739" s="279">
        <v>1</v>
      </c>
      <c r="L739" s="279"/>
      <c r="M739" s="279"/>
      <c r="N739" s="279">
        <v>1</v>
      </c>
      <c r="O739" s="279">
        <v>1</v>
      </c>
      <c r="P739" s="279">
        <v>1</v>
      </c>
      <c r="Q739" s="279"/>
      <c r="R739" s="279"/>
      <c r="S739" s="280"/>
      <c r="T739" s="63"/>
      <c r="U739" s="94" t="s">
        <v>933</v>
      </c>
      <c r="V739" s="90"/>
      <c r="W739" s="136"/>
      <c r="X739" s="137"/>
      <c r="Y739" s="2"/>
    </row>
    <row r="740" spans="2:25">
      <c r="B740" s="87">
        <f>B739+1</f>
        <v>9</v>
      </c>
      <c r="C740" s="295">
        <v>45953</v>
      </c>
      <c r="D740" s="10">
        <v>74704</v>
      </c>
      <c r="E740" s="101" t="s">
        <v>563</v>
      </c>
      <c r="F740" s="62">
        <v>2261</v>
      </c>
      <c r="G740" s="62">
        <v>39.700000000000003</v>
      </c>
      <c r="H740" s="62"/>
      <c r="I740" s="89">
        <f t="shared" si="126"/>
        <v>2221.3000000000002</v>
      </c>
      <c r="J740" s="63" t="s">
        <v>205</v>
      </c>
      <c r="K740" s="63">
        <v>1</v>
      </c>
      <c r="L740" s="63"/>
      <c r="M740" s="63"/>
      <c r="N740" s="63">
        <v>1</v>
      </c>
      <c r="O740" s="63"/>
      <c r="P740" s="63"/>
      <c r="Q740" s="63"/>
      <c r="R740" s="63"/>
      <c r="S740" s="296"/>
      <c r="T740" s="63"/>
      <c r="U740" s="10"/>
      <c r="V740" s="90"/>
      <c r="W740" s="136"/>
      <c r="X740" s="137"/>
      <c r="Y740" s="2"/>
    </row>
    <row r="741" spans="2:25">
      <c r="B741" s="87">
        <f t="shared" si="127"/>
        <v>10</v>
      </c>
      <c r="C741" s="282">
        <v>45953</v>
      </c>
      <c r="D741" s="283">
        <v>74768</v>
      </c>
      <c r="E741" s="319" t="s">
        <v>922</v>
      </c>
      <c r="F741" s="284">
        <v>2861</v>
      </c>
      <c r="G741" s="284">
        <v>39.700000000000003</v>
      </c>
      <c r="H741" s="284"/>
      <c r="I741" s="285">
        <f t="shared" si="126"/>
        <v>2821.3</v>
      </c>
      <c r="J741" s="286" t="s">
        <v>205</v>
      </c>
      <c r="K741" s="286">
        <v>1</v>
      </c>
      <c r="L741" s="286"/>
      <c r="M741" s="286"/>
      <c r="N741" s="286">
        <v>1</v>
      </c>
      <c r="O741" s="286"/>
      <c r="P741" s="286"/>
      <c r="Q741" s="286"/>
      <c r="R741" s="286"/>
      <c r="S741" s="287"/>
      <c r="T741" s="63"/>
      <c r="U741" s="10"/>
      <c r="V741" s="90"/>
      <c r="W741" s="136"/>
      <c r="X741" s="137"/>
      <c r="Y741" s="2"/>
    </row>
    <row r="742" spans="2:25">
      <c r="B742" s="87">
        <f t="shared" si="127"/>
        <v>11</v>
      </c>
      <c r="C742" s="295">
        <v>45954</v>
      </c>
      <c r="D742" s="10">
        <v>74794</v>
      </c>
      <c r="E742" s="101" t="s">
        <v>934</v>
      </c>
      <c r="F742" s="62">
        <v>11533</v>
      </c>
      <c r="G742" s="62">
        <f>39.7</f>
        <v>39.700000000000003</v>
      </c>
      <c r="H742" s="62"/>
      <c r="I742" s="89">
        <f t="shared" si="126"/>
        <v>11493.3</v>
      </c>
      <c r="J742" s="63" t="s">
        <v>205</v>
      </c>
      <c r="K742" s="63">
        <v>1</v>
      </c>
      <c r="L742" s="63"/>
      <c r="M742" s="63"/>
      <c r="N742" s="63">
        <v>1</v>
      </c>
      <c r="O742" s="63"/>
      <c r="P742" s="63"/>
      <c r="Q742" s="63">
        <v>1</v>
      </c>
      <c r="R742" s="63">
        <v>1</v>
      </c>
      <c r="S742" s="296">
        <v>1</v>
      </c>
      <c r="T742" s="63"/>
      <c r="U742" s="10"/>
      <c r="V742" s="90"/>
      <c r="W742" s="136"/>
      <c r="X742" s="137"/>
      <c r="Y742" s="2"/>
    </row>
    <row r="743" spans="2:25">
      <c r="B743" s="87">
        <f t="shared" si="127"/>
        <v>12</v>
      </c>
      <c r="C743" s="295">
        <v>45954</v>
      </c>
      <c r="D743" s="10" t="s">
        <v>935</v>
      </c>
      <c r="E743" s="101" t="s">
        <v>922</v>
      </c>
      <c r="F743" s="62">
        <v>14099</v>
      </c>
      <c r="G743" s="62">
        <v>39.700000000000003</v>
      </c>
      <c r="H743" s="62"/>
      <c r="I743" s="89">
        <f t="shared" si="126"/>
        <v>14059.3</v>
      </c>
      <c r="J743" s="63" t="s">
        <v>374</v>
      </c>
      <c r="K743" s="63">
        <v>1</v>
      </c>
      <c r="L743" s="63"/>
      <c r="M743" s="63">
        <v>1</v>
      </c>
      <c r="N743" s="63">
        <v>1</v>
      </c>
      <c r="O743" s="63"/>
      <c r="P743" s="63"/>
      <c r="Q743" s="63">
        <v>1</v>
      </c>
      <c r="R743" s="63"/>
      <c r="S743" s="296">
        <v>1</v>
      </c>
      <c r="T743" s="63"/>
      <c r="U743" s="10" t="s">
        <v>936</v>
      </c>
      <c r="V743" s="90">
        <v>1600</v>
      </c>
      <c r="W743" s="136"/>
      <c r="X743" s="137"/>
      <c r="Y743" s="2"/>
    </row>
    <row r="744" spans="2:25">
      <c r="B744" s="87">
        <f t="shared" si="127"/>
        <v>13</v>
      </c>
      <c r="C744" s="282">
        <v>45954</v>
      </c>
      <c r="D744" s="283">
        <v>74732</v>
      </c>
      <c r="E744" s="319" t="s">
        <v>401</v>
      </c>
      <c r="F744" s="284">
        <v>6367</v>
      </c>
      <c r="G744" s="284">
        <v>39.700000000000003</v>
      </c>
      <c r="H744" s="284"/>
      <c r="I744" s="285">
        <f t="shared" si="126"/>
        <v>6327.3</v>
      </c>
      <c r="J744" s="286" t="s">
        <v>205</v>
      </c>
      <c r="K744" s="286">
        <v>1</v>
      </c>
      <c r="L744" s="286"/>
      <c r="M744" s="286"/>
      <c r="N744" s="286">
        <v>1</v>
      </c>
      <c r="O744" s="286"/>
      <c r="P744" s="286"/>
      <c r="Q744" s="286">
        <v>1</v>
      </c>
      <c r="R744" s="286">
        <v>1</v>
      </c>
      <c r="S744" s="287">
        <v>1</v>
      </c>
      <c r="T744" s="63"/>
      <c r="U744" s="10"/>
      <c r="V744" s="90"/>
      <c r="W744" s="136"/>
      <c r="X744" s="137"/>
      <c r="Y744" s="2"/>
    </row>
    <row r="745" spans="2:25">
      <c r="B745" s="11"/>
      <c r="C745" s="36"/>
      <c r="D745" s="10"/>
      <c r="E745" s="10"/>
      <c r="F745" s="97">
        <f>SUM(F732:F744)</f>
        <v>97690.6</v>
      </c>
      <c r="G745" s="97">
        <f>SUM(G732:G744)</f>
        <v>516.09999999999991</v>
      </c>
      <c r="H745" s="97">
        <f>SUM(H732:H744)</f>
        <v>0</v>
      </c>
      <c r="I745" s="98">
        <f>SUM(I732:I744)</f>
        <v>97174.500000000015</v>
      </c>
      <c r="J745" s="10"/>
      <c r="K745" s="10"/>
      <c r="L745" s="10"/>
      <c r="M745" s="10"/>
      <c r="N745" s="10"/>
      <c r="O745" s="10"/>
      <c r="P745" s="10"/>
      <c r="Q745" s="10"/>
      <c r="R745" s="10"/>
      <c r="S745" s="10"/>
      <c r="T745" s="63"/>
      <c r="U745" s="10"/>
      <c r="V745" s="138"/>
      <c r="W745" s="136"/>
      <c r="X745" s="137"/>
      <c r="Y745" s="2"/>
    </row>
    <row r="746" spans="2:25">
      <c r="B746" s="26"/>
      <c r="C746" s="612"/>
      <c r="D746" s="141"/>
      <c r="E746" s="141"/>
      <c r="F746" s="141"/>
      <c r="G746" s="141"/>
      <c r="H746" s="141"/>
      <c r="I746" s="141"/>
      <c r="J746" s="141"/>
      <c r="K746" s="142"/>
      <c r="L746" s="142"/>
      <c r="M746" s="142"/>
      <c r="N746" s="142"/>
      <c r="O746" s="142"/>
      <c r="P746" s="142"/>
      <c r="Q746" s="142"/>
      <c r="R746" s="142"/>
      <c r="S746" s="142"/>
      <c r="T746" s="143">
        <f>SUM(T687:T745)</f>
        <v>5</v>
      </c>
      <c r="U746" s="141"/>
      <c r="V746" s="144">
        <f>SUM(V687:V745)</f>
        <v>23290.899999999994</v>
      </c>
      <c r="W746" s="144">
        <f t="shared" ref="W746:X746" si="128">SUM(W687:W745)</f>
        <v>507.1</v>
      </c>
      <c r="X746" s="144">
        <f t="shared" si="128"/>
        <v>0</v>
      </c>
      <c r="Y746" s="2"/>
    </row>
    <row r="747" spans="2:25">
      <c r="B747" s="10"/>
      <c r="C747" s="36"/>
      <c r="D747" s="10"/>
      <c r="E747" s="10"/>
      <c r="F747" s="10"/>
      <c r="G747" s="10"/>
      <c r="H747" s="10"/>
      <c r="I747" s="10"/>
      <c r="J747" s="10"/>
      <c r="K747" s="147"/>
      <c r="L747" s="147"/>
      <c r="M747" s="147"/>
      <c r="N747" s="147"/>
      <c r="O747" s="147"/>
      <c r="P747" s="147"/>
      <c r="Q747" s="147"/>
      <c r="R747" s="147"/>
      <c r="S747" s="147"/>
      <c r="T747" s="21"/>
      <c r="U747" s="10"/>
      <c r="V747" s="99"/>
      <c r="W747" s="99"/>
      <c r="X747" s="99"/>
      <c r="Y747" s="2"/>
    </row>
    <row r="749" spans="2:25">
      <c r="B749" s="4" t="s">
        <v>1</v>
      </c>
      <c r="C749" s="5"/>
      <c r="D749" s="6"/>
      <c r="E749" s="6"/>
      <c r="F749" s="7" t="s">
        <v>2</v>
      </c>
      <c r="G749" s="608">
        <v>45963</v>
      </c>
      <c r="H749" s="7"/>
      <c r="I749" s="6"/>
      <c r="J749" s="6"/>
      <c r="K749" s="6"/>
      <c r="L749" s="6"/>
      <c r="M749" s="6"/>
      <c r="N749" s="6"/>
      <c r="O749" s="6"/>
      <c r="P749" s="6"/>
      <c r="Q749" s="6"/>
      <c r="R749" s="6"/>
      <c r="S749" s="6"/>
      <c r="T749" s="6"/>
      <c r="U749" s="9"/>
      <c r="V749" s="10"/>
      <c r="W749" s="10"/>
      <c r="X749" s="10"/>
      <c r="Y749" s="2"/>
    </row>
    <row r="750" spans="2:25">
      <c r="B750" s="11"/>
      <c r="C750" s="10"/>
      <c r="D750" s="10"/>
      <c r="E750" s="10"/>
      <c r="F750" s="10"/>
      <c r="G750" s="7"/>
      <c r="H750" s="12"/>
      <c r="I750" s="10"/>
      <c r="J750" s="10"/>
      <c r="K750" s="13" t="s">
        <v>3</v>
      </c>
      <c r="L750" s="14"/>
      <c r="M750" s="15"/>
      <c r="N750" s="13" t="s">
        <v>4</v>
      </c>
      <c r="O750" s="14"/>
      <c r="P750" s="15"/>
      <c r="Q750" s="13" t="s">
        <v>5</v>
      </c>
      <c r="R750" s="14"/>
      <c r="S750" s="15"/>
      <c r="T750" s="16"/>
      <c r="U750" s="17"/>
      <c r="V750" s="10"/>
      <c r="W750" s="10"/>
      <c r="X750" s="10"/>
      <c r="Y750" s="2"/>
    </row>
    <row r="751" spans="2:25">
      <c r="B751" s="18" t="s">
        <v>6</v>
      </c>
      <c r="C751" s="19">
        <f>C752+C753</f>
        <v>34</v>
      </c>
      <c r="D751" s="10"/>
      <c r="E751" s="18" t="s">
        <v>7</v>
      </c>
      <c r="F751" s="6"/>
      <c r="G751" s="9"/>
      <c r="H751" s="10"/>
      <c r="I751" s="10"/>
      <c r="J751" s="10"/>
      <c r="K751" s="20" t="s">
        <v>8</v>
      </c>
      <c r="L751" s="21" t="s">
        <v>9</v>
      </c>
      <c r="M751" s="21" t="s">
        <v>10</v>
      </c>
      <c r="N751" s="20" t="s">
        <v>11</v>
      </c>
      <c r="O751" s="21" t="s">
        <v>12</v>
      </c>
      <c r="P751" s="22" t="s">
        <v>13</v>
      </c>
      <c r="Q751" s="21" t="s">
        <v>11</v>
      </c>
      <c r="R751" s="21" t="s">
        <v>12</v>
      </c>
      <c r="S751" s="22" t="s">
        <v>13</v>
      </c>
      <c r="T751" s="23" t="s">
        <v>14</v>
      </c>
      <c r="U751" s="17"/>
      <c r="V751" s="10"/>
      <c r="W751" s="10"/>
      <c r="X751" s="10"/>
      <c r="Y751" s="2"/>
    </row>
    <row r="752" spans="2:25">
      <c r="B752" s="24" t="s">
        <v>15</v>
      </c>
      <c r="C752" s="25">
        <f>P759</f>
        <v>21</v>
      </c>
      <c r="D752" s="10"/>
      <c r="E752" s="26" t="s">
        <v>16</v>
      </c>
      <c r="F752" s="27">
        <v>0.05</v>
      </c>
      <c r="G752" s="28"/>
      <c r="H752" s="10"/>
      <c r="I752" s="10"/>
      <c r="J752" s="18" t="s">
        <v>17</v>
      </c>
      <c r="K752" s="29">
        <f>K795</f>
        <v>18</v>
      </c>
      <c r="L752" s="29">
        <f t="shared" ref="L752:S752" si="129">L795</f>
        <v>15</v>
      </c>
      <c r="M752" s="29">
        <f t="shared" si="129"/>
        <v>18</v>
      </c>
      <c r="N752" s="29">
        <f t="shared" si="129"/>
        <v>18</v>
      </c>
      <c r="O752" s="29">
        <f t="shared" si="129"/>
        <v>18</v>
      </c>
      <c r="P752" s="29">
        <f t="shared" si="129"/>
        <v>17</v>
      </c>
      <c r="Q752" s="29">
        <f t="shared" si="129"/>
        <v>18</v>
      </c>
      <c r="R752" s="29">
        <f t="shared" si="129"/>
        <v>17</v>
      </c>
      <c r="S752" s="29">
        <f t="shared" si="129"/>
        <v>7</v>
      </c>
      <c r="T752" s="30">
        <f>T853</f>
        <v>5</v>
      </c>
      <c r="U752" s="17"/>
      <c r="V752" s="10"/>
      <c r="W752" s="10"/>
      <c r="X752" s="10"/>
      <c r="Y752" s="2"/>
    </row>
    <row r="753" spans="2:25">
      <c r="B753" s="24" t="s">
        <v>18</v>
      </c>
      <c r="C753" s="25">
        <f>P760</f>
        <v>13</v>
      </c>
      <c r="D753" s="10"/>
      <c r="E753" s="10"/>
      <c r="F753" s="10"/>
      <c r="G753" s="31"/>
      <c r="H753" s="10"/>
      <c r="I753" s="10"/>
      <c r="J753" s="32" t="s">
        <v>19</v>
      </c>
      <c r="K753" s="33">
        <f>K795/K794</f>
        <v>1</v>
      </c>
      <c r="L753" s="33">
        <f t="shared" ref="L753:S753" si="130">L795/L794</f>
        <v>0.83333333333333337</v>
      </c>
      <c r="M753" s="33">
        <f t="shared" si="130"/>
        <v>1</v>
      </c>
      <c r="N753" s="33">
        <f t="shared" si="130"/>
        <v>1</v>
      </c>
      <c r="O753" s="33">
        <f t="shared" si="130"/>
        <v>1</v>
      </c>
      <c r="P753" s="33">
        <f t="shared" si="130"/>
        <v>0.94444444444444442</v>
      </c>
      <c r="Q753" s="33">
        <f t="shared" si="130"/>
        <v>1</v>
      </c>
      <c r="R753" s="33">
        <f t="shared" si="130"/>
        <v>0.94444444444444442</v>
      </c>
      <c r="S753" s="33">
        <f t="shared" si="130"/>
        <v>0.3888888888888889</v>
      </c>
      <c r="T753" s="23"/>
      <c r="U753" s="17" t="s">
        <v>20</v>
      </c>
      <c r="V753" s="10"/>
      <c r="W753" s="10"/>
      <c r="X753" s="10"/>
      <c r="Y753" s="2"/>
    </row>
    <row r="754" spans="2:25">
      <c r="B754" s="24" t="s">
        <v>21</v>
      </c>
      <c r="C754" s="34">
        <f>P761</f>
        <v>0.61764705882352944</v>
      </c>
      <c r="D754" s="10"/>
      <c r="E754" s="10"/>
      <c r="F754" s="10"/>
      <c r="G754" s="10"/>
      <c r="H754" s="10"/>
      <c r="I754" s="10"/>
      <c r="J754" s="10"/>
      <c r="K754" s="10"/>
      <c r="L754" s="10"/>
      <c r="M754" s="10"/>
      <c r="N754" s="10"/>
      <c r="O754" s="10"/>
      <c r="P754" s="10"/>
      <c r="Q754" s="10"/>
      <c r="R754" s="10"/>
      <c r="S754" s="10"/>
      <c r="T754" s="10"/>
      <c r="U754" s="17"/>
      <c r="V754" s="10"/>
      <c r="W754" s="10"/>
      <c r="X754" s="10"/>
      <c r="Y754" s="2"/>
    </row>
    <row r="755" spans="2:25">
      <c r="B755" s="24"/>
      <c r="C755" s="25"/>
      <c r="D755" s="10"/>
      <c r="E755" s="10"/>
      <c r="F755" s="18" t="s">
        <v>22</v>
      </c>
      <c r="G755" s="19" t="s">
        <v>23</v>
      </c>
      <c r="H755" s="35" t="s">
        <v>24</v>
      </c>
      <c r="I755" s="10"/>
      <c r="J755" s="10"/>
      <c r="K755" s="36"/>
      <c r="L755" s="36"/>
      <c r="M755" s="36"/>
      <c r="N755" s="36"/>
      <c r="O755" s="36"/>
      <c r="P755" s="36"/>
      <c r="Q755" s="36"/>
      <c r="R755" s="10"/>
      <c r="S755" s="10"/>
      <c r="T755" s="10"/>
      <c r="U755" s="17"/>
      <c r="V755" s="10"/>
      <c r="W755" s="10"/>
      <c r="X755" s="10"/>
      <c r="Y755" s="2"/>
    </row>
    <row r="756" spans="2:25">
      <c r="B756" s="32" t="s">
        <v>25</v>
      </c>
      <c r="C756" s="37">
        <f>P762</f>
        <v>1711.5457142857142</v>
      </c>
      <c r="D756" s="10"/>
      <c r="E756" s="18" t="s">
        <v>26</v>
      </c>
      <c r="F756" s="38">
        <f>P758</f>
        <v>35942.46</v>
      </c>
      <c r="G756" s="39">
        <f>I794+I811+I815</f>
        <v>35942.46</v>
      </c>
      <c r="H756" s="40"/>
      <c r="I756" s="41"/>
      <c r="J756" s="42"/>
      <c r="K756" s="43" t="s">
        <v>27</v>
      </c>
      <c r="L756" s="44"/>
      <c r="M756" s="44"/>
      <c r="N756" s="44"/>
      <c r="O756" s="44"/>
      <c r="P756" s="44"/>
      <c r="Q756" s="45"/>
      <c r="R756" s="46" t="s">
        <v>28</v>
      </c>
      <c r="S756" s="47" t="s">
        <v>29</v>
      </c>
      <c r="T756" s="10"/>
      <c r="U756" s="17"/>
      <c r="V756" s="10"/>
      <c r="W756" s="10"/>
      <c r="X756" s="10"/>
      <c r="Y756" s="2"/>
    </row>
    <row r="757" spans="2:25">
      <c r="B757" s="11"/>
      <c r="C757" s="10"/>
      <c r="D757" s="10"/>
      <c r="E757" s="24" t="s">
        <v>30</v>
      </c>
      <c r="F757" s="48">
        <f>F752</f>
        <v>0.05</v>
      </c>
      <c r="G757" s="17"/>
      <c r="H757" s="40"/>
      <c r="I757" s="41"/>
      <c r="J757" s="42"/>
      <c r="K757" s="20" t="s">
        <v>31</v>
      </c>
      <c r="L757" s="21" t="s">
        <v>32</v>
      </c>
      <c r="M757" s="21" t="s">
        <v>33</v>
      </c>
      <c r="N757" s="21" t="s">
        <v>34</v>
      </c>
      <c r="O757" s="21" t="s">
        <v>35</v>
      </c>
      <c r="P757" s="21" t="s">
        <v>36</v>
      </c>
      <c r="Q757" s="49" t="s">
        <v>37</v>
      </c>
      <c r="R757" s="50" t="s">
        <v>38</v>
      </c>
      <c r="S757" s="50" t="s">
        <v>38</v>
      </c>
      <c r="T757" s="10"/>
      <c r="U757" s="17"/>
      <c r="V757" s="10"/>
      <c r="W757" s="10"/>
      <c r="X757" s="10"/>
      <c r="Y757" s="2"/>
    </row>
    <row r="758" spans="2:25">
      <c r="B758" s="11"/>
      <c r="C758" s="10"/>
      <c r="D758" s="10"/>
      <c r="E758" s="51" t="s">
        <v>39</v>
      </c>
      <c r="F758" s="52">
        <f>F756*F757</f>
        <v>1797.123</v>
      </c>
      <c r="G758" s="53" t="s">
        <v>40</v>
      </c>
      <c r="H758" s="54">
        <f>F758/1.12</f>
        <v>1604.574107142857</v>
      </c>
      <c r="I758" s="55"/>
      <c r="J758" s="42"/>
      <c r="K758" s="56">
        <f>I777+I778+I779+I776+I780</f>
        <v>13101.68</v>
      </c>
      <c r="L758" s="57">
        <f>I781+I782+I783</f>
        <v>2438.3000000000002</v>
      </c>
      <c r="M758" s="57">
        <f>I784+I785+I786+I787+I789+I814+I788</f>
        <v>11600.279999999999</v>
      </c>
      <c r="N758" s="57">
        <f>I790+I791+I809+I810</f>
        <v>6932.9000000000005</v>
      </c>
      <c r="O758" s="57">
        <f>I792+I793</f>
        <v>1869.3</v>
      </c>
      <c r="P758" s="57">
        <f>SUM(K758:O758)</f>
        <v>35942.46</v>
      </c>
      <c r="Q758" s="58">
        <v>0</v>
      </c>
      <c r="R758" s="59">
        <f>I811+I815</f>
        <v>6652.9000000000005</v>
      </c>
      <c r="S758" s="59">
        <v>0</v>
      </c>
      <c r="T758" s="10"/>
      <c r="U758" s="17"/>
      <c r="V758" s="10"/>
      <c r="W758" s="10"/>
      <c r="X758" s="10"/>
      <c r="Y758" s="2"/>
    </row>
    <row r="759" spans="2:25">
      <c r="B759" s="11"/>
      <c r="C759" s="10"/>
      <c r="D759" s="10"/>
      <c r="E759" s="24" t="s">
        <v>41</v>
      </c>
      <c r="F759" s="60">
        <f>Q758</f>
        <v>0</v>
      </c>
      <c r="G759" s="61" t="s">
        <v>40</v>
      </c>
      <c r="H759" s="62"/>
      <c r="I759" s="62"/>
      <c r="J759" s="10" t="s">
        <v>42</v>
      </c>
      <c r="K759" s="63">
        <v>5</v>
      </c>
      <c r="L759" s="63">
        <v>3</v>
      </c>
      <c r="M759" s="63">
        <v>7</v>
      </c>
      <c r="N759" s="63">
        <v>4</v>
      </c>
      <c r="O759" s="63">
        <v>2</v>
      </c>
      <c r="P759" s="21">
        <f>SUM(K759:O759)</f>
        <v>21</v>
      </c>
      <c r="Q759" s="64"/>
      <c r="R759" s="63"/>
      <c r="S759" s="10"/>
      <c r="T759" s="10"/>
      <c r="U759" s="17"/>
      <c r="V759" s="10"/>
      <c r="W759" s="10"/>
      <c r="X759" s="10"/>
      <c r="Y759" s="2"/>
    </row>
    <row r="760" spans="2:25">
      <c r="B760" s="11"/>
      <c r="C760" s="10"/>
      <c r="D760" s="10"/>
      <c r="E760" s="51" t="s">
        <v>43</v>
      </c>
      <c r="F760" s="52">
        <f>F759*0.25</f>
        <v>0</v>
      </c>
      <c r="G760" s="53" t="s">
        <v>40</v>
      </c>
      <c r="H760" s="54">
        <f>F760/1.12</f>
        <v>0</v>
      </c>
      <c r="I760" s="10"/>
      <c r="J760" s="10" t="s">
        <v>44</v>
      </c>
      <c r="K760" s="63">
        <v>2</v>
      </c>
      <c r="L760" s="63">
        <v>1</v>
      </c>
      <c r="M760" s="63">
        <v>0</v>
      </c>
      <c r="N760" s="63">
        <v>4</v>
      </c>
      <c r="O760" s="63">
        <v>6</v>
      </c>
      <c r="P760" s="21">
        <f>SUM(K760:O760)</f>
        <v>13</v>
      </c>
      <c r="Q760" s="64"/>
      <c r="R760" s="63"/>
      <c r="S760" s="10"/>
      <c r="T760" s="10"/>
      <c r="U760" s="17"/>
      <c r="V760" s="10"/>
      <c r="W760" s="10"/>
      <c r="X760" s="10"/>
      <c r="Y760" s="2"/>
    </row>
    <row r="761" spans="2:25">
      <c r="B761" s="11"/>
      <c r="C761" s="10"/>
      <c r="D761" s="10"/>
      <c r="E761" s="24" t="s">
        <v>45</v>
      </c>
      <c r="F761" s="60"/>
      <c r="G761" s="61" t="s">
        <v>40</v>
      </c>
      <c r="H761" s="62"/>
      <c r="I761" s="10"/>
      <c r="J761" s="10" t="s">
        <v>46</v>
      </c>
      <c r="K761" s="31">
        <f t="shared" ref="K761:Q761" si="131">K759/(K759+K760)</f>
        <v>0.7142857142857143</v>
      </c>
      <c r="L761" s="31">
        <f t="shared" si="131"/>
        <v>0.75</v>
      </c>
      <c r="M761" s="31">
        <f t="shared" si="131"/>
        <v>1</v>
      </c>
      <c r="N761" s="31">
        <f t="shared" si="131"/>
        <v>0.5</v>
      </c>
      <c r="O761" s="31">
        <f t="shared" si="131"/>
        <v>0.25</v>
      </c>
      <c r="P761" s="31">
        <f t="shared" si="131"/>
        <v>0.61764705882352944</v>
      </c>
      <c r="Q761" s="31" t="e">
        <f t="shared" si="131"/>
        <v>#DIV/0!</v>
      </c>
      <c r="R761" s="63"/>
      <c r="S761" s="10"/>
      <c r="T761" s="10"/>
      <c r="U761" s="17"/>
      <c r="V761" s="10"/>
      <c r="W761" s="10"/>
      <c r="X761" s="10"/>
      <c r="Y761" s="2"/>
    </row>
    <row r="762" spans="2:25">
      <c r="B762" s="11"/>
      <c r="C762" s="10"/>
      <c r="D762" s="10"/>
      <c r="E762" s="51" t="s">
        <v>47</v>
      </c>
      <c r="F762" s="52">
        <f>F761*0.05</f>
        <v>0</v>
      </c>
      <c r="G762" s="65" t="s">
        <v>40</v>
      </c>
      <c r="H762" s="54">
        <f>F762/1.12</f>
        <v>0</v>
      </c>
      <c r="I762" s="42"/>
      <c r="J762" s="10" t="s">
        <v>48</v>
      </c>
      <c r="K762" s="66">
        <f>K758/K759</f>
        <v>2620.3360000000002</v>
      </c>
      <c r="L762" s="66">
        <f t="shared" ref="L762:Q762" si="132">L758/L759</f>
        <v>812.76666666666677</v>
      </c>
      <c r="M762" s="66">
        <f t="shared" si="132"/>
        <v>1657.1828571428571</v>
      </c>
      <c r="N762" s="66">
        <f t="shared" si="132"/>
        <v>1733.2250000000001</v>
      </c>
      <c r="O762" s="66">
        <f t="shared" si="132"/>
        <v>934.65</v>
      </c>
      <c r="P762" s="66">
        <f t="shared" si="132"/>
        <v>1711.5457142857142</v>
      </c>
      <c r="Q762" s="66" t="e">
        <f t="shared" si="132"/>
        <v>#DIV/0!</v>
      </c>
      <c r="R762" s="63"/>
      <c r="S762" s="10"/>
      <c r="T762" s="10"/>
      <c r="U762" s="17"/>
      <c r="V762" s="10"/>
      <c r="W762" s="10"/>
      <c r="X762" s="10"/>
      <c r="Y762" s="2"/>
    </row>
    <row r="763" spans="2:25">
      <c r="B763" s="11"/>
      <c r="C763" s="10"/>
      <c r="D763" s="10"/>
      <c r="E763" s="67" t="s">
        <v>14</v>
      </c>
      <c r="F763" s="68">
        <f>5*50</f>
        <v>250</v>
      </c>
      <c r="G763" s="10"/>
      <c r="H763" s="54">
        <f>F763/1.12</f>
        <v>223.21428571428569</v>
      </c>
      <c r="I763" s="10"/>
      <c r="J763" s="10"/>
      <c r="K763" s="10"/>
      <c r="L763" s="10"/>
      <c r="M763" s="10"/>
      <c r="N763" s="10"/>
      <c r="O763" s="10"/>
      <c r="P763" s="10"/>
      <c r="Q763" s="10"/>
      <c r="R763" s="10"/>
      <c r="S763" s="10"/>
      <c r="T763" s="10"/>
      <c r="U763" s="17"/>
      <c r="V763" s="10"/>
      <c r="W763" s="10"/>
      <c r="X763" s="10"/>
      <c r="Y763" s="2"/>
    </row>
    <row r="764" spans="2:25">
      <c r="B764" s="11"/>
      <c r="C764" s="10"/>
      <c r="D764" s="10"/>
      <c r="E764" s="67" t="s">
        <v>49</v>
      </c>
      <c r="F764" s="69">
        <f>T753</f>
        <v>0</v>
      </c>
      <c r="G764" s="10"/>
      <c r="H764" s="54"/>
      <c r="I764" s="55"/>
      <c r="J764" s="42"/>
      <c r="K764" s="764" t="s">
        <v>50</v>
      </c>
      <c r="L764" s="765"/>
      <c r="M764" s="765"/>
      <c r="N764" s="765"/>
      <c r="O764" s="765"/>
      <c r="P764" s="765"/>
      <c r="Q764" s="766"/>
      <c r="R764" s="70" t="s">
        <v>28</v>
      </c>
      <c r="S764" s="71" t="s">
        <v>29</v>
      </c>
      <c r="T764" s="10"/>
      <c r="U764" s="17"/>
      <c r="V764" s="10"/>
      <c r="W764" s="10"/>
      <c r="X764" s="10"/>
      <c r="Y764" s="2"/>
    </row>
    <row r="765" spans="2:25">
      <c r="B765" s="11"/>
      <c r="C765" s="10"/>
      <c r="D765" s="10"/>
      <c r="E765" s="74" t="s">
        <v>937</v>
      </c>
      <c r="F765" s="75">
        <v>-26.12</v>
      </c>
      <c r="G765" s="10"/>
      <c r="H765" s="10"/>
      <c r="I765" s="10"/>
      <c r="J765" s="42"/>
      <c r="K765" s="20" t="s">
        <v>31</v>
      </c>
      <c r="L765" s="21" t="s">
        <v>32</v>
      </c>
      <c r="M765" s="21" t="s">
        <v>33</v>
      </c>
      <c r="N765" s="21" t="s">
        <v>34</v>
      </c>
      <c r="O765" s="21" t="s">
        <v>35</v>
      </c>
      <c r="P765" s="21" t="s">
        <v>36</v>
      </c>
      <c r="Q765" s="49" t="s">
        <v>37</v>
      </c>
      <c r="R765" s="50" t="s">
        <v>38</v>
      </c>
      <c r="S765" s="50" t="s">
        <v>38</v>
      </c>
      <c r="T765" s="10"/>
      <c r="U765" s="17"/>
      <c r="V765" s="10"/>
      <c r="W765" s="10"/>
      <c r="X765" s="10"/>
      <c r="Y765" s="2"/>
    </row>
    <row r="766" spans="2:25">
      <c r="B766" s="11"/>
      <c r="C766" s="10"/>
      <c r="D766" s="10"/>
      <c r="E766" s="12"/>
      <c r="F766" s="76"/>
      <c r="G766" s="10"/>
      <c r="H766" s="10"/>
      <c r="I766" s="10"/>
      <c r="J766" s="42"/>
      <c r="K766" s="56">
        <f>F777+F778+F779+F776+F780</f>
        <v>14562.85</v>
      </c>
      <c r="L766" s="57">
        <f>F781+F782+F783</f>
        <v>2478</v>
      </c>
      <c r="M766" s="57">
        <f>F784+F785+F786+F787+F789+F814+F788</f>
        <v>12128.72</v>
      </c>
      <c r="N766" s="57">
        <f>F790+F791+F809+F810</f>
        <v>7052</v>
      </c>
      <c r="O766" s="57">
        <f>F792+F793</f>
        <v>1909</v>
      </c>
      <c r="P766" s="57">
        <f>SUM(K766:O766)</f>
        <v>38130.57</v>
      </c>
      <c r="Q766" s="58">
        <v>0</v>
      </c>
      <c r="R766" s="59">
        <f>F811+F815</f>
        <v>6772</v>
      </c>
      <c r="S766" s="59">
        <v>0</v>
      </c>
      <c r="T766" s="10"/>
      <c r="U766" s="17"/>
      <c r="V766" s="10"/>
      <c r="W766" s="10"/>
      <c r="X766" s="10"/>
      <c r="Y766" s="2"/>
    </row>
    <row r="767" spans="2:25">
      <c r="B767" s="11"/>
      <c r="C767" s="10"/>
      <c r="D767" s="10"/>
      <c r="E767" s="10"/>
      <c r="F767" s="10"/>
      <c r="G767" s="10"/>
      <c r="H767" s="10"/>
      <c r="I767" s="10"/>
      <c r="J767" s="10" t="s">
        <v>42</v>
      </c>
      <c r="K767" s="63">
        <f>K759</f>
        <v>5</v>
      </c>
      <c r="L767" s="63">
        <f t="shared" ref="L767:Q768" si="133">L759</f>
        <v>3</v>
      </c>
      <c r="M767" s="63">
        <f t="shared" si="133"/>
        <v>7</v>
      </c>
      <c r="N767" s="63">
        <f t="shared" si="133"/>
        <v>4</v>
      </c>
      <c r="O767" s="63">
        <f t="shared" si="133"/>
        <v>2</v>
      </c>
      <c r="P767" s="63">
        <f t="shared" si="133"/>
        <v>21</v>
      </c>
      <c r="Q767" s="63">
        <f t="shared" si="133"/>
        <v>0</v>
      </c>
      <c r="R767" s="63"/>
      <c r="S767" s="10"/>
      <c r="T767" s="10"/>
      <c r="U767" s="17"/>
      <c r="V767" s="10"/>
      <c r="W767" s="10"/>
      <c r="X767" s="10"/>
      <c r="Y767" s="2"/>
    </row>
    <row r="768" spans="2:25">
      <c r="B768" s="11"/>
      <c r="C768" s="10"/>
      <c r="D768" s="10"/>
      <c r="E768" s="10"/>
      <c r="F768" s="10"/>
      <c r="G768" s="10"/>
      <c r="H768" s="10"/>
      <c r="I768" s="10"/>
      <c r="J768" s="10" t="s">
        <v>44</v>
      </c>
      <c r="K768" s="63">
        <f>K760</f>
        <v>2</v>
      </c>
      <c r="L768" s="63">
        <f t="shared" si="133"/>
        <v>1</v>
      </c>
      <c r="M768" s="63">
        <f t="shared" si="133"/>
        <v>0</v>
      </c>
      <c r="N768" s="63">
        <f t="shared" si="133"/>
        <v>4</v>
      </c>
      <c r="O768" s="63">
        <f t="shared" si="133"/>
        <v>6</v>
      </c>
      <c r="P768" s="63">
        <f t="shared" si="133"/>
        <v>13</v>
      </c>
      <c r="Q768" s="63">
        <f t="shared" si="133"/>
        <v>0</v>
      </c>
      <c r="R768" s="63"/>
      <c r="S768" s="10"/>
      <c r="T768" s="10"/>
      <c r="U768" s="17"/>
      <c r="V768" s="10"/>
      <c r="W768" s="10"/>
      <c r="X768" s="10"/>
      <c r="Y768" s="2"/>
    </row>
    <row r="769" spans="1:25">
      <c r="B769" s="11"/>
      <c r="C769" s="10"/>
      <c r="D769" s="10"/>
      <c r="E769" s="10"/>
      <c r="F769" s="10"/>
      <c r="G769" s="10"/>
      <c r="H769" s="10"/>
      <c r="I769" s="10"/>
      <c r="J769" s="10" t="s">
        <v>46</v>
      </c>
      <c r="K769" s="31">
        <f t="shared" ref="K769:Q769" si="134">K767/(K767+K768)</f>
        <v>0.7142857142857143</v>
      </c>
      <c r="L769" s="31">
        <f t="shared" si="134"/>
        <v>0.75</v>
      </c>
      <c r="M769" s="31">
        <f t="shared" si="134"/>
        <v>1</v>
      </c>
      <c r="N769" s="31">
        <f t="shared" si="134"/>
        <v>0.5</v>
      </c>
      <c r="O769" s="31">
        <f t="shared" si="134"/>
        <v>0.25</v>
      </c>
      <c r="P769" s="31">
        <f t="shared" si="134"/>
        <v>0.61764705882352944</v>
      </c>
      <c r="Q769" s="31" t="e">
        <f t="shared" si="134"/>
        <v>#DIV/0!</v>
      </c>
      <c r="R769" s="63"/>
      <c r="S769" s="10"/>
      <c r="T769" s="10"/>
      <c r="U769" s="17"/>
      <c r="V769" s="10"/>
      <c r="W769" s="10"/>
      <c r="X769" s="10"/>
      <c r="Y769" s="2"/>
    </row>
    <row r="770" spans="1:25">
      <c r="B770" s="11"/>
      <c r="C770" s="10"/>
      <c r="D770" s="10"/>
      <c r="E770" s="10"/>
      <c r="F770" s="10"/>
      <c r="G770" s="10"/>
      <c r="H770" s="10"/>
      <c r="I770" s="10"/>
      <c r="J770" s="10" t="s">
        <v>48</v>
      </c>
      <c r="K770" s="66">
        <f t="shared" ref="K770:Q770" si="135">K766/K767</f>
        <v>2912.57</v>
      </c>
      <c r="L770" s="66">
        <f t="shared" si="135"/>
        <v>826</v>
      </c>
      <c r="M770" s="66">
        <f t="shared" si="135"/>
        <v>1732.6742857142856</v>
      </c>
      <c r="N770" s="66">
        <f t="shared" si="135"/>
        <v>1763</v>
      </c>
      <c r="O770" s="66">
        <f t="shared" si="135"/>
        <v>954.5</v>
      </c>
      <c r="P770" s="66">
        <f t="shared" si="135"/>
        <v>1815.7414285714285</v>
      </c>
      <c r="Q770" s="66" t="e">
        <f t="shared" si="135"/>
        <v>#DIV/0!</v>
      </c>
      <c r="R770" s="63"/>
      <c r="S770" s="10"/>
      <c r="T770" s="10"/>
      <c r="U770" s="17"/>
      <c r="V770" s="10"/>
      <c r="W770" s="10"/>
      <c r="X770" s="10"/>
      <c r="Y770" s="2"/>
    </row>
    <row r="771" spans="1:25">
      <c r="B771" s="11"/>
      <c r="C771" s="10"/>
      <c r="D771" s="10"/>
      <c r="E771" s="10"/>
      <c r="F771" s="10"/>
      <c r="G771" s="10"/>
      <c r="H771" s="10"/>
      <c r="I771" s="10"/>
      <c r="J771" s="10"/>
      <c r="K771" s="10"/>
      <c r="L771" s="10"/>
      <c r="M771" s="10"/>
      <c r="N771" s="10"/>
      <c r="O771" s="10"/>
      <c r="P771" s="10"/>
      <c r="Q771" s="10"/>
      <c r="R771" s="10"/>
      <c r="S771" s="10"/>
      <c r="T771" s="10"/>
      <c r="U771" s="17"/>
      <c r="V771" s="10"/>
      <c r="W771" s="10"/>
      <c r="X771" s="10"/>
      <c r="Y771" s="2"/>
    </row>
    <row r="772" spans="1:25">
      <c r="B772" s="11"/>
      <c r="C772" s="10"/>
      <c r="D772" s="10"/>
      <c r="E772" s="10"/>
      <c r="F772" s="10"/>
      <c r="G772" s="10"/>
      <c r="H772" s="10"/>
      <c r="I772" s="10"/>
      <c r="J772" s="10"/>
      <c r="K772" s="10"/>
      <c r="L772" s="10"/>
      <c r="M772" s="10"/>
      <c r="N772" s="10"/>
      <c r="O772" s="10"/>
      <c r="P772" s="10"/>
      <c r="Q772" s="10"/>
      <c r="R772" s="10"/>
      <c r="S772" s="10"/>
      <c r="T772" s="10"/>
      <c r="U772" s="17"/>
      <c r="V772" s="10"/>
      <c r="W772" s="10"/>
      <c r="X772" s="10"/>
      <c r="Y772" s="2"/>
    </row>
    <row r="773" spans="1:25">
      <c r="B773" s="18" t="s">
        <v>51</v>
      </c>
      <c r="C773" s="14"/>
      <c r="D773" s="14"/>
      <c r="E773" s="14"/>
      <c r="F773" s="13" t="s">
        <v>52</v>
      </c>
      <c r="G773" s="14"/>
      <c r="H773" s="14"/>
      <c r="I773" s="14"/>
      <c r="J773" s="14"/>
      <c r="K773" s="13" t="s">
        <v>3</v>
      </c>
      <c r="L773" s="14"/>
      <c r="M773" s="14"/>
      <c r="N773" s="13" t="s">
        <v>4</v>
      </c>
      <c r="O773" s="14"/>
      <c r="P773" s="14"/>
      <c r="Q773" s="13" t="s">
        <v>5</v>
      </c>
      <c r="R773" s="14"/>
      <c r="S773" s="14"/>
      <c r="T773" s="18"/>
      <c r="U773" s="16" t="s">
        <v>53</v>
      </c>
      <c r="V773" s="77"/>
      <c r="W773" s="77"/>
      <c r="X773" s="77"/>
      <c r="Y773" s="2"/>
    </row>
    <row r="774" spans="1:25">
      <c r="B774" s="24" t="s">
        <v>54</v>
      </c>
      <c r="C774" s="21" t="s">
        <v>55</v>
      </c>
      <c r="D774" s="21" t="s">
        <v>56</v>
      </c>
      <c r="E774" s="21" t="s">
        <v>57</v>
      </c>
      <c r="F774" s="20" t="s">
        <v>58</v>
      </c>
      <c r="G774" s="21" t="s">
        <v>59</v>
      </c>
      <c r="H774" s="21" t="s">
        <v>60</v>
      </c>
      <c r="I774" s="21" t="s">
        <v>26</v>
      </c>
      <c r="J774" s="22" t="s">
        <v>61</v>
      </c>
      <c r="K774" s="21" t="s">
        <v>8</v>
      </c>
      <c r="L774" s="21" t="s">
        <v>9</v>
      </c>
      <c r="M774" s="21" t="s">
        <v>10</v>
      </c>
      <c r="N774" s="20" t="s">
        <v>11</v>
      </c>
      <c r="O774" s="21" t="s">
        <v>12</v>
      </c>
      <c r="P774" s="22" t="s">
        <v>13</v>
      </c>
      <c r="Q774" s="21" t="s">
        <v>11</v>
      </c>
      <c r="R774" s="21" t="s">
        <v>12</v>
      </c>
      <c r="S774" s="21" t="s">
        <v>13</v>
      </c>
      <c r="T774" s="78" t="s">
        <v>14</v>
      </c>
      <c r="U774" s="30"/>
      <c r="V774" s="79" t="s">
        <v>62</v>
      </c>
      <c r="W774" s="80" t="s">
        <v>63</v>
      </c>
      <c r="X774" s="81" t="s">
        <v>64</v>
      </c>
      <c r="Y774" s="2"/>
    </row>
    <row r="775" spans="1:25">
      <c r="B775" s="4" t="s">
        <v>65</v>
      </c>
      <c r="C775" s="6"/>
      <c r="D775" s="6"/>
      <c r="E775" s="6"/>
      <c r="F775" s="6"/>
      <c r="G775" s="6"/>
      <c r="H775" s="6"/>
      <c r="I775" s="82"/>
      <c r="J775" s="6"/>
      <c r="K775" s="6"/>
      <c r="L775" s="6"/>
      <c r="M775" s="6"/>
      <c r="N775" s="6"/>
      <c r="O775" s="6"/>
      <c r="P775" s="6"/>
      <c r="Q775" s="6"/>
      <c r="R775" s="6"/>
      <c r="S775" s="6"/>
      <c r="T775" s="83"/>
      <c r="U775" s="6"/>
      <c r="V775" s="84"/>
      <c r="W775" s="85"/>
      <c r="X775" s="86"/>
      <c r="Y775" s="2"/>
    </row>
    <row r="776" spans="1:25">
      <c r="A776" s="2" t="s">
        <v>938</v>
      </c>
      <c r="B776" s="87">
        <v>1</v>
      </c>
      <c r="C776" s="274">
        <v>45957</v>
      </c>
      <c r="D776" s="276">
        <v>74840</v>
      </c>
      <c r="E776" s="276" t="s">
        <v>327</v>
      </c>
      <c r="F776" s="277">
        <v>1581.85</v>
      </c>
      <c r="G776" s="277">
        <f>39.7+550</f>
        <v>589.70000000000005</v>
      </c>
      <c r="H776" s="277"/>
      <c r="I776" s="278">
        <f>F776-G776-H776</f>
        <v>992.14999999999986</v>
      </c>
      <c r="J776" s="279" t="s">
        <v>156</v>
      </c>
      <c r="K776" s="279">
        <v>1</v>
      </c>
      <c r="L776" s="322">
        <v>0</v>
      </c>
      <c r="M776" s="279">
        <v>1</v>
      </c>
      <c r="N776" s="279">
        <v>1</v>
      </c>
      <c r="O776" s="279">
        <v>1</v>
      </c>
      <c r="P776" s="279">
        <v>1</v>
      </c>
      <c r="Q776" s="279">
        <v>1</v>
      </c>
      <c r="R776" s="279">
        <v>1</v>
      </c>
      <c r="S776" s="328">
        <v>0</v>
      </c>
      <c r="T776" s="21">
        <v>1</v>
      </c>
      <c r="U776" s="94"/>
      <c r="V776" s="90">
        <f>1740.04</f>
        <v>1740.04</v>
      </c>
      <c r="W776" s="578"/>
      <c r="X776" s="579"/>
      <c r="Y776" s="2"/>
    </row>
    <row r="777" spans="1:25">
      <c r="B777" s="87">
        <f>B776+1</f>
        <v>2</v>
      </c>
      <c r="C777" s="295">
        <v>45957</v>
      </c>
      <c r="D777" s="10">
        <v>74845</v>
      </c>
      <c r="E777" s="10" t="s">
        <v>327</v>
      </c>
      <c r="F777" s="62">
        <v>2176</v>
      </c>
      <c r="G777" s="62">
        <f>39.7</f>
        <v>39.700000000000003</v>
      </c>
      <c r="H777" s="88"/>
      <c r="I777" s="89">
        <f t="shared" ref="I777:I792" si="136">F777-G777-H777</f>
        <v>2136.3000000000002</v>
      </c>
      <c r="J777" s="63" t="s">
        <v>156</v>
      </c>
      <c r="K777" s="63">
        <v>1</v>
      </c>
      <c r="L777" s="63">
        <v>1</v>
      </c>
      <c r="M777" s="63">
        <v>1</v>
      </c>
      <c r="N777" s="63">
        <v>1</v>
      </c>
      <c r="O777" s="63">
        <v>1</v>
      </c>
      <c r="P777" s="63">
        <v>1</v>
      </c>
      <c r="Q777" s="63">
        <v>1</v>
      </c>
      <c r="R777" s="63">
        <v>1</v>
      </c>
      <c r="S777" s="326">
        <v>0</v>
      </c>
      <c r="T777" s="63"/>
      <c r="U777" s="10"/>
      <c r="V777" s="90">
        <v>2393.6</v>
      </c>
      <c r="W777" s="91"/>
      <c r="X777" s="92"/>
      <c r="Y777" s="2"/>
    </row>
    <row r="778" spans="1:25">
      <c r="B778" s="87">
        <f>B777+1</f>
        <v>3</v>
      </c>
      <c r="C778" s="295">
        <v>45957</v>
      </c>
      <c r="D778" s="10">
        <v>74866</v>
      </c>
      <c r="E778" s="10" t="s">
        <v>363</v>
      </c>
      <c r="F778" s="62">
        <v>1138</v>
      </c>
      <c r="G778" s="62">
        <v>39.700000000000003</v>
      </c>
      <c r="H778" s="62"/>
      <c r="I778" s="89">
        <f t="shared" si="136"/>
        <v>1098.3</v>
      </c>
      <c r="J778" s="63" t="s">
        <v>156</v>
      </c>
      <c r="K778" s="63">
        <v>1</v>
      </c>
      <c r="L778" s="63">
        <v>1</v>
      </c>
      <c r="M778" s="63">
        <v>1</v>
      </c>
      <c r="N778" s="63">
        <v>1</v>
      </c>
      <c r="O778" s="63">
        <v>1</v>
      </c>
      <c r="P778" s="63">
        <v>1</v>
      </c>
      <c r="Q778" s="63">
        <v>1</v>
      </c>
      <c r="R778" s="63">
        <v>1</v>
      </c>
      <c r="S778" s="296">
        <v>1</v>
      </c>
      <c r="T778" s="63"/>
      <c r="U778" s="10"/>
      <c r="V778" s="90">
        <v>1251.8</v>
      </c>
      <c r="W778" s="91"/>
      <c r="X778" s="92"/>
      <c r="Y778" s="2"/>
    </row>
    <row r="779" spans="1:25">
      <c r="B779" s="87">
        <f t="shared" ref="B779:B792" si="137">B778+1</f>
        <v>4</v>
      </c>
      <c r="C779" s="295">
        <v>45957</v>
      </c>
      <c r="D779" s="3">
        <v>74842</v>
      </c>
      <c r="E779" s="10" t="s">
        <v>874</v>
      </c>
      <c r="F779" s="62">
        <v>1138</v>
      </c>
      <c r="G779" s="62">
        <v>39.700000000000003</v>
      </c>
      <c r="H779" s="62"/>
      <c r="I779" s="89">
        <f t="shared" si="136"/>
        <v>1098.3</v>
      </c>
      <c r="J779" s="63" t="s">
        <v>156</v>
      </c>
      <c r="K779" s="63">
        <v>1</v>
      </c>
      <c r="L779" s="63">
        <v>1</v>
      </c>
      <c r="M779" s="63">
        <v>1</v>
      </c>
      <c r="N779" s="63">
        <v>1</v>
      </c>
      <c r="O779" s="63">
        <v>1</v>
      </c>
      <c r="P779" s="63">
        <v>1</v>
      </c>
      <c r="Q779" s="63">
        <v>1</v>
      </c>
      <c r="R779" s="63">
        <v>1</v>
      </c>
      <c r="S779" s="326">
        <v>0</v>
      </c>
      <c r="T779" s="21">
        <v>1</v>
      </c>
      <c r="U779" s="10"/>
      <c r="V779" s="90">
        <v>1251.8</v>
      </c>
      <c r="W779" s="91"/>
      <c r="X779" s="92"/>
      <c r="Y779" s="2"/>
    </row>
    <row r="780" spans="1:25">
      <c r="B780" s="87">
        <f>B779+1</f>
        <v>5</v>
      </c>
      <c r="C780" s="282">
        <v>45957</v>
      </c>
      <c r="D780" s="283">
        <v>74886</v>
      </c>
      <c r="E780" s="283" t="s">
        <v>939</v>
      </c>
      <c r="F780" s="284">
        <v>8529</v>
      </c>
      <c r="G780" s="284">
        <f>39.7+500+212.67</f>
        <v>752.37</v>
      </c>
      <c r="H780" s="284"/>
      <c r="I780" s="285">
        <f t="shared" ref="I780" si="138">F780-G780-H780</f>
        <v>7776.63</v>
      </c>
      <c r="J780" s="286" t="s">
        <v>156</v>
      </c>
      <c r="K780" s="286">
        <v>1</v>
      </c>
      <c r="L780" s="286">
        <v>1</v>
      </c>
      <c r="M780" s="286">
        <v>1</v>
      </c>
      <c r="N780" s="286">
        <v>1</v>
      </c>
      <c r="O780" s="286">
        <v>1</v>
      </c>
      <c r="P780" s="286">
        <v>0</v>
      </c>
      <c r="Q780" s="286">
        <v>1</v>
      </c>
      <c r="R780" s="286">
        <v>0</v>
      </c>
      <c r="S780" s="287">
        <v>0</v>
      </c>
      <c r="T780" s="63"/>
      <c r="U780" s="94"/>
      <c r="V780" s="90">
        <f>900+8481.9</f>
        <v>9381.9</v>
      </c>
      <c r="W780" s="136"/>
      <c r="X780" s="92"/>
      <c r="Y780" s="2"/>
    </row>
    <row r="781" spans="1:25">
      <c r="B781" s="87">
        <f>B780+1</f>
        <v>6</v>
      </c>
      <c r="C781" s="295">
        <v>45958</v>
      </c>
      <c r="D781" s="10">
        <v>74910</v>
      </c>
      <c r="E781" s="94" t="s">
        <v>563</v>
      </c>
      <c r="F781" s="62">
        <f>1176</f>
        <v>1176</v>
      </c>
      <c r="G781" s="62">
        <f>39.7</f>
        <v>39.700000000000003</v>
      </c>
      <c r="H781" s="62"/>
      <c r="I781" s="89">
        <f t="shared" si="136"/>
        <v>1136.3</v>
      </c>
      <c r="J781" s="63" t="s">
        <v>156</v>
      </c>
      <c r="K781" s="63">
        <v>1</v>
      </c>
      <c r="L781" s="63">
        <v>1</v>
      </c>
      <c r="M781" s="63">
        <v>1</v>
      </c>
      <c r="N781" s="63">
        <v>1</v>
      </c>
      <c r="O781" s="63">
        <v>1</v>
      </c>
      <c r="P781" s="63">
        <v>1</v>
      </c>
      <c r="Q781" s="63">
        <v>1</v>
      </c>
      <c r="R781" s="63">
        <v>1</v>
      </c>
      <c r="S781" s="326">
        <v>0</v>
      </c>
      <c r="T781" s="63"/>
      <c r="U781" s="10"/>
      <c r="V781" s="90">
        <v>1293.5999999999999</v>
      </c>
      <c r="W781" s="91"/>
      <c r="X781" s="92"/>
      <c r="Y781" s="2"/>
    </row>
    <row r="782" spans="1:25">
      <c r="B782" s="87">
        <f t="shared" si="137"/>
        <v>7</v>
      </c>
      <c r="C782" s="295">
        <v>45958</v>
      </c>
      <c r="D782" s="10">
        <v>74882</v>
      </c>
      <c r="E782" s="10" t="s">
        <v>672</v>
      </c>
      <c r="F782" s="62">
        <v>681</v>
      </c>
      <c r="G782" s="62"/>
      <c r="H782" s="62"/>
      <c r="I782" s="89">
        <f t="shared" si="136"/>
        <v>681</v>
      </c>
      <c r="J782" s="63" t="s">
        <v>156</v>
      </c>
      <c r="K782" s="63">
        <v>1</v>
      </c>
      <c r="L782" s="63">
        <v>1</v>
      </c>
      <c r="M782" s="63">
        <v>1</v>
      </c>
      <c r="N782" s="63">
        <v>1</v>
      </c>
      <c r="O782" s="63">
        <v>1</v>
      </c>
      <c r="P782" s="63">
        <v>1</v>
      </c>
      <c r="Q782" s="63">
        <v>1</v>
      </c>
      <c r="R782" s="63">
        <v>1</v>
      </c>
      <c r="S782" s="296">
        <v>1</v>
      </c>
      <c r="T782" s="63"/>
      <c r="U782" s="10"/>
      <c r="V782" s="90">
        <v>749.1</v>
      </c>
      <c r="W782" s="91"/>
      <c r="X782" s="92"/>
      <c r="Y782" s="2"/>
    </row>
    <row r="783" spans="1:25">
      <c r="B783" s="87">
        <f t="shared" si="137"/>
        <v>8</v>
      </c>
      <c r="C783" s="295">
        <v>45958</v>
      </c>
      <c r="D783" s="10">
        <v>74892</v>
      </c>
      <c r="E783" s="10" t="s">
        <v>840</v>
      </c>
      <c r="F783" s="62">
        <v>621</v>
      </c>
      <c r="G783" s="62"/>
      <c r="H783" s="88"/>
      <c r="I783" s="89">
        <f t="shared" si="136"/>
        <v>621</v>
      </c>
      <c r="J783" s="63" t="s">
        <v>156</v>
      </c>
      <c r="K783" s="63">
        <v>1</v>
      </c>
      <c r="L783" s="325">
        <v>0</v>
      </c>
      <c r="M783" s="63">
        <v>1</v>
      </c>
      <c r="N783" s="63">
        <v>1</v>
      </c>
      <c r="O783" s="63">
        <v>1</v>
      </c>
      <c r="P783" s="63">
        <v>1</v>
      </c>
      <c r="Q783" s="63">
        <v>1</v>
      </c>
      <c r="R783" s="63">
        <v>1</v>
      </c>
      <c r="S783" s="326">
        <v>0</v>
      </c>
      <c r="T783" s="63"/>
      <c r="U783" s="10"/>
      <c r="V783" s="90">
        <v>683.1</v>
      </c>
      <c r="W783" s="91"/>
      <c r="X783" s="92"/>
      <c r="Y783" s="2"/>
    </row>
    <row r="784" spans="1:25">
      <c r="B784" s="87">
        <f t="shared" si="137"/>
        <v>9</v>
      </c>
      <c r="C784" s="274">
        <v>45959</v>
      </c>
      <c r="D784" s="276">
        <v>74925</v>
      </c>
      <c r="E784" s="276" t="s">
        <v>886</v>
      </c>
      <c r="F784" s="277">
        <v>681</v>
      </c>
      <c r="G784" s="277"/>
      <c r="H784" s="297"/>
      <c r="I784" s="278">
        <f t="shared" si="136"/>
        <v>681</v>
      </c>
      <c r="J784" s="279" t="s">
        <v>156</v>
      </c>
      <c r="K784" s="279">
        <v>1</v>
      </c>
      <c r="L784" s="279">
        <v>1</v>
      </c>
      <c r="M784" s="279">
        <v>1</v>
      </c>
      <c r="N784" s="279">
        <v>1</v>
      </c>
      <c r="O784" s="279">
        <v>1</v>
      </c>
      <c r="P784" s="279">
        <v>1</v>
      </c>
      <c r="Q784" s="279">
        <v>1</v>
      </c>
      <c r="R784" s="279">
        <v>1</v>
      </c>
      <c r="S784" s="328">
        <v>0</v>
      </c>
      <c r="T784" s="63"/>
      <c r="U784" s="10"/>
      <c r="V784" s="90">
        <v>749.1</v>
      </c>
      <c r="W784" s="91"/>
      <c r="X784" s="92"/>
      <c r="Y784" s="2"/>
    </row>
    <row r="785" spans="1:25">
      <c r="A785" t="s">
        <v>857</v>
      </c>
      <c r="B785" s="87">
        <f t="shared" si="137"/>
        <v>10</v>
      </c>
      <c r="C785" s="295">
        <v>45959</v>
      </c>
      <c r="D785" s="10">
        <v>74898</v>
      </c>
      <c r="E785" s="10" t="s">
        <v>327</v>
      </c>
      <c r="F785" s="62">
        <v>2272.7199999999998</v>
      </c>
      <c r="G785" s="62">
        <f>39.7+(105.38)</f>
        <v>145.07999999999998</v>
      </c>
      <c r="H785" s="88"/>
      <c r="I785" s="89">
        <f t="shared" si="136"/>
        <v>2127.64</v>
      </c>
      <c r="J785" s="63" t="s">
        <v>156</v>
      </c>
      <c r="K785" s="63">
        <v>1</v>
      </c>
      <c r="L785" s="63">
        <v>1</v>
      </c>
      <c r="M785" s="63">
        <v>1</v>
      </c>
      <c r="N785" s="63">
        <v>1</v>
      </c>
      <c r="O785" s="63">
        <v>1</v>
      </c>
      <c r="P785" s="63">
        <v>1</v>
      </c>
      <c r="Q785" s="63">
        <v>1</v>
      </c>
      <c r="R785" s="63">
        <v>1</v>
      </c>
      <c r="S785" s="296">
        <v>1</v>
      </c>
      <c r="T785" s="21">
        <v>1</v>
      </c>
      <c r="U785" s="10" t="s">
        <v>940</v>
      </c>
      <c r="V785" s="90">
        <v>2499.9899999999998</v>
      </c>
      <c r="W785" s="91"/>
      <c r="X785" s="92"/>
      <c r="Y785" s="2"/>
    </row>
    <row r="786" spans="1:25">
      <c r="B786" s="87">
        <f t="shared" si="137"/>
        <v>11</v>
      </c>
      <c r="C786" s="295">
        <v>45959</v>
      </c>
      <c r="D786" s="10">
        <v>74916</v>
      </c>
      <c r="E786" s="10" t="s">
        <v>563</v>
      </c>
      <c r="F786" s="62">
        <v>1138</v>
      </c>
      <c r="G786" s="62">
        <v>39.700000000000003</v>
      </c>
      <c r="H786" s="88"/>
      <c r="I786" s="89">
        <f t="shared" si="136"/>
        <v>1098.3</v>
      </c>
      <c r="J786" s="63" t="s">
        <v>156</v>
      </c>
      <c r="K786" s="63">
        <v>1</v>
      </c>
      <c r="L786" s="63">
        <v>1</v>
      </c>
      <c r="M786" s="63">
        <v>1</v>
      </c>
      <c r="N786" s="63">
        <v>1</v>
      </c>
      <c r="O786" s="63">
        <v>1</v>
      </c>
      <c r="P786" s="63">
        <v>1</v>
      </c>
      <c r="Q786" s="63">
        <v>1</v>
      </c>
      <c r="R786" s="63">
        <v>1</v>
      </c>
      <c r="S786" s="326">
        <v>0</v>
      </c>
      <c r="T786" s="63"/>
      <c r="U786" s="10"/>
      <c r="V786" s="90">
        <v>1251.8</v>
      </c>
      <c r="W786" s="91"/>
      <c r="X786" s="92"/>
      <c r="Y786" s="2"/>
    </row>
    <row r="787" spans="1:25">
      <c r="A787" t="s">
        <v>857</v>
      </c>
      <c r="B787" s="87">
        <f t="shared" si="137"/>
        <v>12</v>
      </c>
      <c r="C787" s="295">
        <v>45959</v>
      </c>
      <c r="D787" s="10" t="s">
        <v>941</v>
      </c>
      <c r="E787" s="10" t="s">
        <v>563</v>
      </c>
      <c r="F787" s="62">
        <v>2861</v>
      </c>
      <c r="G787" s="62">
        <f>39.7</f>
        <v>39.700000000000003</v>
      </c>
      <c r="H787" s="62"/>
      <c r="I787" s="89">
        <f>F787-G787-H787</f>
        <v>2821.3</v>
      </c>
      <c r="J787" s="63" t="s">
        <v>156</v>
      </c>
      <c r="K787" s="63">
        <v>1</v>
      </c>
      <c r="L787" s="63">
        <v>1</v>
      </c>
      <c r="M787" s="63">
        <v>1</v>
      </c>
      <c r="N787" s="63">
        <v>1</v>
      </c>
      <c r="O787" s="63">
        <v>1</v>
      </c>
      <c r="P787" s="63">
        <v>1</v>
      </c>
      <c r="Q787" s="63">
        <v>1</v>
      </c>
      <c r="R787" s="63">
        <v>1</v>
      </c>
      <c r="S787" s="296">
        <v>1</v>
      </c>
      <c r="T787" s="63"/>
      <c r="U787" s="94" t="s">
        <v>942</v>
      </c>
      <c r="V787" s="90">
        <f>3147.1</f>
        <v>3147.1</v>
      </c>
      <c r="W787" s="91"/>
      <c r="X787" s="92"/>
      <c r="Y787" s="2"/>
    </row>
    <row r="788" spans="1:25">
      <c r="B788" s="87">
        <f>B787+1</f>
        <v>13</v>
      </c>
      <c r="C788" s="295">
        <v>45959</v>
      </c>
      <c r="D788" s="10">
        <v>74921</v>
      </c>
      <c r="E788" s="10" t="s">
        <v>865</v>
      </c>
      <c r="F788" s="62">
        <v>2814</v>
      </c>
      <c r="G788" s="62">
        <f>39.7+(224.56)</f>
        <v>264.26</v>
      </c>
      <c r="H788" s="62"/>
      <c r="I788" s="89">
        <f>F788-G788-H788</f>
        <v>2549.7399999999998</v>
      </c>
      <c r="J788" s="63" t="s">
        <v>817</v>
      </c>
      <c r="K788" s="63">
        <v>1</v>
      </c>
      <c r="L788" s="63">
        <v>1</v>
      </c>
      <c r="M788" s="63">
        <v>1</v>
      </c>
      <c r="N788" s="63">
        <v>1</v>
      </c>
      <c r="O788" s="63">
        <v>1</v>
      </c>
      <c r="P788" s="63">
        <v>1</v>
      </c>
      <c r="Q788" s="63">
        <v>1</v>
      </c>
      <c r="R788" s="63">
        <v>1</v>
      </c>
      <c r="S788" s="296">
        <v>1</v>
      </c>
      <c r="T788" s="63"/>
      <c r="U788" s="94"/>
      <c r="V788" s="90">
        <v>2795.4</v>
      </c>
      <c r="W788" s="465">
        <f>300</f>
        <v>300</v>
      </c>
      <c r="X788" s="137"/>
      <c r="Y788" s="2"/>
    </row>
    <row r="789" spans="1:25">
      <c r="B789" s="87">
        <f>B788+1</f>
        <v>14</v>
      </c>
      <c r="C789" s="295">
        <v>45959</v>
      </c>
      <c r="D789" s="10">
        <v>74948</v>
      </c>
      <c r="E789" s="10" t="s">
        <v>840</v>
      </c>
      <c r="F789" s="95">
        <v>681</v>
      </c>
      <c r="G789" s="62"/>
      <c r="H789" s="62"/>
      <c r="I789" s="89">
        <f t="shared" si="136"/>
        <v>681</v>
      </c>
      <c r="J789" s="63" t="s">
        <v>156</v>
      </c>
      <c r="K789" s="63">
        <v>1</v>
      </c>
      <c r="L789" s="63">
        <v>1</v>
      </c>
      <c r="M789" s="63">
        <v>1</v>
      </c>
      <c r="N789" s="63">
        <v>1</v>
      </c>
      <c r="O789" s="63">
        <v>1</v>
      </c>
      <c r="P789" s="63">
        <v>1</v>
      </c>
      <c r="Q789" s="63">
        <v>1</v>
      </c>
      <c r="R789" s="63">
        <v>1</v>
      </c>
      <c r="S789" s="296">
        <v>1</v>
      </c>
      <c r="T789" s="63"/>
      <c r="U789" s="10"/>
      <c r="V789" s="90">
        <v>749.1</v>
      </c>
      <c r="W789" s="91"/>
      <c r="X789" s="92"/>
      <c r="Y789" s="2"/>
    </row>
    <row r="790" spans="1:25">
      <c r="B790" s="87">
        <f t="shared" si="137"/>
        <v>15</v>
      </c>
      <c r="C790" s="274">
        <v>45960</v>
      </c>
      <c r="D790" s="276">
        <v>74947</v>
      </c>
      <c r="E790" s="276" t="s">
        <v>879</v>
      </c>
      <c r="F790" s="447">
        <v>1461</v>
      </c>
      <c r="G790" s="277">
        <v>39.700000000000003</v>
      </c>
      <c r="H790" s="277"/>
      <c r="I790" s="278">
        <f t="shared" si="136"/>
        <v>1421.3</v>
      </c>
      <c r="J790" s="279" t="s">
        <v>156</v>
      </c>
      <c r="K790" s="279">
        <v>1</v>
      </c>
      <c r="L790" s="322">
        <v>0</v>
      </c>
      <c r="M790" s="279">
        <v>1</v>
      </c>
      <c r="N790" s="279">
        <v>1</v>
      </c>
      <c r="O790" s="279">
        <v>1</v>
      </c>
      <c r="P790" s="279">
        <v>1</v>
      </c>
      <c r="Q790" s="279">
        <v>1</v>
      </c>
      <c r="R790" s="279">
        <v>1</v>
      </c>
      <c r="S790" s="328">
        <v>0</v>
      </c>
      <c r="T790" s="21">
        <v>1</v>
      </c>
      <c r="U790" s="10"/>
      <c r="V790" s="90">
        <v>1607.1</v>
      </c>
      <c r="W790" s="91"/>
      <c r="X790" s="92"/>
      <c r="Y790" s="2"/>
    </row>
    <row r="791" spans="1:25">
      <c r="B791" s="87">
        <f t="shared" si="137"/>
        <v>16</v>
      </c>
      <c r="C791" s="295">
        <v>45960</v>
      </c>
      <c r="D791" s="10">
        <v>74982</v>
      </c>
      <c r="E791" s="10" t="s">
        <v>865</v>
      </c>
      <c r="F791" s="95">
        <v>500</v>
      </c>
      <c r="G791" s="62"/>
      <c r="H791" s="62"/>
      <c r="I791" s="89">
        <f t="shared" si="136"/>
        <v>500</v>
      </c>
      <c r="J791" s="63" t="s">
        <v>156</v>
      </c>
      <c r="K791" s="63">
        <v>1</v>
      </c>
      <c r="L791" s="63">
        <v>1</v>
      </c>
      <c r="M791" s="63">
        <v>1</v>
      </c>
      <c r="N791" s="63">
        <v>1</v>
      </c>
      <c r="O791" s="63">
        <v>1</v>
      </c>
      <c r="P791" s="63">
        <v>1</v>
      </c>
      <c r="Q791" s="63">
        <v>1</v>
      </c>
      <c r="R791" s="63">
        <v>1</v>
      </c>
      <c r="S791" s="326">
        <v>0</v>
      </c>
      <c r="T791" s="63"/>
      <c r="U791" s="10"/>
      <c r="V791" s="90">
        <v>550</v>
      </c>
      <c r="W791" s="91"/>
      <c r="X791" s="92"/>
      <c r="Y791" s="2"/>
    </row>
    <row r="792" spans="1:25">
      <c r="B792" s="87">
        <f t="shared" si="137"/>
        <v>17</v>
      </c>
      <c r="C792" s="274">
        <v>45961</v>
      </c>
      <c r="D792" s="276">
        <v>75005</v>
      </c>
      <c r="E792" s="276" t="s">
        <v>840</v>
      </c>
      <c r="F792" s="447">
        <v>733</v>
      </c>
      <c r="G792" s="277"/>
      <c r="H792" s="277"/>
      <c r="I792" s="278">
        <f t="shared" si="136"/>
        <v>733</v>
      </c>
      <c r="J792" s="279" t="s">
        <v>156</v>
      </c>
      <c r="K792" s="279">
        <v>1</v>
      </c>
      <c r="L792" s="279">
        <v>1</v>
      </c>
      <c r="M792" s="279">
        <v>1</v>
      </c>
      <c r="N792" s="279">
        <v>1</v>
      </c>
      <c r="O792" s="279">
        <v>1</v>
      </c>
      <c r="P792" s="279">
        <v>1</v>
      </c>
      <c r="Q792" s="279">
        <v>1</v>
      </c>
      <c r="R792" s="279">
        <v>1</v>
      </c>
      <c r="S792" s="280">
        <v>1</v>
      </c>
      <c r="T792" s="63"/>
      <c r="U792" s="10"/>
      <c r="V792" s="90">
        <v>806.3</v>
      </c>
      <c r="W792" s="91"/>
      <c r="X792" s="92"/>
      <c r="Y792" s="2"/>
    </row>
    <row r="793" spans="1:25">
      <c r="A793" t="s">
        <v>943</v>
      </c>
      <c r="B793" s="87">
        <f>B792+1</f>
        <v>18</v>
      </c>
      <c r="C793" s="282">
        <v>45961</v>
      </c>
      <c r="D793" s="283" t="s">
        <v>944</v>
      </c>
      <c r="E793" s="319" t="s">
        <v>877</v>
      </c>
      <c r="F793" s="284">
        <v>1176</v>
      </c>
      <c r="G793" s="284">
        <f>39.7</f>
        <v>39.700000000000003</v>
      </c>
      <c r="H793" s="284"/>
      <c r="I793" s="285">
        <f>F793-G793-H793</f>
        <v>1136.3</v>
      </c>
      <c r="J793" s="286" t="s">
        <v>374</v>
      </c>
      <c r="K793" s="286">
        <v>1</v>
      </c>
      <c r="L793" s="286">
        <v>1</v>
      </c>
      <c r="M793" s="286">
        <v>1</v>
      </c>
      <c r="N793" s="286">
        <v>1</v>
      </c>
      <c r="O793" s="286">
        <v>1</v>
      </c>
      <c r="P793" s="286">
        <v>1</v>
      </c>
      <c r="Q793" s="286">
        <v>1</v>
      </c>
      <c r="R793" s="286">
        <v>1</v>
      </c>
      <c r="S793" s="287">
        <v>0</v>
      </c>
      <c r="T793" s="63"/>
      <c r="U793" s="10" t="s">
        <v>945</v>
      </c>
      <c r="V793" s="90">
        <v>1293.5999999999999</v>
      </c>
      <c r="W793" s="91"/>
      <c r="X793" s="92"/>
      <c r="Y793" s="2"/>
    </row>
    <row r="794" spans="1:25">
      <c r="B794" s="87"/>
      <c r="C794" s="36"/>
      <c r="D794" s="10"/>
      <c r="E794" s="10"/>
      <c r="F794" s="98">
        <f t="shared" ref="F794:H794" si="139">SUM(F776:F793)</f>
        <v>31358.57</v>
      </c>
      <c r="G794" s="98">
        <f t="shared" si="139"/>
        <v>2069.0100000000002</v>
      </c>
      <c r="H794" s="98">
        <f t="shared" si="139"/>
        <v>0</v>
      </c>
      <c r="I794" s="98">
        <f>SUM(I776:I793)</f>
        <v>29289.559999999998</v>
      </c>
      <c r="J794" s="63"/>
      <c r="K794" s="63">
        <f>COUNT(K776:K793)</f>
        <v>18</v>
      </c>
      <c r="L794" s="63">
        <f t="shared" ref="L794:S794" si="140">COUNT(L776:L793)</f>
        <v>18</v>
      </c>
      <c r="M794" s="63">
        <f t="shared" si="140"/>
        <v>18</v>
      </c>
      <c r="N794" s="63">
        <f t="shared" si="140"/>
        <v>18</v>
      </c>
      <c r="O794" s="63">
        <f t="shared" si="140"/>
        <v>18</v>
      </c>
      <c r="P794" s="63">
        <f t="shared" si="140"/>
        <v>18</v>
      </c>
      <c r="Q794" s="63">
        <f t="shared" si="140"/>
        <v>18</v>
      </c>
      <c r="R794" s="63">
        <f t="shared" si="140"/>
        <v>18</v>
      </c>
      <c r="S794" s="63">
        <f t="shared" si="140"/>
        <v>18</v>
      </c>
      <c r="T794" s="63"/>
      <c r="U794" s="10"/>
      <c r="V794" s="90"/>
      <c r="W794" s="91"/>
      <c r="X794" s="92"/>
      <c r="Y794" s="2"/>
    </row>
    <row r="795" spans="1:25">
      <c r="B795" s="87"/>
      <c r="C795" s="36"/>
      <c r="D795" s="10"/>
      <c r="E795" s="10"/>
      <c r="F795" s="88"/>
      <c r="G795" s="88"/>
      <c r="H795" s="88"/>
      <c r="I795" s="99"/>
      <c r="J795" s="63"/>
      <c r="K795" s="21">
        <f>SUM(K776:K793)</f>
        <v>18</v>
      </c>
      <c r="L795" s="21">
        <f t="shared" ref="L795:S795" si="141">SUM(L776:L793)</f>
        <v>15</v>
      </c>
      <c r="M795" s="21">
        <f t="shared" si="141"/>
        <v>18</v>
      </c>
      <c r="N795" s="21">
        <f t="shared" si="141"/>
        <v>18</v>
      </c>
      <c r="O795" s="21">
        <f t="shared" si="141"/>
        <v>18</v>
      </c>
      <c r="P795" s="21">
        <f t="shared" si="141"/>
        <v>17</v>
      </c>
      <c r="Q795" s="21">
        <f t="shared" si="141"/>
        <v>18</v>
      </c>
      <c r="R795" s="21">
        <f t="shared" si="141"/>
        <v>17</v>
      </c>
      <c r="S795" s="21">
        <f t="shared" si="141"/>
        <v>7</v>
      </c>
      <c r="T795" s="63"/>
      <c r="U795" s="10"/>
      <c r="V795" s="90"/>
      <c r="W795" s="91"/>
      <c r="X795" s="92"/>
      <c r="Y795" s="2"/>
    </row>
    <row r="796" spans="1:25">
      <c r="B796" s="11"/>
      <c r="C796" s="609"/>
      <c r="D796" s="10"/>
      <c r="E796" s="10"/>
      <c r="F796" s="88"/>
      <c r="G796" s="88"/>
      <c r="H796" s="88"/>
      <c r="I796" s="99"/>
      <c r="J796" s="63"/>
      <c r="K796" s="21"/>
      <c r="L796" s="21"/>
      <c r="M796" s="21"/>
      <c r="N796" s="21"/>
      <c r="O796" s="21"/>
      <c r="P796" s="21"/>
      <c r="Q796" s="21"/>
      <c r="R796" s="21"/>
      <c r="S796" s="21"/>
      <c r="T796" s="63"/>
      <c r="U796" s="94"/>
      <c r="V796" s="90"/>
      <c r="W796" s="91"/>
      <c r="X796" s="92"/>
      <c r="Y796" s="2"/>
    </row>
    <row r="797" spans="1:25">
      <c r="B797" s="100" t="s">
        <v>67</v>
      </c>
      <c r="C797" s="609"/>
      <c r="D797" s="10"/>
      <c r="E797" s="10"/>
      <c r="F797" s="88"/>
      <c r="G797" s="62"/>
      <c r="H797" s="88"/>
      <c r="I797" s="99"/>
      <c r="J797" s="63"/>
      <c r="K797" s="2"/>
      <c r="L797" s="2"/>
      <c r="M797" s="2"/>
      <c r="N797" s="2"/>
      <c r="O797" s="2"/>
      <c r="P797" s="2"/>
      <c r="Q797" s="2"/>
      <c r="R797" s="2"/>
      <c r="S797" s="2"/>
      <c r="T797" s="63"/>
      <c r="U797" s="94"/>
      <c r="V797" s="90"/>
      <c r="W797" s="91"/>
      <c r="X797" s="92"/>
      <c r="Y797" s="2"/>
    </row>
    <row r="798" spans="1:25">
      <c r="B798" s="87">
        <v>1</v>
      </c>
      <c r="C798" s="609"/>
      <c r="D798" s="10"/>
      <c r="E798" s="101"/>
      <c r="F798" s="62"/>
      <c r="G798" s="62"/>
      <c r="H798" s="62"/>
      <c r="I798" s="89">
        <f t="shared" ref="I798:I805" si="142">F798-G798-H798</f>
        <v>0</v>
      </c>
      <c r="J798" s="63"/>
      <c r="K798" s="63"/>
      <c r="L798" s="63"/>
      <c r="M798" s="63"/>
      <c r="N798" s="63"/>
      <c r="O798" s="63"/>
      <c r="P798" s="63"/>
      <c r="Q798" s="63"/>
      <c r="R798" s="63"/>
      <c r="S798" s="63"/>
      <c r="T798" s="63"/>
      <c r="U798" s="94"/>
      <c r="V798" s="90"/>
      <c r="W798" s="91"/>
      <c r="X798" s="92"/>
      <c r="Y798" s="2"/>
    </row>
    <row r="799" spans="1:25">
      <c r="B799" s="87">
        <f t="shared" ref="B799:B805" si="143">B798+1</f>
        <v>2</v>
      </c>
      <c r="C799" s="609"/>
      <c r="D799" s="10"/>
      <c r="E799" s="101"/>
      <c r="F799" s="62"/>
      <c r="G799" s="62"/>
      <c r="H799" s="62"/>
      <c r="I799" s="89">
        <f t="shared" si="142"/>
        <v>0</v>
      </c>
      <c r="J799" s="63"/>
      <c r="K799" s="63"/>
      <c r="L799" s="63"/>
      <c r="M799" s="63"/>
      <c r="N799" s="63"/>
      <c r="O799" s="63"/>
      <c r="P799" s="63"/>
      <c r="Q799" s="63"/>
      <c r="R799" s="63"/>
      <c r="S799" s="63"/>
      <c r="T799" s="63"/>
      <c r="U799" s="94"/>
      <c r="V799" s="90"/>
      <c r="W799" s="91"/>
      <c r="X799" s="92"/>
      <c r="Y799" s="2"/>
    </row>
    <row r="800" spans="1:25">
      <c r="B800" s="87">
        <f t="shared" si="143"/>
        <v>3</v>
      </c>
      <c r="C800" s="609"/>
      <c r="D800" s="10"/>
      <c r="E800" s="101"/>
      <c r="F800" s="62"/>
      <c r="G800" s="62"/>
      <c r="H800" s="62"/>
      <c r="I800" s="89">
        <f t="shared" si="142"/>
        <v>0</v>
      </c>
      <c r="J800" s="63"/>
      <c r="K800" s="63"/>
      <c r="L800" s="63"/>
      <c r="M800" s="63"/>
      <c r="N800" s="63"/>
      <c r="O800" s="63"/>
      <c r="P800" s="63"/>
      <c r="Q800" s="63"/>
      <c r="R800" s="63"/>
      <c r="S800" s="63"/>
      <c r="T800" s="63"/>
      <c r="U800" s="94"/>
      <c r="V800" s="90"/>
      <c r="W800" s="91"/>
      <c r="X800" s="92"/>
      <c r="Y800" s="2"/>
    </row>
    <row r="801" spans="2:25">
      <c r="B801" s="87">
        <f t="shared" si="143"/>
        <v>4</v>
      </c>
      <c r="C801" s="609"/>
      <c r="D801" s="10"/>
      <c r="E801" s="101"/>
      <c r="F801" s="62"/>
      <c r="G801" s="62"/>
      <c r="H801" s="62"/>
      <c r="I801" s="89">
        <f t="shared" si="142"/>
        <v>0</v>
      </c>
      <c r="J801" s="63"/>
      <c r="K801" s="63"/>
      <c r="L801" s="63"/>
      <c r="M801" s="63"/>
      <c r="N801" s="63"/>
      <c r="O801" s="63"/>
      <c r="P801" s="63"/>
      <c r="Q801" s="63"/>
      <c r="R801" s="63"/>
      <c r="S801" s="63"/>
      <c r="T801" s="63"/>
      <c r="U801" s="94"/>
      <c r="V801" s="90"/>
      <c r="W801" s="91"/>
      <c r="X801" s="92"/>
      <c r="Y801" s="2"/>
    </row>
    <row r="802" spans="2:25">
      <c r="B802" s="87">
        <f t="shared" si="143"/>
        <v>5</v>
      </c>
      <c r="C802" s="609"/>
      <c r="D802" s="10"/>
      <c r="E802" s="101"/>
      <c r="F802" s="62"/>
      <c r="G802" s="62"/>
      <c r="H802" s="62"/>
      <c r="I802" s="89">
        <f t="shared" si="142"/>
        <v>0</v>
      </c>
      <c r="J802" s="63"/>
      <c r="K802" s="63"/>
      <c r="L802" s="63"/>
      <c r="M802" s="63"/>
      <c r="N802" s="63"/>
      <c r="O802" s="63"/>
      <c r="P802" s="63"/>
      <c r="Q802" s="63"/>
      <c r="R802" s="63"/>
      <c r="S802" s="63"/>
      <c r="T802" s="63"/>
      <c r="U802" s="94"/>
      <c r="V802" s="90"/>
      <c r="W802" s="91"/>
      <c r="X802" s="92"/>
      <c r="Y802" s="2"/>
    </row>
    <row r="803" spans="2:25">
      <c r="B803" s="87">
        <f t="shared" si="143"/>
        <v>6</v>
      </c>
      <c r="C803" s="609"/>
      <c r="D803" s="10"/>
      <c r="E803" s="101"/>
      <c r="F803" s="62"/>
      <c r="G803" s="62"/>
      <c r="H803" s="62"/>
      <c r="I803" s="89">
        <f t="shared" si="142"/>
        <v>0</v>
      </c>
      <c r="J803" s="63"/>
      <c r="K803" s="63"/>
      <c r="L803" s="63"/>
      <c r="M803" s="63"/>
      <c r="N803" s="63"/>
      <c r="O803" s="63"/>
      <c r="P803" s="63"/>
      <c r="Q803" s="63"/>
      <c r="R803" s="63"/>
      <c r="S803" s="63"/>
      <c r="T803" s="63"/>
      <c r="U803" s="94"/>
      <c r="V803" s="90"/>
      <c r="W803" s="91"/>
      <c r="X803" s="92"/>
      <c r="Y803" s="2"/>
    </row>
    <row r="804" spans="2:25">
      <c r="B804" s="87">
        <f t="shared" si="143"/>
        <v>7</v>
      </c>
      <c r="C804" s="609"/>
      <c r="D804" s="10"/>
      <c r="E804" s="101"/>
      <c r="F804" s="62"/>
      <c r="G804" s="62"/>
      <c r="H804" s="62"/>
      <c r="I804" s="89">
        <f t="shared" si="142"/>
        <v>0</v>
      </c>
      <c r="J804" s="63"/>
      <c r="K804" s="63"/>
      <c r="L804" s="63"/>
      <c r="M804" s="63"/>
      <c r="N804" s="63"/>
      <c r="O804" s="63"/>
      <c r="P804" s="63"/>
      <c r="Q804" s="63"/>
      <c r="R804" s="63"/>
      <c r="S804" s="63"/>
      <c r="T804" s="63"/>
      <c r="U804" s="94"/>
      <c r="V804" s="90"/>
      <c r="W804" s="91"/>
      <c r="X804" s="92"/>
      <c r="Y804" s="2"/>
    </row>
    <row r="805" spans="2:25">
      <c r="B805" s="87">
        <f t="shared" si="143"/>
        <v>8</v>
      </c>
      <c r="C805" s="609"/>
      <c r="D805" s="10"/>
      <c r="E805" s="101"/>
      <c r="F805" s="62"/>
      <c r="G805" s="62"/>
      <c r="H805" s="62"/>
      <c r="I805" s="89">
        <f t="shared" si="142"/>
        <v>0</v>
      </c>
      <c r="J805" s="63"/>
      <c r="K805" s="63"/>
      <c r="L805" s="63"/>
      <c r="M805" s="63"/>
      <c r="N805" s="63"/>
      <c r="O805" s="63"/>
      <c r="P805" s="63"/>
      <c r="Q805" s="63"/>
      <c r="R805" s="63"/>
      <c r="S805" s="63"/>
      <c r="T805" s="63"/>
      <c r="U805" s="94"/>
      <c r="V805" s="90"/>
      <c r="W805" s="91"/>
      <c r="X805" s="92"/>
      <c r="Y805" s="2"/>
    </row>
    <row r="806" spans="2:25">
      <c r="B806" s="11"/>
      <c r="C806" s="609"/>
      <c r="D806" s="10"/>
      <c r="E806" s="10"/>
      <c r="F806" s="97">
        <f>SUM(F798:F805)</f>
        <v>0</v>
      </c>
      <c r="G806" s="97">
        <f>SUM(G798:G805)</f>
        <v>0</v>
      </c>
      <c r="H806" s="97">
        <f>SUM(H798:H805)</f>
        <v>0</v>
      </c>
      <c r="I806" s="98">
        <f>SUM(I798:I805)</f>
        <v>0</v>
      </c>
      <c r="J806" s="63"/>
      <c r="K806" s="21"/>
      <c r="L806" s="21"/>
      <c r="M806" s="21"/>
      <c r="N806" s="21"/>
      <c r="O806" s="21"/>
      <c r="P806" s="21"/>
      <c r="Q806" s="21"/>
      <c r="R806" s="21"/>
      <c r="S806" s="21"/>
      <c r="T806" s="63"/>
      <c r="U806" s="94"/>
      <c r="V806" s="90"/>
      <c r="W806" s="91"/>
      <c r="X806" s="92"/>
      <c r="Y806" s="2"/>
    </row>
    <row r="807" spans="2:25">
      <c r="B807" s="11"/>
      <c r="C807" s="609"/>
      <c r="D807" s="10"/>
      <c r="E807" s="10"/>
      <c r="F807" s="88"/>
      <c r="G807" s="88"/>
      <c r="H807" s="88"/>
      <c r="I807" s="99"/>
      <c r="J807" s="63"/>
      <c r="K807" s="21"/>
      <c r="L807" s="21"/>
      <c r="M807" s="21"/>
      <c r="N807" s="21"/>
      <c r="O807" s="21"/>
      <c r="P807" s="21"/>
      <c r="Q807" s="21"/>
      <c r="R807" s="21"/>
      <c r="S807" s="21"/>
      <c r="T807" s="63"/>
      <c r="U807" s="94"/>
      <c r="V807" s="90"/>
      <c r="W807" s="91"/>
      <c r="X807" s="92"/>
      <c r="Y807" s="2"/>
    </row>
    <row r="808" spans="2:25">
      <c r="B808" s="121" t="s">
        <v>68</v>
      </c>
      <c r="C808" s="611"/>
      <c r="D808" s="123"/>
      <c r="E808" s="123"/>
      <c r="F808" s="124"/>
      <c r="G808" s="125"/>
      <c r="H808" s="124"/>
      <c r="I808" s="126"/>
      <c r="J808" s="127"/>
      <c r="K808" s="128"/>
      <c r="L808" s="128"/>
      <c r="M808" s="128"/>
      <c r="N808" s="128"/>
      <c r="O808" s="128"/>
      <c r="P808" s="128"/>
      <c r="Q808" s="128"/>
      <c r="R808" s="128"/>
      <c r="S808" s="128"/>
      <c r="T808" s="127"/>
      <c r="U808" s="123"/>
      <c r="V808" s="129"/>
      <c r="W808" s="130"/>
      <c r="X808" s="131"/>
      <c r="Y808" s="128"/>
    </row>
    <row r="809" spans="2:25" s="342" customFormat="1">
      <c r="B809" s="333">
        <v>1</v>
      </c>
      <c r="C809" s="334">
        <v>45960</v>
      </c>
      <c r="D809" s="335">
        <v>74957</v>
      </c>
      <c r="E809" s="394" t="s">
        <v>865</v>
      </c>
      <c r="F809" s="336">
        <v>2516</v>
      </c>
      <c r="G809" s="336">
        <f>39.7</f>
        <v>39.700000000000003</v>
      </c>
      <c r="H809" s="336"/>
      <c r="I809" s="337">
        <f t="shared" ref="I809:I810" si="144">F809-G809-H809</f>
        <v>2476.3000000000002</v>
      </c>
      <c r="J809" s="338" t="s">
        <v>185</v>
      </c>
      <c r="K809" s="338">
        <v>1</v>
      </c>
      <c r="L809" s="338">
        <v>1</v>
      </c>
      <c r="M809" s="338">
        <v>1</v>
      </c>
      <c r="N809" s="338">
        <v>1</v>
      </c>
      <c r="O809" s="338">
        <v>1</v>
      </c>
      <c r="P809" s="338">
        <v>1</v>
      </c>
      <c r="Q809" s="338">
        <v>1</v>
      </c>
      <c r="R809" s="338">
        <v>1</v>
      </c>
      <c r="S809" s="339">
        <v>1</v>
      </c>
      <c r="T809" s="127"/>
      <c r="U809" s="123" t="s">
        <v>946</v>
      </c>
      <c r="V809" s="129">
        <f>276.7</f>
        <v>276.7</v>
      </c>
      <c r="W809" s="130"/>
      <c r="X809" s="131"/>
      <c r="Y809" s="128"/>
    </row>
    <row r="810" spans="2:25" s="342" customFormat="1">
      <c r="B810" s="333">
        <f t="shared" ref="B810" si="145">B809+1</f>
        <v>2</v>
      </c>
      <c r="C810" s="395">
        <v>45960</v>
      </c>
      <c r="D810" s="396">
        <v>75009</v>
      </c>
      <c r="E810" s="454" t="s">
        <v>886</v>
      </c>
      <c r="F810" s="397">
        <v>2575</v>
      </c>
      <c r="G810" s="397">
        <f>39.7</f>
        <v>39.700000000000003</v>
      </c>
      <c r="H810" s="397"/>
      <c r="I810" s="398">
        <f t="shared" si="144"/>
        <v>2535.3000000000002</v>
      </c>
      <c r="J810" s="399" t="s">
        <v>156</v>
      </c>
      <c r="K810" s="399">
        <v>1</v>
      </c>
      <c r="L810" s="332">
        <v>0</v>
      </c>
      <c r="M810" s="399">
        <v>1</v>
      </c>
      <c r="N810" s="399">
        <v>1</v>
      </c>
      <c r="O810" s="399">
        <v>1</v>
      </c>
      <c r="P810" s="399">
        <v>1</v>
      </c>
      <c r="Q810" s="399">
        <v>1</v>
      </c>
      <c r="R810" s="399">
        <v>1</v>
      </c>
      <c r="S810" s="370">
        <v>0</v>
      </c>
      <c r="T810" s="64">
        <v>1</v>
      </c>
      <c r="U810" s="123" t="s">
        <v>947</v>
      </c>
      <c r="V810" s="129">
        <f>200</f>
        <v>200</v>
      </c>
      <c r="W810" s="130"/>
      <c r="X810" s="131"/>
      <c r="Y810" s="128"/>
    </row>
    <row r="811" spans="2:25">
      <c r="B811" s="132"/>
      <c r="C811" s="36"/>
      <c r="D811" s="123"/>
      <c r="E811" s="123"/>
      <c r="F811" s="133">
        <f>SUM(F809:F810)</f>
        <v>5091</v>
      </c>
      <c r="G811" s="133">
        <f>SUM(G809:G810)</f>
        <v>79.400000000000006</v>
      </c>
      <c r="H811" s="133">
        <f>SUM(H809:H810)</f>
        <v>0</v>
      </c>
      <c r="I811" s="134">
        <f>SUM(I809:I810)</f>
        <v>5011.6000000000004</v>
      </c>
      <c r="J811" s="127"/>
      <c r="K811" s="64"/>
      <c r="L811" s="64"/>
      <c r="M811" s="64"/>
      <c r="N811" s="64"/>
      <c r="O811" s="64"/>
      <c r="P811" s="64"/>
      <c r="Q811" s="64"/>
      <c r="R811" s="64"/>
      <c r="S811" s="64"/>
      <c r="T811" s="127"/>
      <c r="U811" s="123"/>
      <c r="V811" s="129"/>
      <c r="W811" s="130"/>
      <c r="X811" s="131"/>
      <c r="Y811" s="128"/>
    </row>
    <row r="812" spans="2:25">
      <c r="B812" s="11"/>
      <c r="C812" s="36"/>
      <c r="D812" s="10"/>
      <c r="E812" s="10"/>
      <c r="F812" s="88"/>
      <c r="G812" s="88"/>
      <c r="H812" s="88"/>
      <c r="I812" s="99"/>
      <c r="J812" s="63"/>
      <c r="K812" s="21"/>
      <c r="L812" s="21"/>
      <c r="M812" s="21"/>
      <c r="N812" s="21"/>
      <c r="O812" s="21"/>
      <c r="P812" s="21"/>
      <c r="Q812" s="21"/>
      <c r="R812" s="21"/>
      <c r="S812" s="21"/>
      <c r="T812" s="63"/>
      <c r="U812" s="94"/>
      <c r="V812" s="90"/>
      <c r="W812" s="91"/>
      <c r="X812" s="92"/>
      <c r="Y812" s="2"/>
    </row>
    <row r="813" spans="2:25">
      <c r="B813" s="121" t="s">
        <v>70</v>
      </c>
      <c r="C813" s="36"/>
      <c r="D813" s="123"/>
      <c r="E813" s="128"/>
      <c r="F813" s="124"/>
      <c r="G813" s="124"/>
      <c r="H813" s="124"/>
      <c r="I813" s="126"/>
      <c r="J813" s="127"/>
      <c r="K813" s="64"/>
      <c r="L813" s="64"/>
      <c r="M813" s="64"/>
      <c r="N813" s="64"/>
      <c r="O813" s="64"/>
      <c r="P813" s="64"/>
      <c r="Q813" s="64"/>
      <c r="R813" s="64"/>
      <c r="S813" s="64"/>
      <c r="T813" s="127"/>
      <c r="U813" s="135"/>
      <c r="V813" s="129"/>
      <c r="W813" s="130"/>
      <c r="X813" s="131"/>
      <c r="Y813" s="128"/>
    </row>
    <row r="814" spans="2:25" s="342" customFormat="1">
      <c r="B814" s="333">
        <v>1</v>
      </c>
      <c r="C814" s="350">
        <v>45959</v>
      </c>
      <c r="D814" s="358">
        <v>74934</v>
      </c>
      <c r="E814" s="358" t="s">
        <v>327</v>
      </c>
      <c r="F814" s="352">
        <v>1681</v>
      </c>
      <c r="G814" s="352">
        <v>39.700000000000003</v>
      </c>
      <c r="H814" s="352"/>
      <c r="I814" s="353">
        <f>F814-G814-H814</f>
        <v>1641.3</v>
      </c>
      <c r="J814" s="354" t="s">
        <v>156</v>
      </c>
      <c r="K814" s="354">
        <v>1</v>
      </c>
      <c r="L814" s="354"/>
      <c r="M814" s="354">
        <v>1</v>
      </c>
      <c r="N814" s="354">
        <v>1</v>
      </c>
      <c r="O814" s="354">
        <v>1</v>
      </c>
      <c r="P814" s="354">
        <v>1</v>
      </c>
      <c r="Q814" s="354"/>
      <c r="R814" s="354"/>
      <c r="S814" s="355"/>
      <c r="T814" s="127"/>
      <c r="U814" s="135" t="s">
        <v>948</v>
      </c>
      <c r="V814" s="129">
        <f>200</f>
        <v>200</v>
      </c>
      <c r="W814" s="340"/>
      <c r="X814" s="341"/>
      <c r="Y814" s="128"/>
    </row>
    <row r="815" spans="2:25">
      <c r="B815" s="132"/>
      <c r="C815" s="36"/>
      <c r="D815" s="123"/>
      <c r="E815" s="123"/>
      <c r="F815" s="134">
        <f t="shared" ref="F815:H815" si="146">SUM(F814)</f>
        <v>1681</v>
      </c>
      <c r="G815" s="134">
        <f t="shared" si="146"/>
        <v>39.700000000000003</v>
      </c>
      <c r="H815" s="134">
        <f t="shared" si="146"/>
        <v>0</v>
      </c>
      <c r="I815" s="134">
        <f>SUM(I814)</f>
        <v>1641.3</v>
      </c>
      <c r="J815" s="127"/>
      <c r="K815" s="64"/>
      <c r="L815" s="64"/>
      <c r="M815" s="64"/>
      <c r="N815" s="64"/>
      <c r="O815" s="64"/>
      <c r="P815" s="64"/>
      <c r="Q815" s="64"/>
      <c r="R815" s="64"/>
      <c r="S815" s="64"/>
      <c r="T815" s="127"/>
      <c r="U815" s="135"/>
      <c r="V815" s="129"/>
      <c r="W815" s="130"/>
      <c r="X815" s="131"/>
      <c r="Y815" s="128"/>
    </row>
    <row r="816" spans="2:25">
      <c r="B816" s="11"/>
      <c r="C816" s="36"/>
      <c r="D816" s="10"/>
      <c r="E816" s="10"/>
      <c r="F816" s="88"/>
      <c r="G816" s="88"/>
      <c r="H816" s="88"/>
      <c r="I816" s="99"/>
      <c r="J816" s="63"/>
      <c r="K816" s="21"/>
      <c r="L816" s="21"/>
      <c r="M816" s="21"/>
      <c r="N816" s="21"/>
      <c r="O816" s="21"/>
      <c r="P816" s="21"/>
      <c r="Q816" s="21"/>
      <c r="R816" s="21"/>
      <c r="S816" s="21"/>
      <c r="T816" s="63"/>
      <c r="U816" s="94"/>
      <c r="V816" s="90"/>
      <c r="W816" s="91"/>
      <c r="X816" s="92"/>
      <c r="Y816" s="2"/>
    </row>
    <row r="817" spans="1:25">
      <c r="B817" s="100" t="s">
        <v>152</v>
      </c>
    </row>
    <row r="818" spans="1:25" s="260" customFormat="1">
      <c r="A818" s="494">
        <v>0.05</v>
      </c>
      <c r="B818" s="87">
        <v>1</v>
      </c>
      <c r="C818" s="262">
        <v>45890</v>
      </c>
      <c r="D818" s="273" t="s">
        <v>759</v>
      </c>
      <c r="E818" s="271" t="s">
        <v>369</v>
      </c>
      <c r="F818" s="265">
        <f>4112-450</f>
        <v>3662</v>
      </c>
      <c r="G818" s="265">
        <f>39.7+(847.9+27.43+26.8)+300</f>
        <v>1241.83</v>
      </c>
      <c r="H818" s="265"/>
      <c r="I818" s="266">
        <f>F818-G818-H818</f>
        <v>2420.17</v>
      </c>
      <c r="J818" s="267" t="s">
        <v>228</v>
      </c>
      <c r="K818" s="267">
        <v>1</v>
      </c>
      <c r="L818" s="314">
        <v>0</v>
      </c>
      <c r="M818" s="267">
        <v>1</v>
      </c>
      <c r="N818" s="267">
        <v>1</v>
      </c>
      <c r="O818" s="267">
        <v>1</v>
      </c>
      <c r="P818" s="267">
        <v>1</v>
      </c>
      <c r="Q818" s="267">
        <v>1</v>
      </c>
      <c r="R818" s="267">
        <v>1</v>
      </c>
      <c r="S818" s="366">
        <v>0</v>
      </c>
      <c r="T818" s="63"/>
      <c r="U818" s="10" t="s">
        <v>760</v>
      </c>
      <c r="V818" s="90"/>
      <c r="W818" s="136"/>
      <c r="X818" s="137"/>
    </row>
    <row r="819" spans="1:25" s="260" customFormat="1">
      <c r="A819" s="494">
        <v>0.05</v>
      </c>
      <c r="B819" s="87">
        <f>B818+1</f>
        <v>2</v>
      </c>
      <c r="C819" s="262">
        <v>45905</v>
      </c>
      <c r="D819" s="271">
        <v>73026</v>
      </c>
      <c r="E819" s="264" t="s">
        <v>294</v>
      </c>
      <c r="F819" s="265">
        <f>1261-89</f>
        <v>1172</v>
      </c>
      <c r="G819" s="265">
        <f>39.7</f>
        <v>39.700000000000003</v>
      </c>
      <c r="H819" s="265"/>
      <c r="I819" s="266">
        <f>F819-G819-H819</f>
        <v>1132.3</v>
      </c>
      <c r="J819" s="267"/>
      <c r="K819" s="267">
        <v>1</v>
      </c>
      <c r="L819" s="267">
        <v>1</v>
      </c>
      <c r="M819" s="267"/>
      <c r="N819" s="267">
        <v>1</v>
      </c>
      <c r="O819" s="267">
        <v>1</v>
      </c>
      <c r="P819" s="314">
        <v>0</v>
      </c>
      <c r="Q819" s="267">
        <v>1</v>
      </c>
      <c r="R819" s="267">
        <v>1</v>
      </c>
      <c r="S819" s="366">
        <v>0</v>
      </c>
      <c r="T819" s="63"/>
      <c r="U819" s="10" t="s">
        <v>872</v>
      </c>
      <c r="V819" s="90"/>
      <c r="W819" s="91"/>
      <c r="X819" s="92"/>
    </row>
    <row r="820" spans="1:25" s="260" customFormat="1">
      <c r="A820" s="494">
        <v>0.05</v>
      </c>
      <c r="B820" s="87">
        <f>B819+1</f>
        <v>3</v>
      </c>
      <c r="C820" s="262">
        <v>45929</v>
      </c>
      <c r="D820" s="271">
        <v>73756</v>
      </c>
      <c r="E820" s="271" t="s">
        <v>363</v>
      </c>
      <c r="F820" s="265">
        <v>1138</v>
      </c>
      <c r="G820" s="265">
        <f>39.7</f>
        <v>39.700000000000003</v>
      </c>
      <c r="H820" s="265"/>
      <c r="I820" s="266">
        <f>F820-G820-H820</f>
        <v>1098.3</v>
      </c>
      <c r="J820" s="267" t="s">
        <v>156</v>
      </c>
      <c r="K820" s="314">
        <v>0</v>
      </c>
      <c r="L820" s="267">
        <v>1</v>
      </c>
      <c r="M820" s="267">
        <v>1</v>
      </c>
      <c r="N820" s="267">
        <v>1</v>
      </c>
      <c r="O820" s="267">
        <v>1</v>
      </c>
      <c r="P820" s="267">
        <v>1</v>
      </c>
      <c r="Q820" s="267">
        <v>1</v>
      </c>
      <c r="R820" s="267">
        <v>1</v>
      </c>
      <c r="S820" s="269">
        <v>1</v>
      </c>
      <c r="T820" s="63"/>
      <c r="U820" s="10"/>
      <c r="V820" s="90"/>
      <c r="W820" s="91"/>
      <c r="X820" s="92"/>
    </row>
    <row r="821" spans="1:25" s="260" customFormat="1">
      <c r="A821" s="494">
        <v>0.05</v>
      </c>
      <c r="B821" s="87">
        <f>B820+1</f>
        <v>4</v>
      </c>
      <c r="C821" s="262">
        <v>45933</v>
      </c>
      <c r="D821" s="271">
        <v>74034</v>
      </c>
      <c r="E821" s="271" t="s">
        <v>643</v>
      </c>
      <c r="F821" s="265">
        <v>1861</v>
      </c>
      <c r="G821" s="265">
        <f>39.7+468</f>
        <v>507.7</v>
      </c>
      <c r="H821" s="265"/>
      <c r="I821" s="266">
        <f>F821-G821-H821</f>
        <v>1353.3</v>
      </c>
      <c r="J821" s="267"/>
      <c r="K821" s="267">
        <v>1</v>
      </c>
      <c r="L821" s="267">
        <v>1</v>
      </c>
      <c r="M821" s="267"/>
      <c r="N821" s="267">
        <v>1</v>
      </c>
      <c r="O821" s="267">
        <v>1</v>
      </c>
      <c r="P821" s="314">
        <v>0</v>
      </c>
      <c r="Q821" s="314">
        <v>0</v>
      </c>
      <c r="R821" s="314">
        <v>0</v>
      </c>
      <c r="S821" s="366">
        <v>0</v>
      </c>
      <c r="T821" s="63"/>
      <c r="U821" s="94" t="s">
        <v>873</v>
      </c>
      <c r="V821" s="90"/>
      <c r="W821" s="136"/>
      <c r="X821" s="137"/>
    </row>
    <row r="822" spans="1:25" s="260" customFormat="1">
      <c r="A822" s="181" t="s">
        <v>619</v>
      </c>
      <c r="B822" s="87">
        <f t="shared" ref="B822:B830" si="147">B821+1</f>
        <v>5</v>
      </c>
      <c r="C822" s="274">
        <v>45936</v>
      </c>
      <c r="D822" s="276" t="s">
        <v>863</v>
      </c>
      <c r="E822" s="276" t="s">
        <v>853</v>
      </c>
      <c r="F822" s="277">
        <v>5133</v>
      </c>
      <c r="G822" s="277">
        <f>39.7+(89.36+1289.67)+250</f>
        <v>1668.73</v>
      </c>
      <c r="H822" s="277"/>
      <c r="I822" s="321">
        <f>F822-G822-H822</f>
        <v>3464.27</v>
      </c>
      <c r="J822" s="279" t="s">
        <v>156</v>
      </c>
      <c r="K822" s="279">
        <v>1</v>
      </c>
      <c r="L822" s="322">
        <v>0</v>
      </c>
      <c r="M822" s="279">
        <v>1</v>
      </c>
      <c r="N822" s="279">
        <v>1</v>
      </c>
      <c r="O822" s="279">
        <v>1</v>
      </c>
      <c r="P822" s="322">
        <v>0</v>
      </c>
      <c r="Q822" s="279">
        <v>1</v>
      </c>
      <c r="R822" s="279">
        <v>1</v>
      </c>
      <c r="S822" s="280">
        <v>1</v>
      </c>
      <c r="T822" s="63"/>
      <c r="U822" s="94" t="s">
        <v>949</v>
      </c>
      <c r="V822" s="90"/>
      <c r="W822" s="91"/>
      <c r="X822" s="92"/>
    </row>
    <row r="823" spans="1:25" s="260" customFormat="1">
      <c r="A823" s="494">
        <v>0.05</v>
      </c>
      <c r="B823" s="87">
        <f t="shared" si="147"/>
        <v>6</v>
      </c>
      <c r="C823" s="274">
        <v>45939</v>
      </c>
      <c r="D823" s="276">
        <v>74231</v>
      </c>
      <c r="E823" s="281" t="s">
        <v>865</v>
      </c>
      <c r="F823" s="277">
        <v>1134</v>
      </c>
      <c r="G823" s="277">
        <f>39.7</f>
        <v>39.700000000000003</v>
      </c>
      <c r="H823" s="277"/>
      <c r="I823" s="321">
        <f t="shared" ref="I823:I826" si="148">F823-G823-H823</f>
        <v>1094.3</v>
      </c>
      <c r="J823" s="279"/>
      <c r="K823" s="279">
        <v>1</v>
      </c>
      <c r="L823" s="279">
        <v>1</v>
      </c>
      <c r="M823" s="279"/>
      <c r="N823" s="279">
        <v>1</v>
      </c>
      <c r="O823" s="279">
        <v>1</v>
      </c>
      <c r="P823" s="279">
        <v>1</v>
      </c>
      <c r="Q823" s="279">
        <v>1</v>
      </c>
      <c r="R823" s="279">
        <v>1</v>
      </c>
      <c r="S823" s="280">
        <v>1</v>
      </c>
      <c r="T823" s="63"/>
      <c r="U823" s="10"/>
      <c r="V823" s="90"/>
      <c r="W823" s="91"/>
      <c r="X823" s="92"/>
    </row>
    <row r="824" spans="1:25" s="260" customFormat="1">
      <c r="A824" s="494" t="s">
        <v>895</v>
      </c>
      <c r="B824" s="87">
        <f t="shared" si="147"/>
        <v>7</v>
      </c>
      <c r="C824" s="295">
        <v>45939</v>
      </c>
      <c r="D824" s="10" t="s">
        <v>866</v>
      </c>
      <c r="E824" s="101" t="s">
        <v>563</v>
      </c>
      <c r="F824" s="62">
        <v>1264</v>
      </c>
      <c r="G824" s="62">
        <f>39.7</f>
        <v>39.700000000000003</v>
      </c>
      <c r="H824" s="62"/>
      <c r="I824" s="324">
        <f t="shared" si="148"/>
        <v>1224.3</v>
      </c>
      <c r="J824" s="63" t="s">
        <v>150</v>
      </c>
      <c r="K824" s="63">
        <v>1</v>
      </c>
      <c r="L824" s="325">
        <v>0</v>
      </c>
      <c r="M824" s="63">
        <v>1</v>
      </c>
      <c r="N824" s="63">
        <v>1</v>
      </c>
      <c r="O824" s="63">
        <v>1</v>
      </c>
      <c r="P824" s="63">
        <v>1</v>
      </c>
      <c r="Q824" s="63">
        <v>1</v>
      </c>
      <c r="R824" s="63">
        <v>1</v>
      </c>
      <c r="S824" s="296">
        <v>1</v>
      </c>
      <c r="T824" s="63"/>
      <c r="U824" s="10" t="s">
        <v>867</v>
      </c>
      <c r="V824" s="90"/>
      <c r="W824" s="91"/>
      <c r="X824" s="92"/>
    </row>
    <row r="825" spans="1:25" s="260" customFormat="1">
      <c r="A825" s="494" t="s">
        <v>895</v>
      </c>
      <c r="B825" s="87">
        <f t="shared" si="147"/>
        <v>8</v>
      </c>
      <c r="C825" s="282">
        <v>45939</v>
      </c>
      <c r="D825" s="283" t="s">
        <v>868</v>
      </c>
      <c r="E825" s="319" t="s">
        <v>563</v>
      </c>
      <c r="F825" s="284">
        <v>2861</v>
      </c>
      <c r="G825" s="284">
        <f>39.7</f>
        <v>39.700000000000003</v>
      </c>
      <c r="H825" s="284"/>
      <c r="I825" s="300">
        <f t="shared" si="148"/>
        <v>2821.3</v>
      </c>
      <c r="J825" s="286" t="s">
        <v>150</v>
      </c>
      <c r="K825" s="286">
        <v>1</v>
      </c>
      <c r="L825" s="332">
        <v>0</v>
      </c>
      <c r="M825" s="286">
        <v>1</v>
      </c>
      <c r="N825" s="286">
        <v>1</v>
      </c>
      <c r="O825" s="286">
        <v>1</v>
      </c>
      <c r="P825" s="286">
        <v>1</v>
      </c>
      <c r="Q825" s="286">
        <v>1</v>
      </c>
      <c r="R825" s="286">
        <v>1</v>
      </c>
      <c r="S825" s="287">
        <v>1</v>
      </c>
      <c r="T825" s="63"/>
      <c r="U825" s="10" t="s">
        <v>869</v>
      </c>
      <c r="V825" s="90"/>
      <c r="W825" s="91"/>
      <c r="X825" s="92"/>
    </row>
    <row r="826" spans="1:25" s="260" customFormat="1">
      <c r="A826" s="494" t="s">
        <v>895</v>
      </c>
      <c r="B826" s="87">
        <f t="shared" si="147"/>
        <v>9</v>
      </c>
      <c r="C826" s="262">
        <v>45940</v>
      </c>
      <c r="D826" s="271" t="s">
        <v>870</v>
      </c>
      <c r="E826" s="271" t="s">
        <v>862</v>
      </c>
      <c r="F826" s="265">
        <v>12133</v>
      </c>
      <c r="G826" s="265">
        <f>39.7+(3660.58)+1000</f>
        <v>4700.28</v>
      </c>
      <c r="H826" s="265"/>
      <c r="I826" s="266">
        <f t="shared" si="148"/>
        <v>7432.72</v>
      </c>
      <c r="J826" s="267" t="s">
        <v>228</v>
      </c>
      <c r="K826" s="267">
        <v>1</v>
      </c>
      <c r="L826" s="267">
        <v>1</v>
      </c>
      <c r="M826" s="267">
        <v>1</v>
      </c>
      <c r="N826" s="267">
        <v>1</v>
      </c>
      <c r="O826" s="267">
        <v>1</v>
      </c>
      <c r="P826" s="267">
        <v>1</v>
      </c>
      <c r="Q826" s="267">
        <v>1</v>
      </c>
      <c r="R826" s="314">
        <v>0</v>
      </c>
      <c r="S826" s="269">
        <v>1</v>
      </c>
      <c r="T826" s="63"/>
      <c r="U826" s="94" t="s">
        <v>896</v>
      </c>
      <c r="V826" s="90"/>
      <c r="W826" s="136"/>
      <c r="X826" s="137"/>
    </row>
    <row r="827" spans="1:25" s="260" customFormat="1">
      <c r="A827" s="704" t="s">
        <v>619</v>
      </c>
      <c r="B827" s="87">
        <f t="shared" si="147"/>
        <v>10</v>
      </c>
      <c r="C827" s="274">
        <v>45943</v>
      </c>
      <c r="D827" s="276" t="s">
        <v>891</v>
      </c>
      <c r="E827" s="276" t="s">
        <v>854</v>
      </c>
      <c r="F827" s="277">
        <v>22614</v>
      </c>
      <c r="G827" s="277">
        <f>39.7+(876.42-329.03)+2000</f>
        <v>2587.09</v>
      </c>
      <c r="H827" s="277"/>
      <c r="I827" s="321">
        <f>F827-G827-H827</f>
        <v>20026.91</v>
      </c>
      <c r="J827" s="279" t="s">
        <v>156</v>
      </c>
      <c r="K827" s="279">
        <v>1</v>
      </c>
      <c r="L827" s="279">
        <v>1</v>
      </c>
      <c r="M827" s="279">
        <v>1</v>
      </c>
      <c r="N827" s="279">
        <v>1</v>
      </c>
      <c r="O827" s="279">
        <v>1</v>
      </c>
      <c r="P827" s="322">
        <v>0</v>
      </c>
      <c r="Q827" s="279">
        <v>1</v>
      </c>
      <c r="R827" s="279">
        <v>1</v>
      </c>
      <c r="S827" s="280">
        <v>1</v>
      </c>
      <c r="T827" s="63"/>
      <c r="U827" s="94" t="s">
        <v>892</v>
      </c>
      <c r="V827" s="90"/>
      <c r="W827" s="136"/>
      <c r="X827" s="137"/>
    </row>
    <row r="828" spans="1:25" s="260" customFormat="1">
      <c r="A828" s="261">
        <v>0.05</v>
      </c>
      <c r="B828" s="87">
        <f t="shared" si="147"/>
        <v>11</v>
      </c>
      <c r="C828" s="295">
        <v>45943</v>
      </c>
      <c r="D828" s="10">
        <v>74072</v>
      </c>
      <c r="E828" s="10" t="s">
        <v>875</v>
      </c>
      <c r="F828" s="62">
        <f>2346-85</f>
        <v>2261</v>
      </c>
      <c r="G828" s="62">
        <f>39.7</f>
        <v>39.700000000000003</v>
      </c>
      <c r="H828" s="62"/>
      <c r="I828" s="324">
        <f>F828-G828-H828</f>
        <v>2221.3000000000002</v>
      </c>
      <c r="J828" s="63" t="s">
        <v>156</v>
      </c>
      <c r="K828" s="63">
        <v>1</v>
      </c>
      <c r="L828" s="63">
        <v>1</v>
      </c>
      <c r="M828" s="63">
        <v>1</v>
      </c>
      <c r="N828" s="63">
        <v>1</v>
      </c>
      <c r="O828" s="325">
        <v>0</v>
      </c>
      <c r="P828" s="63">
        <v>1</v>
      </c>
      <c r="Q828" s="63">
        <v>1</v>
      </c>
      <c r="R828" s="63">
        <v>1</v>
      </c>
      <c r="S828" s="296">
        <v>1</v>
      </c>
      <c r="T828" s="63"/>
      <c r="U828" s="94" t="s">
        <v>893</v>
      </c>
      <c r="V828" s="90"/>
      <c r="W828" s="136"/>
      <c r="X828" s="137"/>
    </row>
    <row r="829" spans="1:25" s="260" customFormat="1">
      <c r="A829" s="261">
        <v>0.05</v>
      </c>
      <c r="B829" s="87">
        <f t="shared" si="147"/>
        <v>12</v>
      </c>
      <c r="C829" s="262">
        <v>45946</v>
      </c>
      <c r="D829" s="271">
        <v>74433</v>
      </c>
      <c r="E829" s="264" t="s">
        <v>672</v>
      </c>
      <c r="F829" s="265">
        <v>1461</v>
      </c>
      <c r="G829" s="265">
        <f>39.7</f>
        <v>39.700000000000003</v>
      </c>
      <c r="H829" s="265"/>
      <c r="I829" s="272">
        <f>F829-G829-H829</f>
        <v>1421.3</v>
      </c>
      <c r="J829" s="267"/>
      <c r="K829" s="267">
        <v>1</v>
      </c>
      <c r="L829" s="267">
        <v>1</v>
      </c>
      <c r="M829" s="267"/>
      <c r="N829" s="267">
        <v>1</v>
      </c>
      <c r="O829" s="267">
        <v>1</v>
      </c>
      <c r="P829" s="267">
        <v>1</v>
      </c>
      <c r="Q829" s="267">
        <v>1</v>
      </c>
      <c r="R829" s="267">
        <v>1</v>
      </c>
      <c r="S829" s="269">
        <v>1</v>
      </c>
      <c r="T829" s="21"/>
      <c r="U829" s="10" t="s">
        <v>894</v>
      </c>
      <c r="V829" s="90"/>
      <c r="W829" s="91"/>
      <c r="X829" s="92"/>
    </row>
    <row r="830" spans="1:25" s="260" customFormat="1">
      <c r="A830" s="530" t="s">
        <v>926</v>
      </c>
      <c r="B830" s="87">
        <f t="shared" si="147"/>
        <v>13</v>
      </c>
      <c r="C830" s="262">
        <v>45950</v>
      </c>
      <c r="D830" s="271">
        <v>74637</v>
      </c>
      <c r="E830" s="271" t="s">
        <v>865</v>
      </c>
      <c r="F830" s="265">
        <v>681</v>
      </c>
      <c r="G830" s="265"/>
      <c r="H830" s="265"/>
      <c r="I830" s="272">
        <f>F830-G830-H830</f>
        <v>681</v>
      </c>
      <c r="J830" s="267" t="s">
        <v>156</v>
      </c>
      <c r="K830" s="267">
        <v>1</v>
      </c>
      <c r="L830" s="267">
        <v>1</v>
      </c>
      <c r="M830" s="267">
        <v>1</v>
      </c>
      <c r="N830" s="267">
        <v>1</v>
      </c>
      <c r="O830" s="267">
        <v>1</v>
      </c>
      <c r="P830" s="267">
        <v>1</v>
      </c>
      <c r="Q830" s="267">
        <v>1</v>
      </c>
      <c r="R830" s="267">
        <v>1</v>
      </c>
      <c r="S830" s="366">
        <v>0</v>
      </c>
      <c r="T830" s="63"/>
      <c r="U830" s="94" t="s">
        <v>927</v>
      </c>
      <c r="V830" s="90">
        <f>74.91+274.19+400</f>
        <v>749.1</v>
      </c>
      <c r="W830" s="136"/>
      <c r="X830" s="137"/>
      <c r="Y830" s="181"/>
    </row>
    <row r="831" spans="1:25" s="260" customFormat="1">
      <c r="A831" s="181"/>
      <c r="B831" s="11"/>
      <c r="C831" s="36"/>
      <c r="D831" s="10"/>
      <c r="E831" s="10"/>
      <c r="F831" s="98">
        <f>SUM(F818:F830)</f>
        <v>57375</v>
      </c>
      <c r="G831" s="98">
        <f t="shared" ref="G831:I831" si="149">SUM(G818:G830)</f>
        <v>10983.53</v>
      </c>
      <c r="H831" s="98">
        <f t="shared" si="149"/>
        <v>0</v>
      </c>
      <c r="I831" s="98">
        <f t="shared" si="149"/>
        <v>46391.47</v>
      </c>
      <c r="J831" s="63"/>
      <c r="K831" s="21"/>
      <c r="L831" s="21"/>
      <c r="M831" s="21"/>
      <c r="N831" s="21"/>
      <c r="O831" s="21"/>
      <c r="P831" s="21"/>
      <c r="Q831" s="21"/>
      <c r="R831" s="21"/>
      <c r="S831" s="21"/>
      <c r="T831" s="63"/>
      <c r="U831" s="94"/>
      <c r="V831" s="90"/>
      <c r="W831" s="91"/>
      <c r="X831" s="92"/>
    </row>
    <row r="832" spans="1:25" s="260" customFormat="1">
      <c r="A832" s="181"/>
      <c r="B832" s="11"/>
      <c r="C832" s="36"/>
      <c r="D832" s="10"/>
      <c r="E832" s="10"/>
      <c r="F832" s="88"/>
      <c r="G832" s="88"/>
      <c r="H832" s="88"/>
      <c r="I832" s="99"/>
      <c r="J832" s="63"/>
      <c r="K832" s="21"/>
      <c r="L832" s="21"/>
      <c r="M832" s="21"/>
      <c r="N832" s="21"/>
      <c r="O832" s="21"/>
      <c r="P832" s="21"/>
      <c r="Q832" s="21"/>
      <c r="R832" s="21"/>
      <c r="S832" s="21"/>
      <c r="T832" s="63"/>
      <c r="U832" s="94"/>
      <c r="V832" s="90"/>
      <c r="W832" s="91"/>
      <c r="X832" s="92"/>
    </row>
    <row r="833" spans="1:25" s="260" customFormat="1">
      <c r="B833" s="100" t="s">
        <v>202</v>
      </c>
      <c r="C833" s="36"/>
      <c r="D833" s="10"/>
      <c r="E833" s="181"/>
      <c r="F833" s="88"/>
      <c r="G833" s="88"/>
      <c r="H833" s="88"/>
      <c r="I833" s="99"/>
      <c r="J833" s="63"/>
      <c r="K833" s="21"/>
      <c r="L833" s="21"/>
      <c r="M833" s="21"/>
      <c r="N833" s="21"/>
      <c r="O833" s="21"/>
      <c r="P833" s="21"/>
      <c r="Q833" s="21"/>
      <c r="R833" s="21"/>
      <c r="S833" s="21"/>
      <c r="T833" s="63"/>
      <c r="U833" s="94"/>
      <c r="V833" s="90"/>
      <c r="W833" s="91"/>
      <c r="X833" s="92"/>
      <c r="Y833" s="181"/>
    </row>
    <row r="834" spans="1:25" s="260" customFormat="1">
      <c r="A834" s="494">
        <v>0.05</v>
      </c>
      <c r="B834" s="87">
        <v>1</v>
      </c>
      <c r="C834" s="274">
        <v>45908</v>
      </c>
      <c r="D834" s="276">
        <v>73048</v>
      </c>
      <c r="E834" s="276" t="s">
        <v>211</v>
      </c>
      <c r="F834" s="277">
        <v>861</v>
      </c>
      <c r="G834" s="277">
        <f>39.7</f>
        <v>39.700000000000003</v>
      </c>
      <c r="H834" s="277"/>
      <c r="I834" s="278">
        <f>F834-G834-H834</f>
        <v>821.3</v>
      </c>
      <c r="J834" s="279" t="s">
        <v>156</v>
      </c>
      <c r="K834" s="279">
        <v>1</v>
      </c>
      <c r="L834" s="279"/>
      <c r="M834" s="279">
        <v>1</v>
      </c>
      <c r="N834" s="279">
        <v>1</v>
      </c>
      <c r="O834" s="279">
        <v>1</v>
      </c>
      <c r="P834" s="279">
        <v>1</v>
      </c>
      <c r="Q834" s="279"/>
      <c r="R834" s="279"/>
      <c r="S834" s="280"/>
      <c r="T834" s="63"/>
      <c r="U834" s="94" t="s">
        <v>806</v>
      </c>
      <c r="V834" s="90"/>
      <c r="W834" s="136"/>
      <c r="X834" s="137"/>
      <c r="Y834" s="181"/>
    </row>
    <row r="835" spans="1:25" s="260" customFormat="1">
      <c r="A835" s="261">
        <v>0.05</v>
      </c>
      <c r="B835" s="87">
        <f>B834+1</f>
        <v>2</v>
      </c>
      <c r="C835" s="262">
        <v>45917</v>
      </c>
      <c r="D835" s="271">
        <v>73379</v>
      </c>
      <c r="E835" s="271" t="s">
        <v>159</v>
      </c>
      <c r="F835" s="265">
        <v>4619</v>
      </c>
      <c r="G835" s="265">
        <f>39.7+300+(88.82+47.5+58.8)+(77+674.43+129.7)+300</f>
        <v>1715.9499999999998</v>
      </c>
      <c r="H835" s="265"/>
      <c r="I835" s="266">
        <f>F835-G835-H835</f>
        <v>2903.05</v>
      </c>
      <c r="J835" s="267" t="s">
        <v>228</v>
      </c>
      <c r="K835" s="267">
        <v>1</v>
      </c>
      <c r="L835" s="267"/>
      <c r="M835" s="267">
        <v>1</v>
      </c>
      <c r="N835" s="267">
        <v>1</v>
      </c>
      <c r="O835" s="267">
        <v>1</v>
      </c>
      <c r="P835" s="314">
        <v>0</v>
      </c>
      <c r="Q835" s="267"/>
      <c r="R835" s="267"/>
      <c r="S835" s="269"/>
      <c r="T835" s="63"/>
      <c r="U835" s="94" t="s">
        <v>832</v>
      </c>
      <c r="V835" s="90"/>
      <c r="W835" s="136"/>
      <c r="X835" s="137"/>
    </row>
    <row r="836" spans="1:25" s="260" customFormat="1">
      <c r="B836" s="11"/>
      <c r="C836" s="36"/>
      <c r="D836" s="10"/>
      <c r="E836" s="10"/>
      <c r="F836" s="97">
        <f>SUM(F834:F835)</f>
        <v>5480</v>
      </c>
      <c r="G836" s="97">
        <f>SUM(G834:G835)</f>
        <v>1755.6499999999999</v>
      </c>
      <c r="H836" s="97">
        <f>SUM(H834:H835)</f>
        <v>0</v>
      </c>
      <c r="I836" s="97">
        <f>SUM(I834:I835)</f>
        <v>3724.3500000000004</v>
      </c>
      <c r="J836" s="63"/>
      <c r="K836" s="21"/>
      <c r="L836" s="21"/>
      <c r="M836" s="21"/>
      <c r="N836" s="21"/>
      <c r="O836" s="21"/>
      <c r="P836" s="21"/>
      <c r="Q836" s="21"/>
      <c r="R836" s="21"/>
      <c r="S836" s="21"/>
      <c r="T836" s="63"/>
      <c r="U836" s="94"/>
      <c r="V836" s="90"/>
      <c r="W836" s="91"/>
      <c r="X836" s="92"/>
      <c r="Y836" s="181"/>
    </row>
    <row r="837" spans="1:25" s="260" customFormat="1">
      <c r="B837" s="11"/>
      <c r="C837" s="36"/>
      <c r="D837" s="10"/>
      <c r="E837" s="10"/>
      <c r="F837" s="88"/>
      <c r="G837" s="88"/>
      <c r="H837" s="88"/>
      <c r="I837" s="99"/>
      <c r="J837" s="63"/>
      <c r="K837" s="21"/>
      <c r="L837" s="21"/>
      <c r="M837" s="21"/>
      <c r="N837" s="21"/>
      <c r="O837" s="21"/>
      <c r="P837" s="21"/>
      <c r="Q837" s="21"/>
      <c r="R837" s="21"/>
      <c r="S837" s="21"/>
      <c r="T837" s="63"/>
      <c r="U837" s="94"/>
      <c r="V837" s="90"/>
      <c r="W837" s="91"/>
      <c r="X837" s="92"/>
      <c r="Y837" s="181"/>
    </row>
    <row r="838" spans="1:25">
      <c r="B838" s="100" t="s">
        <v>72</v>
      </c>
      <c r="C838" s="36"/>
      <c r="D838" s="10"/>
      <c r="E838" s="10"/>
      <c r="F838" s="88"/>
      <c r="G838" s="88"/>
      <c r="H838" s="88"/>
      <c r="I838" s="99"/>
      <c r="J838" s="63"/>
      <c r="K838" s="63"/>
      <c r="L838" s="63"/>
      <c r="M838" s="63"/>
      <c r="N838" s="63"/>
      <c r="O838" s="63"/>
      <c r="P838" s="63"/>
      <c r="Q838" s="63"/>
      <c r="R838" s="63"/>
      <c r="S838" s="63"/>
      <c r="T838" s="63"/>
      <c r="U838" s="10"/>
      <c r="V838" s="90"/>
      <c r="W838" s="91"/>
      <c r="X838" s="92"/>
      <c r="Y838" s="2"/>
    </row>
    <row r="839" spans="1:25">
      <c r="B839" s="87">
        <v>1</v>
      </c>
      <c r="C839" s="274">
        <v>45957</v>
      </c>
      <c r="D839" s="276">
        <v>74854</v>
      </c>
      <c r="E839" s="276" t="s">
        <v>327</v>
      </c>
      <c r="F839" s="277">
        <v>0</v>
      </c>
      <c r="G839" s="277">
        <v>0</v>
      </c>
      <c r="H839" s="277"/>
      <c r="I839" s="278">
        <f t="shared" ref="I839:I851" si="150">F839-G839-H839</f>
        <v>0</v>
      </c>
      <c r="J839" s="279" t="s">
        <v>205</v>
      </c>
      <c r="K839" s="279">
        <v>1</v>
      </c>
      <c r="L839" s="279"/>
      <c r="M839" s="279"/>
      <c r="N839" s="279"/>
      <c r="O839" s="279"/>
      <c r="P839" s="279"/>
      <c r="Q839" s="279">
        <v>1</v>
      </c>
      <c r="R839" s="279">
        <v>1</v>
      </c>
      <c r="S839" s="280">
        <v>1</v>
      </c>
      <c r="T839" s="63"/>
      <c r="U839" s="3"/>
      <c r="V839" s="90"/>
      <c r="W839" s="91"/>
      <c r="X839" s="92"/>
      <c r="Y839" s="2"/>
    </row>
    <row r="840" spans="1:25">
      <c r="B840" s="87">
        <f t="shared" ref="B840:B851" si="151">B839+1</f>
        <v>2</v>
      </c>
      <c r="C840" s="295">
        <v>45957</v>
      </c>
      <c r="D840" s="10" t="s">
        <v>950</v>
      </c>
      <c r="E840" s="10" t="s">
        <v>363</v>
      </c>
      <c r="F840" s="62">
        <v>14593</v>
      </c>
      <c r="G840" s="62">
        <v>39.700000000000003</v>
      </c>
      <c r="H840" s="62"/>
      <c r="I840" s="89">
        <f t="shared" si="150"/>
        <v>14553.3</v>
      </c>
      <c r="J840" s="63" t="s">
        <v>205</v>
      </c>
      <c r="K840" s="63">
        <v>1</v>
      </c>
      <c r="L840" s="63"/>
      <c r="M840" s="63"/>
      <c r="N840" s="63">
        <v>1</v>
      </c>
      <c r="O840" s="63"/>
      <c r="P840" s="63"/>
      <c r="Q840" s="63"/>
      <c r="R840" s="63"/>
      <c r="S840" s="296"/>
      <c r="T840" s="63"/>
      <c r="U840" s="10"/>
      <c r="V840" s="90"/>
      <c r="W840" s="136"/>
      <c r="X840" s="137"/>
      <c r="Y840" s="2"/>
    </row>
    <row r="841" spans="1:25">
      <c r="B841" s="87">
        <f t="shared" si="151"/>
        <v>3</v>
      </c>
      <c r="C841" s="274">
        <v>45958</v>
      </c>
      <c r="D841" s="276">
        <v>74891</v>
      </c>
      <c r="E841" s="276" t="s">
        <v>900</v>
      </c>
      <c r="F841" s="277">
        <v>1882</v>
      </c>
      <c r="G841" s="277">
        <v>39.700000000000003</v>
      </c>
      <c r="H841" s="277"/>
      <c r="I841" s="278">
        <f t="shared" si="150"/>
        <v>1842.3</v>
      </c>
      <c r="J841" s="279" t="s">
        <v>205</v>
      </c>
      <c r="K841" s="279">
        <v>1</v>
      </c>
      <c r="L841" s="279"/>
      <c r="M841" s="279"/>
      <c r="N841" s="279">
        <v>1</v>
      </c>
      <c r="O841" s="279"/>
      <c r="P841" s="279"/>
      <c r="Q841" s="279">
        <v>1</v>
      </c>
      <c r="R841" s="279">
        <v>1</v>
      </c>
      <c r="S841" s="280"/>
      <c r="T841" s="63"/>
      <c r="U841" s="10"/>
      <c r="V841" s="90"/>
      <c r="W841" s="136"/>
      <c r="X841" s="137"/>
      <c r="Y841" s="2"/>
    </row>
    <row r="842" spans="1:25">
      <c r="B842" s="87">
        <f t="shared" si="151"/>
        <v>4</v>
      </c>
      <c r="C842" s="274">
        <v>45960</v>
      </c>
      <c r="D842" s="276" t="s">
        <v>951</v>
      </c>
      <c r="E842" s="276" t="s">
        <v>952</v>
      </c>
      <c r="F842" s="277">
        <v>1681</v>
      </c>
      <c r="G842" s="277">
        <v>39.700000000000003</v>
      </c>
      <c r="H842" s="277"/>
      <c r="I842" s="278">
        <f t="shared" si="150"/>
        <v>1641.3</v>
      </c>
      <c r="J842" s="279" t="s">
        <v>205</v>
      </c>
      <c r="K842" s="279">
        <v>1</v>
      </c>
      <c r="L842" s="279"/>
      <c r="M842" s="279"/>
      <c r="N842" s="279">
        <v>1</v>
      </c>
      <c r="O842" s="279"/>
      <c r="P842" s="279"/>
      <c r="Q842" s="279">
        <v>1</v>
      </c>
      <c r="R842" s="279">
        <v>1</v>
      </c>
      <c r="S842" s="280">
        <v>1</v>
      </c>
      <c r="T842" s="63"/>
      <c r="U842" s="10"/>
      <c r="V842" s="90"/>
      <c r="W842" s="136"/>
      <c r="X842" s="137"/>
      <c r="Y842" s="2"/>
    </row>
    <row r="843" spans="1:25">
      <c r="B843" s="87">
        <f t="shared" si="151"/>
        <v>5</v>
      </c>
      <c r="C843" s="295">
        <v>45960</v>
      </c>
      <c r="D843" s="10" t="s">
        <v>953</v>
      </c>
      <c r="E843" s="10" t="s">
        <v>952</v>
      </c>
      <c r="F843" s="62">
        <v>681</v>
      </c>
      <c r="G843" s="62"/>
      <c r="H843" s="62"/>
      <c r="I843" s="89">
        <f t="shared" si="150"/>
        <v>681</v>
      </c>
      <c r="J843" s="63" t="s">
        <v>205</v>
      </c>
      <c r="K843" s="63">
        <v>1</v>
      </c>
      <c r="L843" s="63"/>
      <c r="M843" s="63"/>
      <c r="N843" s="63">
        <v>1</v>
      </c>
      <c r="O843" s="63"/>
      <c r="P843" s="63"/>
      <c r="Q843" s="63">
        <v>1</v>
      </c>
      <c r="R843" s="63">
        <v>1</v>
      </c>
      <c r="S843" s="296">
        <v>1</v>
      </c>
      <c r="T843" s="63"/>
      <c r="U843" s="10"/>
      <c r="V843" s="90"/>
      <c r="W843" s="136"/>
      <c r="X843" s="137"/>
      <c r="Y843" s="2"/>
    </row>
    <row r="844" spans="1:25">
      <c r="B844" s="87">
        <f t="shared" si="151"/>
        <v>6</v>
      </c>
      <c r="C844" s="295">
        <v>45960</v>
      </c>
      <c r="D844" s="10" t="s">
        <v>954</v>
      </c>
      <c r="E844" s="10" t="s">
        <v>952</v>
      </c>
      <c r="F844" s="62">
        <v>5814</v>
      </c>
      <c r="G844" s="62"/>
      <c r="H844" s="62"/>
      <c r="I844" s="89">
        <f t="shared" si="150"/>
        <v>5814</v>
      </c>
      <c r="J844" s="63" t="s">
        <v>205</v>
      </c>
      <c r="K844" s="63">
        <v>1</v>
      </c>
      <c r="L844" s="63"/>
      <c r="M844" s="63"/>
      <c r="N844" s="63">
        <v>1</v>
      </c>
      <c r="O844" s="63"/>
      <c r="P844" s="63"/>
      <c r="Q844" s="63">
        <v>1</v>
      </c>
      <c r="R844" s="63">
        <v>1</v>
      </c>
      <c r="S844" s="296">
        <v>1</v>
      </c>
      <c r="T844" s="63"/>
      <c r="U844" s="10"/>
      <c r="V844" s="90"/>
      <c r="W844" s="136"/>
      <c r="X844" s="137"/>
      <c r="Y844" s="2"/>
    </row>
    <row r="845" spans="1:25">
      <c r="B845" s="87">
        <f t="shared" si="151"/>
        <v>7</v>
      </c>
      <c r="C845" s="295">
        <v>45960</v>
      </c>
      <c r="D845" s="10" t="s">
        <v>955</v>
      </c>
      <c r="E845" s="10" t="s">
        <v>865</v>
      </c>
      <c r="F845" s="62">
        <v>1025</v>
      </c>
      <c r="G845" s="62">
        <v>39.700000000000003</v>
      </c>
      <c r="H845" s="62"/>
      <c r="I845" s="89">
        <f t="shared" ref="I845" si="152">F845-G845-H845</f>
        <v>985.3</v>
      </c>
      <c r="J845" s="63" t="s">
        <v>205</v>
      </c>
      <c r="K845" s="63">
        <v>1</v>
      </c>
      <c r="L845" s="63"/>
      <c r="M845" s="63"/>
      <c r="N845" s="63">
        <v>1</v>
      </c>
      <c r="O845" s="63"/>
      <c r="P845" s="63"/>
      <c r="Q845" s="63"/>
      <c r="R845" s="63"/>
      <c r="S845" s="296"/>
      <c r="T845" s="63"/>
      <c r="U845" s="10"/>
      <c r="V845" s="90"/>
      <c r="W845" s="136"/>
      <c r="X845" s="137"/>
      <c r="Y845" s="2"/>
    </row>
    <row r="846" spans="1:25">
      <c r="B846" s="87">
        <f t="shared" si="151"/>
        <v>8</v>
      </c>
      <c r="C846" s="274">
        <v>45961</v>
      </c>
      <c r="D846" s="276" t="s">
        <v>956</v>
      </c>
      <c r="E846" s="281" t="s">
        <v>859</v>
      </c>
      <c r="F846" s="277">
        <v>2580</v>
      </c>
      <c r="G846" s="277">
        <v>39.700000000000003</v>
      </c>
      <c r="H846" s="277"/>
      <c r="I846" s="278">
        <f t="shared" si="150"/>
        <v>2540.3000000000002</v>
      </c>
      <c r="J846" s="279" t="s">
        <v>205</v>
      </c>
      <c r="K846" s="279">
        <v>1</v>
      </c>
      <c r="L846" s="279"/>
      <c r="M846" s="279"/>
      <c r="N846" s="279">
        <v>1</v>
      </c>
      <c r="O846" s="279"/>
      <c r="P846" s="279"/>
      <c r="Q846" s="279"/>
      <c r="R846" s="279"/>
      <c r="S846" s="280"/>
      <c r="T846" s="63"/>
      <c r="U846" s="10"/>
      <c r="V846" s="90"/>
      <c r="W846" s="136"/>
      <c r="X846" s="137"/>
      <c r="Y846" s="2"/>
    </row>
    <row r="847" spans="1:25">
      <c r="B847" s="87">
        <f t="shared" si="151"/>
        <v>9</v>
      </c>
      <c r="C847" s="295">
        <v>45961</v>
      </c>
      <c r="D847" s="10" t="s">
        <v>957</v>
      </c>
      <c r="E847" s="101" t="s">
        <v>939</v>
      </c>
      <c r="F847" s="62">
        <v>612.9</v>
      </c>
      <c r="G847" s="62"/>
      <c r="H847" s="62"/>
      <c r="I847" s="89">
        <f t="shared" si="150"/>
        <v>612.9</v>
      </c>
      <c r="J847" s="63" t="s">
        <v>205</v>
      </c>
      <c r="K847" s="63">
        <v>1</v>
      </c>
      <c r="L847" s="63"/>
      <c r="M847" s="63"/>
      <c r="N847" s="63">
        <v>1</v>
      </c>
      <c r="O847" s="63"/>
      <c r="P847" s="63"/>
      <c r="Q847" s="63"/>
      <c r="R847" s="63"/>
      <c r="S847" s="296"/>
      <c r="T847" s="63"/>
      <c r="U847" s="10"/>
      <c r="V847" s="90"/>
      <c r="W847" s="136"/>
      <c r="X847" s="137"/>
      <c r="Y847" s="2"/>
    </row>
    <row r="848" spans="1:25">
      <c r="B848" s="87">
        <f t="shared" si="151"/>
        <v>10</v>
      </c>
      <c r="C848" s="295">
        <v>45961</v>
      </c>
      <c r="D848" s="10" t="s">
        <v>958</v>
      </c>
      <c r="E848" s="101" t="s">
        <v>939</v>
      </c>
      <c r="F848" s="62">
        <v>5233</v>
      </c>
      <c r="G848" s="62">
        <v>39.700000000000003</v>
      </c>
      <c r="H848" s="62"/>
      <c r="I848" s="89">
        <f t="shared" si="150"/>
        <v>5193.3</v>
      </c>
      <c r="J848" s="63" t="s">
        <v>205</v>
      </c>
      <c r="K848" s="63">
        <v>1</v>
      </c>
      <c r="L848" s="63"/>
      <c r="M848" s="63"/>
      <c r="N848" s="63">
        <v>1</v>
      </c>
      <c r="O848" s="63"/>
      <c r="P848" s="63"/>
      <c r="Q848" s="63"/>
      <c r="R848" s="63"/>
      <c r="S848" s="296"/>
      <c r="T848" s="63"/>
      <c r="U848" s="10"/>
      <c r="V848" s="90"/>
      <c r="W848" s="136"/>
      <c r="X848" s="137"/>
      <c r="Y848" s="2"/>
    </row>
    <row r="849" spans="2:25">
      <c r="B849" s="87">
        <f t="shared" si="151"/>
        <v>11</v>
      </c>
      <c r="C849" s="295">
        <v>45961</v>
      </c>
      <c r="D849" s="10">
        <v>75014</v>
      </c>
      <c r="E849" s="101" t="s">
        <v>904</v>
      </c>
      <c r="F849" s="62">
        <v>1261</v>
      </c>
      <c r="G849" s="62">
        <v>39.700000000000003</v>
      </c>
      <c r="H849" s="62"/>
      <c r="I849" s="89">
        <f t="shared" si="150"/>
        <v>1221.3</v>
      </c>
      <c r="J849" s="63" t="s">
        <v>205</v>
      </c>
      <c r="K849" s="63">
        <v>1</v>
      </c>
      <c r="L849" s="63"/>
      <c r="M849" s="63"/>
      <c r="N849" s="63">
        <v>1</v>
      </c>
      <c r="O849" s="63"/>
      <c r="P849" s="63"/>
      <c r="Q849" s="63">
        <v>1</v>
      </c>
      <c r="R849" s="63">
        <v>1</v>
      </c>
      <c r="S849" s="296">
        <v>1</v>
      </c>
      <c r="T849" s="63"/>
      <c r="U849" s="10"/>
      <c r="V849" s="90"/>
      <c r="W849" s="136"/>
      <c r="X849" s="137"/>
      <c r="Y849" s="2"/>
    </row>
    <row r="850" spans="2:25">
      <c r="B850" s="87">
        <f t="shared" si="151"/>
        <v>12</v>
      </c>
      <c r="C850" s="295">
        <v>45961</v>
      </c>
      <c r="D850" s="10" t="s">
        <v>959</v>
      </c>
      <c r="E850" s="10" t="s">
        <v>840</v>
      </c>
      <c r="F850" s="62">
        <v>2892.6</v>
      </c>
      <c r="G850" s="62">
        <v>39.700000000000003</v>
      </c>
      <c r="H850" s="62"/>
      <c r="I850" s="89">
        <f t="shared" si="150"/>
        <v>2852.9</v>
      </c>
      <c r="J850" s="63" t="s">
        <v>205</v>
      </c>
      <c r="K850" s="63">
        <v>1</v>
      </c>
      <c r="L850" s="63"/>
      <c r="M850" s="63"/>
      <c r="N850" s="63">
        <v>1</v>
      </c>
      <c r="O850" s="63"/>
      <c r="P850" s="63"/>
      <c r="Q850" s="63"/>
      <c r="R850" s="63"/>
      <c r="S850" s="296"/>
      <c r="T850" s="63"/>
      <c r="U850" s="10"/>
      <c r="V850" s="90"/>
      <c r="W850" s="136"/>
      <c r="X850" s="137"/>
      <c r="Y850" s="2"/>
    </row>
    <row r="851" spans="2:25">
      <c r="B851" s="87">
        <f t="shared" si="151"/>
        <v>13</v>
      </c>
      <c r="C851" s="282">
        <v>45961</v>
      </c>
      <c r="D851" s="283">
        <v>75032</v>
      </c>
      <c r="E851" s="319" t="s">
        <v>877</v>
      </c>
      <c r="F851" s="284">
        <v>2261</v>
      </c>
      <c r="G851" s="284">
        <v>39.700000000000003</v>
      </c>
      <c r="H851" s="284"/>
      <c r="I851" s="285">
        <f t="shared" si="150"/>
        <v>2221.3000000000002</v>
      </c>
      <c r="J851" s="286" t="s">
        <v>205</v>
      </c>
      <c r="K851" s="286">
        <v>1</v>
      </c>
      <c r="L851" s="286"/>
      <c r="M851" s="286"/>
      <c r="N851" s="286">
        <v>1</v>
      </c>
      <c r="O851" s="286"/>
      <c r="P851" s="286"/>
      <c r="Q851" s="286">
        <v>1</v>
      </c>
      <c r="R851" s="286">
        <v>1</v>
      </c>
      <c r="S851" s="287"/>
      <c r="T851" s="63"/>
      <c r="U851" s="10"/>
      <c r="V851" s="90"/>
      <c r="W851" s="136"/>
      <c r="X851" s="137"/>
      <c r="Y851" s="2"/>
    </row>
    <row r="852" spans="2:25">
      <c r="B852" s="11"/>
      <c r="C852" s="36"/>
      <c r="D852" s="10"/>
      <c r="E852" s="10"/>
      <c r="F852" s="97">
        <f>SUM(F839:F851)</f>
        <v>40516.5</v>
      </c>
      <c r="G852" s="97">
        <f>SUM(G839:G851)</f>
        <v>357.29999999999995</v>
      </c>
      <c r="H852" s="97">
        <f>SUM(H839:H851)</f>
        <v>0</v>
      </c>
      <c r="I852" s="98">
        <f>SUM(I839:I851)</f>
        <v>40159.200000000004</v>
      </c>
      <c r="J852" s="10"/>
      <c r="K852" s="10"/>
      <c r="L852" s="10"/>
      <c r="M852" s="10"/>
      <c r="N852" s="10"/>
      <c r="O852" s="10"/>
      <c r="P852" s="10"/>
      <c r="Q852" s="10"/>
      <c r="R852" s="10"/>
      <c r="S852" s="10"/>
      <c r="T852" s="63"/>
      <c r="U852" s="10"/>
      <c r="V852" s="138"/>
      <c r="W852" s="136"/>
      <c r="X852" s="137"/>
      <c r="Y852" s="2"/>
    </row>
    <row r="853" spans="2:25">
      <c r="B853" s="26"/>
      <c r="C853" s="612"/>
      <c r="D853" s="141"/>
      <c r="E853" s="141"/>
      <c r="F853" s="141"/>
      <c r="G853" s="141"/>
      <c r="H853" s="141"/>
      <c r="I853" s="141"/>
      <c r="J853" s="141"/>
      <c r="K853" s="142"/>
      <c r="L853" s="142"/>
      <c r="M853" s="142"/>
      <c r="N853" s="142"/>
      <c r="O853" s="142"/>
      <c r="P853" s="142"/>
      <c r="Q853" s="142"/>
      <c r="R853" s="142"/>
      <c r="S853" s="142"/>
      <c r="T853" s="143">
        <f>SUM(T775:T852)</f>
        <v>5</v>
      </c>
      <c r="U853" s="141"/>
      <c r="V853" s="144">
        <f>SUM(V775:V852)</f>
        <v>35620.229999999981</v>
      </c>
      <c r="W853" s="144">
        <f>SUM(W775:W852)</f>
        <v>300</v>
      </c>
      <c r="X853" s="144">
        <f>SUM(X775:X852)</f>
        <v>0</v>
      </c>
      <c r="Y853" s="2"/>
    </row>
    <row r="854" spans="2:25">
      <c r="B854" s="10"/>
      <c r="C854" s="36"/>
      <c r="D854" s="10"/>
      <c r="E854" s="10"/>
      <c r="F854" s="10"/>
      <c r="G854" s="10"/>
      <c r="H854" s="10"/>
      <c r="I854" s="10"/>
      <c r="J854" s="10"/>
      <c r="K854" s="147"/>
      <c r="L854" s="147"/>
      <c r="M854" s="147"/>
      <c r="N854" s="147"/>
      <c r="O854" s="147"/>
      <c r="P854" s="147"/>
      <c r="Q854" s="147"/>
      <c r="R854" s="147"/>
      <c r="S854" s="147"/>
      <c r="T854" s="21"/>
      <c r="U854" s="10"/>
      <c r="V854" s="99"/>
      <c r="W854" s="99"/>
      <c r="X854" s="99"/>
      <c r="Y854" s="2"/>
    </row>
    <row r="856" spans="2:25">
      <c r="B856" s="4" t="s">
        <v>1</v>
      </c>
      <c r="C856" s="5"/>
      <c r="D856" s="6"/>
      <c r="E856" s="6"/>
      <c r="F856" s="7" t="s">
        <v>2</v>
      </c>
      <c r="G856" s="608">
        <v>45970</v>
      </c>
      <c r="H856" s="7"/>
      <c r="I856" s="6"/>
      <c r="J856" s="6"/>
      <c r="K856" s="6"/>
      <c r="L856" s="6"/>
      <c r="M856" s="6"/>
      <c r="N856" s="6"/>
      <c r="O856" s="6"/>
      <c r="P856" s="6"/>
      <c r="Q856" s="6"/>
      <c r="R856" s="6"/>
      <c r="S856" s="6"/>
      <c r="T856" s="6"/>
      <c r="U856" s="9"/>
      <c r="V856" s="10"/>
      <c r="W856" s="10"/>
      <c r="X856" s="10"/>
      <c r="Y856" s="2"/>
    </row>
    <row r="857" spans="2:25">
      <c r="B857" s="11"/>
      <c r="C857" s="10"/>
      <c r="D857" s="10"/>
      <c r="E857" s="10"/>
      <c r="F857" s="10"/>
      <c r="G857" s="7"/>
      <c r="H857" s="12"/>
      <c r="I857" s="10"/>
      <c r="J857" s="10"/>
      <c r="K857" s="13" t="s">
        <v>3</v>
      </c>
      <c r="L857" s="14"/>
      <c r="M857" s="15"/>
      <c r="N857" s="13" t="s">
        <v>4</v>
      </c>
      <c r="O857" s="14"/>
      <c r="P857" s="15"/>
      <c r="Q857" s="13" t="s">
        <v>5</v>
      </c>
      <c r="R857" s="14"/>
      <c r="S857" s="15"/>
      <c r="T857" s="16"/>
      <c r="U857" s="17"/>
      <c r="V857" s="10"/>
      <c r="W857" s="10"/>
      <c r="X857" s="10"/>
      <c r="Y857" s="2"/>
    </row>
    <row r="858" spans="2:25">
      <c r="B858" s="18" t="s">
        <v>6</v>
      </c>
      <c r="C858" s="19">
        <f>C859+C860</f>
        <v>9</v>
      </c>
      <c r="D858" s="10"/>
      <c r="E858" s="18" t="s">
        <v>7</v>
      </c>
      <c r="F858" s="6"/>
      <c r="G858" s="9"/>
      <c r="H858" s="10"/>
      <c r="I858" s="10"/>
      <c r="J858" s="10"/>
      <c r="K858" s="20" t="s">
        <v>8</v>
      </c>
      <c r="L858" s="21" t="s">
        <v>9</v>
      </c>
      <c r="M858" s="21" t="s">
        <v>10</v>
      </c>
      <c r="N858" s="20" t="s">
        <v>11</v>
      </c>
      <c r="O858" s="21" t="s">
        <v>12</v>
      </c>
      <c r="P858" s="22" t="s">
        <v>13</v>
      </c>
      <c r="Q858" s="21" t="s">
        <v>11</v>
      </c>
      <c r="R858" s="21" t="s">
        <v>12</v>
      </c>
      <c r="S858" s="22" t="s">
        <v>13</v>
      </c>
      <c r="T858" s="23" t="s">
        <v>14</v>
      </c>
      <c r="U858" s="17"/>
      <c r="V858" s="10"/>
      <c r="W858" s="10"/>
      <c r="X858" s="10"/>
      <c r="Y858" s="2"/>
    </row>
    <row r="859" spans="2:25">
      <c r="B859" s="24" t="s">
        <v>15</v>
      </c>
      <c r="C859" s="25">
        <f>P866</f>
        <v>7</v>
      </c>
      <c r="D859" s="10"/>
      <c r="E859" s="26" t="s">
        <v>16</v>
      </c>
      <c r="F859" s="27">
        <v>0.05</v>
      </c>
      <c r="G859" s="28"/>
      <c r="H859" s="10"/>
      <c r="I859" s="10"/>
      <c r="J859" s="18" t="s">
        <v>17</v>
      </c>
      <c r="K859" s="29">
        <f>K900</f>
        <v>3</v>
      </c>
      <c r="L859" s="29">
        <f t="shared" ref="L859:S859" si="153">L900</f>
        <v>3</v>
      </c>
      <c r="M859" s="29">
        <f t="shared" si="153"/>
        <v>3</v>
      </c>
      <c r="N859" s="29">
        <f t="shared" si="153"/>
        <v>3</v>
      </c>
      <c r="O859" s="29">
        <f t="shared" si="153"/>
        <v>3</v>
      </c>
      <c r="P859" s="29">
        <f t="shared" si="153"/>
        <v>3</v>
      </c>
      <c r="Q859" s="29">
        <f t="shared" si="153"/>
        <v>3</v>
      </c>
      <c r="R859" s="29">
        <f t="shared" si="153"/>
        <v>3</v>
      </c>
      <c r="S859" s="29">
        <f t="shared" si="153"/>
        <v>0</v>
      </c>
      <c r="T859" s="30">
        <f>T997</f>
        <v>0</v>
      </c>
      <c r="U859" s="17"/>
      <c r="V859" s="10"/>
      <c r="W859" s="10"/>
      <c r="X859" s="10"/>
      <c r="Y859" s="2"/>
    </row>
    <row r="860" spans="2:25">
      <c r="B860" s="24" t="s">
        <v>18</v>
      </c>
      <c r="C860" s="25">
        <f>P867</f>
        <v>2</v>
      </c>
      <c r="D860" s="10"/>
      <c r="E860" s="10"/>
      <c r="F860" s="10"/>
      <c r="G860" s="31"/>
      <c r="H860" s="10"/>
      <c r="I860" s="10"/>
      <c r="J860" s="32" t="s">
        <v>19</v>
      </c>
      <c r="K860" s="33">
        <f>K900/K899</f>
        <v>1</v>
      </c>
      <c r="L860" s="33">
        <f t="shared" ref="L860:S860" si="154">L900/L899</f>
        <v>1</v>
      </c>
      <c r="M860" s="33">
        <f t="shared" si="154"/>
        <v>1</v>
      </c>
      <c r="N860" s="33">
        <f t="shared" si="154"/>
        <v>1</v>
      </c>
      <c r="O860" s="33">
        <f t="shared" si="154"/>
        <v>1</v>
      </c>
      <c r="P860" s="33">
        <f t="shared" si="154"/>
        <v>1</v>
      </c>
      <c r="Q860" s="33">
        <f t="shared" si="154"/>
        <v>1</v>
      </c>
      <c r="R860" s="33">
        <f t="shared" si="154"/>
        <v>1</v>
      </c>
      <c r="S860" s="33">
        <f t="shared" si="154"/>
        <v>0</v>
      </c>
      <c r="T860" s="23"/>
      <c r="U860" s="17" t="s">
        <v>20</v>
      </c>
      <c r="V860" s="10"/>
      <c r="W860" s="10"/>
      <c r="X860" s="10"/>
      <c r="Y860" s="2"/>
    </row>
    <row r="861" spans="2:25">
      <c r="B861" s="24" t="s">
        <v>21</v>
      </c>
      <c r="C861" s="34">
        <f>P868</f>
        <v>0.77777777777777779</v>
      </c>
      <c r="D861" s="10"/>
      <c r="E861" s="10"/>
      <c r="F861" s="10"/>
      <c r="G861" s="10"/>
      <c r="H861" s="10"/>
      <c r="I861" s="10"/>
      <c r="J861" s="10"/>
      <c r="K861" s="10"/>
      <c r="L861" s="10"/>
      <c r="M861" s="10"/>
      <c r="N861" s="10"/>
      <c r="O861" s="10"/>
      <c r="P861" s="10"/>
      <c r="Q861" s="10"/>
      <c r="R861" s="10"/>
      <c r="S861" s="10"/>
      <c r="T861" s="10"/>
      <c r="U861" s="17"/>
      <c r="V861" s="10"/>
      <c r="W861" s="10"/>
      <c r="X861" s="10"/>
      <c r="Y861" s="2"/>
    </row>
    <row r="862" spans="2:25">
      <c r="B862" s="24"/>
      <c r="C862" s="25"/>
      <c r="D862" s="10"/>
      <c r="E862" s="10"/>
      <c r="F862" s="18" t="s">
        <v>22</v>
      </c>
      <c r="G862" s="19" t="s">
        <v>23</v>
      </c>
      <c r="H862" s="35" t="s">
        <v>24</v>
      </c>
      <c r="I862" s="10"/>
      <c r="J862" s="10"/>
      <c r="K862" s="36"/>
      <c r="L862" s="36"/>
      <c r="M862" s="36"/>
      <c r="N862" s="36"/>
      <c r="O862" s="36"/>
      <c r="P862" s="36"/>
      <c r="Q862" s="36"/>
      <c r="R862" s="10"/>
      <c r="S862" s="10"/>
      <c r="T862" s="10"/>
      <c r="U862" s="17"/>
      <c r="V862" s="10"/>
      <c r="W862" s="10"/>
      <c r="X862" s="10"/>
      <c r="Y862" s="2"/>
    </row>
    <row r="863" spans="2:25">
      <c r="B863" s="32" t="s">
        <v>25</v>
      </c>
      <c r="C863" s="37">
        <f>P869</f>
        <v>3369.89</v>
      </c>
      <c r="D863" s="10"/>
      <c r="E863" s="18" t="s">
        <v>26</v>
      </c>
      <c r="F863" s="38">
        <f>P865</f>
        <v>23589.23</v>
      </c>
      <c r="G863" s="39">
        <f>I899+I933+I955</f>
        <v>23589.23</v>
      </c>
      <c r="H863" s="40"/>
      <c r="I863" s="41"/>
      <c r="J863" s="42"/>
      <c r="K863" s="43" t="s">
        <v>27</v>
      </c>
      <c r="L863" s="44"/>
      <c r="M863" s="44"/>
      <c r="N863" s="44"/>
      <c r="O863" s="44"/>
      <c r="P863" s="44"/>
      <c r="Q863" s="45"/>
      <c r="R863" s="46" t="s">
        <v>28</v>
      </c>
      <c r="S863" s="47" t="s">
        <v>29</v>
      </c>
      <c r="T863" s="10"/>
      <c r="U863" s="17"/>
      <c r="V863" s="10"/>
      <c r="W863" s="10"/>
      <c r="X863" s="10"/>
      <c r="Y863" s="2"/>
    </row>
    <row r="864" spans="2:25">
      <c r="B864" s="11"/>
      <c r="C864" s="10"/>
      <c r="D864" s="10"/>
      <c r="E864" s="24" t="s">
        <v>30</v>
      </c>
      <c r="F864" s="48">
        <f>F859</f>
        <v>0.05</v>
      </c>
      <c r="G864" s="17"/>
      <c r="H864" s="40"/>
      <c r="I864" s="41"/>
      <c r="J864" s="42"/>
      <c r="K864" s="20" t="s">
        <v>31</v>
      </c>
      <c r="L864" s="21" t="s">
        <v>32</v>
      </c>
      <c r="M864" s="21" t="s">
        <v>33</v>
      </c>
      <c r="N864" s="21" t="s">
        <v>34</v>
      </c>
      <c r="O864" s="21" t="s">
        <v>35</v>
      </c>
      <c r="P864" s="21" t="s">
        <v>36</v>
      </c>
      <c r="Q864" s="49" t="s">
        <v>37</v>
      </c>
      <c r="R864" s="50" t="s">
        <v>38</v>
      </c>
      <c r="S864" s="50" t="s">
        <v>38</v>
      </c>
      <c r="T864" s="10"/>
      <c r="U864" s="17"/>
      <c r="V864" s="10"/>
      <c r="W864" s="10"/>
      <c r="X864" s="10"/>
      <c r="Y864" s="2"/>
    </row>
    <row r="865" spans="2:25">
      <c r="B865" s="11"/>
      <c r="C865" s="10"/>
      <c r="D865" s="10"/>
      <c r="E865" s="51" t="s">
        <v>39</v>
      </c>
      <c r="F865" s="52">
        <f>F863*F864</f>
        <v>1179.4615000000001</v>
      </c>
      <c r="G865" s="53" t="s">
        <v>40</v>
      </c>
      <c r="H865" s="54">
        <f>F865/1.12</f>
        <v>1053.090625</v>
      </c>
      <c r="I865" s="55"/>
      <c r="J865" s="42"/>
      <c r="K865" s="56">
        <f>I883+I884+I885+I925+I926+I947+I948</f>
        <v>23589.23</v>
      </c>
      <c r="L865" s="57"/>
      <c r="M865" s="57"/>
      <c r="N865" s="57"/>
      <c r="O865" s="57"/>
      <c r="P865" s="57">
        <f>SUM(K865:O865)</f>
        <v>23589.23</v>
      </c>
      <c r="Q865" s="58">
        <v>0</v>
      </c>
      <c r="R865" s="59">
        <f>I933+I955</f>
        <v>20485.989999999998</v>
      </c>
      <c r="S865" s="59">
        <f>I944+I966</f>
        <v>0</v>
      </c>
      <c r="T865" s="10"/>
      <c r="U865" s="17"/>
      <c r="V865" s="10"/>
      <c r="W865" s="10"/>
      <c r="X865" s="10"/>
      <c r="Y865" s="2"/>
    </row>
    <row r="866" spans="2:25">
      <c r="B866" s="11"/>
      <c r="C866" s="10"/>
      <c r="D866" s="10"/>
      <c r="E866" s="24" t="s">
        <v>41</v>
      </c>
      <c r="F866" s="60">
        <f>Q865</f>
        <v>0</v>
      </c>
      <c r="G866" s="61" t="s">
        <v>40</v>
      </c>
      <c r="H866" s="62"/>
      <c r="I866" s="62"/>
      <c r="J866" s="10" t="s">
        <v>42</v>
      </c>
      <c r="K866" s="63">
        <v>7</v>
      </c>
      <c r="L866" s="63"/>
      <c r="M866" s="63"/>
      <c r="N866" s="63"/>
      <c r="O866" s="63"/>
      <c r="P866" s="21">
        <f>SUM(K866:O866)</f>
        <v>7</v>
      </c>
      <c r="Q866" s="64"/>
      <c r="R866" s="63"/>
      <c r="S866" s="10"/>
      <c r="T866" s="10"/>
      <c r="U866" s="17"/>
      <c r="V866" s="10"/>
      <c r="W866" s="10"/>
      <c r="X866" s="10"/>
      <c r="Y866" s="2"/>
    </row>
    <row r="867" spans="2:25">
      <c r="B867" s="11"/>
      <c r="C867" s="10"/>
      <c r="D867" s="10"/>
      <c r="E867" s="51" t="s">
        <v>43</v>
      </c>
      <c r="F867" s="52">
        <f>F866*0.25</f>
        <v>0</v>
      </c>
      <c r="G867" s="53" t="s">
        <v>40</v>
      </c>
      <c r="H867" s="54">
        <f>F867/1.12</f>
        <v>0</v>
      </c>
      <c r="I867" s="10"/>
      <c r="J867" s="10" t="s">
        <v>44</v>
      </c>
      <c r="K867" s="63">
        <v>2</v>
      </c>
      <c r="L867" s="63"/>
      <c r="M867" s="63"/>
      <c r="N867" s="63"/>
      <c r="O867" s="63"/>
      <c r="P867" s="21">
        <f>SUM(K867:O867)</f>
        <v>2</v>
      </c>
      <c r="Q867" s="64"/>
      <c r="R867" s="63"/>
      <c r="S867" s="10"/>
      <c r="T867" s="10"/>
      <c r="U867" s="17"/>
      <c r="V867" s="10"/>
      <c r="W867" s="10"/>
      <c r="X867" s="10"/>
      <c r="Y867" s="2"/>
    </row>
    <row r="868" spans="2:25">
      <c r="B868" s="11"/>
      <c r="C868" s="10"/>
      <c r="D868" s="10"/>
      <c r="E868" s="24" t="s">
        <v>45</v>
      </c>
      <c r="F868" s="60"/>
      <c r="G868" s="61" t="s">
        <v>40</v>
      </c>
      <c r="H868" s="62"/>
      <c r="I868" s="10"/>
      <c r="J868" s="10" t="s">
        <v>46</v>
      </c>
      <c r="K868" s="31">
        <f t="shared" ref="K868:Q868" si="155">K866/(K866+K867)</f>
        <v>0.77777777777777779</v>
      </c>
      <c r="L868" s="31" t="e">
        <f t="shared" si="155"/>
        <v>#DIV/0!</v>
      </c>
      <c r="M868" s="31" t="e">
        <f t="shared" si="155"/>
        <v>#DIV/0!</v>
      </c>
      <c r="N868" s="31" t="e">
        <f t="shared" si="155"/>
        <v>#DIV/0!</v>
      </c>
      <c r="O868" s="31" t="e">
        <f t="shared" si="155"/>
        <v>#DIV/0!</v>
      </c>
      <c r="P868" s="31">
        <f t="shared" si="155"/>
        <v>0.77777777777777779</v>
      </c>
      <c r="Q868" s="31" t="e">
        <f t="shared" si="155"/>
        <v>#DIV/0!</v>
      </c>
      <c r="R868" s="63"/>
      <c r="S868" s="10"/>
      <c r="T868" s="10"/>
      <c r="U868" s="17"/>
      <c r="V868" s="10"/>
      <c r="W868" s="10"/>
      <c r="X868" s="10"/>
      <c r="Y868" s="2"/>
    </row>
    <row r="869" spans="2:25">
      <c r="B869" s="11"/>
      <c r="C869" s="10"/>
      <c r="D869" s="10"/>
      <c r="E869" s="51" t="s">
        <v>47</v>
      </c>
      <c r="F869" s="52">
        <f>F868*0.05</f>
        <v>0</v>
      </c>
      <c r="G869" s="65" t="s">
        <v>40</v>
      </c>
      <c r="H869" s="54">
        <f>F869/1.12</f>
        <v>0</v>
      </c>
      <c r="I869" s="42"/>
      <c r="J869" s="10" t="s">
        <v>48</v>
      </c>
      <c r="K869" s="66">
        <f>K865/K866</f>
        <v>3369.89</v>
      </c>
      <c r="L869" s="66" t="e">
        <f t="shared" ref="L869:Q869" si="156">L865/L866</f>
        <v>#DIV/0!</v>
      </c>
      <c r="M869" s="66" t="e">
        <f t="shared" si="156"/>
        <v>#DIV/0!</v>
      </c>
      <c r="N869" s="66" t="e">
        <f t="shared" si="156"/>
        <v>#DIV/0!</v>
      </c>
      <c r="O869" s="66" t="e">
        <f t="shared" si="156"/>
        <v>#DIV/0!</v>
      </c>
      <c r="P869" s="66">
        <f t="shared" si="156"/>
        <v>3369.89</v>
      </c>
      <c r="Q869" s="66" t="e">
        <f t="shared" si="156"/>
        <v>#DIV/0!</v>
      </c>
      <c r="R869" s="63"/>
      <c r="S869" s="10"/>
      <c r="T869" s="10"/>
      <c r="U869" s="17"/>
      <c r="V869" s="10"/>
      <c r="W869" s="10"/>
      <c r="X869" s="10"/>
      <c r="Y869" s="2"/>
    </row>
    <row r="870" spans="2:25">
      <c r="B870" s="11"/>
      <c r="C870" s="10"/>
      <c r="D870" s="10"/>
      <c r="E870" s="67" t="s">
        <v>14</v>
      </c>
      <c r="F870" s="68"/>
      <c r="G870" s="10"/>
      <c r="H870" s="54">
        <f>F870/1.12</f>
        <v>0</v>
      </c>
      <c r="I870" s="10"/>
      <c r="J870" s="10"/>
      <c r="K870" s="10"/>
      <c r="L870" s="10"/>
      <c r="M870" s="10"/>
      <c r="N870" s="10"/>
      <c r="O870" s="10"/>
      <c r="P870" s="10"/>
      <c r="Q870" s="10"/>
      <c r="R870" s="10"/>
      <c r="S870" s="10"/>
      <c r="T870" s="10"/>
      <c r="U870" s="17"/>
      <c r="V870" s="10"/>
      <c r="W870" s="10"/>
      <c r="X870" s="10"/>
      <c r="Y870" s="2"/>
    </row>
    <row r="871" spans="2:25">
      <c r="B871" s="11"/>
      <c r="C871" s="10"/>
      <c r="D871" s="10"/>
      <c r="E871" s="67" t="s">
        <v>49</v>
      </c>
      <c r="F871" s="69">
        <f>T860</f>
        <v>0</v>
      </c>
      <c r="G871" s="10"/>
      <c r="H871" s="54"/>
      <c r="I871" s="55"/>
      <c r="J871" s="42"/>
      <c r="K871" s="764" t="s">
        <v>50</v>
      </c>
      <c r="L871" s="765"/>
      <c r="M871" s="765"/>
      <c r="N871" s="765"/>
      <c r="O871" s="765"/>
      <c r="P871" s="765"/>
      <c r="Q871" s="766"/>
      <c r="R871" s="70" t="s">
        <v>28</v>
      </c>
      <c r="S871" s="71" t="s">
        <v>29</v>
      </c>
      <c r="T871" s="10"/>
      <c r="U871" s="17"/>
      <c r="V871" s="10"/>
      <c r="W871" s="10"/>
      <c r="X871" s="10"/>
      <c r="Y871" s="2"/>
    </row>
    <row r="872" spans="2:25">
      <c r="B872" s="11"/>
      <c r="C872" s="10"/>
      <c r="D872" s="10"/>
      <c r="E872" s="72"/>
      <c r="F872" s="73"/>
      <c r="G872" s="10"/>
      <c r="H872" s="10"/>
      <c r="I872" s="10"/>
      <c r="J872" s="42"/>
      <c r="K872" s="20" t="s">
        <v>31</v>
      </c>
      <c r="L872" s="21" t="s">
        <v>32</v>
      </c>
      <c r="M872" s="21" t="s">
        <v>33</v>
      </c>
      <c r="N872" s="21" t="s">
        <v>34</v>
      </c>
      <c r="O872" s="21" t="s">
        <v>35</v>
      </c>
      <c r="P872" s="21" t="s">
        <v>36</v>
      </c>
      <c r="Q872" s="49" t="s">
        <v>37</v>
      </c>
      <c r="R872" s="50" t="s">
        <v>38</v>
      </c>
      <c r="S872" s="50" t="s">
        <v>38</v>
      </c>
      <c r="T872" s="10"/>
      <c r="U872" s="17"/>
      <c r="V872" s="10"/>
      <c r="W872" s="10"/>
      <c r="X872" s="10"/>
      <c r="Y872" s="2"/>
    </row>
    <row r="873" spans="2:25">
      <c r="B873" s="11"/>
      <c r="C873" s="10"/>
      <c r="D873" s="10"/>
      <c r="E873" s="72"/>
      <c r="F873" s="73"/>
      <c r="G873" s="10"/>
      <c r="H873" s="10"/>
      <c r="I873" s="10"/>
      <c r="J873" s="42"/>
      <c r="K873" s="56">
        <f>F883+F884+F885+F925+F926+F947+F948</f>
        <v>24851.64</v>
      </c>
      <c r="L873" s="57"/>
      <c r="M873" s="57"/>
      <c r="N873" s="57"/>
      <c r="O873" s="57"/>
      <c r="P873" s="57">
        <f>SUM(K873:O873)</f>
        <v>24851.64</v>
      </c>
      <c r="Q873" s="58">
        <v>0</v>
      </c>
      <c r="R873" s="59">
        <f>F933+F955</f>
        <v>21669</v>
      </c>
      <c r="S873" s="59">
        <f>F944+F966</f>
        <v>0</v>
      </c>
      <c r="T873" s="10"/>
      <c r="U873" s="17"/>
      <c r="V873" s="10"/>
      <c r="W873" s="10"/>
      <c r="X873" s="10"/>
      <c r="Y873" s="2"/>
    </row>
    <row r="874" spans="2:25">
      <c r="B874" s="11"/>
      <c r="C874" s="10"/>
      <c r="D874" s="10"/>
      <c r="E874" s="72"/>
      <c r="F874" s="73"/>
      <c r="G874" s="10"/>
      <c r="H874" s="10"/>
      <c r="I874" s="10"/>
      <c r="J874" s="10" t="s">
        <v>42</v>
      </c>
      <c r="K874" s="63">
        <f>K866</f>
        <v>7</v>
      </c>
      <c r="L874" s="63">
        <f t="shared" ref="L874:Q875" si="157">L866</f>
        <v>0</v>
      </c>
      <c r="M874" s="63">
        <f t="shared" si="157"/>
        <v>0</v>
      </c>
      <c r="N874" s="63">
        <f t="shared" si="157"/>
        <v>0</v>
      </c>
      <c r="O874" s="63">
        <f t="shared" si="157"/>
        <v>0</v>
      </c>
      <c r="P874" s="63">
        <f t="shared" si="157"/>
        <v>7</v>
      </c>
      <c r="Q874" s="63">
        <f t="shared" si="157"/>
        <v>0</v>
      </c>
      <c r="R874" s="63"/>
      <c r="S874" s="10"/>
      <c r="T874" s="10"/>
      <c r="U874" s="17"/>
      <c r="V874" s="10"/>
      <c r="W874" s="10"/>
      <c r="X874" s="10"/>
      <c r="Y874" s="2"/>
    </row>
    <row r="875" spans="2:25">
      <c r="B875" s="11"/>
      <c r="C875" s="10"/>
      <c r="D875" s="10"/>
      <c r="E875" s="74"/>
      <c r="F875" s="75"/>
      <c r="G875" s="10"/>
      <c r="H875" s="10"/>
      <c r="I875" s="10"/>
      <c r="J875" s="10" t="s">
        <v>44</v>
      </c>
      <c r="K875" s="63">
        <f>K867</f>
        <v>2</v>
      </c>
      <c r="L875" s="63">
        <f t="shared" si="157"/>
        <v>0</v>
      </c>
      <c r="M875" s="63">
        <f t="shared" si="157"/>
        <v>0</v>
      </c>
      <c r="N875" s="63">
        <f t="shared" si="157"/>
        <v>0</v>
      </c>
      <c r="O875" s="63">
        <f t="shared" si="157"/>
        <v>0</v>
      </c>
      <c r="P875" s="63">
        <f t="shared" si="157"/>
        <v>2</v>
      </c>
      <c r="Q875" s="63">
        <f t="shared" si="157"/>
        <v>0</v>
      </c>
      <c r="R875" s="63"/>
      <c r="S875" s="10"/>
      <c r="T875" s="10"/>
      <c r="U875" s="17"/>
      <c r="V875" s="10"/>
      <c r="W875" s="10"/>
      <c r="X875" s="10"/>
      <c r="Y875" s="2"/>
    </row>
    <row r="876" spans="2:25">
      <c r="B876" s="11"/>
      <c r="C876" s="10"/>
      <c r="D876" s="10"/>
      <c r="E876" s="12"/>
      <c r="F876" s="76"/>
      <c r="G876" s="10"/>
      <c r="H876" s="10"/>
      <c r="I876" s="10"/>
      <c r="J876" s="10" t="s">
        <v>46</v>
      </c>
      <c r="K876" s="31">
        <f t="shared" ref="K876:Q876" si="158">K874/(K874+K875)</f>
        <v>0.77777777777777779</v>
      </c>
      <c r="L876" s="31" t="e">
        <f t="shared" si="158"/>
        <v>#DIV/0!</v>
      </c>
      <c r="M876" s="31" t="e">
        <f t="shared" si="158"/>
        <v>#DIV/0!</v>
      </c>
      <c r="N876" s="31" t="e">
        <f t="shared" si="158"/>
        <v>#DIV/0!</v>
      </c>
      <c r="O876" s="31" t="e">
        <f t="shared" si="158"/>
        <v>#DIV/0!</v>
      </c>
      <c r="P876" s="31">
        <f t="shared" si="158"/>
        <v>0.77777777777777779</v>
      </c>
      <c r="Q876" s="31" t="e">
        <f t="shared" si="158"/>
        <v>#DIV/0!</v>
      </c>
      <c r="R876" s="63"/>
      <c r="S876" s="10"/>
      <c r="T876" s="10"/>
      <c r="U876" s="17"/>
      <c r="V876" s="10"/>
      <c r="W876" s="10"/>
      <c r="X876" s="10"/>
      <c r="Y876" s="2"/>
    </row>
    <row r="877" spans="2:25">
      <c r="B877" s="11"/>
      <c r="C877" s="10"/>
      <c r="D877" s="10"/>
      <c r="E877" s="10"/>
      <c r="F877" s="10"/>
      <c r="G877" s="10"/>
      <c r="H877" s="10"/>
      <c r="I877" s="10"/>
      <c r="J877" s="10" t="s">
        <v>48</v>
      </c>
      <c r="K877" s="66">
        <f t="shared" ref="K877:Q877" si="159">K873/K874</f>
        <v>3550.2342857142858</v>
      </c>
      <c r="L877" s="66" t="e">
        <f t="shared" si="159"/>
        <v>#DIV/0!</v>
      </c>
      <c r="M877" s="66" t="e">
        <f t="shared" si="159"/>
        <v>#DIV/0!</v>
      </c>
      <c r="N877" s="66" t="e">
        <f t="shared" si="159"/>
        <v>#DIV/0!</v>
      </c>
      <c r="O877" s="66" t="e">
        <f t="shared" si="159"/>
        <v>#DIV/0!</v>
      </c>
      <c r="P877" s="66">
        <f t="shared" si="159"/>
        <v>3550.2342857142858</v>
      </c>
      <c r="Q877" s="66" t="e">
        <f t="shared" si="159"/>
        <v>#DIV/0!</v>
      </c>
      <c r="R877" s="63"/>
      <c r="S877" s="10"/>
      <c r="T877" s="10"/>
      <c r="U877" s="17"/>
      <c r="V877" s="10"/>
      <c r="W877" s="10"/>
      <c r="X877" s="10"/>
      <c r="Y877" s="2"/>
    </row>
    <row r="878" spans="2:25">
      <c r="B878" s="11"/>
      <c r="C878" s="10"/>
      <c r="D878" s="10"/>
      <c r="E878" s="10"/>
      <c r="F878" s="10"/>
      <c r="G878" s="10"/>
      <c r="H878" s="10"/>
      <c r="I878" s="10"/>
      <c r="J878" s="10"/>
      <c r="K878" s="10"/>
      <c r="L878" s="10"/>
      <c r="M878" s="10"/>
      <c r="N878" s="10"/>
      <c r="O878" s="10"/>
      <c r="P878" s="10"/>
      <c r="Q878" s="10"/>
      <c r="R878" s="10"/>
      <c r="S878" s="10"/>
      <c r="T878" s="10"/>
      <c r="U878" s="17"/>
      <c r="V878" s="10"/>
      <c r="W878" s="10"/>
      <c r="X878" s="10"/>
      <c r="Y878" s="2"/>
    </row>
    <row r="879" spans="2:25">
      <c r="B879" s="11"/>
      <c r="C879" s="10"/>
      <c r="D879" s="10"/>
      <c r="E879" s="10"/>
      <c r="F879" s="10"/>
      <c r="G879" s="10"/>
      <c r="H879" s="10"/>
      <c r="I879" s="10"/>
      <c r="J879" s="10"/>
      <c r="K879" s="10"/>
      <c r="L879" s="10"/>
      <c r="M879" s="10"/>
      <c r="N879" s="10"/>
      <c r="O879" s="10"/>
      <c r="P879" s="10"/>
      <c r="Q879" s="10"/>
      <c r="R879" s="10"/>
      <c r="S879" s="10"/>
      <c r="T879" s="10"/>
      <c r="U879" s="17"/>
      <c r="V879" s="10"/>
      <c r="W879" s="10"/>
      <c r="X879" s="10"/>
      <c r="Y879" s="2"/>
    </row>
    <row r="880" spans="2:25">
      <c r="B880" s="18" t="s">
        <v>51</v>
      </c>
      <c r="C880" s="14"/>
      <c r="D880" s="14"/>
      <c r="E880" s="14"/>
      <c r="F880" s="13" t="s">
        <v>52</v>
      </c>
      <c r="G880" s="14"/>
      <c r="H880" s="14"/>
      <c r="I880" s="14"/>
      <c r="J880" s="14"/>
      <c r="K880" s="13" t="s">
        <v>3</v>
      </c>
      <c r="L880" s="14"/>
      <c r="M880" s="14"/>
      <c r="N880" s="13" t="s">
        <v>4</v>
      </c>
      <c r="O880" s="14"/>
      <c r="P880" s="14"/>
      <c r="Q880" s="13" t="s">
        <v>5</v>
      </c>
      <c r="R880" s="14"/>
      <c r="S880" s="14"/>
      <c r="T880" s="18"/>
      <c r="U880" s="16" t="s">
        <v>53</v>
      </c>
      <c r="V880" s="77"/>
      <c r="W880" s="77"/>
      <c r="X880" s="77"/>
      <c r="Y880" s="2"/>
    </row>
    <row r="881" spans="1:25">
      <c r="B881" s="24" t="s">
        <v>54</v>
      </c>
      <c r="C881" s="21" t="s">
        <v>55</v>
      </c>
      <c r="D881" s="21" t="s">
        <v>56</v>
      </c>
      <c r="E881" s="21" t="s">
        <v>57</v>
      </c>
      <c r="F881" s="20" t="s">
        <v>58</v>
      </c>
      <c r="G881" s="21" t="s">
        <v>59</v>
      </c>
      <c r="H881" s="21" t="s">
        <v>60</v>
      </c>
      <c r="I881" s="21" t="s">
        <v>26</v>
      </c>
      <c r="J881" s="22" t="s">
        <v>61</v>
      </c>
      <c r="K881" s="21" t="s">
        <v>8</v>
      </c>
      <c r="L881" s="21" t="s">
        <v>9</v>
      </c>
      <c r="M881" s="21" t="s">
        <v>10</v>
      </c>
      <c r="N881" s="20" t="s">
        <v>11</v>
      </c>
      <c r="O881" s="21" t="s">
        <v>12</v>
      </c>
      <c r="P881" s="22" t="s">
        <v>13</v>
      </c>
      <c r="Q881" s="21" t="s">
        <v>11</v>
      </c>
      <c r="R881" s="21" t="s">
        <v>12</v>
      </c>
      <c r="S881" s="21" t="s">
        <v>13</v>
      </c>
      <c r="T881" s="78" t="s">
        <v>14</v>
      </c>
      <c r="U881" s="30"/>
      <c r="V881" s="79" t="s">
        <v>62</v>
      </c>
      <c r="W881" s="80" t="s">
        <v>63</v>
      </c>
      <c r="X881" s="81" t="s">
        <v>64</v>
      </c>
      <c r="Y881" s="2"/>
    </row>
    <row r="882" spans="1:25">
      <c r="B882" s="4" t="s">
        <v>65</v>
      </c>
      <c r="C882" s="6"/>
      <c r="D882" s="6"/>
      <c r="E882" s="6"/>
      <c r="F882" s="6"/>
      <c r="G882" s="6"/>
      <c r="H882" s="6"/>
      <c r="I882" s="82"/>
      <c r="J882" s="6"/>
      <c r="K882" s="6"/>
      <c r="L882" s="6"/>
      <c r="M882" s="6"/>
      <c r="N882" s="6"/>
      <c r="O882" s="6"/>
      <c r="P882" s="6"/>
      <c r="Q882" s="6"/>
      <c r="R882" s="6"/>
      <c r="S882" s="6"/>
      <c r="T882" s="83"/>
      <c r="U882" s="6"/>
      <c r="V882" s="84"/>
      <c r="W882" s="85"/>
      <c r="X882" s="86"/>
      <c r="Y882" s="2"/>
    </row>
    <row r="883" spans="1:25">
      <c r="B883" s="87">
        <v>1</v>
      </c>
      <c r="C883" s="274">
        <v>45964</v>
      </c>
      <c r="D883" s="276">
        <v>75061</v>
      </c>
      <c r="E883" s="276" t="s">
        <v>886</v>
      </c>
      <c r="F883" s="277">
        <v>681</v>
      </c>
      <c r="G883" s="277"/>
      <c r="H883" s="297"/>
      <c r="I883" s="278">
        <f t="shared" ref="I883:I898" si="160">F883-G883-H883</f>
        <v>681</v>
      </c>
      <c r="J883" s="279" t="s">
        <v>156</v>
      </c>
      <c r="K883" s="279">
        <v>1</v>
      </c>
      <c r="L883" s="279">
        <v>1</v>
      </c>
      <c r="M883" s="279">
        <v>1</v>
      </c>
      <c r="N883" s="279">
        <v>1</v>
      </c>
      <c r="O883" s="279">
        <v>1</v>
      </c>
      <c r="P883" s="279">
        <v>1</v>
      </c>
      <c r="Q883" s="279">
        <v>1</v>
      </c>
      <c r="R883" s="279">
        <v>1</v>
      </c>
      <c r="S883" s="280">
        <v>0</v>
      </c>
      <c r="T883" s="63"/>
      <c r="U883" s="10"/>
      <c r="V883" s="90">
        <v>749.1</v>
      </c>
      <c r="W883" s="91"/>
      <c r="X883" s="92"/>
      <c r="Y883" s="2"/>
    </row>
    <row r="884" spans="1:25">
      <c r="A884" s="2"/>
      <c r="B884" s="87">
        <f t="shared" ref="B884:B898" si="161">B883+1</f>
        <v>2</v>
      </c>
      <c r="C884" s="295">
        <v>45964</v>
      </c>
      <c r="D884" s="10">
        <v>75095</v>
      </c>
      <c r="E884" s="10" t="s">
        <v>920</v>
      </c>
      <c r="F884" s="62">
        <v>1363.64</v>
      </c>
      <c r="G884" s="62">
        <f>39.7</f>
        <v>39.700000000000003</v>
      </c>
      <c r="H884" s="62"/>
      <c r="I884" s="89">
        <f t="shared" si="160"/>
        <v>1323.94</v>
      </c>
      <c r="J884" s="63" t="s">
        <v>156</v>
      </c>
      <c r="K884" s="63">
        <v>1</v>
      </c>
      <c r="L884" s="63">
        <v>1</v>
      </c>
      <c r="M884" s="63">
        <v>1</v>
      </c>
      <c r="N884" s="63">
        <v>1</v>
      </c>
      <c r="O884" s="63">
        <v>1</v>
      </c>
      <c r="P884" s="63">
        <v>1</v>
      </c>
      <c r="Q884" s="63">
        <v>1</v>
      </c>
      <c r="R884" s="63">
        <v>1</v>
      </c>
      <c r="S884" s="296">
        <v>0</v>
      </c>
      <c r="T884" s="63"/>
      <c r="U884" s="10"/>
      <c r="V884" s="90">
        <v>1500</v>
      </c>
      <c r="W884" s="91"/>
      <c r="X884" s="92"/>
      <c r="Y884" s="2"/>
    </row>
    <row r="885" spans="1:25">
      <c r="B885" s="87">
        <f t="shared" si="161"/>
        <v>3</v>
      </c>
      <c r="C885" s="282">
        <v>45964</v>
      </c>
      <c r="D885" s="555">
        <v>75087</v>
      </c>
      <c r="E885" s="283" t="s">
        <v>845</v>
      </c>
      <c r="F885" s="284">
        <v>1138</v>
      </c>
      <c r="G885" s="284">
        <f>39.7</f>
        <v>39.700000000000003</v>
      </c>
      <c r="H885" s="284"/>
      <c r="I885" s="285">
        <f t="shared" si="160"/>
        <v>1098.3</v>
      </c>
      <c r="J885" s="286" t="s">
        <v>156</v>
      </c>
      <c r="K885" s="286">
        <v>1</v>
      </c>
      <c r="L885" s="286">
        <v>1</v>
      </c>
      <c r="M885" s="286">
        <v>1</v>
      </c>
      <c r="N885" s="286">
        <v>1</v>
      </c>
      <c r="O885" s="286">
        <v>1</v>
      </c>
      <c r="P885" s="286">
        <v>1</v>
      </c>
      <c r="Q885" s="286">
        <v>1</v>
      </c>
      <c r="R885" s="286">
        <v>1</v>
      </c>
      <c r="S885" s="287">
        <v>0</v>
      </c>
      <c r="T885" s="63"/>
      <c r="U885" s="10"/>
      <c r="V885" s="90">
        <v>1251.8</v>
      </c>
      <c r="W885" s="91"/>
      <c r="X885" s="92"/>
      <c r="Y885" s="2"/>
    </row>
    <row r="886" spans="1:25">
      <c r="B886" s="87">
        <f t="shared" si="161"/>
        <v>4</v>
      </c>
      <c r="C886" s="36"/>
      <c r="D886" s="10"/>
      <c r="E886" s="94"/>
      <c r="F886" s="62"/>
      <c r="G886" s="62"/>
      <c r="H886" s="62"/>
      <c r="I886" s="89">
        <f t="shared" si="160"/>
        <v>0</v>
      </c>
      <c r="J886" s="63"/>
      <c r="K886" s="63"/>
      <c r="L886" s="63"/>
      <c r="M886" s="63"/>
      <c r="N886" s="63"/>
      <c r="O886" s="63"/>
      <c r="P886" s="63"/>
      <c r="Q886" s="63"/>
      <c r="R886" s="63"/>
      <c r="S886" s="63"/>
      <c r="T886" s="63"/>
      <c r="U886" s="10"/>
      <c r="V886" s="90"/>
      <c r="W886" s="91"/>
      <c r="X886" s="92"/>
      <c r="Y886" s="2"/>
    </row>
    <row r="887" spans="1:25">
      <c r="B887" s="87">
        <f t="shared" si="161"/>
        <v>5</v>
      </c>
      <c r="C887" s="36"/>
      <c r="D887" s="10"/>
      <c r="E887" s="10"/>
      <c r="F887" s="62"/>
      <c r="G887" s="62"/>
      <c r="H887" s="62"/>
      <c r="I887" s="89">
        <f t="shared" si="160"/>
        <v>0</v>
      </c>
      <c r="J887" s="63"/>
      <c r="K887" s="63"/>
      <c r="L887" s="63"/>
      <c r="M887" s="63"/>
      <c r="N887" s="63"/>
      <c r="O887" s="63"/>
      <c r="P887" s="63"/>
      <c r="Q887" s="63"/>
      <c r="R887" s="63"/>
      <c r="S887" s="63"/>
      <c r="T887" s="63"/>
      <c r="U887" s="10"/>
      <c r="V887" s="90"/>
      <c r="W887" s="91"/>
      <c r="X887" s="92"/>
      <c r="Y887" s="2"/>
    </row>
    <row r="888" spans="1:25">
      <c r="B888" s="87">
        <f t="shared" si="161"/>
        <v>6</v>
      </c>
      <c r="C888" s="36"/>
      <c r="D888" s="10"/>
      <c r="E888" s="10"/>
      <c r="F888" s="62"/>
      <c r="G888" s="62"/>
      <c r="H888" s="88"/>
      <c r="I888" s="89">
        <f t="shared" si="160"/>
        <v>0</v>
      </c>
      <c r="J888" s="63"/>
      <c r="K888" s="63"/>
      <c r="L888" s="63"/>
      <c r="M888" s="63"/>
      <c r="N888" s="63"/>
      <c r="O888" s="63"/>
      <c r="P888" s="63"/>
      <c r="Q888" s="63"/>
      <c r="R888" s="63"/>
      <c r="S888" s="63"/>
      <c r="T888" s="63"/>
      <c r="U888" s="10"/>
      <c r="V888" s="90"/>
      <c r="W888" s="91"/>
      <c r="X888" s="92"/>
      <c r="Y888" s="2"/>
    </row>
    <row r="889" spans="1:25">
      <c r="B889" s="87">
        <f t="shared" si="161"/>
        <v>7</v>
      </c>
      <c r="C889" s="36"/>
      <c r="D889" s="10"/>
      <c r="E889" s="10"/>
      <c r="F889" s="62"/>
      <c r="G889" s="62"/>
      <c r="H889" s="88"/>
      <c r="I889" s="89">
        <f t="shared" si="160"/>
        <v>0</v>
      </c>
      <c r="J889" s="63"/>
      <c r="K889" s="63"/>
      <c r="L889" s="63"/>
      <c r="M889" s="63"/>
      <c r="N889" s="63"/>
      <c r="O889" s="63"/>
      <c r="P889" s="63"/>
      <c r="Q889" s="63"/>
      <c r="R889" s="63"/>
      <c r="S889" s="63"/>
      <c r="T889" s="63"/>
      <c r="U889" s="10"/>
      <c r="V889" s="90"/>
      <c r="W889" s="91"/>
      <c r="X889" s="92"/>
      <c r="Y889" s="2"/>
    </row>
    <row r="890" spans="1:25">
      <c r="B890" s="87">
        <f t="shared" si="161"/>
        <v>8</v>
      </c>
      <c r="C890" s="36"/>
      <c r="D890" s="10"/>
      <c r="E890" s="10"/>
      <c r="F890" s="62"/>
      <c r="G890" s="62"/>
      <c r="H890" s="88"/>
      <c r="I890" s="89">
        <f t="shared" si="160"/>
        <v>0</v>
      </c>
      <c r="J890" s="63"/>
      <c r="K890" s="63"/>
      <c r="L890" s="63"/>
      <c r="M890" s="63"/>
      <c r="N890" s="63"/>
      <c r="O890" s="63"/>
      <c r="P890" s="63"/>
      <c r="Q890" s="63"/>
      <c r="R890" s="63"/>
      <c r="S890" s="63"/>
      <c r="T890" s="63"/>
      <c r="U890" s="10"/>
      <c r="V890" s="90"/>
      <c r="W890" s="91"/>
      <c r="X890" s="92"/>
      <c r="Y890" s="2"/>
    </row>
    <row r="891" spans="1:25">
      <c r="B891" s="87">
        <f t="shared" si="161"/>
        <v>9</v>
      </c>
      <c r="C891" s="36"/>
      <c r="D891" s="10"/>
      <c r="E891" s="10"/>
      <c r="F891" s="62"/>
      <c r="G891" s="62"/>
      <c r="H891" s="88"/>
      <c r="I891" s="89">
        <f t="shared" si="160"/>
        <v>0</v>
      </c>
      <c r="J891" s="63"/>
      <c r="K891" s="63"/>
      <c r="L891" s="63"/>
      <c r="M891" s="63"/>
      <c r="N891" s="63"/>
      <c r="O891" s="63"/>
      <c r="P891" s="63"/>
      <c r="Q891" s="63"/>
      <c r="R891" s="63"/>
      <c r="S891" s="63"/>
      <c r="T891" s="63"/>
      <c r="U891" s="10"/>
      <c r="V891" s="90"/>
      <c r="W891" s="91"/>
      <c r="X891" s="92"/>
      <c r="Y891" s="2"/>
    </row>
    <row r="892" spans="1:25">
      <c r="B892" s="87">
        <f t="shared" si="161"/>
        <v>10</v>
      </c>
      <c r="C892" s="36"/>
      <c r="D892" s="10"/>
      <c r="E892" s="10"/>
      <c r="F892" s="62"/>
      <c r="G892" s="62"/>
      <c r="H892" s="88"/>
      <c r="I892" s="89">
        <f t="shared" si="160"/>
        <v>0</v>
      </c>
      <c r="J892" s="63"/>
      <c r="K892" s="63"/>
      <c r="L892" s="63"/>
      <c r="M892" s="63"/>
      <c r="N892" s="63"/>
      <c r="O892" s="63"/>
      <c r="P892" s="63"/>
      <c r="Q892" s="63"/>
      <c r="R892" s="63"/>
      <c r="S892" s="63"/>
      <c r="T892" s="63"/>
      <c r="U892" s="10"/>
      <c r="V892" s="90"/>
      <c r="W892" s="91"/>
      <c r="X892" s="92"/>
      <c r="Y892" s="2"/>
    </row>
    <row r="893" spans="1:25">
      <c r="B893" s="87">
        <f t="shared" si="161"/>
        <v>11</v>
      </c>
      <c r="C893" s="36"/>
      <c r="D893" s="10"/>
      <c r="E893" s="10"/>
      <c r="F893" s="95"/>
      <c r="G893" s="62"/>
      <c r="H893" s="62"/>
      <c r="I893" s="89">
        <f t="shared" si="160"/>
        <v>0</v>
      </c>
      <c r="J893" s="63"/>
      <c r="K893" s="63"/>
      <c r="L893" s="63"/>
      <c r="M893" s="63"/>
      <c r="N893" s="63"/>
      <c r="O893" s="63"/>
      <c r="P893" s="63"/>
      <c r="Q893" s="63"/>
      <c r="R893" s="63"/>
      <c r="S893" s="63"/>
      <c r="T893" s="63"/>
      <c r="U893" s="10"/>
      <c r="V893" s="90"/>
      <c r="W893" s="91"/>
      <c r="X893" s="92"/>
      <c r="Y893" s="2"/>
    </row>
    <row r="894" spans="1:25">
      <c r="B894" s="87">
        <f t="shared" si="161"/>
        <v>12</v>
      </c>
      <c r="C894" s="36"/>
      <c r="D894" s="10"/>
      <c r="E894" s="10"/>
      <c r="F894" s="95"/>
      <c r="G894" s="62"/>
      <c r="H894" s="62"/>
      <c r="I894" s="89">
        <f t="shared" si="160"/>
        <v>0</v>
      </c>
      <c r="J894" s="63"/>
      <c r="K894" s="63"/>
      <c r="L894" s="63"/>
      <c r="M894" s="63"/>
      <c r="N894" s="63"/>
      <c r="O894" s="63"/>
      <c r="P894" s="63"/>
      <c r="Q894" s="63"/>
      <c r="R894" s="63"/>
      <c r="S894" s="63"/>
      <c r="T894" s="63"/>
      <c r="U894" s="10"/>
      <c r="V894" s="90"/>
      <c r="W894" s="91"/>
      <c r="X894" s="92"/>
      <c r="Y894" s="2"/>
    </row>
    <row r="895" spans="1:25">
      <c r="B895" s="87">
        <f t="shared" si="161"/>
        <v>13</v>
      </c>
      <c r="C895" s="36"/>
      <c r="D895" s="10"/>
      <c r="E895" s="10"/>
      <c r="F895" s="95"/>
      <c r="G895" s="62"/>
      <c r="H895" s="62"/>
      <c r="I895" s="89">
        <f t="shared" si="160"/>
        <v>0</v>
      </c>
      <c r="J895" s="63"/>
      <c r="K895" s="63"/>
      <c r="L895" s="63"/>
      <c r="M895" s="63"/>
      <c r="N895" s="63"/>
      <c r="O895" s="63"/>
      <c r="P895" s="63"/>
      <c r="Q895" s="63"/>
      <c r="R895" s="63"/>
      <c r="S895" s="63"/>
      <c r="T895" s="63"/>
      <c r="U895" s="10"/>
      <c r="V895" s="90"/>
      <c r="W895" s="91"/>
      <c r="X895" s="92"/>
      <c r="Y895" s="2"/>
    </row>
    <row r="896" spans="1:25">
      <c r="B896" s="87">
        <f t="shared" si="161"/>
        <v>14</v>
      </c>
      <c r="C896" s="36"/>
      <c r="D896" s="10"/>
      <c r="E896" s="10"/>
      <c r="F896" s="95"/>
      <c r="G896" s="62"/>
      <c r="H896" s="62"/>
      <c r="I896" s="89">
        <f t="shared" si="160"/>
        <v>0</v>
      </c>
      <c r="J896" s="63"/>
      <c r="K896" s="63"/>
      <c r="L896" s="63"/>
      <c r="M896" s="63"/>
      <c r="N896" s="63"/>
      <c r="O896" s="63"/>
      <c r="P896" s="63"/>
      <c r="Q896" s="63"/>
      <c r="R896" s="63"/>
      <c r="S896" s="63"/>
      <c r="T896" s="63"/>
      <c r="U896" s="10"/>
      <c r="V896" s="90"/>
      <c r="W896" s="91"/>
      <c r="X896" s="92"/>
      <c r="Y896" s="2"/>
    </row>
    <row r="897" spans="2:25">
      <c r="B897" s="87">
        <f t="shared" si="161"/>
        <v>15</v>
      </c>
      <c r="C897" s="36"/>
      <c r="D897" s="10"/>
      <c r="E897" s="10"/>
      <c r="F897" s="95"/>
      <c r="G897" s="62"/>
      <c r="H897" s="62"/>
      <c r="I897" s="89">
        <f t="shared" si="160"/>
        <v>0</v>
      </c>
      <c r="J897" s="63"/>
      <c r="K897" s="63"/>
      <c r="L897" s="63"/>
      <c r="M897" s="63"/>
      <c r="N897" s="63"/>
      <c r="O897" s="63"/>
      <c r="P897" s="63"/>
      <c r="Q897" s="63"/>
      <c r="R897" s="63"/>
      <c r="S897" s="63"/>
      <c r="T897" s="63"/>
      <c r="U897" s="10"/>
      <c r="V897" s="90"/>
      <c r="W897" s="96"/>
      <c r="X897" s="92"/>
      <c r="Y897" s="2"/>
    </row>
    <row r="898" spans="2:25">
      <c r="B898" s="87">
        <f t="shared" si="161"/>
        <v>16</v>
      </c>
      <c r="C898" s="36"/>
      <c r="D898" s="10"/>
      <c r="E898" s="10"/>
      <c r="F898" s="95"/>
      <c r="G898" s="62"/>
      <c r="H898" s="62"/>
      <c r="I898" s="89">
        <f t="shared" si="160"/>
        <v>0</v>
      </c>
      <c r="J898" s="63"/>
      <c r="K898" s="63"/>
      <c r="L898" s="63"/>
      <c r="M898" s="63"/>
      <c r="N898" s="63"/>
      <c r="O898" s="63"/>
      <c r="P898" s="63"/>
      <c r="Q898" s="63"/>
      <c r="R898" s="63"/>
      <c r="S898" s="63"/>
      <c r="T898" s="63"/>
      <c r="U898" s="10"/>
      <c r="V898" s="90"/>
      <c r="W898" s="96"/>
      <c r="X898" s="92"/>
      <c r="Y898" s="2"/>
    </row>
    <row r="899" spans="2:25">
      <c r="B899" s="87"/>
      <c r="C899" s="36"/>
      <c r="D899" s="10"/>
      <c r="E899" s="10"/>
      <c r="F899" s="97">
        <f>SUM(F883:F898)</f>
        <v>3182.6400000000003</v>
      </c>
      <c r="G899" s="97">
        <f>SUM(G883:G898)</f>
        <v>79.400000000000006</v>
      </c>
      <c r="H899" s="97">
        <f>SUM(H883:H898)</f>
        <v>0</v>
      </c>
      <c r="I899" s="98">
        <f>SUM(I883:I898)</f>
        <v>3103.24</v>
      </c>
      <c r="J899" s="63"/>
      <c r="K899" s="63">
        <f t="shared" ref="K899:S899" si="162">COUNT(K883:K898)</f>
        <v>3</v>
      </c>
      <c r="L899" s="63">
        <f t="shared" si="162"/>
        <v>3</v>
      </c>
      <c r="M899" s="63">
        <f t="shared" si="162"/>
        <v>3</v>
      </c>
      <c r="N899" s="63">
        <f t="shared" si="162"/>
        <v>3</v>
      </c>
      <c r="O899" s="63">
        <f t="shared" si="162"/>
        <v>3</v>
      </c>
      <c r="P899" s="63">
        <f t="shared" si="162"/>
        <v>3</v>
      </c>
      <c r="Q899" s="63">
        <f t="shared" si="162"/>
        <v>3</v>
      </c>
      <c r="R899" s="63">
        <f t="shared" si="162"/>
        <v>3</v>
      </c>
      <c r="S899" s="63">
        <f t="shared" si="162"/>
        <v>3</v>
      </c>
      <c r="T899" s="63"/>
      <c r="U899" s="10"/>
      <c r="V899" s="90"/>
      <c r="W899" s="91"/>
      <c r="X899" s="92"/>
      <c r="Y899" s="2"/>
    </row>
    <row r="900" spans="2:25">
      <c r="B900" s="87"/>
      <c r="C900" s="36"/>
      <c r="D900" s="10"/>
      <c r="E900" s="10"/>
      <c r="F900" s="88"/>
      <c r="G900" s="88"/>
      <c r="H900" s="88"/>
      <c r="I900" s="99"/>
      <c r="J900" s="63"/>
      <c r="K900" s="21">
        <f t="shared" ref="K900:S900" si="163">SUM(K883:K898)</f>
        <v>3</v>
      </c>
      <c r="L900" s="21">
        <f t="shared" si="163"/>
        <v>3</v>
      </c>
      <c r="M900" s="21">
        <f t="shared" si="163"/>
        <v>3</v>
      </c>
      <c r="N900" s="21">
        <f t="shared" si="163"/>
        <v>3</v>
      </c>
      <c r="O900" s="21">
        <f t="shared" si="163"/>
        <v>3</v>
      </c>
      <c r="P900" s="21">
        <f t="shared" si="163"/>
        <v>3</v>
      </c>
      <c r="Q900" s="21">
        <f t="shared" si="163"/>
        <v>3</v>
      </c>
      <c r="R900" s="21">
        <f t="shared" si="163"/>
        <v>3</v>
      </c>
      <c r="S900" s="21">
        <f t="shared" si="163"/>
        <v>0</v>
      </c>
      <c r="T900" s="63"/>
      <c r="U900" s="10"/>
      <c r="V900" s="90"/>
      <c r="W900" s="91"/>
      <c r="X900" s="92"/>
      <c r="Y900" s="2"/>
    </row>
    <row r="901" spans="2:25">
      <c r="B901" s="11"/>
      <c r="C901" s="36"/>
      <c r="D901" s="10"/>
      <c r="E901" s="10"/>
      <c r="F901" s="88"/>
      <c r="G901" s="88"/>
      <c r="H901" s="88"/>
      <c r="I901" s="99"/>
      <c r="J901" s="63"/>
      <c r="K901" s="21"/>
      <c r="L901" s="21"/>
      <c r="M901" s="21"/>
      <c r="N901" s="21"/>
      <c r="O901" s="21"/>
      <c r="P901" s="21"/>
      <c r="Q901" s="21"/>
      <c r="R901" s="21"/>
      <c r="S901" s="21"/>
      <c r="T901" s="63"/>
      <c r="U901" s="10"/>
      <c r="V901" s="90"/>
      <c r="W901" s="91"/>
      <c r="X901" s="92"/>
      <c r="Y901" s="2"/>
    </row>
    <row r="902" spans="2:25">
      <c r="B902" s="100" t="s">
        <v>66</v>
      </c>
      <c r="C902" s="36"/>
      <c r="D902" s="10"/>
      <c r="E902" s="10"/>
      <c r="F902" s="88"/>
      <c r="G902" s="62"/>
      <c r="H902" s="88"/>
      <c r="I902" s="99"/>
      <c r="J902" s="63"/>
      <c r="K902" s="2"/>
      <c r="L902" s="2"/>
      <c r="M902" s="2"/>
      <c r="N902" s="2"/>
      <c r="O902" s="2"/>
      <c r="P902" s="2"/>
      <c r="Q902" s="2"/>
      <c r="R902" s="2"/>
      <c r="S902" s="2"/>
      <c r="T902" s="63"/>
      <c r="U902" s="94"/>
      <c r="V902" s="90"/>
      <c r="W902" s="91"/>
      <c r="X902" s="92"/>
      <c r="Y902" s="2"/>
    </row>
    <row r="903" spans="2:25">
      <c r="B903" s="87">
        <v>1</v>
      </c>
      <c r="C903" s="36"/>
      <c r="D903" s="10"/>
      <c r="E903" s="101"/>
      <c r="F903" s="62"/>
      <c r="G903" s="62"/>
      <c r="H903" s="62"/>
      <c r="I903" s="89">
        <f t="shared" ref="I903:I910" si="164">F903-G903-H903</f>
        <v>0</v>
      </c>
      <c r="J903" s="63"/>
      <c r="K903" s="63"/>
      <c r="L903" s="63"/>
      <c r="M903" s="63"/>
      <c r="N903" s="63"/>
      <c r="O903" s="63"/>
      <c r="P903" s="63"/>
      <c r="Q903" s="63"/>
      <c r="R903" s="63"/>
      <c r="S903" s="63"/>
      <c r="T903" s="63"/>
      <c r="U903" s="94"/>
      <c r="V903" s="90"/>
      <c r="W903" s="91"/>
      <c r="X903" s="92"/>
      <c r="Y903" s="2"/>
    </row>
    <row r="904" spans="2:25">
      <c r="B904" s="87">
        <f t="shared" ref="B904:B910" si="165">B903+1</f>
        <v>2</v>
      </c>
      <c r="C904" s="36"/>
      <c r="D904" s="10"/>
      <c r="E904" s="101"/>
      <c r="F904" s="62"/>
      <c r="G904" s="62"/>
      <c r="H904" s="62"/>
      <c r="I904" s="89">
        <f t="shared" si="164"/>
        <v>0</v>
      </c>
      <c r="J904" s="63"/>
      <c r="K904" s="63"/>
      <c r="L904" s="63"/>
      <c r="M904" s="63"/>
      <c r="N904" s="63"/>
      <c r="O904" s="63"/>
      <c r="P904" s="63"/>
      <c r="Q904" s="63"/>
      <c r="R904" s="63"/>
      <c r="S904" s="63"/>
      <c r="T904" s="63"/>
      <c r="U904" s="94"/>
      <c r="V904" s="90"/>
      <c r="W904" s="91"/>
      <c r="X904" s="92"/>
      <c r="Y904" s="2"/>
    </row>
    <row r="905" spans="2:25">
      <c r="B905" s="87">
        <f t="shared" si="165"/>
        <v>3</v>
      </c>
      <c r="C905" s="36"/>
      <c r="D905" s="10"/>
      <c r="E905" s="101"/>
      <c r="F905" s="62"/>
      <c r="G905" s="62"/>
      <c r="H905" s="62"/>
      <c r="I905" s="89">
        <f t="shared" si="164"/>
        <v>0</v>
      </c>
      <c r="J905" s="63"/>
      <c r="K905" s="63"/>
      <c r="L905" s="63"/>
      <c r="M905" s="63"/>
      <c r="N905" s="63"/>
      <c r="O905" s="63"/>
      <c r="P905" s="63"/>
      <c r="Q905" s="63"/>
      <c r="R905" s="63"/>
      <c r="S905" s="63"/>
      <c r="T905" s="63"/>
      <c r="U905" s="94"/>
      <c r="V905" s="90"/>
      <c r="W905" s="91"/>
      <c r="X905" s="92"/>
      <c r="Y905" s="2"/>
    </row>
    <row r="906" spans="2:25">
      <c r="B906" s="87">
        <f t="shared" si="165"/>
        <v>4</v>
      </c>
      <c r="C906" s="36"/>
      <c r="D906" s="10"/>
      <c r="E906" s="101"/>
      <c r="F906" s="62"/>
      <c r="G906" s="62"/>
      <c r="H906" s="62"/>
      <c r="I906" s="89">
        <f t="shared" si="164"/>
        <v>0</v>
      </c>
      <c r="J906" s="63"/>
      <c r="K906" s="63"/>
      <c r="L906" s="63"/>
      <c r="M906" s="63"/>
      <c r="N906" s="63"/>
      <c r="O906" s="63"/>
      <c r="P906" s="63"/>
      <c r="Q906" s="63"/>
      <c r="R906" s="63"/>
      <c r="S906" s="63"/>
      <c r="T906" s="63"/>
      <c r="U906" s="94"/>
      <c r="V906" s="90"/>
      <c r="W906" s="91"/>
      <c r="X906" s="92"/>
      <c r="Y906" s="2"/>
    </row>
    <row r="907" spans="2:25">
      <c r="B907" s="87">
        <f t="shared" si="165"/>
        <v>5</v>
      </c>
      <c r="C907" s="36"/>
      <c r="D907" s="10"/>
      <c r="E907" s="101"/>
      <c r="F907" s="62"/>
      <c r="G907" s="62"/>
      <c r="H907" s="62"/>
      <c r="I907" s="89">
        <f t="shared" si="164"/>
        <v>0</v>
      </c>
      <c r="J907" s="63"/>
      <c r="K907" s="63"/>
      <c r="L907" s="63"/>
      <c r="M907" s="63"/>
      <c r="N907" s="63"/>
      <c r="O907" s="63"/>
      <c r="P907" s="63"/>
      <c r="Q907" s="63"/>
      <c r="R907" s="63"/>
      <c r="S907" s="63"/>
      <c r="T907" s="63"/>
      <c r="U907" s="94"/>
      <c r="V907" s="90"/>
      <c r="W907" s="91"/>
      <c r="X907" s="92"/>
      <c r="Y907" s="2"/>
    </row>
    <row r="908" spans="2:25">
      <c r="B908" s="87">
        <f t="shared" si="165"/>
        <v>6</v>
      </c>
      <c r="C908" s="36"/>
      <c r="D908" s="10"/>
      <c r="E908" s="101"/>
      <c r="F908" s="62"/>
      <c r="G908" s="62"/>
      <c r="H908" s="62"/>
      <c r="I908" s="89">
        <f t="shared" si="164"/>
        <v>0</v>
      </c>
      <c r="J908" s="63"/>
      <c r="K908" s="63"/>
      <c r="L908" s="63"/>
      <c r="M908" s="63"/>
      <c r="N908" s="63"/>
      <c r="O908" s="63"/>
      <c r="P908" s="63"/>
      <c r="Q908" s="63"/>
      <c r="R908" s="63"/>
      <c r="S908" s="63"/>
      <c r="T908" s="63"/>
      <c r="U908" s="94"/>
      <c r="V908" s="90"/>
      <c r="W908" s="91"/>
      <c r="X908" s="92"/>
      <c r="Y908" s="2"/>
    </row>
    <row r="909" spans="2:25">
      <c r="B909" s="87">
        <f t="shared" si="165"/>
        <v>7</v>
      </c>
      <c r="C909" s="36"/>
      <c r="D909" s="10"/>
      <c r="E909" s="101"/>
      <c r="F909" s="62"/>
      <c r="G909" s="62"/>
      <c r="H909" s="62"/>
      <c r="I909" s="89">
        <f t="shared" si="164"/>
        <v>0</v>
      </c>
      <c r="J909" s="63"/>
      <c r="K909" s="63"/>
      <c r="L909" s="63"/>
      <c r="M909" s="63"/>
      <c r="N909" s="63"/>
      <c r="O909" s="63"/>
      <c r="P909" s="63"/>
      <c r="Q909" s="63"/>
      <c r="R909" s="63"/>
      <c r="S909" s="63"/>
      <c r="T909" s="63"/>
      <c r="U909" s="94"/>
      <c r="V909" s="90"/>
      <c r="W909" s="91"/>
      <c r="X909" s="92"/>
      <c r="Y909" s="2"/>
    </row>
    <row r="910" spans="2:25">
      <c r="B910" s="87">
        <f t="shared" si="165"/>
        <v>8</v>
      </c>
      <c r="C910" s="36"/>
      <c r="D910" s="10"/>
      <c r="E910" s="101"/>
      <c r="F910" s="62"/>
      <c r="G910" s="62"/>
      <c r="H910" s="62"/>
      <c r="I910" s="89">
        <f t="shared" si="164"/>
        <v>0</v>
      </c>
      <c r="J910" s="63"/>
      <c r="K910" s="63"/>
      <c r="L910" s="63"/>
      <c r="M910" s="63"/>
      <c r="N910" s="63"/>
      <c r="O910" s="63"/>
      <c r="P910" s="63"/>
      <c r="Q910" s="63"/>
      <c r="R910" s="63"/>
      <c r="S910" s="63"/>
      <c r="T910" s="63"/>
      <c r="U910" s="94"/>
      <c r="V910" s="90"/>
      <c r="W910" s="91"/>
      <c r="X910" s="92"/>
      <c r="Y910" s="2"/>
    </row>
    <row r="911" spans="2:25">
      <c r="B911" s="11"/>
      <c r="C911" s="609"/>
      <c r="D911" s="10"/>
      <c r="E911" s="10"/>
      <c r="F911" s="97">
        <f>SUM(F903:F910)</f>
        <v>0</v>
      </c>
      <c r="G911" s="97">
        <f>SUM(G903:G910)</f>
        <v>0</v>
      </c>
      <c r="H911" s="97">
        <f>SUM(H903:H910)</f>
        <v>0</v>
      </c>
      <c r="I911" s="98">
        <f>SUM(I903:I910)</f>
        <v>0</v>
      </c>
      <c r="J911" s="63"/>
      <c r="K911" s="21"/>
      <c r="L911" s="21"/>
      <c r="M911" s="21"/>
      <c r="N911" s="21"/>
      <c r="O911" s="21"/>
      <c r="P911" s="21"/>
      <c r="Q911" s="21"/>
      <c r="R911" s="21"/>
      <c r="S911" s="21"/>
      <c r="T911" s="63"/>
      <c r="U911" s="94"/>
      <c r="V911" s="90"/>
      <c r="W911" s="91"/>
      <c r="X911" s="92"/>
      <c r="Y911" s="2"/>
    </row>
    <row r="912" spans="2:25">
      <c r="B912" s="11"/>
      <c r="C912" s="609"/>
      <c r="D912" s="10"/>
      <c r="E912" s="10"/>
      <c r="F912" s="88"/>
      <c r="G912" s="88"/>
      <c r="H912" s="88"/>
      <c r="I912" s="99"/>
      <c r="J912" s="63"/>
      <c r="K912" s="21"/>
      <c r="L912" s="21"/>
      <c r="M912" s="21"/>
      <c r="N912" s="21"/>
      <c r="O912" s="21"/>
      <c r="P912" s="21"/>
      <c r="Q912" s="21"/>
      <c r="R912" s="21"/>
      <c r="S912" s="21"/>
      <c r="T912" s="63"/>
      <c r="U912" s="94"/>
      <c r="V912" s="90"/>
      <c r="W912" s="91"/>
      <c r="X912" s="92"/>
      <c r="Y912" s="2"/>
    </row>
    <row r="913" spans="2:25">
      <c r="B913" s="102" t="s">
        <v>67</v>
      </c>
      <c r="C913" s="610"/>
      <c r="D913" s="104"/>
      <c r="E913" s="104"/>
      <c r="F913" s="105"/>
      <c r="G913" s="106"/>
      <c r="H913" s="105"/>
      <c r="I913" s="107"/>
      <c r="J913" s="108"/>
      <c r="K913" s="109"/>
      <c r="L913" s="109"/>
      <c r="M913" s="109"/>
      <c r="N913" s="109"/>
      <c r="O913" s="109"/>
      <c r="P913" s="109"/>
      <c r="Q913" s="109"/>
      <c r="R913" s="109"/>
      <c r="S913" s="109"/>
      <c r="T913" s="108"/>
      <c r="U913" s="110"/>
      <c r="V913" s="111"/>
      <c r="W913" s="112"/>
      <c r="X913" s="113"/>
      <c r="Y913" s="2"/>
    </row>
    <row r="914" spans="2:25">
      <c r="B914" s="114">
        <v>1</v>
      </c>
      <c r="C914" s="610"/>
      <c r="D914" s="104"/>
      <c r="E914" s="115"/>
      <c r="F914" s="106"/>
      <c r="G914" s="106"/>
      <c r="H914" s="106"/>
      <c r="I914" s="116">
        <f t="shared" ref="I914:I921" si="166">F914-G914-H914</f>
        <v>0</v>
      </c>
      <c r="J914" s="108"/>
      <c r="K914" s="108"/>
      <c r="L914" s="108"/>
      <c r="M914" s="108"/>
      <c r="N914" s="108"/>
      <c r="O914" s="108"/>
      <c r="P914" s="108"/>
      <c r="Q914" s="108"/>
      <c r="R914" s="108"/>
      <c r="S914" s="108"/>
      <c r="T914" s="108"/>
      <c r="U914" s="110"/>
      <c r="V914" s="111"/>
      <c r="W914" s="112"/>
      <c r="X914" s="113"/>
      <c r="Y914" s="2"/>
    </row>
    <row r="915" spans="2:25">
      <c r="B915" s="114">
        <f t="shared" ref="B915:B921" si="167">B914+1</f>
        <v>2</v>
      </c>
      <c r="C915" s="610"/>
      <c r="D915" s="104"/>
      <c r="E915" s="115"/>
      <c r="F915" s="106"/>
      <c r="G915" s="106"/>
      <c r="H915" s="106"/>
      <c r="I915" s="116">
        <f t="shared" si="166"/>
        <v>0</v>
      </c>
      <c r="J915" s="108"/>
      <c r="K915" s="108"/>
      <c r="L915" s="108"/>
      <c r="M915" s="108"/>
      <c r="N915" s="108"/>
      <c r="O915" s="108"/>
      <c r="P915" s="108"/>
      <c r="Q915" s="108"/>
      <c r="R915" s="108"/>
      <c r="S915" s="108"/>
      <c r="T915" s="108"/>
      <c r="U915" s="110"/>
      <c r="V915" s="111"/>
      <c r="W915" s="112"/>
      <c r="X915" s="113"/>
      <c r="Y915" s="2"/>
    </row>
    <row r="916" spans="2:25">
      <c r="B916" s="114">
        <f t="shared" si="167"/>
        <v>3</v>
      </c>
      <c r="C916" s="610"/>
      <c r="D916" s="104"/>
      <c r="E916" s="115"/>
      <c r="F916" s="106"/>
      <c r="G916" s="106"/>
      <c r="H916" s="106"/>
      <c r="I916" s="116">
        <f t="shared" si="166"/>
        <v>0</v>
      </c>
      <c r="J916" s="108"/>
      <c r="K916" s="108"/>
      <c r="L916" s="108"/>
      <c r="M916" s="108"/>
      <c r="N916" s="108"/>
      <c r="O916" s="108"/>
      <c r="P916" s="108"/>
      <c r="Q916" s="108"/>
      <c r="R916" s="108"/>
      <c r="S916" s="108"/>
      <c r="T916" s="108"/>
      <c r="U916" s="110"/>
      <c r="V916" s="111"/>
      <c r="W916" s="112"/>
      <c r="X916" s="113"/>
      <c r="Y916" s="2"/>
    </row>
    <row r="917" spans="2:25">
      <c r="B917" s="114">
        <f t="shared" si="167"/>
        <v>4</v>
      </c>
      <c r="C917" s="610"/>
      <c r="D917" s="104"/>
      <c r="E917" s="115"/>
      <c r="F917" s="106"/>
      <c r="G917" s="106"/>
      <c r="H917" s="106"/>
      <c r="I917" s="116">
        <f t="shared" si="166"/>
        <v>0</v>
      </c>
      <c r="J917" s="108"/>
      <c r="K917" s="108"/>
      <c r="L917" s="108"/>
      <c r="M917" s="108"/>
      <c r="N917" s="108"/>
      <c r="O917" s="108"/>
      <c r="P917" s="108"/>
      <c r="Q917" s="108"/>
      <c r="R917" s="108"/>
      <c r="S917" s="108"/>
      <c r="T917" s="108"/>
      <c r="U917" s="110"/>
      <c r="V917" s="111"/>
      <c r="W917" s="112"/>
      <c r="X917" s="113"/>
      <c r="Y917" s="2"/>
    </row>
    <row r="918" spans="2:25">
      <c r="B918" s="114">
        <f t="shared" si="167"/>
        <v>5</v>
      </c>
      <c r="C918" s="610"/>
      <c r="D918" s="104"/>
      <c r="E918" s="115"/>
      <c r="F918" s="106"/>
      <c r="G918" s="106"/>
      <c r="H918" s="106"/>
      <c r="I918" s="116">
        <f t="shared" si="166"/>
        <v>0</v>
      </c>
      <c r="J918" s="108"/>
      <c r="K918" s="108"/>
      <c r="L918" s="108"/>
      <c r="M918" s="108"/>
      <c r="N918" s="108"/>
      <c r="O918" s="108"/>
      <c r="P918" s="108"/>
      <c r="Q918" s="108"/>
      <c r="R918" s="108"/>
      <c r="S918" s="108"/>
      <c r="T918" s="108"/>
      <c r="U918" s="110"/>
      <c r="V918" s="111"/>
      <c r="W918" s="112"/>
      <c r="X918" s="113"/>
      <c r="Y918" s="2"/>
    </row>
    <row r="919" spans="2:25">
      <c r="B919" s="114">
        <f t="shared" si="167"/>
        <v>6</v>
      </c>
      <c r="C919" s="610"/>
      <c r="D919" s="104"/>
      <c r="E919" s="115"/>
      <c r="F919" s="106"/>
      <c r="G919" s="106"/>
      <c r="H919" s="106"/>
      <c r="I919" s="116">
        <f t="shared" si="166"/>
        <v>0</v>
      </c>
      <c r="J919" s="108"/>
      <c r="K919" s="108"/>
      <c r="L919" s="108"/>
      <c r="M919" s="108"/>
      <c r="N919" s="108"/>
      <c r="O919" s="108"/>
      <c r="P919" s="108"/>
      <c r="Q919" s="108"/>
      <c r="R919" s="108"/>
      <c r="S919" s="108"/>
      <c r="T919" s="108"/>
      <c r="U919" s="110"/>
      <c r="V919" s="111"/>
      <c r="W919" s="112"/>
      <c r="X919" s="113"/>
      <c r="Y919" s="2"/>
    </row>
    <row r="920" spans="2:25">
      <c r="B920" s="114">
        <f t="shared" si="167"/>
        <v>7</v>
      </c>
      <c r="C920" s="610"/>
      <c r="D920" s="104"/>
      <c r="E920" s="115"/>
      <c r="F920" s="106"/>
      <c r="G920" s="106"/>
      <c r="H920" s="106"/>
      <c r="I920" s="116">
        <f t="shared" si="166"/>
        <v>0</v>
      </c>
      <c r="J920" s="108"/>
      <c r="K920" s="108"/>
      <c r="L920" s="108"/>
      <c r="M920" s="108"/>
      <c r="N920" s="108"/>
      <c r="O920" s="108"/>
      <c r="P920" s="108"/>
      <c r="Q920" s="108"/>
      <c r="R920" s="108"/>
      <c r="S920" s="108"/>
      <c r="T920" s="108"/>
      <c r="U920" s="110"/>
      <c r="V920" s="111"/>
      <c r="W920" s="112"/>
      <c r="X920" s="113"/>
      <c r="Y920" s="2"/>
    </row>
    <row r="921" spans="2:25">
      <c r="B921" s="114">
        <f t="shared" si="167"/>
        <v>8</v>
      </c>
      <c r="C921" s="610"/>
      <c r="D921" s="104"/>
      <c r="E921" s="115"/>
      <c r="F921" s="106"/>
      <c r="G921" s="106"/>
      <c r="H921" s="106"/>
      <c r="I921" s="116">
        <f t="shared" si="166"/>
        <v>0</v>
      </c>
      <c r="J921" s="108"/>
      <c r="K921" s="108"/>
      <c r="L921" s="108"/>
      <c r="M921" s="108"/>
      <c r="N921" s="108"/>
      <c r="O921" s="108"/>
      <c r="P921" s="108"/>
      <c r="Q921" s="108"/>
      <c r="R921" s="108"/>
      <c r="S921" s="108"/>
      <c r="T921" s="108"/>
      <c r="U921" s="110"/>
      <c r="V921" s="111"/>
      <c r="W921" s="112"/>
      <c r="X921" s="113"/>
      <c r="Y921" s="2"/>
    </row>
    <row r="922" spans="2:25">
      <c r="B922" s="117"/>
      <c r="C922" s="610"/>
      <c r="D922" s="104"/>
      <c r="E922" s="104"/>
      <c r="F922" s="118">
        <f>SUM(F914:F921)</f>
        <v>0</v>
      </c>
      <c r="G922" s="118">
        <f>SUM(G914:G921)</f>
        <v>0</v>
      </c>
      <c r="H922" s="118">
        <f>SUM(H914:H921)</f>
        <v>0</v>
      </c>
      <c r="I922" s="119">
        <f>SUM(I914:I921)</f>
        <v>0</v>
      </c>
      <c r="J922" s="108"/>
      <c r="K922" s="120"/>
      <c r="L922" s="120"/>
      <c r="M922" s="120"/>
      <c r="N922" s="120"/>
      <c r="O922" s="120"/>
      <c r="P922" s="120"/>
      <c r="Q922" s="120"/>
      <c r="R922" s="120"/>
      <c r="S922" s="120"/>
      <c r="T922" s="108"/>
      <c r="U922" s="110"/>
      <c r="V922" s="111"/>
      <c r="W922" s="112"/>
      <c r="X922" s="113"/>
      <c r="Y922" s="2"/>
    </row>
    <row r="923" spans="2:25">
      <c r="B923" s="11"/>
      <c r="C923" s="609"/>
      <c r="D923" s="10"/>
      <c r="E923" s="10"/>
      <c r="F923" s="88"/>
      <c r="G923" s="88"/>
      <c r="H923" s="88"/>
      <c r="I923" s="99"/>
      <c r="J923" s="63"/>
      <c r="K923" s="21"/>
      <c r="L923" s="21"/>
      <c r="M923" s="21"/>
      <c r="N923" s="21"/>
      <c r="O923" s="21"/>
      <c r="P923" s="21"/>
      <c r="Q923" s="21"/>
      <c r="R923" s="21"/>
      <c r="S923" s="21"/>
      <c r="T923" s="63"/>
      <c r="U923" s="94"/>
      <c r="V923" s="90"/>
      <c r="W923" s="91"/>
      <c r="X923" s="92"/>
      <c r="Y923" s="2"/>
    </row>
    <row r="924" spans="2:25">
      <c r="B924" s="121" t="s">
        <v>68</v>
      </c>
      <c r="C924" s="36"/>
      <c r="D924" s="123"/>
      <c r="E924" s="123"/>
      <c r="F924" s="124"/>
      <c r="G924" s="125"/>
      <c r="H924" s="124"/>
      <c r="I924" s="126"/>
      <c r="J924" s="127"/>
      <c r="K924" s="128"/>
      <c r="L924" s="128"/>
      <c r="M924" s="128"/>
      <c r="N924" s="128"/>
      <c r="O924" s="128"/>
      <c r="P924" s="128"/>
      <c r="Q924" s="128"/>
      <c r="R924" s="128"/>
      <c r="S924" s="128"/>
      <c r="T924" s="127"/>
      <c r="U924" s="123"/>
      <c r="V924" s="129"/>
      <c r="W924" s="130"/>
      <c r="X924" s="131"/>
      <c r="Y924" s="128"/>
    </row>
    <row r="925" spans="2:25">
      <c r="B925" s="87">
        <v>1</v>
      </c>
      <c r="C925" s="274">
        <v>45964</v>
      </c>
      <c r="D925" s="276" t="s">
        <v>960</v>
      </c>
      <c r="E925" s="276" t="s">
        <v>886</v>
      </c>
      <c r="F925" s="277">
        <v>5133</v>
      </c>
      <c r="G925" s="277">
        <f>39.7+(1024.21)</f>
        <v>1063.9100000000001</v>
      </c>
      <c r="H925" s="277"/>
      <c r="I925" s="278">
        <f>F925-G925-H925</f>
        <v>4069.09</v>
      </c>
      <c r="J925" s="279"/>
      <c r="K925" s="279">
        <v>1</v>
      </c>
      <c r="L925" s="279">
        <v>1</v>
      </c>
      <c r="M925" s="279"/>
      <c r="N925" s="279">
        <v>1</v>
      </c>
      <c r="O925" s="279">
        <v>1</v>
      </c>
      <c r="P925" s="279">
        <v>1</v>
      </c>
      <c r="Q925" s="279">
        <v>1</v>
      </c>
      <c r="R925" s="279">
        <v>1</v>
      </c>
      <c r="S925" s="280">
        <v>0</v>
      </c>
      <c r="T925" s="63"/>
      <c r="U925" s="10" t="s">
        <v>961</v>
      </c>
      <c r="V925" s="90"/>
      <c r="W925" s="91"/>
      <c r="X925" s="92"/>
      <c r="Y925" s="2"/>
    </row>
    <row r="926" spans="2:25">
      <c r="B926" s="87">
        <f t="shared" ref="B926:B932" si="168">B925+1</f>
        <v>2</v>
      </c>
      <c r="C926" s="282">
        <v>45964</v>
      </c>
      <c r="D926" s="283">
        <v>75066</v>
      </c>
      <c r="E926" s="319" t="s">
        <v>920</v>
      </c>
      <c r="F926" s="284">
        <v>1461</v>
      </c>
      <c r="G926" s="284">
        <f>39.7</f>
        <v>39.700000000000003</v>
      </c>
      <c r="H926" s="284"/>
      <c r="I926" s="285">
        <f t="shared" ref="I925:I932" si="169">F926-G926-H926</f>
        <v>1421.3</v>
      </c>
      <c r="J926" s="286"/>
      <c r="K926" s="286">
        <v>1</v>
      </c>
      <c r="L926" s="286">
        <v>1</v>
      </c>
      <c r="M926" s="286"/>
      <c r="N926" s="286">
        <v>1</v>
      </c>
      <c r="O926" s="286">
        <v>1</v>
      </c>
      <c r="P926" s="286">
        <v>1</v>
      </c>
      <c r="Q926" s="286">
        <v>1</v>
      </c>
      <c r="R926" s="286">
        <v>1</v>
      </c>
      <c r="S926" s="287">
        <v>0</v>
      </c>
      <c r="T926" s="63"/>
      <c r="U926" s="10"/>
      <c r="V926" s="90"/>
      <c r="W926" s="91"/>
      <c r="X926" s="92"/>
      <c r="Y926" s="2"/>
    </row>
    <row r="927" spans="2:25">
      <c r="B927" s="87">
        <f t="shared" si="168"/>
        <v>3</v>
      </c>
      <c r="C927" s="36"/>
      <c r="D927" s="10"/>
      <c r="E927" s="101"/>
      <c r="F927" s="62"/>
      <c r="G927" s="62"/>
      <c r="H927" s="62"/>
      <c r="I927" s="89">
        <f t="shared" si="169"/>
        <v>0</v>
      </c>
      <c r="J927" s="63"/>
      <c r="K927" s="63"/>
      <c r="L927" s="63"/>
      <c r="M927" s="63"/>
      <c r="N927" s="63"/>
      <c r="O927" s="63"/>
      <c r="P927" s="63"/>
      <c r="Q927" s="63"/>
      <c r="R927" s="63"/>
      <c r="S927" s="63"/>
      <c r="T927" s="63"/>
      <c r="U927" s="10"/>
      <c r="V927" s="90"/>
      <c r="W927" s="91"/>
      <c r="X927" s="92"/>
      <c r="Y927" s="2"/>
    </row>
    <row r="928" spans="2:25">
      <c r="B928" s="87">
        <f t="shared" si="168"/>
        <v>4</v>
      </c>
      <c r="C928" s="36"/>
      <c r="D928" s="10"/>
      <c r="E928" s="101"/>
      <c r="F928" s="62"/>
      <c r="G928" s="62"/>
      <c r="H928" s="62"/>
      <c r="I928" s="89">
        <f t="shared" si="169"/>
        <v>0</v>
      </c>
      <c r="J928" s="63"/>
      <c r="K928" s="63"/>
      <c r="L928" s="63"/>
      <c r="M928" s="63"/>
      <c r="N928" s="63"/>
      <c r="O928" s="63"/>
      <c r="P928" s="63"/>
      <c r="Q928" s="63"/>
      <c r="R928" s="63"/>
      <c r="S928" s="63"/>
      <c r="T928" s="63"/>
      <c r="U928" s="10"/>
      <c r="V928" s="90"/>
      <c r="W928" s="91"/>
      <c r="X928" s="92"/>
      <c r="Y928" s="2"/>
    </row>
    <row r="929" spans="2:25">
      <c r="B929" s="87">
        <f t="shared" si="168"/>
        <v>5</v>
      </c>
      <c r="C929" s="36"/>
      <c r="D929" s="10"/>
      <c r="E929" s="101"/>
      <c r="F929" s="62"/>
      <c r="G929" s="62"/>
      <c r="H929" s="62"/>
      <c r="I929" s="89">
        <f t="shared" si="169"/>
        <v>0</v>
      </c>
      <c r="J929" s="63"/>
      <c r="K929" s="63"/>
      <c r="L929" s="63"/>
      <c r="M929" s="63"/>
      <c r="N929" s="63"/>
      <c r="O929" s="63"/>
      <c r="P929" s="63"/>
      <c r="Q929" s="63"/>
      <c r="R929" s="63"/>
      <c r="S929" s="63"/>
      <c r="T929" s="63"/>
      <c r="U929" s="10"/>
      <c r="V929" s="90"/>
      <c r="W929" s="91"/>
      <c r="X929" s="92"/>
      <c r="Y929" s="2"/>
    </row>
    <row r="930" spans="2:25">
      <c r="B930" s="87">
        <f t="shared" si="168"/>
        <v>6</v>
      </c>
      <c r="C930" s="36"/>
      <c r="D930" s="10"/>
      <c r="E930" s="101"/>
      <c r="F930" s="62"/>
      <c r="G930" s="62"/>
      <c r="H930" s="62"/>
      <c r="I930" s="89">
        <f t="shared" si="169"/>
        <v>0</v>
      </c>
      <c r="J930" s="63"/>
      <c r="K930" s="63"/>
      <c r="L930" s="63"/>
      <c r="M930" s="63"/>
      <c r="N930" s="63"/>
      <c r="O930" s="63"/>
      <c r="P930" s="63"/>
      <c r="Q930" s="63"/>
      <c r="R930" s="63"/>
      <c r="S930" s="63"/>
      <c r="T930" s="63"/>
      <c r="U930" s="10"/>
      <c r="V930" s="90"/>
      <c r="W930" s="91"/>
      <c r="X930" s="92"/>
      <c r="Y930" s="2"/>
    </row>
    <row r="931" spans="2:25">
      <c r="B931" s="87">
        <f t="shared" si="168"/>
        <v>7</v>
      </c>
      <c r="C931" s="36"/>
      <c r="D931" s="10"/>
      <c r="E931" s="101"/>
      <c r="F931" s="62"/>
      <c r="G931" s="62"/>
      <c r="H931" s="62"/>
      <c r="I931" s="89">
        <f t="shared" si="169"/>
        <v>0</v>
      </c>
      <c r="J931" s="63"/>
      <c r="K931" s="63"/>
      <c r="L931" s="63"/>
      <c r="M931" s="63"/>
      <c r="N931" s="63"/>
      <c r="O931" s="63"/>
      <c r="P931" s="63"/>
      <c r="Q931" s="63"/>
      <c r="R931" s="63"/>
      <c r="S931" s="63"/>
      <c r="T931" s="63"/>
      <c r="U931" s="10"/>
      <c r="V931" s="90"/>
      <c r="W931" s="91"/>
      <c r="X931" s="92"/>
      <c r="Y931" s="2"/>
    </row>
    <row r="932" spans="2:25">
      <c r="B932" s="87">
        <f t="shared" si="168"/>
        <v>8</v>
      </c>
      <c r="C932" s="36"/>
      <c r="D932" s="10"/>
      <c r="E932" s="101"/>
      <c r="F932" s="62"/>
      <c r="G932" s="62"/>
      <c r="H932" s="62"/>
      <c r="I932" s="89">
        <f t="shared" si="169"/>
        <v>0</v>
      </c>
      <c r="J932" s="63"/>
      <c r="K932" s="63"/>
      <c r="L932" s="63"/>
      <c r="M932" s="63"/>
      <c r="N932" s="63"/>
      <c r="O932" s="63"/>
      <c r="P932" s="63"/>
      <c r="Q932" s="63"/>
      <c r="R932" s="63"/>
      <c r="S932" s="63"/>
      <c r="T932" s="63"/>
      <c r="U932" s="10"/>
      <c r="V932" s="90"/>
      <c r="W932" s="91"/>
      <c r="X932" s="92"/>
      <c r="Y932" s="2"/>
    </row>
    <row r="933" spans="2:25">
      <c r="B933" s="132"/>
      <c r="C933" s="36"/>
      <c r="D933" s="123"/>
      <c r="E933" s="123"/>
      <c r="F933" s="133">
        <f>SUM(F925:F932)</f>
        <v>6594</v>
      </c>
      <c r="G933" s="133">
        <f>SUM(G925:G932)</f>
        <v>1103.6100000000001</v>
      </c>
      <c r="H933" s="133">
        <f>SUM(H925:H932)</f>
        <v>0</v>
      </c>
      <c r="I933" s="134">
        <f>SUM(I925:I932)</f>
        <v>5490.39</v>
      </c>
      <c r="J933" s="127"/>
      <c r="K933" s="64"/>
      <c r="L933" s="64"/>
      <c r="M933" s="64"/>
      <c r="N933" s="64"/>
      <c r="O933" s="64"/>
      <c r="P933" s="64"/>
      <c r="Q933" s="64"/>
      <c r="R933" s="64"/>
      <c r="S933" s="64"/>
      <c r="T933" s="127"/>
      <c r="U933" s="123"/>
      <c r="V933" s="129"/>
      <c r="W933" s="130"/>
      <c r="X933" s="131"/>
      <c r="Y933" s="128"/>
    </row>
    <row r="934" spans="2:25">
      <c r="B934" s="11"/>
      <c r="C934" s="36"/>
      <c r="D934" s="10"/>
      <c r="E934" s="10"/>
      <c r="F934" s="88"/>
      <c r="G934" s="88"/>
      <c r="H934" s="88"/>
      <c r="I934" s="99"/>
      <c r="J934" s="63"/>
      <c r="K934" s="21"/>
      <c r="L934" s="21"/>
      <c r="M934" s="21"/>
      <c r="N934" s="21"/>
      <c r="O934" s="21"/>
      <c r="P934" s="21"/>
      <c r="Q934" s="21"/>
      <c r="R934" s="21"/>
      <c r="S934" s="21"/>
      <c r="T934" s="63"/>
      <c r="U934" s="10"/>
      <c r="V934" s="90"/>
      <c r="W934" s="91"/>
      <c r="X934" s="92"/>
      <c r="Y934" s="2"/>
    </row>
    <row r="935" spans="2:25">
      <c r="B935" s="121" t="s">
        <v>69</v>
      </c>
      <c r="C935" s="36"/>
      <c r="D935" s="123"/>
      <c r="E935" s="123"/>
      <c r="F935" s="124"/>
      <c r="G935" s="125"/>
      <c r="H935" s="124"/>
      <c r="I935" s="126"/>
      <c r="J935" s="127"/>
      <c r="K935" s="128"/>
      <c r="L935" s="128"/>
      <c r="M935" s="128"/>
      <c r="N935" s="128"/>
      <c r="O935" s="128"/>
      <c r="P935" s="128"/>
      <c r="Q935" s="128"/>
      <c r="R935" s="128"/>
      <c r="S935" s="128"/>
      <c r="T935" s="127"/>
      <c r="U935" s="135"/>
      <c r="V935" s="129"/>
      <c r="W935" s="130"/>
      <c r="X935" s="131"/>
      <c r="Y935" s="128"/>
    </row>
    <row r="936" spans="2:25">
      <c r="B936" s="87">
        <v>1</v>
      </c>
      <c r="C936" s="36"/>
      <c r="D936" s="10"/>
      <c r="E936" s="101"/>
      <c r="F936" s="62"/>
      <c r="G936" s="62"/>
      <c r="H936" s="62"/>
      <c r="I936" s="89">
        <f t="shared" ref="I936:I943" si="170">F936-G936-H936</f>
        <v>0</v>
      </c>
      <c r="J936" s="63"/>
      <c r="K936" s="63"/>
      <c r="L936" s="63"/>
      <c r="M936" s="63"/>
      <c r="N936" s="63"/>
      <c r="O936" s="63"/>
      <c r="P936" s="63"/>
      <c r="Q936" s="63"/>
      <c r="R936" s="63"/>
      <c r="S936" s="63"/>
      <c r="T936" s="63"/>
      <c r="U936" s="94"/>
      <c r="V936" s="90"/>
      <c r="W936" s="91"/>
      <c r="X936" s="92"/>
      <c r="Y936" s="2"/>
    </row>
    <row r="937" spans="2:25">
      <c r="B937" s="87">
        <f t="shared" ref="B937:B943" si="171">B936+1</f>
        <v>2</v>
      </c>
      <c r="C937" s="36"/>
      <c r="D937" s="10"/>
      <c r="E937" s="101"/>
      <c r="F937" s="62"/>
      <c r="G937" s="62"/>
      <c r="H937" s="62"/>
      <c r="I937" s="89">
        <f t="shared" si="170"/>
        <v>0</v>
      </c>
      <c r="J937" s="63"/>
      <c r="K937" s="63"/>
      <c r="L937" s="63"/>
      <c r="M937" s="63"/>
      <c r="N937" s="63"/>
      <c r="O937" s="63"/>
      <c r="P937" s="63"/>
      <c r="Q937" s="63"/>
      <c r="R937" s="63"/>
      <c r="S937" s="63"/>
      <c r="T937" s="63"/>
      <c r="U937" s="94"/>
      <c r="V937" s="90"/>
      <c r="W937" s="91"/>
      <c r="X937" s="92"/>
      <c r="Y937" s="2"/>
    </row>
    <row r="938" spans="2:25">
      <c r="B938" s="87">
        <f t="shared" si="171"/>
        <v>3</v>
      </c>
      <c r="C938" s="36"/>
      <c r="D938" s="10"/>
      <c r="E938" s="101"/>
      <c r="F938" s="62"/>
      <c r="G938" s="62"/>
      <c r="H938" s="62"/>
      <c r="I938" s="89">
        <f t="shared" si="170"/>
        <v>0</v>
      </c>
      <c r="J938" s="63"/>
      <c r="K938" s="63"/>
      <c r="L938" s="63"/>
      <c r="M938" s="63"/>
      <c r="N938" s="63"/>
      <c r="O938" s="63"/>
      <c r="P938" s="63"/>
      <c r="Q938" s="63"/>
      <c r="R938" s="63"/>
      <c r="S938" s="63"/>
      <c r="T938" s="63"/>
      <c r="U938" s="94"/>
      <c r="V938" s="90"/>
      <c r="W938" s="91"/>
      <c r="X938" s="92"/>
      <c r="Y938" s="2"/>
    </row>
    <row r="939" spans="2:25">
      <c r="B939" s="87">
        <f t="shared" si="171"/>
        <v>4</v>
      </c>
      <c r="C939" s="36"/>
      <c r="D939" s="10"/>
      <c r="E939" s="101"/>
      <c r="F939" s="62"/>
      <c r="G939" s="62"/>
      <c r="H939" s="62"/>
      <c r="I939" s="89">
        <f t="shared" si="170"/>
        <v>0</v>
      </c>
      <c r="J939" s="63"/>
      <c r="K939" s="63"/>
      <c r="L939" s="63"/>
      <c r="M939" s="63"/>
      <c r="N939" s="63"/>
      <c r="O939" s="63"/>
      <c r="P939" s="63"/>
      <c r="Q939" s="63"/>
      <c r="R939" s="63"/>
      <c r="S939" s="63"/>
      <c r="T939" s="63"/>
      <c r="U939" s="94"/>
      <c r="V939" s="90"/>
      <c r="W939" s="91"/>
      <c r="X939" s="92"/>
      <c r="Y939" s="2"/>
    </row>
    <row r="940" spans="2:25">
      <c r="B940" s="87">
        <f t="shared" si="171"/>
        <v>5</v>
      </c>
      <c r="C940" s="36"/>
      <c r="D940" s="10"/>
      <c r="E940" s="101"/>
      <c r="F940" s="62"/>
      <c r="G940" s="62"/>
      <c r="H940" s="62"/>
      <c r="I940" s="89">
        <f t="shared" si="170"/>
        <v>0</v>
      </c>
      <c r="J940" s="63"/>
      <c r="K940" s="63"/>
      <c r="L940" s="63"/>
      <c r="M940" s="63"/>
      <c r="N940" s="63"/>
      <c r="O940" s="63"/>
      <c r="P940" s="63"/>
      <c r="Q940" s="63"/>
      <c r="R940" s="63"/>
      <c r="S940" s="63"/>
      <c r="T940" s="63"/>
      <c r="U940" s="94"/>
      <c r="V940" s="90"/>
      <c r="W940" s="91"/>
      <c r="X940" s="92"/>
      <c r="Y940" s="2"/>
    </row>
    <row r="941" spans="2:25">
      <c r="B941" s="87">
        <f t="shared" si="171"/>
        <v>6</v>
      </c>
      <c r="C941" s="36"/>
      <c r="D941" s="10"/>
      <c r="E941" s="101"/>
      <c r="F941" s="62"/>
      <c r="G941" s="62"/>
      <c r="H941" s="62"/>
      <c r="I941" s="89">
        <f t="shared" si="170"/>
        <v>0</v>
      </c>
      <c r="J941" s="63"/>
      <c r="K941" s="63"/>
      <c r="L941" s="63"/>
      <c r="M941" s="63"/>
      <c r="N941" s="63"/>
      <c r="O941" s="63"/>
      <c r="P941" s="63"/>
      <c r="Q941" s="63"/>
      <c r="R941" s="63"/>
      <c r="S941" s="63"/>
      <c r="T941" s="63"/>
      <c r="U941" s="94"/>
      <c r="V941" s="90"/>
      <c r="W941" s="91"/>
      <c r="X941" s="92"/>
      <c r="Y941" s="2"/>
    </row>
    <row r="942" spans="2:25">
      <c r="B942" s="87">
        <f t="shared" si="171"/>
        <v>7</v>
      </c>
      <c r="C942" s="36"/>
      <c r="D942" s="10"/>
      <c r="E942" s="101"/>
      <c r="F942" s="62"/>
      <c r="G942" s="62"/>
      <c r="H942" s="62"/>
      <c r="I942" s="89">
        <f t="shared" si="170"/>
        <v>0</v>
      </c>
      <c r="J942" s="63"/>
      <c r="K942" s="63"/>
      <c r="L942" s="63"/>
      <c r="M942" s="63"/>
      <c r="N942" s="63"/>
      <c r="O942" s="63"/>
      <c r="P942" s="63"/>
      <c r="Q942" s="63"/>
      <c r="R942" s="63"/>
      <c r="S942" s="63"/>
      <c r="T942" s="63"/>
      <c r="U942" s="94"/>
      <c r="V942" s="90"/>
      <c r="W942" s="91"/>
      <c r="X942" s="92"/>
      <c r="Y942" s="2"/>
    </row>
    <row r="943" spans="2:25">
      <c r="B943" s="87">
        <f t="shared" si="171"/>
        <v>8</v>
      </c>
      <c r="C943" s="36"/>
      <c r="D943" s="10"/>
      <c r="E943" s="101"/>
      <c r="F943" s="62"/>
      <c r="G943" s="62"/>
      <c r="H943" s="62"/>
      <c r="I943" s="89">
        <f t="shared" si="170"/>
        <v>0</v>
      </c>
      <c r="J943" s="63"/>
      <c r="K943" s="63"/>
      <c r="L943" s="63"/>
      <c r="M943" s="63"/>
      <c r="N943" s="63"/>
      <c r="O943" s="63"/>
      <c r="P943" s="63"/>
      <c r="Q943" s="63"/>
      <c r="R943" s="63"/>
      <c r="S943" s="63"/>
      <c r="T943" s="63"/>
      <c r="U943" s="94"/>
      <c r="V943" s="90"/>
      <c r="W943" s="91"/>
      <c r="X943" s="92"/>
      <c r="Y943" s="2"/>
    </row>
    <row r="944" spans="2:25">
      <c r="B944" s="132"/>
      <c r="C944" s="36"/>
      <c r="D944" s="123"/>
      <c r="E944" s="123"/>
      <c r="F944" s="133">
        <f>SUM(F936:F943)</f>
        <v>0</v>
      </c>
      <c r="G944" s="133">
        <f>SUM(G936:G943)</f>
        <v>0</v>
      </c>
      <c r="H944" s="133">
        <f>SUM(H936:H943)</f>
        <v>0</v>
      </c>
      <c r="I944" s="134">
        <f>SUM(I936:I943)</f>
        <v>0</v>
      </c>
      <c r="J944" s="127"/>
      <c r="K944" s="64"/>
      <c r="L944" s="64"/>
      <c r="M944" s="64"/>
      <c r="N944" s="64"/>
      <c r="O944" s="64"/>
      <c r="P944" s="64"/>
      <c r="Q944" s="64"/>
      <c r="R944" s="64"/>
      <c r="S944" s="64"/>
      <c r="T944" s="127"/>
      <c r="U944" s="135"/>
      <c r="V944" s="129"/>
      <c r="W944" s="130"/>
      <c r="X944" s="131"/>
      <c r="Y944" s="128"/>
    </row>
    <row r="945" spans="2:25">
      <c r="B945" s="11"/>
      <c r="C945" s="36"/>
      <c r="D945" s="10"/>
      <c r="E945" s="10"/>
      <c r="F945" s="88"/>
      <c r="G945" s="88"/>
      <c r="H945" s="88"/>
      <c r="I945" s="99"/>
      <c r="J945" s="63"/>
      <c r="K945" s="21"/>
      <c r="L945" s="21"/>
      <c r="M945" s="21"/>
      <c r="N945" s="21"/>
      <c r="O945" s="21"/>
      <c r="P945" s="21"/>
      <c r="Q945" s="21"/>
      <c r="R945" s="21"/>
      <c r="S945" s="21"/>
      <c r="T945" s="63"/>
      <c r="U945" s="94"/>
      <c r="V945" s="90"/>
      <c r="W945" s="91"/>
      <c r="X945" s="92"/>
      <c r="Y945" s="2"/>
    </row>
    <row r="946" spans="2:25">
      <c r="B946" s="121" t="s">
        <v>70</v>
      </c>
      <c r="C946" s="36"/>
      <c r="D946" s="123"/>
      <c r="E946" s="128"/>
      <c r="F946" s="124"/>
      <c r="G946" s="124"/>
      <c r="H946" s="124"/>
      <c r="I946" s="126"/>
      <c r="J946" s="127"/>
      <c r="K946" s="64"/>
      <c r="L946" s="64"/>
      <c r="M946" s="64"/>
      <c r="N946" s="64"/>
      <c r="O946" s="64"/>
      <c r="P946" s="64"/>
      <c r="Q946" s="64"/>
      <c r="R946" s="64"/>
      <c r="S946" s="64"/>
      <c r="T946" s="127"/>
      <c r="U946" s="135"/>
      <c r="V946" s="129"/>
      <c r="W946" s="130"/>
      <c r="X946" s="131"/>
      <c r="Y946" s="128"/>
    </row>
    <row r="947" spans="2:25">
      <c r="B947" s="87">
        <v>1</v>
      </c>
      <c r="C947" s="274">
        <v>45964</v>
      </c>
      <c r="D947" s="276">
        <v>75063</v>
      </c>
      <c r="E947" s="276" t="s">
        <v>886</v>
      </c>
      <c r="F947" s="277">
        <v>2261</v>
      </c>
      <c r="G947" s="277">
        <f>39.7</f>
        <v>39.700000000000003</v>
      </c>
      <c r="H947" s="277"/>
      <c r="I947" s="278">
        <f>F947-G947-H947</f>
        <v>2221.3000000000002</v>
      </c>
      <c r="J947" s="279" t="s">
        <v>156</v>
      </c>
      <c r="K947" s="279">
        <v>1</v>
      </c>
      <c r="L947" s="279"/>
      <c r="M947" s="279">
        <v>1</v>
      </c>
      <c r="N947" s="279">
        <v>1</v>
      </c>
      <c r="O947" s="279">
        <v>1</v>
      </c>
      <c r="P947" s="279">
        <v>0</v>
      </c>
      <c r="Q947" s="279"/>
      <c r="R947" s="279"/>
      <c r="S947" s="280"/>
      <c r="T947" s="63"/>
      <c r="U947" s="94"/>
      <c r="V947" s="90">
        <f>250</f>
        <v>250</v>
      </c>
      <c r="W947" s="136"/>
      <c r="X947" s="137"/>
      <c r="Y947" s="2"/>
    </row>
    <row r="948" spans="2:25">
      <c r="B948" s="87">
        <f t="shared" ref="B948:B954" si="172">B947+1</f>
        <v>2</v>
      </c>
      <c r="C948" s="282">
        <v>45964</v>
      </c>
      <c r="D948" s="283" t="s">
        <v>962</v>
      </c>
      <c r="E948" s="283" t="s">
        <v>920</v>
      </c>
      <c r="F948" s="284">
        <v>12814</v>
      </c>
      <c r="G948" s="284">
        <f>39.7</f>
        <v>39.700000000000003</v>
      </c>
      <c r="H948" s="284"/>
      <c r="I948" s="285">
        <f t="shared" ref="I948" si="173">F948-G948-H948</f>
        <v>12774.3</v>
      </c>
      <c r="J948" s="286" t="s">
        <v>156</v>
      </c>
      <c r="K948" s="286">
        <v>1</v>
      </c>
      <c r="L948" s="286"/>
      <c r="M948" s="286">
        <v>1</v>
      </c>
      <c r="N948" s="286">
        <v>1</v>
      </c>
      <c r="O948" s="286">
        <v>1</v>
      </c>
      <c r="P948" s="286">
        <v>0</v>
      </c>
      <c r="Q948" s="286"/>
      <c r="R948" s="286"/>
      <c r="S948" s="287"/>
      <c r="T948" s="63"/>
      <c r="U948" s="94" t="s">
        <v>963</v>
      </c>
      <c r="V948" s="90">
        <f>1200</f>
        <v>1200</v>
      </c>
      <c r="W948" s="136"/>
      <c r="X948" s="137"/>
      <c r="Y948" s="2"/>
    </row>
    <row r="949" spans="2:25">
      <c r="B949" s="87">
        <f t="shared" si="172"/>
        <v>3</v>
      </c>
      <c r="C949" s="36"/>
      <c r="D949" s="10"/>
      <c r="E949" s="10"/>
      <c r="F949" s="62"/>
      <c r="G949" s="62"/>
      <c r="H949" s="62"/>
      <c r="I949" s="89">
        <f>F949-G949-H949</f>
        <v>0</v>
      </c>
      <c r="J949" s="63"/>
      <c r="K949" s="63"/>
      <c r="L949" s="63"/>
      <c r="M949" s="63"/>
      <c r="N949" s="63"/>
      <c r="O949" s="63"/>
      <c r="P949" s="63"/>
      <c r="Q949" s="63"/>
      <c r="R949" s="63"/>
      <c r="S949" s="63"/>
      <c r="T949" s="63"/>
      <c r="U949" s="94"/>
      <c r="V949" s="90"/>
      <c r="W949" s="136"/>
      <c r="X949" s="137"/>
      <c r="Y949" s="2"/>
    </row>
    <row r="950" spans="2:25">
      <c r="B950" s="87">
        <f t="shared" si="172"/>
        <v>4</v>
      </c>
      <c r="C950" s="36"/>
      <c r="D950" s="10"/>
      <c r="E950" s="10"/>
      <c r="F950" s="62"/>
      <c r="G950" s="62"/>
      <c r="H950" s="62"/>
      <c r="I950" s="89">
        <f>F950-G950-H950</f>
        <v>0</v>
      </c>
      <c r="J950" s="63"/>
      <c r="K950" s="63"/>
      <c r="L950" s="63"/>
      <c r="M950" s="63"/>
      <c r="N950" s="63"/>
      <c r="O950" s="63"/>
      <c r="P950" s="63"/>
      <c r="Q950" s="63"/>
      <c r="R950" s="63"/>
      <c r="S950" s="63"/>
      <c r="T950" s="63"/>
      <c r="U950" s="94"/>
      <c r="V950" s="90"/>
      <c r="W950" s="136"/>
      <c r="X950" s="137"/>
      <c r="Y950" s="2"/>
    </row>
    <row r="951" spans="2:25">
      <c r="B951" s="87">
        <f t="shared" si="172"/>
        <v>5</v>
      </c>
      <c r="C951" s="36"/>
      <c r="D951" s="10"/>
      <c r="E951" s="10"/>
      <c r="F951" s="62"/>
      <c r="G951" s="62"/>
      <c r="H951" s="62"/>
      <c r="I951" s="89">
        <f>F951-G951-H951</f>
        <v>0</v>
      </c>
      <c r="J951" s="63"/>
      <c r="K951" s="63"/>
      <c r="L951" s="63"/>
      <c r="M951" s="63"/>
      <c r="N951" s="63"/>
      <c r="O951" s="63"/>
      <c r="P951" s="63"/>
      <c r="Q951" s="63"/>
      <c r="R951" s="63"/>
      <c r="S951" s="63"/>
      <c r="T951" s="63"/>
      <c r="U951" s="94"/>
      <c r="V951" s="90"/>
      <c r="W951" s="136"/>
      <c r="X951" s="137"/>
      <c r="Y951" s="2"/>
    </row>
    <row r="952" spans="2:25">
      <c r="B952" s="87">
        <f t="shared" si="172"/>
        <v>6</v>
      </c>
      <c r="C952" s="36"/>
      <c r="D952" s="10"/>
      <c r="E952" s="10"/>
      <c r="F952" s="62"/>
      <c r="G952" s="62"/>
      <c r="H952" s="62"/>
      <c r="I952" s="89">
        <f>F952-G952-H952</f>
        <v>0</v>
      </c>
      <c r="J952" s="63"/>
      <c r="K952" s="63"/>
      <c r="L952" s="63"/>
      <c r="M952" s="63"/>
      <c r="N952" s="63"/>
      <c r="O952" s="63"/>
      <c r="P952" s="63"/>
      <c r="Q952" s="63"/>
      <c r="R952" s="63"/>
      <c r="S952" s="63"/>
      <c r="T952" s="63"/>
      <c r="U952" s="94"/>
      <c r="V952" s="90"/>
      <c r="W952" s="136"/>
      <c r="X952" s="137"/>
      <c r="Y952" s="2"/>
    </row>
    <row r="953" spans="2:25">
      <c r="B953" s="87">
        <f t="shared" si="172"/>
        <v>7</v>
      </c>
      <c r="C953" s="36"/>
      <c r="D953" s="10"/>
      <c r="E953" s="10"/>
      <c r="F953" s="62"/>
      <c r="G953" s="62"/>
      <c r="H953" s="62"/>
      <c r="I953" s="89">
        <f t="shared" ref="I953:I954" si="174">F953-G953-H953</f>
        <v>0</v>
      </c>
      <c r="J953" s="63"/>
      <c r="K953" s="63"/>
      <c r="L953" s="63"/>
      <c r="M953" s="63"/>
      <c r="N953" s="63"/>
      <c r="O953" s="63"/>
      <c r="P953" s="63"/>
      <c r="Q953" s="63"/>
      <c r="R953" s="63"/>
      <c r="S953" s="63"/>
      <c r="T953" s="63"/>
      <c r="U953" s="94"/>
      <c r="V953" s="90"/>
      <c r="W953" s="136"/>
      <c r="X953" s="137"/>
      <c r="Y953" s="2"/>
    </row>
    <row r="954" spans="2:25">
      <c r="B954" s="87">
        <f t="shared" si="172"/>
        <v>8</v>
      </c>
      <c r="C954" s="36"/>
      <c r="D954" s="10"/>
      <c r="E954" s="10"/>
      <c r="F954" s="62"/>
      <c r="G954" s="62"/>
      <c r="H954" s="62"/>
      <c r="I954" s="89">
        <f t="shared" si="174"/>
        <v>0</v>
      </c>
      <c r="J954" s="63"/>
      <c r="K954" s="63"/>
      <c r="L954" s="63"/>
      <c r="M954" s="63"/>
      <c r="N954" s="63"/>
      <c r="O954" s="63"/>
      <c r="P954" s="63"/>
      <c r="Q954" s="63"/>
      <c r="R954" s="63"/>
      <c r="S954" s="63"/>
      <c r="T954" s="63"/>
      <c r="U954" s="94"/>
      <c r="V954" s="90"/>
      <c r="W954" s="136"/>
      <c r="X954" s="137"/>
      <c r="Y954" s="2"/>
    </row>
    <row r="955" spans="2:25">
      <c r="B955" s="132"/>
      <c r="C955" s="36"/>
      <c r="D955" s="123"/>
      <c r="E955" s="123"/>
      <c r="F955" s="133">
        <f>SUM(F947:F954)</f>
        <v>15075</v>
      </c>
      <c r="G955" s="133">
        <f t="shared" ref="G955:I955" si="175">SUM(G947:G954)</f>
        <v>79.400000000000006</v>
      </c>
      <c r="H955" s="133">
        <f t="shared" si="175"/>
        <v>0</v>
      </c>
      <c r="I955" s="134">
        <f t="shared" si="175"/>
        <v>14995.599999999999</v>
      </c>
      <c r="J955" s="127"/>
      <c r="K955" s="64"/>
      <c r="L955" s="64"/>
      <c r="M955" s="64"/>
      <c r="N955" s="64"/>
      <c r="O955" s="64"/>
      <c r="P955" s="64"/>
      <c r="Q955" s="64"/>
      <c r="R955" s="64"/>
      <c r="S955" s="64"/>
      <c r="T955" s="127"/>
      <c r="U955" s="135"/>
      <c r="V955" s="129"/>
      <c r="W955" s="130"/>
      <c r="X955" s="131"/>
      <c r="Y955" s="128"/>
    </row>
    <row r="956" spans="2:25">
      <c r="B956" s="11"/>
      <c r="C956" s="36"/>
      <c r="D956" s="10"/>
      <c r="E956" s="10"/>
      <c r="F956" s="88"/>
      <c r="G956" s="88"/>
      <c r="H956" s="88"/>
      <c r="I956" s="99"/>
      <c r="J956" s="10"/>
      <c r="K956" s="63"/>
      <c r="L956" s="63"/>
      <c r="M956" s="63"/>
      <c r="N956" s="63"/>
      <c r="O956" s="63"/>
      <c r="P956" s="63"/>
      <c r="Q956" s="63"/>
      <c r="R956" s="63"/>
      <c r="S956" s="63"/>
      <c r="T956" s="63"/>
      <c r="U956" s="94"/>
      <c r="V956" s="90"/>
      <c r="W956" s="91"/>
      <c r="X956" s="92"/>
      <c r="Y956" s="2"/>
    </row>
    <row r="957" spans="2:25">
      <c r="B957" s="121" t="s">
        <v>71</v>
      </c>
      <c r="C957" s="36"/>
      <c r="D957" s="123"/>
      <c r="E957" s="128"/>
      <c r="F957" s="124"/>
      <c r="G957" s="124"/>
      <c r="H957" s="124"/>
      <c r="I957" s="126"/>
      <c r="J957" s="127"/>
      <c r="K957" s="64"/>
      <c r="L957" s="64"/>
      <c r="M957" s="64"/>
      <c r="N957" s="64"/>
      <c r="O957" s="64"/>
      <c r="P957" s="64"/>
      <c r="Q957" s="64"/>
      <c r="R957" s="64"/>
      <c r="S957" s="64"/>
      <c r="T957" s="127"/>
      <c r="U957" s="135"/>
      <c r="V957" s="129"/>
      <c r="W957" s="130"/>
      <c r="X957" s="131"/>
      <c r="Y957" s="128"/>
    </row>
    <row r="958" spans="2:25">
      <c r="B958" s="87">
        <v>1</v>
      </c>
      <c r="C958" s="36"/>
      <c r="D958" s="10"/>
      <c r="E958" s="10"/>
      <c r="F958" s="62"/>
      <c r="G958" s="62"/>
      <c r="H958" s="62"/>
      <c r="I958" s="89">
        <f t="shared" ref="I958:I965" si="176">F958-G958-H958</f>
        <v>0</v>
      </c>
      <c r="J958" s="63"/>
      <c r="K958" s="63"/>
      <c r="L958" s="63"/>
      <c r="M958" s="63"/>
      <c r="N958" s="63"/>
      <c r="O958" s="63"/>
      <c r="P958" s="63"/>
      <c r="Q958" s="63"/>
      <c r="R958" s="63"/>
      <c r="S958" s="63"/>
      <c r="T958" s="63"/>
      <c r="U958" s="94"/>
      <c r="V958" s="90"/>
      <c r="W958" s="136"/>
      <c r="X958" s="137"/>
      <c r="Y958" s="2"/>
    </row>
    <row r="959" spans="2:25">
      <c r="B959" s="87">
        <f t="shared" ref="B959:B965" si="177">B958+1</f>
        <v>2</v>
      </c>
      <c r="C959" s="36"/>
      <c r="D959" s="10"/>
      <c r="E959" s="10"/>
      <c r="F959" s="62"/>
      <c r="G959" s="62"/>
      <c r="H959" s="62"/>
      <c r="I959" s="89">
        <f t="shared" si="176"/>
        <v>0</v>
      </c>
      <c r="J959" s="63"/>
      <c r="K959" s="63"/>
      <c r="L959" s="63"/>
      <c r="M959" s="63"/>
      <c r="N959" s="63"/>
      <c r="O959" s="63"/>
      <c r="P959" s="63"/>
      <c r="Q959" s="63"/>
      <c r="R959" s="63"/>
      <c r="S959" s="63"/>
      <c r="T959" s="63"/>
      <c r="U959" s="94"/>
      <c r="V959" s="90"/>
      <c r="W959" s="136"/>
      <c r="X959" s="137"/>
      <c r="Y959" s="2"/>
    </row>
    <row r="960" spans="2:25">
      <c r="B960" s="87">
        <f t="shared" si="177"/>
        <v>3</v>
      </c>
      <c r="C960" s="36"/>
      <c r="D960" s="10"/>
      <c r="E960" s="10"/>
      <c r="F960" s="62"/>
      <c r="G960" s="62"/>
      <c r="H960" s="62"/>
      <c r="I960" s="89">
        <f t="shared" si="176"/>
        <v>0</v>
      </c>
      <c r="J960" s="63"/>
      <c r="K960" s="63"/>
      <c r="L960" s="63"/>
      <c r="M960" s="63"/>
      <c r="N960" s="63"/>
      <c r="O960" s="63"/>
      <c r="P960" s="63"/>
      <c r="Q960" s="63"/>
      <c r="R960" s="63"/>
      <c r="S960" s="63"/>
      <c r="T960" s="63"/>
      <c r="U960" s="94"/>
      <c r="V960" s="90"/>
      <c r="W960" s="136"/>
      <c r="X960" s="137"/>
      <c r="Y960" s="2"/>
    </row>
    <row r="961" spans="2:25">
      <c r="B961" s="87">
        <f t="shared" si="177"/>
        <v>4</v>
      </c>
      <c r="C961" s="36"/>
      <c r="D961" s="10"/>
      <c r="E961" s="10"/>
      <c r="F961" s="62"/>
      <c r="G961" s="62"/>
      <c r="H961" s="62"/>
      <c r="I961" s="89">
        <f t="shared" si="176"/>
        <v>0</v>
      </c>
      <c r="J961" s="63"/>
      <c r="K961" s="63"/>
      <c r="L961" s="63"/>
      <c r="M961" s="63"/>
      <c r="N961" s="63"/>
      <c r="O961" s="63"/>
      <c r="P961" s="63"/>
      <c r="Q961" s="63"/>
      <c r="R961" s="63"/>
      <c r="S961" s="63"/>
      <c r="T961" s="63"/>
      <c r="U961" s="94"/>
      <c r="V961" s="90"/>
      <c r="W961" s="136"/>
      <c r="X961" s="137"/>
      <c r="Y961" s="2"/>
    </row>
    <row r="962" spans="2:25">
      <c r="B962" s="87">
        <f t="shared" si="177"/>
        <v>5</v>
      </c>
      <c r="C962" s="36"/>
      <c r="D962" s="10"/>
      <c r="E962" s="10"/>
      <c r="F962" s="62"/>
      <c r="G962" s="62"/>
      <c r="H962" s="62"/>
      <c r="I962" s="89">
        <f t="shared" si="176"/>
        <v>0</v>
      </c>
      <c r="J962" s="63"/>
      <c r="K962" s="63"/>
      <c r="L962" s="63"/>
      <c r="M962" s="63"/>
      <c r="N962" s="63"/>
      <c r="O962" s="63"/>
      <c r="P962" s="63"/>
      <c r="Q962" s="63"/>
      <c r="R962" s="63"/>
      <c r="S962" s="63"/>
      <c r="T962" s="63"/>
      <c r="U962" s="94"/>
      <c r="V962" s="90"/>
      <c r="W962" s="136"/>
      <c r="X962" s="137"/>
      <c r="Y962" s="2"/>
    </row>
    <row r="963" spans="2:25">
      <c r="B963" s="87">
        <f t="shared" si="177"/>
        <v>6</v>
      </c>
      <c r="C963" s="36"/>
      <c r="D963" s="10"/>
      <c r="E963" s="10"/>
      <c r="F963" s="62"/>
      <c r="G963" s="62"/>
      <c r="H963" s="62"/>
      <c r="I963" s="89">
        <f t="shared" si="176"/>
        <v>0</v>
      </c>
      <c r="J963" s="63"/>
      <c r="K963" s="63"/>
      <c r="L963" s="63"/>
      <c r="M963" s="63"/>
      <c r="N963" s="63"/>
      <c r="O963" s="63"/>
      <c r="P963" s="63"/>
      <c r="Q963" s="63"/>
      <c r="R963" s="63"/>
      <c r="S963" s="63"/>
      <c r="T963" s="63"/>
      <c r="U963" s="94"/>
      <c r="V963" s="90"/>
      <c r="W963" s="136"/>
      <c r="X963" s="137"/>
      <c r="Y963" s="2"/>
    </row>
    <row r="964" spans="2:25">
      <c r="B964" s="87">
        <f t="shared" si="177"/>
        <v>7</v>
      </c>
      <c r="C964" s="36"/>
      <c r="D964" s="10"/>
      <c r="E964" s="10"/>
      <c r="F964" s="62"/>
      <c r="G964" s="62"/>
      <c r="H964" s="62"/>
      <c r="I964" s="89">
        <f t="shared" si="176"/>
        <v>0</v>
      </c>
      <c r="J964" s="63"/>
      <c r="K964" s="63"/>
      <c r="L964" s="63"/>
      <c r="M964" s="63"/>
      <c r="N964" s="63"/>
      <c r="O964" s="63"/>
      <c r="P964" s="63"/>
      <c r="Q964" s="63"/>
      <c r="R964" s="63"/>
      <c r="S964" s="63"/>
      <c r="T964" s="63"/>
      <c r="U964" s="94"/>
      <c r="V964" s="90"/>
      <c r="W964" s="136"/>
      <c r="X964" s="137"/>
      <c r="Y964" s="2"/>
    </row>
    <row r="965" spans="2:25">
      <c r="B965" s="87">
        <f t="shared" si="177"/>
        <v>8</v>
      </c>
      <c r="C965" s="36"/>
      <c r="D965" s="10"/>
      <c r="E965" s="10"/>
      <c r="F965" s="62"/>
      <c r="G965" s="62"/>
      <c r="H965" s="62"/>
      <c r="I965" s="89">
        <f t="shared" si="176"/>
        <v>0</v>
      </c>
      <c r="J965" s="63"/>
      <c r="K965" s="63"/>
      <c r="L965" s="63"/>
      <c r="M965" s="63"/>
      <c r="N965" s="63"/>
      <c r="O965" s="63"/>
      <c r="P965" s="63"/>
      <c r="Q965" s="63"/>
      <c r="R965" s="63"/>
      <c r="S965" s="63"/>
      <c r="T965" s="63"/>
      <c r="U965" s="94"/>
      <c r="V965" s="90"/>
      <c r="W965" s="136"/>
      <c r="X965" s="137"/>
      <c r="Y965" s="2"/>
    </row>
    <row r="966" spans="2:25">
      <c r="B966" s="132"/>
      <c r="C966" s="36"/>
      <c r="D966" s="123"/>
      <c r="E966" s="123"/>
      <c r="F966" s="133">
        <f>SUM(F958:F965)</f>
        <v>0</v>
      </c>
      <c r="G966" s="133">
        <f>SUM(G958:G965)</f>
        <v>0</v>
      </c>
      <c r="H966" s="133">
        <f>SUM(H958:H965)</f>
        <v>0</v>
      </c>
      <c r="I966" s="134">
        <f>SUM(I958:I965)</f>
        <v>0</v>
      </c>
      <c r="J966" s="127"/>
      <c r="K966" s="64"/>
      <c r="L966" s="64"/>
      <c r="M966" s="64"/>
      <c r="N966" s="64"/>
      <c r="O966" s="64"/>
      <c r="P966" s="64"/>
      <c r="Q966" s="64"/>
      <c r="R966" s="64"/>
      <c r="S966" s="64"/>
      <c r="T966" s="127"/>
      <c r="U966" s="135"/>
      <c r="V966" s="129"/>
      <c r="W966" s="130"/>
      <c r="X966" s="131"/>
      <c r="Y966" s="128"/>
    </row>
    <row r="967" spans="2:25">
      <c r="B967" s="11"/>
      <c r="C967" s="36"/>
      <c r="D967" s="10"/>
      <c r="E967" s="10"/>
      <c r="F967" s="88"/>
      <c r="G967" s="88"/>
      <c r="H967" s="88"/>
      <c r="I967" s="99"/>
      <c r="J967" s="63"/>
      <c r="K967" s="21"/>
      <c r="L967" s="21"/>
      <c r="M967" s="21"/>
      <c r="N967" s="21"/>
      <c r="O967" s="21"/>
      <c r="P967" s="21"/>
      <c r="Q967" s="21"/>
      <c r="R967" s="21"/>
      <c r="S967" s="21"/>
      <c r="T967" s="63"/>
      <c r="U967" s="94"/>
      <c r="V967" s="90"/>
      <c r="W967" s="91"/>
      <c r="X967" s="92"/>
      <c r="Y967" s="2"/>
    </row>
    <row r="968" spans="2:25">
      <c r="B968" s="100" t="s">
        <v>72</v>
      </c>
      <c r="C968" s="36"/>
      <c r="D968" s="10"/>
      <c r="E968" s="10"/>
      <c r="F968" s="88"/>
      <c r="G968" s="88"/>
      <c r="H968" s="88"/>
      <c r="I968" s="99"/>
      <c r="J968" s="63"/>
      <c r="K968" s="63"/>
      <c r="L968" s="63"/>
      <c r="M968" s="63"/>
      <c r="N968" s="63"/>
      <c r="O968" s="63"/>
      <c r="P968" s="63"/>
      <c r="Q968" s="63"/>
      <c r="R968" s="63"/>
      <c r="S968" s="63"/>
      <c r="T968" s="63"/>
      <c r="U968" s="10"/>
      <c r="V968" s="90"/>
      <c r="W968" s="91"/>
      <c r="X968" s="92"/>
      <c r="Y968" s="2"/>
    </row>
    <row r="969" spans="2:25">
      <c r="B969" s="87">
        <v>1</v>
      </c>
      <c r="C969" s="274">
        <v>45964</v>
      </c>
      <c r="D969" s="276">
        <v>75040</v>
      </c>
      <c r="E969" s="276" t="s">
        <v>879</v>
      </c>
      <c r="F969" s="277">
        <v>0</v>
      </c>
      <c r="G969" s="277">
        <v>0</v>
      </c>
      <c r="H969" s="277"/>
      <c r="I969" s="278">
        <f t="shared" ref="I969:I986" si="178">F969-G969-H969</f>
        <v>0</v>
      </c>
      <c r="J969" s="279" t="s">
        <v>219</v>
      </c>
      <c r="K969" s="279"/>
      <c r="L969" s="279"/>
      <c r="M969" s="279"/>
      <c r="N969" s="279"/>
      <c r="O969" s="279"/>
      <c r="P969" s="279"/>
      <c r="Q969" s="279"/>
      <c r="R969" s="279"/>
      <c r="S969" s="280"/>
      <c r="T969" s="63"/>
      <c r="U969" s="3"/>
      <c r="V969" s="90"/>
      <c r="W969" s="91"/>
      <c r="X969" s="92"/>
      <c r="Y969" s="2"/>
    </row>
    <row r="970" spans="2:25">
      <c r="B970" s="87">
        <f t="shared" ref="B970:B986" si="179">B969+1</f>
        <v>2</v>
      </c>
      <c r="C970" s="282">
        <v>45964</v>
      </c>
      <c r="D970" s="283">
        <v>75085</v>
      </c>
      <c r="E970" s="283" t="s">
        <v>964</v>
      </c>
      <c r="F970" s="284">
        <v>0</v>
      </c>
      <c r="G970" s="284">
        <v>0</v>
      </c>
      <c r="H970" s="284"/>
      <c r="I970" s="285">
        <f t="shared" si="178"/>
        <v>0</v>
      </c>
      <c r="J970" s="286" t="s">
        <v>219</v>
      </c>
      <c r="K970" s="286"/>
      <c r="L970" s="286"/>
      <c r="M970" s="286"/>
      <c r="N970" s="286"/>
      <c r="O970" s="286"/>
      <c r="P970" s="286"/>
      <c r="Q970" s="286"/>
      <c r="R970" s="286"/>
      <c r="S970" s="287"/>
      <c r="T970" s="63"/>
      <c r="U970" s="10" t="s">
        <v>965</v>
      </c>
      <c r="V970" s="90"/>
      <c r="W970" s="136"/>
      <c r="X970" s="137"/>
      <c r="Y970" s="2"/>
    </row>
    <row r="971" spans="2:25">
      <c r="B971" s="87">
        <f t="shared" si="179"/>
        <v>3</v>
      </c>
      <c r="C971" s="36"/>
      <c r="D971" s="10"/>
      <c r="E971" s="10"/>
      <c r="F971" s="62"/>
      <c r="G971" s="62"/>
      <c r="H971" s="62"/>
      <c r="I971" s="89">
        <f t="shared" si="178"/>
        <v>0</v>
      </c>
      <c r="J971" s="63"/>
      <c r="K971" s="63"/>
      <c r="L971" s="63"/>
      <c r="M971" s="63"/>
      <c r="N971" s="63"/>
      <c r="O971" s="63"/>
      <c r="P971" s="63"/>
      <c r="Q971" s="63"/>
      <c r="R971" s="63"/>
      <c r="S971" s="63"/>
      <c r="T971" s="63"/>
      <c r="U971" s="10"/>
      <c r="V971" s="90"/>
      <c r="W971" s="136"/>
      <c r="X971" s="137"/>
      <c r="Y971" s="2"/>
    </row>
    <row r="972" spans="2:25">
      <c r="B972" s="87">
        <f t="shared" si="179"/>
        <v>4</v>
      </c>
      <c r="C972" s="36"/>
      <c r="D972" s="10"/>
      <c r="E972" s="10"/>
      <c r="F972" s="62"/>
      <c r="G972" s="62"/>
      <c r="H972" s="62"/>
      <c r="I972" s="89">
        <f t="shared" si="178"/>
        <v>0</v>
      </c>
      <c r="J972" s="63"/>
      <c r="K972" s="63"/>
      <c r="L972" s="63"/>
      <c r="M972" s="63"/>
      <c r="N972" s="63"/>
      <c r="O972" s="63"/>
      <c r="P972" s="63"/>
      <c r="Q972" s="63"/>
      <c r="R972" s="63"/>
      <c r="S972" s="63"/>
      <c r="T972" s="63"/>
      <c r="U972" s="10"/>
      <c r="V972" s="90"/>
      <c r="W972" s="136"/>
      <c r="X972" s="137"/>
      <c r="Y972" s="2"/>
    </row>
    <row r="973" spans="2:25">
      <c r="B973" s="87">
        <f t="shared" si="179"/>
        <v>5</v>
      </c>
      <c r="C973" s="36"/>
      <c r="D973" s="10"/>
      <c r="E973" s="10"/>
      <c r="F973" s="62"/>
      <c r="G973" s="62"/>
      <c r="H973" s="62"/>
      <c r="I973" s="89">
        <f t="shared" si="178"/>
        <v>0</v>
      </c>
      <c r="J973" s="63"/>
      <c r="K973" s="63"/>
      <c r="L973" s="63"/>
      <c r="M973" s="63"/>
      <c r="N973" s="63"/>
      <c r="O973" s="63"/>
      <c r="P973" s="63"/>
      <c r="Q973" s="63"/>
      <c r="R973" s="63"/>
      <c r="S973" s="63"/>
      <c r="T973" s="63"/>
      <c r="U973" s="10"/>
      <c r="V973" s="90"/>
      <c r="W973" s="136"/>
      <c r="X973" s="137"/>
      <c r="Y973" s="2"/>
    </row>
    <row r="974" spans="2:25">
      <c r="B974" s="87">
        <f t="shared" si="179"/>
        <v>6</v>
      </c>
      <c r="C974" s="36"/>
      <c r="D974" s="10"/>
      <c r="E974" s="101"/>
      <c r="F974" s="62"/>
      <c r="G974" s="62"/>
      <c r="H974" s="62"/>
      <c r="I974" s="89">
        <f t="shared" si="178"/>
        <v>0</v>
      </c>
      <c r="J974" s="63"/>
      <c r="K974" s="63"/>
      <c r="L974" s="63"/>
      <c r="M974" s="63"/>
      <c r="N974" s="63"/>
      <c r="O974" s="63"/>
      <c r="P974" s="63"/>
      <c r="Q974" s="63"/>
      <c r="R974" s="63"/>
      <c r="S974" s="63"/>
      <c r="T974" s="63"/>
      <c r="U974" s="10"/>
      <c r="V974" s="90"/>
      <c r="W974" s="136"/>
      <c r="X974" s="137"/>
      <c r="Y974" s="2"/>
    </row>
    <row r="975" spans="2:25">
      <c r="B975" s="87">
        <f t="shared" si="179"/>
        <v>7</v>
      </c>
      <c r="C975" s="36"/>
      <c r="D975" s="10"/>
      <c r="E975" s="101"/>
      <c r="F975" s="62"/>
      <c r="G975" s="62"/>
      <c r="H975" s="62"/>
      <c r="I975" s="89">
        <f t="shared" si="178"/>
        <v>0</v>
      </c>
      <c r="J975" s="63"/>
      <c r="K975" s="63"/>
      <c r="L975" s="63"/>
      <c r="M975" s="63"/>
      <c r="N975" s="63"/>
      <c r="O975" s="63"/>
      <c r="P975" s="63"/>
      <c r="Q975" s="63"/>
      <c r="R975" s="63"/>
      <c r="S975" s="63"/>
      <c r="T975" s="63"/>
      <c r="U975" s="10"/>
      <c r="V975" s="90"/>
      <c r="W975" s="136"/>
      <c r="X975" s="137"/>
      <c r="Y975" s="2"/>
    </row>
    <row r="976" spans="2:25">
      <c r="B976" s="87">
        <f t="shared" si="179"/>
        <v>8</v>
      </c>
      <c r="C976" s="36"/>
      <c r="D976" s="10"/>
      <c r="E976" s="101"/>
      <c r="F976" s="62"/>
      <c r="G976" s="62"/>
      <c r="H976" s="62"/>
      <c r="I976" s="89">
        <f t="shared" si="178"/>
        <v>0</v>
      </c>
      <c r="J976" s="63"/>
      <c r="K976" s="63"/>
      <c r="L976" s="63"/>
      <c r="M976" s="63"/>
      <c r="N976" s="63"/>
      <c r="O976" s="63"/>
      <c r="P976" s="63"/>
      <c r="Q976" s="63"/>
      <c r="R976" s="63"/>
      <c r="S976" s="63"/>
      <c r="T976" s="63"/>
      <c r="U976" s="10"/>
      <c r="V976" s="90"/>
      <c r="W976" s="136"/>
      <c r="X976" s="137"/>
      <c r="Y976" s="2"/>
    </row>
    <row r="977" spans="2:25">
      <c r="B977" s="87">
        <f t="shared" si="179"/>
        <v>9</v>
      </c>
      <c r="C977" s="36"/>
      <c r="D977" s="10"/>
      <c r="E977" s="101"/>
      <c r="F977" s="62"/>
      <c r="G977" s="62"/>
      <c r="H977" s="62"/>
      <c r="I977" s="89">
        <f t="shared" si="178"/>
        <v>0</v>
      </c>
      <c r="J977" s="63"/>
      <c r="K977" s="63"/>
      <c r="L977" s="63"/>
      <c r="M977" s="63"/>
      <c r="N977" s="63"/>
      <c r="O977" s="63"/>
      <c r="P977" s="63"/>
      <c r="Q977" s="63"/>
      <c r="R977" s="63"/>
      <c r="S977" s="63"/>
      <c r="T977" s="63"/>
      <c r="U977" s="10"/>
      <c r="V977" s="90"/>
      <c r="W977" s="136"/>
      <c r="X977" s="137"/>
      <c r="Y977" s="2"/>
    </row>
    <row r="978" spans="2:25">
      <c r="B978" s="87">
        <f t="shared" si="179"/>
        <v>10</v>
      </c>
      <c r="C978" s="36"/>
      <c r="D978" s="10"/>
      <c r="E978" s="101"/>
      <c r="F978" s="62"/>
      <c r="G978" s="62"/>
      <c r="H978" s="62"/>
      <c r="I978" s="89">
        <f t="shared" si="178"/>
        <v>0</v>
      </c>
      <c r="J978" s="63"/>
      <c r="K978" s="63"/>
      <c r="L978" s="63"/>
      <c r="M978" s="63"/>
      <c r="N978" s="63"/>
      <c r="O978" s="63"/>
      <c r="P978" s="63"/>
      <c r="Q978" s="63"/>
      <c r="R978" s="63"/>
      <c r="S978" s="63"/>
      <c r="T978" s="63"/>
      <c r="U978" s="10"/>
      <c r="V978" s="90"/>
      <c r="W978" s="136"/>
      <c r="X978" s="137"/>
      <c r="Y978" s="2"/>
    </row>
    <row r="979" spans="2:25">
      <c r="B979" s="87">
        <f t="shared" si="179"/>
        <v>11</v>
      </c>
      <c r="C979" s="36"/>
      <c r="D979" s="10"/>
      <c r="E979" s="101"/>
      <c r="F979" s="62"/>
      <c r="G979" s="62"/>
      <c r="H979" s="62"/>
      <c r="I979" s="89">
        <f t="shared" si="178"/>
        <v>0</v>
      </c>
      <c r="J979" s="63"/>
      <c r="K979" s="63"/>
      <c r="L979" s="63"/>
      <c r="M979" s="63"/>
      <c r="N979" s="63"/>
      <c r="O979" s="63"/>
      <c r="P979" s="63"/>
      <c r="Q979" s="63"/>
      <c r="R979" s="63"/>
      <c r="S979" s="63"/>
      <c r="T979" s="63"/>
      <c r="U979" s="10"/>
      <c r="V979" s="90"/>
      <c r="W979" s="136"/>
      <c r="X979" s="137"/>
      <c r="Y979" s="2"/>
    </row>
    <row r="980" spans="2:25">
      <c r="B980" s="87">
        <f t="shared" si="179"/>
        <v>12</v>
      </c>
      <c r="C980" s="36"/>
      <c r="D980" s="10"/>
      <c r="E980" s="101"/>
      <c r="F980" s="62"/>
      <c r="G980" s="62"/>
      <c r="H980" s="62"/>
      <c r="I980" s="89">
        <f t="shared" si="178"/>
        <v>0</v>
      </c>
      <c r="J980" s="63"/>
      <c r="K980" s="63"/>
      <c r="L980" s="63"/>
      <c r="M980" s="63"/>
      <c r="N980" s="63"/>
      <c r="O980" s="63"/>
      <c r="P980" s="63"/>
      <c r="Q980" s="63"/>
      <c r="R980" s="63"/>
      <c r="S980" s="63"/>
      <c r="T980" s="63"/>
      <c r="U980" s="10"/>
      <c r="V980" s="90"/>
      <c r="W980" s="136"/>
      <c r="X980" s="137"/>
      <c r="Y980" s="2"/>
    </row>
    <row r="981" spans="2:25">
      <c r="B981" s="87">
        <f t="shared" si="179"/>
        <v>13</v>
      </c>
      <c r="C981" s="36"/>
      <c r="D981" s="10"/>
      <c r="E981" s="101"/>
      <c r="F981" s="62"/>
      <c r="G981" s="62"/>
      <c r="H981" s="62"/>
      <c r="I981" s="89">
        <f t="shared" si="178"/>
        <v>0</v>
      </c>
      <c r="J981" s="63"/>
      <c r="K981" s="63"/>
      <c r="L981" s="63"/>
      <c r="M981" s="63"/>
      <c r="N981" s="63"/>
      <c r="O981" s="63"/>
      <c r="P981" s="63"/>
      <c r="Q981" s="63"/>
      <c r="R981" s="63"/>
      <c r="S981" s="63"/>
      <c r="T981" s="63"/>
      <c r="U981" s="10"/>
      <c r="V981" s="90"/>
      <c r="W981" s="136"/>
      <c r="X981" s="137"/>
      <c r="Y981" s="2"/>
    </row>
    <row r="982" spans="2:25">
      <c r="B982" s="87">
        <f t="shared" si="179"/>
        <v>14</v>
      </c>
      <c r="C982" s="36"/>
      <c r="D982" s="10"/>
      <c r="E982" s="10"/>
      <c r="F982" s="62"/>
      <c r="G982" s="62"/>
      <c r="H982" s="62"/>
      <c r="I982" s="89">
        <f t="shared" si="178"/>
        <v>0</v>
      </c>
      <c r="J982" s="63"/>
      <c r="K982" s="63"/>
      <c r="L982" s="63"/>
      <c r="M982" s="63"/>
      <c r="N982" s="63"/>
      <c r="O982" s="63"/>
      <c r="P982" s="63"/>
      <c r="Q982" s="63"/>
      <c r="R982" s="63"/>
      <c r="S982" s="63"/>
      <c r="T982" s="63"/>
      <c r="U982" s="10"/>
      <c r="V982" s="90"/>
      <c r="W982" s="136"/>
      <c r="X982" s="137"/>
      <c r="Y982" s="2"/>
    </row>
    <row r="983" spans="2:25">
      <c r="B983" s="87">
        <f t="shared" si="179"/>
        <v>15</v>
      </c>
      <c r="C983" s="36"/>
      <c r="D983" s="10"/>
      <c r="E983" s="10"/>
      <c r="F983" s="62"/>
      <c r="G983" s="62"/>
      <c r="H983" s="62"/>
      <c r="I983" s="89">
        <f t="shared" si="178"/>
        <v>0</v>
      </c>
      <c r="J983" s="63"/>
      <c r="K983" s="63"/>
      <c r="L983" s="63"/>
      <c r="M983" s="63"/>
      <c r="N983" s="63"/>
      <c r="O983" s="63"/>
      <c r="P983" s="63"/>
      <c r="Q983" s="63"/>
      <c r="R983" s="63"/>
      <c r="S983" s="63"/>
      <c r="T983" s="63"/>
      <c r="U983" s="10"/>
      <c r="V983" s="90"/>
      <c r="W983" s="136"/>
      <c r="X983" s="137"/>
      <c r="Y983" s="2"/>
    </row>
    <row r="984" spans="2:25">
      <c r="B984" s="87">
        <f t="shared" si="179"/>
        <v>16</v>
      </c>
      <c r="C984" s="36"/>
      <c r="D984" s="10"/>
      <c r="E984" s="10"/>
      <c r="F984" s="62"/>
      <c r="G984" s="62"/>
      <c r="H984" s="62"/>
      <c r="I984" s="89">
        <f t="shared" si="178"/>
        <v>0</v>
      </c>
      <c r="J984" s="63"/>
      <c r="K984" s="63"/>
      <c r="L984" s="63"/>
      <c r="M984" s="63"/>
      <c r="N984" s="63"/>
      <c r="O984" s="63"/>
      <c r="P984" s="63"/>
      <c r="Q984" s="63"/>
      <c r="R984" s="63"/>
      <c r="S984" s="63"/>
      <c r="T984" s="63"/>
      <c r="U984" s="10"/>
      <c r="V984" s="90"/>
      <c r="W984" s="136"/>
      <c r="X984" s="137"/>
      <c r="Y984" s="2"/>
    </row>
    <row r="985" spans="2:25">
      <c r="B985" s="87">
        <f t="shared" si="179"/>
        <v>17</v>
      </c>
      <c r="C985" s="36"/>
      <c r="D985" s="10"/>
      <c r="E985" s="10"/>
      <c r="F985" s="62"/>
      <c r="G985" s="62"/>
      <c r="H985" s="62"/>
      <c r="I985" s="89">
        <f t="shared" si="178"/>
        <v>0</v>
      </c>
      <c r="J985" s="63"/>
      <c r="K985" s="63"/>
      <c r="L985" s="63"/>
      <c r="M985" s="63"/>
      <c r="N985" s="63"/>
      <c r="O985" s="63"/>
      <c r="P985" s="63"/>
      <c r="Q985" s="63"/>
      <c r="R985" s="63"/>
      <c r="S985" s="63"/>
      <c r="T985" s="63"/>
      <c r="U985" s="10"/>
      <c r="V985" s="90"/>
      <c r="W985" s="136"/>
      <c r="X985" s="137"/>
      <c r="Y985" s="2"/>
    </row>
    <row r="986" spans="2:25">
      <c r="B986" s="87">
        <f t="shared" si="179"/>
        <v>18</v>
      </c>
      <c r="C986" s="36"/>
      <c r="D986" s="10"/>
      <c r="E986" s="10"/>
      <c r="F986" s="62"/>
      <c r="G986" s="62"/>
      <c r="H986" s="62"/>
      <c r="I986" s="89">
        <f t="shared" si="178"/>
        <v>0</v>
      </c>
      <c r="J986" s="63"/>
      <c r="K986" s="63"/>
      <c r="L986" s="63"/>
      <c r="M986" s="63"/>
      <c r="N986" s="63"/>
      <c r="O986" s="63"/>
      <c r="P986" s="63"/>
      <c r="Q986" s="63"/>
      <c r="R986" s="63"/>
      <c r="S986" s="63"/>
      <c r="T986" s="63"/>
      <c r="U986" s="10"/>
      <c r="V986" s="90"/>
      <c r="W986" s="136"/>
      <c r="X986" s="137"/>
      <c r="Y986" s="2"/>
    </row>
    <row r="987" spans="2:25">
      <c r="B987" s="11"/>
      <c r="C987" s="36"/>
      <c r="D987" s="10"/>
      <c r="E987" s="10"/>
      <c r="F987" s="97">
        <f>SUM(F969:F986)</f>
        <v>0</v>
      </c>
      <c r="G987" s="97">
        <f>SUM(G969:G986)</f>
        <v>0</v>
      </c>
      <c r="H987" s="97">
        <f>SUM(H969:H986)</f>
        <v>0</v>
      </c>
      <c r="I987" s="98">
        <f>SUM(I969:I986)</f>
        <v>0</v>
      </c>
      <c r="J987" s="10"/>
      <c r="K987" s="10"/>
      <c r="L987" s="10"/>
      <c r="M987" s="10"/>
      <c r="N987" s="10"/>
      <c r="O987" s="10"/>
      <c r="P987" s="10"/>
      <c r="Q987" s="10"/>
      <c r="R987" s="10"/>
      <c r="S987" s="10"/>
      <c r="T987" s="63"/>
      <c r="U987" s="10"/>
      <c r="V987" s="138"/>
      <c r="W987" s="136"/>
      <c r="X987" s="137"/>
      <c r="Y987" s="2"/>
    </row>
    <row r="988" spans="2:25">
      <c r="B988" s="11"/>
      <c r="C988" s="36"/>
      <c r="D988" s="10"/>
      <c r="E988" s="10"/>
      <c r="F988" s="88"/>
      <c r="G988" s="88"/>
      <c r="H988" s="88"/>
      <c r="I988" s="99"/>
      <c r="J988" s="10"/>
      <c r="K988" s="10"/>
      <c r="L988" s="10"/>
      <c r="M988" s="10"/>
      <c r="N988" s="10"/>
      <c r="O988" s="10"/>
      <c r="P988" s="10"/>
      <c r="Q988" s="10"/>
      <c r="R988" s="10"/>
      <c r="S988" s="10"/>
      <c r="T988" s="63"/>
      <c r="U988" s="10"/>
      <c r="V988" s="138"/>
      <c r="W988" s="136"/>
      <c r="X988" s="137"/>
      <c r="Y988" s="2"/>
    </row>
    <row r="989" spans="2:25">
      <c r="B989" s="100" t="s">
        <v>73</v>
      </c>
      <c r="C989" s="36"/>
      <c r="D989" s="10"/>
      <c r="E989" s="10"/>
      <c r="F989" s="88"/>
      <c r="G989" s="88"/>
      <c r="H989" s="88"/>
      <c r="I989" s="99"/>
      <c r="J989" s="63"/>
      <c r="K989" s="63"/>
      <c r="L989" s="63"/>
      <c r="M989" s="63"/>
      <c r="N989" s="63"/>
      <c r="O989" s="63"/>
      <c r="P989" s="63"/>
      <c r="Q989" s="63"/>
      <c r="R989" s="63"/>
      <c r="S989" s="63"/>
      <c r="T989" s="63"/>
      <c r="U989" s="94"/>
      <c r="V989" s="90"/>
      <c r="W989" s="91"/>
      <c r="X989" s="92"/>
      <c r="Y989" s="2"/>
    </row>
    <row r="990" spans="2:25">
      <c r="B990" s="87">
        <v>1</v>
      </c>
      <c r="C990" s="36"/>
      <c r="D990" s="10"/>
      <c r="E990" s="10"/>
      <c r="F990" s="62"/>
      <c r="G990" s="62"/>
      <c r="H990" s="62"/>
      <c r="I990" s="89">
        <f t="shared" ref="I990:I995" si="180">F990-G990-H990</f>
        <v>0</v>
      </c>
      <c r="J990" s="63"/>
      <c r="K990" s="63"/>
      <c r="L990" s="63"/>
      <c r="M990" s="63"/>
      <c r="N990" s="63"/>
      <c r="O990" s="63"/>
      <c r="P990" s="63"/>
      <c r="Q990" s="63"/>
      <c r="R990" s="63"/>
      <c r="S990" s="63"/>
      <c r="T990" s="63"/>
      <c r="U990" s="139"/>
      <c r="V990" s="90"/>
      <c r="W990" s="91"/>
      <c r="X990" s="92"/>
      <c r="Y990" s="2"/>
    </row>
    <row r="991" spans="2:25">
      <c r="B991" s="87">
        <f>B990+1</f>
        <v>2</v>
      </c>
      <c r="C991" s="36"/>
      <c r="D991" s="10"/>
      <c r="E991" s="10"/>
      <c r="F991" s="62"/>
      <c r="G991" s="62"/>
      <c r="H991" s="62"/>
      <c r="I991" s="89">
        <f t="shared" si="180"/>
        <v>0</v>
      </c>
      <c r="J991" s="63"/>
      <c r="K991" s="63"/>
      <c r="L991" s="63"/>
      <c r="M991" s="63"/>
      <c r="N991" s="63"/>
      <c r="O991" s="63"/>
      <c r="P991" s="63"/>
      <c r="Q991" s="63"/>
      <c r="R991" s="63"/>
      <c r="S991" s="63"/>
      <c r="T991" s="63"/>
      <c r="U991" s="94"/>
      <c r="V991" s="90"/>
      <c r="W991" s="136"/>
      <c r="X991" s="137"/>
      <c r="Y991" s="2"/>
    </row>
    <row r="992" spans="2:25">
      <c r="B992" s="87">
        <f>B991+1</f>
        <v>3</v>
      </c>
      <c r="C992" s="36"/>
      <c r="D992" s="10"/>
      <c r="E992" s="10"/>
      <c r="F992" s="62"/>
      <c r="G992" s="62"/>
      <c r="H992" s="62"/>
      <c r="I992" s="89">
        <f t="shared" si="180"/>
        <v>0</v>
      </c>
      <c r="J992" s="63"/>
      <c r="K992" s="63"/>
      <c r="L992" s="63"/>
      <c r="M992" s="63"/>
      <c r="N992" s="63"/>
      <c r="O992" s="63"/>
      <c r="P992" s="63"/>
      <c r="Q992" s="63"/>
      <c r="R992" s="63"/>
      <c r="S992" s="63"/>
      <c r="T992" s="63"/>
      <c r="U992" s="94"/>
      <c r="V992" s="90"/>
      <c r="W992" s="136"/>
      <c r="X992" s="137"/>
      <c r="Y992" s="2"/>
    </row>
    <row r="993" spans="2:25">
      <c r="B993" s="87">
        <f>B992+1</f>
        <v>4</v>
      </c>
      <c r="C993" s="36"/>
      <c r="D993" s="10"/>
      <c r="E993" s="10"/>
      <c r="F993" s="62"/>
      <c r="G993" s="62"/>
      <c r="H993" s="62"/>
      <c r="I993" s="89">
        <f t="shared" si="180"/>
        <v>0</v>
      </c>
      <c r="J993" s="63"/>
      <c r="K993" s="63"/>
      <c r="L993" s="63"/>
      <c r="M993" s="63"/>
      <c r="N993" s="63"/>
      <c r="O993" s="63"/>
      <c r="P993" s="63"/>
      <c r="Q993" s="63"/>
      <c r="R993" s="63"/>
      <c r="S993" s="63"/>
      <c r="T993" s="63"/>
      <c r="U993" s="94"/>
      <c r="V993" s="90"/>
      <c r="W993" s="136"/>
      <c r="X993" s="137"/>
      <c r="Y993" s="2"/>
    </row>
    <row r="994" spans="2:25">
      <c r="B994" s="87">
        <f>B993+1</f>
        <v>5</v>
      </c>
      <c r="C994" s="36"/>
      <c r="D994" s="10"/>
      <c r="E994" s="10"/>
      <c r="F994" s="62"/>
      <c r="G994" s="62"/>
      <c r="H994" s="62"/>
      <c r="I994" s="89">
        <f t="shared" si="180"/>
        <v>0</v>
      </c>
      <c r="J994" s="63"/>
      <c r="K994" s="63"/>
      <c r="L994" s="63"/>
      <c r="M994" s="63"/>
      <c r="N994" s="63"/>
      <c r="O994" s="63"/>
      <c r="P994" s="63"/>
      <c r="Q994" s="63"/>
      <c r="R994" s="63"/>
      <c r="S994" s="63"/>
      <c r="T994" s="63"/>
      <c r="U994" s="94"/>
      <c r="V994" s="90"/>
      <c r="W994" s="136"/>
      <c r="X994" s="137"/>
      <c r="Y994" s="2"/>
    </row>
    <row r="995" spans="2:25">
      <c r="B995" s="87">
        <f>B994+1</f>
        <v>6</v>
      </c>
      <c r="C995" s="36"/>
      <c r="D995" s="10"/>
      <c r="E995" s="101"/>
      <c r="F995" s="62"/>
      <c r="G995" s="62"/>
      <c r="H995" s="62"/>
      <c r="I995" s="89">
        <f t="shared" si="180"/>
        <v>0</v>
      </c>
      <c r="J995" s="63"/>
      <c r="K995" s="63"/>
      <c r="L995" s="63"/>
      <c r="M995" s="63"/>
      <c r="N995" s="63"/>
      <c r="O995" s="63"/>
      <c r="P995" s="63"/>
      <c r="Q995" s="63"/>
      <c r="R995" s="63"/>
      <c r="S995" s="63"/>
      <c r="T995" s="63"/>
      <c r="U995" s="94"/>
      <c r="V995" s="90"/>
      <c r="W995" s="136"/>
      <c r="X995" s="137"/>
      <c r="Y995" s="2"/>
    </row>
    <row r="996" spans="2:25">
      <c r="B996" s="11"/>
      <c r="C996" s="609"/>
      <c r="D996" s="10"/>
      <c r="E996" s="10"/>
      <c r="F996" s="97">
        <f>SUM(F990:F995)</f>
        <v>0</v>
      </c>
      <c r="G996" s="97">
        <f>SUM(G990:G995)</f>
        <v>0</v>
      </c>
      <c r="H996" s="97">
        <f>SUM(H990:H995)</f>
        <v>0</v>
      </c>
      <c r="I996" s="98">
        <f>SUM(I990:I995)</f>
        <v>0</v>
      </c>
      <c r="J996" s="10"/>
      <c r="K996" s="10"/>
      <c r="L996" s="10"/>
      <c r="M996" s="10"/>
      <c r="N996" s="10"/>
      <c r="O996" s="10"/>
      <c r="P996" s="10"/>
      <c r="Q996" s="10"/>
      <c r="R996" s="10"/>
      <c r="S996" s="10"/>
      <c r="T996" s="63"/>
      <c r="U996" s="94"/>
      <c r="V996" s="90"/>
      <c r="W996" s="91"/>
      <c r="X996" s="92"/>
      <c r="Y996" s="2"/>
    </row>
    <row r="997" spans="2:25">
      <c r="B997" s="26"/>
      <c r="C997" s="612"/>
      <c r="D997" s="141"/>
      <c r="E997" s="141"/>
      <c r="F997" s="141"/>
      <c r="G997" s="141"/>
      <c r="H997" s="141"/>
      <c r="I997" s="141"/>
      <c r="J997" s="141"/>
      <c r="K997" s="142"/>
      <c r="L997" s="142"/>
      <c r="M997" s="142"/>
      <c r="N997" s="142"/>
      <c r="O997" s="142"/>
      <c r="P997" s="142"/>
      <c r="Q997" s="142"/>
      <c r="R997" s="142"/>
      <c r="S997" s="142"/>
      <c r="T997" s="143">
        <f>SUM(T883:T996)</f>
        <v>0</v>
      </c>
      <c r="U997" s="141"/>
      <c r="V997" s="144">
        <f>SUM(V883:V996)</f>
        <v>4950.8999999999996</v>
      </c>
      <c r="W997" s="145">
        <f>SUM(W883:W996)</f>
        <v>0</v>
      </c>
      <c r="X997" s="146">
        <f>SUM(X883:X996)</f>
        <v>0</v>
      </c>
      <c r="Y997" s="2"/>
    </row>
    <row r="998" spans="2:25">
      <c r="B998" s="10"/>
      <c r="C998" s="36"/>
      <c r="D998" s="10"/>
      <c r="E998" s="10"/>
      <c r="F998" s="10"/>
      <c r="G998" s="10"/>
      <c r="H998" s="10"/>
      <c r="I998" s="10"/>
      <c r="J998" s="10"/>
      <c r="K998" s="147"/>
      <c r="L998" s="147"/>
      <c r="M998" s="147"/>
      <c r="N998" s="147"/>
      <c r="O998" s="147"/>
      <c r="P998" s="147"/>
      <c r="Q998" s="147"/>
      <c r="R998" s="147"/>
      <c r="S998" s="147"/>
      <c r="T998" s="21"/>
      <c r="U998" s="10"/>
      <c r="V998" s="99"/>
      <c r="W998" s="99"/>
      <c r="X998" s="99"/>
      <c r="Y998" s="2"/>
    </row>
  </sheetData>
  <mergeCells count="18">
    <mergeCell ref="H10:J11"/>
    <mergeCell ref="K131:Q131"/>
    <mergeCell ref="K198:Q198"/>
    <mergeCell ref="H264:J265"/>
    <mergeCell ref="K417:Q417"/>
    <mergeCell ref="K341:Q341"/>
    <mergeCell ref="K272:Q272"/>
    <mergeCell ref="K18:Q18"/>
    <mergeCell ref="K64:Q64"/>
    <mergeCell ref="H409:J410"/>
    <mergeCell ref="K871:Q871"/>
    <mergeCell ref="K764:Q764"/>
    <mergeCell ref="K676:Q676"/>
    <mergeCell ref="K590:Q590"/>
    <mergeCell ref="H497:J498"/>
    <mergeCell ref="K505:Q505"/>
    <mergeCell ref="H582:J583"/>
    <mergeCell ref="H668:J669"/>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54F28-9E80-42AC-B2F4-58C209925E76}">
  <sheetPr>
    <tabColor rgb="FFFFC000"/>
  </sheetPr>
  <dimension ref="A3:X33"/>
  <sheetViews>
    <sheetView workbookViewId="0">
      <selection activeCell="H24" sqref="H24"/>
    </sheetView>
  </sheetViews>
  <sheetFormatPr defaultRowHeight="15"/>
  <cols>
    <col min="5" max="5" width="25.7109375" customWidth="1"/>
    <col min="6" max="6" width="14.140625" customWidth="1"/>
    <col min="7" max="7" width="15" customWidth="1"/>
  </cols>
  <sheetData>
    <row r="3" spans="1:24">
      <c r="A3" s="3"/>
      <c r="B3" s="4" t="s">
        <v>1</v>
      </c>
      <c r="C3" s="5"/>
      <c r="D3" s="6"/>
      <c r="E3" s="6"/>
      <c r="F3" s="7" t="s">
        <v>2</v>
      </c>
      <c r="G3" s="8">
        <v>45970</v>
      </c>
      <c r="H3" s="7"/>
      <c r="I3" s="6"/>
      <c r="J3" s="6"/>
      <c r="K3" s="6"/>
      <c r="L3" s="6"/>
      <c r="M3" s="6"/>
      <c r="N3" s="6"/>
      <c r="O3" s="6"/>
      <c r="P3" s="6"/>
      <c r="Q3" s="6"/>
      <c r="R3" s="6"/>
      <c r="S3" s="6"/>
      <c r="T3" s="6"/>
      <c r="U3" s="9"/>
      <c r="V3" s="10"/>
      <c r="W3" s="10"/>
      <c r="X3" s="10"/>
    </row>
    <row r="4" spans="1:24">
      <c r="A4" s="2"/>
      <c r="B4" s="11"/>
      <c r="C4" s="10"/>
      <c r="D4" s="10"/>
      <c r="E4" s="10"/>
      <c r="F4" s="10"/>
      <c r="G4" s="7"/>
      <c r="H4" s="12"/>
      <c r="I4" s="10"/>
      <c r="J4" s="10"/>
      <c r="K4" s="13" t="s">
        <v>3</v>
      </c>
      <c r="L4" s="14"/>
      <c r="M4" s="15"/>
      <c r="N4" s="13" t="s">
        <v>4</v>
      </c>
      <c r="O4" s="14"/>
      <c r="P4" s="15"/>
      <c r="Q4" s="13" t="s">
        <v>5</v>
      </c>
      <c r="R4" s="14"/>
      <c r="S4" s="15"/>
      <c r="T4" s="16"/>
      <c r="U4" s="17"/>
      <c r="V4" s="10"/>
      <c r="W4" s="10"/>
      <c r="X4" s="10"/>
    </row>
    <row r="5" spans="1:24">
      <c r="A5" s="2"/>
      <c r="B5" s="18" t="s">
        <v>6</v>
      </c>
      <c r="C5" s="19">
        <f>C6+C7</f>
        <v>0</v>
      </c>
      <c r="D5" s="10"/>
      <c r="E5" s="18" t="s">
        <v>7</v>
      </c>
      <c r="F5" s="6"/>
      <c r="G5" s="9"/>
      <c r="H5" s="10"/>
      <c r="I5" s="10"/>
      <c r="J5" s="10"/>
      <c r="K5" s="20" t="s">
        <v>8</v>
      </c>
      <c r="L5" s="21" t="s">
        <v>9</v>
      </c>
      <c r="M5" s="21" t="s">
        <v>10</v>
      </c>
      <c r="N5" s="20" t="s">
        <v>11</v>
      </c>
      <c r="O5" s="21" t="s">
        <v>12</v>
      </c>
      <c r="P5" s="22" t="s">
        <v>13</v>
      </c>
      <c r="Q5" s="21" t="s">
        <v>11</v>
      </c>
      <c r="R5" s="21" t="s">
        <v>12</v>
      </c>
      <c r="S5" s="22" t="s">
        <v>13</v>
      </c>
      <c r="T5" s="23" t="s">
        <v>14</v>
      </c>
      <c r="U5" s="17"/>
      <c r="V5" s="10"/>
      <c r="W5" s="10"/>
      <c r="X5" s="10"/>
    </row>
    <row r="6" spans="1:24">
      <c r="A6" s="2"/>
      <c r="B6" s="24" t="s">
        <v>15</v>
      </c>
      <c r="C6" s="25">
        <f>P13</f>
        <v>0</v>
      </c>
      <c r="D6" s="10"/>
      <c r="E6" s="26" t="s">
        <v>16</v>
      </c>
      <c r="F6" s="27">
        <v>0.05</v>
      </c>
      <c r="G6" s="28"/>
      <c r="H6" s="10"/>
      <c r="I6" s="10"/>
      <c r="J6" s="18" t="s">
        <v>17</v>
      </c>
      <c r="K6" s="29">
        <f>K32</f>
        <v>0</v>
      </c>
      <c r="L6" s="29">
        <f t="shared" ref="L6:S6" si="0">L32</f>
        <v>0</v>
      </c>
      <c r="M6" s="29">
        <f t="shared" si="0"/>
        <v>0</v>
      </c>
      <c r="N6" s="29">
        <f t="shared" si="0"/>
        <v>0</v>
      </c>
      <c r="O6" s="29">
        <f t="shared" si="0"/>
        <v>0</v>
      </c>
      <c r="P6" s="29">
        <f t="shared" si="0"/>
        <v>0</v>
      </c>
      <c r="Q6" s="29">
        <f t="shared" si="0"/>
        <v>0</v>
      </c>
      <c r="R6" s="29">
        <f t="shared" si="0"/>
        <v>0</v>
      </c>
      <c r="S6" s="29">
        <f t="shared" si="0"/>
        <v>0</v>
      </c>
      <c r="T6" s="30">
        <f>T33</f>
        <v>0</v>
      </c>
      <c r="U6" s="17"/>
      <c r="V6" s="10"/>
      <c r="W6" s="10"/>
      <c r="X6" s="10"/>
    </row>
    <row r="7" spans="1:24">
      <c r="A7" s="2"/>
      <c r="B7" s="24" t="s">
        <v>18</v>
      </c>
      <c r="C7" s="25">
        <f>P14</f>
        <v>0</v>
      </c>
      <c r="D7" s="10"/>
      <c r="E7" s="10"/>
      <c r="F7" s="10"/>
      <c r="G7" s="31"/>
      <c r="H7" s="10"/>
      <c r="I7" s="10"/>
      <c r="J7" s="32" t="s">
        <v>19</v>
      </c>
      <c r="K7" s="33" t="e">
        <f>K32/K31</f>
        <v>#DIV/0!</v>
      </c>
      <c r="L7" s="33" t="e">
        <f t="shared" ref="L7:S7" si="1">L32/L31</f>
        <v>#DIV/0!</v>
      </c>
      <c r="M7" s="33" t="e">
        <f t="shared" si="1"/>
        <v>#DIV/0!</v>
      </c>
      <c r="N7" s="33" t="e">
        <f t="shared" si="1"/>
        <v>#DIV/0!</v>
      </c>
      <c r="O7" s="33" t="e">
        <f t="shared" si="1"/>
        <v>#DIV/0!</v>
      </c>
      <c r="P7" s="33" t="e">
        <f t="shared" si="1"/>
        <v>#DIV/0!</v>
      </c>
      <c r="Q7" s="33" t="e">
        <f t="shared" si="1"/>
        <v>#DIV/0!</v>
      </c>
      <c r="R7" s="33" t="e">
        <f t="shared" si="1"/>
        <v>#DIV/0!</v>
      </c>
      <c r="S7" s="33" t="e">
        <f t="shared" si="1"/>
        <v>#DIV/0!</v>
      </c>
      <c r="T7" s="23"/>
      <c r="U7" s="17" t="s">
        <v>20</v>
      </c>
      <c r="V7" s="10"/>
      <c r="W7" s="10"/>
      <c r="X7" s="10"/>
    </row>
    <row r="8" spans="1:24">
      <c r="A8" s="2"/>
      <c r="B8" s="24" t="s">
        <v>21</v>
      </c>
      <c r="C8" s="34" t="e">
        <f>P15</f>
        <v>#DIV/0!</v>
      </c>
      <c r="D8" s="10"/>
      <c r="E8" s="10"/>
      <c r="F8" s="10"/>
      <c r="G8" s="10"/>
      <c r="H8" s="10"/>
      <c r="I8" s="10"/>
      <c r="J8" s="10"/>
      <c r="K8" s="10"/>
      <c r="L8" s="10"/>
      <c r="M8" s="10"/>
      <c r="N8" s="10"/>
      <c r="O8" s="10"/>
      <c r="P8" s="10"/>
      <c r="Q8" s="10"/>
      <c r="R8" s="10"/>
      <c r="S8" s="10"/>
      <c r="T8" s="10"/>
      <c r="U8" s="17"/>
      <c r="V8" s="10"/>
      <c r="W8" s="10"/>
      <c r="X8" s="10"/>
    </row>
    <row r="9" spans="1:24">
      <c r="A9" s="2"/>
      <c r="B9" s="24"/>
      <c r="C9" s="25"/>
      <c r="D9" s="10"/>
      <c r="E9" s="10"/>
      <c r="F9" s="18" t="s">
        <v>22</v>
      </c>
      <c r="G9" s="19" t="s">
        <v>23</v>
      </c>
      <c r="H9" s="35" t="s">
        <v>24</v>
      </c>
      <c r="I9" s="10"/>
      <c r="J9" s="10"/>
      <c r="K9" s="36"/>
      <c r="L9" s="36"/>
      <c r="M9" s="36"/>
      <c r="N9" s="36"/>
      <c r="O9" s="36"/>
      <c r="P9" s="36"/>
      <c r="Q9" s="36"/>
      <c r="R9" s="10"/>
      <c r="S9" s="10"/>
      <c r="T9" s="10"/>
      <c r="U9" s="17"/>
      <c r="V9" s="10"/>
      <c r="W9" s="10"/>
      <c r="X9" s="10"/>
    </row>
    <row r="10" spans="1:24">
      <c r="A10" s="2"/>
      <c r="B10" s="32" t="s">
        <v>25</v>
      </c>
      <c r="C10" s="37" t="e">
        <f>P16</f>
        <v>#DIV/0!</v>
      </c>
      <c r="D10" s="10"/>
      <c r="E10" s="18" t="s">
        <v>26</v>
      </c>
      <c r="F10" s="38">
        <f>P12</f>
        <v>0</v>
      </c>
      <c r="G10" s="39">
        <f>I31</f>
        <v>0</v>
      </c>
      <c r="H10" s="40"/>
      <c r="I10" s="41"/>
      <c r="J10" s="42"/>
      <c r="K10" s="43" t="s">
        <v>27</v>
      </c>
      <c r="L10" s="44"/>
      <c r="M10" s="44"/>
      <c r="N10" s="44"/>
      <c r="O10" s="44"/>
      <c r="P10" s="44"/>
      <c r="Q10" s="45"/>
      <c r="R10" s="46" t="s">
        <v>28</v>
      </c>
      <c r="S10" s="47" t="s">
        <v>29</v>
      </c>
      <c r="T10" s="10"/>
      <c r="U10" s="17"/>
      <c r="V10" s="10"/>
      <c r="W10" s="10"/>
      <c r="X10" s="10"/>
    </row>
    <row r="11" spans="1:24">
      <c r="A11" s="2"/>
      <c r="B11" s="11"/>
      <c r="C11" s="10"/>
      <c r="D11" s="10"/>
      <c r="E11" s="24" t="s">
        <v>30</v>
      </c>
      <c r="F11" s="48">
        <f>F6</f>
        <v>0.05</v>
      </c>
      <c r="G11" s="17"/>
      <c r="H11" s="40"/>
      <c r="I11" s="41"/>
      <c r="J11" s="42"/>
      <c r="K11" s="20" t="s">
        <v>31</v>
      </c>
      <c r="L11" s="21" t="s">
        <v>32</v>
      </c>
      <c r="M11" s="21" t="s">
        <v>33</v>
      </c>
      <c r="N11" s="21" t="s">
        <v>34</v>
      </c>
      <c r="O11" s="21" t="s">
        <v>35</v>
      </c>
      <c r="P11" s="21" t="s">
        <v>36</v>
      </c>
      <c r="Q11" s="49" t="s">
        <v>37</v>
      </c>
      <c r="R11" s="50" t="s">
        <v>38</v>
      </c>
      <c r="S11" s="50" t="s">
        <v>38</v>
      </c>
      <c r="T11" s="10"/>
      <c r="U11" s="17"/>
      <c r="V11" s="10"/>
      <c r="W11" s="10"/>
      <c r="X11" s="10"/>
    </row>
    <row r="12" spans="1:24">
      <c r="A12" s="2"/>
      <c r="B12" s="11"/>
      <c r="C12" s="10"/>
      <c r="D12" s="10"/>
      <c r="E12" s="51" t="s">
        <v>39</v>
      </c>
      <c r="F12" s="52">
        <f>F10*F11</f>
        <v>0</v>
      </c>
      <c r="G12" s="53" t="s">
        <v>40</v>
      </c>
      <c r="H12" s="54">
        <f>F12/1.12</f>
        <v>0</v>
      </c>
      <c r="I12" s="55"/>
      <c r="J12" s="42"/>
      <c r="K12" s="56"/>
      <c r="L12" s="57"/>
      <c r="M12" s="57"/>
      <c r="N12" s="57"/>
      <c r="O12" s="57"/>
      <c r="P12" s="57">
        <f>SUM(K12:O12)</f>
        <v>0</v>
      </c>
      <c r="Q12" s="58">
        <v>0</v>
      </c>
      <c r="R12" s="59">
        <v>0</v>
      </c>
      <c r="S12" s="59">
        <v>0</v>
      </c>
      <c r="T12" s="10"/>
      <c r="U12" s="17"/>
      <c r="V12" s="10"/>
      <c r="W12" s="10"/>
      <c r="X12" s="10"/>
    </row>
    <row r="13" spans="1:24">
      <c r="A13" s="2"/>
      <c r="B13" s="11"/>
      <c r="C13" s="10"/>
      <c r="D13" s="10"/>
      <c r="E13" s="24" t="s">
        <v>41</v>
      </c>
      <c r="F13" s="60">
        <f>Q12</f>
        <v>0</v>
      </c>
      <c r="G13" s="61" t="s">
        <v>40</v>
      </c>
      <c r="H13" s="62"/>
      <c r="I13" s="62"/>
      <c r="J13" s="10" t="s">
        <v>42</v>
      </c>
      <c r="K13" s="63"/>
      <c r="L13" s="63"/>
      <c r="M13" s="63"/>
      <c r="N13" s="63"/>
      <c r="O13" s="63"/>
      <c r="P13" s="21">
        <f>SUM(K13:O13)</f>
        <v>0</v>
      </c>
      <c r="Q13" s="64"/>
      <c r="R13" s="63"/>
      <c r="S13" s="10"/>
      <c r="T13" s="10"/>
      <c r="U13" s="17"/>
      <c r="V13" s="10"/>
      <c r="W13" s="10"/>
      <c r="X13" s="10"/>
    </row>
    <row r="14" spans="1:24">
      <c r="A14" s="2"/>
      <c r="B14" s="11"/>
      <c r="C14" s="10"/>
      <c r="D14" s="10"/>
      <c r="E14" s="51" t="s">
        <v>43</v>
      </c>
      <c r="F14" s="52">
        <f>F13*0.25</f>
        <v>0</v>
      </c>
      <c r="G14" s="53" t="s">
        <v>40</v>
      </c>
      <c r="H14" s="54">
        <f>F14/1.12</f>
        <v>0</v>
      </c>
      <c r="I14" s="10"/>
      <c r="J14" s="10" t="s">
        <v>44</v>
      </c>
      <c r="K14" s="63"/>
      <c r="L14" s="63"/>
      <c r="M14" s="63"/>
      <c r="N14" s="63"/>
      <c r="O14" s="63"/>
      <c r="P14" s="21">
        <f>SUM(K14:O14)</f>
        <v>0</v>
      </c>
      <c r="Q14" s="64"/>
      <c r="R14" s="63"/>
      <c r="S14" s="10"/>
      <c r="T14" s="10"/>
      <c r="U14" s="17"/>
      <c r="V14" s="10"/>
      <c r="W14" s="10"/>
      <c r="X14" s="10"/>
    </row>
    <row r="15" spans="1:24">
      <c r="A15" s="2"/>
      <c r="B15" s="11"/>
      <c r="C15" s="10"/>
      <c r="D15" s="10"/>
      <c r="E15" s="24" t="s">
        <v>45</v>
      </c>
      <c r="F15" s="60"/>
      <c r="G15" s="61" t="s">
        <v>40</v>
      </c>
      <c r="H15" s="62"/>
      <c r="I15" s="10"/>
      <c r="J15" s="10" t="s">
        <v>46</v>
      </c>
      <c r="K15" s="31" t="e">
        <f t="shared" ref="K15:Q15" si="2">K13/(K13+K14)</f>
        <v>#DIV/0!</v>
      </c>
      <c r="L15" s="31" t="e">
        <f t="shared" si="2"/>
        <v>#DIV/0!</v>
      </c>
      <c r="M15" s="31" t="e">
        <f t="shared" si="2"/>
        <v>#DIV/0!</v>
      </c>
      <c r="N15" s="31" t="e">
        <f t="shared" si="2"/>
        <v>#DIV/0!</v>
      </c>
      <c r="O15" s="31" t="e">
        <f t="shared" si="2"/>
        <v>#DIV/0!</v>
      </c>
      <c r="P15" s="31" t="e">
        <f t="shared" si="2"/>
        <v>#DIV/0!</v>
      </c>
      <c r="Q15" s="31" t="e">
        <f t="shared" si="2"/>
        <v>#DIV/0!</v>
      </c>
      <c r="R15" s="63"/>
      <c r="S15" s="10"/>
      <c r="T15" s="10"/>
      <c r="U15" s="17"/>
      <c r="V15" s="10"/>
      <c r="W15" s="10"/>
      <c r="X15" s="10"/>
    </row>
    <row r="16" spans="1:24">
      <c r="A16" s="2"/>
      <c r="B16" s="11"/>
      <c r="C16" s="10"/>
      <c r="D16" s="10"/>
      <c r="E16" s="51" t="s">
        <v>47</v>
      </c>
      <c r="F16" s="52">
        <f>F15*0.05</f>
        <v>0</v>
      </c>
      <c r="G16" s="65" t="s">
        <v>40</v>
      </c>
      <c r="H16" s="54">
        <f>F16/1.12</f>
        <v>0</v>
      </c>
      <c r="I16" s="42"/>
      <c r="J16" s="10" t="s">
        <v>48</v>
      </c>
      <c r="K16" s="66" t="e">
        <f>K12/K13</f>
        <v>#DIV/0!</v>
      </c>
      <c r="L16" s="66" t="e">
        <f t="shared" ref="L16:Q16" si="3">L12/L13</f>
        <v>#DIV/0!</v>
      </c>
      <c r="M16" s="66" t="e">
        <f t="shared" si="3"/>
        <v>#DIV/0!</v>
      </c>
      <c r="N16" s="66" t="e">
        <f t="shared" si="3"/>
        <v>#DIV/0!</v>
      </c>
      <c r="O16" s="66" t="e">
        <f t="shared" si="3"/>
        <v>#DIV/0!</v>
      </c>
      <c r="P16" s="66" t="e">
        <f t="shared" si="3"/>
        <v>#DIV/0!</v>
      </c>
      <c r="Q16" s="66" t="e">
        <f t="shared" si="3"/>
        <v>#DIV/0!</v>
      </c>
      <c r="R16" s="63"/>
      <c r="S16" s="10"/>
      <c r="T16" s="10"/>
      <c r="U16" s="17"/>
      <c r="V16" s="10"/>
      <c r="W16" s="10"/>
      <c r="X16" s="10"/>
    </row>
    <row r="17" spans="1:24">
      <c r="A17" s="2"/>
      <c r="B17" s="11"/>
      <c r="C17" s="10"/>
      <c r="D17" s="10"/>
      <c r="E17" s="67" t="s">
        <v>14</v>
      </c>
      <c r="F17" s="68"/>
      <c r="G17" s="10"/>
      <c r="H17" s="54">
        <f>F17/1.12</f>
        <v>0</v>
      </c>
      <c r="I17" s="10"/>
      <c r="J17" s="10"/>
      <c r="K17" s="10"/>
      <c r="L17" s="10"/>
      <c r="M17" s="10"/>
      <c r="N17" s="10"/>
      <c r="O17" s="10"/>
      <c r="P17" s="10"/>
      <c r="Q17" s="10"/>
      <c r="R17" s="10"/>
      <c r="S17" s="10"/>
      <c r="T17" s="10"/>
      <c r="U17" s="17"/>
      <c r="V17" s="10"/>
      <c r="W17" s="10"/>
      <c r="X17" s="10"/>
    </row>
    <row r="18" spans="1:24" ht="15" customHeight="1">
      <c r="A18" s="2"/>
      <c r="B18" s="11"/>
      <c r="C18" s="10"/>
      <c r="D18" s="10"/>
      <c r="E18" s="155" t="s">
        <v>49</v>
      </c>
      <c r="F18" s="364">
        <f>T7</f>
        <v>0</v>
      </c>
      <c r="G18" s="10"/>
      <c r="H18" s="54"/>
      <c r="I18" s="55"/>
      <c r="J18" s="42"/>
      <c r="K18" s="764" t="s">
        <v>50</v>
      </c>
      <c r="L18" s="765"/>
      <c r="M18" s="765"/>
      <c r="N18" s="765"/>
      <c r="O18" s="765"/>
      <c r="P18" s="765"/>
      <c r="Q18" s="766"/>
      <c r="R18" s="70" t="s">
        <v>28</v>
      </c>
      <c r="S18" s="71" t="s">
        <v>29</v>
      </c>
      <c r="T18" s="10"/>
      <c r="U18" s="17"/>
      <c r="V18" s="10"/>
      <c r="W18" s="10"/>
      <c r="X18" s="10"/>
    </row>
    <row r="19" spans="1:24">
      <c r="A19" s="2"/>
      <c r="B19" s="11"/>
      <c r="C19" s="10"/>
      <c r="D19" s="10"/>
      <c r="E19" s="12"/>
      <c r="F19" s="76"/>
      <c r="G19" s="10"/>
      <c r="H19" s="10"/>
      <c r="I19" s="10"/>
      <c r="J19" s="42"/>
      <c r="K19" s="20" t="s">
        <v>31</v>
      </c>
      <c r="L19" s="21" t="s">
        <v>32</v>
      </c>
      <c r="M19" s="21" t="s">
        <v>33</v>
      </c>
      <c r="N19" s="21" t="s">
        <v>34</v>
      </c>
      <c r="O19" s="21" t="s">
        <v>35</v>
      </c>
      <c r="P19" s="21" t="s">
        <v>36</v>
      </c>
      <c r="Q19" s="49" t="s">
        <v>37</v>
      </c>
      <c r="R19" s="50" t="s">
        <v>38</v>
      </c>
      <c r="S19" s="50" t="s">
        <v>38</v>
      </c>
      <c r="T19" s="10"/>
      <c r="U19" s="17"/>
      <c r="V19" s="10"/>
      <c r="W19" s="10"/>
      <c r="X19" s="10"/>
    </row>
    <row r="20" spans="1:24">
      <c r="A20" s="2"/>
      <c r="B20" s="11"/>
      <c r="C20" s="10"/>
      <c r="D20" s="10"/>
      <c r="E20" s="12"/>
      <c r="F20" s="76"/>
      <c r="G20" s="10"/>
      <c r="H20" s="10"/>
      <c r="I20" s="10"/>
      <c r="J20" s="42"/>
      <c r="K20" s="56"/>
      <c r="L20" s="57"/>
      <c r="M20" s="57"/>
      <c r="N20" s="57"/>
      <c r="O20" s="57"/>
      <c r="P20" s="57">
        <f>SUM(K20:O20)</f>
        <v>0</v>
      </c>
      <c r="Q20" s="58">
        <v>0</v>
      </c>
      <c r="R20" s="59">
        <v>0</v>
      </c>
      <c r="S20" s="59">
        <v>0</v>
      </c>
      <c r="T20" s="10"/>
      <c r="U20" s="17"/>
      <c r="V20" s="10"/>
      <c r="W20" s="10"/>
      <c r="X20" s="10"/>
    </row>
    <row r="21" spans="1:24">
      <c r="A21" s="2"/>
      <c r="B21" s="11"/>
      <c r="C21" s="10"/>
      <c r="D21" s="10"/>
      <c r="E21" s="12"/>
      <c r="F21" s="76"/>
      <c r="G21" s="10"/>
      <c r="H21" s="10"/>
      <c r="I21" s="10"/>
      <c r="J21" s="10" t="s">
        <v>42</v>
      </c>
      <c r="K21" s="63">
        <f>K13</f>
        <v>0</v>
      </c>
      <c r="L21" s="63">
        <f t="shared" ref="L21:Q22" si="4">L13</f>
        <v>0</v>
      </c>
      <c r="M21" s="63">
        <f t="shared" si="4"/>
        <v>0</v>
      </c>
      <c r="N21" s="63">
        <f t="shared" si="4"/>
        <v>0</v>
      </c>
      <c r="O21" s="63">
        <f t="shared" si="4"/>
        <v>0</v>
      </c>
      <c r="P21" s="63">
        <f t="shared" si="4"/>
        <v>0</v>
      </c>
      <c r="Q21" s="63">
        <f t="shared" si="4"/>
        <v>0</v>
      </c>
      <c r="R21" s="63"/>
      <c r="S21" s="10"/>
      <c r="T21" s="10"/>
      <c r="U21" s="17"/>
      <c r="V21" s="10"/>
      <c r="W21" s="10"/>
      <c r="X21" s="10"/>
    </row>
    <row r="22" spans="1:24">
      <c r="A22" s="2"/>
      <c r="B22" s="11"/>
      <c r="C22" s="10"/>
      <c r="D22" s="10"/>
      <c r="E22" s="12"/>
      <c r="F22" s="76"/>
      <c r="G22" s="10"/>
      <c r="H22" s="10"/>
      <c r="I22" s="10"/>
      <c r="J22" s="10" t="s">
        <v>44</v>
      </c>
      <c r="K22" s="63">
        <f>K14</f>
        <v>0</v>
      </c>
      <c r="L22" s="63">
        <f t="shared" si="4"/>
        <v>0</v>
      </c>
      <c r="M22" s="63">
        <f t="shared" si="4"/>
        <v>0</v>
      </c>
      <c r="N22" s="63">
        <f t="shared" si="4"/>
        <v>0</v>
      </c>
      <c r="O22" s="63">
        <f t="shared" si="4"/>
        <v>0</v>
      </c>
      <c r="P22" s="63">
        <f t="shared" si="4"/>
        <v>0</v>
      </c>
      <c r="Q22" s="63">
        <f t="shared" si="4"/>
        <v>0</v>
      </c>
      <c r="R22" s="63"/>
      <c r="S22" s="10"/>
      <c r="T22" s="10"/>
      <c r="U22" s="17"/>
      <c r="V22" s="10"/>
      <c r="W22" s="10"/>
      <c r="X22" s="10"/>
    </row>
    <row r="23" spans="1:24">
      <c r="A23" s="2"/>
      <c r="B23" s="11"/>
      <c r="C23" s="10"/>
      <c r="D23" s="10"/>
      <c r="E23" s="12"/>
      <c r="F23" s="76"/>
      <c r="G23" s="10"/>
      <c r="H23" s="10"/>
      <c r="I23" s="10"/>
      <c r="J23" s="10" t="s">
        <v>46</v>
      </c>
      <c r="K23" s="31" t="e">
        <f t="shared" ref="K23:Q23" si="5">K21/(K21+K22)</f>
        <v>#DIV/0!</v>
      </c>
      <c r="L23" s="31" t="e">
        <f t="shared" si="5"/>
        <v>#DIV/0!</v>
      </c>
      <c r="M23" s="31" t="e">
        <f t="shared" si="5"/>
        <v>#DIV/0!</v>
      </c>
      <c r="N23" s="31" t="e">
        <f t="shared" si="5"/>
        <v>#DIV/0!</v>
      </c>
      <c r="O23" s="31" t="e">
        <f t="shared" si="5"/>
        <v>#DIV/0!</v>
      </c>
      <c r="P23" s="31" t="e">
        <f t="shared" si="5"/>
        <v>#DIV/0!</v>
      </c>
      <c r="Q23" s="31" t="e">
        <f t="shared" si="5"/>
        <v>#DIV/0!</v>
      </c>
      <c r="R23" s="63"/>
      <c r="S23" s="10"/>
      <c r="T23" s="10"/>
      <c r="U23" s="17"/>
      <c r="V23" s="10"/>
      <c r="W23" s="10"/>
      <c r="X23" s="10"/>
    </row>
    <row r="24" spans="1:24">
      <c r="A24" s="2"/>
      <c r="B24" s="11"/>
      <c r="C24" s="10"/>
      <c r="D24" s="10"/>
      <c r="E24" s="10"/>
      <c r="F24" s="10"/>
      <c r="G24" s="10"/>
      <c r="H24" s="10"/>
      <c r="I24" s="10"/>
      <c r="J24" s="10" t="s">
        <v>48</v>
      </c>
      <c r="K24" s="66" t="e">
        <f t="shared" ref="K24:Q24" si="6">K20/K21</f>
        <v>#DIV/0!</v>
      </c>
      <c r="L24" s="66" t="e">
        <f t="shared" si="6"/>
        <v>#DIV/0!</v>
      </c>
      <c r="M24" s="66" t="e">
        <f t="shared" si="6"/>
        <v>#DIV/0!</v>
      </c>
      <c r="N24" s="66" t="e">
        <f t="shared" si="6"/>
        <v>#DIV/0!</v>
      </c>
      <c r="O24" s="66" t="e">
        <f t="shared" si="6"/>
        <v>#DIV/0!</v>
      </c>
      <c r="P24" s="66" t="e">
        <f t="shared" si="6"/>
        <v>#DIV/0!</v>
      </c>
      <c r="Q24" s="66" t="e">
        <f t="shared" si="6"/>
        <v>#DIV/0!</v>
      </c>
      <c r="R24" s="63"/>
      <c r="S24" s="10"/>
      <c r="T24" s="10"/>
      <c r="U24" s="17"/>
      <c r="V24" s="10"/>
      <c r="W24" s="10"/>
      <c r="X24" s="10"/>
    </row>
    <row r="25" spans="1:24">
      <c r="A25" s="2"/>
      <c r="B25" s="11"/>
      <c r="C25" s="10"/>
      <c r="D25" s="10"/>
      <c r="E25" s="10"/>
      <c r="F25" s="10"/>
      <c r="G25" s="10"/>
      <c r="H25" s="10"/>
      <c r="I25" s="10"/>
      <c r="J25" s="10"/>
      <c r="K25" s="10"/>
      <c r="L25" s="10"/>
      <c r="M25" s="10"/>
      <c r="N25" s="10"/>
      <c r="O25" s="10"/>
      <c r="P25" s="10"/>
      <c r="Q25" s="10"/>
      <c r="R25" s="10"/>
      <c r="S25" s="10"/>
      <c r="T25" s="10"/>
      <c r="U25" s="17"/>
      <c r="V25" s="10"/>
      <c r="W25" s="10"/>
      <c r="X25" s="10"/>
    </row>
    <row r="26" spans="1:24">
      <c r="A26" s="2"/>
      <c r="B26" s="11"/>
      <c r="C26" s="10"/>
      <c r="D26" s="10"/>
      <c r="E26" s="10"/>
      <c r="F26" s="10"/>
      <c r="G26" s="10"/>
      <c r="H26" s="10"/>
      <c r="I26" s="10"/>
      <c r="J26" s="10"/>
      <c r="K26" s="10"/>
      <c r="L26" s="10"/>
      <c r="M26" s="10"/>
      <c r="N26" s="10"/>
      <c r="O26" s="10"/>
      <c r="P26" s="10"/>
      <c r="Q26" s="10"/>
      <c r="R26" s="10"/>
      <c r="S26" s="10"/>
      <c r="T26" s="10"/>
      <c r="U26" s="17"/>
      <c r="V26" s="10"/>
      <c r="W26" s="10"/>
      <c r="X26" s="10"/>
    </row>
    <row r="27" spans="1:24">
      <c r="A27" s="2"/>
      <c r="B27" s="18" t="s">
        <v>51</v>
      </c>
      <c r="C27" s="14"/>
      <c r="D27" s="14"/>
      <c r="E27" s="14"/>
      <c r="F27" s="13" t="s">
        <v>52</v>
      </c>
      <c r="G27" s="14"/>
      <c r="H27" s="14"/>
      <c r="I27" s="14"/>
      <c r="J27" s="14"/>
      <c r="K27" s="13" t="s">
        <v>3</v>
      </c>
      <c r="L27" s="14"/>
      <c r="M27" s="14"/>
      <c r="N27" s="13" t="s">
        <v>4</v>
      </c>
      <c r="O27" s="14"/>
      <c r="P27" s="14"/>
      <c r="Q27" s="13" t="s">
        <v>5</v>
      </c>
      <c r="R27" s="14"/>
      <c r="S27" s="14"/>
      <c r="T27" s="18"/>
      <c r="U27" s="16" t="s">
        <v>53</v>
      </c>
      <c r="V27" s="77"/>
      <c r="W27" s="77"/>
      <c r="X27" s="77"/>
    </row>
    <row r="28" spans="1:24">
      <c r="A28" s="2"/>
      <c r="B28" s="24" t="s">
        <v>54</v>
      </c>
      <c r="C28" s="21" t="s">
        <v>55</v>
      </c>
      <c r="D28" s="21" t="s">
        <v>56</v>
      </c>
      <c r="E28" s="21" t="s">
        <v>57</v>
      </c>
      <c r="F28" s="20" t="s">
        <v>58</v>
      </c>
      <c r="G28" s="21" t="s">
        <v>59</v>
      </c>
      <c r="H28" s="21" t="s">
        <v>60</v>
      </c>
      <c r="I28" s="21" t="s">
        <v>26</v>
      </c>
      <c r="J28" s="22" t="s">
        <v>61</v>
      </c>
      <c r="K28" s="21" t="s">
        <v>8</v>
      </c>
      <c r="L28" s="21" t="s">
        <v>9</v>
      </c>
      <c r="M28" s="21" t="s">
        <v>10</v>
      </c>
      <c r="N28" s="20" t="s">
        <v>11</v>
      </c>
      <c r="O28" s="21" t="s">
        <v>12</v>
      </c>
      <c r="P28" s="22" t="s">
        <v>13</v>
      </c>
      <c r="Q28" s="21" t="s">
        <v>11</v>
      </c>
      <c r="R28" s="21" t="s">
        <v>12</v>
      </c>
      <c r="S28" s="21" t="s">
        <v>13</v>
      </c>
      <c r="T28" s="78" t="s">
        <v>14</v>
      </c>
      <c r="U28" s="30"/>
      <c r="V28" s="79" t="s">
        <v>62</v>
      </c>
      <c r="W28" s="80" t="s">
        <v>63</v>
      </c>
      <c r="X28" s="81" t="s">
        <v>64</v>
      </c>
    </row>
    <row r="29" spans="1:24">
      <c r="A29" s="2"/>
      <c r="B29" s="4" t="s">
        <v>65</v>
      </c>
      <c r="C29" s="6"/>
      <c r="D29" s="6"/>
      <c r="E29" s="6"/>
      <c r="F29" s="6"/>
      <c r="G29" s="6"/>
      <c r="H29" s="6"/>
      <c r="I29" s="82"/>
      <c r="J29" s="6"/>
      <c r="K29" s="6"/>
      <c r="L29" s="6"/>
      <c r="M29" s="6"/>
      <c r="N29" s="6"/>
      <c r="O29" s="6"/>
      <c r="P29" s="6"/>
      <c r="Q29" s="6"/>
      <c r="R29" s="6"/>
      <c r="S29" s="6"/>
      <c r="T29" s="83"/>
      <c r="U29" s="6"/>
      <c r="V29" s="84"/>
      <c r="W29" s="85"/>
      <c r="X29" s="86"/>
    </row>
    <row r="30" spans="1:24">
      <c r="A30" s="2"/>
      <c r="B30" s="87">
        <v>1</v>
      </c>
      <c r="C30" s="262"/>
      <c r="D30" s="271"/>
      <c r="E30" s="271"/>
      <c r="F30" s="265"/>
      <c r="G30" s="265"/>
      <c r="H30" s="365"/>
      <c r="I30" s="272">
        <f t="shared" ref="I30" si="7">F30-G30-H30</f>
        <v>0</v>
      </c>
      <c r="J30" s="267"/>
      <c r="K30" s="267"/>
      <c r="L30" s="267"/>
      <c r="M30" s="267"/>
      <c r="N30" s="267"/>
      <c r="O30" s="267"/>
      <c r="P30" s="267"/>
      <c r="Q30" s="267"/>
      <c r="R30" s="267"/>
      <c r="S30" s="269"/>
      <c r="T30" s="63"/>
      <c r="U30" s="10"/>
      <c r="V30" s="90"/>
      <c r="W30" s="91"/>
      <c r="X30" s="92"/>
    </row>
    <row r="31" spans="1:24">
      <c r="A31" s="2"/>
      <c r="B31" s="87"/>
      <c r="C31" s="36"/>
      <c r="D31" s="10"/>
      <c r="E31" s="10"/>
      <c r="F31" s="97">
        <f>SUM(F30:F30)</f>
        <v>0</v>
      </c>
      <c r="G31" s="97">
        <f>SUM(G30:G30)</f>
        <v>0</v>
      </c>
      <c r="H31" s="97">
        <f>SUM(H30:H30)</f>
        <v>0</v>
      </c>
      <c r="I31" s="98">
        <f>SUM(I30:I30)</f>
        <v>0</v>
      </c>
      <c r="J31" s="63"/>
      <c r="K31" s="63">
        <f>COUNT(K30:K30)</f>
        <v>0</v>
      </c>
      <c r="L31" s="63">
        <f>COUNT(L30:L30)</f>
        <v>0</v>
      </c>
      <c r="M31" s="63">
        <f>COUNT(M30:M30)</f>
        <v>0</v>
      </c>
      <c r="N31" s="63">
        <f>COUNT(N30:N30)</f>
        <v>0</v>
      </c>
      <c r="O31" s="63">
        <f>COUNT(O30:O30)</f>
        <v>0</v>
      </c>
      <c r="P31" s="63">
        <f>COUNT(P30:P30)</f>
        <v>0</v>
      </c>
      <c r="Q31" s="63">
        <f>COUNT(Q30:Q30)</f>
        <v>0</v>
      </c>
      <c r="R31" s="63">
        <f>COUNT(R30:R30)</f>
        <v>0</v>
      </c>
      <c r="S31" s="63">
        <f>COUNT(S30:S30)</f>
        <v>0</v>
      </c>
      <c r="T31" s="63"/>
      <c r="U31" s="10"/>
      <c r="V31" s="90"/>
      <c r="W31" s="91"/>
      <c r="X31" s="92"/>
    </row>
    <row r="32" spans="1:24">
      <c r="A32" s="2"/>
      <c r="B32" s="87"/>
      <c r="C32" s="36"/>
      <c r="D32" s="10"/>
      <c r="E32" s="10"/>
      <c r="F32" s="88"/>
      <c r="G32" s="88"/>
      <c r="H32" s="88"/>
      <c r="I32" s="99"/>
      <c r="J32" s="63"/>
      <c r="K32" s="21">
        <f>SUM(K30:K30)</f>
        <v>0</v>
      </c>
      <c r="L32" s="21">
        <f>SUM(L30:L30)</f>
        <v>0</v>
      </c>
      <c r="M32" s="21">
        <f>SUM(M30:M30)</f>
        <v>0</v>
      </c>
      <c r="N32" s="21">
        <f>SUM(N30:N30)</f>
        <v>0</v>
      </c>
      <c r="O32" s="21">
        <f>SUM(O30:O30)</f>
        <v>0</v>
      </c>
      <c r="P32" s="21">
        <f>SUM(P30:P30)</f>
        <v>0</v>
      </c>
      <c r="Q32" s="21">
        <f>SUM(Q30:Q30)</f>
        <v>0</v>
      </c>
      <c r="R32" s="21">
        <f>SUM(R30:R30)</f>
        <v>0</v>
      </c>
      <c r="S32" s="21">
        <f>SUM(S30:S30)</f>
        <v>0</v>
      </c>
      <c r="T32" s="63"/>
      <c r="U32" s="10"/>
      <c r="V32" s="90"/>
      <c r="W32" s="91"/>
      <c r="X32" s="92"/>
    </row>
    <row r="33" spans="1:24">
      <c r="A33" s="2"/>
      <c r="B33" s="26"/>
      <c r="C33" s="140"/>
      <c r="D33" s="141"/>
      <c r="E33" s="141"/>
      <c r="F33" s="141"/>
      <c r="G33" s="141"/>
      <c r="H33" s="141"/>
      <c r="I33" s="141"/>
      <c r="J33" s="141"/>
      <c r="K33" s="142"/>
      <c r="L33" s="142"/>
      <c r="M33" s="142"/>
      <c r="N33" s="142"/>
      <c r="O33" s="142"/>
      <c r="P33" s="142"/>
      <c r="Q33" s="142"/>
      <c r="R33" s="142"/>
      <c r="S33" s="142"/>
      <c r="T33" s="143">
        <f>SUM(T30:T32)</f>
        <v>0</v>
      </c>
      <c r="U33" s="141"/>
      <c r="V33" s="144">
        <f>SUM(V30:V32)</f>
        <v>0</v>
      </c>
      <c r="W33" s="145">
        <f>SUM(W30:W32)</f>
        <v>0</v>
      </c>
      <c r="X33" s="146">
        <f>SUM(X30:X32)</f>
        <v>0</v>
      </c>
    </row>
  </sheetData>
  <mergeCells count="1">
    <mergeCell ref="K18:Q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6FF53-3C6A-4990-978F-D35B0DE5A537}">
  <sheetPr>
    <tabColor rgb="FFFF0000"/>
  </sheetPr>
  <dimension ref="A2:Y1367"/>
  <sheetViews>
    <sheetView topLeftCell="A1218" workbookViewId="0">
      <selection activeCell="G1154" sqref="G1154"/>
    </sheetView>
  </sheetViews>
  <sheetFormatPr defaultRowHeight="15"/>
  <cols>
    <col min="1" max="1" width="10" customWidth="1"/>
    <col min="3" max="3" width="10.5703125" customWidth="1"/>
    <col min="4" max="4" width="17.5703125" customWidth="1"/>
    <col min="5" max="5" width="23.85546875" customWidth="1"/>
    <col min="6" max="6" width="15.5703125" customWidth="1"/>
    <col min="7" max="7" width="12.140625" customWidth="1"/>
    <col min="8" max="8" width="12.28515625" bestFit="1" customWidth="1"/>
    <col min="9" max="9" width="14.85546875" customWidth="1"/>
    <col min="10" max="10" width="13.42578125" customWidth="1"/>
    <col min="11" max="11" width="10" customWidth="1"/>
    <col min="12" max="12" width="12" customWidth="1"/>
    <col min="13" max="13" width="10.7109375" customWidth="1"/>
    <col min="14" max="14" width="11.28515625" bestFit="1" customWidth="1"/>
    <col min="15" max="15" width="10.5703125" customWidth="1"/>
    <col min="16" max="16" width="10.28515625" customWidth="1"/>
    <col min="17" max="17" width="10.140625" customWidth="1"/>
    <col min="18" max="18" width="11.140625" customWidth="1"/>
    <col min="21" max="21" width="11.5703125" customWidth="1"/>
    <col min="22" max="22" width="12.140625" customWidth="1"/>
    <col min="23" max="23" width="9.28515625" bestFit="1" customWidth="1"/>
    <col min="24" max="24" width="9.28515625" customWidth="1"/>
  </cols>
  <sheetData>
    <row r="2" spans="2:24">
      <c r="B2" s="4" t="s">
        <v>1</v>
      </c>
      <c r="C2" s="5"/>
      <c r="D2" s="6"/>
      <c r="E2" s="6"/>
      <c r="F2" s="7" t="s">
        <v>2</v>
      </c>
      <c r="G2" s="8">
        <v>45858</v>
      </c>
      <c r="H2" s="7"/>
      <c r="I2" s="6"/>
      <c r="J2" s="6"/>
      <c r="K2" s="6"/>
      <c r="L2" s="6"/>
      <c r="M2" s="6"/>
      <c r="N2" s="6"/>
      <c r="O2" s="6"/>
      <c r="P2" s="6"/>
      <c r="Q2" s="6"/>
      <c r="R2" s="6"/>
      <c r="S2" s="6"/>
      <c r="T2" s="6"/>
      <c r="U2" s="9"/>
      <c r="V2" s="10"/>
      <c r="W2" s="10"/>
      <c r="X2" s="10"/>
    </row>
    <row r="3" spans="2:24">
      <c r="B3" s="11"/>
      <c r="C3" s="10"/>
      <c r="D3" s="10"/>
      <c r="E3" s="10"/>
      <c r="F3" s="10"/>
      <c r="G3" s="7"/>
      <c r="H3" s="12"/>
      <c r="I3" s="10"/>
      <c r="J3" s="10"/>
      <c r="K3" s="13" t="s">
        <v>3</v>
      </c>
      <c r="L3" s="14"/>
      <c r="M3" s="15"/>
      <c r="N3" s="13" t="s">
        <v>4</v>
      </c>
      <c r="O3" s="14"/>
      <c r="P3" s="15"/>
      <c r="Q3" s="13" t="s">
        <v>5</v>
      </c>
      <c r="R3" s="14"/>
      <c r="S3" s="15"/>
      <c r="T3" s="16"/>
      <c r="U3" s="17"/>
      <c r="V3" s="10"/>
      <c r="W3" s="10"/>
      <c r="X3" s="10"/>
    </row>
    <row r="4" spans="2:24">
      <c r="B4" s="18" t="s">
        <v>6</v>
      </c>
      <c r="C4" s="19">
        <f>C5+C6</f>
        <v>1</v>
      </c>
      <c r="D4" s="10"/>
      <c r="E4" s="18" t="s">
        <v>7</v>
      </c>
      <c r="F4" s="6"/>
      <c r="G4" s="9"/>
      <c r="H4" s="10"/>
      <c r="I4" s="10"/>
      <c r="J4" s="10"/>
      <c r="K4" s="20" t="s">
        <v>8</v>
      </c>
      <c r="L4" s="21" t="s">
        <v>9</v>
      </c>
      <c r="M4" s="21" t="s">
        <v>10</v>
      </c>
      <c r="N4" s="20" t="s">
        <v>11</v>
      </c>
      <c r="O4" s="21" t="s">
        <v>12</v>
      </c>
      <c r="P4" s="22" t="s">
        <v>13</v>
      </c>
      <c r="Q4" s="21" t="s">
        <v>11</v>
      </c>
      <c r="R4" s="21" t="s">
        <v>12</v>
      </c>
      <c r="S4" s="22" t="s">
        <v>13</v>
      </c>
      <c r="T4" s="23" t="s">
        <v>14</v>
      </c>
      <c r="U4" s="17"/>
      <c r="V4" s="10"/>
      <c r="W4" s="10"/>
      <c r="X4" s="10"/>
    </row>
    <row r="5" spans="2:24">
      <c r="B5" s="24" t="s">
        <v>15</v>
      </c>
      <c r="C5" s="25">
        <f>P12</f>
        <v>1</v>
      </c>
      <c r="D5" s="10"/>
      <c r="E5" s="26" t="s">
        <v>16</v>
      </c>
      <c r="F5" s="27">
        <v>0.05</v>
      </c>
      <c r="G5" s="28"/>
      <c r="H5" s="10"/>
      <c r="I5" s="10"/>
      <c r="J5" s="18" t="s">
        <v>17</v>
      </c>
      <c r="K5" s="29">
        <f t="shared" ref="K5:S5" si="0">K31</f>
        <v>1</v>
      </c>
      <c r="L5" s="29">
        <f t="shared" si="0"/>
        <v>1</v>
      </c>
      <c r="M5" s="29">
        <f t="shared" si="0"/>
        <v>1</v>
      </c>
      <c r="N5" s="29">
        <f t="shared" si="0"/>
        <v>1</v>
      </c>
      <c r="O5" s="29">
        <f t="shared" si="0"/>
        <v>1</v>
      </c>
      <c r="P5" s="29">
        <f t="shared" si="0"/>
        <v>1</v>
      </c>
      <c r="Q5" s="29">
        <f t="shared" si="0"/>
        <v>1</v>
      </c>
      <c r="R5" s="29">
        <f t="shared" si="0"/>
        <v>1</v>
      </c>
      <c r="S5" s="29">
        <f t="shared" si="0"/>
        <v>1</v>
      </c>
      <c r="T5" s="30">
        <f>T32</f>
        <v>1</v>
      </c>
      <c r="U5" s="17" t="s">
        <v>966</v>
      </c>
      <c r="V5" s="10"/>
      <c r="W5" s="10"/>
      <c r="X5" s="10"/>
    </row>
    <row r="6" spans="2:24">
      <c r="B6" s="24" t="s">
        <v>18</v>
      </c>
      <c r="C6" s="25">
        <f>P13</f>
        <v>0</v>
      </c>
      <c r="D6" s="10"/>
      <c r="E6" s="10"/>
      <c r="F6" s="10"/>
      <c r="G6" s="31"/>
      <c r="H6" s="10"/>
      <c r="I6" s="10"/>
      <c r="J6" s="32" t="s">
        <v>19</v>
      </c>
      <c r="K6" s="33">
        <f t="shared" ref="K6:S6" si="1">K31/K30</f>
        <v>1</v>
      </c>
      <c r="L6" s="33">
        <f t="shared" si="1"/>
        <v>1</v>
      </c>
      <c r="M6" s="33">
        <f t="shared" si="1"/>
        <v>1</v>
      </c>
      <c r="N6" s="33">
        <f t="shared" si="1"/>
        <v>1</v>
      </c>
      <c r="O6" s="33">
        <f t="shared" si="1"/>
        <v>1</v>
      </c>
      <c r="P6" s="33">
        <f t="shared" si="1"/>
        <v>1</v>
      </c>
      <c r="Q6" s="33">
        <f t="shared" si="1"/>
        <v>1</v>
      </c>
      <c r="R6" s="33">
        <f t="shared" si="1"/>
        <v>1</v>
      </c>
      <c r="S6" s="33">
        <f t="shared" si="1"/>
        <v>1</v>
      </c>
      <c r="T6" s="23"/>
      <c r="U6" s="17" t="s">
        <v>20</v>
      </c>
      <c r="V6" s="10"/>
      <c r="W6" s="10"/>
      <c r="X6" s="10"/>
    </row>
    <row r="7" spans="2:24">
      <c r="B7" s="24" t="s">
        <v>21</v>
      </c>
      <c r="C7" s="34">
        <f>P14</f>
        <v>1</v>
      </c>
      <c r="D7" s="10"/>
      <c r="E7" s="10"/>
      <c r="F7" s="10"/>
      <c r="G7" s="10"/>
      <c r="H7" s="10"/>
      <c r="I7" s="10"/>
      <c r="J7" s="10"/>
      <c r="K7" s="10"/>
      <c r="L7" s="10"/>
      <c r="M7" s="10"/>
      <c r="N7" s="10"/>
      <c r="O7" s="10"/>
      <c r="P7" s="10"/>
      <c r="Q7" s="10"/>
      <c r="R7" s="10"/>
      <c r="S7" s="10"/>
      <c r="T7" s="10"/>
      <c r="U7" s="17"/>
      <c r="V7" s="10"/>
      <c r="W7" s="10"/>
      <c r="X7" s="10"/>
    </row>
    <row r="8" spans="2:24">
      <c r="B8" s="24"/>
      <c r="C8" s="25"/>
      <c r="D8" s="10"/>
      <c r="E8" s="10"/>
      <c r="F8" s="18" t="s">
        <v>22</v>
      </c>
      <c r="G8" s="19" t="s">
        <v>23</v>
      </c>
      <c r="H8" s="35" t="s">
        <v>24</v>
      </c>
      <c r="I8" s="10"/>
      <c r="J8" s="10"/>
      <c r="K8" s="36"/>
      <c r="L8" s="36"/>
      <c r="M8" s="36"/>
      <c r="N8" s="36"/>
      <c r="O8" s="36"/>
      <c r="P8" s="36"/>
      <c r="Q8" s="36"/>
      <c r="R8" s="10"/>
      <c r="S8" s="10"/>
      <c r="T8" s="10"/>
      <c r="U8" s="17"/>
      <c r="V8" s="10"/>
      <c r="W8" s="10"/>
      <c r="X8" s="10"/>
    </row>
    <row r="9" spans="2:24">
      <c r="B9" s="32" t="s">
        <v>25</v>
      </c>
      <c r="C9" s="37">
        <f>P15</f>
        <v>1221.3</v>
      </c>
      <c r="D9" s="10"/>
      <c r="E9" s="18" t="s">
        <v>26</v>
      </c>
      <c r="F9" s="38">
        <f>P11</f>
        <v>1221.3</v>
      </c>
      <c r="G9" s="39">
        <f>I30</f>
        <v>1221.3</v>
      </c>
      <c r="H9" s="40"/>
      <c r="I9" s="41"/>
      <c r="J9" s="42"/>
      <c r="K9" s="43" t="s">
        <v>27</v>
      </c>
      <c r="L9" s="44"/>
      <c r="M9" s="44"/>
      <c r="N9" s="44"/>
      <c r="O9" s="44"/>
      <c r="P9" s="44"/>
      <c r="Q9" s="45"/>
      <c r="R9" s="46" t="s">
        <v>28</v>
      </c>
      <c r="S9" s="47" t="s">
        <v>29</v>
      </c>
      <c r="T9" s="10"/>
      <c r="U9" s="17"/>
      <c r="V9" s="10"/>
      <c r="W9" s="10"/>
      <c r="X9" s="10"/>
    </row>
    <row r="10" spans="2:24">
      <c r="B10" s="11"/>
      <c r="C10" s="10"/>
      <c r="D10" s="10"/>
      <c r="E10" s="24" t="s">
        <v>30</v>
      </c>
      <c r="F10" s="48">
        <f>F5</f>
        <v>0.05</v>
      </c>
      <c r="G10" s="17"/>
      <c r="H10" s="40"/>
      <c r="I10" s="41"/>
      <c r="J10" s="42"/>
      <c r="K10" s="20" t="s">
        <v>31</v>
      </c>
      <c r="L10" s="21" t="s">
        <v>32</v>
      </c>
      <c r="M10" s="21" t="s">
        <v>33</v>
      </c>
      <c r="N10" s="21" t="s">
        <v>34</v>
      </c>
      <c r="O10" s="21" t="s">
        <v>35</v>
      </c>
      <c r="P10" s="21" t="s">
        <v>36</v>
      </c>
      <c r="Q10" s="49" t="s">
        <v>37</v>
      </c>
      <c r="R10" s="50" t="s">
        <v>38</v>
      </c>
      <c r="S10" s="50" t="s">
        <v>38</v>
      </c>
      <c r="T10" s="10"/>
      <c r="U10" s="17"/>
      <c r="V10" s="10"/>
      <c r="W10" s="10"/>
      <c r="X10" s="10"/>
    </row>
    <row r="11" spans="2:24">
      <c r="B11" s="11"/>
      <c r="C11" s="10"/>
      <c r="D11" s="10"/>
      <c r="E11" s="51" t="s">
        <v>39</v>
      </c>
      <c r="F11" s="52">
        <f>F9*F10</f>
        <v>61.064999999999998</v>
      </c>
      <c r="G11" s="53" t="s">
        <v>40</v>
      </c>
      <c r="H11" s="54">
        <f>F11/1.12</f>
        <v>54.522321428571423</v>
      </c>
      <c r="I11" s="55"/>
      <c r="J11" s="42"/>
      <c r="K11" s="56"/>
      <c r="L11" s="57"/>
      <c r="M11" s="57"/>
      <c r="N11" s="57">
        <f>I29</f>
        <v>1221.3</v>
      </c>
      <c r="O11" s="57"/>
      <c r="P11" s="57">
        <f>SUM(K11:O11)</f>
        <v>1221.3</v>
      </c>
      <c r="Q11" s="58">
        <v>0</v>
      </c>
      <c r="R11" s="59">
        <f>0</f>
        <v>0</v>
      </c>
      <c r="S11" s="59">
        <v>0</v>
      </c>
      <c r="T11" s="10"/>
      <c r="U11" s="17"/>
      <c r="V11" s="10"/>
      <c r="W11" s="10"/>
      <c r="X11" s="10"/>
    </row>
    <row r="12" spans="2:24">
      <c r="B12" s="11"/>
      <c r="C12" s="10"/>
      <c r="D12" s="10"/>
      <c r="E12" s="24" t="s">
        <v>41</v>
      </c>
      <c r="F12" s="60">
        <f>Q11</f>
        <v>0</v>
      </c>
      <c r="G12" s="61" t="s">
        <v>40</v>
      </c>
      <c r="H12" s="62"/>
      <c r="I12" s="62"/>
      <c r="J12" s="10" t="s">
        <v>42</v>
      </c>
      <c r="K12" s="63"/>
      <c r="L12" s="63"/>
      <c r="M12" s="63"/>
      <c r="N12" s="63">
        <v>1</v>
      </c>
      <c r="O12" s="63"/>
      <c r="P12" s="21">
        <f>SUM(K12:O12)</f>
        <v>1</v>
      </c>
      <c r="Q12" s="64"/>
      <c r="R12" s="63"/>
      <c r="S12" s="10"/>
      <c r="T12" s="10"/>
      <c r="U12" s="17"/>
      <c r="V12" s="10"/>
      <c r="W12" s="10"/>
      <c r="X12" s="10"/>
    </row>
    <row r="13" spans="2:24">
      <c r="B13" s="11"/>
      <c r="C13" s="10"/>
      <c r="D13" s="10"/>
      <c r="E13" s="51" t="s">
        <v>43</v>
      </c>
      <c r="F13" s="52">
        <f>F12*0.25</f>
        <v>0</v>
      </c>
      <c r="G13" s="53" t="s">
        <v>40</v>
      </c>
      <c r="H13" s="54">
        <f>F13/1.12</f>
        <v>0</v>
      </c>
      <c r="I13" s="10"/>
      <c r="J13" s="10" t="s">
        <v>44</v>
      </c>
      <c r="K13" s="63"/>
      <c r="L13" s="63"/>
      <c r="M13" s="63"/>
      <c r="N13" s="63">
        <v>0</v>
      </c>
      <c r="O13" s="63"/>
      <c r="P13" s="21">
        <f>SUM(K13:O13)</f>
        <v>0</v>
      </c>
      <c r="Q13" s="64"/>
      <c r="R13" s="63"/>
      <c r="S13" s="10"/>
      <c r="T13" s="10"/>
      <c r="U13" s="17"/>
      <c r="V13" s="10"/>
      <c r="W13" s="10"/>
      <c r="X13" s="10"/>
    </row>
    <row r="14" spans="2:24">
      <c r="B14" s="11"/>
      <c r="C14" s="10"/>
      <c r="D14" s="10"/>
      <c r="E14" s="24" t="s">
        <v>45</v>
      </c>
      <c r="F14" s="60"/>
      <c r="G14" s="61" t="s">
        <v>40</v>
      </c>
      <c r="H14" s="62"/>
      <c r="I14" s="10"/>
      <c r="J14" s="10" t="s">
        <v>46</v>
      </c>
      <c r="K14" s="31" t="e">
        <f t="shared" ref="K14:Q14" si="2">K12/(K12+K13)</f>
        <v>#DIV/0!</v>
      </c>
      <c r="L14" s="31" t="e">
        <f t="shared" si="2"/>
        <v>#DIV/0!</v>
      </c>
      <c r="M14" s="31" t="e">
        <f t="shared" si="2"/>
        <v>#DIV/0!</v>
      </c>
      <c r="N14" s="31">
        <f t="shared" si="2"/>
        <v>1</v>
      </c>
      <c r="O14" s="31" t="e">
        <f t="shared" si="2"/>
        <v>#DIV/0!</v>
      </c>
      <c r="P14" s="31">
        <f t="shared" si="2"/>
        <v>1</v>
      </c>
      <c r="Q14" s="31" t="e">
        <f t="shared" si="2"/>
        <v>#DIV/0!</v>
      </c>
      <c r="R14" s="63"/>
      <c r="S14" s="10"/>
      <c r="T14" s="10"/>
      <c r="U14" s="17"/>
      <c r="V14" s="10"/>
      <c r="W14" s="10"/>
      <c r="X14" s="10"/>
    </row>
    <row r="15" spans="2:24">
      <c r="B15" s="11"/>
      <c r="C15" s="10"/>
      <c r="D15" s="10"/>
      <c r="E15" s="51" t="s">
        <v>47</v>
      </c>
      <c r="F15" s="52">
        <f>F14*0.05</f>
        <v>0</v>
      </c>
      <c r="G15" s="65" t="s">
        <v>40</v>
      </c>
      <c r="H15" s="54">
        <f>F15/1.12</f>
        <v>0</v>
      </c>
      <c r="I15" s="42"/>
      <c r="J15" s="10" t="s">
        <v>48</v>
      </c>
      <c r="K15" s="66" t="e">
        <f t="shared" ref="K15:Q15" si="3">K11/K12</f>
        <v>#DIV/0!</v>
      </c>
      <c r="L15" s="66" t="e">
        <f t="shared" si="3"/>
        <v>#DIV/0!</v>
      </c>
      <c r="M15" s="66" t="e">
        <f t="shared" si="3"/>
        <v>#DIV/0!</v>
      </c>
      <c r="N15" s="66">
        <f t="shared" si="3"/>
        <v>1221.3</v>
      </c>
      <c r="O15" s="66" t="e">
        <f t="shared" si="3"/>
        <v>#DIV/0!</v>
      </c>
      <c r="P15" s="66">
        <f t="shared" si="3"/>
        <v>1221.3</v>
      </c>
      <c r="Q15" s="66" t="e">
        <f t="shared" si="3"/>
        <v>#DIV/0!</v>
      </c>
      <c r="R15" s="63"/>
      <c r="S15" s="10"/>
      <c r="T15" s="10"/>
      <c r="U15" s="17"/>
      <c r="V15" s="10"/>
      <c r="W15" s="10"/>
      <c r="X15" s="10"/>
    </row>
    <row r="16" spans="2:24">
      <c r="B16" s="11"/>
      <c r="C16" s="10"/>
      <c r="D16" s="10"/>
      <c r="E16" s="67" t="s">
        <v>14</v>
      </c>
      <c r="F16" s="68"/>
      <c r="G16" s="10"/>
      <c r="H16" s="54">
        <f>F16/1.12</f>
        <v>0</v>
      </c>
      <c r="I16" s="10"/>
      <c r="J16" s="10"/>
      <c r="K16" s="10"/>
      <c r="L16" s="10"/>
      <c r="M16" s="10"/>
      <c r="N16" s="10"/>
      <c r="O16" s="10"/>
      <c r="P16" s="10"/>
      <c r="Q16" s="10"/>
      <c r="R16" s="10"/>
      <c r="S16" s="10"/>
      <c r="T16" s="10"/>
      <c r="U16" s="17"/>
      <c r="V16" s="10"/>
      <c r="W16" s="10"/>
      <c r="X16" s="10"/>
    </row>
    <row r="17" spans="2:24">
      <c r="B17" s="11"/>
      <c r="C17" s="10"/>
      <c r="D17" s="10"/>
      <c r="E17" s="155" t="s">
        <v>49</v>
      </c>
      <c r="F17" s="364">
        <f>T6</f>
        <v>0</v>
      </c>
      <c r="G17" s="10"/>
      <c r="H17" s="54"/>
      <c r="I17" s="55"/>
      <c r="J17" s="42"/>
      <c r="K17" s="764" t="s">
        <v>50</v>
      </c>
      <c r="L17" s="765"/>
      <c r="M17" s="765"/>
      <c r="N17" s="765"/>
      <c r="O17" s="765"/>
      <c r="P17" s="765"/>
      <c r="Q17" s="766"/>
      <c r="R17" s="70" t="s">
        <v>28</v>
      </c>
      <c r="S17" s="71" t="s">
        <v>29</v>
      </c>
      <c r="T17" s="10"/>
      <c r="U17" s="17"/>
      <c r="V17" s="10"/>
      <c r="W17" s="10"/>
      <c r="X17" s="10"/>
    </row>
    <row r="18" spans="2:24">
      <c r="B18" s="11"/>
      <c r="C18" s="10"/>
      <c r="D18" s="10"/>
      <c r="E18" s="12"/>
      <c r="F18" s="76"/>
      <c r="G18" s="10"/>
      <c r="H18" s="10"/>
      <c r="I18" s="10"/>
      <c r="J18" s="42"/>
      <c r="K18" s="20" t="s">
        <v>31</v>
      </c>
      <c r="L18" s="21" t="s">
        <v>32</v>
      </c>
      <c r="M18" s="21" t="s">
        <v>33</v>
      </c>
      <c r="N18" s="21" t="s">
        <v>34</v>
      </c>
      <c r="O18" s="21" t="s">
        <v>35</v>
      </c>
      <c r="P18" s="21" t="s">
        <v>36</v>
      </c>
      <c r="Q18" s="49" t="s">
        <v>37</v>
      </c>
      <c r="R18" s="50" t="s">
        <v>38</v>
      </c>
      <c r="S18" s="50" t="s">
        <v>38</v>
      </c>
      <c r="T18" s="10"/>
      <c r="U18" s="17"/>
      <c r="V18" s="10"/>
      <c r="W18" s="10"/>
      <c r="X18" s="10"/>
    </row>
    <row r="19" spans="2:24">
      <c r="B19" s="11"/>
      <c r="C19" s="10"/>
      <c r="D19" s="10"/>
      <c r="E19" s="10"/>
      <c r="F19" s="10"/>
      <c r="G19" s="10"/>
      <c r="H19" s="10"/>
      <c r="I19" s="10"/>
      <c r="J19" s="42"/>
      <c r="K19" s="56"/>
      <c r="L19" s="57"/>
      <c r="M19" s="57"/>
      <c r="N19" s="57">
        <f>F29</f>
        <v>1461</v>
      </c>
      <c r="O19" s="57">
        <f>Heath!F127</f>
        <v>481</v>
      </c>
      <c r="P19" s="57">
        <f>SUM(K19:O19)</f>
        <v>1942</v>
      </c>
      <c r="Q19" s="58">
        <v>0</v>
      </c>
      <c r="R19" s="59">
        <f>0</f>
        <v>0</v>
      </c>
      <c r="S19" s="59">
        <v>0</v>
      </c>
      <c r="T19" s="10"/>
      <c r="U19" s="17"/>
      <c r="V19" s="10"/>
      <c r="W19" s="10"/>
      <c r="X19" s="10"/>
    </row>
    <row r="20" spans="2:24">
      <c r="B20" s="11"/>
      <c r="C20" s="10"/>
      <c r="D20" s="10"/>
      <c r="E20" s="10"/>
      <c r="F20" s="10"/>
      <c r="G20" s="10"/>
      <c r="H20" s="10"/>
      <c r="I20" s="10"/>
      <c r="J20" s="10" t="s">
        <v>42</v>
      </c>
      <c r="K20" s="63">
        <f t="shared" ref="K20:Q21" si="4">K12</f>
        <v>0</v>
      </c>
      <c r="L20" s="63">
        <f t="shared" si="4"/>
        <v>0</v>
      </c>
      <c r="M20" s="63">
        <f t="shared" si="4"/>
        <v>0</v>
      </c>
      <c r="N20" s="63">
        <f t="shared" si="4"/>
        <v>1</v>
      </c>
      <c r="O20" s="63">
        <f t="shared" si="4"/>
        <v>0</v>
      </c>
      <c r="P20" s="63">
        <f t="shared" si="4"/>
        <v>1</v>
      </c>
      <c r="Q20" s="63">
        <f t="shared" si="4"/>
        <v>0</v>
      </c>
      <c r="R20" s="63"/>
      <c r="S20" s="10"/>
      <c r="T20" s="10"/>
      <c r="U20" s="17"/>
      <c r="V20" s="10"/>
      <c r="W20" s="10"/>
      <c r="X20" s="10"/>
    </row>
    <row r="21" spans="2:24">
      <c r="B21" s="11"/>
      <c r="C21" s="10"/>
      <c r="D21" s="10"/>
      <c r="E21" s="10"/>
      <c r="F21" s="10"/>
      <c r="G21" s="10"/>
      <c r="H21" s="10"/>
      <c r="I21" s="10"/>
      <c r="J21" s="10" t="s">
        <v>44</v>
      </c>
      <c r="K21" s="63">
        <f t="shared" si="4"/>
        <v>0</v>
      </c>
      <c r="L21" s="63">
        <f t="shared" si="4"/>
        <v>0</v>
      </c>
      <c r="M21" s="63">
        <f t="shared" si="4"/>
        <v>0</v>
      </c>
      <c r="N21" s="63">
        <f t="shared" si="4"/>
        <v>0</v>
      </c>
      <c r="O21" s="63">
        <f t="shared" si="4"/>
        <v>0</v>
      </c>
      <c r="P21" s="63">
        <f t="shared" si="4"/>
        <v>0</v>
      </c>
      <c r="Q21" s="63">
        <f t="shared" si="4"/>
        <v>0</v>
      </c>
      <c r="R21" s="63"/>
      <c r="S21" s="10"/>
      <c r="T21" s="10"/>
      <c r="U21" s="17"/>
      <c r="V21" s="10"/>
      <c r="W21" s="10"/>
      <c r="X21" s="10"/>
    </row>
    <row r="22" spans="2:24">
      <c r="B22" s="11"/>
      <c r="C22" s="10"/>
      <c r="D22" s="10"/>
      <c r="E22" s="12"/>
      <c r="F22" s="76"/>
      <c r="G22" s="10"/>
      <c r="H22" s="10"/>
      <c r="I22" s="10"/>
      <c r="J22" s="10" t="s">
        <v>46</v>
      </c>
      <c r="K22" s="31" t="e">
        <f t="shared" ref="K22:Q22" si="5">K20/(K20+K21)</f>
        <v>#DIV/0!</v>
      </c>
      <c r="L22" s="31" t="e">
        <f t="shared" si="5"/>
        <v>#DIV/0!</v>
      </c>
      <c r="M22" s="31" t="e">
        <f t="shared" si="5"/>
        <v>#DIV/0!</v>
      </c>
      <c r="N22" s="31">
        <f t="shared" si="5"/>
        <v>1</v>
      </c>
      <c r="O22" s="31" t="e">
        <f t="shared" si="5"/>
        <v>#DIV/0!</v>
      </c>
      <c r="P22" s="31">
        <f t="shared" si="5"/>
        <v>1</v>
      </c>
      <c r="Q22" s="31" t="e">
        <f t="shared" si="5"/>
        <v>#DIV/0!</v>
      </c>
      <c r="R22" s="63"/>
      <c r="S22" s="10"/>
      <c r="T22" s="10"/>
      <c r="U22" s="17"/>
      <c r="V22" s="10"/>
      <c r="W22" s="10"/>
      <c r="X22" s="10"/>
    </row>
    <row r="23" spans="2:24">
      <c r="B23" s="11"/>
      <c r="C23" s="10"/>
      <c r="D23" s="10"/>
      <c r="E23" s="10"/>
      <c r="F23" s="10"/>
      <c r="G23" s="10"/>
      <c r="H23" s="10"/>
      <c r="I23" s="10"/>
      <c r="J23" s="10" t="s">
        <v>48</v>
      </c>
      <c r="K23" s="66" t="e">
        <f t="shared" ref="K23:Q23" si="6">K19/K20</f>
        <v>#DIV/0!</v>
      </c>
      <c r="L23" s="66" t="e">
        <f t="shared" si="6"/>
        <v>#DIV/0!</v>
      </c>
      <c r="M23" s="66" t="e">
        <f t="shared" si="6"/>
        <v>#DIV/0!</v>
      </c>
      <c r="N23" s="66">
        <f t="shared" si="6"/>
        <v>1461</v>
      </c>
      <c r="O23" s="66" t="e">
        <f t="shared" si="6"/>
        <v>#DIV/0!</v>
      </c>
      <c r="P23" s="66">
        <f t="shared" si="6"/>
        <v>1942</v>
      </c>
      <c r="Q23" s="66" t="e">
        <f t="shared" si="6"/>
        <v>#DIV/0!</v>
      </c>
      <c r="R23" s="63"/>
      <c r="S23" s="10"/>
      <c r="T23" s="10"/>
      <c r="U23" s="17"/>
      <c r="V23" s="10"/>
      <c r="W23" s="10"/>
      <c r="X23" s="10"/>
    </row>
    <row r="24" spans="2:24">
      <c r="B24" s="11"/>
      <c r="C24" s="10"/>
      <c r="D24" s="10"/>
      <c r="E24" s="10"/>
      <c r="F24" s="10"/>
      <c r="G24" s="10"/>
      <c r="H24" s="10"/>
      <c r="I24" s="10"/>
      <c r="J24" s="10"/>
      <c r="K24" s="10"/>
      <c r="L24" s="10"/>
      <c r="M24" s="10"/>
      <c r="N24" s="10"/>
      <c r="O24" s="10"/>
      <c r="P24" s="10"/>
      <c r="Q24" s="10"/>
      <c r="R24" s="10"/>
      <c r="S24" s="10"/>
      <c r="T24" s="10"/>
      <c r="U24" s="17"/>
      <c r="V24" s="10"/>
      <c r="W24" s="10"/>
      <c r="X24" s="10"/>
    </row>
    <row r="25" spans="2:24">
      <c r="B25" s="11"/>
      <c r="C25" s="10"/>
      <c r="D25" s="10"/>
      <c r="E25" s="10"/>
      <c r="F25" s="10"/>
      <c r="G25" s="10"/>
      <c r="H25" s="10"/>
      <c r="I25" s="10"/>
      <c r="J25" s="10"/>
      <c r="K25" s="10"/>
      <c r="L25" s="10"/>
      <c r="M25" s="10"/>
      <c r="N25" s="10"/>
      <c r="O25" s="10"/>
      <c r="P25" s="10"/>
      <c r="Q25" s="10"/>
      <c r="R25" s="10"/>
      <c r="S25" s="10"/>
      <c r="T25" s="10"/>
      <c r="U25" s="17"/>
      <c r="V25" s="10"/>
      <c r="W25" s="10"/>
      <c r="X25" s="10"/>
    </row>
    <row r="26" spans="2:24">
      <c r="B26" s="18" t="s">
        <v>51</v>
      </c>
      <c r="C26" s="14"/>
      <c r="D26" s="14"/>
      <c r="E26" s="14"/>
      <c r="F26" s="13" t="s">
        <v>52</v>
      </c>
      <c r="G26" s="14"/>
      <c r="H26" s="14"/>
      <c r="I26" s="14"/>
      <c r="J26" s="14"/>
      <c r="K26" s="13" t="s">
        <v>3</v>
      </c>
      <c r="L26" s="14"/>
      <c r="M26" s="14"/>
      <c r="N26" s="13" t="s">
        <v>4</v>
      </c>
      <c r="O26" s="14"/>
      <c r="P26" s="14"/>
      <c r="Q26" s="13" t="s">
        <v>5</v>
      </c>
      <c r="R26" s="14"/>
      <c r="S26" s="14"/>
      <c r="T26" s="18"/>
      <c r="U26" s="16" t="s">
        <v>53</v>
      </c>
      <c r="V26" s="77"/>
      <c r="W26" s="77"/>
      <c r="X26" s="77"/>
    </row>
    <row r="27" spans="2:24">
      <c r="B27" s="24" t="s">
        <v>54</v>
      </c>
      <c r="C27" s="21" t="s">
        <v>55</v>
      </c>
      <c r="D27" s="21" t="s">
        <v>56</v>
      </c>
      <c r="E27" s="21" t="s">
        <v>57</v>
      </c>
      <c r="F27" s="20" t="s">
        <v>58</v>
      </c>
      <c r="G27" s="21" t="s">
        <v>59</v>
      </c>
      <c r="H27" s="21" t="s">
        <v>60</v>
      </c>
      <c r="I27" s="21" t="s">
        <v>26</v>
      </c>
      <c r="J27" s="22" t="s">
        <v>61</v>
      </c>
      <c r="K27" s="21" t="s">
        <v>8</v>
      </c>
      <c r="L27" s="21" t="s">
        <v>9</v>
      </c>
      <c r="M27" s="21" t="s">
        <v>10</v>
      </c>
      <c r="N27" s="20" t="s">
        <v>11</v>
      </c>
      <c r="O27" s="21" t="s">
        <v>12</v>
      </c>
      <c r="P27" s="22" t="s">
        <v>13</v>
      </c>
      <c r="Q27" s="21" t="s">
        <v>11</v>
      </c>
      <c r="R27" s="21" t="s">
        <v>12</v>
      </c>
      <c r="S27" s="21" t="s">
        <v>13</v>
      </c>
      <c r="T27" s="78" t="s">
        <v>14</v>
      </c>
      <c r="U27" s="30"/>
      <c r="V27" s="79" t="s">
        <v>62</v>
      </c>
      <c r="W27" s="80" t="s">
        <v>63</v>
      </c>
      <c r="X27" s="81" t="s">
        <v>64</v>
      </c>
    </row>
    <row r="28" spans="2:24">
      <c r="B28" s="4" t="s">
        <v>65</v>
      </c>
      <c r="C28" s="6"/>
      <c r="D28" s="6"/>
      <c r="E28" s="6"/>
      <c r="F28" s="6"/>
      <c r="G28" s="6"/>
      <c r="H28" s="6"/>
      <c r="I28" s="82"/>
      <c r="J28" s="6"/>
      <c r="K28" s="6"/>
      <c r="L28" s="6"/>
      <c r="M28" s="6"/>
      <c r="N28" s="6"/>
      <c r="O28" s="6"/>
      <c r="P28" s="6"/>
      <c r="Q28" s="6"/>
      <c r="R28" s="6"/>
      <c r="S28" s="6"/>
      <c r="T28" s="83"/>
      <c r="U28" s="6"/>
      <c r="V28" s="84"/>
      <c r="W28" s="85"/>
      <c r="X28" s="86"/>
    </row>
    <row r="29" spans="2:24">
      <c r="B29" s="87">
        <v>1</v>
      </c>
      <c r="C29" s="262">
        <v>45855</v>
      </c>
      <c r="D29" s="263">
        <v>71475</v>
      </c>
      <c r="E29" s="271" t="s">
        <v>728</v>
      </c>
      <c r="F29" s="265">
        <v>1461</v>
      </c>
      <c r="G29" s="265">
        <f>39.7+200</f>
        <v>239.7</v>
      </c>
      <c r="H29" s="365"/>
      <c r="I29" s="272">
        <f>F29-G29-H29</f>
        <v>1221.3</v>
      </c>
      <c r="J29" s="267" t="s">
        <v>156</v>
      </c>
      <c r="K29" s="267">
        <v>1</v>
      </c>
      <c r="L29" s="267">
        <v>1</v>
      </c>
      <c r="M29" s="267">
        <v>1</v>
      </c>
      <c r="N29" s="267">
        <v>1</v>
      </c>
      <c r="O29" s="267">
        <v>1</v>
      </c>
      <c r="P29" s="267">
        <v>1</v>
      </c>
      <c r="Q29" s="267">
        <v>1</v>
      </c>
      <c r="R29" s="267">
        <v>1</v>
      </c>
      <c r="S29" s="269">
        <v>1</v>
      </c>
      <c r="T29" s="21">
        <v>1</v>
      </c>
      <c r="U29" s="10" t="s">
        <v>967</v>
      </c>
      <c r="V29" s="90">
        <f>160.71+1446.39</f>
        <v>1607.1000000000001</v>
      </c>
      <c r="W29" s="91"/>
      <c r="X29" s="92"/>
    </row>
    <row r="30" spans="2:24">
      <c r="B30" s="87"/>
      <c r="C30" s="36"/>
      <c r="D30" s="10"/>
      <c r="E30" s="10"/>
      <c r="F30" s="97">
        <f>SUM(F29)</f>
        <v>1461</v>
      </c>
      <c r="G30" s="97">
        <f t="shared" ref="G30:I30" si="7">SUM(G29)</f>
        <v>239.7</v>
      </c>
      <c r="H30" s="97">
        <f t="shared" si="7"/>
        <v>0</v>
      </c>
      <c r="I30" s="97">
        <f t="shared" si="7"/>
        <v>1221.3</v>
      </c>
      <c r="J30" s="63"/>
      <c r="K30" s="63">
        <f t="shared" ref="K30:S30" si="8">COUNT(K29:K29)</f>
        <v>1</v>
      </c>
      <c r="L30" s="63">
        <f t="shared" si="8"/>
        <v>1</v>
      </c>
      <c r="M30" s="63">
        <f t="shared" si="8"/>
        <v>1</v>
      </c>
      <c r="N30" s="63">
        <f t="shared" si="8"/>
        <v>1</v>
      </c>
      <c r="O30" s="63">
        <f t="shared" si="8"/>
        <v>1</v>
      </c>
      <c r="P30" s="63">
        <f t="shared" si="8"/>
        <v>1</v>
      </c>
      <c r="Q30" s="63">
        <f t="shared" si="8"/>
        <v>1</v>
      </c>
      <c r="R30" s="63">
        <f t="shared" si="8"/>
        <v>1</v>
      </c>
      <c r="S30" s="63">
        <f t="shared" si="8"/>
        <v>1</v>
      </c>
      <c r="T30" s="63"/>
      <c r="U30" s="10"/>
      <c r="V30" s="90"/>
      <c r="W30" s="91"/>
      <c r="X30" s="92"/>
    </row>
    <row r="31" spans="2:24">
      <c r="B31" s="87"/>
      <c r="C31" s="36"/>
      <c r="D31" s="10"/>
      <c r="E31" s="10"/>
      <c r="F31" s="88"/>
      <c r="G31" s="88"/>
      <c r="H31" s="88"/>
      <c r="I31" s="99"/>
      <c r="J31" s="63"/>
      <c r="K31" s="21">
        <f t="shared" ref="K31:S31" si="9">SUM(K29:K29)</f>
        <v>1</v>
      </c>
      <c r="L31" s="21">
        <f t="shared" si="9"/>
        <v>1</v>
      </c>
      <c r="M31" s="21">
        <f t="shared" si="9"/>
        <v>1</v>
      </c>
      <c r="N31" s="21">
        <f t="shared" si="9"/>
        <v>1</v>
      </c>
      <c r="O31" s="21">
        <f t="shared" si="9"/>
        <v>1</v>
      </c>
      <c r="P31" s="21">
        <f t="shared" si="9"/>
        <v>1</v>
      </c>
      <c r="Q31" s="21">
        <f t="shared" si="9"/>
        <v>1</v>
      </c>
      <c r="R31" s="21">
        <f t="shared" si="9"/>
        <v>1</v>
      </c>
      <c r="S31" s="21">
        <f t="shared" si="9"/>
        <v>1</v>
      </c>
      <c r="T31" s="63"/>
      <c r="U31" s="10"/>
      <c r="V31" s="90"/>
      <c r="W31" s="91"/>
      <c r="X31" s="92"/>
    </row>
    <row r="32" spans="2:24">
      <c r="B32" s="26"/>
      <c r="C32" s="140"/>
      <c r="D32" s="141"/>
      <c r="E32" s="141"/>
      <c r="F32" s="141"/>
      <c r="G32" s="141"/>
      <c r="H32" s="141"/>
      <c r="I32" s="141"/>
      <c r="J32" s="141"/>
      <c r="K32" s="142"/>
      <c r="L32" s="142"/>
      <c r="M32" s="142"/>
      <c r="N32" s="142"/>
      <c r="O32" s="142"/>
      <c r="P32" s="142"/>
      <c r="Q32" s="142"/>
      <c r="R32" s="142"/>
      <c r="S32" s="142"/>
      <c r="T32" s="143">
        <f>SUM(T29:T31)</f>
        <v>1</v>
      </c>
      <c r="U32" s="141"/>
      <c r="V32" s="144">
        <f>SUM(V29:V31)</f>
        <v>1607.1000000000001</v>
      </c>
      <c r="W32" s="145">
        <f>SUM(W29:W31)</f>
        <v>0</v>
      </c>
      <c r="X32" s="146">
        <f>SUM(X29:X31)</f>
        <v>0</v>
      </c>
    </row>
    <row r="35" spans="1:24">
      <c r="A35" s="3"/>
      <c r="B35" s="4" t="s">
        <v>1</v>
      </c>
      <c r="C35" s="5"/>
      <c r="D35" s="6"/>
      <c r="E35" s="6"/>
      <c r="F35" s="7" t="s">
        <v>2</v>
      </c>
      <c r="G35" s="8">
        <v>45865</v>
      </c>
      <c r="H35" s="7"/>
      <c r="I35" s="6"/>
      <c r="J35" s="6"/>
      <c r="K35" s="6"/>
      <c r="L35" s="6"/>
      <c r="M35" s="6"/>
      <c r="N35" s="6"/>
      <c r="O35" s="6"/>
      <c r="P35" s="6"/>
      <c r="Q35" s="6"/>
      <c r="R35" s="6"/>
      <c r="S35" s="6"/>
      <c r="T35" s="6"/>
      <c r="U35" s="9"/>
      <c r="V35" s="10"/>
      <c r="W35" s="10"/>
      <c r="X35" s="10"/>
    </row>
    <row r="36" spans="1:24">
      <c r="A36" s="2"/>
      <c r="B36" s="11"/>
      <c r="C36" s="10"/>
      <c r="D36" s="10"/>
      <c r="E36" s="10"/>
      <c r="F36" s="10"/>
      <c r="G36" s="7"/>
      <c r="H36" s="12"/>
      <c r="I36" s="10"/>
      <c r="J36" s="10"/>
      <c r="K36" s="13" t="s">
        <v>3</v>
      </c>
      <c r="L36" s="14"/>
      <c r="M36" s="15"/>
      <c r="N36" s="13" t="s">
        <v>4</v>
      </c>
      <c r="O36" s="14"/>
      <c r="P36" s="15"/>
      <c r="Q36" s="13" t="s">
        <v>5</v>
      </c>
      <c r="R36" s="14"/>
      <c r="S36" s="15"/>
      <c r="T36" s="16"/>
      <c r="U36" s="17"/>
      <c r="V36" s="10"/>
      <c r="W36" s="10"/>
      <c r="X36" s="10"/>
    </row>
    <row r="37" spans="1:24">
      <c r="A37" s="2"/>
      <c r="B37" s="18" t="s">
        <v>6</v>
      </c>
      <c r="C37" s="19">
        <f>C38+C39</f>
        <v>1</v>
      </c>
      <c r="D37" s="10"/>
      <c r="E37" s="18" t="s">
        <v>7</v>
      </c>
      <c r="F37" s="6"/>
      <c r="G37" s="9"/>
      <c r="H37" s="10"/>
      <c r="I37" s="10"/>
      <c r="J37" s="10"/>
      <c r="K37" s="20" t="s">
        <v>8</v>
      </c>
      <c r="L37" s="21" t="s">
        <v>9</v>
      </c>
      <c r="M37" s="21" t="s">
        <v>10</v>
      </c>
      <c r="N37" s="20" t="s">
        <v>11</v>
      </c>
      <c r="O37" s="21" t="s">
        <v>12</v>
      </c>
      <c r="P37" s="22" t="s">
        <v>13</v>
      </c>
      <c r="Q37" s="21" t="s">
        <v>11</v>
      </c>
      <c r="R37" s="21" t="s">
        <v>12</v>
      </c>
      <c r="S37" s="22" t="s">
        <v>13</v>
      </c>
      <c r="T37" s="23" t="s">
        <v>14</v>
      </c>
      <c r="U37" s="17"/>
      <c r="V37" s="10"/>
      <c r="W37" s="10"/>
      <c r="X37" s="10"/>
    </row>
    <row r="38" spans="1:24">
      <c r="A38" s="2"/>
      <c r="B38" s="24" t="s">
        <v>15</v>
      </c>
      <c r="C38" s="25">
        <f>P45</f>
        <v>1</v>
      </c>
      <c r="D38" s="10"/>
      <c r="E38" s="26" t="s">
        <v>16</v>
      </c>
      <c r="F38" s="27">
        <v>0.05</v>
      </c>
      <c r="G38" s="28"/>
      <c r="H38" s="10"/>
      <c r="I38" s="10"/>
      <c r="J38" s="18" t="s">
        <v>17</v>
      </c>
      <c r="K38" s="29">
        <f>K64</f>
        <v>1</v>
      </c>
      <c r="L38" s="29">
        <f t="shared" ref="L38:S38" si="10">L64</f>
        <v>1</v>
      </c>
      <c r="M38" s="29">
        <f t="shared" si="10"/>
        <v>1</v>
      </c>
      <c r="N38" s="29">
        <f t="shared" si="10"/>
        <v>1</v>
      </c>
      <c r="O38" s="29">
        <f t="shared" si="10"/>
        <v>1</v>
      </c>
      <c r="P38" s="29">
        <f t="shared" si="10"/>
        <v>1</v>
      </c>
      <c r="Q38" s="29">
        <f t="shared" si="10"/>
        <v>1</v>
      </c>
      <c r="R38" s="29">
        <f t="shared" si="10"/>
        <v>1</v>
      </c>
      <c r="S38" s="29">
        <f t="shared" si="10"/>
        <v>1</v>
      </c>
      <c r="T38" s="30">
        <f>T82</f>
        <v>0</v>
      </c>
      <c r="U38" s="17"/>
      <c r="V38" s="10"/>
      <c r="W38" s="10"/>
      <c r="X38" s="10"/>
    </row>
    <row r="39" spans="1:24">
      <c r="A39" s="2"/>
      <c r="B39" s="24" t="s">
        <v>18</v>
      </c>
      <c r="C39" s="25">
        <f>P46</f>
        <v>0</v>
      </c>
      <c r="D39" s="10"/>
      <c r="E39" s="10"/>
      <c r="F39" s="10"/>
      <c r="G39" s="31"/>
      <c r="H39" s="10"/>
      <c r="I39" s="10"/>
      <c r="J39" s="32" t="s">
        <v>19</v>
      </c>
      <c r="K39" s="33">
        <f>K64/K63</f>
        <v>1</v>
      </c>
      <c r="L39" s="33">
        <f t="shared" ref="L39:S39" si="11">L64/L63</f>
        <v>1</v>
      </c>
      <c r="M39" s="33">
        <f t="shared" si="11"/>
        <v>1</v>
      </c>
      <c r="N39" s="33">
        <f t="shared" si="11"/>
        <v>1</v>
      </c>
      <c r="O39" s="33">
        <f t="shared" si="11"/>
        <v>1</v>
      </c>
      <c r="P39" s="33">
        <f t="shared" si="11"/>
        <v>1</v>
      </c>
      <c r="Q39" s="33">
        <f t="shared" si="11"/>
        <v>1</v>
      </c>
      <c r="R39" s="33">
        <f t="shared" si="11"/>
        <v>1</v>
      </c>
      <c r="S39" s="33">
        <f t="shared" si="11"/>
        <v>1</v>
      </c>
      <c r="T39" s="23"/>
      <c r="U39" s="17" t="s">
        <v>20</v>
      </c>
      <c r="V39" s="10"/>
      <c r="W39" s="10"/>
      <c r="X39" s="10"/>
    </row>
    <row r="40" spans="1:24">
      <c r="A40" s="2"/>
      <c r="B40" s="24" t="s">
        <v>21</v>
      </c>
      <c r="C40" s="34">
        <f>P47</f>
        <v>1</v>
      </c>
      <c r="D40" s="10"/>
      <c r="E40" s="10"/>
      <c r="F40" s="10"/>
      <c r="G40" s="10"/>
      <c r="H40" s="10"/>
      <c r="I40" s="10"/>
      <c r="J40" s="10"/>
      <c r="K40" s="10"/>
      <c r="L40" s="10"/>
      <c r="M40" s="10"/>
      <c r="N40" s="10"/>
      <c r="O40" s="10"/>
      <c r="P40" s="10"/>
      <c r="Q40" s="10"/>
      <c r="R40" s="10"/>
      <c r="S40" s="10"/>
      <c r="T40" s="10"/>
      <c r="U40" s="17"/>
      <c r="V40" s="10"/>
      <c r="W40" s="10"/>
      <c r="X40" s="10"/>
    </row>
    <row r="41" spans="1:24">
      <c r="A41" s="2"/>
      <c r="B41" s="24"/>
      <c r="C41" s="25"/>
      <c r="D41" s="10"/>
      <c r="E41" s="10"/>
      <c r="F41" s="18" t="s">
        <v>22</v>
      </c>
      <c r="G41" s="19" t="s">
        <v>23</v>
      </c>
      <c r="H41" s="35" t="s">
        <v>24</v>
      </c>
      <c r="I41" s="10"/>
      <c r="J41" s="10"/>
      <c r="K41" s="36"/>
      <c r="L41" s="36"/>
      <c r="M41" s="36"/>
      <c r="N41" s="36"/>
      <c r="O41" s="36"/>
      <c r="P41" s="36"/>
      <c r="Q41" s="36"/>
      <c r="R41" s="10"/>
      <c r="S41" s="10"/>
      <c r="T41" s="10"/>
      <c r="U41" s="17"/>
      <c r="V41" s="10"/>
      <c r="W41" s="10"/>
      <c r="X41" s="10"/>
    </row>
    <row r="42" spans="1:24">
      <c r="A42" s="2"/>
      <c r="B42" s="32" t="s">
        <v>25</v>
      </c>
      <c r="C42" s="37">
        <f>P48</f>
        <v>774.3</v>
      </c>
      <c r="D42" s="10"/>
      <c r="E42" s="18" t="s">
        <v>26</v>
      </c>
      <c r="F42" s="38">
        <f>P44</f>
        <v>774.3</v>
      </c>
      <c r="G42" s="39">
        <f>I63</f>
        <v>774.3</v>
      </c>
      <c r="H42" s="40"/>
      <c r="I42" s="41"/>
      <c r="J42" s="42"/>
      <c r="K42" s="43" t="s">
        <v>27</v>
      </c>
      <c r="L42" s="44"/>
      <c r="M42" s="44"/>
      <c r="N42" s="44"/>
      <c r="O42" s="44"/>
      <c r="P42" s="44"/>
      <c r="Q42" s="45"/>
      <c r="R42" s="46" t="s">
        <v>28</v>
      </c>
      <c r="S42" s="47" t="s">
        <v>29</v>
      </c>
      <c r="T42" s="10"/>
      <c r="U42" s="17"/>
      <c r="V42" s="10"/>
      <c r="W42" s="10"/>
      <c r="X42" s="10"/>
    </row>
    <row r="43" spans="1:24">
      <c r="A43" s="2"/>
      <c r="B43" s="11"/>
      <c r="C43" s="10"/>
      <c r="D43" s="10"/>
      <c r="E43" s="24" t="s">
        <v>30</v>
      </c>
      <c r="F43" s="48">
        <f>F38</f>
        <v>0.05</v>
      </c>
      <c r="G43" s="17"/>
      <c r="H43" s="40"/>
      <c r="I43" s="41"/>
      <c r="J43" s="42"/>
      <c r="K43" s="20" t="s">
        <v>31</v>
      </c>
      <c r="L43" s="21" t="s">
        <v>32</v>
      </c>
      <c r="M43" s="21" t="s">
        <v>33</v>
      </c>
      <c r="N43" s="21" t="s">
        <v>34</v>
      </c>
      <c r="O43" s="21" t="s">
        <v>35</v>
      </c>
      <c r="P43" s="21" t="s">
        <v>36</v>
      </c>
      <c r="Q43" s="49" t="s">
        <v>37</v>
      </c>
      <c r="R43" s="50" t="s">
        <v>38</v>
      </c>
      <c r="S43" s="50" t="s">
        <v>38</v>
      </c>
      <c r="T43" s="10"/>
      <c r="U43" s="17"/>
      <c r="V43" s="10"/>
      <c r="W43" s="10"/>
      <c r="X43" s="10"/>
    </row>
    <row r="44" spans="1:24">
      <c r="A44" s="2"/>
      <c r="B44" s="11"/>
      <c r="C44" s="10"/>
      <c r="D44" s="10"/>
      <c r="E44" s="51" t="s">
        <v>39</v>
      </c>
      <c r="F44" s="52">
        <f>F42*F43</f>
        <v>38.715000000000003</v>
      </c>
      <c r="G44" s="53" t="s">
        <v>40</v>
      </c>
      <c r="H44" s="54">
        <f>F44/1.12</f>
        <v>34.566964285714285</v>
      </c>
      <c r="I44" s="55"/>
      <c r="J44" s="42"/>
      <c r="K44" s="56">
        <f>I62</f>
        <v>774.3</v>
      </c>
      <c r="L44" s="57">
        <v>0</v>
      </c>
      <c r="M44" s="57">
        <v>0</v>
      </c>
      <c r="N44" s="57">
        <v>0</v>
      </c>
      <c r="O44" s="57">
        <v>0</v>
      </c>
      <c r="P44" s="57">
        <f>SUM(K44:O44)</f>
        <v>774.3</v>
      </c>
      <c r="Q44" s="58">
        <f>I67+I68+I69+I70</f>
        <v>3599.6000000000004</v>
      </c>
      <c r="R44" s="59">
        <v>0</v>
      </c>
      <c r="S44" s="59">
        <f>0</f>
        <v>0</v>
      </c>
      <c r="T44" s="10"/>
      <c r="U44" s="17"/>
      <c r="V44" s="10"/>
      <c r="W44" s="10"/>
      <c r="X44" s="10"/>
    </row>
    <row r="45" spans="1:24">
      <c r="A45" s="2"/>
      <c r="B45" s="11"/>
      <c r="C45" s="10"/>
      <c r="D45" s="10"/>
      <c r="E45" s="24" t="s">
        <v>41</v>
      </c>
      <c r="F45" s="60">
        <f>Q44</f>
        <v>3599.6000000000004</v>
      </c>
      <c r="G45" s="61" t="s">
        <v>40</v>
      </c>
      <c r="H45" s="62"/>
      <c r="I45" s="384" t="s">
        <v>968</v>
      </c>
      <c r="J45" s="10" t="s">
        <v>42</v>
      </c>
      <c r="K45" s="63">
        <v>1</v>
      </c>
      <c r="L45" s="63">
        <v>0</v>
      </c>
      <c r="M45" s="63">
        <v>0</v>
      </c>
      <c r="N45" s="63">
        <v>0</v>
      </c>
      <c r="O45" s="63">
        <v>0</v>
      </c>
      <c r="P45" s="21">
        <f>SUM(K45:O45)</f>
        <v>1</v>
      </c>
      <c r="Q45" s="64">
        <v>4</v>
      </c>
      <c r="R45" s="63"/>
      <c r="S45" s="10"/>
      <c r="T45" s="10"/>
      <c r="U45" s="17"/>
      <c r="V45" s="10"/>
      <c r="W45" s="10"/>
      <c r="X45" s="10"/>
    </row>
    <row r="46" spans="1:24">
      <c r="A46" s="2"/>
      <c r="B46" s="11"/>
      <c r="C46" s="10"/>
      <c r="D46" s="10"/>
      <c r="E46" s="51" t="s">
        <v>43</v>
      </c>
      <c r="F46" s="52">
        <f>(F45)*0.25</f>
        <v>899.90000000000009</v>
      </c>
      <c r="G46" s="53" t="s">
        <v>40</v>
      </c>
      <c r="H46" s="54">
        <f>F46/1.12</f>
        <v>803.48214285714289</v>
      </c>
      <c r="I46" s="385">
        <f>67.5*10.75</f>
        <v>725.625</v>
      </c>
      <c r="J46" s="10" t="s">
        <v>44</v>
      </c>
      <c r="K46" s="63">
        <v>0</v>
      </c>
      <c r="L46" s="63">
        <v>0</v>
      </c>
      <c r="M46" s="63">
        <v>0</v>
      </c>
      <c r="N46" s="63">
        <v>0</v>
      </c>
      <c r="O46" s="63">
        <v>0</v>
      </c>
      <c r="P46" s="21">
        <f>SUM(K46:O46)</f>
        <v>0</v>
      </c>
      <c r="Q46" s="64">
        <v>7</v>
      </c>
      <c r="R46" s="63"/>
      <c r="S46" s="10"/>
      <c r="T46" s="10"/>
      <c r="U46" s="17"/>
      <c r="V46" s="10"/>
      <c r="W46" s="10"/>
      <c r="X46" s="10"/>
    </row>
    <row r="47" spans="1:24">
      <c r="A47" s="2"/>
      <c r="B47" s="11"/>
      <c r="C47" s="10"/>
      <c r="D47" s="10"/>
      <c r="E47" s="24" t="s">
        <v>45</v>
      </c>
      <c r="F47" s="60"/>
      <c r="G47" s="61" t="s">
        <v>40</v>
      </c>
      <c r="H47" s="62"/>
      <c r="I47" s="12"/>
      <c r="J47" s="10" t="s">
        <v>46</v>
      </c>
      <c r="K47" s="31">
        <f t="shared" ref="K47:Q47" si="12">K45/(K45+K46)</f>
        <v>1</v>
      </c>
      <c r="L47" s="31" t="e">
        <f t="shared" si="12"/>
        <v>#DIV/0!</v>
      </c>
      <c r="M47" s="31" t="e">
        <f t="shared" si="12"/>
        <v>#DIV/0!</v>
      </c>
      <c r="N47" s="31" t="e">
        <f t="shared" si="12"/>
        <v>#DIV/0!</v>
      </c>
      <c r="O47" s="31" t="e">
        <f t="shared" si="12"/>
        <v>#DIV/0!</v>
      </c>
      <c r="P47" s="31">
        <f t="shared" si="12"/>
        <v>1</v>
      </c>
      <c r="Q47" s="31">
        <f t="shared" si="12"/>
        <v>0.36363636363636365</v>
      </c>
      <c r="R47" s="63"/>
      <c r="S47" s="10"/>
      <c r="T47" s="10"/>
      <c r="U47" s="17"/>
      <c r="V47" s="10"/>
      <c r="W47" s="10"/>
      <c r="X47" s="10"/>
    </row>
    <row r="48" spans="1:24">
      <c r="A48" s="2"/>
      <c r="B48" s="11"/>
      <c r="C48" s="10"/>
      <c r="D48" s="10"/>
      <c r="E48" s="51" t="s">
        <v>47</v>
      </c>
      <c r="F48" s="52">
        <f>F47*0.05</f>
        <v>0</v>
      </c>
      <c r="G48" s="65" t="s">
        <v>40</v>
      </c>
      <c r="H48" s="54">
        <f>F48/1.12</f>
        <v>0</v>
      </c>
      <c r="I48" s="518"/>
      <c r="J48" s="10" t="s">
        <v>48</v>
      </c>
      <c r="K48" s="66">
        <f>K44/K45</f>
        <v>774.3</v>
      </c>
      <c r="L48" s="66" t="e">
        <f t="shared" ref="L48:Q48" si="13">L44/L45</f>
        <v>#DIV/0!</v>
      </c>
      <c r="M48" s="66" t="e">
        <f t="shared" si="13"/>
        <v>#DIV/0!</v>
      </c>
      <c r="N48" s="66" t="e">
        <f t="shared" si="13"/>
        <v>#DIV/0!</v>
      </c>
      <c r="O48" s="66" t="e">
        <f t="shared" si="13"/>
        <v>#DIV/0!</v>
      </c>
      <c r="P48" s="66">
        <f t="shared" si="13"/>
        <v>774.3</v>
      </c>
      <c r="Q48" s="66">
        <f t="shared" si="13"/>
        <v>899.90000000000009</v>
      </c>
      <c r="R48" s="63"/>
      <c r="S48" s="10"/>
      <c r="T48" s="10"/>
      <c r="U48" s="17"/>
      <c r="V48" s="10"/>
      <c r="W48" s="10"/>
      <c r="X48" s="10"/>
    </row>
    <row r="49" spans="1:24">
      <c r="A49" s="2"/>
      <c r="B49" s="11"/>
      <c r="C49" s="10"/>
      <c r="D49" s="10"/>
      <c r="E49" s="67" t="s">
        <v>14</v>
      </c>
      <c r="F49" s="68">
        <f>3*50/2</f>
        <v>75</v>
      </c>
      <c r="G49" s="10"/>
      <c r="H49" s="54">
        <f>F49/1.12</f>
        <v>66.964285714285708</v>
      </c>
      <c r="I49" s="10"/>
      <c r="J49" s="10"/>
      <c r="K49" s="10"/>
      <c r="L49" s="10"/>
      <c r="M49" s="10"/>
      <c r="N49" s="10"/>
      <c r="O49" s="10"/>
      <c r="P49" s="10"/>
      <c r="Q49" s="10"/>
      <c r="R49" s="10"/>
      <c r="S49" s="10"/>
      <c r="T49" s="10"/>
      <c r="U49" s="17"/>
      <c r="V49" s="10"/>
      <c r="W49" s="10"/>
      <c r="X49" s="10"/>
    </row>
    <row r="50" spans="1:24">
      <c r="A50" s="2"/>
      <c r="B50" s="11"/>
      <c r="C50" s="10"/>
      <c r="D50" s="10"/>
      <c r="E50" s="155" t="s">
        <v>49</v>
      </c>
      <c r="F50" s="364">
        <f>T39</f>
        <v>0</v>
      </c>
      <c r="G50" s="10"/>
      <c r="H50" s="54"/>
      <c r="I50" s="55"/>
      <c r="J50" s="42"/>
      <c r="K50" s="764" t="s">
        <v>50</v>
      </c>
      <c r="L50" s="765"/>
      <c r="M50" s="765"/>
      <c r="N50" s="765"/>
      <c r="O50" s="765"/>
      <c r="P50" s="765"/>
      <c r="Q50" s="766"/>
      <c r="R50" s="70" t="s">
        <v>28</v>
      </c>
      <c r="S50" s="71" t="s">
        <v>29</v>
      </c>
      <c r="T50" s="10"/>
      <c r="U50" s="17"/>
      <c r="V50" s="10"/>
      <c r="W50" s="10"/>
      <c r="X50" s="10"/>
    </row>
    <row r="51" spans="1:24">
      <c r="A51" s="2"/>
      <c r="B51" s="11"/>
      <c r="C51" s="10"/>
      <c r="D51" s="10"/>
      <c r="E51" s="10"/>
      <c r="F51" s="10"/>
      <c r="G51" s="10"/>
      <c r="H51" s="10"/>
      <c r="I51" s="10"/>
      <c r="J51" s="42"/>
      <c r="K51" s="20" t="s">
        <v>31</v>
      </c>
      <c r="L51" s="21" t="s">
        <v>32</v>
      </c>
      <c r="M51" s="21" t="s">
        <v>33</v>
      </c>
      <c r="N51" s="21" t="s">
        <v>34</v>
      </c>
      <c r="O51" s="21" t="s">
        <v>35</v>
      </c>
      <c r="P51" s="21" t="s">
        <v>36</v>
      </c>
      <c r="Q51" s="49" t="s">
        <v>37</v>
      </c>
      <c r="R51" s="50" t="s">
        <v>38</v>
      </c>
      <c r="S51" s="50" t="s">
        <v>38</v>
      </c>
      <c r="T51" s="10"/>
      <c r="U51" s="17"/>
      <c r="V51" s="10"/>
      <c r="W51" s="10"/>
      <c r="X51" s="10"/>
    </row>
    <row r="52" spans="1:24">
      <c r="A52" s="2"/>
      <c r="B52" s="11"/>
      <c r="C52" s="10"/>
      <c r="D52" s="10"/>
      <c r="E52" s="10"/>
      <c r="F52" s="10"/>
      <c r="G52" s="10"/>
      <c r="H52" s="10"/>
      <c r="I52" s="10"/>
      <c r="J52" s="42"/>
      <c r="K52" s="56">
        <f>F62</f>
        <v>814</v>
      </c>
      <c r="L52" s="57"/>
      <c r="M52" s="57"/>
      <c r="N52" s="57"/>
      <c r="O52" s="57"/>
      <c r="P52" s="57">
        <f>SUM(K52:O52)</f>
        <v>814</v>
      </c>
      <c r="Q52" s="58">
        <f>F67+F68+F69+F70</f>
        <v>3679</v>
      </c>
      <c r="R52" s="59">
        <v>0</v>
      </c>
      <c r="S52" s="59">
        <f>0</f>
        <v>0</v>
      </c>
      <c r="T52" s="10"/>
      <c r="U52" s="17"/>
      <c r="V52" s="10"/>
      <c r="W52" s="10"/>
      <c r="X52" s="10"/>
    </row>
    <row r="53" spans="1:24">
      <c r="A53" s="2"/>
      <c r="B53" s="11"/>
      <c r="C53" s="10"/>
      <c r="D53" s="10"/>
      <c r="E53" s="10"/>
      <c r="F53" s="10"/>
      <c r="G53" s="10"/>
      <c r="H53" s="10"/>
      <c r="I53" s="10"/>
      <c r="J53" s="10" t="s">
        <v>42</v>
      </c>
      <c r="K53" s="63">
        <f>K45</f>
        <v>1</v>
      </c>
      <c r="L53" s="63">
        <f t="shared" ref="L53:Q54" si="14">L45</f>
        <v>0</v>
      </c>
      <c r="M53" s="63">
        <f t="shared" si="14"/>
        <v>0</v>
      </c>
      <c r="N53" s="63">
        <f t="shared" si="14"/>
        <v>0</v>
      </c>
      <c r="O53" s="63">
        <f t="shared" si="14"/>
        <v>0</v>
      </c>
      <c r="P53" s="63">
        <f t="shared" si="14"/>
        <v>1</v>
      </c>
      <c r="Q53" s="63">
        <f t="shared" si="14"/>
        <v>4</v>
      </c>
      <c r="R53" s="63"/>
      <c r="S53" s="10"/>
      <c r="T53" s="10"/>
      <c r="U53" s="17"/>
      <c r="V53" s="10"/>
      <c r="W53" s="10"/>
      <c r="X53" s="10"/>
    </row>
    <row r="54" spans="1:24">
      <c r="A54" s="2"/>
      <c r="B54" s="11"/>
      <c r="C54" s="10"/>
      <c r="D54" s="10"/>
      <c r="E54" s="10"/>
      <c r="F54" s="10"/>
      <c r="G54" s="10"/>
      <c r="H54" s="10"/>
      <c r="I54" s="10"/>
      <c r="J54" s="10" t="s">
        <v>44</v>
      </c>
      <c r="K54" s="63">
        <f>K46</f>
        <v>0</v>
      </c>
      <c r="L54" s="63">
        <f t="shared" si="14"/>
        <v>0</v>
      </c>
      <c r="M54" s="63">
        <f t="shared" si="14"/>
        <v>0</v>
      </c>
      <c r="N54" s="63">
        <f t="shared" si="14"/>
        <v>0</v>
      </c>
      <c r="O54" s="63">
        <f t="shared" si="14"/>
        <v>0</v>
      </c>
      <c r="P54" s="63">
        <f t="shared" si="14"/>
        <v>0</v>
      </c>
      <c r="Q54" s="63">
        <f t="shared" si="14"/>
        <v>7</v>
      </c>
      <c r="R54" s="63"/>
      <c r="S54" s="10"/>
      <c r="T54" s="10"/>
      <c r="U54" s="17"/>
      <c r="V54" s="10"/>
      <c r="W54" s="10"/>
      <c r="X54" s="10"/>
    </row>
    <row r="55" spans="1:24">
      <c r="A55" s="2"/>
      <c r="B55" s="11"/>
      <c r="C55" s="10"/>
      <c r="D55" s="10"/>
      <c r="E55" s="10"/>
      <c r="F55" s="10"/>
      <c r="G55" s="10"/>
      <c r="H55" s="10"/>
      <c r="I55" s="10"/>
      <c r="J55" s="10" t="s">
        <v>46</v>
      </c>
      <c r="K55" s="31">
        <f t="shared" ref="K55:Q55" si="15">K53/(K53+K54)</f>
        <v>1</v>
      </c>
      <c r="L55" s="31" t="e">
        <f t="shared" si="15"/>
        <v>#DIV/0!</v>
      </c>
      <c r="M55" s="31" t="e">
        <f t="shared" si="15"/>
        <v>#DIV/0!</v>
      </c>
      <c r="N55" s="31" t="e">
        <f t="shared" si="15"/>
        <v>#DIV/0!</v>
      </c>
      <c r="O55" s="31" t="e">
        <f t="shared" si="15"/>
        <v>#DIV/0!</v>
      </c>
      <c r="P55" s="31">
        <f t="shared" si="15"/>
        <v>1</v>
      </c>
      <c r="Q55" s="31">
        <f t="shared" si="15"/>
        <v>0.36363636363636365</v>
      </c>
      <c r="R55" s="63"/>
      <c r="S55" s="10"/>
      <c r="T55" s="10"/>
      <c r="U55" s="17"/>
      <c r="V55" s="10"/>
      <c r="W55" s="10"/>
      <c r="X55" s="10"/>
    </row>
    <row r="56" spans="1:24">
      <c r="A56" s="2"/>
      <c r="B56" s="11"/>
      <c r="C56" s="10"/>
      <c r="D56" s="10"/>
      <c r="E56" s="10"/>
      <c r="F56" s="10"/>
      <c r="G56" s="10"/>
      <c r="H56" s="10"/>
      <c r="I56" s="10"/>
      <c r="J56" s="10" t="s">
        <v>48</v>
      </c>
      <c r="K56" s="66">
        <f t="shared" ref="K56:Q56" si="16">K52/K53</f>
        <v>814</v>
      </c>
      <c r="L56" s="66" t="e">
        <f t="shared" si="16"/>
        <v>#DIV/0!</v>
      </c>
      <c r="M56" s="66" t="e">
        <f t="shared" si="16"/>
        <v>#DIV/0!</v>
      </c>
      <c r="N56" s="66" t="e">
        <f t="shared" si="16"/>
        <v>#DIV/0!</v>
      </c>
      <c r="O56" s="66" t="e">
        <f t="shared" si="16"/>
        <v>#DIV/0!</v>
      </c>
      <c r="P56" s="66">
        <f t="shared" si="16"/>
        <v>814</v>
      </c>
      <c r="Q56" s="66">
        <f t="shared" si="16"/>
        <v>919.75</v>
      </c>
      <c r="R56" s="63"/>
      <c r="S56" s="10"/>
      <c r="T56" s="10"/>
      <c r="U56" s="17"/>
      <c r="V56" s="10"/>
      <c r="W56" s="10"/>
      <c r="X56" s="10"/>
    </row>
    <row r="57" spans="1:24">
      <c r="A57" s="2"/>
      <c r="B57" s="11"/>
      <c r="C57" s="10"/>
      <c r="D57" s="10"/>
      <c r="E57" s="10"/>
      <c r="F57" s="10"/>
      <c r="G57" s="10"/>
      <c r="H57" s="10"/>
      <c r="I57" s="10"/>
      <c r="J57" s="10"/>
      <c r="K57" s="10"/>
      <c r="L57" s="10"/>
      <c r="M57" s="10"/>
      <c r="N57" s="10"/>
      <c r="O57" s="10"/>
      <c r="P57" s="10"/>
      <c r="Q57" s="10"/>
      <c r="R57" s="10"/>
      <c r="S57" s="10"/>
      <c r="T57" s="10"/>
      <c r="U57" s="17"/>
      <c r="V57" s="10"/>
      <c r="W57" s="10"/>
      <c r="X57" s="10"/>
    </row>
    <row r="58" spans="1:24">
      <c r="A58" s="2"/>
      <c r="B58" s="11"/>
      <c r="C58" s="10"/>
      <c r="D58" s="10"/>
      <c r="E58" s="10"/>
      <c r="F58" s="10"/>
      <c r="G58" s="10"/>
      <c r="H58" s="10"/>
      <c r="I58" s="10"/>
      <c r="J58" s="10"/>
      <c r="K58" s="10"/>
      <c r="L58" s="10"/>
      <c r="M58" s="10"/>
      <c r="N58" s="10"/>
      <c r="O58" s="10"/>
      <c r="P58" s="10"/>
      <c r="Q58" s="10"/>
      <c r="R58" s="10"/>
      <c r="S58" s="10"/>
      <c r="T58" s="10"/>
      <c r="U58" s="17"/>
      <c r="V58" s="10"/>
      <c r="W58" s="10"/>
      <c r="X58" s="10"/>
    </row>
    <row r="59" spans="1:24">
      <c r="A59" s="2"/>
      <c r="B59" s="18" t="s">
        <v>51</v>
      </c>
      <c r="C59" s="14"/>
      <c r="D59" s="14"/>
      <c r="E59" s="14"/>
      <c r="F59" s="13" t="s">
        <v>52</v>
      </c>
      <c r="G59" s="14"/>
      <c r="H59" s="14"/>
      <c r="I59" s="14"/>
      <c r="J59" s="14"/>
      <c r="K59" s="13" t="s">
        <v>3</v>
      </c>
      <c r="L59" s="14"/>
      <c r="M59" s="14"/>
      <c r="N59" s="13" t="s">
        <v>4</v>
      </c>
      <c r="O59" s="14"/>
      <c r="P59" s="14"/>
      <c r="Q59" s="13" t="s">
        <v>5</v>
      </c>
      <c r="R59" s="14"/>
      <c r="S59" s="14"/>
      <c r="T59" s="18"/>
      <c r="U59" s="16" t="s">
        <v>53</v>
      </c>
      <c r="V59" s="77"/>
      <c r="W59" s="77"/>
      <c r="X59" s="77"/>
    </row>
    <row r="60" spans="1:24">
      <c r="A60" s="2"/>
      <c r="B60" s="24" t="s">
        <v>54</v>
      </c>
      <c r="C60" s="21" t="s">
        <v>55</v>
      </c>
      <c r="D60" s="21" t="s">
        <v>56</v>
      </c>
      <c r="E60" s="21" t="s">
        <v>57</v>
      </c>
      <c r="F60" s="20" t="s">
        <v>58</v>
      </c>
      <c r="G60" s="21" t="s">
        <v>59</v>
      </c>
      <c r="H60" s="21" t="s">
        <v>60</v>
      </c>
      <c r="I60" s="21" t="s">
        <v>26</v>
      </c>
      <c r="J60" s="22" t="s">
        <v>61</v>
      </c>
      <c r="K60" s="21" t="s">
        <v>8</v>
      </c>
      <c r="L60" s="21" t="s">
        <v>9</v>
      </c>
      <c r="M60" s="21" t="s">
        <v>10</v>
      </c>
      <c r="N60" s="20" t="s">
        <v>11</v>
      </c>
      <c r="O60" s="21" t="s">
        <v>12</v>
      </c>
      <c r="P60" s="22" t="s">
        <v>13</v>
      </c>
      <c r="Q60" s="21" t="s">
        <v>11</v>
      </c>
      <c r="R60" s="21" t="s">
        <v>12</v>
      </c>
      <c r="S60" s="21" t="s">
        <v>13</v>
      </c>
      <c r="T60" s="78" t="s">
        <v>14</v>
      </c>
      <c r="U60" s="30"/>
      <c r="V60" s="79" t="s">
        <v>62</v>
      </c>
      <c r="W60" s="80" t="s">
        <v>63</v>
      </c>
      <c r="X60" s="81" t="s">
        <v>64</v>
      </c>
    </row>
    <row r="61" spans="1:24">
      <c r="A61" s="2"/>
      <c r="B61" s="4" t="s">
        <v>65</v>
      </c>
      <c r="C61" s="6"/>
      <c r="D61" s="6"/>
      <c r="E61" s="6"/>
      <c r="F61" s="6"/>
      <c r="G61" s="6"/>
      <c r="H61" s="6"/>
      <c r="I61" s="82"/>
      <c r="J61" s="6"/>
      <c r="K61" s="6"/>
      <c r="L61" s="6"/>
      <c r="M61" s="6"/>
      <c r="N61" s="6"/>
      <c r="O61" s="6"/>
      <c r="P61" s="6"/>
      <c r="Q61" s="6"/>
      <c r="R61" s="6"/>
      <c r="S61" s="6"/>
      <c r="T61" s="83"/>
      <c r="U61" s="6"/>
      <c r="V61" s="84"/>
      <c r="W61" s="85"/>
      <c r="X61" s="86"/>
    </row>
    <row r="62" spans="1:24">
      <c r="A62" s="2"/>
      <c r="B62" s="87">
        <v>1</v>
      </c>
      <c r="C62" s="262">
        <v>45859</v>
      </c>
      <c r="D62" s="263">
        <v>71612</v>
      </c>
      <c r="E62" s="271" t="s">
        <v>401</v>
      </c>
      <c r="F62" s="265">
        <v>814</v>
      </c>
      <c r="G62" s="265">
        <v>39.700000000000003</v>
      </c>
      <c r="H62" s="265"/>
      <c r="I62" s="272">
        <f>F62-G62-H62</f>
        <v>774.3</v>
      </c>
      <c r="J62" s="267" t="s">
        <v>156</v>
      </c>
      <c r="K62" s="267">
        <v>1</v>
      </c>
      <c r="L62" s="267">
        <v>1</v>
      </c>
      <c r="M62" s="267">
        <v>1</v>
      </c>
      <c r="N62" s="267">
        <v>1</v>
      </c>
      <c r="O62" s="267">
        <v>1</v>
      </c>
      <c r="P62" s="267">
        <v>1</v>
      </c>
      <c r="Q62" s="267">
        <v>1</v>
      </c>
      <c r="R62" s="267">
        <v>1</v>
      </c>
      <c r="S62" s="269">
        <v>1</v>
      </c>
      <c r="T62" s="63"/>
      <c r="U62" s="94" t="s">
        <v>969</v>
      </c>
      <c r="V62" s="90">
        <f>89.54+805.86</f>
        <v>895.4</v>
      </c>
      <c r="W62" s="91"/>
      <c r="X62" s="92"/>
    </row>
    <row r="63" spans="1:24">
      <c r="A63" s="2"/>
      <c r="B63" s="87"/>
      <c r="C63" s="36"/>
      <c r="D63" s="10"/>
      <c r="E63" s="10"/>
      <c r="F63" s="97">
        <f>SUM(F62:F62)</f>
        <v>814</v>
      </c>
      <c r="G63" s="97">
        <f>SUM(G62:G62)</f>
        <v>39.700000000000003</v>
      </c>
      <c r="H63" s="97">
        <f>SUM(H62:H62)</f>
        <v>0</v>
      </c>
      <c r="I63" s="98">
        <f>SUM(I62:I62)</f>
        <v>774.3</v>
      </c>
      <c r="J63" s="63"/>
      <c r="K63" s="63">
        <f t="shared" ref="K63:S63" si="17">COUNT(K62:K62)</f>
        <v>1</v>
      </c>
      <c r="L63" s="63">
        <f t="shared" si="17"/>
        <v>1</v>
      </c>
      <c r="M63" s="63">
        <f t="shared" si="17"/>
        <v>1</v>
      </c>
      <c r="N63" s="63">
        <f t="shared" si="17"/>
        <v>1</v>
      </c>
      <c r="O63" s="63">
        <f t="shared" si="17"/>
        <v>1</v>
      </c>
      <c r="P63" s="63">
        <f t="shared" si="17"/>
        <v>1</v>
      </c>
      <c r="Q63" s="63">
        <f t="shared" si="17"/>
        <v>1</v>
      </c>
      <c r="R63" s="63">
        <f t="shared" si="17"/>
        <v>1</v>
      </c>
      <c r="S63" s="63">
        <f t="shared" si="17"/>
        <v>1</v>
      </c>
      <c r="T63" s="63"/>
      <c r="U63" s="10"/>
      <c r="V63" s="90"/>
      <c r="W63" s="91"/>
      <c r="X63" s="92"/>
    </row>
    <row r="64" spans="1:24">
      <c r="A64" s="2"/>
      <c r="B64" s="87"/>
      <c r="C64" s="36"/>
      <c r="D64" s="10"/>
      <c r="E64" s="10"/>
      <c r="F64" s="88"/>
      <c r="G64" s="88"/>
      <c r="H64" s="88"/>
      <c r="I64" s="99"/>
      <c r="J64" s="63"/>
      <c r="K64" s="21">
        <f t="shared" ref="K64:S64" si="18">SUM(K62:K62)</f>
        <v>1</v>
      </c>
      <c r="L64" s="21">
        <f t="shared" si="18"/>
        <v>1</v>
      </c>
      <c r="M64" s="21">
        <f t="shared" si="18"/>
        <v>1</v>
      </c>
      <c r="N64" s="21">
        <f t="shared" si="18"/>
        <v>1</v>
      </c>
      <c r="O64" s="21">
        <f t="shared" si="18"/>
        <v>1</v>
      </c>
      <c r="P64" s="21">
        <f t="shared" si="18"/>
        <v>1</v>
      </c>
      <c r="Q64" s="21">
        <f t="shared" si="18"/>
        <v>1</v>
      </c>
      <c r="R64" s="21">
        <f t="shared" si="18"/>
        <v>1</v>
      </c>
      <c r="S64" s="21">
        <f t="shared" si="18"/>
        <v>1</v>
      </c>
      <c r="T64" s="63"/>
      <c r="U64" s="10"/>
      <c r="V64" s="90"/>
      <c r="W64" s="91"/>
      <c r="X64" s="92"/>
    </row>
    <row r="65" spans="1:24">
      <c r="A65" s="2"/>
      <c r="B65" s="11"/>
      <c r="C65" s="36"/>
      <c r="D65" s="10"/>
      <c r="E65" s="10"/>
      <c r="F65" s="88"/>
      <c r="G65" s="88"/>
      <c r="H65" s="88"/>
      <c r="I65" s="99"/>
      <c r="J65" s="63"/>
      <c r="K65" s="21"/>
      <c r="L65" s="21"/>
      <c r="M65" s="21"/>
      <c r="N65" s="21"/>
      <c r="O65" s="21"/>
      <c r="P65" s="21"/>
      <c r="Q65" s="21"/>
      <c r="R65" s="21"/>
      <c r="S65" s="21"/>
      <c r="T65" s="63"/>
      <c r="U65" s="10"/>
      <c r="V65" s="90"/>
      <c r="W65" s="91"/>
      <c r="X65" s="92"/>
    </row>
    <row r="66" spans="1:24">
      <c r="A66" s="2"/>
      <c r="B66" s="100" t="s">
        <v>66</v>
      </c>
      <c r="C66" s="36"/>
      <c r="D66" s="10"/>
      <c r="E66" s="10"/>
      <c r="F66" s="88"/>
      <c r="G66" s="62"/>
      <c r="H66" s="88"/>
      <c r="I66" s="99"/>
      <c r="J66" s="63"/>
      <c r="K66" s="2"/>
      <c r="L66" s="2"/>
      <c r="M66" s="2"/>
      <c r="N66" s="2"/>
      <c r="O66" s="2"/>
      <c r="P66" s="2"/>
      <c r="Q66" s="2"/>
      <c r="R66" s="2"/>
      <c r="S66" s="2"/>
      <c r="T66" s="63"/>
      <c r="U66" s="94"/>
      <c r="V66" s="90"/>
      <c r="W66" s="91"/>
      <c r="X66" s="92"/>
    </row>
    <row r="67" spans="1:24">
      <c r="A67" s="2"/>
      <c r="B67" s="87">
        <v>1</v>
      </c>
      <c r="C67" s="274">
        <v>45864</v>
      </c>
      <c r="D67" s="320" t="s">
        <v>970</v>
      </c>
      <c r="E67" s="281" t="s">
        <v>274</v>
      </c>
      <c r="F67" s="277">
        <v>1264</v>
      </c>
      <c r="G67" s="277">
        <v>39.700000000000003</v>
      </c>
      <c r="H67" s="277"/>
      <c r="I67" s="321">
        <f t="shared" ref="I67:I68" si="19">F67-G67-H67</f>
        <v>1224.3</v>
      </c>
      <c r="J67" s="279" t="s">
        <v>156</v>
      </c>
      <c r="K67" s="279">
        <v>1</v>
      </c>
      <c r="L67" s="322">
        <v>0</v>
      </c>
      <c r="M67" s="279">
        <v>1</v>
      </c>
      <c r="N67" s="279">
        <v>1</v>
      </c>
      <c r="O67" s="279">
        <v>1</v>
      </c>
      <c r="P67" s="279">
        <v>1</v>
      </c>
      <c r="Q67" s="279">
        <v>1</v>
      </c>
      <c r="R67" s="279">
        <v>1</v>
      </c>
      <c r="S67" s="280">
        <v>1</v>
      </c>
      <c r="T67" s="63"/>
      <c r="U67" s="94" t="s">
        <v>971</v>
      </c>
      <c r="V67" s="90">
        <f>93.5+129.6+1167.3</f>
        <v>1390.3999999999999</v>
      </c>
      <c r="W67" s="91"/>
      <c r="X67" s="92"/>
    </row>
    <row r="68" spans="1:24">
      <c r="A68" s="2"/>
      <c r="B68" s="87">
        <f t="shared" ref="B68" si="20">B67+1</f>
        <v>2</v>
      </c>
      <c r="C68" s="295">
        <v>45864</v>
      </c>
      <c r="D68" s="346" t="s">
        <v>972</v>
      </c>
      <c r="E68" s="101" t="s">
        <v>274</v>
      </c>
      <c r="F68" s="62">
        <v>681</v>
      </c>
      <c r="G68" s="62"/>
      <c r="H68" s="62"/>
      <c r="I68" s="89">
        <f t="shared" si="19"/>
        <v>681</v>
      </c>
      <c r="J68" s="63" t="s">
        <v>156</v>
      </c>
      <c r="K68" s="63">
        <v>1</v>
      </c>
      <c r="L68" s="63">
        <v>1</v>
      </c>
      <c r="M68" s="63">
        <v>1</v>
      </c>
      <c r="N68" s="63">
        <v>1</v>
      </c>
      <c r="O68" s="63">
        <v>1</v>
      </c>
      <c r="P68" s="63">
        <v>1</v>
      </c>
      <c r="Q68" s="63">
        <v>1</v>
      </c>
      <c r="R68" s="63">
        <v>1</v>
      </c>
      <c r="S68" s="296">
        <v>1</v>
      </c>
      <c r="T68" s="63"/>
      <c r="U68" s="94"/>
      <c r="V68" s="90">
        <v>749.1</v>
      </c>
      <c r="W68" s="91"/>
      <c r="X68" s="92"/>
    </row>
    <row r="69" spans="1:24">
      <c r="A69" s="2"/>
      <c r="B69" s="87">
        <f>B68+1</f>
        <v>3</v>
      </c>
      <c r="C69" s="295">
        <v>45864</v>
      </c>
      <c r="D69" s="346">
        <v>71783</v>
      </c>
      <c r="E69" s="101" t="s">
        <v>973</v>
      </c>
      <c r="F69" s="62">
        <f>766-85</f>
        <v>681</v>
      </c>
      <c r="G69" s="62"/>
      <c r="H69" s="62"/>
      <c r="I69" s="89">
        <f>F69-G69-H69</f>
        <v>681</v>
      </c>
      <c r="J69" s="63" t="s">
        <v>156</v>
      </c>
      <c r="K69" s="63">
        <v>1</v>
      </c>
      <c r="L69" s="63">
        <v>1</v>
      </c>
      <c r="M69" s="63">
        <v>1</v>
      </c>
      <c r="N69" s="63">
        <v>1</v>
      </c>
      <c r="O69" s="63">
        <v>1</v>
      </c>
      <c r="P69" s="63">
        <v>1</v>
      </c>
      <c r="Q69" s="63">
        <v>1</v>
      </c>
      <c r="R69" s="63">
        <v>1</v>
      </c>
      <c r="S69" s="296">
        <v>1</v>
      </c>
      <c r="T69" s="63"/>
      <c r="U69" s="94"/>
      <c r="V69" s="90">
        <f>93.5+74.91+674.2</f>
        <v>842.61</v>
      </c>
      <c r="W69" s="91"/>
      <c r="X69" s="92"/>
    </row>
    <row r="70" spans="1:24" s="260" customFormat="1">
      <c r="A70" s="261"/>
      <c r="B70" s="87">
        <f>B69+1</f>
        <v>4</v>
      </c>
      <c r="C70" s="282">
        <v>45864</v>
      </c>
      <c r="D70" s="330" t="s">
        <v>974</v>
      </c>
      <c r="E70" s="319" t="s">
        <v>739</v>
      </c>
      <c r="F70" s="284">
        <f>1138-85</f>
        <v>1053</v>
      </c>
      <c r="G70" s="284">
        <v>39.700000000000003</v>
      </c>
      <c r="H70" s="284"/>
      <c r="I70" s="285">
        <f>F70-G70-H70</f>
        <v>1013.3</v>
      </c>
      <c r="J70" s="286" t="s">
        <v>156</v>
      </c>
      <c r="K70" s="286">
        <v>1</v>
      </c>
      <c r="L70" s="286">
        <v>1</v>
      </c>
      <c r="M70" s="286">
        <v>1</v>
      </c>
      <c r="N70" s="286">
        <v>1</v>
      </c>
      <c r="O70" s="286">
        <v>1</v>
      </c>
      <c r="P70" s="286">
        <v>1</v>
      </c>
      <c r="Q70" s="286">
        <v>1</v>
      </c>
      <c r="R70" s="286">
        <v>1</v>
      </c>
      <c r="S70" s="287">
        <v>1</v>
      </c>
      <c r="T70" s="63"/>
      <c r="U70" s="94"/>
      <c r="V70" s="90">
        <f>93.5+115.83+1042.47</f>
        <v>1251.8</v>
      </c>
      <c r="W70" s="91"/>
      <c r="X70" s="92"/>
    </row>
    <row r="71" spans="1:24">
      <c r="A71" s="2"/>
      <c r="B71" s="11"/>
      <c r="C71" s="36"/>
      <c r="D71" s="10"/>
      <c r="E71" s="10"/>
      <c r="F71" s="98">
        <f>SUM(F67:F70)</f>
        <v>3679</v>
      </c>
      <c r="G71" s="98">
        <f t="shared" ref="G71:I71" si="21">SUM(G67:G70)</f>
        <v>79.400000000000006</v>
      </c>
      <c r="H71" s="98">
        <f t="shared" si="21"/>
        <v>0</v>
      </c>
      <c r="I71" s="98">
        <f t="shared" si="21"/>
        <v>3599.6000000000004</v>
      </c>
      <c r="J71" s="63"/>
      <c r="K71" s="21"/>
      <c r="L71" s="21"/>
      <c r="M71" s="21"/>
      <c r="N71" s="21"/>
      <c r="O71" s="21"/>
      <c r="P71" s="21"/>
      <c r="Q71" s="21"/>
      <c r="R71" s="515"/>
      <c r="S71" s="515"/>
      <c r="T71" s="63"/>
      <c r="U71" s="94"/>
      <c r="V71" s="90"/>
      <c r="W71" s="91"/>
      <c r="X71" s="92"/>
    </row>
    <row r="72" spans="1:24">
      <c r="A72" s="2"/>
      <c r="B72" s="11"/>
      <c r="C72" s="36"/>
      <c r="D72" s="10"/>
      <c r="E72" s="10"/>
      <c r="F72" s="88"/>
      <c r="G72" s="88"/>
      <c r="H72" s="88"/>
      <c r="I72" s="99"/>
      <c r="J72" s="63"/>
      <c r="K72" s="21"/>
      <c r="L72" s="21"/>
      <c r="M72" s="21"/>
      <c r="N72" s="21"/>
      <c r="O72" s="21"/>
      <c r="P72" s="21"/>
      <c r="Q72" s="21"/>
      <c r="R72" s="21"/>
      <c r="S72" s="515"/>
      <c r="T72" s="63"/>
      <c r="U72" s="516"/>
      <c r="V72" s="90"/>
      <c r="W72" s="91"/>
      <c r="X72" s="92"/>
    </row>
    <row r="73" spans="1:24">
      <c r="A73" s="2"/>
      <c r="B73" s="100" t="s">
        <v>73</v>
      </c>
      <c r="C73" s="36"/>
      <c r="D73" s="10"/>
      <c r="E73" s="10"/>
      <c r="F73" s="88"/>
      <c r="G73" s="88"/>
      <c r="H73" s="88"/>
      <c r="I73" s="99"/>
      <c r="J73" s="63"/>
      <c r="K73" s="63"/>
      <c r="L73" s="63"/>
      <c r="M73" s="63"/>
      <c r="N73" s="63"/>
      <c r="O73" s="63"/>
      <c r="P73" s="63"/>
      <c r="Q73" s="63"/>
      <c r="R73" s="63"/>
      <c r="S73" s="63"/>
      <c r="T73" s="63"/>
      <c r="U73" s="94"/>
      <c r="V73" s="90"/>
      <c r="W73" s="91"/>
      <c r="X73" s="92"/>
    </row>
    <row r="74" spans="1:24">
      <c r="A74" s="2"/>
      <c r="B74" s="87">
        <v>1</v>
      </c>
      <c r="C74" s="274">
        <v>45864</v>
      </c>
      <c r="D74" s="275" t="s">
        <v>975</v>
      </c>
      <c r="E74" s="276" t="s">
        <v>976</v>
      </c>
      <c r="F74" s="277">
        <v>1138</v>
      </c>
      <c r="G74" s="277">
        <v>39.700000000000003</v>
      </c>
      <c r="H74" s="277"/>
      <c r="I74" s="278">
        <f t="shared" ref="I74:I75" si="22">F74-G74-H74</f>
        <v>1098.3</v>
      </c>
      <c r="J74" s="279" t="s">
        <v>205</v>
      </c>
      <c r="K74" s="279">
        <v>1</v>
      </c>
      <c r="L74" s="279"/>
      <c r="M74" s="279"/>
      <c r="N74" s="279"/>
      <c r="O74" s="279"/>
      <c r="P74" s="279"/>
      <c r="Q74" s="279"/>
      <c r="R74" s="279"/>
      <c r="S74" s="280"/>
      <c r="T74" s="63"/>
      <c r="U74" s="139"/>
      <c r="V74" s="90"/>
      <c r="W74" s="91"/>
      <c r="X74" s="92"/>
    </row>
    <row r="75" spans="1:24">
      <c r="A75" s="2"/>
      <c r="B75" s="87">
        <f t="shared" ref="B75:B80" si="23">B74+1</f>
        <v>2</v>
      </c>
      <c r="C75" s="295">
        <v>45864</v>
      </c>
      <c r="D75" s="77" t="s">
        <v>977</v>
      </c>
      <c r="E75" s="10" t="s">
        <v>976</v>
      </c>
      <c r="F75" s="62">
        <v>814</v>
      </c>
      <c r="G75" s="62">
        <v>39.700000000000003</v>
      </c>
      <c r="H75" s="62"/>
      <c r="I75" s="89">
        <f t="shared" si="22"/>
        <v>774.3</v>
      </c>
      <c r="J75" s="63" t="s">
        <v>205</v>
      </c>
      <c r="K75" s="63">
        <v>1</v>
      </c>
      <c r="L75" s="63"/>
      <c r="M75" s="63"/>
      <c r="N75" s="63"/>
      <c r="O75" s="63"/>
      <c r="P75" s="63"/>
      <c r="Q75" s="63"/>
      <c r="R75" s="63"/>
      <c r="S75" s="296"/>
      <c r="T75" s="63"/>
      <c r="U75" s="94"/>
      <c r="V75" s="90"/>
      <c r="W75" s="136"/>
      <c r="X75" s="137"/>
    </row>
    <row r="76" spans="1:24">
      <c r="A76" s="2"/>
      <c r="B76" s="87">
        <f t="shared" si="23"/>
        <v>3</v>
      </c>
      <c r="C76" s="295">
        <v>45864</v>
      </c>
      <c r="D76" s="77">
        <v>71759</v>
      </c>
      <c r="E76" s="10" t="s">
        <v>334</v>
      </c>
      <c r="F76" s="62">
        <v>814</v>
      </c>
      <c r="G76" s="62">
        <v>39.700000000000003</v>
      </c>
      <c r="H76" s="62"/>
      <c r="I76" s="89">
        <f>F76-G76-H76</f>
        <v>774.3</v>
      </c>
      <c r="J76" s="63" t="s">
        <v>205</v>
      </c>
      <c r="K76" s="63">
        <v>1</v>
      </c>
      <c r="L76" s="63"/>
      <c r="M76" s="63"/>
      <c r="N76" s="63"/>
      <c r="O76" s="63"/>
      <c r="P76" s="63"/>
      <c r="Q76" s="63"/>
      <c r="R76" s="63"/>
      <c r="S76" s="296"/>
      <c r="T76" s="63"/>
      <c r="U76" s="94"/>
      <c r="V76" s="90"/>
      <c r="W76" s="136"/>
      <c r="X76" s="137"/>
    </row>
    <row r="77" spans="1:24">
      <c r="A77" s="2"/>
      <c r="B77" s="87">
        <f t="shared" si="23"/>
        <v>4</v>
      </c>
      <c r="C77" s="295">
        <v>45864</v>
      </c>
      <c r="D77" s="10" t="s">
        <v>978</v>
      </c>
      <c r="E77" s="101" t="s">
        <v>274</v>
      </c>
      <c r="F77" s="62">
        <v>8641</v>
      </c>
      <c r="G77" s="62">
        <v>39.700000000000003</v>
      </c>
      <c r="H77" s="62"/>
      <c r="I77" s="89">
        <f>F77-G77-H77</f>
        <v>8601.2999999999993</v>
      </c>
      <c r="J77" s="63" t="s">
        <v>205</v>
      </c>
      <c r="K77" s="63">
        <v>1</v>
      </c>
      <c r="L77" s="63"/>
      <c r="M77" s="63"/>
      <c r="N77" s="63"/>
      <c r="O77" s="63"/>
      <c r="P77" s="63"/>
      <c r="Q77" s="63"/>
      <c r="R77" s="63"/>
      <c r="S77" s="296"/>
      <c r="T77" s="63"/>
      <c r="U77" s="94"/>
      <c r="V77" s="90"/>
      <c r="W77" s="136"/>
      <c r="X77" s="137"/>
    </row>
    <row r="78" spans="1:24">
      <c r="A78" s="2"/>
      <c r="B78" s="87">
        <f t="shared" si="23"/>
        <v>5</v>
      </c>
      <c r="C78" s="295">
        <v>45864</v>
      </c>
      <c r="D78" s="10">
        <v>71786</v>
      </c>
      <c r="E78" s="10" t="s">
        <v>979</v>
      </c>
      <c r="F78" s="62">
        <v>1138</v>
      </c>
      <c r="G78" s="62">
        <v>39.700000000000003</v>
      </c>
      <c r="H78" s="62"/>
      <c r="I78" s="89">
        <f>F78-G78-H78</f>
        <v>1098.3</v>
      </c>
      <c r="J78" s="63" t="s">
        <v>205</v>
      </c>
      <c r="K78" s="63">
        <v>1</v>
      </c>
      <c r="L78" s="63"/>
      <c r="M78" s="63"/>
      <c r="N78" s="63"/>
      <c r="O78" s="63"/>
      <c r="P78" s="63"/>
      <c r="Q78" s="63"/>
      <c r="R78" s="63"/>
      <c r="S78" s="296"/>
      <c r="T78" s="63"/>
      <c r="U78" s="94"/>
      <c r="V78" s="90"/>
      <c r="W78" s="136"/>
      <c r="X78" s="137"/>
    </row>
    <row r="79" spans="1:24">
      <c r="A79" s="2"/>
      <c r="B79" s="87">
        <f t="shared" si="23"/>
        <v>6</v>
      </c>
      <c r="C79" s="295">
        <v>45864</v>
      </c>
      <c r="D79" s="77" t="s">
        <v>980</v>
      </c>
      <c r="E79" s="101" t="s">
        <v>973</v>
      </c>
      <c r="F79" s="62">
        <v>5814</v>
      </c>
      <c r="G79" s="62">
        <v>39.700000000000003</v>
      </c>
      <c r="H79" s="62"/>
      <c r="I79" s="89">
        <f>F79-G79-H79</f>
        <v>5774.3</v>
      </c>
      <c r="J79" s="63" t="s">
        <v>205</v>
      </c>
      <c r="K79" s="63"/>
      <c r="L79" s="63"/>
      <c r="M79" s="63"/>
      <c r="N79" s="63"/>
      <c r="O79" s="63"/>
      <c r="P79" s="63"/>
      <c r="Q79" s="63"/>
      <c r="R79" s="63"/>
      <c r="S79" s="296"/>
      <c r="T79" s="63"/>
      <c r="U79" s="94"/>
      <c r="V79" s="90"/>
      <c r="W79" s="136"/>
      <c r="X79" s="137"/>
    </row>
    <row r="80" spans="1:24">
      <c r="A80" s="388">
        <v>45870</v>
      </c>
      <c r="B80" s="87">
        <f t="shared" si="23"/>
        <v>7</v>
      </c>
      <c r="C80" s="282">
        <v>45864</v>
      </c>
      <c r="D80" s="302" t="s">
        <v>981</v>
      </c>
      <c r="E80" s="319" t="s">
        <v>739</v>
      </c>
      <c r="F80" s="284">
        <v>12814</v>
      </c>
      <c r="G80" s="284">
        <f>39.7+1000</f>
        <v>1039.7</v>
      </c>
      <c r="H80" s="284"/>
      <c r="I80" s="285">
        <f>F80-G80-H80</f>
        <v>11774.3</v>
      </c>
      <c r="J80" s="286" t="s">
        <v>156</v>
      </c>
      <c r="K80" s="286">
        <v>1</v>
      </c>
      <c r="L80" s="286"/>
      <c r="M80" s="286">
        <v>1</v>
      </c>
      <c r="N80" s="286">
        <v>1</v>
      </c>
      <c r="O80" s="286">
        <v>1</v>
      </c>
      <c r="P80" s="286"/>
      <c r="Q80" s="286"/>
      <c r="R80" s="286"/>
      <c r="S80" s="287"/>
      <c r="T80" s="63"/>
      <c r="U80" s="94" t="s">
        <v>982</v>
      </c>
      <c r="V80" s="90">
        <v>1409.5</v>
      </c>
      <c r="W80" s="136"/>
      <c r="X80" s="137"/>
    </row>
    <row r="81" spans="1:24">
      <c r="A81" s="2"/>
      <c r="B81" s="11"/>
      <c r="C81" s="36"/>
      <c r="D81" s="10"/>
      <c r="E81" s="10"/>
      <c r="F81" s="98">
        <f>SUM(F74:F80)</f>
        <v>31173</v>
      </c>
      <c r="G81" s="98">
        <f>SUM(G74:G80)</f>
        <v>1277.9000000000001</v>
      </c>
      <c r="H81" s="98">
        <f>SUM(H74:H80)</f>
        <v>0</v>
      </c>
      <c r="I81" s="98">
        <f>SUM(I74:I80)</f>
        <v>29895.1</v>
      </c>
      <c r="J81" s="10"/>
      <c r="K81" s="10"/>
      <c r="L81" s="10"/>
      <c r="M81" s="10"/>
      <c r="N81" s="10"/>
      <c r="O81" s="10"/>
      <c r="P81" s="10"/>
      <c r="Q81" s="10"/>
      <c r="R81" s="10"/>
      <c r="S81" s="10"/>
      <c r="T81" s="63"/>
      <c r="U81" s="94"/>
      <c r="V81" s="90"/>
      <c r="W81" s="91"/>
      <c r="X81" s="92"/>
    </row>
    <row r="82" spans="1:24">
      <c r="A82" s="2"/>
      <c r="B82" s="26"/>
      <c r="C82" s="140"/>
      <c r="D82" s="141"/>
      <c r="E82" s="141"/>
      <c r="F82" s="141"/>
      <c r="G82" s="141"/>
      <c r="H82" s="141"/>
      <c r="I82" s="141"/>
      <c r="J82" s="141"/>
      <c r="K82" s="142"/>
      <c r="L82" s="142"/>
      <c r="M82" s="142"/>
      <c r="N82" s="142"/>
      <c r="O82" s="142"/>
      <c r="P82" s="142"/>
      <c r="Q82" s="142"/>
      <c r="R82" s="142"/>
      <c r="S82" s="142"/>
      <c r="T82" s="143">
        <f>SUM(T61:T81)</f>
        <v>0</v>
      </c>
      <c r="U82" s="141"/>
      <c r="V82" s="144">
        <f>SUM(V61:V81)</f>
        <v>6538.8099999999995</v>
      </c>
      <c r="W82" s="145">
        <f>SUM(W61:W81)</f>
        <v>0</v>
      </c>
      <c r="X82" s="146">
        <f>SUM(X61:X81)</f>
        <v>0</v>
      </c>
    </row>
    <row r="85" spans="1:24">
      <c r="B85" s="4" t="s">
        <v>1</v>
      </c>
      <c r="C85" s="5"/>
      <c r="D85" s="6"/>
      <c r="E85" s="6"/>
      <c r="F85" s="7" t="s">
        <v>2</v>
      </c>
      <c r="G85" s="8">
        <v>45872</v>
      </c>
      <c r="H85" s="7"/>
      <c r="I85" s="6"/>
      <c r="J85" s="6"/>
      <c r="K85" s="6"/>
      <c r="L85" s="6"/>
      <c r="M85" s="6"/>
      <c r="N85" s="6"/>
      <c r="O85" s="6"/>
      <c r="P85" s="6"/>
      <c r="Q85" s="6"/>
      <c r="R85" s="6"/>
      <c r="S85" s="6"/>
      <c r="T85" s="6"/>
      <c r="U85" s="9"/>
      <c r="V85" s="10"/>
      <c r="W85" s="10"/>
      <c r="X85" s="10"/>
    </row>
    <row r="86" spans="1:24">
      <c r="B86" s="11"/>
      <c r="C86" s="10"/>
      <c r="D86" s="10"/>
      <c r="E86" s="10"/>
      <c r="F86" s="10"/>
      <c r="G86" s="7"/>
      <c r="H86" s="12"/>
      <c r="I86" s="10"/>
      <c r="J86" s="10"/>
      <c r="K86" s="13" t="s">
        <v>3</v>
      </c>
      <c r="L86" s="14"/>
      <c r="M86" s="15"/>
      <c r="N86" s="13" t="s">
        <v>4</v>
      </c>
      <c r="O86" s="14"/>
      <c r="P86" s="15"/>
      <c r="Q86" s="13" t="s">
        <v>5</v>
      </c>
      <c r="R86" s="14"/>
      <c r="S86" s="15"/>
      <c r="T86" s="16"/>
      <c r="U86" s="17"/>
      <c r="V86" s="10"/>
      <c r="W86" s="10"/>
      <c r="X86" s="10"/>
    </row>
    <row r="87" spans="1:24">
      <c r="B87" s="18" t="s">
        <v>6</v>
      </c>
      <c r="C87" s="19">
        <f>C88+C89</f>
        <v>3</v>
      </c>
      <c r="D87" s="10"/>
      <c r="E87" s="18" t="s">
        <v>7</v>
      </c>
      <c r="F87" s="6"/>
      <c r="G87" s="9"/>
      <c r="H87" s="10"/>
      <c r="I87" s="10"/>
      <c r="J87" s="10"/>
      <c r="K87" s="20" t="s">
        <v>8</v>
      </c>
      <c r="L87" s="21" t="s">
        <v>9</v>
      </c>
      <c r="M87" s="21" t="s">
        <v>10</v>
      </c>
      <c r="N87" s="20" t="s">
        <v>11</v>
      </c>
      <c r="O87" s="21" t="s">
        <v>12</v>
      </c>
      <c r="P87" s="22" t="s">
        <v>13</v>
      </c>
      <c r="Q87" s="21" t="s">
        <v>11</v>
      </c>
      <c r="R87" s="21" t="s">
        <v>12</v>
      </c>
      <c r="S87" s="22" t="s">
        <v>13</v>
      </c>
      <c r="T87" s="23" t="s">
        <v>14</v>
      </c>
      <c r="U87" s="17"/>
      <c r="V87" s="10"/>
      <c r="W87" s="10"/>
      <c r="X87" s="10"/>
    </row>
    <row r="88" spans="1:24">
      <c r="B88" s="24" t="s">
        <v>15</v>
      </c>
      <c r="C88" s="25">
        <f>P95</f>
        <v>3</v>
      </c>
      <c r="D88" s="10"/>
      <c r="E88" s="26" t="s">
        <v>16</v>
      </c>
      <c r="F88" s="27">
        <v>0.05</v>
      </c>
      <c r="G88" s="28"/>
      <c r="H88" s="10"/>
      <c r="I88" s="10"/>
      <c r="J88" s="18" t="s">
        <v>17</v>
      </c>
      <c r="K88" s="29">
        <f>K114</f>
        <v>0</v>
      </c>
      <c r="L88" s="29">
        <f t="shared" ref="L88:S88" si="24">L114</f>
        <v>0</v>
      </c>
      <c r="M88" s="29">
        <f t="shared" si="24"/>
        <v>0</v>
      </c>
      <c r="N88" s="29">
        <f t="shared" si="24"/>
        <v>0</v>
      </c>
      <c r="O88" s="29">
        <f t="shared" si="24"/>
        <v>0</v>
      </c>
      <c r="P88" s="29">
        <f t="shared" si="24"/>
        <v>0</v>
      </c>
      <c r="Q88" s="29">
        <f t="shared" si="24"/>
        <v>0</v>
      </c>
      <c r="R88" s="29">
        <f t="shared" si="24"/>
        <v>0</v>
      </c>
      <c r="S88" s="29">
        <f t="shared" si="24"/>
        <v>0</v>
      </c>
      <c r="T88" s="30">
        <f>T121</f>
        <v>0</v>
      </c>
      <c r="U88" s="17"/>
      <c r="V88" s="10"/>
      <c r="W88" s="10"/>
      <c r="X88" s="10"/>
    </row>
    <row r="89" spans="1:24">
      <c r="B89" s="24" t="s">
        <v>18</v>
      </c>
      <c r="C89" s="25">
        <f>P96</f>
        <v>0</v>
      </c>
      <c r="D89" s="10"/>
      <c r="E89" s="10"/>
      <c r="F89" s="10"/>
      <c r="G89" s="31"/>
      <c r="H89" s="10"/>
      <c r="I89" s="10"/>
      <c r="J89" s="32" t="s">
        <v>19</v>
      </c>
      <c r="K89" s="33" t="e">
        <f>K114/K113</f>
        <v>#DIV/0!</v>
      </c>
      <c r="L89" s="33" t="e">
        <f t="shared" ref="L89:S89" si="25">L114/L113</f>
        <v>#DIV/0!</v>
      </c>
      <c r="M89" s="33" t="e">
        <f t="shared" si="25"/>
        <v>#DIV/0!</v>
      </c>
      <c r="N89" s="33" t="e">
        <f t="shared" si="25"/>
        <v>#DIV/0!</v>
      </c>
      <c r="O89" s="33" t="e">
        <f t="shared" si="25"/>
        <v>#DIV/0!</v>
      </c>
      <c r="P89" s="33" t="e">
        <f t="shared" si="25"/>
        <v>#DIV/0!</v>
      </c>
      <c r="Q89" s="33" t="e">
        <f t="shared" si="25"/>
        <v>#DIV/0!</v>
      </c>
      <c r="R89" s="33" t="e">
        <f t="shared" si="25"/>
        <v>#DIV/0!</v>
      </c>
      <c r="S89" s="33" t="e">
        <f t="shared" si="25"/>
        <v>#DIV/0!</v>
      </c>
      <c r="T89" s="23"/>
      <c r="U89" s="17" t="s">
        <v>20</v>
      </c>
      <c r="V89" s="10"/>
      <c r="W89" s="10"/>
      <c r="X89" s="10"/>
    </row>
    <row r="90" spans="1:24">
      <c r="B90" s="24" t="s">
        <v>21</v>
      </c>
      <c r="C90" s="34">
        <f>P97</f>
        <v>1</v>
      </c>
      <c r="D90" s="10"/>
      <c r="E90" s="10"/>
      <c r="F90" s="10"/>
      <c r="G90" s="10"/>
      <c r="H90" s="10"/>
      <c r="I90" s="10"/>
      <c r="J90" s="10"/>
      <c r="K90" s="10"/>
      <c r="L90" s="10"/>
      <c r="M90" s="10"/>
      <c r="N90" s="10"/>
      <c r="O90" s="10"/>
      <c r="P90" s="10"/>
      <c r="Q90" s="10"/>
      <c r="R90" s="10"/>
      <c r="S90" s="10"/>
      <c r="T90" s="10"/>
      <c r="U90" s="17"/>
      <c r="V90" s="10"/>
      <c r="W90" s="10"/>
      <c r="X90" s="10"/>
    </row>
    <row r="91" spans="1:24">
      <c r="B91" s="24"/>
      <c r="C91" s="25"/>
      <c r="D91" s="10"/>
      <c r="E91" s="10"/>
      <c r="F91" s="18" t="s">
        <v>22</v>
      </c>
      <c r="G91" s="19" t="s">
        <v>23</v>
      </c>
      <c r="H91" s="35" t="s">
        <v>24</v>
      </c>
      <c r="I91" s="10"/>
      <c r="J91" s="10"/>
      <c r="K91" s="36"/>
      <c r="L91" s="36"/>
      <c r="M91" s="36"/>
      <c r="N91" s="36"/>
      <c r="O91" s="36"/>
      <c r="P91" s="36"/>
      <c r="Q91" s="36"/>
      <c r="R91" s="10"/>
      <c r="S91" s="10"/>
      <c r="T91" s="10"/>
      <c r="U91" s="17"/>
      <c r="V91" s="10"/>
      <c r="W91" s="10"/>
      <c r="X91" s="10"/>
    </row>
    <row r="92" spans="1:24">
      <c r="B92" s="32" t="s">
        <v>25</v>
      </c>
      <c r="C92" s="37">
        <f>P98</f>
        <v>3466.8766666666666</v>
      </c>
      <c r="D92" s="10"/>
      <c r="E92" s="18" t="s">
        <v>26</v>
      </c>
      <c r="F92" s="38">
        <f>P94</f>
        <v>10400.629999999999</v>
      </c>
      <c r="G92" s="39">
        <f>I113+I120</f>
        <v>10400.629999999999</v>
      </c>
      <c r="H92" s="40"/>
      <c r="I92" s="41"/>
      <c r="J92" s="42"/>
      <c r="K92" s="43" t="s">
        <v>27</v>
      </c>
      <c r="L92" s="44"/>
      <c r="M92" s="44"/>
      <c r="N92" s="44"/>
      <c r="O92" s="44"/>
      <c r="P92" s="44"/>
      <c r="Q92" s="45"/>
      <c r="R92" s="46" t="s">
        <v>28</v>
      </c>
      <c r="S92" s="47" t="s">
        <v>29</v>
      </c>
      <c r="T92" s="10"/>
      <c r="U92" s="17"/>
      <c r="V92" s="10"/>
      <c r="W92" s="10"/>
      <c r="X92" s="10"/>
    </row>
    <row r="93" spans="1:24">
      <c r="B93" s="11"/>
      <c r="C93" s="10"/>
      <c r="D93" s="10"/>
      <c r="E93" s="24" t="s">
        <v>30</v>
      </c>
      <c r="F93" s="48">
        <f>F88</f>
        <v>0.05</v>
      </c>
      <c r="G93" s="17"/>
      <c r="H93" s="40"/>
      <c r="I93" s="41"/>
      <c r="J93" s="42"/>
      <c r="K93" s="20" t="s">
        <v>31</v>
      </c>
      <c r="L93" s="21" t="s">
        <v>32</v>
      </c>
      <c r="M93" s="21" t="s">
        <v>33</v>
      </c>
      <c r="N93" s="21" t="s">
        <v>34</v>
      </c>
      <c r="O93" s="21" t="s">
        <v>35</v>
      </c>
      <c r="P93" s="21" t="s">
        <v>36</v>
      </c>
      <c r="Q93" s="49" t="s">
        <v>37</v>
      </c>
      <c r="R93" s="50" t="s">
        <v>38</v>
      </c>
      <c r="S93" s="50" t="s">
        <v>38</v>
      </c>
      <c r="T93" s="10"/>
      <c r="U93" s="17"/>
      <c r="V93" s="10"/>
      <c r="W93" s="10"/>
      <c r="X93" s="10"/>
    </row>
    <row r="94" spans="1:24">
      <c r="B94" s="11"/>
      <c r="C94" s="10"/>
      <c r="D94" s="10"/>
      <c r="E94" s="51" t="s">
        <v>39</v>
      </c>
      <c r="F94" s="52">
        <f>(F92-I117-I118-I119)*F93</f>
        <v>-2.2737367544323207E-14</v>
      </c>
      <c r="G94" s="53" t="s">
        <v>40</v>
      </c>
      <c r="H94" s="54">
        <f>F94/1.12</f>
        <v>-2.0301221021717149E-14</v>
      </c>
      <c r="I94" s="55"/>
      <c r="J94" s="42"/>
      <c r="K94" s="56"/>
      <c r="L94" s="57"/>
      <c r="M94" s="57"/>
      <c r="N94" s="57"/>
      <c r="O94" s="57">
        <f>I117+I118+I119</f>
        <v>10400.629999999999</v>
      </c>
      <c r="P94" s="57">
        <f>SUM(K94:O94)</f>
        <v>10400.629999999999</v>
      </c>
      <c r="Q94" s="58">
        <v>0</v>
      </c>
      <c r="R94" s="59">
        <f>+I120</f>
        <v>10400.629999999999</v>
      </c>
      <c r="S94" s="59">
        <v>0</v>
      </c>
      <c r="T94" s="10"/>
      <c r="U94" s="17"/>
      <c r="V94" s="10"/>
      <c r="W94" s="10"/>
      <c r="X94" s="10"/>
    </row>
    <row r="95" spans="1:24">
      <c r="B95" s="11"/>
      <c r="C95" s="10"/>
      <c r="D95" s="10"/>
      <c r="E95" s="24" t="s">
        <v>41</v>
      </c>
      <c r="F95" s="60">
        <f>Q94</f>
        <v>0</v>
      </c>
      <c r="G95" s="61" t="s">
        <v>40</v>
      </c>
      <c r="H95" s="62"/>
      <c r="I95" s="62"/>
      <c r="J95" s="10" t="s">
        <v>42</v>
      </c>
      <c r="K95" s="63"/>
      <c r="L95" s="63"/>
      <c r="M95" s="63"/>
      <c r="N95" s="63"/>
      <c r="O95" s="63">
        <v>3</v>
      </c>
      <c r="P95" s="21">
        <f>SUM(K95:O95)</f>
        <v>3</v>
      </c>
      <c r="Q95" s="64"/>
      <c r="R95" s="63"/>
      <c r="S95" s="10"/>
      <c r="T95" s="10"/>
      <c r="U95" s="17"/>
      <c r="V95" s="10"/>
      <c r="W95" s="10"/>
      <c r="X95" s="10"/>
    </row>
    <row r="96" spans="1:24">
      <c r="B96" s="11"/>
      <c r="C96" s="10"/>
      <c r="D96" s="10"/>
      <c r="E96" s="51" t="s">
        <v>43</v>
      </c>
      <c r="F96" s="52">
        <f>F95*0.25</f>
        <v>0</v>
      </c>
      <c r="G96" s="53" t="s">
        <v>40</v>
      </c>
      <c r="H96" s="54">
        <f>F96/1.12</f>
        <v>0</v>
      </c>
      <c r="I96" s="10"/>
      <c r="J96" s="10" t="s">
        <v>44</v>
      </c>
      <c r="K96" s="63"/>
      <c r="L96" s="63"/>
      <c r="M96" s="63"/>
      <c r="N96" s="63"/>
      <c r="O96" s="63">
        <v>0</v>
      </c>
      <c r="P96" s="21">
        <f>SUM(K96:O96)</f>
        <v>0</v>
      </c>
      <c r="Q96" s="64"/>
      <c r="R96" s="63"/>
      <c r="S96" s="10"/>
      <c r="T96" s="10"/>
      <c r="U96" s="17"/>
      <c r="V96" s="10"/>
      <c r="W96" s="10"/>
      <c r="X96" s="10"/>
    </row>
    <row r="97" spans="2:24">
      <c r="B97" s="11"/>
      <c r="C97" s="10"/>
      <c r="D97" s="10"/>
      <c r="E97" s="24" t="s">
        <v>45</v>
      </c>
      <c r="F97" s="60"/>
      <c r="G97" s="61" t="s">
        <v>40</v>
      </c>
      <c r="H97" s="62"/>
      <c r="I97" s="10"/>
      <c r="J97" s="10" t="s">
        <v>46</v>
      </c>
      <c r="K97" s="31" t="e">
        <f t="shared" ref="K97:Q97" si="26">K95/(K95+K96)</f>
        <v>#DIV/0!</v>
      </c>
      <c r="L97" s="31" t="e">
        <f t="shared" si="26"/>
        <v>#DIV/0!</v>
      </c>
      <c r="M97" s="31" t="e">
        <f t="shared" si="26"/>
        <v>#DIV/0!</v>
      </c>
      <c r="N97" s="31" t="e">
        <f t="shared" si="26"/>
        <v>#DIV/0!</v>
      </c>
      <c r="O97" s="31">
        <f t="shared" si="26"/>
        <v>1</v>
      </c>
      <c r="P97" s="31">
        <f t="shared" si="26"/>
        <v>1</v>
      </c>
      <c r="Q97" s="31" t="e">
        <f t="shared" si="26"/>
        <v>#DIV/0!</v>
      </c>
      <c r="R97" s="63"/>
      <c r="S97" s="10"/>
      <c r="T97" s="10"/>
      <c r="U97" s="17"/>
      <c r="V97" s="10"/>
      <c r="W97" s="10"/>
      <c r="X97" s="10"/>
    </row>
    <row r="98" spans="2:24">
      <c r="B98" s="11"/>
      <c r="C98" s="10"/>
      <c r="D98" s="10"/>
      <c r="E98" s="51" t="s">
        <v>47</v>
      </c>
      <c r="F98" s="52">
        <f>F97*0.05</f>
        <v>0</v>
      </c>
      <c r="G98" s="65" t="s">
        <v>40</v>
      </c>
      <c r="H98" s="54">
        <f>F98/1.12</f>
        <v>0</v>
      </c>
      <c r="I98" s="42"/>
      <c r="J98" s="10" t="s">
        <v>48</v>
      </c>
      <c r="K98" s="66" t="e">
        <f>K94/K95</f>
        <v>#DIV/0!</v>
      </c>
      <c r="L98" s="66" t="e">
        <f t="shared" ref="L98:Q98" si="27">L94/L95</f>
        <v>#DIV/0!</v>
      </c>
      <c r="M98" s="66" t="e">
        <f t="shared" si="27"/>
        <v>#DIV/0!</v>
      </c>
      <c r="N98" s="66" t="e">
        <f t="shared" si="27"/>
        <v>#DIV/0!</v>
      </c>
      <c r="O98" s="66">
        <f t="shared" si="27"/>
        <v>3466.8766666666666</v>
      </c>
      <c r="P98" s="66">
        <f t="shared" si="27"/>
        <v>3466.8766666666666</v>
      </c>
      <c r="Q98" s="66" t="e">
        <f t="shared" si="27"/>
        <v>#DIV/0!</v>
      </c>
      <c r="R98" s="63"/>
      <c r="S98" s="10"/>
      <c r="T98" s="10"/>
      <c r="U98" s="17"/>
      <c r="V98" s="10"/>
      <c r="W98" s="10"/>
      <c r="X98" s="10"/>
    </row>
    <row r="99" spans="2:24">
      <c r="B99" s="11"/>
      <c r="C99" s="10"/>
      <c r="D99" s="10"/>
      <c r="E99" s="67" t="s">
        <v>14</v>
      </c>
      <c r="F99" s="68">
        <f>5*50/2</f>
        <v>125</v>
      </c>
      <c r="G99" s="10"/>
      <c r="H99" s="54">
        <f>F99/1.12</f>
        <v>111.60714285714285</v>
      </c>
      <c r="I99" s="10"/>
      <c r="J99" s="10"/>
      <c r="K99" s="10"/>
      <c r="L99" s="10"/>
      <c r="M99" s="10"/>
      <c r="N99" s="10"/>
      <c r="O99" s="10"/>
      <c r="P99" s="10"/>
      <c r="Q99" s="10"/>
      <c r="R99" s="10"/>
      <c r="S99" s="10"/>
      <c r="T99" s="10"/>
      <c r="U99" s="17"/>
      <c r="V99" s="10"/>
      <c r="W99" s="10"/>
      <c r="X99" s="10"/>
    </row>
    <row r="100" spans="2:24">
      <c r="B100" s="11"/>
      <c r="C100" s="10"/>
      <c r="D100" s="10"/>
      <c r="E100" s="67" t="s">
        <v>49</v>
      </c>
      <c r="F100" s="69">
        <f>T89</f>
        <v>0</v>
      </c>
      <c r="G100" s="10"/>
      <c r="H100" s="54"/>
      <c r="I100" s="55"/>
      <c r="J100" s="42"/>
      <c r="K100" s="764" t="s">
        <v>50</v>
      </c>
      <c r="L100" s="765"/>
      <c r="M100" s="765"/>
      <c r="N100" s="765"/>
      <c r="O100" s="765"/>
      <c r="P100" s="765"/>
      <c r="Q100" s="766"/>
      <c r="R100" s="70" t="s">
        <v>28</v>
      </c>
      <c r="S100" s="71" t="s">
        <v>29</v>
      </c>
      <c r="T100" s="10"/>
      <c r="U100" s="17"/>
      <c r="V100" s="10"/>
      <c r="W100" s="10"/>
      <c r="X100" s="10"/>
    </row>
    <row r="101" spans="2:24">
      <c r="B101" s="11"/>
      <c r="C101" s="10"/>
      <c r="D101" s="10"/>
      <c r="E101" s="528" t="s">
        <v>983</v>
      </c>
      <c r="F101" s="402">
        <v>-19.84</v>
      </c>
      <c r="G101" s="10"/>
      <c r="H101" s="10"/>
      <c r="I101" s="10"/>
      <c r="J101" s="42"/>
      <c r="K101" s="20" t="s">
        <v>31</v>
      </c>
      <c r="L101" s="21" t="s">
        <v>32</v>
      </c>
      <c r="M101" s="21" t="s">
        <v>33</v>
      </c>
      <c r="N101" s="21" t="s">
        <v>34</v>
      </c>
      <c r="O101" s="21" t="s">
        <v>35</v>
      </c>
      <c r="P101" s="21" t="s">
        <v>36</v>
      </c>
      <c r="Q101" s="49" t="s">
        <v>37</v>
      </c>
      <c r="R101" s="50" t="s">
        <v>38</v>
      </c>
      <c r="S101" s="50" t="s">
        <v>38</v>
      </c>
      <c r="T101" s="10"/>
      <c r="U101" s="17"/>
      <c r="V101" s="10"/>
      <c r="W101" s="10"/>
      <c r="X101" s="10"/>
    </row>
    <row r="102" spans="2:24">
      <c r="B102" s="11"/>
      <c r="C102" s="10"/>
      <c r="D102" s="10"/>
      <c r="E102" s="528" t="s">
        <v>984</v>
      </c>
      <c r="F102" s="402">
        <v>-386.01</v>
      </c>
      <c r="G102" s="10"/>
      <c r="H102" s="10"/>
      <c r="I102" s="10"/>
      <c r="J102" s="42"/>
      <c r="K102" s="56"/>
      <c r="L102" s="57"/>
      <c r="M102" s="57"/>
      <c r="N102" s="57"/>
      <c r="O102" s="57">
        <f>F117+F118+F119</f>
        <v>11383</v>
      </c>
      <c r="P102" s="57">
        <f>SUM(K102:O102)</f>
        <v>11383</v>
      </c>
      <c r="Q102" s="58">
        <v>0</v>
      </c>
      <c r="R102" s="59">
        <f>+F120</f>
        <v>11383</v>
      </c>
      <c r="S102" s="59">
        <v>0</v>
      </c>
      <c r="T102" s="10"/>
      <c r="U102" s="17"/>
      <c r="V102" s="10"/>
      <c r="W102" s="10"/>
      <c r="X102" s="10"/>
    </row>
    <row r="103" spans="2:24">
      <c r="B103" s="11"/>
      <c r="C103" s="10"/>
      <c r="D103" s="10"/>
      <c r="E103" s="485" t="s">
        <v>985</v>
      </c>
      <c r="F103" s="403">
        <v>235.96</v>
      </c>
      <c r="G103" s="10"/>
      <c r="H103" s="10"/>
      <c r="I103" s="10"/>
      <c r="J103" s="10" t="s">
        <v>42</v>
      </c>
      <c r="K103" s="63">
        <f>K95</f>
        <v>0</v>
      </c>
      <c r="L103" s="63">
        <f t="shared" ref="L103:Q104" si="28">L95</f>
        <v>0</v>
      </c>
      <c r="M103" s="63">
        <f t="shared" si="28"/>
        <v>0</v>
      </c>
      <c r="N103" s="63">
        <f t="shared" si="28"/>
        <v>0</v>
      </c>
      <c r="O103" s="63">
        <f t="shared" si="28"/>
        <v>3</v>
      </c>
      <c r="P103" s="63">
        <f t="shared" si="28"/>
        <v>3</v>
      </c>
      <c r="Q103" s="63">
        <f t="shared" si="28"/>
        <v>0</v>
      </c>
      <c r="R103" s="63"/>
      <c r="S103" s="10"/>
      <c r="T103" s="10"/>
      <c r="U103" s="17"/>
      <c r="V103" s="10"/>
      <c r="W103" s="10"/>
      <c r="X103" s="10"/>
    </row>
    <row r="104" spans="2:24">
      <c r="B104" s="11"/>
      <c r="C104" s="10"/>
      <c r="D104" s="10"/>
      <c r="E104" s="12"/>
      <c r="F104" s="76"/>
      <c r="G104" s="76"/>
      <c r="H104" s="10"/>
      <c r="I104" s="10"/>
      <c r="J104" s="10" t="s">
        <v>44</v>
      </c>
      <c r="K104" s="63">
        <f>K96</f>
        <v>0</v>
      </c>
      <c r="L104" s="63">
        <f t="shared" si="28"/>
        <v>0</v>
      </c>
      <c r="M104" s="63">
        <f t="shared" si="28"/>
        <v>0</v>
      </c>
      <c r="N104" s="63">
        <f t="shared" si="28"/>
        <v>0</v>
      </c>
      <c r="O104" s="63">
        <f t="shared" si="28"/>
        <v>0</v>
      </c>
      <c r="P104" s="63">
        <f t="shared" si="28"/>
        <v>0</v>
      </c>
      <c r="Q104" s="63">
        <f t="shared" si="28"/>
        <v>0</v>
      </c>
      <c r="R104" s="63"/>
      <c r="S104" s="10"/>
      <c r="T104" s="10"/>
      <c r="U104" s="17"/>
      <c r="V104" s="10"/>
      <c r="W104" s="10"/>
      <c r="X104" s="10"/>
    </row>
    <row r="105" spans="2:24">
      <c r="B105" s="11"/>
      <c r="C105" s="10"/>
      <c r="D105" s="10"/>
      <c r="E105" s="12"/>
      <c r="F105" s="76"/>
      <c r="G105" s="10"/>
      <c r="H105" s="10"/>
      <c r="I105" s="10"/>
      <c r="J105" s="10" t="s">
        <v>46</v>
      </c>
      <c r="K105" s="31" t="e">
        <f t="shared" ref="K105:Q105" si="29">K103/(K103+K104)</f>
        <v>#DIV/0!</v>
      </c>
      <c r="L105" s="31" t="e">
        <f t="shared" si="29"/>
        <v>#DIV/0!</v>
      </c>
      <c r="M105" s="31" t="e">
        <f t="shared" si="29"/>
        <v>#DIV/0!</v>
      </c>
      <c r="N105" s="31" t="e">
        <f t="shared" si="29"/>
        <v>#DIV/0!</v>
      </c>
      <c r="O105" s="31">
        <f t="shared" si="29"/>
        <v>1</v>
      </c>
      <c r="P105" s="31">
        <f t="shared" si="29"/>
        <v>1</v>
      </c>
      <c r="Q105" s="31" t="e">
        <f t="shared" si="29"/>
        <v>#DIV/0!</v>
      </c>
      <c r="R105" s="63"/>
      <c r="S105" s="10"/>
      <c r="T105" s="10"/>
      <c r="U105" s="17"/>
      <c r="V105" s="10"/>
      <c r="W105" s="10"/>
      <c r="X105" s="10"/>
    </row>
    <row r="106" spans="2:24">
      <c r="B106" s="11"/>
      <c r="C106" s="10"/>
      <c r="D106" s="10"/>
      <c r="E106" s="10"/>
      <c r="F106" s="10"/>
      <c r="G106" s="10"/>
      <c r="H106" s="10"/>
      <c r="I106" s="10"/>
      <c r="J106" s="10" t="s">
        <v>48</v>
      </c>
      <c r="K106" s="66" t="e">
        <f t="shared" ref="K106:Q106" si="30">K102/K103</f>
        <v>#DIV/0!</v>
      </c>
      <c r="L106" s="66" t="e">
        <f t="shared" si="30"/>
        <v>#DIV/0!</v>
      </c>
      <c r="M106" s="66" t="e">
        <f t="shared" si="30"/>
        <v>#DIV/0!</v>
      </c>
      <c r="N106" s="66" t="e">
        <f t="shared" si="30"/>
        <v>#DIV/0!</v>
      </c>
      <c r="O106" s="66">
        <f t="shared" si="30"/>
        <v>3794.3333333333335</v>
      </c>
      <c r="P106" s="66">
        <f t="shared" si="30"/>
        <v>3794.3333333333335</v>
      </c>
      <c r="Q106" s="66" t="e">
        <f t="shared" si="30"/>
        <v>#DIV/0!</v>
      </c>
      <c r="R106" s="63"/>
      <c r="S106" s="10"/>
      <c r="T106" s="10"/>
      <c r="U106" s="17"/>
      <c r="V106" s="10"/>
      <c r="W106" s="10"/>
      <c r="X106" s="10"/>
    </row>
    <row r="107" spans="2:24">
      <c r="B107" s="11"/>
      <c r="C107" s="10"/>
      <c r="D107" s="10"/>
      <c r="E107" s="10"/>
      <c r="F107" s="10"/>
      <c r="G107" s="10"/>
      <c r="H107" s="10"/>
      <c r="I107" s="10"/>
      <c r="J107" s="10"/>
      <c r="K107" s="10"/>
      <c r="L107" s="10"/>
      <c r="M107" s="10"/>
      <c r="N107" s="10"/>
      <c r="O107" s="10"/>
      <c r="P107" s="10"/>
      <c r="Q107" s="10"/>
      <c r="R107" s="10"/>
      <c r="S107" s="10"/>
      <c r="T107" s="10"/>
      <c r="U107" s="17"/>
      <c r="V107" s="10"/>
      <c r="W107" s="10"/>
      <c r="X107" s="10"/>
    </row>
    <row r="108" spans="2:24">
      <c r="B108" s="11"/>
      <c r="C108" s="10"/>
      <c r="D108" s="10"/>
      <c r="E108" s="10"/>
      <c r="F108" s="10"/>
      <c r="G108" s="10"/>
      <c r="H108" s="10"/>
      <c r="I108" s="10"/>
      <c r="J108" s="10"/>
      <c r="K108" s="10"/>
      <c r="L108" s="10"/>
      <c r="M108" s="10"/>
      <c r="N108" s="10"/>
      <c r="O108" s="10"/>
      <c r="P108" s="10"/>
      <c r="Q108" s="10"/>
      <c r="R108" s="10"/>
      <c r="S108" s="10"/>
      <c r="T108" s="10"/>
      <c r="U108" s="17"/>
      <c r="V108" s="10"/>
      <c r="W108" s="10"/>
      <c r="X108" s="10"/>
    </row>
    <row r="109" spans="2:24">
      <c r="B109" s="18" t="s">
        <v>51</v>
      </c>
      <c r="C109" s="14"/>
      <c r="D109" s="14"/>
      <c r="E109" s="14"/>
      <c r="F109" s="13" t="s">
        <v>52</v>
      </c>
      <c r="G109" s="14"/>
      <c r="H109" s="14"/>
      <c r="I109" s="14"/>
      <c r="J109" s="14"/>
      <c r="K109" s="13" t="s">
        <v>3</v>
      </c>
      <c r="L109" s="14"/>
      <c r="M109" s="14"/>
      <c r="N109" s="13" t="s">
        <v>4</v>
      </c>
      <c r="O109" s="14"/>
      <c r="P109" s="14"/>
      <c r="Q109" s="13" t="s">
        <v>5</v>
      </c>
      <c r="R109" s="14"/>
      <c r="S109" s="14"/>
      <c r="T109" s="18"/>
      <c r="U109" s="16" t="s">
        <v>53</v>
      </c>
      <c r="V109" s="77"/>
      <c r="W109" s="77"/>
      <c r="X109" s="77"/>
    </row>
    <row r="110" spans="2:24">
      <c r="B110" s="24" t="s">
        <v>54</v>
      </c>
      <c r="C110" s="21" t="s">
        <v>55</v>
      </c>
      <c r="D110" s="21" t="s">
        <v>56</v>
      </c>
      <c r="E110" s="21" t="s">
        <v>57</v>
      </c>
      <c r="F110" s="20" t="s">
        <v>58</v>
      </c>
      <c r="G110" s="21" t="s">
        <v>59</v>
      </c>
      <c r="H110" s="21" t="s">
        <v>60</v>
      </c>
      <c r="I110" s="21" t="s">
        <v>26</v>
      </c>
      <c r="J110" s="22" t="s">
        <v>61</v>
      </c>
      <c r="K110" s="21" t="s">
        <v>8</v>
      </c>
      <c r="L110" s="21" t="s">
        <v>9</v>
      </c>
      <c r="M110" s="21" t="s">
        <v>10</v>
      </c>
      <c r="N110" s="20" t="s">
        <v>11</v>
      </c>
      <c r="O110" s="21" t="s">
        <v>12</v>
      </c>
      <c r="P110" s="22" t="s">
        <v>13</v>
      </c>
      <c r="Q110" s="21" t="s">
        <v>11</v>
      </c>
      <c r="R110" s="21" t="s">
        <v>12</v>
      </c>
      <c r="S110" s="21" t="s">
        <v>13</v>
      </c>
      <c r="T110" s="78" t="s">
        <v>14</v>
      </c>
      <c r="U110" s="30"/>
      <c r="V110" s="79" t="s">
        <v>62</v>
      </c>
      <c r="W110" s="80" t="s">
        <v>63</v>
      </c>
      <c r="X110" s="81" t="s">
        <v>64</v>
      </c>
    </row>
    <row r="111" spans="2:24">
      <c r="B111" s="4" t="s">
        <v>65</v>
      </c>
      <c r="C111" s="6"/>
      <c r="D111" s="6"/>
      <c r="E111" s="6"/>
      <c r="F111" s="6"/>
      <c r="G111" s="6"/>
      <c r="H111" s="6"/>
      <c r="I111" s="82"/>
      <c r="J111" s="6"/>
      <c r="K111" s="6"/>
      <c r="L111" s="6"/>
      <c r="M111" s="6"/>
      <c r="N111" s="6"/>
      <c r="O111" s="6"/>
      <c r="P111" s="6"/>
      <c r="Q111" s="6"/>
      <c r="R111" s="6"/>
      <c r="S111" s="6"/>
      <c r="T111" s="83"/>
      <c r="U111" s="6"/>
      <c r="V111" s="84"/>
      <c r="W111" s="85"/>
      <c r="X111" s="86"/>
    </row>
    <row r="112" spans="2:24">
      <c r="B112" s="87">
        <v>1</v>
      </c>
      <c r="C112" s="262"/>
      <c r="D112" s="271"/>
      <c r="E112" s="264"/>
      <c r="F112" s="265"/>
      <c r="G112" s="265"/>
      <c r="H112" s="365"/>
      <c r="I112" s="272">
        <f t="shared" ref="I112" si="31">F112-G112-H112</f>
        <v>0</v>
      </c>
      <c r="J112" s="267"/>
      <c r="K112" s="267"/>
      <c r="L112" s="267"/>
      <c r="M112" s="267"/>
      <c r="N112" s="267"/>
      <c r="O112" s="267"/>
      <c r="P112" s="267"/>
      <c r="Q112" s="267"/>
      <c r="R112" s="267"/>
      <c r="S112" s="269"/>
      <c r="T112" s="63"/>
      <c r="U112" s="94"/>
      <c r="V112" s="90"/>
      <c r="W112" s="91"/>
      <c r="X112" s="92"/>
    </row>
    <row r="113" spans="1:24">
      <c r="B113" s="87"/>
      <c r="C113" s="36"/>
      <c r="D113" s="10"/>
      <c r="E113" s="10"/>
      <c r="F113" s="97">
        <f>SUM(F112:F112)</f>
        <v>0</v>
      </c>
      <c r="G113" s="97">
        <f>SUM(G112:G112)</f>
        <v>0</v>
      </c>
      <c r="H113" s="97">
        <f>SUM(H112:H112)</f>
        <v>0</v>
      </c>
      <c r="I113" s="98">
        <f>SUM(I112:I112)</f>
        <v>0</v>
      </c>
      <c r="J113" s="63"/>
      <c r="K113" s="63">
        <f t="shared" ref="K113:S113" si="32">COUNT(K112:K112)</f>
        <v>0</v>
      </c>
      <c r="L113" s="63">
        <f t="shared" si="32"/>
        <v>0</v>
      </c>
      <c r="M113" s="63">
        <f t="shared" si="32"/>
        <v>0</v>
      </c>
      <c r="N113" s="63">
        <f t="shared" si="32"/>
        <v>0</v>
      </c>
      <c r="O113" s="63">
        <f t="shared" si="32"/>
        <v>0</v>
      </c>
      <c r="P113" s="63">
        <f t="shared" si="32"/>
        <v>0</v>
      </c>
      <c r="Q113" s="63">
        <f t="shared" si="32"/>
        <v>0</v>
      </c>
      <c r="R113" s="63">
        <f t="shared" si="32"/>
        <v>0</v>
      </c>
      <c r="S113" s="63">
        <f t="shared" si="32"/>
        <v>0</v>
      </c>
      <c r="T113" s="63"/>
      <c r="U113" s="10"/>
      <c r="V113" s="90"/>
      <c r="W113" s="91"/>
      <c r="X113" s="92"/>
    </row>
    <row r="114" spans="1:24">
      <c r="B114" s="87"/>
      <c r="C114" s="36"/>
      <c r="D114" s="10"/>
      <c r="E114" s="10"/>
      <c r="F114" s="88"/>
      <c r="G114" s="88"/>
      <c r="H114" s="88"/>
      <c r="I114" s="99"/>
      <c r="J114" s="63"/>
      <c r="K114" s="21">
        <f t="shared" ref="K114:S114" si="33">SUM(K112:K112)</f>
        <v>0</v>
      </c>
      <c r="L114" s="21">
        <f t="shared" si="33"/>
        <v>0</v>
      </c>
      <c r="M114" s="21">
        <f t="shared" si="33"/>
        <v>0</v>
      </c>
      <c r="N114" s="21">
        <f t="shared" si="33"/>
        <v>0</v>
      </c>
      <c r="O114" s="21">
        <f t="shared" si="33"/>
        <v>0</v>
      </c>
      <c r="P114" s="21">
        <f t="shared" si="33"/>
        <v>0</v>
      </c>
      <c r="Q114" s="21">
        <f t="shared" si="33"/>
        <v>0</v>
      </c>
      <c r="R114" s="21">
        <f t="shared" si="33"/>
        <v>0</v>
      </c>
      <c r="S114" s="21">
        <f t="shared" si="33"/>
        <v>0</v>
      </c>
      <c r="T114" s="63"/>
      <c r="U114" s="10"/>
      <c r="V114" s="90"/>
      <c r="W114" s="91"/>
      <c r="X114" s="92"/>
    </row>
    <row r="115" spans="1:24">
      <c r="B115" s="11"/>
      <c r="C115" s="36"/>
      <c r="D115" s="10"/>
      <c r="E115" s="10"/>
      <c r="F115" s="88"/>
      <c r="G115" s="88"/>
      <c r="H115" s="88"/>
      <c r="I115" s="99"/>
      <c r="J115" s="63"/>
      <c r="K115" s="21"/>
      <c r="L115" s="21"/>
      <c r="M115" s="21"/>
      <c r="N115" s="21"/>
      <c r="O115" s="21"/>
      <c r="P115" s="21"/>
      <c r="Q115" s="21"/>
      <c r="R115" s="21"/>
      <c r="S115" s="21"/>
      <c r="T115" s="63"/>
      <c r="U115" s="94"/>
      <c r="V115" s="90"/>
      <c r="W115" s="91"/>
      <c r="X115" s="92"/>
    </row>
    <row r="116" spans="1:24" s="342" customFormat="1">
      <c r="B116" s="121" t="s">
        <v>70</v>
      </c>
      <c r="C116" s="122"/>
      <c r="D116" s="123"/>
      <c r="E116" s="128"/>
      <c r="F116" s="124"/>
      <c r="G116" s="124"/>
      <c r="H116" s="124"/>
      <c r="I116" s="126"/>
      <c r="J116" s="127"/>
      <c r="K116" s="64"/>
      <c r="L116" s="64"/>
      <c r="M116" s="64"/>
      <c r="N116" s="64"/>
      <c r="O116" s="64"/>
      <c r="P116" s="64"/>
      <c r="Q116" s="64"/>
      <c r="R116" s="64"/>
      <c r="S116" s="64"/>
      <c r="T116" s="127"/>
      <c r="U116" s="135"/>
      <c r="V116" s="129"/>
      <c r="W116" s="130"/>
      <c r="X116" s="131"/>
    </row>
    <row r="117" spans="1:24" s="342" customFormat="1">
      <c r="A117" s="492" t="s">
        <v>986</v>
      </c>
      <c r="B117" s="333">
        <v>1</v>
      </c>
      <c r="C117" s="334">
        <v>45870</v>
      </c>
      <c r="D117" s="327" t="s">
        <v>978</v>
      </c>
      <c r="E117" s="394" t="s">
        <v>274</v>
      </c>
      <c r="F117" s="336">
        <v>8641</v>
      </c>
      <c r="G117" s="336">
        <f>39.7+(113.27)+750</f>
        <v>902.97</v>
      </c>
      <c r="H117" s="502"/>
      <c r="I117" s="337">
        <f>F117-G117-H117</f>
        <v>7738.03</v>
      </c>
      <c r="J117" s="338" t="s">
        <v>156</v>
      </c>
      <c r="K117" s="338">
        <v>1</v>
      </c>
      <c r="L117" s="338"/>
      <c r="M117" s="338">
        <v>1</v>
      </c>
      <c r="N117" s="338">
        <v>1</v>
      </c>
      <c r="O117" s="338">
        <v>1</v>
      </c>
      <c r="P117" s="322">
        <v>0</v>
      </c>
      <c r="Q117" s="338"/>
      <c r="R117" s="338"/>
      <c r="S117" s="339"/>
      <c r="T117" s="127"/>
      <c r="U117" s="135" t="s">
        <v>987</v>
      </c>
      <c r="V117" s="129">
        <f>950.51+7800</f>
        <v>8750.51</v>
      </c>
      <c r="W117" s="340"/>
      <c r="X117" s="341"/>
    </row>
    <row r="118" spans="1:24" s="342" customFormat="1">
      <c r="A118" s="492">
        <v>0.05</v>
      </c>
      <c r="B118" s="333">
        <f>B117+1</f>
        <v>2</v>
      </c>
      <c r="C118" s="345">
        <v>45870</v>
      </c>
      <c r="D118" s="323">
        <v>71976</v>
      </c>
      <c r="E118" s="123" t="s">
        <v>155</v>
      </c>
      <c r="F118" s="125">
        <v>1281</v>
      </c>
      <c r="G118" s="125">
        <f>39.7</f>
        <v>39.700000000000003</v>
      </c>
      <c r="H118" s="125"/>
      <c r="I118" s="347">
        <f>F118-G118-H118</f>
        <v>1241.3</v>
      </c>
      <c r="J118" s="127" t="s">
        <v>156</v>
      </c>
      <c r="K118" s="127">
        <v>1</v>
      </c>
      <c r="L118" s="127"/>
      <c r="M118" s="127">
        <v>1</v>
      </c>
      <c r="N118" s="127">
        <v>1</v>
      </c>
      <c r="O118" s="127">
        <v>1</v>
      </c>
      <c r="P118" s="127">
        <v>1</v>
      </c>
      <c r="Q118" s="127"/>
      <c r="R118" s="127"/>
      <c r="S118" s="349"/>
      <c r="T118" s="127"/>
      <c r="U118" s="135" t="s">
        <v>988</v>
      </c>
      <c r="V118" s="129">
        <f>140.91</f>
        <v>140.91</v>
      </c>
      <c r="W118" s="340"/>
      <c r="X118" s="341"/>
    </row>
    <row r="119" spans="1:24" s="342" customFormat="1">
      <c r="A119" s="492">
        <v>0.05</v>
      </c>
      <c r="B119" s="333">
        <f t="shared" ref="B119" si="34">B118+1</f>
        <v>3</v>
      </c>
      <c r="C119" s="395">
        <v>45870</v>
      </c>
      <c r="D119" s="368">
        <v>71966</v>
      </c>
      <c r="E119" s="396" t="s">
        <v>196</v>
      </c>
      <c r="F119" s="397">
        <v>1461</v>
      </c>
      <c r="G119" s="397">
        <f>39.7</f>
        <v>39.700000000000003</v>
      </c>
      <c r="H119" s="397"/>
      <c r="I119" s="398">
        <f t="shared" ref="I119" si="35">F119-G119-H119</f>
        <v>1421.3</v>
      </c>
      <c r="J119" s="399" t="s">
        <v>156</v>
      </c>
      <c r="K119" s="399">
        <v>1</v>
      </c>
      <c r="L119" s="399"/>
      <c r="M119" s="399">
        <v>1</v>
      </c>
      <c r="N119" s="399">
        <v>1</v>
      </c>
      <c r="O119" s="399">
        <v>1</v>
      </c>
      <c r="P119" s="399">
        <v>1</v>
      </c>
      <c r="Q119" s="399"/>
      <c r="R119" s="399"/>
      <c r="S119" s="400"/>
      <c r="T119" s="127"/>
      <c r="U119" s="135" t="s">
        <v>989</v>
      </c>
      <c r="V119" s="129">
        <f>160.71</f>
        <v>160.71</v>
      </c>
      <c r="W119" s="340"/>
      <c r="X119" s="341"/>
    </row>
    <row r="120" spans="1:24">
      <c r="B120" s="132"/>
      <c r="C120" s="122"/>
      <c r="D120" s="123"/>
      <c r="E120" s="123"/>
      <c r="F120" s="134">
        <f>SUM(F117:F119)</f>
        <v>11383</v>
      </c>
      <c r="G120" s="134">
        <f>SUM(G117:G119)</f>
        <v>982.37000000000012</v>
      </c>
      <c r="H120" s="134">
        <f>SUM(H117:H119)</f>
        <v>0</v>
      </c>
      <c r="I120" s="134">
        <f>SUM(I117:I119)</f>
        <v>10400.629999999999</v>
      </c>
      <c r="J120" s="127"/>
      <c r="K120" s="64"/>
      <c r="L120" s="64"/>
      <c r="M120" s="64"/>
      <c r="N120" s="64"/>
      <c r="O120" s="64"/>
      <c r="P120" s="64"/>
      <c r="Q120" s="64"/>
      <c r="R120" s="64"/>
      <c r="S120" s="64"/>
      <c r="T120" s="127"/>
      <c r="U120" s="135"/>
      <c r="V120" s="129"/>
      <c r="W120" s="130"/>
      <c r="X120" s="131"/>
    </row>
    <row r="121" spans="1:24">
      <c r="B121" s="26"/>
      <c r="C121" s="140"/>
      <c r="D121" s="141"/>
      <c r="E121" s="141"/>
      <c r="F121" s="141"/>
      <c r="G121" s="141"/>
      <c r="H121" s="141"/>
      <c r="I121" s="141"/>
      <c r="J121" s="141"/>
      <c r="K121" s="142"/>
      <c r="L121" s="142"/>
      <c r="M121" s="142"/>
      <c r="N121" s="142"/>
      <c r="O121" s="142"/>
      <c r="P121" s="142"/>
      <c r="Q121" s="142"/>
      <c r="R121" s="142"/>
      <c r="S121" s="142"/>
      <c r="T121" s="143">
        <f>SUM(T111:T120)</f>
        <v>0</v>
      </c>
      <c r="U121" s="141"/>
      <c r="V121" s="144">
        <f>SUM(V111:V120)</f>
        <v>9052.1299999999992</v>
      </c>
      <c r="W121" s="145">
        <f>SUM(W111:W120)</f>
        <v>0</v>
      </c>
      <c r="X121" s="146">
        <f>SUM(X111:X120)</f>
        <v>0</v>
      </c>
    </row>
    <row r="124" spans="1:24">
      <c r="A124" s="3"/>
      <c r="B124" s="4" t="s">
        <v>1</v>
      </c>
      <c r="C124" s="5"/>
      <c r="D124" s="6"/>
      <c r="E124" s="6"/>
      <c r="F124" s="7" t="s">
        <v>2</v>
      </c>
      <c r="G124" s="8">
        <v>45879</v>
      </c>
      <c r="H124" s="7"/>
      <c r="I124" s="6"/>
      <c r="J124" s="6"/>
      <c r="K124" s="6"/>
      <c r="L124" s="6"/>
      <c r="M124" s="6"/>
      <c r="N124" s="6"/>
      <c r="O124" s="6"/>
      <c r="P124" s="6"/>
      <c r="Q124" s="6"/>
      <c r="R124" s="6"/>
      <c r="S124" s="6"/>
      <c r="T124" s="6"/>
      <c r="U124" s="9"/>
      <c r="V124" s="10"/>
      <c r="W124" s="10"/>
      <c r="X124" s="10"/>
    </row>
    <row r="125" spans="1:24">
      <c r="A125" s="2"/>
      <c r="B125" s="11"/>
      <c r="C125" s="10"/>
      <c r="D125" s="10"/>
      <c r="E125" s="10"/>
      <c r="F125" s="10"/>
      <c r="G125" s="7"/>
      <c r="H125" s="12"/>
      <c r="I125" s="10"/>
      <c r="J125" s="10"/>
      <c r="K125" s="13" t="s">
        <v>3</v>
      </c>
      <c r="L125" s="14"/>
      <c r="M125" s="15"/>
      <c r="N125" s="13" t="s">
        <v>4</v>
      </c>
      <c r="O125" s="14"/>
      <c r="P125" s="15"/>
      <c r="Q125" s="13" t="s">
        <v>5</v>
      </c>
      <c r="R125" s="14"/>
      <c r="S125" s="15"/>
      <c r="T125" s="16"/>
      <c r="U125" s="17"/>
      <c r="V125" s="10"/>
      <c r="W125" s="10"/>
      <c r="X125" s="10"/>
    </row>
    <row r="126" spans="1:24">
      <c r="A126" s="2"/>
      <c r="B126" s="18" t="s">
        <v>6</v>
      </c>
      <c r="C126" s="19">
        <f>C127+C128</f>
        <v>3</v>
      </c>
      <c r="D126" s="10"/>
      <c r="E126" s="18" t="s">
        <v>7</v>
      </c>
      <c r="F126" s="6"/>
      <c r="G126" s="9"/>
      <c r="H126" s="10"/>
      <c r="I126" s="10"/>
      <c r="J126" s="10"/>
      <c r="K126" s="20" t="s">
        <v>8</v>
      </c>
      <c r="L126" s="21" t="s">
        <v>9</v>
      </c>
      <c r="M126" s="21" t="s">
        <v>10</v>
      </c>
      <c r="N126" s="20" t="s">
        <v>11</v>
      </c>
      <c r="O126" s="21" t="s">
        <v>12</v>
      </c>
      <c r="P126" s="22" t="s">
        <v>13</v>
      </c>
      <c r="Q126" s="21" t="s">
        <v>11</v>
      </c>
      <c r="R126" s="21" t="s">
        <v>12</v>
      </c>
      <c r="S126" s="22" t="s">
        <v>13</v>
      </c>
      <c r="T126" s="23" t="s">
        <v>14</v>
      </c>
      <c r="U126" s="17"/>
      <c r="V126" s="10"/>
      <c r="W126" s="10"/>
      <c r="X126" s="10"/>
    </row>
    <row r="127" spans="1:24">
      <c r="A127" s="2"/>
      <c r="B127" s="24" t="s">
        <v>15</v>
      </c>
      <c r="C127" s="25">
        <f>P134</f>
        <v>2</v>
      </c>
      <c r="D127" s="10"/>
      <c r="E127" s="26" t="s">
        <v>16</v>
      </c>
      <c r="F127" s="27">
        <v>0.05</v>
      </c>
      <c r="G127" s="28"/>
      <c r="H127" s="10"/>
      <c r="I127" s="10"/>
      <c r="J127" s="18" t="s">
        <v>17</v>
      </c>
      <c r="K127" s="29">
        <f>K154</f>
        <v>2</v>
      </c>
      <c r="L127" s="29">
        <f t="shared" ref="L127:S127" si="36">L154</f>
        <v>2</v>
      </c>
      <c r="M127" s="29">
        <f t="shared" si="36"/>
        <v>2</v>
      </c>
      <c r="N127" s="29">
        <f t="shared" si="36"/>
        <v>2</v>
      </c>
      <c r="O127" s="29">
        <f t="shared" si="36"/>
        <v>2</v>
      </c>
      <c r="P127" s="29">
        <f t="shared" si="36"/>
        <v>2</v>
      </c>
      <c r="Q127" s="29">
        <f t="shared" si="36"/>
        <v>2</v>
      </c>
      <c r="R127" s="29">
        <f t="shared" si="36"/>
        <v>2</v>
      </c>
      <c r="S127" s="29">
        <f t="shared" si="36"/>
        <v>2</v>
      </c>
      <c r="T127" s="30">
        <f>T168</f>
        <v>0</v>
      </c>
      <c r="U127" s="17"/>
      <c r="V127" s="10"/>
      <c r="W127" s="10"/>
      <c r="X127" s="10"/>
    </row>
    <row r="128" spans="1:24">
      <c r="A128" s="2"/>
      <c r="B128" s="24" t="s">
        <v>18</v>
      </c>
      <c r="C128" s="25">
        <f>P135</f>
        <v>1</v>
      </c>
      <c r="D128" s="10"/>
      <c r="E128" s="10"/>
      <c r="F128" s="10"/>
      <c r="G128" s="31"/>
      <c r="H128" s="10"/>
      <c r="I128" s="10"/>
      <c r="J128" s="32" t="s">
        <v>19</v>
      </c>
      <c r="K128" s="33">
        <f>K154/K153</f>
        <v>1</v>
      </c>
      <c r="L128" s="33">
        <f t="shared" ref="L128:S128" si="37">L154/L153</f>
        <v>1</v>
      </c>
      <c r="M128" s="33">
        <f t="shared" si="37"/>
        <v>1</v>
      </c>
      <c r="N128" s="33">
        <f t="shared" si="37"/>
        <v>1</v>
      </c>
      <c r="O128" s="33">
        <f t="shared" si="37"/>
        <v>1</v>
      </c>
      <c r="P128" s="33">
        <f t="shared" si="37"/>
        <v>1</v>
      </c>
      <c r="Q128" s="33">
        <f t="shared" si="37"/>
        <v>1</v>
      </c>
      <c r="R128" s="33">
        <f t="shared" si="37"/>
        <v>1</v>
      </c>
      <c r="S128" s="33">
        <f t="shared" si="37"/>
        <v>1</v>
      </c>
      <c r="T128" s="23"/>
      <c r="U128" s="17" t="s">
        <v>20</v>
      </c>
      <c r="V128" s="10"/>
      <c r="W128" s="10"/>
      <c r="X128" s="10"/>
    </row>
    <row r="129" spans="1:24">
      <c r="A129" s="2"/>
      <c r="B129" s="24" t="s">
        <v>21</v>
      </c>
      <c r="C129" s="34">
        <f>P136</f>
        <v>0.66666666666666663</v>
      </c>
      <c r="D129" s="10"/>
      <c r="E129" s="10"/>
      <c r="F129" s="10"/>
      <c r="G129" s="10"/>
      <c r="H129" s="10"/>
      <c r="I129" s="10"/>
      <c r="J129" s="10"/>
      <c r="K129" s="10"/>
      <c r="L129" s="10"/>
      <c r="M129" s="10"/>
      <c r="N129" s="10"/>
      <c r="O129" s="10"/>
      <c r="P129" s="10"/>
      <c r="Q129" s="10"/>
      <c r="R129" s="10"/>
      <c r="S129" s="10"/>
      <c r="T129" s="10"/>
      <c r="U129" s="17"/>
      <c r="V129" s="10"/>
      <c r="W129" s="10"/>
      <c r="X129" s="10"/>
    </row>
    <row r="130" spans="1:24">
      <c r="A130" s="2"/>
      <c r="B130" s="24"/>
      <c r="C130" s="25"/>
      <c r="D130" s="10"/>
      <c r="E130" s="10"/>
      <c r="F130" s="18" t="s">
        <v>22</v>
      </c>
      <c r="G130" s="19" t="s">
        <v>23</v>
      </c>
      <c r="H130" s="35" t="s">
        <v>24</v>
      </c>
      <c r="I130" s="10"/>
      <c r="J130" s="10"/>
      <c r="K130" s="36"/>
      <c r="L130" s="36"/>
      <c r="M130" s="36"/>
      <c r="N130" s="36"/>
      <c r="O130" s="36"/>
      <c r="P130" s="36"/>
      <c r="Q130" s="36"/>
      <c r="R130" s="10"/>
      <c r="S130" s="10"/>
      <c r="T130" s="10"/>
      <c r="U130" s="17"/>
      <c r="V130" s="10"/>
      <c r="W130" s="10"/>
      <c r="X130" s="10"/>
    </row>
    <row r="131" spans="1:24" ht="15" customHeight="1">
      <c r="A131" s="2"/>
      <c r="B131" s="32" t="s">
        <v>25</v>
      </c>
      <c r="C131" s="37">
        <f>P137</f>
        <v>661.15</v>
      </c>
      <c r="D131" s="10"/>
      <c r="E131" s="18" t="s">
        <v>26</v>
      </c>
      <c r="F131" s="38">
        <f>P133</f>
        <v>1322.3</v>
      </c>
      <c r="G131" s="39">
        <f>I153</f>
        <v>1322.3</v>
      </c>
      <c r="H131" s="40"/>
      <c r="I131" s="41"/>
      <c r="J131" s="42"/>
      <c r="K131" s="43" t="s">
        <v>27</v>
      </c>
      <c r="L131" s="44"/>
      <c r="M131" s="44"/>
      <c r="N131" s="44"/>
      <c r="O131" s="44"/>
      <c r="P131" s="44"/>
      <c r="Q131" s="45"/>
      <c r="R131" s="46" t="s">
        <v>28</v>
      </c>
      <c r="S131" s="47" t="s">
        <v>29</v>
      </c>
      <c r="T131" s="10"/>
      <c r="U131" s="17"/>
      <c r="V131" s="10"/>
      <c r="W131" s="10"/>
      <c r="X131" s="10"/>
    </row>
    <row r="132" spans="1:24">
      <c r="A132" s="2"/>
      <c r="B132" s="11"/>
      <c r="C132" s="10"/>
      <c r="D132" s="10"/>
      <c r="E132" s="24" t="s">
        <v>30</v>
      </c>
      <c r="F132" s="48">
        <f>F127</f>
        <v>0.05</v>
      </c>
      <c r="G132" s="17"/>
      <c r="H132" s="40"/>
      <c r="I132" s="41"/>
      <c r="J132" s="42"/>
      <c r="K132" s="20" t="s">
        <v>31</v>
      </c>
      <c r="L132" s="21" t="s">
        <v>32</v>
      </c>
      <c r="M132" s="21" t="s">
        <v>33</v>
      </c>
      <c r="N132" s="21" t="s">
        <v>34</v>
      </c>
      <c r="O132" s="21" t="s">
        <v>35</v>
      </c>
      <c r="P132" s="21" t="s">
        <v>36</v>
      </c>
      <c r="Q132" s="49" t="s">
        <v>37</v>
      </c>
      <c r="R132" s="50" t="s">
        <v>38</v>
      </c>
      <c r="S132" s="50" t="s">
        <v>38</v>
      </c>
      <c r="T132" s="10"/>
      <c r="U132" s="17"/>
      <c r="V132" s="10"/>
      <c r="W132" s="10"/>
      <c r="X132" s="10"/>
    </row>
    <row r="133" spans="1:24">
      <c r="A133" s="2"/>
      <c r="B133" s="11"/>
      <c r="C133" s="10"/>
      <c r="D133" s="10"/>
      <c r="E133" s="51" t="s">
        <v>39</v>
      </c>
      <c r="F133" s="52">
        <f>F131*F132</f>
        <v>66.114999999999995</v>
      </c>
      <c r="G133" s="53" t="s">
        <v>40</v>
      </c>
      <c r="H133" s="54">
        <f>F133/1.12</f>
        <v>59.031249999999993</v>
      </c>
      <c r="I133" s="55"/>
      <c r="J133" s="42"/>
      <c r="K133" s="56"/>
      <c r="L133" s="57"/>
      <c r="M133" s="57"/>
      <c r="N133" s="57">
        <f>I151+I152</f>
        <v>1322.3</v>
      </c>
      <c r="O133" s="57"/>
      <c r="P133" s="57">
        <f>SUM(K133:O133)</f>
        <v>1322.3</v>
      </c>
      <c r="Q133" s="58">
        <v>0</v>
      </c>
      <c r="R133" s="59">
        <v>0</v>
      </c>
      <c r="S133" s="59">
        <v>0</v>
      </c>
      <c r="T133" s="10"/>
      <c r="U133" s="17"/>
      <c r="V133" s="10"/>
      <c r="W133" s="10"/>
      <c r="X133" s="10"/>
    </row>
    <row r="134" spans="1:24">
      <c r="A134" s="2"/>
      <c r="B134" s="11"/>
      <c r="C134" s="10"/>
      <c r="D134" s="10"/>
      <c r="E134" s="24" t="s">
        <v>41</v>
      </c>
      <c r="F134" s="60">
        <f>Q133</f>
        <v>0</v>
      </c>
      <c r="G134" s="61" t="s">
        <v>40</v>
      </c>
      <c r="H134" s="62"/>
      <c r="I134" s="62"/>
      <c r="J134" s="10" t="s">
        <v>42</v>
      </c>
      <c r="K134" s="63"/>
      <c r="L134" s="63"/>
      <c r="M134" s="63"/>
      <c r="N134" s="63">
        <v>2</v>
      </c>
      <c r="O134" s="63"/>
      <c r="P134" s="21">
        <f>SUM(K134:O134)</f>
        <v>2</v>
      </c>
      <c r="Q134" s="64"/>
      <c r="R134" s="63"/>
      <c r="S134" s="10"/>
      <c r="T134" s="10"/>
      <c r="U134" s="17"/>
      <c r="V134" s="10"/>
      <c r="W134" s="10"/>
      <c r="X134" s="10"/>
    </row>
    <row r="135" spans="1:24">
      <c r="A135" s="2"/>
      <c r="B135" s="11"/>
      <c r="C135" s="10"/>
      <c r="D135" s="10"/>
      <c r="E135" s="51" t="s">
        <v>43</v>
      </c>
      <c r="F135" s="52">
        <f>F134*0.25</f>
        <v>0</v>
      </c>
      <c r="G135" s="53" t="s">
        <v>40</v>
      </c>
      <c r="H135" s="54">
        <f>F135/1.12</f>
        <v>0</v>
      </c>
      <c r="I135" s="10"/>
      <c r="J135" s="10" t="s">
        <v>44</v>
      </c>
      <c r="K135" s="63"/>
      <c r="L135" s="63"/>
      <c r="M135" s="63"/>
      <c r="N135" s="63">
        <v>1</v>
      </c>
      <c r="O135" s="63"/>
      <c r="P135" s="21">
        <f>SUM(K135:O135)</f>
        <v>1</v>
      </c>
      <c r="Q135" s="64"/>
      <c r="R135" s="63"/>
      <c r="S135" s="10"/>
      <c r="T135" s="10"/>
      <c r="U135" s="17"/>
      <c r="V135" s="10"/>
      <c r="W135" s="10"/>
      <c r="X135" s="10"/>
    </row>
    <row r="136" spans="1:24">
      <c r="A136" s="2"/>
      <c r="B136" s="11"/>
      <c r="C136" s="10"/>
      <c r="D136" s="10"/>
      <c r="E136" s="24" t="s">
        <v>45</v>
      </c>
      <c r="F136" s="60">
        <f>(I159-I157)</f>
        <v>1375.64</v>
      </c>
      <c r="G136" s="61" t="s">
        <v>40</v>
      </c>
      <c r="H136" s="62"/>
      <c r="I136" s="10"/>
      <c r="J136" s="10" t="s">
        <v>46</v>
      </c>
      <c r="K136" s="31" t="e">
        <f t="shared" ref="K136:Q136" si="38">K134/(K134+K135)</f>
        <v>#DIV/0!</v>
      </c>
      <c r="L136" s="31" t="e">
        <f t="shared" si="38"/>
        <v>#DIV/0!</v>
      </c>
      <c r="M136" s="31" t="e">
        <f t="shared" si="38"/>
        <v>#DIV/0!</v>
      </c>
      <c r="N136" s="31">
        <f t="shared" si="38"/>
        <v>0.66666666666666663</v>
      </c>
      <c r="O136" s="31" t="e">
        <f t="shared" si="38"/>
        <v>#DIV/0!</v>
      </c>
      <c r="P136" s="31">
        <f t="shared" si="38"/>
        <v>0.66666666666666663</v>
      </c>
      <c r="Q136" s="31" t="e">
        <f t="shared" si="38"/>
        <v>#DIV/0!</v>
      </c>
      <c r="R136" s="63"/>
      <c r="S136" s="10"/>
      <c r="T136" s="10"/>
      <c r="U136" s="17"/>
      <c r="V136" s="10"/>
      <c r="W136" s="10"/>
      <c r="X136" s="10"/>
    </row>
    <row r="137" spans="1:24">
      <c r="A137" s="2"/>
      <c r="B137" s="11"/>
      <c r="C137" s="10"/>
      <c r="D137" s="10"/>
      <c r="E137" s="51" t="s">
        <v>47</v>
      </c>
      <c r="F137" s="52">
        <f>(F136-I157)*0.05</f>
        <v>6.7170000000000076</v>
      </c>
      <c r="G137" s="65" t="s">
        <v>40</v>
      </c>
      <c r="H137" s="54">
        <f>F137/1.12</f>
        <v>5.9973214285714347</v>
      </c>
      <c r="I137" s="42"/>
      <c r="J137" s="10" t="s">
        <v>48</v>
      </c>
      <c r="K137" s="66" t="e">
        <f>K133/K134</f>
        <v>#DIV/0!</v>
      </c>
      <c r="L137" s="66" t="e">
        <f t="shared" ref="L137:Q137" si="39">L133/L134</f>
        <v>#DIV/0!</v>
      </c>
      <c r="M137" s="66" t="e">
        <f t="shared" si="39"/>
        <v>#DIV/0!</v>
      </c>
      <c r="N137" s="66">
        <f t="shared" si="39"/>
        <v>661.15</v>
      </c>
      <c r="O137" s="66" t="e">
        <f t="shared" si="39"/>
        <v>#DIV/0!</v>
      </c>
      <c r="P137" s="66">
        <f t="shared" si="39"/>
        <v>661.15</v>
      </c>
      <c r="Q137" s="66" t="e">
        <f t="shared" si="39"/>
        <v>#DIV/0!</v>
      </c>
      <c r="R137" s="63"/>
      <c r="S137" s="10"/>
      <c r="T137" s="10"/>
      <c r="U137" s="17"/>
      <c r="V137" s="10"/>
      <c r="W137" s="10"/>
      <c r="X137" s="10"/>
    </row>
    <row r="138" spans="1:24">
      <c r="A138" s="2"/>
      <c r="B138" s="11"/>
      <c r="C138" s="10"/>
      <c r="D138" s="10"/>
      <c r="E138" s="67" t="s">
        <v>14</v>
      </c>
      <c r="F138" s="68">
        <f>6*50/2</f>
        <v>150</v>
      </c>
      <c r="G138" s="10"/>
      <c r="H138" s="54">
        <f>F138/1.12</f>
        <v>133.92857142857142</v>
      </c>
      <c r="I138" s="10"/>
      <c r="J138" s="10"/>
      <c r="K138" s="10"/>
      <c r="L138" s="10"/>
      <c r="M138" s="10"/>
      <c r="N138" s="10"/>
      <c r="O138" s="10"/>
      <c r="P138" s="10"/>
      <c r="Q138" s="10"/>
      <c r="R138" s="10"/>
      <c r="S138" s="10"/>
      <c r="T138" s="10"/>
      <c r="U138" s="17"/>
      <c r="V138" s="10"/>
      <c r="W138" s="10"/>
      <c r="X138" s="10"/>
    </row>
    <row r="139" spans="1:24">
      <c r="A139" s="2"/>
      <c r="B139" s="11"/>
      <c r="C139" s="10"/>
      <c r="D139" s="10"/>
      <c r="E139" s="155" t="s">
        <v>49</v>
      </c>
      <c r="F139" s="364">
        <f>T128</f>
        <v>0</v>
      </c>
      <c r="G139" s="10"/>
      <c r="H139" s="54"/>
      <c r="I139" s="55"/>
      <c r="J139" s="42"/>
      <c r="K139" s="764" t="s">
        <v>50</v>
      </c>
      <c r="L139" s="765"/>
      <c r="M139" s="765"/>
      <c r="N139" s="765"/>
      <c r="O139" s="765"/>
      <c r="P139" s="765"/>
      <c r="Q139" s="766"/>
      <c r="R139" s="70" t="s">
        <v>28</v>
      </c>
      <c r="S139" s="71" t="s">
        <v>29</v>
      </c>
      <c r="T139" s="10"/>
      <c r="U139" s="17"/>
      <c r="V139" s="10"/>
      <c r="W139" s="10"/>
      <c r="X139" s="10"/>
    </row>
    <row r="140" spans="1:24">
      <c r="A140" s="2"/>
      <c r="B140" s="11"/>
      <c r="C140" s="10"/>
      <c r="D140" s="10"/>
      <c r="E140" s="12"/>
      <c r="F140" s="76"/>
      <c r="G140" s="10"/>
      <c r="H140" s="10"/>
      <c r="I140" s="10"/>
      <c r="J140" s="42"/>
      <c r="K140" s="20" t="s">
        <v>31</v>
      </c>
      <c r="L140" s="21" t="s">
        <v>32</v>
      </c>
      <c r="M140" s="21" t="s">
        <v>33</v>
      </c>
      <c r="N140" s="21" t="s">
        <v>34</v>
      </c>
      <c r="O140" s="21" t="s">
        <v>35</v>
      </c>
      <c r="P140" s="21" t="s">
        <v>36</v>
      </c>
      <c r="Q140" s="49" t="s">
        <v>37</v>
      </c>
      <c r="R140" s="50" t="s">
        <v>38</v>
      </c>
      <c r="S140" s="50" t="s">
        <v>38</v>
      </c>
      <c r="T140" s="10"/>
      <c r="U140" s="17"/>
      <c r="V140" s="10"/>
      <c r="W140" s="10"/>
      <c r="X140" s="10"/>
    </row>
    <row r="141" spans="1:24">
      <c r="A141" s="2"/>
      <c r="B141" s="11"/>
      <c r="C141" s="10"/>
      <c r="D141" s="10"/>
      <c r="E141" s="10"/>
      <c r="F141" s="10"/>
      <c r="G141" s="10"/>
      <c r="H141" s="10"/>
      <c r="I141" s="10"/>
      <c r="J141" s="42"/>
      <c r="K141" s="56"/>
      <c r="L141" s="57"/>
      <c r="M141" s="57"/>
      <c r="N141" s="57">
        <f>F151+F152</f>
        <v>1362</v>
      </c>
      <c r="O141" s="57"/>
      <c r="P141" s="57">
        <f>SUM(K141:O141)</f>
        <v>1362</v>
      </c>
      <c r="Q141" s="58">
        <v>0</v>
      </c>
      <c r="R141" s="59">
        <v>0</v>
      </c>
      <c r="S141" s="59">
        <v>0</v>
      </c>
      <c r="T141" s="10"/>
      <c r="U141" s="17"/>
      <c r="V141" s="10"/>
      <c r="W141" s="10"/>
      <c r="X141" s="10"/>
    </row>
    <row r="142" spans="1:24">
      <c r="A142" s="2"/>
      <c r="B142" s="11"/>
      <c r="C142" s="10"/>
      <c r="D142" s="10"/>
      <c r="E142" s="10"/>
      <c r="F142" s="10"/>
      <c r="G142" s="10"/>
      <c r="H142" s="10"/>
      <c r="I142" s="10"/>
      <c r="J142" s="10" t="s">
        <v>42</v>
      </c>
      <c r="K142" s="63">
        <f>K134</f>
        <v>0</v>
      </c>
      <c r="L142" s="63">
        <f t="shared" ref="L142:Q143" si="40">L134</f>
        <v>0</v>
      </c>
      <c r="M142" s="63">
        <f t="shared" si="40"/>
        <v>0</v>
      </c>
      <c r="N142" s="63">
        <f t="shared" si="40"/>
        <v>2</v>
      </c>
      <c r="O142" s="63">
        <f t="shared" si="40"/>
        <v>0</v>
      </c>
      <c r="P142" s="63">
        <f t="shared" si="40"/>
        <v>2</v>
      </c>
      <c r="Q142" s="63">
        <f t="shared" si="40"/>
        <v>0</v>
      </c>
      <c r="R142" s="63"/>
      <c r="S142" s="10"/>
      <c r="T142" s="10"/>
      <c r="U142" s="17"/>
      <c r="V142" s="10"/>
      <c r="W142" s="10"/>
      <c r="X142" s="10"/>
    </row>
    <row r="143" spans="1:24">
      <c r="A143" s="2"/>
      <c r="B143" s="11"/>
      <c r="C143" s="10"/>
      <c r="D143" s="10"/>
      <c r="E143" s="10"/>
      <c r="F143" s="10"/>
      <c r="G143" s="10"/>
      <c r="H143" s="10"/>
      <c r="I143" s="10"/>
      <c r="J143" s="10" t="s">
        <v>44</v>
      </c>
      <c r="K143" s="63">
        <f>K135</f>
        <v>0</v>
      </c>
      <c r="L143" s="63">
        <f t="shared" si="40"/>
        <v>0</v>
      </c>
      <c r="M143" s="63">
        <f t="shared" si="40"/>
        <v>0</v>
      </c>
      <c r="N143" s="63">
        <f t="shared" si="40"/>
        <v>1</v>
      </c>
      <c r="O143" s="63">
        <f t="shared" si="40"/>
        <v>0</v>
      </c>
      <c r="P143" s="63">
        <f t="shared" si="40"/>
        <v>1</v>
      </c>
      <c r="Q143" s="63">
        <f t="shared" si="40"/>
        <v>0</v>
      </c>
      <c r="R143" s="63"/>
      <c r="S143" s="10"/>
      <c r="T143" s="10"/>
      <c r="U143" s="17"/>
      <c r="V143" s="10"/>
      <c r="W143" s="10"/>
      <c r="X143" s="10"/>
    </row>
    <row r="144" spans="1:24">
      <c r="A144" s="2"/>
      <c r="B144" s="11"/>
      <c r="C144" s="10"/>
      <c r="D144" s="10"/>
      <c r="E144" s="12"/>
      <c r="F144" s="76"/>
      <c r="G144" s="10"/>
      <c r="H144" s="10"/>
      <c r="I144" s="10"/>
      <c r="J144" s="10" t="s">
        <v>46</v>
      </c>
      <c r="K144" s="31" t="e">
        <f t="shared" ref="K144:Q144" si="41">K142/(K142+K143)</f>
        <v>#DIV/0!</v>
      </c>
      <c r="L144" s="31" t="e">
        <f t="shared" si="41"/>
        <v>#DIV/0!</v>
      </c>
      <c r="M144" s="31" t="e">
        <f t="shared" si="41"/>
        <v>#DIV/0!</v>
      </c>
      <c r="N144" s="31">
        <f t="shared" si="41"/>
        <v>0.66666666666666663</v>
      </c>
      <c r="O144" s="31" t="e">
        <f t="shared" si="41"/>
        <v>#DIV/0!</v>
      </c>
      <c r="P144" s="31">
        <f t="shared" si="41"/>
        <v>0.66666666666666663</v>
      </c>
      <c r="Q144" s="31" t="e">
        <f t="shared" si="41"/>
        <v>#DIV/0!</v>
      </c>
      <c r="R144" s="63"/>
      <c r="S144" s="10"/>
      <c r="T144" s="10"/>
      <c r="U144" s="17"/>
      <c r="V144" s="10"/>
      <c r="W144" s="10"/>
      <c r="X144" s="10"/>
    </row>
    <row r="145" spans="1:24">
      <c r="A145" s="2"/>
      <c r="B145" s="11"/>
      <c r="C145" s="10"/>
      <c r="D145" s="10"/>
      <c r="E145" s="10"/>
      <c r="F145" s="10"/>
      <c r="G145" s="10"/>
      <c r="H145" s="10"/>
      <c r="I145" s="10"/>
      <c r="J145" s="10" t="s">
        <v>48</v>
      </c>
      <c r="K145" s="66" t="e">
        <f t="shared" ref="K145:Q145" si="42">K141/K142</f>
        <v>#DIV/0!</v>
      </c>
      <c r="L145" s="66" t="e">
        <f t="shared" si="42"/>
        <v>#DIV/0!</v>
      </c>
      <c r="M145" s="66" t="e">
        <f t="shared" si="42"/>
        <v>#DIV/0!</v>
      </c>
      <c r="N145" s="66">
        <f t="shared" si="42"/>
        <v>681</v>
      </c>
      <c r="O145" s="66" t="e">
        <f t="shared" si="42"/>
        <v>#DIV/0!</v>
      </c>
      <c r="P145" s="66">
        <f t="shared" si="42"/>
        <v>681</v>
      </c>
      <c r="Q145" s="66" t="e">
        <f t="shared" si="42"/>
        <v>#DIV/0!</v>
      </c>
      <c r="R145" s="63"/>
      <c r="S145" s="10"/>
      <c r="T145" s="10"/>
      <c r="U145" s="17"/>
      <c r="V145" s="10"/>
      <c r="W145" s="10"/>
      <c r="X145" s="10"/>
    </row>
    <row r="146" spans="1:24">
      <c r="A146" s="2"/>
      <c r="B146" s="11"/>
      <c r="C146" s="10"/>
      <c r="D146" s="10"/>
      <c r="E146" s="10"/>
      <c r="F146" s="10"/>
      <c r="G146" s="10"/>
      <c r="H146" s="10"/>
      <c r="I146" s="10"/>
      <c r="J146" s="10"/>
      <c r="K146" s="10"/>
      <c r="L146" s="10"/>
      <c r="M146" s="10"/>
      <c r="N146" s="10"/>
      <c r="O146" s="10"/>
      <c r="P146" s="10"/>
      <c r="Q146" s="10"/>
      <c r="R146" s="10"/>
      <c r="S146" s="10"/>
      <c r="T146" s="10"/>
      <c r="U146" s="17"/>
      <c r="V146" s="10"/>
      <c r="W146" s="10"/>
      <c r="X146" s="10"/>
    </row>
    <row r="147" spans="1:24">
      <c r="A147" s="2"/>
      <c r="B147" s="11"/>
      <c r="C147" s="10"/>
      <c r="D147" s="10"/>
      <c r="E147" s="10"/>
      <c r="F147" s="10"/>
      <c r="G147" s="10"/>
      <c r="H147" s="10"/>
      <c r="I147" s="10"/>
      <c r="J147" s="10"/>
      <c r="K147" s="10"/>
      <c r="L147" s="10"/>
      <c r="M147" s="10"/>
      <c r="N147" s="10"/>
      <c r="O147" s="10"/>
      <c r="P147" s="10"/>
      <c r="Q147" s="10"/>
      <c r="R147" s="10"/>
      <c r="S147" s="10"/>
      <c r="T147" s="10"/>
      <c r="U147" s="17"/>
      <c r="V147" s="10"/>
      <c r="W147" s="10"/>
      <c r="X147" s="10"/>
    </row>
    <row r="148" spans="1:24">
      <c r="A148" s="2"/>
      <c r="B148" s="18" t="s">
        <v>51</v>
      </c>
      <c r="C148" s="14"/>
      <c r="D148" s="14"/>
      <c r="E148" s="14"/>
      <c r="F148" s="13" t="s">
        <v>52</v>
      </c>
      <c r="G148" s="14"/>
      <c r="H148" s="14"/>
      <c r="I148" s="14"/>
      <c r="J148" s="14"/>
      <c r="K148" s="13" t="s">
        <v>3</v>
      </c>
      <c r="L148" s="14"/>
      <c r="M148" s="14"/>
      <c r="N148" s="13" t="s">
        <v>4</v>
      </c>
      <c r="O148" s="14"/>
      <c r="P148" s="14"/>
      <c r="Q148" s="13" t="s">
        <v>5</v>
      </c>
      <c r="R148" s="14"/>
      <c r="S148" s="14"/>
      <c r="T148" s="18"/>
      <c r="U148" s="16" t="s">
        <v>53</v>
      </c>
      <c r="V148" s="77"/>
      <c r="W148" s="77"/>
      <c r="X148" s="77"/>
    </row>
    <row r="149" spans="1:24">
      <c r="A149" s="2"/>
      <c r="B149" s="24" t="s">
        <v>54</v>
      </c>
      <c r="C149" s="21" t="s">
        <v>55</v>
      </c>
      <c r="D149" s="21" t="s">
        <v>56</v>
      </c>
      <c r="E149" s="21" t="s">
        <v>57</v>
      </c>
      <c r="F149" s="20" t="s">
        <v>58</v>
      </c>
      <c r="G149" s="21" t="s">
        <v>59</v>
      </c>
      <c r="H149" s="21" t="s">
        <v>60</v>
      </c>
      <c r="I149" s="21" t="s">
        <v>26</v>
      </c>
      <c r="J149" s="22" t="s">
        <v>61</v>
      </c>
      <c r="K149" s="21" t="s">
        <v>8</v>
      </c>
      <c r="L149" s="21" t="s">
        <v>9</v>
      </c>
      <c r="M149" s="21" t="s">
        <v>10</v>
      </c>
      <c r="N149" s="20" t="s">
        <v>11</v>
      </c>
      <c r="O149" s="21" t="s">
        <v>12</v>
      </c>
      <c r="P149" s="22" t="s">
        <v>13</v>
      </c>
      <c r="Q149" s="21" t="s">
        <v>11</v>
      </c>
      <c r="R149" s="21" t="s">
        <v>12</v>
      </c>
      <c r="S149" s="21" t="s">
        <v>13</v>
      </c>
      <c r="T149" s="78" t="s">
        <v>14</v>
      </c>
      <c r="U149" s="30"/>
      <c r="V149" s="79" t="s">
        <v>62</v>
      </c>
      <c r="W149" s="80" t="s">
        <v>63</v>
      </c>
      <c r="X149" s="81" t="s">
        <v>64</v>
      </c>
    </row>
    <row r="150" spans="1:24">
      <c r="A150" s="2"/>
      <c r="B150" s="4" t="s">
        <v>65</v>
      </c>
      <c r="C150" s="6"/>
      <c r="D150" s="6"/>
      <c r="E150" s="6"/>
      <c r="F150" s="6"/>
      <c r="G150" s="6"/>
      <c r="H150" s="6"/>
      <c r="I150" s="82"/>
      <c r="J150" s="6"/>
      <c r="K150" s="6"/>
      <c r="L150" s="6"/>
      <c r="M150" s="6"/>
      <c r="N150" s="6"/>
      <c r="O150" s="6"/>
      <c r="P150" s="6"/>
      <c r="Q150" s="6"/>
      <c r="R150" s="6"/>
      <c r="S150" s="6"/>
      <c r="T150" s="83"/>
      <c r="U150" s="6"/>
      <c r="V150" s="84"/>
      <c r="W150" s="85"/>
      <c r="X150" s="86"/>
    </row>
    <row r="151" spans="1:24">
      <c r="A151" s="2"/>
      <c r="B151" s="87">
        <v>1</v>
      </c>
      <c r="C151" s="274">
        <v>45876</v>
      </c>
      <c r="D151" s="320" t="s">
        <v>990</v>
      </c>
      <c r="E151" s="276" t="s">
        <v>306</v>
      </c>
      <c r="F151" s="277">
        <v>681</v>
      </c>
      <c r="G151" s="277"/>
      <c r="H151" s="297"/>
      <c r="I151" s="278">
        <f t="shared" ref="I151" si="43">F151-G151-H151</f>
        <v>681</v>
      </c>
      <c r="J151" s="279" t="s">
        <v>156</v>
      </c>
      <c r="K151" s="279">
        <v>1</v>
      </c>
      <c r="L151" s="279">
        <v>1</v>
      </c>
      <c r="M151" s="279">
        <v>1</v>
      </c>
      <c r="N151" s="279">
        <v>1</v>
      </c>
      <c r="O151" s="279">
        <v>1</v>
      </c>
      <c r="P151" s="279">
        <v>1</v>
      </c>
      <c r="Q151" s="279">
        <v>1</v>
      </c>
      <c r="R151" s="279">
        <v>1</v>
      </c>
      <c r="S151" s="280">
        <v>1</v>
      </c>
      <c r="T151" s="63"/>
      <c r="U151" s="10"/>
      <c r="V151" s="90">
        <f>74.91+674.19</f>
        <v>749.1</v>
      </c>
      <c r="W151" s="91"/>
      <c r="X151" s="92"/>
    </row>
    <row r="152" spans="1:24">
      <c r="A152" s="2"/>
      <c r="B152" s="87">
        <f t="shared" ref="B152" si="44">B151+1</f>
        <v>2</v>
      </c>
      <c r="C152" s="282">
        <v>45876</v>
      </c>
      <c r="D152" s="368">
        <v>72164</v>
      </c>
      <c r="E152" s="283" t="s">
        <v>991</v>
      </c>
      <c r="F152" s="284">
        <f>681</f>
        <v>681</v>
      </c>
      <c r="G152" s="284">
        <f>39.7</f>
        <v>39.700000000000003</v>
      </c>
      <c r="H152" s="284"/>
      <c r="I152" s="285">
        <f>F152-G152-H152</f>
        <v>641.29999999999995</v>
      </c>
      <c r="J152" s="286" t="s">
        <v>156</v>
      </c>
      <c r="K152" s="286">
        <v>1</v>
      </c>
      <c r="L152" s="286">
        <v>1</v>
      </c>
      <c r="M152" s="286">
        <v>1</v>
      </c>
      <c r="N152" s="286">
        <v>1</v>
      </c>
      <c r="O152" s="286">
        <v>1</v>
      </c>
      <c r="P152" s="286">
        <v>1</v>
      </c>
      <c r="Q152" s="286">
        <v>1</v>
      </c>
      <c r="R152" s="286">
        <v>1</v>
      </c>
      <c r="S152" s="287">
        <v>1</v>
      </c>
      <c r="T152" s="63"/>
      <c r="U152" s="94"/>
      <c r="V152" s="90">
        <f>170.5+57.86+520.74</f>
        <v>749.1</v>
      </c>
      <c r="W152" s="91"/>
      <c r="X152" s="92"/>
    </row>
    <row r="153" spans="1:24">
      <c r="A153" s="2"/>
      <c r="B153" s="87"/>
      <c r="C153" s="36"/>
      <c r="D153" s="10"/>
      <c r="E153" s="10"/>
      <c r="F153" s="97">
        <f>SUM(F151:F152)</f>
        <v>1362</v>
      </c>
      <c r="G153" s="97">
        <f>SUM(G151:G152)</f>
        <v>39.700000000000003</v>
      </c>
      <c r="H153" s="97">
        <f>SUM(H151:H152)</f>
        <v>0</v>
      </c>
      <c r="I153" s="98">
        <f>SUM(I151:I152)</f>
        <v>1322.3</v>
      </c>
      <c r="J153" s="63"/>
      <c r="K153" s="63">
        <f>COUNT(K151:K152)</f>
        <v>2</v>
      </c>
      <c r="L153" s="63">
        <f>COUNT(L151:L152)</f>
        <v>2</v>
      </c>
      <c r="M153" s="63">
        <f>COUNT(M151:M152)</f>
        <v>2</v>
      </c>
      <c r="N153" s="63">
        <f>COUNT(N151:N152)</f>
        <v>2</v>
      </c>
      <c r="O153" s="63">
        <f>COUNT(O151:O152)</f>
        <v>2</v>
      </c>
      <c r="P153" s="63">
        <f>COUNT(P151:P152)</f>
        <v>2</v>
      </c>
      <c r="Q153" s="63">
        <f>COUNT(Q151:Q152)</f>
        <v>2</v>
      </c>
      <c r="R153" s="63">
        <f>COUNT(R151:R152)</f>
        <v>2</v>
      </c>
      <c r="S153" s="63">
        <f>COUNT(S151:S152)</f>
        <v>2</v>
      </c>
      <c r="T153" s="63"/>
      <c r="U153" s="10"/>
      <c r="V153" s="90"/>
      <c r="W153" s="91"/>
      <c r="X153" s="92"/>
    </row>
    <row r="154" spans="1:24">
      <c r="A154" s="2"/>
      <c r="B154" s="87"/>
      <c r="C154" s="36"/>
      <c r="D154" s="10"/>
      <c r="E154" s="10"/>
      <c r="F154" s="88"/>
      <c r="G154" s="88"/>
      <c r="H154" s="88"/>
      <c r="I154" s="99"/>
      <c r="J154" s="63"/>
      <c r="K154" s="21">
        <f>SUM(K151:K152)</f>
        <v>2</v>
      </c>
      <c r="L154" s="21">
        <f>SUM(L151:L152)</f>
        <v>2</v>
      </c>
      <c r="M154" s="21">
        <f>SUM(M151:M152)</f>
        <v>2</v>
      </c>
      <c r="N154" s="21">
        <f>SUM(N151:N152)</f>
        <v>2</v>
      </c>
      <c r="O154" s="21">
        <f>SUM(O151:O152)</f>
        <v>2</v>
      </c>
      <c r="P154" s="21">
        <f>SUM(P151:P152)</f>
        <v>2</v>
      </c>
      <c r="Q154" s="21">
        <f>SUM(Q151:Q152)</f>
        <v>2</v>
      </c>
      <c r="R154" s="21">
        <f>SUM(R151:R152)</f>
        <v>2</v>
      </c>
      <c r="S154" s="21">
        <f>SUM(S151:S152)</f>
        <v>2</v>
      </c>
      <c r="T154" s="63"/>
      <c r="U154" s="10"/>
      <c r="V154" s="90"/>
      <c r="W154" s="91"/>
      <c r="X154" s="92"/>
    </row>
    <row r="155" spans="1:24">
      <c r="A155" s="2"/>
      <c r="B155" s="11"/>
      <c r="C155" s="36"/>
      <c r="D155" s="10"/>
      <c r="E155" s="10"/>
      <c r="F155" s="88"/>
      <c r="G155" s="88"/>
      <c r="H155" s="88"/>
      <c r="I155" s="99"/>
      <c r="J155" s="63"/>
      <c r="K155" s="21"/>
      <c r="L155" s="21"/>
      <c r="M155" s="21"/>
      <c r="N155" s="21"/>
      <c r="O155" s="21"/>
      <c r="P155" s="21"/>
      <c r="Q155" s="21"/>
      <c r="R155" s="21"/>
      <c r="S155" s="21"/>
      <c r="T155" s="63"/>
      <c r="U155" s="94"/>
      <c r="V155" s="90"/>
      <c r="W155" s="91"/>
      <c r="X155" s="92"/>
    </row>
    <row r="156" spans="1:24">
      <c r="A156" s="2"/>
      <c r="B156" s="100" t="s">
        <v>67</v>
      </c>
      <c r="C156" s="36"/>
      <c r="D156" s="10"/>
      <c r="E156" s="10"/>
      <c r="F156" s="88"/>
      <c r="G156" s="62"/>
      <c r="H156" s="88"/>
      <c r="I156" s="99"/>
      <c r="J156" s="63"/>
      <c r="K156" s="2"/>
      <c r="L156" s="2"/>
      <c r="M156" s="2"/>
      <c r="N156" s="2"/>
      <c r="O156" s="2"/>
      <c r="P156" s="2"/>
      <c r="Q156" s="2"/>
      <c r="R156" s="2"/>
      <c r="S156" s="2"/>
      <c r="T156" s="63"/>
      <c r="U156" s="94"/>
      <c r="V156" s="90"/>
      <c r="W156" s="91"/>
      <c r="X156" s="92"/>
    </row>
    <row r="157" spans="1:24">
      <c r="A157" s="493">
        <v>0.05</v>
      </c>
      <c r="B157" s="372">
        <f>B162+1</f>
        <v>2</v>
      </c>
      <c r="C157" s="373">
        <v>45870</v>
      </c>
      <c r="D157" s="263">
        <v>71976</v>
      </c>
      <c r="E157" s="391" t="s">
        <v>155</v>
      </c>
      <c r="F157" s="375">
        <v>1281</v>
      </c>
      <c r="G157" s="375">
        <f>39.7</f>
        <v>39.700000000000003</v>
      </c>
      <c r="H157" s="375"/>
      <c r="I157" s="376">
        <f>F157-G157-H157</f>
        <v>1241.3</v>
      </c>
      <c r="J157" s="314" t="s">
        <v>156</v>
      </c>
      <c r="K157" s="314">
        <v>1</v>
      </c>
      <c r="L157" s="314"/>
      <c r="M157" s="314">
        <v>1</v>
      </c>
      <c r="N157" s="314">
        <v>1</v>
      </c>
      <c r="O157" s="314">
        <v>1</v>
      </c>
      <c r="P157" s="314">
        <v>1</v>
      </c>
      <c r="Q157" s="314"/>
      <c r="R157" s="314"/>
      <c r="S157" s="366"/>
      <c r="T157" s="325"/>
      <c r="U157" s="430" t="s">
        <v>992</v>
      </c>
      <c r="V157" s="377"/>
      <c r="W157" s="392"/>
      <c r="X157" s="379"/>
    </row>
    <row r="158" spans="1:24">
      <c r="A158" s="494" t="s">
        <v>993</v>
      </c>
      <c r="B158" s="87">
        <f>B157+1</f>
        <v>3</v>
      </c>
      <c r="C158" s="282">
        <v>45870</v>
      </c>
      <c r="D158" s="368">
        <v>71966</v>
      </c>
      <c r="E158" s="283" t="s">
        <v>196</v>
      </c>
      <c r="F158" s="284">
        <v>1461</v>
      </c>
      <c r="G158" s="284">
        <f>39.7+(45.66)</f>
        <v>85.36</v>
      </c>
      <c r="H158" s="284"/>
      <c r="I158" s="300">
        <f t="shared" ref="I158" si="45">F158-G158-H158</f>
        <v>1375.64</v>
      </c>
      <c r="J158" s="286" t="s">
        <v>156</v>
      </c>
      <c r="K158" s="286">
        <v>1</v>
      </c>
      <c r="L158" s="286">
        <v>1</v>
      </c>
      <c r="M158" s="286">
        <v>1</v>
      </c>
      <c r="N158" s="286">
        <v>1</v>
      </c>
      <c r="O158" s="286">
        <v>1</v>
      </c>
      <c r="P158" s="286">
        <v>1</v>
      </c>
      <c r="Q158" s="332">
        <v>0</v>
      </c>
      <c r="R158" s="332">
        <v>0</v>
      </c>
      <c r="S158" s="370">
        <v>0</v>
      </c>
      <c r="T158" s="63"/>
      <c r="U158" s="94" t="s">
        <v>994</v>
      </c>
      <c r="V158" s="90"/>
      <c r="W158" s="456">
        <f>1446.4</f>
        <v>1446.4</v>
      </c>
      <c r="X158" s="137"/>
    </row>
    <row r="159" spans="1:24">
      <c r="A159" s="2"/>
      <c r="B159" s="11"/>
      <c r="C159" s="36"/>
      <c r="D159" s="10"/>
      <c r="E159" s="10"/>
      <c r="F159" s="97">
        <f>SUM(F157:F158)</f>
        <v>2742</v>
      </c>
      <c r="G159" s="97">
        <f>SUM(G157:G158)</f>
        <v>125.06</v>
      </c>
      <c r="H159" s="97">
        <f>SUM(H157:H158)</f>
        <v>0</v>
      </c>
      <c r="I159" s="98">
        <f>SUM(I157:I158)</f>
        <v>2616.94</v>
      </c>
      <c r="J159" s="63"/>
      <c r="K159" s="21"/>
      <c r="L159" s="21"/>
      <c r="M159" s="21"/>
      <c r="N159" s="21"/>
      <c r="O159" s="21"/>
      <c r="P159" s="21"/>
      <c r="Q159" s="21"/>
      <c r="R159" s="21"/>
      <c r="S159" s="21"/>
      <c r="T159" s="63"/>
      <c r="U159" s="94"/>
      <c r="V159" s="90"/>
      <c r="W159" s="91"/>
      <c r="X159" s="92"/>
    </row>
    <row r="160" spans="1:24">
      <c r="A160" s="2"/>
      <c r="B160" s="11"/>
      <c r="C160" s="36"/>
      <c r="D160" s="10"/>
      <c r="E160" s="10"/>
      <c r="F160" s="88"/>
      <c r="G160" s="88"/>
      <c r="H160" s="88"/>
      <c r="I160" s="99"/>
      <c r="J160" s="63"/>
      <c r="K160" s="21"/>
      <c r="L160" s="21"/>
      <c r="M160" s="21"/>
      <c r="N160" s="21"/>
      <c r="O160" s="21"/>
      <c r="P160" s="21"/>
      <c r="Q160" s="21"/>
      <c r="R160" s="21"/>
      <c r="S160" s="21"/>
      <c r="T160" s="63"/>
      <c r="U160" s="94"/>
      <c r="V160" s="90"/>
      <c r="W160" s="91"/>
      <c r="X160" s="92"/>
    </row>
    <row r="161" spans="1:24" s="260" customFormat="1">
      <c r="B161" s="100" t="s">
        <v>202</v>
      </c>
      <c r="C161" s="36"/>
      <c r="D161" s="10"/>
      <c r="E161" s="181"/>
      <c r="F161" s="88"/>
      <c r="G161" s="88"/>
      <c r="H161" s="88"/>
      <c r="I161" s="99"/>
      <c r="J161" s="63"/>
      <c r="K161" s="21"/>
      <c r="L161" s="21"/>
      <c r="M161" s="21"/>
      <c r="N161" s="21"/>
      <c r="O161" s="21"/>
      <c r="P161" s="21"/>
      <c r="Q161" s="21"/>
      <c r="R161" s="21"/>
      <c r="S161" s="21"/>
      <c r="T161" s="63"/>
      <c r="U161" s="94"/>
      <c r="V161" s="90"/>
      <c r="W161" s="91"/>
      <c r="X161" s="92"/>
    </row>
    <row r="162" spans="1:24" s="260" customFormat="1">
      <c r="A162" s="494">
        <v>0.05</v>
      </c>
      <c r="B162" s="87">
        <v>1</v>
      </c>
      <c r="C162" s="262">
        <v>45870</v>
      </c>
      <c r="D162" s="263" t="s">
        <v>978</v>
      </c>
      <c r="E162" s="264" t="s">
        <v>274</v>
      </c>
      <c r="F162" s="265">
        <v>8641</v>
      </c>
      <c r="G162" s="265">
        <f>39.7+(113.27)+750</f>
        <v>902.97</v>
      </c>
      <c r="H162" s="365"/>
      <c r="I162" s="272">
        <f>F162-G162-H162</f>
        <v>7738.03</v>
      </c>
      <c r="J162" s="267" t="s">
        <v>156</v>
      </c>
      <c r="K162" s="267">
        <v>1</v>
      </c>
      <c r="L162" s="267"/>
      <c r="M162" s="267">
        <v>1</v>
      </c>
      <c r="N162" s="267">
        <v>1</v>
      </c>
      <c r="O162" s="267">
        <v>1</v>
      </c>
      <c r="P162" s="267">
        <v>0</v>
      </c>
      <c r="Q162" s="267"/>
      <c r="R162" s="267"/>
      <c r="S162" s="269"/>
      <c r="T162" s="63"/>
      <c r="U162" s="94" t="s">
        <v>995</v>
      </c>
      <c r="V162" s="90">
        <f>754.59</f>
        <v>754.59</v>
      </c>
      <c r="W162" s="136"/>
      <c r="X162" s="137"/>
    </row>
    <row r="163" spans="1:24" s="260" customFormat="1">
      <c r="B163" s="11"/>
      <c r="C163" s="36"/>
      <c r="D163" s="10"/>
      <c r="E163" s="10"/>
      <c r="F163" s="98">
        <f>SUM(F162:F162)</f>
        <v>8641</v>
      </c>
      <c r="G163" s="98">
        <f>SUM(G162:G162)</f>
        <v>902.97</v>
      </c>
      <c r="H163" s="98">
        <f>SUM(H162:H162)</f>
        <v>0</v>
      </c>
      <c r="I163" s="98">
        <f>SUM(I162:I162)</f>
        <v>7738.03</v>
      </c>
      <c r="J163" s="63"/>
      <c r="K163" s="21"/>
      <c r="L163" s="21"/>
      <c r="M163" s="21"/>
      <c r="N163" s="21"/>
      <c r="O163" s="21"/>
      <c r="P163" s="21"/>
      <c r="Q163" s="21"/>
      <c r="R163" s="21"/>
      <c r="S163" s="21"/>
      <c r="T163" s="63"/>
      <c r="U163" s="94"/>
      <c r="V163" s="90"/>
      <c r="W163" s="91"/>
      <c r="X163" s="92"/>
    </row>
    <row r="164" spans="1:24" s="260" customFormat="1">
      <c r="B164" s="11"/>
      <c r="C164" s="36"/>
      <c r="D164" s="10"/>
      <c r="E164" s="10"/>
      <c r="F164" s="99"/>
      <c r="G164" s="99"/>
      <c r="H164" s="99"/>
      <c r="I164" s="99"/>
      <c r="J164" s="63"/>
      <c r="K164" s="21"/>
      <c r="L164" s="21"/>
      <c r="M164" s="21"/>
      <c r="N164" s="21"/>
      <c r="O164" s="21"/>
      <c r="P164" s="21"/>
      <c r="Q164" s="21"/>
      <c r="R164" s="21"/>
      <c r="S164" s="21"/>
      <c r="T164" s="63"/>
      <c r="U164" s="94"/>
      <c r="V164" s="90"/>
      <c r="W164" s="91"/>
      <c r="X164" s="92"/>
    </row>
    <row r="165" spans="1:24">
      <c r="A165" s="2"/>
      <c r="B165" s="100" t="s">
        <v>72</v>
      </c>
      <c r="C165" s="36"/>
      <c r="D165" s="10"/>
      <c r="E165" s="10"/>
      <c r="F165" s="88"/>
      <c r="G165" s="88"/>
      <c r="H165" s="88"/>
      <c r="I165" s="99"/>
      <c r="J165" s="63"/>
      <c r="K165" s="63"/>
      <c r="L165" s="63"/>
      <c r="M165" s="63"/>
      <c r="N165" s="63"/>
      <c r="O165" s="63"/>
      <c r="P165" s="63"/>
      <c r="Q165" s="63"/>
      <c r="R165" s="63"/>
      <c r="S165" s="63"/>
      <c r="T165" s="63"/>
      <c r="U165" s="10"/>
      <c r="V165" s="90"/>
      <c r="W165" s="91"/>
      <c r="X165" s="92"/>
    </row>
    <row r="166" spans="1:24">
      <c r="A166" s="2"/>
      <c r="B166" s="87">
        <v>1</v>
      </c>
      <c r="C166" s="262">
        <v>45876</v>
      </c>
      <c r="D166" s="273" t="s">
        <v>996</v>
      </c>
      <c r="E166" s="271" t="s">
        <v>306</v>
      </c>
      <c r="F166" s="265">
        <v>5814</v>
      </c>
      <c r="G166" s="265">
        <f>39.7</f>
        <v>39.700000000000003</v>
      </c>
      <c r="H166" s="265"/>
      <c r="I166" s="272">
        <f t="shared" ref="I166" si="46">F166-G166-H166</f>
        <v>5774.3</v>
      </c>
      <c r="J166" s="267" t="s">
        <v>205</v>
      </c>
      <c r="K166" s="267">
        <v>1</v>
      </c>
      <c r="L166" s="267"/>
      <c r="M166" s="267"/>
      <c r="N166" s="267">
        <v>1</v>
      </c>
      <c r="O166" s="267"/>
      <c r="P166" s="267"/>
      <c r="Q166" s="267"/>
      <c r="R166" s="267"/>
      <c r="S166" s="269"/>
      <c r="T166" s="63"/>
      <c r="U166" s="3"/>
      <c r="V166" s="90"/>
      <c r="W166" s="91"/>
      <c r="X166" s="92"/>
    </row>
    <row r="167" spans="1:24">
      <c r="A167" s="2"/>
      <c r="B167" s="11"/>
      <c r="C167" s="36"/>
      <c r="D167" s="10"/>
      <c r="E167" s="10"/>
      <c r="F167" s="97">
        <f>SUM(F166:F166)</f>
        <v>5814</v>
      </c>
      <c r="G167" s="97">
        <f>SUM(G166:G166)</f>
        <v>39.700000000000003</v>
      </c>
      <c r="H167" s="97">
        <f>SUM(H166:H166)</f>
        <v>0</v>
      </c>
      <c r="I167" s="98">
        <f>SUM(I166:I166)</f>
        <v>5774.3</v>
      </c>
      <c r="J167" s="10"/>
      <c r="K167" s="10"/>
      <c r="L167" s="10"/>
      <c r="M167" s="10"/>
      <c r="N167" s="10"/>
      <c r="O167" s="10"/>
      <c r="P167" s="10"/>
      <c r="Q167" s="10"/>
      <c r="R167" s="10"/>
      <c r="S167" s="10"/>
      <c r="T167" s="63"/>
      <c r="U167" s="10"/>
      <c r="V167" s="138"/>
      <c r="W167" s="136"/>
      <c r="X167" s="137"/>
    </row>
    <row r="168" spans="1:24">
      <c r="A168" s="2"/>
      <c r="B168" s="26"/>
      <c r="C168" s="140"/>
      <c r="D168" s="141"/>
      <c r="E168" s="141"/>
      <c r="F168" s="141"/>
      <c r="G168" s="141"/>
      <c r="H168" s="141"/>
      <c r="I168" s="141"/>
      <c r="J168" s="141"/>
      <c r="K168" s="142"/>
      <c r="L168" s="142"/>
      <c r="M168" s="142"/>
      <c r="N168" s="142"/>
      <c r="O168" s="142"/>
      <c r="P168" s="142"/>
      <c r="Q168" s="142"/>
      <c r="R168" s="142"/>
      <c r="S168" s="142"/>
      <c r="T168" s="143">
        <f>SUM(T151:T167)</f>
        <v>0</v>
      </c>
      <c r="U168" s="141"/>
      <c r="V168" s="144">
        <f>SUM(V151:V167)</f>
        <v>2252.79</v>
      </c>
      <c r="W168" s="145">
        <f>SUM(W151:W167)</f>
        <v>1446.4</v>
      </c>
      <c r="X168" s="146">
        <f>SUM(X151:X167)</f>
        <v>0</v>
      </c>
    </row>
    <row r="171" spans="1:24">
      <c r="A171" s="3"/>
      <c r="B171" s="4" t="s">
        <v>1</v>
      </c>
      <c r="C171" s="5"/>
      <c r="D171" s="6"/>
      <c r="E171" s="6"/>
      <c r="F171" s="7" t="s">
        <v>2</v>
      </c>
      <c r="G171" s="8">
        <v>45886</v>
      </c>
      <c r="H171" s="7"/>
      <c r="I171" s="6"/>
      <c r="J171" s="6"/>
      <c r="K171" s="6"/>
      <c r="L171" s="6"/>
      <c r="M171" s="6"/>
      <c r="N171" s="6"/>
      <c r="O171" s="6"/>
      <c r="P171" s="6"/>
      <c r="Q171" s="6"/>
      <c r="R171" s="6"/>
      <c r="S171" s="6"/>
      <c r="T171" s="6"/>
      <c r="U171" s="9"/>
      <c r="V171" s="10"/>
      <c r="W171" s="10"/>
      <c r="X171" s="10"/>
    </row>
    <row r="172" spans="1:24">
      <c r="A172" s="2"/>
      <c r="B172" s="11"/>
      <c r="C172" s="10"/>
      <c r="D172" s="10"/>
      <c r="E172" s="10"/>
      <c r="F172" s="10"/>
      <c r="G172" s="7"/>
      <c r="H172" s="12"/>
      <c r="I172" s="10"/>
      <c r="J172" s="10"/>
      <c r="K172" s="13" t="s">
        <v>3</v>
      </c>
      <c r="L172" s="14"/>
      <c r="M172" s="15"/>
      <c r="N172" s="13" t="s">
        <v>4</v>
      </c>
      <c r="O172" s="14"/>
      <c r="P172" s="15"/>
      <c r="Q172" s="13" t="s">
        <v>5</v>
      </c>
      <c r="R172" s="14"/>
      <c r="S172" s="15"/>
      <c r="T172" s="16"/>
      <c r="U172" s="17"/>
      <c r="V172" s="10"/>
      <c r="W172" s="10"/>
      <c r="X172" s="10"/>
    </row>
    <row r="173" spans="1:24">
      <c r="A173" s="2"/>
      <c r="B173" s="18" t="s">
        <v>6</v>
      </c>
      <c r="C173" s="19">
        <f>C174+C175</f>
        <v>8</v>
      </c>
      <c r="D173" s="10"/>
      <c r="E173" s="18" t="s">
        <v>7</v>
      </c>
      <c r="F173" s="6"/>
      <c r="G173" s="9"/>
      <c r="H173" s="10"/>
      <c r="I173" s="10"/>
      <c r="J173" s="10"/>
      <c r="K173" s="20" t="s">
        <v>8</v>
      </c>
      <c r="L173" s="21" t="s">
        <v>9</v>
      </c>
      <c r="M173" s="21" t="s">
        <v>10</v>
      </c>
      <c r="N173" s="20" t="s">
        <v>11</v>
      </c>
      <c r="O173" s="21" t="s">
        <v>12</v>
      </c>
      <c r="P173" s="22" t="s">
        <v>13</v>
      </c>
      <c r="Q173" s="21" t="s">
        <v>11</v>
      </c>
      <c r="R173" s="21" t="s">
        <v>12</v>
      </c>
      <c r="S173" s="22" t="s">
        <v>13</v>
      </c>
      <c r="T173" s="23" t="s">
        <v>14</v>
      </c>
      <c r="U173" s="17"/>
      <c r="V173" s="10"/>
      <c r="W173" s="10"/>
      <c r="X173" s="10"/>
    </row>
    <row r="174" spans="1:24">
      <c r="A174" s="2"/>
      <c r="B174" s="24" t="s">
        <v>15</v>
      </c>
      <c r="C174" s="25">
        <f>P181</f>
        <v>4</v>
      </c>
      <c r="D174" s="10"/>
      <c r="E174" s="26" t="s">
        <v>16</v>
      </c>
      <c r="F174" s="27">
        <v>0.05</v>
      </c>
      <c r="G174" s="28"/>
      <c r="H174" s="10"/>
      <c r="I174" s="10"/>
      <c r="J174" s="18" t="s">
        <v>17</v>
      </c>
      <c r="K174" s="29">
        <f>K202</f>
        <v>3</v>
      </c>
      <c r="L174" s="29">
        <f t="shared" ref="L174:S174" si="47">L202</f>
        <v>2</v>
      </c>
      <c r="M174" s="29">
        <f t="shared" si="47"/>
        <v>3</v>
      </c>
      <c r="N174" s="29">
        <f t="shared" si="47"/>
        <v>3</v>
      </c>
      <c r="O174" s="29">
        <f t="shared" si="47"/>
        <v>3</v>
      </c>
      <c r="P174" s="29">
        <f t="shared" si="47"/>
        <v>3</v>
      </c>
      <c r="Q174" s="29">
        <f t="shared" si="47"/>
        <v>3</v>
      </c>
      <c r="R174" s="29">
        <f t="shared" si="47"/>
        <v>2</v>
      </c>
      <c r="S174" s="29">
        <f t="shared" si="47"/>
        <v>3</v>
      </c>
      <c r="T174" s="30">
        <f>T218</f>
        <v>2</v>
      </c>
      <c r="U174" s="17" t="s">
        <v>997</v>
      </c>
      <c r="V174" s="10"/>
      <c r="W174" s="10"/>
      <c r="X174" s="10"/>
    </row>
    <row r="175" spans="1:24">
      <c r="A175" s="2"/>
      <c r="B175" s="24" t="s">
        <v>18</v>
      </c>
      <c r="C175" s="25">
        <f>P182</f>
        <v>4</v>
      </c>
      <c r="D175" s="10"/>
      <c r="E175" s="10"/>
      <c r="F175" s="10"/>
      <c r="G175" s="31"/>
      <c r="H175" s="10"/>
      <c r="I175" s="10"/>
      <c r="J175" s="32" t="s">
        <v>19</v>
      </c>
      <c r="K175" s="33">
        <f>K202/K201</f>
        <v>1</v>
      </c>
      <c r="L175" s="33">
        <f t="shared" ref="L175:S175" si="48">L202/L201</f>
        <v>0.66666666666666663</v>
      </c>
      <c r="M175" s="33">
        <f t="shared" si="48"/>
        <v>1</v>
      </c>
      <c r="N175" s="33">
        <f t="shared" si="48"/>
        <v>1</v>
      </c>
      <c r="O175" s="33">
        <f t="shared" si="48"/>
        <v>1</v>
      </c>
      <c r="P175" s="33">
        <f t="shared" si="48"/>
        <v>1</v>
      </c>
      <c r="Q175" s="33">
        <f t="shared" si="48"/>
        <v>1</v>
      </c>
      <c r="R175" s="33">
        <f t="shared" si="48"/>
        <v>0.66666666666666663</v>
      </c>
      <c r="S175" s="33">
        <f t="shared" si="48"/>
        <v>1</v>
      </c>
      <c r="T175" s="23"/>
      <c r="U175" s="17" t="s">
        <v>20</v>
      </c>
      <c r="V175" s="10"/>
      <c r="W175" s="10"/>
      <c r="X175" s="10"/>
    </row>
    <row r="176" spans="1:24">
      <c r="A176" s="2"/>
      <c r="B176" s="24" t="s">
        <v>21</v>
      </c>
      <c r="C176" s="34">
        <f>P183</f>
        <v>0.5</v>
      </c>
      <c r="D176" s="10"/>
      <c r="E176" s="10"/>
      <c r="F176" s="10"/>
      <c r="G176" s="10"/>
      <c r="H176" s="10"/>
      <c r="I176" s="10"/>
      <c r="J176" s="10"/>
      <c r="K176" s="10"/>
      <c r="L176" s="10"/>
      <c r="M176" s="10"/>
      <c r="N176" s="10"/>
      <c r="O176" s="10"/>
      <c r="P176" s="10"/>
      <c r="Q176" s="10"/>
      <c r="R176" s="10"/>
      <c r="S176" s="10"/>
      <c r="T176" s="10"/>
      <c r="U176" s="17"/>
      <c r="V176" s="10"/>
      <c r="W176" s="10"/>
      <c r="X176" s="10"/>
    </row>
    <row r="177" spans="1:24">
      <c r="A177" s="2"/>
      <c r="B177" s="24"/>
      <c r="C177" s="25"/>
      <c r="D177" s="10"/>
      <c r="E177" s="10"/>
      <c r="F177" s="18" t="s">
        <v>22</v>
      </c>
      <c r="G177" s="19" t="s">
        <v>23</v>
      </c>
      <c r="H177" s="35" t="s">
        <v>24</v>
      </c>
      <c r="I177" s="10"/>
      <c r="J177" s="10"/>
      <c r="K177" s="36"/>
      <c r="L177" s="36"/>
      <c r="M177" s="36"/>
      <c r="N177" s="36"/>
      <c r="O177" s="36"/>
      <c r="P177" s="36"/>
      <c r="Q177" s="36"/>
      <c r="R177" s="10"/>
      <c r="S177" s="10"/>
      <c r="T177" s="10"/>
      <c r="U177" s="17"/>
      <c r="V177" s="10"/>
      <c r="W177" s="10"/>
      <c r="X177" s="10"/>
    </row>
    <row r="178" spans="1:24">
      <c r="A178" s="2"/>
      <c r="B178" s="32" t="s">
        <v>25</v>
      </c>
      <c r="C178" s="37">
        <f>P184</f>
        <v>1465.7250000000001</v>
      </c>
      <c r="D178" s="10"/>
      <c r="E178" s="18" t="s">
        <v>26</v>
      </c>
      <c r="F178" s="38">
        <f>P180</f>
        <v>5862.9000000000005</v>
      </c>
      <c r="G178" s="39">
        <f>I201+I206</f>
        <v>5862.9000000000005</v>
      </c>
      <c r="H178" s="40"/>
      <c r="I178" s="41"/>
      <c r="J178" s="42"/>
      <c r="K178" s="43" t="s">
        <v>27</v>
      </c>
      <c r="L178" s="44"/>
      <c r="M178" s="44"/>
      <c r="N178" s="44"/>
      <c r="O178" s="44"/>
      <c r="P178" s="44"/>
      <c r="Q178" s="45"/>
      <c r="R178" s="46" t="s">
        <v>28</v>
      </c>
      <c r="S178" s="47" t="s">
        <v>29</v>
      </c>
      <c r="T178" s="10"/>
      <c r="U178" s="17"/>
      <c r="V178" s="10"/>
      <c r="W178" s="10"/>
      <c r="X178" s="10"/>
    </row>
    <row r="179" spans="1:24">
      <c r="A179" s="2"/>
      <c r="B179" s="11"/>
      <c r="C179" s="10"/>
      <c r="D179" s="10"/>
      <c r="E179" s="24" t="s">
        <v>30</v>
      </c>
      <c r="F179" s="48">
        <f>F174</f>
        <v>0.05</v>
      </c>
      <c r="G179" s="17"/>
      <c r="H179" s="40"/>
      <c r="I179" s="41"/>
      <c r="J179" s="42"/>
      <c r="K179" s="20" t="s">
        <v>31</v>
      </c>
      <c r="L179" s="21" t="s">
        <v>32</v>
      </c>
      <c r="M179" s="21" t="s">
        <v>33</v>
      </c>
      <c r="N179" s="21" t="s">
        <v>34</v>
      </c>
      <c r="O179" s="21" t="s">
        <v>35</v>
      </c>
      <c r="P179" s="21" t="s">
        <v>36</v>
      </c>
      <c r="Q179" s="49" t="s">
        <v>37</v>
      </c>
      <c r="R179" s="50" t="s">
        <v>38</v>
      </c>
      <c r="S179" s="50" t="s">
        <v>38</v>
      </c>
      <c r="T179" s="10"/>
      <c r="U179" s="17"/>
      <c r="V179" s="10"/>
      <c r="W179" s="10"/>
      <c r="X179" s="10"/>
    </row>
    <row r="180" spans="1:24">
      <c r="A180" s="2"/>
      <c r="B180" s="11"/>
      <c r="C180" s="10"/>
      <c r="D180" s="10"/>
      <c r="E180" s="51" t="s">
        <v>39</v>
      </c>
      <c r="F180" s="52">
        <f>(F178-I199-I205)*F179</f>
        <v>159.41500000000002</v>
      </c>
      <c r="G180" s="53" t="s">
        <v>40</v>
      </c>
      <c r="H180" s="54">
        <f>F180/1.12</f>
        <v>142.33482142857144</v>
      </c>
      <c r="I180" s="55"/>
      <c r="J180" s="42"/>
      <c r="K180" s="56">
        <f>I198</f>
        <v>614</v>
      </c>
      <c r="L180" s="57">
        <v>0</v>
      </c>
      <c r="M180" s="57">
        <f>I199</f>
        <v>1033.3</v>
      </c>
      <c r="N180" s="57"/>
      <c r="O180" s="57">
        <f>+I200+I205</f>
        <v>4215.6000000000004</v>
      </c>
      <c r="P180" s="57">
        <f>SUM(K180:O180)</f>
        <v>5862.9000000000005</v>
      </c>
      <c r="Q180" s="58">
        <v>0</v>
      </c>
      <c r="R180" s="59">
        <f>+I206</f>
        <v>1641.3</v>
      </c>
      <c r="S180" s="59">
        <v>0</v>
      </c>
      <c r="T180" s="10"/>
      <c r="U180" s="17"/>
      <c r="V180" s="10"/>
      <c r="W180" s="10"/>
      <c r="X180" s="10"/>
    </row>
    <row r="181" spans="1:24">
      <c r="A181" s="2"/>
      <c r="B181" s="11"/>
      <c r="C181" s="10"/>
      <c r="D181" s="10"/>
      <c r="E181" s="24" t="s">
        <v>41</v>
      </c>
      <c r="F181" s="60">
        <f>Q180</f>
        <v>0</v>
      </c>
      <c r="G181" s="61" t="s">
        <v>40</v>
      </c>
      <c r="H181" s="62"/>
      <c r="I181" s="62"/>
      <c r="J181" s="10" t="s">
        <v>42</v>
      </c>
      <c r="K181" s="63">
        <v>1</v>
      </c>
      <c r="L181" s="63">
        <v>0</v>
      </c>
      <c r="M181" s="63">
        <v>1</v>
      </c>
      <c r="N181" s="63">
        <v>0</v>
      </c>
      <c r="O181" s="63">
        <v>2</v>
      </c>
      <c r="P181" s="21">
        <f>SUM(K181:O181)</f>
        <v>4</v>
      </c>
      <c r="Q181" s="64"/>
      <c r="R181" s="63"/>
      <c r="S181" s="10"/>
      <c r="T181" s="10"/>
      <c r="U181" s="17"/>
      <c r="V181" s="10"/>
      <c r="W181" s="10"/>
      <c r="X181" s="10"/>
    </row>
    <row r="182" spans="1:24">
      <c r="A182" s="2"/>
      <c r="B182" s="11"/>
      <c r="C182" s="10"/>
      <c r="D182" s="10"/>
      <c r="E182" s="51" t="s">
        <v>43</v>
      </c>
      <c r="F182" s="52">
        <f>F181*0.25</f>
        <v>0</v>
      </c>
      <c r="G182" s="53" t="s">
        <v>40</v>
      </c>
      <c r="H182" s="54">
        <f>F182/1.12</f>
        <v>0</v>
      </c>
      <c r="I182" s="10"/>
      <c r="J182" s="10" t="s">
        <v>44</v>
      </c>
      <c r="K182" s="63">
        <v>1</v>
      </c>
      <c r="L182" s="63">
        <v>0</v>
      </c>
      <c r="M182" s="63">
        <v>0</v>
      </c>
      <c r="N182" s="63">
        <v>1</v>
      </c>
      <c r="O182" s="63">
        <v>1</v>
      </c>
      <c r="P182" s="21">
        <v>4</v>
      </c>
      <c r="Q182" s="64"/>
      <c r="R182" s="63"/>
      <c r="S182" s="10"/>
      <c r="T182" s="10"/>
      <c r="U182" s="17"/>
      <c r="V182" s="10"/>
      <c r="W182" s="10"/>
      <c r="X182" s="10"/>
    </row>
    <row r="183" spans="1:24">
      <c r="A183" s="2"/>
      <c r="B183" s="11"/>
      <c r="C183" s="10"/>
      <c r="D183" s="10"/>
      <c r="E183" s="24" t="s">
        <v>45</v>
      </c>
      <c r="F183" s="60"/>
      <c r="G183" s="61" t="s">
        <v>40</v>
      </c>
      <c r="H183" s="62"/>
      <c r="I183" s="10"/>
      <c r="J183" s="10" t="s">
        <v>46</v>
      </c>
      <c r="K183" s="31">
        <f t="shared" ref="K183:Q183" si="49">K181/(K181+K182)</f>
        <v>0.5</v>
      </c>
      <c r="L183" s="31" t="e">
        <f t="shared" si="49"/>
        <v>#DIV/0!</v>
      </c>
      <c r="M183" s="31">
        <f t="shared" si="49"/>
        <v>1</v>
      </c>
      <c r="N183" s="31">
        <f t="shared" si="49"/>
        <v>0</v>
      </c>
      <c r="O183" s="31">
        <f t="shared" si="49"/>
        <v>0.66666666666666663</v>
      </c>
      <c r="P183" s="31">
        <f t="shared" si="49"/>
        <v>0.5</v>
      </c>
      <c r="Q183" s="31" t="e">
        <f t="shared" si="49"/>
        <v>#DIV/0!</v>
      </c>
      <c r="R183" s="63"/>
      <c r="S183" s="10"/>
      <c r="T183" s="10"/>
      <c r="U183" s="17"/>
      <c r="V183" s="10"/>
      <c r="W183" s="10"/>
      <c r="X183" s="10"/>
    </row>
    <row r="184" spans="1:24">
      <c r="A184" s="2"/>
      <c r="B184" s="11"/>
      <c r="C184" s="10"/>
      <c r="D184" s="10"/>
      <c r="E184" s="51" t="s">
        <v>47</v>
      </c>
      <c r="F184" s="52">
        <f>F183*0.05</f>
        <v>0</v>
      </c>
      <c r="G184" s="65" t="s">
        <v>40</v>
      </c>
      <c r="H184" s="54">
        <f>F184/1.12</f>
        <v>0</v>
      </c>
      <c r="I184" s="42"/>
      <c r="J184" s="10" t="s">
        <v>48</v>
      </c>
      <c r="K184" s="66">
        <f>K180/K181</f>
        <v>614</v>
      </c>
      <c r="L184" s="66" t="e">
        <f t="shared" ref="L184:Q184" si="50">L180/L181</f>
        <v>#DIV/0!</v>
      </c>
      <c r="M184" s="66">
        <f t="shared" si="50"/>
        <v>1033.3</v>
      </c>
      <c r="N184" s="66" t="e">
        <f t="shared" si="50"/>
        <v>#DIV/0!</v>
      </c>
      <c r="O184" s="66">
        <f t="shared" si="50"/>
        <v>2107.8000000000002</v>
      </c>
      <c r="P184" s="66">
        <f t="shared" si="50"/>
        <v>1465.7250000000001</v>
      </c>
      <c r="Q184" s="66" t="e">
        <f t="shared" si="50"/>
        <v>#DIV/0!</v>
      </c>
      <c r="R184" s="63"/>
      <c r="S184" s="10"/>
      <c r="T184" s="10"/>
      <c r="U184" s="17"/>
      <c r="V184" s="10"/>
      <c r="W184" s="10"/>
      <c r="X184" s="10"/>
    </row>
    <row r="185" spans="1:24">
      <c r="A185" s="2"/>
      <c r="B185" s="11"/>
      <c r="C185" s="10"/>
      <c r="D185" s="10"/>
      <c r="E185" s="67" t="s">
        <v>14</v>
      </c>
      <c r="F185" s="68">
        <f>7*50/2</f>
        <v>175</v>
      </c>
      <c r="G185" s="10"/>
      <c r="H185" s="54">
        <f>F185/1.12</f>
        <v>156.24999999999997</v>
      </c>
      <c r="I185" s="10"/>
      <c r="J185" s="10"/>
      <c r="K185" s="10"/>
      <c r="L185" s="10"/>
      <c r="M185" s="10"/>
      <c r="N185" s="10"/>
      <c r="O185" s="10"/>
      <c r="P185" s="10"/>
      <c r="Q185" s="10"/>
      <c r="R185" s="10"/>
      <c r="S185" s="10"/>
      <c r="T185" s="10"/>
      <c r="U185" s="17"/>
      <c r="V185" s="10"/>
      <c r="W185" s="10"/>
      <c r="X185" s="10"/>
    </row>
    <row r="186" spans="1:24">
      <c r="A186" s="2"/>
      <c r="B186" s="11"/>
      <c r="C186" s="10"/>
      <c r="D186" s="10"/>
      <c r="E186" s="155" t="s">
        <v>49</v>
      </c>
      <c r="F186" s="364">
        <f>T175</f>
        <v>0</v>
      </c>
      <c r="G186" s="10"/>
      <c r="H186" s="54"/>
      <c r="I186" s="55"/>
      <c r="J186" s="42"/>
      <c r="K186" s="764" t="s">
        <v>50</v>
      </c>
      <c r="L186" s="765"/>
      <c r="M186" s="765"/>
      <c r="N186" s="765"/>
      <c r="O186" s="765"/>
      <c r="P186" s="765"/>
      <c r="Q186" s="766"/>
      <c r="R186" s="70" t="s">
        <v>28</v>
      </c>
      <c r="S186" s="71" t="s">
        <v>29</v>
      </c>
      <c r="T186" s="10"/>
      <c r="U186" s="17"/>
      <c r="V186" s="10"/>
      <c r="W186" s="10"/>
      <c r="X186" s="10"/>
    </row>
    <row r="187" spans="1:24">
      <c r="A187" s="2"/>
      <c r="B187" s="11"/>
      <c r="C187" s="10"/>
      <c r="D187" s="10"/>
      <c r="E187" s="12"/>
      <c r="F187" s="76"/>
      <c r="G187" s="10"/>
      <c r="H187" s="10"/>
      <c r="I187" s="10"/>
      <c r="J187" s="42"/>
      <c r="K187" s="20" t="s">
        <v>31</v>
      </c>
      <c r="L187" s="21" t="s">
        <v>32</v>
      </c>
      <c r="M187" s="21" t="s">
        <v>33</v>
      </c>
      <c r="N187" s="21" t="s">
        <v>34</v>
      </c>
      <c r="O187" s="21" t="s">
        <v>35</v>
      </c>
      <c r="P187" s="21" t="s">
        <v>36</v>
      </c>
      <c r="Q187" s="49" t="s">
        <v>37</v>
      </c>
      <c r="R187" s="50" t="s">
        <v>38</v>
      </c>
      <c r="S187" s="50" t="s">
        <v>38</v>
      </c>
      <c r="T187" s="10"/>
      <c r="U187" s="17"/>
      <c r="V187" s="10"/>
      <c r="W187" s="10"/>
      <c r="X187" s="10"/>
    </row>
    <row r="188" spans="1:24">
      <c r="A188" s="2"/>
      <c r="B188" s="11"/>
      <c r="C188" s="10"/>
      <c r="D188" s="10"/>
      <c r="E188" s="10"/>
      <c r="F188" s="10"/>
      <c r="G188" s="10"/>
      <c r="H188" s="10"/>
      <c r="I188" s="10"/>
      <c r="J188" s="42"/>
      <c r="K188" s="56">
        <f>F198</f>
        <v>614</v>
      </c>
      <c r="L188" s="57">
        <v>0</v>
      </c>
      <c r="M188" s="57">
        <f>F199</f>
        <v>1073</v>
      </c>
      <c r="N188" s="57"/>
      <c r="O188" s="57">
        <f>+F200+F205</f>
        <v>4295</v>
      </c>
      <c r="P188" s="57">
        <f>SUM(K188:O188)</f>
        <v>5982</v>
      </c>
      <c r="Q188" s="58">
        <v>0</v>
      </c>
      <c r="R188" s="59">
        <f>+F206</f>
        <v>1681</v>
      </c>
      <c r="S188" s="59">
        <v>0</v>
      </c>
      <c r="T188" s="10"/>
      <c r="U188" s="17"/>
      <c r="V188" s="10"/>
      <c r="W188" s="10"/>
      <c r="X188" s="10"/>
    </row>
    <row r="189" spans="1:24">
      <c r="A189" s="2"/>
      <c r="B189" s="11"/>
      <c r="C189" s="10"/>
      <c r="D189" s="10"/>
      <c r="E189" s="10"/>
      <c r="F189" s="10"/>
      <c r="G189" s="10"/>
      <c r="H189" s="10"/>
      <c r="I189" s="10"/>
      <c r="J189" s="10" t="s">
        <v>42</v>
      </c>
      <c r="K189" s="63">
        <f>K181</f>
        <v>1</v>
      </c>
      <c r="L189" s="63">
        <f t="shared" ref="L189:Q190" si="51">L181</f>
        <v>0</v>
      </c>
      <c r="M189" s="63">
        <f t="shared" si="51"/>
        <v>1</v>
      </c>
      <c r="N189" s="63">
        <f t="shared" si="51"/>
        <v>0</v>
      </c>
      <c r="O189" s="63">
        <f t="shared" si="51"/>
        <v>2</v>
      </c>
      <c r="P189" s="63">
        <f t="shared" si="51"/>
        <v>4</v>
      </c>
      <c r="Q189" s="63">
        <f t="shared" si="51"/>
        <v>0</v>
      </c>
      <c r="R189" s="63"/>
      <c r="S189" s="10"/>
      <c r="T189" s="10"/>
      <c r="U189" s="17"/>
      <c r="V189" s="10"/>
      <c r="W189" s="10"/>
      <c r="X189" s="10"/>
    </row>
    <row r="190" spans="1:24">
      <c r="A190" s="2"/>
      <c r="B190" s="11"/>
      <c r="C190" s="10"/>
      <c r="D190" s="10"/>
      <c r="E190" s="10"/>
      <c r="F190" s="10"/>
      <c r="G190" s="10"/>
      <c r="H190" s="10"/>
      <c r="I190" s="10"/>
      <c r="J190" s="10" t="s">
        <v>44</v>
      </c>
      <c r="K190" s="63">
        <f>K182</f>
        <v>1</v>
      </c>
      <c r="L190" s="63">
        <f t="shared" si="51"/>
        <v>0</v>
      </c>
      <c r="M190" s="63">
        <f t="shared" si="51"/>
        <v>0</v>
      </c>
      <c r="N190" s="63">
        <f t="shared" si="51"/>
        <v>1</v>
      </c>
      <c r="O190" s="63">
        <f t="shared" si="51"/>
        <v>1</v>
      </c>
      <c r="P190" s="63">
        <f t="shared" si="51"/>
        <v>4</v>
      </c>
      <c r="Q190" s="63">
        <f t="shared" si="51"/>
        <v>0</v>
      </c>
      <c r="R190" s="63"/>
      <c r="S190" s="10"/>
      <c r="T190" s="10"/>
      <c r="U190" s="17"/>
      <c r="V190" s="10"/>
      <c r="W190" s="10"/>
      <c r="X190" s="10"/>
    </row>
    <row r="191" spans="1:24">
      <c r="A191" s="2"/>
      <c r="B191" s="11"/>
      <c r="C191" s="10"/>
      <c r="D191" s="10"/>
      <c r="E191" s="12"/>
      <c r="F191" s="76"/>
      <c r="G191" s="10"/>
      <c r="H191" s="10"/>
      <c r="I191" s="10"/>
      <c r="J191" s="10" t="s">
        <v>46</v>
      </c>
      <c r="K191" s="31">
        <f t="shared" ref="K191:Q191" si="52">K189/(K189+K190)</f>
        <v>0.5</v>
      </c>
      <c r="L191" s="31" t="e">
        <f t="shared" si="52"/>
        <v>#DIV/0!</v>
      </c>
      <c r="M191" s="31">
        <f t="shared" si="52"/>
        <v>1</v>
      </c>
      <c r="N191" s="31">
        <f t="shared" si="52"/>
        <v>0</v>
      </c>
      <c r="O191" s="31">
        <f t="shared" si="52"/>
        <v>0.66666666666666663</v>
      </c>
      <c r="P191" s="31">
        <f t="shared" si="52"/>
        <v>0.5</v>
      </c>
      <c r="Q191" s="31" t="e">
        <f t="shared" si="52"/>
        <v>#DIV/0!</v>
      </c>
      <c r="R191" s="63"/>
      <c r="S191" s="10"/>
      <c r="T191" s="10"/>
      <c r="U191" s="17"/>
      <c r="V191" s="10"/>
      <c r="W191" s="10"/>
      <c r="X191" s="10"/>
    </row>
    <row r="192" spans="1:24">
      <c r="A192" s="2"/>
      <c r="B192" s="11"/>
      <c r="C192" s="10"/>
      <c r="D192" s="10"/>
      <c r="E192" s="10"/>
      <c r="F192" s="10"/>
      <c r="G192" s="10"/>
      <c r="H192" s="10"/>
      <c r="I192" s="10"/>
      <c r="J192" s="10" t="s">
        <v>48</v>
      </c>
      <c r="K192" s="66">
        <f t="shared" ref="K192:Q192" si="53">K188/K189</f>
        <v>614</v>
      </c>
      <c r="L192" s="66" t="e">
        <f t="shared" si="53"/>
        <v>#DIV/0!</v>
      </c>
      <c r="M192" s="66">
        <f t="shared" si="53"/>
        <v>1073</v>
      </c>
      <c r="N192" s="66" t="e">
        <f t="shared" si="53"/>
        <v>#DIV/0!</v>
      </c>
      <c r="O192" s="66">
        <f t="shared" si="53"/>
        <v>2147.5</v>
      </c>
      <c r="P192" s="66">
        <f t="shared" si="53"/>
        <v>1495.5</v>
      </c>
      <c r="Q192" s="66" t="e">
        <f t="shared" si="53"/>
        <v>#DIV/0!</v>
      </c>
      <c r="R192" s="63"/>
      <c r="S192" s="10"/>
      <c r="T192" s="10"/>
      <c r="U192" s="17"/>
      <c r="V192" s="10"/>
      <c r="W192" s="10"/>
      <c r="X192" s="10"/>
    </row>
    <row r="193" spans="1:24">
      <c r="A193" s="2"/>
      <c r="B193" s="11"/>
      <c r="C193" s="10"/>
      <c r="D193" s="10"/>
      <c r="E193" s="10"/>
      <c r="F193" s="10"/>
      <c r="G193" s="10"/>
      <c r="H193" s="10"/>
      <c r="I193" s="10"/>
      <c r="J193" s="10"/>
      <c r="K193" s="10"/>
      <c r="L193" s="10"/>
      <c r="M193" s="10"/>
      <c r="N193" s="10"/>
      <c r="O193" s="10"/>
      <c r="P193" s="10"/>
      <c r="Q193" s="10"/>
      <c r="R193" s="10"/>
      <c r="S193" s="10"/>
      <c r="T193" s="10"/>
      <c r="U193" s="17"/>
      <c r="V193" s="10"/>
      <c r="W193" s="10"/>
      <c r="X193" s="10"/>
    </row>
    <row r="194" spans="1:24">
      <c r="A194" s="2"/>
      <c r="B194" s="11"/>
      <c r="C194" s="10"/>
      <c r="D194" s="10"/>
      <c r="E194" s="10"/>
      <c r="F194" s="10"/>
      <c r="G194" s="10"/>
      <c r="H194" s="10"/>
      <c r="I194" s="10"/>
      <c r="J194" s="10"/>
      <c r="K194" s="10"/>
      <c r="L194" s="10"/>
      <c r="M194" s="10"/>
      <c r="N194" s="10"/>
      <c r="O194" s="10"/>
      <c r="P194" s="10"/>
      <c r="Q194" s="10"/>
      <c r="R194" s="10"/>
      <c r="S194" s="10"/>
      <c r="T194" s="10"/>
      <c r="U194" s="17"/>
      <c r="V194" s="10"/>
      <c r="W194" s="10"/>
      <c r="X194" s="10"/>
    </row>
    <row r="195" spans="1:24">
      <c r="A195" s="2"/>
      <c r="B195" s="18" t="s">
        <v>51</v>
      </c>
      <c r="C195" s="14"/>
      <c r="D195" s="14"/>
      <c r="E195" s="14"/>
      <c r="F195" s="13" t="s">
        <v>52</v>
      </c>
      <c r="G195" s="14"/>
      <c r="H195" s="14"/>
      <c r="I195" s="14"/>
      <c r="J195" s="14"/>
      <c r="K195" s="13" t="s">
        <v>3</v>
      </c>
      <c r="L195" s="14"/>
      <c r="M195" s="14"/>
      <c r="N195" s="13" t="s">
        <v>4</v>
      </c>
      <c r="O195" s="14"/>
      <c r="P195" s="14"/>
      <c r="Q195" s="13" t="s">
        <v>5</v>
      </c>
      <c r="R195" s="14"/>
      <c r="S195" s="14"/>
      <c r="T195" s="18"/>
      <c r="U195" s="16" t="s">
        <v>53</v>
      </c>
      <c r="V195" s="77"/>
      <c r="W195" s="77"/>
      <c r="X195" s="77"/>
    </row>
    <row r="196" spans="1:24">
      <c r="A196" s="2"/>
      <c r="B196" s="24" t="s">
        <v>54</v>
      </c>
      <c r="C196" s="21" t="s">
        <v>55</v>
      </c>
      <c r="D196" s="21" t="s">
        <v>56</v>
      </c>
      <c r="E196" s="21" t="s">
        <v>57</v>
      </c>
      <c r="F196" s="20" t="s">
        <v>58</v>
      </c>
      <c r="G196" s="21" t="s">
        <v>59</v>
      </c>
      <c r="H196" s="21" t="s">
        <v>60</v>
      </c>
      <c r="I196" s="21" t="s">
        <v>26</v>
      </c>
      <c r="J196" s="22" t="s">
        <v>61</v>
      </c>
      <c r="K196" s="21" t="s">
        <v>8</v>
      </c>
      <c r="L196" s="21" t="s">
        <v>9</v>
      </c>
      <c r="M196" s="21" t="s">
        <v>10</v>
      </c>
      <c r="N196" s="20" t="s">
        <v>11</v>
      </c>
      <c r="O196" s="21" t="s">
        <v>12</v>
      </c>
      <c r="P196" s="22" t="s">
        <v>13</v>
      </c>
      <c r="Q196" s="21" t="s">
        <v>11</v>
      </c>
      <c r="R196" s="21" t="s">
        <v>12</v>
      </c>
      <c r="S196" s="21" t="s">
        <v>13</v>
      </c>
      <c r="T196" s="78" t="s">
        <v>14</v>
      </c>
      <c r="U196" s="30"/>
      <c r="V196" s="79" t="s">
        <v>62</v>
      </c>
      <c r="W196" s="80" t="s">
        <v>63</v>
      </c>
      <c r="X196" s="81" t="s">
        <v>64</v>
      </c>
    </row>
    <row r="197" spans="1:24">
      <c r="A197" s="2"/>
      <c r="B197" s="4" t="s">
        <v>65</v>
      </c>
      <c r="C197" s="6"/>
      <c r="D197" s="6"/>
      <c r="E197" s="6"/>
      <c r="F197" s="6"/>
      <c r="G197" s="6"/>
      <c r="H197" s="6"/>
      <c r="I197" s="82"/>
      <c r="J197" s="6"/>
      <c r="K197" s="6"/>
      <c r="L197" s="6"/>
      <c r="M197" s="6"/>
      <c r="N197" s="6"/>
      <c r="O197" s="6"/>
      <c r="P197" s="6"/>
      <c r="Q197" s="6"/>
      <c r="R197" s="6"/>
      <c r="S197" s="6"/>
      <c r="T197" s="83"/>
      <c r="U197" s="6"/>
      <c r="V197" s="84"/>
      <c r="W197" s="85"/>
      <c r="X197" s="86"/>
    </row>
    <row r="198" spans="1:24">
      <c r="A198" s="2"/>
      <c r="B198" s="87">
        <v>1</v>
      </c>
      <c r="C198" s="274">
        <v>45880</v>
      </c>
      <c r="D198" s="327">
        <v>72176</v>
      </c>
      <c r="E198" s="276" t="s">
        <v>998</v>
      </c>
      <c r="F198" s="277">
        <v>614</v>
      </c>
      <c r="G198" s="277"/>
      <c r="H198" s="297"/>
      <c r="I198" s="278">
        <f t="shared" ref="I198:I199" si="54">F198-G198-H198</f>
        <v>614</v>
      </c>
      <c r="J198" s="279" t="s">
        <v>156</v>
      </c>
      <c r="K198" s="279">
        <v>1</v>
      </c>
      <c r="L198" s="279">
        <v>1</v>
      </c>
      <c r="M198" s="279">
        <v>1</v>
      </c>
      <c r="N198" s="279">
        <v>1</v>
      </c>
      <c r="O198" s="279">
        <v>1</v>
      </c>
      <c r="P198" s="279">
        <v>1</v>
      </c>
      <c r="Q198" s="279">
        <v>1</v>
      </c>
      <c r="R198" s="279">
        <v>1</v>
      </c>
      <c r="S198" s="280">
        <v>1</v>
      </c>
      <c r="T198" s="21">
        <v>1</v>
      </c>
      <c r="U198" s="10"/>
      <c r="V198" s="90">
        <f>67.54+607.86</f>
        <v>675.4</v>
      </c>
      <c r="W198" s="91"/>
      <c r="X198" s="92"/>
    </row>
    <row r="199" spans="1:24">
      <c r="A199" s="2"/>
      <c r="B199" s="87">
        <f t="shared" ref="B199" si="55">B198+1</f>
        <v>2</v>
      </c>
      <c r="C199" s="262">
        <v>45882</v>
      </c>
      <c r="D199" s="263">
        <v>72306</v>
      </c>
      <c r="E199" s="271" t="s">
        <v>999</v>
      </c>
      <c r="F199" s="265">
        <v>1073</v>
      </c>
      <c r="G199" s="265">
        <f>39.7</f>
        <v>39.700000000000003</v>
      </c>
      <c r="H199" s="265"/>
      <c r="I199" s="376">
        <f t="shared" si="54"/>
        <v>1033.3</v>
      </c>
      <c r="J199" s="267" t="s">
        <v>236</v>
      </c>
      <c r="K199" s="267">
        <v>1</v>
      </c>
      <c r="L199" s="267">
        <v>1</v>
      </c>
      <c r="M199" s="267">
        <v>1</v>
      </c>
      <c r="N199" s="267">
        <v>1</v>
      </c>
      <c r="O199" s="267">
        <v>1</v>
      </c>
      <c r="P199" s="267">
        <v>1</v>
      </c>
      <c r="Q199" s="267">
        <v>1</v>
      </c>
      <c r="R199" s="267">
        <v>1</v>
      </c>
      <c r="S199" s="269">
        <v>1</v>
      </c>
      <c r="T199" s="21">
        <v>1</v>
      </c>
      <c r="U199" s="10" t="s">
        <v>1000</v>
      </c>
      <c r="V199" s="90">
        <v>80.3</v>
      </c>
      <c r="W199" s="440">
        <f>1100</f>
        <v>1100</v>
      </c>
      <c r="X199" s="92"/>
    </row>
    <row r="200" spans="1:24">
      <c r="A200" s="2"/>
      <c r="B200" s="87">
        <f>B199+1</f>
        <v>3</v>
      </c>
      <c r="C200" s="554">
        <v>45884</v>
      </c>
      <c r="D200" s="330" t="s">
        <v>1001</v>
      </c>
      <c r="E200" s="573" t="s">
        <v>1002</v>
      </c>
      <c r="F200" s="556">
        <v>2614</v>
      </c>
      <c r="G200" s="556">
        <f>39.7</f>
        <v>39.700000000000003</v>
      </c>
      <c r="H200" s="556"/>
      <c r="I200" s="583">
        <f>F200-G200-H200</f>
        <v>2574.3000000000002</v>
      </c>
      <c r="J200" s="558" t="s">
        <v>374</v>
      </c>
      <c r="K200" s="558">
        <v>1</v>
      </c>
      <c r="L200" s="332">
        <v>0</v>
      </c>
      <c r="M200" s="558">
        <v>1</v>
      </c>
      <c r="N200" s="558">
        <v>1</v>
      </c>
      <c r="O200" s="558">
        <v>1</v>
      </c>
      <c r="P200" s="558">
        <v>1</v>
      </c>
      <c r="Q200" s="558">
        <v>1</v>
      </c>
      <c r="R200" s="332">
        <v>0</v>
      </c>
      <c r="S200" s="559">
        <v>1</v>
      </c>
      <c r="T200" s="537"/>
      <c r="U200" s="3" t="s">
        <v>1003</v>
      </c>
      <c r="V200" s="551">
        <f>314.17+2560.69</f>
        <v>2874.86</v>
      </c>
      <c r="W200" s="91"/>
      <c r="X200" s="92"/>
    </row>
    <row r="201" spans="1:24">
      <c r="A201" s="2"/>
      <c r="B201" s="87"/>
      <c r="C201" s="36"/>
      <c r="D201" s="10"/>
      <c r="E201" s="10"/>
      <c r="F201" s="98">
        <f>SUM(F198:F200)</f>
        <v>4301</v>
      </c>
      <c r="G201" s="98">
        <f>SUM(G198:G200)</f>
        <v>79.400000000000006</v>
      </c>
      <c r="H201" s="98">
        <f>SUM(H198:H200)</f>
        <v>0</v>
      </c>
      <c r="I201" s="98">
        <f>SUM(I198:I200)</f>
        <v>4221.6000000000004</v>
      </c>
      <c r="J201" s="63"/>
      <c r="K201" s="63">
        <f>COUNT(K198:K200)</f>
        <v>3</v>
      </c>
      <c r="L201" s="63">
        <f>COUNT(L198:L200)</f>
        <v>3</v>
      </c>
      <c r="M201" s="63">
        <f>COUNT(M198:M200)</f>
        <v>3</v>
      </c>
      <c r="N201" s="63">
        <f>COUNT(N198:N200)</f>
        <v>3</v>
      </c>
      <c r="O201" s="63">
        <f>COUNT(O198:O200)</f>
        <v>3</v>
      </c>
      <c r="P201" s="63">
        <f>COUNT(P198:P200)</f>
        <v>3</v>
      </c>
      <c r="Q201" s="63">
        <f>COUNT(Q198:Q200)</f>
        <v>3</v>
      </c>
      <c r="R201" s="63">
        <f>COUNT(R198:R200)</f>
        <v>3</v>
      </c>
      <c r="S201" s="63">
        <f>COUNT(S198:S200)</f>
        <v>3</v>
      </c>
      <c r="T201" s="63"/>
      <c r="U201" s="10"/>
      <c r="V201" s="90"/>
      <c r="W201" s="91"/>
      <c r="X201" s="92"/>
    </row>
    <row r="202" spans="1:24">
      <c r="A202" s="2"/>
      <c r="B202" s="87"/>
      <c r="C202" s="36"/>
      <c r="D202" s="10"/>
      <c r="E202" s="10"/>
      <c r="F202" s="88"/>
      <c r="G202" s="88"/>
      <c r="H202" s="88"/>
      <c r="I202" s="99"/>
      <c r="J202" s="63"/>
      <c r="K202" s="21">
        <f>SUM(K198:K200)</f>
        <v>3</v>
      </c>
      <c r="L202" s="21">
        <f>SUM(L198:L200)</f>
        <v>2</v>
      </c>
      <c r="M202" s="21">
        <f>SUM(M198:M200)</f>
        <v>3</v>
      </c>
      <c r="N202" s="21">
        <f>SUM(N198:N200)</f>
        <v>3</v>
      </c>
      <c r="O202" s="21">
        <f>SUM(O198:O200)</f>
        <v>3</v>
      </c>
      <c r="P202" s="21">
        <f>SUM(P198:P200)</f>
        <v>3</v>
      </c>
      <c r="Q202" s="21">
        <f>SUM(Q198:Q200)</f>
        <v>3</v>
      </c>
      <c r="R202" s="21">
        <f>SUM(R198:R200)</f>
        <v>2</v>
      </c>
      <c r="S202" s="21">
        <f>SUM(S198:S200)</f>
        <v>3</v>
      </c>
      <c r="T202" s="63"/>
      <c r="U202" s="10"/>
      <c r="V202" s="90"/>
      <c r="W202" s="91"/>
      <c r="X202" s="92"/>
    </row>
    <row r="203" spans="1:24">
      <c r="A203" s="2"/>
      <c r="B203" s="11"/>
      <c r="C203" s="36"/>
      <c r="D203" s="10"/>
      <c r="E203" s="10"/>
      <c r="F203" s="88"/>
      <c r="G203" s="88"/>
      <c r="H203" s="88"/>
      <c r="I203" s="99"/>
      <c r="J203" s="63"/>
      <c r="K203" s="21"/>
      <c r="L203" s="21"/>
      <c r="M203" s="21"/>
      <c r="N203" s="21"/>
      <c r="O203" s="21"/>
      <c r="P203" s="21"/>
      <c r="Q203" s="21"/>
      <c r="R203" s="21"/>
      <c r="S203" s="21"/>
      <c r="T203" s="63"/>
      <c r="U203" s="94"/>
      <c r="V203" s="90"/>
      <c r="W203" s="91"/>
      <c r="X203" s="92"/>
    </row>
    <row r="204" spans="1:24" s="342" customFormat="1">
      <c r="A204" s="128"/>
      <c r="B204" s="121" t="s">
        <v>70</v>
      </c>
      <c r="C204" s="122"/>
      <c r="D204" s="123"/>
      <c r="E204" s="128"/>
      <c r="F204" s="124"/>
      <c r="G204" s="124"/>
      <c r="H204" s="124"/>
      <c r="I204" s="126"/>
      <c r="J204" s="127"/>
      <c r="K204" s="64"/>
      <c r="L204" s="64"/>
      <c r="M204" s="64"/>
      <c r="N204" s="64"/>
      <c r="O204" s="64"/>
      <c r="P204" s="64"/>
      <c r="Q204" s="64"/>
      <c r="R204" s="64"/>
      <c r="S204" s="64"/>
      <c r="T204" s="127"/>
      <c r="U204" s="135"/>
      <c r="V204" s="129"/>
      <c r="W204" s="130"/>
      <c r="X204" s="131"/>
    </row>
    <row r="205" spans="1:24" s="342" customFormat="1">
      <c r="A205" s="356">
        <v>0.05</v>
      </c>
      <c r="B205" s="333">
        <v>1</v>
      </c>
      <c r="C205" s="350">
        <v>45884</v>
      </c>
      <c r="D205" s="263">
        <v>72248</v>
      </c>
      <c r="E205" s="358" t="s">
        <v>1004</v>
      </c>
      <c r="F205" s="352">
        <v>1681</v>
      </c>
      <c r="G205" s="352">
        <f>39.7</f>
        <v>39.700000000000003</v>
      </c>
      <c r="H205" s="352"/>
      <c r="I205" s="353">
        <f>F205-G205-H205</f>
        <v>1641.3</v>
      </c>
      <c r="J205" s="354" t="s">
        <v>156</v>
      </c>
      <c r="K205" s="354">
        <v>1</v>
      </c>
      <c r="L205" s="354"/>
      <c r="M205" s="354">
        <v>1</v>
      </c>
      <c r="N205" s="354">
        <v>1</v>
      </c>
      <c r="O205" s="354">
        <v>1</v>
      </c>
      <c r="P205" s="354">
        <v>1</v>
      </c>
      <c r="Q205" s="354"/>
      <c r="R205" s="354"/>
      <c r="S205" s="355"/>
      <c r="T205" s="127"/>
      <c r="U205" s="135"/>
      <c r="V205" s="129">
        <f>184.91</f>
        <v>184.91</v>
      </c>
      <c r="W205" s="340"/>
      <c r="X205" s="341"/>
    </row>
    <row r="206" spans="1:24" s="342" customFormat="1">
      <c r="A206" s="128"/>
      <c r="B206" s="132"/>
      <c r="C206" s="122"/>
      <c r="D206" s="123"/>
      <c r="E206" s="123"/>
      <c r="F206" s="133">
        <f>SUM(F205:F205)</f>
        <v>1681</v>
      </c>
      <c r="G206" s="133">
        <f>SUM(G205:G205)</f>
        <v>39.700000000000003</v>
      </c>
      <c r="H206" s="133">
        <f>SUM(H205:H205)</f>
        <v>0</v>
      </c>
      <c r="I206" s="134">
        <f>SUM(I205:I205)</f>
        <v>1641.3</v>
      </c>
      <c r="J206" s="127"/>
      <c r="K206" s="64"/>
      <c r="L206" s="64"/>
      <c r="M206" s="64"/>
      <c r="N206" s="64"/>
      <c r="O206" s="64"/>
      <c r="P206" s="64"/>
      <c r="Q206" s="64"/>
      <c r="R206" s="64"/>
      <c r="S206" s="64"/>
      <c r="T206" s="127"/>
      <c r="U206" s="135"/>
      <c r="V206" s="129"/>
      <c r="W206" s="130"/>
      <c r="X206" s="131"/>
    </row>
    <row r="207" spans="1:24">
      <c r="A207" s="2"/>
      <c r="B207" s="11"/>
      <c r="C207" s="36"/>
      <c r="D207" s="10"/>
      <c r="E207" s="10"/>
      <c r="F207" s="88"/>
      <c r="G207" s="88"/>
      <c r="H207" s="88"/>
      <c r="I207" s="99"/>
      <c r="J207" s="10"/>
      <c r="K207" s="63"/>
      <c r="L207" s="63"/>
      <c r="M207" s="63"/>
      <c r="N207" s="63"/>
      <c r="O207" s="63"/>
      <c r="P207" s="63"/>
      <c r="Q207" s="63"/>
      <c r="R207" s="63"/>
      <c r="S207" s="63"/>
      <c r="T207" s="63"/>
      <c r="U207" s="94"/>
      <c r="V207" s="90"/>
      <c r="W207" s="91"/>
      <c r="X207" s="92"/>
    </row>
    <row r="208" spans="1:24" s="260" customFormat="1">
      <c r="B208" s="100" t="s">
        <v>202</v>
      </c>
      <c r="C208" s="36"/>
      <c r="D208" s="10"/>
      <c r="E208" s="181"/>
      <c r="F208" s="88"/>
      <c r="G208" s="88"/>
      <c r="H208" s="88"/>
      <c r="I208" s="99"/>
      <c r="J208" s="63"/>
      <c r="K208" s="21"/>
      <c r="L208" s="21"/>
      <c r="M208" s="21"/>
      <c r="N208" s="21"/>
      <c r="O208" s="21"/>
      <c r="P208" s="21"/>
      <c r="Q208" s="21"/>
      <c r="R208" s="21"/>
      <c r="S208" s="21"/>
      <c r="T208" s="63"/>
      <c r="U208" s="94"/>
      <c r="V208" s="90"/>
      <c r="W208" s="91"/>
      <c r="X208" s="92"/>
    </row>
    <row r="209" spans="1:24" s="260" customFormat="1">
      <c r="A209" s="494">
        <v>0.05</v>
      </c>
      <c r="B209" s="87">
        <v>1</v>
      </c>
      <c r="C209" s="262">
        <v>45870</v>
      </c>
      <c r="D209" s="271" t="s">
        <v>978</v>
      </c>
      <c r="E209" s="264" t="s">
        <v>274</v>
      </c>
      <c r="F209" s="265">
        <v>8641</v>
      </c>
      <c r="G209" s="265">
        <f>39.7+(113.27)+750</f>
        <v>902.97</v>
      </c>
      <c r="H209" s="365"/>
      <c r="I209" s="272">
        <f>F209-G209-H209</f>
        <v>7738.03</v>
      </c>
      <c r="J209" s="267" t="s">
        <v>156</v>
      </c>
      <c r="K209" s="267">
        <v>1</v>
      </c>
      <c r="L209" s="267"/>
      <c r="M209" s="267">
        <v>1</v>
      </c>
      <c r="N209" s="267">
        <v>1</v>
      </c>
      <c r="O209" s="267">
        <v>1</v>
      </c>
      <c r="P209" s="267">
        <v>0</v>
      </c>
      <c r="Q209" s="267"/>
      <c r="R209" s="267"/>
      <c r="S209" s="269"/>
      <c r="T209" s="63"/>
      <c r="U209" s="94" t="s">
        <v>995</v>
      </c>
      <c r="V209" s="90">
        <f>754.59</f>
        <v>754.59</v>
      </c>
      <c r="W209" s="136"/>
      <c r="X209" s="137"/>
    </row>
    <row r="210" spans="1:24" s="260" customFormat="1">
      <c r="B210" s="11"/>
      <c r="C210" s="36"/>
      <c r="D210" s="10"/>
      <c r="E210" s="10"/>
      <c r="F210" s="98">
        <f>SUM(F209:F209)</f>
        <v>8641</v>
      </c>
      <c r="G210" s="98">
        <f>SUM(G209:G209)</f>
        <v>902.97</v>
      </c>
      <c r="H210" s="98">
        <f>SUM(H209:H209)</f>
        <v>0</v>
      </c>
      <c r="I210" s="98">
        <f>SUM(I209:I209)</f>
        <v>7738.03</v>
      </c>
      <c r="J210" s="63"/>
      <c r="K210" s="21"/>
      <c r="L210" s="21"/>
      <c r="M210" s="21"/>
      <c r="N210" s="21"/>
      <c r="O210" s="21"/>
      <c r="P210" s="21"/>
      <c r="Q210" s="21"/>
      <c r="R210" s="21"/>
      <c r="S210" s="21"/>
      <c r="T210" s="63"/>
      <c r="U210" s="94"/>
      <c r="V210" s="90"/>
      <c r="W210" s="91"/>
      <c r="X210" s="92"/>
    </row>
    <row r="211" spans="1:24" s="260" customFormat="1">
      <c r="B211" s="11"/>
      <c r="C211" s="36"/>
      <c r="D211" s="10"/>
      <c r="E211" s="10"/>
      <c r="F211" s="99"/>
      <c r="G211" s="99"/>
      <c r="H211" s="99"/>
      <c r="I211" s="99"/>
      <c r="J211" s="63"/>
      <c r="K211" s="21"/>
      <c r="L211" s="21"/>
      <c r="M211" s="21"/>
      <c r="N211" s="21"/>
      <c r="O211" s="21"/>
      <c r="P211" s="21"/>
      <c r="Q211" s="21"/>
      <c r="R211" s="21"/>
      <c r="S211" s="21"/>
      <c r="T211" s="63"/>
      <c r="U211" s="94"/>
      <c r="V211" s="90"/>
      <c r="W211" s="91"/>
      <c r="X211" s="92"/>
    </row>
    <row r="212" spans="1:24">
      <c r="A212" s="2"/>
      <c r="B212" s="100" t="s">
        <v>72</v>
      </c>
      <c r="C212" s="36"/>
      <c r="D212" s="10"/>
      <c r="E212" s="10"/>
      <c r="F212" s="88"/>
      <c r="G212" s="88"/>
      <c r="H212" s="88"/>
      <c r="I212" s="99"/>
      <c r="J212" s="63"/>
      <c r="K212" s="63"/>
      <c r="L212" s="63"/>
      <c r="M212" s="63"/>
      <c r="N212" s="63"/>
      <c r="O212" s="63"/>
      <c r="P212" s="63"/>
      <c r="Q212" s="63"/>
      <c r="R212" s="63"/>
      <c r="S212" s="63"/>
      <c r="T212" s="63"/>
      <c r="U212" s="10"/>
      <c r="V212" s="90"/>
      <c r="W212" s="91"/>
      <c r="X212" s="92"/>
    </row>
    <row r="213" spans="1:24">
      <c r="A213" s="2"/>
      <c r="B213" s="87">
        <v>1</v>
      </c>
      <c r="C213" s="274">
        <v>45880</v>
      </c>
      <c r="D213" s="276">
        <v>72239</v>
      </c>
      <c r="E213" s="276" t="s">
        <v>998</v>
      </c>
      <c r="F213" s="277">
        <v>1681</v>
      </c>
      <c r="G213" s="277">
        <f>39.7</f>
        <v>39.700000000000003</v>
      </c>
      <c r="H213" s="277"/>
      <c r="I213" s="278">
        <f t="shared" ref="I213:I215" si="56">F213-G213-H213</f>
        <v>1641.3</v>
      </c>
      <c r="J213" s="279" t="s">
        <v>205</v>
      </c>
      <c r="K213" s="279">
        <v>1</v>
      </c>
      <c r="L213" s="279"/>
      <c r="M213" s="279"/>
      <c r="N213" s="279">
        <v>1</v>
      </c>
      <c r="O213" s="279"/>
      <c r="P213" s="279"/>
      <c r="Q213" s="279"/>
      <c r="R213" s="279"/>
      <c r="S213" s="280"/>
      <c r="T213" s="63"/>
      <c r="U213" s="3"/>
      <c r="V213" s="90"/>
      <c r="W213" s="91"/>
      <c r="X213" s="92"/>
    </row>
    <row r="214" spans="1:24">
      <c r="A214" s="2"/>
      <c r="B214" s="87">
        <f t="shared" ref="B214:B216" si="57">B213+1</f>
        <v>2</v>
      </c>
      <c r="C214" s="274">
        <v>45883</v>
      </c>
      <c r="D214" s="276">
        <v>72346</v>
      </c>
      <c r="E214" s="276" t="s">
        <v>274</v>
      </c>
      <c r="F214" s="277">
        <v>2861</v>
      </c>
      <c r="G214" s="277">
        <v>39.700000000000003</v>
      </c>
      <c r="H214" s="277"/>
      <c r="I214" s="278">
        <f t="shared" si="56"/>
        <v>2821.3</v>
      </c>
      <c r="J214" s="279" t="s">
        <v>205</v>
      </c>
      <c r="K214" s="279">
        <v>1</v>
      </c>
      <c r="L214" s="279"/>
      <c r="M214" s="279"/>
      <c r="N214" s="279">
        <v>1</v>
      </c>
      <c r="O214" s="279"/>
      <c r="P214" s="279"/>
      <c r="Q214" s="279"/>
      <c r="R214" s="279"/>
      <c r="S214" s="280"/>
      <c r="T214" s="63"/>
      <c r="U214" s="10"/>
      <c r="V214" s="90"/>
      <c r="W214" s="136"/>
      <c r="X214" s="137"/>
    </row>
    <row r="215" spans="1:24">
      <c r="A215" s="2"/>
      <c r="B215" s="87">
        <f t="shared" si="57"/>
        <v>3</v>
      </c>
      <c r="C215" s="274">
        <v>45884</v>
      </c>
      <c r="D215" s="275" t="s">
        <v>1005</v>
      </c>
      <c r="E215" s="276" t="s">
        <v>1002</v>
      </c>
      <c r="F215" s="277">
        <v>12814</v>
      </c>
      <c r="G215" s="277">
        <f>39.7</f>
        <v>39.700000000000003</v>
      </c>
      <c r="H215" s="277"/>
      <c r="I215" s="278">
        <f t="shared" si="56"/>
        <v>12774.3</v>
      </c>
      <c r="J215" s="279" t="s">
        <v>205</v>
      </c>
      <c r="K215" s="279"/>
      <c r="L215" s="279"/>
      <c r="M215" s="279"/>
      <c r="N215" s="279">
        <v>1</v>
      </c>
      <c r="O215" s="279"/>
      <c r="P215" s="279"/>
      <c r="Q215" s="279"/>
      <c r="R215" s="279"/>
      <c r="S215" s="280"/>
      <c r="T215" s="63"/>
      <c r="U215" s="10"/>
      <c r="V215" s="90"/>
      <c r="W215" s="136"/>
      <c r="X215" s="137"/>
    </row>
    <row r="216" spans="1:24">
      <c r="A216" s="2"/>
      <c r="B216" s="87">
        <f t="shared" si="57"/>
        <v>4</v>
      </c>
      <c r="C216" s="282">
        <v>45884</v>
      </c>
      <c r="D216" s="302">
        <v>72304</v>
      </c>
      <c r="E216" s="283" t="s">
        <v>780</v>
      </c>
      <c r="F216" s="284">
        <v>0</v>
      </c>
      <c r="G216" s="284"/>
      <c r="H216" s="284"/>
      <c r="I216" s="285"/>
      <c r="J216" s="286" t="s">
        <v>219</v>
      </c>
      <c r="K216" s="286"/>
      <c r="L216" s="286"/>
      <c r="M216" s="286"/>
      <c r="N216" s="286"/>
      <c r="O216" s="286"/>
      <c r="P216" s="286"/>
      <c r="Q216" s="286"/>
      <c r="R216" s="286"/>
      <c r="S216" s="287"/>
      <c r="T216" s="63"/>
      <c r="U216" s="10" t="s">
        <v>1006</v>
      </c>
      <c r="V216" s="90"/>
      <c r="W216" s="136"/>
      <c r="X216" s="137"/>
    </row>
    <row r="217" spans="1:24">
      <c r="A217" s="2"/>
      <c r="B217" s="11"/>
      <c r="C217" s="36"/>
      <c r="D217" s="10"/>
      <c r="E217" s="10"/>
      <c r="F217" s="97">
        <f>SUM(F213:F216)</f>
        <v>17356</v>
      </c>
      <c r="G217" s="97">
        <f>SUM(G213:G216)</f>
        <v>119.10000000000001</v>
      </c>
      <c r="H217" s="97">
        <f>SUM(H213:H216)</f>
        <v>0</v>
      </c>
      <c r="I217" s="97">
        <f>SUM(I213:I216)</f>
        <v>17236.900000000001</v>
      </c>
      <c r="J217" s="10"/>
      <c r="K217" s="10"/>
      <c r="L217" s="10"/>
      <c r="M217" s="10"/>
      <c r="N217" s="10"/>
      <c r="O217" s="10"/>
      <c r="P217" s="10"/>
      <c r="Q217" s="10"/>
      <c r="R217" s="10"/>
      <c r="S217" s="10"/>
      <c r="T217" s="63"/>
      <c r="U217" s="10"/>
      <c r="V217" s="138"/>
      <c r="W217" s="136"/>
      <c r="X217" s="137"/>
    </row>
    <row r="218" spans="1:24">
      <c r="A218" s="2"/>
      <c r="B218" s="26"/>
      <c r="C218" s="140"/>
      <c r="D218" s="141"/>
      <c r="E218" s="141"/>
      <c r="F218" s="141"/>
      <c r="G218" s="141"/>
      <c r="H218" s="141"/>
      <c r="I218" s="141"/>
      <c r="J218" s="141"/>
      <c r="K218" s="142"/>
      <c r="L218" s="142"/>
      <c r="M218" s="142"/>
      <c r="N218" s="142"/>
      <c r="O218" s="142"/>
      <c r="P218" s="142"/>
      <c r="Q218" s="142"/>
      <c r="R218" s="142"/>
      <c r="S218" s="142"/>
      <c r="T218" s="143">
        <f>SUM(T197:T217)</f>
        <v>2</v>
      </c>
      <c r="U218" s="141"/>
      <c r="V218" s="144">
        <f>SUM(V197:V217)</f>
        <v>4570.0599999999995</v>
      </c>
      <c r="W218" s="145">
        <f>SUM(W197:W217)</f>
        <v>1100</v>
      </c>
      <c r="X218" s="146">
        <f>SUM(X197:X217)</f>
        <v>0</v>
      </c>
    </row>
    <row r="221" spans="1:24">
      <c r="A221" s="3"/>
      <c r="B221" s="4" t="s">
        <v>1</v>
      </c>
      <c r="C221" s="5"/>
      <c r="D221" s="6"/>
      <c r="E221" s="6"/>
      <c r="F221" s="7" t="s">
        <v>2</v>
      </c>
      <c r="G221" s="8">
        <v>45893</v>
      </c>
      <c r="H221" s="7"/>
      <c r="I221" s="6"/>
      <c r="J221" s="6"/>
      <c r="K221" s="6"/>
      <c r="L221" s="6"/>
      <c r="M221" s="6"/>
      <c r="N221" s="6"/>
      <c r="O221" s="6"/>
      <c r="P221" s="6"/>
      <c r="Q221" s="6"/>
      <c r="R221" s="6"/>
      <c r="S221" s="6"/>
      <c r="T221" s="6"/>
      <c r="U221" s="9"/>
      <c r="V221" s="10"/>
      <c r="W221" s="10"/>
      <c r="X221" s="10"/>
    </row>
    <row r="222" spans="1:24">
      <c r="A222" s="2"/>
      <c r="B222" s="11"/>
      <c r="C222" s="10"/>
      <c r="D222" s="10"/>
      <c r="E222" s="10"/>
      <c r="F222" s="10"/>
      <c r="G222" s="7"/>
      <c r="H222" s="12"/>
      <c r="I222" s="10"/>
      <c r="J222" s="10"/>
      <c r="K222" s="13" t="s">
        <v>3</v>
      </c>
      <c r="L222" s="14"/>
      <c r="M222" s="15"/>
      <c r="N222" s="13" t="s">
        <v>4</v>
      </c>
      <c r="O222" s="14"/>
      <c r="P222" s="15"/>
      <c r="Q222" s="13" t="s">
        <v>5</v>
      </c>
      <c r="R222" s="14"/>
      <c r="S222" s="15"/>
      <c r="T222" s="16"/>
      <c r="U222" s="17"/>
      <c r="V222" s="10"/>
      <c r="W222" s="10"/>
      <c r="X222" s="10"/>
    </row>
    <row r="223" spans="1:24">
      <c r="A223" s="2"/>
      <c r="B223" s="18" t="s">
        <v>6</v>
      </c>
      <c r="C223" s="19">
        <f>C224+C225</f>
        <v>15</v>
      </c>
      <c r="D223" s="10"/>
      <c r="E223" s="18" t="s">
        <v>7</v>
      </c>
      <c r="F223" s="6"/>
      <c r="G223" s="9"/>
      <c r="H223" s="10"/>
      <c r="I223" s="10"/>
      <c r="J223" s="10"/>
      <c r="K223" s="20" t="s">
        <v>8</v>
      </c>
      <c r="L223" s="21" t="s">
        <v>9</v>
      </c>
      <c r="M223" s="21" t="s">
        <v>10</v>
      </c>
      <c r="N223" s="20" t="s">
        <v>11</v>
      </c>
      <c r="O223" s="21" t="s">
        <v>12</v>
      </c>
      <c r="P223" s="22" t="s">
        <v>13</v>
      </c>
      <c r="Q223" s="21" t="s">
        <v>11</v>
      </c>
      <c r="R223" s="21" t="s">
        <v>12</v>
      </c>
      <c r="S223" s="22" t="s">
        <v>13</v>
      </c>
      <c r="T223" s="23" t="s">
        <v>14</v>
      </c>
      <c r="U223" s="17"/>
      <c r="V223" s="10"/>
      <c r="W223" s="10"/>
      <c r="X223" s="10"/>
    </row>
    <row r="224" spans="1:24">
      <c r="A224" s="2"/>
      <c r="B224" s="24" t="s">
        <v>15</v>
      </c>
      <c r="C224" s="25">
        <f>P231</f>
        <v>6</v>
      </c>
      <c r="D224" s="10"/>
      <c r="E224" s="26" t="s">
        <v>16</v>
      </c>
      <c r="F224" s="27">
        <v>0.05</v>
      </c>
      <c r="G224" s="28"/>
      <c r="H224" s="10"/>
      <c r="I224" s="10"/>
      <c r="J224" s="18" t="s">
        <v>17</v>
      </c>
      <c r="K224" s="29">
        <f>K254</f>
        <v>5</v>
      </c>
      <c r="L224" s="29">
        <f t="shared" ref="L224:S224" si="58">L254</f>
        <v>5</v>
      </c>
      <c r="M224" s="29">
        <f t="shared" si="58"/>
        <v>5</v>
      </c>
      <c r="N224" s="29">
        <f t="shared" si="58"/>
        <v>5</v>
      </c>
      <c r="O224" s="29">
        <f t="shared" si="58"/>
        <v>5</v>
      </c>
      <c r="P224" s="29">
        <f t="shared" si="58"/>
        <v>5</v>
      </c>
      <c r="Q224" s="29">
        <f t="shared" si="58"/>
        <v>5</v>
      </c>
      <c r="R224" s="29">
        <f t="shared" si="58"/>
        <v>5</v>
      </c>
      <c r="S224" s="29">
        <f t="shared" si="58"/>
        <v>4</v>
      </c>
      <c r="T224" s="30">
        <f>T275</f>
        <v>2</v>
      </c>
      <c r="U224" s="17" t="s">
        <v>997</v>
      </c>
      <c r="V224" s="10"/>
      <c r="W224" s="10"/>
      <c r="X224" s="10"/>
    </row>
    <row r="225" spans="1:24">
      <c r="A225" s="2"/>
      <c r="B225" s="24" t="s">
        <v>18</v>
      </c>
      <c r="C225" s="25">
        <f>P232</f>
        <v>9</v>
      </c>
      <c r="D225" s="10"/>
      <c r="E225" s="10"/>
      <c r="F225" s="10"/>
      <c r="G225" s="31"/>
      <c r="H225" s="10"/>
      <c r="I225" s="10"/>
      <c r="J225" s="32" t="s">
        <v>19</v>
      </c>
      <c r="K225" s="33">
        <f>K254/K253</f>
        <v>1</v>
      </c>
      <c r="L225" s="33">
        <f t="shared" ref="L225:S225" si="59">L254/L253</f>
        <v>1</v>
      </c>
      <c r="M225" s="33">
        <f t="shared" si="59"/>
        <v>1</v>
      </c>
      <c r="N225" s="33">
        <f t="shared" si="59"/>
        <v>1</v>
      </c>
      <c r="O225" s="33">
        <f t="shared" si="59"/>
        <v>1</v>
      </c>
      <c r="P225" s="33">
        <f t="shared" si="59"/>
        <v>1</v>
      </c>
      <c r="Q225" s="33">
        <f t="shared" si="59"/>
        <v>1</v>
      </c>
      <c r="R225" s="33">
        <f t="shared" si="59"/>
        <v>1</v>
      </c>
      <c r="S225" s="33">
        <f t="shared" si="59"/>
        <v>0.8</v>
      </c>
      <c r="T225" s="23"/>
      <c r="U225" s="17" t="s">
        <v>20</v>
      </c>
      <c r="V225" s="10"/>
      <c r="W225" s="10"/>
      <c r="X225" s="10"/>
    </row>
    <row r="226" spans="1:24">
      <c r="A226" s="2"/>
      <c r="B226" s="24" t="s">
        <v>21</v>
      </c>
      <c r="C226" s="34">
        <f>P233</f>
        <v>0.4</v>
      </c>
      <c r="D226" s="10"/>
      <c r="E226" s="10"/>
      <c r="F226" s="10"/>
      <c r="G226" s="10"/>
      <c r="H226" s="10"/>
      <c r="I226" s="10"/>
      <c r="J226" s="10"/>
      <c r="K226" s="10"/>
      <c r="L226" s="10"/>
      <c r="M226" s="10"/>
      <c r="N226" s="10"/>
      <c r="O226" s="10"/>
      <c r="P226" s="10"/>
      <c r="Q226" s="10"/>
      <c r="R226" s="10"/>
      <c r="S226" s="10"/>
      <c r="T226" s="10"/>
      <c r="U226" s="17"/>
      <c r="V226" s="10"/>
      <c r="W226" s="10"/>
      <c r="X226" s="10"/>
    </row>
    <row r="227" spans="1:24">
      <c r="A227" s="2"/>
      <c r="B227" s="24"/>
      <c r="C227" s="25"/>
      <c r="D227" s="10"/>
      <c r="E227" s="10"/>
      <c r="F227" s="18" t="s">
        <v>22</v>
      </c>
      <c r="G227" s="19" t="s">
        <v>23</v>
      </c>
      <c r="H227" s="35" t="s">
        <v>24</v>
      </c>
      <c r="I227" s="10"/>
      <c r="J227" s="10"/>
      <c r="K227" s="36"/>
      <c r="L227" s="36"/>
      <c r="M227" s="36"/>
      <c r="N227" s="36"/>
      <c r="O227" s="36"/>
      <c r="P227" s="36"/>
      <c r="Q227" s="36"/>
      <c r="R227" s="10"/>
      <c r="S227" s="10"/>
      <c r="T227" s="10"/>
      <c r="U227" s="17"/>
      <c r="V227" s="10"/>
      <c r="W227" s="10"/>
      <c r="X227" s="10"/>
    </row>
    <row r="228" spans="1:24">
      <c r="A228" s="2"/>
      <c r="B228" s="32" t="s">
        <v>25</v>
      </c>
      <c r="C228" s="37">
        <f>P234</f>
        <v>2081.021666666667</v>
      </c>
      <c r="D228" s="10"/>
      <c r="E228" s="18" t="s">
        <v>26</v>
      </c>
      <c r="F228" s="38">
        <f>P230</f>
        <v>12486.130000000001</v>
      </c>
      <c r="G228" s="39">
        <f>I253+I257</f>
        <v>12486.130000000001</v>
      </c>
      <c r="H228" s="40"/>
      <c r="I228" s="41"/>
      <c r="J228" s="42"/>
      <c r="K228" s="43" t="s">
        <v>27</v>
      </c>
      <c r="L228" s="44"/>
      <c r="M228" s="44"/>
      <c r="N228" s="44"/>
      <c r="O228" s="44"/>
      <c r="P228" s="44"/>
      <c r="Q228" s="45"/>
      <c r="R228" s="46" t="s">
        <v>28</v>
      </c>
      <c r="S228" s="47" t="s">
        <v>29</v>
      </c>
      <c r="T228" s="10"/>
      <c r="U228" s="17"/>
      <c r="V228" s="10"/>
      <c r="W228" s="10"/>
      <c r="X228" s="10"/>
    </row>
    <row r="229" spans="1:24">
      <c r="A229" s="2"/>
      <c r="B229" s="11"/>
      <c r="C229" s="10"/>
      <c r="D229" s="10"/>
      <c r="E229" s="24" t="s">
        <v>30</v>
      </c>
      <c r="F229" s="48">
        <f>F224</f>
        <v>0.05</v>
      </c>
      <c r="G229" s="17"/>
      <c r="H229" s="40"/>
      <c r="I229" s="41"/>
      <c r="J229" s="42"/>
      <c r="K229" s="20" t="s">
        <v>31</v>
      </c>
      <c r="L229" s="21" t="s">
        <v>32</v>
      </c>
      <c r="M229" s="21" t="s">
        <v>33</v>
      </c>
      <c r="N229" s="21" t="s">
        <v>34</v>
      </c>
      <c r="O229" s="21" t="s">
        <v>35</v>
      </c>
      <c r="P229" s="21" t="s">
        <v>36</v>
      </c>
      <c r="Q229" s="49" t="s">
        <v>37</v>
      </c>
      <c r="R229" s="50" t="s">
        <v>38</v>
      </c>
      <c r="S229" s="50" t="s">
        <v>38</v>
      </c>
      <c r="T229" s="10"/>
      <c r="U229" s="17"/>
      <c r="V229" s="10"/>
      <c r="W229" s="10"/>
      <c r="X229" s="10"/>
    </row>
    <row r="230" spans="1:24">
      <c r="A230" s="2"/>
      <c r="B230" s="11"/>
      <c r="C230" s="10"/>
      <c r="D230" s="10"/>
      <c r="E230" s="51" t="s">
        <v>39</v>
      </c>
      <c r="F230" s="52">
        <f>(F228-I256)*F229</f>
        <v>377.16150000000005</v>
      </c>
      <c r="G230" s="53" t="s">
        <v>40</v>
      </c>
      <c r="H230" s="54">
        <f>F230/1.12</f>
        <v>336.75133928571432</v>
      </c>
      <c r="I230" s="55"/>
      <c r="J230" s="42"/>
      <c r="K230" s="56">
        <f>I249+I248+I256</f>
        <v>10095.040000000001</v>
      </c>
      <c r="L230" s="57">
        <f>I250+I251</f>
        <v>1406.5900000000001</v>
      </c>
      <c r="M230" s="57"/>
      <c r="N230" s="57">
        <f>I252</f>
        <v>984.5</v>
      </c>
      <c r="O230" s="57">
        <v>0</v>
      </c>
      <c r="P230" s="57">
        <f>SUM(K230:O230)</f>
        <v>12486.130000000001</v>
      </c>
      <c r="Q230" s="58">
        <v>0</v>
      </c>
      <c r="R230" s="59">
        <f>I257</f>
        <v>4942.9000000000005</v>
      </c>
      <c r="S230" s="59">
        <v>0</v>
      </c>
      <c r="T230" s="10"/>
      <c r="U230" s="17"/>
      <c r="V230" s="10"/>
      <c r="W230" s="10"/>
      <c r="X230" s="10"/>
    </row>
    <row r="231" spans="1:24">
      <c r="A231" s="2"/>
      <c r="B231" s="11"/>
      <c r="C231" s="10"/>
      <c r="D231" s="10"/>
      <c r="E231" s="24" t="s">
        <v>41</v>
      </c>
      <c r="F231" s="60">
        <f>Q230</f>
        <v>0</v>
      </c>
      <c r="G231" s="61" t="s">
        <v>40</v>
      </c>
      <c r="H231" s="62"/>
      <c r="I231" s="62"/>
      <c r="J231" s="10" t="s">
        <v>42</v>
      </c>
      <c r="K231" s="63">
        <v>3</v>
      </c>
      <c r="L231" s="63">
        <v>2</v>
      </c>
      <c r="M231" s="63"/>
      <c r="N231" s="63">
        <v>1</v>
      </c>
      <c r="O231" s="63">
        <v>0</v>
      </c>
      <c r="P231" s="21">
        <f>SUM(K231:O231)</f>
        <v>6</v>
      </c>
      <c r="Q231" s="64"/>
      <c r="R231" s="63"/>
      <c r="S231" s="10"/>
      <c r="T231" s="10"/>
      <c r="U231" s="17"/>
      <c r="V231" s="10"/>
      <c r="W231" s="10"/>
      <c r="X231" s="10"/>
    </row>
    <row r="232" spans="1:24">
      <c r="A232" s="2"/>
      <c r="B232" s="11"/>
      <c r="C232" s="10"/>
      <c r="D232" s="10"/>
      <c r="E232" s="51" t="s">
        <v>43</v>
      </c>
      <c r="F232" s="52">
        <f>F231*0.25</f>
        <v>0</v>
      </c>
      <c r="G232" s="53" t="s">
        <v>40</v>
      </c>
      <c r="H232" s="54">
        <f>F232/1.12</f>
        <v>0</v>
      </c>
      <c r="I232" s="10"/>
      <c r="J232" s="10" t="s">
        <v>44</v>
      </c>
      <c r="K232" s="63">
        <v>2</v>
      </c>
      <c r="L232" s="63">
        <v>3</v>
      </c>
      <c r="M232" s="63"/>
      <c r="N232" s="63">
        <v>2</v>
      </c>
      <c r="O232" s="63">
        <v>2</v>
      </c>
      <c r="P232" s="21">
        <f>SUM(K232:O232)</f>
        <v>9</v>
      </c>
      <c r="Q232" s="64"/>
      <c r="R232" s="63"/>
      <c r="S232" s="10"/>
      <c r="T232" s="10"/>
      <c r="U232" s="17"/>
      <c r="V232" s="10"/>
      <c r="W232" s="10"/>
      <c r="X232" s="10"/>
    </row>
    <row r="233" spans="1:24">
      <c r="A233" s="2"/>
      <c r="B233" s="11"/>
      <c r="C233" s="10"/>
      <c r="D233" s="10"/>
      <c r="E233" s="24" t="s">
        <v>45</v>
      </c>
      <c r="F233" s="60"/>
      <c r="G233" s="61" t="s">
        <v>40</v>
      </c>
      <c r="H233" s="62"/>
      <c r="I233" s="10"/>
      <c r="J233" s="10" t="s">
        <v>46</v>
      </c>
      <c r="K233" s="31">
        <f t="shared" ref="K233:Q233" si="60">K231/(K231+K232)</f>
        <v>0.6</v>
      </c>
      <c r="L233" s="31">
        <f t="shared" si="60"/>
        <v>0.4</v>
      </c>
      <c r="M233" s="31" t="e">
        <f t="shared" si="60"/>
        <v>#DIV/0!</v>
      </c>
      <c r="N233" s="31">
        <f t="shared" si="60"/>
        <v>0.33333333333333331</v>
      </c>
      <c r="O233" s="31">
        <f t="shared" si="60"/>
        <v>0</v>
      </c>
      <c r="P233" s="31">
        <f t="shared" si="60"/>
        <v>0.4</v>
      </c>
      <c r="Q233" s="31" t="e">
        <f t="shared" si="60"/>
        <v>#DIV/0!</v>
      </c>
      <c r="R233" s="63"/>
      <c r="S233" s="10"/>
      <c r="T233" s="10"/>
      <c r="U233" s="17"/>
      <c r="V233" s="10"/>
      <c r="W233" s="10"/>
      <c r="X233" s="10"/>
    </row>
    <row r="234" spans="1:24">
      <c r="A234" s="2"/>
      <c r="B234" s="11"/>
      <c r="C234" s="10"/>
      <c r="D234" s="10"/>
      <c r="E234" s="51" t="s">
        <v>47</v>
      </c>
      <c r="F234" s="52">
        <f>F233*0.05</f>
        <v>0</v>
      </c>
      <c r="G234" s="65" t="s">
        <v>40</v>
      </c>
      <c r="H234" s="54">
        <f>F234/1.12</f>
        <v>0</v>
      </c>
      <c r="I234" s="42"/>
      <c r="J234" s="10" t="s">
        <v>48</v>
      </c>
      <c r="K234" s="66">
        <f>K230/K231</f>
        <v>3365.0133333333338</v>
      </c>
      <c r="L234" s="66">
        <f t="shared" ref="L234:Q234" si="61">L230/L231</f>
        <v>703.29500000000007</v>
      </c>
      <c r="M234" s="66" t="e">
        <f t="shared" si="61"/>
        <v>#DIV/0!</v>
      </c>
      <c r="N234" s="66">
        <f t="shared" si="61"/>
        <v>984.5</v>
      </c>
      <c r="O234" s="66" t="e">
        <f t="shared" si="61"/>
        <v>#DIV/0!</v>
      </c>
      <c r="P234" s="66">
        <f t="shared" si="61"/>
        <v>2081.021666666667</v>
      </c>
      <c r="Q234" s="66" t="e">
        <f t="shared" si="61"/>
        <v>#DIV/0!</v>
      </c>
      <c r="R234" s="63"/>
      <c r="S234" s="10"/>
      <c r="T234" s="10"/>
      <c r="U234" s="17"/>
      <c r="V234" s="10"/>
      <c r="W234" s="10"/>
      <c r="X234" s="10"/>
    </row>
    <row r="235" spans="1:24">
      <c r="A235" s="2"/>
      <c r="B235" s="11"/>
      <c r="C235" s="10"/>
      <c r="D235" s="10"/>
      <c r="E235" s="67" t="s">
        <v>14</v>
      </c>
      <c r="F235" s="68">
        <f>3*50/2</f>
        <v>75</v>
      </c>
      <c r="G235" s="10"/>
      <c r="H235" s="54">
        <f>F235/1.12</f>
        <v>66.964285714285708</v>
      </c>
      <c r="I235" s="10"/>
      <c r="J235" s="10"/>
      <c r="K235" s="10"/>
      <c r="L235" s="10"/>
      <c r="M235" s="10"/>
      <c r="N235" s="10"/>
      <c r="O235" s="10"/>
      <c r="P235" s="10"/>
      <c r="Q235" s="10"/>
      <c r="R235" s="10"/>
      <c r="S235" s="10"/>
      <c r="T235" s="10"/>
      <c r="U235" s="17"/>
      <c r="V235" s="10"/>
      <c r="W235" s="10"/>
      <c r="X235" s="10"/>
    </row>
    <row r="236" spans="1:24">
      <c r="A236" s="2"/>
      <c r="B236" s="11"/>
      <c r="C236" s="10"/>
      <c r="D236" s="10"/>
      <c r="E236" s="155" t="s">
        <v>49</v>
      </c>
      <c r="F236" s="364">
        <f>T225</f>
        <v>0</v>
      </c>
      <c r="G236" s="10"/>
      <c r="H236" s="54"/>
      <c r="I236" s="55"/>
      <c r="J236" s="42"/>
      <c r="K236" s="764" t="s">
        <v>50</v>
      </c>
      <c r="L236" s="765"/>
      <c r="M236" s="765"/>
      <c r="N236" s="765"/>
      <c r="O236" s="765"/>
      <c r="P236" s="765"/>
      <c r="Q236" s="766"/>
      <c r="R236" s="70" t="s">
        <v>28</v>
      </c>
      <c r="S236" s="71" t="s">
        <v>29</v>
      </c>
      <c r="T236" s="10"/>
      <c r="U236" s="17"/>
      <c r="V236" s="10"/>
      <c r="W236" s="10"/>
      <c r="X236" s="10"/>
    </row>
    <row r="237" spans="1:24">
      <c r="A237" s="2"/>
      <c r="B237" s="11"/>
      <c r="C237" s="10"/>
      <c r="D237" s="10"/>
      <c r="E237" s="12"/>
      <c r="F237" s="76"/>
      <c r="G237" s="10"/>
      <c r="H237" s="10"/>
      <c r="I237" s="10"/>
      <c r="J237" s="42"/>
      <c r="K237" s="20" t="s">
        <v>31</v>
      </c>
      <c r="L237" s="21" t="s">
        <v>32</v>
      </c>
      <c r="M237" s="21" t="s">
        <v>33</v>
      </c>
      <c r="N237" s="21" t="s">
        <v>34</v>
      </c>
      <c r="O237" s="21" t="s">
        <v>35</v>
      </c>
      <c r="P237" s="21" t="s">
        <v>36</v>
      </c>
      <c r="Q237" s="49" t="s">
        <v>37</v>
      </c>
      <c r="R237" s="50" t="s">
        <v>38</v>
      </c>
      <c r="S237" s="50" t="s">
        <v>38</v>
      </c>
      <c r="T237" s="10"/>
      <c r="U237" s="17"/>
      <c r="V237" s="10"/>
      <c r="W237" s="10"/>
      <c r="X237" s="10"/>
    </row>
    <row r="238" spans="1:24">
      <c r="A238" s="2"/>
      <c r="B238" s="11"/>
      <c r="C238" s="10"/>
      <c r="D238" s="10"/>
      <c r="E238" s="10"/>
      <c r="F238" s="10"/>
      <c r="G238" s="10"/>
      <c r="H238" s="10"/>
      <c r="I238" s="10"/>
      <c r="J238" s="42"/>
      <c r="K238" s="56">
        <f>F249+F248+F256</f>
        <v>13195.6</v>
      </c>
      <c r="L238" s="57">
        <f>F250+F251</f>
        <v>1495</v>
      </c>
      <c r="M238" s="57"/>
      <c r="N238" s="57">
        <f>F252</f>
        <v>1024.2</v>
      </c>
      <c r="O238" s="57"/>
      <c r="P238" s="57">
        <f>SUM(K238:O238)</f>
        <v>15714.800000000001</v>
      </c>
      <c r="Q238" s="58">
        <v>0</v>
      </c>
      <c r="R238" s="59">
        <f>F257</f>
        <v>5232.6000000000004</v>
      </c>
      <c r="S238" s="59">
        <v>0</v>
      </c>
      <c r="T238" s="10"/>
      <c r="U238" s="17"/>
      <c r="V238" s="10"/>
      <c r="W238" s="10"/>
      <c r="X238" s="10"/>
    </row>
    <row r="239" spans="1:24">
      <c r="A239" s="2"/>
      <c r="B239" s="11"/>
      <c r="C239" s="10"/>
      <c r="D239" s="10"/>
      <c r="E239" s="10"/>
      <c r="F239" s="10"/>
      <c r="G239" s="10"/>
      <c r="H239" s="10"/>
      <c r="I239" s="10"/>
      <c r="J239" s="10" t="s">
        <v>42</v>
      </c>
      <c r="K239" s="63">
        <f>K231</f>
        <v>3</v>
      </c>
      <c r="L239" s="63">
        <f t="shared" ref="L239:Q240" si="62">L231</f>
        <v>2</v>
      </c>
      <c r="M239" s="63">
        <f t="shared" si="62"/>
        <v>0</v>
      </c>
      <c r="N239" s="63">
        <f t="shared" si="62"/>
        <v>1</v>
      </c>
      <c r="O239" s="63">
        <f t="shared" si="62"/>
        <v>0</v>
      </c>
      <c r="P239" s="63">
        <f t="shared" si="62"/>
        <v>6</v>
      </c>
      <c r="Q239" s="63">
        <f t="shared" si="62"/>
        <v>0</v>
      </c>
      <c r="R239" s="63"/>
      <c r="S239" s="10"/>
      <c r="T239" s="10"/>
      <c r="U239" s="17"/>
      <c r="V239" s="10"/>
      <c r="W239" s="10"/>
      <c r="X239" s="10"/>
    </row>
    <row r="240" spans="1:24">
      <c r="A240" s="2"/>
      <c r="B240" s="11"/>
      <c r="C240" s="10"/>
      <c r="D240" s="10"/>
      <c r="E240" s="10"/>
      <c r="F240" s="10"/>
      <c r="G240" s="10"/>
      <c r="H240" s="10"/>
      <c r="I240" s="10"/>
      <c r="J240" s="10" t="s">
        <v>44</v>
      </c>
      <c r="K240" s="63">
        <f>K232</f>
        <v>2</v>
      </c>
      <c r="L240" s="63">
        <f t="shared" si="62"/>
        <v>3</v>
      </c>
      <c r="M240" s="63">
        <f t="shared" si="62"/>
        <v>0</v>
      </c>
      <c r="N240" s="63">
        <f t="shared" si="62"/>
        <v>2</v>
      </c>
      <c r="O240" s="63">
        <f t="shared" si="62"/>
        <v>2</v>
      </c>
      <c r="P240" s="63">
        <f t="shared" si="62"/>
        <v>9</v>
      </c>
      <c r="Q240" s="63">
        <f t="shared" si="62"/>
        <v>0</v>
      </c>
      <c r="R240" s="63"/>
      <c r="S240" s="10"/>
      <c r="T240" s="10"/>
      <c r="U240" s="17"/>
      <c r="V240" s="10"/>
      <c r="W240" s="10"/>
      <c r="X240" s="10"/>
    </row>
    <row r="241" spans="1:24">
      <c r="A241" s="2"/>
      <c r="B241" s="11"/>
      <c r="C241" s="10"/>
      <c r="D241" s="10"/>
      <c r="E241" s="12"/>
      <c r="F241" s="76"/>
      <c r="G241" s="10"/>
      <c r="H241" s="10"/>
      <c r="I241" s="10"/>
      <c r="J241" s="10" t="s">
        <v>46</v>
      </c>
      <c r="K241" s="31">
        <f t="shared" ref="K241:Q241" si="63">K239/(K239+K240)</f>
        <v>0.6</v>
      </c>
      <c r="L241" s="31">
        <f t="shared" si="63"/>
        <v>0.4</v>
      </c>
      <c r="M241" s="31" t="e">
        <f t="shared" si="63"/>
        <v>#DIV/0!</v>
      </c>
      <c r="N241" s="31">
        <f t="shared" si="63"/>
        <v>0.33333333333333331</v>
      </c>
      <c r="O241" s="31">
        <f t="shared" si="63"/>
        <v>0</v>
      </c>
      <c r="P241" s="31">
        <f t="shared" si="63"/>
        <v>0.4</v>
      </c>
      <c r="Q241" s="31" t="e">
        <f t="shared" si="63"/>
        <v>#DIV/0!</v>
      </c>
      <c r="R241" s="63"/>
      <c r="S241" s="10"/>
      <c r="T241" s="10"/>
      <c r="U241" s="17"/>
      <c r="V241" s="10"/>
      <c r="W241" s="10"/>
      <c r="X241" s="10"/>
    </row>
    <row r="242" spans="1:24">
      <c r="A242" s="2"/>
      <c r="B242" s="11"/>
      <c r="C242" s="10"/>
      <c r="D242" s="10"/>
      <c r="E242" s="10"/>
      <c r="F242" s="10"/>
      <c r="G242" s="10"/>
      <c r="H242" s="10"/>
      <c r="I242" s="10"/>
      <c r="J242" s="10" t="s">
        <v>48</v>
      </c>
      <c r="K242" s="66">
        <f t="shared" ref="K242:Q242" si="64">K238/K239</f>
        <v>4398.5333333333338</v>
      </c>
      <c r="L242" s="66">
        <f t="shared" si="64"/>
        <v>747.5</v>
      </c>
      <c r="M242" s="66" t="e">
        <f t="shared" si="64"/>
        <v>#DIV/0!</v>
      </c>
      <c r="N242" s="66">
        <f t="shared" si="64"/>
        <v>1024.2</v>
      </c>
      <c r="O242" s="66" t="e">
        <f t="shared" si="64"/>
        <v>#DIV/0!</v>
      </c>
      <c r="P242" s="66">
        <f t="shared" si="64"/>
        <v>2619.1333333333337</v>
      </c>
      <c r="Q242" s="66" t="e">
        <f t="shared" si="64"/>
        <v>#DIV/0!</v>
      </c>
      <c r="R242" s="63"/>
      <c r="S242" s="10"/>
      <c r="T242" s="10"/>
      <c r="U242" s="17"/>
      <c r="V242" s="10"/>
      <c r="W242" s="10"/>
      <c r="X242" s="10"/>
    </row>
    <row r="243" spans="1:24">
      <c r="A243" s="2"/>
      <c r="B243" s="11"/>
      <c r="C243" s="10"/>
      <c r="D243" s="10"/>
      <c r="E243" s="10"/>
      <c r="F243" s="10"/>
      <c r="G243" s="10"/>
      <c r="H243" s="10"/>
      <c r="I243" s="10"/>
      <c r="J243" s="10"/>
      <c r="K243" s="10"/>
      <c r="L243" s="10"/>
      <c r="M243" s="10"/>
      <c r="N243" s="10"/>
      <c r="O243" s="10"/>
      <c r="P243" s="10"/>
      <c r="Q243" s="10"/>
      <c r="R243" s="10"/>
      <c r="S243" s="10"/>
      <c r="T243" s="10"/>
      <c r="U243" s="17"/>
      <c r="V243" s="10"/>
      <c r="W243" s="10"/>
      <c r="X243" s="10"/>
    </row>
    <row r="244" spans="1:24">
      <c r="A244" s="2"/>
      <c r="B244" s="11"/>
      <c r="C244" s="10"/>
      <c r="D244" s="10"/>
      <c r="E244" s="10"/>
      <c r="F244" s="10"/>
      <c r="G244" s="10"/>
      <c r="H244" s="10"/>
      <c r="I244" s="10"/>
      <c r="J244" s="10"/>
      <c r="K244" s="10"/>
      <c r="L244" s="10"/>
      <c r="M244" s="10"/>
      <c r="N244" s="10"/>
      <c r="O244" s="10"/>
      <c r="P244" s="10"/>
      <c r="Q244" s="10"/>
      <c r="R244" s="10"/>
      <c r="S244" s="10"/>
      <c r="T244" s="10"/>
      <c r="U244" s="17"/>
      <c r="V244" s="10"/>
      <c r="W244" s="10"/>
      <c r="X244" s="10"/>
    </row>
    <row r="245" spans="1:24">
      <c r="A245" s="2"/>
      <c r="B245" s="18" t="s">
        <v>51</v>
      </c>
      <c r="C245" s="14"/>
      <c r="D245" s="14"/>
      <c r="E245" s="14"/>
      <c r="F245" s="13" t="s">
        <v>52</v>
      </c>
      <c r="G245" s="14"/>
      <c r="H245" s="14"/>
      <c r="I245" s="14"/>
      <c r="J245" s="14"/>
      <c r="K245" s="13" t="s">
        <v>3</v>
      </c>
      <c r="L245" s="14"/>
      <c r="M245" s="14"/>
      <c r="N245" s="13" t="s">
        <v>4</v>
      </c>
      <c r="O245" s="14"/>
      <c r="P245" s="14"/>
      <c r="Q245" s="13" t="s">
        <v>5</v>
      </c>
      <c r="R245" s="14"/>
      <c r="S245" s="14"/>
      <c r="T245" s="18"/>
      <c r="U245" s="16" t="s">
        <v>53</v>
      </c>
      <c r="V245" s="77"/>
      <c r="W245" s="77"/>
      <c r="X245" s="77"/>
    </row>
    <row r="246" spans="1:24">
      <c r="A246" s="2"/>
      <c r="B246" s="24" t="s">
        <v>54</v>
      </c>
      <c r="C246" s="21" t="s">
        <v>55</v>
      </c>
      <c r="D246" s="21" t="s">
        <v>56</v>
      </c>
      <c r="E246" s="21" t="s">
        <v>57</v>
      </c>
      <c r="F246" s="20" t="s">
        <v>58</v>
      </c>
      <c r="G246" s="21" t="s">
        <v>59</v>
      </c>
      <c r="H246" s="21" t="s">
        <v>60</v>
      </c>
      <c r="I246" s="21" t="s">
        <v>26</v>
      </c>
      <c r="J246" s="22" t="s">
        <v>61</v>
      </c>
      <c r="K246" s="21" t="s">
        <v>8</v>
      </c>
      <c r="L246" s="21" t="s">
        <v>9</v>
      </c>
      <c r="M246" s="21" t="s">
        <v>10</v>
      </c>
      <c r="N246" s="20" t="s">
        <v>11</v>
      </c>
      <c r="O246" s="21" t="s">
        <v>12</v>
      </c>
      <c r="P246" s="22" t="s">
        <v>13</v>
      </c>
      <c r="Q246" s="21" t="s">
        <v>11</v>
      </c>
      <c r="R246" s="21" t="s">
        <v>12</v>
      </c>
      <c r="S246" s="21" t="s">
        <v>13</v>
      </c>
      <c r="T246" s="78" t="s">
        <v>14</v>
      </c>
      <c r="U246" s="30"/>
      <c r="V246" s="79" t="s">
        <v>62</v>
      </c>
      <c r="W246" s="80" t="s">
        <v>63</v>
      </c>
      <c r="X246" s="81" t="s">
        <v>64</v>
      </c>
    </row>
    <row r="247" spans="1:24">
      <c r="A247" s="2"/>
      <c r="B247" s="4" t="s">
        <v>65</v>
      </c>
      <c r="C247" s="6"/>
      <c r="D247" s="6"/>
      <c r="E247" s="6"/>
      <c r="F247" s="6"/>
      <c r="G247" s="6"/>
      <c r="H247" s="6"/>
      <c r="I247" s="82"/>
      <c r="J247" s="6"/>
      <c r="K247" s="6"/>
      <c r="L247" s="6"/>
      <c r="M247" s="6"/>
      <c r="N247" s="6"/>
      <c r="O247" s="6"/>
      <c r="P247" s="6"/>
      <c r="Q247" s="6"/>
      <c r="R247" s="6"/>
      <c r="S247" s="6"/>
      <c r="T247" s="83"/>
      <c r="U247" s="6"/>
      <c r="V247" s="84"/>
      <c r="W247" s="85"/>
      <c r="X247" s="86"/>
    </row>
    <row r="248" spans="1:24">
      <c r="A248" s="388">
        <v>45891</v>
      </c>
      <c r="B248" s="87">
        <v>1</v>
      </c>
      <c r="C248" s="274">
        <v>45887</v>
      </c>
      <c r="D248" s="320" t="s">
        <v>1007</v>
      </c>
      <c r="E248" s="276" t="s">
        <v>1008</v>
      </c>
      <c r="F248" s="277">
        <v>5814</v>
      </c>
      <c r="G248" s="277">
        <f>39.7+(44.68+2102.15+22.57)</f>
        <v>2209.1</v>
      </c>
      <c r="H248" s="277"/>
      <c r="I248" s="321">
        <f>F248-G248-H248</f>
        <v>3604.9</v>
      </c>
      <c r="J248" s="279" t="s">
        <v>156</v>
      </c>
      <c r="K248" s="279">
        <v>1</v>
      </c>
      <c r="L248" s="279">
        <v>1</v>
      </c>
      <c r="M248" s="279">
        <v>1</v>
      </c>
      <c r="N248" s="279">
        <v>1</v>
      </c>
      <c r="O248" s="279">
        <v>1</v>
      </c>
      <c r="P248" s="279">
        <v>1</v>
      </c>
      <c r="Q248" s="279">
        <v>1</v>
      </c>
      <c r="R248" s="279">
        <v>1</v>
      </c>
      <c r="S248" s="328">
        <v>0</v>
      </c>
      <c r="T248" s="63"/>
      <c r="U248" s="94" t="s">
        <v>1009</v>
      </c>
      <c r="V248" s="90">
        <f>639.54+5180.27+575.59</f>
        <v>6395.4000000000005</v>
      </c>
      <c r="W248" s="136"/>
      <c r="X248" s="137"/>
    </row>
    <row r="249" spans="1:24">
      <c r="A249" s="2"/>
      <c r="B249" s="87">
        <f>B248+1</f>
        <v>2</v>
      </c>
      <c r="C249" s="282">
        <v>45887</v>
      </c>
      <c r="D249" s="368">
        <v>72395</v>
      </c>
      <c r="E249" s="283" t="s">
        <v>1010</v>
      </c>
      <c r="F249" s="284">
        <v>2149</v>
      </c>
      <c r="G249" s="284">
        <f>39.7+(362.06)+200</f>
        <v>601.76</v>
      </c>
      <c r="H249" s="315"/>
      <c r="I249" s="285">
        <f>F249-G249-H249</f>
        <v>1547.24</v>
      </c>
      <c r="J249" s="286" t="s">
        <v>228</v>
      </c>
      <c r="K249" s="286">
        <v>1</v>
      </c>
      <c r="L249" s="286">
        <v>1</v>
      </c>
      <c r="M249" s="286">
        <v>1</v>
      </c>
      <c r="N249" s="286">
        <v>1</v>
      </c>
      <c r="O249" s="286">
        <v>1</v>
      </c>
      <c r="P249" s="286">
        <v>1</v>
      </c>
      <c r="Q249" s="286">
        <v>1</v>
      </c>
      <c r="R249" s="286">
        <v>1</v>
      </c>
      <c r="S249" s="287">
        <v>1</v>
      </c>
      <c r="T249" s="21">
        <v>1</v>
      </c>
      <c r="U249" s="10" t="s">
        <v>1011</v>
      </c>
      <c r="V249" s="90">
        <f>243.54+2120.36</f>
        <v>2363.9</v>
      </c>
      <c r="W249" s="91"/>
      <c r="X249" s="92"/>
    </row>
    <row r="250" spans="1:24">
      <c r="A250" s="2"/>
      <c r="B250" s="87">
        <f t="shared" ref="B250:B252" si="65">B249+1</f>
        <v>3</v>
      </c>
      <c r="C250" s="295">
        <v>45888</v>
      </c>
      <c r="D250" s="323">
        <v>72412</v>
      </c>
      <c r="E250" s="10" t="s">
        <v>1012</v>
      </c>
      <c r="F250" s="62">
        <v>681</v>
      </c>
      <c r="G250" s="62"/>
      <c r="H250" s="88"/>
      <c r="I250" s="89">
        <f t="shared" ref="I250" si="66">F250-G250-H250</f>
        <v>681</v>
      </c>
      <c r="J250" s="63" t="s">
        <v>156</v>
      </c>
      <c r="K250" s="63">
        <v>1</v>
      </c>
      <c r="L250" s="63">
        <v>1</v>
      </c>
      <c r="M250" s="63">
        <v>1</v>
      </c>
      <c r="N250" s="63">
        <v>1</v>
      </c>
      <c r="O250" s="63">
        <v>1</v>
      </c>
      <c r="P250" s="63">
        <v>1</v>
      </c>
      <c r="Q250" s="63">
        <v>1</v>
      </c>
      <c r="R250" s="63">
        <v>1</v>
      </c>
      <c r="S250" s="296">
        <v>1</v>
      </c>
      <c r="T250" s="21"/>
      <c r="U250" s="10"/>
      <c r="V250" s="90">
        <f>74.91+674.19</f>
        <v>749.1</v>
      </c>
      <c r="W250" s="91"/>
      <c r="X250" s="92"/>
    </row>
    <row r="251" spans="1:24">
      <c r="A251" s="93"/>
      <c r="B251" s="87">
        <f t="shared" si="65"/>
        <v>4</v>
      </c>
      <c r="C251" s="295">
        <v>45888</v>
      </c>
      <c r="D251" s="323">
        <v>72413</v>
      </c>
      <c r="E251" s="10" t="s">
        <v>1013</v>
      </c>
      <c r="F251" s="62">
        <v>814</v>
      </c>
      <c r="G251" s="62">
        <f>39.7+(48.71)</f>
        <v>88.41</v>
      </c>
      <c r="H251" s="62"/>
      <c r="I251" s="89">
        <f t="shared" ref="I251" si="67">F251-G251-H251</f>
        <v>725.59</v>
      </c>
      <c r="J251" s="63" t="s">
        <v>228</v>
      </c>
      <c r="K251" s="63">
        <v>1</v>
      </c>
      <c r="L251" s="63">
        <v>1</v>
      </c>
      <c r="M251" s="63">
        <v>1</v>
      </c>
      <c r="N251" s="63">
        <v>1</v>
      </c>
      <c r="O251" s="63">
        <v>1</v>
      </c>
      <c r="P251" s="63">
        <v>1</v>
      </c>
      <c r="Q251" s="63">
        <v>1</v>
      </c>
      <c r="R251" s="63">
        <v>1</v>
      </c>
      <c r="S251" s="296">
        <v>1</v>
      </c>
      <c r="T251" s="21">
        <v>1</v>
      </c>
      <c r="U251" s="10" t="s">
        <v>1014</v>
      </c>
      <c r="V251" s="90">
        <f>89.54+805.86</f>
        <v>895.4</v>
      </c>
      <c r="W251" s="91"/>
      <c r="X251" s="92"/>
    </row>
    <row r="252" spans="1:24">
      <c r="A252" s="2"/>
      <c r="B252" s="87">
        <f t="shared" si="65"/>
        <v>5</v>
      </c>
      <c r="C252" s="262">
        <v>45890</v>
      </c>
      <c r="D252" s="263">
        <v>72533</v>
      </c>
      <c r="E252" s="309" t="s">
        <v>1015</v>
      </c>
      <c r="F252" s="265">
        <v>1024.2</v>
      </c>
      <c r="G252" s="265">
        <v>39.700000000000003</v>
      </c>
      <c r="H252" s="265"/>
      <c r="I252" s="272">
        <f t="shared" ref="I252" si="68">F252-G252-H252</f>
        <v>984.5</v>
      </c>
      <c r="J252" s="267" t="s">
        <v>150</v>
      </c>
      <c r="K252" s="267">
        <v>1</v>
      </c>
      <c r="L252" s="267">
        <v>1</v>
      </c>
      <c r="M252" s="267">
        <v>1</v>
      </c>
      <c r="N252" s="267">
        <v>1</v>
      </c>
      <c r="O252" s="267">
        <v>1</v>
      </c>
      <c r="P252" s="267">
        <v>1</v>
      </c>
      <c r="Q252" s="267">
        <v>1</v>
      </c>
      <c r="R252" s="267">
        <v>1</v>
      </c>
      <c r="S252" s="269">
        <v>1</v>
      </c>
      <c r="T252" s="63"/>
      <c r="U252" s="10" t="s">
        <v>1016</v>
      </c>
      <c r="V252" s="90"/>
      <c r="W252" s="440">
        <f>100+1026.62</f>
        <v>1126.6199999999999</v>
      </c>
      <c r="X252" s="92"/>
    </row>
    <row r="253" spans="1:24">
      <c r="A253" s="2"/>
      <c r="B253" s="87"/>
      <c r="C253" s="36"/>
      <c r="D253" s="10"/>
      <c r="E253" s="10"/>
      <c r="F253" s="98">
        <f>SUM(F248:F252)</f>
        <v>10482.200000000001</v>
      </c>
      <c r="G253" s="98">
        <f>SUM(G248:G252)</f>
        <v>2938.9699999999993</v>
      </c>
      <c r="H253" s="98">
        <f>SUM(H248:H252)</f>
        <v>0</v>
      </c>
      <c r="I253" s="98">
        <f>SUM(I248:I252)</f>
        <v>7543.2300000000005</v>
      </c>
      <c r="J253" s="63"/>
      <c r="K253" s="63">
        <f>COUNT(K248:K252)</f>
        <v>5</v>
      </c>
      <c r="L253" s="63">
        <f>COUNT(L248:L252)</f>
        <v>5</v>
      </c>
      <c r="M253" s="63">
        <f>COUNT(M248:M252)</f>
        <v>5</v>
      </c>
      <c r="N253" s="63">
        <f>COUNT(N248:N252)</f>
        <v>5</v>
      </c>
      <c r="O253" s="63">
        <f>COUNT(O248:O252)</f>
        <v>5</v>
      </c>
      <c r="P253" s="63">
        <f>COUNT(P248:P252)</f>
        <v>5</v>
      </c>
      <c r="Q253" s="63">
        <f>COUNT(Q248:Q252)</f>
        <v>5</v>
      </c>
      <c r="R253" s="63">
        <f>COUNT(R248:R252)</f>
        <v>5</v>
      </c>
      <c r="S253" s="63">
        <f>COUNT(S248:S252)</f>
        <v>5</v>
      </c>
      <c r="T253" s="63"/>
      <c r="U253" s="10"/>
      <c r="V253" s="90"/>
      <c r="W253" s="91"/>
      <c r="X253" s="92"/>
    </row>
    <row r="254" spans="1:24">
      <c r="A254" s="2"/>
      <c r="B254" s="87"/>
      <c r="C254" s="36"/>
      <c r="D254" s="10"/>
      <c r="E254" s="10"/>
      <c r="F254" s="88"/>
      <c r="G254" s="88"/>
      <c r="H254" s="88"/>
      <c r="I254" s="99"/>
      <c r="J254" s="63"/>
      <c r="K254" s="21">
        <f>SUM(K248:K252)</f>
        <v>5</v>
      </c>
      <c r="L254" s="21">
        <f>SUM(L248:L252)</f>
        <v>5</v>
      </c>
      <c r="M254" s="21">
        <f>SUM(M248:M252)</f>
        <v>5</v>
      </c>
      <c r="N254" s="21">
        <f>SUM(N248:N252)</f>
        <v>5</v>
      </c>
      <c r="O254" s="21">
        <f>SUM(O248:O252)</f>
        <v>5</v>
      </c>
      <c r="P254" s="21">
        <f>SUM(P248:P252)</f>
        <v>5</v>
      </c>
      <c r="Q254" s="21">
        <f>SUM(Q248:Q252)</f>
        <v>5</v>
      </c>
      <c r="R254" s="21">
        <f>SUM(R248:R252)</f>
        <v>5</v>
      </c>
      <c r="S254" s="21">
        <f>SUM(S248:S252)</f>
        <v>4</v>
      </c>
      <c r="T254" s="63"/>
      <c r="U254" s="10"/>
      <c r="V254" s="90"/>
      <c r="W254" s="91"/>
      <c r="X254" s="92"/>
    </row>
    <row r="255" spans="1:24">
      <c r="A255" s="128"/>
      <c r="B255" s="121" t="s">
        <v>70</v>
      </c>
      <c r="C255" s="122"/>
      <c r="D255" s="123"/>
      <c r="E255" s="128"/>
      <c r="F255" s="124"/>
      <c r="G255" s="124"/>
      <c r="H255" s="124"/>
      <c r="I255" s="126"/>
      <c r="J255" s="127"/>
      <c r="K255" s="64"/>
      <c r="L255" s="64"/>
      <c r="M255" s="64"/>
      <c r="N255" s="64"/>
      <c r="O255" s="64"/>
      <c r="P255" s="64"/>
      <c r="Q255" s="64"/>
      <c r="R255" s="64"/>
      <c r="S255" s="64"/>
      <c r="T255" s="127"/>
      <c r="U255" s="135"/>
      <c r="V255" s="129"/>
      <c r="W255" s="130"/>
      <c r="X255" s="131"/>
    </row>
    <row r="256" spans="1:24" s="342" customFormat="1">
      <c r="A256" s="356">
        <v>0.05</v>
      </c>
      <c r="B256" s="333">
        <v>1</v>
      </c>
      <c r="C256" s="350">
        <v>45887</v>
      </c>
      <c r="D256" s="263">
        <v>72380</v>
      </c>
      <c r="E256" s="358" t="s">
        <v>1017</v>
      </c>
      <c r="F256" s="352">
        <v>5232.6000000000004</v>
      </c>
      <c r="G256" s="352">
        <f>39.7+250</f>
        <v>289.7</v>
      </c>
      <c r="H256" s="352"/>
      <c r="I256" s="353">
        <f>F256-G256-H256</f>
        <v>4942.9000000000005</v>
      </c>
      <c r="J256" s="354" t="s">
        <v>156</v>
      </c>
      <c r="K256" s="354">
        <v>1</v>
      </c>
      <c r="L256" s="354"/>
      <c r="M256" s="354">
        <v>1</v>
      </c>
      <c r="N256" s="354">
        <v>1</v>
      </c>
      <c r="O256" s="354">
        <v>1</v>
      </c>
      <c r="P256" s="354">
        <v>1</v>
      </c>
      <c r="Q256" s="354"/>
      <c r="R256" s="354"/>
      <c r="S256" s="355"/>
      <c r="T256" s="127"/>
      <c r="U256" s="135" t="s">
        <v>1018</v>
      </c>
      <c r="V256" s="129">
        <f>575.59</f>
        <v>575.59</v>
      </c>
      <c r="W256" s="340"/>
      <c r="X256" s="341"/>
    </row>
    <row r="257" spans="1:24">
      <c r="A257" s="128"/>
      <c r="B257" s="132"/>
      <c r="C257" s="122"/>
      <c r="D257" s="123"/>
      <c r="E257" s="123"/>
      <c r="F257" s="134">
        <f>SUM(F256:F256)</f>
        <v>5232.6000000000004</v>
      </c>
      <c r="G257" s="134">
        <f>SUM(G256:G256)</f>
        <v>289.7</v>
      </c>
      <c r="H257" s="134">
        <f>SUM(H256:H256)</f>
        <v>0</v>
      </c>
      <c r="I257" s="134">
        <f>SUM(I256:I256)</f>
        <v>4942.9000000000005</v>
      </c>
      <c r="J257" s="127"/>
      <c r="K257" s="64"/>
      <c r="L257" s="64"/>
      <c r="M257" s="64"/>
      <c r="N257" s="64"/>
      <c r="O257" s="64"/>
      <c r="P257" s="64"/>
      <c r="Q257" s="64"/>
      <c r="R257" s="64"/>
      <c r="S257" s="64"/>
      <c r="T257" s="127"/>
      <c r="U257" s="135"/>
      <c r="V257" s="129"/>
      <c r="W257" s="130"/>
      <c r="X257" s="131"/>
    </row>
    <row r="258" spans="1:24">
      <c r="A258" s="2"/>
      <c r="B258" s="11"/>
      <c r="C258" s="36"/>
      <c r="D258" s="10"/>
      <c r="E258" s="10"/>
      <c r="F258" s="88"/>
      <c r="G258" s="88"/>
      <c r="H258" s="88"/>
      <c r="I258" s="99"/>
      <c r="J258" s="63"/>
      <c r="K258" s="21"/>
      <c r="L258" s="21"/>
      <c r="M258" s="21"/>
      <c r="N258" s="21"/>
      <c r="O258" s="21"/>
      <c r="P258" s="21"/>
      <c r="Q258" s="21"/>
      <c r="R258" s="21"/>
      <c r="S258" s="21"/>
      <c r="T258" s="63"/>
      <c r="U258" s="94"/>
      <c r="V258" s="90"/>
      <c r="W258" s="91"/>
      <c r="X258" s="92"/>
    </row>
    <row r="259" spans="1:24" s="260" customFormat="1">
      <c r="B259" s="100" t="s">
        <v>202</v>
      </c>
      <c r="C259" s="36"/>
      <c r="D259" s="10"/>
      <c r="E259" s="181"/>
      <c r="F259" s="88"/>
      <c r="G259" s="88"/>
      <c r="H259" s="88"/>
      <c r="I259" s="99"/>
      <c r="J259" s="63"/>
      <c r="K259" s="21"/>
      <c r="L259" s="21"/>
      <c r="M259" s="21"/>
      <c r="N259" s="21"/>
      <c r="O259" s="21"/>
      <c r="P259" s="21"/>
      <c r="Q259" s="21"/>
      <c r="R259" s="21"/>
      <c r="S259" s="21"/>
      <c r="T259" s="63"/>
      <c r="U259" s="94"/>
      <c r="V259" s="90"/>
      <c r="W259" s="91"/>
      <c r="X259" s="92"/>
    </row>
    <row r="260" spans="1:24" s="260" customFormat="1">
      <c r="A260" s="494">
        <v>0.05</v>
      </c>
      <c r="B260" s="87">
        <v>1</v>
      </c>
      <c r="C260" s="262">
        <v>45870</v>
      </c>
      <c r="D260" s="263" t="s">
        <v>978</v>
      </c>
      <c r="E260" s="264" t="s">
        <v>274</v>
      </c>
      <c r="F260" s="265">
        <v>8641</v>
      </c>
      <c r="G260" s="265">
        <f>39.7+(113.27)+750</f>
        <v>902.97</v>
      </c>
      <c r="H260" s="365"/>
      <c r="I260" s="272">
        <f>F260-G260-H260</f>
        <v>7738.03</v>
      </c>
      <c r="J260" s="267" t="s">
        <v>156</v>
      </c>
      <c r="K260" s="267">
        <v>1</v>
      </c>
      <c r="L260" s="267"/>
      <c r="M260" s="267">
        <v>1</v>
      </c>
      <c r="N260" s="267">
        <v>1</v>
      </c>
      <c r="O260" s="267">
        <v>1</v>
      </c>
      <c r="P260" s="267">
        <v>0</v>
      </c>
      <c r="Q260" s="267"/>
      <c r="R260" s="267"/>
      <c r="S260" s="269"/>
      <c r="T260" s="63"/>
      <c r="U260" s="94" t="s">
        <v>995</v>
      </c>
      <c r="V260" s="90"/>
      <c r="W260" s="136"/>
      <c r="X260" s="137"/>
    </row>
    <row r="261" spans="1:24" s="342" customFormat="1">
      <c r="A261" s="494">
        <v>0.05</v>
      </c>
      <c r="B261" s="87">
        <f>B260+1</f>
        <v>2</v>
      </c>
      <c r="C261" s="262">
        <v>45884</v>
      </c>
      <c r="D261" s="263">
        <v>72248</v>
      </c>
      <c r="E261" s="264" t="s">
        <v>1004</v>
      </c>
      <c r="F261" s="265">
        <v>1681</v>
      </c>
      <c r="G261" s="265">
        <f>39.7</f>
        <v>39.700000000000003</v>
      </c>
      <c r="H261" s="365"/>
      <c r="I261" s="272">
        <f>F261-G261-H261</f>
        <v>1641.3</v>
      </c>
      <c r="J261" s="267" t="s">
        <v>156</v>
      </c>
      <c r="K261" s="267">
        <v>1</v>
      </c>
      <c r="L261" s="267"/>
      <c r="M261" s="267">
        <v>1</v>
      </c>
      <c r="N261" s="267">
        <v>1</v>
      </c>
      <c r="O261" s="267">
        <v>1</v>
      </c>
      <c r="P261" s="267">
        <v>1</v>
      </c>
      <c r="Q261" s="267"/>
      <c r="R261" s="267"/>
      <c r="S261" s="269"/>
      <c r="T261" s="63"/>
      <c r="U261" s="94" t="s">
        <v>1019</v>
      </c>
      <c r="V261" s="90"/>
      <c r="W261" s="136"/>
      <c r="X261" s="137"/>
    </row>
    <row r="262" spans="1:24" s="260" customFormat="1">
      <c r="B262" s="11"/>
      <c r="C262" s="36"/>
      <c r="D262" s="10"/>
      <c r="E262" s="10"/>
      <c r="F262" s="98">
        <f>SUM(F260:F261)</f>
        <v>10322</v>
      </c>
      <c r="G262" s="98">
        <f>SUM(G260:G261)</f>
        <v>942.67000000000007</v>
      </c>
      <c r="H262" s="98">
        <f>SUM(H260:H261)</f>
        <v>0</v>
      </c>
      <c r="I262" s="98">
        <f>SUM(I260:I261)</f>
        <v>9379.33</v>
      </c>
      <c r="J262" s="63"/>
      <c r="K262" s="21"/>
      <c r="L262" s="21"/>
      <c r="M262" s="21"/>
      <c r="N262" s="21"/>
      <c r="O262" s="21"/>
      <c r="P262" s="21"/>
      <c r="Q262" s="21"/>
      <c r="R262" s="21"/>
      <c r="S262" s="21"/>
      <c r="T262" s="63"/>
      <c r="U262" s="94"/>
      <c r="V262" s="90"/>
      <c r="W262" s="91"/>
      <c r="X262" s="92"/>
    </row>
    <row r="263" spans="1:24" s="260" customFormat="1">
      <c r="B263" s="11"/>
      <c r="C263" s="36"/>
      <c r="D263" s="10"/>
      <c r="E263" s="10"/>
      <c r="F263" s="99"/>
      <c r="G263" s="99"/>
      <c r="H263" s="99"/>
      <c r="I263" s="99"/>
      <c r="J263" s="63"/>
      <c r="K263" s="21"/>
      <c r="L263" s="21"/>
      <c r="M263" s="21"/>
      <c r="N263" s="21"/>
      <c r="O263" s="21"/>
      <c r="P263" s="21"/>
      <c r="Q263" s="21"/>
      <c r="R263" s="21"/>
      <c r="S263" s="21"/>
      <c r="T263" s="63"/>
      <c r="U263" s="94"/>
      <c r="V263" s="90"/>
      <c r="W263" s="91"/>
      <c r="X263" s="92"/>
    </row>
    <row r="264" spans="1:24">
      <c r="A264" s="2"/>
      <c r="B264" s="100" t="s">
        <v>72</v>
      </c>
      <c r="C264" s="36"/>
      <c r="D264" s="10"/>
      <c r="E264" s="10"/>
      <c r="F264" s="88"/>
      <c r="G264" s="88"/>
      <c r="H264" s="88"/>
      <c r="I264" s="99"/>
      <c r="J264" s="63"/>
      <c r="K264" s="63"/>
      <c r="L264" s="63"/>
      <c r="M264" s="63"/>
      <c r="N264" s="63"/>
      <c r="O264" s="63"/>
      <c r="P264" s="63"/>
      <c r="Q264" s="63"/>
      <c r="R264" s="63"/>
      <c r="S264" s="63"/>
      <c r="T264" s="63"/>
      <c r="U264" s="10"/>
      <c r="V264" s="90"/>
      <c r="W264" s="91"/>
      <c r="X264" s="92"/>
    </row>
    <row r="265" spans="1:24">
      <c r="A265" s="2"/>
      <c r="B265" s="87">
        <v>1</v>
      </c>
      <c r="C265" s="274">
        <v>45887</v>
      </c>
      <c r="D265" s="275" t="s">
        <v>1020</v>
      </c>
      <c r="E265" s="276" t="s">
        <v>1008</v>
      </c>
      <c r="F265" s="277">
        <v>0</v>
      </c>
      <c r="G265" s="277">
        <v>0</v>
      </c>
      <c r="H265" s="277"/>
      <c r="I265" s="278">
        <f t="shared" ref="I265:I273" si="69">F265-G265-H265</f>
        <v>0</v>
      </c>
      <c r="J265" s="279" t="s">
        <v>205</v>
      </c>
      <c r="K265" s="279">
        <v>1</v>
      </c>
      <c r="L265" s="279"/>
      <c r="M265" s="279"/>
      <c r="N265" s="279"/>
      <c r="O265" s="279"/>
      <c r="P265" s="279"/>
      <c r="Q265" s="279"/>
      <c r="R265" s="279"/>
      <c r="S265" s="280"/>
      <c r="T265" s="63"/>
      <c r="U265" s="3" t="s">
        <v>1021</v>
      </c>
      <c r="V265" s="90"/>
      <c r="W265" s="91"/>
      <c r="X265" s="92"/>
    </row>
    <row r="266" spans="1:24">
      <c r="A266" s="2"/>
      <c r="B266" s="87">
        <f t="shared" ref="B266:B273" si="70">B265+1</f>
        <v>2</v>
      </c>
      <c r="C266" s="295">
        <v>45887</v>
      </c>
      <c r="D266" s="10" t="s">
        <v>1022</v>
      </c>
      <c r="E266" s="10" t="s">
        <v>1008</v>
      </c>
      <c r="F266" s="62">
        <v>1138</v>
      </c>
      <c r="G266" s="62">
        <f>39.7</f>
        <v>39.700000000000003</v>
      </c>
      <c r="H266" s="62"/>
      <c r="I266" s="89">
        <f t="shared" si="69"/>
        <v>1098.3</v>
      </c>
      <c r="J266" s="63" t="s">
        <v>205</v>
      </c>
      <c r="K266" s="63">
        <v>1</v>
      </c>
      <c r="L266" s="63"/>
      <c r="M266" s="63"/>
      <c r="N266" s="63">
        <v>1</v>
      </c>
      <c r="O266" s="63"/>
      <c r="P266" s="63"/>
      <c r="Q266" s="63"/>
      <c r="R266" s="63"/>
      <c r="S266" s="296"/>
      <c r="T266" s="63"/>
      <c r="U266" s="10"/>
      <c r="V266" s="90"/>
      <c r="W266" s="136"/>
      <c r="X266" s="137"/>
    </row>
    <row r="267" spans="1:24">
      <c r="A267" s="2"/>
      <c r="B267" s="87">
        <f t="shared" si="70"/>
        <v>3</v>
      </c>
      <c r="C267" s="274">
        <v>45888</v>
      </c>
      <c r="D267" s="276">
        <v>72400</v>
      </c>
      <c r="E267" s="276" t="s">
        <v>1012</v>
      </c>
      <c r="F267" s="277">
        <v>1861</v>
      </c>
      <c r="G267" s="277">
        <v>39.700000000000003</v>
      </c>
      <c r="H267" s="277"/>
      <c r="I267" s="278">
        <f t="shared" si="69"/>
        <v>1821.3</v>
      </c>
      <c r="J267" s="279" t="s">
        <v>205</v>
      </c>
      <c r="K267" s="279">
        <v>1</v>
      </c>
      <c r="L267" s="279"/>
      <c r="M267" s="279"/>
      <c r="N267" s="279">
        <v>1</v>
      </c>
      <c r="O267" s="279"/>
      <c r="P267" s="279"/>
      <c r="Q267" s="279">
        <v>1</v>
      </c>
      <c r="R267" s="279">
        <v>1</v>
      </c>
      <c r="S267" s="280">
        <v>1</v>
      </c>
      <c r="T267" s="63"/>
      <c r="U267" s="10"/>
      <c r="V267" s="90"/>
      <c r="W267" s="136"/>
      <c r="X267" s="137"/>
    </row>
    <row r="268" spans="1:24">
      <c r="A268" s="2"/>
      <c r="B268" s="87">
        <f t="shared" si="70"/>
        <v>4</v>
      </c>
      <c r="C268" s="295">
        <v>45888</v>
      </c>
      <c r="D268" s="10" t="s">
        <v>1023</v>
      </c>
      <c r="E268" s="10" t="s">
        <v>1012</v>
      </c>
      <c r="F268" s="62">
        <v>6814</v>
      </c>
      <c r="G268" s="62">
        <v>39.700000000000003</v>
      </c>
      <c r="H268" s="62"/>
      <c r="I268" s="89">
        <f t="shared" si="69"/>
        <v>6774.3</v>
      </c>
      <c r="J268" s="63" t="s">
        <v>205</v>
      </c>
      <c r="K268" s="63">
        <v>1</v>
      </c>
      <c r="L268" s="63"/>
      <c r="M268" s="63"/>
      <c r="N268" s="63">
        <v>1</v>
      </c>
      <c r="O268" s="63"/>
      <c r="P268" s="63"/>
      <c r="Q268" s="63"/>
      <c r="R268" s="63"/>
      <c r="S268" s="296"/>
      <c r="T268" s="63"/>
      <c r="U268" s="10"/>
      <c r="V268" s="90"/>
      <c r="W268" s="136"/>
      <c r="X268" s="137"/>
    </row>
    <row r="269" spans="1:24">
      <c r="A269" s="2"/>
      <c r="B269" s="87">
        <f t="shared" si="70"/>
        <v>5</v>
      </c>
      <c r="C269" s="295">
        <v>45888</v>
      </c>
      <c r="D269" s="10" t="s">
        <v>1024</v>
      </c>
      <c r="E269" s="10" t="s">
        <v>1012</v>
      </c>
      <c r="F269" s="62">
        <v>10214</v>
      </c>
      <c r="G269" s="62">
        <v>39.700000000000003</v>
      </c>
      <c r="H269" s="62"/>
      <c r="I269" s="89">
        <f t="shared" si="69"/>
        <v>10174.299999999999</v>
      </c>
      <c r="J269" s="63" t="s">
        <v>205</v>
      </c>
      <c r="K269" s="63">
        <v>1</v>
      </c>
      <c r="L269" s="63"/>
      <c r="M269" s="63"/>
      <c r="N269" s="63">
        <v>1</v>
      </c>
      <c r="O269" s="63"/>
      <c r="P269" s="63"/>
      <c r="Q269" s="63"/>
      <c r="R269" s="63"/>
      <c r="S269" s="296"/>
      <c r="T269" s="63"/>
      <c r="U269" s="10"/>
      <c r="V269" s="90"/>
      <c r="W269" s="136"/>
      <c r="X269" s="137"/>
    </row>
    <row r="270" spans="1:24">
      <c r="A270" s="2"/>
      <c r="B270" s="87">
        <f t="shared" si="70"/>
        <v>6</v>
      </c>
      <c r="C270" s="574">
        <v>45890</v>
      </c>
      <c r="D270" s="460" t="s">
        <v>1025</v>
      </c>
      <c r="E270" s="593" t="s">
        <v>1015</v>
      </c>
      <c r="F270" s="575">
        <v>14592.6</v>
      </c>
      <c r="G270" s="575">
        <f>39.7+1000</f>
        <v>1039.7</v>
      </c>
      <c r="H270" s="575"/>
      <c r="I270" s="594">
        <f>F270-G270-H270</f>
        <v>13552.9</v>
      </c>
      <c r="J270" s="576" t="s">
        <v>205</v>
      </c>
      <c r="K270" s="576">
        <v>1</v>
      </c>
      <c r="L270" s="576"/>
      <c r="M270" s="576"/>
      <c r="N270" s="576">
        <v>1</v>
      </c>
      <c r="O270" s="576">
        <v>1</v>
      </c>
      <c r="P270" s="576">
        <v>1</v>
      </c>
      <c r="Q270" s="576"/>
      <c r="R270" s="576"/>
      <c r="S270" s="595"/>
      <c r="T270" s="537"/>
      <c r="U270" s="164" t="s">
        <v>1026</v>
      </c>
      <c r="V270" s="551"/>
      <c r="W270" s="552"/>
      <c r="X270" s="553"/>
    </row>
    <row r="271" spans="1:24">
      <c r="A271" s="2"/>
      <c r="B271" s="87">
        <f t="shared" si="70"/>
        <v>7</v>
      </c>
      <c r="C271" s="282">
        <v>45890</v>
      </c>
      <c r="D271" s="283">
        <v>72536</v>
      </c>
      <c r="E271" s="319" t="s">
        <v>1015</v>
      </c>
      <c r="F271" s="284">
        <v>1138</v>
      </c>
      <c r="G271" s="284">
        <v>39.700000000000003</v>
      </c>
      <c r="H271" s="284"/>
      <c r="I271" s="285">
        <f t="shared" si="69"/>
        <v>1098.3</v>
      </c>
      <c r="J271" s="286" t="s">
        <v>205</v>
      </c>
      <c r="K271" s="286">
        <v>1</v>
      </c>
      <c r="L271" s="286"/>
      <c r="M271" s="286"/>
      <c r="N271" s="286">
        <v>1</v>
      </c>
      <c r="O271" s="286"/>
      <c r="P271" s="286"/>
      <c r="Q271" s="286"/>
      <c r="R271" s="286"/>
      <c r="S271" s="287"/>
      <c r="T271" s="63"/>
      <c r="U271" s="10"/>
      <c r="V271" s="90"/>
      <c r="W271" s="136"/>
      <c r="X271" s="137"/>
    </row>
    <row r="272" spans="1:24">
      <c r="A272" s="2"/>
      <c r="B272" s="87">
        <f t="shared" si="70"/>
        <v>8</v>
      </c>
      <c r="C272" s="295">
        <v>45891</v>
      </c>
      <c r="D272" s="10">
        <v>72537</v>
      </c>
      <c r="E272" s="101" t="s">
        <v>1027</v>
      </c>
      <c r="F272" s="62">
        <v>481</v>
      </c>
      <c r="G272" s="62"/>
      <c r="H272" s="62"/>
      <c r="I272" s="89">
        <f t="shared" si="69"/>
        <v>481</v>
      </c>
      <c r="J272" s="63" t="s">
        <v>205</v>
      </c>
      <c r="K272" s="63">
        <v>1</v>
      </c>
      <c r="L272" s="63"/>
      <c r="M272" s="63"/>
      <c r="N272" s="63">
        <v>1</v>
      </c>
      <c r="O272" s="63"/>
      <c r="P272" s="63"/>
      <c r="Q272" s="63">
        <v>1</v>
      </c>
      <c r="R272" s="63">
        <v>1</v>
      </c>
      <c r="S272" s="296">
        <v>1</v>
      </c>
      <c r="T272" s="63"/>
      <c r="U272" s="10"/>
      <c r="V272" s="90"/>
      <c r="W272" s="136"/>
      <c r="X272" s="137"/>
    </row>
    <row r="273" spans="1:24">
      <c r="A273" s="2"/>
      <c r="B273" s="87">
        <f t="shared" si="70"/>
        <v>9</v>
      </c>
      <c r="C273" s="282">
        <v>45891</v>
      </c>
      <c r="D273" s="283">
        <v>72539</v>
      </c>
      <c r="E273" s="319" t="s">
        <v>1028</v>
      </c>
      <c r="F273" s="284">
        <v>2861</v>
      </c>
      <c r="G273" s="284">
        <v>39.700000000000003</v>
      </c>
      <c r="H273" s="284"/>
      <c r="I273" s="285">
        <f t="shared" si="69"/>
        <v>2821.3</v>
      </c>
      <c r="J273" s="286" t="s">
        <v>205</v>
      </c>
      <c r="K273" s="286">
        <v>1</v>
      </c>
      <c r="L273" s="286"/>
      <c r="M273" s="286"/>
      <c r="N273" s="286">
        <v>1</v>
      </c>
      <c r="O273" s="286"/>
      <c r="P273" s="286"/>
      <c r="Q273" s="286">
        <v>1</v>
      </c>
      <c r="R273" s="286">
        <v>1</v>
      </c>
      <c r="S273" s="287">
        <v>1</v>
      </c>
      <c r="T273" s="63"/>
      <c r="U273" s="10"/>
      <c r="V273" s="90"/>
      <c r="W273" s="136"/>
      <c r="X273" s="137"/>
    </row>
    <row r="274" spans="1:24">
      <c r="A274" s="2"/>
      <c r="B274" s="11"/>
      <c r="C274" s="36"/>
      <c r="D274" s="10"/>
      <c r="E274" s="10"/>
      <c r="F274" s="97">
        <f>SUM(F265:F273)</f>
        <v>39099.599999999999</v>
      </c>
      <c r="G274" s="97">
        <f>SUM(G265:G273)</f>
        <v>1277.9000000000001</v>
      </c>
      <c r="H274" s="97">
        <f>SUM(H265:H273)</f>
        <v>0</v>
      </c>
      <c r="I274" s="98">
        <f>SUM(I265:I273)</f>
        <v>37821.700000000004</v>
      </c>
      <c r="J274" s="10"/>
      <c r="K274" s="10"/>
      <c r="L274" s="10"/>
      <c r="M274" s="10"/>
      <c r="N274" s="10"/>
      <c r="O274" s="10"/>
      <c r="P274" s="10"/>
      <c r="Q274" s="10"/>
      <c r="R274" s="10"/>
      <c r="S274" s="10"/>
      <c r="T274" s="63"/>
      <c r="U274" s="10"/>
      <c r="V274" s="138"/>
      <c r="W274" s="136"/>
      <c r="X274" s="137"/>
    </row>
    <row r="275" spans="1:24">
      <c r="A275" s="2"/>
      <c r="B275" s="26"/>
      <c r="C275" s="140"/>
      <c r="D275" s="141"/>
      <c r="E275" s="141"/>
      <c r="F275" s="141"/>
      <c r="G275" s="141"/>
      <c r="H275" s="141"/>
      <c r="I275" s="141"/>
      <c r="J275" s="141"/>
      <c r="K275" s="142"/>
      <c r="L275" s="142"/>
      <c r="M275" s="142"/>
      <c r="N275" s="142"/>
      <c r="O275" s="142"/>
      <c r="P275" s="142"/>
      <c r="Q275" s="142"/>
      <c r="R275" s="142"/>
      <c r="S275" s="142"/>
      <c r="T275" s="143">
        <f>SUM(T247:T274)</f>
        <v>2</v>
      </c>
      <c r="U275" s="141"/>
      <c r="V275" s="144">
        <f>SUM(V247:V274)</f>
        <v>10979.390000000001</v>
      </c>
      <c r="W275" s="145">
        <f>SUM(W247:W274)</f>
        <v>1126.6199999999999</v>
      </c>
      <c r="X275" s="146">
        <f>SUM(X247:X274)</f>
        <v>0</v>
      </c>
    </row>
    <row r="278" spans="1:24">
      <c r="A278" s="3"/>
      <c r="B278" s="4" t="s">
        <v>1</v>
      </c>
      <c r="C278" s="5"/>
      <c r="D278" s="6"/>
      <c r="E278" s="6"/>
      <c r="F278" s="7" t="s">
        <v>2</v>
      </c>
      <c r="G278" s="590">
        <v>45900</v>
      </c>
      <c r="H278" s="7"/>
      <c r="I278" s="6"/>
      <c r="J278" s="6"/>
      <c r="K278" s="6"/>
      <c r="L278" s="6"/>
      <c r="M278" s="6"/>
      <c r="N278" s="6"/>
      <c r="O278" s="6"/>
      <c r="P278" s="6"/>
      <c r="Q278" s="6"/>
      <c r="R278" s="6"/>
      <c r="S278" s="6"/>
      <c r="T278" s="6"/>
      <c r="U278" s="9"/>
      <c r="V278" s="10"/>
      <c r="W278" s="10"/>
      <c r="X278" s="10"/>
    </row>
    <row r="279" spans="1:24">
      <c r="A279" s="2"/>
      <c r="B279" s="11"/>
      <c r="C279" s="10"/>
      <c r="D279" s="10"/>
      <c r="E279" s="10"/>
      <c r="F279" s="10"/>
      <c r="G279" s="7"/>
      <c r="H279" s="12"/>
      <c r="I279" s="10"/>
      <c r="J279" s="10"/>
      <c r="K279" s="13" t="s">
        <v>3</v>
      </c>
      <c r="L279" s="14"/>
      <c r="M279" s="15"/>
      <c r="N279" s="13" t="s">
        <v>4</v>
      </c>
      <c r="O279" s="14"/>
      <c r="P279" s="15"/>
      <c r="Q279" s="13" t="s">
        <v>5</v>
      </c>
      <c r="R279" s="14"/>
      <c r="S279" s="15"/>
      <c r="T279" s="16"/>
      <c r="U279" s="17"/>
      <c r="V279" s="10"/>
      <c r="W279" s="10"/>
      <c r="X279" s="10"/>
    </row>
    <row r="280" spans="1:24">
      <c r="A280" s="2"/>
      <c r="B280" s="18" t="s">
        <v>6</v>
      </c>
      <c r="C280" s="19">
        <f>C281+C282</f>
        <v>40</v>
      </c>
      <c r="D280" s="10"/>
      <c r="E280" s="18" t="s">
        <v>7</v>
      </c>
      <c r="F280" s="6"/>
      <c r="G280" s="9"/>
      <c r="H280" s="10"/>
      <c r="I280" s="10"/>
      <c r="J280" s="10"/>
      <c r="K280" s="20" t="s">
        <v>8</v>
      </c>
      <c r="L280" s="21" t="s">
        <v>9</v>
      </c>
      <c r="M280" s="21" t="s">
        <v>10</v>
      </c>
      <c r="N280" s="20" t="s">
        <v>11</v>
      </c>
      <c r="O280" s="21" t="s">
        <v>12</v>
      </c>
      <c r="P280" s="22" t="s">
        <v>13</v>
      </c>
      <c r="Q280" s="21" t="s">
        <v>11</v>
      </c>
      <c r="R280" s="21" t="s">
        <v>12</v>
      </c>
      <c r="S280" s="22" t="s">
        <v>13</v>
      </c>
      <c r="T280" s="23" t="s">
        <v>14</v>
      </c>
      <c r="U280" s="17"/>
      <c r="V280" s="10"/>
      <c r="W280" s="10"/>
      <c r="X280" s="10"/>
    </row>
    <row r="281" spans="1:24">
      <c r="A281" s="2"/>
      <c r="B281" s="24" t="s">
        <v>15</v>
      </c>
      <c r="C281" s="25">
        <f>P288</f>
        <v>17</v>
      </c>
      <c r="D281" s="10"/>
      <c r="E281" s="26" t="s">
        <v>16</v>
      </c>
      <c r="F281" s="27">
        <v>0.05</v>
      </c>
      <c r="G281" s="28"/>
      <c r="H281" s="10"/>
      <c r="I281" s="10"/>
      <c r="J281" s="18" t="s">
        <v>17</v>
      </c>
      <c r="K281" s="29">
        <f>K322</f>
        <v>16</v>
      </c>
      <c r="L281" s="29">
        <f t="shared" ref="L281:S281" si="71">L322</f>
        <v>16</v>
      </c>
      <c r="M281" s="29">
        <f t="shared" si="71"/>
        <v>16</v>
      </c>
      <c r="N281" s="29">
        <f t="shared" si="71"/>
        <v>16</v>
      </c>
      <c r="O281" s="29">
        <f t="shared" si="71"/>
        <v>16</v>
      </c>
      <c r="P281" s="29">
        <f t="shared" si="71"/>
        <v>15</v>
      </c>
      <c r="Q281" s="29">
        <f t="shared" si="71"/>
        <v>16</v>
      </c>
      <c r="R281" s="29">
        <f t="shared" si="71"/>
        <v>16</v>
      </c>
      <c r="S281" s="29">
        <f t="shared" si="71"/>
        <v>14</v>
      </c>
      <c r="T281" s="30">
        <f>T368</f>
        <v>7</v>
      </c>
      <c r="U281" s="17"/>
      <c r="V281" s="10"/>
      <c r="W281" s="10"/>
      <c r="X281" s="10"/>
    </row>
    <row r="282" spans="1:24">
      <c r="A282" s="2"/>
      <c r="B282" s="24" t="s">
        <v>18</v>
      </c>
      <c r="C282" s="25">
        <f>P289</f>
        <v>23</v>
      </c>
      <c r="D282" s="10"/>
      <c r="E282" s="10"/>
      <c r="F282" s="10"/>
      <c r="G282" s="31"/>
      <c r="H282" s="10"/>
      <c r="I282" s="10"/>
      <c r="J282" s="32" t="s">
        <v>19</v>
      </c>
      <c r="K282" s="33">
        <f>K322/K321</f>
        <v>1</v>
      </c>
      <c r="L282" s="33">
        <f t="shared" ref="L282:S282" si="72">L322/L321</f>
        <v>1</v>
      </c>
      <c r="M282" s="33">
        <f t="shared" si="72"/>
        <v>1</v>
      </c>
      <c r="N282" s="33">
        <f t="shared" si="72"/>
        <v>1</v>
      </c>
      <c r="O282" s="33">
        <f t="shared" si="72"/>
        <v>1</v>
      </c>
      <c r="P282" s="33">
        <f t="shared" si="72"/>
        <v>0.9375</v>
      </c>
      <c r="Q282" s="33">
        <f t="shared" si="72"/>
        <v>1</v>
      </c>
      <c r="R282" s="33">
        <f t="shared" si="72"/>
        <v>1</v>
      </c>
      <c r="S282" s="33">
        <f t="shared" si="72"/>
        <v>0.875</v>
      </c>
      <c r="T282" s="23"/>
      <c r="U282" s="17" t="s">
        <v>20</v>
      </c>
      <c r="V282" s="10"/>
      <c r="W282" s="10"/>
      <c r="X282" s="10"/>
    </row>
    <row r="283" spans="1:24">
      <c r="A283" s="2"/>
      <c r="B283" s="24" t="s">
        <v>21</v>
      </c>
      <c r="C283" s="34">
        <f>P290</f>
        <v>0.42499999999999999</v>
      </c>
      <c r="D283" s="10"/>
      <c r="E283" s="10"/>
      <c r="F283" s="10"/>
      <c r="G283" s="10"/>
      <c r="H283" s="10"/>
      <c r="I283" s="10"/>
      <c r="J283" s="10"/>
      <c r="K283" s="10"/>
      <c r="L283" s="10"/>
      <c r="M283" s="10"/>
      <c r="N283" s="10"/>
      <c r="O283" s="10"/>
      <c r="P283" s="10"/>
      <c r="Q283" s="10"/>
      <c r="R283" s="10"/>
      <c r="S283" s="10"/>
      <c r="T283" s="10"/>
      <c r="U283" s="17"/>
      <c r="V283" s="10"/>
      <c r="W283" s="10"/>
      <c r="X283" s="10"/>
    </row>
    <row r="284" spans="1:24">
      <c r="A284" s="2"/>
      <c r="B284" s="24"/>
      <c r="C284" s="25"/>
      <c r="D284" s="10"/>
      <c r="E284" s="10"/>
      <c r="F284" s="18" t="s">
        <v>22</v>
      </c>
      <c r="G284" s="19" t="s">
        <v>23</v>
      </c>
      <c r="H284" s="35" t="s">
        <v>24</v>
      </c>
      <c r="I284" s="10"/>
      <c r="J284" s="10"/>
      <c r="K284" s="36"/>
      <c r="L284" s="36"/>
      <c r="M284" s="36"/>
      <c r="N284" s="36"/>
      <c r="O284" s="36"/>
      <c r="P284" s="36"/>
      <c r="Q284" s="36"/>
      <c r="R284" s="10"/>
      <c r="S284" s="10"/>
      <c r="T284" s="10"/>
      <c r="U284" s="17"/>
      <c r="V284" s="10"/>
      <c r="W284" s="10"/>
      <c r="X284" s="10"/>
    </row>
    <row r="285" spans="1:24">
      <c r="A285" s="2"/>
      <c r="B285" s="32" t="s">
        <v>25</v>
      </c>
      <c r="C285" s="37">
        <f>P291</f>
        <v>1708.4658823529412</v>
      </c>
      <c r="D285" s="10"/>
      <c r="E285" s="18" t="s">
        <v>26</v>
      </c>
      <c r="F285" s="38">
        <f>P287</f>
        <v>29043.920000000002</v>
      </c>
      <c r="G285" s="39">
        <f>I321+I331</f>
        <v>29043.919999999995</v>
      </c>
      <c r="H285" s="40"/>
      <c r="I285" s="41"/>
      <c r="J285" s="42"/>
      <c r="K285" s="43" t="s">
        <v>27</v>
      </c>
      <c r="L285" s="44"/>
      <c r="M285" s="44"/>
      <c r="N285" s="44"/>
      <c r="O285" s="44"/>
      <c r="P285" s="44"/>
      <c r="Q285" s="45"/>
      <c r="R285" s="46" t="s">
        <v>28</v>
      </c>
      <c r="S285" s="47" t="s">
        <v>29</v>
      </c>
      <c r="T285" s="10"/>
      <c r="U285" s="17"/>
      <c r="V285" s="10"/>
      <c r="W285" s="10"/>
      <c r="X285" s="10"/>
    </row>
    <row r="286" spans="1:24">
      <c r="A286" s="2"/>
      <c r="B286" s="11"/>
      <c r="C286" s="10"/>
      <c r="D286" s="10"/>
      <c r="E286" s="24" t="s">
        <v>30</v>
      </c>
      <c r="F286" s="48">
        <f>F281</f>
        <v>0.05</v>
      </c>
      <c r="G286" s="17"/>
      <c r="H286" s="40"/>
      <c r="I286" s="41"/>
      <c r="J286" s="42"/>
      <c r="K286" s="20" t="s">
        <v>31</v>
      </c>
      <c r="L286" s="21" t="s">
        <v>32</v>
      </c>
      <c r="M286" s="21" t="s">
        <v>33</v>
      </c>
      <c r="N286" s="21" t="s">
        <v>34</v>
      </c>
      <c r="O286" s="21" t="s">
        <v>35</v>
      </c>
      <c r="P286" s="21" t="s">
        <v>36</v>
      </c>
      <c r="Q286" s="49" t="s">
        <v>37</v>
      </c>
      <c r="R286" s="50" t="s">
        <v>38</v>
      </c>
      <c r="S286" s="50" t="s">
        <v>38</v>
      </c>
      <c r="T286" s="10"/>
      <c r="U286" s="17"/>
      <c r="V286" s="10"/>
      <c r="W286" s="10"/>
      <c r="X286" s="10"/>
    </row>
    <row r="287" spans="1:24">
      <c r="A287" s="2"/>
      <c r="B287" s="11"/>
      <c r="C287" s="10"/>
      <c r="D287" s="10"/>
      <c r="E287" s="51" t="s">
        <v>39</v>
      </c>
      <c r="F287" s="52">
        <f>(F285-I307-I308-I311-I312-I315-I330)*F286</f>
        <v>899.48650000000021</v>
      </c>
      <c r="G287" s="53" t="s">
        <v>40</v>
      </c>
      <c r="H287" s="54">
        <f>F287/1.12</f>
        <v>803.11294642857149</v>
      </c>
      <c r="I287" s="55"/>
      <c r="J287" s="42"/>
      <c r="K287" s="56">
        <f>I305+I306+I307+I308</f>
        <v>4471.28</v>
      </c>
      <c r="L287" s="57">
        <f>I309+I310+I312+I311</f>
        <v>1982.53</v>
      </c>
      <c r="M287" s="57">
        <f>I315+I313+I314</f>
        <v>6491.7000000000007</v>
      </c>
      <c r="N287" s="57">
        <f>I316+I317+I318+I319</f>
        <v>4914.3500000000004</v>
      </c>
      <c r="O287" s="57">
        <f>I320+I330</f>
        <v>11184.060000000001</v>
      </c>
      <c r="P287" s="57">
        <f>SUM(K287:O287)</f>
        <v>29043.920000000002</v>
      </c>
      <c r="Q287" s="58">
        <f>I325</f>
        <v>927.58999999999992</v>
      </c>
      <c r="R287" s="59">
        <f>+I331</f>
        <v>7851.3</v>
      </c>
      <c r="S287" s="59">
        <v>0</v>
      </c>
      <c r="T287" s="10"/>
      <c r="U287" s="17"/>
      <c r="V287" s="10"/>
      <c r="W287" s="10"/>
      <c r="X287" s="10"/>
    </row>
    <row r="288" spans="1:24">
      <c r="A288" s="2"/>
      <c r="B288" s="11"/>
      <c r="C288" s="10"/>
      <c r="D288" s="10"/>
      <c r="E288" s="24" t="s">
        <v>41</v>
      </c>
      <c r="F288" s="60">
        <f>Q287</f>
        <v>927.58999999999992</v>
      </c>
      <c r="G288" s="61" t="s">
        <v>40</v>
      </c>
      <c r="H288" s="62"/>
      <c r="I288" s="643" t="s">
        <v>1029</v>
      </c>
      <c r="J288" s="10" t="s">
        <v>42</v>
      </c>
      <c r="K288" s="63">
        <v>4</v>
      </c>
      <c r="L288" s="63">
        <v>4</v>
      </c>
      <c r="M288" s="63">
        <v>3</v>
      </c>
      <c r="N288" s="63">
        <v>4</v>
      </c>
      <c r="O288" s="63">
        <v>2</v>
      </c>
      <c r="P288" s="21">
        <f>SUM(K288:O288)</f>
        <v>17</v>
      </c>
      <c r="Q288" s="64">
        <v>1</v>
      </c>
      <c r="R288" s="63"/>
      <c r="S288" s="10"/>
      <c r="T288" s="10"/>
      <c r="U288" s="17"/>
      <c r="V288" s="10"/>
      <c r="W288" s="10"/>
      <c r="X288" s="10"/>
    </row>
    <row r="289" spans="1:24">
      <c r="A289" s="2"/>
      <c r="B289" s="11"/>
      <c r="C289" s="10"/>
      <c r="D289" s="10"/>
      <c r="E289" s="51" t="s">
        <v>43</v>
      </c>
      <c r="F289" s="52">
        <f>F288*0.25</f>
        <v>231.89749999999998</v>
      </c>
      <c r="G289" s="53" t="s">
        <v>40</v>
      </c>
      <c r="H289" s="54">
        <f>F289/1.12</f>
        <v>207.05133928571425</v>
      </c>
      <c r="I289" s="644">
        <f>3*67.5</f>
        <v>202.5</v>
      </c>
      <c r="J289" s="10" t="s">
        <v>44</v>
      </c>
      <c r="K289" s="63">
        <v>5</v>
      </c>
      <c r="L289" s="63">
        <v>4</v>
      </c>
      <c r="M289" s="63">
        <v>6</v>
      </c>
      <c r="N289" s="63">
        <v>4</v>
      </c>
      <c r="O289" s="63">
        <v>4</v>
      </c>
      <c r="P289" s="21">
        <f>SUM(K289:O289)</f>
        <v>23</v>
      </c>
      <c r="Q289" s="64">
        <v>0</v>
      </c>
      <c r="R289" s="63"/>
      <c r="S289" s="10"/>
      <c r="T289" s="10"/>
      <c r="U289" s="17"/>
      <c r="V289" s="10"/>
      <c r="W289" s="10"/>
      <c r="X289" s="10"/>
    </row>
    <row r="290" spans="1:24">
      <c r="A290" s="2"/>
      <c r="B290" s="11"/>
      <c r="C290" s="10"/>
      <c r="D290" s="10"/>
      <c r="E290" s="24" t="s">
        <v>45</v>
      </c>
      <c r="F290" s="60"/>
      <c r="G290" s="61" t="s">
        <v>40</v>
      </c>
      <c r="H290" s="62"/>
      <c r="I290" s="10"/>
      <c r="J290" s="10" t="s">
        <v>46</v>
      </c>
      <c r="K290" s="31">
        <f t="shared" ref="K290:Q290" si="73">K288/(K288+K289)</f>
        <v>0.44444444444444442</v>
      </c>
      <c r="L290" s="31">
        <f t="shared" si="73"/>
        <v>0.5</v>
      </c>
      <c r="M290" s="31">
        <f t="shared" si="73"/>
        <v>0.33333333333333331</v>
      </c>
      <c r="N290" s="31">
        <f t="shared" si="73"/>
        <v>0.5</v>
      </c>
      <c r="O290" s="31">
        <f t="shared" si="73"/>
        <v>0.33333333333333331</v>
      </c>
      <c r="P290" s="31">
        <f t="shared" si="73"/>
        <v>0.42499999999999999</v>
      </c>
      <c r="Q290" s="31">
        <f t="shared" si="73"/>
        <v>1</v>
      </c>
      <c r="R290" s="63"/>
      <c r="S290" s="10"/>
      <c r="T290" s="10"/>
      <c r="U290" s="17"/>
      <c r="V290" s="10"/>
      <c r="W290" s="10"/>
      <c r="X290" s="10"/>
    </row>
    <row r="291" spans="1:24">
      <c r="A291" s="2"/>
      <c r="B291" s="11"/>
      <c r="C291" s="10"/>
      <c r="D291" s="10"/>
      <c r="E291" s="51" t="s">
        <v>47</v>
      </c>
      <c r="F291" s="52">
        <f>F290*0.05</f>
        <v>0</v>
      </c>
      <c r="G291" s="65" t="s">
        <v>40</v>
      </c>
      <c r="H291" s="54">
        <f>F291/1.12</f>
        <v>0</v>
      </c>
      <c r="I291" s="42"/>
      <c r="J291" s="10" t="s">
        <v>48</v>
      </c>
      <c r="K291" s="66">
        <f>K287/K288</f>
        <v>1117.82</v>
      </c>
      <c r="L291" s="66">
        <f t="shared" ref="L291:Q291" si="74">L287/L288</f>
        <v>495.63249999999999</v>
      </c>
      <c r="M291" s="66">
        <f t="shared" si="74"/>
        <v>2163.9</v>
      </c>
      <c r="N291" s="66">
        <f t="shared" si="74"/>
        <v>1228.5875000000001</v>
      </c>
      <c r="O291" s="66">
        <f t="shared" si="74"/>
        <v>5592.0300000000007</v>
      </c>
      <c r="P291" s="66">
        <f t="shared" si="74"/>
        <v>1708.4658823529412</v>
      </c>
      <c r="Q291" s="66">
        <f t="shared" si="74"/>
        <v>927.58999999999992</v>
      </c>
      <c r="R291" s="63"/>
      <c r="S291" s="10"/>
      <c r="T291" s="10"/>
      <c r="U291" s="17"/>
      <c r="V291" s="10"/>
      <c r="W291" s="10"/>
      <c r="X291" s="10"/>
    </row>
    <row r="292" spans="1:24">
      <c r="A292" s="2"/>
      <c r="B292" s="11"/>
      <c r="C292" s="10"/>
      <c r="D292" s="10"/>
      <c r="E292" s="67" t="s">
        <v>14</v>
      </c>
      <c r="F292" s="68">
        <f>7*50</f>
        <v>350</v>
      </c>
      <c r="G292" s="10"/>
      <c r="H292" s="54">
        <f>F292/1.12</f>
        <v>312.49999999999994</v>
      </c>
      <c r="I292" s="10"/>
      <c r="J292" s="10"/>
      <c r="K292" s="10"/>
      <c r="L292" s="10"/>
      <c r="M292" s="10"/>
      <c r="N292" s="10"/>
      <c r="O292" s="10"/>
      <c r="P292" s="10"/>
      <c r="Q292" s="10"/>
      <c r="R292" s="10"/>
      <c r="S292" s="10"/>
      <c r="T292" s="10"/>
      <c r="U292" s="17"/>
      <c r="V292" s="10"/>
      <c r="W292" s="10"/>
      <c r="X292" s="10"/>
    </row>
    <row r="293" spans="1:24">
      <c r="A293" s="2"/>
      <c r="B293" s="11"/>
      <c r="C293" s="10"/>
      <c r="D293" s="10"/>
      <c r="E293" s="67" t="s">
        <v>49</v>
      </c>
      <c r="F293" s="69">
        <f>T282</f>
        <v>0</v>
      </c>
      <c r="G293" s="10"/>
      <c r="H293" s="54"/>
      <c r="I293" s="55"/>
      <c r="J293" s="42"/>
      <c r="K293" s="764" t="s">
        <v>50</v>
      </c>
      <c r="L293" s="765"/>
      <c r="M293" s="765"/>
      <c r="N293" s="765"/>
      <c r="O293" s="765"/>
      <c r="P293" s="765"/>
      <c r="Q293" s="766"/>
      <c r="R293" s="70" t="s">
        <v>28</v>
      </c>
      <c r="S293" s="71" t="s">
        <v>29</v>
      </c>
      <c r="T293" s="10"/>
      <c r="U293" s="17"/>
      <c r="V293" s="10"/>
      <c r="W293" s="10"/>
      <c r="X293" s="10"/>
    </row>
    <row r="294" spans="1:24">
      <c r="A294" s="2"/>
      <c r="B294" s="11"/>
      <c r="C294" s="10"/>
      <c r="D294" s="10"/>
      <c r="E294" s="155" t="s">
        <v>285</v>
      </c>
      <c r="F294" s="156">
        <f>7*50</f>
        <v>350</v>
      </c>
      <c r="G294" s="10"/>
      <c r="H294" s="10"/>
      <c r="I294" s="10"/>
      <c r="J294" s="42"/>
      <c r="K294" s="20" t="s">
        <v>31</v>
      </c>
      <c r="L294" s="21" t="s">
        <v>32</v>
      </c>
      <c r="M294" s="21" t="s">
        <v>33</v>
      </c>
      <c r="N294" s="21" t="s">
        <v>34</v>
      </c>
      <c r="O294" s="21" t="s">
        <v>35</v>
      </c>
      <c r="P294" s="21" t="s">
        <v>36</v>
      </c>
      <c r="Q294" s="49" t="s">
        <v>37</v>
      </c>
      <c r="R294" s="50" t="s">
        <v>38</v>
      </c>
      <c r="S294" s="50" t="s">
        <v>38</v>
      </c>
      <c r="T294" s="10"/>
      <c r="U294" s="17"/>
      <c r="V294" s="10"/>
      <c r="W294" s="10"/>
      <c r="X294" s="10"/>
    </row>
    <row r="295" spans="1:24">
      <c r="A295" s="2"/>
      <c r="B295" s="11"/>
      <c r="C295" s="10"/>
      <c r="D295" s="10"/>
      <c r="E295" s="10"/>
      <c r="F295" s="10"/>
      <c r="G295" s="10"/>
      <c r="H295" s="10"/>
      <c r="I295" s="10"/>
      <c r="J295" s="42"/>
      <c r="K295" s="56">
        <f>F305+F306+F307+F308</f>
        <v>4744</v>
      </c>
      <c r="L295" s="57">
        <f>F309+F310+F312+F311</f>
        <v>2407.3000000000002</v>
      </c>
      <c r="M295" s="57">
        <f>F315+F313+F314</f>
        <v>7136</v>
      </c>
      <c r="N295" s="57">
        <f>F316+F317+F318+F319</f>
        <v>5037</v>
      </c>
      <c r="O295" s="57">
        <f>F320+F330</f>
        <v>12424</v>
      </c>
      <c r="P295" s="57">
        <f>SUM(K295:O295)</f>
        <v>31748.3</v>
      </c>
      <c r="Q295" s="58">
        <f>F325</f>
        <v>1477.5</v>
      </c>
      <c r="R295" s="59">
        <f>+F331</f>
        <v>8641</v>
      </c>
      <c r="S295" s="59">
        <v>0</v>
      </c>
      <c r="T295" s="10"/>
      <c r="U295" s="17"/>
      <c r="V295" s="10"/>
      <c r="W295" s="10"/>
      <c r="X295" s="10"/>
    </row>
    <row r="296" spans="1:24">
      <c r="A296" s="2"/>
      <c r="B296" s="11"/>
      <c r="C296" s="10"/>
      <c r="D296" s="10"/>
      <c r="E296" s="10"/>
      <c r="F296" s="10"/>
      <c r="G296" s="10"/>
      <c r="H296" s="10"/>
      <c r="I296" s="10"/>
      <c r="J296" s="10" t="s">
        <v>42</v>
      </c>
      <c r="K296" s="63">
        <f>K288</f>
        <v>4</v>
      </c>
      <c r="L296" s="63">
        <f t="shared" ref="L296:Q297" si="75">L288</f>
        <v>4</v>
      </c>
      <c r="M296" s="63">
        <f t="shared" si="75"/>
        <v>3</v>
      </c>
      <c r="N296" s="63">
        <f t="shared" si="75"/>
        <v>4</v>
      </c>
      <c r="O296" s="63">
        <f t="shared" si="75"/>
        <v>2</v>
      </c>
      <c r="P296" s="63">
        <f t="shared" si="75"/>
        <v>17</v>
      </c>
      <c r="Q296" s="63">
        <f t="shared" si="75"/>
        <v>1</v>
      </c>
      <c r="R296" s="63"/>
      <c r="S296" s="10"/>
      <c r="T296" s="10"/>
      <c r="U296" s="17"/>
      <c r="V296" s="10"/>
      <c r="W296" s="10"/>
      <c r="X296" s="10"/>
    </row>
    <row r="297" spans="1:24">
      <c r="A297" s="2"/>
      <c r="B297" s="11"/>
      <c r="C297" s="10"/>
      <c r="D297" s="10"/>
      <c r="E297" s="10"/>
      <c r="F297" s="10"/>
      <c r="G297" s="10"/>
      <c r="H297" s="10"/>
      <c r="I297" s="10"/>
      <c r="J297" s="10" t="s">
        <v>44</v>
      </c>
      <c r="K297" s="63">
        <f>K289</f>
        <v>5</v>
      </c>
      <c r="L297" s="63">
        <f t="shared" si="75"/>
        <v>4</v>
      </c>
      <c r="M297" s="63">
        <f t="shared" si="75"/>
        <v>6</v>
      </c>
      <c r="N297" s="63">
        <f t="shared" si="75"/>
        <v>4</v>
      </c>
      <c r="O297" s="63">
        <f t="shared" si="75"/>
        <v>4</v>
      </c>
      <c r="P297" s="63">
        <f t="shared" si="75"/>
        <v>23</v>
      </c>
      <c r="Q297" s="63">
        <f t="shared" si="75"/>
        <v>0</v>
      </c>
      <c r="R297" s="63"/>
      <c r="S297" s="10"/>
      <c r="T297" s="10"/>
      <c r="U297" s="17"/>
      <c r="V297" s="10"/>
      <c r="W297" s="10"/>
      <c r="X297" s="10"/>
    </row>
    <row r="298" spans="1:24">
      <c r="A298" s="2"/>
      <c r="B298" s="11"/>
      <c r="C298" s="10"/>
      <c r="D298" s="10"/>
      <c r="E298" s="12"/>
      <c r="F298" s="76"/>
      <c r="G298" s="10"/>
      <c r="H298" s="10"/>
      <c r="I298" s="10"/>
      <c r="J298" s="10" t="s">
        <v>46</v>
      </c>
      <c r="K298" s="31">
        <f t="shared" ref="K298:Q298" si="76">K296/(K296+K297)</f>
        <v>0.44444444444444442</v>
      </c>
      <c r="L298" s="31">
        <f t="shared" si="76"/>
        <v>0.5</v>
      </c>
      <c r="M298" s="31">
        <f t="shared" si="76"/>
        <v>0.33333333333333331</v>
      </c>
      <c r="N298" s="31">
        <f t="shared" si="76"/>
        <v>0.5</v>
      </c>
      <c r="O298" s="31">
        <f t="shared" si="76"/>
        <v>0.33333333333333331</v>
      </c>
      <c r="P298" s="31">
        <f t="shared" si="76"/>
        <v>0.42499999999999999</v>
      </c>
      <c r="Q298" s="31">
        <f t="shared" si="76"/>
        <v>1</v>
      </c>
      <c r="R298" s="63"/>
      <c r="S298" s="10"/>
      <c r="T298" s="10"/>
      <c r="U298" s="17"/>
      <c r="V298" s="10"/>
      <c r="W298" s="10"/>
      <c r="X298" s="10"/>
    </row>
    <row r="299" spans="1:24">
      <c r="A299" s="2"/>
      <c r="B299" s="11"/>
      <c r="C299" s="10"/>
      <c r="D299" s="10"/>
      <c r="E299" s="10"/>
      <c r="F299" s="10"/>
      <c r="G299" s="10"/>
      <c r="H299" s="10"/>
      <c r="I299" s="10"/>
      <c r="J299" s="10" t="s">
        <v>48</v>
      </c>
      <c r="K299" s="66">
        <f t="shared" ref="K299:Q299" si="77">K295/K296</f>
        <v>1186</v>
      </c>
      <c r="L299" s="66">
        <f t="shared" si="77"/>
        <v>601.82500000000005</v>
      </c>
      <c r="M299" s="66">
        <f t="shared" si="77"/>
        <v>2378.6666666666665</v>
      </c>
      <c r="N299" s="66">
        <f t="shared" si="77"/>
        <v>1259.25</v>
      </c>
      <c r="O299" s="66">
        <f t="shared" si="77"/>
        <v>6212</v>
      </c>
      <c r="P299" s="66">
        <f t="shared" si="77"/>
        <v>1867.5470588235294</v>
      </c>
      <c r="Q299" s="66">
        <f t="shared" si="77"/>
        <v>1477.5</v>
      </c>
      <c r="R299" s="63"/>
      <c r="S299" s="10"/>
      <c r="T299" s="10"/>
      <c r="U299" s="17"/>
      <c r="V299" s="10"/>
      <c r="W299" s="10"/>
      <c r="X299" s="10"/>
    </row>
    <row r="300" spans="1:24">
      <c r="A300" s="2"/>
      <c r="B300" s="11"/>
      <c r="C300" s="10"/>
      <c r="D300" s="10"/>
      <c r="E300" s="10"/>
      <c r="F300" s="10"/>
      <c r="G300" s="10"/>
      <c r="H300" s="10"/>
      <c r="I300" s="10"/>
      <c r="J300" s="10"/>
      <c r="K300" s="10"/>
      <c r="L300" s="10"/>
      <c r="M300" s="10"/>
      <c r="N300" s="10"/>
      <c r="O300" s="10"/>
      <c r="P300" s="10"/>
      <c r="Q300" s="10"/>
      <c r="R300" s="10"/>
      <c r="S300" s="10"/>
      <c r="T300" s="10"/>
      <c r="U300" s="17"/>
      <c r="V300" s="10"/>
      <c r="W300" s="10"/>
      <c r="X300" s="10"/>
    </row>
    <row r="301" spans="1:24">
      <c r="A301" s="2"/>
      <c r="B301" s="11"/>
      <c r="C301" s="10"/>
      <c r="D301" s="10"/>
      <c r="E301" s="10"/>
      <c r="F301" s="10"/>
      <c r="G301" s="10"/>
      <c r="H301" s="10"/>
      <c r="I301" s="10"/>
      <c r="J301" s="10"/>
      <c r="K301" s="10"/>
      <c r="L301" s="10"/>
      <c r="M301" s="10"/>
      <c r="N301" s="10"/>
      <c r="O301" s="10"/>
      <c r="P301" s="10"/>
      <c r="Q301" s="10"/>
      <c r="R301" s="10"/>
      <c r="S301" s="10"/>
      <c r="T301" s="10"/>
      <c r="U301" s="17"/>
      <c r="V301" s="10"/>
      <c r="W301" s="10"/>
      <c r="X301" s="10"/>
    </row>
    <row r="302" spans="1:24">
      <c r="A302" s="2"/>
      <c r="B302" s="18" t="s">
        <v>51</v>
      </c>
      <c r="C302" s="14"/>
      <c r="D302" s="14"/>
      <c r="E302" s="14"/>
      <c r="F302" s="13" t="s">
        <v>52</v>
      </c>
      <c r="G302" s="14"/>
      <c r="H302" s="14"/>
      <c r="I302" s="14"/>
      <c r="J302" s="14"/>
      <c r="K302" s="13" t="s">
        <v>3</v>
      </c>
      <c r="L302" s="14"/>
      <c r="M302" s="14"/>
      <c r="N302" s="13" t="s">
        <v>4</v>
      </c>
      <c r="O302" s="14"/>
      <c r="P302" s="14"/>
      <c r="Q302" s="13" t="s">
        <v>5</v>
      </c>
      <c r="R302" s="14"/>
      <c r="S302" s="14"/>
      <c r="T302" s="18"/>
      <c r="U302" s="16" t="s">
        <v>53</v>
      </c>
      <c r="V302" s="77"/>
      <c r="W302" s="77"/>
      <c r="X302" s="77"/>
    </row>
    <row r="303" spans="1:24">
      <c r="A303" s="2"/>
      <c r="B303" s="24" t="s">
        <v>54</v>
      </c>
      <c r="C303" s="21" t="s">
        <v>55</v>
      </c>
      <c r="D303" s="21" t="s">
        <v>56</v>
      </c>
      <c r="E303" s="21" t="s">
        <v>57</v>
      </c>
      <c r="F303" s="20" t="s">
        <v>58</v>
      </c>
      <c r="G303" s="21" t="s">
        <v>59</v>
      </c>
      <c r="H303" s="21" t="s">
        <v>60</v>
      </c>
      <c r="I303" s="21" t="s">
        <v>26</v>
      </c>
      <c r="J303" s="22" t="s">
        <v>61</v>
      </c>
      <c r="K303" s="21" t="s">
        <v>8</v>
      </c>
      <c r="L303" s="21" t="s">
        <v>9</v>
      </c>
      <c r="M303" s="21" t="s">
        <v>10</v>
      </c>
      <c r="N303" s="20" t="s">
        <v>11</v>
      </c>
      <c r="O303" s="21" t="s">
        <v>12</v>
      </c>
      <c r="P303" s="22" t="s">
        <v>13</v>
      </c>
      <c r="Q303" s="21" t="s">
        <v>11</v>
      </c>
      <c r="R303" s="21" t="s">
        <v>12</v>
      </c>
      <c r="S303" s="21" t="s">
        <v>13</v>
      </c>
      <c r="T303" s="78" t="s">
        <v>14</v>
      </c>
      <c r="U303" s="30"/>
      <c r="V303" s="79" t="s">
        <v>62</v>
      </c>
      <c r="W303" s="80" t="s">
        <v>63</v>
      </c>
      <c r="X303" s="81" t="s">
        <v>64</v>
      </c>
    </row>
    <row r="304" spans="1:24">
      <c r="A304" s="2"/>
      <c r="B304" s="4" t="s">
        <v>65</v>
      </c>
      <c r="C304" s="6"/>
      <c r="D304" s="6"/>
      <c r="E304" s="6"/>
      <c r="F304" s="6"/>
      <c r="G304" s="6"/>
      <c r="H304" s="6"/>
      <c r="I304" s="82"/>
      <c r="J304" s="6"/>
      <c r="K304" s="6"/>
      <c r="L304" s="6"/>
      <c r="M304" s="6"/>
      <c r="N304" s="6"/>
      <c r="O304" s="6"/>
      <c r="P304" s="6"/>
      <c r="Q304" s="6"/>
      <c r="R304" s="6"/>
      <c r="S304" s="6"/>
      <c r="T304" s="83"/>
      <c r="U304" s="6"/>
      <c r="V304" s="84"/>
      <c r="W304" s="85"/>
      <c r="X304" s="86"/>
    </row>
    <row r="305" spans="1:24">
      <c r="A305" s="2"/>
      <c r="B305" s="87">
        <v>1</v>
      </c>
      <c r="C305" s="274">
        <v>45894</v>
      </c>
      <c r="D305" s="327">
        <v>72578</v>
      </c>
      <c r="E305" s="276" t="s">
        <v>1030</v>
      </c>
      <c r="F305" s="277">
        <v>1681</v>
      </c>
      <c r="G305" s="277">
        <f>39.7+(22.62+22.62)</f>
        <v>84.94</v>
      </c>
      <c r="H305" s="297"/>
      <c r="I305" s="278">
        <f t="shared" ref="I305:I319" si="78">F305-G305-H305</f>
        <v>1596.06</v>
      </c>
      <c r="J305" s="279" t="s">
        <v>156</v>
      </c>
      <c r="K305" s="279">
        <v>1</v>
      </c>
      <c r="L305" s="279">
        <v>1</v>
      </c>
      <c r="M305" s="279">
        <v>1</v>
      </c>
      <c r="N305" s="279">
        <v>1</v>
      </c>
      <c r="O305" s="279">
        <v>1</v>
      </c>
      <c r="P305" s="279">
        <v>1</v>
      </c>
      <c r="Q305" s="279">
        <v>1</v>
      </c>
      <c r="R305" s="279">
        <v>1</v>
      </c>
      <c r="S305" s="280">
        <v>1</v>
      </c>
      <c r="T305" s="21">
        <v>1</v>
      </c>
      <c r="U305" s="10"/>
      <c r="V305" s="90">
        <f>184.91+1664.19</f>
        <v>1849.1000000000001</v>
      </c>
      <c r="W305" s="91"/>
      <c r="X305" s="92"/>
    </row>
    <row r="306" spans="1:24">
      <c r="A306" s="2"/>
      <c r="B306" s="87">
        <f t="shared" ref="B306:B320" si="79">B305+1</f>
        <v>2</v>
      </c>
      <c r="C306" s="295">
        <v>45894</v>
      </c>
      <c r="D306" s="323">
        <v>72591</v>
      </c>
      <c r="E306" s="10" t="s">
        <v>1031</v>
      </c>
      <c r="F306" s="62">
        <v>1264</v>
      </c>
      <c r="G306" s="62">
        <f>39.7+(35.34)</f>
        <v>75.040000000000006</v>
      </c>
      <c r="H306" s="62"/>
      <c r="I306" s="89">
        <f t="shared" si="78"/>
        <v>1188.96</v>
      </c>
      <c r="J306" s="63" t="s">
        <v>156</v>
      </c>
      <c r="K306" s="63">
        <v>1</v>
      </c>
      <c r="L306" s="63">
        <v>1</v>
      </c>
      <c r="M306" s="63">
        <v>1</v>
      </c>
      <c r="N306" s="63">
        <v>1</v>
      </c>
      <c r="O306" s="63">
        <v>1</v>
      </c>
      <c r="P306" s="63">
        <v>1</v>
      </c>
      <c r="Q306" s="63">
        <v>1</v>
      </c>
      <c r="R306" s="63">
        <v>1</v>
      </c>
      <c r="S306" s="296">
        <v>1</v>
      </c>
      <c r="T306" s="21">
        <v>1</v>
      </c>
      <c r="U306" s="10"/>
      <c r="V306" s="90">
        <f>139.04+1251.36</f>
        <v>1390.3999999999999</v>
      </c>
      <c r="W306" s="91"/>
      <c r="X306" s="92"/>
    </row>
    <row r="307" spans="1:24">
      <c r="A307" s="93" t="s">
        <v>1032</v>
      </c>
      <c r="B307" s="87">
        <f t="shared" si="79"/>
        <v>3</v>
      </c>
      <c r="C307" s="295">
        <v>45894</v>
      </c>
      <c r="D307" s="323">
        <v>72624</v>
      </c>
      <c r="E307" s="10" t="s">
        <v>725</v>
      </c>
      <c r="F307" s="62">
        <f>1323-185-200</f>
        <v>938</v>
      </c>
      <c r="G307" s="62">
        <f>39.7</f>
        <v>39.700000000000003</v>
      </c>
      <c r="H307" s="62"/>
      <c r="I307" s="369">
        <f t="shared" si="78"/>
        <v>898.3</v>
      </c>
      <c r="J307" s="63" t="s">
        <v>156</v>
      </c>
      <c r="K307" s="63">
        <v>1</v>
      </c>
      <c r="L307" s="63">
        <v>1</v>
      </c>
      <c r="M307" s="63">
        <v>1</v>
      </c>
      <c r="N307" s="63">
        <v>1</v>
      </c>
      <c r="O307" s="63">
        <v>1</v>
      </c>
      <c r="P307" s="63">
        <v>1</v>
      </c>
      <c r="Q307" s="63">
        <v>1</v>
      </c>
      <c r="R307" s="63">
        <v>1</v>
      </c>
      <c r="S307" s="296">
        <v>1</v>
      </c>
      <c r="T307" s="63"/>
      <c r="U307" s="10" t="s">
        <v>1033</v>
      </c>
      <c r="V307" s="90">
        <f>203.5+125.18+1126.62</f>
        <v>1455.3</v>
      </c>
      <c r="W307" s="91"/>
      <c r="X307" s="92"/>
    </row>
    <row r="308" spans="1:24">
      <c r="A308" s="2"/>
      <c r="B308" s="87">
        <f t="shared" si="79"/>
        <v>4</v>
      </c>
      <c r="C308" s="295">
        <v>45894</v>
      </c>
      <c r="D308" s="323">
        <v>72613</v>
      </c>
      <c r="E308" s="94" t="s">
        <v>1034</v>
      </c>
      <c r="F308" s="62">
        <v>861</v>
      </c>
      <c r="G308" s="62">
        <f>39.7+(33.34)</f>
        <v>73.040000000000006</v>
      </c>
      <c r="H308" s="62"/>
      <c r="I308" s="369">
        <f t="shared" si="78"/>
        <v>787.96</v>
      </c>
      <c r="J308" s="63" t="s">
        <v>156</v>
      </c>
      <c r="K308" s="63">
        <v>1</v>
      </c>
      <c r="L308" s="63">
        <v>1</v>
      </c>
      <c r="M308" s="63">
        <v>1</v>
      </c>
      <c r="N308" s="63">
        <v>1</v>
      </c>
      <c r="O308" s="63">
        <v>1</v>
      </c>
      <c r="P308" s="63">
        <v>1</v>
      </c>
      <c r="Q308" s="63">
        <v>1</v>
      </c>
      <c r="R308" s="63">
        <v>1</v>
      </c>
      <c r="S308" s="296">
        <v>1</v>
      </c>
      <c r="T308" s="21">
        <v>1</v>
      </c>
      <c r="U308" s="10" t="s">
        <v>1035</v>
      </c>
      <c r="V308" s="90">
        <f>94.71+852.39</f>
        <v>947.1</v>
      </c>
      <c r="W308" s="91"/>
      <c r="X308" s="92"/>
    </row>
    <row r="309" spans="1:24">
      <c r="A309" s="2"/>
      <c r="B309" s="87">
        <f t="shared" si="79"/>
        <v>5</v>
      </c>
      <c r="C309" s="274">
        <v>45895</v>
      </c>
      <c r="D309" s="327">
        <v>72625</v>
      </c>
      <c r="E309" s="276" t="s">
        <v>973</v>
      </c>
      <c r="F309" s="277">
        <v>621</v>
      </c>
      <c r="G309" s="277"/>
      <c r="H309" s="277"/>
      <c r="I309" s="278">
        <f t="shared" si="78"/>
        <v>621</v>
      </c>
      <c r="J309" s="279" t="s">
        <v>156</v>
      </c>
      <c r="K309" s="279">
        <v>1</v>
      </c>
      <c r="L309" s="279">
        <v>1</v>
      </c>
      <c r="M309" s="279">
        <v>1</v>
      </c>
      <c r="N309" s="279">
        <v>1</v>
      </c>
      <c r="O309" s="279">
        <v>1</v>
      </c>
      <c r="P309" s="279">
        <v>1</v>
      </c>
      <c r="Q309" s="279">
        <v>1</v>
      </c>
      <c r="R309" s="279">
        <v>1</v>
      </c>
      <c r="S309" s="280">
        <v>1</v>
      </c>
      <c r="T309" s="21">
        <v>1</v>
      </c>
      <c r="U309" s="10"/>
      <c r="V309" s="90">
        <f>68.31+614.79</f>
        <v>683.09999999999991</v>
      </c>
      <c r="W309" s="91"/>
      <c r="X309" s="92"/>
    </row>
    <row r="310" spans="1:24">
      <c r="A310" s="2"/>
      <c r="B310" s="87">
        <f t="shared" si="79"/>
        <v>6</v>
      </c>
      <c r="C310" s="295">
        <v>45895</v>
      </c>
      <c r="D310" s="323">
        <v>72636</v>
      </c>
      <c r="E310" s="10" t="s">
        <v>1036</v>
      </c>
      <c r="F310" s="62">
        <v>619.20000000000005</v>
      </c>
      <c r="G310" s="62"/>
      <c r="H310" s="88"/>
      <c r="I310" s="89">
        <f t="shared" si="78"/>
        <v>619.20000000000005</v>
      </c>
      <c r="J310" s="63" t="s">
        <v>156</v>
      </c>
      <c r="K310" s="63">
        <v>1</v>
      </c>
      <c r="L310" s="63">
        <v>1</v>
      </c>
      <c r="M310" s="63">
        <v>1</v>
      </c>
      <c r="N310" s="63">
        <v>1</v>
      </c>
      <c r="O310" s="63">
        <v>1</v>
      </c>
      <c r="P310" s="63">
        <v>1</v>
      </c>
      <c r="Q310" s="63">
        <v>1</v>
      </c>
      <c r="R310" s="63">
        <v>1</v>
      </c>
      <c r="S310" s="296">
        <v>1</v>
      </c>
      <c r="T310" s="21">
        <v>1</v>
      </c>
      <c r="U310" s="10"/>
      <c r="V310" s="90">
        <f>68.11+183.9+429.11</f>
        <v>681.12</v>
      </c>
      <c r="W310" s="91"/>
      <c r="X310" s="92"/>
    </row>
    <row r="311" spans="1:24" s="260" customFormat="1">
      <c r="A311" s="181"/>
      <c r="B311" s="87">
        <f t="shared" si="79"/>
        <v>7</v>
      </c>
      <c r="C311" s="295">
        <v>45895</v>
      </c>
      <c r="D311" s="323">
        <v>72645</v>
      </c>
      <c r="E311" s="10" t="s">
        <v>1037</v>
      </c>
      <c r="F311" s="62">
        <v>486.1</v>
      </c>
      <c r="G311" s="62">
        <f>39.7+(932.58-797.51)+250</f>
        <v>424.77000000000004</v>
      </c>
      <c r="H311" s="62"/>
      <c r="I311" s="369">
        <f>F311-G311-H311</f>
        <v>61.329999999999984</v>
      </c>
      <c r="J311" s="63" t="s">
        <v>156</v>
      </c>
      <c r="K311" s="63">
        <v>1</v>
      </c>
      <c r="L311" s="63">
        <v>1</v>
      </c>
      <c r="M311" s="63">
        <v>1</v>
      </c>
      <c r="N311" s="63">
        <v>1</v>
      </c>
      <c r="O311" s="63">
        <v>1</v>
      </c>
      <c r="P311" s="63">
        <v>1</v>
      </c>
      <c r="Q311" s="63">
        <v>1</v>
      </c>
      <c r="R311" s="63">
        <v>1</v>
      </c>
      <c r="S311" s="326">
        <v>0</v>
      </c>
      <c r="T311" s="63"/>
      <c r="U311" s="94" t="s">
        <v>1038</v>
      </c>
      <c r="V311" s="90">
        <f>534.71</f>
        <v>534.71</v>
      </c>
      <c r="W311" s="136"/>
      <c r="X311" s="137"/>
    </row>
    <row r="312" spans="1:24">
      <c r="A312" s="2"/>
      <c r="B312" s="87">
        <f t="shared" si="79"/>
        <v>8</v>
      </c>
      <c r="C312" s="282">
        <v>45895</v>
      </c>
      <c r="D312" s="330" t="s">
        <v>1039</v>
      </c>
      <c r="E312" s="283" t="s">
        <v>780</v>
      </c>
      <c r="F312" s="284">
        <v>681</v>
      </c>
      <c r="G312" s="284"/>
      <c r="H312" s="315"/>
      <c r="I312" s="331">
        <f t="shared" si="78"/>
        <v>681</v>
      </c>
      <c r="J312" s="286" t="s">
        <v>156</v>
      </c>
      <c r="K312" s="286">
        <v>1</v>
      </c>
      <c r="L312" s="286">
        <v>1</v>
      </c>
      <c r="M312" s="286">
        <v>1</v>
      </c>
      <c r="N312" s="286">
        <v>1</v>
      </c>
      <c r="O312" s="286">
        <v>1</v>
      </c>
      <c r="P312" s="286">
        <v>1</v>
      </c>
      <c r="Q312" s="286">
        <v>1</v>
      </c>
      <c r="R312" s="286">
        <v>1</v>
      </c>
      <c r="S312" s="287">
        <v>1</v>
      </c>
      <c r="T312" s="63"/>
      <c r="U312" s="10" t="s">
        <v>1040</v>
      </c>
      <c r="V312" s="90">
        <f>74.91+674.19</f>
        <v>749.1</v>
      </c>
      <c r="W312" s="91"/>
      <c r="X312" s="92"/>
    </row>
    <row r="313" spans="1:24">
      <c r="A313" s="2"/>
      <c r="B313" s="87">
        <f t="shared" si="79"/>
        <v>9</v>
      </c>
      <c r="C313" s="295">
        <v>45896</v>
      </c>
      <c r="D313" s="323">
        <v>72671</v>
      </c>
      <c r="E313" s="101" t="s">
        <v>604</v>
      </c>
      <c r="F313" s="62">
        <v>4461</v>
      </c>
      <c r="G313" s="62">
        <f>39.7+127.2</f>
        <v>166.9</v>
      </c>
      <c r="H313" s="62"/>
      <c r="I313" s="89">
        <f>F313-G313-H313</f>
        <v>4294.1000000000004</v>
      </c>
      <c r="J313" s="63" t="s">
        <v>374</v>
      </c>
      <c r="K313" s="63">
        <v>1</v>
      </c>
      <c r="L313" s="63">
        <v>1</v>
      </c>
      <c r="M313" s="63">
        <v>1</v>
      </c>
      <c r="N313" s="63">
        <v>1</v>
      </c>
      <c r="O313" s="63">
        <v>1</v>
      </c>
      <c r="P313" s="63">
        <v>1</v>
      </c>
      <c r="Q313" s="63">
        <v>1</v>
      </c>
      <c r="R313" s="63">
        <v>1</v>
      </c>
      <c r="S313" s="296">
        <v>1</v>
      </c>
      <c r="T313" s="63"/>
      <c r="U313" s="10" t="s">
        <v>1041</v>
      </c>
      <c r="V313" s="90">
        <v>4907.1000000000004</v>
      </c>
      <c r="W313" s="91"/>
      <c r="X313" s="92"/>
    </row>
    <row r="314" spans="1:24">
      <c r="A314" s="2"/>
      <c r="B314" s="87">
        <f t="shared" si="79"/>
        <v>10</v>
      </c>
      <c r="C314" s="295">
        <v>45896</v>
      </c>
      <c r="D314" s="323">
        <v>72695</v>
      </c>
      <c r="E314" s="10" t="s">
        <v>1042</v>
      </c>
      <c r="F314" s="62">
        <v>1861</v>
      </c>
      <c r="G314" s="62">
        <f>39.7+398</f>
        <v>437.7</v>
      </c>
      <c r="H314" s="62"/>
      <c r="I314" s="89">
        <f t="shared" ref="I314" si="80">F314-G314-H314</f>
        <v>1423.3</v>
      </c>
      <c r="J314" s="63" t="s">
        <v>156</v>
      </c>
      <c r="K314" s="63">
        <v>1</v>
      </c>
      <c r="L314" s="63">
        <v>1</v>
      </c>
      <c r="M314" s="63">
        <v>1</v>
      </c>
      <c r="N314" s="63">
        <v>1</v>
      </c>
      <c r="O314" s="63">
        <v>1</v>
      </c>
      <c r="P314" s="63">
        <v>1</v>
      </c>
      <c r="Q314" s="63">
        <v>1</v>
      </c>
      <c r="R314" s="63">
        <v>1</v>
      </c>
      <c r="S314" s="296">
        <v>1</v>
      </c>
      <c r="T314" s="63"/>
      <c r="U314" s="94"/>
      <c r="V314" s="90">
        <f>204.71+1842.39</f>
        <v>2047.1000000000001</v>
      </c>
      <c r="W314" s="91"/>
      <c r="X314" s="92"/>
    </row>
    <row r="315" spans="1:24">
      <c r="A315" s="2"/>
      <c r="B315" s="87">
        <f t="shared" si="79"/>
        <v>11</v>
      </c>
      <c r="C315" s="282">
        <v>45896</v>
      </c>
      <c r="D315" s="368">
        <v>72691</v>
      </c>
      <c r="E315" s="283" t="s">
        <v>1043</v>
      </c>
      <c r="F315" s="284">
        <v>814</v>
      </c>
      <c r="G315" s="284">
        <v>39.700000000000003</v>
      </c>
      <c r="H315" s="315"/>
      <c r="I315" s="331">
        <f t="shared" si="78"/>
        <v>774.3</v>
      </c>
      <c r="J315" s="286" t="s">
        <v>156</v>
      </c>
      <c r="K315" s="286">
        <v>1</v>
      </c>
      <c r="L315" s="286">
        <v>1</v>
      </c>
      <c r="M315" s="286">
        <v>1</v>
      </c>
      <c r="N315" s="286">
        <v>1</v>
      </c>
      <c r="O315" s="286">
        <v>1</v>
      </c>
      <c r="P315" s="286">
        <v>1</v>
      </c>
      <c r="Q315" s="286">
        <v>1</v>
      </c>
      <c r="R315" s="286">
        <v>1</v>
      </c>
      <c r="S315" s="287">
        <v>1</v>
      </c>
      <c r="T315" s="21">
        <v>1</v>
      </c>
      <c r="U315" s="10" t="s">
        <v>1044</v>
      </c>
      <c r="V315" s="90">
        <f>89.54+805.86</f>
        <v>895.4</v>
      </c>
      <c r="W315" s="91"/>
      <c r="X315" s="92"/>
    </row>
    <row r="316" spans="1:24">
      <c r="A316" s="2"/>
      <c r="B316" s="87">
        <f t="shared" si="79"/>
        <v>12</v>
      </c>
      <c r="C316" s="295">
        <v>45897</v>
      </c>
      <c r="D316" s="323">
        <v>72716</v>
      </c>
      <c r="E316" s="10" t="s">
        <v>1045</v>
      </c>
      <c r="F316" s="62">
        <f>766-85</f>
        <v>681</v>
      </c>
      <c r="G316" s="62"/>
      <c r="H316" s="88"/>
      <c r="I316" s="324">
        <f t="shared" si="78"/>
        <v>681</v>
      </c>
      <c r="J316" s="63" t="s">
        <v>156</v>
      </c>
      <c r="K316" s="63">
        <v>1</v>
      </c>
      <c r="L316" s="63">
        <v>1</v>
      </c>
      <c r="M316" s="63">
        <v>1</v>
      </c>
      <c r="N316" s="63">
        <v>1</v>
      </c>
      <c r="O316" s="63">
        <v>1</v>
      </c>
      <c r="P316" s="325">
        <v>0</v>
      </c>
      <c r="Q316" s="63">
        <v>1</v>
      </c>
      <c r="R316" s="63">
        <v>1</v>
      </c>
      <c r="S316" s="326">
        <v>0</v>
      </c>
      <c r="T316" s="63"/>
      <c r="U316" s="10"/>
      <c r="V316" s="90">
        <f>93.5+65.56+590.04</f>
        <v>749.09999999999991</v>
      </c>
      <c r="W316" s="91"/>
      <c r="X316" s="92"/>
    </row>
    <row r="317" spans="1:24">
      <c r="A317" s="2"/>
      <c r="B317" s="87">
        <f t="shared" si="79"/>
        <v>13</v>
      </c>
      <c r="C317" s="295">
        <v>45897</v>
      </c>
      <c r="D317" s="323">
        <v>72724</v>
      </c>
      <c r="E317" s="10" t="s">
        <v>1046</v>
      </c>
      <c r="F317" s="62">
        <v>681</v>
      </c>
      <c r="G317" s="62"/>
      <c r="H317" s="88"/>
      <c r="I317" s="89">
        <f t="shared" si="78"/>
        <v>681</v>
      </c>
      <c r="J317" s="63" t="s">
        <v>156</v>
      </c>
      <c r="K317" s="63">
        <v>1</v>
      </c>
      <c r="L317" s="63">
        <v>1</v>
      </c>
      <c r="M317" s="63">
        <v>1</v>
      </c>
      <c r="N317" s="63">
        <v>1</v>
      </c>
      <c r="O317" s="63">
        <v>1</v>
      </c>
      <c r="P317" s="63">
        <v>1</v>
      </c>
      <c r="Q317" s="63">
        <v>1</v>
      </c>
      <c r="R317" s="63">
        <v>1</v>
      </c>
      <c r="S317" s="296">
        <v>1</v>
      </c>
      <c r="T317" s="63"/>
      <c r="U317" s="10"/>
      <c r="V317" s="90">
        <f>74.91+674.19</f>
        <v>749.1</v>
      </c>
      <c r="W317" s="91"/>
      <c r="X317" s="92"/>
    </row>
    <row r="318" spans="1:24">
      <c r="A318" s="2"/>
      <c r="B318" s="87">
        <f t="shared" si="79"/>
        <v>14</v>
      </c>
      <c r="C318" s="295">
        <v>45897</v>
      </c>
      <c r="D318" s="323">
        <v>72731</v>
      </c>
      <c r="E318" s="10" t="s">
        <v>1047</v>
      </c>
      <c r="F318" s="95">
        <v>814</v>
      </c>
      <c r="G318" s="62">
        <f>39.7+(19.25)</f>
        <v>58.95</v>
      </c>
      <c r="H318" s="62"/>
      <c r="I318" s="89">
        <f t="shared" si="78"/>
        <v>755.05</v>
      </c>
      <c r="J318" s="63" t="s">
        <v>156</v>
      </c>
      <c r="K318" s="63">
        <v>1</v>
      </c>
      <c r="L318" s="63">
        <v>1</v>
      </c>
      <c r="M318" s="63">
        <v>1</v>
      </c>
      <c r="N318" s="63">
        <v>1</v>
      </c>
      <c r="O318" s="63">
        <v>1</v>
      </c>
      <c r="P318" s="63">
        <v>1</v>
      </c>
      <c r="Q318" s="63">
        <v>1</v>
      </c>
      <c r="R318" s="63">
        <v>1</v>
      </c>
      <c r="S318" s="296">
        <v>1</v>
      </c>
      <c r="T318" s="21">
        <v>1</v>
      </c>
      <c r="U318" s="10"/>
      <c r="V318" s="90">
        <f>89.54+805.86</f>
        <v>895.4</v>
      </c>
      <c r="W318" s="91"/>
      <c r="X318" s="92"/>
    </row>
    <row r="319" spans="1:24">
      <c r="A319" s="2"/>
      <c r="B319" s="87">
        <f t="shared" si="79"/>
        <v>15</v>
      </c>
      <c r="C319" s="282">
        <v>45897</v>
      </c>
      <c r="D319" s="368">
        <v>72725</v>
      </c>
      <c r="E319" s="283" t="s">
        <v>1047</v>
      </c>
      <c r="F319" s="423">
        <v>2861</v>
      </c>
      <c r="G319" s="284">
        <f>39.7+(24)</f>
        <v>63.7</v>
      </c>
      <c r="H319" s="284"/>
      <c r="I319" s="285">
        <f t="shared" si="78"/>
        <v>2797.3</v>
      </c>
      <c r="J319" s="286" t="s">
        <v>156</v>
      </c>
      <c r="K319" s="286">
        <v>1</v>
      </c>
      <c r="L319" s="286">
        <v>1</v>
      </c>
      <c r="M319" s="286">
        <v>1</v>
      </c>
      <c r="N319" s="286">
        <v>1</v>
      </c>
      <c r="O319" s="286">
        <v>1</v>
      </c>
      <c r="P319" s="286">
        <v>1</v>
      </c>
      <c r="Q319" s="286">
        <v>1</v>
      </c>
      <c r="R319" s="286">
        <v>1</v>
      </c>
      <c r="S319" s="287">
        <v>1</v>
      </c>
      <c r="T319" s="63"/>
      <c r="U319" s="10" t="s">
        <v>1048</v>
      </c>
      <c r="V319" s="90">
        <f>314.71+2832.39</f>
        <v>3147.1</v>
      </c>
      <c r="W319" s="91"/>
      <c r="X319" s="92"/>
    </row>
    <row r="320" spans="1:24">
      <c r="A320" s="2"/>
      <c r="B320" s="87">
        <f t="shared" si="79"/>
        <v>16</v>
      </c>
      <c r="C320" s="262">
        <v>45898</v>
      </c>
      <c r="D320" s="263">
        <v>72483</v>
      </c>
      <c r="E320" s="264" t="s">
        <v>1042</v>
      </c>
      <c r="F320" s="265">
        <v>3783</v>
      </c>
      <c r="G320" s="265">
        <f>39.7+(210.54)+200</f>
        <v>450.24</v>
      </c>
      <c r="H320" s="265"/>
      <c r="I320" s="272">
        <f t="shared" ref="I320" si="81">F320-G320-H320</f>
        <v>3332.76</v>
      </c>
      <c r="J320" s="267" t="s">
        <v>228</v>
      </c>
      <c r="K320" s="267">
        <v>1</v>
      </c>
      <c r="L320" s="267">
        <v>1</v>
      </c>
      <c r="M320" s="267">
        <v>1</v>
      </c>
      <c r="N320" s="267">
        <v>1</v>
      </c>
      <c r="O320" s="267">
        <v>1</v>
      </c>
      <c r="P320" s="267">
        <v>1</v>
      </c>
      <c r="Q320" s="267">
        <v>1</v>
      </c>
      <c r="R320" s="267">
        <v>1</v>
      </c>
      <c r="S320" s="269">
        <v>1</v>
      </c>
      <c r="T320" s="63"/>
      <c r="U320" s="94" t="s">
        <v>1049</v>
      </c>
      <c r="V320" s="90">
        <f>416.13+3745.17</f>
        <v>4161.3</v>
      </c>
      <c r="W320" s="91"/>
      <c r="X320" s="92"/>
    </row>
    <row r="321" spans="1:25">
      <c r="A321" s="2"/>
      <c r="B321" s="87"/>
      <c r="C321" s="36"/>
      <c r="D321" s="10"/>
      <c r="E321" s="10"/>
      <c r="F321" s="98">
        <f t="shared" ref="F321:H321" si="82">SUM(F305:F320)</f>
        <v>23107.3</v>
      </c>
      <c r="G321" s="98">
        <f t="shared" si="82"/>
        <v>1914.68</v>
      </c>
      <c r="H321" s="98">
        <f t="shared" si="82"/>
        <v>0</v>
      </c>
      <c r="I321" s="98">
        <f>SUM(I305:I320)</f>
        <v>21192.619999999995</v>
      </c>
      <c r="J321" s="63"/>
      <c r="K321" s="63">
        <f>COUNT(K305:K320)</f>
        <v>16</v>
      </c>
      <c r="L321" s="63">
        <f t="shared" ref="L321:S321" si="83">COUNT(L305:L320)</f>
        <v>16</v>
      </c>
      <c r="M321" s="63">
        <f t="shared" si="83"/>
        <v>16</v>
      </c>
      <c r="N321" s="63">
        <f t="shared" si="83"/>
        <v>16</v>
      </c>
      <c r="O321" s="63">
        <f t="shared" si="83"/>
        <v>16</v>
      </c>
      <c r="P321" s="63">
        <f t="shared" si="83"/>
        <v>16</v>
      </c>
      <c r="Q321" s="63">
        <f t="shared" si="83"/>
        <v>16</v>
      </c>
      <c r="R321" s="63">
        <f t="shared" si="83"/>
        <v>16</v>
      </c>
      <c r="S321" s="63">
        <f t="shared" si="83"/>
        <v>16</v>
      </c>
      <c r="T321" s="63"/>
      <c r="U321" s="10"/>
      <c r="V321" s="90"/>
      <c r="W321" s="91"/>
      <c r="X321" s="92"/>
    </row>
    <row r="322" spans="1:25">
      <c r="A322" s="2"/>
      <c r="B322" s="87"/>
      <c r="C322" s="36"/>
      <c r="D322" s="10"/>
      <c r="E322" s="10"/>
      <c r="F322" s="88"/>
      <c r="G322" s="88"/>
      <c r="H322" s="88"/>
      <c r="I322" s="99"/>
      <c r="J322" s="63"/>
      <c r="K322" s="21">
        <f>SUM(K305:K320)</f>
        <v>16</v>
      </c>
      <c r="L322" s="21">
        <f t="shared" ref="L322:S322" si="84">SUM(L305:L320)</f>
        <v>16</v>
      </c>
      <c r="M322" s="21">
        <f t="shared" si="84"/>
        <v>16</v>
      </c>
      <c r="N322" s="21">
        <f t="shared" si="84"/>
        <v>16</v>
      </c>
      <c r="O322" s="21">
        <f t="shared" si="84"/>
        <v>16</v>
      </c>
      <c r="P322" s="21">
        <f t="shared" si="84"/>
        <v>15</v>
      </c>
      <c r="Q322" s="21">
        <f t="shared" si="84"/>
        <v>16</v>
      </c>
      <c r="R322" s="21">
        <f t="shared" si="84"/>
        <v>16</v>
      </c>
      <c r="S322" s="21">
        <f t="shared" si="84"/>
        <v>14</v>
      </c>
      <c r="T322" s="63"/>
      <c r="U322" s="10"/>
      <c r="V322" s="90"/>
      <c r="W322" s="91"/>
      <c r="X322" s="92"/>
    </row>
    <row r="323" spans="1:25">
      <c r="A323" s="2"/>
      <c r="B323" s="11"/>
      <c r="C323" s="36"/>
      <c r="D323" s="10"/>
      <c r="E323" s="10"/>
      <c r="F323" s="88"/>
      <c r="G323" s="88"/>
      <c r="H323" s="88"/>
      <c r="I323" s="99"/>
      <c r="J323" s="63"/>
      <c r="K323" s="21"/>
      <c r="L323" s="21"/>
      <c r="M323" s="21"/>
      <c r="N323" s="21"/>
      <c r="O323" s="21"/>
      <c r="P323" s="21"/>
      <c r="Q323" s="21"/>
      <c r="R323" s="21"/>
      <c r="S323" s="21"/>
      <c r="T323" s="63"/>
      <c r="U323" s="94"/>
      <c r="V323" s="90"/>
      <c r="W323" s="91"/>
      <c r="X323" s="92"/>
    </row>
    <row r="324" spans="1:25">
      <c r="A324" s="2"/>
      <c r="B324" s="100" t="s">
        <v>66</v>
      </c>
      <c r="C324" s="36"/>
      <c r="D324" s="10"/>
      <c r="E324" s="10"/>
      <c r="F324" s="88"/>
      <c r="G324" s="62"/>
      <c r="H324" s="88"/>
      <c r="I324" s="99"/>
      <c r="J324" s="63"/>
      <c r="K324" s="21"/>
      <c r="L324" s="21"/>
      <c r="M324" s="21"/>
      <c r="N324" s="21"/>
      <c r="O324" s="21"/>
      <c r="P324" s="21"/>
      <c r="Q324" s="21"/>
      <c r="R324" s="21"/>
      <c r="S324" s="21"/>
      <c r="T324" s="63"/>
      <c r="U324" s="94"/>
      <c r="V324" s="90"/>
      <c r="W324" s="91"/>
      <c r="X324" s="92"/>
    </row>
    <row r="325" spans="1:25">
      <c r="A325" s="2"/>
      <c r="B325" s="87">
        <v>1</v>
      </c>
      <c r="C325" s="262">
        <v>45899</v>
      </c>
      <c r="D325" s="263">
        <v>72815</v>
      </c>
      <c r="E325" s="271" t="s">
        <v>196</v>
      </c>
      <c r="F325" s="265">
        <f>1866-185-203.5</f>
        <v>1477.5</v>
      </c>
      <c r="G325" s="265">
        <f>39.7+(210.21)+(3*100)</f>
        <v>549.91000000000008</v>
      </c>
      <c r="H325" s="265"/>
      <c r="I325" s="266">
        <f t="shared" ref="I325" si="85">F325-G325-H325</f>
        <v>927.58999999999992</v>
      </c>
      <c r="J325" s="267" t="s">
        <v>156</v>
      </c>
      <c r="K325" s="267">
        <v>1</v>
      </c>
      <c r="L325" s="267">
        <v>1</v>
      </c>
      <c r="M325" s="267">
        <v>1</v>
      </c>
      <c r="N325" s="267">
        <v>1</v>
      </c>
      <c r="O325" s="267">
        <v>1</v>
      </c>
      <c r="P325" s="267">
        <v>1</v>
      </c>
      <c r="Q325" s="267">
        <v>1</v>
      </c>
      <c r="R325" s="267">
        <v>1</v>
      </c>
      <c r="S325" s="269">
        <v>0</v>
      </c>
      <c r="T325" s="63"/>
      <c r="U325" s="94" t="s">
        <v>1050</v>
      </c>
      <c r="V325" s="90">
        <f>203.5+1645.6</f>
        <v>1849.1</v>
      </c>
      <c r="W325" s="91"/>
      <c r="X325" s="92"/>
    </row>
    <row r="326" spans="1:25">
      <c r="A326" s="2"/>
      <c r="B326" s="11"/>
      <c r="C326" s="36"/>
      <c r="D326" s="10"/>
      <c r="E326" s="10"/>
      <c r="F326" s="98">
        <f t="shared" ref="F326:H326" si="86">SUM(F325)</f>
        <v>1477.5</v>
      </c>
      <c r="G326" s="98">
        <f t="shared" si="86"/>
        <v>549.91000000000008</v>
      </c>
      <c r="H326" s="98">
        <f t="shared" si="86"/>
        <v>0</v>
      </c>
      <c r="I326" s="98">
        <f>SUM(I325)</f>
        <v>927.58999999999992</v>
      </c>
      <c r="J326" s="63"/>
      <c r="K326" s="21"/>
      <c r="L326" s="21"/>
      <c r="M326" s="21"/>
      <c r="N326" s="21"/>
      <c r="O326" s="21"/>
      <c r="P326" s="21"/>
      <c r="Q326" s="21"/>
      <c r="R326" s="21"/>
      <c r="S326" s="21"/>
      <c r="T326" s="63"/>
      <c r="U326" s="94"/>
      <c r="V326" s="90"/>
      <c r="W326" s="91"/>
      <c r="X326" s="92"/>
    </row>
    <row r="327" spans="1:25">
      <c r="A327" s="2"/>
      <c r="B327" s="11"/>
      <c r="C327" s="36"/>
      <c r="D327" s="10"/>
      <c r="E327" s="10"/>
      <c r="F327" s="88"/>
      <c r="G327" s="88"/>
      <c r="H327" s="88"/>
      <c r="I327" s="99"/>
      <c r="J327" s="63"/>
      <c r="K327" s="21"/>
      <c r="L327" s="21"/>
      <c r="M327" s="21"/>
      <c r="N327" s="21"/>
      <c r="O327" s="21"/>
      <c r="P327" s="21"/>
      <c r="Q327" s="21"/>
      <c r="R327" s="21"/>
      <c r="S327" s="21"/>
      <c r="T327" s="63"/>
      <c r="U327" s="94"/>
      <c r="V327" s="90"/>
      <c r="W327" s="91"/>
      <c r="X327" s="92"/>
    </row>
    <row r="328" spans="1:25">
      <c r="A328" s="2"/>
      <c r="B328" s="11"/>
      <c r="C328" s="36"/>
      <c r="D328" s="10"/>
      <c r="E328" s="10"/>
      <c r="F328" s="88"/>
      <c r="G328" s="88"/>
      <c r="H328" s="88"/>
      <c r="I328" s="99"/>
      <c r="J328" s="63"/>
      <c r="K328" s="21"/>
      <c r="L328" s="21"/>
      <c r="M328" s="21"/>
      <c r="N328" s="21"/>
      <c r="O328" s="21"/>
      <c r="P328" s="21"/>
      <c r="Q328" s="21"/>
      <c r="R328" s="21"/>
      <c r="S328" s="21"/>
      <c r="T328" s="63"/>
      <c r="U328" s="94"/>
      <c r="V328" s="90"/>
      <c r="W328" s="91"/>
      <c r="X328" s="92"/>
    </row>
    <row r="329" spans="1:25" s="342" customFormat="1">
      <c r="A329" s="128"/>
      <c r="B329" s="121" t="s">
        <v>70</v>
      </c>
      <c r="C329" s="122"/>
      <c r="D329" s="123"/>
      <c r="E329" s="128"/>
      <c r="F329" s="124"/>
      <c r="G329" s="124"/>
      <c r="H329" s="124"/>
      <c r="I329" s="126"/>
      <c r="J329" s="127"/>
      <c r="K329" s="64"/>
      <c r="L329" s="64"/>
      <c r="M329" s="64"/>
      <c r="N329" s="64"/>
      <c r="O329" s="64"/>
      <c r="P329" s="64"/>
      <c r="Q329" s="64"/>
      <c r="R329" s="64"/>
      <c r="S329" s="64"/>
      <c r="T329" s="127"/>
      <c r="U329" s="135"/>
      <c r="V329" s="129"/>
      <c r="W329" s="130"/>
      <c r="X329" s="131"/>
    </row>
    <row r="330" spans="1:25" s="342" customFormat="1">
      <c r="A330" s="356">
        <v>0.05</v>
      </c>
      <c r="B330" s="333">
        <v>1</v>
      </c>
      <c r="C330" s="350">
        <v>45898</v>
      </c>
      <c r="D330" s="357" t="s">
        <v>1051</v>
      </c>
      <c r="E330" s="358" t="s">
        <v>1042</v>
      </c>
      <c r="F330" s="352">
        <v>8641</v>
      </c>
      <c r="G330" s="352">
        <f>39.7+750</f>
        <v>789.7</v>
      </c>
      <c r="H330" s="352"/>
      <c r="I330" s="353">
        <f>F330-G330-H330</f>
        <v>7851.3</v>
      </c>
      <c r="J330" s="354" t="s">
        <v>156</v>
      </c>
      <c r="K330" s="354">
        <v>1</v>
      </c>
      <c r="L330" s="354"/>
      <c r="M330" s="354">
        <v>1</v>
      </c>
      <c r="N330" s="354">
        <v>1</v>
      </c>
      <c r="O330" s="354">
        <v>1</v>
      </c>
      <c r="P330" s="354">
        <v>0</v>
      </c>
      <c r="Q330" s="354"/>
      <c r="R330" s="354"/>
      <c r="S330" s="355"/>
      <c r="T330" s="127"/>
      <c r="U330" s="135" t="s">
        <v>1052</v>
      </c>
      <c r="V330" s="129">
        <f>950.51+1500</f>
        <v>2450.5100000000002</v>
      </c>
      <c r="W330" s="340"/>
      <c r="X330" s="341"/>
    </row>
    <row r="331" spans="1:25">
      <c r="A331" s="128"/>
      <c r="B331" s="132"/>
      <c r="C331" s="122"/>
      <c r="D331" s="123"/>
      <c r="E331" s="123"/>
      <c r="F331" s="133">
        <f>SUM(F330)</f>
        <v>8641</v>
      </c>
      <c r="G331" s="133">
        <f t="shared" ref="G331:I331" si="87">SUM(G330)</f>
        <v>789.7</v>
      </c>
      <c r="H331" s="133">
        <f t="shared" si="87"/>
        <v>0</v>
      </c>
      <c r="I331" s="133">
        <f t="shared" si="87"/>
        <v>7851.3</v>
      </c>
      <c r="J331" s="127"/>
      <c r="K331" s="64"/>
      <c r="L331" s="64"/>
      <c r="M331" s="64"/>
      <c r="N331" s="64"/>
      <c r="O331" s="64"/>
      <c r="P331" s="64"/>
      <c r="Q331" s="64"/>
      <c r="R331" s="64"/>
      <c r="S331" s="64"/>
      <c r="T331" s="127"/>
      <c r="U331" s="135"/>
      <c r="V331" s="129"/>
      <c r="W331" s="130"/>
      <c r="X331" s="131"/>
    </row>
    <row r="332" spans="1:25">
      <c r="A332" s="128"/>
      <c r="B332" s="132"/>
      <c r="C332" s="122"/>
      <c r="D332" s="123"/>
      <c r="E332" s="123"/>
      <c r="F332" s="124"/>
      <c r="G332" s="124"/>
      <c r="H332" s="124"/>
      <c r="I332" s="126"/>
      <c r="J332" s="127"/>
      <c r="K332" s="64"/>
      <c r="L332" s="64"/>
      <c r="M332" s="64"/>
      <c r="N332" s="64"/>
      <c r="O332" s="64"/>
      <c r="P332" s="64"/>
      <c r="Q332" s="64"/>
      <c r="R332" s="64"/>
      <c r="S332" s="64"/>
      <c r="T332" s="127"/>
      <c r="U332" s="135"/>
      <c r="V332" s="129"/>
      <c r="W332" s="130"/>
      <c r="X332" s="131"/>
    </row>
    <row r="333" spans="1:25" s="260" customFormat="1">
      <c r="A333" s="181"/>
      <c r="B333" s="100" t="s">
        <v>152</v>
      </c>
      <c r="C333" s="36"/>
      <c r="D333" s="10"/>
      <c r="E333" s="10"/>
      <c r="F333" s="88"/>
      <c r="G333" s="62"/>
      <c r="H333" s="88"/>
      <c r="I333" s="99"/>
      <c r="J333" s="10"/>
      <c r="K333" s="181"/>
      <c r="L333" s="181"/>
      <c r="M333" s="181"/>
      <c r="N333" s="181"/>
      <c r="O333" s="181"/>
      <c r="P333" s="181"/>
      <c r="Q333" s="181"/>
      <c r="R333" s="181"/>
      <c r="S333" s="181"/>
      <c r="T333" s="63"/>
      <c r="U333" s="10"/>
      <c r="V333" s="90"/>
      <c r="W333" s="91"/>
      <c r="X333" s="92"/>
      <c r="Y333" s="181"/>
    </row>
    <row r="334" spans="1:25" s="260" customFormat="1">
      <c r="A334" s="261">
        <v>0.05</v>
      </c>
      <c r="B334" s="87">
        <v>1</v>
      </c>
      <c r="C334" s="262">
        <v>45887</v>
      </c>
      <c r="D334" s="263">
        <v>72380</v>
      </c>
      <c r="E334" s="271" t="s">
        <v>1017</v>
      </c>
      <c r="F334" s="265">
        <v>5232.6000000000004</v>
      </c>
      <c r="G334" s="265">
        <f>39.7+250</f>
        <v>289.7</v>
      </c>
      <c r="H334" s="265"/>
      <c r="I334" s="272">
        <f>F334-G334-H334</f>
        <v>4942.9000000000005</v>
      </c>
      <c r="J334" s="267" t="s">
        <v>156</v>
      </c>
      <c r="K334" s="267">
        <v>1</v>
      </c>
      <c r="L334" s="267"/>
      <c r="M334" s="267">
        <v>1</v>
      </c>
      <c r="N334" s="267">
        <v>1</v>
      </c>
      <c r="O334" s="267">
        <v>1</v>
      </c>
      <c r="P334" s="267">
        <v>1</v>
      </c>
      <c r="Q334" s="267"/>
      <c r="R334" s="267"/>
      <c r="S334" s="269"/>
      <c r="T334" s="63"/>
      <c r="U334" s="94" t="s">
        <v>1018</v>
      </c>
      <c r="V334" s="90"/>
      <c r="W334" s="136"/>
      <c r="X334" s="137"/>
    </row>
    <row r="335" spans="1:25" s="260" customFormat="1">
      <c r="B335" s="11"/>
      <c r="C335" s="36"/>
      <c r="D335" s="10"/>
      <c r="E335" s="10"/>
      <c r="F335" s="98">
        <f>SUM(F334:F334)</f>
        <v>5232.6000000000004</v>
      </c>
      <c r="G335" s="98">
        <f>SUM(G334:G334)</f>
        <v>289.7</v>
      </c>
      <c r="H335" s="98">
        <f>SUM(H334:H334)</f>
        <v>0</v>
      </c>
      <c r="I335" s="98">
        <f>SUM(I334:I334)</f>
        <v>4942.9000000000005</v>
      </c>
      <c r="J335" s="63"/>
      <c r="K335" s="21"/>
      <c r="L335" s="21"/>
      <c r="M335" s="21"/>
      <c r="N335" s="21"/>
      <c r="O335" s="21"/>
      <c r="P335" s="21"/>
      <c r="Q335" s="21"/>
      <c r="R335" s="21"/>
      <c r="S335" s="21"/>
      <c r="T335" s="63"/>
      <c r="U335" s="94"/>
      <c r="V335" s="90"/>
      <c r="W335" s="91"/>
      <c r="X335" s="92"/>
    </row>
    <row r="336" spans="1:25" s="260" customFormat="1">
      <c r="B336" s="11"/>
      <c r="C336" s="36"/>
      <c r="D336" s="10"/>
      <c r="E336" s="10"/>
      <c r="F336" s="99"/>
      <c r="G336" s="99"/>
      <c r="H336" s="99"/>
      <c r="I336" s="99"/>
      <c r="J336" s="63"/>
      <c r="K336" s="21"/>
      <c r="L336" s="21"/>
      <c r="M336" s="21"/>
      <c r="N336" s="21"/>
      <c r="O336" s="21"/>
      <c r="P336" s="21"/>
      <c r="Q336" s="21"/>
      <c r="R336" s="21"/>
      <c r="S336" s="21"/>
      <c r="T336" s="63"/>
      <c r="U336" s="94"/>
      <c r="V336" s="90"/>
      <c r="W336" s="91"/>
      <c r="X336" s="92"/>
    </row>
    <row r="337" spans="1:24">
      <c r="A337" s="2"/>
      <c r="B337" s="11"/>
      <c r="C337" s="36"/>
      <c r="D337" s="10"/>
      <c r="E337" s="10"/>
      <c r="F337" s="88"/>
      <c r="G337" s="88"/>
      <c r="H337" s="88"/>
      <c r="I337" s="99"/>
      <c r="J337" s="63"/>
      <c r="K337" s="21"/>
      <c r="L337" s="21"/>
      <c r="M337" s="21"/>
      <c r="N337" s="21"/>
      <c r="O337" s="21"/>
      <c r="P337" s="21"/>
      <c r="Q337" s="21"/>
      <c r="R337" s="21"/>
      <c r="S337" s="21"/>
      <c r="T337" s="63"/>
      <c r="U337" s="94"/>
      <c r="V337" s="90"/>
      <c r="W337" s="91"/>
      <c r="X337" s="92"/>
    </row>
    <row r="338" spans="1:24" s="260" customFormat="1">
      <c r="B338" s="100" t="s">
        <v>202</v>
      </c>
      <c r="C338" s="36"/>
      <c r="D338" s="10"/>
      <c r="E338" s="181"/>
      <c r="F338" s="88"/>
      <c r="G338" s="88"/>
      <c r="H338" s="88"/>
      <c r="I338" s="99"/>
      <c r="J338" s="63"/>
      <c r="K338" s="21"/>
      <c r="L338" s="21"/>
      <c r="M338" s="21"/>
      <c r="N338" s="21"/>
      <c r="O338" s="21"/>
      <c r="P338" s="21"/>
      <c r="Q338" s="21"/>
      <c r="R338" s="21"/>
      <c r="S338" s="21"/>
      <c r="T338" s="63"/>
      <c r="U338" s="94"/>
      <c r="V338" s="90"/>
      <c r="W338" s="91"/>
      <c r="X338" s="92"/>
    </row>
    <row r="339" spans="1:24" s="260" customFormat="1">
      <c r="A339" s="494">
        <v>0.05</v>
      </c>
      <c r="B339" s="87">
        <v>1</v>
      </c>
      <c r="C339" s="262">
        <v>45870</v>
      </c>
      <c r="D339" s="263" t="s">
        <v>978</v>
      </c>
      <c r="E339" s="264" t="s">
        <v>274</v>
      </c>
      <c r="F339" s="265">
        <v>8641</v>
      </c>
      <c r="G339" s="265">
        <f>39.7+(113.27)+750</f>
        <v>902.97</v>
      </c>
      <c r="H339" s="365"/>
      <c r="I339" s="266">
        <f>F339-G339-H339</f>
        <v>7738.03</v>
      </c>
      <c r="J339" s="267" t="s">
        <v>156</v>
      </c>
      <c r="K339" s="267">
        <v>1</v>
      </c>
      <c r="L339" s="267"/>
      <c r="M339" s="267">
        <v>1</v>
      </c>
      <c r="N339" s="267">
        <v>1</v>
      </c>
      <c r="O339" s="267">
        <v>1</v>
      </c>
      <c r="P339" s="314">
        <v>0</v>
      </c>
      <c r="Q339" s="267"/>
      <c r="R339" s="267"/>
      <c r="S339" s="269"/>
      <c r="T339" s="63"/>
      <c r="U339" s="94" t="s">
        <v>995</v>
      </c>
      <c r="V339" s="90"/>
      <c r="W339" s="136"/>
      <c r="X339" s="137"/>
    </row>
    <row r="340" spans="1:24" s="342" customFormat="1">
      <c r="A340" s="494">
        <v>0.05</v>
      </c>
      <c r="B340" s="87">
        <f>B339+1</f>
        <v>2</v>
      </c>
      <c r="C340" s="262">
        <v>45884</v>
      </c>
      <c r="D340" s="263">
        <v>72248</v>
      </c>
      <c r="E340" s="264" t="s">
        <v>1004</v>
      </c>
      <c r="F340" s="265">
        <v>1681</v>
      </c>
      <c r="G340" s="265">
        <f>39.7</f>
        <v>39.700000000000003</v>
      </c>
      <c r="H340" s="365"/>
      <c r="I340" s="272">
        <f>F340-G340-H340</f>
        <v>1641.3</v>
      </c>
      <c r="J340" s="267" t="s">
        <v>156</v>
      </c>
      <c r="K340" s="267">
        <v>1</v>
      </c>
      <c r="L340" s="267"/>
      <c r="M340" s="267">
        <v>1</v>
      </c>
      <c r="N340" s="267">
        <v>1</v>
      </c>
      <c r="O340" s="267">
        <v>1</v>
      </c>
      <c r="P340" s="267">
        <v>1</v>
      </c>
      <c r="Q340" s="267"/>
      <c r="R340" s="267"/>
      <c r="S340" s="269"/>
      <c r="T340" s="63"/>
      <c r="U340" s="94" t="s">
        <v>1019</v>
      </c>
      <c r="V340" s="90"/>
      <c r="W340" s="136"/>
      <c r="X340" s="137"/>
    </row>
    <row r="341" spans="1:24" s="260" customFormat="1">
      <c r="B341" s="11"/>
      <c r="C341" s="36"/>
      <c r="D341" s="10"/>
      <c r="E341" s="10"/>
      <c r="F341" s="98">
        <f>SUM(F339:F340)</f>
        <v>10322</v>
      </c>
      <c r="G341" s="98">
        <f>SUM(G339:G340)</f>
        <v>942.67000000000007</v>
      </c>
      <c r="H341" s="98">
        <f>SUM(H339:H340)</f>
        <v>0</v>
      </c>
      <c r="I341" s="98">
        <f>SUM(I339:I340)</f>
        <v>9379.33</v>
      </c>
      <c r="J341" s="63"/>
      <c r="K341" s="21"/>
      <c r="L341" s="21"/>
      <c r="M341" s="21"/>
      <c r="N341" s="21"/>
      <c r="O341" s="21"/>
      <c r="P341" s="21"/>
      <c r="Q341" s="21"/>
      <c r="R341" s="21"/>
      <c r="S341" s="21"/>
      <c r="T341" s="63"/>
      <c r="U341" s="94"/>
      <c r="V341" s="90"/>
      <c r="W341" s="91"/>
      <c r="X341" s="92"/>
    </row>
    <row r="342" spans="1:24" s="260" customFormat="1">
      <c r="B342" s="11"/>
      <c r="C342" s="36"/>
      <c r="D342" s="10"/>
      <c r="E342" s="10"/>
      <c r="F342" s="99"/>
      <c r="G342" s="99"/>
      <c r="H342" s="99"/>
      <c r="I342" s="99"/>
      <c r="J342" s="63"/>
      <c r="K342" s="21"/>
      <c r="L342" s="21"/>
      <c r="M342" s="21"/>
      <c r="N342" s="21"/>
      <c r="O342" s="21"/>
      <c r="P342" s="21"/>
      <c r="Q342" s="21"/>
      <c r="R342" s="21"/>
      <c r="S342" s="21"/>
      <c r="T342" s="63"/>
      <c r="U342" s="94"/>
      <c r="V342" s="90"/>
      <c r="W342" s="91"/>
      <c r="X342" s="92"/>
    </row>
    <row r="343" spans="1:24">
      <c r="A343" s="2"/>
      <c r="B343" s="100" t="s">
        <v>72</v>
      </c>
      <c r="C343" s="36"/>
      <c r="D343" s="10"/>
      <c r="E343" s="10"/>
      <c r="F343" s="88"/>
      <c r="G343" s="88"/>
      <c r="H343" s="88"/>
      <c r="I343" s="99"/>
      <c r="J343" s="63"/>
      <c r="K343" s="63"/>
      <c r="L343" s="63"/>
      <c r="M343" s="63"/>
      <c r="N343" s="63"/>
      <c r="O343" s="63"/>
      <c r="P343" s="63"/>
      <c r="Q343" s="63"/>
      <c r="R343" s="63"/>
      <c r="S343" s="63"/>
      <c r="T343" s="63"/>
      <c r="U343" s="10"/>
      <c r="V343" s="90"/>
      <c r="W343" s="91"/>
      <c r="X343" s="92"/>
    </row>
    <row r="344" spans="1:24">
      <c r="A344" s="2"/>
      <c r="B344" s="87">
        <v>1</v>
      </c>
      <c r="C344" s="274">
        <v>45894</v>
      </c>
      <c r="D344" s="275" t="s">
        <v>1053</v>
      </c>
      <c r="E344" s="276" t="s">
        <v>1031</v>
      </c>
      <c r="F344" s="277">
        <v>2162</v>
      </c>
      <c r="G344" s="277">
        <v>39.700000000000003</v>
      </c>
      <c r="H344" s="277"/>
      <c r="I344" s="278">
        <f t="shared" ref="I344:I366" si="88">F344-G344-H344</f>
        <v>2122.3000000000002</v>
      </c>
      <c r="J344" s="279" t="s">
        <v>205</v>
      </c>
      <c r="K344" s="279">
        <v>1</v>
      </c>
      <c r="L344" s="279"/>
      <c r="M344" s="279"/>
      <c r="N344" s="279">
        <v>1</v>
      </c>
      <c r="O344" s="279"/>
      <c r="P344" s="279"/>
      <c r="Q344" s="279"/>
      <c r="R344" s="279"/>
      <c r="S344" s="280"/>
      <c r="T344" s="63"/>
      <c r="U344" s="3"/>
      <c r="V344" s="90"/>
      <c r="W344" s="91"/>
      <c r="X344" s="92"/>
    </row>
    <row r="345" spans="1:24">
      <c r="A345" s="2"/>
      <c r="B345" s="87">
        <f t="shared" ref="B345:B366" si="89">B344+1</f>
        <v>2</v>
      </c>
      <c r="C345" s="295">
        <v>45894</v>
      </c>
      <c r="D345" s="77" t="s">
        <v>1054</v>
      </c>
      <c r="E345" s="10" t="s">
        <v>1055</v>
      </c>
      <c r="F345" s="62">
        <v>621</v>
      </c>
      <c r="G345" s="62"/>
      <c r="H345" s="62"/>
      <c r="I345" s="89">
        <f t="shared" si="88"/>
        <v>621</v>
      </c>
      <c r="J345" s="63" t="s">
        <v>156</v>
      </c>
      <c r="K345" s="63">
        <v>1</v>
      </c>
      <c r="L345" s="63"/>
      <c r="M345" s="63">
        <v>1</v>
      </c>
      <c r="N345" s="63">
        <v>1</v>
      </c>
      <c r="O345" s="63"/>
      <c r="P345" s="63"/>
      <c r="Q345" s="63"/>
      <c r="R345" s="63"/>
      <c r="S345" s="296"/>
      <c r="T345" s="63"/>
      <c r="U345" s="10"/>
      <c r="V345" s="90">
        <v>93.5</v>
      </c>
      <c r="W345" s="136"/>
      <c r="X345" s="137"/>
    </row>
    <row r="346" spans="1:24">
      <c r="A346" s="2"/>
      <c r="B346" s="87">
        <f t="shared" si="89"/>
        <v>3</v>
      </c>
      <c r="C346" s="295">
        <v>45894</v>
      </c>
      <c r="D346" s="77" t="s">
        <v>1056</v>
      </c>
      <c r="E346" s="10" t="s">
        <v>1055</v>
      </c>
      <c r="F346" s="62">
        <v>1461</v>
      </c>
      <c r="G346" s="62">
        <v>39.700000000000003</v>
      </c>
      <c r="H346" s="62"/>
      <c r="I346" s="89">
        <f t="shared" si="88"/>
        <v>1421.3</v>
      </c>
      <c r="J346" s="63" t="s">
        <v>205</v>
      </c>
      <c r="K346" s="63">
        <v>1</v>
      </c>
      <c r="L346" s="63"/>
      <c r="M346" s="63"/>
      <c r="N346" s="63">
        <v>1</v>
      </c>
      <c r="O346" s="63"/>
      <c r="P346" s="63"/>
      <c r="Q346" s="63"/>
      <c r="R346" s="63"/>
      <c r="S346" s="296"/>
      <c r="T346" s="63"/>
      <c r="U346" s="10"/>
      <c r="V346" s="90"/>
      <c r="W346" s="136"/>
      <c r="X346" s="137"/>
    </row>
    <row r="347" spans="1:24">
      <c r="A347" s="2"/>
      <c r="B347" s="87">
        <f t="shared" si="89"/>
        <v>4</v>
      </c>
      <c r="C347" s="295">
        <v>45894</v>
      </c>
      <c r="D347" s="77" t="s">
        <v>1057</v>
      </c>
      <c r="E347" s="10" t="s">
        <v>725</v>
      </c>
      <c r="F347" s="62">
        <v>0</v>
      </c>
      <c r="G347" s="62">
        <v>0</v>
      </c>
      <c r="H347" s="62"/>
      <c r="I347" s="89">
        <f t="shared" si="88"/>
        <v>0</v>
      </c>
      <c r="J347" s="63" t="s">
        <v>205</v>
      </c>
      <c r="K347" s="63">
        <v>1</v>
      </c>
      <c r="L347" s="63"/>
      <c r="M347" s="63"/>
      <c r="N347" s="63"/>
      <c r="O347" s="63"/>
      <c r="P347" s="63"/>
      <c r="Q347" s="63"/>
      <c r="R347" s="63"/>
      <c r="S347" s="296"/>
      <c r="T347" s="63"/>
      <c r="U347" s="10"/>
      <c r="V347" s="90"/>
      <c r="W347" s="136"/>
      <c r="X347" s="137"/>
    </row>
    <row r="348" spans="1:24">
      <c r="A348" s="2"/>
      <c r="B348" s="87">
        <f t="shared" si="89"/>
        <v>5</v>
      </c>
      <c r="C348" s="295">
        <v>45894</v>
      </c>
      <c r="D348" s="10">
        <v>72609</v>
      </c>
      <c r="E348" s="10" t="s">
        <v>1058</v>
      </c>
      <c r="F348" s="62">
        <v>0</v>
      </c>
      <c r="G348" s="62">
        <v>0</v>
      </c>
      <c r="H348" s="62"/>
      <c r="I348" s="89">
        <f t="shared" si="88"/>
        <v>0</v>
      </c>
      <c r="J348" s="63" t="s">
        <v>205</v>
      </c>
      <c r="K348" s="63"/>
      <c r="L348" s="63"/>
      <c r="M348" s="63"/>
      <c r="N348" s="63"/>
      <c r="O348" s="63"/>
      <c r="P348" s="63"/>
      <c r="Q348" s="63"/>
      <c r="R348" s="63"/>
      <c r="S348" s="296"/>
      <c r="T348" s="63"/>
      <c r="U348" s="10"/>
      <c r="V348" s="90"/>
      <c r="W348" s="136"/>
      <c r="X348" s="137"/>
    </row>
    <row r="349" spans="1:24">
      <c r="A349" s="2"/>
      <c r="B349" s="87">
        <f t="shared" si="89"/>
        <v>6</v>
      </c>
      <c r="C349" s="274">
        <v>45895</v>
      </c>
      <c r="D349" s="276">
        <v>72596</v>
      </c>
      <c r="E349" s="281" t="s">
        <v>172</v>
      </c>
      <c r="F349" s="277">
        <v>5018</v>
      </c>
      <c r="G349" s="277">
        <v>39.700000000000003</v>
      </c>
      <c r="H349" s="277"/>
      <c r="I349" s="278">
        <f t="shared" si="88"/>
        <v>4978.3</v>
      </c>
      <c r="J349" s="279" t="s">
        <v>205</v>
      </c>
      <c r="K349" s="279">
        <v>1</v>
      </c>
      <c r="L349" s="279"/>
      <c r="M349" s="279"/>
      <c r="N349" s="279">
        <v>1</v>
      </c>
      <c r="O349" s="279">
        <v>1</v>
      </c>
      <c r="P349" s="279"/>
      <c r="Q349" s="279">
        <v>1</v>
      </c>
      <c r="R349" s="279">
        <v>1</v>
      </c>
      <c r="S349" s="280"/>
      <c r="T349" s="63"/>
      <c r="U349" s="10"/>
      <c r="V349" s="90"/>
      <c r="W349" s="136"/>
      <c r="X349" s="137"/>
    </row>
    <row r="350" spans="1:24">
      <c r="A350" s="2"/>
      <c r="B350" s="87">
        <f t="shared" si="89"/>
        <v>7</v>
      </c>
      <c r="C350" s="295">
        <v>45895</v>
      </c>
      <c r="D350" s="10">
        <v>72593</v>
      </c>
      <c r="E350" s="101" t="s">
        <v>769</v>
      </c>
      <c r="F350" s="62">
        <v>0</v>
      </c>
      <c r="G350" s="62">
        <v>0</v>
      </c>
      <c r="H350" s="62"/>
      <c r="I350" s="89">
        <f t="shared" si="88"/>
        <v>0</v>
      </c>
      <c r="J350" s="63" t="s">
        <v>205</v>
      </c>
      <c r="K350" s="63">
        <v>1</v>
      </c>
      <c r="L350" s="63"/>
      <c r="M350" s="63"/>
      <c r="N350" s="63"/>
      <c r="O350" s="63"/>
      <c r="P350" s="63"/>
      <c r="Q350" s="63"/>
      <c r="R350" s="63"/>
      <c r="S350" s="296"/>
      <c r="T350" s="63"/>
      <c r="U350" s="10"/>
      <c r="V350" s="90"/>
      <c r="W350" s="136"/>
      <c r="X350" s="137"/>
    </row>
    <row r="351" spans="1:24">
      <c r="A351" s="2"/>
      <c r="B351" s="87">
        <f t="shared" si="89"/>
        <v>8</v>
      </c>
      <c r="C351" s="295">
        <v>45895</v>
      </c>
      <c r="D351" s="77" t="s">
        <v>1059</v>
      </c>
      <c r="E351" s="10" t="s">
        <v>780</v>
      </c>
      <c r="F351" s="62">
        <v>1264</v>
      </c>
      <c r="G351" s="62">
        <v>39.700000000000003</v>
      </c>
      <c r="H351" s="62"/>
      <c r="I351" s="89">
        <f t="shared" si="88"/>
        <v>1224.3</v>
      </c>
      <c r="J351" s="63" t="s">
        <v>205</v>
      </c>
      <c r="K351" s="63">
        <v>1</v>
      </c>
      <c r="L351" s="63"/>
      <c r="M351" s="63"/>
      <c r="N351" s="63">
        <v>1</v>
      </c>
      <c r="O351" s="63"/>
      <c r="P351" s="63"/>
      <c r="Q351" s="63"/>
      <c r="R351" s="63"/>
      <c r="S351" s="296"/>
      <c r="T351" s="63"/>
      <c r="U351" s="10"/>
      <c r="V351" s="90"/>
      <c r="W351" s="136"/>
      <c r="X351" s="137"/>
    </row>
    <row r="352" spans="1:24">
      <c r="A352" s="2"/>
      <c r="B352" s="87">
        <f t="shared" si="89"/>
        <v>9</v>
      </c>
      <c r="C352" s="295">
        <v>45895</v>
      </c>
      <c r="D352" s="77" t="s">
        <v>1060</v>
      </c>
      <c r="E352" s="10" t="s">
        <v>780</v>
      </c>
      <c r="F352" s="62">
        <v>2861</v>
      </c>
      <c r="G352" s="62">
        <v>39.700000000000003</v>
      </c>
      <c r="H352" s="62"/>
      <c r="I352" s="89">
        <f t="shared" si="88"/>
        <v>2821.3</v>
      </c>
      <c r="J352" s="63" t="s">
        <v>205</v>
      </c>
      <c r="K352" s="63">
        <v>1</v>
      </c>
      <c r="L352" s="63"/>
      <c r="M352" s="63"/>
      <c r="N352" s="63">
        <v>1</v>
      </c>
      <c r="O352" s="63"/>
      <c r="P352" s="63"/>
      <c r="Q352" s="63"/>
      <c r="R352" s="63"/>
      <c r="S352" s="296"/>
      <c r="T352" s="63"/>
      <c r="U352" s="10"/>
      <c r="V352" s="90"/>
      <c r="W352" s="136"/>
      <c r="X352" s="137"/>
    </row>
    <row r="353" spans="1:24">
      <c r="A353" s="388">
        <v>45898</v>
      </c>
      <c r="B353" s="87">
        <f t="shared" si="89"/>
        <v>10</v>
      </c>
      <c r="C353" s="274">
        <v>45896</v>
      </c>
      <c r="D353" s="276">
        <v>72657</v>
      </c>
      <c r="E353" s="276" t="s">
        <v>973</v>
      </c>
      <c r="F353" s="277">
        <v>1861</v>
      </c>
      <c r="G353" s="277">
        <v>39.700000000000003</v>
      </c>
      <c r="H353" s="277"/>
      <c r="I353" s="278">
        <f t="shared" si="88"/>
        <v>1821.3</v>
      </c>
      <c r="J353" s="279" t="s">
        <v>156</v>
      </c>
      <c r="K353" s="279">
        <v>1</v>
      </c>
      <c r="L353" s="279"/>
      <c r="M353" s="279">
        <v>1</v>
      </c>
      <c r="N353" s="279">
        <v>1</v>
      </c>
      <c r="O353" s="279">
        <v>1</v>
      </c>
      <c r="P353" s="279">
        <v>1</v>
      </c>
      <c r="Q353" s="279">
        <v>1</v>
      </c>
      <c r="R353" s="279">
        <v>1</v>
      </c>
      <c r="S353" s="280">
        <v>1</v>
      </c>
      <c r="T353" s="63"/>
      <c r="U353" s="10" t="s">
        <v>1061</v>
      </c>
      <c r="V353" s="90">
        <v>204.71</v>
      </c>
      <c r="W353" s="136"/>
      <c r="X353" s="137"/>
    </row>
    <row r="354" spans="1:24">
      <c r="A354" s="2"/>
      <c r="B354" s="87">
        <f t="shared" si="89"/>
        <v>11</v>
      </c>
      <c r="C354" s="295">
        <v>45896</v>
      </c>
      <c r="D354" s="10">
        <v>72656</v>
      </c>
      <c r="E354" s="101" t="s">
        <v>1062</v>
      </c>
      <c r="F354" s="62">
        <v>1134</v>
      </c>
      <c r="G354" s="62">
        <v>39.700000000000003</v>
      </c>
      <c r="H354" s="62"/>
      <c r="I354" s="89">
        <f t="shared" si="88"/>
        <v>1094.3</v>
      </c>
      <c r="J354" s="63" t="s">
        <v>205</v>
      </c>
      <c r="K354" s="63">
        <v>1</v>
      </c>
      <c r="L354" s="63"/>
      <c r="M354" s="63"/>
      <c r="N354" s="63">
        <v>1</v>
      </c>
      <c r="O354" s="63"/>
      <c r="P354" s="63"/>
      <c r="Q354" s="63">
        <v>1</v>
      </c>
      <c r="R354" s="63">
        <v>1</v>
      </c>
      <c r="S354" s="296">
        <v>1</v>
      </c>
      <c r="T354" s="63"/>
      <c r="U354" s="10"/>
      <c r="V354" s="90"/>
      <c r="W354" s="136"/>
      <c r="X354" s="137"/>
    </row>
    <row r="355" spans="1:24">
      <c r="A355" s="2"/>
      <c r="B355" s="87">
        <f t="shared" si="89"/>
        <v>12</v>
      </c>
      <c r="C355" s="295">
        <v>45896</v>
      </c>
      <c r="D355" s="77" t="s">
        <v>1063</v>
      </c>
      <c r="E355" s="101" t="s">
        <v>1064</v>
      </c>
      <c r="F355" s="62">
        <v>3552</v>
      </c>
      <c r="G355" s="62">
        <v>39.700000000000003</v>
      </c>
      <c r="H355" s="62"/>
      <c r="I355" s="89">
        <f t="shared" si="88"/>
        <v>3512.3</v>
      </c>
      <c r="J355" s="63" t="s">
        <v>205</v>
      </c>
      <c r="K355" s="63">
        <v>1</v>
      </c>
      <c r="L355" s="63"/>
      <c r="M355" s="63"/>
      <c r="N355" s="63">
        <v>1</v>
      </c>
      <c r="O355" s="63"/>
      <c r="P355" s="63"/>
      <c r="Q355" s="63">
        <v>1</v>
      </c>
      <c r="R355" s="63">
        <v>1</v>
      </c>
      <c r="S355" s="296">
        <v>1</v>
      </c>
      <c r="T355" s="63"/>
      <c r="U355" s="10"/>
      <c r="V355" s="90"/>
      <c r="W355" s="136"/>
      <c r="X355" s="137"/>
    </row>
    <row r="356" spans="1:24">
      <c r="A356" s="2"/>
      <c r="B356" s="87">
        <f t="shared" si="89"/>
        <v>13</v>
      </c>
      <c r="C356" s="295">
        <v>45896</v>
      </c>
      <c r="D356" s="77" t="s">
        <v>1065</v>
      </c>
      <c r="E356" s="101" t="s">
        <v>1064</v>
      </c>
      <c r="F356" s="62">
        <v>1264</v>
      </c>
      <c r="G356" s="62">
        <v>39.700000000000003</v>
      </c>
      <c r="H356" s="62"/>
      <c r="I356" s="89">
        <f t="shared" si="88"/>
        <v>1224.3</v>
      </c>
      <c r="J356" s="63" t="s">
        <v>205</v>
      </c>
      <c r="K356" s="63">
        <v>1</v>
      </c>
      <c r="L356" s="63"/>
      <c r="M356" s="63"/>
      <c r="N356" s="63">
        <v>1</v>
      </c>
      <c r="O356" s="63"/>
      <c r="P356" s="63"/>
      <c r="Q356" s="63">
        <v>1</v>
      </c>
      <c r="R356" s="63">
        <v>1</v>
      </c>
      <c r="S356" s="296">
        <v>1</v>
      </c>
      <c r="T356" s="63"/>
      <c r="U356" s="10"/>
      <c r="V356" s="90"/>
      <c r="W356" s="136"/>
      <c r="X356" s="137"/>
    </row>
    <row r="357" spans="1:24">
      <c r="A357" s="2"/>
      <c r="B357" s="87">
        <f t="shared" si="89"/>
        <v>14</v>
      </c>
      <c r="C357" s="295">
        <v>45896</v>
      </c>
      <c r="D357" s="77" t="s">
        <v>1066</v>
      </c>
      <c r="E357" s="101" t="s">
        <v>1064</v>
      </c>
      <c r="F357" s="62">
        <v>681</v>
      </c>
      <c r="G357" s="62"/>
      <c r="H357" s="62"/>
      <c r="I357" s="89">
        <f t="shared" si="88"/>
        <v>681</v>
      </c>
      <c r="J357" s="63" t="s">
        <v>205</v>
      </c>
      <c r="K357" s="63">
        <v>1</v>
      </c>
      <c r="L357" s="63"/>
      <c r="M357" s="63"/>
      <c r="N357" s="63">
        <v>1</v>
      </c>
      <c r="O357" s="63"/>
      <c r="P357" s="63"/>
      <c r="Q357" s="63">
        <v>1</v>
      </c>
      <c r="R357" s="63">
        <v>1</v>
      </c>
      <c r="S357" s="296">
        <v>1</v>
      </c>
      <c r="T357" s="63"/>
      <c r="U357" s="10"/>
      <c r="V357" s="90"/>
      <c r="W357" s="136"/>
      <c r="X357" s="137"/>
    </row>
    <row r="358" spans="1:24">
      <c r="A358" s="2"/>
      <c r="B358" s="87">
        <f t="shared" si="89"/>
        <v>15</v>
      </c>
      <c r="C358" s="295">
        <v>45896</v>
      </c>
      <c r="D358" s="10">
        <v>72707</v>
      </c>
      <c r="E358" s="10" t="s">
        <v>1067</v>
      </c>
      <c r="F358" s="62">
        <v>0</v>
      </c>
      <c r="G358" s="62">
        <v>0</v>
      </c>
      <c r="H358" s="62"/>
      <c r="I358" s="89">
        <f t="shared" si="88"/>
        <v>0</v>
      </c>
      <c r="J358" s="63" t="s">
        <v>205</v>
      </c>
      <c r="K358" s="63">
        <v>1</v>
      </c>
      <c r="L358" s="63"/>
      <c r="M358" s="63"/>
      <c r="N358" s="63"/>
      <c r="O358" s="63"/>
      <c r="P358" s="63"/>
      <c r="Q358" s="63">
        <v>1</v>
      </c>
      <c r="R358" s="63">
        <v>1</v>
      </c>
      <c r="S358" s="296">
        <v>1</v>
      </c>
      <c r="T358" s="63"/>
      <c r="U358" s="10"/>
      <c r="V358" s="90"/>
      <c r="W358" s="136"/>
      <c r="X358" s="137"/>
    </row>
    <row r="359" spans="1:24">
      <c r="A359" s="2"/>
      <c r="B359" s="87">
        <f>B358+1</f>
        <v>16</v>
      </c>
      <c r="C359" s="274">
        <v>45897</v>
      </c>
      <c r="D359" s="276">
        <v>72728</v>
      </c>
      <c r="E359" s="276" t="s">
        <v>1045</v>
      </c>
      <c r="F359" s="277">
        <v>30895</v>
      </c>
      <c r="G359" s="277">
        <v>39.700000000000003</v>
      </c>
      <c r="H359" s="277"/>
      <c r="I359" s="278">
        <f t="shared" si="88"/>
        <v>30855.3</v>
      </c>
      <c r="J359" s="279" t="s">
        <v>205</v>
      </c>
      <c r="K359" s="279"/>
      <c r="L359" s="279"/>
      <c r="M359" s="279"/>
      <c r="N359" s="279">
        <v>1</v>
      </c>
      <c r="O359" s="279"/>
      <c r="P359" s="279"/>
      <c r="Q359" s="279"/>
      <c r="R359" s="279"/>
      <c r="S359" s="280"/>
      <c r="T359" s="63"/>
      <c r="U359" s="10"/>
      <c r="V359" s="90"/>
      <c r="W359" s="136"/>
      <c r="X359" s="137"/>
    </row>
    <row r="360" spans="1:24">
      <c r="A360" s="463" t="s">
        <v>1068</v>
      </c>
      <c r="B360" s="87">
        <f>B359+1</f>
        <v>17</v>
      </c>
      <c r="C360" s="295">
        <v>45897</v>
      </c>
      <c r="D360" s="77" t="s">
        <v>1069</v>
      </c>
      <c r="E360" s="10" t="s">
        <v>1046</v>
      </c>
      <c r="F360" s="62">
        <v>5032.6000000000004</v>
      </c>
      <c r="G360" s="62">
        <f>39.7</f>
        <v>39.700000000000003</v>
      </c>
      <c r="H360" s="62"/>
      <c r="I360" s="89">
        <f>F360-G360-H360</f>
        <v>4992.9000000000005</v>
      </c>
      <c r="J360" s="63" t="s">
        <v>156</v>
      </c>
      <c r="K360" s="63">
        <v>1</v>
      </c>
      <c r="L360" s="63"/>
      <c r="M360" s="63">
        <v>1</v>
      </c>
      <c r="N360" s="63">
        <v>1</v>
      </c>
      <c r="O360" s="63">
        <v>1</v>
      </c>
      <c r="P360" s="63"/>
      <c r="Q360" s="63"/>
      <c r="R360" s="63"/>
      <c r="S360" s="296"/>
      <c r="T360" s="63"/>
      <c r="U360" s="94" t="s">
        <v>1070</v>
      </c>
      <c r="V360" s="90">
        <f>553.58</f>
        <v>553.58000000000004</v>
      </c>
      <c r="W360" s="136"/>
      <c r="X360" s="137"/>
    </row>
    <row r="361" spans="1:24">
      <c r="A361" s="2"/>
      <c r="B361" s="87">
        <f>B360+1</f>
        <v>18</v>
      </c>
      <c r="C361" s="295">
        <v>45897</v>
      </c>
      <c r="D361" s="77" t="s">
        <v>1071</v>
      </c>
      <c r="E361" s="10" t="s">
        <v>1047</v>
      </c>
      <c r="F361" s="62">
        <v>18161</v>
      </c>
      <c r="G361" s="62">
        <v>39.700000000000003</v>
      </c>
      <c r="H361" s="62"/>
      <c r="I361" s="89">
        <f t="shared" si="88"/>
        <v>18121.3</v>
      </c>
      <c r="J361" s="63" t="s">
        <v>205</v>
      </c>
      <c r="K361" s="63">
        <v>1</v>
      </c>
      <c r="L361" s="63"/>
      <c r="M361" s="63"/>
      <c r="N361" s="63">
        <v>1</v>
      </c>
      <c r="O361" s="63"/>
      <c r="P361" s="63"/>
      <c r="Q361" s="63"/>
      <c r="R361" s="63"/>
      <c r="S361" s="296"/>
      <c r="T361" s="63"/>
      <c r="U361" s="10"/>
      <c r="V361" s="90"/>
      <c r="W361" s="136"/>
      <c r="X361" s="137"/>
    </row>
    <row r="362" spans="1:24">
      <c r="A362" s="2"/>
      <c r="B362" s="87">
        <f>B361+1</f>
        <v>19</v>
      </c>
      <c r="C362" s="295">
        <v>45897</v>
      </c>
      <c r="D362" s="10">
        <v>72738</v>
      </c>
      <c r="E362" s="10" t="s">
        <v>1072</v>
      </c>
      <c r="F362" s="62">
        <v>4861</v>
      </c>
      <c r="G362" s="62">
        <v>39.700000000000003</v>
      </c>
      <c r="H362" s="62"/>
      <c r="I362" s="89">
        <f t="shared" si="88"/>
        <v>4821.3</v>
      </c>
      <c r="J362" s="63" t="s">
        <v>205</v>
      </c>
      <c r="K362" s="63">
        <v>1</v>
      </c>
      <c r="L362" s="63"/>
      <c r="M362" s="63"/>
      <c r="N362" s="63">
        <v>1</v>
      </c>
      <c r="O362" s="63"/>
      <c r="P362" s="63"/>
      <c r="Q362" s="63">
        <v>1</v>
      </c>
      <c r="R362" s="63">
        <v>1</v>
      </c>
      <c r="S362" s="296">
        <v>1</v>
      </c>
      <c r="T362" s="63"/>
      <c r="U362" s="10"/>
      <c r="V362" s="90"/>
      <c r="W362" s="136"/>
      <c r="X362" s="137"/>
    </row>
    <row r="363" spans="1:24">
      <c r="A363" s="2"/>
      <c r="B363" s="87">
        <f>B362+1</f>
        <v>20</v>
      </c>
      <c r="C363" s="274">
        <v>45898</v>
      </c>
      <c r="D363" s="276">
        <v>72742</v>
      </c>
      <c r="E363" s="276" t="s">
        <v>1058</v>
      </c>
      <c r="F363" s="277">
        <v>581</v>
      </c>
      <c r="G363" s="277"/>
      <c r="H363" s="277"/>
      <c r="I363" s="278">
        <f t="shared" si="88"/>
        <v>581</v>
      </c>
      <c r="J363" s="279" t="s">
        <v>205</v>
      </c>
      <c r="K363" s="279">
        <v>1</v>
      </c>
      <c r="L363" s="279"/>
      <c r="M363" s="279"/>
      <c r="N363" s="279">
        <v>1</v>
      </c>
      <c r="O363" s="279"/>
      <c r="P363" s="279"/>
      <c r="Q363" s="279">
        <v>1</v>
      </c>
      <c r="R363" s="279">
        <v>1</v>
      </c>
      <c r="S363" s="280">
        <v>1</v>
      </c>
      <c r="T363" s="63"/>
      <c r="U363" s="10"/>
      <c r="V363" s="90"/>
      <c r="W363" s="136"/>
      <c r="X363" s="137"/>
    </row>
    <row r="364" spans="1:24">
      <c r="A364" s="2"/>
      <c r="B364" s="87">
        <f>B363+1</f>
        <v>21</v>
      </c>
      <c r="C364" s="295">
        <v>45898</v>
      </c>
      <c r="D364" s="10">
        <v>72568</v>
      </c>
      <c r="E364" s="10" t="s">
        <v>1073</v>
      </c>
      <c r="F364" s="62">
        <v>4861</v>
      </c>
      <c r="G364" s="62">
        <v>39.700000000000003</v>
      </c>
      <c r="H364" s="62"/>
      <c r="I364" s="89">
        <f t="shared" si="88"/>
        <v>4821.3</v>
      </c>
      <c r="J364" s="63" t="s">
        <v>205</v>
      </c>
      <c r="K364" s="63">
        <v>1</v>
      </c>
      <c r="L364" s="63"/>
      <c r="M364" s="63"/>
      <c r="N364" s="63">
        <v>1</v>
      </c>
      <c r="O364" s="63"/>
      <c r="P364" s="63"/>
      <c r="Q364" s="63"/>
      <c r="R364" s="63"/>
      <c r="S364" s="296"/>
      <c r="T364" s="63"/>
      <c r="U364" s="10"/>
      <c r="V364" s="90"/>
      <c r="W364" s="136"/>
      <c r="X364" s="137"/>
    </row>
    <row r="365" spans="1:24">
      <c r="A365" s="2"/>
      <c r="B365" s="87">
        <f t="shared" si="89"/>
        <v>22</v>
      </c>
      <c r="C365" s="295">
        <v>45898</v>
      </c>
      <c r="D365" s="10">
        <v>72759</v>
      </c>
      <c r="E365" s="10" t="s">
        <v>604</v>
      </c>
      <c r="F365" s="62">
        <v>0</v>
      </c>
      <c r="G365" s="62">
        <v>0</v>
      </c>
      <c r="H365" s="62"/>
      <c r="I365" s="89">
        <f t="shared" si="88"/>
        <v>0</v>
      </c>
      <c r="J365" s="63" t="s">
        <v>205</v>
      </c>
      <c r="K365" s="63">
        <v>1</v>
      </c>
      <c r="L365" s="63"/>
      <c r="M365" s="63"/>
      <c r="N365" s="63">
        <v>1</v>
      </c>
      <c r="O365" s="63"/>
      <c r="P365" s="63"/>
      <c r="Q365" s="63"/>
      <c r="R365" s="63"/>
      <c r="S365" s="296"/>
      <c r="T365" s="63"/>
      <c r="U365" s="10" t="s">
        <v>1074</v>
      </c>
      <c r="V365" s="90"/>
      <c r="W365" s="136"/>
      <c r="X365" s="137"/>
    </row>
    <row r="366" spans="1:24">
      <c r="A366" s="2"/>
      <c r="B366" s="87">
        <f t="shared" si="89"/>
        <v>23</v>
      </c>
      <c r="C366" s="282">
        <v>45898</v>
      </c>
      <c r="D366" s="283">
        <v>72785</v>
      </c>
      <c r="E366" s="283" t="s">
        <v>218</v>
      </c>
      <c r="F366" s="284"/>
      <c r="G366" s="284"/>
      <c r="H366" s="284"/>
      <c r="I366" s="285">
        <f t="shared" si="88"/>
        <v>0</v>
      </c>
      <c r="J366" s="286" t="s">
        <v>205</v>
      </c>
      <c r="K366" s="286"/>
      <c r="L366" s="286"/>
      <c r="M366" s="286"/>
      <c r="N366" s="286"/>
      <c r="O366" s="286"/>
      <c r="P366" s="286"/>
      <c r="Q366" s="286">
        <v>1</v>
      </c>
      <c r="R366" s="286">
        <v>1</v>
      </c>
      <c r="S366" s="287">
        <v>1</v>
      </c>
      <c r="T366" s="63"/>
      <c r="U366" s="10"/>
      <c r="V366" s="90"/>
      <c r="W366" s="136"/>
      <c r="X366" s="137"/>
    </row>
    <row r="367" spans="1:24">
      <c r="A367" s="2"/>
      <c r="B367" s="11"/>
      <c r="C367" s="36"/>
      <c r="D367" s="10"/>
      <c r="E367" s="10"/>
      <c r="F367" s="97">
        <f>SUM(F344:F366)</f>
        <v>86270.6</v>
      </c>
      <c r="G367" s="97">
        <f>SUM(G344:G366)</f>
        <v>555.79999999999995</v>
      </c>
      <c r="H367" s="97">
        <f>SUM(H344:H366)</f>
        <v>0</v>
      </c>
      <c r="I367" s="98">
        <f>SUM(I344:I366)</f>
        <v>85714.8</v>
      </c>
      <c r="J367" s="10"/>
      <c r="K367" s="10"/>
      <c r="L367" s="10"/>
      <c r="M367" s="10"/>
      <c r="N367" s="10"/>
      <c r="O367" s="10"/>
      <c r="P367" s="10"/>
      <c r="Q367" s="10"/>
      <c r="R367" s="10"/>
      <c r="S367" s="10"/>
      <c r="T367" s="63"/>
      <c r="U367" s="10"/>
      <c r="V367" s="138"/>
      <c r="W367" s="136"/>
      <c r="X367" s="137"/>
    </row>
    <row r="368" spans="1:24">
      <c r="A368" s="2"/>
      <c r="B368" s="26"/>
      <c r="C368" s="140"/>
      <c r="D368" s="141"/>
      <c r="E368" s="141"/>
      <c r="F368" s="141"/>
      <c r="G368" s="141"/>
      <c r="H368" s="141"/>
      <c r="I368" s="141"/>
      <c r="J368" s="141"/>
      <c r="K368" s="142"/>
      <c r="L368" s="142"/>
      <c r="M368" s="142"/>
      <c r="N368" s="142"/>
      <c r="O368" s="142"/>
      <c r="P368" s="142"/>
      <c r="Q368" s="142"/>
      <c r="R368" s="142"/>
      <c r="S368" s="142"/>
      <c r="T368" s="143">
        <f>SUM(T304:T367)</f>
        <v>7</v>
      </c>
      <c r="U368" s="141"/>
      <c r="V368" s="144">
        <f>SUM(V304:V367)</f>
        <v>30992.93</v>
      </c>
      <c r="W368" s="144">
        <f t="shared" ref="W368:X368" si="90">SUM(W304:W367)</f>
        <v>0</v>
      </c>
      <c r="X368" s="144">
        <f t="shared" si="90"/>
        <v>0</v>
      </c>
    </row>
    <row r="371" spans="1:24">
      <c r="A371" s="619"/>
      <c r="B371" s="4" t="s">
        <v>1</v>
      </c>
      <c r="C371" s="620"/>
      <c r="D371" s="6"/>
      <c r="E371" s="6"/>
      <c r="F371" s="7" t="s">
        <v>2</v>
      </c>
      <c r="G371" s="618">
        <v>45907</v>
      </c>
      <c r="H371" s="7"/>
      <c r="I371" s="6"/>
      <c r="J371" s="6"/>
      <c r="K371" s="6"/>
      <c r="L371" s="6"/>
      <c r="M371" s="6"/>
      <c r="N371" s="6"/>
      <c r="O371" s="6"/>
      <c r="P371" s="6"/>
      <c r="Q371" s="6"/>
      <c r="R371" s="6"/>
      <c r="S371" s="6"/>
      <c r="T371" s="6"/>
      <c r="U371" s="9"/>
      <c r="V371" s="10"/>
      <c r="W371" s="10"/>
      <c r="X371" s="10"/>
    </row>
    <row r="372" spans="1:24">
      <c r="A372" s="619"/>
      <c r="B372" s="11"/>
      <c r="C372" s="621"/>
      <c r="D372" s="10"/>
      <c r="E372" s="10"/>
      <c r="F372" s="10"/>
      <c r="G372" s="7"/>
      <c r="H372" s="12"/>
      <c r="I372" s="10"/>
      <c r="J372" s="10"/>
      <c r="K372" s="13" t="s">
        <v>3</v>
      </c>
      <c r="L372" s="14"/>
      <c r="M372" s="15"/>
      <c r="N372" s="13" t="s">
        <v>4</v>
      </c>
      <c r="O372" s="14"/>
      <c r="P372" s="15"/>
      <c r="Q372" s="13" t="s">
        <v>5</v>
      </c>
      <c r="R372" s="14"/>
      <c r="S372" s="15"/>
      <c r="T372" s="16"/>
      <c r="U372" s="17"/>
      <c r="V372" s="10"/>
      <c r="W372" s="10"/>
      <c r="X372" s="10"/>
    </row>
    <row r="373" spans="1:24">
      <c r="A373" s="619"/>
      <c r="B373" s="18" t="s">
        <v>6</v>
      </c>
      <c r="C373" s="19">
        <f>C374+C375</f>
        <v>34</v>
      </c>
      <c r="D373" s="10"/>
      <c r="E373" s="18" t="s">
        <v>7</v>
      </c>
      <c r="F373" s="6"/>
      <c r="G373" s="9"/>
      <c r="H373" s="10"/>
      <c r="I373" s="10"/>
      <c r="J373" s="10"/>
      <c r="K373" s="20" t="s">
        <v>8</v>
      </c>
      <c r="L373" s="21" t="s">
        <v>9</v>
      </c>
      <c r="M373" s="21" t="s">
        <v>10</v>
      </c>
      <c r="N373" s="20" t="s">
        <v>11</v>
      </c>
      <c r="O373" s="21" t="s">
        <v>12</v>
      </c>
      <c r="P373" s="22" t="s">
        <v>13</v>
      </c>
      <c r="Q373" s="21" t="s">
        <v>11</v>
      </c>
      <c r="R373" s="21" t="s">
        <v>12</v>
      </c>
      <c r="S373" s="22" t="s">
        <v>13</v>
      </c>
      <c r="T373" s="23" t="s">
        <v>14</v>
      </c>
      <c r="U373" s="17"/>
      <c r="V373" s="10"/>
      <c r="W373" s="10"/>
      <c r="X373" s="10"/>
    </row>
    <row r="374" spans="1:24">
      <c r="A374" s="619"/>
      <c r="B374" s="24" t="s">
        <v>15</v>
      </c>
      <c r="C374" s="25">
        <f>P381</f>
        <v>15</v>
      </c>
      <c r="D374" s="10"/>
      <c r="E374" s="26" t="s">
        <v>16</v>
      </c>
      <c r="F374" s="27">
        <v>0.05</v>
      </c>
      <c r="G374" s="28"/>
      <c r="H374" s="10"/>
      <c r="I374" s="10"/>
      <c r="J374" s="18" t="s">
        <v>17</v>
      </c>
      <c r="K374" s="29">
        <f>K410</f>
        <v>11</v>
      </c>
      <c r="L374" s="29">
        <f>L410</f>
        <v>11</v>
      </c>
      <c r="M374" s="29">
        <f>M410</f>
        <v>11</v>
      </c>
      <c r="N374" s="29">
        <f>N410</f>
        <v>11</v>
      </c>
      <c r="O374" s="29">
        <f>O410</f>
        <v>11</v>
      </c>
      <c r="P374" s="29">
        <f>P410</f>
        <v>11</v>
      </c>
      <c r="Q374" s="29">
        <f>Q410</f>
        <v>11</v>
      </c>
      <c r="R374" s="29">
        <f>R410</f>
        <v>11</v>
      </c>
      <c r="S374" s="29">
        <f>S410</f>
        <v>11</v>
      </c>
      <c r="T374" s="30">
        <f>T471</f>
        <v>6</v>
      </c>
      <c r="U374" s="17"/>
      <c r="V374" s="10"/>
      <c r="W374" s="10"/>
      <c r="X374" s="10"/>
    </row>
    <row r="375" spans="1:24">
      <c r="A375" s="619"/>
      <c r="B375" s="24" t="s">
        <v>18</v>
      </c>
      <c r="C375" s="25">
        <f>P382</f>
        <v>19</v>
      </c>
      <c r="D375" s="10"/>
      <c r="E375" s="10"/>
      <c r="F375" s="10"/>
      <c r="G375" s="31"/>
      <c r="H375" s="10"/>
      <c r="I375" s="10"/>
      <c r="J375" s="32" t="s">
        <v>19</v>
      </c>
      <c r="K375" s="33">
        <f>K410/K409</f>
        <v>1</v>
      </c>
      <c r="L375" s="33">
        <f>L410/L409</f>
        <v>1</v>
      </c>
      <c r="M375" s="33">
        <f>M410/M409</f>
        <v>1</v>
      </c>
      <c r="N375" s="33">
        <f>N410/N409</f>
        <v>1</v>
      </c>
      <c r="O375" s="33">
        <f>O410/O409</f>
        <v>1</v>
      </c>
      <c r="P375" s="33">
        <f>P410/P409</f>
        <v>1</v>
      </c>
      <c r="Q375" s="33">
        <f>Q410/Q409</f>
        <v>1</v>
      </c>
      <c r="R375" s="33">
        <f>R410/R409</f>
        <v>1</v>
      </c>
      <c r="S375" s="33">
        <f>S410/S409</f>
        <v>1</v>
      </c>
      <c r="T375" s="23"/>
      <c r="U375" s="17" t="s">
        <v>20</v>
      </c>
      <c r="V375" s="10"/>
      <c r="W375" s="10"/>
      <c r="X375" s="10"/>
    </row>
    <row r="376" spans="1:24">
      <c r="A376" s="619"/>
      <c r="B376" s="24" t="s">
        <v>21</v>
      </c>
      <c r="C376" s="34">
        <f>P383</f>
        <v>0.44117647058823528</v>
      </c>
      <c r="D376" s="10"/>
      <c r="E376" s="10"/>
      <c r="F376" s="10"/>
      <c r="G376" s="10"/>
      <c r="H376" s="10"/>
      <c r="I376" s="10"/>
      <c r="J376" s="10"/>
      <c r="K376" s="10"/>
      <c r="L376" s="10"/>
      <c r="M376" s="10"/>
      <c r="N376" s="10"/>
      <c r="O376" s="10"/>
      <c r="P376" s="10"/>
      <c r="Q376" s="10"/>
      <c r="R376" s="10"/>
      <c r="S376" s="10"/>
      <c r="T376" s="10"/>
      <c r="U376" s="17"/>
      <c r="V376" s="10"/>
      <c r="W376" s="10"/>
      <c r="X376" s="10"/>
    </row>
    <row r="377" spans="1:24">
      <c r="A377" s="619"/>
      <c r="B377" s="24"/>
      <c r="C377" s="25"/>
      <c r="D377" s="10"/>
      <c r="E377" s="10"/>
      <c r="F377" s="18" t="s">
        <v>22</v>
      </c>
      <c r="G377" s="19" t="s">
        <v>23</v>
      </c>
      <c r="H377" s="35" t="s">
        <v>24</v>
      </c>
      <c r="I377" s="10"/>
      <c r="J377" s="10"/>
      <c r="K377" s="36"/>
      <c r="L377" s="36"/>
      <c r="M377" s="36"/>
      <c r="N377" s="36"/>
      <c r="O377" s="36"/>
      <c r="P377" s="36"/>
      <c r="Q377" s="36"/>
      <c r="R377" s="10"/>
      <c r="S377" s="10"/>
      <c r="T377" s="10"/>
      <c r="U377" s="17"/>
      <c r="V377" s="10"/>
      <c r="W377" s="10"/>
      <c r="X377" s="10"/>
    </row>
    <row r="378" spans="1:24">
      <c r="A378" s="619"/>
      <c r="B378" s="32" t="s">
        <v>25</v>
      </c>
      <c r="C378" s="37">
        <f>P384</f>
        <v>2034.1480000000001</v>
      </c>
      <c r="D378" s="10"/>
      <c r="E378" s="18" t="s">
        <v>26</v>
      </c>
      <c r="F378" s="38">
        <f>P380</f>
        <v>30512.22</v>
      </c>
      <c r="G378" s="39">
        <f>I409+I423+I428</f>
        <v>30512.219999999998</v>
      </c>
      <c r="H378" s="40"/>
      <c r="I378" s="41"/>
      <c r="J378" s="42"/>
      <c r="K378" s="43" t="s">
        <v>27</v>
      </c>
      <c r="L378" s="44"/>
      <c r="M378" s="44"/>
      <c r="N378" s="44"/>
      <c r="O378" s="44"/>
      <c r="P378" s="44"/>
      <c r="Q378" s="45"/>
      <c r="R378" s="46" t="s">
        <v>28</v>
      </c>
      <c r="S378" s="47" t="s">
        <v>29</v>
      </c>
      <c r="T378" s="10"/>
      <c r="U378" s="17"/>
      <c r="V378" s="10"/>
      <c r="W378" s="10"/>
      <c r="X378" s="10"/>
    </row>
    <row r="379" spans="1:24">
      <c r="A379" s="619"/>
      <c r="B379" s="11"/>
      <c r="C379" s="621"/>
      <c r="D379" s="10"/>
      <c r="E379" s="24" t="s">
        <v>30</v>
      </c>
      <c r="F379" s="48">
        <f>F374</f>
        <v>0.05</v>
      </c>
      <c r="G379" s="17"/>
      <c r="H379" s="40"/>
      <c r="I379" s="41"/>
      <c r="J379" s="42"/>
      <c r="K379" s="20" t="s">
        <v>31</v>
      </c>
      <c r="L379" s="21" t="s">
        <v>32</v>
      </c>
      <c r="M379" s="21" t="s">
        <v>33</v>
      </c>
      <c r="N379" s="21" t="s">
        <v>34</v>
      </c>
      <c r="O379" s="21" t="s">
        <v>35</v>
      </c>
      <c r="P379" s="21" t="s">
        <v>36</v>
      </c>
      <c r="Q379" s="49" t="s">
        <v>37</v>
      </c>
      <c r="R379" s="50" t="s">
        <v>38</v>
      </c>
      <c r="S379" s="50" t="s">
        <v>38</v>
      </c>
      <c r="T379" s="10"/>
      <c r="U379" s="17"/>
      <c r="V379" s="10"/>
      <c r="W379" s="10"/>
      <c r="X379" s="10"/>
    </row>
    <row r="380" spans="1:24">
      <c r="A380" s="619"/>
      <c r="B380" s="11"/>
      <c r="C380" s="621"/>
      <c r="D380" s="10"/>
      <c r="E380" s="51" t="s">
        <v>39</v>
      </c>
      <c r="F380" s="52">
        <f>(F378-I404-I421-I422-I426-I427)*F379</f>
        <v>757.92200000000014</v>
      </c>
      <c r="G380" s="53" t="s">
        <v>40</v>
      </c>
      <c r="H380" s="54">
        <f>F380/1.12</f>
        <v>676.71607142857147</v>
      </c>
      <c r="I380" s="55"/>
      <c r="J380" s="42"/>
      <c r="K380" s="56">
        <f>I398+I399+I400</f>
        <v>6742.5</v>
      </c>
      <c r="L380" s="57">
        <f>I401</f>
        <v>681</v>
      </c>
      <c r="M380" s="57">
        <f>I402+I403+I426</f>
        <v>14930.070000000002</v>
      </c>
      <c r="N380" s="57">
        <f>I404+I405+I421+I427</f>
        <v>4358.8999999999996</v>
      </c>
      <c r="O380" s="57">
        <f>I406+I422+I407+I408</f>
        <v>3799.75</v>
      </c>
      <c r="P380" s="57">
        <f>SUM(K380:O380)</f>
        <v>30512.22</v>
      </c>
      <c r="Q380" s="58">
        <f>I413+I431</f>
        <v>7188.25</v>
      </c>
      <c r="R380" s="59">
        <f>I423+I428</f>
        <v>14421.48</v>
      </c>
      <c r="S380" s="59">
        <f>+I432</f>
        <v>6600.75</v>
      </c>
      <c r="T380" s="10"/>
      <c r="U380" s="17"/>
      <c r="V380" s="10"/>
      <c r="W380" s="10"/>
      <c r="X380" s="10"/>
    </row>
    <row r="381" spans="1:24">
      <c r="A381" s="619"/>
      <c r="B381" s="11"/>
      <c r="C381" s="621"/>
      <c r="D381" s="10"/>
      <c r="E381" s="24" t="s">
        <v>41</v>
      </c>
      <c r="F381" s="60">
        <f>Q380</f>
        <v>7188.25</v>
      </c>
      <c r="G381" s="61" t="s">
        <v>40</v>
      </c>
      <c r="H381" s="62"/>
      <c r="I381" s="584" t="s">
        <v>1075</v>
      </c>
      <c r="J381" s="10" t="s">
        <v>42</v>
      </c>
      <c r="K381" s="63">
        <v>3</v>
      </c>
      <c r="L381" s="63">
        <v>1</v>
      </c>
      <c r="M381" s="63">
        <v>3</v>
      </c>
      <c r="N381" s="63">
        <v>4</v>
      </c>
      <c r="O381" s="63">
        <v>4</v>
      </c>
      <c r="P381" s="21">
        <f>SUM(K381:O381)</f>
        <v>15</v>
      </c>
      <c r="Q381" s="64">
        <v>2</v>
      </c>
      <c r="R381" s="63"/>
      <c r="S381" s="10"/>
      <c r="T381" s="10"/>
      <c r="U381" s="17"/>
      <c r="V381" s="10"/>
      <c r="W381" s="10"/>
      <c r="X381" s="10"/>
    </row>
    <row r="382" spans="1:24">
      <c r="A382" s="619"/>
      <c r="B382" s="11"/>
      <c r="C382" s="621"/>
      <c r="D382" s="10"/>
      <c r="E382" s="51" t="s">
        <v>43</v>
      </c>
      <c r="F382" s="52">
        <f>(F381-I431)*0.25</f>
        <v>146.875</v>
      </c>
      <c r="G382" s="53" t="s">
        <v>40</v>
      </c>
      <c r="H382" s="484">
        <f>F382/1.12</f>
        <v>131.13839285714283</v>
      </c>
      <c r="I382" s="387">
        <f>67.5*6.5</f>
        <v>438.75</v>
      </c>
      <c r="J382" s="10" t="s">
        <v>44</v>
      </c>
      <c r="K382" s="63">
        <v>4</v>
      </c>
      <c r="L382" s="63">
        <v>4</v>
      </c>
      <c r="M382" s="63">
        <v>3</v>
      </c>
      <c r="N382" s="63">
        <v>3</v>
      </c>
      <c r="O382" s="63">
        <v>5</v>
      </c>
      <c r="P382" s="21">
        <f>SUM(K382:O382)</f>
        <v>19</v>
      </c>
      <c r="Q382" s="64">
        <v>3</v>
      </c>
      <c r="R382" s="63"/>
      <c r="S382" s="10"/>
      <c r="T382" s="10"/>
      <c r="U382" s="17"/>
      <c r="V382" s="10"/>
      <c r="W382" s="10"/>
      <c r="X382" s="10"/>
    </row>
    <row r="383" spans="1:24">
      <c r="A383" s="619"/>
      <c r="B383" s="11"/>
      <c r="C383" s="621"/>
      <c r="D383" s="10"/>
      <c r="E383" s="24" t="s">
        <v>45</v>
      </c>
      <c r="F383" s="60">
        <f>I418</f>
        <v>1438.0399999999997</v>
      </c>
      <c r="G383" s="61" t="s">
        <v>40</v>
      </c>
      <c r="H383" s="62"/>
      <c r="I383" s="10"/>
      <c r="J383" s="10" t="s">
        <v>46</v>
      </c>
      <c r="K383" s="31">
        <f t="shared" ref="K383:Q383" si="91">K381/(K381+K382)</f>
        <v>0.42857142857142855</v>
      </c>
      <c r="L383" s="31">
        <f t="shared" si="91"/>
        <v>0.2</v>
      </c>
      <c r="M383" s="31">
        <f t="shared" si="91"/>
        <v>0.5</v>
      </c>
      <c r="N383" s="31">
        <f t="shared" si="91"/>
        <v>0.5714285714285714</v>
      </c>
      <c r="O383" s="31">
        <f t="shared" si="91"/>
        <v>0.44444444444444442</v>
      </c>
      <c r="P383" s="31">
        <f t="shared" si="91"/>
        <v>0.44117647058823528</v>
      </c>
      <c r="Q383" s="31">
        <f t="shared" si="91"/>
        <v>0.4</v>
      </c>
      <c r="R383" s="63"/>
      <c r="S383" s="10"/>
      <c r="T383" s="10"/>
      <c r="U383" s="17"/>
      <c r="V383" s="10"/>
      <c r="W383" s="10"/>
      <c r="X383" s="10"/>
    </row>
    <row r="384" spans="1:24">
      <c r="A384" s="619"/>
      <c r="B384" s="11"/>
      <c r="C384" s="621"/>
      <c r="D384" s="10"/>
      <c r="E384" s="51" t="s">
        <v>47</v>
      </c>
      <c r="F384" s="52">
        <f>(F383-I417)*0.05</f>
        <v>0</v>
      </c>
      <c r="G384" s="65" t="s">
        <v>40</v>
      </c>
      <c r="H384" s="54">
        <f>F384/1.12</f>
        <v>0</v>
      </c>
      <c r="I384" s="42"/>
      <c r="J384" s="10" t="s">
        <v>48</v>
      </c>
      <c r="K384" s="66">
        <f>K380/K381</f>
        <v>2247.5</v>
      </c>
      <c r="L384" s="66">
        <f t="shared" ref="L384:Q384" si="92">L380/L381</f>
        <v>681</v>
      </c>
      <c r="M384" s="66">
        <f t="shared" si="92"/>
        <v>4976.6900000000005</v>
      </c>
      <c r="N384" s="66">
        <f t="shared" si="92"/>
        <v>1089.7249999999999</v>
      </c>
      <c r="O384" s="66">
        <f t="shared" si="92"/>
        <v>949.9375</v>
      </c>
      <c r="P384" s="66">
        <f t="shared" si="92"/>
        <v>2034.1480000000001</v>
      </c>
      <c r="Q384" s="66">
        <f t="shared" si="92"/>
        <v>3594.125</v>
      </c>
      <c r="R384" s="63"/>
      <c r="S384" s="10"/>
      <c r="T384" s="10"/>
      <c r="U384" s="17"/>
      <c r="V384" s="10"/>
      <c r="W384" s="10"/>
      <c r="X384" s="10"/>
    </row>
    <row r="385" spans="1:24">
      <c r="A385" s="619"/>
      <c r="B385" s="11"/>
      <c r="C385" s="621"/>
      <c r="D385" s="10"/>
      <c r="E385" s="67" t="s">
        <v>14</v>
      </c>
      <c r="F385" s="68">
        <f>7*50</f>
        <v>350</v>
      </c>
      <c r="G385" s="10"/>
      <c r="H385" s="54">
        <f>F385/1.12</f>
        <v>312.49999999999994</v>
      </c>
      <c r="I385" s="10"/>
      <c r="J385" s="10"/>
      <c r="K385" s="10"/>
      <c r="L385" s="10"/>
      <c r="M385" s="10"/>
      <c r="N385" s="10"/>
      <c r="O385" s="10"/>
      <c r="P385" s="10"/>
      <c r="Q385" s="10"/>
      <c r="R385" s="10"/>
      <c r="S385" s="10"/>
      <c r="T385" s="10"/>
      <c r="U385" s="17"/>
      <c r="V385" s="10"/>
      <c r="W385" s="10"/>
      <c r="X385" s="10"/>
    </row>
    <row r="386" spans="1:24">
      <c r="A386" s="619"/>
      <c r="B386" s="11"/>
      <c r="C386" s="621"/>
      <c r="D386" s="10"/>
      <c r="E386" s="155" t="s">
        <v>49</v>
      </c>
      <c r="F386" s="364">
        <f>T375</f>
        <v>0</v>
      </c>
      <c r="G386" s="10"/>
      <c r="H386" s="54"/>
      <c r="I386" s="55"/>
      <c r="J386" s="42"/>
      <c r="K386" s="764" t="s">
        <v>50</v>
      </c>
      <c r="L386" s="765"/>
      <c r="M386" s="765"/>
      <c r="N386" s="765"/>
      <c r="O386" s="765"/>
      <c r="P386" s="765"/>
      <c r="Q386" s="766"/>
      <c r="R386" s="70" t="s">
        <v>28</v>
      </c>
      <c r="S386" s="71" t="s">
        <v>29</v>
      </c>
      <c r="T386" s="10"/>
      <c r="U386" s="17"/>
      <c r="V386" s="10"/>
      <c r="W386" s="10"/>
      <c r="X386" s="10"/>
    </row>
    <row r="387" spans="1:24">
      <c r="A387" s="619"/>
      <c r="B387" s="11"/>
      <c r="C387" s="621"/>
      <c r="D387" s="10"/>
      <c r="E387" s="10"/>
      <c r="F387" s="10"/>
      <c r="G387" s="10"/>
      <c r="H387" s="10"/>
      <c r="I387" s="10"/>
      <c r="J387" s="42"/>
      <c r="K387" s="20" t="s">
        <v>31</v>
      </c>
      <c r="L387" s="21" t="s">
        <v>32</v>
      </c>
      <c r="M387" s="21" t="s">
        <v>33</v>
      </c>
      <c r="N387" s="21" t="s">
        <v>34</v>
      </c>
      <c r="O387" s="21" t="s">
        <v>35</v>
      </c>
      <c r="P387" s="21" t="s">
        <v>36</v>
      </c>
      <c r="Q387" s="49" t="s">
        <v>37</v>
      </c>
      <c r="R387" s="50" t="s">
        <v>38</v>
      </c>
      <c r="S387" s="50" t="s">
        <v>38</v>
      </c>
      <c r="T387" s="10"/>
      <c r="U387" s="17"/>
      <c r="V387" s="10"/>
      <c r="W387" s="10"/>
      <c r="X387" s="10"/>
    </row>
    <row r="388" spans="1:24">
      <c r="A388" s="619"/>
      <c r="B388" s="11"/>
      <c r="C388" s="621"/>
      <c r="D388" s="10"/>
      <c r="E388" s="10"/>
      <c r="F388" s="10"/>
      <c r="G388" s="10"/>
      <c r="H388" s="10"/>
      <c r="I388" s="10"/>
      <c r="J388" s="42"/>
      <c r="K388" s="56">
        <f>F398+F399+F400</f>
        <v>6821.9</v>
      </c>
      <c r="L388" s="57">
        <f>F401</f>
        <v>681</v>
      </c>
      <c r="M388" s="57">
        <f>F402+F403+F426</f>
        <v>16505.099999999999</v>
      </c>
      <c r="N388" s="57">
        <f>F404+F405+F421+F427</f>
        <v>4876</v>
      </c>
      <c r="O388" s="57">
        <f>F406+F422+F407+F408</f>
        <v>4233</v>
      </c>
      <c r="P388" s="57">
        <f>SUM(K388:O388)</f>
        <v>33117</v>
      </c>
      <c r="Q388" s="58">
        <f>F413+F431</f>
        <v>8520.5</v>
      </c>
      <c r="R388" s="59">
        <f>F423+F428</f>
        <v>16476.599999999999</v>
      </c>
      <c r="S388" s="59">
        <f>+F432</f>
        <v>7933</v>
      </c>
      <c r="T388" s="10"/>
      <c r="U388" s="17"/>
      <c r="V388" s="10"/>
      <c r="W388" s="10"/>
      <c r="X388" s="10"/>
    </row>
    <row r="389" spans="1:24">
      <c r="A389" s="619"/>
      <c r="B389" s="11"/>
      <c r="C389" s="621"/>
      <c r="D389" s="10"/>
      <c r="E389" s="10"/>
      <c r="F389" s="10"/>
      <c r="G389" s="10"/>
      <c r="H389" s="10"/>
      <c r="I389" s="10"/>
      <c r="J389" s="10" t="s">
        <v>42</v>
      </c>
      <c r="K389" s="63">
        <f>K381</f>
        <v>3</v>
      </c>
      <c r="L389" s="63">
        <f t="shared" ref="L389:Q390" si="93">L381</f>
        <v>1</v>
      </c>
      <c r="M389" s="63">
        <f t="shared" si="93"/>
        <v>3</v>
      </c>
      <c r="N389" s="63">
        <f t="shared" si="93"/>
        <v>4</v>
      </c>
      <c r="O389" s="63">
        <f t="shared" si="93"/>
        <v>4</v>
      </c>
      <c r="P389" s="63">
        <f t="shared" si="93"/>
        <v>15</v>
      </c>
      <c r="Q389" s="63">
        <f t="shared" si="93"/>
        <v>2</v>
      </c>
      <c r="R389" s="63"/>
      <c r="S389" s="10"/>
      <c r="T389" s="10"/>
      <c r="U389" s="17"/>
      <c r="V389" s="10"/>
      <c r="W389" s="10"/>
      <c r="X389" s="10"/>
    </row>
    <row r="390" spans="1:24">
      <c r="A390" s="619"/>
      <c r="B390" s="11"/>
      <c r="C390" s="621"/>
      <c r="D390" s="10"/>
      <c r="E390" s="10"/>
      <c r="F390" s="10"/>
      <c r="G390" s="10"/>
      <c r="H390" s="10"/>
      <c r="I390" s="10"/>
      <c r="J390" s="10" t="s">
        <v>44</v>
      </c>
      <c r="K390" s="63">
        <f>K382</f>
        <v>4</v>
      </c>
      <c r="L390" s="63">
        <f t="shared" si="93"/>
        <v>4</v>
      </c>
      <c r="M390" s="63">
        <f t="shared" si="93"/>
        <v>3</v>
      </c>
      <c r="N390" s="63">
        <f t="shared" si="93"/>
        <v>3</v>
      </c>
      <c r="O390" s="63">
        <f t="shared" si="93"/>
        <v>5</v>
      </c>
      <c r="P390" s="63">
        <f t="shared" si="93"/>
        <v>19</v>
      </c>
      <c r="Q390" s="63">
        <f t="shared" si="93"/>
        <v>3</v>
      </c>
      <c r="R390" s="63"/>
      <c r="S390" s="10"/>
      <c r="T390" s="10"/>
      <c r="U390" s="17"/>
      <c r="V390" s="10"/>
      <c r="W390" s="10"/>
      <c r="X390" s="10"/>
    </row>
    <row r="391" spans="1:24">
      <c r="A391" s="619"/>
      <c r="B391" s="11"/>
      <c r="C391" s="621"/>
      <c r="D391" s="10"/>
      <c r="E391" s="10"/>
      <c r="F391" s="10"/>
      <c r="G391" s="10"/>
      <c r="H391" s="10"/>
      <c r="I391" s="10"/>
      <c r="J391" s="10" t="s">
        <v>46</v>
      </c>
      <c r="K391" s="31">
        <f t="shared" ref="K391:Q391" si="94">K389/(K389+K390)</f>
        <v>0.42857142857142855</v>
      </c>
      <c r="L391" s="31">
        <f t="shared" si="94"/>
        <v>0.2</v>
      </c>
      <c r="M391" s="31">
        <f t="shared" si="94"/>
        <v>0.5</v>
      </c>
      <c r="N391" s="31">
        <f t="shared" si="94"/>
        <v>0.5714285714285714</v>
      </c>
      <c r="O391" s="31">
        <f t="shared" si="94"/>
        <v>0.44444444444444442</v>
      </c>
      <c r="P391" s="31">
        <f t="shared" si="94"/>
        <v>0.44117647058823528</v>
      </c>
      <c r="Q391" s="31">
        <f t="shared" si="94"/>
        <v>0.4</v>
      </c>
      <c r="R391" s="63"/>
      <c r="S391" s="10"/>
      <c r="T391" s="10"/>
      <c r="U391" s="17"/>
      <c r="V391" s="10"/>
      <c r="W391" s="10"/>
      <c r="X391" s="10"/>
    </row>
    <row r="392" spans="1:24">
      <c r="A392" s="619"/>
      <c r="B392" s="11"/>
      <c r="C392" s="621"/>
      <c r="D392" s="10"/>
      <c r="E392" s="10"/>
      <c r="F392" s="10"/>
      <c r="G392" s="10"/>
      <c r="H392" s="10"/>
      <c r="I392" s="10"/>
      <c r="J392" s="10" t="s">
        <v>48</v>
      </c>
      <c r="K392" s="66">
        <f t="shared" ref="K392:Q392" si="95">K388/K389</f>
        <v>2273.9666666666667</v>
      </c>
      <c r="L392" s="66">
        <f t="shared" si="95"/>
        <v>681</v>
      </c>
      <c r="M392" s="66">
        <f t="shared" si="95"/>
        <v>5501.7</v>
      </c>
      <c r="N392" s="66">
        <f t="shared" si="95"/>
        <v>1219</v>
      </c>
      <c r="O392" s="66">
        <f t="shared" si="95"/>
        <v>1058.25</v>
      </c>
      <c r="P392" s="66">
        <f t="shared" si="95"/>
        <v>2207.8000000000002</v>
      </c>
      <c r="Q392" s="66">
        <f t="shared" si="95"/>
        <v>4260.25</v>
      </c>
      <c r="R392" s="63"/>
      <c r="S392" s="10"/>
      <c r="T392" s="10"/>
      <c r="U392" s="17"/>
      <c r="V392" s="10"/>
      <c r="W392" s="10"/>
      <c r="X392" s="10"/>
    </row>
    <row r="393" spans="1:24">
      <c r="A393" s="619"/>
      <c r="B393" s="11"/>
      <c r="C393" s="621"/>
      <c r="D393" s="10"/>
      <c r="E393" s="10"/>
      <c r="F393" s="10"/>
      <c r="G393" s="10"/>
      <c r="H393" s="10"/>
      <c r="I393" s="10"/>
      <c r="J393" s="10"/>
      <c r="K393" s="10"/>
      <c r="L393" s="10"/>
      <c r="M393" s="10"/>
      <c r="N393" s="10"/>
      <c r="O393" s="10"/>
      <c r="P393" s="10"/>
      <c r="Q393" s="10"/>
      <c r="R393" s="10"/>
      <c r="S393" s="10"/>
      <c r="T393" s="10"/>
      <c r="U393" s="17"/>
      <c r="V393" s="10"/>
      <c r="W393" s="10"/>
      <c r="X393" s="10"/>
    </row>
    <row r="394" spans="1:24">
      <c r="A394" s="619"/>
      <c r="B394" s="11"/>
      <c r="C394" s="621"/>
      <c r="D394" s="10"/>
      <c r="E394" s="10"/>
      <c r="F394" s="10"/>
      <c r="G394" s="10"/>
      <c r="H394" s="10"/>
      <c r="I394" s="10"/>
      <c r="J394" s="10"/>
      <c r="K394" s="10"/>
      <c r="L394" s="10"/>
      <c r="M394" s="10"/>
      <c r="N394" s="10"/>
      <c r="O394" s="10"/>
      <c r="P394" s="10"/>
      <c r="Q394" s="10"/>
      <c r="R394" s="10"/>
      <c r="S394" s="10"/>
      <c r="T394" s="10"/>
      <c r="U394" s="17"/>
      <c r="V394" s="10"/>
      <c r="W394" s="10"/>
      <c r="X394" s="10"/>
    </row>
    <row r="395" spans="1:24">
      <c r="A395" s="619"/>
      <c r="B395" s="18" t="s">
        <v>51</v>
      </c>
      <c r="C395" s="622"/>
      <c r="D395" s="14"/>
      <c r="E395" s="14"/>
      <c r="F395" s="13" t="s">
        <v>52</v>
      </c>
      <c r="G395" s="14"/>
      <c r="H395" s="14"/>
      <c r="I395" s="14"/>
      <c r="J395" s="14"/>
      <c r="K395" s="13" t="s">
        <v>3</v>
      </c>
      <c r="L395" s="14"/>
      <c r="M395" s="14"/>
      <c r="N395" s="13" t="s">
        <v>4</v>
      </c>
      <c r="O395" s="14"/>
      <c r="P395" s="14"/>
      <c r="Q395" s="13" t="s">
        <v>5</v>
      </c>
      <c r="R395" s="14"/>
      <c r="S395" s="14"/>
      <c r="T395" s="18"/>
      <c r="U395" s="16" t="s">
        <v>53</v>
      </c>
      <c r="V395" s="77"/>
      <c r="W395" s="77"/>
      <c r="X395" s="77"/>
    </row>
    <row r="396" spans="1:24">
      <c r="A396" s="619"/>
      <c r="B396" s="24" t="s">
        <v>54</v>
      </c>
      <c r="C396" s="623" t="s">
        <v>55</v>
      </c>
      <c r="D396" s="21" t="s">
        <v>56</v>
      </c>
      <c r="E396" s="21" t="s">
        <v>57</v>
      </c>
      <c r="F396" s="20" t="s">
        <v>58</v>
      </c>
      <c r="G396" s="21" t="s">
        <v>59</v>
      </c>
      <c r="H396" s="21" t="s">
        <v>60</v>
      </c>
      <c r="I396" s="21" t="s">
        <v>26</v>
      </c>
      <c r="J396" s="22" t="s">
        <v>61</v>
      </c>
      <c r="K396" s="21" t="s">
        <v>8</v>
      </c>
      <c r="L396" s="21" t="s">
        <v>9</v>
      </c>
      <c r="M396" s="21" t="s">
        <v>10</v>
      </c>
      <c r="N396" s="20" t="s">
        <v>11</v>
      </c>
      <c r="O396" s="21" t="s">
        <v>12</v>
      </c>
      <c r="P396" s="22" t="s">
        <v>13</v>
      </c>
      <c r="Q396" s="21" t="s">
        <v>11</v>
      </c>
      <c r="R396" s="21" t="s">
        <v>12</v>
      </c>
      <c r="S396" s="21" t="s">
        <v>13</v>
      </c>
      <c r="T396" s="78" t="s">
        <v>14</v>
      </c>
      <c r="U396" s="30"/>
      <c r="V396" s="79" t="s">
        <v>62</v>
      </c>
      <c r="W396" s="80" t="s">
        <v>63</v>
      </c>
      <c r="X396" s="81" t="s">
        <v>64</v>
      </c>
    </row>
    <row r="397" spans="1:24">
      <c r="A397" s="619"/>
      <c r="B397" s="4" t="s">
        <v>65</v>
      </c>
      <c r="C397" s="624"/>
      <c r="D397" s="6"/>
      <c r="E397" s="6"/>
      <c r="F397" s="6"/>
      <c r="G397" s="6"/>
      <c r="H397" s="6"/>
      <c r="I397" s="82"/>
      <c r="J397" s="6"/>
      <c r="K397" s="6"/>
      <c r="L397" s="6"/>
      <c r="M397" s="6"/>
      <c r="N397" s="6"/>
      <c r="O397" s="6"/>
      <c r="P397" s="6"/>
      <c r="Q397" s="6"/>
      <c r="R397" s="6"/>
      <c r="S397" s="6"/>
      <c r="T397" s="83"/>
      <c r="U397" s="6"/>
      <c r="V397" s="84"/>
      <c r="W397" s="85"/>
      <c r="X397" s="86"/>
    </row>
    <row r="398" spans="1:24">
      <c r="A398" s="619"/>
      <c r="B398" s="87">
        <v>1</v>
      </c>
      <c r="C398" s="638">
        <v>45901</v>
      </c>
      <c r="D398" s="327">
        <v>72813</v>
      </c>
      <c r="E398" s="276" t="s">
        <v>1076</v>
      </c>
      <c r="F398" s="277">
        <v>1921.9</v>
      </c>
      <c r="G398" s="277">
        <f>39.7</f>
        <v>39.700000000000003</v>
      </c>
      <c r="H398" s="297"/>
      <c r="I398" s="278">
        <f t="shared" ref="I398:I406" si="96">F398-G398-H398</f>
        <v>1882.2</v>
      </c>
      <c r="J398" s="279" t="s">
        <v>156</v>
      </c>
      <c r="K398" s="279">
        <v>1</v>
      </c>
      <c r="L398" s="279">
        <v>1</v>
      </c>
      <c r="M398" s="279">
        <v>1</v>
      </c>
      <c r="N398" s="279">
        <v>1</v>
      </c>
      <c r="O398" s="279">
        <v>1</v>
      </c>
      <c r="P398" s="279">
        <v>1</v>
      </c>
      <c r="Q398" s="279">
        <v>1</v>
      </c>
      <c r="R398" s="279">
        <v>1</v>
      </c>
      <c r="S398" s="280">
        <v>1</v>
      </c>
      <c r="T398" s="63"/>
      <c r="U398" s="10"/>
      <c r="V398" s="90">
        <f>211.41+1902.68</f>
        <v>2114.09</v>
      </c>
      <c r="W398" s="91"/>
      <c r="X398" s="92"/>
    </row>
    <row r="399" spans="1:24">
      <c r="A399" s="619"/>
      <c r="B399" s="87">
        <f t="shared" ref="B399:B406" si="97">B398+1</f>
        <v>2</v>
      </c>
      <c r="C399" s="639">
        <v>45901</v>
      </c>
      <c r="D399" s="323">
        <v>72837</v>
      </c>
      <c r="E399" s="10" t="s">
        <v>1077</v>
      </c>
      <c r="F399" s="62">
        <v>481</v>
      </c>
      <c r="G399" s="62"/>
      <c r="H399" s="62"/>
      <c r="I399" s="89">
        <f t="shared" si="96"/>
        <v>481</v>
      </c>
      <c r="J399" s="63" t="s">
        <v>156</v>
      </c>
      <c r="K399" s="63">
        <v>1</v>
      </c>
      <c r="L399" s="63">
        <v>1</v>
      </c>
      <c r="M399" s="63">
        <v>1</v>
      </c>
      <c r="N399" s="63">
        <v>1</v>
      </c>
      <c r="O399" s="63">
        <v>1</v>
      </c>
      <c r="P399" s="63">
        <v>1</v>
      </c>
      <c r="Q399" s="63">
        <v>1</v>
      </c>
      <c r="R399" s="63">
        <v>1</v>
      </c>
      <c r="S399" s="296">
        <v>1</v>
      </c>
      <c r="T399" s="21">
        <v>1</v>
      </c>
      <c r="U399" s="10"/>
      <c r="V399" s="90">
        <f>52.91+476.19</f>
        <v>529.1</v>
      </c>
      <c r="W399" s="91"/>
      <c r="X399" s="92"/>
    </row>
    <row r="400" spans="1:24">
      <c r="A400" s="619"/>
      <c r="B400" s="87">
        <f t="shared" si="97"/>
        <v>3</v>
      </c>
      <c r="C400" s="639">
        <v>45901</v>
      </c>
      <c r="D400" s="323">
        <v>72843</v>
      </c>
      <c r="E400" s="10" t="s">
        <v>1078</v>
      </c>
      <c r="F400" s="62">
        <v>4419</v>
      </c>
      <c r="G400" s="62">
        <f>39.7</f>
        <v>39.700000000000003</v>
      </c>
      <c r="H400" s="62"/>
      <c r="I400" s="89">
        <f t="shared" si="96"/>
        <v>4379.3</v>
      </c>
      <c r="J400" s="63" t="s">
        <v>156</v>
      </c>
      <c r="K400" s="63">
        <v>1</v>
      </c>
      <c r="L400" s="63">
        <v>1</v>
      </c>
      <c r="M400" s="63">
        <v>1</v>
      </c>
      <c r="N400" s="63">
        <v>1</v>
      </c>
      <c r="O400" s="63">
        <v>1</v>
      </c>
      <c r="P400" s="63">
        <v>1</v>
      </c>
      <c r="Q400" s="63">
        <v>1</v>
      </c>
      <c r="R400" s="63">
        <v>1</v>
      </c>
      <c r="S400" s="296">
        <v>1</v>
      </c>
      <c r="T400" s="21">
        <v>1</v>
      </c>
      <c r="U400" s="10"/>
      <c r="V400" s="90">
        <f>486.09+4374.81</f>
        <v>4860.9000000000005</v>
      </c>
      <c r="W400" s="91"/>
      <c r="X400" s="92"/>
    </row>
    <row r="401" spans="1:24">
      <c r="A401" s="619"/>
      <c r="B401" s="87">
        <f t="shared" si="97"/>
        <v>4</v>
      </c>
      <c r="C401" s="638">
        <v>45902</v>
      </c>
      <c r="D401" s="327">
        <v>72869</v>
      </c>
      <c r="E401" s="404" t="s">
        <v>1079</v>
      </c>
      <c r="F401" s="277">
        <v>681</v>
      </c>
      <c r="G401" s="277"/>
      <c r="H401" s="277"/>
      <c r="I401" s="278">
        <f t="shared" si="96"/>
        <v>681</v>
      </c>
      <c r="J401" s="279" t="s">
        <v>236</v>
      </c>
      <c r="K401" s="279">
        <v>1</v>
      </c>
      <c r="L401" s="279">
        <v>1</v>
      </c>
      <c r="M401" s="279">
        <v>1</v>
      </c>
      <c r="N401" s="279">
        <v>1</v>
      </c>
      <c r="O401" s="279">
        <v>1</v>
      </c>
      <c r="P401" s="279">
        <v>1</v>
      </c>
      <c r="Q401" s="279">
        <v>1</v>
      </c>
      <c r="R401" s="279">
        <v>1</v>
      </c>
      <c r="S401" s="280">
        <v>1</v>
      </c>
      <c r="T401" s="63"/>
      <c r="U401" s="10"/>
      <c r="V401" s="90">
        <v>649.1</v>
      </c>
      <c r="W401" s="440">
        <v>100</v>
      </c>
      <c r="X401" s="92"/>
    </row>
    <row r="402" spans="1:24">
      <c r="A402" s="619"/>
      <c r="B402" s="87">
        <f t="shared" si="97"/>
        <v>5</v>
      </c>
      <c r="C402" s="638">
        <v>45903</v>
      </c>
      <c r="D402" s="327">
        <v>72909</v>
      </c>
      <c r="E402" s="276" t="s">
        <v>1080</v>
      </c>
      <c r="F402" s="277">
        <v>1137.5999999999999</v>
      </c>
      <c r="G402" s="277">
        <f>39.7</f>
        <v>39.700000000000003</v>
      </c>
      <c r="H402" s="277"/>
      <c r="I402" s="278">
        <f t="shared" si="96"/>
        <v>1097.8999999999999</v>
      </c>
      <c r="J402" s="279" t="s">
        <v>156</v>
      </c>
      <c r="K402" s="279">
        <v>1</v>
      </c>
      <c r="L402" s="279">
        <v>1</v>
      </c>
      <c r="M402" s="279">
        <v>1</v>
      </c>
      <c r="N402" s="279">
        <v>1</v>
      </c>
      <c r="O402" s="279">
        <v>1</v>
      </c>
      <c r="P402" s="279">
        <v>1</v>
      </c>
      <c r="Q402" s="279">
        <v>1</v>
      </c>
      <c r="R402" s="279">
        <v>1</v>
      </c>
      <c r="S402" s="280">
        <v>1</v>
      </c>
      <c r="T402" s="21">
        <v>1</v>
      </c>
      <c r="U402" s="10"/>
      <c r="V402" s="90">
        <f>125.13+1126.23</f>
        <v>1251.3600000000001</v>
      </c>
      <c r="W402" s="91"/>
      <c r="X402" s="92"/>
    </row>
    <row r="403" spans="1:24">
      <c r="A403" s="619"/>
      <c r="B403" s="87">
        <f t="shared" si="97"/>
        <v>6</v>
      </c>
      <c r="C403" s="639">
        <v>45903</v>
      </c>
      <c r="D403" s="323">
        <v>72937</v>
      </c>
      <c r="E403" s="101" t="s">
        <v>746</v>
      </c>
      <c r="F403" s="62">
        <v>2574.9</v>
      </c>
      <c r="G403" s="62">
        <f>39.7</f>
        <v>39.700000000000003</v>
      </c>
      <c r="H403" s="62"/>
      <c r="I403" s="89">
        <f>F403-G403-H403</f>
        <v>2535.2000000000003</v>
      </c>
      <c r="J403" s="63" t="s">
        <v>374</v>
      </c>
      <c r="K403" s="63">
        <v>1</v>
      </c>
      <c r="L403" s="63">
        <v>1</v>
      </c>
      <c r="M403" s="63">
        <v>1</v>
      </c>
      <c r="N403" s="63">
        <v>1</v>
      </c>
      <c r="O403" s="63">
        <v>1</v>
      </c>
      <c r="P403" s="63">
        <v>1</v>
      </c>
      <c r="Q403" s="63">
        <v>1</v>
      </c>
      <c r="R403" s="63">
        <v>1</v>
      </c>
      <c r="S403" s="296">
        <v>1</v>
      </c>
      <c r="T403" s="63"/>
      <c r="U403" s="10" t="s">
        <v>1081</v>
      </c>
      <c r="V403" s="90">
        <f>2548.39+284</f>
        <v>2832.39</v>
      </c>
      <c r="W403" s="91"/>
      <c r="X403" s="92"/>
    </row>
    <row r="404" spans="1:24">
      <c r="A404" s="619" t="s">
        <v>230</v>
      </c>
      <c r="B404" s="87">
        <f t="shared" si="97"/>
        <v>7</v>
      </c>
      <c r="C404" s="638">
        <v>45904</v>
      </c>
      <c r="D404" s="327">
        <v>72896</v>
      </c>
      <c r="E404" s="276" t="s">
        <v>604</v>
      </c>
      <c r="F404" s="277">
        <f>1134-162</f>
        <v>972</v>
      </c>
      <c r="G404" s="277">
        <f>39.7</f>
        <v>39.700000000000003</v>
      </c>
      <c r="H404" s="297"/>
      <c r="I404" s="329">
        <f t="shared" si="96"/>
        <v>932.3</v>
      </c>
      <c r="J404" s="279" t="s">
        <v>156</v>
      </c>
      <c r="K404" s="279">
        <v>1</v>
      </c>
      <c r="L404" s="279">
        <v>1</v>
      </c>
      <c r="M404" s="279">
        <v>1</v>
      </c>
      <c r="N404" s="279">
        <v>1</v>
      </c>
      <c r="O404" s="279">
        <v>1</v>
      </c>
      <c r="P404" s="279">
        <v>1</v>
      </c>
      <c r="Q404" s="279">
        <v>1</v>
      </c>
      <c r="R404" s="279">
        <v>1</v>
      </c>
      <c r="S404" s="280">
        <v>1</v>
      </c>
      <c r="T404" s="63"/>
      <c r="U404" s="10"/>
      <c r="V404" s="90">
        <f>124.74+1122.66</f>
        <v>1247.4000000000001</v>
      </c>
      <c r="W404" s="91"/>
      <c r="X404" s="92"/>
    </row>
    <row r="405" spans="1:24">
      <c r="A405" s="619"/>
      <c r="B405" s="87">
        <f t="shared" si="97"/>
        <v>8</v>
      </c>
      <c r="C405" s="639">
        <v>45904</v>
      </c>
      <c r="D405" s="323">
        <v>73001</v>
      </c>
      <c r="E405" s="10" t="s">
        <v>1082</v>
      </c>
      <c r="F405" s="62">
        <v>1681</v>
      </c>
      <c r="G405" s="62">
        <f>39.7</f>
        <v>39.700000000000003</v>
      </c>
      <c r="H405" s="88"/>
      <c r="I405" s="89">
        <f t="shared" si="96"/>
        <v>1641.3</v>
      </c>
      <c r="J405" s="63" t="s">
        <v>150</v>
      </c>
      <c r="K405" s="63">
        <v>1</v>
      </c>
      <c r="L405" s="63">
        <v>1</v>
      </c>
      <c r="M405" s="63">
        <v>1</v>
      </c>
      <c r="N405" s="63">
        <v>1</v>
      </c>
      <c r="O405" s="63">
        <v>1</v>
      </c>
      <c r="P405" s="63">
        <v>1</v>
      </c>
      <c r="Q405" s="63">
        <v>1</v>
      </c>
      <c r="R405" s="63">
        <v>1</v>
      </c>
      <c r="S405" s="296">
        <v>1</v>
      </c>
      <c r="T405" s="63"/>
      <c r="U405" s="10" t="s">
        <v>1083</v>
      </c>
      <c r="V405" s="90">
        <v>0</v>
      </c>
      <c r="W405" s="440">
        <f>180+1670</f>
        <v>1850</v>
      </c>
      <c r="X405" s="92"/>
    </row>
    <row r="406" spans="1:24">
      <c r="A406" s="619" t="s">
        <v>1084</v>
      </c>
      <c r="B406" s="87">
        <f t="shared" si="97"/>
        <v>9</v>
      </c>
      <c r="C406" s="638">
        <v>45905</v>
      </c>
      <c r="D406" s="327">
        <v>72997</v>
      </c>
      <c r="E406" s="276" t="s">
        <v>1085</v>
      </c>
      <c r="F406" s="277">
        <v>1410</v>
      </c>
      <c r="G406" s="277">
        <f>39.7+(36.56)</f>
        <v>76.260000000000005</v>
      </c>
      <c r="H406" s="297"/>
      <c r="I406" s="278">
        <f t="shared" si="96"/>
        <v>1333.74</v>
      </c>
      <c r="J406" s="279" t="s">
        <v>156</v>
      </c>
      <c r="K406" s="279">
        <v>1</v>
      </c>
      <c r="L406" s="279">
        <v>1</v>
      </c>
      <c r="M406" s="279">
        <v>1</v>
      </c>
      <c r="N406" s="279">
        <v>1</v>
      </c>
      <c r="O406" s="279">
        <v>1</v>
      </c>
      <c r="P406" s="279">
        <v>1</v>
      </c>
      <c r="Q406" s="279">
        <v>1</v>
      </c>
      <c r="R406" s="279">
        <v>1</v>
      </c>
      <c r="S406" s="280">
        <v>1</v>
      </c>
      <c r="T406" s="21">
        <v>1</v>
      </c>
      <c r="U406" s="10" t="s">
        <v>1086</v>
      </c>
      <c r="V406" s="90">
        <f>155.1+1395.9</f>
        <v>1551</v>
      </c>
      <c r="W406" s="91"/>
      <c r="X406" s="92"/>
    </row>
    <row r="407" spans="1:24">
      <c r="A407" s="619"/>
      <c r="B407" s="87">
        <f>B406+1</f>
        <v>10</v>
      </c>
      <c r="C407" s="639">
        <v>45905</v>
      </c>
      <c r="D407" s="323">
        <v>73009</v>
      </c>
      <c r="E407" s="10" t="s">
        <v>1080</v>
      </c>
      <c r="F407" s="62">
        <f>766-85</f>
        <v>681</v>
      </c>
      <c r="G407" s="62">
        <f>+(35.2)+200</f>
        <v>235.2</v>
      </c>
      <c r="H407" s="88"/>
      <c r="I407" s="89">
        <f>F407-G407-H407</f>
        <v>445.8</v>
      </c>
      <c r="J407" s="63" t="s">
        <v>228</v>
      </c>
      <c r="K407" s="63">
        <v>1</v>
      </c>
      <c r="L407" s="63">
        <v>1</v>
      </c>
      <c r="M407" s="63">
        <v>1</v>
      </c>
      <c r="N407" s="63">
        <v>1</v>
      </c>
      <c r="O407" s="63">
        <v>1</v>
      </c>
      <c r="P407" s="63">
        <v>1</v>
      </c>
      <c r="Q407" s="63">
        <v>1</v>
      </c>
      <c r="R407" s="63">
        <v>1</v>
      </c>
      <c r="S407" s="296">
        <v>1</v>
      </c>
      <c r="T407" s="63"/>
      <c r="U407" s="10" t="s">
        <v>1087</v>
      </c>
      <c r="V407" s="90">
        <f>93.5+749.1</f>
        <v>842.6</v>
      </c>
      <c r="W407" s="91"/>
      <c r="X407" s="92"/>
    </row>
    <row r="408" spans="1:24">
      <c r="A408" s="619"/>
      <c r="B408" s="87">
        <f>B407+1</f>
        <v>11</v>
      </c>
      <c r="C408" s="640">
        <v>45905</v>
      </c>
      <c r="D408" s="368">
        <v>73022</v>
      </c>
      <c r="E408" s="319" t="s">
        <v>218</v>
      </c>
      <c r="F408" s="284">
        <v>681</v>
      </c>
      <c r="G408" s="284"/>
      <c r="H408" s="284"/>
      <c r="I408" s="285">
        <f>F408-G408-H408</f>
        <v>681</v>
      </c>
      <c r="J408" s="286" t="s">
        <v>156</v>
      </c>
      <c r="K408" s="286">
        <v>1</v>
      </c>
      <c r="L408" s="286">
        <v>1</v>
      </c>
      <c r="M408" s="286">
        <v>1</v>
      </c>
      <c r="N408" s="286">
        <v>1</v>
      </c>
      <c r="O408" s="286">
        <v>1</v>
      </c>
      <c r="P408" s="286">
        <v>1</v>
      </c>
      <c r="Q408" s="286">
        <v>1</v>
      </c>
      <c r="R408" s="286">
        <v>1</v>
      </c>
      <c r="S408" s="287">
        <v>1</v>
      </c>
      <c r="T408" s="63"/>
      <c r="U408" s="10"/>
      <c r="V408" s="90">
        <f>74.91+674.19</f>
        <v>749.1</v>
      </c>
      <c r="W408" s="91"/>
      <c r="X408" s="92"/>
    </row>
    <row r="409" spans="1:24">
      <c r="A409" s="619"/>
      <c r="B409" s="87"/>
      <c r="C409" s="621"/>
      <c r="D409" s="10"/>
      <c r="E409" s="10"/>
      <c r="F409" s="98">
        <f>SUM(F398:F408)</f>
        <v>16640.400000000001</v>
      </c>
      <c r="G409" s="98">
        <f>SUM(G398:G408)</f>
        <v>549.66</v>
      </c>
      <c r="H409" s="98">
        <f>SUM(H398:H408)</f>
        <v>0</v>
      </c>
      <c r="I409" s="98">
        <f>SUM(I398:I408)</f>
        <v>16090.739999999998</v>
      </c>
      <c r="J409" s="63"/>
      <c r="K409" s="63">
        <f>COUNT(K398:K408)</f>
        <v>11</v>
      </c>
      <c r="L409" s="63">
        <f>COUNT(L398:L408)</f>
        <v>11</v>
      </c>
      <c r="M409" s="63">
        <f>COUNT(M398:M408)</f>
        <v>11</v>
      </c>
      <c r="N409" s="63">
        <f>COUNT(N398:N408)</f>
        <v>11</v>
      </c>
      <c r="O409" s="63">
        <f>COUNT(O398:O408)</f>
        <v>11</v>
      </c>
      <c r="P409" s="63">
        <f>COUNT(P398:P408)</f>
        <v>11</v>
      </c>
      <c r="Q409" s="63">
        <f>COUNT(Q398:Q408)</f>
        <v>11</v>
      </c>
      <c r="R409" s="63">
        <f>COUNT(R398:R408)</f>
        <v>11</v>
      </c>
      <c r="S409" s="63">
        <f>COUNT(S398:S408)</f>
        <v>11</v>
      </c>
      <c r="T409" s="63"/>
      <c r="U409" s="10"/>
      <c r="V409" s="90"/>
      <c r="W409" s="91"/>
      <c r="X409" s="92"/>
    </row>
    <row r="410" spans="1:24">
      <c r="A410" s="619"/>
      <c r="B410" s="87"/>
      <c r="C410" s="621"/>
      <c r="D410" s="10"/>
      <c r="E410" s="10"/>
      <c r="F410" s="88"/>
      <c r="G410" s="88"/>
      <c r="H410" s="88"/>
      <c r="I410" s="99"/>
      <c r="J410" s="63"/>
      <c r="K410" s="21">
        <f>SUM(K398:K408)</f>
        <v>11</v>
      </c>
      <c r="L410" s="21">
        <f>SUM(L398:L408)</f>
        <v>11</v>
      </c>
      <c r="M410" s="21">
        <f>SUM(M398:M408)</f>
        <v>11</v>
      </c>
      <c r="N410" s="21">
        <f>SUM(N398:N408)</f>
        <v>11</v>
      </c>
      <c r="O410" s="21">
        <f>SUM(O398:O408)</f>
        <v>11</v>
      </c>
      <c r="P410" s="21">
        <f>SUM(P398:P408)</f>
        <v>11</v>
      </c>
      <c r="Q410" s="21">
        <f>SUM(Q398:Q408)</f>
        <v>11</v>
      </c>
      <c r="R410" s="21">
        <f>SUM(R398:R408)</f>
        <v>11</v>
      </c>
      <c r="S410" s="21">
        <f>SUM(S398:S408)</f>
        <v>11</v>
      </c>
      <c r="T410" s="63"/>
      <c r="U410" s="10"/>
      <c r="V410" s="90"/>
      <c r="W410" s="91"/>
      <c r="X410" s="92"/>
    </row>
    <row r="411" spans="1:24">
      <c r="A411" s="619"/>
      <c r="B411" s="11"/>
      <c r="C411" s="621"/>
      <c r="D411" s="10"/>
      <c r="E411" s="10"/>
      <c r="F411" s="88"/>
      <c r="G411" s="88"/>
      <c r="H411" s="88"/>
      <c r="I411" s="99"/>
      <c r="J411" s="63"/>
      <c r="K411" s="21"/>
      <c r="L411" s="21"/>
      <c r="M411" s="21"/>
      <c r="N411" s="21"/>
      <c r="O411" s="21"/>
      <c r="P411" s="21"/>
      <c r="Q411" s="21"/>
      <c r="R411" s="21"/>
      <c r="S411" s="21"/>
      <c r="T411" s="63"/>
      <c r="U411" s="10"/>
      <c r="V411" s="90"/>
      <c r="W411" s="91"/>
      <c r="X411" s="92"/>
    </row>
    <row r="412" spans="1:24">
      <c r="A412" s="619"/>
      <c r="B412" s="100" t="s">
        <v>66</v>
      </c>
      <c r="C412" s="621"/>
      <c r="D412" s="10"/>
      <c r="E412" s="10"/>
      <c r="F412" s="88"/>
      <c r="G412" s="62"/>
      <c r="H412" s="88"/>
      <c r="I412" s="99"/>
      <c r="J412" s="63"/>
      <c r="K412" s="2"/>
      <c r="L412" s="2"/>
      <c r="M412" s="2"/>
      <c r="N412" s="2"/>
      <c r="O412" s="2"/>
      <c r="P412" s="2"/>
      <c r="Q412" s="2"/>
      <c r="R412" s="2"/>
      <c r="S412" s="2"/>
      <c r="T412" s="63"/>
      <c r="U412" s="94"/>
      <c r="V412" s="90"/>
      <c r="W412" s="91"/>
      <c r="X412" s="92"/>
    </row>
    <row r="413" spans="1:24">
      <c r="A413" s="619"/>
      <c r="B413" s="87">
        <v>1</v>
      </c>
      <c r="C413" s="641">
        <v>45906</v>
      </c>
      <c r="D413" s="263">
        <v>73042</v>
      </c>
      <c r="E413" s="264" t="s">
        <v>1088</v>
      </c>
      <c r="F413" s="265">
        <f>766-85-93.5</f>
        <v>587.5</v>
      </c>
      <c r="G413" s="265"/>
      <c r="H413" s="265"/>
      <c r="I413" s="272">
        <f>F413-G413-H413</f>
        <v>587.5</v>
      </c>
      <c r="J413" s="267" t="s">
        <v>156</v>
      </c>
      <c r="K413" s="267">
        <v>1</v>
      </c>
      <c r="L413" s="267">
        <v>1</v>
      </c>
      <c r="M413" s="267">
        <v>1</v>
      </c>
      <c r="N413" s="267">
        <v>1</v>
      </c>
      <c r="O413" s="267">
        <v>1</v>
      </c>
      <c r="P413" s="267">
        <v>1</v>
      </c>
      <c r="Q413" s="267">
        <v>1</v>
      </c>
      <c r="R413" s="267">
        <v>1</v>
      </c>
      <c r="S413" s="269">
        <v>1</v>
      </c>
      <c r="T413" s="63"/>
      <c r="U413" s="94"/>
      <c r="V413" s="90">
        <f>93.5+655.6</f>
        <v>749.1</v>
      </c>
      <c r="W413" s="91"/>
      <c r="X413" s="92"/>
    </row>
    <row r="414" spans="1:24">
      <c r="A414" s="619"/>
      <c r="B414" s="11"/>
      <c r="C414" s="621"/>
      <c r="D414" s="10"/>
      <c r="E414" s="10"/>
      <c r="F414" s="97">
        <f>SUM(F413:F413)</f>
        <v>587.5</v>
      </c>
      <c r="G414" s="97">
        <f>SUM(G413:G413)</f>
        <v>0</v>
      </c>
      <c r="H414" s="97">
        <f>SUM(H413:H413)</f>
        <v>0</v>
      </c>
      <c r="I414" s="98">
        <f>SUM(I413:I413)</f>
        <v>587.5</v>
      </c>
      <c r="J414" s="63"/>
      <c r="K414" s="21"/>
      <c r="L414" s="21"/>
      <c r="M414" s="21"/>
      <c r="N414" s="21"/>
      <c r="O414" s="21"/>
      <c r="P414" s="21"/>
      <c r="Q414" s="21"/>
      <c r="R414" s="21"/>
      <c r="S414" s="21"/>
      <c r="T414" s="63"/>
      <c r="U414" s="94"/>
      <c r="V414" s="90"/>
      <c r="W414" s="91"/>
      <c r="X414" s="92"/>
    </row>
    <row r="415" spans="1:24">
      <c r="A415" s="619"/>
      <c r="B415" s="11"/>
      <c r="C415" s="621"/>
      <c r="D415" s="10"/>
      <c r="E415" s="10"/>
      <c r="F415" s="88"/>
      <c r="G415" s="88"/>
      <c r="H415" s="88"/>
      <c r="I415" s="99"/>
      <c r="J415" s="63"/>
      <c r="K415" s="21"/>
      <c r="L415" s="21"/>
      <c r="M415" s="21"/>
      <c r="N415" s="21"/>
      <c r="O415" s="21"/>
      <c r="P415" s="21"/>
      <c r="Q415" s="21"/>
      <c r="R415" s="21"/>
      <c r="S415" s="21"/>
      <c r="T415" s="63"/>
      <c r="U415" s="94"/>
      <c r="V415" s="90"/>
      <c r="W415" s="91"/>
      <c r="X415" s="92"/>
    </row>
    <row r="416" spans="1:24">
      <c r="A416" s="619"/>
      <c r="B416" s="100" t="s">
        <v>67</v>
      </c>
      <c r="C416" s="621"/>
      <c r="D416" s="10"/>
      <c r="E416" s="10"/>
      <c r="F416" s="88"/>
      <c r="G416" s="62"/>
      <c r="H416" s="88"/>
      <c r="I416" s="99"/>
      <c r="J416" s="63"/>
      <c r="K416" s="2"/>
      <c r="L416" s="2"/>
      <c r="M416" s="2"/>
      <c r="N416" s="2"/>
      <c r="O416" s="2"/>
      <c r="P416" s="2"/>
      <c r="Q416" s="2"/>
      <c r="R416" s="2"/>
      <c r="S416" s="2"/>
      <c r="T416" s="63"/>
      <c r="U416" s="94"/>
      <c r="V416" s="90"/>
      <c r="W416" s="91"/>
      <c r="X416" s="92"/>
    </row>
    <row r="417" spans="1:24" s="381" customFormat="1">
      <c r="A417" s="371" t="s">
        <v>1089</v>
      </c>
      <c r="B417" s="372">
        <v>1</v>
      </c>
      <c r="C417" s="373">
        <v>45898</v>
      </c>
      <c r="D417" s="357" t="s">
        <v>1051</v>
      </c>
      <c r="E417" s="391" t="s">
        <v>1042</v>
      </c>
      <c r="F417" s="375">
        <v>2227.7399999999998</v>
      </c>
      <c r="G417" s="375">
        <f>39.7+750</f>
        <v>789.7</v>
      </c>
      <c r="H417" s="375"/>
      <c r="I417" s="376">
        <f>F417-G417-H417</f>
        <v>1438.0399999999997</v>
      </c>
      <c r="J417" s="314" t="s">
        <v>156</v>
      </c>
      <c r="K417" s="314">
        <v>1</v>
      </c>
      <c r="L417" s="314"/>
      <c r="M417" s="314">
        <v>1</v>
      </c>
      <c r="N417" s="314">
        <v>1</v>
      </c>
      <c r="O417" s="314">
        <v>1</v>
      </c>
      <c r="P417" s="314">
        <v>0</v>
      </c>
      <c r="Q417" s="314"/>
      <c r="R417" s="314"/>
      <c r="S417" s="366"/>
      <c r="T417" s="325"/>
      <c r="U417" s="430" t="s">
        <v>1090</v>
      </c>
      <c r="V417" s="377">
        <f>950.51+1500</f>
        <v>2450.5100000000002</v>
      </c>
      <c r="W417" s="392"/>
      <c r="X417" s="379"/>
    </row>
    <row r="418" spans="1:24">
      <c r="A418" s="619"/>
      <c r="B418" s="11"/>
      <c r="C418" s="621"/>
      <c r="D418" s="10"/>
      <c r="E418" s="10"/>
      <c r="F418" s="97">
        <f>SUM(F417:F417)</f>
        <v>2227.7399999999998</v>
      </c>
      <c r="G418" s="97">
        <f>SUM(G417:G417)</f>
        <v>789.7</v>
      </c>
      <c r="H418" s="97">
        <f>SUM(H417:H417)</f>
        <v>0</v>
      </c>
      <c r="I418" s="98">
        <f>SUM(I417:I417)</f>
        <v>1438.0399999999997</v>
      </c>
      <c r="J418" s="63"/>
      <c r="K418" s="21"/>
      <c r="L418" s="21"/>
      <c r="M418" s="21"/>
      <c r="N418" s="21"/>
      <c r="O418" s="21"/>
      <c r="P418" s="21"/>
      <c r="Q418" s="21"/>
      <c r="R418" s="21"/>
      <c r="S418" s="21"/>
      <c r="T418" s="63"/>
      <c r="U418" s="94"/>
      <c r="V418" s="90"/>
      <c r="W418" s="91"/>
      <c r="X418" s="92"/>
    </row>
    <row r="419" spans="1:24">
      <c r="A419" s="619"/>
      <c r="B419" s="11"/>
      <c r="C419" s="621"/>
      <c r="D419" s="10"/>
      <c r="E419" s="10"/>
      <c r="F419" s="88"/>
      <c r="G419" s="88"/>
      <c r="H419" s="88"/>
      <c r="I419" s="99"/>
      <c r="J419" s="63"/>
      <c r="K419" s="21"/>
      <c r="L419" s="21"/>
      <c r="M419" s="21"/>
      <c r="N419" s="21"/>
      <c r="O419" s="21"/>
      <c r="P419" s="21"/>
      <c r="Q419" s="21"/>
      <c r="R419" s="21"/>
      <c r="S419" s="21"/>
      <c r="T419" s="63"/>
      <c r="U419" s="94"/>
      <c r="V419" s="90"/>
      <c r="W419" s="91"/>
      <c r="X419" s="92"/>
    </row>
    <row r="420" spans="1:24" s="342" customFormat="1">
      <c r="A420" s="702"/>
      <c r="B420" s="121" t="s">
        <v>68</v>
      </c>
      <c r="C420" s="625"/>
      <c r="D420" s="123"/>
      <c r="E420" s="123"/>
      <c r="F420" s="124"/>
      <c r="G420" s="125"/>
      <c r="H420" s="124"/>
      <c r="I420" s="126"/>
      <c r="J420" s="127"/>
      <c r="K420" s="128"/>
      <c r="L420" s="128"/>
      <c r="M420" s="128"/>
      <c r="N420" s="128"/>
      <c r="O420" s="128"/>
      <c r="P420" s="128"/>
      <c r="Q420" s="128"/>
      <c r="R420" s="128"/>
      <c r="S420" s="128"/>
      <c r="T420" s="127"/>
      <c r="U420" s="123"/>
      <c r="V420" s="129"/>
      <c r="W420" s="130"/>
      <c r="X420" s="131"/>
    </row>
    <row r="421" spans="1:24" s="342" customFormat="1">
      <c r="A421" s="261">
        <v>0.05</v>
      </c>
      <c r="B421" s="333">
        <v>1</v>
      </c>
      <c r="C421" s="653">
        <v>45904</v>
      </c>
      <c r="D421" s="327">
        <v>72974</v>
      </c>
      <c r="E421" s="335" t="s">
        <v>1091</v>
      </c>
      <c r="F421" s="336">
        <v>542</v>
      </c>
      <c r="G421" s="336"/>
      <c r="H421" s="502"/>
      <c r="I421" s="337">
        <f>F421-G421-H421</f>
        <v>542</v>
      </c>
      <c r="J421" s="338" t="s">
        <v>185</v>
      </c>
      <c r="K421" s="338">
        <v>1</v>
      </c>
      <c r="L421" s="338">
        <v>1</v>
      </c>
      <c r="M421" s="338">
        <v>1</v>
      </c>
      <c r="N421" s="338">
        <v>1</v>
      </c>
      <c r="O421" s="338">
        <v>1</v>
      </c>
      <c r="P421" s="338">
        <v>1</v>
      </c>
      <c r="Q421" s="338">
        <v>1</v>
      </c>
      <c r="R421" s="338">
        <v>1</v>
      </c>
      <c r="S421" s="339">
        <v>1</v>
      </c>
      <c r="T421" s="64">
        <v>1</v>
      </c>
      <c r="U421" s="123"/>
      <c r="V421" s="129">
        <f>60</f>
        <v>60</v>
      </c>
      <c r="W421" s="130"/>
      <c r="X421" s="131"/>
    </row>
    <row r="422" spans="1:24" s="342" customFormat="1">
      <c r="A422" s="261">
        <v>0.05</v>
      </c>
      <c r="B422" s="333">
        <f t="shared" ref="B422" si="98">B421+1</f>
        <v>2</v>
      </c>
      <c r="C422" s="703">
        <v>45905</v>
      </c>
      <c r="D422" s="263">
        <v>72966</v>
      </c>
      <c r="E422" s="358" t="s">
        <v>213</v>
      </c>
      <c r="F422" s="352">
        <v>1461</v>
      </c>
      <c r="G422" s="352">
        <f>39.7+(82.09)</f>
        <v>121.79</v>
      </c>
      <c r="H422" s="486"/>
      <c r="I422" s="353">
        <f>F422-G422-H422</f>
        <v>1339.21</v>
      </c>
      <c r="J422" s="354" t="s">
        <v>185</v>
      </c>
      <c r="K422" s="354">
        <v>1</v>
      </c>
      <c r="L422" s="354">
        <v>1</v>
      </c>
      <c r="M422" s="354">
        <v>1</v>
      </c>
      <c r="N422" s="354">
        <v>1</v>
      </c>
      <c r="O422" s="354">
        <v>1</v>
      </c>
      <c r="P422" s="354">
        <v>1</v>
      </c>
      <c r="Q422" s="354">
        <v>1</v>
      </c>
      <c r="R422" s="354">
        <v>1</v>
      </c>
      <c r="S422" s="355">
        <v>1</v>
      </c>
      <c r="T422" s="64">
        <v>1</v>
      </c>
      <c r="U422" s="123"/>
      <c r="V422" s="129">
        <f>160.71</f>
        <v>160.71</v>
      </c>
      <c r="W422" s="130"/>
      <c r="X422" s="131"/>
    </row>
    <row r="423" spans="1:24" s="342" customFormat="1">
      <c r="A423" s="702"/>
      <c r="B423" s="132"/>
      <c r="C423" s="625"/>
      <c r="D423" s="123"/>
      <c r="E423" s="123"/>
      <c r="F423" s="134">
        <f>SUM(F421:F422)</f>
        <v>2003</v>
      </c>
      <c r="G423" s="134">
        <f>SUM(G421:G422)</f>
        <v>121.79</v>
      </c>
      <c r="H423" s="134">
        <f>SUM(H421:H422)</f>
        <v>0</v>
      </c>
      <c r="I423" s="134">
        <f>SUM(I421:I422)</f>
        <v>1881.21</v>
      </c>
      <c r="J423" s="127"/>
      <c r="K423" s="64"/>
      <c r="L423" s="64"/>
      <c r="M423" s="64"/>
      <c r="N423" s="64"/>
      <c r="O423" s="64"/>
      <c r="P423" s="64"/>
      <c r="Q423" s="64"/>
      <c r="R423" s="64"/>
      <c r="S423" s="64"/>
      <c r="T423" s="127"/>
      <c r="U423" s="123"/>
      <c r="V423" s="129"/>
      <c r="W423" s="130"/>
      <c r="X423" s="131"/>
    </row>
    <row r="424" spans="1:24" s="342" customFormat="1">
      <c r="A424" s="702"/>
      <c r="B424" s="132"/>
      <c r="C424" s="625"/>
      <c r="D424" s="123"/>
      <c r="E424" s="123"/>
      <c r="F424" s="124"/>
      <c r="G424" s="124"/>
      <c r="H424" s="124"/>
      <c r="I424" s="126"/>
      <c r="J424" s="127"/>
      <c r="K424" s="64"/>
      <c r="L424" s="64"/>
      <c r="M424" s="64"/>
      <c r="N424" s="64"/>
      <c r="O424" s="64"/>
      <c r="P424" s="64"/>
      <c r="Q424" s="64"/>
      <c r="R424" s="64"/>
      <c r="S424" s="64"/>
      <c r="T424" s="127"/>
      <c r="U424" s="135"/>
      <c r="V424" s="129"/>
      <c r="W424" s="130"/>
      <c r="X424" s="131"/>
    </row>
    <row r="425" spans="1:24" s="342" customFormat="1">
      <c r="A425" s="702"/>
      <c r="B425" s="121" t="s">
        <v>70</v>
      </c>
      <c r="C425" s="625"/>
      <c r="D425" s="123"/>
      <c r="E425" s="128"/>
      <c r="F425" s="124"/>
      <c r="G425" s="124"/>
      <c r="H425" s="124"/>
      <c r="I425" s="126"/>
      <c r="J425" s="127"/>
      <c r="K425" s="64"/>
      <c r="L425" s="64"/>
      <c r="M425" s="64"/>
      <c r="N425" s="64"/>
      <c r="O425" s="64"/>
      <c r="P425" s="64"/>
      <c r="Q425" s="64"/>
      <c r="R425" s="64"/>
      <c r="S425" s="64"/>
      <c r="T425" s="127"/>
      <c r="U425" s="135"/>
      <c r="V425" s="129"/>
      <c r="W425" s="130"/>
      <c r="X425" s="131"/>
    </row>
    <row r="426" spans="1:24" s="342" customFormat="1">
      <c r="A426" s="261" t="s">
        <v>1092</v>
      </c>
      <c r="B426" s="333">
        <v>1</v>
      </c>
      <c r="C426" s="653">
        <v>45903</v>
      </c>
      <c r="D426" s="327">
        <v>72948</v>
      </c>
      <c r="E426" s="335" t="s">
        <v>746</v>
      </c>
      <c r="F426" s="336">
        <v>12792.6</v>
      </c>
      <c r="G426" s="336">
        <f>39.7+(29.91)+(214.78+211.24)+1000</f>
        <v>1495.63</v>
      </c>
      <c r="H426" s="336"/>
      <c r="I426" s="337">
        <f>F426-G426-H426</f>
        <v>11296.970000000001</v>
      </c>
      <c r="J426" s="338" t="s">
        <v>374</v>
      </c>
      <c r="K426" s="338">
        <v>1</v>
      </c>
      <c r="L426" s="338"/>
      <c r="M426" s="338">
        <v>1</v>
      </c>
      <c r="N426" s="338">
        <v>1</v>
      </c>
      <c r="O426" s="338">
        <v>1</v>
      </c>
      <c r="P426" s="338">
        <v>1</v>
      </c>
      <c r="Q426" s="338"/>
      <c r="R426" s="338"/>
      <c r="S426" s="339"/>
      <c r="T426" s="127"/>
      <c r="U426" s="135" t="s">
        <v>1093</v>
      </c>
      <c r="V426" s="129">
        <f>1408+5000</f>
        <v>6408</v>
      </c>
      <c r="W426" s="340"/>
      <c r="X426" s="341"/>
    </row>
    <row r="427" spans="1:24" s="342" customFormat="1">
      <c r="A427" s="261">
        <v>0.05</v>
      </c>
      <c r="B427" s="333">
        <f t="shared" ref="B427" si="99">B426+1</f>
        <v>2</v>
      </c>
      <c r="C427" s="703">
        <v>45904</v>
      </c>
      <c r="D427" s="263">
        <v>72982</v>
      </c>
      <c r="E427" s="358" t="s">
        <v>604</v>
      </c>
      <c r="F427" s="352">
        <v>1681</v>
      </c>
      <c r="G427" s="352">
        <f>39.7+398</f>
        <v>437.7</v>
      </c>
      <c r="H427" s="352"/>
      <c r="I427" s="353">
        <f>F427-G427-H427</f>
        <v>1243.3</v>
      </c>
      <c r="J427" s="354" t="s">
        <v>156</v>
      </c>
      <c r="K427" s="354">
        <v>1</v>
      </c>
      <c r="L427" s="354"/>
      <c r="M427" s="354">
        <v>1</v>
      </c>
      <c r="N427" s="354">
        <v>1</v>
      </c>
      <c r="O427" s="354">
        <v>1</v>
      </c>
      <c r="P427" s="354">
        <v>1</v>
      </c>
      <c r="Q427" s="354"/>
      <c r="R427" s="354"/>
      <c r="S427" s="355"/>
      <c r="T427" s="127"/>
      <c r="U427" s="135" t="s">
        <v>1094</v>
      </c>
      <c r="V427" s="129">
        <f>185</f>
        <v>185</v>
      </c>
      <c r="W427" s="340"/>
      <c r="X427" s="341"/>
    </row>
    <row r="428" spans="1:24">
      <c r="A428" s="619"/>
      <c r="B428" s="132"/>
      <c r="C428" s="625"/>
      <c r="D428" s="123"/>
      <c r="E428" s="123"/>
      <c r="F428" s="134">
        <f>SUM(F426:F427)</f>
        <v>14473.6</v>
      </c>
      <c r="G428" s="134">
        <f>SUM(G426:G427)</f>
        <v>1933.3300000000002</v>
      </c>
      <c r="H428" s="134">
        <f>SUM(H426:H427)</f>
        <v>0</v>
      </c>
      <c r="I428" s="134">
        <f>SUM(I426:I427)</f>
        <v>12540.27</v>
      </c>
      <c r="J428" s="127"/>
      <c r="K428" s="64"/>
      <c r="L428" s="64"/>
      <c r="M428" s="64"/>
      <c r="N428" s="64"/>
      <c r="O428" s="64"/>
      <c r="P428" s="64"/>
      <c r="Q428" s="64"/>
      <c r="R428" s="64"/>
      <c r="S428" s="64"/>
      <c r="T428" s="127"/>
      <c r="U428" s="135"/>
      <c r="V428" s="129"/>
      <c r="W428" s="130"/>
      <c r="X428" s="131"/>
    </row>
    <row r="429" spans="1:24">
      <c r="A429" s="619"/>
      <c r="B429" s="11"/>
      <c r="C429" s="621"/>
      <c r="D429" s="10"/>
      <c r="E429" s="10"/>
      <c r="F429" s="88"/>
      <c r="G429" s="88"/>
      <c r="H429" s="88"/>
      <c r="I429" s="99"/>
      <c r="J429" s="10"/>
      <c r="K429" s="63"/>
      <c r="L429" s="63"/>
      <c r="M429" s="63"/>
      <c r="N429" s="63"/>
      <c r="O429" s="63"/>
      <c r="P429" s="63"/>
      <c r="Q429" s="63"/>
      <c r="R429" s="63"/>
      <c r="S429" s="63"/>
      <c r="T429" s="63"/>
      <c r="U429" s="94"/>
      <c r="V429" s="90"/>
      <c r="W429" s="91"/>
      <c r="X429" s="92"/>
    </row>
    <row r="430" spans="1:24">
      <c r="A430" s="619"/>
      <c r="B430" s="121" t="s">
        <v>71</v>
      </c>
      <c r="C430" s="625"/>
      <c r="D430" s="123"/>
      <c r="E430" s="128"/>
      <c r="F430" s="124"/>
      <c r="G430" s="124"/>
      <c r="H430" s="124"/>
      <c r="I430" s="126"/>
      <c r="J430" s="127"/>
      <c r="K430" s="64"/>
      <c r="L430" s="64"/>
      <c r="M430" s="64"/>
      <c r="N430" s="64"/>
      <c r="O430" s="64"/>
      <c r="P430" s="64"/>
      <c r="Q430" s="64"/>
      <c r="R430" s="64"/>
      <c r="S430" s="64"/>
      <c r="T430" s="127"/>
      <c r="U430" s="135"/>
      <c r="V430" s="129"/>
      <c r="W430" s="130"/>
      <c r="X430" s="131"/>
    </row>
    <row r="431" spans="1:24" s="342" customFormat="1">
      <c r="A431" s="261">
        <v>0.05</v>
      </c>
      <c r="B431" s="333">
        <v>1</v>
      </c>
      <c r="C431" s="703">
        <v>45906</v>
      </c>
      <c r="D431" s="701" t="s">
        <v>1095</v>
      </c>
      <c r="E431" s="358" t="s">
        <v>1088</v>
      </c>
      <c r="F431" s="352">
        <v>7933</v>
      </c>
      <c r="G431" s="352">
        <f>39.7+(1292.55)</f>
        <v>1332.25</v>
      </c>
      <c r="H431" s="352"/>
      <c r="I431" s="353">
        <f>F431-G431-H431</f>
        <v>6600.75</v>
      </c>
      <c r="J431" s="354" t="s">
        <v>156</v>
      </c>
      <c r="K431" s="354">
        <v>1</v>
      </c>
      <c r="L431" s="354"/>
      <c r="M431" s="354">
        <v>1</v>
      </c>
      <c r="N431" s="354">
        <v>1</v>
      </c>
      <c r="O431" s="354">
        <v>1</v>
      </c>
      <c r="P431" s="354">
        <v>1</v>
      </c>
      <c r="Q431" s="354"/>
      <c r="R431" s="354"/>
      <c r="S431" s="355"/>
      <c r="T431" s="127"/>
      <c r="U431" s="135" t="s">
        <v>1096</v>
      </c>
      <c r="V431" s="129">
        <f>872.63</f>
        <v>872.63</v>
      </c>
      <c r="W431" s="340"/>
      <c r="X431" s="341"/>
    </row>
    <row r="432" spans="1:24">
      <c r="A432" s="619"/>
      <c r="B432" s="132"/>
      <c r="C432" s="625"/>
      <c r="D432" s="123"/>
      <c r="E432" s="123"/>
      <c r="F432" s="133">
        <f>SUM(F431:F431)</f>
        <v>7933</v>
      </c>
      <c r="G432" s="133">
        <f>SUM(G431:G431)</f>
        <v>1332.25</v>
      </c>
      <c r="H432" s="133">
        <f>SUM(H431:H431)</f>
        <v>0</v>
      </c>
      <c r="I432" s="134">
        <f>SUM(I431:I431)</f>
        <v>6600.75</v>
      </c>
      <c r="J432" s="127"/>
      <c r="K432" s="64"/>
      <c r="L432" s="64"/>
      <c r="M432" s="64"/>
      <c r="N432" s="64"/>
      <c r="O432" s="64"/>
      <c r="P432" s="64"/>
      <c r="Q432" s="64"/>
      <c r="R432" s="64"/>
      <c r="S432" s="64"/>
      <c r="T432" s="127"/>
      <c r="U432" s="135"/>
      <c r="V432" s="129"/>
      <c r="W432" s="130"/>
      <c r="X432" s="131"/>
    </row>
    <row r="433" spans="1:25">
      <c r="A433" s="619"/>
      <c r="B433" s="11"/>
      <c r="C433" s="621"/>
      <c r="D433" s="10"/>
      <c r="E433" s="10"/>
      <c r="F433" s="88"/>
      <c r="G433" s="88"/>
      <c r="H433" s="88"/>
      <c r="I433" s="99"/>
      <c r="J433" s="510"/>
      <c r="K433" s="21"/>
      <c r="L433" s="21"/>
      <c r="M433" s="21"/>
      <c r="N433" s="21"/>
      <c r="O433" s="21"/>
      <c r="P433" s="21"/>
      <c r="Q433" s="21"/>
      <c r="R433" s="21"/>
      <c r="S433" s="21"/>
      <c r="T433" s="63"/>
      <c r="U433" s="94"/>
      <c r="V433" s="90"/>
      <c r="W433" s="91"/>
      <c r="X433" s="92"/>
    </row>
    <row r="434" spans="1:25" s="260" customFormat="1">
      <c r="A434" s="181"/>
      <c r="B434" s="100" t="s">
        <v>152</v>
      </c>
      <c r="C434" s="36"/>
      <c r="D434" s="10"/>
      <c r="E434" s="10"/>
      <c r="F434" s="88"/>
      <c r="G434" s="62"/>
      <c r="H434" s="88"/>
      <c r="I434" s="99"/>
      <c r="J434" s="10"/>
      <c r="K434" s="181"/>
      <c r="L434" s="181"/>
      <c r="M434" s="181"/>
      <c r="N434" s="181"/>
      <c r="O434" s="181"/>
      <c r="P434" s="181"/>
      <c r="Q434" s="181"/>
      <c r="R434" s="181"/>
      <c r="S434" s="181"/>
      <c r="T434" s="63"/>
      <c r="U434" s="10"/>
      <c r="V434" s="90"/>
      <c r="W434" s="91"/>
      <c r="X434" s="92"/>
      <c r="Y434" s="181"/>
    </row>
    <row r="435" spans="1:25" s="260" customFormat="1">
      <c r="A435" s="261">
        <v>0.05</v>
      </c>
      <c r="B435" s="87">
        <v>1</v>
      </c>
      <c r="C435" s="262">
        <v>45887</v>
      </c>
      <c r="D435" s="263">
        <v>72380</v>
      </c>
      <c r="E435" s="271" t="s">
        <v>1017</v>
      </c>
      <c r="F435" s="265">
        <v>5232.6000000000004</v>
      </c>
      <c r="G435" s="265">
        <f>39.7+250</f>
        <v>289.7</v>
      </c>
      <c r="H435" s="265"/>
      <c r="I435" s="272">
        <f>F435-G435-H435</f>
        <v>4942.9000000000005</v>
      </c>
      <c r="J435" s="267" t="s">
        <v>156</v>
      </c>
      <c r="K435" s="267">
        <v>1</v>
      </c>
      <c r="L435" s="267"/>
      <c r="M435" s="267">
        <v>1</v>
      </c>
      <c r="N435" s="267">
        <v>1</v>
      </c>
      <c r="O435" s="267">
        <v>1</v>
      </c>
      <c r="P435" s="267">
        <v>1</v>
      </c>
      <c r="Q435" s="267"/>
      <c r="R435" s="267"/>
      <c r="S435" s="269"/>
      <c r="T435" s="63"/>
      <c r="U435" s="94" t="s">
        <v>1018</v>
      </c>
      <c r="V435" s="90"/>
      <c r="W435" s="136"/>
      <c r="X435" s="137"/>
    </row>
    <row r="436" spans="1:25" s="260" customFormat="1">
      <c r="B436" s="11"/>
      <c r="C436" s="36"/>
      <c r="D436" s="10"/>
      <c r="E436" s="10"/>
      <c r="F436" s="98">
        <f>SUM(F435:F435)</f>
        <v>5232.6000000000004</v>
      </c>
      <c r="G436" s="98">
        <f>SUM(G435:G435)</f>
        <v>289.7</v>
      </c>
      <c r="H436" s="98">
        <f>SUM(H435:H435)</f>
        <v>0</v>
      </c>
      <c r="I436" s="98">
        <f>SUM(I435:I435)</f>
        <v>4942.9000000000005</v>
      </c>
      <c r="J436" s="63"/>
      <c r="K436" s="21"/>
      <c r="L436" s="21"/>
      <c r="M436" s="21"/>
      <c r="N436" s="21"/>
      <c r="O436" s="21"/>
      <c r="P436" s="21"/>
      <c r="Q436" s="21"/>
      <c r="R436" s="21"/>
      <c r="S436" s="21"/>
      <c r="T436" s="63"/>
      <c r="U436" s="94"/>
      <c r="V436" s="90"/>
      <c r="W436" s="91"/>
      <c r="X436" s="92"/>
    </row>
    <row r="437" spans="1:25" s="260" customFormat="1">
      <c r="B437" s="11"/>
      <c r="C437" s="36"/>
      <c r="D437" s="10"/>
      <c r="E437" s="10"/>
      <c r="F437" s="99"/>
      <c r="G437" s="99"/>
      <c r="H437" s="99"/>
      <c r="I437" s="99"/>
      <c r="J437" s="63"/>
      <c r="K437" s="21"/>
      <c r="L437" s="21"/>
      <c r="M437" s="21"/>
      <c r="N437" s="21"/>
      <c r="O437" s="21"/>
      <c r="P437" s="21"/>
      <c r="Q437" s="21"/>
      <c r="R437" s="21"/>
      <c r="S437" s="21"/>
      <c r="T437" s="63"/>
      <c r="U437" s="94"/>
      <c r="V437" s="90"/>
      <c r="W437" s="91"/>
      <c r="X437" s="92"/>
    </row>
    <row r="438" spans="1:25">
      <c r="A438" s="2"/>
      <c r="B438" s="11"/>
      <c r="C438" s="36"/>
      <c r="D438" s="10"/>
      <c r="E438" s="10"/>
      <c r="F438" s="88"/>
      <c r="G438" s="88"/>
      <c r="H438" s="88"/>
      <c r="I438" s="99"/>
      <c r="J438" s="63"/>
      <c r="K438" s="21"/>
      <c r="L438" s="21"/>
      <c r="M438" s="21"/>
      <c r="N438" s="21"/>
      <c r="O438" s="21"/>
      <c r="P438" s="21"/>
      <c r="Q438" s="21"/>
      <c r="R438" s="21"/>
      <c r="S438" s="21"/>
      <c r="T438" s="63"/>
      <c r="U438" s="94"/>
      <c r="V438" s="90"/>
      <c r="W438" s="91"/>
      <c r="X438" s="92"/>
    </row>
    <row r="439" spans="1:25" s="260" customFormat="1">
      <c r="B439" s="100" t="s">
        <v>202</v>
      </c>
      <c r="C439" s="36"/>
      <c r="D439" s="10"/>
      <c r="E439" s="181"/>
      <c r="F439" s="88"/>
      <c r="G439" s="88"/>
      <c r="H439" s="88"/>
      <c r="I439" s="99"/>
      <c r="J439" s="63"/>
      <c r="K439" s="21"/>
      <c r="L439" s="21"/>
      <c r="M439" s="21"/>
      <c r="N439" s="21"/>
      <c r="O439" s="21"/>
      <c r="P439" s="21"/>
      <c r="Q439" s="21"/>
      <c r="R439" s="21"/>
      <c r="S439" s="21"/>
      <c r="T439" s="63"/>
      <c r="U439" s="94"/>
      <c r="V439" s="90"/>
      <c r="W439" s="91"/>
      <c r="X439" s="92"/>
    </row>
    <row r="440" spans="1:25" s="260" customFormat="1">
      <c r="A440" s="494">
        <v>0.05</v>
      </c>
      <c r="B440" s="87">
        <v>1</v>
      </c>
      <c r="C440" s="262">
        <v>45870</v>
      </c>
      <c r="D440" s="263" t="s">
        <v>978</v>
      </c>
      <c r="E440" s="264" t="s">
        <v>274</v>
      </c>
      <c r="F440" s="265">
        <v>8641</v>
      </c>
      <c r="G440" s="265">
        <f>39.7+(113.27)+750</f>
        <v>902.97</v>
      </c>
      <c r="H440" s="365"/>
      <c r="I440" s="266">
        <f>F440-G440-H440</f>
        <v>7738.03</v>
      </c>
      <c r="J440" s="267" t="s">
        <v>156</v>
      </c>
      <c r="K440" s="267">
        <v>1</v>
      </c>
      <c r="L440" s="267"/>
      <c r="M440" s="267">
        <v>1</v>
      </c>
      <c r="N440" s="267">
        <v>1</v>
      </c>
      <c r="O440" s="267">
        <v>1</v>
      </c>
      <c r="P440" s="314">
        <v>0</v>
      </c>
      <c r="Q440" s="267"/>
      <c r="R440" s="267"/>
      <c r="S440" s="269"/>
      <c r="T440" s="63"/>
      <c r="U440" s="94" t="s">
        <v>995</v>
      </c>
      <c r="V440" s="90"/>
      <c r="W440" s="136"/>
      <c r="X440" s="137"/>
    </row>
    <row r="441" spans="1:25" s="342" customFormat="1">
      <c r="A441" s="494">
        <v>0.05</v>
      </c>
      <c r="B441" s="87">
        <f>B440+1</f>
        <v>2</v>
      </c>
      <c r="C441" s="262">
        <v>45884</v>
      </c>
      <c r="D441" s="263">
        <v>72248</v>
      </c>
      <c r="E441" s="264" t="s">
        <v>1004</v>
      </c>
      <c r="F441" s="265">
        <v>1681</v>
      </c>
      <c r="G441" s="265">
        <f>39.7</f>
        <v>39.700000000000003</v>
      </c>
      <c r="H441" s="365"/>
      <c r="I441" s="272">
        <f>F441-G441-H441</f>
        <v>1641.3</v>
      </c>
      <c r="J441" s="267" t="s">
        <v>156</v>
      </c>
      <c r="K441" s="267">
        <v>1</v>
      </c>
      <c r="L441" s="267"/>
      <c r="M441" s="267">
        <v>1</v>
      </c>
      <c r="N441" s="267">
        <v>1</v>
      </c>
      <c r="O441" s="267">
        <v>1</v>
      </c>
      <c r="P441" s="267">
        <v>1</v>
      </c>
      <c r="Q441" s="267"/>
      <c r="R441" s="267"/>
      <c r="S441" s="269"/>
      <c r="T441" s="63"/>
      <c r="U441" s="94" t="s">
        <v>1019</v>
      </c>
      <c r="V441" s="90"/>
      <c r="W441" s="136"/>
      <c r="X441" s="137"/>
    </row>
    <row r="442" spans="1:25" s="260" customFormat="1">
      <c r="B442" s="11"/>
      <c r="C442" s="36"/>
      <c r="D442" s="10"/>
      <c r="E442" s="10"/>
      <c r="F442" s="98">
        <f>SUM(F440:F441)</f>
        <v>10322</v>
      </c>
      <c r="G442" s="98">
        <f>SUM(G440:G441)</f>
        <v>942.67000000000007</v>
      </c>
      <c r="H442" s="98">
        <f>SUM(H440:H441)</f>
        <v>0</v>
      </c>
      <c r="I442" s="98">
        <f>SUM(I440:I441)</f>
        <v>9379.33</v>
      </c>
      <c r="J442" s="63"/>
      <c r="K442" s="21"/>
      <c r="L442" s="21"/>
      <c r="M442" s="21"/>
      <c r="N442" s="21"/>
      <c r="O442" s="21"/>
      <c r="P442" s="21"/>
      <c r="Q442" s="21"/>
      <c r="R442" s="21"/>
      <c r="S442" s="21"/>
      <c r="T442" s="63"/>
      <c r="U442" s="94"/>
      <c r="V442" s="90"/>
      <c r="W442" s="91"/>
      <c r="X442" s="92"/>
    </row>
    <row r="443" spans="1:25" s="260" customFormat="1">
      <c r="B443" s="11"/>
      <c r="C443" s="36"/>
      <c r="D443" s="10"/>
      <c r="E443" s="10"/>
      <c r="F443" s="99"/>
      <c r="G443" s="99"/>
      <c r="H443" s="99"/>
      <c r="I443" s="99"/>
      <c r="J443" s="63"/>
      <c r="K443" s="21"/>
      <c r="L443" s="21"/>
      <c r="M443" s="21"/>
      <c r="N443" s="21"/>
      <c r="O443" s="21"/>
      <c r="P443" s="21"/>
      <c r="Q443" s="21"/>
      <c r="R443" s="21"/>
      <c r="S443" s="21"/>
      <c r="T443" s="63"/>
      <c r="U443" s="94"/>
      <c r="V443" s="90"/>
      <c r="W443" s="91"/>
      <c r="X443" s="92"/>
    </row>
    <row r="444" spans="1:25">
      <c r="A444" s="619"/>
      <c r="B444" s="100" t="s">
        <v>72</v>
      </c>
      <c r="C444" s="621"/>
      <c r="D444" s="10"/>
      <c r="E444" s="10"/>
      <c r="F444" s="88"/>
      <c r="G444" s="88"/>
      <c r="H444" s="88"/>
      <c r="I444" s="99"/>
      <c r="J444" s="63"/>
      <c r="K444" s="63"/>
      <c r="L444" s="63"/>
      <c r="M444" s="63"/>
      <c r="N444" s="63"/>
      <c r="O444" s="63"/>
      <c r="P444" s="63"/>
      <c r="Q444" s="63"/>
      <c r="R444" s="63"/>
      <c r="S444" s="63"/>
      <c r="T444" s="63"/>
      <c r="U444" s="10"/>
      <c r="V444" s="90"/>
      <c r="W444" s="91"/>
      <c r="X444" s="92"/>
    </row>
    <row r="445" spans="1:25">
      <c r="A445" s="619"/>
      <c r="B445" s="87">
        <v>1</v>
      </c>
      <c r="C445" s="638">
        <v>45901</v>
      </c>
      <c r="D445" s="275" t="s">
        <v>1097</v>
      </c>
      <c r="E445" s="276" t="s">
        <v>1076</v>
      </c>
      <c r="F445" s="277">
        <v>5281.9</v>
      </c>
      <c r="G445" s="277">
        <f>39.7+(45.91)</f>
        <v>85.61</v>
      </c>
      <c r="H445" s="277"/>
      <c r="I445" s="278">
        <f>F445-G445-H445</f>
        <v>5196.29</v>
      </c>
      <c r="J445" s="279" t="s">
        <v>205</v>
      </c>
      <c r="K445" s="279">
        <v>1</v>
      </c>
      <c r="L445" s="279"/>
      <c r="M445" s="279"/>
      <c r="N445" s="279">
        <v>1</v>
      </c>
      <c r="O445" s="279"/>
      <c r="P445" s="279"/>
      <c r="Q445" s="279"/>
      <c r="R445" s="279"/>
      <c r="S445" s="280"/>
      <c r="T445" s="63"/>
      <c r="U445" s="3"/>
      <c r="V445" s="90"/>
      <c r="W445" s="91"/>
      <c r="X445" s="92"/>
    </row>
    <row r="446" spans="1:25">
      <c r="A446" s="619"/>
      <c r="B446" s="87">
        <f t="shared" ref="B446:B463" si="100">B445+1</f>
        <v>2</v>
      </c>
      <c r="C446" s="639">
        <v>45901</v>
      </c>
      <c r="D446" s="10">
        <v>72807</v>
      </c>
      <c r="E446" s="10" t="s">
        <v>1098</v>
      </c>
      <c r="F446" s="62">
        <v>2814</v>
      </c>
      <c r="G446" s="62">
        <v>39.700000000000003</v>
      </c>
      <c r="H446" s="62"/>
      <c r="I446" s="89">
        <f>F446-G446-H446</f>
        <v>2774.3</v>
      </c>
      <c r="J446" s="63" t="s">
        <v>205</v>
      </c>
      <c r="K446" s="63">
        <v>1</v>
      </c>
      <c r="L446" s="63"/>
      <c r="M446" s="63"/>
      <c r="N446" s="63">
        <v>1</v>
      </c>
      <c r="O446" s="63"/>
      <c r="P446" s="63"/>
      <c r="Q446" s="63">
        <v>1</v>
      </c>
      <c r="R446" s="63">
        <v>1</v>
      </c>
      <c r="S446" s="296">
        <v>1</v>
      </c>
      <c r="T446" s="63"/>
      <c r="U446" s="10"/>
      <c r="V446" s="90"/>
      <c r="W446" s="136"/>
      <c r="X446" s="137"/>
    </row>
    <row r="447" spans="1:25">
      <c r="A447" s="619"/>
      <c r="B447" s="87">
        <f t="shared" si="100"/>
        <v>3</v>
      </c>
      <c r="C447" s="639">
        <v>45901</v>
      </c>
      <c r="D447" s="77" t="s">
        <v>1099</v>
      </c>
      <c r="E447" s="10" t="s">
        <v>1098</v>
      </c>
      <c r="F447" s="62">
        <v>4014.9</v>
      </c>
      <c r="G447" s="62">
        <v>39.700000000000003</v>
      </c>
      <c r="H447" s="62"/>
      <c r="I447" s="89">
        <f>F447-G447-H447</f>
        <v>3975.2000000000003</v>
      </c>
      <c r="J447" s="63" t="s">
        <v>205</v>
      </c>
      <c r="K447" s="63">
        <v>1</v>
      </c>
      <c r="L447" s="63"/>
      <c r="M447" s="63"/>
      <c r="N447" s="63">
        <v>1</v>
      </c>
      <c r="O447" s="63"/>
      <c r="P447" s="63"/>
      <c r="Q447" s="63"/>
      <c r="R447" s="63"/>
      <c r="S447" s="296"/>
      <c r="T447" s="63"/>
      <c r="U447" s="10"/>
      <c r="V447" s="90"/>
      <c r="W447" s="136"/>
      <c r="X447" s="137"/>
    </row>
    <row r="448" spans="1:25">
      <c r="A448" s="619"/>
      <c r="B448" s="87">
        <f>B447+1</f>
        <v>4</v>
      </c>
      <c r="C448" s="640">
        <v>45901</v>
      </c>
      <c r="D448" s="283">
        <v>72851</v>
      </c>
      <c r="E448" s="283" t="s">
        <v>1100</v>
      </c>
      <c r="F448" s="284">
        <v>1861</v>
      </c>
      <c r="G448" s="284">
        <f>39.7+398</f>
        <v>437.7</v>
      </c>
      <c r="H448" s="284"/>
      <c r="I448" s="285">
        <f>F448-G448-H448</f>
        <v>1423.3</v>
      </c>
      <c r="J448" s="286"/>
      <c r="K448" s="286">
        <v>1</v>
      </c>
      <c r="L448" s="286"/>
      <c r="M448" s="286"/>
      <c r="N448" s="286">
        <v>1</v>
      </c>
      <c r="O448" s="286">
        <v>1</v>
      </c>
      <c r="P448" s="286">
        <v>0</v>
      </c>
      <c r="Q448" s="286"/>
      <c r="R448" s="286"/>
      <c r="S448" s="287"/>
      <c r="T448" s="63"/>
      <c r="U448" s="94" t="s">
        <v>1101</v>
      </c>
      <c r="V448" s="90"/>
      <c r="W448" s="136"/>
      <c r="X448" s="137"/>
    </row>
    <row r="449" spans="1:24">
      <c r="A449" s="619"/>
      <c r="B449" s="87">
        <f>B448+1</f>
        <v>5</v>
      </c>
      <c r="C449" s="639">
        <v>45902</v>
      </c>
      <c r="D449" s="10">
        <v>72863</v>
      </c>
      <c r="E449" s="10" t="s">
        <v>1102</v>
      </c>
      <c r="F449" s="62">
        <v>1138</v>
      </c>
      <c r="G449" s="62">
        <v>39.700000000000003</v>
      </c>
      <c r="H449" s="62"/>
      <c r="I449" s="89">
        <f>F449-G449-H449</f>
        <v>1098.3</v>
      </c>
      <c r="J449" s="63" t="s">
        <v>205</v>
      </c>
      <c r="K449" s="63">
        <v>1</v>
      </c>
      <c r="L449" s="63"/>
      <c r="M449" s="63"/>
      <c r="N449" s="63">
        <v>1</v>
      </c>
      <c r="O449" s="63"/>
      <c r="P449" s="63"/>
      <c r="Q449" s="63">
        <v>1</v>
      </c>
      <c r="R449" s="63">
        <v>1</v>
      </c>
      <c r="S449" s="296">
        <v>1</v>
      </c>
      <c r="T449" s="63"/>
      <c r="U449" s="10"/>
      <c r="V449" s="90"/>
      <c r="W449" s="136"/>
      <c r="X449" s="137"/>
    </row>
    <row r="450" spans="1:24">
      <c r="A450" s="619"/>
      <c r="B450" s="87">
        <f t="shared" si="100"/>
        <v>6</v>
      </c>
      <c r="C450" s="639">
        <v>45902</v>
      </c>
      <c r="D450" s="10">
        <v>72867</v>
      </c>
      <c r="E450" s="10" t="s">
        <v>604</v>
      </c>
      <c r="F450" s="62">
        <v>1261</v>
      </c>
      <c r="G450" s="62">
        <v>39.700000000000003</v>
      </c>
      <c r="H450" s="62"/>
      <c r="I450" s="89">
        <f>F450-G450-H450</f>
        <v>1221.3</v>
      </c>
      <c r="J450" s="63" t="s">
        <v>205</v>
      </c>
      <c r="K450" s="63">
        <v>1</v>
      </c>
      <c r="L450" s="63"/>
      <c r="M450" s="63"/>
      <c r="N450" s="63">
        <v>1</v>
      </c>
      <c r="O450" s="63"/>
      <c r="P450" s="63"/>
      <c r="Q450" s="63">
        <v>1</v>
      </c>
      <c r="R450" s="63">
        <v>1</v>
      </c>
      <c r="S450" s="296">
        <v>1</v>
      </c>
      <c r="T450" s="63"/>
      <c r="U450" s="10"/>
      <c r="V450" s="90"/>
      <c r="W450" s="136"/>
      <c r="X450" s="137"/>
    </row>
    <row r="451" spans="1:24">
      <c r="A451" s="619"/>
      <c r="B451" s="87">
        <f t="shared" si="100"/>
        <v>7</v>
      </c>
      <c r="C451" s="639">
        <v>45902</v>
      </c>
      <c r="D451" s="10">
        <v>72873</v>
      </c>
      <c r="E451" s="101" t="s">
        <v>1103</v>
      </c>
      <c r="F451" s="62">
        <v>1681</v>
      </c>
      <c r="G451" s="62">
        <v>39.700000000000003</v>
      </c>
      <c r="H451" s="62"/>
      <c r="I451" s="89">
        <f>F451-G451-H451</f>
        <v>1641.3</v>
      </c>
      <c r="J451" s="63" t="s">
        <v>205</v>
      </c>
      <c r="K451" s="63">
        <v>1</v>
      </c>
      <c r="L451" s="63"/>
      <c r="M451" s="63"/>
      <c r="N451" s="63">
        <v>1</v>
      </c>
      <c r="O451" s="63"/>
      <c r="P451" s="63"/>
      <c r="Q451" s="63">
        <v>1</v>
      </c>
      <c r="R451" s="63">
        <v>1</v>
      </c>
      <c r="S451" s="296">
        <v>1</v>
      </c>
      <c r="T451" s="63"/>
      <c r="U451" s="10"/>
      <c r="V451" s="90"/>
      <c r="W451" s="136"/>
      <c r="X451" s="137"/>
    </row>
    <row r="452" spans="1:24">
      <c r="A452" s="619"/>
      <c r="B452" s="87">
        <f t="shared" si="100"/>
        <v>8</v>
      </c>
      <c r="C452" s="639">
        <v>45902</v>
      </c>
      <c r="D452" s="10">
        <v>72877</v>
      </c>
      <c r="E452" s="101" t="s">
        <v>1104</v>
      </c>
      <c r="F452" s="62">
        <v>1461</v>
      </c>
      <c r="G452" s="62">
        <v>39.700000000000003</v>
      </c>
      <c r="H452" s="62"/>
      <c r="I452" s="89">
        <f>F452-G452-H452</f>
        <v>1421.3</v>
      </c>
      <c r="J452" s="63" t="s">
        <v>205</v>
      </c>
      <c r="K452" s="63">
        <v>1</v>
      </c>
      <c r="L452" s="63"/>
      <c r="M452" s="63"/>
      <c r="N452" s="63">
        <v>1</v>
      </c>
      <c r="O452" s="63"/>
      <c r="P452" s="63"/>
      <c r="Q452" s="63">
        <v>1</v>
      </c>
      <c r="R452" s="63">
        <v>1</v>
      </c>
      <c r="S452" s="296">
        <v>1</v>
      </c>
      <c r="T452" s="63"/>
      <c r="U452" s="10"/>
      <c r="V452" s="90"/>
      <c r="W452" s="136"/>
      <c r="X452" s="137"/>
    </row>
    <row r="453" spans="1:24">
      <c r="A453" s="619"/>
      <c r="B453" s="87">
        <f t="shared" si="100"/>
        <v>9</v>
      </c>
      <c r="C453" s="638">
        <v>45903</v>
      </c>
      <c r="D453" s="276">
        <v>72912</v>
      </c>
      <c r="E453" s="281" t="s">
        <v>1042</v>
      </c>
      <c r="F453" s="277">
        <v>12814</v>
      </c>
      <c r="G453" s="277">
        <v>39.700000000000003</v>
      </c>
      <c r="H453" s="277"/>
      <c r="I453" s="278">
        <f>F453-G453-H453</f>
        <v>12774.3</v>
      </c>
      <c r="J453" s="279" t="s">
        <v>205</v>
      </c>
      <c r="K453" s="279">
        <v>1</v>
      </c>
      <c r="L453" s="279"/>
      <c r="M453" s="279"/>
      <c r="N453" s="279">
        <v>1</v>
      </c>
      <c r="O453" s="279"/>
      <c r="P453" s="279"/>
      <c r="Q453" s="279">
        <v>1</v>
      </c>
      <c r="R453" s="279">
        <v>1</v>
      </c>
      <c r="S453" s="280">
        <v>1</v>
      </c>
      <c r="T453" s="63"/>
      <c r="U453" s="10"/>
      <c r="V453" s="90"/>
      <c r="W453" s="136"/>
      <c r="X453" s="137"/>
    </row>
    <row r="454" spans="1:24">
      <c r="A454" s="619"/>
      <c r="B454" s="87">
        <f t="shared" si="100"/>
        <v>10</v>
      </c>
      <c r="C454" s="639">
        <v>45903</v>
      </c>
      <c r="D454" s="10">
        <v>72919</v>
      </c>
      <c r="E454" s="101" t="s">
        <v>1105</v>
      </c>
      <c r="F454" s="62">
        <v>1264</v>
      </c>
      <c r="G454" s="62">
        <v>39.700000000000003</v>
      </c>
      <c r="H454" s="62"/>
      <c r="I454" s="89">
        <f>F454-G454-H454</f>
        <v>1224.3</v>
      </c>
      <c r="J454" s="63" t="s">
        <v>205</v>
      </c>
      <c r="K454" s="63">
        <v>1</v>
      </c>
      <c r="L454" s="63"/>
      <c r="M454" s="63"/>
      <c r="N454" s="63">
        <v>1</v>
      </c>
      <c r="O454" s="63"/>
      <c r="P454" s="63"/>
      <c r="Q454" s="63">
        <v>1</v>
      </c>
      <c r="R454" s="63">
        <v>1</v>
      </c>
      <c r="S454" s="296">
        <v>1</v>
      </c>
      <c r="T454" s="63"/>
      <c r="U454" s="10"/>
      <c r="V454" s="90"/>
      <c r="W454" s="136"/>
      <c r="X454" s="137"/>
    </row>
    <row r="455" spans="1:24">
      <c r="A455" s="619"/>
      <c r="B455" s="87">
        <f t="shared" si="100"/>
        <v>11</v>
      </c>
      <c r="C455" s="639">
        <v>45903</v>
      </c>
      <c r="D455" s="10">
        <v>72915</v>
      </c>
      <c r="E455" s="101" t="s">
        <v>604</v>
      </c>
      <c r="F455" s="62">
        <v>1138</v>
      </c>
      <c r="G455" s="62">
        <v>39.700000000000003</v>
      </c>
      <c r="H455" s="62"/>
      <c r="I455" s="89">
        <f>F455-G455-H455</f>
        <v>1098.3</v>
      </c>
      <c r="J455" s="63" t="s">
        <v>205</v>
      </c>
      <c r="K455" s="63">
        <v>1</v>
      </c>
      <c r="L455" s="63"/>
      <c r="M455" s="63"/>
      <c r="N455" s="63">
        <v>1</v>
      </c>
      <c r="O455" s="63"/>
      <c r="P455" s="63"/>
      <c r="Q455" s="63">
        <v>1</v>
      </c>
      <c r="R455" s="63">
        <v>1</v>
      </c>
      <c r="S455" s="296">
        <v>1</v>
      </c>
      <c r="T455" s="63"/>
      <c r="U455" s="10"/>
      <c r="V455" s="90"/>
      <c r="W455" s="136"/>
      <c r="X455" s="137"/>
    </row>
    <row r="456" spans="1:24">
      <c r="A456" s="619"/>
      <c r="B456" s="87">
        <f t="shared" si="100"/>
        <v>12</v>
      </c>
      <c r="C456" s="638">
        <v>45904</v>
      </c>
      <c r="D456" s="276">
        <v>72959</v>
      </c>
      <c r="E456" s="281" t="s">
        <v>1105</v>
      </c>
      <c r="F456" s="277">
        <v>1264</v>
      </c>
      <c r="G456" s="277">
        <v>39.700000000000003</v>
      </c>
      <c r="H456" s="277"/>
      <c r="I456" s="278">
        <f>F456-G456-H456</f>
        <v>1224.3</v>
      </c>
      <c r="J456" s="279" t="s">
        <v>205</v>
      </c>
      <c r="K456" s="279">
        <v>1</v>
      </c>
      <c r="L456" s="279"/>
      <c r="M456" s="279"/>
      <c r="N456" s="279">
        <v>1</v>
      </c>
      <c r="O456" s="279"/>
      <c r="P456" s="279"/>
      <c r="Q456" s="279">
        <v>1</v>
      </c>
      <c r="R456" s="279">
        <v>1</v>
      </c>
      <c r="S456" s="280">
        <v>1</v>
      </c>
      <c r="T456" s="63"/>
      <c r="U456" s="10"/>
      <c r="V456" s="90"/>
      <c r="W456" s="136"/>
      <c r="X456" s="137"/>
    </row>
    <row r="457" spans="1:24">
      <c r="A457" s="619"/>
      <c r="B457" s="87">
        <f t="shared" si="100"/>
        <v>13</v>
      </c>
      <c r="C457" s="639">
        <v>45904</v>
      </c>
      <c r="D457" s="10">
        <v>72985</v>
      </c>
      <c r="E457" s="101" t="s">
        <v>604</v>
      </c>
      <c r="F457" s="62">
        <v>1138</v>
      </c>
      <c r="G457" s="62">
        <v>39.700000000000003</v>
      </c>
      <c r="H457" s="62"/>
      <c r="I457" s="89">
        <f>F457-G457-H457</f>
        <v>1098.3</v>
      </c>
      <c r="J457" s="63" t="s">
        <v>205</v>
      </c>
      <c r="K457" s="63">
        <v>1</v>
      </c>
      <c r="L457" s="63"/>
      <c r="M457" s="63"/>
      <c r="N457" s="63">
        <v>1</v>
      </c>
      <c r="O457" s="63"/>
      <c r="P457" s="63"/>
      <c r="Q457" s="63">
        <v>1</v>
      </c>
      <c r="R457" s="63">
        <v>1</v>
      </c>
      <c r="S457" s="296">
        <v>1</v>
      </c>
      <c r="T457" s="63"/>
      <c r="U457" s="10"/>
      <c r="V457" s="90"/>
      <c r="W457" s="136"/>
      <c r="X457" s="137"/>
    </row>
    <row r="458" spans="1:24">
      <c r="A458" s="619"/>
      <c r="B458" s="87">
        <f>B457+1</f>
        <v>14</v>
      </c>
      <c r="C458" s="640">
        <v>45904</v>
      </c>
      <c r="D458" s="283">
        <v>72992</v>
      </c>
      <c r="E458" s="283" t="s">
        <v>1106</v>
      </c>
      <c r="F458" s="284">
        <v>3814</v>
      </c>
      <c r="G458" s="284">
        <f>39.7</f>
        <v>39.700000000000003</v>
      </c>
      <c r="H458" s="284"/>
      <c r="I458" s="285">
        <f>F458-G458-H458</f>
        <v>3774.3</v>
      </c>
      <c r="J458" s="286" t="s">
        <v>156</v>
      </c>
      <c r="K458" s="286">
        <v>1</v>
      </c>
      <c r="L458" s="286"/>
      <c r="M458" s="286">
        <v>1</v>
      </c>
      <c r="N458" s="286">
        <v>1</v>
      </c>
      <c r="O458" s="286">
        <v>1</v>
      </c>
      <c r="P458" s="286">
        <v>1</v>
      </c>
      <c r="Q458" s="286"/>
      <c r="R458" s="286"/>
      <c r="S458" s="287"/>
      <c r="T458" s="63"/>
      <c r="U458" s="94" t="s">
        <v>1107</v>
      </c>
      <c r="V458" s="90">
        <f>419.54</f>
        <v>419.54</v>
      </c>
      <c r="W458" s="136"/>
      <c r="X458" s="137"/>
    </row>
    <row r="459" spans="1:24">
      <c r="A459" s="619"/>
      <c r="B459" s="87">
        <f>B458+1</f>
        <v>15</v>
      </c>
      <c r="C459" s="638">
        <v>45905</v>
      </c>
      <c r="D459" s="276">
        <v>72870</v>
      </c>
      <c r="E459" s="281" t="s">
        <v>213</v>
      </c>
      <c r="F459" s="277">
        <v>1461</v>
      </c>
      <c r="G459" s="277">
        <v>39.700000000000003</v>
      </c>
      <c r="H459" s="277"/>
      <c r="I459" s="278">
        <f>F459-G459-H459</f>
        <v>1421.3</v>
      </c>
      <c r="J459" s="279" t="s">
        <v>205</v>
      </c>
      <c r="K459" s="279">
        <v>1</v>
      </c>
      <c r="L459" s="279"/>
      <c r="M459" s="279"/>
      <c r="N459" s="279">
        <v>1</v>
      </c>
      <c r="O459" s="279"/>
      <c r="P459" s="279"/>
      <c r="Q459" s="279">
        <v>1</v>
      </c>
      <c r="R459" s="279">
        <v>1</v>
      </c>
      <c r="S459" s="280">
        <v>1</v>
      </c>
      <c r="T459" s="63"/>
      <c r="U459" s="10"/>
      <c r="V459" s="90"/>
      <c r="W459" s="136"/>
      <c r="X459" s="137"/>
    </row>
    <row r="460" spans="1:24">
      <c r="A460" s="619"/>
      <c r="B460" s="87">
        <f t="shared" si="100"/>
        <v>16</v>
      </c>
      <c r="C460" s="639">
        <v>45905</v>
      </c>
      <c r="D460" s="10">
        <v>73017</v>
      </c>
      <c r="E460" s="10" t="s">
        <v>1085</v>
      </c>
      <c r="F460" s="62">
        <v>621</v>
      </c>
      <c r="G460" s="62"/>
      <c r="H460" s="62"/>
      <c r="I460" s="89">
        <f>F460-G460-H460</f>
        <v>621</v>
      </c>
      <c r="J460" s="63" t="s">
        <v>205</v>
      </c>
      <c r="K460" s="63">
        <v>1</v>
      </c>
      <c r="L460" s="63"/>
      <c r="M460" s="63"/>
      <c r="N460" s="63">
        <v>1</v>
      </c>
      <c r="O460" s="63"/>
      <c r="P460" s="63"/>
      <c r="Q460" s="63">
        <v>1</v>
      </c>
      <c r="R460" s="63">
        <v>1</v>
      </c>
      <c r="S460" s="296">
        <v>1</v>
      </c>
      <c r="T460" s="63"/>
      <c r="U460" s="10"/>
      <c r="V460" s="90"/>
      <c r="W460" s="136"/>
      <c r="X460" s="137"/>
    </row>
    <row r="461" spans="1:24">
      <c r="A461" s="619"/>
      <c r="B461" s="87">
        <f t="shared" si="100"/>
        <v>17</v>
      </c>
      <c r="C461" s="639">
        <v>45905</v>
      </c>
      <c r="D461" s="10">
        <v>72996</v>
      </c>
      <c r="E461" s="10" t="s">
        <v>218</v>
      </c>
      <c r="F461" s="62">
        <v>2261</v>
      </c>
      <c r="G461" s="62">
        <v>39.700000000000003</v>
      </c>
      <c r="H461" s="62"/>
      <c r="I461" s="89">
        <f>F461-G461-H461</f>
        <v>2221.3000000000002</v>
      </c>
      <c r="J461" s="63" t="s">
        <v>205</v>
      </c>
      <c r="K461" s="63">
        <v>1</v>
      </c>
      <c r="L461" s="63"/>
      <c r="M461" s="63"/>
      <c r="N461" s="63">
        <v>1</v>
      </c>
      <c r="O461" s="63"/>
      <c r="P461" s="63"/>
      <c r="Q461" s="63">
        <v>1</v>
      </c>
      <c r="R461" s="63">
        <v>1</v>
      </c>
      <c r="S461" s="296">
        <v>1</v>
      </c>
      <c r="T461" s="63"/>
      <c r="U461" s="10"/>
      <c r="V461" s="90"/>
      <c r="W461" s="136"/>
      <c r="X461" s="137"/>
    </row>
    <row r="462" spans="1:24">
      <c r="A462" s="619"/>
      <c r="B462" s="87">
        <f t="shared" si="100"/>
        <v>18</v>
      </c>
      <c r="C462" s="639">
        <v>45905</v>
      </c>
      <c r="D462" s="77" t="s">
        <v>1108</v>
      </c>
      <c r="E462" s="10" t="s">
        <v>715</v>
      </c>
      <c r="F462" s="62">
        <v>1952</v>
      </c>
      <c r="G462" s="62">
        <v>39.700000000000003</v>
      </c>
      <c r="H462" s="62"/>
      <c r="I462" s="89">
        <f>F462-G462-H462</f>
        <v>1912.3</v>
      </c>
      <c r="J462" s="63" t="s">
        <v>205</v>
      </c>
      <c r="K462" s="63">
        <v>1</v>
      </c>
      <c r="L462" s="63"/>
      <c r="M462" s="63"/>
      <c r="N462" s="63">
        <v>1</v>
      </c>
      <c r="O462" s="63"/>
      <c r="P462" s="63"/>
      <c r="Q462" s="63">
        <v>1</v>
      </c>
      <c r="R462" s="63">
        <v>1</v>
      </c>
      <c r="S462" s="296">
        <v>1</v>
      </c>
      <c r="T462" s="63"/>
      <c r="U462" s="10"/>
      <c r="V462" s="90"/>
      <c r="W462" s="136"/>
      <c r="X462" s="137"/>
    </row>
    <row r="463" spans="1:24">
      <c r="A463" s="619"/>
      <c r="B463" s="87">
        <f t="shared" si="100"/>
        <v>19</v>
      </c>
      <c r="C463" s="640">
        <v>45905</v>
      </c>
      <c r="D463" s="302" t="s">
        <v>1109</v>
      </c>
      <c r="E463" s="283" t="s">
        <v>715</v>
      </c>
      <c r="F463" s="284">
        <v>1395</v>
      </c>
      <c r="G463" s="284">
        <v>39.700000000000003</v>
      </c>
      <c r="H463" s="284"/>
      <c r="I463" s="285">
        <f>F463-G463-H463</f>
        <v>1355.3</v>
      </c>
      <c r="J463" s="286" t="s">
        <v>205</v>
      </c>
      <c r="K463" s="286">
        <v>1</v>
      </c>
      <c r="L463" s="286"/>
      <c r="M463" s="286"/>
      <c r="N463" s="286">
        <v>1</v>
      </c>
      <c r="O463" s="286"/>
      <c r="P463" s="286"/>
      <c r="Q463" s="286">
        <v>1</v>
      </c>
      <c r="R463" s="286">
        <v>1</v>
      </c>
      <c r="S463" s="287">
        <v>1</v>
      </c>
      <c r="T463" s="63"/>
      <c r="U463" s="10"/>
      <c r="V463" s="90"/>
      <c r="W463" s="136"/>
      <c r="X463" s="137"/>
    </row>
    <row r="464" spans="1:24">
      <c r="A464" s="619"/>
      <c r="B464" s="11"/>
      <c r="C464" s="621"/>
      <c r="D464" s="10"/>
      <c r="E464" s="10"/>
      <c r="F464" s="97">
        <f>SUM(F445:F463)</f>
        <v>48634.8</v>
      </c>
      <c r="G464" s="97">
        <f>SUM(G445:G463)</f>
        <v>1158.5100000000007</v>
      </c>
      <c r="H464" s="97">
        <f>SUM(H445:H463)</f>
        <v>0</v>
      </c>
      <c r="I464" s="98">
        <f>SUM(I445:I463)</f>
        <v>47476.290000000015</v>
      </c>
      <c r="J464" s="10"/>
      <c r="K464" s="10"/>
      <c r="L464" s="10"/>
      <c r="M464" s="10"/>
      <c r="N464" s="10"/>
      <c r="O464" s="10"/>
      <c r="P464" s="10"/>
      <c r="Q464" s="10"/>
      <c r="R464" s="10"/>
      <c r="S464" s="10"/>
      <c r="T464" s="63"/>
      <c r="U464" s="10"/>
      <c r="V464" s="138"/>
      <c r="W464" s="136"/>
      <c r="X464" s="137"/>
    </row>
    <row r="465" spans="1:25">
      <c r="A465" s="619"/>
      <c r="B465" s="11"/>
      <c r="C465" s="621"/>
      <c r="D465" s="10"/>
      <c r="E465" s="10"/>
      <c r="F465" s="88"/>
      <c r="G465" s="88"/>
      <c r="H465" s="88"/>
      <c r="I465" s="99"/>
      <c r="J465" s="10"/>
      <c r="K465" s="10"/>
      <c r="L465" s="10"/>
      <c r="M465" s="10"/>
      <c r="N465" s="10"/>
      <c r="O465" s="10"/>
      <c r="P465" s="10"/>
      <c r="Q465" s="10"/>
      <c r="R465" s="10"/>
      <c r="S465" s="10"/>
      <c r="T465" s="63"/>
      <c r="U465" s="10"/>
      <c r="V465" s="138"/>
      <c r="W465" s="136"/>
      <c r="X465" s="137"/>
    </row>
    <row r="466" spans="1:25">
      <c r="A466" s="619"/>
      <c r="B466" s="100" t="s">
        <v>73</v>
      </c>
      <c r="C466" s="621"/>
      <c r="D466" s="10"/>
      <c r="E466" s="10"/>
      <c r="F466" s="88"/>
      <c r="G466" s="88"/>
      <c r="H466" s="88"/>
      <c r="I466" s="99"/>
      <c r="J466" s="63"/>
      <c r="K466" s="63"/>
      <c r="L466" s="63"/>
      <c r="M466" s="63"/>
      <c r="N466" s="63"/>
      <c r="O466" s="63"/>
      <c r="P466" s="63"/>
      <c r="Q466" s="63"/>
      <c r="R466" s="63"/>
      <c r="S466" s="63"/>
      <c r="T466" s="63"/>
      <c r="U466" s="94"/>
      <c r="V466" s="90"/>
      <c r="W466" s="91"/>
      <c r="X466" s="92"/>
    </row>
    <row r="467" spans="1:25">
      <c r="A467" s="619"/>
      <c r="B467" s="87">
        <v>1</v>
      </c>
      <c r="C467" s="638">
        <v>45906</v>
      </c>
      <c r="D467" s="276">
        <v>73037</v>
      </c>
      <c r="E467" s="276" t="s">
        <v>149</v>
      </c>
      <c r="F467" s="277">
        <v>861</v>
      </c>
      <c r="G467" s="277">
        <v>39.700000000000003</v>
      </c>
      <c r="H467" s="277"/>
      <c r="I467" s="278">
        <f>F467-G467-H467</f>
        <v>821.3</v>
      </c>
      <c r="J467" s="279" t="s">
        <v>205</v>
      </c>
      <c r="K467" s="279">
        <v>1</v>
      </c>
      <c r="L467" s="279"/>
      <c r="M467" s="279"/>
      <c r="N467" s="279">
        <v>1</v>
      </c>
      <c r="O467" s="279"/>
      <c r="P467" s="279"/>
      <c r="Q467" s="279">
        <v>1</v>
      </c>
      <c r="R467" s="279">
        <v>1</v>
      </c>
      <c r="S467" s="280">
        <v>1</v>
      </c>
      <c r="T467" s="63"/>
      <c r="U467" s="139"/>
      <c r="V467" s="90"/>
      <c r="W467" s="91"/>
      <c r="X467" s="92"/>
    </row>
    <row r="468" spans="1:25">
      <c r="A468" s="619"/>
      <c r="B468" s="87">
        <f>B467+1</f>
        <v>2</v>
      </c>
      <c r="C468" s="639">
        <v>45906</v>
      </c>
      <c r="D468" s="77" t="s">
        <v>1110</v>
      </c>
      <c r="E468" s="10" t="s">
        <v>1111</v>
      </c>
      <c r="F468" s="62">
        <v>681</v>
      </c>
      <c r="G468" s="62"/>
      <c r="H468" s="62"/>
      <c r="I468" s="89">
        <f>F468-G468-H468</f>
        <v>681</v>
      </c>
      <c r="J468" s="63" t="s">
        <v>156</v>
      </c>
      <c r="K468" s="63">
        <v>1</v>
      </c>
      <c r="L468" s="63"/>
      <c r="M468" s="63">
        <v>1</v>
      </c>
      <c r="N468" s="63">
        <v>1</v>
      </c>
      <c r="O468" s="63"/>
      <c r="P468" s="63"/>
      <c r="Q468" s="63"/>
      <c r="R468" s="63"/>
      <c r="S468" s="296"/>
      <c r="T468" s="63"/>
      <c r="U468" s="94"/>
      <c r="V468" s="90">
        <v>93.5</v>
      </c>
      <c r="W468" s="136"/>
      <c r="X468" s="137"/>
    </row>
    <row r="469" spans="1:25">
      <c r="A469" s="619"/>
      <c r="B469" s="87">
        <f>B468+1</f>
        <v>3</v>
      </c>
      <c r="C469" s="640">
        <v>45906</v>
      </c>
      <c r="D469" s="302" t="s">
        <v>1112</v>
      </c>
      <c r="E469" s="283" t="s">
        <v>1111</v>
      </c>
      <c r="F469" s="284">
        <v>5814</v>
      </c>
      <c r="G469" s="284">
        <v>39.700000000000003</v>
      </c>
      <c r="H469" s="284"/>
      <c r="I469" s="285">
        <f>F469-G469-H469</f>
        <v>5774.3</v>
      </c>
      <c r="J469" s="286" t="s">
        <v>205</v>
      </c>
      <c r="K469" s="286">
        <v>1</v>
      </c>
      <c r="L469" s="286"/>
      <c r="M469" s="286"/>
      <c r="N469" s="286">
        <v>1</v>
      </c>
      <c r="O469" s="286"/>
      <c r="P469" s="286"/>
      <c r="Q469" s="286"/>
      <c r="R469" s="286"/>
      <c r="S469" s="287"/>
      <c r="T469" s="63"/>
      <c r="U469" s="94"/>
      <c r="V469" s="90"/>
      <c r="W469" s="136"/>
      <c r="X469" s="137"/>
    </row>
    <row r="470" spans="1:25">
      <c r="A470" s="619"/>
      <c r="B470" s="11"/>
      <c r="C470" s="621"/>
      <c r="D470" s="10"/>
      <c r="E470" s="10"/>
      <c r="F470" s="97">
        <f>SUM(F467:F469)</f>
        <v>7356</v>
      </c>
      <c r="G470" s="97">
        <f>SUM(G467:G469)</f>
        <v>79.400000000000006</v>
      </c>
      <c r="H470" s="97">
        <f>SUM(H467:H469)</f>
        <v>0</v>
      </c>
      <c r="I470" s="98">
        <f>SUM(I467:I469)</f>
        <v>7276.6</v>
      </c>
      <c r="J470" s="10"/>
      <c r="K470" s="10"/>
      <c r="L470" s="10"/>
      <c r="M470" s="10"/>
      <c r="N470" s="10"/>
      <c r="O470" s="10"/>
      <c r="P470" s="10"/>
      <c r="Q470" s="10"/>
      <c r="R470" s="10"/>
      <c r="S470" s="10"/>
      <c r="T470" s="63"/>
      <c r="U470" s="94"/>
      <c r="V470" s="90"/>
      <c r="W470" s="91"/>
      <c r="X470" s="92"/>
    </row>
    <row r="471" spans="1:25">
      <c r="A471" s="619"/>
      <c r="B471" s="26"/>
      <c r="C471" s="626"/>
      <c r="D471" s="141"/>
      <c r="E471" s="141"/>
      <c r="F471" s="141"/>
      <c r="G471" s="141"/>
      <c r="H471" s="141"/>
      <c r="I471" s="141"/>
      <c r="J471" s="141"/>
      <c r="K471" s="142"/>
      <c r="L471" s="142"/>
      <c r="M471" s="142"/>
      <c r="N471" s="142"/>
      <c r="O471" s="142"/>
      <c r="P471" s="142"/>
      <c r="Q471" s="142"/>
      <c r="R471" s="142"/>
      <c r="S471" s="142"/>
      <c r="T471" s="143">
        <f>SUM(T397:T470)</f>
        <v>6</v>
      </c>
      <c r="U471" s="141"/>
      <c r="V471" s="144">
        <f>SUM(V397:V470)</f>
        <v>28026.030000000002</v>
      </c>
      <c r="W471" s="144">
        <f>SUM(W397:W470)</f>
        <v>1950</v>
      </c>
      <c r="X471" s="144">
        <f>SUM(X397:X470)</f>
        <v>0</v>
      </c>
    </row>
    <row r="472" spans="1:25">
      <c r="B472" s="10"/>
      <c r="C472" s="36"/>
      <c r="D472" s="10"/>
      <c r="E472" s="10"/>
      <c r="F472" s="10"/>
      <c r="G472" s="10"/>
      <c r="H472" s="10"/>
      <c r="I472" s="10"/>
      <c r="J472" s="10"/>
      <c r="K472" s="147"/>
      <c r="L472" s="147"/>
      <c r="M472" s="147"/>
      <c r="N472" s="147"/>
      <c r="O472" s="147"/>
      <c r="P472" s="147"/>
      <c r="Q472" s="147"/>
      <c r="R472" s="147"/>
      <c r="S472" s="147"/>
      <c r="T472" s="21"/>
      <c r="U472" s="10"/>
      <c r="V472" s="99"/>
      <c r="W472" s="99"/>
      <c r="X472" s="99"/>
    </row>
    <row r="474" spans="1:25">
      <c r="B474" s="4" t="s">
        <v>1</v>
      </c>
      <c r="C474" s="5"/>
      <c r="D474" s="6"/>
      <c r="E474" s="6"/>
      <c r="F474" s="7" t="s">
        <v>2</v>
      </c>
      <c r="G474" s="608">
        <v>45914</v>
      </c>
      <c r="H474" s="7"/>
      <c r="I474" s="6"/>
      <c r="J474" s="6"/>
      <c r="K474" s="6"/>
      <c r="L474" s="6"/>
      <c r="M474" s="6"/>
      <c r="N474" s="6"/>
      <c r="O474" s="6"/>
      <c r="P474" s="6"/>
      <c r="Q474" s="6"/>
      <c r="R474" s="6"/>
      <c r="S474" s="6"/>
      <c r="T474" s="6"/>
      <c r="U474" s="9"/>
      <c r="V474" s="10"/>
      <c r="W474" s="10"/>
      <c r="X474" s="10"/>
      <c r="Y474" s="2"/>
    </row>
    <row r="475" spans="1:25">
      <c r="B475" s="11"/>
      <c r="C475" s="10"/>
      <c r="D475" s="10"/>
      <c r="E475" s="10"/>
      <c r="F475" s="10"/>
      <c r="G475" s="7"/>
      <c r="H475" s="12"/>
      <c r="I475" s="10"/>
      <c r="J475" s="10"/>
      <c r="K475" s="13" t="s">
        <v>3</v>
      </c>
      <c r="L475" s="14"/>
      <c r="M475" s="15"/>
      <c r="N475" s="13" t="s">
        <v>4</v>
      </c>
      <c r="O475" s="14"/>
      <c r="P475" s="15"/>
      <c r="Q475" s="13" t="s">
        <v>5</v>
      </c>
      <c r="R475" s="14"/>
      <c r="S475" s="15"/>
      <c r="T475" s="16"/>
      <c r="U475" s="17"/>
      <c r="V475" s="10"/>
      <c r="W475" s="10"/>
      <c r="X475" s="10"/>
      <c r="Y475" s="2"/>
    </row>
    <row r="476" spans="1:25">
      <c r="B476" s="18" t="s">
        <v>6</v>
      </c>
      <c r="C476" s="19">
        <f>C477+C478</f>
        <v>37</v>
      </c>
      <c r="D476" s="10"/>
      <c r="E476" s="18" t="s">
        <v>7</v>
      </c>
      <c r="F476" s="6"/>
      <c r="G476" s="9"/>
      <c r="H476" s="10"/>
      <c r="I476" s="10"/>
      <c r="J476" s="10"/>
      <c r="K476" s="20" t="s">
        <v>8</v>
      </c>
      <c r="L476" s="21" t="s">
        <v>9</v>
      </c>
      <c r="M476" s="21" t="s">
        <v>10</v>
      </c>
      <c r="N476" s="20" t="s">
        <v>11</v>
      </c>
      <c r="O476" s="21" t="s">
        <v>12</v>
      </c>
      <c r="P476" s="22" t="s">
        <v>13</v>
      </c>
      <c r="Q476" s="21" t="s">
        <v>11</v>
      </c>
      <c r="R476" s="21" t="s">
        <v>12</v>
      </c>
      <c r="S476" s="22" t="s">
        <v>13</v>
      </c>
      <c r="T476" s="23" t="s">
        <v>14</v>
      </c>
      <c r="U476" s="17"/>
      <c r="V476" s="10"/>
      <c r="W476" s="10"/>
      <c r="X476" s="10"/>
      <c r="Y476" s="2"/>
    </row>
    <row r="477" spans="1:25">
      <c r="B477" s="24" t="s">
        <v>15</v>
      </c>
      <c r="C477" s="25">
        <f>P484</f>
        <v>13</v>
      </c>
      <c r="D477" s="10"/>
      <c r="E477" s="26" t="s">
        <v>16</v>
      </c>
      <c r="F477" s="27">
        <v>0.05</v>
      </c>
      <c r="G477" s="28"/>
      <c r="H477" s="10"/>
      <c r="I477" s="10"/>
      <c r="J477" s="18" t="s">
        <v>17</v>
      </c>
      <c r="K477" s="29">
        <f>K513</f>
        <v>11</v>
      </c>
      <c r="L477" s="29">
        <f>L513</f>
        <v>11</v>
      </c>
      <c r="M477" s="29">
        <f>M513</f>
        <v>10</v>
      </c>
      <c r="N477" s="29">
        <f>N513</f>
        <v>11</v>
      </c>
      <c r="O477" s="29">
        <f>O513</f>
        <v>11</v>
      </c>
      <c r="P477" s="29">
        <f>P513</f>
        <v>10</v>
      </c>
      <c r="Q477" s="29">
        <f>Q513</f>
        <v>11</v>
      </c>
      <c r="R477" s="29">
        <f>R513</f>
        <v>11</v>
      </c>
      <c r="S477" s="29">
        <f>S513</f>
        <v>11</v>
      </c>
      <c r="T477" s="30">
        <f>T567</f>
        <v>5</v>
      </c>
      <c r="U477" s="17"/>
      <c r="V477" s="10"/>
      <c r="W477" s="10"/>
      <c r="X477" s="10"/>
      <c r="Y477" s="2"/>
    </row>
    <row r="478" spans="1:25">
      <c r="B478" s="24" t="s">
        <v>18</v>
      </c>
      <c r="C478" s="25">
        <f>P485</f>
        <v>24</v>
      </c>
      <c r="D478" s="10"/>
      <c r="E478" s="10"/>
      <c r="F478" s="10"/>
      <c r="G478" s="31"/>
      <c r="H478" s="10"/>
      <c r="I478" s="10"/>
      <c r="J478" s="32" t="s">
        <v>19</v>
      </c>
      <c r="K478" s="33">
        <f>K513/K512</f>
        <v>1</v>
      </c>
      <c r="L478" s="33">
        <f>L513/L512</f>
        <v>1</v>
      </c>
      <c r="M478" s="33">
        <f>M513/M512</f>
        <v>0.90909090909090906</v>
      </c>
      <c r="N478" s="33">
        <f>N513/N512</f>
        <v>1</v>
      </c>
      <c r="O478" s="33">
        <f>O513/O512</f>
        <v>1</v>
      </c>
      <c r="P478" s="33">
        <f>P513/P512</f>
        <v>0.90909090909090906</v>
      </c>
      <c r="Q478" s="33">
        <f>Q513/Q512</f>
        <v>1</v>
      </c>
      <c r="R478" s="33">
        <f>R513/R512</f>
        <v>1</v>
      </c>
      <c r="S478" s="33">
        <f>S513/S512</f>
        <v>1</v>
      </c>
      <c r="T478" s="23"/>
      <c r="U478" s="17" t="s">
        <v>20</v>
      </c>
      <c r="V478" s="10"/>
      <c r="W478" s="10"/>
      <c r="X478" s="10"/>
      <c r="Y478" s="2"/>
    </row>
    <row r="479" spans="1:25">
      <c r="B479" s="24" t="s">
        <v>21</v>
      </c>
      <c r="C479" s="34">
        <f>P486</f>
        <v>0.35135135135135137</v>
      </c>
      <c r="D479" s="10"/>
      <c r="E479" s="10"/>
      <c r="F479" s="10"/>
      <c r="G479" s="10"/>
      <c r="H479" s="10"/>
      <c r="I479" s="10"/>
      <c r="J479" s="10"/>
      <c r="K479" s="10"/>
      <c r="L479" s="10"/>
      <c r="M479" s="10"/>
      <c r="N479" s="10"/>
      <c r="O479" s="10"/>
      <c r="P479" s="10"/>
      <c r="Q479" s="10"/>
      <c r="R479" s="10"/>
      <c r="S479" s="10"/>
      <c r="T479" s="10"/>
      <c r="U479" s="17"/>
      <c r="V479" s="10"/>
      <c r="W479" s="10"/>
      <c r="X479" s="10"/>
      <c r="Y479" s="2"/>
    </row>
    <row r="480" spans="1:25">
      <c r="B480" s="24"/>
      <c r="C480" s="25"/>
      <c r="D480" s="10"/>
      <c r="E480" s="10"/>
      <c r="F480" s="18" t="s">
        <v>22</v>
      </c>
      <c r="G480" s="19" t="s">
        <v>23</v>
      </c>
      <c r="H480" s="35" t="s">
        <v>24</v>
      </c>
      <c r="I480" s="10"/>
      <c r="J480" s="10"/>
      <c r="K480" s="36"/>
      <c r="L480" s="36"/>
      <c r="M480" s="36"/>
      <c r="N480" s="36"/>
      <c r="O480" s="36"/>
      <c r="P480" s="36"/>
      <c r="Q480" s="36"/>
      <c r="R480" s="10"/>
      <c r="S480" s="10"/>
      <c r="T480" s="10"/>
      <c r="U480" s="17"/>
      <c r="V480" s="10"/>
      <c r="W480" s="10"/>
      <c r="X480" s="10"/>
      <c r="Y480" s="2"/>
    </row>
    <row r="481" spans="2:25">
      <c r="B481" s="32" t="s">
        <v>25</v>
      </c>
      <c r="C481" s="37">
        <f>P487</f>
        <v>2326.3469230769233</v>
      </c>
      <c r="D481" s="10"/>
      <c r="E481" s="18" t="s">
        <v>26</v>
      </c>
      <c r="F481" s="38">
        <f>P483</f>
        <v>30242.510000000002</v>
      </c>
      <c r="G481" s="39">
        <f>I512+I525+I529</f>
        <v>30242.51</v>
      </c>
      <c r="H481" s="40"/>
      <c r="I481" s="41"/>
      <c r="J481" s="42"/>
      <c r="K481" s="43" t="s">
        <v>27</v>
      </c>
      <c r="L481" s="44"/>
      <c r="M481" s="44"/>
      <c r="N481" s="44"/>
      <c r="O481" s="44"/>
      <c r="P481" s="44"/>
      <c r="Q481" s="45"/>
      <c r="R481" s="46" t="s">
        <v>28</v>
      </c>
      <c r="S481" s="47" t="s">
        <v>29</v>
      </c>
      <c r="T481" s="10"/>
      <c r="U481" s="17"/>
      <c r="V481" s="10"/>
      <c r="W481" s="10"/>
      <c r="X481" s="10"/>
      <c r="Y481" s="2"/>
    </row>
    <row r="482" spans="2:25">
      <c r="B482" s="11"/>
      <c r="C482" s="10"/>
      <c r="D482" s="10"/>
      <c r="E482" s="24" t="s">
        <v>30</v>
      </c>
      <c r="F482" s="48">
        <f>F477</f>
        <v>0.05</v>
      </c>
      <c r="G482" s="17"/>
      <c r="H482" s="40"/>
      <c r="I482" s="41"/>
      <c r="J482" s="42"/>
      <c r="K482" s="20" t="s">
        <v>31</v>
      </c>
      <c r="L482" s="21" t="s">
        <v>32</v>
      </c>
      <c r="M482" s="21" t="s">
        <v>33</v>
      </c>
      <c r="N482" s="21" t="s">
        <v>34</v>
      </c>
      <c r="O482" s="21" t="s">
        <v>35</v>
      </c>
      <c r="P482" s="21" t="s">
        <v>36</v>
      </c>
      <c r="Q482" s="49" t="s">
        <v>37</v>
      </c>
      <c r="R482" s="50" t="s">
        <v>38</v>
      </c>
      <c r="S482" s="50" t="s">
        <v>38</v>
      </c>
      <c r="T482" s="10"/>
      <c r="U482" s="17"/>
      <c r="V482" s="10"/>
      <c r="W482" s="10"/>
      <c r="X482" s="10"/>
      <c r="Y482" s="2"/>
    </row>
    <row r="483" spans="2:25">
      <c r="B483" s="11"/>
      <c r="C483" s="10"/>
      <c r="D483" s="10"/>
      <c r="E483" s="51" t="s">
        <v>39</v>
      </c>
      <c r="F483" s="52">
        <f>(F481-I503-I506-I524-I528)*F482</f>
        <v>534.06100000000026</v>
      </c>
      <c r="G483" s="53" t="s">
        <v>40</v>
      </c>
      <c r="H483" s="54">
        <f>F483/1.12</f>
        <v>476.84017857142874</v>
      </c>
      <c r="I483" s="55"/>
      <c r="J483" s="42"/>
      <c r="K483" s="56">
        <f>I501+I503+I502</f>
        <v>4958.16</v>
      </c>
      <c r="L483" s="57">
        <f>I504+I505+I506+I528</f>
        <v>19367.25</v>
      </c>
      <c r="M483" s="57">
        <f>I507+I508</f>
        <v>1181</v>
      </c>
      <c r="N483" s="57">
        <f>I509+I524</f>
        <v>3642.6000000000004</v>
      </c>
      <c r="O483" s="57">
        <f>I510+I511</f>
        <v>1093.5</v>
      </c>
      <c r="P483" s="57">
        <f>SUM(K483:O483)</f>
        <v>30242.510000000002</v>
      </c>
      <c r="Q483" s="58">
        <v>0</v>
      </c>
      <c r="R483" s="59">
        <f>I525+I529</f>
        <v>15291.619999999999</v>
      </c>
      <c r="S483" s="59">
        <v>0</v>
      </c>
      <c r="T483" s="10"/>
      <c r="U483" s="17"/>
      <c r="V483" s="10"/>
      <c r="W483" s="10"/>
      <c r="X483" s="10"/>
      <c r="Y483" s="2"/>
    </row>
    <row r="484" spans="2:25">
      <c r="B484" s="11"/>
      <c r="C484" s="10"/>
      <c r="D484" s="10"/>
      <c r="E484" s="24" t="s">
        <v>41</v>
      </c>
      <c r="F484" s="60">
        <f>Q483</f>
        <v>0</v>
      </c>
      <c r="G484" s="61" t="s">
        <v>40</v>
      </c>
      <c r="H484" s="62"/>
      <c r="I484" s="62"/>
      <c r="J484" s="10" t="s">
        <v>42</v>
      </c>
      <c r="K484" s="63">
        <v>3</v>
      </c>
      <c r="L484" s="63">
        <v>4</v>
      </c>
      <c r="M484" s="63">
        <v>2</v>
      </c>
      <c r="N484" s="63">
        <v>2</v>
      </c>
      <c r="O484" s="63">
        <v>2</v>
      </c>
      <c r="P484" s="21">
        <f>SUM(K484:O484)</f>
        <v>13</v>
      </c>
      <c r="Q484" s="64"/>
      <c r="R484" s="63"/>
      <c r="S484" s="10"/>
      <c r="T484" s="10"/>
      <c r="U484" s="17"/>
      <c r="V484" s="10"/>
      <c r="W484" s="10"/>
      <c r="X484" s="10"/>
      <c r="Y484" s="2"/>
    </row>
    <row r="485" spans="2:25">
      <c r="B485" s="11"/>
      <c r="C485" s="10"/>
      <c r="D485" s="10"/>
      <c r="E485" s="51" t="s">
        <v>43</v>
      </c>
      <c r="F485" s="52">
        <f>F484*0.25</f>
        <v>0</v>
      </c>
      <c r="G485" s="53" t="s">
        <v>40</v>
      </c>
      <c r="H485" s="54">
        <f>F485/1.12</f>
        <v>0</v>
      </c>
      <c r="I485" s="10"/>
      <c r="J485" s="10" t="s">
        <v>44</v>
      </c>
      <c r="K485" s="63">
        <v>5</v>
      </c>
      <c r="L485" s="63">
        <v>3</v>
      </c>
      <c r="M485" s="63">
        <v>5</v>
      </c>
      <c r="N485" s="63">
        <v>4</v>
      </c>
      <c r="O485" s="63">
        <v>7</v>
      </c>
      <c r="P485" s="21">
        <f>SUM(K485:O485)</f>
        <v>24</v>
      </c>
      <c r="Q485" s="64"/>
      <c r="R485" s="63"/>
      <c r="S485" s="10"/>
      <c r="T485" s="10"/>
      <c r="U485" s="17"/>
      <c r="V485" s="10"/>
      <c r="W485" s="10"/>
      <c r="X485" s="10"/>
      <c r="Y485" s="2"/>
    </row>
    <row r="486" spans="2:25">
      <c r="B486" s="11"/>
      <c r="C486" s="10"/>
      <c r="D486" s="10"/>
      <c r="E486" s="24" t="s">
        <v>45</v>
      </c>
      <c r="F486" s="60">
        <f>I521</f>
        <v>19306.030000000002</v>
      </c>
      <c r="G486" s="61" t="s">
        <v>40</v>
      </c>
      <c r="H486" s="62"/>
      <c r="I486" s="10"/>
      <c r="J486" s="10" t="s">
        <v>46</v>
      </c>
      <c r="K486" s="31">
        <f>K484/(K484+K485)</f>
        <v>0.375</v>
      </c>
      <c r="L486" s="31">
        <f>L484/(L484+L485)</f>
        <v>0.5714285714285714</v>
      </c>
      <c r="M486" s="31">
        <f>M484/(M484+M485)</f>
        <v>0.2857142857142857</v>
      </c>
      <c r="N486" s="31">
        <f>N484/(N484+N485)</f>
        <v>0.33333333333333331</v>
      </c>
      <c r="O486" s="31">
        <f>O484/(O484+O485)</f>
        <v>0.22222222222222221</v>
      </c>
      <c r="P486" s="31">
        <f>P484/(P484+P485)</f>
        <v>0.35135135135135137</v>
      </c>
      <c r="Q486" s="31" t="e">
        <f>Q484/(Q484+Q485)</f>
        <v>#DIV/0!</v>
      </c>
      <c r="R486" s="63"/>
      <c r="S486" s="10"/>
      <c r="T486" s="10"/>
      <c r="U486" s="17"/>
      <c r="V486" s="10"/>
      <c r="W486" s="10"/>
      <c r="X486" s="10"/>
      <c r="Y486" s="2"/>
    </row>
    <row r="487" spans="2:25">
      <c r="B487" s="11"/>
      <c r="C487" s="10"/>
      <c r="D487" s="10"/>
      <c r="E487" s="51" t="s">
        <v>47</v>
      </c>
      <c r="F487" s="52">
        <f>(F486-I516-I520)*0.05</f>
        <v>958.25</v>
      </c>
      <c r="G487" s="65" t="s">
        <v>40</v>
      </c>
      <c r="H487" s="54">
        <f>F487/1.12</f>
        <v>855.58035714285711</v>
      </c>
      <c r="I487" s="42"/>
      <c r="J487" s="10" t="s">
        <v>48</v>
      </c>
      <c r="K487" s="66">
        <f>K483/K484</f>
        <v>1652.72</v>
      </c>
      <c r="L487" s="66">
        <f>L483/L484</f>
        <v>4841.8125</v>
      </c>
      <c r="M487" s="66">
        <f>M483/M484</f>
        <v>590.5</v>
      </c>
      <c r="N487" s="66">
        <f>N483/N484</f>
        <v>1821.3000000000002</v>
      </c>
      <c r="O487" s="66">
        <f>O483/O484</f>
        <v>546.75</v>
      </c>
      <c r="P487" s="66">
        <f>P483/P484</f>
        <v>2326.3469230769233</v>
      </c>
      <c r="Q487" s="66" t="e">
        <f>Q483/Q484</f>
        <v>#DIV/0!</v>
      </c>
      <c r="R487" s="63"/>
      <c r="S487" s="10"/>
      <c r="T487" s="10"/>
      <c r="U487" s="17"/>
      <c r="V487" s="10"/>
      <c r="W487" s="10"/>
      <c r="X487" s="10"/>
      <c r="Y487" s="2"/>
    </row>
    <row r="488" spans="2:25">
      <c r="B488" s="11"/>
      <c r="C488" s="10"/>
      <c r="D488" s="10"/>
      <c r="E488" s="67" t="s">
        <v>14</v>
      </c>
      <c r="F488" s="68">
        <f>4*50</f>
        <v>200</v>
      </c>
      <c r="G488" s="10"/>
      <c r="H488" s="54">
        <f>F488/1.12</f>
        <v>178.57142857142856</v>
      </c>
      <c r="I488" s="10"/>
      <c r="J488" s="10"/>
      <c r="K488" s="10"/>
      <c r="L488" s="10"/>
      <c r="M488" s="10"/>
      <c r="N488" s="10"/>
      <c r="O488" s="10"/>
      <c r="P488" s="10"/>
      <c r="Q488" s="10"/>
      <c r="R488" s="10"/>
      <c r="S488" s="10"/>
      <c r="T488" s="10"/>
      <c r="U488" s="17"/>
      <c r="V488" s="10"/>
      <c r="W488" s="10"/>
      <c r="X488" s="10"/>
      <c r="Y488" s="2"/>
    </row>
    <row r="489" spans="2:25">
      <c r="B489" s="11"/>
      <c r="C489" s="10"/>
      <c r="D489" s="10"/>
      <c r="E489" s="155" t="s">
        <v>49</v>
      </c>
      <c r="F489" s="364">
        <f>T478</f>
        <v>0</v>
      </c>
      <c r="G489" s="10"/>
      <c r="H489" s="54"/>
      <c r="I489" s="55"/>
      <c r="J489" s="42"/>
      <c r="K489" s="764" t="s">
        <v>50</v>
      </c>
      <c r="L489" s="765"/>
      <c r="M489" s="765"/>
      <c r="N489" s="765"/>
      <c r="O489" s="765"/>
      <c r="P489" s="765"/>
      <c r="Q489" s="766"/>
      <c r="R489" s="70" t="s">
        <v>28</v>
      </c>
      <c r="S489" s="71" t="s">
        <v>29</v>
      </c>
      <c r="T489" s="10"/>
      <c r="U489" s="17"/>
      <c r="V489" s="10"/>
      <c r="W489" s="10"/>
      <c r="X489" s="10"/>
      <c r="Y489" s="2"/>
    </row>
    <row r="490" spans="2:25">
      <c r="B490" s="11"/>
      <c r="C490" s="10"/>
      <c r="D490" s="10"/>
      <c r="E490" s="12"/>
      <c r="F490" s="76"/>
      <c r="G490" s="10"/>
      <c r="H490" s="10"/>
      <c r="I490" s="10"/>
      <c r="J490" s="42"/>
      <c r="K490" s="20" t="s">
        <v>31</v>
      </c>
      <c r="L490" s="21" t="s">
        <v>32</v>
      </c>
      <c r="M490" s="21" t="s">
        <v>33</v>
      </c>
      <c r="N490" s="21" t="s">
        <v>34</v>
      </c>
      <c r="O490" s="21" t="s">
        <v>35</v>
      </c>
      <c r="P490" s="21" t="s">
        <v>36</v>
      </c>
      <c r="Q490" s="49" t="s">
        <v>37</v>
      </c>
      <c r="R490" s="50" t="s">
        <v>38</v>
      </c>
      <c r="S490" s="50" t="s">
        <v>38</v>
      </c>
      <c r="T490" s="10"/>
      <c r="U490" s="17"/>
      <c r="V490" s="10"/>
      <c r="W490" s="10"/>
      <c r="X490" s="10"/>
      <c r="Y490" s="2"/>
    </row>
    <row r="491" spans="2:25">
      <c r="B491" s="11"/>
      <c r="C491" s="10"/>
      <c r="D491" s="10"/>
      <c r="E491" s="10"/>
      <c r="F491" s="10"/>
      <c r="G491" s="10"/>
      <c r="H491" s="10"/>
      <c r="I491" s="10"/>
      <c r="J491" s="42"/>
      <c r="K491" s="56">
        <f>F501+F503+F502</f>
        <v>7322</v>
      </c>
      <c r="L491" s="57">
        <f>F504+F505+F506+F528</f>
        <v>21125.599999999999</v>
      </c>
      <c r="M491" s="57">
        <f>F507+F508</f>
        <v>1181</v>
      </c>
      <c r="N491" s="57">
        <f>F509+F524</f>
        <v>3722</v>
      </c>
      <c r="O491" s="57">
        <f>F510+F511</f>
        <v>1093.5</v>
      </c>
      <c r="P491" s="57">
        <f>SUM(K491:O491)</f>
        <v>34444.1</v>
      </c>
      <c r="Q491" s="58">
        <v>0</v>
      </c>
      <c r="R491" s="59">
        <f>F525+F529</f>
        <v>16853.599999999999</v>
      </c>
      <c r="S491" s="59">
        <v>0</v>
      </c>
      <c r="T491" s="10"/>
      <c r="U491" s="17"/>
      <c r="V491" s="10"/>
      <c r="W491" s="10"/>
      <c r="X491" s="10"/>
      <c r="Y491" s="2"/>
    </row>
    <row r="492" spans="2:25">
      <c r="B492" s="11"/>
      <c r="C492" s="10"/>
      <c r="D492" s="10"/>
      <c r="E492" s="10"/>
      <c r="F492" s="10"/>
      <c r="G492" s="10"/>
      <c r="H492" s="10"/>
      <c r="I492" s="10"/>
      <c r="J492" s="10" t="s">
        <v>42</v>
      </c>
      <c r="K492" s="63">
        <f>K484</f>
        <v>3</v>
      </c>
      <c r="L492" s="63">
        <f>L484</f>
        <v>4</v>
      </c>
      <c r="M492" s="63">
        <f>M484</f>
        <v>2</v>
      </c>
      <c r="N492" s="63">
        <f>N484</f>
        <v>2</v>
      </c>
      <c r="O492" s="63">
        <f>O484</f>
        <v>2</v>
      </c>
      <c r="P492" s="63">
        <f>P484</f>
        <v>13</v>
      </c>
      <c r="Q492" s="63">
        <f>Q484</f>
        <v>0</v>
      </c>
      <c r="R492" s="63"/>
      <c r="S492" s="10"/>
      <c r="T492" s="10"/>
      <c r="U492" s="17"/>
      <c r="V492" s="10"/>
      <c r="W492" s="10"/>
      <c r="X492" s="10"/>
      <c r="Y492" s="2"/>
    </row>
    <row r="493" spans="2:25">
      <c r="B493" s="11"/>
      <c r="C493" s="10"/>
      <c r="D493" s="10"/>
      <c r="E493" s="10"/>
      <c r="F493" s="10"/>
      <c r="G493" s="10"/>
      <c r="H493" s="10"/>
      <c r="I493" s="10"/>
      <c r="J493" s="10" t="s">
        <v>44</v>
      </c>
      <c r="K493" s="63">
        <f>K485</f>
        <v>5</v>
      </c>
      <c r="L493" s="63">
        <f>L485</f>
        <v>3</v>
      </c>
      <c r="M493" s="63">
        <f>M485</f>
        <v>5</v>
      </c>
      <c r="N493" s="63">
        <f>N485</f>
        <v>4</v>
      </c>
      <c r="O493" s="63">
        <f>O485</f>
        <v>7</v>
      </c>
      <c r="P493" s="63">
        <f>P485</f>
        <v>24</v>
      </c>
      <c r="Q493" s="63">
        <f>Q485</f>
        <v>0</v>
      </c>
      <c r="R493" s="63"/>
      <c r="S493" s="10"/>
      <c r="T493" s="10"/>
      <c r="U493" s="17"/>
      <c r="V493" s="10"/>
      <c r="W493" s="10"/>
      <c r="X493" s="10"/>
      <c r="Y493" s="2"/>
    </row>
    <row r="494" spans="2:25">
      <c r="B494" s="11"/>
      <c r="C494" s="10"/>
      <c r="D494" s="10"/>
      <c r="E494" s="12"/>
      <c r="F494" s="76"/>
      <c r="G494" s="10"/>
      <c r="H494" s="10"/>
      <c r="I494" s="10"/>
      <c r="J494" s="10" t="s">
        <v>46</v>
      </c>
      <c r="K494" s="31">
        <f>K492/(K492+K493)</f>
        <v>0.375</v>
      </c>
      <c r="L494" s="31">
        <f>L492/(L492+L493)</f>
        <v>0.5714285714285714</v>
      </c>
      <c r="M494" s="31">
        <f>M492/(M492+M493)</f>
        <v>0.2857142857142857</v>
      </c>
      <c r="N494" s="31">
        <f>N492/(N492+N493)</f>
        <v>0.33333333333333331</v>
      </c>
      <c r="O494" s="31">
        <f>O492/(O492+O493)</f>
        <v>0.22222222222222221</v>
      </c>
      <c r="P494" s="31">
        <f>P492/(P492+P493)</f>
        <v>0.35135135135135137</v>
      </c>
      <c r="Q494" s="31" t="e">
        <f>Q492/(Q492+Q493)</f>
        <v>#DIV/0!</v>
      </c>
      <c r="R494" s="63"/>
      <c r="S494" s="10"/>
      <c r="T494" s="10"/>
      <c r="U494" s="17"/>
      <c r="V494" s="10"/>
      <c r="W494" s="10"/>
      <c r="X494" s="10"/>
      <c r="Y494" s="2"/>
    </row>
    <row r="495" spans="2:25">
      <c r="B495" s="11"/>
      <c r="C495" s="10"/>
      <c r="D495" s="10"/>
      <c r="E495" s="10"/>
      <c r="F495" s="10"/>
      <c r="G495" s="10"/>
      <c r="H495" s="10"/>
      <c r="I495" s="10"/>
      <c r="J495" s="10" t="s">
        <v>48</v>
      </c>
      <c r="K495" s="66">
        <f>K491/K492</f>
        <v>2440.6666666666665</v>
      </c>
      <c r="L495" s="66">
        <f>L491/L492</f>
        <v>5281.4</v>
      </c>
      <c r="M495" s="66">
        <f>M491/M492</f>
        <v>590.5</v>
      </c>
      <c r="N495" s="66">
        <f>N491/N492</f>
        <v>1861</v>
      </c>
      <c r="O495" s="66">
        <f>O491/O492</f>
        <v>546.75</v>
      </c>
      <c r="P495" s="66">
        <f>P491/P492</f>
        <v>2649.5461538461536</v>
      </c>
      <c r="Q495" s="66" t="e">
        <f>Q491/Q492</f>
        <v>#DIV/0!</v>
      </c>
      <c r="R495" s="63"/>
      <c r="S495" s="10"/>
      <c r="T495" s="10"/>
      <c r="U495" s="17"/>
      <c r="V495" s="10"/>
      <c r="W495" s="10"/>
      <c r="X495" s="10"/>
      <c r="Y495" s="2"/>
    </row>
    <row r="496" spans="2:25">
      <c r="B496" s="11"/>
      <c r="C496" s="10"/>
      <c r="D496" s="10"/>
      <c r="E496" s="10"/>
      <c r="F496" s="10"/>
      <c r="G496" s="10"/>
      <c r="H496" s="10"/>
      <c r="I496" s="10"/>
      <c r="J496" s="10"/>
      <c r="K496" s="10"/>
      <c r="L496" s="10"/>
      <c r="M496" s="10"/>
      <c r="N496" s="10"/>
      <c r="O496" s="10"/>
      <c r="P496" s="10"/>
      <c r="Q496" s="10"/>
      <c r="R496" s="10"/>
      <c r="S496" s="10"/>
      <c r="T496" s="10"/>
      <c r="U496" s="17"/>
      <c r="V496" s="10"/>
      <c r="W496" s="10"/>
      <c r="X496" s="10"/>
      <c r="Y496" s="2"/>
    </row>
    <row r="497" spans="1:25">
      <c r="B497" s="11"/>
      <c r="C497" s="10"/>
      <c r="D497" s="10"/>
      <c r="E497" s="10"/>
      <c r="F497" s="10"/>
      <c r="G497" s="10"/>
      <c r="H497" s="10"/>
      <c r="I497" s="10"/>
      <c r="J497" s="10"/>
      <c r="K497" s="10"/>
      <c r="L497" s="10"/>
      <c r="M497" s="10"/>
      <c r="N497" s="10"/>
      <c r="O497" s="10"/>
      <c r="P497" s="10"/>
      <c r="Q497" s="10"/>
      <c r="R497" s="10"/>
      <c r="S497" s="10"/>
      <c r="T497" s="10"/>
      <c r="U497" s="17"/>
      <c r="V497" s="10"/>
      <c r="W497" s="10"/>
      <c r="X497" s="10"/>
      <c r="Y497" s="2"/>
    </row>
    <row r="498" spans="1:25">
      <c r="B498" s="18" t="s">
        <v>51</v>
      </c>
      <c r="C498" s="14"/>
      <c r="D498" s="14"/>
      <c r="E498" s="14"/>
      <c r="F498" s="13" t="s">
        <v>52</v>
      </c>
      <c r="G498" s="14"/>
      <c r="H498" s="14"/>
      <c r="I498" s="14"/>
      <c r="J498" s="14"/>
      <c r="K498" s="13" t="s">
        <v>3</v>
      </c>
      <c r="L498" s="14"/>
      <c r="M498" s="14"/>
      <c r="N498" s="13" t="s">
        <v>4</v>
      </c>
      <c r="O498" s="14"/>
      <c r="P498" s="14"/>
      <c r="Q498" s="13" t="s">
        <v>5</v>
      </c>
      <c r="R498" s="14"/>
      <c r="S498" s="14"/>
      <c r="T498" s="18"/>
      <c r="U498" s="16" t="s">
        <v>53</v>
      </c>
      <c r="V498" s="77"/>
      <c r="W498" s="77"/>
      <c r="X498" s="77"/>
      <c r="Y498" s="2"/>
    </row>
    <row r="499" spans="1:25">
      <c r="B499" s="24" t="s">
        <v>54</v>
      </c>
      <c r="C499" s="21" t="s">
        <v>55</v>
      </c>
      <c r="D499" s="21" t="s">
        <v>56</v>
      </c>
      <c r="E499" s="21" t="s">
        <v>57</v>
      </c>
      <c r="F499" s="20" t="s">
        <v>58</v>
      </c>
      <c r="G499" s="21" t="s">
        <v>59</v>
      </c>
      <c r="H499" s="21" t="s">
        <v>60</v>
      </c>
      <c r="I499" s="21" t="s">
        <v>26</v>
      </c>
      <c r="J499" s="22" t="s">
        <v>61</v>
      </c>
      <c r="K499" s="21" t="s">
        <v>8</v>
      </c>
      <c r="L499" s="21" t="s">
        <v>9</v>
      </c>
      <c r="M499" s="21" t="s">
        <v>10</v>
      </c>
      <c r="N499" s="20" t="s">
        <v>11</v>
      </c>
      <c r="O499" s="21" t="s">
        <v>12</v>
      </c>
      <c r="P499" s="22" t="s">
        <v>13</v>
      </c>
      <c r="Q499" s="21" t="s">
        <v>11</v>
      </c>
      <c r="R499" s="21" t="s">
        <v>12</v>
      </c>
      <c r="S499" s="21" t="s">
        <v>13</v>
      </c>
      <c r="T499" s="78" t="s">
        <v>14</v>
      </c>
      <c r="U499" s="30"/>
      <c r="V499" s="79" t="s">
        <v>62</v>
      </c>
      <c r="W499" s="80" t="s">
        <v>63</v>
      </c>
      <c r="X499" s="81" t="s">
        <v>64</v>
      </c>
      <c r="Y499" s="2"/>
    </row>
    <row r="500" spans="1:25">
      <c r="B500" s="4" t="s">
        <v>65</v>
      </c>
      <c r="C500" s="6"/>
      <c r="D500" s="6"/>
      <c r="E500" s="6"/>
      <c r="F500" s="6"/>
      <c r="G500" s="6"/>
      <c r="H500" s="6"/>
      <c r="I500" s="82"/>
      <c r="J500" s="6"/>
      <c r="K500" s="6"/>
      <c r="L500" s="6"/>
      <c r="M500" s="6"/>
      <c r="N500" s="6"/>
      <c r="O500" s="6"/>
      <c r="P500" s="6"/>
      <c r="Q500" s="6"/>
      <c r="R500" s="6"/>
      <c r="S500" s="6"/>
      <c r="T500" s="83"/>
      <c r="U500" s="6"/>
      <c r="V500" s="84"/>
      <c r="W500" s="85"/>
      <c r="X500" s="86"/>
      <c r="Y500" s="2"/>
    </row>
    <row r="501" spans="1:25">
      <c r="B501" s="87">
        <v>1</v>
      </c>
      <c r="C501" s="638">
        <v>45908</v>
      </c>
      <c r="D501" s="327">
        <v>73053</v>
      </c>
      <c r="E501" s="276" t="s">
        <v>1030</v>
      </c>
      <c r="F501" s="277">
        <v>681</v>
      </c>
      <c r="G501" s="277"/>
      <c r="H501" s="297"/>
      <c r="I501" s="278">
        <f>F501-G501-H501</f>
        <v>681</v>
      </c>
      <c r="J501" s="279" t="s">
        <v>156</v>
      </c>
      <c r="K501" s="279">
        <v>1</v>
      </c>
      <c r="L501" s="279">
        <v>1</v>
      </c>
      <c r="M501" s="279">
        <v>1</v>
      </c>
      <c r="N501" s="279">
        <v>1</v>
      </c>
      <c r="O501" s="279">
        <v>1</v>
      </c>
      <c r="P501" s="279">
        <v>1</v>
      </c>
      <c r="Q501" s="279">
        <v>1</v>
      </c>
      <c r="R501" s="279">
        <v>1</v>
      </c>
      <c r="S501" s="280">
        <v>1</v>
      </c>
      <c r="T501" s="63"/>
      <c r="U501" s="10"/>
      <c r="V501" s="90">
        <f>74.91+674.19</f>
        <v>749.1</v>
      </c>
      <c r="W501" s="91"/>
      <c r="X501" s="92"/>
      <c r="Y501" s="2"/>
    </row>
    <row r="502" spans="1:25">
      <c r="A502" s="464">
        <v>45909</v>
      </c>
      <c r="B502" s="87">
        <f>B501+1</f>
        <v>2</v>
      </c>
      <c r="C502" s="639">
        <v>45908</v>
      </c>
      <c r="D502" s="323" t="s">
        <v>1113</v>
      </c>
      <c r="E502" s="10" t="s">
        <v>1030</v>
      </c>
      <c r="F502" s="62">
        <v>5960</v>
      </c>
      <c r="G502" s="62">
        <f>39.7+(32.72+2041.42)+250</f>
        <v>2363.8399999999997</v>
      </c>
      <c r="H502" s="62"/>
      <c r="I502" s="324">
        <f>F502-G502-H502</f>
        <v>3596.1600000000003</v>
      </c>
      <c r="J502" s="63" t="s">
        <v>156</v>
      </c>
      <c r="K502" s="63">
        <v>1</v>
      </c>
      <c r="L502" s="63">
        <v>1</v>
      </c>
      <c r="M502" s="325">
        <v>0</v>
      </c>
      <c r="N502" s="63">
        <v>1</v>
      </c>
      <c r="O502" s="63">
        <v>1</v>
      </c>
      <c r="P502" s="325">
        <v>0</v>
      </c>
      <c r="Q502" s="63">
        <v>1</v>
      </c>
      <c r="R502" s="63">
        <v>1</v>
      </c>
      <c r="S502" s="296">
        <v>1</v>
      </c>
      <c r="T502" s="63"/>
      <c r="U502" s="94" t="s">
        <v>1114</v>
      </c>
      <c r="V502" s="90">
        <f>655.6+5900.4</f>
        <v>6556</v>
      </c>
      <c r="W502" s="91"/>
      <c r="X502" s="92"/>
      <c r="Y502" s="2"/>
    </row>
    <row r="503" spans="1:25">
      <c r="B503" s="87">
        <f>B502+1</f>
        <v>3</v>
      </c>
      <c r="C503" s="639">
        <v>45908</v>
      </c>
      <c r="D503" s="323">
        <v>73063</v>
      </c>
      <c r="E503" s="10" t="s">
        <v>1115</v>
      </c>
      <c r="F503" s="62">
        <v>681</v>
      </c>
      <c r="G503" s="62"/>
      <c r="H503" s="62"/>
      <c r="I503" s="369">
        <f>F503-G503-H503</f>
        <v>681</v>
      </c>
      <c r="J503" s="63" t="s">
        <v>150</v>
      </c>
      <c r="K503" s="63">
        <v>1</v>
      </c>
      <c r="L503" s="63">
        <v>1</v>
      </c>
      <c r="M503" s="63">
        <v>1</v>
      </c>
      <c r="N503" s="63">
        <v>1</v>
      </c>
      <c r="O503" s="63">
        <v>1</v>
      </c>
      <c r="P503" s="63">
        <v>1</v>
      </c>
      <c r="Q503" s="63">
        <v>1</v>
      </c>
      <c r="R503" s="63">
        <v>1</v>
      </c>
      <c r="S503" s="296">
        <v>1</v>
      </c>
      <c r="T503" s="63"/>
      <c r="U503" s="10" t="s">
        <v>1116</v>
      </c>
      <c r="V503" s="90">
        <v>0</v>
      </c>
      <c r="W503" s="440">
        <v>750</v>
      </c>
      <c r="X503" s="92"/>
      <c r="Y503" s="2"/>
    </row>
    <row r="504" spans="1:25">
      <c r="B504" s="87">
        <f t="shared" ref="B504:B510" si="101">B503+1</f>
        <v>4</v>
      </c>
      <c r="C504" s="638">
        <v>45909</v>
      </c>
      <c r="D504" s="327">
        <v>73094</v>
      </c>
      <c r="E504" s="276" t="s">
        <v>1117</v>
      </c>
      <c r="F504" s="277">
        <v>1138</v>
      </c>
      <c r="G504" s="277">
        <f>39.7+(31.34)</f>
        <v>71.040000000000006</v>
      </c>
      <c r="H504" s="277"/>
      <c r="I504" s="278">
        <f>F504-G504-H504</f>
        <v>1066.96</v>
      </c>
      <c r="J504" s="279" t="s">
        <v>156</v>
      </c>
      <c r="K504" s="279">
        <v>1</v>
      </c>
      <c r="L504" s="279">
        <v>1</v>
      </c>
      <c r="M504" s="279">
        <v>1</v>
      </c>
      <c r="N504" s="279">
        <v>1</v>
      </c>
      <c r="O504" s="279">
        <v>1</v>
      </c>
      <c r="P504" s="279">
        <v>1</v>
      </c>
      <c r="Q504" s="279">
        <v>1</v>
      </c>
      <c r="R504" s="279">
        <v>1</v>
      </c>
      <c r="S504" s="280">
        <v>1</v>
      </c>
      <c r="T504" s="63"/>
      <c r="U504" s="10"/>
      <c r="V504" s="90">
        <f>125.18+1126.62</f>
        <v>1251.8</v>
      </c>
      <c r="W504" s="91"/>
      <c r="X504" s="92"/>
      <c r="Y504" s="2"/>
    </row>
    <row r="505" spans="1:25">
      <c r="A505" s="388">
        <v>45912</v>
      </c>
      <c r="B505" s="87">
        <f t="shared" si="101"/>
        <v>5</v>
      </c>
      <c r="C505" s="639">
        <v>45909</v>
      </c>
      <c r="D505" s="323">
        <v>73086</v>
      </c>
      <c r="E505" s="94" t="s">
        <v>673</v>
      </c>
      <c r="F505" s="62">
        <v>1681</v>
      </c>
      <c r="G505" s="62">
        <f>39.7</f>
        <v>39.700000000000003</v>
      </c>
      <c r="H505" s="62"/>
      <c r="I505" s="89">
        <f>F505-G505-H505</f>
        <v>1641.3</v>
      </c>
      <c r="J505" s="63" t="s">
        <v>156</v>
      </c>
      <c r="K505" s="63">
        <v>1</v>
      </c>
      <c r="L505" s="63">
        <v>1</v>
      </c>
      <c r="M505" s="63">
        <v>1</v>
      </c>
      <c r="N505" s="63">
        <v>1</v>
      </c>
      <c r="O505" s="63">
        <v>1</v>
      </c>
      <c r="P505" s="63">
        <v>1</v>
      </c>
      <c r="Q505" s="63">
        <v>1</v>
      </c>
      <c r="R505" s="63">
        <v>1</v>
      </c>
      <c r="S505" s="296">
        <v>1</v>
      </c>
      <c r="T505" s="63"/>
      <c r="U505" s="10"/>
      <c r="V505" s="90">
        <f>185+1664.1</f>
        <v>1849.1</v>
      </c>
      <c r="W505" s="91"/>
      <c r="X505" s="92"/>
      <c r="Y505" s="2"/>
    </row>
    <row r="506" spans="1:25">
      <c r="A506" s="2" t="s">
        <v>230</v>
      </c>
      <c r="B506" s="87">
        <f t="shared" si="101"/>
        <v>6</v>
      </c>
      <c r="C506" s="639">
        <v>45909</v>
      </c>
      <c r="D506" s="323" t="s">
        <v>1118</v>
      </c>
      <c r="E506" s="10" t="s">
        <v>673</v>
      </c>
      <c r="F506" s="62">
        <f>6214-2500</f>
        <v>3714</v>
      </c>
      <c r="G506" s="62">
        <f>39.7+(85.63)</f>
        <v>125.33</v>
      </c>
      <c r="H506" s="62"/>
      <c r="I506" s="369">
        <f>F506-G506-H506</f>
        <v>3588.67</v>
      </c>
      <c r="J506" s="63" t="s">
        <v>156</v>
      </c>
      <c r="K506" s="63">
        <v>1</v>
      </c>
      <c r="L506" s="63">
        <v>1</v>
      </c>
      <c r="M506" s="63">
        <v>1</v>
      </c>
      <c r="N506" s="63">
        <v>1</v>
      </c>
      <c r="O506" s="63">
        <v>1</v>
      </c>
      <c r="P506" s="63">
        <v>1</v>
      </c>
      <c r="Q506" s="63">
        <v>1</v>
      </c>
      <c r="R506" s="63">
        <v>1</v>
      </c>
      <c r="S506" s="296">
        <v>1</v>
      </c>
      <c r="T506" s="21">
        <v>1</v>
      </c>
      <c r="U506" s="10" t="s">
        <v>1119</v>
      </c>
      <c r="V506" s="90">
        <f>683.54+6151.86</f>
        <v>6835.4</v>
      </c>
      <c r="W506" s="91"/>
      <c r="X506" s="92"/>
      <c r="Y506" s="2"/>
    </row>
    <row r="507" spans="1:25">
      <c r="B507" s="87">
        <f t="shared" si="101"/>
        <v>7</v>
      </c>
      <c r="C507" s="638">
        <v>45910</v>
      </c>
      <c r="D507" s="327">
        <v>73170</v>
      </c>
      <c r="E507" s="276" t="s">
        <v>1120</v>
      </c>
      <c r="F507" s="277">
        <v>681</v>
      </c>
      <c r="G507" s="277"/>
      <c r="H507" s="297"/>
      <c r="I507" s="278">
        <f>F507-G507-H507</f>
        <v>681</v>
      </c>
      <c r="J507" s="279" t="s">
        <v>156</v>
      </c>
      <c r="K507" s="279">
        <v>1</v>
      </c>
      <c r="L507" s="279">
        <v>1</v>
      </c>
      <c r="M507" s="279">
        <v>1</v>
      </c>
      <c r="N507" s="279">
        <v>1</v>
      </c>
      <c r="O507" s="279">
        <v>1</v>
      </c>
      <c r="P507" s="279">
        <v>1</v>
      </c>
      <c r="Q507" s="279">
        <v>1</v>
      </c>
      <c r="R507" s="279">
        <v>1</v>
      </c>
      <c r="S507" s="280">
        <v>1</v>
      </c>
      <c r="T507" s="63"/>
      <c r="U507" s="10"/>
      <c r="V507" s="90">
        <f>75+674.1</f>
        <v>749.1</v>
      </c>
      <c r="W507" s="91"/>
      <c r="X507" s="92"/>
      <c r="Y507" s="2"/>
    </row>
    <row r="508" spans="1:25">
      <c r="B508" s="87">
        <f t="shared" si="101"/>
        <v>8</v>
      </c>
      <c r="C508" s="639">
        <v>45910</v>
      </c>
      <c r="D508" s="323">
        <v>73190</v>
      </c>
      <c r="E508" s="10" t="s">
        <v>1080</v>
      </c>
      <c r="F508" s="62">
        <v>500</v>
      </c>
      <c r="G508" s="62"/>
      <c r="H508" s="88"/>
      <c r="I508" s="89">
        <f>F508-G508-H508</f>
        <v>500</v>
      </c>
      <c r="J508" s="63" t="s">
        <v>236</v>
      </c>
      <c r="K508" s="63">
        <v>1</v>
      </c>
      <c r="L508" s="63">
        <v>1</v>
      </c>
      <c r="M508" s="63">
        <v>1</v>
      </c>
      <c r="N508" s="63">
        <v>1</v>
      </c>
      <c r="O508" s="63">
        <v>1</v>
      </c>
      <c r="P508" s="63">
        <v>1</v>
      </c>
      <c r="Q508" s="63">
        <v>1</v>
      </c>
      <c r="R508" s="63">
        <v>1</v>
      </c>
      <c r="S508" s="296">
        <v>1</v>
      </c>
      <c r="T508" s="63"/>
      <c r="U508" s="10" t="s">
        <v>1121</v>
      </c>
      <c r="V508" s="90">
        <v>500</v>
      </c>
      <c r="W508" s="440">
        <v>50</v>
      </c>
      <c r="X508" s="92"/>
      <c r="Y508" s="2"/>
    </row>
    <row r="509" spans="1:25">
      <c r="B509" s="87">
        <f t="shared" si="101"/>
        <v>9</v>
      </c>
      <c r="C509" s="638">
        <v>45911</v>
      </c>
      <c r="D509" s="327">
        <v>73246</v>
      </c>
      <c r="E509" s="276" t="s">
        <v>604</v>
      </c>
      <c r="F509" s="277">
        <v>1461</v>
      </c>
      <c r="G509" s="277">
        <f>39.7</f>
        <v>39.700000000000003</v>
      </c>
      <c r="H509" s="297"/>
      <c r="I509" s="278">
        <f>F509-G509-H509</f>
        <v>1421.3</v>
      </c>
      <c r="J509" s="279" t="s">
        <v>156</v>
      </c>
      <c r="K509" s="279">
        <v>1</v>
      </c>
      <c r="L509" s="279">
        <v>1</v>
      </c>
      <c r="M509" s="279">
        <v>1</v>
      </c>
      <c r="N509" s="279">
        <v>1</v>
      </c>
      <c r="O509" s="279">
        <v>1</v>
      </c>
      <c r="P509" s="279">
        <v>1</v>
      </c>
      <c r="Q509" s="279">
        <v>1</v>
      </c>
      <c r="R509" s="279">
        <v>1</v>
      </c>
      <c r="S509" s="280">
        <v>1</v>
      </c>
      <c r="T509" s="63"/>
      <c r="U509" s="10" t="s">
        <v>573</v>
      </c>
      <c r="V509" s="90">
        <f>160.71+1446.39</f>
        <v>1607.1000000000001</v>
      </c>
      <c r="W509" s="91"/>
      <c r="X509" s="92"/>
      <c r="Y509" s="2"/>
    </row>
    <row r="510" spans="1:25">
      <c r="B510" s="87">
        <f t="shared" si="101"/>
        <v>10</v>
      </c>
      <c r="C510" s="638">
        <v>45912</v>
      </c>
      <c r="D510" s="327">
        <v>73260</v>
      </c>
      <c r="E510" s="276" t="s">
        <v>780</v>
      </c>
      <c r="F510" s="277">
        <v>616</v>
      </c>
      <c r="G510" s="277"/>
      <c r="H510" s="297"/>
      <c r="I510" s="278">
        <f>F510-G510-H510</f>
        <v>616</v>
      </c>
      <c r="J510" s="279" t="s">
        <v>236</v>
      </c>
      <c r="K510" s="279">
        <v>1</v>
      </c>
      <c r="L510" s="279">
        <v>1</v>
      </c>
      <c r="M510" s="279">
        <v>1</v>
      </c>
      <c r="N510" s="279">
        <v>1</v>
      </c>
      <c r="O510" s="279">
        <v>1</v>
      </c>
      <c r="P510" s="279">
        <v>1</v>
      </c>
      <c r="Q510" s="279">
        <v>1</v>
      </c>
      <c r="R510" s="279">
        <v>1</v>
      </c>
      <c r="S510" s="280">
        <v>1</v>
      </c>
      <c r="T510" s="21"/>
      <c r="U510" s="10"/>
      <c r="V510" s="90">
        <v>577.6</v>
      </c>
      <c r="W510" s="440">
        <v>100</v>
      </c>
      <c r="X510" s="92"/>
      <c r="Y510" s="2"/>
    </row>
    <row r="511" spans="1:25">
      <c r="B511" s="87">
        <f>B510+1</f>
        <v>11</v>
      </c>
      <c r="C511" s="640">
        <v>45912</v>
      </c>
      <c r="D511" s="368">
        <v>73290</v>
      </c>
      <c r="E511" s="283" t="s">
        <v>572</v>
      </c>
      <c r="F511" s="284">
        <f>681-203.5</f>
        <v>477.5</v>
      </c>
      <c r="G511" s="284"/>
      <c r="H511" s="315"/>
      <c r="I511" s="285">
        <f>F511-G511-H511</f>
        <v>477.5</v>
      </c>
      <c r="J511" s="286" t="s">
        <v>228</v>
      </c>
      <c r="K511" s="286">
        <v>1</v>
      </c>
      <c r="L511" s="286">
        <v>1</v>
      </c>
      <c r="M511" s="286">
        <v>1</v>
      </c>
      <c r="N511" s="286">
        <v>1</v>
      </c>
      <c r="O511" s="286">
        <v>1</v>
      </c>
      <c r="P511" s="286">
        <v>1</v>
      </c>
      <c r="Q511" s="286">
        <v>1</v>
      </c>
      <c r="R511" s="286">
        <v>1</v>
      </c>
      <c r="S511" s="287">
        <v>1</v>
      </c>
      <c r="T511" s="21">
        <v>1</v>
      </c>
      <c r="U511" s="10" t="s">
        <v>1122</v>
      </c>
      <c r="V511" s="90">
        <f>203.5+545.6</f>
        <v>749.1</v>
      </c>
      <c r="W511" s="91"/>
      <c r="X511" s="92"/>
      <c r="Y511" s="2"/>
    </row>
    <row r="512" spans="1:25">
      <c r="B512" s="87"/>
      <c r="C512" s="621"/>
      <c r="D512" s="10"/>
      <c r="E512" s="10"/>
      <c r="F512" s="98">
        <f>SUM(F501:F511)</f>
        <v>17590.5</v>
      </c>
      <c r="G512" s="98">
        <f>SUM(G501:G511)</f>
        <v>2639.6099999999992</v>
      </c>
      <c r="H512" s="98">
        <f>SUM(H501:H511)</f>
        <v>0</v>
      </c>
      <c r="I512" s="98">
        <f>SUM(I501:I511)</f>
        <v>14950.89</v>
      </c>
      <c r="J512" s="63"/>
      <c r="K512" s="63">
        <f>COUNT(K501:K511)</f>
        <v>11</v>
      </c>
      <c r="L512" s="63">
        <f>COUNT(L501:L511)</f>
        <v>11</v>
      </c>
      <c r="M512" s="63">
        <f>COUNT(M501:M511)</f>
        <v>11</v>
      </c>
      <c r="N512" s="63">
        <f>COUNT(N501:N511)</f>
        <v>11</v>
      </c>
      <c r="O512" s="63">
        <f>COUNT(O501:O511)</f>
        <v>11</v>
      </c>
      <c r="P512" s="63">
        <f>COUNT(P501:P511)</f>
        <v>11</v>
      </c>
      <c r="Q512" s="63">
        <f>COUNT(Q501:Q511)</f>
        <v>11</v>
      </c>
      <c r="R512" s="63">
        <f>COUNT(R501:R511)</f>
        <v>11</v>
      </c>
      <c r="S512" s="63">
        <f>COUNT(S501:S511)</f>
        <v>11</v>
      </c>
      <c r="T512" s="63"/>
      <c r="U512" s="10"/>
      <c r="V512" s="90"/>
      <c r="W512" s="91"/>
      <c r="X512" s="92"/>
      <c r="Y512" s="2"/>
    </row>
    <row r="513" spans="1:25">
      <c r="B513" s="87"/>
      <c r="C513" s="621"/>
      <c r="D513" s="10"/>
      <c r="E513" s="10"/>
      <c r="F513" s="88"/>
      <c r="G513" s="88"/>
      <c r="H513" s="88"/>
      <c r="I513" s="99"/>
      <c r="J513" s="63"/>
      <c r="K513" s="21">
        <f>SUM(K501:K511)</f>
        <v>11</v>
      </c>
      <c r="L513" s="21">
        <f>SUM(L501:L511)</f>
        <v>11</v>
      </c>
      <c r="M513" s="21">
        <f>SUM(M501:M511)</f>
        <v>10</v>
      </c>
      <c r="N513" s="21">
        <f>SUM(N501:N511)</f>
        <v>11</v>
      </c>
      <c r="O513" s="21">
        <f>SUM(O501:O511)</f>
        <v>11</v>
      </c>
      <c r="P513" s="21">
        <f>SUM(P501:P511)</f>
        <v>10</v>
      </c>
      <c r="Q513" s="21">
        <f>SUM(Q501:Q511)</f>
        <v>11</v>
      </c>
      <c r="R513" s="21">
        <f>SUM(R501:R511)</f>
        <v>11</v>
      </c>
      <c r="S513" s="21">
        <f>SUM(S501:S511)</f>
        <v>11</v>
      </c>
      <c r="T513" s="63"/>
      <c r="U513" s="10"/>
      <c r="V513" s="90"/>
      <c r="W513" s="91"/>
      <c r="X513" s="92"/>
      <c r="Y513" s="2"/>
    </row>
    <row r="514" spans="1:25">
      <c r="B514" s="11"/>
      <c r="C514" s="621"/>
      <c r="D514" s="10"/>
      <c r="E514" s="10"/>
      <c r="F514" s="88"/>
      <c r="G514" s="88"/>
      <c r="H514" s="88"/>
      <c r="I514" s="99"/>
      <c r="J514" s="63"/>
      <c r="K514" s="21"/>
      <c r="L514" s="21"/>
      <c r="M514" s="21"/>
      <c r="N514" s="21"/>
      <c r="O514" s="21"/>
      <c r="P514" s="21"/>
      <c r="Q514" s="21"/>
      <c r="R514" s="21"/>
      <c r="S514" s="21"/>
      <c r="T514" s="63"/>
      <c r="U514" s="94"/>
      <c r="V514" s="90"/>
      <c r="W514" s="91"/>
      <c r="X514" s="92"/>
      <c r="Y514" s="2"/>
    </row>
    <row r="515" spans="1:25">
      <c r="B515" s="100" t="s">
        <v>67</v>
      </c>
      <c r="C515" s="621"/>
      <c r="D515" s="10"/>
      <c r="E515" s="10"/>
      <c r="F515" s="88"/>
      <c r="G515" s="62"/>
      <c r="H515" s="88"/>
      <c r="I515" s="99"/>
      <c r="J515" s="63"/>
      <c r="K515" s="2"/>
      <c r="L515" s="2"/>
      <c r="M515" s="2"/>
      <c r="N515" s="2"/>
      <c r="O515" s="2"/>
      <c r="P515" s="2"/>
      <c r="Q515" s="2"/>
      <c r="R515" s="2"/>
      <c r="S515" s="2"/>
      <c r="T515" s="63"/>
      <c r="U515" s="94"/>
      <c r="V515" s="90"/>
      <c r="W515" s="91"/>
      <c r="X515" s="92"/>
      <c r="Y515" s="2"/>
    </row>
    <row r="516" spans="1:25">
      <c r="A516" s="371" t="s">
        <v>1092</v>
      </c>
      <c r="B516" s="372">
        <v>1</v>
      </c>
      <c r="C516" s="373">
        <v>45887</v>
      </c>
      <c r="D516" s="263">
        <v>72380</v>
      </c>
      <c r="E516" s="391" t="s">
        <v>1017</v>
      </c>
      <c r="F516" s="375">
        <f>5232.6-5180.27</f>
        <v>52.329999999999927</v>
      </c>
      <c r="G516" s="375">
        <f>39.7</f>
        <v>39.700000000000003</v>
      </c>
      <c r="H516" s="375"/>
      <c r="I516" s="706">
        <f>F516-G516-H516</f>
        <v>12.629999999999924</v>
      </c>
      <c r="J516" s="314" t="s">
        <v>156</v>
      </c>
      <c r="K516" s="314">
        <v>1</v>
      </c>
      <c r="L516" s="314">
        <v>1</v>
      </c>
      <c r="M516" s="314">
        <v>1</v>
      </c>
      <c r="N516" s="314">
        <v>1</v>
      </c>
      <c r="O516" s="314">
        <v>1</v>
      </c>
      <c r="P516" s="314">
        <v>1</v>
      </c>
      <c r="Q516" s="314">
        <v>1</v>
      </c>
      <c r="R516" s="314">
        <v>1</v>
      </c>
      <c r="S516" s="366">
        <v>1</v>
      </c>
      <c r="T516" s="325"/>
      <c r="U516" s="430" t="s">
        <v>1123</v>
      </c>
      <c r="V516" s="377"/>
      <c r="W516" s="392"/>
      <c r="X516" s="379"/>
      <c r="Y516" s="381"/>
    </row>
    <row r="517" spans="1:25">
      <c r="A517" s="261" t="s">
        <v>1124</v>
      </c>
      <c r="B517" s="87">
        <f>B516+1</f>
        <v>2</v>
      </c>
      <c r="C517" s="638">
        <v>45905</v>
      </c>
      <c r="D517" s="327">
        <v>72966</v>
      </c>
      <c r="E517" s="276" t="s">
        <v>213</v>
      </c>
      <c r="F517" s="277">
        <v>1461</v>
      </c>
      <c r="G517" s="277">
        <f>39.7+(82.09)</f>
        <v>121.79</v>
      </c>
      <c r="H517" s="297">
        <f>71.93</f>
        <v>71.930000000000007</v>
      </c>
      <c r="I517" s="278">
        <f>F517-G517-H517</f>
        <v>1267.28</v>
      </c>
      <c r="J517" s="279" t="s">
        <v>185</v>
      </c>
      <c r="K517" s="279">
        <v>1</v>
      </c>
      <c r="L517" s="279">
        <v>1</v>
      </c>
      <c r="M517" s="279">
        <v>1</v>
      </c>
      <c r="N517" s="279">
        <v>1</v>
      </c>
      <c r="O517" s="279">
        <v>1</v>
      </c>
      <c r="P517" s="279">
        <v>1</v>
      </c>
      <c r="Q517" s="279">
        <v>1</v>
      </c>
      <c r="R517" s="279">
        <v>1</v>
      </c>
      <c r="S517" s="280">
        <v>1</v>
      </c>
      <c r="T517" s="21">
        <v>1</v>
      </c>
      <c r="U517" s="10" t="s">
        <v>1125</v>
      </c>
      <c r="V517" s="90"/>
      <c r="W517" s="91"/>
      <c r="X517" s="92">
        <f>1374.46</f>
        <v>1374.46</v>
      </c>
      <c r="Y517" s="260"/>
    </row>
    <row r="518" spans="1:25">
      <c r="A518" s="261" t="s">
        <v>1092</v>
      </c>
      <c r="B518" s="87">
        <f t="shared" ref="B518" si="102">B517+1</f>
        <v>3</v>
      </c>
      <c r="C518" s="641">
        <v>45903</v>
      </c>
      <c r="D518" s="263">
        <v>72948</v>
      </c>
      <c r="E518" s="271" t="s">
        <v>746</v>
      </c>
      <c r="F518" s="265">
        <v>12792.6</v>
      </c>
      <c r="G518" s="265">
        <f>39.7+(29.91)+(214.78+211.24)+1000</f>
        <v>1495.63</v>
      </c>
      <c r="H518" s="265"/>
      <c r="I518" s="272">
        <f>F518-G518-H518</f>
        <v>11296.970000000001</v>
      </c>
      <c r="J518" s="267" t="s">
        <v>374</v>
      </c>
      <c r="K518" s="267">
        <v>1</v>
      </c>
      <c r="L518" s="267">
        <v>1</v>
      </c>
      <c r="M518" s="267">
        <v>1</v>
      </c>
      <c r="N518" s="267">
        <v>1</v>
      </c>
      <c r="O518" s="267">
        <v>1</v>
      </c>
      <c r="P518" s="267">
        <v>1</v>
      </c>
      <c r="Q518" s="267">
        <v>1</v>
      </c>
      <c r="R518" s="267">
        <v>1</v>
      </c>
      <c r="S518" s="269">
        <v>1</v>
      </c>
      <c r="T518" s="63"/>
      <c r="U518" s="94" t="s">
        <v>1093</v>
      </c>
      <c r="V518" s="90"/>
      <c r="W518" s="136"/>
      <c r="X518" s="137"/>
      <c r="Y518" s="260"/>
    </row>
    <row r="519" spans="1:25">
      <c r="A519" s="261" t="s">
        <v>1092</v>
      </c>
      <c r="B519" s="87">
        <f>B518+1</f>
        <v>4</v>
      </c>
      <c r="C519" s="641">
        <v>45906</v>
      </c>
      <c r="D519" s="357" t="s">
        <v>1095</v>
      </c>
      <c r="E519" s="271" t="s">
        <v>1088</v>
      </c>
      <c r="F519" s="265">
        <v>7933</v>
      </c>
      <c r="G519" s="265">
        <f>39.7+(1292.55)</f>
        <v>1332.25</v>
      </c>
      <c r="H519" s="265"/>
      <c r="I519" s="272">
        <f>F519-G519-H519</f>
        <v>6600.75</v>
      </c>
      <c r="J519" s="267" t="s">
        <v>156</v>
      </c>
      <c r="K519" s="267">
        <v>1</v>
      </c>
      <c r="L519" s="267">
        <v>1</v>
      </c>
      <c r="M519" s="267">
        <v>1</v>
      </c>
      <c r="N519" s="267">
        <v>1</v>
      </c>
      <c r="O519" s="267">
        <v>1</v>
      </c>
      <c r="P519" s="267">
        <v>1</v>
      </c>
      <c r="Q519" s="267">
        <v>1</v>
      </c>
      <c r="R519" s="267">
        <v>1</v>
      </c>
      <c r="S519" s="269">
        <v>1</v>
      </c>
      <c r="T519" s="63"/>
      <c r="U519" s="94" t="s">
        <v>1096</v>
      </c>
      <c r="V519" s="90">
        <f>7853.67</f>
        <v>7853.67</v>
      </c>
      <c r="W519" s="136"/>
      <c r="X519" s="137"/>
      <c r="Y519" s="260"/>
    </row>
    <row r="520" spans="1:25" s="381" customFormat="1">
      <c r="A520" s="371" t="s">
        <v>1126</v>
      </c>
      <c r="B520" s="372">
        <f>B519+1</f>
        <v>5</v>
      </c>
      <c r="C520" s="373">
        <v>45884</v>
      </c>
      <c r="D520" s="263">
        <v>72248</v>
      </c>
      <c r="E520" s="391" t="s">
        <v>1004</v>
      </c>
      <c r="F520" s="375">
        <v>168.1</v>
      </c>
      <c r="G520" s="375">
        <f>39.7</f>
        <v>39.700000000000003</v>
      </c>
      <c r="H520" s="375"/>
      <c r="I520" s="706">
        <f>F520-G520-H520</f>
        <v>128.39999999999998</v>
      </c>
      <c r="J520" s="314" t="s">
        <v>156</v>
      </c>
      <c r="K520" s="314">
        <v>1</v>
      </c>
      <c r="L520" s="314"/>
      <c r="M520" s="314">
        <v>1</v>
      </c>
      <c r="N520" s="314">
        <v>1</v>
      </c>
      <c r="O520" s="314">
        <v>1</v>
      </c>
      <c r="P520" s="314">
        <v>1</v>
      </c>
      <c r="Q520" s="314"/>
      <c r="R520" s="314"/>
      <c r="S520" s="366"/>
      <c r="T520" s="325"/>
      <c r="U520" s="430" t="s">
        <v>1127</v>
      </c>
      <c r="V520" s="377"/>
      <c r="W520" s="392"/>
      <c r="X520" s="379"/>
    </row>
    <row r="521" spans="1:25">
      <c r="B521" s="11"/>
      <c r="C521" s="621"/>
      <c r="D521" s="10"/>
      <c r="E521" s="10"/>
      <c r="F521" s="97">
        <f>SUM(F516:F520)</f>
        <v>22407.03</v>
      </c>
      <c r="G521" s="97">
        <f>SUM(G516:G520)</f>
        <v>3029.0699999999997</v>
      </c>
      <c r="H521" s="97">
        <f>SUM(H516:H520)</f>
        <v>71.930000000000007</v>
      </c>
      <c r="I521" s="98">
        <f>SUM(I516:I520)</f>
        <v>19306.030000000002</v>
      </c>
      <c r="J521" s="63"/>
      <c r="K521" s="21"/>
      <c r="L521" s="21"/>
      <c r="M521" s="21"/>
      <c r="N521" s="21"/>
      <c r="O521" s="21"/>
      <c r="P521" s="21"/>
      <c r="Q521" s="21"/>
      <c r="R521" s="21"/>
      <c r="S521" s="21"/>
      <c r="T521" s="63"/>
      <c r="U521" s="94"/>
      <c r="V521" s="90"/>
      <c r="W521" s="91"/>
      <c r="X521" s="92"/>
      <c r="Y521" s="2"/>
    </row>
    <row r="522" spans="1:25">
      <c r="B522" s="11"/>
      <c r="C522" s="621"/>
      <c r="D522" s="10"/>
      <c r="E522" s="10"/>
      <c r="F522" s="88"/>
      <c r="G522" s="88"/>
      <c r="H522" s="88"/>
      <c r="I522" s="99"/>
      <c r="J522" s="63"/>
      <c r="K522" s="21"/>
      <c r="L522" s="21"/>
      <c r="M522" s="21"/>
      <c r="N522" s="21"/>
      <c r="O522" s="21"/>
      <c r="P522" s="21"/>
      <c r="Q522" s="21"/>
      <c r="R522" s="21"/>
      <c r="S522" s="21"/>
      <c r="T522" s="63"/>
      <c r="U522" s="94"/>
      <c r="V522" s="90"/>
      <c r="W522" s="91"/>
      <c r="X522" s="92"/>
      <c r="Y522" s="2"/>
    </row>
    <row r="523" spans="1:25">
      <c r="B523" s="121" t="s">
        <v>68</v>
      </c>
      <c r="C523" s="621"/>
      <c r="D523" s="123"/>
      <c r="E523" s="123"/>
      <c r="F523" s="124"/>
      <c r="G523" s="125"/>
      <c r="H523" s="124"/>
      <c r="I523" s="126"/>
      <c r="J523" s="127"/>
      <c r="K523" s="128"/>
      <c r="L523" s="128"/>
      <c r="M523" s="128"/>
      <c r="N523" s="128"/>
      <c r="O523" s="128"/>
      <c r="P523" s="128"/>
      <c r="Q523" s="128"/>
      <c r="R523" s="128"/>
      <c r="S523" s="128"/>
      <c r="T523" s="127"/>
      <c r="U523" s="123"/>
      <c r="V523" s="129"/>
      <c r="W523" s="130"/>
      <c r="X523" s="131"/>
      <c r="Y523" s="128"/>
    </row>
    <row r="524" spans="1:25" s="342" customFormat="1">
      <c r="A524" s="492">
        <v>0.05</v>
      </c>
      <c r="B524" s="333">
        <v>1</v>
      </c>
      <c r="C524" s="703">
        <v>45911</v>
      </c>
      <c r="D524" s="263">
        <v>73200</v>
      </c>
      <c r="E524" s="351" t="s">
        <v>798</v>
      </c>
      <c r="F524" s="352">
        <f>2346-85</f>
        <v>2261</v>
      </c>
      <c r="G524" s="352">
        <f>39.7</f>
        <v>39.700000000000003</v>
      </c>
      <c r="H524" s="352"/>
      <c r="I524" s="353">
        <f>F524-G524-H524</f>
        <v>2221.3000000000002</v>
      </c>
      <c r="J524" s="354" t="s">
        <v>156</v>
      </c>
      <c r="K524" s="354">
        <v>1</v>
      </c>
      <c r="L524" s="354">
        <v>1</v>
      </c>
      <c r="M524" s="354">
        <v>1</v>
      </c>
      <c r="N524" s="354">
        <v>1</v>
      </c>
      <c r="O524" s="354">
        <v>1</v>
      </c>
      <c r="P524" s="354">
        <v>1</v>
      </c>
      <c r="Q524" s="354">
        <v>1</v>
      </c>
      <c r="R524" s="354">
        <v>1</v>
      </c>
      <c r="S524" s="355">
        <v>1</v>
      </c>
      <c r="T524" s="127"/>
      <c r="U524" s="123" t="s">
        <v>1128</v>
      </c>
      <c r="V524" s="129">
        <f>93.5+239.69</f>
        <v>333.19</v>
      </c>
      <c r="W524" s="130"/>
      <c r="X524" s="131"/>
      <c r="Y524" s="128"/>
    </row>
    <row r="525" spans="1:25">
      <c r="B525" s="132"/>
      <c r="C525" s="621"/>
      <c r="D525" s="123"/>
      <c r="E525" s="123"/>
      <c r="F525" s="133">
        <f>SUM(F524:F524)</f>
        <v>2261</v>
      </c>
      <c r="G525" s="133">
        <f>SUM(G524:G524)</f>
        <v>39.700000000000003</v>
      </c>
      <c r="H525" s="133">
        <f>SUM(H524:H524)</f>
        <v>0</v>
      </c>
      <c r="I525" s="134">
        <f>SUM(I524:I524)</f>
        <v>2221.3000000000002</v>
      </c>
      <c r="J525" s="127"/>
      <c r="K525" s="64"/>
      <c r="L525" s="64"/>
      <c r="M525" s="64"/>
      <c r="N525" s="64"/>
      <c r="O525" s="64"/>
      <c r="P525" s="64"/>
      <c r="Q525" s="64"/>
      <c r="R525" s="64"/>
      <c r="S525" s="64"/>
      <c r="T525" s="127"/>
      <c r="U525" s="123"/>
      <c r="V525" s="129"/>
      <c r="W525" s="130"/>
      <c r="X525" s="131"/>
      <c r="Y525" s="128"/>
    </row>
    <row r="526" spans="1:25">
      <c r="B526" s="11"/>
      <c r="C526" s="621"/>
      <c r="D526" s="10"/>
      <c r="E526" s="10"/>
      <c r="F526" s="88"/>
      <c r="G526" s="88"/>
      <c r="H526" s="88"/>
      <c r="I526" s="99"/>
      <c r="J526" s="63"/>
      <c r="K526" s="21"/>
      <c r="L526" s="21"/>
      <c r="M526" s="21"/>
      <c r="N526" s="21"/>
      <c r="O526" s="21"/>
      <c r="P526" s="21"/>
      <c r="Q526" s="21"/>
      <c r="R526" s="21"/>
      <c r="S526" s="21"/>
      <c r="T526" s="63"/>
      <c r="U526" s="94"/>
      <c r="V526" s="90"/>
      <c r="W526" s="91"/>
      <c r="X526" s="92"/>
      <c r="Y526" s="2"/>
    </row>
    <row r="527" spans="1:25">
      <c r="B527" s="121" t="s">
        <v>70</v>
      </c>
      <c r="C527" s="621"/>
      <c r="D527" s="123"/>
      <c r="E527" s="128"/>
      <c r="F527" s="124"/>
      <c r="G527" s="124"/>
      <c r="H527" s="124"/>
      <c r="I527" s="126"/>
      <c r="J527" s="127"/>
      <c r="K527" s="64"/>
      <c r="L527" s="64"/>
      <c r="M527" s="64"/>
      <c r="N527" s="64"/>
      <c r="O527" s="64"/>
      <c r="P527" s="64"/>
      <c r="Q527" s="64"/>
      <c r="R527" s="64"/>
      <c r="S527" s="64"/>
      <c r="T527" s="127"/>
      <c r="U527" s="135"/>
      <c r="V527" s="129"/>
      <c r="W527" s="130"/>
      <c r="X527" s="131"/>
      <c r="Y527" s="128"/>
    </row>
    <row r="528" spans="1:25" s="342" customFormat="1">
      <c r="A528" s="492">
        <v>0.05</v>
      </c>
      <c r="B528" s="333">
        <v>1</v>
      </c>
      <c r="C528" s="703">
        <v>45909</v>
      </c>
      <c r="D528" s="263" t="s">
        <v>1129</v>
      </c>
      <c r="E528" s="358" t="s">
        <v>1117</v>
      </c>
      <c r="F528" s="352">
        <v>14592.6</v>
      </c>
      <c r="G528" s="352">
        <f>39.7+(143.42+50.2+92.81+59.74)+(53.2+39.58+43.63)+1000</f>
        <v>1522.28</v>
      </c>
      <c r="H528" s="352"/>
      <c r="I528" s="353">
        <f>F528-G528-H528</f>
        <v>13070.32</v>
      </c>
      <c r="J528" s="354" t="s">
        <v>156</v>
      </c>
      <c r="K528" s="354">
        <v>1</v>
      </c>
      <c r="L528" s="354"/>
      <c r="M528" s="354">
        <v>1</v>
      </c>
      <c r="N528" s="354">
        <v>1</v>
      </c>
      <c r="O528" s="354">
        <v>1</v>
      </c>
      <c r="P528" s="354">
        <v>1</v>
      </c>
      <c r="Q528" s="354"/>
      <c r="R528" s="354"/>
      <c r="S528" s="355"/>
      <c r="T528" s="127"/>
      <c r="U528" s="135" t="s">
        <v>1130</v>
      </c>
      <c r="V528" s="129">
        <f>1605.2+1800+8000+2000+2000</f>
        <v>15405.2</v>
      </c>
      <c r="W528" s="340"/>
      <c r="X528" s="341"/>
      <c r="Y528" s="128"/>
    </row>
    <row r="529" spans="1:25">
      <c r="B529" s="132"/>
      <c r="C529" s="621"/>
      <c r="D529" s="123"/>
      <c r="E529" s="123"/>
      <c r="F529" s="134">
        <f>SUM(F528:F528)</f>
        <v>14592.6</v>
      </c>
      <c r="G529" s="134">
        <f>SUM(G528:G528)</f>
        <v>1522.28</v>
      </c>
      <c r="H529" s="134">
        <f>SUM(H528:H528)</f>
        <v>0</v>
      </c>
      <c r="I529" s="134">
        <f>SUM(I528:I528)</f>
        <v>13070.32</v>
      </c>
      <c r="J529" s="127"/>
      <c r="K529" s="64"/>
      <c r="L529" s="64"/>
      <c r="M529" s="64"/>
      <c r="N529" s="64"/>
      <c r="O529" s="64"/>
      <c r="P529" s="64"/>
      <c r="Q529" s="64"/>
      <c r="R529" s="64"/>
      <c r="S529" s="64"/>
      <c r="T529" s="127"/>
      <c r="U529" s="135"/>
      <c r="V529" s="129"/>
      <c r="W529" s="130"/>
      <c r="X529" s="131"/>
      <c r="Y529" s="128"/>
    </row>
    <row r="530" spans="1:25">
      <c r="B530" s="11"/>
      <c r="C530" s="621"/>
      <c r="D530" s="10"/>
      <c r="E530" s="10"/>
      <c r="F530" s="88"/>
      <c r="G530" s="88"/>
      <c r="H530" s="88"/>
      <c r="I530" s="99"/>
      <c r="J530" s="63"/>
      <c r="K530" s="21"/>
      <c r="L530" s="21"/>
      <c r="M530" s="21"/>
      <c r="N530" s="21"/>
      <c r="O530" s="21"/>
      <c r="P530" s="21"/>
      <c r="Q530" s="21"/>
      <c r="R530" s="21"/>
      <c r="S530" s="21"/>
      <c r="T530" s="63"/>
      <c r="U530" s="94"/>
      <c r="V530" s="90"/>
      <c r="W530" s="91"/>
      <c r="X530" s="92"/>
      <c r="Y530" s="2"/>
    </row>
    <row r="531" spans="1:25" s="260" customFormat="1">
      <c r="A531" s="181"/>
      <c r="B531" s="100" t="s">
        <v>152</v>
      </c>
      <c r="C531" s="36"/>
      <c r="D531" s="10"/>
      <c r="E531" s="10"/>
      <c r="F531" s="88"/>
      <c r="G531" s="62"/>
      <c r="H531" s="88"/>
      <c r="I531" s="99"/>
      <c r="J531" s="10"/>
      <c r="K531" s="181"/>
      <c r="L531" s="181"/>
      <c r="M531" s="181"/>
      <c r="N531" s="181"/>
      <c r="O531" s="181"/>
      <c r="P531" s="181"/>
      <c r="Q531" s="181"/>
      <c r="R531" s="181"/>
      <c r="S531" s="181"/>
      <c r="T531" s="63"/>
      <c r="U531" s="10"/>
      <c r="V531" s="90"/>
      <c r="W531" s="91"/>
      <c r="X531" s="92"/>
      <c r="Y531" s="181"/>
    </row>
    <row r="532" spans="1:25" s="260" customFormat="1">
      <c r="A532" s="261">
        <v>0.05</v>
      </c>
      <c r="B532" s="87">
        <v>1</v>
      </c>
      <c r="C532" s="641">
        <v>45904</v>
      </c>
      <c r="D532" s="263">
        <v>72974</v>
      </c>
      <c r="E532" s="271" t="s">
        <v>1091</v>
      </c>
      <c r="F532" s="265">
        <v>542</v>
      </c>
      <c r="G532" s="265"/>
      <c r="H532" s="365"/>
      <c r="I532" s="272">
        <f>F532-G532-H532</f>
        <v>542</v>
      </c>
      <c r="J532" s="267" t="s">
        <v>185</v>
      </c>
      <c r="K532" s="267">
        <v>1</v>
      </c>
      <c r="L532" s="267">
        <v>1</v>
      </c>
      <c r="M532" s="267">
        <v>1</v>
      </c>
      <c r="N532" s="267">
        <v>1</v>
      </c>
      <c r="O532" s="267">
        <v>1</v>
      </c>
      <c r="P532" s="267">
        <v>1</v>
      </c>
      <c r="Q532" s="267">
        <v>1</v>
      </c>
      <c r="R532" s="267">
        <v>1</v>
      </c>
      <c r="S532" s="269">
        <v>1</v>
      </c>
      <c r="T532" s="21"/>
      <c r="U532" s="10"/>
      <c r="V532" s="90"/>
      <c r="W532" s="91"/>
      <c r="X532" s="92"/>
    </row>
    <row r="533" spans="1:25" s="260" customFormat="1">
      <c r="B533" s="11"/>
      <c r="C533" s="36"/>
      <c r="D533" s="10"/>
      <c r="E533" s="10"/>
      <c r="F533" s="98">
        <f>SUM(F532:F532)</f>
        <v>542</v>
      </c>
      <c r="G533" s="98">
        <f>SUM(G532:G532)</f>
        <v>0</v>
      </c>
      <c r="H533" s="98">
        <f>SUM(H532:H532)</f>
        <v>0</v>
      </c>
      <c r="I533" s="98">
        <f>SUM(I532:I532)</f>
        <v>542</v>
      </c>
      <c r="J533" s="63"/>
      <c r="K533" s="21"/>
      <c r="L533" s="21"/>
      <c r="M533" s="21"/>
      <c r="N533" s="21"/>
      <c r="O533" s="21"/>
      <c r="P533" s="21"/>
      <c r="Q533" s="21"/>
      <c r="R533" s="21"/>
      <c r="S533" s="21"/>
      <c r="T533" s="63"/>
      <c r="U533" s="94"/>
      <c r="V533" s="90"/>
      <c r="W533" s="91"/>
      <c r="X533" s="92"/>
    </row>
    <row r="534" spans="1:25" s="260" customFormat="1">
      <c r="B534" s="11"/>
      <c r="C534" s="36"/>
      <c r="D534" s="10"/>
      <c r="E534" s="10"/>
      <c r="F534" s="99"/>
      <c r="G534" s="99"/>
      <c r="H534" s="99"/>
      <c r="I534" s="99"/>
      <c r="J534" s="63"/>
      <c r="K534" s="21"/>
      <c r="L534" s="21"/>
      <c r="M534" s="21"/>
      <c r="N534" s="21"/>
      <c r="O534" s="21"/>
      <c r="P534" s="21"/>
      <c r="Q534" s="21"/>
      <c r="R534" s="21"/>
      <c r="S534" s="21"/>
      <c r="T534" s="63"/>
      <c r="U534" s="94"/>
      <c r="V534" s="90"/>
      <c r="W534" s="91"/>
      <c r="X534" s="92"/>
    </row>
    <row r="535" spans="1:25">
      <c r="A535" s="2"/>
      <c r="B535" s="11"/>
      <c r="C535" s="36"/>
      <c r="D535" s="10"/>
      <c r="E535" s="10"/>
      <c r="F535" s="88"/>
      <c r="G535" s="88"/>
      <c r="H535" s="88"/>
      <c r="I535" s="99"/>
      <c r="J535" s="63"/>
      <c r="K535" s="21"/>
      <c r="L535" s="21"/>
      <c r="M535" s="21"/>
      <c r="N535" s="21"/>
      <c r="O535" s="21"/>
      <c r="P535" s="21"/>
      <c r="Q535" s="21"/>
      <c r="R535" s="21"/>
      <c r="S535" s="21"/>
      <c r="T535" s="63"/>
      <c r="U535" s="94"/>
      <c r="V535" s="90"/>
      <c r="W535" s="91"/>
      <c r="X535" s="92"/>
    </row>
    <row r="536" spans="1:25" s="260" customFormat="1">
      <c r="B536" s="100" t="s">
        <v>202</v>
      </c>
      <c r="C536" s="36"/>
      <c r="D536" s="10"/>
      <c r="E536" s="181"/>
      <c r="F536" s="88"/>
      <c r="G536" s="88"/>
      <c r="H536" s="88"/>
      <c r="I536" s="99"/>
      <c r="J536" s="63"/>
      <c r="K536" s="21"/>
      <c r="L536" s="21"/>
      <c r="M536" s="21"/>
      <c r="N536" s="21"/>
      <c r="O536" s="21"/>
      <c r="P536" s="21"/>
      <c r="Q536" s="21"/>
      <c r="R536" s="21"/>
      <c r="S536" s="21"/>
      <c r="T536" s="63"/>
      <c r="U536" s="94"/>
      <c r="V536" s="90"/>
      <c r="W536" s="91"/>
      <c r="X536" s="92"/>
    </row>
    <row r="537" spans="1:25" s="260" customFormat="1">
      <c r="A537" s="494">
        <v>0.05</v>
      </c>
      <c r="B537" s="87">
        <v>1</v>
      </c>
      <c r="C537" s="262">
        <v>45870</v>
      </c>
      <c r="D537" s="263" t="s">
        <v>978</v>
      </c>
      <c r="E537" s="264" t="s">
        <v>274</v>
      </c>
      <c r="F537" s="265">
        <v>8641</v>
      </c>
      <c r="G537" s="265">
        <f>39.7+(113.27)+750</f>
        <v>902.97</v>
      </c>
      <c r="H537" s="365"/>
      <c r="I537" s="266">
        <f>F537-G537-H537</f>
        <v>7738.03</v>
      </c>
      <c r="J537" s="267" t="s">
        <v>156</v>
      </c>
      <c r="K537" s="267">
        <v>1</v>
      </c>
      <c r="L537" s="267">
        <v>1</v>
      </c>
      <c r="M537" s="267">
        <v>1</v>
      </c>
      <c r="N537" s="267">
        <v>1</v>
      </c>
      <c r="O537" s="267">
        <v>1</v>
      </c>
      <c r="P537" s="314">
        <v>0</v>
      </c>
      <c r="Q537" s="267">
        <v>1</v>
      </c>
      <c r="R537" s="267">
        <v>1</v>
      </c>
      <c r="S537" s="269">
        <v>1</v>
      </c>
      <c r="T537" s="63"/>
      <c r="U537" s="94" t="s">
        <v>995</v>
      </c>
      <c r="V537" s="90"/>
      <c r="W537" s="136"/>
      <c r="X537" s="137"/>
    </row>
    <row r="538" spans="1:25" s="260" customFormat="1">
      <c r="A538" s="261">
        <v>0.05</v>
      </c>
      <c r="B538" s="87">
        <f>B537+1</f>
        <v>2</v>
      </c>
      <c r="C538" s="641">
        <v>45904</v>
      </c>
      <c r="D538" s="263">
        <v>72982</v>
      </c>
      <c r="E538" s="271" t="s">
        <v>604</v>
      </c>
      <c r="F538" s="265">
        <v>1681</v>
      </c>
      <c r="G538" s="265">
        <f>39.7+398</f>
        <v>437.7</v>
      </c>
      <c r="H538" s="265"/>
      <c r="I538" s="272">
        <f>F538-G538-H538</f>
        <v>1243.3</v>
      </c>
      <c r="J538" s="267" t="s">
        <v>156</v>
      </c>
      <c r="K538" s="267">
        <v>1</v>
      </c>
      <c r="L538" s="267"/>
      <c r="M538" s="267">
        <v>1</v>
      </c>
      <c r="N538" s="267">
        <v>1</v>
      </c>
      <c r="O538" s="267">
        <v>1</v>
      </c>
      <c r="P538" s="267">
        <v>1</v>
      </c>
      <c r="Q538" s="267"/>
      <c r="R538" s="267"/>
      <c r="S538" s="269"/>
      <c r="T538" s="63"/>
      <c r="U538" s="94" t="s">
        <v>1131</v>
      </c>
      <c r="V538" s="90"/>
      <c r="W538" s="136"/>
      <c r="X538" s="137"/>
    </row>
    <row r="539" spans="1:25" s="260" customFormat="1">
      <c r="B539" s="11"/>
      <c r="C539" s="36"/>
      <c r="D539" s="10"/>
      <c r="E539" s="10"/>
      <c r="F539" s="98">
        <f>SUM(F537:F538)</f>
        <v>10322</v>
      </c>
      <c r="G539" s="98">
        <f>SUM(G537:G538)</f>
        <v>1340.67</v>
      </c>
      <c r="H539" s="98">
        <f>SUM(H537:H538)</f>
        <v>0</v>
      </c>
      <c r="I539" s="98">
        <f>SUM(I537:I538)</f>
        <v>8981.33</v>
      </c>
      <c r="J539" s="63"/>
      <c r="K539" s="21"/>
      <c r="L539" s="21"/>
      <c r="M539" s="21"/>
      <c r="N539" s="21"/>
      <c r="O539" s="21"/>
      <c r="P539" s="21"/>
      <c r="Q539" s="21"/>
      <c r="R539" s="21"/>
      <c r="S539" s="21"/>
      <c r="T539" s="63"/>
      <c r="U539" s="94"/>
      <c r="V539" s="90"/>
      <c r="W539" s="91"/>
      <c r="X539" s="92"/>
    </row>
    <row r="540" spans="1:25" s="260" customFormat="1">
      <c r="B540" s="11"/>
      <c r="C540" s="36"/>
      <c r="D540" s="10"/>
      <c r="E540" s="10"/>
      <c r="F540" s="99"/>
      <c r="G540" s="99"/>
      <c r="H540" s="99"/>
      <c r="I540" s="99"/>
      <c r="J540" s="63"/>
      <c r="K540" s="21"/>
      <c r="L540" s="21"/>
      <c r="M540" s="21"/>
      <c r="N540" s="21"/>
      <c r="O540" s="21"/>
      <c r="P540" s="21"/>
      <c r="Q540" s="21"/>
      <c r="R540" s="21"/>
      <c r="S540" s="21"/>
      <c r="T540" s="63"/>
      <c r="U540" s="94"/>
      <c r="V540" s="90"/>
      <c r="W540" s="91"/>
      <c r="X540" s="92"/>
    </row>
    <row r="541" spans="1:25">
      <c r="B541" s="100" t="s">
        <v>72</v>
      </c>
      <c r="C541" s="621"/>
      <c r="D541" s="10"/>
      <c r="E541" s="10"/>
      <c r="F541" s="88"/>
      <c r="G541" s="88"/>
      <c r="H541" s="88"/>
      <c r="I541" s="99"/>
      <c r="J541" s="63"/>
      <c r="K541" s="63"/>
      <c r="L541" s="63"/>
      <c r="M541" s="63"/>
      <c r="N541" s="63"/>
      <c r="O541" s="63"/>
      <c r="P541" s="63"/>
      <c r="Q541" s="63"/>
      <c r="R541" s="63"/>
      <c r="S541" s="63"/>
      <c r="T541" s="63"/>
      <c r="U541" s="10"/>
      <c r="V541" s="90"/>
      <c r="W541" s="91"/>
      <c r="X541" s="92"/>
      <c r="Y541" s="2"/>
    </row>
    <row r="542" spans="1:25">
      <c r="B542" s="87">
        <v>1</v>
      </c>
      <c r="C542" s="638">
        <v>45908</v>
      </c>
      <c r="D542" s="276">
        <v>73027</v>
      </c>
      <c r="E542" s="276" t="s">
        <v>1047</v>
      </c>
      <c r="F542" s="277">
        <v>0</v>
      </c>
      <c r="G542" s="277">
        <v>0</v>
      </c>
      <c r="H542" s="277"/>
      <c r="I542" s="278">
        <f>F542-G542-H542</f>
        <v>0</v>
      </c>
      <c r="J542" s="279" t="s">
        <v>205</v>
      </c>
      <c r="K542" s="279">
        <v>1</v>
      </c>
      <c r="L542" s="279"/>
      <c r="M542" s="279"/>
      <c r="N542" s="279"/>
      <c r="O542" s="279"/>
      <c r="P542" s="279"/>
      <c r="Q542" s="279">
        <v>1</v>
      </c>
      <c r="R542" s="279">
        <v>1</v>
      </c>
      <c r="S542" s="280">
        <v>1</v>
      </c>
      <c r="T542" s="63"/>
      <c r="U542" s="3"/>
      <c r="V542" s="90"/>
      <c r="W542" s="91"/>
      <c r="X542" s="92"/>
      <c r="Y542" s="2"/>
    </row>
    <row r="543" spans="1:25">
      <c r="B543" s="87">
        <f t="shared" ref="B543:B559" si="103">B542+1</f>
        <v>2</v>
      </c>
      <c r="C543" s="639">
        <v>45908</v>
      </c>
      <c r="D543" s="10">
        <v>72935</v>
      </c>
      <c r="E543" s="10" t="s">
        <v>1132</v>
      </c>
      <c r="F543" s="62">
        <v>12861</v>
      </c>
      <c r="G543" s="62">
        <v>39.700000000000003</v>
      </c>
      <c r="H543" s="62"/>
      <c r="I543" s="89">
        <f>F543-G543-H543</f>
        <v>12821.3</v>
      </c>
      <c r="J543" s="63" t="s">
        <v>205</v>
      </c>
      <c r="K543" s="63">
        <v>1</v>
      </c>
      <c r="L543" s="63"/>
      <c r="M543" s="63"/>
      <c r="N543" s="63">
        <v>1</v>
      </c>
      <c r="O543" s="63"/>
      <c r="P543" s="63"/>
      <c r="Q543" s="63">
        <v>1</v>
      </c>
      <c r="R543" s="63">
        <v>1</v>
      </c>
      <c r="S543" s="296">
        <v>1</v>
      </c>
      <c r="T543" s="63"/>
      <c r="U543" s="10"/>
      <c r="V543" s="90"/>
      <c r="W543" s="136"/>
      <c r="X543" s="137"/>
      <c r="Y543" s="2"/>
    </row>
    <row r="544" spans="1:25">
      <c r="B544" s="87">
        <f>B543+1</f>
        <v>3</v>
      </c>
      <c r="C544" s="639">
        <v>45908</v>
      </c>
      <c r="D544" s="10" t="s">
        <v>1133</v>
      </c>
      <c r="E544" s="10" t="s">
        <v>1115</v>
      </c>
      <c r="F544" s="62">
        <v>6841</v>
      </c>
      <c r="G544" s="62">
        <f>39.7</f>
        <v>39.700000000000003</v>
      </c>
      <c r="H544" s="62"/>
      <c r="I544" s="89">
        <f>F544-G544-H544</f>
        <v>6801.3</v>
      </c>
      <c r="J544" s="63" t="s">
        <v>150</v>
      </c>
      <c r="K544" s="63">
        <v>1</v>
      </c>
      <c r="L544" s="63"/>
      <c r="M544" s="63">
        <v>1</v>
      </c>
      <c r="N544" s="63">
        <v>1</v>
      </c>
      <c r="O544" s="63">
        <v>1</v>
      </c>
      <c r="P544" s="63">
        <v>1</v>
      </c>
      <c r="Q544" s="63">
        <v>1</v>
      </c>
      <c r="R544" s="63">
        <v>1</v>
      </c>
      <c r="S544" s="296">
        <v>1</v>
      </c>
      <c r="T544" s="63"/>
      <c r="U544" s="94" t="s">
        <v>1134</v>
      </c>
      <c r="V544" s="90">
        <v>0</v>
      </c>
      <c r="W544" s="456">
        <f>25+760</f>
        <v>785</v>
      </c>
      <c r="X544" s="137"/>
      <c r="Y544" s="2"/>
    </row>
    <row r="545" spans="2:25">
      <c r="B545" s="87">
        <f>B544+1</f>
        <v>4</v>
      </c>
      <c r="C545" s="639">
        <v>45908</v>
      </c>
      <c r="D545" s="10">
        <v>73079</v>
      </c>
      <c r="E545" s="10" t="s">
        <v>1064</v>
      </c>
      <c r="F545" s="62">
        <v>5814</v>
      </c>
      <c r="G545" s="62">
        <v>39.700000000000003</v>
      </c>
      <c r="H545" s="62"/>
      <c r="I545" s="89">
        <f>F545-G545-H545</f>
        <v>5774.3</v>
      </c>
      <c r="J545" s="63" t="s">
        <v>205</v>
      </c>
      <c r="K545" s="63">
        <v>1</v>
      </c>
      <c r="L545" s="63"/>
      <c r="M545" s="63"/>
      <c r="N545" s="63">
        <v>1</v>
      </c>
      <c r="O545" s="63"/>
      <c r="P545" s="63"/>
      <c r="Q545" s="63">
        <v>1</v>
      </c>
      <c r="R545" s="63">
        <v>1</v>
      </c>
      <c r="S545" s="296">
        <v>1</v>
      </c>
      <c r="T545" s="63"/>
      <c r="U545" s="10"/>
      <c r="V545" s="90"/>
      <c r="W545" s="136"/>
      <c r="X545" s="137"/>
      <c r="Y545" s="2"/>
    </row>
    <row r="546" spans="2:25">
      <c r="B546" s="87">
        <f t="shared" si="103"/>
        <v>5</v>
      </c>
      <c r="C546" s="639">
        <v>45908</v>
      </c>
      <c r="D546" s="10">
        <v>73057</v>
      </c>
      <c r="E546" s="10" t="s">
        <v>1080</v>
      </c>
      <c r="F546" s="62">
        <v>0</v>
      </c>
      <c r="G546" s="62">
        <v>0</v>
      </c>
      <c r="H546" s="62"/>
      <c r="I546" s="89">
        <f>F546-G546-H546</f>
        <v>0</v>
      </c>
      <c r="J546" s="63" t="s">
        <v>205</v>
      </c>
      <c r="K546" s="63">
        <v>1</v>
      </c>
      <c r="L546" s="63"/>
      <c r="M546" s="63"/>
      <c r="N546" s="63"/>
      <c r="O546" s="63"/>
      <c r="P546" s="63"/>
      <c r="Q546" s="63">
        <v>1</v>
      </c>
      <c r="R546" s="63">
        <v>1</v>
      </c>
      <c r="S546" s="296">
        <v>1</v>
      </c>
      <c r="T546" s="21">
        <v>1</v>
      </c>
      <c r="U546" s="10" t="s">
        <v>1135</v>
      </c>
      <c r="V546" s="90"/>
      <c r="W546" s="136"/>
      <c r="X546" s="137"/>
      <c r="Y546" s="2"/>
    </row>
    <row r="547" spans="2:25">
      <c r="B547" s="87">
        <f t="shared" si="103"/>
        <v>6</v>
      </c>
      <c r="C547" s="638">
        <v>45909</v>
      </c>
      <c r="D547" s="276">
        <v>73096</v>
      </c>
      <c r="E547" s="276" t="s">
        <v>306</v>
      </c>
      <c r="F547" s="277">
        <v>0</v>
      </c>
      <c r="G547" s="277">
        <v>0</v>
      </c>
      <c r="H547" s="277"/>
      <c r="I547" s="278">
        <f>F547-G547-H547</f>
        <v>0</v>
      </c>
      <c r="J547" s="279" t="s">
        <v>205</v>
      </c>
      <c r="K547" s="279">
        <v>1</v>
      </c>
      <c r="L547" s="279"/>
      <c r="M547" s="279"/>
      <c r="N547" s="279"/>
      <c r="O547" s="279"/>
      <c r="P547" s="279"/>
      <c r="Q547" s="279">
        <v>1</v>
      </c>
      <c r="R547" s="279">
        <v>1</v>
      </c>
      <c r="S547" s="280">
        <v>1</v>
      </c>
      <c r="T547" s="21">
        <v>1</v>
      </c>
      <c r="U547" s="10"/>
      <c r="V547" s="90"/>
      <c r="W547" s="136"/>
      <c r="X547" s="137"/>
      <c r="Y547" s="2"/>
    </row>
    <row r="548" spans="2:25">
      <c r="B548" s="87">
        <f t="shared" si="103"/>
        <v>7</v>
      </c>
      <c r="C548" s="639">
        <v>45909</v>
      </c>
      <c r="D548" s="10">
        <v>73123</v>
      </c>
      <c r="E548" s="101" t="s">
        <v>673</v>
      </c>
      <c r="F548" s="62">
        <v>814</v>
      </c>
      <c r="G548" s="62">
        <v>39.700000000000003</v>
      </c>
      <c r="H548" s="62"/>
      <c r="I548" s="89">
        <f>F548-G548-H548</f>
        <v>774.3</v>
      </c>
      <c r="J548" s="63" t="s">
        <v>205</v>
      </c>
      <c r="K548" s="63"/>
      <c r="L548" s="63"/>
      <c r="M548" s="63"/>
      <c r="N548" s="63">
        <v>1</v>
      </c>
      <c r="O548" s="63"/>
      <c r="P548" s="63"/>
      <c r="Q548" s="63">
        <v>1</v>
      </c>
      <c r="R548" s="63">
        <v>1</v>
      </c>
      <c r="S548" s="296">
        <v>1</v>
      </c>
      <c r="T548" s="63"/>
      <c r="U548" s="10"/>
      <c r="V548" s="90"/>
      <c r="W548" s="136"/>
      <c r="X548" s="137"/>
      <c r="Y548" s="2"/>
    </row>
    <row r="549" spans="2:25">
      <c r="B549" s="87">
        <f t="shared" si="103"/>
        <v>8</v>
      </c>
      <c r="C549" s="639">
        <v>45909</v>
      </c>
      <c r="D549" s="10">
        <v>73113</v>
      </c>
      <c r="E549" s="101" t="s">
        <v>1076</v>
      </c>
      <c r="F549" s="62">
        <v>5814</v>
      </c>
      <c r="G549" s="62">
        <v>39.700000000000003</v>
      </c>
      <c r="H549" s="62"/>
      <c r="I549" s="89">
        <f>F549-G549-H549</f>
        <v>5774.3</v>
      </c>
      <c r="J549" s="63" t="s">
        <v>205</v>
      </c>
      <c r="K549" s="63">
        <v>1</v>
      </c>
      <c r="L549" s="63"/>
      <c r="M549" s="63"/>
      <c r="N549" s="63">
        <v>1</v>
      </c>
      <c r="O549" s="63"/>
      <c r="P549" s="63"/>
      <c r="Q549" s="63">
        <v>1</v>
      </c>
      <c r="R549" s="63">
        <v>1</v>
      </c>
      <c r="S549" s="296">
        <v>1</v>
      </c>
      <c r="T549" s="63"/>
      <c r="U549" s="10"/>
      <c r="V549" s="90"/>
      <c r="W549" s="136"/>
      <c r="X549" s="137"/>
      <c r="Y549" s="2"/>
    </row>
    <row r="550" spans="2:25">
      <c r="B550" s="87">
        <f t="shared" si="103"/>
        <v>9</v>
      </c>
      <c r="C550" s="638">
        <v>45910</v>
      </c>
      <c r="D550" s="276">
        <v>73171</v>
      </c>
      <c r="E550" s="281" t="s">
        <v>604</v>
      </c>
      <c r="F550" s="277">
        <v>25752.6</v>
      </c>
      <c r="G550" s="277">
        <v>39.700000000000003</v>
      </c>
      <c r="H550" s="277"/>
      <c r="I550" s="278">
        <f>F550-G550-H550</f>
        <v>25712.899999999998</v>
      </c>
      <c r="J550" s="279" t="s">
        <v>205</v>
      </c>
      <c r="K550" s="279">
        <v>1</v>
      </c>
      <c r="L550" s="279"/>
      <c r="M550" s="279"/>
      <c r="N550" s="279">
        <v>1</v>
      </c>
      <c r="O550" s="279"/>
      <c r="P550" s="279"/>
      <c r="Q550" s="279"/>
      <c r="R550" s="279"/>
      <c r="S550" s="280"/>
      <c r="T550" s="63"/>
      <c r="U550" s="10"/>
      <c r="V550" s="90"/>
      <c r="W550" s="136"/>
      <c r="X550" s="137"/>
      <c r="Y550" s="2"/>
    </row>
    <row r="551" spans="2:25">
      <c r="B551" s="87">
        <f t="shared" si="103"/>
        <v>10</v>
      </c>
      <c r="C551" s="639">
        <v>45910</v>
      </c>
      <c r="D551" s="10">
        <v>73104</v>
      </c>
      <c r="E551" s="101" t="s">
        <v>1136</v>
      </c>
      <c r="F551" s="62">
        <v>2861</v>
      </c>
      <c r="G551" s="62">
        <f>39.7</f>
        <v>39.700000000000003</v>
      </c>
      <c r="H551" s="62"/>
      <c r="I551" s="89">
        <f>F551-G551-H551</f>
        <v>2821.3</v>
      </c>
      <c r="J551" s="63" t="s">
        <v>205</v>
      </c>
      <c r="K551" s="63">
        <v>1</v>
      </c>
      <c r="L551" s="63"/>
      <c r="M551" s="63"/>
      <c r="N551" s="63">
        <v>1</v>
      </c>
      <c r="O551" s="63"/>
      <c r="P551" s="63"/>
      <c r="Q551" s="63">
        <v>1</v>
      </c>
      <c r="R551" s="63">
        <v>1</v>
      </c>
      <c r="S551" s="296">
        <v>1</v>
      </c>
      <c r="T551" s="63"/>
      <c r="U551" s="10"/>
      <c r="V551" s="90"/>
      <c r="W551" s="136"/>
      <c r="X551" s="137"/>
      <c r="Y551" s="2"/>
    </row>
    <row r="552" spans="2:25">
      <c r="B552" s="87">
        <f t="shared" si="103"/>
        <v>11</v>
      </c>
      <c r="C552" s="639">
        <v>45910</v>
      </c>
      <c r="D552" s="10">
        <v>73144</v>
      </c>
      <c r="E552" s="101" t="s">
        <v>149</v>
      </c>
      <c r="F552" s="62">
        <v>1681</v>
      </c>
      <c r="G552" s="62">
        <v>39.700000000000003</v>
      </c>
      <c r="H552" s="62"/>
      <c r="I552" s="89">
        <f>F552-G552-H552</f>
        <v>1641.3</v>
      </c>
      <c r="J552" s="63" t="s">
        <v>205</v>
      </c>
      <c r="K552" s="63">
        <v>1</v>
      </c>
      <c r="L552" s="63"/>
      <c r="M552" s="63"/>
      <c r="N552" s="63">
        <v>1</v>
      </c>
      <c r="O552" s="63"/>
      <c r="P552" s="63"/>
      <c r="Q552" s="63">
        <v>1</v>
      </c>
      <c r="R552" s="63">
        <v>1</v>
      </c>
      <c r="S552" s="296">
        <v>1</v>
      </c>
      <c r="T552" s="63"/>
      <c r="U552" s="10"/>
      <c r="V552" s="90"/>
      <c r="W552" s="136"/>
      <c r="X552" s="137"/>
      <c r="Y552" s="2"/>
    </row>
    <row r="553" spans="2:25">
      <c r="B553" s="87">
        <f t="shared" si="103"/>
        <v>12</v>
      </c>
      <c r="C553" s="639">
        <v>45910</v>
      </c>
      <c r="D553" s="10">
        <v>73206</v>
      </c>
      <c r="E553" s="101" t="s">
        <v>1080</v>
      </c>
      <c r="F553" s="62">
        <v>5814</v>
      </c>
      <c r="G553" s="62">
        <v>39.700000000000003</v>
      </c>
      <c r="H553" s="62"/>
      <c r="I553" s="89">
        <f>F553-G553-H553</f>
        <v>5774.3</v>
      </c>
      <c r="J553" s="63" t="s">
        <v>205</v>
      </c>
      <c r="K553" s="63"/>
      <c r="L553" s="63"/>
      <c r="M553" s="63"/>
      <c r="N553" s="63">
        <v>1</v>
      </c>
      <c r="O553" s="63"/>
      <c r="P553" s="63"/>
      <c r="Q553" s="63"/>
      <c r="R553" s="63"/>
      <c r="S553" s="296"/>
      <c r="T553" s="63"/>
      <c r="U553" s="10"/>
      <c r="V553" s="90"/>
      <c r="W553" s="136"/>
      <c r="X553" s="137"/>
      <c r="Y553" s="2"/>
    </row>
    <row r="554" spans="2:25" s="260" customFormat="1">
      <c r="B554" s="87">
        <f t="shared" si="103"/>
        <v>13</v>
      </c>
      <c r="C554" s="639">
        <v>45910</v>
      </c>
      <c r="D554" s="10">
        <v>73179</v>
      </c>
      <c r="E554" s="10" t="s">
        <v>1137</v>
      </c>
      <c r="F554" s="62">
        <v>6214</v>
      </c>
      <c r="G554" s="62">
        <f>39.7</f>
        <v>39.700000000000003</v>
      </c>
      <c r="H554" s="62"/>
      <c r="I554" s="89">
        <f>F554-G554-H554</f>
        <v>6174.3</v>
      </c>
      <c r="J554" s="63" t="s">
        <v>156</v>
      </c>
      <c r="K554" s="63">
        <v>1</v>
      </c>
      <c r="L554" s="63"/>
      <c r="M554" s="63">
        <v>1</v>
      </c>
      <c r="N554" s="63">
        <v>1</v>
      </c>
      <c r="O554" s="63">
        <v>1</v>
      </c>
      <c r="P554" s="63">
        <v>1</v>
      </c>
      <c r="Q554" s="63"/>
      <c r="R554" s="63"/>
      <c r="S554" s="296"/>
      <c r="T554" s="63"/>
      <c r="U554" s="94" t="s">
        <v>1138</v>
      </c>
      <c r="V554" s="90">
        <f>683.54</f>
        <v>683.54</v>
      </c>
      <c r="W554" s="136"/>
      <c r="X554" s="137"/>
      <c r="Y554" s="181"/>
    </row>
    <row r="555" spans="2:25">
      <c r="B555" s="87">
        <f t="shared" si="103"/>
        <v>14</v>
      </c>
      <c r="C555" s="638">
        <v>45911</v>
      </c>
      <c r="D555" s="276">
        <v>73207</v>
      </c>
      <c r="E555" s="281" t="s">
        <v>1132</v>
      </c>
      <c r="F555" s="277">
        <v>22614</v>
      </c>
      <c r="G555" s="277">
        <v>39.700000000000003</v>
      </c>
      <c r="H555" s="277"/>
      <c r="I555" s="278">
        <f>F555-G555-H555</f>
        <v>22574.3</v>
      </c>
      <c r="J555" s="279" t="s">
        <v>205</v>
      </c>
      <c r="K555" s="279">
        <v>1</v>
      </c>
      <c r="L555" s="279"/>
      <c r="M555" s="279"/>
      <c r="N555" s="279">
        <v>1</v>
      </c>
      <c r="O555" s="279"/>
      <c r="P555" s="279"/>
      <c r="Q555" s="279">
        <v>1</v>
      </c>
      <c r="R555" s="279">
        <v>1</v>
      </c>
      <c r="S555" s="280">
        <v>1</v>
      </c>
      <c r="T555" s="63"/>
      <c r="U555" s="10"/>
      <c r="V555" s="90"/>
      <c r="W555" s="136"/>
      <c r="X555" s="137"/>
      <c r="Y555" s="2"/>
    </row>
    <row r="556" spans="2:25">
      <c r="B556" s="87">
        <f t="shared" si="103"/>
        <v>15</v>
      </c>
      <c r="C556" s="639">
        <v>45911</v>
      </c>
      <c r="D556" s="10" t="s">
        <v>1139</v>
      </c>
      <c r="E556" s="10" t="s">
        <v>604</v>
      </c>
      <c r="F556" s="62">
        <v>16700</v>
      </c>
      <c r="G556" s="62">
        <v>39.700000000000003</v>
      </c>
      <c r="H556" s="62"/>
      <c r="I556" s="89">
        <f>F556-G556-H556</f>
        <v>16660.3</v>
      </c>
      <c r="J556" s="63" t="s">
        <v>205</v>
      </c>
      <c r="K556" s="63">
        <v>1</v>
      </c>
      <c r="L556" s="63"/>
      <c r="M556" s="63"/>
      <c r="N556" s="63">
        <v>1</v>
      </c>
      <c r="O556" s="63"/>
      <c r="P556" s="63"/>
      <c r="Q556" s="63"/>
      <c r="R556" s="63"/>
      <c r="S556" s="296"/>
      <c r="T556" s="63"/>
      <c r="U556" s="10"/>
      <c r="V556" s="90"/>
      <c r="W556" s="136"/>
      <c r="X556" s="137"/>
      <c r="Y556" s="2"/>
    </row>
    <row r="557" spans="2:25">
      <c r="B557" s="87">
        <f t="shared" si="103"/>
        <v>16</v>
      </c>
      <c r="C557" s="639">
        <v>45911</v>
      </c>
      <c r="D557" s="10">
        <v>73250</v>
      </c>
      <c r="E557" s="10" t="s">
        <v>1091</v>
      </c>
      <c r="F557" s="62">
        <v>1861</v>
      </c>
      <c r="G557" s="62">
        <v>39.700000000000003</v>
      </c>
      <c r="H557" s="62"/>
      <c r="I557" s="89">
        <f>F557-G557-H557</f>
        <v>1821.3</v>
      </c>
      <c r="J557" s="63" t="s">
        <v>205</v>
      </c>
      <c r="K557" s="63">
        <v>1</v>
      </c>
      <c r="L557" s="63"/>
      <c r="M557" s="63"/>
      <c r="N557" s="63">
        <v>1</v>
      </c>
      <c r="O557" s="63"/>
      <c r="P557" s="63"/>
      <c r="Q557" s="63">
        <v>1</v>
      </c>
      <c r="R557" s="63">
        <v>1</v>
      </c>
      <c r="S557" s="296">
        <v>1</v>
      </c>
      <c r="T557" s="63"/>
      <c r="U557" s="10"/>
      <c r="V557" s="90"/>
      <c r="W557" s="136"/>
      <c r="X557" s="137"/>
      <c r="Y557" s="2"/>
    </row>
    <row r="558" spans="2:25">
      <c r="B558" s="87">
        <f t="shared" si="103"/>
        <v>17</v>
      </c>
      <c r="C558" s="639">
        <v>45911</v>
      </c>
      <c r="D558" s="77" t="s">
        <v>1140</v>
      </c>
      <c r="E558" s="101" t="s">
        <v>798</v>
      </c>
      <c r="F558" s="62">
        <v>4461</v>
      </c>
      <c r="G558" s="62">
        <v>39.700000000000003</v>
      </c>
      <c r="H558" s="62"/>
      <c r="I558" s="89">
        <f>F558-G558-H558</f>
        <v>4421.3</v>
      </c>
      <c r="J558" s="63" t="s">
        <v>205</v>
      </c>
      <c r="K558" s="63">
        <v>1</v>
      </c>
      <c r="L558" s="63"/>
      <c r="M558" s="63"/>
      <c r="N558" s="63">
        <v>1</v>
      </c>
      <c r="O558" s="63"/>
      <c r="P558" s="63"/>
      <c r="Q558" s="63"/>
      <c r="R558" s="63"/>
      <c r="S558" s="296"/>
      <c r="T558" s="63"/>
      <c r="U558" s="10"/>
      <c r="V558" s="90"/>
      <c r="W558" s="136"/>
      <c r="X558" s="137"/>
      <c r="Y558" s="2"/>
    </row>
    <row r="559" spans="2:25">
      <c r="B559" s="87">
        <f t="shared" si="103"/>
        <v>18</v>
      </c>
      <c r="C559" s="638">
        <v>45912</v>
      </c>
      <c r="D559" s="276">
        <v>73242</v>
      </c>
      <c r="E559" s="276" t="s">
        <v>172</v>
      </c>
      <c r="F559" s="277">
        <v>1264</v>
      </c>
      <c r="G559" s="277">
        <v>39.700000000000003</v>
      </c>
      <c r="H559" s="277"/>
      <c r="I559" s="278">
        <f>F559-G559-H559</f>
        <v>1224.3</v>
      </c>
      <c r="J559" s="279" t="s">
        <v>156</v>
      </c>
      <c r="K559" s="279">
        <v>1</v>
      </c>
      <c r="L559" s="279"/>
      <c r="M559" s="279">
        <v>1</v>
      </c>
      <c r="N559" s="279">
        <v>1</v>
      </c>
      <c r="O559" s="279"/>
      <c r="P559" s="279"/>
      <c r="Q559" s="279">
        <v>1</v>
      </c>
      <c r="R559" s="279">
        <v>1</v>
      </c>
      <c r="S559" s="280">
        <v>1</v>
      </c>
      <c r="T559" s="63"/>
      <c r="U559" s="10"/>
      <c r="V559" s="90">
        <v>93.5</v>
      </c>
      <c r="W559" s="136"/>
      <c r="X559" s="137"/>
      <c r="Y559" s="2"/>
    </row>
    <row r="560" spans="2:25">
      <c r="B560" s="87">
        <f>B559+1</f>
        <v>19</v>
      </c>
      <c r="C560" s="639">
        <v>45912</v>
      </c>
      <c r="D560" s="10">
        <v>73251</v>
      </c>
      <c r="E560" s="10" t="s">
        <v>1141</v>
      </c>
      <c r="F560" s="62">
        <v>8628</v>
      </c>
      <c r="G560" s="62">
        <v>39.700000000000003</v>
      </c>
      <c r="H560" s="62"/>
      <c r="I560" s="89">
        <f>F560-G560-H560</f>
        <v>8588.2999999999993</v>
      </c>
      <c r="J560" s="63" t="s">
        <v>205</v>
      </c>
      <c r="K560" s="63">
        <v>1</v>
      </c>
      <c r="L560" s="63"/>
      <c r="M560" s="63"/>
      <c r="N560" s="63">
        <v>1</v>
      </c>
      <c r="O560" s="63"/>
      <c r="P560" s="63"/>
      <c r="Q560" s="63">
        <v>1</v>
      </c>
      <c r="R560" s="63">
        <v>1</v>
      </c>
      <c r="S560" s="296">
        <v>1</v>
      </c>
      <c r="T560" s="63"/>
      <c r="U560" s="10"/>
      <c r="V560" s="90"/>
      <c r="W560" s="136"/>
      <c r="X560" s="137"/>
      <c r="Y560" s="2"/>
    </row>
    <row r="561" spans="1:25">
      <c r="B561" s="87">
        <f>B560+1</f>
        <v>20</v>
      </c>
      <c r="C561" s="639">
        <v>45912</v>
      </c>
      <c r="D561" s="10" t="s">
        <v>1142</v>
      </c>
      <c r="E561" s="10" t="s">
        <v>780</v>
      </c>
      <c r="F561" s="62">
        <v>5198</v>
      </c>
      <c r="G561" s="62">
        <v>39.700000000000003</v>
      </c>
      <c r="H561" s="62"/>
      <c r="I561" s="89">
        <f>F561-G561-H561</f>
        <v>5158.3</v>
      </c>
      <c r="J561" s="63" t="s">
        <v>205</v>
      </c>
      <c r="K561" s="63">
        <v>1</v>
      </c>
      <c r="L561" s="63"/>
      <c r="M561" s="63"/>
      <c r="N561" s="63">
        <v>1</v>
      </c>
      <c r="O561" s="63"/>
      <c r="P561" s="63"/>
      <c r="Q561" s="63"/>
      <c r="R561" s="63"/>
      <c r="S561" s="296"/>
      <c r="T561" s="63"/>
      <c r="U561" s="10"/>
      <c r="V561" s="90"/>
      <c r="W561" s="136"/>
      <c r="X561" s="137"/>
      <c r="Y561" s="2"/>
    </row>
    <row r="562" spans="1:25">
      <c r="B562" s="87">
        <f>B561+1</f>
        <v>21</v>
      </c>
      <c r="C562" s="639">
        <v>45912</v>
      </c>
      <c r="D562" s="10">
        <v>73279</v>
      </c>
      <c r="E562" s="10" t="s">
        <v>1143</v>
      </c>
      <c r="F562" s="62">
        <v>481</v>
      </c>
      <c r="G562" s="62"/>
      <c r="H562" s="62"/>
      <c r="I562" s="89">
        <f>F562-G562-H562</f>
        <v>481</v>
      </c>
      <c r="J562" s="63" t="s">
        <v>205</v>
      </c>
      <c r="K562" s="63">
        <v>1</v>
      </c>
      <c r="L562" s="63"/>
      <c r="M562" s="63"/>
      <c r="N562" s="63">
        <v>1</v>
      </c>
      <c r="O562" s="63"/>
      <c r="P562" s="63"/>
      <c r="Q562" s="63">
        <v>1</v>
      </c>
      <c r="R562" s="63">
        <v>1</v>
      </c>
      <c r="S562" s="296">
        <v>1</v>
      </c>
      <c r="T562" s="63"/>
      <c r="U562" s="10"/>
      <c r="V562" s="90"/>
      <c r="W562" s="136"/>
      <c r="X562" s="137"/>
      <c r="Y562" s="2"/>
    </row>
    <row r="563" spans="1:25">
      <c r="B563" s="87">
        <f>B562+1</f>
        <v>22</v>
      </c>
      <c r="C563" s="639">
        <v>45912</v>
      </c>
      <c r="D563" s="10">
        <v>73286</v>
      </c>
      <c r="E563" s="10" t="s">
        <v>659</v>
      </c>
      <c r="F563" s="62">
        <v>4414</v>
      </c>
      <c r="G563" s="62">
        <v>39.700000000000003</v>
      </c>
      <c r="H563" s="62"/>
      <c r="I563" s="89">
        <f>F563-G563-H563</f>
        <v>4374.3</v>
      </c>
      <c r="J563" s="63" t="s">
        <v>156</v>
      </c>
      <c r="K563" s="63">
        <v>1</v>
      </c>
      <c r="L563" s="63"/>
      <c r="M563" s="63">
        <v>1</v>
      </c>
      <c r="N563" s="63">
        <v>1</v>
      </c>
      <c r="O563" s="63"/>
      <c r="P563" s="63">
        <v>1</v>
      </c>
      <c r="Q563" s="63"/>
      <c r="R563" s="63"/>
      <c r="S563" s="296"/>
      <c r="T563" s="63"/>
      <c r="U563" s="10"/>
      <c r="V563" s="90">
        <v>203.5</v>
      </c>
      <c r="W563" s="136"/>
      <c r="X563" s="137"/>
      <c r="Y563" s="2"/>
    </row>
    <row r="564" spans="1:25">
      <c r="B564" s="87">
        <f>B563+1</f>
        <v>23</v>
      </c>
      <c r="C564" s="639">
        <v>45912</v>
      </c>
      <c r="D564" s="10">
        <v>73291</v>
      </c>
      <c r="E564" s="10" t="s">
        <v>572</v>
      </c>
      <c r="F564" s="62">
        <v>6474</v>
      </c>
      <c r="G564" s="62">
        <v>39.700000000000003</v>
      </c>
      <c r="H564" s="62"/>
      <c r="I564" s="89">
        <f>F564-G564-H564</f>
        <v>6434.3</v>
      </c>
      <c r="J564" s="63" t="s">
        <v>205</v>
      </c>
      <c r="K564" s="63"/>
      <c r="L564" s="63"/>
      <c r="M564" s="63"/>
      <c r="N564" s="63">
        <v>1</v>
      </c>
      <c r="O564" s="63"/>
      <c r="P564" s="63"/>
      <c r="Q564" s="63"/>
      <c r="R564" s="63"/>
      <c r="S564" s="296"/>
      <c r="T564" s="63"/>
      <c r="U564" s="10"/>
      <c r="V564" s="90"/>
      <c r="W564" s="136"/>
      <c r="X564" s="137"/>
      <c r="Y564" s="2"/>
    </row>
    <row r="565" spans="1:25">
      <c r="B565" s="87">
        <f>B564+1</f>
        <v>24</v>
      </c>
      <c r="C565" s="640">
        <v>45912</v>
      </c>
      <c r="D565" s="283">
        <v>73278</v>
      </c>
      <c r="E565" s="283" t="s">
        <v>809</v>
      </c>
      <c r="F565" s="284">
        <v>1396</v>
      </c>
      <c r="G565" s="284">
        <v>39.700000000000003</v>
      </c>
      <c r="H565" s="284"/>
      <c r="I565" s="285">
        <f>F565-G565-H565</f>
        <v>1356.3</v>
      </c>
      <c r="J565" s="286" t="s">
        <v>205</v>
      </c>
      <c r="K565" s="286">
        <v>1</v>
      </c>
      <c r="L565" s="286"/>
      <c r="M565" s="286"/>
      <c r="N565" s="286">
        <v>1</v>
      </c>
      <c r="O565" s="286"/>
      <c r="P565" s="286"/>
      <c r="Q565" s="286">
        <v>1</v>
      </c>
      <c r="R565" s="286">
        <v>1</v>
      </c>
      <c r="S565" s="287">
        <v>1</v>
      </c>
      <c r="T565" s="63"/>
      <c r="U565" s="10"/>
      <c r="V565" s="90"/>
      <c r="W565" s="136"/>
      <c r="X565" s="137"/>
      <c r="Y565" s="2"/>
    </row>
    <row r="566" spans="1:25">
      <c r="B566" s="11"/>
      <c r="C566" s="621"/>
      <c r="D566" s="10"/>
      <c r="E566" s="10"/>
      <c r="F566" s="97">
        <f>SUM(F542:F565)</f>
        <v>147957.6</v>
      </c>
      <c r="G566" s="97">
        <f>SUM(G542:G565)</f>
        <v>794.00000000000023</v>
      </c>
      <c r="H566" s="97">
        <f>SUM(H542:H565)</f>
        <v>0</v>
      </c>
      <c r="I566" s="98">
        <f>SUM(I542:I565)</f>
        <v>147163.59999999998</v>
      </c>
      <c r="J566" s="10"/>
      <c r="K566" s="10"/>
      <c r="L566" s="10"/>
      <c r="M566" s="10"/>
      <c r="N566" s="10"/>
      <c r="O566" s="10"/>
      <c r="P566" s="10"/>
      <c r="Q566" s="10"/>
      <c r="R566" s="10"/>
      <c r="S566" s="10"/>
      <c r="T566" s="63"/>
      <c r="U566" s="10"/>
      <c r="V566" s="138"/>
      <c r="W566" s="136"/>
      <c r="X566" s="137"/>
      <c r="Y566" s="2"/>
    </row>
    <row r="567" spans="1:25">
      <c r="B567" s="26"/>
      <c r="C567" s="612"/>
      <c r="D567" s="141"/>
      <c r="E567" s="141"/>
      <c r="F567" s="141"/>
      <c r="G567" s="141"/>
      <c r="H567" s="141"/>
      <c r="I567" s="141"/>
      <c r="J567" s="141"/>
      <c r="K567" s="142"/>
      <c r="L567" s="142"/>
      <c r="M567" s="142"/>
      <c r="N567" s="142"/>
      <c r="O567" s="142"/>
      <c r="P567" s="142"/>
      <c r="Q567" s="142"/>
      <c r="R567" s="142"/>
      <c r="S567" s="142"/>
      <c r="T567" s="143">
        <f>SUM(T500:T566)</f>
        <v>5</v>
      </c>
      <c r="U567" s="141"/>
      <c r="V567" s="144">
        <f>SUM(V500:V566)</f>
        <v>45996.899999999994</v>
      </c>
      <c r="W567" s="144">
        <f>SUM(W500:W566)</f>
        <v>1685</v>
      </c>
      <c r="X567" s="144">
        <f>SUM(X500:X566)</f>
        <v>1374.46</v>
      </c>
      <c r="Y567" s="2"/>
    </row>
    <row r="568" spans="1:25">
      <c r="B568" s="10"/>
      <c r="C568" s="36"/>
      <c r="D568" s="10"/>
      <c r="E568" s="10"/>
      <c r="F568" s="10"/>
      <c r="G568" s="10"/>
      <c r="H568" s="10"/>
      <c r="I568" s="10"/>
      <c r="J568" s="10"/>
      <c r="K568" s="147"/>
      <c r="L568" s="147"/>
      <c r="M568" s="147"/>
      <c r="N568" s="147"/>
      <c r="O568" s="147"/>
      <c r="P568" s="147"/>
      <c r="Q568" s="147"/>
      <c r="R568" s="147"/>
      <c r="S568" s="147"/>
      <c r="T568" s="21"/>
      <c r="U568" s="10"/>
      <c r="V568" s="99"/>
      <c r="W568" s="99"/>
      <c r="X568" s="99"/>
      <c r="Y568" s="2"/>
    </row>
    <row r="570" spans="1:25">
      <c r="A570" s="613"/>
      <c r="B570" s="4" t="s">
        <v>1</v>
      </c>
      <c r="C570" s="5"/>
      <c r="D570" s="6"/>
      <c r="E570" s="6"/>
      <c r="F570" s="7" t="s">
        <v>2</v>
      </c>
      <c r="G570" s="608">
        <v>45921</v>
      </c>
      <c r="H570" s="7"/>
      <c r="I570" s="6"/>
      <c r="J570" s="6"/>
      <c r="K570" s="6"/>
      <c r="L570" s="6"/>
      <c r="M570" s="6"/>
      <c r="N570" s="6"/>
      <c r="O570" s="6"/>
      <c r="P570" s="6"/>
      <c r="Q570" s="6"/>
      <c r="R570" s="6"/>
      <c r="S570" s="6"/>
      <c r="T570" s="6"/>
      <c r="U570" s="9"/>
      <c r="V570" s="10"/>
      <c r="W570" s="10"/>
      <c r="X570" s="10"/>
    </row>
    <row r="571" spans="1:25">
      <c r="A571" s="614"/>
      <c r="B571" s="11"/>
      <c r="C571" s="10"/>
      <c r="D571" s="10"/>
      <c r="E571" s="10"/>
      <c r="F571" s="10"/>
      <c r="G571" s="7"/>
      <c r="H571" s="12"/>
      <c r="I571" s="10"/>
      <c r="J571" s="10"/>
      <c r="K571" s="13" t="s">
        <v>3</v>
      </c>
      <c r="L571" s="14"/>
      <c r="M571" s="15"/>
      <c r="N571" s="13" t="s">
        <v>4</v>
      </c>
      <c r="O571" s="14"/>
      <c r="P571" s="15"/>
      <c r="Q571" s="13" t="s">
        <v>5</v>
      </c>
      <c r="R571" s="14"/>
      <c r="S571" s="15"/>
      <c r="T571" s="16"/>
      <c r="U571" s="17"/>
      <c r="V571" s="10"/>
      <c r="W571" s="10"/>
      <c r="X571" s="10"/>
    </row>
    <row r="572" spans="1:25">
      <c r="A572" s="614"/>
      <c r="B572" s="18" t="s">
        <v>6</v>
      </c>
      <c r="C572" s="19">
        <f>C573+C574</f>
        <v>31</v>
      </c>
      <c r="D572" s="10"/>
      <c r="E572" s="18" t="s">
        <v>7</v>
      </c>
      <c r="F572" s="6"/>
      <c r="G572" s="9"/>
      <c r="H572" s="10"/>
      <c r="I572" s="10"/>
      <c r="J572" s="10"/>
      <c r="K572" s="20" t="s">
        <v>8</v>
      </c>
      <c r="L572" s="21" t="s">
        <v>9</v>
      </c>
      <c r="M572" s="21" t="s">
        <v>10</v>
      </c>
      <c r="N572" s="20" t="s">
        <v>11</v>
      </c>
      <c r="O572" s="21" t="s">
        <v>12</v>
      </c>
      <c r="P572" s="22" t="s">
        <v>13</v>
      </c>
      <c r="Q572" s="21" t="s">
        <v>11</v>
      </c>
      <c r="R572" s="21" t="s">
        <v>12</v>
      </c>
      <c r="S572" s="22" t="s">
        <v>13</v>
      </c>
      <c r="T572" s="23" t="s">
        <v>14</v>
      </c>
      <c r="U572" s="17"/>
      <c r="V572" s="10"/>
      <c r="W572" s="10"/>
      <c r="X572" s="10"/>
    </row>
    <row r="573" spans="1:25">
      <c r="A573" s="614"/>
      <c r="B573" s="24" t="s">
        <v>15</v>
      </c>
      <c r="C573" s="25">
        <f>P580</f>
        <v>11</v>
      </c>
      <c r="D573" s="10"/>
      <c r="E573" s="26" t="s">
        <v>16</v>
      </c>
      <c r="F573" s="27">
        <v>0.05</v>
      </c>
      <c r="G573" s="28"/>
      <c r="H573" s="10"/>
      <c r="I573" s="10"/>
      <c r="J573" s="18" t="s">
        <v>17</v>
      </c>
      <c r="K573" s="29">
        <f>K608</f>
        <v>10</v>
      </c>
      <c r="L573" s="29">
        <f>L608</f>
        <v>9</v>
      </c>
      <c r="M573" s="29">
        <f>M608</f>
        <v>9</v>
      </c>
      <c r="N573" s="29">
        <f>N608</f>
        <v>10</v>
      </c>
      <c r="O573" s="29">
        <f>O608</f>
        <v>10</v>
      </c>
      <c r="P573" s="29">
        <f>P608</f>
        <v>10</v>
      </c>
      <c r="Q573" s="29">
        <f>Q608</f>
        <v>9</v>
      </c>
      <c r="R573" s="29">
        <f>R608</f>
        <v>9</v>
      </c>
      <c r="S573" s="29">
        <f>S608</f>
        <v>9</v>
      </c>
      <c r="T573" s="30">
        <f>T651</f>
        <v>5</v>
      </c>
      <c r="U573" s="17"/>
      <c r="V573" s="10"/>
      <c r="W573" s="10"/>
      <c r="X573" s="10"/>
    </row>
    <row r="574" spans="1:25">
      <c r="A574" s="614"/>
      <c r="B574" s="24" t="s">
        <v>18</v>
      </c>
      <c r="C574" s="25">
        <f>P581</f>
        <v>20</v>
      </c>
      <c r="D574" s="10"/>
      <c r="E574" s="10"/>
      <c r="F574" s="10"/>
      <c r="G574" s="31"/>
      <c r="H574" s="10"/>
      <c r="I574" s="10"/>
      <c r="J574" s="32" t="s">
        <v>19</v>
      </c>
      <c r="K574" s="33">
        <f>K608/K607</f>
        <v>1</v>
      </c>
      <c r="L574" s="33">
        <f>L608/L607</f>
        <v>0.9</v>
      </c>
      <c r="M574" s="33">
        <f>M608/M607</f>
        <v>0.9</v>
      </c>
      <c r="N574" s="33">
        <f>N608/N607</f>
        <v>1</v>
      </c>
      <c r="O574" s="33">
        <f>O608/O607</f>
        <v>1</v>
      </c>
      <c r="P574" s="33">
        <f>P608/P607</f>
        <v>1</v>
      </c>
      <c r="Q574" s="33">
        <f>Q608/Q607</f>
        <v>0.9</v>
      </c>
      <c r="R574" s="33">
        <f>R608/R607</f>
        <v>0.9</v>
      </c>
      <c r="S574" s="33">
        <f>S608/S607</f>
        <v>0.9</v>
      </c>
      <c r="T574" s="23"/>
      <c r="U574" s="17" t="s">
        <v>20</v>
      </c>
      <c r="V574" s="10"/>
      <c r="W574" s="10"/>
      <c r="X574" s="10"/>
    </row>
    <row r="575" spans="1:25">
      <c r="A575" s="614"/>
      <c r="B575" s="24" t="s">
        <v>21</v>
      </c>
      <c r="C575" s="34">
        <f>P582</f>
        <v>0.35483870967741937</v>
      </c>
      <c r="D575" s="10"/>
      <c r="E575" s="10"/>
      <c r="F575" s="10"/>
      <c r="G575" s="10"/>
      <c r="H575" s="10"/>
      <c r="I575" s="10"/>
      <c r="J575" s="10"/>
      <c r="K575" s="10"/>
      <c r="L575" s="10"/>
      <c r="M575" s="10"/>
      <c r="N575" s="10"/>
      <c r="O575" s="10"/>
      <c r="P575" s="10"/>
      <c r="Q575" s="10"/>
      <c r="R575" s="10"/>
      <c r="S575" s="10"/>
      <c r="T575" s="10"/>
      <c r="U575" s="17"/>
      <c r="V575" s="10"/>
      <c r="W575" s="10"/>
      <c r="X575" s="10"/>
    </row>
    <row r="576" spans="1:25">
      <c r="A576" s="614"/>
      <c r="B576" s="24"/>
      <c r="C576" s="25"/>
      <c r="D576" s="10"/>
      <c r="E576" s="10"/>
      <c r="F576" s="18" t="s">
        <v>22</v>
      </c>
      <c r="G576" s="19" t="s">
        <v>23</v>
      </c>
      <c r="H576" s="35" t="s">
        <v>24</v>
      </c>
      <c r="I576" s="10"/>
      <c r="J576" s="10"/>
      <c r="K576" s="36"/>
      <c r="L576" s="36"/>
      <c r="M576" s="36"/>
      <c r="N576" s="36"/>
      <c r="O576" s="36"/>
      <c r="P576" s="36"/>
      <c r="Q576" s="36"/>
      <c r="R576" s="10"/>
      <c r="S576" s="10"/>
      <c r="T576" s="10"/>
      <c r="U576" s="17"/>
      <c r="V576" s="10"/>
      <c r="W576" s="10"/>
      <c r="X576" s="10"/>
    </row>
    <row r="577" spans="1:24">
      <c r="A577" s="614"/>
      <c r="B577" s="32" t="s">
        <v>25</v>
      </c>
      <c r="C577" s="37">
        <f>P583</f>
        <v>1312.1245454545453</v>
      </c>
      <c r="D577" s="10"/>
      <c r="E577" s="18" t="s">
        <v>26</v>
      </c>
      <c r="F577" s="38">
        <f>P579</f>
        <v>14433.369999999999</v>
      </c>
      <c r="G577" s="39">
        <f>I607+I616</f>
        <v>14433.37</v>
      </c>
      <c r="H577" s="40"/>
      <c r="I577" s="41"/>
      <c r="J577" s="42"/>
      <c r="K577" s="43" t="s">
        <v>27</v>
      </c>
      <c r="L577" s="44"/>
      <c r="M577" s="44"/>
      <c r="N577" s="44"/>
      <c r="O577" s="44"/>
      <c r="P577" s="44"/>
      <c r="Q577" s="45"/>
      <c r="R577" s="46" t="s">
        <v>28</v>
      </c>
      <c r="S577" s="47" t="s">
        <v>29</v>
      </c>
      <c r="T577" s="10"/>
      <c r="U577" s="17"/>
      <c r="V577" s="10"/>
      <c r="W577" s="10"/>
      <c r="X577" s="10"/>
    </row>
    <row r="578" spans="1:24">
      <c r="A578" s="614"/>
      <c r="B578" s="11"/>
      <c r="C578" s="10"/>
      <c r="D578" s="10"/>
      <c r="E578" s="24" t="s">
        <v>30</v>
      </c>
      <c r="F578" s="48">
        <f>F573</f>
        <v>0.05</v>
      </c>
      <c r="G578" s="17"/>
      <c r="H578" s="40"/>
      <c r="I578" s="41"/>
      <c r="J578" s="42"/>
      <c r="K578" s="20" t="s">
        <v>31</v>
      </c>
      <c r="L578" s="21" t="s">
        <v>32</v>
      </c>
      <c r="M578" s="21" t="s">
        <v>33</v>
      </c>
      <c r="N578" s="21" t="s">
        <v>34</v>
      </c>
      <c r="O578" s="21" t="s">
        <v>35</v>
      </c>
      <c r="P578" s="21" t="s">
        <v>36</v>
      </c>
      <c r="Q578" s="49" t="s">
        <v>37</v>
      </c>
      <c r="R578" s="50" t="s">
        <v>38</v>
      </c>
      <c r="S578" s="50" t="s">
        <v>38</v>
      </c>
      <c r="T578" s="10"/>
      <c r="U578" s="17"/>
      <c r="V578" s="10"/>
      <c r="W578" s="10"/>
      <c r="X578" s="10"/>
    </row>
    <row r="579" spans="1:24">
      <c r="A579" s="614"/>
      <c r="B579" s="11"/>
      <c r="C579" s="10"/>
      <c r="D579" s="10"/>
      <c r="E579" s="51" t="s">
        <v>39</v>
      </c>
      <c r="F579" s="52">
        <f>(F577-I598-I600-I601-I604-I615)*F578</f>
        <v>287.05349999999999</v>
      </c>
      <c r="G579" s="53" t="s">
        <v>40</v>
      </c>
      <c r="H579" s="54">
        <f>F579/1.12</f>
        <v>256.29776785714284</v>
      </c>
      <c r="I579" s="55"/>
      <c r="J579" s="42"/>
      <c r="K579" s="56">
        <f>I597+I598</f>
        <v>1779.3</v>
      </c>
      <c r="L579" s="57">
        <f>I599+I600+I601</f>
        <v>2390.38</v>
      </c>
      <c r="M579" s="57">
        <f>I602+I603+I604</f>
        <v>2601.39</v>
      </c>
      <c r="N579" s="57">
        <v>0</v>
      </c>
      <c r="O579" s="57">
        <f>I605+I606+I615</f>
        <v>7662.3</v>
      </c>
      <c r="P579" s="57">
        <f>SUM(K579:O579)</f>
        <v>14433.369999999999</v>
      </c>
      <c r="Q579" s="58">
        <v>0</v>
      </c>
      <c r="R579" s="59">
        <f>+I616</f>
        <v>5948</v>
      </c>
      <c r="S579" s="59">
        <v>0</v>
      </c>
      <c r="T579" s="10"/>
      <c r="U579" s="17"/>
      <c r="V579" s="10"/>
      <c r="W579" s="10"/>
      <c r="X579" s="10"/>
    </row>
    <row r="580" spans="1:24">
      <c r="A580" s="614"/>
      <c r="B580" s="11"/>
      <c r="C580" s="10"/>
      <c r="D580" s="10"/>
      <c r="E580" s="24" t="s">
        <v>41</v>
      </c>
      <c r="F580" s="60">
        <f>Q579</f>
        <v>0</v>
      </c>
      <c r="G580" s="61" t="s">
        <v>40</v>
      </c>
      <c r="H580" s="62"/>
      <c r="I580" s="62"/>
      <c r="J580" s="10" t="s">
        <v>42</v>
      </c>
      <c r="K580" s="63">
        <v>2</v>
      </c>
      <c r="L580" s="63">
        <v>3</v>
      </c>
      <c r="M580" s="63">
        <v>3</v>
      </c>
      <c r="N580" s="63">
        <v>0</v>
      </c>
      <c r="O580" s="63">
        <v>3</v>
      </c>
      <c r="P580" s="21">
        <f>SUM(K580:O580)</f>
        <v>11</v>
      </c>
      <c r="Q580" s="64"/>
      <c r="R580" s="63"/>
      <c r="S580" s="10"/>
      <c r="T580" s="10"/>
      <c r="U580" s="17"/>
      <c r="V580" s="10"/>
      <c r="W580" s="10"/>
      <c r="X580" s="10"/>
    </row>
    <row r="581" spans="1:24">
      <c r="A581" s="614"/>
      <c r="B581" s="11"/>
      <c r="C581" s="10"/>
      <c r="D581" s="10"/>
      <c r="E581" s="51" t="s">
        <v>43</v>
      </c>
      <c r="F581" s="52">
        <f>F580*0.25</f>
        <v>0</v>
      </c>
      <c r="G581" s="53" t="s">
        <v>40</v>
      </c>
      <c r="H581" s="54">
        <f>F581/1.12</f>
        <v>0</v>
      </c>
      <c r="I581" s="10"/>
      <c r="J581" s="10" t="s">
        <v>44</v>
      </c>
      <c r="K581" s="63">
        <v>8</v>
      </c>
      <c r="L581" s="63">
        <v>5</v>
      </c>
      <c r="M581" s="63">
        <v>2</v>
      </c>
      <c r="N581" s="63">
        <v>2</v>
      </c>
      <c r="O581" s="63">
        <v>3</v>
      </c>
      <c r="P581" s="21">
        <f>SUM(K581:O581)</f>
        <v>20</v>
      </c>
      <c r="Q581" s="64"/>
      <c r="R581" s="63"/>
      <c r="S581" s="10"/>
      <c r="T581" s="10"/>
      <c r="U581" s="17"/>
      <c r="V581" s="10"/>
      <c r="W581" s="10"/>
      <c r="X581" s="10"/>
    </row>
    <row r="582" spans="1:24">
      <c r="A582" s="614"/>
      <c r="B582" s="11"/>
      <c r="C582" s="10"/>
      <c r="D582" s="10"/>
      <c r="E582" s="24" t="s">
        <v>45</v>
      </c>
      <c r="F582" s="60">
        <f>I611</f>
        <v>13070.32</v>
      </c>
      <c r="G582" s="61" t="s">
        <v>40</v>
      </c>
      <c r="H582" s="62"/>
      <c r="I582" s="10"/>
      <c r="J582" s="10" t="s">
        <v>46</v>
      </c>
      <c r="K582" s="31">
        <f>K580/(K580+K581)</f>
        <v>0.2</v>
      </c>
      <c r="L582" s="31">
        <f>L580/(L580+L581)</f>
        <v>0.375</v>
      </c>
      <c r="M582" s="31">
        <f>M580/(M580+M581)</f>
        <v>0.6</v>
      </c>
      <c r="N582" s="31">
        <f>N580/(N580+N581)</f>
        <v>0</v>
      </c>
      <c r="O582" s="31">
        <f>O580/(O580+O581)</f>
        <v>0.5</v>
      </c>
      <c r="P582" s="31">
        <f>P580/(P580+P581)</f>
        <v>0.35483870967741937</v>
      </c>
      <c r="Q582" s="31" t="e">
        <f>Q580/(Q580+Q581)</f>
        <v>#DIV/0!</v>
      </c>
      <c r="R582" s="63"/>
      <c r="S582" s="10"/>
      <c r="T582" s="10"/>
      <c r="U582" s="17"/>
      <c r="V582" s="10"/>
      <c r="W582" s="10"/>
      <c r="X582" s="10"/>
    </row>
    <row r="583" spans="1:24">
      <c r="A583" s="614"/>
      <c r="B583" s="11"/>
      <c r="C583" s="10"/>
      <c r="D583" s="10"/>
      <c r="E583" s="51" t="s">
        <v>47</v>
      </c>
      <c r="F583" s="52">
        <f>(F582+F586+F587)*0.05</f>
        <v>650.30550000000005</v>
      </c>
      <c r="G583" s="65" t="s">
        <v>40</v>
      </c>
      <c r="H583" s="54">
        <f>F583/1.12</f>
        <v>580.62991071428576</v>
      </c>
      <c r="I583" s="42"/>
      <c r="J583" s="10" t="s">
        <v>48</v>
      </c>
      <c r="K583" s="66">
        <f>K579/K580</f>
        <v>889.65</v>
      </c>
      <c r="L583" s="66">
        <f>L579/L580</f>
        <v>796.79333333333341</v>
      </c>
      <c r="M583" s="66">
        <f>M579/M580</f>
        <v>867.13</v>
      </c>
      <c r="N583" s="66" t="e">
        <f>N579/N580</f>
        <v>#DIV/0!</v>
      </c>
      <c r="O583" s="66">
        <f>O579/O580</f>
        <v>2554.1</v>
      </c>
      <c r="P583" s="66">
        <f>P579/P580</f>
        <v>1312.1245454545453</v>
      </c>
      <c r="Q583" s="66" t="e">
        <f>Q579/Q580</f>
        <v>#DIV/0!</v>
      </c>
      <c r="R583" s="63"/>
      <c r="S583" s="10"/>
      <c r="T583" s="10"/>
      <c r="U583" s="17"/>
      <c r="V583" s="10"/>
      <c r="W583" s="10"/>
      <c r="X583" s="10"/>
    </row>
    <row r="584" spans="1:24">
      <c r="A584" s="614"/>
      <c r="B584" s="11"/>
      <c r="C584" s="10"/>
      <c r="D584" s="10"/>
      <c r="E584" s="67" t="s">
        <v>14</v>
      </c>
      <c r="F584" s="68">
        <f>5*50</f>
        <v>250</v>
      </c>
      <c r="G584" s="10"/>
      <c r="H584" s="54">
        <f>F584/1.12</f>
        <v>223.21428571428569</v>
      </c>
      <c r="I584" s="10"/>
      <c r="J584" s="10"/>
      <c r="K584" s="10"/>
      <c r="L584" s="10"/>
      <c r="M584" s="10"/>
      <c r="N584" s="10"/>
      <c r="O584" s="10"/>
      <c r="P584" s="10"/>
      <c r="Q584" s="10"/>
      <c r="R584" s="10"/>
      <c r="S584" s="10"/>
      <c r="T584" s="10"/>
      <c r="U584" s="17"/>
      <c r="V584" s="10"/>
      <c r="W584" s="10"/>
      <c r="X584" s="10"/>
    </row>
    <row r="585" spans="1:24">
      <c r="A585" s="614"/>
      <c r="B585" s="11"/>
      <c r="C585" s="10"/>
      <c r="D585" s="10"/>
      <c r="E585" s="67" t="s">
        <v>49</v>
      </c>
      <c r="F585" s="69">
        <f>T574</f>
        <v>0</v>
      </c>
      <c r="G585" s="10"/>
      <c r="H585" s="54"/>
      <c r="I585" s="55"/>
      <c r="J585" s="42"/>
      <c r="K585" s="764" t="s">
        <v>50</v>
      </c>
      <c r="L585" s="765"/>
      <c r="M585" s="765"/>
      <c r="N585" s="765"/>
      <c r="O585" s="765"/>
      <c r="P585" s="765"/>
      <c r="Q585" s="766"/>
      <c r="R585" s="70" t="s">
        <v>28</v>
      </c>
      <c r="S585" s="71" t="s">
        <v>29</v>
      </c>
      <c r="T585" s="10"/>
      <c r="U585" s="17"/>
      <c r="V585" s="10"/>
      <c r="W585" s="10"/>
      <c r="X585" s="10"/>
    </row>
    <row r="586" spans="1:24">
      <c r="A586" s="614"/>
      <c r="B586" s="11"/>
      <c r="C586" s="10"/>
      <c r="D586" s="10"/>
      <c r="E586" s="72" t="s">
        <v>1144</v>
      </c>
      <c r="F586" s="73">
        <v>-35.72</v>
      </c>
      <c r="G586" s="10"/>
      <c r="H586" s="10"/>
      <c r="I586" s="10"/>
      <c r="J586" s="42"/>
      <c r="K586" s="20" t="s">
        <v>31</v>
      </c>
      <c r="L586" s="21" t="s">
        <v>32</v>
      </c>
      <c r="M586" s="21" t="s">
        <v>33</v>
      </c>
      <c r="N586" s="21" t="s">
        <v>34</v>
      </c>
      <c r="O586" s="21" t="s">
        <v>35</v>
      </c>
      <c r="P586" s="21" t="s">
        <v>36</v>
      </c>
      <c r="Q586" s="49" t="s">
        <v>37</v>
      </c>
      <c r="R586" s="50" t="s">
        <v>38</v>
      </c>
      <c r="S586" s="50" t="s">
        <v>38</v>
      </c>
      <c r="T586" s="10"/>
      <c r="U586" s="17"/>
      <c r="V586" s="10"/>
      <c r="W586" s="10"/>
      <c r="X586" s="10"/>
    </row>
    <row r="587" spans="1:24">
      <c r="A587" s="614"/>
      <c r="B587" s="11"/>
      <c r="C587" s="10"/>
      <c r="D587" s="10"/>
      <c r="E587" s="74" t="s">
        <v>1145</v>
      </c>
      <c r="F587" s="75">
        <v>-28.49</v>
      </c>
      <c r="G587" s="10"/>
      <c r="H587" s="10"/>
      <c r="I587" s="10"/>
      <c r="J587" s="42"/>
      <c r="K587" s="56">
        <f>F597+F598</f>
        <v>1819</v>
      </c>
      <c r="L587" s="57">
        <f>F599+F600+F601</f>
        <v>2558</v>
      </c>
      <c r="M587" s="57">
        <f>F602+F603+F604</f>
        <v>2703</v>
      </c>
      <c r="N587" s="57">
        <v>0</v>
      </c>
      <c r="O587" s="57">
        <f>F605+F606+F615</f>
        <v>7952</v>
      </c>
      <c r="P587" s="57">
        <f>SUM(K587:O587)</f>
        <v>15032</v>
      </c>
      <c r="Q587" s="58">
        <v>0</v>
      </c>
      <c r="R587" s="59">
        <f>+F616</f>
        <v>6198</v>
      </c>
      <c r="S587" s="59">
        <v>0</v>
      </c>
      <c r="T587" s="10"/>
      <c r="U587" s="17"/>
      <c r="V587" s="10"/>
      <c r="W587" s="10"/>
      <c r="X587" s="10"/>
    </row>
    <row r="588" spans="1:24">
      <c r="A588" s="614"/>
      <c r="B588" s="11"/>
      <c r="C588" s="10"/>
      <c r="D588" s="10"/>
      <c r="E588" s="12"/>
      <c r="F588" s="76"/>
      <c r="G588" s="10"/>
      <c r="H588" s="10"/>
      <c r="I588" s="10"/>
      <c r="J588" s="10" t="s">
        <v>42</v>
      </c>
      <c r="K588" s="63">
        <f>K580</f>
        <v>2</v>
      </c>
      <c r="L588" s="63">
        <f>L580</f>
        <v>3</v>
      </c>
      <c r="M588" s="63">
        <f>M580</f>
        <v>3</v>
      </c>
      <c r="N588" s="63">
        <f>N580</f>
        <v>0</v>
      </c>
      <c r="O588" s="63">
        <f>O580</f>
        <v>3</v>
      </c>
      <c r="P588" s="63">
        <f>P580</f>
        <v>11</v>
      </c>
      <c r="Q588" s="63">
        <f>Q580</f>
        <v>0</v>
      </c>
      <c r="R588" s="63"/>
      <c r="S588" s="10"/>
      <c r="T588" s="10"/>
      <c r="U588" s="17"/>
      <c r="V588" s="10"/>
      <c r="W588" s="10"/>
      <c r="X588" s="10"/>
    </row>
    <row r="589" spans="1:24">
      <c r="A589" s="614"/>
      <c r="B589" s="11"/>
      <c r="C589" s="10"/>
      <c r="D589" s="10"/>
      <c r="E589" s="10"/>
      <c r="F589" s="10"/>
      <c r="G589" s="10"/>
      <c r="H589" s="10"/>
      <c r="I589" s="10"/>
      <c r="J589" s="10" t="s">
        <v>44</v>
      </c>
      <c r="K589" s="63">
        <f>K581</f>
        <v>8</v>
      </c>
      <c r="L589" s="63">
        <f>L581</f>
        <v>5</v>
      </c>
      <c r="M589" s="63">
        <f>M581</f>
        <v>2</v>
      </c>
      <c r="N589" s="63">
        <f>N581</f>
        <v>2</v>
      </c>
      <c r="O589" s="63">
        <f>O581</f>
        <v>3</v>
      </c>
      <c r="P589" s="63">
        <f>P581</f>
        <v>20</v>
      </c>
      <c r="Q589" s="63">
        <f>Q581</f>
        <v>0</v>
      </c>
      <c r="R589" s="63"/>
      <c r="S589" s="10"/>
      <c r="T589" s="10"/>
      <c r="U589" s="17"/>
      <c r="V589" s="10"/>
      <c r="W589" s="10"/>
      <c r="X589" s="10"/>
    </row>
    <row r="590" spans="1:24">
      <c r="A590" s="614"/>
      <c r="B590" s="11"/>
      <c r="C590" s="10"/>
      <c r="D590" s="10"/>
      <c r="E590" s="12"/>
      <c r="F590" s="76"/>
      <c r="G590" s="10"/>
      <c r="H590" s="10"/>
      <c r="I590" s="10"/>
      <c r="J590" s="10" t="s">
        <v>46</v>
      </c>
      <c r="K590" s="31">
        <f>K588/(K588+K589)</f>
        <v>0.2</v>
      </c>
      <c r="L590" s="31">
        <f>L588/(L588+L589)</f>
        <v>0.375</v>
      </c>
      <c r="M590" s="31">
        <f>M588/(M588+M589)</f>
        <v>0.6</v>
      </c>
      <c r="N590" s="31">
        <f>N588/(N588+N589)</f>
        <v>0</v>
      </c>
      <c r="O590" s="31">
        <f>O588/(O588+O589)</f>
        <v>0.5</v>
      </c>
      <c r="P590" s="31">
        <f>P588/(P588+P589)</f>
        <v>0.35483870967741937</v>
      </c>
      <c r="Q590" s="31" t="e">
        <f>Q588/(Q588+Q589)</f>
        <v>#DIV/0!</v>
      </c>
      <c r="R590" s="63"/>
      <c r="S590" s="10"/>
      <c r="T590" s="10"/>
      <c r="U590" s="17"/>
      <c r="V590" s="10"/>
      <c r="W590" s="10"/>
      <c r="X590" s="10"/>
    </row>
    <row r="591" spans="1:24">
      <c r="A591" s="614"/>
      <c r="B591" s="11"/>
      <c r="C591" s="10"/>
      <c r="D591" s="10"/>
      <c r="E591" s="10"/>
      <c r="F591" s="10"/>
      <c r="G591" s="10"/>
      <c r="H591" s="10"/>
      <c r="I591" s="10"/>
      <c r="J591" s="10" t="s">
        <v>48</v>
      </c>
      <c r="K591" s="66">
        <f>K587/K588</f>
        <v>909.5</v>
      </c>
      <c r="L591" s="66">
        <f>L587/L588</f>
        <v>852.66666666666663</v>
      </c>
      <c r="M591" s="66">
        <f>M587/M588</f>
        <v>901</v>
      </c>
      <c r="N591" s="66" t="e">
        <f>N587/N588</f>
        <v>#DIV/0!</v>
      </c>
      <c r="O591" s="66">
        <f>O587/O588</f>
        <v>2650.6666666666665</v>
      </c>
      <c r="P591" s="66">
        <f>P587/P588</f>
        <v>1366.5454545454545</v>
      </c>
      <c r="Q591" s="66" t="e">
        <f>Q587/Q588</f>
        <v>#DIV/0!</v>
      </c>
      <c r="R591" s="63"/>
      <c r="S591" s="10"/>
      <c r="T591" s="10"/>
      <c r="U591" s="17"/>
      <c r="V591" s="10"/>
      <c r="W591" s="10"/>
      <c r="X591" s="10"/>
    </row>
    <row r="592" spans="1:24">
      <c r="A592" s="614"/>
      <c r="B592" s="11"/>
      <c r="C592" s="10"/>
      <c r="D592" s="10"/>
      <c r="E592" s="10"/>
      <c r="F592" s="10"/>
      <c r="G592" s="10"/>
      <c r="H592" s="10"/>
      <c r="I592" s="10"/>
      <c r="J592" s="10"/>
      <c r="K592" s="10"/>
      <c r="L592" s="10"/>
      <c r="M592" s="10"/>
      <c r="N592" s="10"/>
      <c r="O592" s="10"/>
      <c r="P592" s="10"/>
      <c r="Q592" s="10"/>
      <c r="R592" s="10"/>
      <c r="S592" s="10"/>
      <c r="T592" s="10"/>
      <c r="U592" s="17"/>
      <c r="V592" s="10"/>
      <c r="W592" s="10"/>
      <c r="X592" s="10"/>
    </row>
    <row r="593" spans="1:24">
      <c r="A593" s="614"/>
      <c r="B593" s="11"/>
      <c r="C593" s="10"/>
      <c r="D593" s="10"/>
      <c r="E593" s="10"/>
      <c r="F593" s="10"/>
      <c r="G593" s="10"/>
      <c r="H593" s="10"/>
      <c r="I593" s="10"/>
      <c r="J593" s="10"/>
      <c r="K593" s="10"/>
      <c r="L593" s="10"/>
      <c r="M593" s="10"/>
      <c r="N593" s="10"/>
      <c r="O593" s="10"/>
      <c r="P593" s="10"/>
      <c r="Q593" s="10"/>
      <c r="R593" s="10"/>
      <c r="S593" s="10"/>
      <c r="T593" s="10"/>
      <c r="U593" s="17"/>
      <c r="V593" s="10"/>
      <c r="W593" s="10"/>
      <c r="X593" s="10"/>
    </row>
    <row r="594" spans="1:24">
      <c r="A594" s="614"/>
      <c r="B594" s="18" t="s">
        <v>51</v>
      </c>
      <c r="C594" s="14"/>
      <c r="D594" s="14"/>
      <c r="E594" s="14"/>
      <c r="F594" s="13" t="s">
        <v>52</v>
      </c>
      <c r="G594" s="14"/>
      <c r="H594" s="14"/>
      <c r="I594" s="14"/>
      <c r="J594" s="14"/>
      <c r="K594" s="13" t="s">
        <v>3</v>
      </c>
      <c r="L594" s="14"/>
      <c r="M594" s="14"/>
      <c r="N594" s="13" t="s">
        <v>4</v>
      </c>
      <c r="O594" s="14"/>
      <c r="P594" s="14"/>
      <c r="Q594" s="13" t="s">
        <v>5</v>
      </c>
      <c r="R594" s="14"/>
      <c r="S594" s="14"/>
      <c r="T594" s="18"/>
      <c r="U594" s="16" t="s">
        <v>53</v>
      </c>
      <c r="V594" s="77"/>
      <c r="W594" s="77"/>
      <c r="X594" s="77"/>
    </row>
    <row r="595" spans="1:24">
      <c r="A595" s="614"/>
      <c r="B595" s="24" t="s">
        <v>54</v>
      </c>
      <c r="C595" s="21" t="s">
        <v>55</v>
      </c>
      <c r="D595" s="21" t="s">
        <v>56</v>
      </c>
      <c r="E595" s="21" t="s">
        <v>57</v>
      </c>
      <c r="F595" s="20" t="s">
        <v>58</v>
      </c>
      <c r="G595" s="21" t="s">
        <v>59</v>
      </c>
      <c r="H595" s="21" t="s">
        <v>60</v>
      </c>
      <c r="I595" s="21" t="s">
        <v>26</v>
      </c>
      <c r="J595" s="22" t="s">
        <v>61</v>
      </c>
      <c r="K595" s="21" t="s">
        <v>8</v>
      </c>
      <c r="L595" s="21" t="s">
        <v>9</v>
      </c>
      <c r="M595" s="21" t="s">
        <v>10</v>
      </c>
      <c r="N595" s="20" t="s">
        <v>11</v>
      </c>
      <c r="O595" s="21" t="s">
        <v>12</v>
      </c>
      <c r="P595" s="22" t="s">
        <v>13</v>
      </c>
      <c r="Q595" s="21" t="s">
        <v>11</v>
      </c>
      <c r="R595" s="21" t="s">
        <v>12</v>
      </c>
      <c r="S595" s="21" t="s">
        <v>13</v>
      </c>
      <c r="T595" s="78" t="s">
        <v>14</v>
      </c>
      <c r="U595" s="30"/>
      <c r="V595" s="79" t="s">
        <v>62</v>
      </c>
      <c r="W595" s="80" t="s">
        <v>63</v>
      </c>
      <c r="X595" s="81" t="s">
        <v>64</v>
      </c>
    </row>
    <row r="596" spans="1:24">
      <c r="A596" s="614"/>
      <c r="B596" s="4" t="s">
        <v>65</v>
      </c>
      <c r="C596" s="6"/>
      <c r="D596" s="6"/>
      <c r="E596" s="6"/>
      <c r="F596" s="6"/>
      <c r="G596" s="6"/>
      <c r="H596" s="6"/>
      <c r="I596" s="82"/>
      <c r="J596" s="6"/>
      <c r="K596" s="6"/>
      <c r="L596" s="6"/>
      <c r="M596" s="6"/>
      <c r="N596" s="6"/>
      <c r="O596" s="6"/>
      <c r="P596" s="6"/>
      <c r="Q596" s="6"/>
      <c r="R596" s="6"/>
      <c r="S596" s="6"/>
      <c r="T596" s="83"/>
      <c r="U596" s="6"/>
      <c r="V596" s="84"/>
      <c r="W596" s="85"/>
      <c r="X596" s="86"/>
    </row>
    <row r="597" spans="1:24">
      <c r="A597" s="614"/>
      <c r="B597" s="87">
        <v>1</v>
      </c>
      <c r="C597" s="638">
        <v>45915</v>
      </c>
      <c r="D597" s="327">
        <v>73296</v>
      </c>
      <c r="E597" s="276" t="s">
        <v>1008</v>
      </c>
      <c r="F597" s="277">
        <v>681</v>
      </c>
      <c r="G597" s="277"/>
      <c r="H597" s="297"/>
      <c r="I597" s="278">
        <f>F597-G597-H597</f>
        <v>681</v>
      </c>
      <c r="J597" s="279" t="s">
        <v>156</v>
      </c>
      <c r="K597" s="279">
        <v>1</v>
      </c>
      <c r="L597" s="279">
        <v>1</v>
      </c>
      <c r="M597" s="279">
        <v>1</v>
      </c>
      <c r="N597" s="279">
        <v>1</v>
      </c>
      <c r="O597" s="279">
        <v>1</v>
      </c>
      <c r="P597" s="279">
        <v>1</v>
      </c>
      <c r="Q597" s="279">
        <v>1</v>
      </c>
      <c r="R597" s="279">
        <v>1</v>
      </c>
      <c r="S597" s="280">
        <v>1</v>
      </c>
      <c r="T597" s="63"/>
      <c r="U597" s="10"/>
      <c r="V597" s="90">
        <f>75+674.1</f>
        <v>749.1</v>
      </c>
      <c r="W597" s="91"/>
      <c r="X597" s="92"/>
    </row>
    <row r="598" spans="1:24">
      <c r="A598" s="614"/>
      <c r="B598" s="87">
        <f t="shared" ref="B598:B605" si="104">B597+1</f>
        <v>2</v>
      </c>
      <c r="C598" s="639">
        <v>45915</v>
      </c>
      <c r="D598" s="346">
        <v>73327</v>
      </c>
      <c r="E598" s="10" t="s">
        <v>168</v>
      </c>
      <c r="F598" s="62">
        <v>1138</v>
      </c>
      <c r="G598" s="62">
        <f>39.7</f>
        <v>39.700000000000003</v>
      </c>
      <c r="H598" s="62"/>
      <c r="I598" s="369">
        <f>F598-G598-H598</f>
        <v>1098.3</v>
      </c>
      <c r="J598" s="63" t="s">
        <v>156</v>
      </c>
      <c r="K598" s="63">
        <v>1</v>
      </c>
      <c r="L598" s="63">
        <v>1</v>
      </c>
      <c r="M598" s="325">
        <v>0</v>
      </c>
      <c r="N598" s="63">
        <v>1</v>
      </c>
      <c r="O598" s="63">
        <v>1</v>
      </c>
      <c r="P598" s="63">
        <v>1</v>
      </c>
      <c r="Q598" s="325">
        <v>0</v>
      </c>
      <c r="R598" s="325">
        <v>0</v>
      </c>
      <c r="S598" s="326">
        <v>0</v>
      </c>
      <c r="T598" s="63"/>
      <c r="U598" s="10" t="s">
        <v>1146</v>
      </c>
      <c r="V598" s="90">
        <f>126+1125.8</f>
        <v>1251.8</v>
      </c>
      <c r="W598" s="91"/>
      <c r="X598" s="92"/>
    </row>
    <row r="599" spans="1:24">
      <c r="A599" s="613"/>
      <c r="B599" s="87">
        <f t="shared" si="104"/>
        <v>3</v>
      </c>
      <c r="C599" s="638">
        <v>45916</v>
      </c>
      <c r="D599" s="327">
        <v>73319</v>
      </c>
      <c r="E599" s="276" t="s">
        <v>1062</v>
      </c>
      <c r="F599" s="277">
        <v>1196</v>
      </c>
      <c r="G599" s="277">
        <f>39.7+(127.92)</f>
        <v>167.62</v>
      </c>
      <c r="H599" s="277"/>
      <c r="I599" s="278">
        <f>F599-G599-H599</f>
        <v>1028.3800000000001</v>
      </c>
      <c r="J599" s="279" t="s">
        <v>156</v>
      </c>
      <c r="K599" s="279">
        <v>1</v>
      </c>
      <c r="L599" s="279">
        <v>1</v>
      </c>
      <c r="M599" s="279">
        <v>1</v>
      </c>
      <c r="N599" s="279">
        <v>1</v>
      </c>
      <c r="O599" s="279">
        <v>1</v>
      </c>
      <c r="P599" s="279">
        <v>1</v>
      </c>
      <c r="Q599" s="279">
        <v>1</v>
      </c>
      <c r="R599" s="279">
        <v>1</v>
      </c>
      <c r="S599" s="280">
        <v>1</v>
      </c>
      <c r="T599" s="21">
        <v>1</v>
      </c>
      <c r="U599" s="10"/>
      <c r="V599" s="90">
        <f>131.56+1184.04</f>
        <v>1315.6</v>
      </c>
      <c r="W599" s="91"/>
      <c r="X599" s="92"/>
    </row>
    <row r="600" spans="1:24">
      <c r="A600" s="614" t="s">
        <v>230</v>
      </c>
      <c r="B600" s="87">
        <f t="shared" si="104"/>
        <v>4</v>
      </c>
      <c r="C600" s="639">
        <v>45916</v>
      </c>
      <c r="D600" s="323">
        <v>73344</v>
      </c>
      <c r="E600" s="94" t="s">
        <v>1115</v>
      </c>
      <c r="F600" s="62">
        <v>681</v>
      </c>
      <c r="G600" s="62"/>
      <c r="H600" s="62"/>
      <c r="I600" s="369">
        <f>F600-G600-H600</f>
        <v>681</v>
      </c>
      <c r="J600" s="63" t="s">
        <v>156</v>
      </c>
      <c r="K600" s="63">
        <v>1</v>
      </c>
      <c r="L600" s="63">
        <v>1</v>
      </c>
      <c r="M600" s="63">
        <v>1</v>
      </c>
      <c r="N600" s="63">
        <v>1</v>
      </c>
      <c r="O600" s="63">
        <v>1</v>
      </c>
      <c r="P600" s="63">
        <v>1</v>
      </c>
      <c r="Q600" s="63">
        <v>1</v>
      </c>
      <c r="R600" s="63">
        <v>1</v>
      </c>
      <c r="S600" s="296">
        <v>1</v>
      </c>
      <c r="T600" s="63"/>
      <c r="U600" s="10"/>
      <c r="V600" s="90">
        <f>75+674.1</f>
        <v>749.1</v>
      </c>
      <c r="W600" s="91"/>
      <c r="X600" s="92"/>
    </row>
    <row r="601" spans="1:24">
      <c r="A601" s="614"/>
      <c r="B601" s="87">
        <f t="shared" si="104"/>
        <v>5</v>
      </c>
      <c r="C601" s="639">
        <v>45916</v>
      </c>
      <c r="D601" s="323">
        <v>73359</v>
      </c>
      <c r="E601" s="94" t="s">
        <v>1115</v>
      </c>
      <c r="F601" s="62">
        <v>681</v>
      </c>
      <c r="G601" s="62"/>
      <c r="H601" s="62"/>
      <c r="I601" s="369">
        <f>F601-G601-H601</f>
        <v>681</v>
      </c>
      <c r="J601" s="63" t="s">
        <v>156</v>
      </c>
      <c r="K601" s="63">
        <v>1</v>
      </c>
      <c r="L601" s="63">
        <v>1</v>
      </c>
      <c r="M601" s="63">
        <v>1</v>
      </c>
      <c r="N601" s="63">
        <v>1</v>
      </c>
      <c r="O601" s="63">
        <v>1</v>
      </c>
      <c r="P601" s="63">
        <v>1</v>
      </c>
      <c r="Q601" s="63">
        <v>1</v>
      </c>
      <c r="R601" s="63">
        <v>1</v>
      </c>
      <c r="S601" s="296">
        <v>1</v>
      </c>
      <c r="T601" s="63"/>
      <c r="U601" s="10" t="s">
        <v>1147</v>
      </c>
      <c r="V601" s="90">
        <f>75+674.1</f>
        <v>749.1</v>
      </c>
      <c r="W601" s="91"/>
      <c r="X601" s="92"/>
    </row>
    <row r="602" spans="1:24">
      <c r="A602" s="614"/>
      <c r="B602" s="87">
        <f t="shared" si="104"/>
        <v>6</v>
      </c>
      <c r="C602" s="638">
        <v>45917</v>
      </c>
      <c r="D602" s="327">
        <v>73389</v>
      </c>
      <c r="E602" s="276" t="s">
        <v>1148</v>
      </c>
      <c r="F602" s="277">
        <v>1281</v>
      </c>
      <c r="G602" s="277">
        <f>39.7</f>
        <v>39.700000000000003</v>
      </c>
      <c r="H602" s="297"/>
      <c r="I602" s="278">
        <f>F602-G602-H602</f>
        <v>1241.3</v>
      </c>
      <c r="J602" s="279" t="s">
        <v>156</v>
      </c>
      <c r="K602" s="279">
        <v>1</v>
      </c>
      <c r="L602" s="279">
        <v>1</v>
      </c>
      <c r="M602" s="279">
        <v>1</v>
      </c>
      <c r="N602" s="279">
        <v>1</v>
      </c>
      <c r="O602" s="279">
        <v>1</v>
      </c>
      <c r="P602" s="279">
        <v>1</v>
      </c>
      <c r="Q602" s="279">
        <v>1</v>
      </c>
      <c r="R602" s="279">
        <v>1</v>
      </c>
      <c r="S602" s="280">
        <v>1</v>
      </c>
      <c r="T602" s="63"/>
      <c r="U602" s="10"/>
      <c r="V602" s="90">
        <f>141+1268.1</f>
        <v>1409.1</v>
      </c>
      <c r="W602" s="91"/>
      <c r="X602" s="92"/>
    </row>
    <row r="603" spans="1:24">
      <c r="A603" s="614"/>
      <c r="B603" s="87">
        <f t="shared" si="104"/>
        <v>7</v>
      </c>
      <c r="C603" s="639">
        <v>45917</v>
      </c>
      <c r="D603" s="323" t="s">
        <v>1149</v>
      </c>
      <c r="E603" s="10" t="s">
        <v>1148</v>
      </c>
      <c r="F603" s="62">
        <v>1138</v>
      </c>
      <c r="G603" s="62">
        <f>39.7+(22.21)</f>
        <v>61.910000000000004</v>
      </c>
      <c r="H603" s="88"/>
      <c r="I603" s="324">
        <f>F603-G603-H603</f>
        <v>1076.0899999999999</v>
      </c>
      <c r="J603" s="63" t="s">
        <v>156</v>
      </c>
      <c r="K603" s="63">
        <v>1</v>
      </c>
      <c r="L603" s="325">
        <v>0</v>
      </c>
      <c r="M603" s="63">
        <v>1</v>
      </c>
      <c r="N603" s="63">
        <v>1</v>
      </c>
      <c r="O603" s="63">
        <v>1</v>
      </c>
      <c r="P603" s="63">
        <v>1</v>
      </c>
      <c r="Q603" s="63">
        <v>1</v>
      </c>
      <c r="R603" s="63">
        <v>1</v>
      </c>
      <c r="S603" s="296">
        <v>1</v>
      </c>
      <c r="T603" s="21">
        <v>1</v>
      </c>
      <c r="U603" s="10"/>
      <c r="V603" s="90">
        <f>125+1126.8</f>
        <v>1251.8</v>
      </c>
      <c r="W603" s="91"/>
      <c r="X603" s="92"/>
    </row>
    <row r="604" spans="1:24">
      <c r="A604" s="614"/>
      <c r="B604" s="87">
        <f t="shared" si="104"/>
        <v>8</v>
      </c>
      <c r="C604" s="639">
        <v>45917</v>
      </c>
      <c r="D604" s="323">
        <v>73387</v>
      </c>
      <c r="E604" s="10" t="s">
        <v>1150</v>
      </c>
      <c r="F604" s="62">
        <v>284</v>
      </c>
      <c r="G604" s="62"/>
      <c r="H604" s="88"/>
      <c r="I604" s="369">
        <f>F604-G604-H604</f>
        <v>284</v>
      </c>
      <c r="J604" s="63" t="s">
        <v>156</v>
      </c>
      <c r="K604" s="63">
        <v>1</v>
      </c>
      <c r="L604" s="63">
        <v>1</v>
      </c>
      <c r="M604" s="63">
        <v>1</v>
      </c>
      <c r="N604" s="63">
        <v>1</v>
      </c>
      <c r="O604" s="63">
        <v>1</v>
      </c>
      <c r="P604" s="63">
        <v>1</v>
      </c>
      <c r="Q604" s="63">
        <v>1</v>
      </c>
      <c r="R604" s="63">
        <v>1</v>
      </c>
      <c r="S604" s="296">
        <v>1</v>
      </c>
      <c r="T604" s="21">
        <v>1</v>
      </c>
      <c r="U604" s="10" t="s">
        <v>1151</v>
      </c>
      <c r="V604" s="90">
        <f>32+280.4</f>
        <v>312.39999999999998</v>
      </c>
      <c r="W604" s="91"/>
      <c r="X604" s="92"/>
    </row>
    <row r="605" spans="1:24">
      <c r="A605" s="614"/>
      <c r="B605" s="87">
        <f t="shared" si="104"/>
        <v>9</v>
      </c>
      <c r="C605" s="638">
        <v>45919</v>
      </c>
      <c r="D605" s="327">
        <v>73453</v>
      </c>
      <c r="E605" s="276" t="s">
        <v>728</v>
      </c>
      <c r="F605" s="277">
        <v>1138</v>
      </c>
      <c r="G605" s="277">
        <f>39.7</f>
        <v>39.700000000000003</v>
      </c>
      <c r="H605" s="297"/>
      <c r="I605" s="278">
        <f>F605-G605-H605</f>
        <v>1098.3</v>
      </c>
      <c r="J605" s="279" t="s">
        <v>156</v>
      </c>
      <c r="K605" s="279">
        <v>1</v>
      </c>
      <c r="L605" s="279">
        <v>1</v>
      </c>
      <c r="M605" s="279">
        <v>1</v>
      </c>
      <c r="N605" s="279">
        <v>1</v>
      </c>
      <c r="O605" s="279">
        <v>1</v>
      </c>
      <c r="P605" s="279">
        <v>1</v>
      </c>
      <c r="Q605" s="279">
        <v>1</v>
      </c>
      <c r="R605" s="279">
        <v>1</v>
      </c>
      <c r="S605" s="280">
        <v>1</v>
      </c>
      <c r="T605" s="21">
        <v>1</v>
      </c>
      <c r="U605" s="10"/>
      <c r="V605" s="90">
        <f>126+1125.8</f>
        <v>1251.8</v>
      </c>
      <c r="W605" s="91"/>
      <c r="X605" s="92"/>
    </row>
    <row r="606" spans="1:24">
      <c r="A606" s="614"/>
      <c r="B606" s="87">
        <f>B605+1</f>
        <v>10</v>
      </c>
      <c r="C606" s="640">
        <v>45919</v>
      </c>
      <c r="D606" s="330">
        <v>73465</v>
      </c>
      <c r="E606" s="283" t="s">
        <v>169</v>
      </c>
      <c r="F606" s="284">
        <v>616</v>
      </c>
      <c r="G606" s="284"/>
      <c r="H606" s="284"/>
      <c r="I606" s="285">
        <f>F606-G606-H606</f>
        <v>616</v>
      </c>
      <c r="J606" s="286" t="s">
        <v>817</v>
      </c>
      <c r="K606" s="286">
        <v>1</v>
      </c>
      <c r="L606" s="286">
        <v>1</v>
      </c>
      <c r="M606" s="286">
        <v>1</v>
      </c>
      <c r="N606" s="286">
        <v>1</v>
      </c>
      <c r="O606" s="286">
        <v>1</v>
      </c>
      <c r="P606" s="286">
        <v>1</v>
      </c>
      <c r="Q606" s="286">
        <v>1</v>
      </c>
      <c r="R606" s="286">
        <v>1</v>
      </c>
      <c r="S606" s="287">
        <v>1</v>
      </c>
      <c r="T606" s="63"/>
      <c r="U606" s="10"/>
      <c r="V606" s="90">
        <v>607.6</v>
      </c>
      <c r="W606" s="367">
        <f>70</f>
        <v>70</v>
      </c>
      <c r="X606" s="92"/>
    </row>
    <row r="607" spans="1:24">
      <c r="A607" s="614"/>
      <c r="B607" s="87"/>
      <c r="C607" s="621"/>
      <c r="D607" s="10"/>
      <c r="E607" s="10"/>
      <c r="F607" s="98">
        <f>SUM(F597:F606)</f>
        <v>8834</v>
      </c>
      <c r="G607" s="98">
        <f>SUM(G597:G606)</f>
        <v>348.63</v>
      </c>
      <c r="H607" s="98">
        <f>SUM(H597:H606)</f>
        <v>0</v>
      </c>
      <c r="I607" s="98">
        <f>SUM(I597:I606)</f>
        <v>8485.3700000000008</v>
      </c>
      <c r="J607" s="63"/>
      <c r="K607" s="63">
        <f>COUNT(K597:K606)</f>
        <v>10</v>
      </c>
      <c r="L607" s="63">
        <f>COUNT(L597:L606)</f>
        <v>10</v>
      </c>
      <c r="M607" s="63">
        <f>COUNT(M597:M606)</f>
        <v>10</v>
      </c>
      <c r="N607" s="63">
        <f>COUNT(N597:N606)</f>
        <v>10</v>
      </c>
      <c r="O607" s="63">
        <f>COUNT(O597:O606)</f>
        <v>10</v>
      </c>
      <c r="P607" s="63">
        <f>COUNT(P597:P606)</f>
        <v>10</v>
      </c>
      <c r="Q607" s="63">
        <f>COUNT(Q597:Q606)</f>
        <v>10</v>
      </c>
      <c r="R607" s="63">
        <f>COUNT(R597:R606)</f>
        <v>10</v>
      </c>
      <c r="S607" s="63">
        <f>COUNT(S597:S606)</f>
        <v>10</v>
      </c>
      <c r="T607" s="63"/>
      <c r="U607" s="10"/>
      <c r="V607" s="90"/>
      <c r="W607" s="91"/>
      <c r="X607" s="92"/>
    </row>
    <row r="608" spans="1:24">
      <c r="A608" s="614"/>
      <c r="B608" s="87"/>
      <c r="C608" s="621"/>
      <c r="D608" s="10"/>
      <c r="E608" s="10"/>
      <c r="F608" s="88"/>
      <c r="G608" s="88"/>
      <c r="H608" s="88"/>
      <c r="I608" s="99"/>
      <c r="J608" s="63"/>
      <c r="K608" s="21">
        <f>SUM(K597:K606)</f>
        <v>10</v>
      </c>
      <c r="L608" s="21">
        <f>SUM(L597:L606)</f>
        <v>9</v>
      </c>
      <c r="M608" s="21">
        <f>SUM(M597:M606)</f>
        <v>9</v>
      </c>
      <c r="N608" s="21">
        <f>SUM(N597:N606)</f>
        <v>10</v>
      </c>
      <c r="O608" s="21">
        <f>SUM(O597:O606)</f>
        <v>10</v>
      </c>
      <c r="P608" s="21">
        <f>SUM(P597:P606)</f>
        <v>10</v>
      </c>
      <c r="Q608" s="21">
        <f>SUM(Q597:Q606)</f>
        <v>9</v>
      </c>
      <c r="R608" s="21">
        <f>SUM(R597:R606)</f>
        <v>9</v>
      </c>
      <c r="S608" s="21">
        <f>SUM(S597:S606)</f>
        <v>9</v>
      </c>
      <c r="T608" s="63"/>
      <c r="U608" s="10"/>
      <c r="V608" s="90"/>
      <c r="W608" s="91"/>
      <c r="X608" s="92"/>
    </row>
    <row r="609" spans="1:25">
      <c r="A609" s="614"/>
      <c r="B609" s="11"/>
      <c r="C609" s="621"/>
      <c r="D609" s="10"/>
      <c r="E609" s="10"/>
      <c r="F609" s="88"/>
      <c r="G609" s="88"/>
      <c r="H609" s="88"/>
      <c r="I609" s="99"/>
      <c r="J609" s="63"/>
      <c r="K609" s="21"/>
      <c r="L609" s="21"/>
      <c r="M609" s="21"/>
      <c r="N609" s="21"/>
      <c r="O609" s="21"/>
      <c r="P609" s="21"/>
      <c r="Q609" s="21"/>
      <c r="R609" s="21"/>
      <c r="S609" s="21"/>
      <c r="T609" s="63"/>
      <c r="U609" s="94"/>
      <c r="V609" s="90"/>
      <c r="W609" s="91"/>
      <c r="X609" s="92"/>
    </row>
    <row r="610" spans="1:25">
      <c r="A610" s="614"/>
      <c r="B610" s="100" t="s">
        <v>67</v>
      </c>
      <c r="C610" s="621"/>
      <c r="D610" s="10"/>
      <c r="E610" s="10"/>
      <c r="F610" s="88"/>
      <c r="G610" s="62"/>
      <c r="H610" s="88"/>
      <c r="I610" s="99"/>
      <c r="J610" s="63"/>
      <c r="K610" s="2"/>
      <c r="L610" s="2"/>
      <c r="M610" s="2"/>
      <c r="N610" s="2"/>
      <c r="O610" s="2"/>
      <c r="P610" s="2"/>
      <c r="Q610" s="2"/>
      <c r="R610" s="2"/>
      <c r="S610" s="2"/>
      <c r="T610" s="63"/>
      <c r="U610" s="94"/>
      <c r="V610" s="90"/>
      <c r="W610" s="91"/>
      <c r="X610" s="92"/>
    </row>
    <row r="611" spans="1:25">
      <c r="A611" s="494">
        <v>0.05</v>
      </c>
      <c r="B611" s="87">
        <v>1</v>
      </c>
      <c r="C611" s="641">
        <v>45909</v>
      </c>
      <c r="D611" s="263" t="s">
        <v>1129</v>
      </c>
      <c r="E611" s="271" t="s">
        <v>1117</v>
      </c>
      <c r="F611" s="265">
        <v>14592.6</v>
      </c>
      <c r="G611" s="265">
        <f>39.7+(143.42+50.2+92.81+59.74)+(53.2+39.58+43.63)+1000</f>
        <v>1522.28</v>
      </c>
      <c r="H611" s="265"/>
      <c r="I611" s="272">
        <f>F611-G611-H611</f>
        <v>13070.32</v>
      </c>
      <c r="J611" s="267" t="s">
        <v>156</v>
      </c>
      <c r="K611" s="267">
        <v>1</v>
      </c>
      <c r="L611" s="267">
        <v>1</v>
      </c>
      <c r="M611" s="267">
        <v>1</v>
      </c>
      <c r="N611" s="267">
        <v>1</v>
      </c>
      <c r="O611" s="267">
        <v>1</v>
      </c>
      <c r="P611" s="267">
        <v>1</v>
      </c>
      <c r="Q611" s="267">
        <v>1</v>
      </c>
      <c r="R611" s="267">
        <v>1</v>
      </c>
      <c r="S611" s="269">
        <v>1</v>
      </c>
      <c r="T611" s="63"/>
      <c r="U611" s="94" t="s">
        <v>1152</v>
      </c>
      <c r="V611" s="90">
        <f>646.66</f>
        <v>646.66</v>
      </c>
      <c r="W611" s="136"/>
      <c r="X611" s="137"/>
      <c r="Y611" s="181"/>
    </row>
    <row r="612" spans="1:25">
      <c r="A612" s="614"/>
      <c r="B612" s="11"/>
      <c r="C612" s="621"/>
      <c r="D612" s="10"/>
      <c r="E612" s="10"/>
      <c r="F612" s="97">
        <f>SUM(F611:F611)</f>
        <v>14592.6</v>
      </c>
      <c r="G612" s="97">
        <f>SUM(G611:G611)</f>
        <v>1522.28</v>
      </c>
      <c r="H612" s="97">
        <f>SUM(H611:H611)</f>
        <v>0</v>
      </c>
      <c r="I612" s="98">
        <f>SUM(I611:I611)</f>
        <v>13070.32</v>
      </c>
      <c r="J612" s="63"/>
      <c r="K612" s="21"/>
      <c r="L612" s="21"/>
      <c r="M612" s="21"/>
      <c r="N612" s="21"/>
      <c r="O612" s="21"/>
      <c r="P612" s="21"/>
      <c r="Q612" s="21"/>
      <c r="R612" s="21"/>
      <c r="S612" s="21"/>
      <c r="T612" s="63"/>
      <c r="U612" s="94"/>
      <c r="V612" s="90"/>
      <c r="W612" s="91"/>
      <c r="X612" s="92"/>
    </row>
    <row r="613" spans="1:25">
      <c r="A613" s="614"/>
      <c r="B613" s="11"/>
      <c r="C613" s="621"/>
      <c r="D613" s="10"/>
      <c r="E613" s="10"/>
      <c r="F613" s="88"/>
      <c r="G613" s="88"/>
      <c r="H613" s="88"/>
      <c r="I613" s="99"/>
      <c r="J613" s="63"/>
      <c r="K613" s="21"/>
      <c r="L613" s="21"/>
      <c r="M613" s="21"/>
      <c r="N613" s="21"/>
      <c r="O613" s="21"/>
      <c r="P613" s="21"/>
      <c r="Q613" s="21"/>
      <c r="R613" s="21"/>
      <c r="S613" s="21"/>
      <c r="T613" s="63"/>
      <c r="U613" s="94"/>
      <c r="V613" s="90"/>
      <c r="W613" s="91"/>
      <c r="X613" s="92"/>
    </row>
    <row r="614" spans="1:25">
      <c r="A614" s="615"/>
      <c r="B614" s="121" t="s">
        <v>70</v>
      </c>
      <c r="C614" s="621"/>
      <c r="D614" s="123"/>
      <c r="E614" s="128"/>
      <c r="F614" s="124"/>
      <c r="G614" s="124"/>
      <c r="H614" s="124"/>
      <c r="I614" s="126"/>
      <c r="J614" s="127"/>
      <c r="K614" s="64"/>
      <c r="L614" s="64"/>
      <c r="M614" s="64"/>
      <c r="N614" s="64"/>
      <c r="O614" s="64"/>
      <c r="P614" s="64"/>
      <c r="Q614" s="64"/>
      <c r="R614" s="64"/>
      <c r="S614" s="64"/>
      <c r="T614" s="127"/>
      <c r="U614" s="135"/>
      <c r="V614" s="129"/>
      <c r="W614" s="130"/>
      <c r="X614" s="131"/>
    </row>
    <row r="615" spans="1:25" s="342" customFormat="1">
      <c r="A615" s="615">
        <v>45922</v>
      </c>
      <c r="B615" s="333">
        <v>1</v>
      </c>
      <c r="C615" s="703">
        <v>45919</v>
      </c>
      <c r="D615" s="263" t="s">
        <v>1153</v>
      </c>
      <c r="E615" s="358" t="s">
        <v>169</v>
      </c>
      <c r="F615" s="352">
        <v>6198</v>
      </c>
      <c r="G615" s="352">
        <v>250</v>
      </c>
      <c r="H615" s="352"/>
      <c r="I615" s="353">
        <f>F615-G615-H615</f>
        <v>5948</v>
      </c>
      <c r="J615" s="354" t="s">
        <v>374</v>
      </c>
      <c r="K615" s="354">
        <v>1</v>
      </c>
      <c r="L615" s="354">
        <v>1</v>
      </c>
      <c r="M615" s="354">
        <v>1</v>
      </c>
      <c r="N615" s="354">
        <v>1</v>
      </c>
      <c r="O615" s="354">
        <v>1</v>
      </c>
      <c r="P615" s="354">
        <v>1</v>
      </c>
      <c r="Q615" s="354">
        <v>1</v>
      </c>
      <c r="R615" s="354">
        <v>1</v>
      </c>
      <c r="S615" s="355">
        <v>1</v>
      </c>
      <c r="T615" s="127"/>
      <c r="U615" s="135" t="s">
        <v>1154</v>
      </c>
      <c r="V615" s="129">
        <f>682+6135.8</f>
        <v>6817.8</v>
      </c>
      <c r="W615" s="340"/>
      <c r="X615" s="341"/>
    </row>
    <row r="616" spans="1:25">
      <c r="A616" s="615"/>
      <c r="B616" s="132"/>
      <c r="C616" s="621"/>
      <c r="D616" s="123"/>
      <c r="E616" s="123"/>
      <c r="F616" s="134">
        <f>SUM(F615:F615)</f>
        <v>6198</v>
      </c>
      <c r="G616" s="134">
        <f>SUM(G615:G615)</f>
        <v>250</v>
      </c>
      <c r="H616" s="134">
        <f>SUM(H615:H615)</f>
        <v>0</v>
      </c>
      <c r="I616" s="134">
        <f>SUM(I615:I615)</f>
        <v>5948</v>
      </c>
      <c r="J616" s="127"/>
      <c r="K616" s="64"/>
      <c r="L616" s="64"/>
      <c r="M616" s="64"/>
      <c r="N616" s="64"/>
      <c r="O616" s="64"/>
      <c r="P616" s="64"/>
      <c r="Q616" s="64"/>
      <c r="R616" s="64"/>
      <c r="S616" s="64"/>
      <c r="T616" s="127"/>
      <c r="U616" s="135"/>
      <c r="V616" s="129"/>
      <c r="W616" s="130"/>
      <c r="X616" s="131"/>
    </row>
    <row r="617" spans="1:25">
      <c r="A617" s="614"/>
      <c r="B617" s="11"/>
      <c r="C617" s="609"/>
      <c r="D617" s="10"/>
      <c r="E617" s="10"/>
      <c r="F617" s="88"/>
      <c r="G617" s="88"/>
      <c r="H617" s="88"/>
      <c r="I617" s="99"/>
      <c r="J617" s="63"/>
      <c r="K617" s="21"/>
      <c r="L617" s="21"/>
      <c r="M617" s="21"/>
      <c r="N617" s="21"/>
      <c r="O617" s="21"/>
      <c r="P617" s="21"/>
      <c r="Q617" s="21"/>
      <c r="R617" s="21"/>
      <c r="S617" s="21"/>
      <c r="T617" s="63"/>
      <c r="U617" s="94"/>
      <c r="V617" s="90"/>
      <c r="W617" s="91"/>
      <c r="X617" s="92"/>
    </row>
    <row r="618" spans="1:25" s="260" customFormat="1">
      <c r="A618" s="181"/>
      <c r="B618" s="100" t="s">
        <v>152</v>
      </c>
      <c r="C618" s="36"/>
      <c r="D618" s="10"/>
      <c r="E618" s="10"/>
      <c r="F618" s="88"/>
      <c r="G618" s="62"/>
      <c r="H618" s="88"/>
      <c r="I618" s="99"/>
      <c r="J618" s="10"/>
      <c r="K618" s="181"/>
      <c r="L618" s="181"/>
      <c r="M618" s="181"/>
      <c r="N618" s="181"/>
      <c r="O618" s="181"/>
      <c r="P618" s="181"/>
      <c r="Q618" s="181"/>
      <c r="R618" s="181"/>
      <c r="S618" s="181"/>
      <c r="T618" s="63"/>
      <c r="U618" s="10"/>
      <c r="V618" s="90"/>
      <c r="W618" s="91"/>
      <c r="X618" s="92"/>
      <c r="Y618" s="181"/>
    </row>
    <row r="619" spans="1:25" s="260" customFormat="1">
      <c r="A619" s="261">
        <v>0.05</v>
      </c>
      <c r="B619" s="87">
        <v>1</v>
      </c>
      <c r="C619" s="641">
        <v>45904</v>
      </c>
      <c r="D619" s="263">
        <v>72974</v>
      </c>
      <c r="E619" s="271" t="s">
        <v>1091</v>
      </c>
      <c r="F619" s="265">
        <v>542</v>
      </c>
      <c r="G619" s="265"/>
      <c r="H619" s="365"/>
      <c r="I619" s="272">
        <f>F619-G619-H619</f>
        <v>542</v>
      </c>
      <c r="J619" s="267" t="s">
        <v>185</v>
      </c>
      <c r="K619" s="267">
        <v>1</v>
      </c>
      <c r="L619" s="267">
        <v>1</v>
      </c>
      <c r="M619" s="267">
        <v>1</v>
      </c>
      <c r="N619" s="267">
        <v>1</v>
      </c>
      <c r="O619" s="267">
        <v>1</v>
      </c>
      <c r="P619" s="267">
        <v>1</v>
      </c>
      <c r="Q619" s="267">
        <v>1</v>
      </c>
      <c r="R619" s="267">
        <v>1</v>
      </c>
      <c r="S619" s="269">
        <v>1</v>
      </c>
      <c r="T619" s="21"/>
      <c r="U619" s="10"/>
      <c r="V619" s="90"/>
      <c r="W619" s="91"/>
      <c r="X619" s="92"/>
    </row>
    <row r="620" spans="1:25" s="260" customFormat="1">
      <c r="A620" s="494">
        <v>0.05</v>
      </c>
      <c r="B620" s="87">
        <f>B619+1</f>
        <v>2</v>
      </c>
      <c r="C620" s="641">
        <v>45911</v>
      </c>
      <c r="D620" s="263">
        <v>73200</v>
      </c>
      <c r="E620" s="264" t="s">
        <v>798</v>
      </c>
      <c r="F620" s="265">
        <f>2346-85</f>
        <v>2261</v>
      </c>
      <c r="G620" s="265">
        <f>39.7</f>
        <v>39.700000000000003</v>
      </c>
      <c r="H620" s="265"/>
      <c r="I620" s="272">
        <f>F620-G620-H620</f>
        <v>2221.3000000000002</v>
      </c>
      <c r="J620" s="267" t="s">
        <v>156</v>
      </c>
      <c r="K620" s="267">
        <v>1</v>
      </c>
      <c r="L620" s="267">
        <v>1</v>
      </c>
      <c r="M620" s="267">
        <v>1</v>
      </c>
      <c r="N620" s="267">
        <v>1</v>
      </c>
      <c r="O620" s="267">
        <v>1</v>
      </c>
      <c r="P620" s="267">
        <v>1</v>
      </c>
      <c r="Q620" s="267">
        <v>1</v>
      </c>
      <c r="R620" s="267">
        <v>1</v>
      </c>
      <c r="S620" s="269">
        <v>1</v>
      </c>
      <c r="T620" s="63"/>
      <c r="U620" s="10" t="s">
        <v>1128</v>
      </c>
      <c r="V620" s="90"/>
      <c r="W620" s="91"/>
      <c r="X620" s="92"/>
      <c r="Y620" s="181"/>
    </row>
    <row r="621" spans="1:25" s="260" customFormat="1">
      <c r="B621" s="11"/>
      <c r="C621" s="36"/>
      <c r="D621" s="10"/>
      <c r="E621" s="10"/>
      <c r="F621" s="98">
        <f>SUM(F619:F620)</f>
        <v>2803</v>
      </c>
      <c r="G621" s="98">
        <f>SUM(G619:G620)</f>
        <v>39.700000000000003</v>
      </c>
      <c r="H621" s="98">
        <f>SUM(H619:H620)</f>
        <v>0</v>
      </c>
      <c r="I621" s="98">
        <f>SUM(I619:I620)</f>
        <v>2763.3</v>
      </c>
      <c r="J621" s="63"/>
      <c r="K621" s="21"/>
      <c r="L621" s="21"/>
      <c r="M621" s="21"/>
      <c r="N621" s="21"/>
      <c r="O621" s="21"/>
      <c r="P621" s="21"/>
      <c r="Q621" s="21"/>
      <c r="R621" s="21"/>
      <c r="S621" s="21"/>
      <c r="T621" s="63"/>
      <c r="U621" s="94"/>
      <c r="V621" s="90"/>
      <c r="W621" s="91"/>
      <c r="X621" s="92"/>
    </row>
    <row r="622" spans="1:25" s="260" customFormat="1">
      <c r="B622" s="11"/>
      <c r="C622" s="36"/>
      <c r="D622" s="10"/>
      <c r="E622" s="10"/>
      <c r="F622" s="99"/>
      <c r="G622" s="99"/>
      <c r="H622" s="99"/>
      <c r="I622" s="99"/>
      <c r="J622" s="63"/>
      <c r="K622" s="21"/>
      <c r="L622" s="21"/>
      <c r="M622" s="21"/>
      <c r="N622" s="21"/>
      <c r="O622" s="21"/>
      <c r="P622" s="21"/>
      <c r="Q622" s="21"/>
      <c r="R622" s="21"/>
      <c r="S622" s="21"/>
      <c r="T622" s="63"/>
      <c r="U622" s="94"/>
      <c r="V622" s="90"/>
      <c r="W622" s="91"/>
      <c r="X622" s="92"/>
    </row>
    <row r="623" spans="1:25">
      <c r="A623" s="2"/>
      <c r="B623" s="11"/>
      <c r="C623" s="36"/>
      <c r="D623" s="10"/>
      <c r="E623" s="10"/>
      <c r="F623" s="88"/>
      <c r="G623" s="88"/>
      <c r="H623" s="88"/>
      <c r="I623" s="99"/>
      <c r="J623" s="63"/>
      <c r="K623" s="21"/>
      <c r="L623" s="21"/>
      <c r="M623" s="21"/>
      <c r="N623" s="21"/>
      <c r="O623" s="21"/>
      <c r="P623" s="21"/>
      <c r="Q623" s="21"/>
      <c r="R623" s="21"/>
      <c r="S623" s="21"/>
      <c r="T623" s="63"/>
      <c r="U623" s="94"/>
      <c r="V623" s="90"/>
      <c r="W623" s="91"/>
      <c r="X623" s="92"/>
    </row>
    <row r="624" spans="1:25" s="260" customFormat="1">
      <c r="B624" s="100" t="s">
        <v>202</v>
      </c>
      <c r="C624" s="36"/>
      <c r="D624" s="10"/>
      <c r="E624" s="181"/>
      <c r="F624" s="88"/>
      <c r="G624" s="88"/>
      <c r="H624" s="88"/>
      <c r="I624" s="99"/>
      <c r="J624" s="63"/>
      <c r="K624" s="21"/>
      <c r="L624" s="21"/>
      <c r="M624" s="21"/>
      <c r="N624" s="21"/>
      <c r="O624" s="21"/>
      <c r="P624" s="21"/>
      <c r="Q624" s="21"/>
      <c r="R624" s="21"/>
      <c r="S624" s="21"/>
      <c r="T624" s="63"/>
      <c r="U624" s="94"/>
      <c r="V624" s="90"/>
      <c r="W624" s="91"/>
      <c r="X624" s="92"/>
    </row>
    <row r="625" spans="1:25" s="260" customFormat="1">
      <c r="A625" s="494">
        <v>0.05</v>
      </c>
      <c r="B625" s="87">
        <v>1</v>
      </c>
      <c r="C625" s="262">
        <v>45870</v>
      </c>
      <c r="D625" s="263" t="s">
        <v>978</v>
      </c>
      <c r="E625" s="264" t="s">
        <v>274</v>
      </c>
      <c r="F625" s="265">
        <v>8641</v>
      </c>
      <c r="G625" s="265">
        <f>39.7+(113.27)+750</f>
        <v>902.97</v>
      </c>
      <c r="H625" s="365"/>
      <c r="I625" s="266">
        <f>F625-G625-H625</f>
        <v>7738.03</v>
      </c>
      <c r="J625" s="267" t="s">
        <v>156</v>
      </c>
      <c r="K625" s="267">
        <v>1</v>
      </c>
      <c r="L625" s="267">
        <v>1</v>
      </c>
      <c r="M625" s="267">
        <v>1</v>
      </c>
      <c r="N625" s="267">
        <v>1</v>
      </c>
      <c r="O625" s="267">
        <v>1</v>
      </c>
      <c r="P625" s="314">
        <v>0</v>
      </c>
      <c r="Q625" s="267">
        <v>1</v>
      </c>
      <c r="R625" s="267">
        <v>1</v>
      </c>
      <c r="S625" s="269">
        <v>1</v>
      </c>
      <c r="T625" s="63"/>
      <c r="U625" s="94" t="s">
        <v>995</v>
      </c>
      <c r="V625" s="90"/>
      <c r="W625" s="136"/>
      <c r="X625" s="137"/>
    </row>
    <row r="626" spans="1:25" s="260" customFormat="1">
      <c r="A626" s="261">
        <v>0.05</v>
      </c>
      <c r="B626" s="87">
        <f>B625+1</f>
        <v>2</v>
      </c>
      <c r="C626" s="641">
        <v>45904</v>
      </c>
      <c r="D626" s="263">
        <v>72982</v>
      </c>
      <c r="E626" s="271" t="s">
        <v>604</v>
      </c>
      <c r="F626" s="265">
        <v>1681</v>
      </c>
      <c r="G626" s="265">
        <f>39.7+398</f>
        <v>437.7</v>
      </c>
      <c r="H626" s="265"/>
      <c r="I626" s="272">
        <f>F626-G626-H626</f>
        <v>1243.3</v>
      </c>
      <c r="J626" s="267" t="s">
        <v>156</v>
      </c>
      <c r="K626" s="267">
        <v>1</v>
      </c>
      <c r="L626" s="267"/>
      <c r="M626" s="267">
        <v>1</v>
      </c>
      <c r="N626" s="267">
        <v>1</v>
      </c>
      <c r="O626" s="267">
        <v>1</v>
      </c>
      <c r="P626" s="267">
        <v>1</v>
      </c>
      <c r="Q626" s="267"/>
      <c r="R626" s="267"/>
      <c r="S626" s="269"/>
      <c r="T626" s="63"/>
      <c r="U626" s="94" t="s">
        <v>1131</v>
      </c>
      <c r="V626" s="90"/>
      <c r="W626" s="136"/>
      <c r="X626" s="137"/>
    </row>
    <row r="627" spans="1:25" s="260" customFormat="1">
      <c r="B627" s="11"/>
      <c r="C627" s="36"/>
      <c r="D627" s="10"/>
      <c r="E627" s="10"/>
      <c r="F627" s="98">
        <f>SUM(F625:F626)</f>
        <v>10322</v>
      </c>
      <c r="G627" s="98">
        <f>SUM(G625:G626)</f>
        <v>1340.67</v>
      </c>
      <c r="H627" s="98">
        <f>SUM(H625:H626)</f>
        <v>0</v>
      </c>
      <c r="I627" s="98">
        <f>SUM(I625:I626)</f>
        <v>8981.33</v>
      </c>
      <c r="J627" s="510"/>
      <c r="K627" s="21"/>
      <c r="L627" s="21"/>
      <c r="M627" s="21"/>
      <c r="N627" s="21"/>
      <c r="O627" s="21"/>
      <c r="P627" s="21"/>
      <c r="Q627" s="21"/>
      <c r="R627" s="21"/>
      <c r="S627" s="21"/>
      <c r="T627" s="63"/>
      <c r="U627" s="94"/>
      <c r="V627" s="90"/>
      <c r="W627" s="91"/>
      <c r="X627" s="92"/>
    </row>
    <row r="628" spans="1:25" s="260" customFormat="1">
      <c r="B628" s="11"/>
      <c r="C628" s="36"/>
      <c r="D628" s="10"/>
      <c r="E628" s="10"/>
      <c r="F628" s="99"/>
      <c r="G628" s="99"/>
      <c r="H628" s="99"/>
      <c r="I628" s="99"/>
      <c r="J628" s="63"/>
      <c r="K628" s="21"/>
      <c r="L628" s="21"/>
      <c r="M628" s="21"/>
      <c r="N628" s="21"/>
      <c r="O628" s="21"/>
      <c r="P628" s="21"/>
      <c r="Q628" s="21"/>
      <c r="R628" s="21"/>
      <c r="S628" s="21"/>
      <c r="T628" s="63"/>
      <c r="U628" s="94"/>
      <c r="V628" s="90"/>
      <c r="W628" s="91"/>
      <c r="X628" s="92"/>
    </row>
    <row r="629" spans="1:25">
      <c r="A629" s="614"/>
      <c r="B629" s="100" t="s">
        <v>72</v>
      </c>
      <c r="C629" s="609"/>
      <c r="D629" s="10"/>
      <c r="E629" s="10"/>
      <c r="F629" s="88"/>
      <c r="G629" s="88"/>
      <c r="H629" s="88"/>
      <c r="I629" s="99"/>
      <c r="J629" s="63"/>
      <c r="K629" s="63"/>
      <c r="L629" s="63"/>
      <c r="M629" s="63"/>
      <c r="N629" s="63"/>
      <c r="O629" s="63"/>
      <c r="P629" s="63"/>
      <c r="Q629" s="63"/>
      <c r="R629" s="63"/>
      <c r="S629" s="63"/>
      <c r="T629" s="63"/>
      <c r="U629" s="10"/>
      <c r="V629" s="90"/>
      <c r="W629" s="91"/>
      <c r="X629" s="92"/>
    </row>
    <row r="630" spans="1:25">
      <c r="A630" s="614"/>
      <c r="B630" s="87">
        <v>1</v>
      </c>
      <c r="C630" s="638">
        <v>45915</v>
      </c>
      <c r="D630" s="276">
        <v>73294</v>
      </c>
      <c r="E630" s="276" t="s">
        <v>512</v>
      </c>
      <c r="F630" s="277">
        <v>4461</v>
      </c>
      <c r="G630" s="277">
        <v>39.700000000000003</v>
      </c>
      <c r="H630" s="277"/>
      <c r="I630" s="278">
        <f>F630-G630-H630</f>
        <v>4421.3</v>
      </c>
      <c r="J630" s="279" t="s">
        <v>205</v>
      </c>
      <c r="K630" s="279"/>
      <c r="L630" s="279"/>
      <c r="M630" s="279"/>
      <c r="N630" s="279">
        <v>1</v>
      </c>
      <c r="O630" s="279"/>
      <c r="P630" s="279"/>
      <c r="Q630" s="279"/>
      <c r="R630" s="279"/>
      <c r="S630" s="280"/>
      <c r="T630" s="63"/>
      <c r="U630" s="3"/>
      <c r="V630" s="90"/>
      <c r="W630" s="91"/>
      <c r="X630" s="92"/>
    </row>
    <row r="631" spans="1:25">
      <c r="A631" s="614"/>
      <c r="B631" s="87">
        <f>B630+1</f>
        <v>2</v>
      </c>
      <c r="C631" s="639">
        <v>45915</v>
      </c>
      <c r="D631" s="10">
        <v>73301</v>
      </c>
      <c r="E631" s="10" t="s">
        <v>1155</v>
      </c>
      <c r="F631" s="62">
        <v>6581.8</v>
      </c>
      <c r="G631" s="62">
        <v>39.700000000000003</v>
      </c>
      <c r="H631" s="62"/>
      <c r="I631" s="89">
        <f>F631-G631-H631</f>
        <v>6542.1</v>
      </c>
      <c r="J631" s="63" t="s">
        <v>205</v>
      </c>
      <c r="K631" s="63">
        <v>1</v>
      </c>
      <c r="L631" s="63"/>
      <c r="M631" s="63"/>
      <c r="N631" s="63">
        <v>1</v>
      </c>
      <c r="O631" s="63"/>
      <c r="P631" s="63"/>
      <c r="Q631" s="63">
        <v>1</v>
      </c>
      <c r="R631" s="63">
        <v>1</v>
      </c>
      <c r="S631" s="296">
        <v>1</v>
      </c>
      <c r="T631" s="63"/>
      <c r="U631" s="10"/>
      <c r="V631" s="90"/>
      <c r="W631" s="136"/>
      <c r="X631" s="137"/>
    </row>
    <row r="632" spans="1:25">
      <c r="A632" s="614"/>
      <c r="B632" s="87">
        <f>B631+1</f>
        <v>3</v>
      </c>
      <c r="C632" s="639">
        <v>45915</v>
      </c>
      <c r="D632" s="10">
        <v>73303</v>
      </c>
      <c r="E632" s="10" t="s">
        <v>1156</v>
      </c>
      <c r="F632" s="62">
        <v>22375</v>
      </c>
      <c r="G632" s="62">
        <v>39.700000000000003</v>
      </c>
      <c r="H632" s="62"/>
      <c r="I632" s="89">
        <f>F632-G632-H632</f>
        <v>22335.3</v>
      </c>
      <c r="J632" s="63" t="s">
        <v>205</v>
      </c>
      <c r="K632" s="63">
        <v>1</v>
      </c>
      <c r="L632" s="63"/>
      <c r="M632" s="63"/>
      <c r="N632" s="63">
        <v>1</v>
      </c>
      <c r="O632" s="63"/>
      <c r="P632" s="63"/>
      <c r="Q632" s="63"/>
      <c r="R632" s="63"/>
      <c r="S632" s="296"/>
      <c r="T632" s="63"/>
      <c r="U632" s="10"/>
      <c r="V632" s="90"/>
      <c r="W632" s="136"/>
      <c r="X632" s="137"/>
    </row>
    <row r="633" spans="1:25">
      <c r="A633" s="614"/>
      <c r="B633" s="87">
        <f>B632+1</f>
        <v>4</v>
      </c>
      <c r="C633" s="639">
        <v>45915</v>
      </c>
      <c r="D633" s="10" t="s">
        <v>1157</v>
      </c>
      <c r="E633" s="10" t="s">
        <v>1008</v>
      </c>
      <c r="F633" s="62">
        <v>12813</v>
      </c>
      <c r="G633" s="62">
        <v>39.700000000000003</v>
      </c>
      <c r="H633" s="62"/>
      <c r="I633" s="89">
        <f>F633-G633-H633</f>
        <v>12773.3</v>
      </c>
      <c r="J633" s="63" t="s">
        <v>205</v>
      </c>
      <c r="K633" s="63">
        <v>1</v>
      </c>
      <c r="L633" s="63"/>
      <c r="M633" s="63"/>
      <c r="N633" s="63">
        <v>1</v>
      </c>
      <c r="O633" s="63"/>
      <c r="P633" s="63"/>
      <c r="Q633" s="63"/>
      <c r="R633" s="63"/>
      <c r="S633" s="296"/>
      <c r="T633" s="63"/>
      <c r="U633" s="10"/>
      <c r="V633" s="90"/>
      <c r="W633" s="136"/>
      <c r="X633" s="137"/>
    </row>
    <row r="634" spans="1:25">
      <c r="A634" s="614"/>
      <c r="B634" s="87">
        <f>B633+1</f>
        <v>5</v>
      </c>
      <c r="C634" s="639">
        <v>45915</v>
      </c>
      <c r="D634" s="10">
        <v>73321</v>
      </c>
      <c r="E634" s="10" t="s">
        <v>979</v>
      </c>
      <c r="F634" s="62">
        <v>0</v>
      </c>
      <c r="G634" s="62">
        <v>0</v>
      </c>
      <c r="H634" s="62"/>
      <c r="I634" s="89">
        <f>F634-G634-H634</f>
        <v>0</v>
      </c>
      <c r="J634" s="63" t="s">
        <v>205</v>
      </c>
      <c r="K634" s="63">
        <v>1</v>
      </c>
      <c r="L634" s="63"/>
      <c r="M634" s="63"/>
      <c r="N634" s="63"/>
      <c r="O634" s="63"/>
      <c r="P634" s="63"/>
      <c r="Q634" s="63">
        <v>1</v>
      </c>
      <c r="R634" s="63">
        <v>1</v>
      </c>
      <c r="S634" s="296">
        <v>1</v>
      </c>
      <c r="T634" s="63"/>
      <c r="U634" s="10"/>
      <c r="V634" s="90"/>
      <c r="W634" s="136"/>
      <c r="X634" s="137"/>
    </row>
    <row r="635" spans="1:25">
      <c r="A635" s="614"/>
      <c r="B635" s="87">
        <f>B634+1</f>
        <v>6</v>
      </c>
      <c r="C635" s="639">
        <v>45915</v>
      </c>
      <c r="D635" s="77" t="s">
        <v>1158</v>
      </c>
      <c r="E635" s="101" t="s">
        <v>1159</v>
      </c>
      <c r="F635" s="62">
        <v>22614</v>
      </c>
      <c r="G635" s="62">
        <v>39.700000000000003</v>
      </c>
      <c r="H635" s="62"/>
      <c r="I635" s="89">
        <f>F635-G635-H635</f>
        <v>22574.3</v>
      </c>
      <c r="J635" s="63" t="s">
        <v>205</v>
      </c>
      <c r="K635" s="63">
        <v>1</v>
      </c>
      <c r="L635" s="63"/>
      <c r="M635" s="63"/>
      <c r="N635" s="63">
        <v>1</v>
      </c>
      <c r="O635" s="63"/>
      <c r="P635" s="63"/>
      <c r="Q635" s="63"/>
      <c r="R635" s="63"/>
      <c r="S635" s="296"/>
      <c r="T635" s="63"/>
      <c r="U635" s="10"/>
      <c r="V635" s="90"/>
      <c r="W635" s="136"/>
      <c r="X635" s="137"/>
    </row>
    <row r="636" spans="1:25">
      <c r="A636" s="614"/>
      <c r="B636" s="87">
        <f>B635+1</f>
        <v>7</v>
      </c>
      <c r="C636" s="639">
        <v>45915</v>
      </c>
      <c r="D636" s="77" t="s">
        <v>1160</v>
      </c>
      <c r="E636" s="101" t="s">
        <v>1159</v>
      </c>
      <c r="F636" s="62">
        <v>6214</v>
      </c>
      <c r="G636" s="62">
        <v>39.700000000000003</v>
      </c>
      <c r="H636" s="62"/>
      <c r="I636" s="89">
        <f>F636-G636-H636</f>
        <v>6174.3</v>
      </c>
      <c r="J636" s="63" t="s">
        <v>205</v>
      </c>
      <c r="K636" s="63">
        <v>1</v>
      </c>
      <c r="L636" s="63"/>
      <c r="M636" s="63"/>
      <c r="N636" s="63">
        <v>1</v>
      </c>
      <c r="O636" s="63"/>
      <c r="P636" s="63"/>
      <c r="Q636" s="63"/>
      <c r="R636" s="63"/>
      <c r="S636" s="296"/>
      <c r="T636" s="63"/>
      <c r="U636" s="10"/>
      <c r="V636" s="90"/>
      <c r="W636" s="136"/>
      <c r="X636" s="137"/>
    </row>
    <row r="637" spans="1:25">
      <c r="A637" s="614"/>
      <c r="B637" s="87">
        <f>B636+1</f>
        <v>8</v>
      </c>
      <c r="C637" s="640">
        <v>45915</v>
      </c>
      <c r="D637" s="283" t="s">
        <v>1161</v>
      </c>
      <c r="E637" s="283" t="s">
        <v>168</v>
      </c>
      <c r="F637" s="284">
        <v>23354.6</v>
      </c>
      <c r="G637" s="284">
        <f>39.7</f>
        <v>39.700000000000003</v>
      </c>
      <c r="H637" s="284"/>
      <c r="I637" s="285">
        <f>F637-G637-H637</f>
        <v>23314.899999999998</v>
      </c>
      <c r="J637" s="286" t="s">
        <v>156</v>
      </c>
      <c r="K637" s="286">
        <v>1</v>
      </c>
      <c r="L637" s="286"/>
      <c r="M637" s="286">
        <v>1</v>
      </c>
      <c r="N637" s="286">
        <v>1</v>
      </c>
      <c r="O637" s="286">
        <v>1</v>
      </c>
      <c r="P637" s="286">
        <v>0</v>
      </c>
      <c r="Q637" s="286"/>
      <c r="R637" s="286"/>
      <c r="S637" s="287"/>
      <c r="T637" s="63"/>
      <c r="U637" s="94" t="s">
        <v>1162</v>
      </c>
      <c r="V637" s="90">
        <v>1511.15</v>
      </c>
      <c r="W637" s="136"/>
      <c r="X637" s="137"/>
    </row>
    <row r="638" spans="1:25">
      <c r="A638" s="614"/>
      <c r="B638" s="87">
        <f>B637+1</f>
        <v>9</v>
      </c>
      <c r="C638" s="639">
        <v>45916</v>
      </c>
      <c r="D638" s="10">
        <v>73343</v>
      </c>
      <c r="E638" s="101" t="s">
        <v>1080</v>
      </c>
      <c r="F638" s="62">
        <v>2861</v>
      </c>
      <c r="G638" s="62">
        <v>39.700000000000003</v>
      </c>
      <c r="H638" s="62"/>
      <c r="I638" s="89">
        <f>F638-G638-H638</f>
        <v>2821.3</v>
      </c>
      <c r="J638" s="63" t="s">
        <v>205</v>
      </c>
      <c r="K638" s="63">
        <v>1</v>
      </c>
      <c r="L638" s="63"/>
      <c r="M638" s="63"/>
      <c r="N638" s="63">
        <v>1</v>
      </c>
      <c r="O638" s="63"/>
      <c r="P638" s="63"/>
      <c r="Q638" s="63">
        <v>1</v>
      </c>
      <c r="R638" s="63">
        <v>1</v>
      </c>
      <c r="S638" s="296">
        <v>1</v>
      </c>
      <c r="T638" s="63"/>
      <c r="U638" s="10"/>
      <c r="V638" s="90"/>
      <c r="W638" s="136"/>
      <c r="X638" s="137"/>
    </row>
    <row r="639" spans="1:25" s="342" customFormat="1">
      <c r="A639" s="614"/>
      <c r="B639" s="87">
        <f t="shared" ref="B639:B649" si="105">B638+1</f>
        <v>10</v>
      </c>
      <c r="C639" s="639">
        <v>45916</v>
      </c>
      <c r="D639" s="77">
        <v>73355</v>
      </c>
      <c r="E639" s="101" t="s">
        <v>973</v>
      </c>
      <c r="F639" s="62">
        <v>1053</v>
      </c>
      <c r="G639" s="62">
        <f>39.7</f>
        <v>39.700000000000003</v>
      </c>
      <c r="H639" s="62"/>
      <c r="I639" s="89">
        <f>F639-G639-H639</f>
        <v>1013.3</v>
      </c>
      <c r="J639" s="63" t="s">
        <v>185</v>
      </c>
      <c r="K639" s="63">
        <v>1</v>
      </c>
      <c r="L639" s="63"/>
      <c r="M639" s="63">
        <v>1</v>
      </c>
      <c r="N639" s="63">
        <v>1</v>
      </c>
      <c r="O639" s="63">
        <v>1</v>
      </c>
      <c r="P639" s="63">
        <v>1</v>
      </c>
      <c r="Q639" s="63"/>
      <c r="R639" s="63"/>
      <c r="S639" s="296"/>
      <c r="T639" s="63"/>
      <c r="U639" s="10" t="s">
        <v>1163</v>
      </c>
      <c r="V639" s="90">
        <f>115.83</f>
        <v>115.83</v>
      </c>
      <c r="W639" s="136"/>
      <c r="X639" s="137"/>
      <c r="Y639"/>
    </row>
    <row r="640" spans="1:25">
      <c r="A640" s="614"/>
      <c r="B640" s="87">
        <f t="shared" si="105"/>
        <v>11</v>
      </c>
      <c r="C640" s="639">
        <v>45916</v>
      </c>
      <c r="D640" s="10" t="s">
        <v>1164</v>
      </c>
      <c r="E640" s="94" t="s">
        <v>1115</v>
      </c>
      <c r="F640" s="62">
        <v>5814</v>
      </c>
      <c r="G640" s="62">
        <f>39.7</f>
        <v>39.700000000000003</v>
      </c>
      <c r="H640" s="62"/>
      <c r="I640" s="89">
        <f>F640-G640-H640</f>
        <v>5774.3</v>
      </c>
      <c r="J640" s="63" t="s">
        <v>205</v>
      </c>
      <c r="K640" s="63">
        <v>1</v>
      </c>
      <c r="L640" s="63"/>
      <c r="M640" s="63"/>
      <c r="N640" s="63">
        <v>1</v>
      </c>
      <c r="O640" s="63"/>
      <c r="P640" s="63"/>
      <c r="Q640" s="63"/>
      <c r="R640" s="63"/>
      <c r="S640" s="296"/>
      <c r="T640" s="63"/>
      <c r="U640" s="10"/>
      <c r="V640" s="90"/>
      <c r="W640" s="136"/>
      <c r="X640" s="137"/>
    </row>
    <row r="641" spans="1:24">
      <c r="A641" s="614"/>
      <c r="B641" s="87">
        <f t="shared" si="105"/>
        <v>12</v>
      </c>
      <c r="C641" s="639">
        <v>45916</v>
      </c>
      <c r="D641" s="10" t="s">
        <v>1165</v>
      </c>
      <c r="E641" s="94" t="s">
        <v>1115</v>
      </c>
      <c r="F641" s="62">
        <v>5814</v>
      </c>
      <c r="G641" s="62">
        <f>39.7</f>
        <v>39.700000000000003</v>
      </c>
      <c r="H641" s="62"/>
      <c r="I641" s="89">
        <f>F641-G641-H641</f>
        <v>5774.3</v>
      </c>
      <c r="J641" s="63" t="s">
        <v>156</v>
      </c>
      <c r="K641" s="63">
        <v>1</v>
      </c>
      <c r="L641" s="63"/>
      <c r="M641" s="63"/>
      <c r="N641" s="63">
        <v>1</v>
      </c>
      <c r="O641" s="63">
        <v>1</v>
      </c>
      <c r="P641" s="63">
        <v>1</v>
      </c>
      <c r="Q641" s="63"/>
      <c r="R641" s="63"/>
      <c r="S641" s="296"/>
      <c r="T641" s="63"/>
      <c r="U641" s="94" t="s">
        <v>1166</v>
      </c>
      <c r="V641" s="90">
        <f>639.54</f>
        <v>639.54</v>
      </c>
      <c r="W641" s="136"/>
      <c r="X641" s="137"/>
    </row>
    <row r="642" spans="1:24">
      <c r="A642" s="614"/>
      <c r="B642" s="87">
        <f t="shared" si="105"/>
        <v>13</v>
      </c>
      <c r="C642" s="639">
        <v>45916</v>
      </c>
      <c r="D642" s="10">
        <v>73351</v>
      </c>
      <c r="E642" s="101" t="s">
        <v>1167</v>
      </c>
      <c r="F642" s="62">
        <v>1759</v>
      </c>
      <c r="G642" s="62">
        <v>39.700000000000003</v>
      </c>
      <c r="H642" s="62"/>
      <c r="I642" s="89">
        <f>F642-G642-H642</f>
        <v>1719.3</v>
      </c>
      <c r="J642" s="63" t="s">
        <v>205</v>
      </c>
      <c r="K642" s="63">
        <v>1</v>
      </c>
      <c r="L642" s="63"/>
      <c r="M642" s="63"/>
      <c r="N642" s="63">
        <v>1</v>
      </c>
      <c r="O642" s="63">
        <v>1</v>
      </c>
      <c r="P642" s="63"/>
      <c r="Q642" s="63">
        <v>1</v>
      </c>
      <c r="R642" s="63">
        <v>1</v>
      </c>
      <c r="S642" s="296">
        <v>1</v>
      </c>
      <c r="T642" s="63"/>
      <c r="U642" s="10"/>
      <c r="V642" s="90"/>
      <c r="W642" s="136"/>
      <c r="X642" s="137"/>
    </row>
    <row r="643" spans="1:24">
      <c r="A643" s="614"/>
      <c r="B643" s="87">
        <f t="shared" si="105"/>
        <v>14</v>
      </c>
      <c r="C643" s="638">
        <v>45917</v>
      </c>
      <c r="D643" s="276">
        <v>73346</v>
      </c>
      <c r="E643" s="281" t="s">
        <v>216</v>
      </c>
      <c r="F643" s="277">
        <v>729</v>
      </c>
      <c r="G643" s="277">
        <v>39.700000000000003</v>
      </c>
      <c r="H643" s="277"/>
      <c r="I643" s="278">
        <f>F643-G643-H643</f>
        <v>689.3</v>
      </c>
      <c r="J643" s="279" t="s">
        <v>205</v>
      </c>
      <c r="K643" s="279">
        <v>1</v>
      </c>
      <c r="L643" s="279"/>
      <c r="M643" s="279"/>
      <c r="N643" s="279">
        <v>1</v>
      </c>
      <c r="O643" s="279"/>
      <c r="P643" s="279"/>
      <c r="Q643" s="279">
        <v>1</v>
      </c>
      <c r="R643" s="279">
        <v>1</v>
      </c>
      <c r="S643" s="280">
        <v>1</v>
      </c>
      <c r="T643" s="63"/>
      <c r="U643" s="10"/>
      <c r="V643" s="90"/>
      <c r="W643" s="136"/>
      <c r="X643" s="137"/>
    </row>
    <row r="644" spans="1:24">
      <c r="A644" s="614"/>
      <c r="B644" s="87">
        <f t="shared" si="105"/>
        <v>15</v>
      </c>
      <c r="C644" s="640">
        <v>45917</v>
      </c>
      <c r="D644" s="283">
        <v>73400</v>
      </c>
      <c r="E644" s="283" t="s">
        <v>216</v>
      </c>
      <c r="F644" s="284">
        <v>6214</v>
      </c>
      <c r="G644" s="284">
        <f>39.7</f>
        <v>39.700000000000003</v>
      </c>
      <c r="H644" s="284"/>
      <c r="I644" s="285">
        <f>F644-G644-H644</f>
        <v>6174.3</v>
      </c>
      <c r="J644" s="286" t="s">
        <v>156</v>
      </c>
      <c r="K644" s="286">
        <v>1</v>
      </c>
      <c r="L644" s="286"/>
      <c r="M644" s="286">
        <v>1</v>
      </c>
      <c r="N644" s="286">
        <v>1</v>
      </c>
      <c r="O644" s="286">
        <v>1</v>
      </c>
      <c r="P644" s="286">
        <v>1</v>
      </c>
      <c r="Q644" s="286"/>
      <c r="R644" s="286"/>
      <c r="S644" s="287"/>
      <c r="T644" s="63"/>
      <c r="U644" s="94" t="s">
        <v>1168</v>
      </c>
      <c r="V644" s="90">
        <f>684</f>
        <v>684</v>
      </c>
      <c r="W644" s="136"/>
      <c r="X644" s="137"/>
    </row>
    <row r="645" spans="1:24">
      <c r="A645" s="614"/>
      <c r="B645" s="87">
        <f t="shared" si="105"/>
        <v>16</v>
      </c>
      <c r="C645" s="295">
        <v>45918</v>
      </c>
      <c r="D645" s="10">
        <v>73418</v>
      </c>
      <c r="E645" s="101" t="s">
        <v>1169</v>
      </c>
      <c r="F645" s="62">
        <v>0</v>
      </c>
      <c r="G645" s="62">
        <v>0</v>
      </c>
      <c r="H645" s="62"/>
      <c r="I645" s="89">
        <f>F645-G645-H645</f>
        <v>0</v>
      </c>
      <c r="J645" s="63" t="s">
        <v>205</v>
      </c>
      <c r="K645" s="63">
        <v>1</v>
      </c>
      <c r="L645" s="63"/>
      <c r="M645" s="63"/>
      <c r="N645" s="63"/>
      <c r="O645" s="63"/>
      <c r="P645" s="63"/>
      <c r="Q645" s="63">
        <v>1</v>
      </c>
      <c r="R645" s="63">
        <v>1</v>
      </c>
      <c r="S645" s="296"/>
      <c r="T645" s="63"/>
      <c r="U645" s="10"/>
      <c r="V645" s="90"/>
      <c r="W645" s="136"/>
      <c r="X645" s="137"/>
    </row>
    <row r="646" spans="1:24">
      <c r="A646" s="614"/>
      <c r="B646" s="87">
        <f t="shared" si="105"/>
        <v>17</v>
      </c>
      <c r="C646" s="295">
        <v>45918</v>
      </c>
      <c r="D646" s="10">
        <v>73423</v>
      </c>
      <c r="E646" s="10" t="s">
        <v>149</v>
      </c>
      <c r="F646" s="62">
        <v>772</v>
      </c>
      <c r="G646" s="62">
        <v>39.700000000000003</v>
      </c>
      <c r="H646" s="62"/>
      <c r="I646" s="89">
        <f>F646-G646-H646</f>
        <v>732.3</v>
      </c>
      <c r="J646" s="63" t="s">
        <v>205</v>
      </c>
      <c r="K646" s="63">
        <v>1</v>
      </c>
      <c r="L646" s="63"/>
      <c r="M646" s="63"/>
      <c r="N646" s="63">
        <v>1</v>
      </c>
      <c r="O646" s="63"/>
      <c r="P646" s="63"/>
      <c r="Q646" s="63">
        <v>1</v>
      </c>
      <c r="R646" s="63">
        <v>1</v>
      </c>
      <c r="S646" s="296">
        <v>1</v>
      </c>
      <c r="T646" s="63"/>
      <c r="U646" s="10"/>
      <c r="V646" s="90"/>
      <c r="W646" s="136"/>
      <c r="X646" s="137"/>
    </row>
    <row r="647" spans="1:24">
      <c r="A647" s="614"/>
      <c r="B647" s="87">
        <f t="shared" si="105"/>
        <v>18</v>
      </c>
      <c r="C647" s="638">
        <v>45919</v>
      </c>
      <c r="D647" s="276">
        <v>73262</v>
      </c>
      <c r="E647" s="276" t="s">
        <v>317</v>
      </c>
      <c r="F647" s="277">
        <v>0</v>
      </c>
      <c r="G647" s="277">
        <v>0</v>
      </c>
      <c r="H647" s="277"/>
      <c r="I647" s="278">
        <f>F647-G647-H647</f>
        <v>0</v>
      </c>
      <c r="J647" s="279" t="s">
        <v>810</v>
      </c>
      <c r="K647" s="279"/>
      <c r="L647" s="279"/>
      <c r="M647" s="279"/>
      <c r="N647" s="279"/>
      <c r="O647" s="279"/>
      <c r="P647" s="279"/>
      <c r="Q647" s="279"/>
      <c r="R647" s="279"/>
      <c r="S647" s="280"/>
      <c r="T647" s="63"/>
      <c r="U647" s="10"/>
      <c r="V647" s="90"/>
      <c r="W647" s="136"/>
      <c r="X647" s="137"/>
    </row>
    <row r="648" spans="1:24">
      <c r="A648" s="614"/>
      <c r="B648" s="87">
        <f t="shared" si="105"/>
        <v>19</v>
      </c>
      <c r="C648" s="639">
        <v>45919</v>
      </c>
      <c r="D648" s="10" t="s">
        <v>1170</v>
      </c>
      <c r="E648" s="10" t="s">
        <v>728</v>
      </c>
      <c r="F648" s="62">
        <v>16214</v>
      </c>
      <c r="G648" s="62">
        <f>39.7</f>
        <v>39.700000000000003</v>
      </c>
      <c r="H648" s="62"/>
      <c r="I648" s="89">
        <f>F648-G648-H648</f>
        <v>16174.3</v>
      </c>
      <c r="J648" s="63" t="s">
        <v>205</v>
      </c>
      <c r="K648" s="63">
        <v>1</v>
      </c>
      <c r="L648" s="63"/>
      <c r="M648" s="63"/>
      <c r="N648" s="63">
        <v>1</v>
      </c>
      <c r="O648" s="63"/>
      <c r="P648" s="63"/>
      <c r="Q648" s="63"/>
      <c r="R648" s="63"/>
      <c r="S648" s="296"/>
      <c r="T648" s="21"/>
      <c r="U648" s="10"/>
      <c r="V648" s="90"/>
      <c r="W648" s="136"/>
      <c r="X648" s="137"/>
    </row>
    <row r="649" spans="1:24">
      <c r="A649" s="614"/>
      <c r="B649" s="87">
        <f t="shared" si="105"/>
        <v>20</v>
      </c>
      <c r="C649" s="640">
        <v>45919</v>
      </c>
      <c r="D649" s="283">
        <v>73462</v>
      </c>
      <c r="E649" s="283" t="s">
        <v>833</v>
      </c>
      <c r="F649" s="284">
        <v>0</v>
      </c>
      <c r="G649" s="284">
        <v>0</v>
      </c>
      <c r="H649" s="284"/>
      <c r="I649" s="285">
        <f>F649-G649-H649</f>
        <v>0</v>
      </c>
      <c r="J649" s="286" t="s">
        <v>156</v>
      </c>
      <c r="K649" s="286">
        <v>1</v>
      </c>
      <c r="L649" s="286"/>
      <c r="M649" s="286">
        <v>1</v>
      </c>
      <c r="N649" s="286"/>
      <c r="O649" s="286"/>
      <c r="P649" s="286"/>
      <c r="Q649" s="286"/>
      <c r="R649" s="286"/>
      <c r="S649" s="287"/>
      <c r="T649" s="21">
        <v>1</v>
      </c>
      <c r="U649" s="10"/>
      <c r="V649" s="90">
        <v>55</v>
      </c>
      <c r="W649" s="136"/>
      <c r="X649" s="137"/>
    </row>
    <row r="650" spans="1:24">
      <c r="A650" s="614"/>
      <c r="B650" s="11"/>
      <c r="C650" s="609"/>
      <c r="D650" s="10"/>
      <c r="E650" s="10"/>
      <c r="F650" s="97">
        <f>SUM(F630:F649)</f>
        <v>139643.4</v>
      </c>
      <c r="G650" s="97">
        <f>SUM(G630:G649)</f>
        <v>635.20000000000005</v>
      </c>
      <c r="H650" s="97">
        <f>SUM(H630:H649)</f>
        <v>0</v>
      </c>
      <c r="I650" s="98">
        <f>SUM(I630:I649)</f>
        <v>139008.20000000001</v>
      </c>
      <c r="J650" s="10"/>
      <c r="K650" s="10"/>
      <c r="L650" s="10"/>
      <c r="M650" s="10"/>
      <c r="N650" s="10"/>
      <c r="O650" s="10"/>
      <c r="P650" s="10"/>
      <c r="Q650" s="10"/>
      <c r="R650" s="10"/>
      <c r="S650" s="10"/>
      <c r="T650" s="63"/>
      <c r="U650" s="10"/>
      <c r="V650" s="138"/>
      <c r="W650" s="136"/>
      <c r="X650" s="137"/>
    </row>
    <row r="651" spans="1:24">
      <c r="A651" s="614"/>
      <c r="B651" s="26"/>
      <c r="C651" s="612"/>
      <c r="D651" s="141"/>
      <c r="E651" s="141"/>
      <c r="F651" s="141"/>
      <c r="G651" s="141"/>
      <c r="H651" s="141"/>
      <c r="I651" s="141"/>
      <c r="J651" s="141"/>
      <c r="K651" s="142"/>
      <c r="L651" s="142"/>
      <c r="M651" s="142"/>
      <c r="N651" s="142"/>
      <c r="O651" s="142"/>
      <c r="P651" s="142"/>
      <c r="Q651" s="142"/>
      <c r="R651" s="142"/>
      <c r="S651" s="142"/>
      <c r="T651" s="143">
        <f>SUM(T596:T650)</f>
        <v>5</v>
      </c>
      <c r="U651" s="141"/>
      <c r="V651" s="144">
        <f>SUM(V596:V650)</f>
        <v>20117.380000000005</v>
      </c>
      <c r="W651" s="144">
        <f>SUM(W596:W650)</f>
        <v>70</v>
      </c>
      <c r="X651" s="144">
        <f>SUM(X596:X650)</f>
        <v>0</v>
      </c>
    </row>
    <row r="654" spans="1:24">
      <c r="B654" s="4" t="s">
        <v>1</v>
      </c>
      <c r="C654" s="5"/>
      <c r="D654" s="6"/>
      <c r="E654" s="6"/>
      <c r="F654" s="7" t="s">
        <v>2</v>
      </c>
      <c r="G654" s="608">
        <v>45928</v>
      </c>
      <c r="H654" s="7"/>
      <c r="I654" s="6"/>
      <c r="J654" s="6"/>
      <c r="K654" s="6"/>
      <c r="L654" s="6"/>
      <c r="M654" s="6"/>
      <c r="N654" s="6"/>
      <c r="O654" s="6"/>
      <c r="P654" s="6"/>
      <c r="Q654" s="6"/>
      <c r="R654" s="6"/>
      <c r="S654" s="6"/>
      <c r="T654" s="6"/>
      <c r="U654" s="9"/>
      <c r="V654" s="10"/>
      <c r="W654" s="10"/>
      <c r="X654" s="10"/>
    </row>
    <row r="655" spans="1:24">
      <c r="B655" s="11"/>
      <c r="C655" s="10"/>
      <c r="D655" s="10"/>
      <c r="E655" s="10"/>
      <c r="F655" s="10"/>
      <c r="G655" s="7"/>
      <c r="H655" s="12"/>
      <c r="I655" s="10"/>
      <c r="J655" s="10"/>
      <c r="K655" s="13" t="s">
        <v>3</v>
      </c>
      <c r="L655" s="14"/>
      <c r="M655" s="15"/>
      <c r="N655" s="13" t="s">
        <v>4</v>
      </c>
      <c r="O655" s="14"/>
      <c r="P655" s="15"/>
      <c r="Q655" s="13" t="s">
        <v>5</v>
      </c>
      <c r="R655" s="14"/>
      <c r="S655" s="15"/>
      <c r="T655" s="16"/>
      <c r="U655" s="17"/>
      <c r="V655" s="10"/>
      <c r="W655" s="10"/>
      <c r="X655" s="10"/>
    </row>
    <row r="656" spans="1:24">
      <c r="B656" s="18" t="s">
        <v>6</v>
      </c>
      <c r="C656" s="19">
        <f>C657+C658</f>
        <v>30</v>
      </c>
      <c r="D656" s="10"/>
      <c r="E656" s="18" t="s">
        <v>7</v>
      </c>
      <c r="F656" s="6"/>
      <c r="G656" s="9"/>
      <c r="H656" s="10"/>
      <c r="I656" s="10"/>
      <c r="J656" s="10"/>
      <c r="K656" s="20" t="s">
        <v>8</v>
      </c>
      <c r="L656" s="21" t="s">
        <v>9</v>
      </c>
      <c r="M656" s="21" t="s">
        <v>10</v>
      </c>
      <c r="N656" s="20" t="s">
        <v>11</v>
      </c>
      <c r="O656" s="21" t="s">
        <v>12</v>
      </c>
      <c r="P656" s="22" t="s">
        <v>13</v>
      </c>
      <c r="Q656" s="21" t="s">
        <v>11</v>
      </c>
      <c r="R656" s="21" t="s">
        <v>12</v>
      </c>
      <c r="S656" s="22" t="s">
        <v>13</v>
      </c>
      <c r="T656" s="23" t="s">
        <v>14</v>
      </c>
      <c r="U656" s="17"/>
      <c r="V656" s="10"/>
      <c r="W656" s="10"/>
      <c r="X656" s="10"/>
    </row>
    <row r="657" spans="2:24">
      <c r="B657" s="24" t="s">
        <v>15</v>
      </c>
      <c r="C657" s="25">
        <f>P664</f>
        <v>15</v>
      </c>
      <c r="D657" s="10"/>
      <c r="E657" s="26" t="s">
        <v>16</v>
      </c>
      <c r="F657" s="27">
        <v>0.05</v>
      </c>
      <c r="G657" s="28"/>
      <c r="H657" s="10"/>
      <c r="I657" s="10"/>
      <c r="J657" s="18" t="s">
        <v>17</v>
      </c>
      <c r="K657" s="29">
        <f>K693</f>
        <v>11</v>
      </c>
      <c r="L657" s="29">
        <f>L693</f>
        <v>9</v>
      </c>
      <c r="M657" s="29">
        <f>M693</f>
        <v>10</v>
      </c>
      <c r="N657" s="29">
        <f>N693</f>
        <v>11</v>
      </c>
      <c r="O657" s="29">
        <f>O693</f>
        <v>11</v>
      </c>
      <c r="P657" s="29">
        <f>P693</f>
        <v>11</v>
      </c>
      <c r="Q657" s="29">
        <f>Q693</f>
        <v>10</v>
      </c>
      <c r="R657" s="29">
        <f>R693</f>
        <v>10</v>
      </c>
      <c r="S657" s="29">
        <f>S693</f>
        <v>9</v>
      </c>
      <c r="T657" s="30">
        <f>T737</f>
        <v>4</v>
      </c>
      <c r="U657" s="17"/>
      <c r="V657" s="10"/>
      <c r="W657" s="10"/>
      <c r="X657" s="10"/>
    </row>
    <row r="658" spans="2:24">
      <c r="B658" s="24" t="s">
        <v>18</v>
      </c>
      <c r="C658" s="25">
        <f>P665</f>
        <v>15</v>
      </c>
      <c r="D658" s="10"/>
      <c r="E658" s="10"/>
      <c r="F658" s="10"/>
      <c r="G658" s="31"/>
      <c r="H658" s="10"/>
      <c r="I658" s="10"/>
      <c r="J658" s="32" t="s">
        <v>19</v>
      </c>
      <c r="K658" s="33">
        <f>K693/K692</f>
        <v>1</v>
      </c>
      <c r="L658" s="33">
        <f>L693/L692</f>
        <v>0.81818181818181823</v>
      </c>
      <c r="M658" s="33">
        <f>M693/M692</f>
        <v>0.90909090909090906</v>
      </c>
      <c r="N658" s="33">
        <f>N693/N692</f>
        <v>1</v>
      </c>
      <c r="O658" s="33">
        <f>O693/O692</f>
        <v>1</v>
      </c>
      <c r="P658" s="33">
        <f>P693/P692</f>
        <v>1</v>
      </c>
      <c r="Q658" s="33">
        <f>Q693/Q692</f>
        <v>0.90909090909090906</v>
      </c>
      <c r="R658" s="33">
        <f>R693/R692</f>
        <v>0.90909090909090906</v>
      </c>
      <c r="S658" s="33">
        <f>S693/S692</f>
        <v>0.81818181818181823</v>
      </c>
      <c r="T658" s="23"/>
      <c r="U658" s="17" t="s">
        <v>20</v>
      </c>
      <c r="V658" s="10"/>
      <c r="W658" s="10"/>
      <c r="X658" s="10"/>
    </row>
    <row r="659" spans="2:24">
      <c r="B659" s="24" t="s">
        <v>21</v>
      </c>
      <c r="C659" s="34">
        <f>P666</f>
        <v>0.5</v>
      </c>
      <c r="D659" s="10"/>
      <c r="E659" s="10"/>
      <c r="F659" s="10"/>
      <c r="G659" s="10"/>
      <c r="H659" s="10"/>
      <c r="I659" s="10"/>
      <c r="J659" s="10"/>
      <c r="K659" s="10"/>
      <c r="L659" s="10"/>
      <c r="M659" s="10"/>
      <c r="N659" s="10"/>
      <c r="O659" s="10"/>
      <c r="P659" s="10"/>
      <c r="Q659" s="10"/>
      <c r="R659" s="10"/>
      <c r="S659" s="10"/>
      <c r="T659" s="10"/>
      <c r="U659" s="17"/>
      <c r="V659" s="10"/>
      <c r="W659" s="10"/>
      <c r="X659" s="10"/>
    </row>
    <row r="660" spans="2:24">
      <c r="B660" s="24"/>
      <c r="C660" s="25"/>
      <c r="D660" s="10"/>
      <c r="E660" s="10"/>
      <c r="F660" s="18" t="s">
        <v>22</v>
      </c>
      <c r="G660" s="19" t="s">
        <v>23</v>
      </c>
      <c r="H660" s="35" t="s">
        <v>24</v>
      </c>
      <c r="I660" s="10"/>
      <c r="J660" s="10"/>
      <c r="K660" s="36"/>
      <c r="L660" s="36"/>
      <c r="M660" s="36"/>
      <c r="N660" s="36"/>
      <c r="O660" s="36"/>
      <c r="P660" s="36"/>
      <c r="Q660" s="36"/>
      <c r="R660" s="10"/>
      <c r="S660" s="10"/>
      <c r="T660" s="10"/>
      <c r="U660" s="17"/>
      <c r="V660" s="10"/>
      <c r="W660" s="10"/>
      <c r="X660" s="10"/>
    </row>
    <row r="661" spans="2:24">
      <c r="B661" s="32" t="s">
        <v>25</v>
      </c>
      <c r="C661" s="37">
        <f>P667</f>
        <v>2649.6186666666667</v>
      </c>
      <c r="D661" s="10"/>
      <c r="E661" s="18" t="s">
        <v>26</v>
      </c>
      <c r="F661" s="38">
        <f>P663</f>
        <v>39744.28</v>
      </c>
      <c r="G661" s="39">
        <f>I692+I703+I708</f>
        <v>39744.28</v>
      </c>
      <c r="H661" s="40"/>
      <c r="I661" s="41"/>
      <c r="J661" s="42"/>
      <c r="K661" s="43" t="s">
        <v>27</v>
      </c>
      <c r="L661" s="44"/>
      <c r="M661" s="44"/>
      <c r="N661" s="44"/>
      <c r="O661" s="44"/>
      <c r="P661" s="44"/>
      <c r="Q661" s="45"/>
      <c r="R661" s="46" t="s">
        <v>28</v>
      </c>
      <c r="S661" s="47" t="s">
        <v>29</v>
      </c>
      <c r="T661" s="10"/>
      <c r="U661" s="17"/>
      <c r="V661" s="10"/>
      <c r="W661" s="10"/>
      <c r="X661" s="10"/>
    </row>
    <row r="662" spans="2:24">
      <c r="B662" s="11"/>
      <c r="C662" s="10"/>
      <c r="D662" s="10"/>
      <c r="E662" s="24" t="s">
        <v>30</v>
      </c>
      <c r="F662" s="48">
        <f>F657</f>
        <v>0.05</v>
      </c>
      <c r="G662" s="17"/>
      <c r="H662" s="40"/>
      <c r="I662" s="41"/>
      <c r="J662" s="42"/>
      <c r="K662" s="20" t="s">
        <v>31</v>
      </c>
      <c r="L662" s="21" t="s">
        <v>32</v>
      </c>
      <c r="M662" s="21" t="s">
        <v>33</v>
      </c>
      <c r="N662" s="21" t="s">
        <v>34</v>
      </c>
      <c r="O662" s="21" t="s">
        <v>35</v>
      </c>
      <c r="P662" s="21" t="s">
        <v>36</v>
      </c>
      <c r="Q662" s="49" t="s">
        <v>37</v>
      </c>
      <c r="R662" s="50" t="s">
        <v>38</v>
      </c>
      <c r="S662" s="50" t="s">
        <v>38</v>
      </c>
      <c r="T662" s="10"/>
      <c r="U662" s="17"/>
      <c r="V662" s="10"/>
      <c r="W662" s="10"/>
      <c r="X662" s="10"/>
    </row>
    <row r="663" spans="2:24">
      <c r="B663" s="11"/>
      <c r="C663" s="10"/>
      <c r="D663" s="10"/>
      <c r="E663" s="51" t="s">
        <v>39</v>
      </c>
      <c r="F663" s="52">
        <f>(F661-I683-I685-I690-I701-I702-I706-I707)*F662</f>
        <v>726.11649999999975</v>
      </c>
      <c r="G663" s="53" t="s">
        <v>40</v>
      </c>
      <c r="H663" s="54">
        <f>F663/1.12</f>
        <v>648.31830357142826</v>
      </c>
      <c r="I663" s="55"/>
      <c r="J663" s="42"/>
      <c r="K663" s="56">
        <f>I682+I683+I701+I681</f>
        <v>6456.16</v>
      </c>
      <c r="L663" s="57">
        <f>I684+I706+I702</f>
        <v>6124.7300000000005</v>
      </c>
      <c r="M663" s="57">
        <f>I685+I686+I688+I689+I690+I687</f>
        <v>7754.4700000000012</v>
      </c>
      <c r="N663" s="57">
        <f>I691+I707</f>
        <v>19408.919999999998</v>
      </c>
      <c r="O663" s="57">
        <v>0</v>
      </c>
      <c r="P663" s="57">
        <f>SUM(K663:O663)</f>
        <v>39744.28</v>
      </c>
      <c r="Q663" s="58">
        <v>0</v>
      </c>
      <c r="R663" s="59">
        <f>I703+I708</f>
        <v>23469.149999999998</v>
      </c>
      <c r="S663" s="59">
        <v>0</v>
      </c>
      <c r="T663" s="10"/>
      <c r="U663" s="17"/>
      <c r="V663" s="10"/>
      <c r="W663" s="10"/>
      <c r="X663" s="10"/>
    </row>
    <row r="664" spans="2:24">
      <c r="B664" s="11"/>
      <c r="C664" s="10"/>
      <c r="D664" s="10"/>
      <c r="E664" s="24" t="s">
        <v>41</v>
      </c>
      <c r="F664" s="60">
        <f>Q663</f>
        <v>0</v>
      </c>
      <c r="G664" s="61" t="s">
        <v>40</v>
      </c>
      <c r="H664" s="62"/>
      <c r="I664" s="62"/>
      <c r="J664" s="10" t="s">
        <v>42</v>
      </c>
      <c r="K664" s="63">
        <v>4</v>
      </c>
      <c r="L664" s="63">
        <v>3</v>
      </c>
      <c r="M664" s="63">
        <v>6</v>
      </c>
      <c r="N664" s="63">
        <v>2</v>
      </c>
      <c r="O664" s="63">
        <v>0</v>
      </c>
      <c r="P664" s="21">
        <f>SUM(K664:O664)</f>
        <v>15</v>
      </c>
      <c r="Q664" s="64"/>
      <c r="R664" s="63"/>
      <c r="S664" s="10"/>
      <c r="T664" s="10"/>
      <c r="U664" s="17"/>
      <c r="V664" s="10"/>
      <c r="W664" s="10"/>
      <c r="X664" s="10"/>
    </row>
    <row r="665" spans="2:24">
      <c r="B665" s="11"/>
      <c r="C665" s="10"/>
      <c r="D665" s="10"/>
      <c r="E665" s="51" t="s">
        <v>43</v>
      </c>
      <c r="F665" s="52">
        <f>F664*0.25</f>
        <v>0</v>
      </c>
      <c r="G665" s="53" t="s">
        <v>40</v>
      </c>
      <c r="H665" s="54">
        <f>F665/1.12</f>
        <v>0</v>
      </c>
      <c r="I665" s="10"/>
      <c r="J665" s="10" t="s">
        <v>44</v>
      </c>
      <c r="K665" s="63">
        <v>3</v>
      </c>
      <c r="L665" s="63">
        <v>3</v>
      </c>
      <c r="M665" s="63">
        <v>3</v>
      </c>
      <c r="N665" s="63">
        <v>6</v>
      </c>
      <c r="O665" s="63">
        <v>0</v>
      </c>
      <c r="P665" s="21">
        <f>SUM(K665:O665)</f>
        <v>15</v>
      </c>
      <c r="Q665" s="64"/>
      <c r="R665" s="63"/>
      <c r="S665" s="10"/>
      <c r="T665" s="10"/>
      <c r="U665" s="17"/>
      <c r="V665" s="10"/>
      <c r="W665" s="10"/>
      <c r="X665" s="10"/>
    </row>
    <row r="666" spans="2:24">
      <c r="B666" s="11"/>
      <c r="C666" s="10"/>
      <c r="D666" s="10"/>
      <c r="E666" s="24" t="s">
        <v>45</v>
      </c>
      <c r="F666" s="60">
        <f>I698</f>
        <v>13686.029999999999</v>
      </c>
      <c r="G666" s="61" t="s">
        <v>40</v>
      </c>
      <c r="H666" s="62"/>
      <c r="I666" s="10"/>
      <c r="J666" s="10" t="s">
        <v>46</v>
      </c>
      <c r="K666" s="31">
        <f>K664/(K664+K665)</f>
        <v>0.5714285714285714</v>
      </c>
      <c r="L666" s="31">
        <f>L664/(L664+L665)</f>
        <v>0.5</v>
      </c>
      <c r="M666" s="31">
        <f>M664/(M664+M665)</f>
        <v>0.66666666666666663</v>
      </c>
      <c r="N666" s="31">
        <f>N664/(N664+N665)</f>
        <v>0.25</v>
      </c>
      <c r="O666" s="31" t="e">
        <f>O664/(O664+O665)</f>
        <v>#DIV/0!</v>
      </c>
      <c r="P666" s="31">
        <f>P664/(P664+P665)</f>
        <v>0.5</v>
      </c>
      <c r="Q666" s="31" t="e">
        <f>Q664/(Q664+Q665)</f>
        <v>#DIV/0!</v>
      </c>
      <c r="R666" s="63"/>
      <c r="S666" s="10"/>
      <c r="T666" s="10"/>
      <c r="U666" s="17"/>
      <c r="V666" s="10"/>
      <c r="W666" s="10"/>
      <c r="X666" s="10"/>
    </row>
    <row r="667" spans="2:24">
      <c r="B667" s="11"/>
      <c r="C667" s="10"/>
      <c r="D667" s="10"/>
      <c r="E667" s="51" t="s">
        <v>47</v>
      </c>
      <c r="F667" s="52">
        <f>F666*0.05</f>
        <v>684.30150000000003</v>
      </c>
      <c r="G667" s="65" t="s">
        <v>40</v>
      </c>
      <c r="H667" s="54">
        <f>F667/1.12</f>
        <v>610.98348214285716</v>
      </c>
      <c r="I667" s="42"/>
      <c r="J667" s="10" t="s">
        <v>48</v>
      </c>
      <c r="K667" s="66">
        <f>K663/K664</f>
        <v>1614.04</v>
      </c>
      <c r="L667" s="66">
        <f>L663/L664</f>
        <v>2041.5766666666668</v>
      </c>
      <c r="M667" s="66">
        <f>M663/M664</f>
        <v>1292.4116666666669</v>
      </c>
      <c r="N667" s="66">
        <f>N663/N664</f>
        <v>9704.4599999999991</v>
      </c>
      <c r="O667" s="66" t="e">
        <f>O663/O664</f>
        <v>#DIV/0!</v>
      </c>
      <c r="P667" s="66">
        <f>P663/P664</f>
        <v>2649.6186666666667</v>
      </c>
      <c r="Q667" s="66" t="e">
        <f>Q663/Q664</f>
        <v>#DIV/0!</v>
      </c>
      <c r="R667" s="63"/>
      <c r="S667" s="10"/>
      <c r="T667" s="10"/>
      <c r="U667" s="17"/>
      <c r="V667" s="10"/>
      <c r="W667" s="10"/>
      <c r="X667" s="10"/>
    </row>
    <row r="668" spans="2:24">
      <c r="B668" s="11"/>
      <c r="C668" s="10"/>
      <c r="D668" s="10"/>
      <c r="E668" s="67" t="s">
        <v>14</v>
      </c>
      <c r="F668" s="68">
        <f>5*50</f>
        <v>250</v>
      </c>
      <c r="G668" s="10"/>
      <c r="H668" s="54">
        <f>F668/1.12</f>
        <v>223.21428571428569</v>
      </c>
      <c r="I668" s="10"/>
      <c r="J668" s="10"/>
      <c r="K668" s="10"/>
      <c r="L668" s="10"/>
      <c r="M668" s="10"/>
      <c r="N668" s="10"/>
      <c r="O668" s="10"/>
      <c r="P668" s="10"/>
      <c r="Q668" s="10"/>
      <c r="R668" s="10"/>
      <c r="S668" s="10"/>
      <c r="T668" s="10"/>
      <c r="U668" s="17"/>
      <c r="V668" s="10"/>
      <c r="W668" s="10"/>
      <c r="X668" s="10"/>
    </row>
    <row r="669" spans="2:24">
      <c r="B669" s="11"/>
      <c r="C669" s="10"/>
      <c r="D669" s="10"/>
      <c r="E669" s="155" t="s">
        <v>49</v>
      </c>
      <c r="F669" s="364">
        <f>T658</f>
        <v>0</v>
      </c>
      <c r="G669" s="10"/>
      <c r="H669" s="54"/>
      <c r="I669" s="55"/>
      <c r="J669" s="42"/>
      <c r="K669" s="764" t="s">
        <v>50</v>
      </c>
      <c r="L669" s="765"/>
      <c r="M669" s="765"/>
      <c r="N669" s="765"/>
      <c r="O669" s="765"/>
      <c r="P669" s="765"/>
      <c r="Q669" s="766"/>
      <c r="R669" s="70" t="s">
        <v>28</v>
      </c>
      <c r="S669" s="71" t="s">
        <v>29</v>
      </c>
      <c r="T669" s="10"/>
      <c r="U669" s="17"/>
      <c r="V669" s="10"/>
      <c r="W669" s="10"/>
      <c r="X669" s="10"/>
    </row>
    <row r="670" spans="2:24">
      <c r="B670" s="11"/>
      <c r="C670" s="10"/>
      <c r="D670" s="10"/>
      <c r="E670" s="12"/>
      <c r="F670" s="76"/>
      <c r="G670" s="10"/>
      <c r="H670" s="10"/>
      <c r="I670" s="10"/>
      <c r="J670" s="42"/>
      <c r="K670" s="20" t="s">
        <v>31</v>
      </c>
      <c r="L670" s="21" t="s">
        <v>32</v>
      </c>
      <c r="M670" s="21" t="s">
        <v>33</v>
      </c>
      <c r="N670" s="21" t="s">
        <v>34</v>
      </c>
      <c r="O670" s="21" t="s">
        <v>35</v>
      </c>
      <c r="P670" s="21" t="s">
        <v>36</v>
      </c>
      <c r="Q670" s="49" t="s">
        <v>37</v>
      </c>
      <c r="R670" s="50" t="s">
        <v>38</v>
      </c>
      <c r="S670" s="50" t="s">
        <v>38</v>
      </c>
      <c r="T670" s="10"/>
      <c r="U670" s="17"/>
      <c r="V670" s="10"/>
      <c r="W670" s="10"/>
      <c r="X670" s="10"/>
    </row>
    <row r="671" spans="2:24">
      <c r="B671" s="11"/>
      <c r="C671" s="10"/>
      <c r="D671" s="10"/>
      <c r="E671" s="10"/>
      <c r="F671" s="10"/>
      <c r="G671" s="10"/>
      <c r="H671" s="10"/>
      <c r="I671" s="10"/>
      <c r="J671" s="42"/>
      <c r="K671" s="56">
        <f>F682+F683+F701+F681</f>
        <v>8786.5</v>
      </c>
      <c r="L671" s="57">
        <f>F684+F706+F702</f>
        <v>8775</v>
      </c>
      <c r="M671" s="57">
        <f>F685+F686+F688+F689+F690+F687</f>
        <v>8542.5</v>
      </c>
      <c r="N671" s="57">
        <f>F691+F707</f>
        <v>21022</v>
      </c>
      <c r="O671" s="57">
        <v>0</v>
      </c>
      <c r="P671" s="57">
        <f>SUM(K671:O671)</f>
        <v>47126</v>
      </c>
      <c r="Q671" s="58">
        <v>0</v>
      </c>
      <c r="R671" s="59">
        <f>F703+F708</f>
        <v>27732.5</v>
      </c>
      <c r="S671" s="59">
        <v>0</v>
      </c>
      <c r="T671" s="10"/>
      <c r="U671" s="17"/>
      <c r="V671" s="10"/>
      <c r="W671" s="10"/>
      <c r="X671" s="10"/>
    </row>
    <row r="672" spans="2:24">
      <c r="B672" s="11"/>
      <c r="C672" s="10"/>
      <c r="D672" s="10"/>
      <c r="E672" s="10"/>
      <c r="F672" s="10"/>
      <c r="G672" s="10"/>
      <c r="H672" s="10"/>
      <c r="I672" s="10"/>
      <c r="J672" s="10" t="s">
        <v>42</v>
      </c>
      <c r="K672" s="63">
        <f>K664</f>
        <v>4</v>
      </c>
      <c r="L672" s="63">
        <f>L664</f>
        <v>3</v>
      </c>
      <c r="M672" s="63">
        <f>M664</f>
        <v>6</v>
      </c>
      <c r="N672" s="63">
        <f>N664</f>
        <v>2</v>
      </c>
      <c r="O672" s="63">
        <f>O664</f>
        <v>0</v>
      </c>
      <c r="P672" s="63">
        <f>P664</f>
        <v>15</v>
      </c>
      <c r="Q672" s="63">
        <f>Q664</f>
        <v>0</v>
      </c>
      <c r="R672" s="63"/>
      <c r="S672" s="10"/>
      <c r="T672" s="10"/>
      <c r="U672" s="17"/>
      <c r="V672" s="10"/>
      <c r="W672" s="10"/>
      <c r="X672" s="10"/>
    </row>
    <row r="673" spans="1:24">
      <c r="B673" s="11"/>
      <c r="C673" s="10"/>
      <c r="D673" s="10"/>
      <c r="E673" s="10"/>
      <c r="F673" s="10"/>
      <c r="G673" s="10"/>
      <c r="H673" s="10"/>
      <c r="I673" s="10"/>
      <c r="J673" s="10" t="s">
        <v>44</v>
      </c>
      <c r="K673" s="63">
        <f>K665</f>
        <v>3</v>
      </c>
      <c r="L673" s="63">
        <f>L665</f>
        <v>3</v>
      </c>
      <c r="M673" s="63">
        <f>M665</f>
        <v>3</v>
      </c>
      <c r="N673" s="63">
        <f>N665</f>
        <v>6</v>
      </c>
      <c r="O673" s="63">
        <f>O665</f>
        <v>0</v>
      </c>
      <c r="P673" s="63">
        <f>P665</f>
        <v>15</v>
      </c>
      <c r="Q673" s="63">
        <f>Q665</f>
        <v>0</v>
      </c>
      <c r="R673" s="63"/>
      <c r="S673" s="10"/>
      <c r="T673" s="10"/>
      <c r="U673" s="17"/>
      <c r="V673" s="10"/>
      <c r="W673" s="10"/>
      <c r="X673" s="10"/>
    </row>
    <row r="674" spans="1:24">
      <c r="B674" s="11"/>
      <c r="C674" s="10"/>
      <c r="D674" s="10"/>
      <c r="E674" s="12"/>
      <c r="F674" s="76"/>
      <c r="G674" s="10"/>
      <c r="H674" s="10"/>
      <c r="I674" s="10"/>
      <c r="J674" s="10" t="s">
        <v>46</v>
      </c>
      <c r="K674" s="31">
        <f>K672/(K672+K673)</f>
        <v>0.5714285714285714</v>
      </c>
      <c r="L674" s="31">
        <f>L672/(L672+L673)</f>
        <v>0.5</v>
      </c>
      <c r="M674" s="31">
        <f>M672/(M672+M673)</f>
        <v>0.66666666666666663</v>
      </c>
      <c r="N674" s="31">
        <f>N672/(N672+N673)</f>
        <v>0.25</v>
      </c>
      <c r="O674" s="31" t="e">
        <f>O672/(O672+O673)</f>
        <v>#DIV/0!</v>
      </c>
      <c r="P674" s="31">
        <f>P672/(P672+P673)</f>
        <v>0.5</v>
      </c>
      <c r="Q674" s="31" t="e">
        <f>Q672/(Q672+Q673)</f>
        <v>#DIV/0!</v>
      </c>
      <c r="R674" s="63"/>
      <c r="S674" s="10"/>
      <c r="T674" s="10"/>
      <c r="U674" s="17"/>
      <c r="V674" s="10"/>
      <c r="W674" s="10"/>
      <c r="X674" s="10"/>
    </row>
    <row r="675" spans="1:24">
      <c r="B675" s="11"/>
      <c r="C675" s="10"/>
      <c r="D675" s="10"/>
      <c r="E675" s="10"/>
      <c r="F675" s="10"/>
      <c r="G675" s="10"/>
      <c r="H675" s="10"/>
      <c r="I675" s="10"/>
      <c r="J675" s="10" t="s">
        <v>48</v>
      </c>
      <c r="K675" s="66">
        <f>K671/K672</f>
        <v>2196.625</v>
      </c>
      <c r="L675" s="66">
        <f>L671/L672</f>
        <v>2925</v>
      </c>
      <c r="M675" s="66">
        <f>M671/M672</f>
        <v>1423.75</v>
      </c>
      <c r="N675" s="66">
        <f>N671/N672</f>
        <v>10511</v>
      </c>
      <c r="O675" s="66" t="e">
        <f>O671/O672</f>
        <v>#DIV/0!</v>
      </c>
      <c r="P675" s="66">
        <f>P671/P672</f>
        <v>3141.7333333333331</v>
      </c>
      <c r="Q675" s="66" t="e">
        <f>Q671/Q672</f>
        <v>#DIV/0!</v>
      </c>
      <c r="R675" s="63"/>
      <c r="S675" s="10"/>
      <c r="T675" s="10"/>
      <c r="U675" s="17"/>
      <c r="V675" s="10"/>
      <c r="W675" s="10"/>
      <c r="X675" s="10"/>
    </row>
    <row r="676" spans="1:24">
      <c r="B676" s="11"/>
      <c r="C676" s="10"/>
      <c r="D676" s="10"/>
      <c r="E676" s="10"/>
      <c r="F676" s="10"/>
      <c r="G676" s="10"/>
      <c r="H676" s="10"/>
      <c r="I676" s="10"/>
      <c r="J676" s="10"/>
      <c r="K676" s="10"/>
      <c r="L676" s="10"/>
      <c r="M676" s="10"/>
      <c r="N676" s="10"/>
      <c r="O676" s="10"/>
      <c r="P676" s="10"/>
      <c r="Q676" s="10"/>
      <c r="R676" s="10"/>
      <c r="S676" s="10"/>
      <c r="T676" s="10"/>
      <c r="U676" s="17"/>
      <c r="V676" s="10"/>
      <c r="W676" s="10"/>
      <c r="X676" s="10"/>
    </row>
    <row r="677" spans="1:24">
      <c r="B677" s="11"/>
      <c r="C677" s="10"/>
      <c r="D677" s="10"/>
      <c r="E677" s="10"/>
      <c r="F677" s="10"/>
      <c r="G677" s="10"/>
      <c r="H677" s="10"/>
      <c r="I677" s="10"/>
      <c r="J677" s="10"/>
      <c r="K677" s="10"/>
      <c r="L677" s="10"/>
      <c r="M677" s="10"/>
      <c r="N677" s="10"/>
      <c r="O677" s="10"/>
      <c r="P677" s="10"/>
      <c r="Q677" s="10"/>
      <c r="R677" s="10"/>
      <c r="S677" s="10"/>
      <c r="T677" s="10"/>
      <c r="U677" s="17"/>
      <c r="V677" s="10"/>
      <c r="W677" s="10"/>
      <c r="X677" s="10"/>
    </row>
    <row r="678" spans="1:24">
      <c r="B678" s="18" t="s">
        <v>51</v>
      </c>
      <c r="C678" s="14"/>
      <c r="D678" s="14"/>
      <c r="E678" s="14"/>
      <c r="F678" s="13" t="s">
        <v>52</v>
      </c>
      <c r="G678" s="14"/>
      <c r="H678" s="14"/>
      <c r="I678" s="14"/>
      <c r="J678" s="14"/>
      <c r="K678" s="13" t="s">
        <v>3</v>
      </c>
      <c r="L678" s="14"/>
      <c r="M678" s="14"/>
      <c r="N678" s="13" t="s">
        <v>4</v>
      </c>
      <c r="O678" s="14"/>
      <c r="P678" s="14"/>
      <c r="Q678" s="13" t="s">
        <v>5</v>
      </c>
      <c r="R678" s="14"/>
      <c r="S678" s="14"/>
      <c r="T678" s="18"/>
      <c r="U678" s="16" t="s">
        <v>53</v>
      </c>
      <c r="V678" s="77"/>
      <c r="W678" s="77"/>
      <c r="X678" s="77"/>
    </row>
    <row r="679" spans="1:24">
      <c r="B679" s="24" t="s">
        <v>54</v>
      </c>
      <c r="C679" s="21" t="s">
        <v>55</v>
      </c>
      <c r="D679" s="21" t="s">
        <v>56</v>
      </c>
      <c r="E679" s="21" t="s">
        <v>57</v>
      </c>
      <c r="F679" s="20" t="s">
        <v>58</v>
      </c>
      <c r="G679" s="21" t="s">
        <v>59</v>
      </c>
      <c r="H679" s="21" t="s">
        <v>60</v>
      </c>
      <c r="I679" s="21" t="s">
        <v>26</v>
      </c>
      <c r="J679" s="22" t="s">
        <v>61</v>
      </c>
      <c r="K679" s="21" t="s">
        <v>8</v>
      </c>
      <c r="L679" s="21" t="s">
        <v>9</v>
      </c>
      <c r="M679" s="21" t="s">
        <v>10</v>
      </c>
      <c r="N679" s="20" t="s">
        <v>11</v>
      </c>
      <c r="O679" s="21" t="s">
        <v>12</v>
      </c>
      <c r="P679" s="22" t="s">
        <v>13</v>
      </c>
      <c r="Q679" s="21" t="s">
        <v>11</v>
      </c>
      <c r="R679" s="21" t="s">
        <v>12</v>
      </c>
      <c r="S679" s="21" t="s">
        <v>13</v>
      </c>
      <c r="T679" s="78" t="s">
        <v>14</v>
      </c>
      <c r="U679" s="30"/>
      <c r="V679" s="79" t="s">
        <v>62</v>
      </c>
      <c r="W679" s="80" t="s">
        <v>63</v>
      </c>
      <c r="X679" s="81" t="s">
        <v>64</v>
      </c>
    </row>
    <row r="680" spans="1:24">
      <c r="B680" s="4" t="s">
        <v>65</v>
      </c>
      <c r="C680" s="6"/>
      <c r="D680" s="6"/>
      <c r="E680" s="6"/>
      <c r="F680" s="6"/>
      <c r="G680" s="6"/>
      <c r="H680" s="6"/>
      <c r="I680" s="82"/>
      <c r="J680" s="6"/>
      <c r="K680" s="6"/>
      <c r="L680" s="6"/>
      <c r="M680" s="6"/>
      <c r="N680" s="6"/>
      <c r="O680" s="6"/>
      <c r="P680" s="6"/>
      <c r="Q680" s="6"/>
      <c r="R680" s="6"/>
      <c r="S680" s="6"/>
      <c r="T680" s="83"/>
      <c r="U680" s="6"/>
      <c r="V680" s="84"/>
      <c r="W680" s="85"/>
      <c r="X680" s="86"/>
    </row>
    <row r="681" spans="1:24">
      <c r="A681" s="464">
        <v>45923</v>
      </c>
      <c r="B681" s="87">
        <v>1</v>
      </c>
      <c r="C681" s="638">
        <v>45922</v>
      </c>
      <c r="D681" s="327">
        <v>73499</v>
      </c>
      <c r="E681" s="276" t="s">
        <v>1171</v>
      </c>
      <c r="F681" s="277">
        <v>5814</v>
      </c>
      <c r="G681" s="277">
        <f>39.7+(20)+(13+1901.2)+250</f>
        <v>2223.9</v>
      </c>
      <c r="H681" s="277"/>
      <c r="I681" s="321">
        <f>F681-G681-H681</f>
        <v>3590.1</v>
      </c>
      <c r="J681" s="279" t="s">
        <v>156</v>
      </c>
      <c r="K681" s="279">
        <v>1</v>
      </c>
      <c r="L681" s="322">
        <v>0</v>
      </c>
      <c r="M681" s="279">
        <v>1</v>
      </c>
      <c r="N681" s="279">
        <v>1</v>
      </c>
      <c r="O681" s="279">
        <v>1</v>
      </c>
      <c r="P681" s="279">
        <v>1</v>
      </c>
      <c r="Q681" s="279">
        <v>1</v>
      </c>
      <c r="R681" s="279">
        <v>1</v>
      </c>
      <c r="S681" s="280">
        <v>1</v>
      </c>
      <c r="T681" s="63"/>
      <c r="U681" s="94" t="s">
        <v>1172</v>
      </c>
      <c r="V681" s="90">
        <f>640+5555.4+200</f>
        <v>6395.4</v>
      </c>
      <c r="W681" s="578"/>
      <c r="X681" s="579"/>
    </row>
    <row r="682" spans="1:24">
      <c r="B682" s="87">
        <f>B681+1</f>
        <v>2</v>
      </c>
      <c r="C682" s="639">
        <v>45922</v>
      </c>
      <c r="D682" s="323">
        <v>73504</v>
      </c>
      <c r="E682" s="10" t="s">
        <v>1173</v>
      </c>
      <c r="F682" s="62">
        <v>814</v>
      </c>
      <c r="G682" s="62">
        <f>39.7+(7.79+19.25)</f>
        <v>66.740000000000009</v>
      </c>
      <c r="H682" s="88"/>
      <c r="I682" s="89">
        <f>F682-G682-H682</f>
        <v>747.26</v>
      </c>
      <c r="J682" s="63" t="s">
        <v>156</v>
      </c>
      <c r="K682" s="63">
        <v>1</v>
      </c>
      <c r="L682" s="63">
        <v>1</v>
      </c>
      <c r="M682" s="63">
        <v>1</v>
      </c>
      <c r="N682" s="63">
        <v>1</v>
      </c>
      <c r="O682" s="63">
        <v>1</v>
      </c>
      <c r="P682" s="63">
        <v>1</v>
      </c>
      <c r="Q682" s="63">
        <v>1</v>
      </c>
      <c r="R682" s="63">
        <v>1</v>
      </c>
      <c r="S682" s="296">
        <v>1</v>
      </c>
      <c r="T682" s="63"/>
      <c r="U682" s="10"/>
      <c r="V682" s="90">
        <f>90+805.4</f>
        <v>895.4</v>
      </c>
      <c r="W682" s="91"/>
      <c r="X682" s="92"/>
    </row>
    <row r="683" spans="1:24">
      <c r="B683" s="87">
        <f t="shared" ref="B683:B691" si="106">B682+1</f>
        <v>3</v>
      </c>
      <c r="C683" s="639">
        <v>45922</v>
      </c>
      <c r="D683" s="323">
        <v>73548</v>
      </c>
      <c r="E683" s="10" t="s">
        <v>294</v>
      </c>
      <c r="F683" s="62">
        <v>681</v>
      </c>
      <c r="G683" s="62"/>
      <c r="H683" s="62"/>
      <c r="I683" s="369">
        <f>F683-G683-H683</f>
        <v>681</v>
      </c>
      <c r="J683" s="63" t="s">
        <v>156</v>
      </c>
      <c r="K683" s="63">
        <v>1</v>
      </c>
      <c r="L683" s="63">
        <v>1</v>
      </c>
      <c r="M683" s="63">
        <v>1</v>
      </c>
      <c r="N683" s="63">
        <v>1</v>
      </c>
      <c r="O683" s="63">
        <v>1</v>
      </c>
      <c r="P683" s="63">
        <v>1</v>
      </c>
      <c r="Q683" s="63">
        <v>1</v>
      </c>
      <c r="R683" s="63">
        <v>1</v>
      </c>
      <c r="S683" s="296">
        <v>1</v>
      </c>
      <c r="T683" s="21">
        <v>1</v>
      </c>
      <c r="U683" s="10" t="s">
        <v>1174</v>
      </c>
      <c r="V683" s="90">
        <f>75+674.1</f>
        <v>749.1</v>
      </c>
      <c r="W683" s="91"/>
      <c r="X683" s="92"/>
    </row>
    <row r="684" spans="1:24">
      <c r="B684" s="87">
        <f t="shared" si="106"/>
        <v>4</v>
      </c>
      <c r="C684" s="638">
        <v>45923</v>
      </c>
      <c r="D684" s="327">
        <v>73579</v>
      </c>
      <c r="E684" s="276" t="s">
        <v>1080</v>
      </c>
      <c r="F684" s="277">
        <v>681</v>
      </c>
      <c r="G684" s="277"/>
      <c r="H684" s="277"/>
      <c r="I684" s="278">
        <f>F684-G684-H684</f>
        <v>681</v>
      </c>
      <c r="J684" s="279" t="s">
        <v>156</v>
      </c>
      <c r="K684" s="279">
        <v>1</v>
      </c>
      <c r="L684" s="279">
        <v>1</v>
      </c>
      <c r="M684" s="279">
        <v>1</v>
      </c>
      <c r="N684" s="279">
        <v>1</v>
      </c>
      <c r="O684" s="279">
        <v>1</v>
      </c>
      <c r="P684" s="279">
        <v>1</v>
      </c>
      <c r="Q684" s="279">
        <v>1</v>
      </c>
      <c r="R684" s="279">
        <v>1</v>
      </c>
      <c r="S684" s="280">
        <v>1</v>
      </c>
      <c r="T684" s="21">
        <v>1</v>
      </c>
      <c r="U684" s="10"/>
      <c r="V684" s="90">
        <f>75+674.1</f>
        <v>749.1</v>
      </c>
      <c r="W684" s="91"/>
      <c r="X684" s="92"/>
    </row>
    <row r="685" spans="1:24">
      <c r="A685" s="614" t="s">
        <v>230</v>
      </c>
      <c r="B685" s="87">
        <f t="shared" si="106"/>
        <v>5</v>
      </c>
      <c r="C685" s="638">
        <v>45924</v>
      </c>
      <c r="D685" s="327">
        <v>73600</v>
      </c>
      <c r="E685" s="404" t="s">
        <v>1175</v>
      </c>
      <c r="F685" s="277">
        <f>306.45-306.45</f>
        <v>0</v>
      </c>
      <c r="G685" s="277"/>
      <c r="H685" s="277"/>
      <c r="I685" s="329">
        <f>F685-G685-H685</f>
        <v>0</v>
      </c>
      <c r="J685" s="279" t="s">
        <v>156</v>
      </c>
      <c r="K685" s="279">
        <v>1</v>
      </c>
      <c r="L685" s="279">
        <v>1</v>
      </c>
      <c r="M685" s="279">
        <v>1</v>
      </c>
      <c r="N685" s="279">
        <v>1</v>
      </c>
      <c r="O685" s="279">
        <v>1</v>
      </c>
      <c r="P685" s="279">
        <v>1</v>
      </c>
      <c r="Q685" s="279">
        <v>1</v>
      </c>
      <c r="R685" s="279">
        <v>1</v>
      </c>
      <c r="S685" s="280">
        <v>1</v>
      </c>
      <c r="T685" s="63"/>
      <c r="U685" s="10" t="s">
        <v>1176</v>
      </c>
      <c r="V685" s="90">
        <f>75+262.1</f>
        <v>337.1</v>
      </c>
      <c r="W685" s="91"/>
      <c r="X685" s="92"/>
    </row>
    <row r="686" spans="1:24">
      <c r="B686" s="87">
        <f t="shared" si="106"/>
        <v>6</v>
      </c>
      <c r="C686" s="639">
        <v>45924</v>
      </c>
      <c r="D686" s="323">
        <v>73632</v>
      </c>
      <c r="E686" s="10" t="s">
        <v>305</v>
      </c>
      <c r="F686" s="62">
        <v>1281</v>
      </c>
      <c r="G686" s="62">
        <f>39.7+(93.29)</f>
        <v>132.99</v>
      </c>
      <c r="H686" s="62"/>
      <c r="I686" s="89">
        <f>F686-G686-H686</f>
        <v>1148.01</v>
      </c>
      <c r="J686" s="63" t="s">
        <v>156</v>
      </c>
      <c r="K686" s="63">
        <v>1</v>
      </c>
      <c r="L686" s="63">
        <v>1</v>
      </c>
      <c r="M686" s="63">
        <v>1</v>
      </c>
      <c r="N686" s="63">
        <v>1</v>
      </c>
      <c r="O686" s="63">
        <v>1</v>
      </c>
      <c r="P686" s="63">
        <v>1</v>
      </c>
      <c r="Q686" s="63">
        <v>1</v>
      </c>
      <c r="R686" s="63">
        <v>1</v>
      </c>
      <c r="S686" s="296">
        <v>1</v>
      </c>
      <c r="T686" s="21">
        <v>1</v>
      </c>
      <c r="U686" s="10"/>
      <c r="V686" s="90">
        <f>141+1268.1</f>
        <v>1409.1</v>
      </c>
      <c r="W686" s="91"/>
      <c r="X686" s="92"/>
    </row>
    <row r="687" spans="1:24">
      <c r="B687" s="87">
        <f t="shared" si="106"/>
        <v>7</v>
      </c>
      <c r="C687" s="639">
        <v>45924</v>
      </c>
      <c r="D687" s="323">
        <v>73539</v>
      </c>
      <c r="E687" s="101" t="s">
        <v>1030</v>
      </c>
      <c r="F687" s="62">
        <v>2814</v>
      </c>
      <c r="G687" s="62">
        <f>39.7+(25.66)+(102.66+167.92)+200</f>
        <v>535.94000000000005</v>
      </c>
      <c r="H687" s="62"/>
      <c r="I687" s="89">
        <f>F687-G687-H687</f>
        <v>2278.06</v>
      </c>
      <c r="J687" s="63" t="s">
        <v>228</v>
      </c>
      <c r="K687" s="63">
        <v>1</v>
      </c>
      <c r="L687" s="63">
        <v>1</v>
      </c>
      <c r="M687" s="63">
        <v>1</v>
      </c>
      <c r="N687" s="63">
        <v>1</v>
      </c>
      <c r="O687" s="63">
        <v>1</v>
      </c>
      <c r="P687" s="63">
        <v>1</v>
      </c>
      <c r="Q687" s="63">
        <v>1</v>
      </c>
      <c r="R687" s="63">
        <v>1</v>
      </c>
      <c r="S687" s="296">
        <v>1</v>
      </c>
      <c r="T687" s="63"/>
      <c r="U687" s="10" t="s">
        <v>1177</v>
      </c>
      <c r="V687" s="90">
        <f>310+2785.4</f>
        <v>3095.4</v>
      </c>
      <c r="W687" s="91"/>
      <c r="X687" s="92"/>
    </row>
    <row r="688" spans="1:24">
      <c r="B688" s="87">
        <f t="shared" si="106"/>
        <v>8</v>
      </c>
      <c r="C688" s="639">
        <v>45924</v>
      </c>
      <c r="D688" s="323">
        <v>73612</v>
      </c>
      <c r="E688" s="10" t="s">
        <v>149</v>
      </c>
      <c r="F688" s="62">
        <v>2261</v>
      </c>
      <c r="G688" s="62">
        <f>39.7</f>
        <v>39.700000000000003</v>
      </c>
      <c r="H688" s="88"/>
      <c r="I688" s="324">
        <f>F688-G688-H688</f>
        <v>2221.3000000000002</v>
      </c>
      <c r="J688" s="63" t="s">
        <v>156</v>
      </c>
      <c r="K688" s="63">
        <v>1</v>
      </c>
      <c r="L688" s="325">
        <v>0</v>
      </c>
      <c r="M688" s="63">
        <v>1</v>
      </c>
      <c r="N688" s="63">
        <v>1</v>
      </c>
      <c r="O688" s="63">
        <v>1</v>
      </c>
      <c r="P688" s="63">
        <v>1</v>
      </c>
      <c r="Q688" s="63">
        <v>1</v>
      </c>
      <c r="R688" s="63">
        <v>1</v>
      </c>
      <c r="S688" s="326">
        <v>0</v>
      </c>
      <c r="T688" s="63"/>
      <c r="U688" s="10"/>
      <c r="V688" s="90">
        <f>249+2238.1</f>
        <v>2487.1</v>
      </c>
      <c r="W688" s="91"/>
      <c r="X688" s="92"/>
    </row>
    <row r="689" spans="1:25">
      <c r="B689" s="87">
        <f t="shared" si="106"/>
        <v>9</v>
      </c>
      <c r="C689" s="639">
        <v>45924</v>
      </c>
      <c r="D689" s="323">
        <v>73587</v>
      </c>
      <c r="E689" s="10" t="s">
        <v>1178</v>
      </c>
      <c r="F689" s="62">
        <v>1075</v>
      </c>
      <c r="G689" s="62">
        <f>39.7</f>
        <v>39.700000000000003</v>
      </c>
      <c r="H689" s="88"/>
      <c r="I689" s="89">
        <f>F689-G689-H689</f>
        <v>1035.3</v>
      </c>
      <c r="J689" s="63" t="s">
        <v>156</v>
      </c>
      <c r="K689" s="63">
        <v>1</v>
      </c>
      <c r="L689" s="63">
        <v>1</v>
      </c>
      <c r="M689" s="63">
        <v>1</v>
      </c>
      <c r="N689" s="63">
        <v>1</v>
      </c>
      <c r="O689" s="63">
        <v>1</v>
      </c>
      <c r="P689" s="63">
        <v>1</v>
      </c>
      <c r="Q689" s="63">
        <v>1</v>
      </c>
      <c r="R689" s="63">
        <v>1</v>
      </c>
      <c r="S689" s="296">
        <v>1</v>
      </c>
      <c r="T689" s="21">
        <v>1</v>
      </c>
      <c r="U689" s="10" t="s">
        <v>1179</v>
      </c>
      <c r="V689" s="90">
        <v>1182.5</v>
      </c>
      <c r="W689" s="91"/>
      <c r="X689" s="92"/>
    </row>
    <row r="690" spans="1:25">
      <c r="B690" s="87">
        <f t="shared" si="106"/>
        <v>10</v>
      </c>
      <c r="C690" s="640">
        <v>45924</v>
      </c>
      <c r="D690" s="368">
        <v>73666</v>
      </c>
      <c r="E690" s="283" t="s">
        <v>1180</v>
      </c>
      <c r="F690" s="284">
        <f>1500-185-203.5</f>
        <v>1111.5</v>
      </c>
      <c r="G690" s="284">
        <f>39.7</f>
        <v>39.700000000000003</v>
      </c>
      <c r="H690" s="315"/>
      <c r="I690" s="331">
        <f>F690-G690-H690</f>
        <v>1071.8</v>
      </c>
      <c r="J690" s="286" t="s">
        <v>156</v>
      </c>
      <c r="K690" s="286">
        <v>1</v>
      </c>
      <c r="L690" s="286">
        <v>1</v>
      </c>
      <c r="M690" s="286">
        <v>1</v>
      </c>
      <c r="N690" s="286">
        <v>1</v>
      </c>
      <c r="O690" s="286">
        <v>1</v>
      </c>
      <c r="P690" s="286">
        <v>1</v>
      </c>
      <c r="Q690" s="332">
        <v>0</v>
      </c>
      <c r="R690" s="332">
        <v>0</v>
      </c>
      <c r="S690" s="370">
        <v>0</v>
      </c>
      <c r="T690" s="63"/>
      <c r="U690" s="10" t="s">
        <v>1181</v>
      </c>
      <c r="V690" s="90">
        <f>203.5+1243</f>
        <v>1446.5</v>
      </c>
      <c r="W690" s="91"/>
      <c r="X690" s="92"/>
    </row>
    <row r="691" spans="1:25">
      <c r="B691" s="87">
        <f t="shared" si="106"/>
        <v>11</v>
      </c>
      <c r="C691" s="640">
        <v>45925</v>
      </c>
      <c r="D691" s="368">
        <v>73657</v>
      </c>
      <c r="E691" s="283" t="s">
        <v>973</v>
      </c>
      <c r="F691" s="284">
        <v>2861</v>
      </c>
      <c r="G691" s="284">
        <f>39.7</f>
        <v>39.700000000000003</v>
      </c>
      <c r="H691" s="315"/>
      <c r="I691" s="285">
        <f>F691-G691-H691</f>
        <v>2821.3</v>
      </c>
      <c r="J691" s="286" t="s">
        <v>156</v>
      </c>
      <c r="K691" s="286">
        <v>1</v>
      </c>
      <c r="L691" s="286">
        <v>1</v>
      </c>
      <c r="M691" s="332">
        <v>0</v>
      </c>
      <c r="N691" s="286">
        <v>1</v>
      </c>
      <c r="O691" s="286">
        <v>1</v>
      </c>
      <c r="P691" s="286">
        <v>1</v>
      </c>
      <c r="Q691" s="286">
        <v>1</v>
      </c>
      <c r="R691" s="286">
        <v>1</v>
      </c>
      <c r="S691" s="287">
        <v>1</v>
      </c>
      <c r="T691" s="63"/>
      <c r="U691" s="10"/>
      <c r="V691" s="90">
        <f>320+2827.1</f>
        <v>3147.1</v>
      </c>
      <c r="W691" s="91"/>
      <c r="X691" s="92"/>
    </row>
    <row r="692" spans="1:25">
      <c r="B692" s="87"/>
      <c r="C692" s="621"/>
      <c r="D692" s="10"/>
      <c r="E692" s="10"/>
      <c r="F692" s="98">
        <f>SUM(F681:F691)</f>
        <v>19393.5</v>
      </c>
      <c r="G692" s="98">
        <f>SUM(G681:G691)</f>
        <v>3118.3699999999994</v>
      </c>
      <c r="H692" s="98">
        <f>SUM(H681:H691)</f>
        <v>0</v>
      </c>
      <c r="I692" s="98">
        <f>SUM(I681:I691)</f>
        <v>16275.129999999997</v>
      </c>
      <c r="J692" s="63"/>
      <c r="K692" s="63">
        <f>COUNT(K681:K691)</f>
        <v>11</v>
      </c>
      <c r="L692" s="63">
        <f>COUNT(L681:L691)</f>
        <v>11</v>
      </c>
      <c r="M692" s="63">
        <f>COUNT(M681:M691)</f>
        <v>11</v>
      </c>
      <c r="N692" s="63">
        <f>COUNT(N681:N691)</f>
        <v>11</v>
      </c>
      <c r="O692" s="63">
        <f>COUNT(O681:O691)</f>
        <v>11</v>
      </c>
      <c r="P692" s="63">
        <f>COUNT(P681:P691)</f>
        <v>11</v>
      </c>
      <c r="Q692" s="63">
        <f>COUNT(Q681:Q691)</f>
        <v>11</v>
      </c>
      <c r="R692" s="63">
        <f>COUNT(R681:R691)</f>
        <v>11</v>
      </c>
      <c r="S692" s="63">
        <f>COUNT(S681:S691)</f>
        <v>11</v>
      </c>
      <c r="T692" s="63"/>
      <c r="U692" s="10"/>
      <c r="V692" s="90"/>
      <c r="W692" s="91"/>
      <c r="X692" s="92"/>
    </row>
    <row r="693" spans="1:25">
      <c r="B693" s="87"/>
      <c r="C693" s="621"/>
      <c r="D693" s="10"/>
      <c r="E693" s="10"/>
      <c r="F693" s="88"/>
      <c r="G693" s="88"/>
      <c r="H693" s="88"/>
      <c r="I693" s="99"/>
      <c r="J693" s="63"/>
      <c r="K693" s="21">
        <f>SUM(K681:K691)</f>
        <v>11</v>
      </c>
      <c r="L693" s="21">
        <f>SUM(L681:L691)</f>
        <v>9</v>
      </c>
      <c r="M693" s="21">
        <f>SUM(M681:M691)</f>
        <v>10</v>
      </c>
      <c r="N693" s="21">
        <f>SUM(N681:N691)</f>
        <v>11</v>
      </c>
      <c r="O693" s="21">
        <f>SUM(O681:O691)</f>
        <v>11</v>
      </c>
      <c r="P693" s="21">
        <f>SUM(P681:P691)</f>
        <v>11</v>
      </c>
      <c r="Q693" s="21">
        <f>SUM(Q681:Q691)</f>
        <v>10</v>
      </c>
      <c r="R693" s="21">
        <f>SUM(R681:R691)</f>
        <v>10</v>
      </c>
      <c r="S693" s="21">
        <f>SUM(S681:S691)</f>
        <v>9</v>
      </c>
      <c r="T693" s="63"/>
      <c r="U693" s="10"/>
      <c r="V693" s="90"/>
      <c r="W693" s="91"/>
      <c r="X693" s="92"/>
    </row>
    <row r="694" spans="1:25">
      <c r="B694" s="11"/>
      <c r="C694" s="609"/>
      <c r="D694" s="10"/>
      <c r="E694" s="10"/>
      <c r="F694" s="88"/>
      <c r="G694" s="88"/>
      <c r="H694" s="88"/>
      <c r="I694" s="99"/>
      <c r="J694" s="63"/>
      <c r="K694" s="21"/>
      <c r="L694" s="21"/>
      <c r="M694" s="21"/>
      <c r="N694" s="21"/>
      <c r="O694" s="21"/>
      <c r="P694" s="21"/>
      <c r="Q694" s="21"/>
      <c r="R694" s="21"/>
      <c r="S694" s="21"/>
      <c r="T694" s="63"/>
      <c r="U694" s="94"/>
      <c r="V694" s="90"/>
      <c r="W694" s="91"/>
      <c r="X694" s="92"/>
    </row>
    <row r="695" spans="1:25">
      <c r="B695" s="100" t="s">
        <v>67</v>
      </c>
      <c r="C695" s="609"/>
      <c r="D695" s="10"/>
      <c r="E695" s="10"/>
      <c r="F695" s="88"/>
      <c r="G695" s="62"/>
      <c r="H695" s="88"/>
      <c r="I695" s="99"/>
      <c r="J695" s="63"/>
      <c r="K695" s="2"/>
      <c r="L695" s="2"/>
      <c r="M695" s="2"/>
      <c r="N695" s="2"/>
      <c r="O695" s="2"/>
      <c r="P695" s="2"/>
      <c r="Q695" s="2"/>
      <c r="R695" s="2"/>
      <c r="S695" s="2"/>
      <c r="T695" s="63"/>
      <c r="U695" s="94"/>
      <c r="V695" s="90"/>
      <c r="W695" s="91"/>
      <c r="X695" s="92"/>
    </row>
    <row r="696" spans="1:25" s="260" customFormat="1">
      <c r="A696" s="704">
        <v>45922</v>
      </c>
      <c r="B696" s="87">
        <v>1</v>
      </c>
      <c r="C696" s="641">
        <v>45919</v>
      </c>
      <c r="D696" s="263" t="s">
        <v>1153</v>
      </c>
      <c r="E696" s="271" t="s">
        <v>169</v>
      </c>
      <c r="F696" s="265">
        <v>6198</v>
      </c>
      <c r="G696" s="265">
        <v>250</v>
      </c>
      <c r="H696" s="265"/>
      <c r="I696" s="272">
        <f>F696-G696-H696</f>
        <v>5948</v>
      </c>
      <c r="J696" s="267" t="s">
        <v>374</v>
      </c>
      <c r="K696" s="267">
        <v>1</v>
      </c>
      <c r="L696" s="267">
        <v>1</v>
      </c>
      <c r="M696" s="267">
        <v>1</v>
      </c>
      <c r="N696" s="267">
        <v>1</v>
      </c>
      <c r="O696" s="267">
        <v>1</v>
      </c>
      <c r="P696" s="267">
        <v>1</v>
      </c>
      <c r="Q696" s="267">
        <v>1</v>
      </c>
      <c r="R696" s="267">
        <v>1</v>
      </c>
      <c r="S696" s="269">
        <v>1</v>
      </c>
      <c r="T696" s="63"/>
      <c r="U696" s="94" t="s">
        <v>1154</v>
      </c>
      <c r="V696" s="90"/>
      <c r="W696" s="136"/>
      <c r="X696" s="137"/>
    </row>
    <row r="697" spans="1:25">
      <c r="A697" s="494" t="s">
        <v>1182</v>
      </c>
      <c r="B697" s="87">
        <f>B696+1</f>
        <v>2</v>
      </c>
      <c r="C697" s="262">
        <v>45870</v>
      </c>
      <c r="D697" s="263" t="s">
        <v>978</v>
      </c>
      <c r="E697" s="264" t="s">
        <v>274</v>
      </c>
      <c r="F697" s="265">
        <v>8641</v>
      </c>
      <c r="G697" s="265">
        <f>39.7+(113.27)+750</f>
        <v>902.97</v>
      </c>
      <c r="H697" s="365"/>
      <c r="I697" s="266">
        <f>F697-G697-H697</f>
        <v>7738.03</v>
      </c>
      <c r="J697" s="267" t="s">
        <v>156</v>
      </c>
      <c r="K697" s="267">
        <v>1</v>
      </c>
      <c r="L697" s="267">
        <v>1</v>
      </c>
      <c r="M697" s="267">
        <v>1</v>
      </c>
      <c r="N697" s="267">
        <v>1</v>
      </c>
      <c r="O697" s="267">
        <v>1</v>
      </c>
      <c r="P697" s="314">
        <v>0</v>
      </c>
      <c r="Q697" s="267">
        <v>1</v>
      </c>
      <c r="R697" s="267">
        <v>1</v>
      </c>
      <c r="S697" s="269">
        <v>1</v>
      </c>
      <c r="T697" s="63"/>
      <c r="U697" s="94" t="s">
        <v>995</v>
      </c>
      <c r="V697" s="90"/>
      <c r="W697" s="136"/>
      <c r="X697" s="137"/>
      <c r="Y697" s="260"/>
    </row>
    <row r="698" spans="1:25">
      <c r="B698" s="11"/>
      <c r="C698" s="609"/>
      <c r="D698" s="10"/>
      <c r="E698" s="10"/>
      <c r="F698" s="97">
        <f>SUM(F696:F697)</f>
        <v>14839</v>
      </c>
      <c r="G698" s="97">
        <f>SUM(G696:G697)</f>
        <v>1152.97</v>
      </c>
      <c r="H698" s="97">
        <f>SUM(H696:H697)</f>
        <v>0</v>
      </c>
      <c r="I698" s="98">
        <f>SUM(I696:I697)</f>
        <v>13686.029999999999</v>
      </c>
      <c r="J698" s="63"/>
      <c r="K698" s="21"/>
      <c r="L698" s="21"/>
      <c r="M698" s="21"/>
      <c r="N698" s="21"/>
      <c r="O698" s="21"/>
      <c r="P698" s="21"/>
      <c r="Q698" s="21"/>
      <c r="R698" s="21"/>
      <c r="S698" s="21"/>
      <c r="T698" s="63"/>
      <c r="U698" s="94"/>
      <c r="V698" s="90"/>
      <c r="W698" s="91"/>
      <c r="X698" s="92"/>
    </row>
    <row r="699" spans="1:25">
      <c r="B699" s="11"/>
      <c r="C699" s="609"/>
      <c r="D699" s="10"/>
      <c r="E699" s="10"/>
      <c r="F699" s="88"/>
      <c r="G699" s="88"/>
      <c r="H699" s="88"/>
      <c r="I699" s="99"/>
      <c r="J699" s="63"/>
      <c r="K699" s="21"/>
      <c r="L699" s="21"/>
      <c r="M699" s="21"/>
      <c r="N699" s="21"/>
      <c r="O699" s="21"/>
      <c r="P699" s="21"/>
      <c r="Q699" s="21"/>
      <c r="R699" s="21"/>
      <c r="S699" s="21"/>
      <c r="T699" s="63"/>
      <c r="U699" s="94"/>
      <c r="V699" s="90"/>
      <c r="W699" s="91"/>
      <c r="X699" s="92"/>
    </row>
    <row r="700" spans="1:25">
      <c r="B700" s="121" t="s">
        <v>68</v>
      </c>
      <c r="C700" s="611"/>
      <c r="D700" s="123"/>
      <c r="E700" s="123"/>
      <c r="F700" s="124"/>
      <c r="G700" s="125"/>
      <c r="H700" s="124"/>
      <c r="I700" s="126"/>
      <c r="J700" s="127"/>
      <c r="K700" s="128"/>
      <c r="L700" s="128"/>
      <c r="M700" s="128"/>
      <c r="N700" s="128"/>
      <c r="O700" s="128"/>
      <c r="P700" s="128"/>
      <c r="Q700" s="128"/>
      <c r="R700" s="128"/>
      <c r="S700" s="128"/>
      <c r="T700" s="127"/>
      <c r="U700" s="123"/>
      <c r="V700" s="129"/>
      <c r="W700" s="130"/>
      <c r="X700" s="131"/>
    </row>
    <row r="701" spans="1:25">
      <c r="A701" s="615" t="s">
        <v>1183</v>
      </c>
      <c r="B701" s="333">
        <v>1</v>
      </c>
      <c r="C701" s="703">
        <v>45922</v>
      </c>
      <c r="D701" s="263">
        <v>73544</v>
      </c>
      <c r="E701" s="358" t="s">
        <v>1079</v>
      </c>
      <c r="F701" s="352">
        <f>1866-185-203.5</f>
        <v>1477.5</v>
      </c>
      <c r="G701" s="352">
        <f>39.7</f>
        <v>39.700000000000003</v>
      </c>
      <c r="H701" s="352"/>
      <c r="I701" s="353">
        <f>F701-G701-H701</f>
        <v>1437.8</v>
      </c>
      <c r="J701" s="354" t="s">
        <v>228</v>
      </c>
      <c r="K701" s="354">
        <v>1</v>
      </c>
      <c r="L701" s="354">
        <v>1</v>
      </c>
      <c r="M701" s="354">
        <v>1</v>
      </c>
      <c r="N701" s="354">
        <v>1</v>
      </c>
      <c r="O701" s="354">
        <v>1</v>
      </c>
      <c r="P701" s="354">
        <v>1</v>
      </c>
      <c r="Q701" s="354">
        <v>1</v>
      </c>
      <c r="R701" s="354">
        <v>1</v>
      </c>
      <c r="S701" s="355">
        <v>1</v>
      </c>
      <c r="T701" s="127"/>
      <c r="U701" s="135"/>
      <c r="V701" s="129">
        <f>203.5+1645.6</f>
        <v>1849.1</v>
      </c>
      <c r="W701" s="91"/>
      <c r="X701" s="92"/>
      <c r="Y701" s="260"/>
    </row>
    <row r="702" spans="1:25" s="381" customFormat="1">
      <c r="A702" s="713" t="s">
        <v>1184</v>
      </c>
      <c r="B702" s="372">
        <f>B701+1</f>
        <v>2</v>
      </c>
      <c r="C702" s="693">
        <v>45923</v>
      </c>
      <c r="D702" s="263">
        <v>73595</v>
      </c>
      <c r="E702" s="391" t="s">
        <v>1062</v>
      </c>
      <c r="F702" s="375">
        <v>5233</v>
      </c>
      <c r="G702" s="375">
        <f>39.7+(37.04)+(2046.1+102.66+135.07)+250</f>
        <v>2610.5699999999997</v>
      </c>
      <c r="H702" s="375"/>
      <c r="I702" s="376">
        <f>F702-G702-H702</f>
        <v>2622.4300000000003</v>
      </c>
      <c r="J702" s="314" t="s">
        <v>185</v>
      </c>
      <c r="K702" s="314">
        <v>1</v>
      </c>
      <c r="L702" s="314">
        <v>1</v>
      </c>
      <c r="M702" s="314">
        <v>1</v>
      </c>
      <c r="N702" s="314">
        <v>1</v>
      </c>
      <c r="O702" s="314">
        <v>1</v>
      </c>
      <c r="P702" s="314">
        <v>1</v>
      </c>
      <c r="Q702" s="314">
        <v>1</v>
      </c>
      <c r="R702" s="314">
        <v>1</v>
      </c>
      <c r="S702" s="366">
        <v>1</v>
      </c>
      <c r="T702" s="325"/>
      <c r="U702" s="430" t="s">
        <v>1185</v>
      </c>
      <c r="V702" s="377">
        <f>576+2000</f>
        <v>2576</v>
      </c>
      <c r="W702" s="378"/>
      <c r="X702" s="393"/>
    </row>
    <row r="703" spans="1:25">
      <c r="B703" s="132"/>
      <c r="C703" s="621"/>
      <c r="D703" s="123"/>
      <c r="E703" s="123"/>
      <c r="F703" s="134">
        <f>SUM(F701:F702)</f>
        <v>6710.5</v>
      </c>
      <c r="G703" s="134">
        <f>SUM(G701:G702)</f>
        <v>2650.2699999999995</v>
      </c>
      <c r="H703" s="134">
        <f>SUM(H701:H702)</f>
        <v>0</v>
      </c>
      <c r="I703" s="134">
        <f>SUM(I701:I702)</f>
        <v>4060.2300000000005</v>
      </c>
      <c r="J703" s="127"/>
      <c r="K703" s="64"/>
      <c r="L703" s="64"/>
      <c r="M703" s="64"/>
      <c r="N703" s="64"/>
      <c r="O703" s="64"/>
      <c r="P703" s="64"/>
      <c r="Q703" s="64"/>
      <c r="R703" s="64"/>
      <c r="S703" s="64"/>
      <c r="T703" s="127"/>
      <c r="U703" s="123"/>
      <c r="V703" s="129"/>
      <c r="W703" s="130"/>
      <c r="X703" s="131"/>
    </row>
    <row r="704" spans="1:25">
      <c r="B704" s="11"/>
      <c r="C704" s="621"/>
      <c r="D704" s="10"/>
      <c r="E704" s="10"/>
      <c r="F704" s="88"/>
      <c r="G704" s="88"/>
      <c r="H704" s="88"/>
      <c r="I704" s="99"/>
      <c r="J704" s="63"/>
      <c r="K704" s="21"/>
      <c r="L704" s="21"/>
      <c r="M704" s="21"/>
      <c r="N704" s="21"/>
      <c r="O704" s="21"/>
      <c r="P704" s="21"/>
      <c r="Q704" s="21"/>
      <c r="R704" s="21"/>
      <c r="S704" s="21"/>
      <c r="T704" s="63"/>
      <c r="U704" s="10"/>
      <c r="V704" s="90"/>
      <c r="W704" s="91"/>
      <c r="X704" s="92"/>
    </row>
    <row r="705" spans="1:25">
      <c r="B705" s="121" t="s">
        <v>70</v>
      </c>
      <c r="C705" s="611"/>
      <c r="D705" s="123"/>
      <c r="E705" s="128"/>
      <c r="F705" s="124"/>
      <c r="G705" s="124"/>
      <c r="H705" s="124"/>
      <c r="I705" s="126"/>
      <c r="J705" s="127"/>
      <c r="K705" s="64"/>
      <c r="L705" s="64"/>
      <c r="M705" s="64"/>
      <c r="N705" s="64"/>
      <c r="O705" s="64"/>
      <c r="P705" s="64"/>
      <c r="Q705" s="64"/>
      <c r="R705" s="64"/>
      <c r="S705" s="64"/>
      <c r="T705" s="127"/>
      <c r="U705" s="135"/>
      <c r="V705" s="129"/>
      <c r="W705" s="130"/>
      <c r="X705" s="131"/>
    </row>
    <row r="706" spans="1:25" s="342" customFormat="1">
      <c r="A706" s="492">
        <v>0.05</v>
      </c>
      <c r="B706" s="333">
        <v>1</v>
      </c>
      <c r="C706" s="653">
        <v>45923</v>
      </c>
      <c r="D706" s="327">
        <v>73516</v>
      </c>
      <c r="E706" s="335" t="s">
        <v>1186</v>
      </c>
      <c r="F706" s="336">
        <v>2861</v>
      </c>
      <c r="G706" s="336">
        <f>39.7</f>
        <v>39.700000000000003</v>
      </c>
      <c r="H706" s="336"/>
      <c r="I706" s="337">
        <f>F706-G706-H706</f>
        <v>2821.3</v>
      </c>
      <c r="J706" s="338" t="s">
        <v>156</v>
      </c>
      <c r="K706" s="338">
        <v>1</v>
      </c>
      <c r="L706" s="338"/>
      <c r="M706" s="338">
        <v>1</v>
      </c>
      <c r="N706" s="338">
        <v>1</v>
      </c>
      <c r="O706" s="338">
        <v>1</v>
      </c>
      <c r="P706" s="338">
        <v>1</v>
      </c>
      <c r="Q706" s="338"/>
      <c r="R706" s="338"/>
      <c r="S706" s="339"/>
      <c r="T706" s="127"/>
      <c r="U706" s="135" t="s">
        <v>1187</v>
      </c>
      <c r="V706" s="129">
        <f>314.71</f>
        <v>314.70999999999998</v>
      </c>
      <c r="W706" s="340"/>
      <c r="X706" s="341"/>
    </row>
    <row r="707" spans="1:25" s="342" customFormat="1">
      <c r="A707" s="492">
        <v>0.05</v>
      </c>
      <c r="B707" s="333">
        <f>B706+1</f>
        <v>2</v>
      </c>
      <c r="C707" s="703">
        <v>45925</v>
      </c>
      <c r="D707" s="263" t="s">
        <v>1188</v>
      </c>
      <c r="E707" s="358" t="s">
        <v>973</v>
      </c>
      <c r="F707" s="352">
        <v>18161</v>
      </c>
      <c r="G707" s="352">
        <f>39.7+33.68+1500</f>
        <v>1573.38</v>
      </c>
      <c r="H707" s="352"/>
      <c r="I707" s="353">
        <f>F707-G707-H707</f>
        <v>16587.62</v>
      </c>
      <c r="J707" s="354" t="s">
        <v>156</v>
      </c>
      <c r="K707" s="354">
        <v>1</v>
      </c>
      <c r="L707" s="354"/>
      <c r="M707" s="354">
        <v>1</v>
      </c>
      <c r="N707" s="354">
        <v>1</v>
      </c>
      <c r="O707" s="354">
        <v>1</v>
      </c>
      <c r="P707" s="354">
        <v>1</v>
      </c>
      <c r="Q707" s="354"/>
      <c r="R707" s="354"/>
      <c r="S707" s="355"/>
      <c r="T707" s="127"/>
      <c r="U707" s="135" t="s">
        <v>1189</v>
      </c>
      <c r="V707" s="129">
        <f>2000+3500</f>
        <v>5500</v>
      </c>
      <c r="W707" s="340"/>
      <c r="X707" s="341"/>
    </row>
    <row r="708" spans="1:25">
      <c r="B708" s="132"/>
      <c r="C708" s="621"/>
      <c r="D708" s="123"/>
      <c r="E708" s="123"/>
      <c r="F708" s="134">
        <f>SUM(F706:F707)</f>
        <v>21022</v>
      </c>
      <c r="G708" s="134">
        <f>SUM(G706:G707)</f>
        <v>1613.0800000000002</v>
      </c>
      <c r="H708" s="134">
        <f>SUM(H706:H707)</f>
        <v>0</v>
      </c>
      <c r="I708" s="134">
        <f>SUM(I706:I707)</f>
        <v>19408.919999999998</v>
      </c>
      <c r="J708" s="127"/>
      <c r="K708" s="64"/>
      <c r="L708" s="64"/>
      <c r="M708" s="64"/>
      <c r="N708" s="64"/>
      <c r="O708" s="64"/>
      <c r="P708" s="64"/>
      <c r="Q708" s="64"/>
      <c r="R708" s="64"/>
      <c r="S708" s="64"/>
      <c r="T708" s="127"/>
      <c r="U708" s="135"/>
      <c r="V708" s="129"/>
      <c r="W708" s="130"/>
      <c r="X708" s="131"/>
    </row>
    <row r="709" spans="1:25">
      <c r="B709" s="11"/>
      <c r="C709" s="621"/>
      <c r="D709" s="10"/>
      <c r="E709" s="10"/>
      <c r="F709" s="88"/>
      <c r="G709" s="88"/>
      <c r="H709" s="88"/>
      <c r="I709" s="99"/>
      <c r="J709" s="10"/>
      <c r="K709" s="63"/>
      <c r="L709" s="63"/>
      <c r="M709" s="63"/>
      <c r="N709" s="63"/>
      <c r="O709" s="63"/>
      <c r="P709" s="63"/>
      <c r="Q709" s="63"/>
      <c r="R709" s="63"/>
      <c r="S709" s="63"/>
      <c r="T709" s="63"/>
      <c r="U709" s="94"/>
      <c r="V709" s="90"/>
      <c r="W709" s="91"/>
      <c r="X709" s="92"/>
    </row>
    <row r="710" spans="1:25" s="260" customFormat="1">
      <c r="A710" s="181"/>
      <c r="B710" s="100" t="s">
        <v>152</v>
      </c>
      <c r="C710" s="36"/>
      <c r="D710" s="10"/>
      <c r="E710" s="10"/>
      <c r="F710" s="88"/>
      <c r="G710" s="62"/>
      <c r="H710" s="88"/>
      <c r="I710" s="99"/>
      <c r="J710" s="10"/>
      <c r="K710" s="181"/>
      <c r="L710" s="181"/>
      <c r="M710" s="181"/>
      <c r="N710" s="181"/>
      <c r="O710" s="181"/>
      <c r="P710" s="181"/>
      <c r="Q710" s="181"/>
      <c r="R710" s="181"/>
      <c r="S710" s="181"/>
      <c r="T710" s="63"/>
      <c r="U710" s="10"/>
      <c r="V710" s="90"/>
      <c r="W710" s="91"/>
      <c r="X710" s="92"/>
      <c r="Y710" s="181"/>
    </row>
    <row r="711" spans="1:25" s="260" customFormat="1">
      <c r="A711" s="261">
        <v>0.05</v>
      </c>
      <c r="B711" s="87">
        <v>1</v>
      </c>
      <c r="C711" s="641">
        <v>45904</v>
      </c>
      <c r="D711" s="263">
        <v>72974</v>
      </c>
      <c r="E711" s="271" t="s">
        <v>1091</v>
      </c>
      <c r="F711" s="265">
        <v>542</v>
      </c>
      <c r="G711" s="265"/>
      <c r="H711" s="365"/>
      <c r="I711" s="272">
        <f>F711-G711-H711</f>
        <v>542</v>
      </c>
      <c r="J711" s="267" t="s">
        <v>185</v>
      </c>
      <c r="K711" s="267">
        <v>1</v>
      </c>
      <c r="L711" s="267">
        <v>1</v>
      </c>
      <c r="M711" s="267">
        <v>1</v>
      </c>
      <c r="N711" s="267">
        <v>1</v>
      </c>
      <c r="O711" s="267">
        <v>1</v>
      </c>
      <c r="P711" s="267">
        <v>1</v>
      </c>
      <c r="Q711" s="267">
        <v>1</v>
      </c>
      <c r="R711" s="267">
        <v>1</v>
      </c>
      <c r="S711" s="269">
        <v>1</v>
      </c>
      <c r="T711" s="21"/>
      <c r="U711" s="10"/>
      <c r="V711" s="90"/>
      <c r="W711" s="91"/>
      <c r="X711" s="92"/>
    </row>
    <row r="712" spans="1:25" s="260" customFormat="1">
      <c r="A712" s="494">
        <v>0.05</v>
      </c>
      <c r="B712" s="87">
        <f>B711+1</f>
        <v>2</v>
      </c>
      <c r="C712" s="641">
        <v>45911</v>
      </c>
      <c r="D712" s="263">
        <v>73200</v>
      </c>
      <c r="E712" s="264" t="s">
        <v>798</v>
      </c>
      <c r="F712" s="265">
        <f>2346-85</f>
        <v>2261</v>
      </c>
      <c r="G712" s="265">
        <f>39.7</f>
        <v>39.700000000000003</v>
      </c>
      <c r="H712" s="265"/>
      <c r="I712" s="272">
        <f>F712-G712-H712</f>
        <v>2221.3000000000002</v>
      </c>
      <c r="J712" s="267" t="s">
        <v>156</v>
      </c>
      <c r="K712" s="267">
        <v>1</v>
      </c>
      <c r="L712" s="267">
        <v>1</v>
      </c>
      <c r="M712" s="267">
        <v>1</v>
      </c>
      <c r="N712" s="267">
        <v>1</v>
      </c>
      <c r="O712" s="267">
        <v>1</v>
      </c>
      <c r="P712" s="267">
        <v>1</v>
      </c>
      <c r="Q712" s="267">
        <v>1</v>
      </c>
      <c r="R712" s="267">
        <v>1</v>
      </c>
      <c r="S712" s="269">
        <v>1</v>
      </c>
      <c r="T712" s="63"/>
      <c r="U712" s="10" t="s">
        <v>1128</v>
      </c>
      <c r="V712" s="90"/>
      <c r="W712" s="91"/>
      <c r="X712" s="92"/>
      <c r="Y712" s="181"/>
    </row>
    <row r="713" spans="1:25" s="260" customFormat="1">
      <c r="B713" s="11"/>
      <c r="C713" s="36"/>
      <c r="D713" s="10"/>
      <c r="E713" s="10"/>
      <c r="F713" s="98">
        <f>SUM(F711:F712)</f>
        <v>2803</v>
      </c>
      <c r="G713" s="98">
        <f>SUM(G711:G712)</f>
        <v>39.700000000000003</v>
      </c>
      <c r="H713" s="98">
        <f>SUM(H711:H712)</f>
        <v>0</v>
      </c>
      <c r="I713" s="98">
        <f>SUM(I711:I712)</f>
        <v>2763.3</v>
      </c>
      <c r="J713" s="63"/>
      <c r="K713" s="21"/>
      <c r="L713" s="21"/>
      <c r="M713" s="21"/>
      <c r="N713" s="21"/>
      <c r="O713" s="21"/>
      <c r="P713" s="21"/>
      <c r="Q713" s="21"/>
      <c r="R713" s="21"/>
      <c r="S713" s="21"/>
      <c r="T713" s="63"/>
      <c r="U713" s="94"/>
      <c r="V713" s="90"/>
      <c r="W713" s="91"/>
      <c r="X713" s="92"/>
    </row>
    <row r="714" spans="1:25" s="260" customFormat="1">
      <c r="B714" s="11"/>
      <c r="C714" s="36"/>
      <c r="D714" s="10"/>
      <c r="E714" s="10"/>
      <c r="F714" s="99"/>
      <c r="G714" s="99"/>
      <c r="H714" s="99"/>
      <c r="I714" s="99"/>
      <c r="J714" s="63"/>
      <c r="K714" s="21"/>
      <c r="L714" s="21"/>
      <c r="M714" s="21"/>
      <c r="N714" s="21"/>
      <c r="O714" s="21"/>
      <c r="P714" s="21"/>
      <c r="Q714" s="21"/>
      <c r="R714" s="21"/>
      <c r="S714" s="21"/>
      <c r="T714" s="63"/>
      <c r="U714" s="94"/>
      <c r="V714" s="90"/>
      <c r="W714" s="91"/>
      <c r="X714" s="92"/>
    </row>
    <row r="715" spans="1:25">
      <c r="A715" s="2"/>
      <c r="B715" s="11"/>
      <c r="C715" s="36"/>
      <c r="D715" s="10"/>
      <c r="E715" s="10"/>
      <c r="F715" s="88"/>
      <c r="G715" s="88"/>
      <c r="H715" s="88"/>
      <c r="I715" s="99"/>
      <c r="J715" s="63"/>
      <c r="K715" s="21"/>
      <c r="L715" s="21"/>
      <c r="M715" s="21"/>
      <c r="N715" s="21"/>
      <c r="O715" s="21"/>
      <c r="P715" s="21"/>
      <c r="Q715" s="21"/>
      <c r="R715" s="21"/>
      <c r="S715" s="21"/>
      <c r="T715" s="63"/>
      <c r="U715" s="94"/>
      <c r="V715" s="90"/>
      <c r="W715" s="91"/>
      <c r="X715" s="92"/>
    </row>
    <row r="716" spans="1:25" s="260" customFormat="1">
      <c r="B716" s="100" t="s">
        <v>202</v>
      </c>
      <c r="C716" s="36"/>
      <c r="D716" s="10"/>
      <c r="E716" s="181"/>
      <c r="F716" s="88"/>
      <c r="G716" s="88"/>
      <c r="H716" s="88"/>
      <c r="I716" s="99"/>
      <c r="J716" s="63"/>
      <c r="K716" s="21"/>
      <c r="L716" s="21"/>
      <c r="M716" s="21"/>
      <c r="N716" s="21"/>
      <c r="O716" s="21"/>
      <c r="P716" s="21"/>
      <c r="Q716" s="21"/>
      <c r="R716" s="21"/>
      <c r="S716" s="21"/>
      <c r="T716" s="63"/>
      <c r="U716" s="94"/>
      <c r="V716" s="90"/>
      <c r="W716" s="91"/>
      <c r="X716" s="92"/>
    </row>
    <row r="717" spans="1:25" s="260" customFormat="1">
      <c r="A717" s="261">
        <v>0.05</v>
      </c>
      <c r="B717" s="87">
        <v>1</v>
      </c>
      <c r="C717" s="641">
        <v>45904</v>
      </c>
      <c r="D717" s="263">
        <v>72982</v>
      </c>
      <c r="E717" s="271" t="s">
        <v>604</v>
      </c>
      <c r="F717" s="265">
        <v>1681</v>
      </c>
      <c r="G717" s="265">
        <f>39.7+398</f>
        <v>437.7</v>
      </c>
      <c r="H717" s="265"/>
      <c r="I717" s="272">
        <f>F717-G717-H717</f>
        <v>1243.3</v>
      </c>
      <c r="J717" s="267" t="s">
        <v>156</v>
      </c>
      <c r="K717" s="267">
        <v>1</v>
      </c>
      <c r="L717" s="267"/>
      <c r="M717" s="267">
        <v>1</v>
      </c>
      <c r="N717" s="267">
        <v>1</v>
      </c>
      <c r="O717" s="267">
        <v>1</v>
      </c>
      <c r="P717" s="267">
        <v>1</v>
      </c>
      <c r="Q717" s="267"/>
      <c r="R717" s="267"/>
      <c r="S717" s="269"/>
      <c r="T717" s="63"/>
      <c r="U717" s="94" t="s">
        <v>1131</v>
      </c>
      <c r="V717" s="90"/>
      <c r="W717" s="136"/>
      <c r="X717" s="137"/>
    </row>
    <row r="718" spans="1:25" s="260" customFormat="1">
      <c r="B718" s="11"/>
      <c r="C718" s="36"/>
      <c r="D718" s="10"/>
      <c r="E718" s="10"/>
      <c r="F718" s="98">
        <f>SUM(F717)</f>
        <v>1681</v>
      </c>
      <c r="G718" s="98">
        <f>SUM(G717)</f>
        <v>437.7</v>
      </c>
      <c r="H718" s="98">
        <f>SUM(H717)</f>
        <v>0</v>
      </c>
      <c r="I718" s="98">
        <f>SUM(I717)</f>
        <v>1243.3</v>
      </c>
      <c r="J718" s="510"/>
      <c r="K718" s="21"/>
      <c r="L718" s="21"/>
      <c r="M718" s="21"/>
      <c r="N718" s="21"/>
      <c r="O718" s="21"/>
      <c r="P718" s="21"/>
      <c r="Q718" s="21"/>
      <c r="R718" s="21"/>
      <c r="S718" s="21"/>
      <c r="T718" s="63"/>
      <c r="U718" s="94"/>
      <c r="V718" s="90"/>
      <c r="W718" s="91"/>
      <c r="X718" s="92"/>
    </row>
    <row r="719" spans="1:25" s="260" customFormat="1">
      <c r="B719" s="11"/>
      <c r="C719" s="36"/>
      <c r="D719" s="10"/>
      <c r="E719" s="10"/>
      <c r="F719" s="99"/>
      <c r="G719" s="99"/>
      <c r="H719" s="99"/>
      <c r="I719" s="99"/>
      <c r="J719" s="63"/>
      <c r="K719" s="21"/>
      <c r="L719" s="21"/>
      <c r="M719" s="21"/>
      <c r="N719" s="21"/>
      <c r="O719" s="21"/>
      <c r="P719" s="21"/>
      <c r="Q719" s="21"/>
      <c r="R719" s="21"/>
      <c r="S719" s="21"/>
      <c r="T719" s="63"/>
      <c r="U719" s="94"/>
      <c r="V719" s="90"/>
      <c r="W719" s="91"/>
      <c r="X719" s="92"/>
    </row>
    <row r="720" spans="1:25">
      <c r="B720" s="100" t="s">
        <v>72</v>
      </c>
      <c r="C720" s="609"/>
      <c r="D720" s="10"/>
      <c r="E720" s="10"/>
      <c r="F720" s="88"/>
      <c r="G720" s="88"/>
      <c r="H720" s="88"/>
      <c r="I720" s="99"/>
      <c r="J720" s="63"/>
      <c r="K720" s="63"/>
      <c r="L720" s="63"/>
      <c r="M720" s="63"/>
      <c r="N720" s="63"/>
      <c r="O720" s="63"/>
      <c r="P720" s="63"/>
      <c r="Q720" s="63"/>
      <c r="R720" s="63"/>
      <c r="S720" s="63"/>
      <c r="T720" s="63"/>
      <c r="U720" s="10"/>
      <c r="V720" s="90"/>
      <c r="W720" s="91"/>
      <c r="X720" s="92"/>
    </row>
    <row r="721" spans="2:24">
      <c r="B721" s="87">
        <v>1</v>
      </c>
      <c r="C721" s="638">
        <v>45922</v>
      </c>
      <c r="D721" s="276" t="s">
        <v>1190</v>
      </c>
      <c r="E721" s="276" t="s">
        <v>294</v>
      </c>
      <c r="F721" s="277">
        <v>6214</v>
      </c>
      <c r="G721" s="277">
        <v>39.700000000000003</v>
      </c>
      <c r="H721" s="277"/>
      <c r="I721" s="278">
        <f>F721-G721-H721</f>
        <v>6174.3</v>
      </c>
      <c r="J721" s="279" t="s">
        <v>205</v>
      </c>
      <c r="K721" s="279">
        <v>1</v>
      </c>
      <c r="L721" s="279"/>
      <c r="M721" s="279"/>
      <c r="N721" s="279">
        <v>1</v>
      </c>
      <c r="O721" s="279"/>
      <c r="P721" s="279"/>
      <c r="Q721" s="279"/>
      <c r="R721" s="279"/>
      <c r="S721" s="280"/>
      <c r="T721" s="63"/>
      <c r="U721" s="3"/>
      <c r="V721" s="90"/>
      <c r="W721" s="91"/>
      <c r="X721" s="92"/>
    </row>
    <row r="722" spans="2:24">
      <c r="B722" s="87">
        <f t="shared" ref="B722:B735" si="107">B721+1</f>
        <v>2</v>
      </c>
      <c r="C722" s="639">
        <v>45922</v>
      </c>
      <c r="D722" s="77" t="s">
        <v>1191</v>
      </c>
      <c r="E722" s="10" t="s">
        <v>299</v>
      </c>
      <c r="F722" s="62">
        <v>681</v>
      </c>
      <c r="G722" s="62"/>
      <c r="H722" s="62"/>
      <c r="I722" s="89">
        <f>F722-G722-H722</f>
        <v>681</v>
      </c>
      <c r="J722" s="63" t="s">
        <v>205</v>
      </c>
      <c r="K722" s="63"/>
      <c r="L722" s="63"/>
      <c r="M722" s="63"/>
      <c r="N722" s="63">
        <v>1</v>
      </c>
      <c r="O722" s="63"/>
      <c r="P722" s="63"/>
      <c r="Q722" s="63"/>
      <c r="R722" s="63"/>
      <c r="S722" s="296"/>
      <c r="T722" s="63"/>
      <c r="U722" s="10"/>
      <c r="V722" s="90"/>
      <c r="W722" s="136"/>
      <c r="X722" s="137"/>
    </row>
    <row r="723" spans="2:24">
      <c r="B723" s="87">
        <f t="shared" si="107"/>
        <v>3</v>
      </c>
      <c r="C723" s="639">
        <v>45922</v>
      </c>
      <c r="D723" s="77" t="s">
        <v>1192</v>
      </c>
      <c r="E723" s="10" t="s">
        <v>299</v>
      </c>
      <c r="F723" s="62">
        <v>8614</v>
      </c>
      <c r="G723" s="62">
        <v>39.700000000000003</v>
      </c>
      <c r="H723" s="62"/>
      <c r="I723" s="89">
        <f>F723-G723-H723</f>
        <v>8574.2999999999993</v>
      </c>
      <c r="J723" s="63" t="s">
        <v>205</v>
      </c>
      <c r="K723" s="63"/>
      <c r="L723" s="63"/>
      <c r="M723" s="63"/>
      <c r="N723" s="63">
        <v>1</v>
      </c>
      <c r="O723" s="63"/>
      <c r="P723" s="63"/>
      <c r="Q723" s="63"/>
      <c r="R723" s="63"/>
      <c r="S723" s="296"/>
      <c r="T723" s="63"/>
      <c r="U723" s="10"/>
      <c r="V723" s="90"/>
      <c r="W723" s="136"/>
      <c r="X723" s="137"/>
    </row>
    <row r="724" spans="2:24">
      <c r="B724" s="87">
        <f t="shared" si="107"/>
        <v>4</v>
      </c>
      <c r="C724" s="638">
        <v>45923</v>
      </c>
      <c r="D724" s="276">
        <v>73522</v>
      </c>
      <c r="E724" s="276" t="s">
        <v>1034</v>
      </c>
      <c r="F724" s="277">
        <v>0</v>
      </c>
      <c r="G724" s="277">
        <v>0</v>
      </c>
      <c r="H724" s="277"/>
      <c r="I724" s="278">
        <f>F724-G724-H724</f>
        <v>0</v>
      </c>
      <c r="J724" s="279" t="s">
        <v>156</v>
      </c>
      <c r="K724" s="279">
        <v>1</v>
      </c>
      <c r="L724" s="279"/>
      <c r="M724" s="279">
        <v>1</v>
      </c>
      <c r="N724" s="279"/>
      <c r="O724" s="279"/>
      <c r="P724" s="279"/>
      <c r="Q724" s="279">
        <v>1</v>
      </c>
      <c r="R724" s="279">
        <v>1</v>
      </c>
      <c r="S724" s="280">
        <v>1</v>
      </c>
      <c r="T724" s="63"/>
      <c r="U724" s="10"/>
      <c r="V724" s="90">
        <v>93.5</v>
      </c>
      <c r="W724" s="136"/>
      <c r="X724" s="137"/>
    </row>
    <row r="725" spans="2:24">
      <c r="B725" s="87">
        <f t="shared" si="107"/>
        <v>5</v>
      </c>
      <c r="C725" s="639">
        <v>45923</v>
      </c>
      <c r="D725" s="10" t="s">
        <v>1193</v>
      </c>
      <c r="E725" s="10" t="s">
        <v>1028</v>
      </c>
      <c r="F725" s="62">
        <v>4419</v>
      </c>
      <c r="G725" s="62">
        <f>39.7</f>
        <v>39.700000000000003</v>
      </c>
      <c r="H725" s="62"/>
      <c r="I725" s="89">
        <f>F725-G725-H725</f>
        <v>4379.3</v>
      </c>
      <c r="J725" s="63" t="s">
        <v>205</v>
      </c>
      <c r="K725" s="63">
        <v>1</v>
      </c>
      <c r="L725" s="63"/>
      <c r="M725" s="63"/>
      <c r="N725" s="63">
        <v>1</v>
      </c>
      <c r="O725" s="63"/>
      <c r="P725" s="63"/>
      <c r="Q725" s="63"/>
      <c r="R725" s="63"/>
      <c r="S725" s="296"/>
      <c r="T725" s="63"/>
      <c r="U725" s="10"/>
      <c r="V725" s="90"/>
      <c r="W725" s="136"/>
      <c r="X725" s="137"/>
    </row>
    <row r="726" spans="2:24">
      <c r="B726" s="87">
        <f t="shared" si="107"/>
        <v>6</v>
      </c>
      <c r="C726" s="639">
        <v>45923</v>
      </c>
      <c r="D726" s="10">
        <v>73407</v>
      </c>
      <c r="E726" s="101" t="s">
        <v>1115</v>
      </c>
      <c r="F726" s="62">
        <v>0</v>
      </c>
      <c r="G726" s="62">
        <v>0</v>
      </c>
      <c r="H726" s="62"/>
      <c r="I726" s="89">
        <f>F726-G726-H726</f>
        <v>0</v>
      </c>
      <c r="J726" s="63" t="s">
        <v>810</v>
      </c>
      <c r="K726" s="63"/>
      <c r="L726" s="63"/>
      <c r="M726" s="63"/>
      <c r="N726" s="63"/>
      <c r="O726" s="63"/>
      <c r="P726" s="63"/>
      <c r="Q726" s="63"/>
      <c r="R726" s="63"/>
      <c r="S726" s="296"/>
      <c r="T726" s="63"/>
      <c r="U726" s="10"/>
      <c r="V726" s="90"/>
      <c r="W726" s="136"/>
      <c r="X726" s="137"/>
    </row>
    <row r="727" spans="2:24">
      <c r="B727" s="87">
        <f t="shared" si="107"/>
        <v>7</v>
      </c>
      <c r="C727" s="638">
        <v>45924</v>
      </c>
      <c r="D727" s="276" t="s">
        <v>1194</v>
      </c>
      <c r="E727" s="281" t="s">
        <v>1175</v>
      </c>
      <c r="F727" s="277">
        <v>5233</v>
      </c>
      <c r="G727" s="277">
        <v>39.700000000000003</v>
      </c>
      <c r="H727" s="277"/>
      <c r="I727" s="278">
        <f>F727-G727-H727</f>
        <v>5193.3</v>
      </c>
      <c r="J727" s="279" t="s">
        <v>205</v>
      </c>
      <c r="K727" s="279">
        <v>1</v>
      </c>
      <c r="L727" s="279"/>
      <c r="M727" s="279"/>
      <c r="N727" s="279">
        <v>1</v>
      </c>
      <c r="O727" s="279"/>
      <c r="P727" s="279"/>
      <c r="Q727" s="279"/>
      <c r="R727" s="279"/>
      <c r="S727" s="280"/>
      <c r="T727" s="63"/>
      <c r="U727" s="10"/>
      <c r="V727" s="90"/>
      <c r="W727" s="136"/>
      <c r="X727" s="137"/>
    </row>
    <row r="728" spans="2:24">
      <c r="B728" s="87">
        <f t="shared" si="107"/>
        <v>8</v>
      </c>
      <c r="C728" s="639">
        <v>45924</v>
      </c>
      <c r="D728" s="10">
        <v>73614</v>
      </c>
      <c r="E728" s="101" t="s">
        <v>746</v>
      </c>
      <c r="F728" s="62">
        <v>681</v>
      </c>
      <c r="G728" s="62"/>
      <c r="H728" s="62"/>
      <c r="I728" s="89">
        <f>F728-G728-H728</f>
        <v>681</v>
      </c>
      <c r="J728" s="63" t="s">
        <v>205</v>
      </c>
      <c r="K728" s="63">
        <v>1</v>
      </c>
      <c r="L728" s="63"/>
      <c r="M728" s="63"/>
      <c r="N728" s="63">
        <v>1</v>
      </c>
      <c r="O728" s="63"/>
      <c r="P728" s="63"/>
      <c r="Q728" s="63">
        <v>1</v>
      </c>
      <c r="R728" s="63">
        <v>1</v>
      </c>
      <c r="S728" s="296">
        <v>1</v>
      </c>
      <c r="T728" s="63"/>
      <c r="U728" s="10"/>
      <c r="V728" s="90"/>
      <c r="W728" s="136"/>
      <c r="X728" s="137"/>
    </row>
    <row r="729" spans="2:24">
      <c r="B729" s="87">
        <f t="shared" si="107"/>
        <v>9</v>
      </c>
      <c r="C729" s="639">
        <v>45924</v>
      </c>
      <c r="D729" s="10" t="s">
        <v>1195</v>
      </c>
      <c r="E729" s="10" t="s">
        <v>149</v>
      </c>
      <c r="F729" s="62">
        <v>14816</v>
      </c>
      <c r="G729" s="62">
        <f>39.7</f>
        <v>39.700000000000003</v>
      </c>
      <c r="H729" s="62"/>
      <c r="I729" s="89">
        <f>F729-G729-H729</f>
        <v>14776.3</v>
      </c>
      <c r="J729" s="63" t="s">
        <v>205</v>
      </c>
      <c r="K729" s="63">
        <v>1</v>
      </c>
      <c r="L729" s="63"/>
      <c r="M729" s="63"/>
      <c r="N729" s="63">
        <v>1</v>
      </c>
      <c r="O729" s="63"/>
      <c r="P729" s="63"/>
      <c r="Q729" s="63"/>
      <c r="R729" s="63"/>
      <c r="S729" s="296"/>
      <c r="T729" s="63"/>
      <c r="U729" s="10"/>
      <c r="V729" s="90"/>
      <c r="W729" s="136"/>
      <c r="X729" s="137"/>
    </row>
    <row r="730" spans="2:24">
      <c r="B730" s="87">
        <f t="shared" si="107"/>
        <v>10</v>
      </c>
      <c r="C730" s="638">
        <v>45925</v>
      </c>
      <c r="D730" s="276">
        <v>73688</v>
      </c>
      <c r="E730" s="281" t="s">
        <v>973</v>
      </c>
      <c r="F730" s="277">
        <v>0</v>
      </c>
      <c r="G730" s="277">
        <v>0</v>
      </c>
      <c r="H730" s="277"/>
      <c r="I730" s="278">
        <f>F730-G730-H730</f>
        <v>0</v>
      </c>
      <c r="J730" s="279" t="s">
        <v>205</v>
      </c>
      <c r="K730" s="279"/>
      <c r="L730" s="279"/>
      <c r="M730" s="279"/>
      <c r="N730" s="279"/>
      <c r="O730" s="279"/>
      <c r="P730" s="279"/>
      <c r="Q730" s="279"/>
      <c r="R730" s="279"/>
      <c r="S730" s="280"/>
      <c r="T730" s="63"/>
      <c r="U730" s="10"/>
      <c r="V730" s="90"/>
      <c r="W730" s="136"/>
      <c r="X730" s="137"/>
    </row>
    <row r="731" spans="2:24">
      <c r="B731" s="87">
        <f t="shared" si="107"/>
        <v>11</v>
      </c>
      <c r="C731" s="639">
        <v>45925</v>
      </c>
      <c r="D731" s="10">
        <v>73660</v>
      </c>
      <c r="E731" s="101" t="s">
        <v>746</v>
      </c>
      <c r="F731" s="62">
        <v>681</v>
      </c>
      <c r="G731" s="62"/>
      <c r="H731" s="62"/>
      <c r="I731" s="89">
        <f>F731-G731-H731</f>
        <v>681</v>
      </c>
      <c r="J731" s="63" t="s">
        <v>205</v>
      </c>
      <c r="K731" s="63">
        <v>1</v>
      </c>
      <c r="L731" s="63"/>
      <c r="M731" s="63"/>
      <c r="N731" s="63">
        <v>1</v>
      </c>
      <c r="O731" s="63"/>
      <c r="P731" s="63"/>
      <c r="Q731" s="63">
        <v>1</v>
      </c>
      <c r="R731" s="63">
        <v>1</v>
      </c>
      <c r="S731" s="296">
        <v>1</v>
      </c>
      <c r="T731" s="63"/>
      <c r="U731" s="10"/>
      <c r="V731" s="90"/>
      <c r="W731" s="136"/>
      <c r="X731" s="137"/>
    </row>
    <row r="732" spans="2:24">
      <c r="B732" s="87">
        <f t="shared" si="107"/>
        <v>12</v>
      </c>
      <c r="C732" s="639">
        <v>45925</v>
      </c>
      <c r="D732" s="10">
        <v>73645</v>
      </c>
      <c r="E732" s="101" t="s">
        <v>604</v>
      </c>
      <c r="F732" s="62">
        <v>1461</v>
      </c>
      <c r="G732" s="62">
        <v>39.700000000000003</v>
      </c>
      <c r="H732" s="62"/>
      <c r="I732" s="89">
        <f>F732-G732-H732</f>
        <v>1421.3</v>
      </c>
      <c r="J732" s="63" t="s">
        <v>205</v>
      </c>
      <c r="K732" s="63">
        <v>1</v>
      </c>
      <c r="L732" s="63"/>
      <c r="M732" s="63"/>
      <c r="N732" s="63">
        <v>1</v>
      </c>
      <c r="O732" s="63"/>
      <c r="P732" s="63"/>
      <c r="Q732" s="63">
        <v>1</v>
      </c>
      <c r="R732" s="63">
        <v>1</v>
      </c>
      <c r="S732" s="296">
        <v>1</v>
      </c>
      <c r="T732" s="63"/>
      <c r="U732" s="10"/>
      <c r="V732" s="90"/>
      <c r="W732" s="136"/>
      <c r="X732" s="137"/>
    </row>
    <row r="733" spans="2:24">
      <c r="B733" s="87">
        <f t="shared" si="107"/>
        <v>13</v>
      </c>
      <c r="C733" s="639">
        <v>45925</v>
      </c>
      <c r="D733" s="10">
        <v>73624</v>
      </c>
      <c r="E733" s="101" t="s">
        <v>1196</v>
      </c>
      <c r="F733" s="62">
        <v>681</v>
      </c>
      <c r="G733" s="62"/>
      <c r="H733" s="62"/>
      <c r="I733" s="89">
        <f>F733-G733-H733</f>
        <v>681</v>
      </c>
      <c r="J733" s="63" t="s">
        <v>156</v>
      </c>
      <c r="K733" s="63">
        <v>1</v>
      </c>
      <c r="L733" s="63"/>
      <c r="M733" s="63">
        <v>1</v>
      </c>
      <c r="N733" s="63">
        <v>1</v>
      </c>
      <c r="O733" s="63"/>
      <c r="P733" s="63"/>
      <c r="Q733" s="63"/>
      <c r="R733" s="63"/>
      <c r="S733" s="296"/>
      <c r="T733" s="63"/>
      <c r="U733" s="10"/>
      <c r="V733" s="90">
        <f>8.5+85</f>
        <v>93.5</v>
      </c>
      <c r="W733" s="136"/>
      <c r="X733" s="137"/>
    </row>
    <row r="734" spans="2:24">
      <c r="B734" s="87">
        <f t="shared" si="107"/>
        <v>14</v>
      </c>
      <c r="C734" s="639">
        <v>45925</v>
      </c>
      <c r="D734" s="10">
        <v>73698</v>
      </c>
      <c r="E734" s="10" t="s">
        <v>149</v>
      </c>
      <c r="F734" s="62">
        <v>616</v>
      </c>
      <c r="G734" s="62"/>
      <c r="H734" s="62"/>
      <c r="I734" s="89">
        <f>F734-G734-H734</f>
        <v>616</v>
      </c>
      <c r="J734" s="63" t="s">
        <v>205</v>
      </c>
      <c r="K734" s="63">
        <v>1</v>
      </c>
      <c r="L734" s="63"/>
      <c r="M734" s="63"/>
      <c r="N734" s="63">
        <v>1</v>
      </c>
      <c r="O734" s="63"/>
      <c r="P734" s="63"/>
      <c r="Q734" s="63"/>
      <c r="R734" s="63"/>
      <c r="S734" s="296"/>
      <c r="T734" s="63"/>
      <c r="U734" s="10"/>
      <c r="V734" s="90"/>
      <c r="W734" s="136"/>
      <c r="X734" s="137"/>
    </row>
    <row r="735" spans="2:24">
      <c r="B735" s="87">
        <f t="shared" si="107"/>
        <v>15</v>
      </c>
      <c r="C735" s="640">
        <v>45925</v>
      </c>
      <c r="D735" s="283">
        <v>73683</v>
      </c>
      <c r="E735" s="283" t="s">
        <v>1111</v>
      </c>
      <c r="F735" s="284">
        <v>10396</v>
      </c>
      <c r="G735" s="284">
        <v>39.700000000000003</v>
      </c>
      <c r="H735" s="284"/>
      <c r="I735" s="285">
        <f>F735-G735-H735</f>
        <v>10356.299999999999</v>
      </c>
      <c r="J735" s="286" t="s">
        <v>205</v>
      </c>
      <c r="K735" s="286">
        <v>1</v>
      </c>
      <c r="L735" s="286"/>
      <c r="M735" s="286"/>
      <c r="N735" s="286">
        <v>1</v>
      </c>
      <c r="O735" s="286"/>
      <c r="P735" s="286"/>
      <c r="Q735" s="286"/>
      <c r="R735" s="286"/>
      <c r="S735" s="287"/>
      <c r="T735" s="63"/>
      <c r="U735" s="10"/>
      <c r="V735" s="90"/>
      <c r="W735" s="136"/>
      <c r="X735" s="137"/>
    </row>
    <row r="736" spans="2:24">
      <c r="B736" s="11"/>
      <c r="C736" s="621"/>
      <c r="D736" s="10"/>
      <c r="E736" s="10"/>
      <c r="F736" s="97">
        <f>SUM(F721:F735)</f>
        <v>54493</v>
      </c>
      <c r="G736" s="97">
        <f>SUM(G721:G735)</f>
        <v>277.89999999999998</v>
      </c>
      <c r="H736" s="97">
        <f>SUM(H721:H735)</f>
        <v>0</v>
      </c>
      <c r="I736" s="98">
        <f>SUM(I721:I735)</f>
        <v>54215.100000000006</v>
      </c>
      <c r="J736" s="10"/>
      <c r="K736" s="10"/>
      <c r="L736" s="10"/>
      <c r="M736" s="10"/>
      <c r="N736" s="10"/>
      <c r="O736" s="10"/>
      <c r="P736" s="10"/>
      <c r="Q736" s="10"/>
      <c r="R736" s="10"/>
      <c r="S736" s="10"/>
      <c r="T736" s="63"/>
      <c r="U736" s="10"/>
      <c r="V736" s="138"/>
      <c r="W736" s="136"/>
      <c r="X736" s="137"/>
    </row>
    <row r="737" spans="1:24">
      <c r="B737" s="26"/>
      <c r="C737" s="612"/>
      <c r="D737" s="141"/>
      <c r="E737" s="141"/>
      <c r="F737" s="141"/>
      <c r="G737" s="141"/>
      <c r="H737" s="141"/>
      <c r="I737" s="141"/>
      <c r="J737" s="141"/>
      <c r="K737" s="142"/>
      <c r="L737" s="142"/>
      <c r="M737" s="142"/>
      <c r="N737" s="142"/>
      <c r="O737" s="142"/>
      <c r="P737" s="142"/>
      <c r="Q737" s="142"/>
      <c r="R737" s="142"/>
      <c r="S737" s="142"/>
      <c r="T737" s="143">
        <f>SUM(T680:T736)</f>
        <v>4</v>
      </c>
      <c r="U737" s="141"/>
      <c r="V737" s="144">
        <f>SUM(V680:V736)</f>
        <v>32320.609999999997</v>
      </c>
      <c r="W737" s="144">
        <f>SUM(W680:W736)</f>
        <v>0</v>
      </c>
      <c r="X737" s="144">
        <f>SUM(X680:X736)</f>
        <v>0</v>
      </c>
    </row>
    <row r="738" spans="1:24">
      <c r="B738" s="10"/>
      <c r="C738" s="36"/>
      <c r="D738" s="10"/>
      <c r="E738" s="10"/>
      <c r="F738" s="10"/>
      <c r="G738" s="10"/>
      <c r="H738" s="10"/>
      <c r="I738" s="10"/>
      <c r="J738" s="10"/>
      <c r="K738" s="147"/>
      <c r="L738" s="147"/>
      <c r="M738" s="147"/>
      <c r="N738" s="147"/>
      <c r="O738" s="147"/>
      <c r="P738" s="147"/>
      <c r="Q738" s="147"/>
      <c r="R738" s="147"/>
      <c r="S738" s="147"/>
      <c r="T738" s="21"/>
      <c r="U738" s="10"/>
      <c r="V738" s="99"/>
      <c r="W738" s="99"/>
      <c r="X738" s="99"/>
    </row>
    <row r="740" spans="1:24">
      <c r="A740" s="613"/>
      <c r="B740" s="4" t="s">
        <v>1</v>
      </c>
      <c r="C740" s="5"/>
      <c r="D740" s="6"/>
      <c r="E740" s="6"/>
      <c r="F740" s="7" t="s">
        <v>2</v>
      </c>
      <c r="G740" s="608">
        <v>45935</v>
      </c>
      <c r="H740" s="7"/>
      <c r="I740" s="6"/>
      <c r="J740" s="6"/>
      <c r="K740" s="6"/>
      <c r="L740" s="6"/>
      <c r="M740" s="6"/>
      <c r="N740" s="6"/>
      <c r="O740" s="6"/>
      <c r="P740" s="6"/>
      <c r="Q740" s="6"/>
      <c r="R740" s="6"/>
      <c r="S740" s="6"/>
      <c r="T740" s="6"/>
      <c r="U740" s="9"/>
      <c r="V740" s="10"/>
      <c r="W740" s="10"/>
      <c r="X740" s="10"/>
    </row>
    <row r="741" spans="1:24">
      <c r="A741" s="614"/>
      <c r="B741" s="11"/>
      <c r="C741" s="10"/>
      <c r="D741" s="10"/>
      <c r="E741" s="10"/>
      <c r="F741" s="10"/>
      <c r="G741" s="7"/>
      <c r="H741" s="12"/>
      <c r="I741" s="10"/>
      <c r="J741" s="10"/>
      <c r="K741" s="13" t="s">
        <v>3</v>
      </c>
      <c r="L741" s="14"/>
      <c r="M741" s="15"/>
      <c r="N741" s="13" t="s">
        <v>4</v>
      </c>
      <c r="O741" s="14"/>
      <c r="P741" s="15"/>
      <c r="Q741" s="13" t="s">
        <v>5</v>
      </c>
      <c r="R741" s="14"/>
      <c r="S741" s="15"/>
      <c r="T741" s="16"/>
      <c r="U741" s="17"/>
      <c r="V741" s="10"/>
      <c r="W741" s="10"/>
      <c r="X741" s="10"/>
    </row>
    <row r="742" spans="1:24">
      <c r="A742" s="614"/>
      <c r="B742" s="18" t="s">
        <v>6</v>
      </c>
      <c r="C742" s="19">
        <f>C743+C744</f>
        <v>34</v>
      </c>
      <c r="D742" s="10"/>
      <c r="E742" s="18" t="s">
        <v>7</v>
      </c>
      <c r="F742" s="6"/>
      <c r="G742" s="9"/>
      <c r="H742" s="10"/>
      <c r="I742" s="10"/>
      <c r="J742" s="10"/>
      <c r="K742" s="20" t="s">
        <v>8</v>
      </c>
      <c r="L742" s="21" t="s">
        <v>9</v>
      </c>
      <c r="M742" s="21" t="s">
        <v>10</v>
      </c>
      <c r="N742" s="20" t="s">
        <v>11</v>
      </c>
      <c r="O742" s="21" t="s">
        <v>12</v>
      </c>
      <c r="P742" s="22" t="s">
        <v>13</v>
      </c>
      <c r="Q742" s="21" t="s">
        <v>11</v>
      </c>
      <c r="R742" s="21" t="s">
        <v>12</v>
      </c>
      <c r="S742" s="22" t="s">
        <v>13</v>
      </c>
      <c r="T742" s="23" t="s">
        <v>14</v>
      </c>
      <c r="U742" s="17"/>
      <c r="V742" s="10"/>
      <c r="W742" s="10"/>
      <c r="X742" s="10"/>
    </row>
    <row r="743" spans="1:24">
      <c r="A743" s="614"/>
      <c r="B743" s="24" t="s">
        <v>15</v>
      </c>
      <c r="C743" s="25">
        <f>P750</f>
        <v>15</v>
      </c>
      <c r="D743" s="10"/>
      <c r="E743" s="26" t="s">
        <v>16</v>
      </c>
      <c r="F743" s="27">
        <v>0.05</v>
      </c>
      <c r="G743" s="28"/>
      <c r="H743" s="10"/>
      <c r="I743" s="10"/>
      <c r="J743" s="18" t="s">
        <v>17</v>
      </c>
      <c r="K743" s="29">
        <f>K782</f>
        <v>14</v>
      </c>
      <c r="L743" s="29">
        <f>L782</f>
        <v>14</v>
      </c>
      <c r="M743" s="29">
        <f>M782</f>
        <v>14</v>
      </c>
      <c r="N743" s="29">
        <f>N782</f>
        <v>14</v>
      </c>
      <c r="O743" s="29">
        <f>O782</f>
        <v>14</v>
      </c>
      <c r="P743" s="29">
        <f>P782</f>
        <v>14</v>
      </c>
      <c r="Q743" s="29">
        <f>Q782</f>
        <v>14</v>
      </c>
      <c r="R743" s="29">
        <f>R782</f>
        <v>13</v>
      </c>
      <c r="S743" s="29">
        <f>S782</f>
        <v>13</v>
      </c>
      <c r="T743" s="30">
        <f>T822</f>
        <v>8</v>
      </c>
      <c r="U743" s="17"/>
      <c r="V743" s="10"/>
      <c r="W743" s="10"/>
      <c r="X743" s="10"/>
    </row>
    <row r="744" spans="1:24">
      <c r="A744" s="614"/>
      <c r="B744" s="24" t="s">
        <v>18</v>
      </c>
      <c r="C744" s="25">
        <f>P751</f>
        <v>19</v>
      </c>
      <c r="D744" s="10"/>
      <c r="E744" s="10"/>
      <c r="F744" s="10"/>
      <c r="G744" s="31"/>
      <c r="H744" s="10"/>
      <c r="I744" s="10"/>
      <c r="J744" s="32" t="s">
        <v>19</v>
      </c>
      <c r="K744" s="33">
        <f>K782/K781</f>
        <v>1</v>
      </c>
      <c r="L744" s="33">
        <f>L782/L781</f>
        <v>1</v>
      </c>
      <c r="M744" s="33">
        <f>M782/M781</f>
        <v>1</v>
      </c>
      <c r="N744" s="33">
        <f>N782/N781</f>
        <v>1</v>
      </c>
      <c r="O744" s="33">
        <f>O782/O781</f>
        <v>1</v>
      </c>
      <c r="P744" s="33">
        <f>P782/P781</f>
        <v>1</v>
      </c>
      <c r="Q744" s="33">
        <f>Q782/Q781</f>
        <v>1</v>
      </c>
      <c r="R744" s="33">
        <f>R782/R781</f>
        <v>0.9285714285714286</v>
      </c>
      <c r="S744" s="33">
        <f>S782/S781</f>
        <v>0.9285714285714286</v>
      </c>
      <c r="T744" s="23"/>
      <c r="U744" s="17" t="s">
        <v>20</v>
      </c>
      <c r="V744" s="10"/>
      <c r="W744" s="10"/>
      <c r="X744" s="10"/>
    </row>
    <row r="745" spans="1:24">
      <c r="A745" s="614"/>
      <c r="B745" s="24" t="s">
        <v>21</v>
      </c>
      <c r="C745" s="34">
        <f>P752</f>
        <v>0.44117647058823528</v>
      </c>
      <c r="D745" s="10"/>
      <c r="E745" s="10"/>
      <c r="F745" s="10"/>
      <c r="G745" s="10"/>
      <c r="H745" s="10"/>
      <c r="I745" s="10"/>
      <c r="J745" s="10"/>
      <c r="K745" s="10"/>
      <c r="L745" s="10"/>
      <c r="M745" s="10"/>
      <c r="N745" s="10"/>
      <c r="O745" s="10"/>
      <c r="P745" s="10"/>
      <c r="Q745" s="10"/>
      <c r="R745" s="10"/>
      <c r="S745" s="10"/>
      <c r="T745" s="10"/>
      <c r="U745" s="17"/>
      <c r="V745" s="10"/>
      <c r="W745" s="10"/>
      <c r="X745" s="10"/>
    </row>
    <row r="746" spans="1:24">
      <c r="A746" s="614"/>
      <c r="B746" s="24"/>
      <c r="C746" s="25"/>
      <c r="D746" s="10"/>
      <c r="E746" s="10"/>
      <c r="F746" s="18" t="s">
        <v>22</v>
      </c>
      <c r="G746" s="19" t="s">
        <v>23</v>
      </c>
      <c r="H746" s="35" t="s">
        <v>24</v>
      </c>
      <c r="I746" s="10"/>
      <c r="J746" s="10"/>
      <c r="K746" s="36"/>
      <c r="L746" s="36"/>
      <c r="M746" s="36"/>
      <c r="N746" s="36"/>
      <c r="O746" s="36"/>
      <c r="P746" s="36"/>
      <c r="Q746" s="36"/>
      <c r="R746" s="10"/>
      <c r="S746" s="10"/>
      <c r="T746" s="10"/>
      <c r="U746" s="17"/>
      <c r="V746" s="10"/>
      <c r="W746" s="10"/>
      <c r="X746" s="10"/>
    </row>
    <row r="747" spans="1:24">
      <c r="A747" s="614"/>
      <c r="B747" s="32" t="s">
        <v>25</v>
      </c>
      <c r="C747" s="37">
        <f>P753</f>
        <v>1952.1946666666668</v>
      </c>
      <c r="D747" s="10"/>
      <c r="E747" s="18" t="s">
        <v>26</v>
      </c>
      <c r="F747" s="38">
        <f>P749</f>
        <v>29282.920000000002</v>
      </c>
      <c r="G747" s="39">
        <f>I781+I786</f>
        <v>29282.920000000002</v>
      </c>
      <c r="H747" s="40"/>
      <c r="I747" s="41"/>
      <c r="J747" s="42"/>
      <c r="K747" s="43" t="s">
        <v>27</v>
      </c>
      <c r="L747" s="44"/>
      <c r="M747" s="44"/>
      <c r="N747" s="44"/>
      <c r="O747" s="44"/>
      <c r="P747" s="44"/>
      <c r="Q747" s="45"/>
      <c r="R747" s="46" t="s">
        <v>28</v>
      </c>
      <c r="S747" s="47" t="s">
        <v>29</v>
      </c>
      <c r="T747" s="10"/>
      <c r="U747" s="17"/>
      <c r="V747" s="10"/>
      <c r="W747" s="10"/>
      <c r="X747" s="10"/>
    </row>
    <row r="748" spans="1:24">
      <c r="A748" s="614"/>
      <c r="B748" s="11"/>
      <c r="C748" s="10"/>
      <c r="D748" s="10"/>
      <c r="E748" s="24" t="s">
        <v>30</v>
      </c>
      <c r="F748" s="48">
        <f>F743</f>
        <v>0.05</v>
      </c>
      <c r="G748" s="17"/>
      <c r="H748" s="40"/>
      <c r="I748" s="41"/>
      <c r="J748" s="42"/>
      <c r="K748" s="20" t="s">
        <v>31</v>
      </c>
      <c r="L748" s="21" t="s">
        <v>32</v>
      </c>
      <c r="M748" s="21" t="s">
        <v>33</v>
      </c>
      <c r="N748" s="21" t="s">
        <v>34</v>
      </c>
      <c r="O748" s="21" t="s">
        <v>35</v>
      </c>
      <c r="P748" s="21" t="s">
        <v>36</v>
      </c>
      <c r="Q748" s="49" t="s">
        <v>37</v>
      </c>
      <c r="R748" s="50" t="s">
        <v>38</v>
      </c>
      <c r="S748" s="50" t="s">
        <v>38</v>
      </c>
      <c r="T748" s="10"/>
      <c r="U748" s="17"/>
      <c r="V748" s="10"/>
      <c r="W748" s="10"/>
      <c r="X748" s="10"/>
    </row>
    <row r="749" spans="1:24">
      <c r="A749" s="614"/>
      <c r="B749" s="11"/>
      <c r="C749" s="10"/>
      <c r="D749" s="10"/>
      <c r="E749" s="51" t="s">
        <v>39</v>
      </c>
      <c r="F749" s="52">
        <f>(F747-I785)*F748</f>
        <v>1009.1060000000002</v>
      </c>
      <c r="G749" s="53" t="s">
        <v>40</v>
      </c>
      <c r="H749" s="54">
        <f>F749/1.12</f>
        <v>900.98750000000007</v>
      </c>
      <c r="I749" s="55"/>
      <c r="J749" s="42"/>
      <c r="K749" s="56">
        <f>I768+I769+I767+I770</f>
        <v>7109.35</v>
      </c>
      <c r="L749" s="57">
        <f>I771+I772</f>
        <v>1190</v>
      </c>
      <c r="M749" s="57">
        <f>I773+I774+I775+I776</f>
        <v>6386.46</v>
      </c>
      <c r="N749" s="57">
        <f>I777+I778+I779</f>
        <v>4295.8599999999997</v>
      </c>
      <c r="O749" s="57">
        <f>I780+I785</f>
        <v>10301.25</v>
      </c>
      <c r="P749" s="57">
        <f>SUM(K749:O749)</f>
        <v>29282.920000000002</v>
      </c>
      <c r="Q749" s="58">
        <v>0</v>
      </c>
      <c r="R749" s="59">
        <f>I786</f>
        <v>9100.7999999999993</v>
      </c>
      <c r="S749" s="59">
        <v>0</v>
      </c>
      <c r="T749" s="10"/>
      <c r="U749" s="17"/>
      <c r="V749" s="10"/>
      <c r="W749" s="10"/>
      <c r="X749" s="10"/>
    </row>
    <row r="750" spans="1:24">
      <c r="A750" s="614"/>
      <c r="B750" s="11"/>
      <c r="C750" s="10"/>
      <c r="D750" s="10"/>
      <c r="E750" s="24" t="s">
        <v>41</v>
      </c>
      <c r="F750" s="60">
        <f>Q749</f>
        <v>0</v>
      </c>
      <c r="G750" s="61" t="s">
        <v>40</v>
      </c>
      <c r="H750" s="62"/>
      <c r="I750" s="62"/>
      <c r="J750" s="10" t="s">
        <v>42</v>
      </c>
      <c r="K750" s="63">
        <v>4</v>
      </c>
      <c r="L750" s="63">
        <v>2</v>
      </c>
      <c r="M750" s="63">
        <v>4</v>
      </c>
      <c r="N750" s="63">
        <v>3</v>
      </c>
      <c r="O750" s="63">
        <v>2</v>
      </c>
      <c r="P750" s="21">
        <f>SUM(K750:O750)</f>
        <v>15</v>
      </c>
      <c r="Q750" s="64">
        <v>0</v>
      </c>
      <c r="R750" s="63"/>
      <c r="S750" s="10"/>
      <c r="T750" s="10"/>
      <c r="U750" s="17"/>
      <c r="V750" s="10"/>
      <c r="W750" s="10"/>
      <c r="X750" s="10"/>
    </row>
    <row r="751" spans="1:24">
      <c r="A751" s="614"/>
      <c r="B751" s="11"/>
      <c r="C751" s="10"/>
      <c r="D751" s="10"/>
      <c r="E751" s="51" t="s">
        <v>43</v>
      </c>
      <c r="F751" s="52">
        <f>F750*0.25</f>
        <v>0</v>
      </c>
      <c r="G751" s="53" t="s">
        <v>40</v>
      </c>
      <c r="H751" s="54">
        <f>F751/1.12</f>
        <v>0</v>
      </c>
      <c r="I751" s="10"/>
      <c r="J751" s="10" t="s">
        <v>44</v>
      </c>
      <c r="K751" s="63">
        <v>4</v>
      </c>
      <c r="L751" s="63">
        <v>4</v>
      </c>
      <c r="M751" s="63">
        <v>1</v>
      </c>
      <c r="N751" s="63">
        <v>6</v>
      </c>
      <c r="O751" s="63">
        <v>4</v>
      </c>
      <c r="P751" s="21">
        <f>SUM(K751:O751)</f>
        <v>19</v>
      </c>
      <c r="Q751" s="64">
        <v>0</v>
      </c>
      <c r="R751" s="63"/>
      <c r="S751" s="10"/>
      <c r="T751" s="10"/>
      <c r="U751" s="17"/>
      <c r="V751" s="10"/>
      <c r="W751" s="10"/>
      <c r="X751" s="10"/>
    </row>
    <row r="752" spans="1:24">
      <c r="A752" s="614"/>
      <c r="B752" s="11"/>
      <c r="C752" s="10"/>
      <c r="D752" s="10"/>
      <c r="E752" s="24" t="s">
        <v>45</v>
      </c>
      <c r="F752" s="60"/>
      <c r="G752" s="61" t="s">
        <v>40</v>
      </c>
      <c r="H752" s="62"/>
      <c r="I752" s="10"/>
      <c r="J752" s="10" t="s">
        <v>46</v>
      </c>
      <c r="K752" s="31">
        <f>K750/(K750+K751)</f>
        <v>0.5</v>
      </c>
      <c r="L752" s="31">
        <f>L750/(L750+L751)</f>
        <v>0.33333333333333331</v>
      </c>
      <c r="M752" s="31">
        <f>M750/(M750+M751)</f>
        <v>0.8</v>
      </c>
      <c r="N752" s="31">
        <f>N750/(N750+N751)</f>
        <v>0.33333333333333331</v>
      </c>
      <c r="O752" s="31">
        <f>O750/(O750+O751)</f>
        <v>0.33333333333333331</v>
      </c>
      <c r="P752" s="31">
        <f>P750/(P750+P751)</f>
        <v>0.44117647058823528</v>
      </c>
      <c r="Q752" s="31" t="e">
        <f>Q750/(Q750+Q751)</f>
        <v>#DIV/0!</v>
      </c>
      <c r="R752" s="63"/>
      <c r="S752" s="10"/>
      <c r="T752" s="10"/>
      <c r="U752" s="17"/>
      <c r="V752" s="10"/>
      <c r="W752" s="10"/>
      <c r="X752" s="10"/>
    </row>
    <row r="753" spans="1:24">
      <c r="A753" s="614"/>
      <c r="B753" s="11"/>
      <c r="C753" s="10"/>
      <c r="D753" s="10"/>
      <c r="E753" s="51" t="s">
        <v>47</v>
      </c>
      <c r="F753" s="52">
        <f>F752*0.05</f>
        <v>0</v>
      </c>
      <c r="G753" s="65" t="s">
        <v>40</v>
      </c>
      <c r="H753" s="54">
        <f>F753/1.12</f>
        <v>0</v>
      </c>
      <c r="I753" s="42"/>
      <c r="J753" s="10" t="s">
        <v>48</v>
      </c>
      <c r="K753" s="66">
        <f>K749/K750</f>
        <v>1777.3375000000001</v>
      </c>
      <c r="L753" s="66">
        <f>L749/L750</f>
        <v>595</v>
      </c>
      <c r="M753" s="66">
        <f>M749/M750</f>
        <v>1596.615</v>
      </c>
      <c r="N753" s="66">
        <f>N749/N750</f>
        <v>1431.9533333333331</v>
      </c>
      <c r="O753" s="66">
        <f>O749/O750</f>
        <v>5150.625</v>
      </c>
      <c r="P753" s="66">
        <f>P749/P750</f>
        <v>1952.1946666666668</v>
      </c>
      <c r="Q753" s="66" t="e">
        <f>Q749/Q750</f>
        <v>#DIV/0!</v>
      </c>
      <c r="R753" s="63"/>
      <c r="S753" s="10"/>
      <c r="T753" s="10"/>
      <c r="U753" s="17"/>
      <c r="V753" s="10"/>
      <c r="W753" s="10"/>
      <c r="X753" s="10"/>
    </row>
    <row r="754" spans="1:24">
      <c r="A754" s="614"/>
      <c r="B754" s="11"/>
      <c r="C754" s="10"/>
      <c r="D754" s="10"/>
      <c r="E754" s="67" t="s">
        <v>14</v>
      </c>
      <c r="F754" s="68">
        <f>8*50</f>
        <v>400</v>
      </c>
      <c r="G754" s="10"/>
      <c r="H754" s="54">
        <f>F754/1.12</f>
        <v>357.14285714285711</v>
      </c>
      <c r="I754" s="10"/>
      <c r="J754" s="10"/>
      <c r="K754" s="10"/>
      <c r="L754" s="10"/>
      <c r="M754" s="10"/>
      <c r="N754" s="10"/>
      <c r="O754" s="10"/>
      <c r="P754" s="10"/>
      <c r="Q754" s="10"/>
      <c r="R754" s="10"/>
      <c r="S754" s="10"/>
      <c r="T754" s="10"/>
      <c r="U754" s="17"/>
      <c r="V754" s="10"/>
      <c r="W754" s="10"/>
      <c r="X754" s="10"/>
    </row>
    <row r="755" spans="1:24">
      <c r="A755" s="614"/>
      <c r="B755" s="11"/>
      <c r="C755" s="10"/>
      <c r="D755" s="10"/>
      <c r="E755" s="155" t="s">
        <v>49</v>
      </c>
      <c r="F755" s="364">
        <f>T744</f>
        <v>0</v>
      </c>
      <c r="G755" s="10"/>
      <c r="H755" s="54"/>
      <c r="I755" s="55"/>
      <c r="J755" s="42"/>
      <c r="K755" s="764" t="s">
        <v>50</v>
      </c>
      <c r="L755" s="765"/>
      <c r="M755" s="765"/>
      <c r="N755" s="765"/>
      <c r="O755" s="765"/>
      <c r="P755" s="765"/>
      <c r="Q755" s="766"/>
      <c r="R755" s="70" t="s">
        <v>28</v>
      </c>
      <c r="S755" s="71" t="s">
        <v>29</v>
      </c>
      <c r="T755" s="10"/>
      <c r="U755" s="17"/>
      <c r="V755" s="10"/>
      <c r="W755" s="10"/>
      <c r="X755" s="10"/>
    </row>
    <row r="756" spans="1:24">
      <c r="A756" s="614"/>
      <c r="B756" s="11"/>
      <c r="C756" s="10"/>
      <c r="D756" s="10"/>
      <c r="E756" s="12"/>
      <c r="F756" s="76"/>
      <c r="G756" s="10"/>
      <c r="H756" s="10"/>
      <c r="I756" s="10"/>
      <c r="J756" s="42"/>
      <c r="K756" s="20" t="s">
        <v>31</v>
      </c>
      <c r="L756" s="21" t="s">
        <v>32</v>
      </c>
      <c r="M756" s="21" t="s">
        <v>33</v>
      </c>
      <c r="N756" s="21" t="s">
        <v>34</v>
      </c>
      <c r="O756" s="21" t="s">
        <v>35</v>
      </c>
      <c r="P756" s="21" t="s">
        <v>36</v>
      </c>
      <c r="Q756" s="49" t="s">
        <v>37</v>
      </c>
      <c r="R756" s="50" t="s">
        <v>38</v>
      </c>
      <c r="S756" s="50" t="s">
        <v>38</v>
      </c>
      <c r="T756" s="10"/>
      <c r="U756" s="17"/>
      <c r="V756" s="10"/>
      <c r="W756" s="10"/>
      <c r="X756" s="10"/>
    </row>
    <row r="757" spans="1:24">
      <c r="A757" s="614"/>
      <c r="B757" s="11"/>
      <c r="C757" s="10"/>
      <c r="D757" s="10"/>
      <c r="E757" s="12"/>
      <c r="F757" s="76"/>
      <c r="G757" s="10"/>
      <c r="H757" s="10"/>
      <c r="I757" s="10"/>
      <c r="J757" s="42"/>
      <c r="K757" s="56">
        <f>F768+F769+F767+F770</f>
        <v>8309</v>
      </c>
      <c r="L757" s="57">
        <f>F771+F772</f>
        <v>1190</v>
      </c>
      <c r="M757" s="57">
        <f>F773+F774+F775+F776</f>
        <v>6626</v>
      </c>
      <c r="N757" s="57">
        <f>F777+F778+F779</f>
        <v>4936</v>
      </c>
      <c r="O757" s="57">
        <f>F780+F785</f>
        <v>15882</v>
      </c>
      <c r="P757" s="57">
        <f>SUM(K757:O757)</f>
        <v>36943</v>
      </c>
      <c r="Q757" s="58">
        <v>0</v>
      </c>
      <c r="R757" s="59">
        <f>F786</f>
        <v>14618</v>
      </c>
      <c r="S757" s="59">
        <v>0</v>
      </c>
      <c r="T757" s="10"/>
      <c r="U757" s="17"/>
      <c r="V757" s="10"/>
      <c r="W757" s="10"/>
      <c r="X757" s="10"/>
    </row>
    <row r="758" spans="1:24">
      <c r="A758" s="614"/>
      <c r="B758" s="11"/>
      <c r="C758" s="10"/>
      <c r="D758" s="10"/>
      <c r="E758" s="12"/>
      <c r="F758" s="76"/>
      <c r="G758" s="10"/>
      <c r="H758" s="10"/>
      <c r="I758" s="10"/>
      <c r="J758" s="10" t="s">
        <v>42</v>
      </c>
      <c r="K758" s="63">
        <f>K750</f>
        <v>4</v>
      </c>
      <c r="L758" s="63">
        <f>L750</f>
        <v>2</v>
      </c>
      <c r="M758" s="63">
        <f>M750</f>
        <v>4</v>
      </c>
      <c r="N758" s="63">
        <f>N750</f>
        <v>3</v>
      </c>
      <c r="O758" s="63">
        <f>O750</f>
        <v>2</v>
      </c>
      <c r="P758" s="63">
        <f>P750</f>
        <v>15</v>
      </c>
      <c r="Q758" s="63">
        <f>Q750</f>
        <v>0</v>
      </c>
      <c r="R758" s="63"/>
      <c r="S758" s="10"/>
      <c r="T758" s="10"/>
      <c r="U758" s="17"/>
      <c r="V758" s="10"/>
      <c r="W758" s="10"/>
      <c r="X758" s="10"/>
    </row>
    <row r="759" spans="1:24">
      <c r="A759" s="614"/>
      <c r="B759" s="11"/>
      <c r="C759" s="10"/>
      <c r="D759" s="10"/>
      <c r="E759" s="12"/>
      <c r="F759" s="76"/>
      <c r="G759" s="10"/>
      <c r="H759" s="10"/>
      <c r="I759" s="10"/>
      <c r="J759" s="10" t="s">
        <v>44</v>
      </c>
      <c r="K759" s="63">
        <f>K751</f>
        <v>4</v>
      </c>
      <c r="L759" s="63">
        <f>L751</f>
        <v>4</v>
      </c>
      <c r="M759" s="63">
        <f>M751</f>
        <v>1</v>
      </c>
      <c r="N759" s="63">
        <f>N751</f>
        <v>6</v>
      </c>
      <c r="O759" s="63">
        <f>O751</f>
        <v>4</v>
      </c>
      <c r="P759" s="63">
        <f>P751</f>
        <v>19</v>
      </c>
      <c r="Q759" s="63">
        <f>Q751</f>
        <v>0</v>
      </c>
      <c r="R759" s="63"/>
      <c r="S759" s="10"/>
      <c r="T759" s="10"/>
      <c r="U759" s="17"/>
      <c r="V759" s="10"/>
      <c r="W759" s="10"/>
      <c r="X759" s="10"/>
    </row>
    <row r="760" spans="1:24">
      <c r="A760" s="614"/>
      <c r="B760" s="11"/>
      <c r="C760" s="10"/>
      <c r="D760" s="10"/>
      <c r="E760" s="12"/>
      <c r="F760" s="76"/>
      <c r="G760" s="10"/>
      <c r="H760" s="10"/>
      <c r="I760" s="10"/>
      <c r="J760" s="10" t="s">
        <v>46</v>
      </c>
      <c r="K760" s="31">
        <f>K758/(K758+K759)</f>
        <v>0.5</v>
      </c>
      <c r="L760" s="31">
        <f>L758/(L758+L759)</f>
        <v>0.33333333333333331</v>
      </c>
      <c r="M760" s="31">
        <f>M758/(M758+M759)</f>
        <v>0.8</v>
      </c>
      <c r="N760" s="31">
        <f>N758/(N758+N759)</f>
        <v>0.33333333333333331</v>
      </c>
      <c r="O760" s="31">
        <f>O758/(O758+O759)</f>
        <v>0.33333333333333331</v>
      </c>
      <c r="P760" s="31">
        <f>P758/(P758+P759)</f>
        <v>0.44117647058823528</v>
      </c>
      <c r="Q760" s="31" t="e">
        <f>Q758/(Q758+Q759)</f>
        <v>#DIV/0!</v>
      </c>
      <c r="R760" s="63"/>
      <c r="S760" s="10"/>
      <c r="T760" s="10"/>
      <c r="U760" s="17"/>
      <c r="V760" s="10"/>
      <c r="W760" s="10"/>
      <c r="X760" s="10"/>
    </row>
    <row r="761" spans="1:24">
      <c r="A761" s="614"/>
      <c r="B761" s="11"/>
      <c r="C761" s="10"/>
      <c r="D761" s="10"/>
      <c r="E761" s="10"/>
      <c r="F761" s="10"/>
      <c r="G761" s="10"/>
      <c r="H761" s="10"/>
      <c r="I761" s="10"/>
      <c r="J761" s="10" t="s">
        <v>48</v>
      </c>
      <c r="K761" s="66">
        <f>K757/K758</f>
        <v>2077.25</v>
      </c>
      <c r="L761" s="66">
        <f>L757/L758</f>
        <v>595</v>
      </c>
      <c r="M761" s="66">
        <f>M757/M758</f>
        <v>1656.5</v>
      </c>
      <c r="N761" s="66">
        <f>N757/N758</f>
        <v>1645.3333333333333</v>
      </c>
      <c r="O761" s="66">
        <f>O757/O758</f>
        <v>7941</v>
      </c>
      <c r="P761" s="66">
        <f>P757/P758</f>
        <v>2462.8666666666668</v>
      </c>
      <c r="Q761" s="66" t="e">
        <f>Q757/Q758</f>
        <v>#DIV/0!</v>
      </c>
      <c r="R761" s="63"/>
      <c r="S761" s="10"/>
      <c r="T761" s="10"/>
      <c r="U761" s="17"/>
      <c r="V761" s="10"/>
      <c r="W761" s="10"/>
      <c r="X761" s="10"/>
    </row>
    <row r="762" spans="1:24">
      <c r="A762" s="614"/>
      <c r="B762" s="11"/>
      <c r="C762" s="10"/>
      <c r="D762" s="10"/>
      <c r="E762" s="10"/>
      <c r="F762" s="10"/>
      <c r="G762" s="10"/>
      <c r="H762" s="10"/>
      <c r="I762" s="10"/>
      <c r="J762" s="10"/>
      <c r="K762" s="10"/>
      <c r="L762" s="10"/>
      <c r="M762" s="10"/>
      <c r="N762" s="10"/>
      <c r="O762" s="10"/>
      <c r="P762" s="10"/>
      <c r="Q762" s="10"/>
      <c r="R762" s="10"/>
      <c r="S762" s="10"/>
      <c r="T762" s="10"/>
      <c r="U762" s="17"/>
      <c r="V762" s="10"/>
      <c r="W762" s="10"/>
      <c r="X762" s="10"/>
    </row>
    <row r="763" spans="1:24">
      <c r="A763" s="614"/>
      <c r="B763" s="11"/>
      <c r="C763" s="10"/>
      <c r="D763" s="10"/>
      <c r="E763" s="10"/>
      <c r="F763" s="10"/>
      <c r="G763" s="10"/>
      <c r="H763" s="10"/>
      <c r="I763" s="10"/>
      <c r="J763" s="10"/>
      <c r="K763" s="10"/>
      <c r="L763" s="10"/>
      <c r="M763" s="10"/>
      <c r="N763" s="10"/>
      <c r="O763" s="10"/>
      <c r="P763" s="10"/>
      <c r="Q763" s="10"/>
      <c r="R763" s="10"/>
      <c r="S763" s="10"/>
      <c r="T763" s="10"/>
      <c r="U763" s="17"/>
      <c r="V763" s="10"/>
      <c r="W763" s="10"/>
      <c r="X763" s="10"/>
    </row>
    <row r="764" spans="1:24">
      <c r="A764" s="614"/>
      <c r="B764" s="18" t="s">
        <v>51</v>
      </c>
      <c r="C764" s="14"/>
      <c r="D764" s="14"/>
      <c r="E764" s="14"/>
      <c r="F764" s="13" t="s">
        <v>52</v>
      </c>
      <c r="G764" s="14"/>
      <c r="H764" s="14"/>
      <c r="I764" s="14"/>
      <c r="J764" s="14"/>
      <c r="K764" s="13" t="s">
        <v>3</v>
      </c>
      <c r="L764" s="14"/>
      <c r="M764" s="14"/>
      <c r="N764" s="13" t="s">
        <v>4</v>
      </c>
      <c r="O764" s="14"/>
      <c r="P764" s="14"/>
      <c r="Q764" s="13" t="s">
        <v>5</v>
      </c>
      <c r="R764" s="14"/>
      <c r="S764" s="14"/>
      <c r="T764" s="18"/>
      <c r="U764" s="16" t="s">
        <v>53</v>
      </c>
      <c r="V764" s="77"/>
      <c r="W764" s="77"/>
      <c r="X764" s="77"/>
    </row>
    <row r="765" spans="1:24">
      <c r="A765" s="614"/>
      <c r="B765" s="24" t="s">
        <v>54</v>
      </c>
      <c r="C765" s="21" t="s">
        <v>55</v>
      </c>
      <c r="D765" s="21" t="s">
        <v>56</v>
      </c>
      <c r="E765" s="21" t="s">
        <v>57</v>
      </c>
      <c r="F765" s="20" t="s">
        <v>58</v>
      </c>
      <c r="G765" s="21" t="s">
        <v>59</v>
      </c>
      <c r="H765" s="21" t="s">
        <v>60</v>
      </c>
      <c r="I765" s="21" t="s">
        <v>26</v>
      </c>
      <c r="J765" s="22" t="s">
        <v>61</v>
      </c>
      <c r="K765" s="21" t="s">
        <v>8</v>
      </c>
      <c r="L765" s="21" t="s">
        <v>9</v>
      </c>
      <c r="M765" s="21" t="s">
        <v>10</v>
      </c>
      <c r="N765" s="20" t="s">
        <v>11</v>
      </c>
      <c r="O765" s="21" t="s">
        <v>12</v>
      </c>
      <c r="P765" s="22" t="s">
        <v>13</v>
      </c>
      <c r="Q765" s="21" t="s">
        <v>11</v>
      </c>
      <c r="R765" s="21" t="s">
        <v>12</v>
      </c>
      <c r="S765" s="21" t="s">
        <v>13</v>
      </c>
      <c r="T765" s="78" t="s">
        <v>14</v>
      </c>
      <c r="U765" s="30"/>
      <c r="V765" s="79" t="s">
        <v>62</v>
      </c>
      <c r="W765" s="80" t="s">
        <v>63</v>
      </c>
      <c r="X765" s="81" t="s">
        <v>64</v>
      </c>
    </row>
    <row r="766" spans="1:24">
      <c r="A766" s="614"/>
      <c r="B766" s="4" t="s">
        <v>65</v>
      </c>
      <c r="C766" s="6"/>
      <c r="D766" s="6"/>
      <c r="E766" s="6"/>
      <c r="F766" s="6"/>
      <c r="G766" s="6"/>
      <c r="H766" s="6"/>
      <c r="I766" s="82"/>
      <c r="J766" s="6"/>
      <c r="K766" s="6"/>
      <c r="L766" s="6"/>
      <c r="M766" s="6"/>
      <c r="N766" s="6"/>
      <c r="O766" s="6"/>
      <c r="P766" s="6"/>
      <c r="Q766" s="6"/>
      <c r="R766" s="6"/>
      <c r="S766" s="6"/>
      <c r="T766" s="83"/>
      <c r="U766" s="6"/>
      <c r="V766" s="84"/>
      <c r="W766" s="85"/>
      <c r="X766" s="86"/>
    </row>
    <row r="767" spans="1:24">
      <c r="A767" s="614">
        <v>45933</v>
      </c>
      <c r="B767" s="87">
        <v>1</v>
      </c>
      <c r="C767" s="638">
        <v>45929</v>
      </c>
      <c r="D767" s="327">
        <v>73629</v>
      </c>
      <c r="E767" s="276" t="s">
        <v>1073</v>
      </c>
      <c r="F767" s="277">
        <v>1681</v>
      </c>
      <c r="G767" s="277">
        <f>39.7+465+200</f>
        <v>704.7</v>
      </c>
      <c r="H767" s="277"/>
      <c r="I767" s="278">
        <f>F767-G767-H767</f>
        <v>976.3</v>
      </c>
      <c r="J767" s="279" t="s">
        <v>156</v>
      </c>
      <c r="K767" s="279">
        <v>1</v>
      </c>
      <c r="L767" s="279">
        <v>1</v>
      </c>
      <c r="M767" s="279">
        <v>1</v>
      </c>
      <c r="N767" s="279">
        <v>1</v>
      </c>
      <c r="O767" s="279">
        <v>1</v>
      </c>
      <c r="P767" s="279">
        <v>1</v>
      </c>
      <c r="Q767" s="279">
        <v>1</v>
      </c>
      <c r="R767" s="279">
        <v>1</v>
      </c>
      <c r="S767" s="280">
        <v>1</v>
      </c>
      <c r="T767" s="63"/>
      <c r="U767" s="94" t="s">
        <v>1197</v>
      </c>
      <c r="V767" s="90">
        <f>200+1649.1</f>
        <v>1849.1</v>
      </c>
      <c r="W767" s="578"/>
      <c r="X767" s="579"/>
    </row>
    <row r="768" spans="1:24">
      <c r="A768" s="614"/>
      <c r="B768" s="87">
        <f>B767+1</f>
        <v>2</v>
      </c>
      <c r="C768" s="639">
        <v>45929</v>
      </c>
      <c r="D768" s="323">
        <v>73721</v>
      </c>
      <c r="E768" s="10" t="s">
        <v>1085</v>
      </c>
      <c r="F768" s="62">
        <v>681</v>
      </c>
      <c r="G768" s="62"/>
      <c r="H768" s="88"/>
      <c r="I768" s="324">
        <f>F768-G768-H768</f>
        <v>681</v>
      </c>
      <c r="J768" s="63" t="s">
        <v>156</v>
      </c>
      <c r="K768" s="63">
        <v>1</v>
      </c>
      <c r="L768" s="63">
        <v>1</v>
      </c>
      <c r="M768" s="63">
        <v>1</v>
      </c>
      <c r="N768" s="63">
        <v>1</v>
      </c>
      <c r="O768" s="63">
        <v>1</v>
      </c>
      <c r="P768" s="63">
        <v>1</v>
      </c>
      <c r="Q768" s="63">
        <v>1</v>
      </c>
      <c r="R768" s="325">
        <v>0</v>
      </c>
      <c r="S768" s="326">
        <v>0</v>
      </c>
      <c r="T768" s="63"/>
      <c r="U768" s="10" t="s">
        <v>1198</v>
      </c>
      <c r="V768" s="90">
        <f>74.91+674.19</f>
        <v>749.1</v>
      </c>
      <c r="W768" s="91"/>
      <c r="X768" s="92"/>
    </row>
    <row r="769" spans="1:24">
      <c r="A769" s="614"/>
      <c r="B769" s="87">
        <f t="shared" ref="B769:B780" si="108">B768+1</f>
        <v>3</v>
      </c>
      <c r="C769" s="639">
        <v>45929</v>
      </c>
      <c r="D769" s="323">
        <v>73720</v>
      </c>
      <c r="E769" s="10" t="s">
        <v>169</v>
      </c>
      <c r="F769" s="62">
        <v>1596</v>
      </c>
      <c r="G769" s="62">
        <f>39.7+(60.17)</f>
        <v>99.87</v>
      </c>
      <c r="H769" s="62"/>
      <c r="I769" s="89">
        <f>F769-G769-H769</f>
        <v>1496.13</v>
      </c>
      <c r="J769" s="63" t="s">
        <v>156</v>
      </c>
      <c r="K769" s="63">
        <v>1</v>
      </c>
      <c r="L769" s="63">
        <v>1</v>
      </c>
      <c r="M769" s="63">
        <v>1</v>
      </c>
      <c r="N769" s="63">
        <v>1</v>
      </c>
      <c r="O769" s="63">
        <v>1</v>
      </c>
      <c r="P769" s="63">
        <v>1</v>
      </c>
      <c r="Q769" s="63">
        <v>1</v>
      </c>
      <c r="R769" s="63">
        <v>1</v>
      </c>
      <c r="S769" s="296">
        <v>1</v>
      </c>
      <c r="T769" s="21">
        <v>1</v>
      </c>
      <c r="U769" s="10"/>
      <c r="V769" s="90">
        <f>176+1579.6</f>
        <v>1755.6</v>
      </c>
      <c r="W769" s="91"/>
      <c r="X769" s="92"/>
    </row>
    <row r="770" spans="1:24">
      <c r="A770" s="614">
        <v>45930</v>
      </c>
      <c r="B770" s="87">
        <f>B769+1</f>
        <v>4</v>
      </c>
      <c r="C770" s="640">
        <v>45929</v>
      </c>
      <c r="D770" s="368">
        <v>73746</v>
      </c>
      <c r="E770" s="283" t="s">
        <v>1080</v>
      </c>
      <c r="F770" s="284">
        <v>4351</v>
      </c>
      <c r="G770" s="284">
        <f>39.7+115.2+(40.18)+200</f>
        <v>395.08000000000004</v>
      </c>
      <c r="H770" s="284"/>
      <c r="I770" s="285">
        <f>F770-G770-H770</f>
        <v>3955.92</v>
      </c>
      <c r="J770" s="286" t="s">
        <v>156</v>
      </c>
      <c r="K770" s="286">
        <v>1</v>
      </c>
      <c r="L770" s="286">
        <v>1</v>
      </c>
      <c r="M770" s="286">
        <v>1</v>
      </c>
      <c r="N770" s="286">
        <v>1</v>
      </c>
      <c r="O770" s="286">
        <v>1</v>
      </c>
      <c r="P770" s="286">
        <v>1</v>
      </c>
      <c r="Q770" s="286">
        <v>1</v>
      </c>
      <c r="R770" s="286">
        <v>1</v>
      </c>
      <c r="S770" s="287">
        <v>1</v>
      </c>
      <c r="T770" s="63"/>
      <c r="U770" s="94" t="s">
        <v>1199</v>
      </c>
      <c r="V770" s="90">
        <f>479+4307.1</f>
        <v>4786.1000000000004</v>
      </c>
      <c r="W770" s="91"/>
      <c r="X770" s="92"/>
    </row>
    <row r="771" spans="1:24">
      <c r="A771" s="613"/>
      <c r="B771" s="87">
        <f>B770+1</f>
        <v>5</v>
      </c>
      <c r="C771" s="639">
        <v>45930</v>
      </c>
      <c r="D771" s="323">
        <v>73783</v>
      </c>
      <c r="E771" s="10" t="s">
        <v>213</v>
      </c>
      <c r="F771" s="62">
        <v>461</v>
      </c>
      <c r="G771" s="62"/>
      <c r="H771" s="62"/>
      <c r="I771" s="89">
        <f>F771-G771-H771</f>
        <v>461</v>
      </c>
      <c r="J771" s="63" t="s">
        <v>156</v>
      </c>
      <c r="K771" s="63">
        <v>1</v>
      </c>
      <c r="L771" s="63">
        <v>1</v>
      </c>
      <c r="M771" s="63">
        <v>1</v>
      </c>
      <c r="N771" s="63">
        <v>1</v>
      </c>
      <c r="O771" s="63">
        <v>1</v>
      </c>
      <c r="P771" s="63">
        <v>1</v>
      </c>
      <c r="Q771" s="63">
        <v>1</v>
      </c>
      <c r="R771" s="63">
        <v>1</v>
      </c>
      <c r="S771" s="296">
        <v>1</v>
      </c>
      <c r="T771" s="21">
        <v>1</v>
      </c>
      <c r="U771" s="10"/>
      <c r="V771" s="90">
        <f>51+456.1</f>
        <v>507.1</v>
      </c>
      <c r="W771" s="91"/>
      <c r="X771" s="92"/>
    </row>
    <row r="772" spans="1:24">
      <c r="A772" s="614"/>
      <c r="B772" s="87">
        <f t="shared" si="108"/>
        <v>6</v>
      </c>
      <c r="C772" s="639">
        <v>45930</v>
      </c>
      <c r="D772" s="323">
        <v>73816</v>
      </c>
      <c r="E772" s="94" t="s">
        <v>1200</v>
      </c>
      <c r="F772" s="62">
        <v>729</v>
      </c>
      <c r="G772" s="62"/>
      <c r="H772" s="62"/>
      <c r="I772" s="89">
        <f>F772-G772-H772</f>
        <v>729</v>
      </c>
      <c r="J772" s="63" t="s">
        <v>150</v>
      </c>
      <c r="K772" s="63">
        <v>1</v>
      </c>
      <c r="L772" s="63">
        <v>1</v>
      </c>
      <c r="M772" s="63">
        <v>1</v>
      </c>
      <c r="N772" s="63">
        <v>1</v>
      </c>
      <c r="O772" s="63">
        <v>1</v>
      </c>
      <c r="P772" s="63">
        <v>1</v>
      </c>
      <c r="Q772" s="63">
        <v>1</v>
      </c>
      <c r="R772" s="63">
        <v>1</v>
      </c>
      <c r="S772" s="296">
        <v>1</v>
      </c>
      <c r="T772" s="21">
        <v>1</v>
      </c>
      <c r="U772" s="10"/>
      <c r="V772" s="90">
        <v>0</v>
      </c>
      <c r="W772" s="440">
        <f>100+701.9</f>
        <v>801.9</v>
      </c>
      <c r="X772" s="92"/>
    </row>
    <row r="773" spans="1:24">
      <c r="A773" s="614"/>
      <c r="B773" s="87">
        <f t="shared" si="108"/>
        <v>7</v>
      </c>
      <c r="C773" s="638">
        <v>45931</v>
      </c>
      <c r="D773" s="327">
        <v>73611</v>
      </c>
      <c r="E773" s="276" t="s">
        <v>1201</v>
      </c>
      <c r="F773" s="277">
        <v>2261</v>
      </c>
      <c r="G773" s="277">
        <f>39.7</f>
        <v>39.700000000000003</v>
      </c>
      <c r="H773" s="277"/>
      <c r="I773" s="278">
        <f>F773-G773-H773</f>
        <v>2221.3000000000002</v>
      </c>
      <c r="J773" s="279" t="s">
        <v>156</v>
      </c>
      <c r="K773" s="279">
        <v>1</v>
      </c>
      <c r="L773" s="279">
        <v>1</v>
      </c>
      <c r="M773" s="279">
        <v>1</v>
      </c>
      <c r="N773" s="279">
        <v>1</v>
      </c>
      <c r="O773" s="279">
        <v>1</v>
      </c>
      <c r="P773" s="279">
        <v>1</v>
      </c>
      <c r="Q773" s="279">
        <v>1</v>
      </c>
      <c r="R773" s="279">
        <v>1</v>
      </c>
      <c r="S773" s="280">
        <v>1</v>
      </c>
      <c r="T773" s="21">
        <v>1</v>
      </c>
      <c r="U773" s="10"/>
      <c r="V773" s="90">
        <f>250+2237.1</f>
        <v>2487.1</v>
      </c>
      <c r="W773" s="91"/>
      <c r="X773" s="92"/>
    </row>
    <row r="774" spans="1:24">
      <c r="A774" s="614"/>
      <c r="B774" s="87">
        <f t="shared" si="108"/>
        <v>8</v>
      </c>
      <c r="C774" s="639">
        <v>45931</v>
      </c>
      <c r="D774" s="323">
        <v>73738</v>
      </c>
      <c r="E774" s="10" t="s">
        <v>1058</v>
      </c>
      <c r="F774" s="62">
        <v>681</v>
      </c>
      <c r="G774" s="62"/>
      <c r="H774" s="88"/>
      <c r="I774" s="89">
        <f>F774-G774-H774</f>
        <v>681</v>
      </c>
      <c r="J774" s="63" t="s">
        <v>156</v>
      </c>
      <c r="K774" s="63">
        <v>1</v>
      </c>
      <c r="L774" s="63">
        <v>1</v>
      </c>
      <c r="M774" s="63">
        <v>1</v>
      </c>
      <c r="N774" s="63">
        <v>1</v>
      </c>
      <c r="O774" s="63">
        <v>1</v>
      </c>
      <c r="P774" s="63">
        <v>1</v>
      </c>
      <c r="Q774" s="63">
        <v>1</v>
      </c>
      <c r="R774" s="63">
        <v>1</v>
      </c>
      <c r="S774" s="296">
        <v>1</v>
      </c>
      <c r="T774" s="63"/>
      <c r="U774" s="10"/>
      <c r="V774" s="90">
        <f>75+674.1</f>
        <v>749.1</v>
      </c>
      <c r="W774" s="91"/>
      <c r="X774" s="92"/>
    </row>
    <row r="775" spans="1:24">
      <c r="A775" s="614"/>
      <c r="B775" s="87">
        <f t="shared" si="108"/>
        <v>9</v>
      </c>
      <c r="C775" s="639">
        <v>45931</v>
      </c>
      <c r="D775" s="323">
        <v>73888</v>
      </c>
      <c r="E775" s="10" t="s">
        <v>1045</v>
      </c>
      <c r="F775" s="62">
        <f>1546-85</f>
        <v>1461</v>
      </c>
      <c r="G775" s="62">
        <f>39.7+(45.14)</f>
        <v>84.84</v>
      </c>
      <c r="H775" s="88"/>
      <c r="I775" s="89">
        <f>F775-G775-H775</f>
        <v>1376.16</v>
      </c>
      <c r="J775" s="63" t="s">
        <v>156</v>
      </c>
      <c r="K775" s="63">
        <v>1</v>
      </c>
      <c r="L775" s="63">
        <v>1</v>
      </c>
      <c r="M775" s="63">
        <v>1</v>
      </c>
      <c r="N775" s="63">
        <v>1</v>
      </c>
      <c r="O775" s="63">
        <v>1</v>
      </c>
      <c r="P775" s="63">
        <v>1</v>
      </c>
      <c r="Q775" s="63">
        <v>1</v>
      </c>
      <c r="R775" s="63">
        <v>1</v>
      </c>
      <c r="S775" s="296">
        <v>1</v>
      </c>
      <c r="T775" s="63"/>
      <c r="U775" s="10"/>
      <c r="V775" s="90">
        <f>93.5+151.36+1362.24</f>
        <v>1607.1</v>
      </c>
      <c r="W775" s="91"/>
      <c r="X775" s="92"/>
    </row>
    <row r="776" spans="1:24">
      <c r="A776" s="614"/>
      <c r="B776" s="87">
        <f t="shared" si="108"/>
        <v>10</v>
      </c>
      <c r="C776" s="639">
        <v>45931</v>
      </c>
      <c r="D776" s="323">
        <v>73902</v>
      </c>
      <c r="E776" s="10" t="s">
        <v>306</v>
      </c>
      <c r="F776" s="62">
        <v>2223</v>
      </c>
      <c r="G776" s="62">
        <f>39.7+(75.3)</f>
        <v>115</v>
      </c>
      <c r="H776" s="88"/>
      <c r="I776" s="89">
        <f>F776-G776-H776</f>
        <v>2108</v>
      </c>
      <c r="J776" s="63" t="s">
        <v>156</v>
      </c>
      <c r="K776" s="63">
        <v>1</v>
      </c>
      <c r="L776" s="63">
        <v>1</v>
      </c>
      <c r="M776" s="63">
        <v>1</v>
      </c>
      <c r="N776" s="63">
        <v>1</v>
      </c>
      <c r="O776" s="63">
        <v>1</v>
      </c>
      <c r="P776" s="63">
        <v>1</v>
      </c>
      <c r="Q776" s="63">
        <v>1</v>
      </c>
      <c r="R776" s="63">
        <v>1</v>
      </c>
      <c r="S776" s="296">
        <v>1</v>
      </c>
      <c r="T776" s="21">
        <v>1</v>
      </c>
      <c r="U776" s="10" t="s">
        <v>1202</v>
      </c>
      <c r="V776" s="90">
        <f>250+2195.3</f>
        <v>2445.3000000000002</v>
      </c>
      <c r="W776" s="91"/>
      <c r="X776" s="92"/>
    </row>
    <row r="777" spans="1:24">
      <c r="A777" s="614" t="s">
        <v>943</v>
      </c>
      <c r="B777" s="87">
        <f>B776+1</f>
        <v>11</v>
      </c>
      <c r="C777" s="638">
        <v>45932</v>
      </c>
      <c r="D777" s="320">
        <v>73791</v>
      </c>
      <c r="E777" s="281" t="s">
        <v>1042</v>
      </c>
      <c r="F777" s="277">
        <v>2814</v>
      </c>
      <c r="G777" s="277">
        <f>39.7+(284.89)+200</f>
        <v>524.58999999999992</v>
      </c>
      <c r="H777" s="277"/>
      <c r="I777" s="278">
        <f>F777-G777-H777</f>
        <v>2289.41</v>
      </c>
      <c r="J777" s="279" t="s">
        <v>374</v>
      </c>
      <c r="K777" s="279">
        <v>1</v>
      </c>
      <c r="L777" s="279">
        <v>1</v>
      </c>
      <c r="M777" s="279">
        <v>1</v>
      </c>
      <c r="N777" s="279">
        <v>1</v>
      </c>
      <c r="O777" s="279">
        <v>1</v>
      </c>
      <c r="P777" s="279">
        <v>1</v>
      </c>
      <c r="Q777" s="279">
        <v>1</v>
      </c>
      <c r="R777" s="279">
        <v>1</v>
      </c>
      <c r="S777" s="280">
        <v>1</v>
      </c>
      <c r="T777" s="63"/>
      <c r="U777" s="10" t="s">
        <v>1203</v>
      </c>
      <c r="V777" s="90">
        <f>310+785.4+2000</f>
        <v>3095.4</v>
      </c>
      <c r="W777" s="91"/>
      <c r="X777" s="92"/>
    </row>
    <row r="778" spans="1:24">
      <c r="A778" s="614"/>
      <c r="B778" s="87">
        <f>B777+1</f>
        <v>12</v>
      </c>
      <c r="C778" s="639">
        <v>45932</v>
      </c>
      <c r="D778" s="323">
        <v>73951</v>
      </c>
      <c r="E778" s="10" t="s">
        <v>746</v>
      </c>
      <c r="F778" s="62">
        <v>861</v>
      </c>
      <c r="G778" s="62">
        <f>39.7+(17.43+18.72)</f>
        <v>75.849999999999994</v>
      </c>
      <c r="H778" s="88"/>
      <c r="I778" s="89">
        <f>F778-G778-H778</f>
        <v>785.15</v>
      </c>
      <c r="J778" s="63" t="s">
        <v>156</v>
      </c>
      <c r="K778" s="63">
        <v>1</v>
      </c>
      <c r="L778" s="63">
        <v>1</v>
      </c>
      <c r="M778" s="63">
        <v>1</v>
      </c>
      <c r="N778" s="63">
        <v>1</v>
      </c>
      <c r="O778" s="63">
        <v>1</v>
      </c>
      <c r="P778" s="63">
        <v>1</v>
      </c>
      <c r="Q778" s="63">
        <v>1</v>
      </c>
      <c r="R778" s="63">
        <v>1</v>
      </c>
      <c r="S778" s="296">
        <v>1</v>
      </c>
      <c r="T778" s="21">
        <v>1</v>
      </c>
      <c r="U778" s="10"/>
      <c r="V778" s="90">
        <v>947.1</v>
      </c>
      <c r="W778" s="91"/>
      <c r="X778" s="92"/>
    </row>
    <row r="779" spans="1:24">
      <c r="A779" s="614"/>
      <c r="B779" s="87">
        <f t="shared" si="108"/>
        <v>13</v>
      </c>
      <c r="C779" s="640">
        <v>45932</v>
      </c>
      <c r="D779" s="368">
        <v>73939</v>
      </c>
      <c r="E779" s="283" t="s">
        <v>1204</v>
      </c>
      <c r="F779" s="284">
        <v>1261</v>
      </c>
      <c r="G779" s="284">
        <f>39.7</f>
        <v>39.700000000000003</v>
      </c>
      <c r="H779" s="315"/>
      <c r="I779" s="285">
        <f>F779-G779-H779</f>
        <v>1221.3</v>
      </c>
      <c r="J779" s="286" t="s">
        <v>156</v>
      </c>
      <c r="K779" s="286">
        <v>1</v>
      </c>
      <c r="L779" s="286">
        <v>1</v>
      </c>
      <c r="M779" s="286">
        <v>1</v>
      </c>
      <c r="N779" s="286">
        <v>1</v>
      </c>
      <c r="O779" s="286">
        <v>1</v>
      </c>
      <c r="P779" s="286">
        <v>1</v>
      </c>
      <c r="Q779" s="286">
        <v>1</v>
      </c>
      <c r="R779" s="286">
        <v>1</v>
      </c>
      <c r="S779" s="287">
        <v>1</v>
      </c>
      <c r="T779" s="63"/>
      <c r="U779" s="10"/>
      <c r="V779" s="90">
        <f>140+1247.1</f>
        <v>1387.1</v>
      </c>
      <c r="W779" s="91"/>
      <c r="X779" s="92"/>
    </row>
    <row r="780" spans="1:24">
      <c r="A780" s="614"/>
      <c r="B780" s="87">
        <f t="shared" si="108"/>
        <v>14</v>
      </c>
      <c r="C780" s="640">
        <v>45933</v>
      </c>
      <c r="D780" s="368">
        <v>73974</v>
      </c>
      <c r="E780" s="283" t="s">
        <v>1201</v>
      </c>
      <c r="F780" s="423">
        <v>1264</v>
      </c>
      <c r="G780" s="284">
        <f>39.7+(23.85)</f>
        <v>63.550000000000004</v>
      </c>
      <c r="H780" s="284"/>
      <c r="I780" s="285">
        <f>F780-G780-H780</f>
        <v>1200.45</v>
      </c>
      <c r="J780" s="286" t="s">
        <v>156</v>
      </c>
      <c r="K780" s="286">
        <v>1</v>
      </c>
      <c r="L780" s="286">
        <v>1</v>
      </c>
      <c r="M780" s="286">
        <v>1</v>
      </c>
      <c r="N780" s="286">
        <v>1</v>
      </c>
      <c r="O780" s="286">
        <v>1</v>
      </c>
      <c r="P780" s="286">
        <v>1</v>
      </c>
      <c r="Q780" s="286">
        <v>1</v>
      </c>
      <c r="R780" s="286">
        <v>1</v>
      </c>
      <c r="S780" s="287">
        <v>1</v>
      </c>
      <c r="T780" s="21">
        <v>1</v>
      </c>
      <c r="U780" s="10"/>
      <c r="V780" s="90">
        <f>140+1250.4</f>
        <v>1390.4</v>
      </c>
      <c r="W780" s="91"/>
      <c r="X780" s="92"/>
    </row>
    <row r="781" spans="1:24">
      <c r="A781" s="614"/>
      <c r="B781" s="87"/>
      <c r="C781" s="621"/>
      <c r="D781" s="10"/>
      <c r="E781" s="10"/>
      <c r="F781" s="98">
        <f>SUM(F767:F780)</f>
        <v>22325</v>
      </c>
      <c r="G781" s="98">
        <f>SUM(G767:G780)</f>
        <v>2142.88</v>
      </c>
      <c r="H781" s="98">
        <f>SUM(H767:H780)</f>
        <v>0</v>
      </c>
      <c r="I781" s="98">
        <f>SUM(I767:I780)</f>
        <v>20182.120000000003</v>
      </c>
      <c r="J781" s="63"/>
      <c r="K781" s="63">
        <f>COUNT(K767:K780)</f>
        <v>14</v>
      </c>
      <c r="L781" s="63">
        <f>COUNT(L767:L780)</f>
        <v>14</v>
      </c>
      <c r="M781" s="63">
        <f>COUNT(M767:M780)</f>
        <v>14</v>
      </c>
      <c r="N781" s="63">
        <f>COUNT(N767:N780)</f>
        <v>14</v>
      </c>
      <c r="O781" s="63">
        <f>COUNT(O767:O780)</f>
        <v>14</v>
      </c>
      <c r="P781" s="63">
        <f>COUNT(P767:P780)</f>
        <v>14</v>
      </c>
      <c r="Q781" s="63">
        <f>COUNT(Q767:Q780)</f>
        <v>14</v>
      </c>
      <c r="R781" s="63">
        <f>COUNT(R767:R780)</f>
        <v>14</v>
      </c>
      <c r="S781" s="63">
        <f>COUNT(S767:S780)</f>
        <v>14</v>
      </c>
      <c r="T781" s="63"/>
      <c r="U781" s="10"/>
      <c r="V781" s="90"/>
      <c r="W781" s="91"/>
      <c r="X781" s="92"/>
    </row>
    <row r="782" spans="1:24">
      <c r="A782" s="614"/>
      <c r="B782" s="87"/>
      <c r="C782" s="621"/>
      <c r="D782" s="10"/>
      <c r="E782" s="10"/>
      <c r="F782" s="88"/>
      <c r="G782" s="88"/>
      <c r="H782" s="88"/>
      <c r="I782" s="99"/>
      <c r="J782" s="63"/>
      <c r="K782" s="21">
        <f>SUM(K767:K780)</f>
        <v>14</v>
      </c>
      <c r="L782" s="21">
        <f>SUM(L767:L780)</f>
        <v>14</v>
      </c>
      <c r="M782" s="21">
        <f>SUM(M767:M780)</f>
        <v>14</v>
      </c>
      <c r="N782" s="21">
        <f>SUM(N767:N780)</f>
        <v>14</v>
      </c>
      <c r="O782" s="21">
        <f>SUM(O767:O780)</f>
        <v>14</v>
      </c>
      <c r="P782" s="21">
        <f>SUM(P767:P780)</f>
        <v>14</v>
      </c>
      <c r="Q782" s="21">
        <f>SUM(Q767:Q780)</f>
        <v>14</v>
      </c>
      <c r="R782" s="21">
        <f>SUM(R767:R780)</f>
        <v>13</v>
      </c>
      <c r="S782" s="21">
        <f>SUM(S767:S780)</f>
        <v>13</v>
      </c>
      <c r="T782" s="63"/>
      <c r="U782" s="10"/>
      <c r="V782" s="90"/>
      <c r="W782" s="91"/>
      <c r="X782" s="92"/>
    </row>
    <row r="783" spans="1:24">
      <c r="A783" s="614"/>
      <c r="B783" s="11"/>
      <c r="C783" s="609"/>
      <c r="D783" s="10"/>
      <c r="E783" s="10"/>
      <c r="F783" s="88"/>
      <c r="G783" s="88"/>
      <c r="H783" s="88"/>
      <c r="I783" s="99"/>
      <c r="J783" s="63"/>
      <c r="K783" s="21"/>
      <c r="L783" s="21"/>
      <c r="M783" s="21"/>
      <c r="N783" s="21"/>
      <c r="O783" s="21"/>
      <c r="P783" s="21"/>
      <c r="Q783" s="21"/>
      <c r="R783" s="21"/>
      <c r="S783" s="21"/>
      <c r="T783" s="63"/>
      <c r="U783" s="94"/>
      <c r="V783" s="90"/>
      <c r="W783" s="91"/>
      <c r="X783" s="92"/>
    </row>
    <row r="784" spans="1:24">
      <c r="A784" s="615"/>
      <c r="B784" s="121" t="s">
        <v>68</v>
      </c>
      <c r="C784" s="611"/>
      <c r="D784" s="123"/>
      <c r="E784" s="123"/>
      <c r="F784" s="124"/>
      <c r="G784" s="125"/>
      <c r="H784" s="124"/>
      <c r="I784" s="126"/>
      <c r="J784" s="127"/>
      <c r="K784" s="128"/>
      <c r="L784" s="128"/>
      <c r="M784" s="128"/>
      <c r="N784" s="128"/>
      <c r="O784" s="128"/>
      <c r="P784" s="128"/>
      <c r="Q784" s="128"/>
      <c r="R784" s="128"/>
      <c r="S784" s="128"/>
      <c r="T784" s="127"/>
      <c r="U784" s="123"/>
      <c r="V784" s="129"/>
      <c r="W784" s="130"/>
      <c r="X784" s="131"/>
    </row>
    <row r="785" spans="1:25" s="342" customFormat="1">
      <c r="A785" s="356" t="s">
        <v>1205</v>
      </c>
      <c r="B785" s="333">
        <v>1</v>
      </c>
      <c r="C785" s="703">
        <v>45933</v>
      </c>
      <c r="D785" s="263">
        <v>74014</v>
      </c>
      <c r="E785" s="358" t="s">
        <v>1104</v>
      </c>
      <c r="F785" s="352">
        <v>14618</v>
      </c>
      <c r="G785" s="352">
        <f>39.7+(39.3+3974.13+457.57+6.5)+1000</f>
        <v>5517.2</v>
      </c>
      <c r="H785" s="352"/>
      <c r="I785" s="353">
        <f>F785-G785-H785</f>
        <v>9100.7999999999993</v>
      </c>
      <c r="J785" s="354" t="s">
        <v>156</v>
      </c>
      <c r="K785" s="354">
        <v>1</v>
      </c>
      <c r="L785" s="354">
        <v>1</v>
      </c>
      <c r="M785" s="314">
        <v>0</v>
      </c>
      <c r="N785" s="354">
        <v>1</v>
      </c>
      <c r="O785" s="354">
        <v>1</v>
      </c>
      <c r="P785" s="314">
        <v>0</v>
      </c>
      <c r="Q785" s="314">
        <v>0</v>
      </c>
      <c r="R785" s="314">
        <v>0</v>
      </c>
      <c r="S785" s="366">
        <v>0</v>
      </c>
      <c r="T785" s="127"/>
      <c r="U785" s="135" t="s">
        <v>1206</v>
      </c>
      <c r="V785" s="129">
        <f>1608+14000</f>
        <v>15608</v>
      </c>
      <c r="W785" s="130"/>
      <c r="X785" s="131"/>
    </row>
    <row r="786" spans="1:25">
      <c r="A786" s="615"/>
      <c r="B786" s="132"/>
      <c r="C786" s="621"/>
      <c r="D786" s="123"/>
      <c r="E786" s="123"/>
      <c r="F786" s="134">
        <f>SUM(F785)</f>
        <v>14618</v>
      </c>
      <c r="G786" s="134">
        <f>SUM(G785)</f>
        <v>5517.2</v>
      </c>
      <c r="H786" s="134">
        <f>SUM(H785)</f>
        <v>0</v>
      </c>
      <c r="I786" s="134">
        <f>SUM(I785)</f>
        <v>9100.7999999999993</v>
      </c>
      <c r="J786" s="127"/>
      <c r="K786" s="64"/>
      <c r="L786" s="64"/>
      <c r="M786" s="64"/>
      <c r="N786" s="64"/>
      <c r="O786" s="64"/>
      <c r="P786" s="64"/>
      <c r="Q786" s="64"/>
      <c r="R786" s="64"/>
      <c r="S786" s="64"/>
      <c r="T786" s="127"/>
      <c r="U786" s="123"/>
      <c r="V786" s="129"/>
      <c r="W786" s="130"/>
      <c r="X786" s="131"/>
    </row>
    <row r="787" spans="1:25">
      <c r="A787" s="614"/>
      <c r="B787" s="11"/>
      <c r="C787" s="609"/>
      <c r="D787" s="10"/>
      <c r="E787" s="10"/>
      <c r="F787" s="88"/>
      <c r="G787" s="88"/>
      <c r="H787" s="88"/>
      <c r="I787" s="99"/>
      <c r="J787" s="63"/>
      <c r="K787" s="21"/>
      <c r="L787" s="21"/>
      <c r="M787" s="21"/>
      <c r="N787" s="21"/>
      <c r="O787" s="21"/>
      <c r="P787" s="21"/>
      <c r="Q787" s="21"/>
      <c r="R787" s="21"/>
      <c r="S787" s="21"/>
      <c r="T787" s="63"/>
      <c r="U787" s="94"/>
      <c r="V787" s="90"/>
      <c r="W787" s="91"/>
      <c r="X787" s="92"/>
    </row>
    <row r="788" spans="1:25" s="260" customFormat="1">
      <c r="A788" s="181"/>
      <c r="B788" s="100" t="s">
        <v>152</v>
      </c>
      <c r="C788" s="36"/>
      <c r="D788" s="10"/>
      <c r="E788" s="10"/>
      <c r="F788" s="88"/>
      <c r="G788" s="62"/>
      <c r="H788" s="88"/>
      <c r="I788" s="99"/>
      <c r="J788" s="10"/>
      <c r="K788" s="181"/>
      <c r="L788" s="181"/>
      <c r="M788" s="181"/>
      <c r="N788" s="181"/>
      <c r="O788" s="181"/>
      <c r="P788" s="181"/>
      <c r="Q788" s="181"/>
      <c r="R788" s="181"/>
      <c r="S788" s="181"/>
      <c r="T788" s="63"/>
      <c r="U788" s="10"/>
      <c r="V788" s="90"/>
      <c r="W788" s="91"/>
      <c r="X788" s="92"/>
      <c r="Y788" s="181"/>
    </row>
    <row r="789" spans="1:25" s="260" customFormat="1">
      <c r="A789" s="261" t="s">
        <v>1205</v>
      </c>
      <c r="B789" s="87">
        <v>1</v>
      </c>
      <c r="C789" s="641">
        <v>45904</v>
      </c>
      <c r="D789" s="263">
        <v>72974</v>
      </c>
      <c r="E789" s="271" t="s">
        <v>1091</v>
      </c>
      <c r="F789" s="265">
        <v>542</v>
      </c>
      <c r="G789" s="265"/>
      <c r="H789" s="365"/>
      <c r="I789" s="272">
        <f>F789-G789-H789</f>
        <v>542</v>
      </c>
      <c r="J789" s="267" t="s">
        <v>228</v>
      </c>
      <c r="K789" s="267">
        <v>1</v>
      </c>
      <c r="L789" s="267">
        <v>1</v>
      </c>
      <c r="M789" s="267">
        <v>1</v>
      </c>
      <c r="N789" s="267">
        <v>1</v>
      </c>
      <c r="O789" s="267">
        <v>1</v>
      </c>
      <c r="P789" s="267">
        <v>1</v>
      </c>
      <c r="Q789" s="267">
        <v>1</v>
      </c>
      <c r="R789" s="267">
        <v>1</v>
      </c>
      <c r="S789" s="269">
        <v>1</v>
      </c>
      <c r="T789" s="21"/>
      <c r="U789" s="10"/>
      <c r="V789" s="90"/>
      <c r="W789" s="91"/>
      <c r="X789" s="92"/>
    </row>
    <row r="790" spans="1:25" s="260" customFormat="1">
      <c r="A790" s="494">
        <v>0.05</v>
      </c>
      <c r="B790" s="87">
        <f>B789+1</f>
        <v>2</v>
      </c>
      <c r="C790" s="641">
        <v>45911</v>
      </c>
      <c r="D790" s="263">
        <v>73200</v>
      </c>
      <c r="E790" s="264" t="s">
        <v>798</v>
      </c>
      <c r="F790" s="265">
        <f>2346-85</f>
        <v>2261</v>
      </c>
      <c r="G790" s="265">
        <f>39.7</f>
        <v>39.700000000000003</v>
      </c>
      <c r="H790" s="265"/>
      <c r="I790" s="272">
        <f>F790-G790-H790</f>
        <v>2221.3000000000002</v>
      </c>
      <c r="J790" s="267" t="s">
        <v>156</v>
      </c>
      <c r="K790" s="267">
        <v>1</v>
      </c>
      <c r="L790" s="267">
        <v>1</v>
      </c>
      <c r="M790" s="267">
        <v>1</v>
      </c>
      <c r="N790" s="267">
        <v>1</v>
      </c>
      <c r="O790" s="267">
        <v>1</v>
      </c>
      <c r="P790" s="267">
        <v>1</v>
      </c>
      <c r="Q790" s="267">
        <v>1</v>
      </c>
      <c r="R790" s="267">
        <v>1</v>
      </c>
      <c r="S790" s="269">
        <v>1</v>
      </c>
      <c r="T790" s="63"/>
      <c r="U790" s="10" t="s">
        <v>1128</v>
      </c>
      <c r="V790" s="90"/>
      <c r="W790" s="91"/>
      <c r="X790" s="92"/>
      <c r="Y790" s="181"/>
    </row>
    <row r="791" spans="1:25" s="260" customFormat="1">
      <c r="A791" s="704" t="s">
        <v>1183</v>
      </c>
      <c r="B791" s="87">
        <f>B790+1</f>
        <v>3</v>
      </c>
      <c r="C791" s="638">
        <v>45922</v>
      </c>
      <c r="D791" s="327">
        <v>73544</v>
      </c>
      <c r="E791" s="276" t="s">
        <v>1079</v>
      </c>
      <c r="F791" s="277">
        <f>1866-185-203.5-200</f>
        <v>1277.5</v>
      </c>
      <c r="G791" s="277">
        <f>39.7</f>
        <v>39.700000000000003</v>
      </c>
      <c r="H791" s="277"/>
      <c r="I791" s="278">
        <f>F791-G791-H791</f>
        <v>1237.8</v>
      </c>
      <c r="J791" s="279" t="s">
        <v>228</v>
      </c>
      <c r="K791" s="279">
        <v>1</v>
      </c>
      <c r="L791" s="279">
        <v>1</v>
      </c>
      <c r="M791" s="279">
        <v>1</v>
      </c>
      <c r="N791" s="279">
        <v>1</v>
      </c>
      <c r="O791" s="279">
        <v>1</v>
      </c>
      <c r="P791" s="279">
        <v>1</v>
      </c>
      <c r="Q791" s="279">
        <v>1</v>
      </c>
      <c r="R791" s="279">
        <v>1</v>
      </c>
      <c r="S791" s="280">
        <v>1</v>
      </c>
      <c r="T791" s="63"/>
      <c r="U791" s="94"/>
      <c r="V791" s="90"/>
      <c r="W791" s="91"/>
      <c r="X791" s="92"/>
    </row>
    <row r="792" spans="1:25" s="260" customFormat="1">
      <c r="A792" s="494">
        <v>0.05</v>
      </c>
      <c r="B792" s="87">
        <f>B791+1</f>
        <v>4</v>
      </c>
      <c r="C792" s="641">
        <v>45923</v>
      </c>
      <c r="D792" s="263">
        <v>73516</v>
      </c>
      <c r="E792" s="271" t="s">
        <v>1186</v>
      </c>
      <c r="F792" s="265">
        <v>2861</v>
      </c>
      <c r="G792" s="265">
        <f>39.7+(79.91)</f>
        <v>119.61</v>
      </c>
      <c r="H792" s="265"/>
      <c r="I792" s="272">
        <f>F792-G792-H792</f>
        <v>2741.39</v>
      </c>
      <c r="J792" s="267" t="s">
        <v>156</v>
      </c>
      <c r="K792" s="267">
        <v>1</v>
      </c>
      <c r="L792" s="267">
        <v>1</v>
      </c>
      <c r="M792" s="267">
        <v>1</v>
      </c>
      <c r="N792" s="267">
        <v>1</v>
      </c>
      <c r="O792" s="267">
        <v>1</v>
      </c>
      <c r="P792" s="267">
        <v>1</v>
      </c>
      <c r="Q792" s="267">
        <v>1</v>
      </c>
      <c r="R792" s="267">
        <v>1</v>
      </c>
      <c r="S792" s="366">
        <v>0</v>
      </c>
      <c r="T792" s="63"/>
      <c r="U792" s="94" t="s">
        <v>1187</v>
      </c>
      <c r="V792" s="90"/>
      <c r="W792" s="136"/>
      <c r="X792" s="137"/>
    </row>
    <row r="793" spans="1:25" s="260" customFormat="1">
      <c r="B793" s="11"/>
      <c r="C793" s="36"/>
      <c r="D793" s="10"/>
      <c r="E793" s="10"/>
      <c r="F793" s="98">
        <f>SUM(F789:F792)</f>
        <v>6941.5</v>
      </c>
      <c r="G793" s="98">
        <f t="shared" ref="G793:I793" si="109">SUM(G789:G792)</f>
        <v>199.01</v>
      </c>
      <c r="H793" s="98">
        <f t="shared" si="109"/>
        <v>0</v>
      </c>
      <c r="I793" s="98">
        <f t="shared" si="109"/>
        <v>6742.49</v>
      </c>
      <c r="J793" s="63"/>
      <c r="K793" s="21"/>
      <c r="L793" s="21"/>
      <c r="M793" s="21"/>
      <c r="N793" s="21"/>
      <c r="O793" s="21"/>
      <c r="P793" s="21"/>
      <c r="Q793" s="21"/>
      <c r="R793" s="21"/>
      <c r="S793" s="21"/>
      <c r="T793" s="63"/>
      <c r="U793" s="94"/>
      <c r="V793" s="90"/>
      <c r="W793" s="91"/>
      <c r="X793" s="92"/>
    </row>
    <row r="794" spans="1:25" s="260" customFormat="1">
      <c r="B794" s="11"/>
      <c r="C794" s="36"/>
      <c r="D794" s="10"/>
      <c r="E794" s="10"/>
      <c r="F794" s="99"/>
      <c r="G794" s="99"/>
      <c r="H794" s="99"/>
      <c r="I794" s="99"/>
      <c r="J794" s="63"/>
      <c r="K794" s="21"/>
      <c r="L794" s="21"/>
      <c r="M794" s="21"/>
      <c r="N794" s="21"/>
      <c r="O794" s="21"/>
      <c r="P794" s="21"/>
      <c r="Q794" s="21"/>
      <c r="R794" s="21"/>
      <c r="S794" s="21"/>
      <c r="T794" s="63"/>
      <c r="U794" s="94"/>
      <c r="V794" s="90"/>
      <c r="W794" s="91"/>
      <c r="X794" s="92"/>
    </row>
    <row r="795" spans="1:25">
      <c r="A795" s="2"/>
      <c r="B795" s="11"/>
      <c r="C795" s="36"/>
      <c r="D795" s="10"/>
      <c r="E795" s="10"/>
      <c r="F795" s="88"/>
      <c r="G795" s="88"/>
      <c r="H795" s="88"/>
      <c r="I795" s="99"/>
      <c r="J795" s="63"/>
      <c r="K795" s="21"/>
      <c r="L795" s="21"/>
      <c r="M795" s="21"/>
      <c r="N795" s="21"/>
      <c r="O795" s="21"/>
      <c r="P795" s="21"/>
      <c r="Q795" s="21"/>
      <c r="R795" s="21"/>
      <c r="S795" s="21"/>
      <c r="T795" s="63"/>
      <c r="U795" s="94"/>
      <c r="V795" s="90"/>
      <c r="W795" s="91"/>
      <c r="X795" s="92"/>
    </row>
    <row r="796" spans="1:25" s="260" customFormat="1">
      <c r="B796" s="100" t="s">
        <v>202</v>
      </c>
      <c r="C796" s="36"/>
      <c r="D796" s="10"/>
      <c r="E796" s="181"/>
      <c r="F796" s="88"/>
      <c r="G796" s="88"/>
      <c r="H796" s="88"/>
      <c r="I796" s="99"/>
      <c r="J796" s="63"/>
      <c r="K796" s="21"/>
      <c r="L796" s="21"/>
      <c r="M796" s="21"/>
      <c r="N796" s="21"/>
      <c r="O796" s="21"/>
      <c r="P796" s="21"/>
      <c r="Q796" s="21"/>
      <c r="R796" s="21"/>
      <c r="S796" s="21"/>
      <c r="T796" s="63"/>
      <c r="U796" s="94"/>
      <c r="V796" s="90"/>
      <c r="W796" s="91"/>
      <c r="X796" s="92"/>
    </row>
    <row r="797" spans="1:25" s="260" customFormat="1">
      <c r="A797" s="261">
        <v>0.05</v>
      </c>
      <c r="B797" s="87">
        <v>1</v>
      </c>
      <c r="C797" s="641">
        <v>45904</v>
      </c>
      <c r="D797" s="263">
        <v>72982</v>
      </c>
      <c r="E797" s="271" t="s">
        <v>604</v>
      </c>
      <c r="F797" s="265">
        <v>1681</v>
      </c>
      <c r="G797" s="265">
        <f>39.7+398</f>
        <v>437.7</v>
      </c>
      <c r="H797" s="265"/>
      <c r="I797" s="272">
        <f>F797-G797-H797</f>
        <v>1243.3</v>
      </c>
      <c r="J797" s="267" t="s">
        <v>156</v>
      </c>
      <c r="K797" s="267">
        <v>1</v>
      </c>
      <c r="L797" s="267"/>
      <c r="M797" s="267">
        <v>1</v>
      </c>
      <c r="N797" s="267">
        <v>1</v>
      </c>
      <c r="O797" s="267">
        <v>1</v>
      </c>
      <c r="P797" s="267">
        <v>1</v>
      </c>
      <c r="Q797" s="267"/>
      <c r="R797" s="267"/>
      <c r="S797" s="269"/>
      <c r="T797" s="63"/>
      <c r="U797" s="94" t="s">
        <v>1131</v>
      </c>
      <c r="V797" s="90"/>
      <c r="W797" s="136"/>
      <c r="X797" s="137"/>
    </row>
    <row r="798" spans="1:25" s="260" customFormat="1">
      <c r="A798" s="494">
        <v>0.05</v>
      </c>
      <c r="B798" s="87">
        <f>B797+1</f>
        <v>2</v>
      </c>
      <c r="C798" s="641">
        <v>45925</v>
      </c>
      <c r="D798" s="263" t="s">
        <v>1188</v>
      </c>
      <c r="E798" s="271" t="s">
        <v>973</v>
      </c>
      <c r="F798" s="265">
        <v>18161</v>
      </c>
      <c r="G798" s="265">
        <f>39.7+33.68+1005.6+33.68+(86.55)+1500</f>
        <v>2699.21</v>
      </c>
      <c r="H798" s="265"/>
      <c r="I798" s="272">
        <f>F798-G798-H798</f>
        <v>15461.79</v>
      </c>
      <c r="J798" s="267" t="s">
        <v>156</v>
      </c>
      <c r="K798" s="267">
        <v>1</v>
      </c>
      <c r="L798" s="267"/>
      <c r="M798" s="267">
        <v>1</v>
      </c>
      <c r="N798" s="267">
        <v>1</v>
      </c>
      <c r="O798" s="267">
        <v>1</v>
      </c>
      <c r="P798" s="267">
        <v>1</v>
      </c>
      <c r="Q798" s="267"/>
      <c r="R798" s="267"/>
      <c r="S798" s="269"/>
      <c r="T798" s="63"/>
      <c r="U798" s="94" t="s">
        <v>1189</v>
      </c>
      <c r="V798" s="90"/>
      <c r="W798" s="136"/>
      <c r="X798" s="137"/>
    </row>
    <row r="799" spans="1:25" s="260" customFormat="1">
      <c r="B799" s="11"/>
      <c r="C799" s="36"/>
      <c r="D799" s="10"/>
      <c r="E799" s="10"/>
      <c r="F799" s="98">
        <f>SUM(F797:F798)</f>
        <v>19842</v>
      </c>
      <c r="G799" s="98">
        <f>SUM(G797:G798)</f>
        <v>3136.91</v>
      </c>
      <c r="H799" s="98">
        <f>SUM(H797:H798)</f>
        <v>0</v>
      </c>
      <c r="I799" s="98">
        <f>SUM(I797:I798)</f>
        <v>16705.09</v>
      </c>
      <c r="J799" s="510"/>
      <c r="K799" s="21"/>
      <c r="L799" s="21"/>
      <c r="M799" s="21"/>
      <c r="N799" s="21"/>
      <c r="O799" s="21"/>
      <c r="P799" s="21"/>
      <c r="Q799" s="21"/>
      <c r="R799" s="21"/>
      <c r="S799" s="21"/>
      <c r="T799" s="63"/>
      <c r="U799" s="94"/>
      <c r="V799" s="90"/>
      <c r="W799" s="91"/>
      <c r="X799" s="92"/>
    </row>
    <row r="800" spans="1:25" s="260" customFormat="1">
      <c r="B800" s="11"/>
      <c r="C800" s="36"/>
      <c r="D800" s="10"/>
      <c r="E800" s="10"/>
      <c r="F800" s="99"/>
      <c r="G800" s="99"/>
      <c r="H800" s="99"/>
      <c r="I800" s="99"/>
      <c r="J800" s="63"/>
      <c r="K800" s="21"/>
      <c r="L800" s="21"/>
      <c r="M800" s="21"/>
      <c r="N800" s="21"/>
      <c r="O800" s="21"/>
      <c r="P800" s="21"/>
      <c r="Q800" s="21"/>
      <c r="R800" s="21"/>
      <c r="S800" s="21"/>
      <c r="T800" s="63"/>
      <c r="U800" s="94"/>
      <c r="V800" s="90"/>
      <c r="W800" s="91"/>
      <c r="X800" s="92"/>
    </row>
    <row r="801" spans="1:24">
      <c r="A801" s="614"/>
      <c r="B801" s="100" t="s">
        <v>72</v>
      </c>
      <c r="C801" s="609"/>
      <c r="D801" s="10"/>
      <c r="E801" s="10"/>
      <c r="F801" s="88"/>
      <c r="G801" s="88"/>
      <c r="H801" s="88"/>
      <c r="I801" s="99"/>
      <c r="J801" s="63"/>
      <c r="K801" s="63"/>
      <c r="L801" s="63"/>
      <c r="M801" s="63"/>
      <c r="N801" s="63"/>
      <c r="O801" s="63"/>
      <c r="P801" s="63"/>
      <c r="Q801" s="63"/>
      <c r="R801" s="63"/>
      <c r="S801" s="63"/>
      <c r="T801" s="63"/>
      <c r="U801" s="10"/>
      <c r="V801" s="90"/>
      <c r="W801" s="91"/>
      <c r="X801" s="92"/>
    </row>
    <row r="802" spans="1:24">
      <c r="A802" s="614"/>
      <c r="B802" s="87">
        <v>1</v>
      </c>
      <c r="C802" s="638">
        <v>45929</v>
      </c>
      <c r="D802" s="276" t="s">
        <v>1207</v>
      </c>
      <c r="E802" s="276" t="s">
        <v>1085</v>
      </c>
      <c r="F802" s="277">
        <v>16214</v>
      </c>
      <c r="G802" s="277">
        <f>39.7</f>
        <v>39.700000000000003</v>
      </c>
      <c r="H802" s="277"/>
      <c r="I802" s="278">
        <f>F802-G802-H802</f>
        <v>16174.3</v>
      </c>
      <c r="J802" s="279" t="s">
        <v>205</v>
      </c>
      <c r="K802" s="279"/>
      <c r="L802" s="279"/>
      <c r="M802" s="279"/>
      <c r="N802" s="279"/>
      <c r="O802" s="279"/>
      <c r="P802" s="279"/>
      <c r="Q802" s="279"/>
      <c r="R802" s="279"/>
      <c r="S802" s="280"/>
      <c r="T802" s="63"/>
      <c r="U802" s="3"/>
      <c r="V802" s="90"/>
      <c r="W802" s="91"/>
      <c r="X802" s="92"/>
    </row>
    <row r="803" spans="1:24">
      <c r="A803" s="614"/>
      <c r="B803" s="87">
        <f t="shared" ref="B803:B820" si="110">B802+1</f>
        <v>2</v>
      </c>
      <c r="C803" s="639">
        <v>45929</v>
      </c>
      <c r="D803" s="10">
        <v>73748</v>
      </c>
      <c r="E803" s="10" t="s">
        <v>1208</v>
      </c>
      <c r="F803" s="62">
        <v>613</v>
      </c>
      <c r="G803" s="62"/>
      <c r="H803" s="62"/>
      <c r="I803" s="89">
        <f>F803-G803-H803</f>
        <v>613</v>
      </c>
      <c r="J803" s="63" t="s">
        <v>156</v>
      </c>
      <c r="K803" s="63">
        <v>1</v>
      </c>
      <c r="L803" s="63"/>
      <c r="M803" s="63">
        <v>1</v>
      </c>
      <c r="N803" s="63">
        <v>1</v>
      </c>
      <c r="O803" s="63">
        <v>1</v>
      </c>
      <c r="P803" s="63"/>
      <c r="Q803" s="63">
        <v>1</v>
      </c>
      <c r="R803" s="63">
        <v>1</v>
      </c>
      <c r="S803" s="296"/>
      <c r="T803" s="63"/>
      <c r="U803" s="10"/>
      <c r="V803" s="90">
        <v>70</v>
      </c>
      <c r="W803" s="136"/>
      <c r="X803" s="137"/>
    </row>
    <row r="804" spans="1:24">
      <c r="A804" s="614"/>
      <c r="B804" s="87">
        <f t="shared" si="110"/>
        <v>3</v>
      </c>
      <c r="C804" s="639">
        <v>45929</v>
      </c>
      <c r="D804" s="10" t="s">
        <v>1209</v>
      </c>
      <c r="E804" s="10" t="s">
        <v>1208</v>
      </c>
      <c r="F804" s="62">
        <v>6201</v>
      </c>
      <c r="G804" s="62">
        <v>39.700000000000003</v>
      </c>
      <c r="H804" s="62"/>
      <c r="I804" s="89">
        <f>F804-G804-H804</f>
        <v>6161.3</v>
      </c>
      <c r="J804" s="63" t="s">
        <v>205</v>
      </c>
      <c r="K804" s="63">
        <v>1</v>
      </c>
      <c r="L804" s="63"/>
      <c r="M804" s="63"/>
      <c r="N804" s="63"/>
      <c r="O804" s="63"/>
      <c r="P804" s="63"/>
      <c r="Q804" s="63"/>
      <c r="R804" s="63"/>
      <c r="S804" s="296"/>
      <c r="T804" s="63"/>
      <c r="U804" s="10"/>
      <c r="V804" s="90"/>
      <c r="W804" s="136"/>
      <c r="X804" s="137"/>
    </row>
    <row r="805" spans="1:24">
      <c r="A805" s="614"/>
      <c r="B805" s="87">
        <f t="shared" si="110"/>
        <v>4</v>
      </c>
      <c r="C805" s="639">
        <v>45929</v>
      </c>
      <c r="D805" s="10">
        <v>73764</v>
      </c>
      <c r="E805" s="10" t="s">
        <v>1079</v>
      </c>
      <c r="F805" s="62">
        <v>5814</v>
      </c>
      <c r="G805" s="62">
        <v>39.700000000000003</v>
      </c>
      <c r="H805" s="62"/>
      <c r="I805" s="89">
        <f>F805-G805-H805</f>
        <v>5774.3</v>
      </c>
      <c r="J805" s="63" t="s">
        <v>205</v>
      </c>
      <c r="K805" s="63">
        <v>1</v>
      </c>
      <c r="L805" s="63"/>
      <c r="M805" s="63"/>
      <c r="N805" s="63">
        <v>1</v>
      </c>
      <c r="O805" s="63"/>
      <c r="P805" s="63"/>
      <c r="Q805" s="63">
        <v>1</v>
      </c>
      <c r="R805" s="63">
        <v>1</v>
      </c>
      <c r="S805" s="296">
        <v>1</v>
      </c>
      <c r="T805" s="63"/>
      <c r="U805" s="10"/>
      <c r="V805" s="90"/>
      <c r="W805" s="136"/>
      <c r="X805" s="137"/>
    </row>
    <row r="806" spans="1:24">
      <c r="A806" s="614"/>
      <c r="B806" s="87">
        <f t="shared" si="110"/>
        <v>5</v>
      </c>
      <c r="C806" s="638">
        <v>45930</v>
      </c>
      <c r="D806" s="276">
        <v>73787</v>
      </c>
      <c r="E806" s="276" t="s">
        <v>1175</v>
      </c>
      <c r="F806" s="277">
        <v>1138</v>
      </c>
      <c r="G806" s="277">
        <f>39.7</f>
        <v>39.700000000000003</v>
      </c>
      <c r="H806" s="277"/>
      <c r="I806" s="278">
        <f>F806-G806-H806</f>
        <v>1098.3</v>
      </c>
      <c r="J806" s="279" t="s">
        <v>205</v>
      </c>
      <c r="K806" s="279">
        <v>1</v>
      </c>
      <c r="L806" s="279"/>
      <c r="M806" s="279"/>
      <c r="N806" s="279">
        <v>1</v>
      </c>
      <c r="O806" s="279"/>
      <c r="P806" s="279"/>
      <c r="Q806" s="279">
        <v>1</v>
      </c>
      <c r="R806" s="279">
        <v>1</v>
      </c>
      <c r="S806" s="280">
        <v>1</v>
      </c>
      <c r="T806" s="63"/>
      <c r="U806" s="10"/>
      <c r="V806" s="90"/>
      <c r="W806" s="136"/>
      <c r="X806" s="137"/>
    </row>
    <row r="807" spans="1:24">
      <c r="A807" s="614"/>
      <c r="B807" s="87">
        <f>B806+1</f>
        <v>6</v>
      </c>
      <c r="C807" s="639">
        <v>45930</v>
      </c>
      <c r="D807" s="10">
        <v>73847</v>
      </c>
      <c r="E807" s="101" t="s">
        <v>213</v>
      </c>
      <c r="F807" s="62">
        <v>1264</v>
      </c>
      <c r="G807" s="62">
        <v>39.700000000000003</v>
      </c>
      <c r="H807" s="62"/>
      <c r="I807" s="89">
        <f>F807-G807-H807</f>
        <v>1224.3</v>
      </c>
      <c r="J807" s="63" t="s">
        <v>205</v>
      </c>
      <c r="K807" s="63">
        <v>1</v>
      </c>
      <c r="L807" s="63"/>
      <c r="M807" s="63"/>
      <c r="N807" s="63">
        <v>1</v>
      </c>
      <c r="O807" s="63"/>
      <c r="P807" s="63"/>
      <c r="Q807" s="63">
        <v>1</v>
      </c>
      <c r="R807" s="63">
        <v>1</v>
      </c>
      <c r="S807" s="296">
        <v>1</v>
      </c>
      <c r="T807" s="21">
        <v>1</v>
      </c>
      <c r="U807" s="10"/>
      <c r="V807" s="90"/>
      <c r="W807" s="136"/>
      <c r="X807" s="137"/>
    </row>
    <row r="808" spans="1:24">
      <c r="A808" s="614"/>
      <c r="B808" s="87">
        <f t="shared" si="110"/>
        <v>7</v>
      </c>
      <c r="C808" s="639">
        <v>45930</v>
      </c>
      <c r="D808" s="10">
        <v>73866</v>
      </c>
      <c r="E808" s="101" t="s">
        <v>833</v>
      </c>
      <c r="F808" s="62">
        <v>6132.6</v>
      </c>
      <c r="G808" s="62">
        <v>39.700000000000003</v>
      </c>
      <c r="H808" s="62"/>
      <c r="I808" s="89">
        <f>F808-G808-H808</f>
        <v>6092.9000000000005</v>
      </c>
      <c r="J808" s="63" t="s">
        <v>205</v>
      </c>
      <c r="K808" s="63">
        <v>1</v>
      </c>
      <c r="L808" s="63"/>
      <c r="M808" s="63"/>
      <c r="N808" s="63">
        <v>1</v>
      </c>
      <c r="O808" s="63"/>
      <c r="P808" s="63"/>
      <c r="Q808" s="63">
        <v>1</v>
      </c>
      <c r="R808" s="63">
        <v>1</v>
      </c>
      <c r="S808" s="296">
        <v>1</v>
      </c>
      <c r="T808" s="63"/>
      <c r="U808" s="10"/>
      <c r="V808" s="90"/>
      <c r="W808" s="136"/>
      <c r="X808" s="137"/>
    </row>
    <row r="809" spans="1:24">
      <c r="A809" s="614"/>
      <c r="B809" s="87">
        <f t="shared" si="110"/>
        <v>8</v>
      </c>
      <c r="C809" s="639">
        <v>45930</v>
      </c>
      <c r="D809" s="10">
        <v>73864</v>
      </c>
      <c r="E809" s="101" t="s">
        <v>211</v>
      </c>
      <c r="F809" s="62">
        <v>1138</v>
      </c>
      <c r="G809" s="62">
        <v>39.700000000000003</v>
      </c>
      <c r="H809" s="62"/>
      <c r="I809" s="89">
        <f>F809-G809-H809</f>
        <v>1098.3</v>
      </c>
      <c r="J809" s="63" t="s">
        <v>205</v>
      </c>
      <c r="K809" s="63">
        <v>1</v>
      </c>
      <c r="L809" s="63"/>
      <c r="M809" s="63"/>
      <c r="N809" s="63">
        <v>1</v>
      </c>
      <c r="O809" s="63"/>
      <c r="P809" s="63"/>
      <c r="Q809" s="63">
        <v>1</v>
      </c>
      <c r="R809" s="63">
        <v>1</v>
      </c>
      <c r="S809" s="296">
        <v>1</v>
      </c>
      <c r="T809" s="63"/>
      <c r="U809" s="10"/>
      <c r="V809" s="90"/>
      <c r="W809" s="136"/>
      <c r="X809" s="137"/>
    </row>
    <row r="810" spans="1:24">
      <c r="A810" s="614"/>
      <c r="B810" s="87">
        <f t="shared" si="110"/>
        <v>9</v>
      </c>
      <c r="C810" s="638">
        <v>45931</v>
      </c>
      <c r="D810" s="276">
        <v>73900</v>
      </c>
      <c r="E810" s="281" t="s">
        <v>1210</v>
      </c>
      <c r="F810" s="277">
        <v>0</v>
      </c>
      <c r="G810" s="277">
        <v>0</v>
      </c>
      <c r="H810" s="277"/>
      <c r="I810" s="278">
        <f>F810-G810-H810</f>
        <v>0</v>
      </c>
      <c r="J810" s="279" t="s">
        <v>205</v>
      </c>
      <c r="K810" s="279">
        <v>1</v>
      </c>
      <c r="L810" s="279"/>
      <c r="M810" s="279"/>
      <c r="N810" s="279"/>
      <c r="O810" s="279"/>
      <c r="P810" s="279"/>
      <c r="Q810" s="279">
        <v>1</v>
      </c>
      <c r="R810" s="279">
        <v>1</v>
      </c>
      <c r="S810" s="280">
        <v>1</v>
      </c>
      <c r="T810" s="63"/>
      <c r="U810" s="10"/>
      <c r="V810" s="90"/>
      <c r="W810" s="136"/>
      <c r="X810" s="137"/>
    </row>
    <row r="811" spans="1:24">
      <c r="A811" s="614"/>
      <c r="B811" s="87">
        <f>B810+1</f>
        <v>10</v>
      </c>
      <c r="C811" s="638">
        <v>45932</v>
      </c>
      <c r="D811" s="276">
        <v>73817</v>
      </c>
      <c r="E811" s="281" t="s">
        <v>1211</v>
      </c>
      <c r="F811" s="277">
        <v>3675</v>
      </c>
      <c r="G811" s="277">
        <v>39.700000000000003</v>
      </c>
      <c r="H811" s="277"/>
      <c r="I811" s="278">
        <f>F811-G811-H811</f>
        <v>3635.3</v>
      </c>
      <c r="J811" s="279" t="s">
        <v>205</v>
      </c>
      <c r="K811" s="279">
        <v>1</v>
      </c>
      <c r="L811" s="279"/>
      <c r="M811" s="279"/>
      <c r="N811" s="279">
        <v>1</v>
      </c>
      <c r="O811" s="279"/>
      <c r="P811" s="279"/>
      <c r="Q811" s="279">
        <v>1</v>
      </c>
      <c r="R811" s="279">
        <v>1</v>
      </c>
      <c r="S811" s="280">
        <v>1</v>
      </c>
      <c r="T811" s="63"/>
      <c r="U811" s="10"/>
      <c r="V811" s="90"/>
      <c r="W811" s="136"/>
      <c r="X811" s="137"/>
    </row>
    <row r="812" spans="1:24">
      <c r="A812" s="614"/>
      <c r="B812" s="87">
        <f>B811+1</f>
        <v>11</v>
      </c>
      <c r="C812" s="639">
        <v>45932</v>
      </c>
      <c r="D812" s="10" t="s">
        <v>1212</v>
      </c>
      <c r="E812" s="10" t="s">
        <v>1204</v>
      </c>
      <c r="F812" s="62">
        <v>6133</v>
      </c>
      <c r="G812" s="62">
        <f>39.7+2000</f>
        <v>2039.7</v>
      </c>
      <c r="H812" s="62"/>
      <c r="I812" s="89">
        <f>F812-G812-H812</f>
        <v>4093.3</v>
      </c>
      <c r="J812" s="63" t="s">
        <v>156</v>
      </c>
      <c r="K812" s="63">
        <v>1</v>
      </c>
      <c r="L812" s="63"/>
      <c r="M812" s="63">
        <v>1</v>
      </c>
      <c r="N812" s="63">
        <v>1</v>
      </c>
      <c r="O812" s="63">
        <v>1</v>
      </c>
      <c r="P812" s="63">
        <v>1</v>
      </c>
      <c r="Q812" s="63"/>
      <c r="R812" s="63"/>
      <c r="S812" s="296"/>
      <c r="T812" s="63"/>
      <c r="U812" s="94" t="s">
        <v>1213</v>
      </c>
      <c r="V812" s="90">
        <f>674.63</f>
        <v>674.63</v>
      </c>
      <c r="W812" s="136"/>
      <c r="X812" s="137"/>
    </row>
    <row r="813" spans="1:24">
      <c r="A813" s="614"/>
      <c r="B813" s="87">
        <f>B812+1</f>
        <v>12</v>
      </c>
      <c r="C813" s="639">
        <v>45932</v>
      </c>
      <c r="D813" s="10" t="s">
        <v>1214</v>
      </c>
      <c r="E813" s="101" t="s">
        <v>1215</v>
      </c>
      <c r="F813" s="62">
        <v>16814</v>
      </c>
      <c r="G813" s="62">
        <v>39.700000000000003</v>
      </c>
      <c r="H813" s="62"/>
      <c r="I813" s="89">
        <f>F813-G813-H813</f>
        <v>16774.3</v>
      </c>
      <c r="J813" s="63" t="s">
        <v>205</v>
      </c>
      <c r="K813" s="63">
        <v>1</v>
      </c>
      <c r="L813" s="63"/>
      <c r="M813" s="63"/>
      <c r="N813" s="63"/>
      <c r="O813" s="63"/>
      <c r="P813" s="63"/>
      <c r="Q813" s="63"/>
      <c r="R813" s="63"/>
      <c r="S813" s="296"/>
      <c r="T813" s="63"/>
      <c r="U813" s="10" t="s">
        <v>1216</v>
      </c>
      <c r="V813" s="90"/>
      <c r="W813" s="136"/>
      <c r="X813" s="137"/>
    </row>
    <row r="814" spans="1:24">
      <c r="A814" s="614"/>
      <c r="B814" s="87">
        <f t="shared" si="110"/>
        <v>13</v>
      </c>
      <c r="C814" s="639">
        <v>45932</v>
      </c>
      <c r="D814" s="10">
        <v>73953</v>
      </c>
      <c r="E814" s="10" t="s">
        <v>1217</v>
      </c>
      <c r="F814" s="62">
        <v>1134</v>
      </c>
      <c r="G814" s="62">
        <v>39.700000000000003</v>
      </c>
      <c r="H814" s="62"/>
      <c r="I814" s="89">
        <f>F814-G814-H814</f>
        <v>1094.3</v>
      </c>
      <c r="J814" s="63" t="s">
        <v>205</v>
      </c>
      <c r="K814" s="63"/>
      <c r="L814" s="63"/>
      <c r="M814" s="63"/>
      <c r="N814" s="63">
        <v>1</v>
      </c>
      <c r="O814" s="63"/>
      <c r="P814" s="63"/>
      <c r="Q814" s="63">
        <v>1</v>
      </c>
      <c r="R814" s="63">
        <v>1</v>
      </c>
      <c r="S814" s="296">
        <v>1</v>
      </c>
      <c r="T814" s="63"/>
      <c r="U814" s="10"/>
      <c r="V814" s="90"/>
      <c r="W814" s="136"/>
      <c r="X814" s="137"/>
    </row>
    <row r="815" spans="1:24">
      <c r="A815" s="614"/>
      <c r="B815" s="87">
        <f t="shared" si="110"/>
        <v>14</v>
      </c>
      <c r="C815" s="639">
        <v>45932</v>
      </c>
      <c r="D815" s="77" t="s">
        <v>1218</v>
      </c>
      <c r="E815" s="10" t="s">
        <v>1115</v>
      </c>
      <c r="F815" s="62">
        <v>1281</v>
      </c>
      <c r="G815" s="62">
        <v>39.700000000000003</v>
      </c>
      <c r="H815" s="62"/>
      <c r="I815" s="89">
        <f>F815-G815-H815</f>
        <v>1241.3</v>
      </c>
      <c r="J815" s="63" t="s">
        <v>205</v>
      </c>
      <c r="K815" s="63">
        <v>1</v>
      </c>
      <c r="L815" s="63"/>
      <c r="M815" s="63"/>
      <c r="N815" s="63">
        <v>1</v>
      </c>
      <c r="O815" s="63"/>
      <c r="P815" s="63"/>
      <c r="Q815" s="63">
        <v>1</v>
      </c>
      <c r="R815" s="63">
        <v>1</v>
      </c>
      <c r="S815" s="296">
        <v>1</v>
      </c>
      <c r="T815" s="63"/>
      <c r="U815" s="10"/>
      <c r="V815" s="90"/>
      <c r="W815" s="136"/>
      <c r="X815" s="137"/>
    </row>
    <row r="816" spans="1:24">
      <c r="A816" s="614"/>
      <c r="B816" s="87">
        <f t="shared" si="110"/>
        <v>15</v>
      </c>
      <c r="C816" s="640">
        <v>45932</v>
      </c>
      <c r="D816" s="302" t="s">
        <v>1219</v>
      </c>
      <c r="E816" s="283" t="s">
        <v>1115</v>
      </c>
      <c r="F816" s="284">
        <v>1461</v>
      </c>
      <c r="G816" s="284">
        <v>39.700000000000003</v>
      </c>
      <c r="H816" s="284"/>
      <c r="I816" s="285">
        <f>F816-G816-H816</f>
        <v>1421.3</v>
      </c>
      <c r="J816" s="286" t="s">
        <v>205</v>
      </c>
      <c r="K816" s="286">
        <v>1</v>
      </c>
      <c r="L816" s="286"/>
      <c r="M816" s="286"/>
      <c r="N816" s="286">
        <v>1</v>
      </c>
      <c r="O816" s="286"/>
      <c r="P816" s="286"/>
      <c r="Q816" s="286">
        <v>1</v>
      </c>
      <c r="R816" s="286">
        <v>1</v>
      </c>
      <c r="S816" s="287">
        <v>1</v>
      </c>
      <c r="T816" s="63"/>
      <c r="U816" s="10"/>
      <c r="V816" s="90"/>
      <c r="W816" s="136"/>
      <c r="X816" s="137"/>
    </row>
    <row r="817" spans="1:24">
      <c r="A817" s="614"/>
      <c r="B817" s="87">
        <f>B816+1</f>
        <v>16</v>
      </c>
      <c r="C817" s="639">
        <v>45933</v>
      </c>
      <c r="D817" s="77" t="s">
        <v>1220</v>
      </c>
      <c r="E817" s="10" t="s">
        <v>1030</v>
      </c>
      <c r="F817" s="62">
        <v>7753</v>
      </c>
      <c r="G817" s="62">
        <v>39.700000000000003</v>
      </c>
      <c r="H817" s="62"/>
      <c r="I817" s="89">
        <f>F817-G817-H817</f>
        <v>7713.3</v>
      </c>
      <c r="J817" s="63" t="s">
        <v>205</v>
      </c>
      <c r="K817" s="63">
        <v>1</v>
      </c>
      <c r="L817" s="63"/>
      <c r="M817" s="63"/>
      <c r="N817" s="63">
        <v>1</v>
      </c>
      <c r="O817" s="63"/>
      <c r="P817" s="63"/>
      <c r="Q817" s="63">
        <v>1</v>
      </c>
      <c r="R817" s="63">
        <v>1</v>
      </c>
      <c r="S817" s="296">
        <v>1</v>
      </c>
      <c r="T817" s="63"/>
      <c r="U817" s="10"/>
      <c r="V817" s="90"/>
      <c r="W817" s="136"/>
      <c r="X817" s="137"/>
    </row>
    <row r="818" spans="1:24">
      <c r="A818" s="614"/>
      <c r="B818" s="87">
        <f>B817+1</f>
        <v>17</v>
      </c>
      <c r="C818" s="639">
        <v>45933</v>
      </c>
      <c r="D818" s="77" t="s">
        <v>1221</v>
      </c>
      <c r="E818" s="10" t="s">
        <v>1030</v>
      </c>
      <c r="F818" s="62">
        <v>2814</v>
      </c>
      <c r="G818" s="62">
        <v>39.700000000000003</v>
      </c>
      <c r="H818" s="62"/>
      <c r="I818" s="89">
        <f>F818-G818-H818</f>
        <v>2774.3</v>
      </c>
      <c r="J818" s="63" t="s">
        <v>205</v>
      </c>
      <c r="K818" s="63">
        <v>1</v>
      </c>
      <c r="L818" s="63"/>
      <c r="M818" s="63"/>
      <c r="N818" s="63">
        <v>1</v>
      </c>
      <c r="O818" s="63"/>
      <c r="P818" s="63"/>
      <c r="Q818" s="63">
        <v>1</v>
      </c>
      <c r="R818" s="63">
        <v>1</v>
      </c>
      <c r="S818" s="296">
        <v>1</v>
      </c>
      <c r="T818" s="63"/>
      <c r="U818" s="10"/>
      <c r="V818" s="90"/>
      <c r="W818" s="136"/>
      <c r="X818" s="137"/>
    </row>
    <row r="819" spans="1:24">
      <c r="A819" s="614"/>
      <c r="B819" s="87">
        <f>B818+1</f>
        <v>18</v>
      </c>
      <c r="C819" s="639">
        <v>45933</v>
      </c>
      <c r="D819" s="10">
        <v>73980</v>
      </c>
      <c r="E819" s="10" t="s">
        <v>1034</v>
      </c>
      <c r="F819" s="62">
        <v>2814</v>
      </c>
      <c r="G819" s="62">
        <v>39.700000000000003</v>
      </c>
      <c r="H819" s="62"/>
      <c r="I819" s="89">
        <f>F819-G819-H819</f>
        <v>2774.3</v>
      </c>
      <c r="J819" s="63" t="s">
        <v>205</v>
      </c>
      <c r="K819" s="63">
        <v>1</v>
      </c>
      <c r="L819" s="63"/>
      <c r="M819" s="63"/>
      <c r="N819" s="63">
        <v>1</v>
      </c>
      <c r="O819" s="63"/>
      <c r="P819" s="63"/>
      <c r="Q819" s="63">
        <v>1</v>
      </c>
      <c r="R819" s="63">
        <v>1</v>
      </c>
      <c r="S819" s="296">
        <v>1</v>
      </c>
      <c r="T819" s="63"/>
      <c r="U819" s="10"/>
      <c r="V819" s="90"/>
      <c r="W819" s="136"/>
      <c r="X819" s="137"/>
    </row>
    <row r="820" spans="1:24">
      <c r="A820" s="614"/>
      <c r="B820" s="87">
        <f t="shared" si="110"/>
        <v>19</v>
      </c>
      <c r="C820" s="640">
        <v>45933</v>
      </c>
      <c r="D820" s="283">
        <v>74024</v>
      </c>
      <c r="E820" s="283" t="s">
        <v>1222</v>
      </c>
      <c r="F820" s="284">
        <v>0</v>
      </c>
      <c r="G820" s="284">
        <v>0</v>
      </c>
      <c r="H820" s="284"/>
      <c r="I820" s="285">
        <f>F820-G820-H820</f>
        <v>0</v>
      </c>
      <c r="J820" s="286" t="s">
        <v>205</v>
      </c>
      <c r="K820" s="286"/>
      <c r="L820" s="286"/>
      <c r="M820" s="286"/>
      <c r="N820" s="286"/>
      <c r="O820" s="286"/>
      <c r="P820" s="286"/>
      <c r="Q820" s="286">
        <v>1</v>
      </c>
      <c r="R820" s="286">
        <v>1</v>
      </c>
      <c r="S820" s="287">
        <v>1</v>
      </c>
      <c r="T820" s="63"/>
      <c r="U820" s="10"/>
      <c r="V820" s="90"/>
      <c r="W820" s="136"/>
      <c r="X820" s="137"/>
    </row>
    <row r="821" spans="1:24">
      <c r="A821" s="614"/>
      <c r="B821" s="11"/>
      <c r="C821" s="621"/>
      <c r="D821" s="10"/>
      <c r="E821" s="10"/>
      <c r="F821" s="97">
        <f>SUM(F802:F820)</f>
        <v>82393.600000000006</v>
      </c>
      <c r="G821" s="97">
        <f>SUM(G802:G820)</f>
        <v>2635.1999999999989</v>
      </c>
      <c r="H821" s="97">
        <f>SUM(H802:H820)</f>
        <v>0</v>
      </c>
      <c r="I821" s="98">
        <f>SUM(I802:I820)</f>
        <v>79758.400000000023</v>
      </c>
      <c r="J821" s="10"/>
      <c r="K821" s="10"/>
      <c r="L821" s="10"/>
      <c r="M821" s="10"/>
      <c r="N821" s="10"/>
      <c r="O821" s="10"/>
      <c r="P821" s="10"/>
      <c r="Q821" s="10"/>
      <c r="R821" s="10"/>
      <c r="S821" s="10"/>
      <c r="T821" s="63"/>
      <c r="U821" s="10"/>
      <c r="V821" s="138"/>
      <c r="W821" s="136"/>
      <c r="X821" s="137"/>
    </row>
    <row r="822" spans="1:24">
      <c r="A822" s="614"/>
      <c r="B822" s="26"/>
      <c r="C822" s="612"/>
      <c r="D822" s="141"/>
      <c r="E822" s="141"/>
      <c r="F822" s="141"/>
      <c r="G822" s="141"/>
      <c r="H822" s="141"/>
      <c r="I822" s="141"/>
      <c r="J822" s="141"/>
      <c r="K822" s="142"/>
      <c r="L822" s="142"/>
      <c r="M822" s="142"/>
      <c r="N822" s="142"/>
      <c r="O822" s="142"/>
      <c r="P822" s="142"/>
      <c r="Q822" s="142"/>
      <c r="R822" s="142"/>
      <c r="S822" s="142"/>
      <c r="T822" s="143">
        <f>SUM(T766:T821)</f>
        <v>8</v>
      </c>
      <c r="U822" s="141"/>
      <c r="V822" s="144">
        <f>SUM(V766:V821)</f>
        <v>40108.230000000003</v>
      </c>
      <c r="W822" s="144">
        <f>SUM(W766:W821)</f>
        <v>801.9</v>
      </c>
      <c r="X822" s="144">
        <f>SUM(X766:X821)</f>
        <v>0</v>
      </c>
    </row>
    <row r="825" spans="1:24">
      <c r="B825" s="4" t="s">
        <v>1</v>
      </c>
      <c r="C825" s="5"/>
      <c r="D825" s="6"/>
      <c r="E825" s="6"/>
      <c r="F825" s="7" t="s">
        <v>2</v>
      </c>
      <c r="G825" s="608">
        <v>45942</v>
      </c>
      <c r="H825" s="7"/>
      <c r="I825" s="6"/>
      <c r="J825" s="6"/>
      <c r="K825" s="6"/>
      <c r="L825" s="6"/>
      <c r="M825" s="6"/>
      <c r="N825" s="6"/>
      <c r="O825" s="6"/>
      <c r="P825" s="6"/>
      <c r="Q825" s="6"/>
      <c r="R825" s="6"/>
      <c r="S825" s="6"/>
      <c r="T825" s="6"/>
      <c r="U825" s="9"/>
      <c r="V825" s="10"/>
      <c r="W825" s="10"/>
      <c r="X825" s="10"/>
    </row>
    <row r="826" spans="1:24">
      <c r="B826" s="11"/>
      <c r="C826" s="10"/>
      <c r="D826" s="10"/>
      <c r="E826" s="10"/>
      <c r="F826" s="10"/>
      <c r="G826" s="7"/>
      <c r="H826" s="12"/>
      <c r="I826" s="10"/>
      <c r="J826" s="10"/>
      <c r="K826" s="13" t="s">
        <v>3</v>
      </c>
      <c r="L826" s="14"/>
      <c r="M826" s="15"/>
      <c r="N826" s="13" t="s">
        <v>4</v>
      </c>
      <c r="O826" s="14"/>
      <c r="P826" s="15"/>
      <c r="Q826" s="13" t="s">
        <v>5</v>
      </c>
      <c r="R826" s="14"/>
      <c r="S826" s="15"/>
      <c r="T826" s="16"/>
      <c r="U826" s="17"/>
      <c r="V826" s="10"/>
      <c r="W826" s="10"/>
      <c r="X826" s="10"/>
    </row>
    <row r="827" spans="1:24">
      <c r="B827" s="18" t="s">
        <v>6</v>
      </c>
      <c r="C827" s="19">
        <f>C828+C829</f>
        <v>44</v>
      </c>
      <c r="D827" s="10"/>
      <c r="E827" s="18" t="s">
        <v>7</v>
      </c>
      <c r="F827" s="6"/>
      <c r="G827" s="9"/>
      <c r="H827" s="10"/>
      <c r="I827" s="10"/>
      <c r="J827" s="10"/>
      <c r="K827" s="20" t="s">
        <v>8</v>
      </c>
      <c r="L827" s="21" t="s">
        <v>9</v>
      </c>
      <c r="M827" s="21" t="s">
        <v>10</v>
      </c>
      <c r="N827" s="20" t="s">
        <v>11</v>
      </c>
      <c r="O827" s="21" t="s">
        <v>12</v>
      </c>
      <c r="P827" s="22" t="s">
        <v>13</v>
      </c>
      <c r="Q827" s="21" t="s">
        <v>11</v>
      </c>
      <c r="R827" s="21" t="s">
        <v>12</v>
      </c>
      <c r="S827" s="22" t="s">
        <v>13</v>
      </c>
      <c r="T827" s="23" t="s">
        <v>14</v>
      </c>
      <c r="U827" s="17"/>
      <c r="V827" s="10"/>
      <c r="W827" s="10"/>
      <c r="X827" s="10"/>
    </row>
    <row r="828" spans="1:24">
      <c r="B828" s="24" t="s">
        <v>15</v>
      </c>
      <c r="C828" s="25">
        <f>P835</f>
        <v>17</v>
      </c>
      <c r="D828" s="10"/>
      <c r="E828" s="26" t="s">
        <v>16</v>
      </c>
      <c r="F828" s="27">
        <v>0.05</v>
      </c>
      <c r="G828" s="28"/>
      <c r="H828" s="10"/>
      <c r="I828" s="10"/>
      <c r="J828" s="18" t="s">
        <v>17</v>
      </c>
      <c r="K828" s="29">
        <f>K868</f>
        <v>15</v>
      </c>
      <c r="L828" s="29">
        <f t="shared" ref="L828:S828" si="111">L868</f>
        <v>15</v>
      </c>
      <c r="M828" s="29">
        <f t="shared" si="111"/>
        <v>14</v>
      </c>
      <c r="N828" s="29">
        <f t="shared" si="111"/>
        <v>15</v>
      </c>
      <c r="O828" s="29">
        <f t="shared" si="111"/>
        <v>15</v>
      </c>
      <c r="P828" s="29">
        <f t="shared" si="111"/>
        <v>14</v>
      </c>
      <c r="Q828" s="29">
        <f t="shared" si="111"/>
        <v>13</v>
      </c>
      <c r="R828" s="29">
        <f t="shared" si="111"/>
        <v>12</v>
      </c>
      <c r="S828" s="29">
        <f t="shared" si="111"/>
        <v>10</v>
      </c>
      <c r="T828" s="30">
        <f>T921</f>
        <v>5</v>
      </c>
      <c r="U828" s="17" t="s">
        <v>1223</v>
      </c>
      <c r="V828" s="10"/>
      <c r="W828" s="10"/>
      <c r="X828" s="10"/>
    </row>
    <row r="829" spans="1:24">
      <c r="B829" s="24" t="s">
        <v>18</v>
      </c>
      <c r="C829" s="25">
        <f>P836</f>
        <v>27</v>
      </c>
      <c r="D829" s="10"/>
      <c r="E829" s="10"/>
      <c r="F829" s="10"/>
      <c r="G829" s="31"/>
      <c r="H829" s="10"/>
      <c r="I829" s="10"/>
      <c r="J829" s="32" t="s">
        <v>19</v>
      </c>
      <c r="K829" s="33">
        <f>K868/K867</f>
        <v>1</v>
      </c>
      <c r="L829" s="33">
        <f t="shared" ref="L829:S829" si="112">L868/L867</f>
        <v>1</v>
      </c>
      <c r="M829" s="33">
        <f t="shared" si="112"/>
        <v>0.93333333333333335</v>
      </c>
      <c r="N829" s="33">
        <f t="shared" si="112"/>
        <v>1</v>
      </c>
      <c r="O829" s="33">
        <f t="shared" si="112"/>
        <v>1</v>
      </c>
      <c r="P829" s="33">
        <f t="shared" si="112"/>
        <v>0.93333333333333335</v>
      </c>
      <c r="Q829" s="33">
        <f t="shared" si="112"/>
        <v>0.8666666666666667</v>
      </c>
      <c r="R829" s="33">
        <f t="shared" si="112"/>
        <v>0.8</v>
      </c>
      <c r="S829" s="33">
        <f t="shared" si="112"/>
        <v>0.66666666666666663</v>
      </c>
      <c r="T829" s="23"/>
      <c r="U829" s="17" t="s">
        <v>20</v>
      </c>
      <c r="V829" s="10"/>
      <c r="W829" s="10"/>
      <c r="X829" s="10"/>
    </row>
    <row r="830" spans="1:24">
      <c r="B830" s="24" t="s">
        <v>21</v>
      </c>
      <c r="C830" s="34">
        <f>P837</f>
        <v>0.38636363636363635</v>
      </c>
      <c r="D830" s="10"/>
      <c r="E830" s="10"/>
      <c r="F830" s="10"/>
      <c r="G830" s="10"/>
      <c r="H830" s="10"/>
      <c r="I830" s="10"/>
      <c r="J830" s="10"/>
      <c r="K830" s="10"/>
      <c r="L830" s="10"/>
      <c r="M830" s="10"/>
      <c r="N830" s="10"/>
      <c r="O830" s="10"/>
      <c r="P830" s="10"/>
      <c r="Q830" s="10"/>
      <c r="R830" s="10"/>
      <c r="S830" s="10"/>
      <c r="T830" s="10"/>
      <c r="U830" s="17"/>
      <c r="V830" s="10"/>
      <c r="W830" s="10"/>
      <c r="X830" s="10"/>
    </row>
    <row r="831" spans="1:24">
      <c r="B831" s="24"/>
      <c r="C831" s="25"/>
      <c r="D831" s="10"/>
      <c r="E831" s="10"/>
      <c r="F831" s="18" t="s">
        <v>22</v>
      </c>
      <c r="G831" s="19" t="s">
        <v>23</v>
      </c>
      <c r="H831" s="35" t="s">
        <v>24</v>
      </c>
      <c r="I831" s="10"/>
      <c r="J831" s="10"/>
      <c r="K831" s="36"/>
      <c r="L831" s="36"/>
      <c r="M831" s="36"/>
      <c r="N831" s="36"/>
      <c r="O831" s="36"/>
      <c r="P831" s="36"/>
      <c r="Q831" s="36"/>
      <c r="R831" s="10"/>
      <c r="S831" s="10"/>
      <c r="T831" s="10"/>
      <c r="U831" s="17"/>
      <c r="V831" s="10"/>
      <c r="W831" s="10"/>
      <c r="X831" s="10"/>
    </row>
    <row r="832" spans="1:24">
      <c r="B832" s="32" t="s">
        <v>25</v>
      </c>
      <c r="C832" s="37">
        <f>P838</f>
        <v>1571.4047058823528</v>
      </c>
      <c r="D832" s="10"/>
      <c r="E832" s="18" t="s">
        <v>26</v>
      </c>
      <c r="F832" s="38">
        <f>P834</f>
        <v>26713.879999999997</v>
      </c>
      <c r="G832" s="39">
        <f>I867+I879</f>
        <v>26713.879999999997</v>
      </c>
      <c r="H832" s="40"/>
      <c r="I832" s="41"/>
      <c r="J832" s="42"/>
      <c r="K832" s="43" t="s">
        <v>27</v>
      </c>
      <c r="L832" s="44"/>
      <c r="M832" s="44"/>
      <c r="N832" s="44"/>
      <c r="O832" s="44"/>
      <c r="P832" s="44"/>
      <c r="Q832" s="45"/>
      <c r="R832" s="46" t="s">
        <v>28</v>
      </c>
      <c r="S832" s="47" t="s">
        <v>29</v>
      </c>
      <c r="T832" s="10"/>
      <c r="U832" s="17"/>
      <c r="V832" s="10"/>
      <c r="W832" s="10"/>
      <c r="X832" s="10"/>
    </row>
    <row r="833" spans="2:24">
      <c r="B833" s="11"/>
      <c r="C833" s="10"/>
      <c r="D833" s="10"/>
      <c r="E833" s="24" t="s">
        <v>30</v>
      </c>
      <c r="F833" s="48">
        <f>F828</f>
        <v>0.05</v>
      </c>
      <c r="G833" s="17"/>
      <c r="H833" s="40"/>
      <c r="I833" s="41"/>
      <c r="J833" s="42"/>
      <c r="K833" s="20" t="s">
        <v>31</v>
      </c>
      <c r="L833" s="21" t="s">
        <v>32</v>
      </c>
      <c r="M833" s="21" t="s">
        <v>33</v>
      </c>
      <c r="N833" s="21" t="s">
        <v>34</v>
      </c>
      <c r="O833" s="21" t="s">
        <v>35</v>
      </c>
      <c r="P833" s="21" t="s">
        <v>36</v>
      </c>
      <c r="Q833" s="49" t="s">
        <v>37</v>
      </c>
      <c r="R833" s="50" t="s">
        <v>38</v>
      </c>
      <c r="S833" s="50" t="s">
        <v>38</v>
      </c>
      <c r="T833" s="10"/>
      <c r="U833" s="17"/>
      <c r="V833" s="10"/>
      <c r="W833" s="10"/>
      <c r="X833" s="10"/>
    </row>
    <row r="834" spans="2:24">
      <c r="B834" s="11"/>
      <c r="C834" s="10"/>
      <c r="D834" s="10"/>
      <c r="E834" s="51" t="s">
        <v>39</v>
      </c>
      <c r="F834" s="52">
        <f>(F832-I859-I861-I864-I877-I878)*F833</f>
        <v>994.91399999999999</v>
      </c>
      <c r="G834" s="53" t="s">
        <v>40</v>
      </c>
      <c r="H834" s="54">
        <f>F834/1.12</f>
        <v>888.31607142857138</v>
      </c>
      <c r="I834" s="55"/>
      <c r="J834" s="42"/>
      <c r="K834" s="56">
        <f>I852+I853+I856+I854+I855+I857+I858</f>
        <v>13010.11</v>
      </c>
      <c r="L834" s="57">
        <f>I859+I877</f>
        <v>4593.3</v>
      </c>
      <c r="M834" s="57">
        <f>I860+I861</f>
        <v>1262</v>
      </c>
      <c r="N834" s="57">
        <f>I862+I863+I864+I878</f>
        <v>5108.87</v>
      </c>
      <c r="O834" s="57">
        <f>I865+I866</f>
        <v>2739.6</v>
      </c>
      <c r="P834" s="57">
        <f>SUM(K834:O834)</f>
        <v>26713.879999999997</v>
      </c>
      <c r="Q834" s="58">
        <v>0</v>
      </c>
      <c r="R834" s="59">
        <f>+I879</f>
        <v>4872.6000000000004</v>
      </c>
      <c r="S834" s="59">
        <v>0</v>
      </c>
      <c r="T834" s="10"/>
      <c r="U834" s="17"/>
      <c r="V834" s="10"/>
      <c r="W834" s="10"/>
      <c r="X834" s="10"/>
    </row>
    <row r="835" spans="2:24">
      <c r="B835" s="11"/>
      <c r="C835" s="10"/>
      <c r="D835" s="10"/>
      <c r="E835" s="24" t="s">
        <v>41</v>
      </c>
      <c r="F835" s="60">
        <f>Q834</f>
        <v>0</v>
      </c>
      <c r="G835" s="61" t="s">
        <v>40</v>
      </c>
      <c r="H835" s="62"/>
      <c r="I835" s="62"/>
      <c r="J835" s="10" t="s">
        <v>42</v>
      </c>
      <c r="K835" s="63">
        <v>7</v>
      </c>
      <c r="L835" s="63">
        <v>2</v>
      </c>
      <c r="M835" s="63">
        <v>2</v>
      </c>
      <c r="N835" s="63">
        <v>4</v>
      </c>
      <c r="O835" s="63">
        <v>2</v>
      </c>
      <c r="P835" s="21">
        <f>SUM(K835:O835)</f>
        <v>17</v>
      </c>
      <c r="Q835" s="64"/>
      <c r="R835" s="63"/>
      <c r="S835" s="10"/>
      <c r="T835" s="10"/>
      <c r="U835" s="17"/>
      <c r="V835" s="10"/>
      <c r="W835" s="10"/>
      <c r="X835" s="10"/>
    </row>
    <row r="836" spans="2:24">
      <c r="B836" s="11"/>
      <c r="C836" s="10"/>
      <c r="D836" s="10"/>
      <c r="E836" s="51" t="s">
        <v>43</v>
      </c>
      <c r="F836" s="52">
        <f>F835*0.25</f>
        <v>0</v>
      </c>
      <c r="G836" s="53" t="s">
        <v>40</v>
      </c>
      <c r="H836" s="54">
        <f>F836/1.12</f>
        <v>0</v>
      </c>
      <c r="I836" s="10"/>
      <c r="J836" s="10" t="s">
        <v>44</v>
      </c>
      <c r="K836" s="63">
        <v>4</v>
      </c>
      <c r="L836" s="63">
        <v>8</v>
      </c>
      <c r="M836" s="63">
        <v>5</v>
      </c>
      <c r="N836" s="63">
        <v>5</v>
      </c>
      <c r="O836" s="63">
        <v>5</v>
      </c>
      <c r="P836" s="21">
        <f>SUM(K836:O836)</f>
        <v>27</v>
      </c>
      <c r="Q836" s="64"/>
      <c r="R836" s="63"/>
      <c r="S836" s="10"/>
      <c r="T836" s="10"/>
      <c r="U836" s="17"/>
      <c r="V836" s="10"/>
      <c r="W836" s="10"/>
      <c r="X836" s="10"/>
    </row>
    <row r="837" spans="2:24">
      <c r="B837" s="11"/>
      <c r="C837" s="10"/>
      <c r="D837" s="10"/>
      <c r="E837" s="24" t="s">
        <v>45</v>
      </c>
      <c r="F837" s="60">
        <f>I874</f>
        <v>10880.599999999999</v>
      </c>
      <c r="G837" s="61" t="s">
        <v>40</v>
      </c>
      <c r="H837" s="62"/>
      <c r="I837" s="10"/>
      <c r="J837" s="10" t="s">
        <v>46</v>
      </c>
      <c r="K837" s="31">
        <f>K835/(K835+K836)</f>
        <v>0.63636363636363635</v>
      </c>
      <c r="L837" s="31">
        <f>L835/(L835+L836)</f>
        <v>0.2</v>
      </c>
      <c r="M837" s="31">
        <f>M835/(M835+M836)</f>
        <v>0.2857142857142857</v>
      </c>
      <c r="N837" s="31">
        <f>N835/(N835+N836)</f>
        <v>0.44444444444444442</v>
      </c>
      <c r="O837" s="31">
        <f>O835/(O835+O836)</f>
        <v>0.2857142857142857</v>
      </c>
      <c r="P837" s="31">
        <f>P835/(P835+P836)</f>
        <v>0.38636363636363635</v>
      </c>
      <c r="Q837" s="31" t="e">
        <f>Q835/(Q835+Q836)</f>
        <v>#DIV/0!</v>
      </c>
      <c r="R837" s="63"/>
      <c r="S837" s="10"/>
      <c r="T837" s="10"/>
      <c r="U837" s="17"/>
      <c r="V837" s="10"/>
      <c r="W837" s="10"/>
      <c r="X837" s="10"/>
    </row>
    <row r="838" spans="2:24">
      <c r="B838" s="11"/>
      <c r="C838" s="10"/>
      <c r="D838" s="10"/>
      <c r="E838" s="51" t="s">
        <v>47</v>
      </c>
      <c r="F838" s="52">
        <f>(F837+F841-I872)*0.05</f>
        <v>480.94749999999999</v>
      </c>
      <c r="G838" s="65" t="s">
        <v>40</v>
      </c>
      <c r="H838" s="54">
        <f>F838/1.12</f>
        <v>429.41741071428567</v>
      </c>
      <c r="I838" s="42"/>
      <c r="J838" s="10" t="s">
        <v>48</v>
      </c>
      <c r="K838" s="66">
        <f>K834/K835</f>
        <v>1858.5871428571429</v>
      </c>
      <c r="L838" s="66">
        <f>L834/L835</f>
        <v>2296.65</v>
      </c>
      <c r="M838" s="66">
        <f>M834/M835</f>
        <v>631</v>
      </c>
      <c r="N838" s="66">
        <f>N834/N835</f>
        <v>1277.2175</v>
      </c>
      <c r="O838" s="66">
        <f>O834/O835</f>
        <v>1369.8</v>
      </c>
      <c r="P838" s="66">
        <f>P834/P835</f>
        <v>1571.4047058823528</v>
      </c>
      <c r="Q838" s="66" t="e">
        <f>Q834/Q835</f>
        <v>#DIV/0!</v>
      </c>
      <c r="R838" s="63"/>
      <c r="S838" s="10"/>
      <c r="T838" s="10"/>
      <c r="U838" s="17"/>
      <c r="V838" s="10"/>
      <c r="W838" s="10"/>
      <c r="X838" s="10"/>
    </row>
    <row r="839" spans="2:24">
      <c r="B839" s="11"/>
      <c r="C839" s="10"/>
      <c r="D839" s="10"/>
      <c r="E839" s="67" t="s">
        <v>14</v>
      </c>
      <c r="F839" s="68">
        <f>4*50</f>
        <v>200</v>
      </c>
      <c r="G839" s="10"/>
      <c r="H839" s="54">
        <f>F839/1.12</f>
        <v>178.57142857142856</v>
      </c>
      <c r="I839" s="10"/>
      <c r="J839" s="10"/>
      <c r="K839" s="10"/>
      <c r="L839" s="10"/>
      <c r="M839" s="10"/>
      <c r="N839" s="10"/>
      <c r="O839" s="10"/>
      <c r="P839" s="10"/>
      <c r="Q839" s="10"/>
      <c r="R839" s="10"/>
      <c r="S839" s="10"/>
      <c r="T839" s="10"/>
      <c r="U839" s="17"/>
      <c r="V839" s="10"/>
      <c r="W839" s="10"/>
      <c r="X839" s="10"/>
    </row>
    <row r="840" spans="2:24">
      <c r="B840" s="11"/>
      <c r="C840" s="10"/>
      <c r="D840" s="10"/>
      <c r="E840" s="67" t="s">
        <v>49</v>
      </c>
      <c r="F840" s="69">
        <f>T829</f>
        <v>0</v>
      </c>
      <c r="G840" s="10"/>
      <c r="H840" s="54"/>
      <c r="I840" s="55"/>
      <c r="J840" s="42"/>
      <c r="K840" s="764" t="s">
        <v>50</v>
      </c>
      <c r="L840" s="765"/>
      <c r="M840" s="765"/>
      <c r="N840" s="765"/>
      <c r="O840" s="765"/>
      <c r="P840" s="765"/>
      <c r="Q840" s="766"/>
      <c r="R840" s="70" t="s">
        <v>28</v>
      </c>
      <c r="S840" s="71" t="s">
        <v>29</v>
      </c>
      <c r="T840" s="10"/>
      <c r="U840" s="17"/>
      <c r="V840" s="10"/>
      <c r="W840" s="10"/>
      <c r="X840" s="10"/>
    </row>
    <row r="841" spans="2:24">
      <c r="B841" s="11"/>
      <c r="C841" s="10"/>
      <c r="D841" s="10"/>
      <c r="E841" s="74" t="s">
        <v>1224</v>
      </c>
      <c r="F841" s="75">
        <v>-23.85</v>
      </c>
      <c r="G841" s="10"/>
      <c r="H841" s="10"/>
      <c r="I841" s="10"/>
      <c r="J841" s="42"/>
      <c r="K841" s="20" t="s">
        <v>31</v>
      </c>
      <c r="L841" s="21" t="s">
        <v>32</v>
      </c>
      <c r="M841" s="21" t="s">
        <v>33</v>
      </c>
      <c r="N841" s="21" t="s">
        <v>34</v>
      </c>
      <c r="O841" s="21" t="s">
        <v>35</v>
      </c>
      <c r="P841" s="21" t="s">
        <v>36</v>
      </c>
      <c r="Q841" s="49" t="s">
        <v>37</v>
      </c>
      <c r="R841" s="50" t="s">
        <v>38</v>
      </c>
      <c r="S841" s="50" t="s">
        <v>38</v>
      </c>
      <c r="T841" s="10"/>
      <c r="U841" s="17"/>
      <c r="V841" s="10"/>
      <c r="W841" s="10"/>
      <c r="X841" s="10"/>
    </row>
    <row r="842" spans="2:24">
      <c r="B842" s="11"/>
      <c r="C842" s="10"/>
      <c r="D842" s="10"/>
      <c r="E842" s="10"/>
      <c r="F842" s="10"/>
      <c r="G842" s="10"/>
      <c r="H842" s="10"/>
      <c r="I842" s="10"/>
      <c r="J842" s="42"/>
      <c r="K842" s="56">
        <f>F852+F853+F856+F854+F855+F857+F858</f>
        <v>20158</v>
      </c>
      <c r="L842" s="57">
        <f>F859+F877</f>
        <v>4633</v>
      </c>
      <c r="M842" s="57">
        <f>F860+F861</f>
        <v>1262</v>
      </c>
      <c r="N842" s="57">
        <f>F862+F863+F864+F878</f>
        <v>5269</v>
      </c>
      <c r="O842" s="57">
        <f>F865+F866</f>
        <v>2819</v>
      </c>
      <c r="P842" s="57">
        <f>SUM(K842:O842)</f>
        <v>34141</v>
      </c>
      <c r="Q842" s="58">
        <v>0</v>
      </c>
      <c r="R842" s="59">
        <f>+F879</f>
        <v>4952</v>
      </c>
      <c r="S842" s="59">
        <v>0</v>
      </c>
      <c r="T842" s="10"/>
      <c r="U842" s="17"/>
      <c r="V842" s="10"/>
      <c r="W842" s="10"/>
      <c r="X842" s="10"/>
    </row>
    <row r="843" spans="2:24">
      <c r="B843" s="11"/>
      <c r="C843" s="10"/>
      <c r="D843" s="10"/>
      <c r="E843" s="10"/>
      <c r="F843" s="10"/>
      <c r="G843" s="10"/>
      <c r="H843" s="10"/>
      <c r="I843" s="10"/>
      <c r="J843" s="10" t="s">
        <v>42</v>
      </c>
      <c r="K843" s="63">
        <f>K835</f>
        <v>7</v>
      </c>
      <c r="L843" s="63">
        <f>L835</f>
        <v>2</v>
      </c>
      <c r="M843" s="63">
        <f>M835</f>
        <v>2</v>
      </c>
      <c r="N843" s="63">
        <f>N835</f>
        <v>4</v>
      </c>
      <c r="O843" s="63">
        <f>O835</f>
        <v>2</v>
      </c>
      <c r="P843" s="63">
        <f>P835</f>
        <v>17</v>
      </c>
      <c r="Q843" s="63">
        <f>Q835</f>
        <v>0</v>
      </c>
      <c r="R843" s="63"/>
      <c r="S843" s="10"/>
      <c r="T843" s="10"/>
      <c r="U843" s="17"/>
      <c r="V843" s="10"/>
      <c r="W843" s="10"/>
      <c r="X843" s="10"/>
    </row>
    <row r="844" spans="2:24">
      <c r="B844" s="11"/>
      <c r="C844" s="10"/>
      <c r="D844" s="10"/>
      <c r="E844" s="10"/>
      <c r="F844" s="10"/>
      <c r="G844" s="10"/>
      <c r="H844" s="10"/>
      <c r="I844" s="10"/>
      <c r="J844" s="10" t="s">
        <v>44</v>
      </c>
      <c r="K844" s="63">
        <f>K836</f>
        <v>4</v>
      </c>
      <c r="L844" s="63">
        <f>L836</f>
        <v>8</v>
      </c>
      <c r="M844" s="63">
        <f>M836</f>
        <v>5</v>
      </c>
      <c r="N844" s="63">
        <f>N836</f>
        <v>5</v>
      </c>
      <c r="O844" s="63">
        <f>O836</f>
        <v>5</v>
      </c>
      <c r="P844" s="63">
        <f>P836</f>
        <v>27</v>
      </c>
      <c r="Q844" s="63">
        <f>Q836</f>
        <v>0</v>
      </c>
      <c r="R844" s="63"/>
      <c r="S844" s="10"/>
      <c r="T844" s="10"/>
      <c r="U844" s="17"/>
      <c r="V844" s="10"/>
      <c r="W844" s="10"/>
      <c r="X844" s="10"/>
    </row>
    <row r="845" spans="2:24">
      <c r="B845" s="11"/>
      <c r="C845" s="10"/>
      <c r="D845" s="10"/>
      <c r="E845" s="10"/>
      <c r="F845" s="10"/>
      <c r="G845" s="10"/>
      <c r="H845" s="10"/>
      <c r="I845" s="10"/>
      <c r="J845" s="10" t="s">
        <v>46</v>
      </c>
      <c r="K845" s="31">
        <f>K843/(K843+K844)</f>
        <v>0.63636363636363635</v>
      </c>
      <c r="L845" s="31">
        <f>L843/(L843+L844)</f>
        <v>0.2</v>
      </c>
      <c r="M845" s="31">
        <f>M843/(M843+M844)</f>
        <v>0.2857142857142857</v>
      </c>
      <c r="N845" s="31">
        <f>N843/(N843+N844)</f>
        <v>0.44444444444444442</v>
      </c>
      <c r="O845" s="31">
        <f>O843/(O843+O844)</f>
        <v>0.2857142857142857</v>
      </c>
      <c r="P845" s="31">
        <f>P843/(P843+P844)</f>
        <v>0.38636363636363635</v>
      </c>
      <c r="Q845" s="31" t="e">
        <f>Q843/(Q843+Q844)</f>
        <v>#DIV/0!</v>
      </c>
      <c r="R845" s="63"/>
      <c r="S845" s="10"/>
      <c r="T845" s="10"/>
      <c r="U845" s="17"/>
      <c r="V845" s="10"/>
      <c r="W845" s="10"/>
      <c r="X845" s="10"/>
    </row>
    <row r="846" spans="2:24">
      <c r="B846" s="11"/>
      <c r="C846" s="10"/>
      <c r="D846" s="10"/>
      <c r="E846" s="10"/>
      <c r="F846" s="10"/>
      <c r="G846" s="10"/>
      <c r="H846" s="10"/>
      <c r="I846" s="10"/>
      <c r="J846" s="10" t="s">
        <v>48</v>
      </c>
      <c r="K846" s="66">
        <f>K842/K843</f>
        <v>2879.7142857142858</v>
      </c>
      <c r="L846" s="66">
        <f>L842/L843</f>
        <v>2316.5</v>
      </c>
      <c r="M846" s="66">
        <f>M842/M843</f>
        <v>631</v>
      </c>
      <c r="N846" s="66">
        <f>N842/N843</f>
        <v>1317.25</v>
      </c>
      <c r="O846" s="66">
        <f>O842/O843</f>
        <v>1409.5</v>
      </c>
      <c r="P846" s="66">
        <f>P842/P843</f>
        <v>2008.2941176470588</v>
      </c>
      <c r="Q846" s="66" t="e">
        <f>Q842/Q843</f>
        <v>#DIV/0!</v>
      </c>
      <c r="R846" s="63"/>
      <c r="S846" s="10"/>
      <c r="T846" s="10"/>
      <c r="U846" s="17"/>
      <c r="V846" s="10"/>
      <c r="W846" s="10"/>
      <c r="X846" s="10"/>
    </row>
    <row r="847" spans="2:24">
      <c r="B847" s="11"/>
      <c r="C847" s="10"/>
      <c r="D847" s="10"/>
      <c r="E847" s="10"/>
      <c r="F847" s="10"/>
      <c r="G847" s="10"/>
      <c r="H847" s="10"/>
      <c r="I847" s="10"/>
      <c r="J847" s="10"/>
      <c r="K847" s="10"/>
      <c r="L847" s="10"/>
      <c r="M847" s="10"/>
      <c r="N847" s="10"/>
      <c r="O847" s="10"/>
      <c r="P847" s="10"/>
      <c r="Q847" s="10"/>
      <c r="R847" s="10"/>
      <c r="S847" s="10"/>
      <c r="T847" s="10"/>
      <c r="U847" s="17"/>
      <c r="V847" s="10"/>
      <c r="W847" s="10"/>
      <c r="X847" s="10"/>
    </row>
    <row r="848" spans="2:24">
      <c r="B848" s="11"/>
      <c r="C848" s="10"/>
      <c r="D848" s="10"/>
      <c r="E848" s="10"/>
      <c r="F848" s="10"/>
      <c r="G848" s="10"/>
      <c r="H848" s="10"/>
      <c r="I848" s="10"/>
      <c r="J848" s="10"/>
      <c r="K848" s="10"/>
      <c r="L848" s="10"/>
      <c r="M848" s="10"/>
      <c r="N848" s="10"/>
      <c r="O848" s="10"/>
      <c r="P848" s="10"/>
      <c r="Q848" s="10"/>
      <c r="R848" s="10"/>
      <c r="S848" s="10"/>
      <c r="T848" s="10"/>
      <c r="U848" s="17"/>
      <c r="V848" s="10"/>
      <c r="W848" s="10"/>
      <c r="X848" s="10"/>
    </row>
    <row r="849" spans="1:24">
      <c r="B849" s="18" t="s">
        <v>51</v>
      </c>
      <c r="C849" s="14"/>
      <c r="D849" s="14"/>
      <c r="E849" s="14"/>
      <c r="F849" s="13" t="s">
        <v>52</v>
      </c>
      <c r="G849" s="14"/>
      <c r="H849" s="14"/>
      <c r="I849" s="14"/>
      <c r="J849" s="14"/>
      <c r="K849" s="13" t="s">
        <v>3</v>
      </c>
      <c r="L849" s="14"/>
      <c r="M849" s="14"/>
      <c r="N849" s="13" t="s">
        <v>4</v>
      </c>
      <c r="O849" s="14"/>
      <c r="P849" s="14"/>
      <c r="Q849" s="13" t="s">
        <v>5</v>
      </c>
      <c r="R849" s="14"/>
      <c r="S849" s="14"/>
      <c r="T849" s="18"/>
      <c r="U849" s="16" t="s">
        <v>53</v>
      </c>
      <c r="V849" s="77"/>
      <c r="W849" s="77"/>
      <c r="X849" s="77"/>
    </row>
    <row r="850" spans="1:24">
      <c r="B850" s="24" t="s">
        <v>54</v>
      </c>
      <c r="C850" s="21" t="s">
        <v>55</v>
      </c>
      <c r="D850" s="21" t="s">
        <v>56</v>
      </c>
      <c r="E850" s="21" t="s">
        <v>57</v>
      </c>
      <c r="F850" s="20" t="s">
        <v>58</v>
      </c>
      <c r="G850" s="21" t="s">
        <v>59</v>
      </c>
      <c r="H850" s="21" t="s">
        <v>60</v>
      </c>
      <c r="I850" s="21" t="s">
        <v>26</v>
      </c>
      <c r="J850" s="22" t="s">
        <v>61</v>
      </c>
      <c r="K850" s="21" t="s">
        <v>8</v>
      </c>
      <c r="L850" s="21" t="s">
        <v>9</v>
      </c>
      <c r="M850" s="21" t="s">
        <v>10</v>
      </c>
      <c r="N850" s="20" t="s">
        <v>11</v>
      </c>
      <c r="O850" s="21" t="s">
        <v>12</v>
      </c>
      <c r="P850" s="22" t="s">
        <v>13</v>
      </c>
      <c r="Q850" s="21" t="s">
        <v>11</v>
      </c>
      <c r="R850" s="21" t="s">
        <v>12</v>
      </c>
      <c r="S850" s="21" t="s">
        <v>13</v>
      </c>
      <c r="T850" s="78" t="s">
        <v>14</v>
      </c>
      <c r="U850" s="30"/>
      <c r="V850" s="79" t="s">
        <v>62</v>
      </c>
      <c r="W850" s="80" t="s">
        <v>63</v>
      </c>
      <c r="X850" s="81" t="s">
        <v>64</v>
      </c>
    </row>
    <row r="851" spans="1:24">
      <c r="B851" s="4" t="s">
        <v>65</v>
      </c>
      <c r="C851" s="6"/>
      <c r="D851" s="6"/>
      <c r="E851" s="6"/>
      <c r="F851" s="6"/>
      <c r="G851" s="6"/>
      <c r="H851" s="6"/>
      <c r="I851" s="82"/>
      <c r="J851" s="6"/>
      <c r="K851" s="6"/>
      <c r="L851" s="6"/>
      <c r="M851" s="6"/>
      <c r="N851" s="6"/>
      <c r="O851" s="6"/>
      <c r="P851" s="6"/>
      <c r="Q851" s="6"/>
      <c r="R851" s="6"/>
      <c r="S851" s="6"/>
      <c r="T851" s="83"/>
      <c r="U851" s="6"/>
      <c r="V851" s="84"/>
      <c r="W851" s="85"/>
      <c r="X851" s="86"/>
    </row>
    <row r="852" spans="1:24">
      <c r="B852" s="87">
        <v>1</v>
      </c>
      <c r="C852" s="638">
        <v>45936</v>
      </c>
      <c r="D852" s="276">
        <v>74051</v>
      </c>
      <c r="E852" s="276" t="s">
        <v>1225</v>
      </c>
      <c r="F852" s="277">
        <v>616</v>
      </c>
      <c r="G852" s="277"/>
      <c r="H852" s="297"/>
      <c r="I852" s="278">
        <f>F852-G852-H852</f>
        <v>616</v>
      </c>
      <c r="J852" s="279" t="s">
        <v>156</v>
      </c>
      <c r="K852" s="279">
        <v>1</v>
      </c>
      <c r="L852" s="279">
        <v>1</v>
      </c>
      <c r="M852" s="279">
        <v>1</v>
      </c>
      <c r="N852" s="279">
        <v>1</v>
      </c>
      <c r="O852" s="279">
        <v>1</v>
      </c>
      <c r="P852" s="279">
        <v>1</v>
      </c>
      <c r="Q852" s="279">
        <v>1</v>
      </c>
      <c r="R852" s="279">
        <v>1</v>
      </c>
      <c r="S852" s="280">
        <v>1</v>
      </c>
      <c r="T852" s="63"/>
      <c r="U852" s="10"/>
      <c r="V852" s="90">
        <f>67.76+609.84</f>
        <v>677.6</v>
      </c>
      <c r="W852" s="91"/>
      <c r="X852" s="92"/>
    </row>
    <row r="853" spans="1:24">
      <c r="B853" s="87">
        <f t="shared" ref="B853:B866" si="113">B852+1</f>
        <v>2</v>
      </c>
      <c r="C853" s="639">
        <v>45936</v>
      </c>
      <c r="D853" s="10" t="s">
        <v>1226</v>
      </c>
      <c r="E853" s="10" t="s">
        <v>1225</v>
      </c>
      <c r="F853" s="62">
        <v>419</v>
      </c>
      <c r="G853" s="62">
        <f>+(33.44)</f>
        <v>33.44</v>
      </c>
      <c r="H853" s="62"/>
      <c r="I853" s="89">
        <f>F853-G853-H853</f>
        <v>385.56</v>
      </c>
      <c r="J853" s="63" t="s">
        <v>156</v>
      </c>
      <c r="K853" s="63">
        <v>1</v>
      </c>
      <c r="L853" s="63">
        <v>1</v>
      </c>
      <c r="M853" s="63">
        <v>1</v>
      </c>
      <c r="N853" s="63">
        <v>1</v>
      </c>
      <c r="O853" s="63">
        <v>1</v>
      </c>
      <c r="P853" s="63">
        <v>1</v>
      </c>
      <c r="Q853" s="63">
        <v>1</v>
      </c>
      <c r="R853" s="63">
        <v>1</v>
      </c>
      <c r="S853" s="296">
        <v>1</v>
      </c>
      <c r="T853" s="21">
        <v>1</v>
      </c>
      <c r="U853" s="10"/>
      <c r="V853" s="90">
        <v>460.9</v>
      </c>
      <c r="W853" s="91"/>
      <c r="X853" s="92"/>
    </row>
    <row r="854" spans="1:24">
      <c r="A854" s="464">
        <v>45937</v>
      </c>
      <c r="B854" s="87">
        <f>B853+1</f>
        <v>3</v>
      </c>
      <c r="C854" s="639">
        <v>45936</v>
      </c>
      <c r="D854" s="10">
        <v>74065</v>
      </c>
      <c r="E854" s="10" t="s">
        <v>1227</v>
      </c>
      <c r="F854" s="62">
        <v>5814</v>
      </c>
      <c r="G854" s="62">
        <f>39.7+(54.57+2032.77+73.82)+250</f>
        <v>2450.86</v>
      </c>
      <c r="H854" s="62"/>
      <c r="I854" s="324">
        <f>F854-G854-H854</f>
        <v>3363.14</v>
      </c>
      <c r="J854" s="63" t="s">
        <v>156</v>
      </c>
      <c r="K854" s="63">
        <v>1</v>
      </c>
      <c r="L854" s="63">
        <v>1</v>
      </c>
      <c r="M854" s="63">
        <v>1</v>
      </c>
      <c r="N854" s="63">
        <v>1</v>
      </c>
      <c r="O854" s="63">
        <v>1</v>
      </c>
      <c r="P854" s="63">
        <v>1</v>
      </c>
      <c r="Q854" s="325">
        <v>0</v>
      </c>
      <c r="R854" s="325">
        <v>0</v>
      </c>
      <c r="S854" s="326">
        <v>0</v>
      </c>
      <c r="T854" s="63"/>
      <c r="U854" s="94" t="s">
        <v>1228</v>
      </c>
      <c r="V854" s="90">
        <f>640+5755.86</f>
        <v>6395.86</v>
      </c>
      <c r="W854" s="91"/>
      <c r="X854" s="92"/>
    </row>
    <row r="855" spans="1:24">
      <c r="A855" s="464">
        <v>45937</v>
      </c>
      <c r="B855" s="87">
        <f>B854+1</f>
        <v>4</v>
      </c>
      <c r="C855" s="639">
        <v>45936</v>
      </c>
      <c r="D855" s="3" t="s">
        <v>1229</v>
      </c>
      <c r="E855" s="10" t="s">
        <v>1085</v>
      </c>
      <c r="F855" s="62">
        <v>1681</v>
      </c>
      <c r="G855" s="62">
        <f>39.7+(246.29)+200</f>
        <v>485.99</v>
      </c>
      <c r="H855" s="62"/>
      <c r="I855" s="324">
        <f t="shared" ref="I855" si="114">F855-G855-H855</f>
        <v>1195.01</v>
      </c>
      <c r="J855" s="63" t="s">
        <v>156</v>
      </c>
      <c r="K855" s="63">
        <v>1</v>
      </c>
      <c r="L855" s="63">
        <v>1</v>
      </c>
      <c r="M855" s="63">
        <v>1</v>
      </c>
      <c r="N855" s="63">
        <v>1</v>
      </c>
      <c r="O855" s="63">
        <v>1</v>
      </c>
      <c r="P855" s="63">
        <v>1</v>
      </c>
      <c r="Q855" s="63">
        <v>1</v>
      </c>
      <c r="R855" s="325">
        <v>0</v>
      </c>
      <c r="S855" s="326">
        <v>0</v>
      </c>
      <c r="T855" s="63"/>
      <c r="U855" s="10" t="s">
        <v>1230</v>
      </c>
      <c r="V855" s="90">
        <v>1849.1</v>
      </c>
      <c r="W855" s="91"/>
      <c r="X855" s="92"/>
    </row>
    <row r="856" spans="1:24">
      <c r="A856" s="464"/>
      <c r="B856" s="87">
        <f>B855+1</f>
        <v>5</v>
      </c>
      <c r="C856" s="639">
        <v>45936</v>
      </c>
      <c r="D856" s="3">
        <v>74058</v>
      </c>
      <c r="E856" s="10" t="s">
        <v>1085</v>
      </c>
      <c r="F856" s="62">
        <v>581</v>
      </c>
      <c r="G856" s="62"/>
      <c r="H856" s="62"/>
      <c r="I856" s="324">
        <f>F856-G856-H856</f>
        <v>581</v>
      </c>
      <c r="J856" s="63" t="s">
        <v>156</v>
      </c>
      <c r="K856" s="63">
        <v>1</v>
      </c>
      <c r="L856" s="63">
        <v>1</v>
      </c>
      <c r="M856" s="325">
        <v>0</v>
      </c>
      <c r="N856" s="63">
        <v>1</v>
      </c>
      <c r="O856" s="63">
        <v>1</v>
      </c>
      <c r="P856" s="63">
        <v>1</v>
      </c>
      <c r="Q856" s="63">
        <v>1</v>
      </c>
      <c r="R856" s="63">
        <v>1</v>
      </c>
      <c r="S856" s="296">
        <v>1</v>
      </c>
      <c r="T856" s="21">
        <v>1</v>
      </c>
      <c r="U856" s="10"/>
      <c r="V856" s="90">
        <f>64+575.1</f>
        <v>639.1</v>
      </c>
      <c r="W856" s="91"/>
      <c r="X856" s="92"/>
    </row>
    <row r="857" spans="1:24">
      <c r="A857" s="464">
        <v>45937</v>
      </c>
      <c r="B857" s="87">
        <f>B856+1</f>
        <v>6</v>
      </c>
      <c r="C857" s="639">
        <v>45936</v>
      </c>
      <c r="D857" s="10">
        <v>74111</v>
      </c>
      <c r="E857" s="10" t="s">
        <v>1231</v>
      </c>
      <c r="F857" s="62">
        <f>5999-185</f>
        <v>5814</v>
      </c>
      <c r="G857" s="62">
        <f>39.7+(79.2+1371.06)+250</f>
        <v>1739.96</v>
      </c>
      <c r="H857" s="62"/>
      <c r="I857" s="324">
        <f>F857-G857-H857</f>
        <v>4074.04</v>
      </c>
      <c r="J857" s="63" t="s">
        <v>156</v>
      </c>
      <c r="K857" s="63">
        <v>1</v>
      </c>
      <c r="L857" s="63">
        <v>1</v>
      </c>
      <c r="M857" s="63">
        <v>1</v>
      </c>
      <c r="N857" s="63">
        <v>1</v>
      </c>
      <c r="O857" s="63">
        <v>1</v>
      </c>
      <c r="P857" s="63">
        <v>1</v>
      </c>
      <c r="Q857" s="325">
        <v>0</v>
      </c>
      <c r="R857" s="325">
        <v>0</v>
      </c>
      <c r="S857" s="326">
        <v>0</v>
      </c>
      <c r="T857" s="63"/>
      <c r="U857" s="94" t="s">
        <v>1232</v>
      </c>
      <c r="V857" s="90">
        <f>203.5+600+2000+3591.9</f>
        <v>6395.4</v>
      </c>
      <c r="W857" s="91"/>
      <c r="X857" s="92"/>
    </row>
    <row r="858" spans="1:24">
      <c r="A858" s="464">
        <v>45940</v>
      </c>
      <c r="B858" s="87">
        <f>B857+1</f>
        <v>7</v>
      </c>
      <c r="C858" s="640">
        <v>45936</v>
      </c>
      <c r="D858" s="283">
        <v>74079</v>
      </c>
      <c r="E858" s="283" t="s">
        <v>1143</v>
      </c>
      <c r="F858" s="284">
        <v>5233</v>
      </c>
      <c r="G858" s="284">
        <f>39.7+(79.2+2068.74)+250</f>
        <v>2437.6399999999994</v>
      </c>
      <c r="H858" s="284"/>
      <c r="I858" s="285">
        <f>F858-G858-H858</f>
        <v>2795.3600000000006</v>
      </c>
      <c r="J858" s="286" t="s">
        <v>156</v>
      </c>
      <c r="K858" s="286">
        <v>1</v>
      </c>
      <c r="L858" s="286">
        <v>1</v>
      </c>
      <c r="M858" s="286">
        <v>1</v>
      </c>
      <c r="N858" s="286">
        <v>1</v>
      </c>
      <c r="O858" s="286">
        <v>1</v>
      </c>
      <c r="P858" s="286">
        <v>1</v>
      </c>
      <c r="Q858" s="286">
        <v>1</v>
      </c>
      <c r="R858" s="286">
        <v>1</v>
      </c>
      <c r="S858" s="287">
        <v>1</v>
      </c>
      <c r="T858" s="21">
        <v>1</v>
      </c>
      <c r="U858" s="94" t="s">
        <v>1233</v>
      </c>
      <c r="V858" s="90">
        <f>2000+3756.3</f>
        <v>5756.3</v>
      </c>
      <c r="W858" s="91"/>
      <c r="X858" s="92"/>
    </row>
    <row r="859" spans="1:24">
      <c r="B859" s="87">
        <f>B858+1</f>
        <v>8</v>
      </c>
      <c r="C859" s="639">
        <v>45937</v>
      </c>
      <c r="D859" s="10">
        <v>74142</v>
      </c>
      <c r="E859" s="10" t="s">
        <v>1072</v>
      </c>
      <c r="F859" s="62">
        <v>681</v>
      </c>
      <c r="G859" s="62"/>
      <c r="H859" s="62"/>
      <c r="I859" s="369">
        <f>F859-G859-H859</f>
        <v>681</v>
      </c>
      <c r="J859" s="63" t="s">
        <v>156</v>
      </c>
      <c r="K859" s="63">
        <v>1</v>
      </c>
      <c r="L859" s="63">
        <v>1</v>
      </c>
      <c r="M859" s="63">
        <v>1</v>
      </c>
      <c r="N859" s="63">
        <v>1</v>
      </c>
      <c r="O859" s="63">
        <v>1</v>
      </c>
      <c r="P859" s="63">
        <v>1</v>
      </c>
      <c r="Q859" s="63">
        <v>1</v>
      </c>
      <c r="R859" s="63">
        <v>1</v>
      </c>
      <c r="S859" s="296">
        <v>1</v>
      </c>
      <c r="T859" s="63"/>
      <c r="U859" s="10" t="s">
        <v>1234</v>
      </c>
      <c r="V859" s="90">
        <f>75+674.1</f>
        <v>749.1</v>
      </c>
      <c r="W859" s="91"/>
      <c r="X859" s="92"/>
    </row>
    <row r="860" spans="1:24">
      <c r="A860" t="s">
        <v>1235</v>
      </c>
      <c r="B860" s="87">
        <f t="shared" si="113"/>
        <v>9</v>
      </c>
      <c r="C860" s="638">
        <v>45938</v>
      </c>
      <c r="D860" s="276">
        <v>74198</v>
      </c>
      <c r="E860" s="276" t="s">
        <v>169</v>
      </c>
      <c r="F860" s="277">
        <v>681</v>
      </c>
      <c r="G860" s="277"/>
      <c r="H860" s="297"/>
      <c r="I860" s="278">
        <f>F860-G860-H860</f>
        <v>681</v>
      </c>
      <c r="J860" s="279" t="s">
        <v>156</v>
      </c>
      <c r="K860" s="279">
        <v>1</v>
      </c>
      <c r="L860" s="279">
        <v>1</v>
      </c>
      <c r="M860" s="279">
        <v>1</v>
      </c>
      <c r="N860" s="279">
        <v>1</v>
      </c>
      <c r="O860" s="279">
        <v>1</v>
      </c>
      <c r="P860" s="279">
        <v>1</v>
      </c>
      <c r="Q860" s="279">
        <v>1</v>
      </c>
      <c r="R860" s="279">
        <v>1</v>
      </c>
      <c r="S860" s="280">
        <v>1</v>
      </c>
      <c r="T860" s="21">
        <v>1</v>
      </c>
      <c r="U860" s="10" t="s">
        <v>1236</v>
      </c>
      <c r="V860" s="90">
        <f>75+674.1</f>
        <v>749.1</v>
      </c>
      <c r="W860" s="91"/>
      <c r="X860" s="92"/>
    </row>
    <row r="861" spans="1:24">
      <c r="B861" s="87">
        <f t="shared" si="113"/>
        <v>10</v>
      </c>
      <c r="C861" s="639">
        <v>45938</v>
      </c>
      <c r="D861" s="10">
        <v>74186</v>
      </c>
      <c r="E861" s="10" t="s">
        <v>395</v>
      </c>
      <c r="F861" s="62">
        <v>581</v>
      </c>
      <c r="G861" s="62"/>
      <c r="H861" s="88"/>
      <c r="I861" s="369">
        <f>F861-G861-H861</f>
        <v>581</v>
      </c>
      <c r="J861" s="63" t="s">
        <v>156</v>
      </c>
      <c r="K861" s="63">
        <v>1</v>
      </c>
      <c r="L861" s="63">
        <v>1</v>
      </c>
      <c r="M861" s="63">
        <v>1</v>
      </c>
      <c r="N861" s="63">
        <v>1</v>
      </c>
      <c r="O861" s="63">
        <v>1</v>
      </c>
      <c r="P861" s="63">
        <v>1</v>
      </c>
      <c r="Q861" s="63">
        <v>1</v>
      </c>
      <c r="R861" s="63">
        <v>1</v>
      </c>
      <c r="S861" s="296">
        <v>1</v>
      </c>
      <c r="T861" s="63"/>
      <c r="U861" s="10" t="s">
        <v>1237</v>
      </c>
      <c r="V861" s="90">
        <f>64+575.1</f>
        <v>639.1</v>
      </c>
      <c r="W861" s="91"/>
      <c r="X861" s="92"/>
    </row>
    <row r="862" spans="1:24">
      <c r="B862" s="87">
        <f t="shared" si="113"/>
        <v>11</v>
      </c>
      <c r="C862" s="638">
        <v>45939</v>
      </c>
      <c r="D862" s="276">
        <v>74214</v>
      </c>
      <c r="E862" s="276" t="s">
        <v>1217</v>
      </c>
      <c r="F862" s="277">
        <v>2362</v>
      </c>
      <c r="G862" s="277">
        <f>39.7+(41.03)</f>
        <v>80.73</v>
      </c>
      <c r="H862" s="297"/>
      <c r="I862" s="321">
        <f>F862-G862-H862</f>
        <v>2281.27</v>
      </c>
      <c r="J862" s="279" t="s">
        <v>156</v>
      </c>
      <c r="K862" s="279">
        <v>1</v>
      </c>
      <c r="L862" s="279">
        <v>1</v>
      </c>
      <c r="M862" s="279">
        <v>1</v>
      </c>
      <c r="N862" s="279">
        <v>1</v>
      </c>
      <c r="O862" s="279">
        <v>1</v>
      </c>
      <c r="P862" s="279">
        <v>1</v>
      </c>
      <c r="Q862" s="279">
        <v>1</v>
      </c>
      <c r="R862" s="279">
        <v>1</v>
      </c>
      <c r="S862" s="328">
        <v>0</v>
      </c>
      <c r="T862" s="21">
        <v>1</v>
      </c>
      <c r="U862" s="10"/>
      <c r="V862" s="90">
        <f>260+2338.2</f>
        <v>2598.1999999999998</v>
      </c>
      <c r="W862" s="91"/>
      <c r="X862" s="92"/>
    </row>
    <row r="863" spans="1:24">
      <c r="B863" s="87">
        <f t="shared" si="113"/>
        <v>12</v>
      </c>
      <c r="C863" s="639">
        <v>45939</v>
      </c>
      <c r="D863" s="10">
        <v>74088</v>
      </c>
      <c r="E863" s="10" t="s">
        <v>1031</v>
      </c>
      <c r="F863" s="62">
        <v>1226</v>
      </c>
      <c r="G863" s="62">
        <f>39.7</f>
        <v>39.700000000000003</v>
      </c>
      <c r="H863" s="88"/>
      <c r="I863" s="324">
        <f>F863-G863-H863</f>
        <v>1186.3</v>
      </c>
      <c r="J863" s="63" t="s">
        <v>156</v>
      </c>
      <c r="K863" s="63">
        <v>1</v>
      </c>
      <c r="L863" s="63">
        <v>1</v>
      </c>
      <c r="M863" s="63">
        <v>1</v>
      </c>
      <c r="N863" s="63">
        <v>1</v>
      </c>
      <c r="O863" s="63">
        <v>1</v>
      </c>
      <c r="P863" s="325">
        <v>0</v>
      </c>
      <c r="Q863" s="63">
        <v>1</v>
      </c>
      <c r="R863" s="63">
        <v>1</v>
      </c>
      <c r="S863" s="326">
        <v>0</v>
      </c>
      <c r="T863" s="63"/>
      <c r="U863" s="10"/>
      <c r="V863" s="90">
        <f>135+1213.6</f>
        <v>1348.6</v>
      </c>
      <c r="W863" s="91"/>
      <c r="X863" s="92"/>
    </row>
    <row r="864" spans="1:24">
      <c r="B864" s="87">
        <f t="shared" si="113"/>
        <v>13</v>
      </c>
      <c r="C864" s="639">
        <v>45939</v>
      </c>
      <c r="D864" s="10">
        <v>74275</v>
      </c>
      <c r="E864" s="10" t="s">
        <v>286</v>
      </c>
      <c r="F864" s="62">
        <f>766-85</f>
        <v>681</v>
      </c>
      <c r="G864" s="62"/>
      <c r="H864" s="88"/>
      <c r="I864" s="369">
        <f>F864-G864-H864</f>
        <v>681</v>
      </c>
      <c r="J864" s="63" t="s">
        <v>156</v>
      </c>
      <c r="K864" s="63">
        <v>1</v>
      </c>
      <c r="L864" s="63">
        <v>1</v>
      </c>
      <c r="M864" s="63">
        <v>1</v>
      </c>
      <c r="N864" s="63">
        <v>1</v>
      </c>
      <c r="O864" s="63">
        <v>1</v>
      </c>
      <c r="P864" s="63">
        <v>1</v>
      </c>
      <c r="Q864" s="63">
        <v>1</v>
      </c>
      <c r="R864" s="63">
        <v>1</v>
      </c>
      <c r="S864" s="296">
        <v>1</v>
      </c>
      <c r="T864" s="63"/>
      <c r="U864" s="10" t="s">
        <v>1238</v>
      </c>
      <c r="V864" s="90">
        <f>93.5+655.6</f>
        <v>749.1</v>
      </c>
      <c r="W864" s="91"/>
      <c r="X864" s="92"/>
    </row>
    <row r="865" spans="1:25">
      <c r="B865" s="87">
        <f t="shared" si="113"/>
        <v>14</v>
      </c>
      <c r="C865" s="638">
        <v>45940</v>
      </c>
      <c r="D865" s="276">
        <v>74270</v>
      </c>
      <c r="E865" s="276" t="s">
        <v>1046</v>
      </c>
      <c r="F865" s="447">
        <v>1681</v>
      </c>
      <c r="G865" s="277">
        <f>39.7</f>
        <v>39.700000000000003</v>
      </c>
      <c r="H865" s="277"/>
      <c r="I865" s="278">
        <f>F865-G865-H865</f>
        <v>1641.3</v>
      </c>
      <c r="J865" s="279" t="s">
        <v>156</v>
      </c>
      <c r="K865" s="279">
        <v>1</v>
      </c>
      <c r="L865" s="279">
        <v>1</v>
      </c>
      <c r="M865" s="279">
        <v>1</v>
      </c>
      <c r="N865" s="279">
        <v>1</v>
      </c>
      <c r="O865" s="279">
        <v>1</v>
      </c>
      <c r="P865" s="279">
        <v>1</v>
      </c>
      <c r="Q865" s="279">
        <v>1</v>
      </c>
      <c r="R865" s="279">
        <v>1</v>
      </c>
      <c r="S865" s="280">
        <v>1</v>
      </c>
      <c r="T865" s="63"/>
      <c r="U865" s="10"/>
      <c r="V865" s="90">
        <f>185+1664.1</f>
        <v>1849.1</v>
      </c>
      <c r="W865" s="91"/>
      <c r="X865" s="92"/>
    </row>
    <row r="866" spans="1:25">
      <c r="B866" s="87">
        <f t="shared" si="113"/>
        <v>15</v>
      </c>
      <c r="C866" s="640">
        <v>45940</v>
      </c>
      <c r="D866" s="283">
        <v>74284</v>
      </c>
      <c r="E866" s="283" t="s">
        <v>778</v>
      </c>
      <c r="F866" s="423">
        <v>1138</v>
      </c>
      <c r="G866" s="284">
        <f>39.7</f>
        <v>39.700000000000003</v>
      </c>
      <c r="H866" s="284"/>
      <c r="I866" s="285">
        <f>F866-G866-H866</f>
        <v>1098.3</v>
      </c>
      <c r="J866" s="286" t="s">
        <v>156</v>
      </c>
      <c r="K866" s="286">
        <v>1</v>
      </c>
      <c r="L866" s="286">
        <v>1</v>
      </c>
      <c r="M866" s="286">
        <v>1</v>
      </c>
      <c r="N866" s="286">
        <v>1</v>
      </c>
      <c r="O866" s="286">
        <v>1</v>
      </c>
      <c r="P866" s="286">
        <v>1</v>
      </c>
      <c r="Q866" s="286">
        <v>1</v>
      </c>
      <c r="R866" s="286">
        <v>1</v>
      </c>
      <c r="S866" s="287">
        <v>1</v>
      </c>
      <c r="T866" s="63"/>
      <c r="U866" s="10"/>
      <c r="V866" s="90">
        <f>130+1121.8</f>
        <v>1251.8</v>
      </c>
      <c r="W866" s="91"/>
      <c r="X866" s="92"/>
    </row>
    <row r="867" spans="1:25">
      <c r="B867" s="87"/>
      <c r="C867" s="621"/>
      <c r="D867" s="10"/>
      <c r="E867" s="10"/>
      <c r="F867" s="97">
        <f>SUM(F852:F866)</f>
        <v>29189</v>
      </c>
      <c r="G867" s="97">
        <f>SUM(G852:G866)</f>
        <v>7347.7199999999984</v>
      </c>
      <c r="H867" s="97">
        <f>SUM(H852:H866)</f>
        <v>0</v>
      </c>
      <c r="I867" s="98">
        <f>SUM(I852:I866)</f>
        <v>21841.279999999999</v>
      </c>
      <c r="J867" s="63"/>
      <c r="K867" s="63">
        <f>COUNT(K852:K866)</f>
        <v>15</v>
      </c>
      <c r="L867" s="63">
        <f>COUNT(L852:L866)</f>
        <v>15</v>
      </c>
      <c r="M867" s="63">
        <f>COUNT(M852:M866)</f>
        <v>15</v>
      </c>
      <c r="N867" s="63">
        <f>COUNT(N852:N866)</f>
        <v>15</v>
      </c>
      <c r="O867" s="63">
        <f>COUNT(O852:O866)</f>
        <v>15</v>
      </c>
      <c r="P867" s="63">
        <f>COUNT(P852:P866)</f>
        <v>15</v>
      </c>
      <c r="Q867" s="63">
        <f>COUNT(Q852:Q866)</f>
        <v>15</v>
      </c>
      <c r="R867" s="63">
        <f>COUNT(R852:R866)</f>
        <v>15</v>
      </c>
      <c r="S867" s="63">
        <f>COUNT(S852:S866)</f>
        <v>15</v>
      </c>
      <c r="T867" s="63"/>
      <c r="U867" s="10"/>
      <c r="V867" s="90"/>
      <c r="W867" s="91"/>
      <c r="X867" s="92"/>
    </row>
    <row r="868" spans="1:25">
      <c r="B868" s="87"/>
      <c r="C868" s="621"/>
      <c r="D868" s="10"/>
      <c r="E868" s="10"/>
      <c r="F868" s="88"/>
      <c r="G868" s="88"/>
      <c r="H868" s="88"/>
      <c r="I868" s="99"/>
      <c r="J868" s="63"/>
      <c r="K868" s="21">
        <f>SUM(K852:K866)</f>
        <v>15</v>
      </c>
      <c r="L868" s="21">
        <f>SUM(L852:L866)</f>
        <v>15</v>
      </c>
      <c r="M868" s="21">
        <f>SUM(M852:M866)</f>
        <v>14</v>
      </c>
      <c r="N868" s="21">
        <f>SUM(N852:N866)</f>
        <v>15</v>
      </c>
      <c r="O868" s="21">
        <f>SUM(O852:O866)</f>
        <v>15</v>
      </c>
      <c r="P868" s="21">
        <f>SUM(P852:P866)</f>
        <v>14</v>
      </c>
      <c r="Q868" s="21">
        <f>SUM(Q852:Q866)</f>
        <v>13</v>
      </c>
      <c r="R868" s="21">
        <f>SUM(R852:R866)</f>
        <v>12</v>
      </c>
      <c r="S868" s="21">
        <f>SUM(S852:S866)</f>
        <v>10</v>
      </c>
      <c r="T868" s="63"/>
      <c r="U868" s="10"/>
      <c r="V868" s="90"/>
      <c r="W868" s="91"/>
      <c r="X868" s="92"/>
    </row>
    <row r="869" spans="1:25">
      <c r="B869" s="11"/>
      <c r="C869" s="609"/>
      <c r="D869" s="10"/>
      <c r="E869" s="10"/>
      <c r="F869" s="88"/>
      <c r="G869" s="88"/>
      <c r="H869" s="88"/>
      <c r="I869" s="99"/>
      <c r="J869" s="63"/>
      <c r="K869" s="21"/>
      <c r="L869" s="21"/>
      <c r="M869" s="21"/>
      <c r="N869" s="21"/>
      <c r="O869" s="21"/>
      <c r="P869" s="21"/>
      <c r="Q869" s="21"/>
      <c r="R869" s="21"/>
      <c r="S869" s="21"/>
      <c r="T869" s="63"/>
      <c r="U869" s="94"/>
      <c r="V869" s="90"/>
      <c r="W869" s="91"/>
      <c r="X869" s="92"/>
    </row>
    <row r="870" spans="1:25">
      <c r="B870" s="100" t="s">
        <v>67</v>
      </c>
      <c r="C870" s="609"/>
      <c r="D870" s="10"/>
      <c r="E870" s="10"/>
      <c r="F870" s="88"/>
      <c r="G870" s="62"/>
      <c r="H870" s="88"/>
      <c r="I870" s="99"/>
      <c r="J870" s="63"/>
      <c r="K870" s="2"/>
      <c r="L870" s="2"/>
      <c r="M870" s="2"/>
      <c r="N870" s="2"/>
      <c r="O870" s="2"/>
      <c r="P870" s="2"/>
      <c r="Q870" s="2"/>
      <c r="R870" s="2"/>
      <c r="S870" s="2"/>
      <c r="T870" s="63"/>
      <c r="U870" s="94"/>
      <c r="V870" s="90"/>
      <c r="W870" s="91"/>
      <c r="X870" s="92"/>
    </row>
    <row r="871" spans="1:25">
      <c r="A871" s="261" t="s">
        <v>1205</v>
      </c>
      <c r="B871" s="87">
        <v>1</v>
      </c>
      <c r="C871" s="638">
        <v>45904</v>
      </c>
      <c r="D871" s="327">
        <v>72974</v>
      </c>
      <c r="E871" s="276" t="s">
        <v>1091</v>
      </c>
      <c r="F871" s="277">
        <v>542</v>
      </c>
      <c r="G871" s="277"/>
      <c r="H871" s="297"/>
      <c r="I871" s="278">
        <f>F871-G871-H871</f>
        <v>542</v>
      </c>
      <c r="J871" s="279" t="s">
        <v>228</v>
      </c>
      <c r="K871" s="279">
        <v>1</v>
      </c>
      <c r="L871" s="279">
        <v>1</v>
      </c>
      <c r="M871" s="279">
        <v>1</v>
      </c>
      <c r="N871" s="279">
        <v>1</v>
      </c>
      <c r="O871" s="279">
        <v>1</v>
      </c>
      <c r="P871" s="279">
        <v>1</v>
      </c>
      <c r="Q871" s="279">
        <v>1</v>
      </c>
      <c r="R871" s="279">
        <v>1</v>
      </c>
      <c r="S871" s="280">
        <v>1</v>
      </c>
      <c r="T871" s="21"/>
      <c r="U871" s="10"/>
      <c r="V871" s="90"/>
      <c r="W871" s="91"/>
      <c r="X871" s="92"/>
      <c r="Y871" s="260"/>
    </row>
    <row r="872" spans="1:25" s="381" customFormat="1">
      <c r="A872" s="713" t="s">
        <v>1183</v>
      </c>
      <c r="B872" s="372">
        <f>B871+1</f>
        <v>2</v>
      </c>
      <c r="C872" s="693">
        <v>45922</v>
      </c>
      <c r="D872" s="263">
        <v>73544</v>
      </c>
      <c r="E872" s="391" t="s">
        <v>1079</v>
      </c>
      <c r="F872" s="375">
        <f>1866-185-203.5-200</f>
        <v>1277.5</v>
      </c>
      <c r="G872" s="375">
        <f>39.7</f>
        <v>39.700000000000003</v>
      </c>
      <c r="H872" s="375"/>
      <c r="I872" s="376">
        <f>F872-G872-H872</f>
        <v>1237.8</v>
      </c>
      <c r="J872" s="314" t="s">
        <v>228</v>
      </c>
      <c r="K872" s="314">
        <v>1</v>
      </c>
      <c r="L872" s="314">
        <v>1</v>
      </c>
      <c r="M872" s="314">
        <v>1</v>
      </c>
      <c r="N872" s="314">
        <v>1</v>
      </c>
      <c r="O872" s="314">
        <v>1</v>
      </c>
      <c r="P872" s="314">
        <v>1</v>
      </c>
      <c r="Q872" s="314">
        <v>1</v>
      </c>
      <c r="R872" s="314">
        <v>1</v>
      </c>
      <c r="S872" s="366">
        <v>1</v>
      </c>
      <c r="T872" s="325"/>
      <c r="U872" s="430"/>
      <c r="V872" s="377"/>
      <c r="W872" s="378"/>
      <c r="X872" s="393"/>
    </row>
    <row r="873" spans="1:25">
      <c r="A873" s="261" t="s">
        <v>1205</v>
      </c>
      <c r="B873" s="87">
        <f>B883+1</f>
        <v>3</v>
      </c>
      <c r="C873" s="641">
        <v>45933</v>
      </c>
      <c r="D873" s="263">
        <v>74014</v>
      </c>
      <c r="E873" s="271" t="s">
        <v>1104</v>
      </c>
      <c r="F873" s="265">
        <v>14618</v>
      </c>
      <c r="G873" s="265">
        <f>39.7+(39.3+3974.13+457.57+6.5)+1000</f>
        <v>5517.2</v>
      </c>
      <c r="H873" s="265"/>
      <c r="I873" s="266">
        <f>F873-G873-H873</f>
        <v>9100.7999999999993</v>
      </c>
      <c r="J873" s="267" t="s">
        <v>156</v>
      </c>
      <c r="K873" s="267">
        <v>1</v>
      </c>
      <c r="L873" s="267">
        <v>1</v>
      </c>
      <c r="M873" s="314">
        <v>0</v>
      </c>
      <c r="N873" s="267">
        <v>1</v>
      </c>
      <c r="O873" s="267">
        <v>1</v>
      </c>
      <c r="P873" s="314">
        <v>0</v>
      </c>
      <c r="Q873" s="314">
        <v>0</v>
      </c>
      <c r="R873" s="314">
        <v>0</v>
      </c>
      <c r="S873" s="366">
        <v>0</v>
      </c>
      <c r="T873" s="63"/>
      <c r="U873" s="94" t="s">
        <v>1239</v>
      </c>
      <c r="V873" s="90">
        <f>471.8</f>
        <v>471.8</v>
      </c>
      <c r="W873" s="91"/>
      <c r="X873" s="92"/>
      <c r="Y873" s="260"/>
    </row>
    <row r="874" spans="1:25">
      <c r="B874" s="11"/>
      <c r="C874" s="609"/>
      <c r="D874" s="10"/>
      <c r="E874" s="10"/>
      <c r="F874" s="97">
        <f>SUM(F871:F873)</f>
        <v>16437.5</v>
      </c>
      <c r="G874" s="97">
        <f>SUM(G871:G873)</f>
        <v>5556.9</v>
      </c>
      <c r="H874" s="97">
        <f>SUM(H871:H873)</f>
        <v>0</v>
      </c>
      <c r="I874" s="98">
        <f>SUM(I871:I873)</f>
        <v>10880.599999999999</v>
      </c>
      <c r="J874" s="63"/>
      <c r="K874" s="21"/>
      <c r="L874" s="21"/>
      <c r="M874" s="21"/>
      <c r="N874" s="21"/>
      <c r="O874" s="21"/>
      <c r="P874" s="21"/>
      <c r="Q874" s="21"/>
      <c r="R874" s="21"/>
      <c r="S874" s="21"/>
      <c r="T874" s="63"/>
      <c r="U874" s="94"/>
      <c r="V874" s="90"/>
      <c r="W874" s="91"/>
      <c r="X874" s="92"/>
    </row>
    <row r="875" spans="1:25">
      <c r="B875" s="11"/>
      <c r="C875" s="621"/>
      <c r="D875" s="10"/>
      <c r="E875" s="10"/>
      <c r="F875" s="88"/>
      <c r="G875" s="88"/>
      <c r="H875" s="88"/>
      <c r="I875" s="99"/>
      <c r="J875" s="63"/>
      <c r="K875" s="21"/>
      <c r="L875" s="21"/>
      <c r="M875" s="21"/>
      <c r="N875" s="21"/>
      <c r="O875" s="21"/>
      <c r="P875" s="21"/>
      <c r="Q875" s="21"/>
      <c r="R875" s="21"/>
      <c r="S875" s="21"/>
      <c r="T875" s="63"/>
      <c r="U875" s="94"/>
      <c r="V875" s="90"/>
      <c r="W875" s="91"/>
      <c r="X875" s="92"/>
    </row>
    <row r="876" spans="1:25">
      <c r="B876" s="121" t="s">
        <v>70</v>
      </c>
      <c r="C876" s="621"/>
      <c r="D876" s="123"/>
      <c r="E876" s="128"/>
      <c r="F876" s="124"/>
      <c r="G876" s="124"/>
      <c r="H876" s="124"/>
      <c r="I876" s="126"/>
      <c r="J876" s="127"/>
      <c r="K876" s="64"/>
      <c r="L876" s="64"/>
      <c r="M876" s="64"/>
      <c r="N876" s="64"/>
      <c r="O876" s="64"/>
      <c r="P876" s="64"/>
      <c r="Q876" s="64"/>
      <c r="R876" s="64"/>
      <c r="S876" s="64"/>
      <c r="T876" s="127"/>
      <c r="U876" s="135"/>
      <c r="V876" s="129"/>
      <c r="W876" s="130"/>
      <c r="X876" s="131"/>
    </row>
    <row r="877" spans="1:25" s="342" customFormat="1">
      <c r="A877" s="492">
        <v>0.05</v>
      </c>
      <c r="B877" s="333">
        <v>1</v>
      </c>
      <c r="C877" s="703">
        <v>45937</v>
      </c>
      <c r="D877" s="358" t="s">
        <v>1240</v>
      </c>
      <c r="E877" s="358" t="s">
        <v>1072</v>
      </c>
      <c r="F877" s="352">
        <v>3952</v>
      </c>
      <c r="G877" s="352">
        <f>39.7</f>
        <v>39.700000000000003</v>
      </c>
      <c r="H877" s="352"/>
      <c r="I877" s="353">
        <f>F877-G877-H877</f>
        <v>3912.3</v>
      </c>
      <c r="J877" s="354" t="s">
        <v>156</v>
      </c>
      <c r="K877" s="354">
        <v>1</v>
      </c>
      <c r="L877" s="354"/>
      <c r="M877" s="354">
        <v>1</v>
      </c>
      <c r="N877" s="354">
        <v>1</v>
      </c>
      <c r="O877" s="354">
        <v>1</v>
      </c>
      <c r="P877" s="354">
        <v>1</v>
      </c>
      <c r="Q877" s="354"/>
      <c r="R877" s="354"/>
      <c r="S877" s="355"/>
      <c r="T877" s="127"/>
      <c r="U877" s="135"/>
      <c r="V877" s="129">
        <f>435</f>
        <v>435</v>
      </c>
      <c r="W877" s="340"/>
      <c r="X877" s="341"/>
    </row>
    <row r="878" spans="1:25" s="342" customFormat="1">
      <c r="A878" s="492">
        <v>0.05</v>
      </c>
      <c r="B878" s="333">
        <f t="shared" ref="B878" si="115">B877+1</f>
        <v>2</v>
      </c>
      <c r="C878" s="655">
        <v>45939</v>
      </c>
      <c r="D878" s="396" t="s">
        <v>1241</v>
      </c>
      <c r="E878" s="396" t="s">
        <v>286</v>
      </c>
      <c r="F878" s="397">
        <v>1000</v>
      </c>
      <c r="G878" s="397">
        <f>39.7</f>
        <v>39.700000000000003</v>
      </c>
      <c r="H878" s="397"/>
      <c r="I878" s="398">
        <f>F878-G878-H878</f>
        <v>960.3</v>
      </c>
      <c r="J878" s="399" t="s">
        <v>156</v>
      </c>
      <c r="K878" s="399">
        <v>1</v>
      </c>
      <c r="L878" s="399"/>
      <c r="M878" s="399">
        <v>1</v>
      </c>
      <c r="N878" s="399">
        <v>1</v>
      </c>
      <c r="O878" s="399">
        <v>1</v>
      </c>
      <c r="P878" s="399">
        <v>1</v>
      </c>
      <c r="Q878" s="399"/>
      <c r="R878" s="399"/>
      <c r="S878" s="400"/>
      <c r="T878" s="127"/>
      <c r="U878" s="135"/>
      <c r="V878" s="129">
        <f>110</f>
        <v>110</v>
      </c>
      <c r="W878" s="340"/>
      <c r="X878" s="341"/>
    </row>
    <row r="879" spans="1:25">
      <c r="B879" s="132"/>
      <c r="C879" s="621"/>
      <c r="D879" s="123"/>
      <c r="E879" s="123"/>
      <c r="F879" s="134">
        <f>SUM(F877:F878)</f>
        <v>4952</v>
      </c>
      <c r="G879" s="134">
        <f>SUM(G877:G878)</f>
        <v>79.400000000000006</v>
      </c>
      <c r="H879" s="134">
        <f>SUM(H877:H878)</f>
        <v>0</v>
      </c>
      <c r="I879" s="134">
        <f>SUM(I877:I878)</f>
        <v>4872.6000000000004</v>
      </c>
      <c r="J879" s="127"/>
      <c r="K879" s="64"/>
      <c r="L879" s="64"/>
      <c r="M879" s="64"/>
      <c r="N879" s="64"/>
      <c r="O879" s="64"/>
      <c r="P879" s="64"/>
      <c r="Q879" s="64"/>
      <c r="R879" s="64"/>
      <c r="S879" s="64"/>
      <c r="T879" s="127"/>
      <c r="U879" s="135"/>
      <c r="V879" s="129"/>
      <c r="W879" s="130"/>
      <c r="X879" s="131"/>
    </row>
    <row r="880" spans="1:25">
      <c r="B880" s="11"/>
      <c r="C880" s="609"/>
      <c r="D880" s="10"/>
      <c r="E880" s="10"/>
      <c r="F880" s="88"/>
      <c r="G880" s="88"/>
      <c r="H880" s="88"/>
      <c r="I880" s="99"/>
      <c r="J880" s="63"/>
      <c r="K880" s="21"/>
      <c r="L880" s="21"/>
      <c r="M880" s="21"/>
      <c r="N880" s="21"/>
      <c r="O880" s="21"/>
      <c r="P880" s="21"/>
      <c r="Q880" s="21"/>
      <c r="R880" s="21"/>
      <c r="S880" s="21"/>
      <c r="T880" s="63"/>
      <c r="U880" s="94"/>
      <c r="V880" s="90"/>
      <c r="W880" s="91"/>
      <c r="X880" s="92"/>
    </row>
    <row r="881" spans="1:25" s="260" customFormat="1">
      <c r="A881" s="181"/>
      <c r="B881" s="100" t="s">
        <v>152</v>
      </c>
      <c r="C881" s="36"/>
      <c r="D881" s="10"/>
      <c r="E881" s="10"/>
      <c r="F881" s="88"/>
      <c r="G881" s="62"/>
      <c r="H881" s="88"/>
      <c r="I881" s="99"/>
      <c r="J881" s="10"/>
      <c r="K881" s="181"/>
      <c r="L881" s="181"/>
      <c r="M881" s="181"/>
      <c r="N881" s="181"/>
      <c r="O881" s="181"/>
      <c r="P881" s="181"/>
      <c r="Q881" s="181"/>
      <c r="R881" s="181"/>
      <c r="S881" s="181"/>
      <c r="T881" s="63"/>
      <c r="U881" s="10"/>
      <c r="V881" s="90"/>
      <c r="W881" s="91"/>
      <c r="X881" s="92"/>
      <c r="Y881" s="181"/>
    </row>
    <row r="882" spans="1:25" s="260" customFormat="1">
      <c r="A882" s="494">
        <v>0.05</v>
      </c>
      <c r="B882" s="87">
        <v>1</v>
      </c>
      <c r="C882" s="641">
        <v>45911</v>
      </c>
      <c r="D882" s="263">
        <v>73200</v>
      </c>
      <c r="E882" s="264" t="s">
        <v>798</v>
      </c>
      <c r="F882" s="265">
        <f>2346-85</f>
        <v>2261</v>
      </c>
      <c r="G882" s="265">
        <f>39.7</f>
        <v>39.700000000000003</v>
      </c>
      <c r="H882" s="265"/>
      <c r="I882" s="272">
        <f>F882-G882-H882</f>
        <v>2221.3000000000002</v>
      </c>
      <c r="J882" s="267" t="s">
        <v>156</v>
      </c>
      <c r="K882" s="267">
        <v>1</v>
      </c>
      <c r="L882" s="267">
        <v>1</v>
      </c>
      <c r="M882" s="267">
        <v>1</v>
      </c>
      <c r="N882" s="267">
        <v>1</v>
      </c>
      <c r="O882" s="267">
        <v>1</v>
      </c>
      <c r="P882" s="267">
        <v>1</v>
      </c>
      <c r="Q882" s="267">
        <v>1</v>
      </c>
      <c r="R882" s="267">
        <v>1</v>
      </c>
      <c r="S882" s="269">
        <v>1</v>
      </c>
      <c r="T882" s="63"/>
      <c r="U882" s="10" t="s">
        <v>1128</v>
      </c>
      <c r="V882" s="90"/>
      <c r="W882" s="91"/>
      <c r="X882" s="92"/>
      <c r="Y882" s="181"/>
    </row>
    <row r="883" spans="1:25" s="260" customFormat="1">
      <c r="A883" s="494" t="s">
        <v>1242</v>
      </c>
      <c r="B883" s="87">
        <f>B882+1</f>
        <v>2</v>
      </c>
      <c r="C883" s="641">
        <v>45923</v>
      </c>
      <c r="D883" s="263">
        <v>73516</v>
      </c>
      <c r="E883" s="271" t="s">
        <v>1186</v>
      </c>
      <c r="F883" s="265">
        <v>2861</v>
      </c>
      <c r="G883" s="265">
        <f>39.7+(79.91)</f>
        <v>119.61</v>
      </c>
      <c r="H883" s="265"/>
      <c r="I883" s="266">
        <f>F883-G883-H883</f>
        <v>2741.39</v>
      </c>
      <c r="J883" s="267" t="s">
        <v>156</v>
      </c>
      <c r="K883" s="267">
        <v>1</v>
      </c>
      <c r="L883" s="267">
        <v>1</v>
      </c>
      <c r="M883" s="267">
        <v>1</v>
      </c>
      <c r="N883" s="267">
        <v>1</v>
      </c>
      <c r="O883" s="267">
        <v>1</v>
      </c>
      <c r="P883" s="267">
        <v>1</v>
      </c>
      <c r="Q883" s="267">
        <v>1</v>
      </c>
      <c r="R883" s="267">
        <v>1</v>
      </c>
      <c r="S883" s="366">
        <v>0</v>
      </c>
      <c r="T883" s="63"/>
      <c r="U883" s="94" t="s">
        <v>1187</v>
      </c>
      <c r="V883" s="90"/>
      <c r="W883" s="136"/>
      <c r="X883" s="137"/>
    </row>
    <row r="884" spans="1:25" s="260" customFormat="1">
      <c r="B884" s="11"/>
      <c r="C884" s="36"/>
      <c r="D884" s="10"/>
      <c r="E884" s="10"/>
      <c r="F884" s="98">
        <f>SUM(F882:F883)</f>
        <v>5122</v>
      </c>
      <c r="G884" s="98">
        <f>SUM(G882:G883)</f>
        <v>159.31</v>
      </c>
      <c r="H884" s="98">
        <f>SUM(H882:H883)</f>
        <v>0</v>
      </c>
      <c r="I884" s="98">
        <f>SUM(I882:I883)</f>
        <v>4962.6900000000005</v>
      </c>
      <c r="J884" s="63"/>
      <c r="K884" s="21"/>
      <c r="L884" s="21"/>
      <c r="M884" s="21"/>
      <c r="N884" s="21"/>
      <c r="O884" s="21"/>
      <c r="P884" s="21"/>
      <c r="Q884" s="21"/>
      <c r="R884" s="21"/>
      <c r="S884" s="21"/>
      <c r="T884" s="63"/>
      <c r="U884" s="94"/>
      <c r="V884" s="90"/>
      <c r="W884" s="91"/>
      <c r="X884" s="92"/>
    </row>
    <row r="885" spans="1:25" s="260" customFormat="1">
      <c r="B885" s="11"/>
      <c r="C885" s="36"/>
      <c r="D885" s="10"/>
      <c r="E885" s="10"/>
      <c r="F885" s="99"/>
      <c r="G885" s="99"/>
      <c r="H885" s="99"/>
      <c r="I885" s="99"/>
      <c r="J885" s="63"/>
      <c r="K885" s="21"/>
      <c r="L885" s="21"/>
      <c r="M885" s="21"/>
      <c r="N885" s="21"/>
      <c r="O885" s="21"/>
      <c r="P885" s="21"/>
      <c r="Q885" s="21"/>
      <c r="R885" s="21"/>
      <c r="S885" s="21"/>
      <c r="T885" s="63"/>
      <c r="U885" s="94"/>
      <c r="V885" s="90"/>
      <c r="W885" s="91"/>
      <c r="X885" s="92"/>
    </row>
    <row r="886" spans="1:25">
      <c r="A886" s="2"/>
      <c r="B886" s="11"/>
      <c r="C886" s="36"/>
      <c r="D886" s="10"/>
      <c r="E886" s="10"/>
      <c r="F886" s="88"/>
      <c r="G886" s="88"/>
      <c r="H886" s="88"/>
      <c r="I886" s="99"/>
      <c r="J886" s="63"/>
      <c r="K886" s="21"/>
      <c r="L886" s="21"/>
      <c r="M886" s="21"/>
      <c r="N886" s="21"/>
      <c r="O886" s="21"/>
      <c r="P886" s="21"/>
      <c r="Q886" s="21"/>
      <c r="R886" s="21"/>
      <c r="S886" s="21"/>
      <c r="T886" s="63"/>
      <c r="U886" s="94"/>
      <c r="V886" s="90"/>
      <c r="W886" s="91"/>
      <c r="X886" s="92"/>
    </row>
    <row r="887" spans="1:25" s="260" customFormat="1">
      <c r="B887" s="100" t="s">
        <v>202</v>
      </c>
      <c r="C887" s="36"/>
      <c r="D887" s="10"/>
      <c r="E887" s="181"/>
      <c r="F887" s="88"/>
      <c r="G887" s="88"/>
      <c r="H887" s="88"/>
      <c r="I887" s="99"/>
      <c r="J887" s="63"/>
      <c r="K887" s="21"/>
      <c r="L887" s="21"/>
      <c r="M887" s="21"/>
      <c r="N887" s="21"/>
      <c r="O887" s="21"/>
      <c r="P887" s="21"/>
      <c r="Q887" s="21"/>
      <c r="R887" s="21"/>
      <c r="S887" s="21"/>
      <c r="T887" s="63"/>
      <c r="U887" s="94"/>
      <c r="V887" s="90"/>
      <c r="W887" s="91"/>
      <c r="X887" s="92"/>
    </row>
    <row r="888" spans="1:25" s="260" customFormat="1">
      <c r="A888" s="261">
        <v>0.05</v>
      </c>
      <c r="B888" s="87">
        <v>1</v>
      </c>
      <c r="C888" s="641">
        <v>45904</v>
      </c>
      <c r="D888" s="263">
        <v>72982</v>
      </c>
      <c r="E888" s="271" t="s">
        <v>604</v>
      </c>
      <c r="F888" s="265">
        <v>1681</v>
      </c>
      <c r="G888" s="265">
        <f>39.7+398</f>
        <v>437.7</v>
      </c>
      <c r="H888" s="265"/>
      <c r="I888" s="272">
        <f>F888-G888-H888</f>
        <v>1243.3</v>
      </c>
      <c r="J888" s="267" t="s">
        <v>156</v>
      </c>
      <c r="K888" s="267">
        <v>1</v>
      </c>
      <c r="L888" s="267"/>
      <c r="M888" s="267">
        <v>1</v>
      </c>
      <c r="N888" s="267">
        <v>1</v>
      </c>
      <c r="O888" s="267">
        <v>1</v>
      </c>
      <c r="P888" s="267">
        <v>1</v>
      </c>
      <c r="Q888" s="267"/>
      <c r="R888" s="267"/>
      <c r="S888" s="269"/>
      <c r="T888" s="63"/>
      <c r="U888" s="94" t="s">
        <v>1131</v>
      </c>
      <c r="V888" s="90"/>
      <c r="W888" s="136"/>
      <c r="X888" s="137"/>
    </row>
    <row r="889" spans="1:25" s="260" customFormat="1">
      <c r="A889" s="494">
        <v>0.05</v>
      </c>
      <c r="B889" s="87">
        <f>B888+1</f>
        <v>2</v>
      </c>
      <c r="C889" s="641">
        <v>45925</v>
      </c>
      <c r="D889" s="263" t="s">
        <v>1188</v>
      </c>
      <c r="E889" s="271" t="s">
        <v>973</v>
      </c>
      <c r="F889" s="265">
        <v>18161</v>
      </c>
      <c r="G889" s="265">
        <f>39.7+33.68+1005.6+33.68+(162.47+289.66+177.5-16.43)+(86.55+60.7+267.3-217.8)+1500</f>
        <v>3422.61</v>
      </c>
      <c r="H889" s="265"/>
      <c r="I889" s="272">
        <f>F889-G889-H889</f>
        <v>14738.39</v>
      </c>
      <c r="J889" s="267" t="s">
        <v>156</v>
      </c>
      <c r="K889" s="267">
        <v>1</v>
      </c>
      <c r="L889" s="267"/>
      <c r="M889" s="267">
        <v>1</v>
      </c>
      <c r="N889" s="267">
        <v>1</v>
      </c>
      <c r="O889" s="267">
        <v>1</v>
      </c>
      <c r="P889" s="267">
        <v>1</v>
      </c>
      <c r="Q889" s="267"/>
      <c r="R889" s="267"/>
      <c r="S889" s="269"/>
      <c r="T889" s="63"/>
      <c r="U889" s="94" t="s">
        <v>1243</v>
      </c>
      <c r="V889" s="90"/>
      <c r="W889" s="136"/>
      <c r="X889" s="137"/>
    </row>
    <row r="890" spans="1:25" s="260" customFormat="1">
      <c r="B890" s="11"/>
      <c r="C890" s="36"/>
      <c r="D890" s="10"/>
      <c r="E890" s="10"/>
      <c r="F890" s="98">
        <f>SUM(F888:F889)</f>
        <v>19842</v>
      </c>
      <c r="G890" s="98">
        <f>SUM(G888:G889)</f>
        <v>3860.31</v>
      </c>
      <c r="H890" s="98">
        <f>SUM(H888:H889)</f>
        <v>0</v>
      </c>
      <c r="I890" s="98">
        <f>SUM(I888:I889)</f>
        <v>15981.689999999999</v>
      </c>
      <c r="J890" s="510"/>
      <c r="K890" s="21"/>
      <c r="L890" s="21"/>
      <c r="M890" s="21"/>
      <c r="N890" s="21"/>
      <c r="O890" s="21"/>
      <c r="P890" s="21"/>
      <c r="Q890" s="21"/>
      <c r="R890" s="21"/>
      <c r="S890" s="21"/>
      <c r="T890" s="63"/>
      <c r="U890" s="94"/>
      <c r="V890" s="90"/>
      <c r="W890" s="91"/>
      <c r="X890" s="92"/>
    </row>
    <row r="891" spans="1:25" s="260" customFormat="1">
      <c r="B891" s="11"/>
      <c r="C891" s="36"/>
      <c r="D891" s="10"/>
      <c r="E891" s="10"/>
      <c r="F891" s="99"/>
      <c r="G891" s="99"/>
      <c r="H891" s="99"/>
      <c r="I891" s="99"/>
      <c r="J891" s="63"/>
      <c r="K891" s="21"/>
      <c r="L891" s="21"/>
      <c r="M891" s="21"/>
      <c r="N891" s="21"/>
      <c r="O891" s="21"/>
      <c r="P891" s="21"/>
      <c r="Q891" s="21"/>
      <c r="R891" s="21"/>
      <c r="S891" s="21"/>
      <c r="T891" s="63"/>
      <c r="U891" s="94"/>
      <c r="V891" s="90"/>
      <c r="W891" s="91"/>
      <c r="X891" s="92"/>
    </row>
    <row r="892" spans="1:25">
      <c r="B892" s="100" t="s">
        <v>72</v>
      </c>
      <c r="C892" s="609"/>
      <c r="D892" s="10"/>
      <c r="E892" s="10"/>
      <c r="F892" s="88"/>
      <c r="G892" s="88"/>
      <c r="H892" s="88"/>
      <c r="I892" s="99"/>
      <c r="J892" s="63"/>
      <c r="K892" s="63"/>
      <c r="L892" s="63"/>
      <c r="M892" s="63"/>
      <c r="N892" s="63"/>
      <c r="O892" s="63"/>
      <c r="P892" s="63"/>
      <c r="Q892" s="63"/>
      <c r="R892" s="63"/>
      <c r="S892" s="63"/>
      <c r="T892" s="63"/>
      <c r="U892" s="10"/>
      <c r="V892" s="90"/>
      <c r="W892" s="91"/>
      <c r="X892" s="92"/>
    </row>
    <row r="893" spans="1:25">
      <c r="B893" s="87">
        <v>1</v>
      </c>
      <c r="C893" s="638">
        <v>45936</v>
      </c>
      <c r="D893" s="276">
        <v>74042</v>
      </c>
      <c r="E893" s="276" t="s">
        <v>1079</v>
      </c>
      <c r="F893" s="277">
        <v>2261</v>
      </c>
      <c r="G893" s="277">
        <v>39.700000000000003</v>
      </c>
      <c r="H893" s="277"/>
      <c r="I893" s="278">
        <f t="shared" ref="I893:I919" si="116">F893-G893-H893</f>
        <v>2221.3000000000002</v>
      </c>
      <c r="J893" s="279" t="s">
        <v>205</v>
      </c>
      <c r="K893" s="279">
        <v>1</v>
      </c>
      <c r="L893" s="279"/>
      <c r="M893" s="279"/>
      <c r="N893" s="279">
        <v>1</v>
      </c>
      <c r="O893" s="279"/>
      <c r="P893" s="279"/>
      <c r="Q893" s="279">
        <v>1</v>
      </c>
      <c r="R893" s="279">
        <v>1</v>
      </c>
      <c r="S893" s="280">
        <v>1</v>
      </c>
      <c r="T893" s="63"/>
      <c r="U893" s="3"/>
      <c r="V893" s="90"/>
      <c r="W893" s="91"/>
      <c r="X893" s="92"/>
    </row>
    <row r="894" spans="1:25">
      <c r="B894" s="87">
        <f t="shared" ref="B894:B908" si="117">B893+1</f>
        <v>2</v>
      </c>
      <c r="C894" s="639">
        <v>45936</v>
      </c>
      <c r="D894" s="3" t="s">
        <v>1244</v>
      </c>
      <c r="E894" s="10" t="s">
        <v>1085</v>
      </c>
      <c r="F894" s="62">
        <v>1281</v>
      </c>
      <c r="G894" s="62">
        <v>39.700000000000003</v>
      </c>
      <c r="H894" s="62"/>
      <c r="I894" s="89">
        <f t="shared" si="116"/>
        <v>1241.3</v>
      </c>
      <c r="J894" s="63" t="s">
        <v>205</v>
      </c>
      <c r="K894" s="63">
        <v>1</v>
      </c>
      <c r="L894" s="63"/>
      <c r="M894" s="63"/>
      <c r="N894" s="63">
        <v>1</v>
      </c>
      <c r="O894" s="63"/>
      <c r="P894" s="63"/>
      <c r="Q894" s="63"/>
      <c r="R894" s="63"/>
      <c r="S894" s="296"/>
      <c r="T894" s="63"/>
      <c r="U894" s="10"/>
      <c r="V894" s="90"/>
      <c r="W894" s="136"/>
      <c r="X894" s="137"/>
    </row>
    <row r="895" spans="1:25">
      <c r="B895" s="87">
        <f t="shared" si="117"/>
        <v>3</v>
      </c>
      <c r="C895" s="639">
        <v>45936</v>
      </c>
      <c r="D895" s="3">
        <v>74063</v>
      </c>
      <c r="E895" s="10" t="s">
        <v>1085</v>
      </c>
      <c r="F895" s="62">
        <v>681</v>
      </c>
      <c r="G895" s="62"/>
      <c r="H895" s="62"/>
      <c r="I895" s="89">
        <f t="shared" si="116"/>
        <v>681</v>
      </c>
      <c r="J895" s="63" t="s">
        <v>205</v>
      </c>
      <c r="K895" s="63">
        <v>1</v>
      </c>
      <c r="L895" s="63"/>
      <c r="M895" s="63"/>
      <c r="N895" s="63">
        <v>1</v>
      </c>
      <c r="O895" s="63"/>
      <c r="P895" s="63"/>
      <c r="Q895" s="63">
        <v>1</v>
      </c>
      <c r="R895" s="63">
        <v>1</v>
      </c>
      <c r="S895" s="296">
        <v>1</v>
      </c>
      <c r="T895" s="63"/>
      <c r="U895" s="10"/>
      <c r="V895" s="90"/>
      <c r="W895" s="136"/>
      <c r="X895" s="137"/>
    </row>
    <row r="896" spans="1:25">
      <c r="B896" s="87">
        <f t="shared" si="117"/>
        <v>4</v>
      </c>
      <c r="C896" s="639">
        <v>45936</v>
      </c>
      <c r="D896" s="10" t="s">
        <v>1245</v>
      </c>
      <c r="E896" s="10" t="s">
        <v>1143</v>
      </c>
      <c r="F896" s="62">
        <v>0</v>
      </c>
      <c r="G896" s="62">
        <v>0</v>
      </c>
      <c r="H896" s="62"/>
      <c r="I896" s="89">
        <f t="shared" si="116"/>
        <v>0</v>
      </c>
      <c r="J896" s="63" t="s">
        <v>205</v>
      </c>
      <c r="K896" s="63"/>
      <c r="L896" s="63"/>
      <c r="M896" s="63"/>
      <c r="N896" s="63"/>
      <c r="O896" s="63"/>
      <c r="P896" s="63"/>
      <c r="Q896" s="63"/>
      <c r="R896" s="63"/>
      <c r="S896" s="296"/>
      <c r="T896" s="63"/>
      <c r="U896" s="10"/>
      <c r="V896" s="90"/>
      <c r="W896" s="136"/>
      <c r="X896" s="137"/>
    </row>
    <row r="897" spans="2:24">
      <c r="B897" s="87">
        <f t="shared" si="117"/>
        <v>5</v>
      </c>
      <c r="C897" s="638">
        <v>45937</v>
      </c>
      <c r="D897" s="276">
        <v>74110</v>
      </c>
      <c r="E897" s="276" t="s">
        <v>1222</v>
      </c>
      <c r="F897" s="277">
        <v>0</v>
      </c>
      <c r="G897" s="277">
        <v>0</v>
      </c>
      <c r="H897" s="277"/>
      <c r="I897" s="278">
        <f t="shared" si="116"/>
        <v>0</v>
      </c>
      <c r="J897" s="279" t="s">
        <v>205</v>
      </c>
      <c r="K897" s="279">
        <v>1</v>
      </c>
      <c r="L897" s="279"/>
      <c r="M897" s="279"/>
      <c r="N897" s="279">
        <v>1</v>
      </c>
      <c r="O897" s="279"/>
      <c r="P897" s="279"/>
      <c r="Q897" s="279">
        <v>1</v>
      </c>
      <c r="R897" s="279">
        <v>1</v>
      </c>
      <c r="S897" s="280">
        <v>1</v>
      </c>
      <c r="T897" s="63"/>
      <c r="U897" s="10"/>
      <c r="V897" s="90"/>
      <c r="W897" s="136"/>
      <c r="X897" s="137"/>
    </row>
    <row r="898" spans="2:24">
      <c r="B898" s="87">
        <f t="shared" si="117"/>
        <v>6</v>
      </c>
      <c r="C898" s="639">
        <v>45937</v>
      </c>
      <c r="D898" s="10">
        <v>74074</v>
      </c>
      <c r="E898" s="101" t="s">
        <v>1042</v>
      </c>
      <c r="F898" s="62">
        <v>616</v>
      </c>
      <c r="G898" s="62">
        <v>39.700000000000003</v>
      </c>
      <c r="H898" s="62"/>
      <c r="I898" s="89">
        <f t="shared" si="116"/>
        <v>576.29999999999995</v>
      </c>
      <c r="J898" s="63" t="s">
        <v>205</v>
      </c>
      <c r="K898" s="63">
        <v>1</v>
      </c>
      <c r="L898" s="63"/>
      <c r="M898" s="63"/>
      <c r="N898" s="63">
        <v>1</v>
      </c>
      <c r="O898" s="63"/>
      <c r="P898" s="63"/>
      <c r="Q898" s="63">
        <v>1</v>
      </c>
      <c r="R898" s="63">
        <v>1</v>
      </c>
      <c r="S898" s="296">
        <v>1</v>
      </c>
      <c r="T898" s="63"/>
      <c r="U898" s="10"/>
      <c r="V898" s="90"/>
      <c r="W898" s="136"/>
      <c r="X898" s="137"/>
    </row>
    <row r="899" spans="2:24">
      <c r="B899" s="87">
        <f t="shared" si="117"/>
        <v>7</v>
      </c>
      <c r="C899" s="639">
        <v>45937</v>
      </c>
      <c r="D899" s="10">
        <v>74129</v>
      </c>
      <c r="E899" s="101" t="s">
        <v>306</v>
      </c>
      <c r="F899" s="62">
        <v>2533</v>
      </c>
      <c r="G899" s="62">
        <v>39.700000000000003</v>
      </c>
      <c r="H899" s="62"/>
      <c r="I899" s="89">
        <f t="shared" si="116"/>
        <v>2493.3000000000002</v>
      </c>
      <c r="J899" s="63" t="s">
        <v>205</v>
      </c>
      <c r="K899" s="63">
        <v>1</v>
      </c>
      <c r="L899" s="63"/>
      <c r="M899" s="63"/>
      <c r="N899" s="63">
        <v>1</v>
      </c>
      <c r="O899" s="63"/>
      <c r="P899" s="63"/>
      <c r="Q899" s="63">
        <v>1</v>
      </c>
      <c r="R899" s="63">
        <v>1</v>
      </c>
      <c r="S899" s="296">
        <v>1</v>
      </c>
      <c r="T899" s="63"/>
      <c r="U899" s="10"/>
      <c r="V899" s="90"/>
      <c r="W899" s="136"/>
      <c r="X899" s="137"/>
    </row>
    <row r="900" spans="2:24">
      <c r="B900" s="87">
        <f t="shared" si="117"/>
        <v>8</v>
      </c>
      <c r="C900" s="639">
        <v>45937</v>
      </c>
      <c r="D900" s="10">
        <v>74101</v>
      </c>
      <c r="E900" s="101" t="s">
        <v>306</v>
      </c>
      <c r="F900" s="62">
        <v>962</v>
      </c>
      <c r="G900" s="62">
        <v>39.700000000000003</v>
      </c>
      <c r="H900" s="62"/>
      <c r="I900" s="89">
        <f t="shared" si="116"/>
        <v>922.3</v>
      </c>
      <c r="J900" s="63" t="s">
        <v>205</v>
      </c>
      <c r="K900" s="63">
        <v>1</v>
      </c>
      <c r="L900" s="63"/>
      <c r="M900" s="63"/>
      <c r="N900" s="63">
        <v>1</v>
      </c>
      <c r="O900" s="63"/>
      <c r="P900" s="63"/>
      <c r="Q900" s="63">
        <v>1</v>
      </c>
      <c r="R900" s="63">
        <v>1</v>
      </c>
      <c r="S900" s="296">
        <v>1</v>
      </c>
      <c r="T900" s="63"/>
      <c r="U900" s="10"/>
      <c r="V900" s="90"/>
      <c r="W900" s="136"/>
      <c r="X900" s="137"/>
    </row>
    <row r="901" spans="2:24">
      <c r="B901" s="87">
        <f t="shared" si="117"/>
        <v>9</v>
      </c>
      <c r="C901" s="639">
        <v>45937</v>
      </c>
      <c r="D901" s="77" t="s">
        <v>1246</v>
      </c>
      <c r="E901" s="101" t="s">
        <v>1217</v>
      </c>
      <c r="F901" s="62">
        <v>481</v>
      </c>
      <c r="G901" s="62"/>
      <c r="H901" s="62"/>
      <c r="I901" s="89">
        <f t="shared" si="116"/>
        <v>481</v>
      </c>
      <c r="J901" s="63" t="s">
        <v>205</v>
      </c>
      <c r="K901" s="63">
        <v>1</v>
      </c>
      <c r="L901" s="63"/>
      <c r="M901" s="63"/>
      <c r="N901" s="63">
        <v>1</v>
      </c>
      <c r="O901" s="63"/>
      <c r="P901" s="63"/>
      <c r="Q901" s="63">
        <v>1</v>
      </c>
      <c r="R901" s="63">
        <v>1</v>
      </c>
      <c r="S901" s="296">
        <v>1</v>
      </c>
      <c r="T901" s="63"/>
      <c r="U901" s="10"/>
      <c r="V901" s="90"/>
      <c r="W901" s="136"/>
      <c r="X901" s="137"/>
    </row>
    <row r="902" spans="2:24">
      <c r="B902" s="87">
        <f t="shared" si="117"/>
        <v>10</v>
      </c>
      <c r="C902" s="639">
        <v>45937</v>
      </c>
      <c r="D902" s="77" t="s">
        <v>1247</v>
      </c>
      <c r="E902" s="101" t="s">
        <v>1217</v>
      </c>
      <c r="F902" s="62">
        <v>1038</v>
      </c>
      <c r="G902" s="62">
        <v>39.700000000000003</v>
      </c>
      <c r="H902" s="62"/>
      <c r="I902" s="89">
        <f t="shared" si="116"/>
        <v>998.3</v>
      </c>
      <c r="J902" s="63" t="s">
        <v>205</v>
      </c>
      <c r="K902" s="63">
        <v>1</v>
      </c>
      <c r="L902" s="63"/>
      <c r="M902" s="63"/>
      <c r="N902" s="63">
        <v>1</v>
      </c>
      <c r="O902" s="63"/>
      <c r="P902" s="63"/>
      <c r="Q902" s="63">
        <v>1</v>
      </c>
      <c r="R902" s="63">
        <v>1</v>
      </c>
      <c r="S902" s="296">
        <v>1</v>
      </c>
      <c r="T902" s="63"/>
      <c r="U902" s="10"/>
      <c r="V902" s="90"/>
      <c r="W902" s="136"/>
      <c r="X902" s="137"/>
    </row>
    <row r="903" spans="2:24">
      <c r="B903" s="87">
        <f t="shared" si="117"/>
        <v>11</v>
      </c>
      <c r="C903" s="639">
        <v>45937</v>
      </c>
      <c r="D903" s="10">
        <v>74141</v>
      </c>
      <c r="E903" s="101" t="s">
        <v>1045</v>
      </c>
      <c r="F903" s="62">
        <v>8922</v>
      </c>
      <c r="G903" s="62">
        <v>39.700000000000003</v>
      </c>
      <c r="H903" s="62"/>
      <c r="I903" s="89">
        <f t="shared" si="116"/>
        <v>8882.2999999999993</v>
      </c>
      <c r="J903" s="63" t="s">
        <v>205</v>
      </c>
      <c r="K903" s="63">
        <v>1</v>
      </c>
      <c r="L903" s="63"/>
      <c r="M903" s="63"/>
      <c r="N903" s="63">
        <v>1</v>
      </c>
      <c r="O903" s="63"/>
      <c r="P903" s="63"/>
      <c r="Q903" s="63">
        <v>1</v>
      </c>
      <c r="R903" s="63">
        <v>1</v>
      </c>
      <c r="S903" s="296">
        <v>1</v>
      </c>
      <c r="T903" s="63"/>
      <c r="U903" s="10"/>
      <c r="V903" s="90"/>
      <c r="W903" s="136"/>
      <c r="X903" s="137"/>
    </row>
    <row r="904" spans="2:24">
      <c r="B904" s="87">
        <f t="shared" si="117"/>
        <v>12</v>
      </c>
      <c r="C904" s="639">
        <v>45937</v>
      </c>
      <c r="D904" s="10">
        <v>74155</v>
      </c>
      <c r="E904" s="101" t="s">
        <v>1047</v>
      </c>
      <c r="F904" s="62">
        <v>16214</v>
      </c>
      <c r="G904" s="62">
        <v>39.700000000000003</v>
      </c>
      <c r="H904" s="62"/>
      <c r="I904" s="89">
        <f t="shared" si="116"/>
        <v>16174.3</v>
      </c>
      <c r="J904" s="63" t="s">
        <v>205</v>
      </c>
      <c r="K904" s="63">
        <v>1</v>
      </c>
      <c r="L904" s="63"/>
      <c r="M904" s="63"/>
      <c r="N904" s="63">
        <v>1</v>
      </c>
      <c r="O904" s="63"/>
      <c r="P904" s="63">
        <v>1</v>
      </c>
      <c r="Q904" s="63">
        <v>1</v>
      </c>
      <c r="R904" s="63">
        <v>1</v>
      </c>
      <c r="S904" s="296">
        <v>1</v>
      </c>
      <c r="T904" s="63"/>
      <c r="U904" s="10"/>
      <c r="V904" s="90"/>
      <c r="W904" s="136"/>
      <c r="X904" s="137"/>
    </row>
    <row r="905" spans="2:24">
      <c r="B905" s="87">
        <f t="shared" si="117"/>
        <v>13</v>
      </c>
      <c r="C905" s="638">
        <v>45938</v>
      </c>
      <c r="D905" s="276">
        <v>74178</v>
      </c>
      <c r="E905" s="281" t="s">
        <v>1085</v>
      </c>
      <c r="F905" s="277">
        <v>614</v>
      </c>
      <c r="G905" s="277"/>
      <c r="H905" s="277"/>
      <c r="I905" s="278">
        <f t="shared" si="116"/>
        <v>614</v>
      </c>
      <c r="J905" s="279" t="s">
        <v>205</v>
      </c>
      <c r="K905" s="279">
        <v>1</v>
      </c>
      <c r="L905" s="279"/>
      <c r="M905" s="279"/>
      <c r="N905" s="279">
        <v>1</v>
      </c>
      <c r="O905" s="279"/>
      <c r="P905" s="279"/>
      <c r="Q905" s="279">
        <v>1</v>
      </c>
      <c r="R905" s="279">
        <v>1</v>
      </c>
      <c r="S905" s="280">
        <v>1</v>
      </c>
      <c r="T905" s="63"/>
      <c r="U905" s="10"/>
      <c r="V905" s="90"/>
      <c r="W905" s="136"/>
      <c r="X905" s="137"/>
    </row>
    <row r="906" spans="2:24">
      <c r="B906" s="87">
        <f t="shared" si="117"/>
        <v>14</v>
      </c>
      <c r="C906" s="639">
        <v>45938</v>
      </c>
      <c r="D906" s="10">
        <v>74176</v>
      </c>
      <c r="E906" s="10" t="s">
        <v>1105</v>
      </c>
      <c r="F906" s="62">
        <v>681</v>
      </c>
      <c r="G906" s="62"/>
      <c r="H906" s="62"/>
      <c r="I906" s="89">
        <f t="shared" si="116"/>
        <v>681</v>
      </c>
      <c r="J906" s="63" t="s">
        <v>205</v>
      </c>
      <c r="K906" s="63">
        <v>1</v>
      </c>
      <c r="L906" s="63"/>
      <c r="M906" s="63"/>
      <c r="N906" s="63">
        <v>1</v>
      </c>
      <c r="O906" s="63"/>
      <c r="P906" s="63"/>
      <c r="Q906" s="63">
        <v>1</v>
      </c>
      <c r="R906" s="63">
        <v>1</v>
      </c>
      <c r="S906" s="296">
        <v>1</v>
      </c>
      <c r="T906" s="63"/>
      <c r="U906" s="10"/>
      <c r="V906" s="90"/>
      <c r="W906" s="136"/>
      <c r="X906" s="137"/>
    </row>
    <row r="907" spans="2:24">
      <c r="B907" s="87">
        <f t="shared" si="117"/>
        <v>15</v>
      </c>
      <c r="C907" s="639">
        <v>45938</v>
      </c>
      <c r="D907" s="10">
        <v>74029</v>
      </c>
      <c r="E907" s="10" t="s">
        <v>1047</v>
      </c>
      <c r="F907" s="62">
        <v>0</v>
      </c>
      <c r="G907" s="62">
        <v>0</v>
      </c>
      <c r="H907" s="62"/>
      <c r="I907" s="89">
        <f t="shared" si="116"/>
        <v>0</v>
      </c>
      <c r="J907" s="63" t="s">
        <v>205</v>
      </c>
      <c r="K907" s="63"/>
      <c r="L907" s="63"/>
      <c r="M907" s="63"/>
      <c r="N907" s="63"/>
      <c r="O907" s="63"/>
      <c r="P907" s="63"/>
      <c r="Q907" s="63"/>
      <c r="R907" s="63"/>
      <c r="S907" s="296"/>
      <c r="T907" s="63"/>
      <c r="U907" s="10"/>
      <c r="V907" s="90"/>
      <c r="W907" s="136"/>
      <c r="X907" s="137"/>
    </row>
    <row r="908" spans="2:24">
      <c r="B908" s="87">
        <f t="shared" si="117"/>
        <v>16</v>
      </c>
      <c r="C908" s="639">
        <v>45938</v>
      </c>
      <c r="D908" s="10">
        <v>74208</v>
      </c>
      <c r="E908" s="10" t="s">
        <v>1072</v>
      </c>
      <c r="F908" s="62">
        <v>2261</v>
      </c>
      <c r="G908" s="62">
        <v>39.700000000000003</v>
      </c>
      <c r="H908" s="62"/>
      <c r="I908" s="89">
        <f t="shared" si="116"/>
        <v>2221.3000000000002</v>
      </c>
      <c r="J908" s="63" t="s">
        <v>205</v>
      </c>
      <c r="K908" s="63">
        <v>1</v>
      </c>
      <c r="L908" s="63"/>
      <c r="M908" s="63"/>
      <c r="N908" s="63">
        <v>1</v>
      </c>
      <c r="O908" s="63"/>
      <c r="P908" s="63"/>
      <c r="Q908" s="63">
        <v>1</v>
      </c>
      <c r="R908" s="63">
        <v>1</v>
      </c>
      <c r="S908" s="296">
        <v>1</v>
      </c>
      <c r="T908" s="63"/>
      <c r="U908" s="10"/>
      <c r="V908" s="90"/>
      <c r="W908" s="136"/>
      <c r="X908" s="137"/>
    </row>
    <row r="909" spans="2:24">
      <c r="B909" s="87">
        <f>B908+1</f>
        <v>17</v>
      </c>
      <c r="C909" s="639">
        <v>45938</v>
      </c>
      <c r="D909" s="10">
        <v>74172</v>
      </c>
      <c r="E909" s="10" t="s">
        <v>329</v>
      </c>
      <c r="F909" s="62">
        <v>616</v>
      </c>
      <c r="G909" s="62"/>
      <c r="H909" s="62"/>
      <c r="I909" s="89">
        <f t="shared" si="116"/>
        <v>616</v>
      </c>
      <c r="J909" s="63" t="s">
        <v>205</v>
      </c>
      <c r="K909" s="63">
        <v>1</v>
      </c>
      <c r="L909" s="63"/>
      <c r="M909" s="63"/>
      <c r="N909" s="63">
        <v>1</v>
      </c>
      <c r="O909" s="63"/>
      <c r="P909" s="63"/>
      <c r="Q909" s="63">
        <v>1</v>
      </c>
      <c r="R909" s="63">
        <v>1</v>
      </c>
      <c r="S909" s="296">
        <v>1</v>
      </c>
      <c r="T909" s="63"/>
      <c r="U909" s="10"/>
      <c r="V909" s="90"/>
      <c r="W909" s="136"/>
      <c r="X909" s="137"/>
    </row>
    <row r="910" spans="2:24">
      <c r="B910" s="87">
        <f>B909+1</f>
        <v>18</v>
      </c>
      <c r="C910" s="638">
        <v>45939</v>
      </c>
      <c r="D910" s="276">
        <v>74252</v>
      </c>
      <c r="E910" s="276" t="s">
        <v>1042</v>
      </c>
      <c r="F910" s="277">
        <v>2861</v>
      </c>
      <c r="G910" s="277">
        <v>39.700000000000003</v>
      </c>
      <c r="H910" s="277"/>
      <c r="I910" s="278">
        <f t="shared" si="116"/>
        <v>2821.3</v>
      </c>
      <c r="J910" s="279" t="s">
        <v>205</v>
      </c>
      <c r="K910" s="279">
        <v>1</v>
      </c>
      <c r="L910" s="279"/>
      <c r="M910" s="279"/>
      <c r="N910" s="279">
        <v>1</v>
      </c>
      <c r="O910" s="279"/>
      <c r="P910" s="279"/>
      <c r="Q910" s="279">
        <v>1</v>
      </c>
      <c r="R910" s="279">
        <v>1</v>
      </c>
      <c r="S910" s="280">
        <v>1</v>
      </c>
      <c r="T910" s="63"/>
      <c r="U910" s="10"/>
      <c r="V910" s="90"/>
      <c r="W910" s="136"/>
      <c r="X910" s="137"/>
    </row>
    <row r="911" spans="2:24">
      <c r="B911" s="87">
        <f>B910+1</f>
        <v>19</v>
      </c>
      <c r="C911" s="639">
        <v>45939</v>
      </c>
      <c r="D911" s="10">
        <v>74259</v>
      </c>
      <c r="E911" s="10" t="s">
        <v>169</v>
      </c>
      <c r="F911" s="62">
        <v>681</v>
      </c>
      <c r="G911" s="62"/>
      <c r="H911" s="62"/>
      <c r="I911" s="89">
        <f t="shared" si="116"/>
        <v>681</v>
      </c>
      <c r="J911" s="63" t="s">
        <v>205</v>
      </c>
      <c r="K911" s="63">
        <v>1</v>
      </c>
      <c r="L911" s="63"/>
      <c r="M911" s="63"/>
      <c r="N911" s="63">
        <v>1</v>
      </c>
      <c r="O911" s="63"/>
      <c r="P911" s="63"/>
      <c r="Q911" s="63">
        <v>1</v>
      </c>
      <c r="R911" s="63">
        <v>1</v>
      </c>
      <c r="S911" s="296">
        <v>1</v>
      </c>
      <c r="T911" s="63"/>
      <c r="U911" s="10"/>
      <c r="V911" s="90"/>
      <c r="W911" s="136"/>
      <c r="X911" s="137"/>
    </row>
    <row r="912" spans="2:24">
      <c r="B912" s="87">
        <f>B911+1</f>
        <v>20</v>
      </c>
      <c r="C912" s="639">
        <v>45939</v>
      </c>
      <c r="D912" s="10">
        <v>74254</v>
      </c>
      <c r="E912" s="10" t="s">
        <v>158</v>
      </c>
      <c r="F912" s="62">
        <v>12861</v>
      </c>
      <c r="G912" s="62">
        <v>39.700000000000003</v>
      </c>
      <c r="H912" s="62"/>
      <c r="I912" s="89">
        <f t="shared" si="116"/>
        <v>12821.3</v>
      </c>
      <c r="J912" s="63" t="s">
        <v>205</v>
      </c>
      <c r="K912" s="63">
        <v>1</v>
      </c>
      <c r="L912" s="63"/>
      <c r="M912" s="63"/>
      <c r="N912" s="63">
        <v>1</v>
      </c>
      <c r="O912" s="63"/>
      <c r="P912" s="63"/>
      <c r="Q912" s="63">
        <v>1</v>
      </c>
      <c r="R912" s="63">
        <v>1</v>
      </c>
      <c r="S912" s="296">
        <v>1</v>
      </c>
      <c r="T912" s="63"/>
      <c r="U912" s="10"/>
      <c r="V912" s="90"/>
      <c r="W912" s="136"/>
      <c r="X912" s="137"/>
    </row>
    <row r="913" spans="1:24">
      <c r="B913" s="87">
        <f>B912+1</f>
        <v>21</v>
      </c>
      <c r="C913" s="639">
        <v>45939</v>
      </c>
      <c r="D913" s="10">
        <v>74271</v>
      </c>
      <c r="E913" s="10" t="s">
        <v>1248</v>
      </c>
      <c r="F913" s="62">
        <v>1861</v>
      </c>
      <c r="G913" s="62">
        <v>39.700000000000003</v>
      </c>
      <c r="H913" s="62"/>
      <c r="I913" s="89">
        <f t="shared" si="116"/>
        <v>1821.3</v>
      </c>
      <c r="J913" s="63" t="s">
        <v>205</v>
      </c>
      <c r="K913" s="63">
        <v>1</v>
      </c>
      <c r="L913" s="63"/>
      <c r="M913" s="63"/>
      <c r="N913" s="63">
        <v>1</v>
      </c>
      <c r="O913" s="63">
        <v>1</v>
      </c>
      <c r="P913" s="63"/>
      <c r="Q913" s="63">
        <v>1</v>
      </c>
      <c r="R913" s="63">
        <v>1</v>
      </c>
      <c r="S913" s="296">
        <v>1</v>
      </c>
      <c r="T913" s="63"/>
      <c r="U913" s="10"/>
      <c r="V913" s="90"/>
      <c r="W913" s="136"/>
      <c r="X913" s="137"/>
    </row>
    <row r="914" spans="1:24">
      <c r="B914" s="87">
        <f>B913+1</f>
        <v>22</v>
      </c>
      <c r="C914" s="639">
        <v>45939</v>
      </c>
      <c r="D914" s="10">
        <v>74146</v>
      </c>
      <c r="E914" s="10" t="s">
        <v>1249</v>
      </c>
      <c r="F914" s="62">
        <v>3803</v>
      </c>
      <c r="G914" s="62">
        <v>39.700000000000003</v>
      </c>
      <c r="H914" s="62"/>
      <c r="I914" s="89">
        <f t="shared" si="116"/>
        <v>3763.3</v>
      </c>
      <c r="J914" s="63" t="s">
        <v>205</v>
      </c>
      <c r="K914" s="63">
        <v>1</v>
      </c>
      <c r="L914" s="63"/>
      <c r="M914" s="63"/>
      <c r="N914" s="63">
        <v>1</v>
      </c>
      <c r="O914" s="63"/>
      <c r="P914" s="63"/>
      <c r="Q914" s="63">
        <v>1</v>
      </c>
      <c r="R914" s="63">
        <v>1</v>
      </c>
      <c r="S914" s="296">
        <v>1</v>
      </c>
      <c r="T914" s="63"/>
      <c r="U914" s="10"/>
      <c r="V914" s="90"/>
      <c r="W914" s="136"/>
      <c r="X914" s="137"/>
    </row>
    <row r="915" spans="1:24">
      <c r="B915" s="87">
        <f>B914+1</f>
        <v>23</v>
      </c>
      <c r="C915" s="638">
        <v>45940</v>
      </c>
      <c r="D915" s="276" t="s">
        <v>1250</v>
      </c>
      <c r="E915" s="276" t="s">
        <v>1046</v>
      </c>
      <c r="F915" s="277">
        <v>22614</v>
      </c>
      <c r="G915" s="277">
        <v>39.700000000000003</v>
      </c>
      <c r="H915" s="277"/>
      <c r="I915" s="278">
        <f t="shared" si="116"/>
        <v>22574.3</v>
      </c>
      <c r="J915" s="279" t="s">
        <v>205</v>
      </c>
      <c r="K915" s="279">
        <v>1</v>
      </c>
      <c r="L915" s="279"/>
      <c r="M915" s="279"/>
      <c r="N915" s="279">
        <v>1</v>
      </c>
      <c r="O915" s="279"/>
      <c r="P915" s="279"/>
      <c r="Q915" s="279"/>
      <c r="R915" s="279"/>
      <c r="S915" s="280"/>
      <c r="T915" s="63"/>
      <c r="U915" s="10"/>
      <c r="V915" s="90"/>
      <c r="W915" s="136"/>
      <c r="X915" s="137"/>
    </row>
    <row r="916" spans="1:24">
      <c r="B916" s="87">
        <f>B915+1</f>
        <v>24</v>
      </c>
      <c r="C916" s="639">
        <v>45940</v>
      </c>
      <c r="D916" s="10" t="s">
        <v>1251</v>
      </c>
      <c r="E916" s="10" t="s">
        <v>1046</v>
      </c>
      <c r="F916" s="62">
        <v>4533</v>
      </c>
      <c r="G916" s="62">
        <v>39.700000000000003</v>
      </c>
      <c r="H916" s="62"/>
      <c r="I916" s="89">
        <f t="shared" si="116"/>
        <v>4493.3</v>
      </c>
      <c r="J916" s="63" t="s">
        <v>205</v>
      </c>
      <c r="K916" s="63">
        <v>1</v>
      </c>
      <c r="L916" s="63"/>
      <c r="M916" s="63"/>
      <c r="N916" s="63">
        <v>1</v>
      </c>
      <c r="O916" s="63"/>
      <c r="P916" s="63"/>
      <c r="Q916" s="63"/>
      <c r="R916" s="63"/>
      <c r="S916" s="296"/>
      <c r="T916" s="63"/>
      <c r="U916" s="10"/>
      <c r="V916" s="90"/>
      <c r="W916" s="136"/>
      <c r="X916" s="137"/>
    </row>
    <row r="917" spans="1:24">
      <c r="B917" s="87">
        <f>B916+1</f>
        <v>25</v>
      </c>
      <c r="C917" s="639">
        <v>45940</v>
      </c>
      <c r="D917" s="10">
        <v>74320</v>
      </c>
      <c r="E917" s="10" t="s">
        <v>778</v>
      </c>
      <c r="F917" s="62">
        <v>16214</v>
      </c>
      <c r="G917" s="62">
        <v>39.700000000000003</v>
      </c>
      <c r="H917" s="62"/>
      <c r="I917" s="89">
        <f t="shared" si="116"/>
        <v>16174.3</v>
      </c>
      <c r="J917" s="63" t="s">
        <v>205</v>
      </c>
      <c r="K917" s="63"/>
      <c r="L917" s="63"/>
      <c r="M917" s="63"/>
      <c r="N917" s="63">
        <v>1</v>
      </c>
      <c r="O917" s="63"/>
      <c r="P917" s="63"/>
      <c r="Q917" s="63"/>
      <c r="R917" s="63"/>
      <c r="S917" s="296"/>
      <c r="T917" s="63"/>
      <c r="U917" s="10"/>
      <c r="V917" s="90"/>
      <c r="W917" s="136"/>
      <c r="X917" s="137"/>
    </row>
    <row r="918" spans="1:24">
      <c r="B918" s="87">
        <f>B917+1</f>
        <v>26</v>
      </c>
      <c r="C918" s="639">
        <v>45940</v>
      </c>
      <c r="D918" s="10">
        <v>74152</v>
      </c>
      <c r="E918" s="10" t="s">
        <v>1088</v>
      </c>
      <c r="F918" s="62">
        <v>2861</v>
      </c>
      <c r="G918" s="62">
        <v>39.700000000000003</v>
      </c>
      <c r="H918" s="62"/>
      <c r="I918" s="89">
        <f t="shared" si="116"/>
        <v>2821.3</v>
      </c>
      <c r="J918" s="63" t="s">
        <v>156</v>
      </c>
      <c r="K918" s="63">
        <v>1</v>
      </c>
      <c r="L918" s="63"/>
      <c r="M918" s="63">
        <v>1</v>
      </c>
      <c r="N918" s="63">
        <v>1</v>
      </c>
      <c r="O918" s="63">
        <v>1</v>
      </c>
      <c r="P918" s="63">
        <v>1</v>
      </c>
      <c r="Q918" s="63">
        <v>1</v>
      </c>
      <c r="R918" s="63">
        <v>1</v>
      </c>
      <c r="S918" s="296">
        <v>1</v>
      </c>
      <c r="T918" s="63"/>
      <c r="U918" s="10"/>
      <c r="V918" s="90">
        <v>315</v>
      </c>
      <c r="W918" s="136"/>
      <c r="X918" s="137"/>
    </row>
    <row r="919" spans="1:24">
      <c r="B919" s="87">
        <f>B918+1</f>
        <v>27</v>
      </c>
      <c r="C919" s="640">
        <v>45940</v>
      </c>
      <c r="D919" s="283">
        <v>74315</v>
      </c>
      <c r="E919" s="283" t="s">
        <v>1088</v>
      </c>
      <c r="F919" s="284">
        <v>5233</v>
      </c>
      <c r="G919" s="284">
        <v>39.700000000000003</v>
      </c>
      <c r="H919" s="284"/>
      <c r="I919" s="285">
        <f t="shared" si="116"/>
        <v>5193.3</v>
      </c>
      <c r="J919" s="286" t="s">
        <v>205</v>
      </c>
      <c r="K919" s="286">
        <v>1</v>
      </c>
      <c r="L919" s="286"/>
      <c r="M919" s="286"/>
      <c r="N919" s="286">
        <v>1</v>
      </c>
      <c r="O919" s="286"/>
      <c r="P919" s="286"/>
      <c r="Q919" s="286">
        <v>1</v>
      </c>
      <c r="R919" s="286">
        <v>1</v>
      </c>
      <c r="S919" s="287">
        <v>1</v>
      </c>
      <c r="T919" s="63"/>
      <c r="U919" s="10"/>
      <c r="V919" s="90"/>
      <c r="W919" s="136"/>
      <c r="X919" s="137"/>
    </row>
    <row r="920" spans="1:24">
      <c r="B920" s="11"/>
      <c r="C920" s="621"/>
      <c r="D920" s="10"/>
      <c r="E920" s="10"/>
      <c r="F920" s="97">
        <f>SUM(F893:F919)</f>
        <v>112683</v>
      </c>
      <c r="G920" s="97">
        <f>SUM(G893:G919)</f>
        <v>714.60000000000014</v>
      </c>
      <c r="H920" s="97">
        <f>SUM(H893:H919)</f>
        <v>0</v>
      </c>
      <c r="I920" s="98">
        <f>SUM(I893:I919)</f>
        <v>111968.40000000002</v>
      </c>
      <c r="J920" s="10"/>
      <c r="K920" s="10"/>
      <c r="L920" s="10"/>
      <c r="M920" s="10"/>
      <c r="N920" s="10"/>
      <c r="O920" s="10"/>
      <c r="P920" s="10"/>
      <c r="Q920" s="10"/>
      <c r="R920" s="10"/>
      <c r="S920" s="10"/>
      <c r="T920" s="63"/>
      <c r="U920" s="10"/>
      <c r="V920" s="138"/>
      <c r="W920" s="136"/>
      <c r="X920" s="137"/>
    </row>
    <row r="921" spans="1:24">
      <c r="B921" s="26"/>
      <c r="C921" s="612"/>
      <c r="D921" s="141"/>
      <c r="E921" s="141"/>
      <c r="F921" s="141"/>
      <c r="G921" s="141"/>
      <c r="H921" s="141"/>
      <c r="I921" s="141"/>
      <c r="J921" s="141"/>
      <c r="K921" s="142"/>
      <c r="L921" s="142"/>
      <c r="M921" s="142"/>
      <c r="N921" s="142"/>
      <c r="O921" s="142"/>
      <c r="P921" s="142"/>
      <c r="Q921" s="142"/>
      <c r="R921" s="142"/>
      <c r="S921" s="142"/>
      <c r="T921" s="143">
        <f>SUM(T851:T920)</f>
        <v>5</v>
      </c>
      <c r="U921" s="141"/>
      <c r="V921" s="144">
        <f>SUM(V851:V920)</f>
        <v>33440.159999999989</v>
      </c>
      <c r="W921" s="144">
        <f t="shared" ref="W921:X921" si="118">SUM(W851:W920)</f>
        <v>0</v>
      </c>
      <c r="X921" s="144">
        <f t="shared" si="118"/>
        <v>0</v>
      </c>
    </row>
    <row r="922" spans="1:24">
      <c r="B922" s="10"/>
      <c r="C922" s="36"/>
      <c r="D922" s="10"/>
      <c r="E922" s="10"/>
      <c r="F922" s="10"/>
      <c r="G922" s="10"/>
      <c r="H922" s="10"/>
      <c r="I922" s="10"/>
      <c r="J922" s="10"/>
      <c r="K922" s="147"/>
      <c r="L922" s="147"/>
      <c r="M922" s="147"/>
      <c r="N922" s="147"/>
      <c r="O922" s="147"/>
      <c r="P922" s="147"/>
      <c r="Q922" s="147"/>
      <c r="R922" s="147"/>
      <c r="S922" s="147"/>
      <c r="T922" s="21"/>
      <c r="U922" s="10"/>
      <c r="V922" s="99"/>
      <c r="W922" s="99"/>
      <c r="X922" s="99"/>
    </row>
    <row r="924" spans="1:24">
      <c r="A924" s="613"/>
      <c r="B924" s="4" t="s">
        <v>1</v>
      </c>
      <c r="C924" s="5"/>
      <c r="D924" s="6"/>
      <c r="E924" s="6"/>
      <c r="F924" s="7" t="s">
        <v>2</v>
      </c>
      <c r="G924" s="608">
        <v>45949</v>
      </c>
      <c r="H924" s="7"/>
      <c r="I924" s="6"/>
      <c r="J924" s="6"/>
      <c r="K924" s="6"/>
      <c r="L924" s="6"/>
      <c r="M924" s="6"/>
      <c r="N924" s="6"/>
      <c r="O924" s="6"/>
      <c r="P924" s="6"/>
      <c r="Q924" s="6"/>
      <c r="R924" s="6"/>
      <c r="S924" s="6"/>
      <c r="T924" s="6"/>
      <c r="U924" s="9"/>
      <c r="V924" s="10"/>
      <c r="W924" s="10"/>
      <c r="X924" s="10"/>
    </row>
    <row r="925" spans="1:24">
      <c r="A925" s="614"/>
      <c r="B925" s="11"/>
      <c r="C925" s="10"/>
      <c r="D925" s="10"/>
      <c r="E925" s="10"/>
      <c r="F925" s="10"/>
      <c r="G925" s="7"/>
      <c r="H925" s="12"/>
      <c r="I925" s="10"/>
      <c r="J925" s="10"/>
      <c r="K925" s="13" t="s">
        <v>3</v>
      </c>
      <c r="L925" s="14"/>
      <c r="M925" s="15"/>
      <c r="N925" s="13" t="s">
        <v>4</v>
      </c>
      <c r="O925" s="14"/>
      <c r="P925" s="15"/>
      <c r="Q925" s="13" t="s">
        <v>5</v>
      </c>
      <c r="R925" s="14"/>
      <c r="S925" s="15"/>
      <c r="T925" s="16"/>
      <c r="U925" s="17"/>
      <c r="V925" s="10"/>
      <c r="W925" s="10"/>
      <c r="X925" s="10"/>
    </row>
    <row r="926" spans="1:24">
      <c r="A926" s="614"/>
      <c r="B926" s="18" t="s">
        <v>6</v>
      </c>
      <c r="C926" s="19">
        <f>C927+C928</f>
        <v>36</v>
      </c>
      <c r="D926" s="10"/>
      <c r="E926" s="18" t="s">
        <v>7</v>
      </c>
      <c r="F926" s="6"/>
      <c r="G926" s="9"/>
      <c r="H926" s="10"/>
      <c r="I926" s="10"/>
      <c r="J926" s="10"/>
      <c r="K926" s="20" t="s">
        <v>8</v>
      </c>
      <c r="L926" s="21" t="s">
        <v>9</v>
      </c>
      <c r="M926" s="21" t="s">
        <v>10</v>
      </c>
      <c r="N926" s="20" t="s">
        <v>11</v>
      </c>
      <c r="O926" s="21" t="s">
        <v>12</v>
      </c>
      <c r="P926" s="22" t="s">
        <v>13</v>
      </c>
      <c r="Q926" s="21" t="s">
        <v>11</v>
      </c>
      <c r="R926" s="21" t="s">
        <v>12</v>
      </c>
      <c r="S926" s="22" t="s">
        <v>13</v>
      </c>
      <c r="T926" s="23" t="s">
        <v>14</v>
      </c>
      <c r="U926" s="17"/>
      <c r="V926" s="10"/>
      <c r="W926" s="10"/>
      <c r="X926" s="10"/>
    </row>
    <row r="927" spans="1:24">
      <c r="A927" s="614"/>
      <c r="B927" s="24" t="s">
        <v>15</v>
      </c>
      <c r="C927" s="25">
        <f>P934</f>
        <v>21</v>
      </c>
      <c r="D927" s="10"/>
      <c r="E927" s="26" t="s">
        <v>16</v>
      </c>
      <c r="F927" s="27">
        <v>0.05</v>
      </c>
      <c r="G927" s="28"/>
      <c r="H927" s="10"/>
      <c r="I927" s="10"/>
      <c r="J927" s="18" t="s">
        <v>17</v>
      </c>
      <c r="K927" s="29">
        <f>K968</f>
        <v>16</v>
      </c>
      <c r="L927" s="29">
        <f>L968</f>
        <v>16</v>
      </c>
      <c r="M927" s="29">
        <f>M968</f>
        <v>16</v>
      </c>
      <c r="N927" s="29">
        <f>N968</f>
        <v>16</v>
      </c>
      <c r="O927" s="29">
        <f>O968</f>
        <v>16</v>
      </c>
      <c r="P927" s="29">
        <f>P968</f>
        <v>16</v>
      </c>
      <c r="Q927" s="29">
        <f>Q968</f>
        <v>16</v>
      </c>
      <c r="R927" s="29">
        <f>R968</f>
        <v>15</v>
      </c>
      <c r="S927" s="29">
        <f>S968</f>
        <v>15</v>
      </c>
      <c r="T927" s="30">
        <f>T1030</f>
        <v>7</v>
      </c>
      <c r="U927" s="17" t="s">
        <v>1252</v>
      </c>
      <c r="V927" s="10"/>
      <c r="W927" s="10"/>
      <c r="X927" s="10"/>
    </row>
    <row r="928" spans="1:24">
      <c r="A928" s="614"/>
      <c r="B928" s="24" t="s">
        <v>18</v>
      </c>
      <c r="C928" s="25">
        <f>P935</f>
        <v>15</v>
      </c>
      <c r="D928" s="10"/>
      <c r="E928" s="10"/>
      <c r="F928" s="10"/>
      <c r="G928" s="31"/>
      <c r="H928" s="10"/>
      <c r="I928" s="10"/>
      <c r="J928" s="32" t="s">
        <v>19</v>
      </c>
      <c r="K928" s="33">
        <f>K968/K967</f>
        <v>1</v>
      </c>
      <c r="L928" s="33">
        <f>L968/L967</f>
        <v>1</v>
      </c>
      <c r="M928" s="33">
        <f>M968/M967</f>
        <v>1</v>
      </c>
      <c r="N928" s="33">
        <f>N968/N967</f>
        <v>1</v>
      </c>
      <c r="O928" s="33">
        <f>O968/O967</f>
        <v>1</v>
      </c>
      <c r="P928" s="33">
        <f>P968/P967</f>
        <v>1</v>
      </c>
      <c r="Q928" s="33">
        <f>Q968/Q967</f>
        <v>1</v>
      </c>
      <c r="R928" s="33">
        <f>R968/R967</f>
        <v>0.9375</v>
      </c>
      <c r="S928" s="33">
        <f>S968/S967</f>
        <v>0.9375</v>
      </c>
      <c r="T928" s="23"/>
      <c r="U928" s="17" t="s">
        <v>20</v>
      </c>
      <c r="V928" s="10"/>
      <c r="W928" s="10"/>
      <c r="X928" s="10"/>
    </row>
    <row r="929" spans="1:24">
      <c r="A929" s="614"/>
      <c r="B929" s="24" t="s">
        <v>21</v>
      </c>
      <c r="C929" s="34">
        <f>P936</f>
        <v>0.58333333333333337</v>
      </c>
      <c r="D929" s="10"/>
      <c r="E929" s="10"/>
      <c r="F929" s="10"/>
      <c r="G929" s="10"/>
      <c r="H929" s="10"/>
      <c r="I929" s="10"/>
      <c r="J929" s="10"/>
      <c r="K929" s="10"/>
      <c r="L929" s="10"/>
      <c r="M929" s="10"/>
      <c r="N929" s="10"/>
      <c r="O929" s="10"/>
      <c r="P929" s="10"/>
      <c r="Q929" s="10"/>
      <c r="R929" s="10"/>
      <c r="S929" s="10"/>
      <c r="T929" s="10"/>
      <c r="U929" s="17"/>
      <c r="V929" s="10"/>
      <c r="W929" s="10"/>
      <c r="X929" s="10"/>
    </row>
    <row r="930" spans="1:24">
      <c r="A930" s="614"/>
      <c r="B930" s="24"/>
      <c r="C930" s="25"/>
      <c r="D930" s="10"/>
      <c r="E930" s="10"/>
      <c r="F930" s="18" t="s">
        <v>22</v>
      </c>
      <c r="G930" s="19" t="s">
        <v>23</v>
      </c>
      <c r="H930" s="35" t="s">
        <v>24</v>
      </c>
      <c r="I930" s="10"/>
      <c r="J930" s="10"/>
      <c r="K930" s="36"/>
      <c r="L930" s="36"/>
      <c r="M930" s="36"/>
      <c r="N930" s="36"/>
      <c r="O930" s="36"/>
      <c r="P930" s="36"/>
      <c r="Q930" s="36"/>
      <c r="R930" s="10"/>
      <c r="S930" s="10"/>
      <c r="T930" s="10"/>
      <c r="U930" s="17"/>
      <c r="V930" s="10"/>
      <c r="W930" s="10"/>
      <c r="X930" s="10"/>
    </row>
    <row r="931" spans="1:24" ht="14.25" customHeight="1">
      <c r="A931" s="614"/>
      <c r="B931" s="32" t="s">
        <v>25</v>
      </c>
      <c r="C931" s="37">
        <f>P937</f>
        <v>3116.9980952380952</v>
      </c>
      <c r="D931" s="10"/>
      <c r="E931" s="18" t="s">
        <v>26</v>
      </c>
      <c r="F931" s="38">
        <f>P933</f>
        <v>65456.959999999999</v>
      </c>
      <c r="G931" s="39">
        <f>I967+I984+I990</f>
        <v>65456.959999999999</v>
      </c>
      <c r="H931" s="40"/>
      <c r="I931" s="41"/>
      <c r="J931" s="42"/>
      <c r="K931" s="43" t="s">
        <v>27</v>
      </c>
      <c r="L931" s="44"/>
      <c r="M931" s="44"/>
      <c r="N931" s="44"/>
      <c r="O931" s="44"/>
      <c r="P931" s="44"/>
      <c r="Q931" s="45"/>
      <c r="R931" s="46" t="s">
        <v>28</v>
      </c>
      <c r="S931" s="47" t="s">
        <v>29</v>
      </c>
      <c r="T931" s="10"/>
      <c r="U931" s="17"/>
      <c r="V931" s="10"/>
      <c r="W931" s="10"/>
      <c r="X931" s="10"/>
    </row>
    <row r="932" spans="1:24">
      <c r="A932" s="614"/>
      <c r="B932" s="11"/>
      <c r="C932" s="10"/>
      <c r="D932" s="10"/>
      <c r="E932" s="24" t="s">
        <v>30</v>
      </c>
      <c r="F932" s="48">
        <f>F927</f>
        <v>0.05</v>
      </c>
      <c r="G932" s="17"/>
      <c r="H932" s="40"/>
      <c r="I932" s="41"/>
      <c r="J932" s="42"/>
      <c r="K932" s="20" t="s">
        <v>31</v>
      </c>
      <c r="L932" s="21" t="s">
        <v>32</v>
      </c>
      <c r="M932" s="21" t="s">
        <v>33</v>
      </c>
      <c r="N932" s="21" t="s">
        <v>34</v>
      </c>
      <c r="O932" s="21" t="s">
        <v>35</v>
      </c>
      <c r="P932" s="21" t="s">
        <v>36</v>
      </c>
      <c r="Q932" s="49" t="s">
        <v>37</v>
      </c>
      <c r="R932" s="50" t="s">
        <v>38</v>
      </c>
      <c r="S932" s="50" t="s">
        <v>38</v>
      </c>
      <c r="T932" s="10"/>
      <c r="U932" s="17"/>
      <c r="V932" s="10"/>
      <c r="W932" s="10"/>
      <c r="X932" s="10"/>
    </row>
    <row r="933" spans="1:24">
      <c r="A933" s="614"/>
      <c r="B933" s="11"/>
      <c r="C933" s="10"/>
      <c r="D933" s="10"/>
      <c r="E933" s="51" t="s">
        <v>39</v>
      </c>
      <c r="F933" s="52">
        <f>(F931+F940-I982-I983-I987-I988-I989)*F932</f>
        <v>1011.7119999999994</v>
      </c>
      <c r="G933" s="53" t="s">
        <v>40</v>
      </c>
      <c r="H933" s="54">
        <f>F933/1.12</f>
        <v>903.31428571428512</v>
      </c>
      <c r="I933" s="55"/>
      <c r="J933" s="42"/>
      <c r="K933" s="56">
        <f>I951+I953+I952</f>
        <v>6746.36</v>
      </c>
      <c r="L933" s="57">
        <f>I954+I955+I956+I957+I982+I987</f>
        <v>20150.28</v>
      </c>
      <c r="M933" s="57">
        <f>I958+I959+I983</f>
        <v>2929.9300000000003</v>
      </c>
      <c r="N933" s="57">
        <f>I960+I961+I962+I963</f>
        <v>5471.35</v>
      </c>
      <c r="O933" s="57">
        <f>I964+I965+I966+I988+I989</f>
        <v>30159.040000000001</v>
      </c>
      <c r="P933" s="57">
        <f>SUM(K933:O933)</f>
        <v>65456.959999999999</v>
      </c>
      <c r="Q933" s="58">
        <f>I971+I972+I973+I994</f>
        <v>11401.710000000001</v>
      </c>
      <c r="R933" s="59">
        <f>I984+I990</f>
        <v>45206.720000000001</v>
      </c>
      <c r="S933" s="59">
        <f>I995</f>
        <v>2861.9</v>
      </c>
      <c r="T933" s="10"/>
      <c r="U933" s="17"/>
      <c r="V933" s="10"/>
      <c r="W933" s="10"/>
      <c r="X933" s="10"/>
    </row>
    <row r="934" spans="1:24">
      <c r="A934" s="614"/>
      <c r="B934" s="11"/>
      <c r="C934" s="10"/>
      <c r="D934" s="10"/>
      <c r="E934" s="24" t="s">
        <v>41</v>
      </c>
      <c r="F934" s="60">
        <f>Q933</f>
        <v>11401.710000000001</v>
      </c>
      <c r="G934" s="61" t="s">
        <v>40</v>
      </c>
      <c r="H934" s="62"/>
      <c r="I934" s="384" t="s">
        <v>1253</v>
      </c>
      <c r="J934" s="10" t="s">
        <v>42</v>
      </c>
      <c r="K934" s="63">
        <v>3</v>
      </c>
      <c r="L934" s="63">
        <v>6</v>
      </c>
      <c r="M934" s="63">
        <v>3</v>
      </c>
      <c r="N934" s="63">
        <v>4</v>
      </c>
      <c r="O934" s="63">
        <v>5</v>
      </c>
      <c r="P934" s="21">
        <f>SUM(K934:O934)</f>
        <v>21</v>
      </c>
      <c r="Q934" s="64">
        <v>4</v>
      </c>
      <c r="R934" s="63"/>
      <c r="S934" s="10"/>
      <c r="T934" s="10"/>
      <c r="U934" s="17"/>
      <c r="V934" s="10"/>
      <c r="W934" s="10"/>
      <c r="X934" s="10"/>
    </row>
    <row r="935" spans="1:24">
      <c r="A935" s="614"/>
      <c r="B935" s="11"/>
      <c r="C935" s="10"/>
      <c r="D935" s="10"/>
      <c r="E935" s="51" t="s">
        <v>43</v>
      </c>
      <c r="F935" s="52">
        <f>(F934-I994)*0.25</f>
        <v>2134.9525000000003</v>
      </c>
      <c r="G935" s="53" t="s">
        <v>40</v>
      </c>
      <c r="H935" s="54">
        <f>F935/1.12</f>
        <v>1906.2075892857144</v>
      </c>
      <c r="I935" s="644">
        <f>7.5*67.5</f>
        <v>506.25</v>
      </c>
      <c r="J935" s="10" t="s">
        <v>44</v>
      </c>
      <c r="K935" s="63">
        <v>2</v>
      </c>
      <c r="L935" s="63">
        <v>2</v>
      </c>
      <c r="M935" s="63">
        <v>6</v>
      </c>
      <c r="N935" s="63">
        <v>3</v>
      </c>
      <c r="O935" s="63">
        <v>2</v>
      </c>
      <c r="P935" s="21">
        <f>SUM(K935:O935)</f>
        <v>15</v>
      </c>
      <c r="Q935" s="64">
        <v>2</v>
      </c>
      <c r="R935" s="63"/>
      <c r="S935" s="10"/>
      <c r="T935" s="10"/>
      <c r="U935" s="17"/>
      <c r="V935" s="10"/>
      <c r="W935" s="10"/>
      <c r="X935" s="10"/>
    </row>
    <row r="936" spans="1:24">
      <c r="A936" s="614"/>
      <c r="B936" s="11"/>
      <c r="C936" s="10"/>
      <c r="D936" s="10"/>
      <c r="E936" s="24" t="s">
        <v>45</v>
      </c>
      <c r="F936" s="60">
        <f>I979</f>
        <v>3701.6899999999996</v>
      </c>
      <c r="G936" s="61" t="s">
        <v>40</v>
      </c>
      <c r="H936" s="62"/>
      <c r="I936" s="10"/>
      <c r="J936" s="10" t="s">
        <v>46</v>
      </c>
      <c r="K936" s="31">
        <f>K934/(K934+K935)</f>
        <v>0.6</v>
      </c>
      <c r="L936" s="31">
        <f>L934/(L934+L935)</f>
        <v>0.75</v>
      </c>
      <c r="M936" s="31">
        <f>M934/(M934+M935)</f>
        <v>0.33333333333333331</v>
      </c>
      <c r="N936" s="31">
        <f>N934/(N934+N935)</f>
        <v>0.5714285714285714</v>
      </c>
      <c r="O936" s="31">
        <f>O934/(O934+O935)</f>
        <v>0.7142857142857143</v>
      </c>
      <c r="P936" s="31">
        <f>P934/(P934+P935)</f>
        <v>0.58333333333333337</v>
      </c>
      <c r="Q936" s="31">
        <f>Q934/(Q934+Q935)</f>
        <v>0.66666666666666663</v>
      </c>
      <c r="R936" s="63"/>
      <c r="S936" s="10"/>
      <c r="T936" s="10"/>
      <c r="U936" s="17"/>
      <c r="V936" s="10"/>
      <c r="W936" s="10"/>
      <c r="X936" s="10"/>
    </row>
    <row r="937" spans="1:24">
      <c r="A937" s="614"/>
      <c r="B937" s="11"/>
      <c r="C937" s="10"/>
      <c r="D937" s="10"/>
      <c r="E937" s="51" t="s">
        <v>47</v>
      </c>
      <c r="F937" s="52">
        <f>F936*0.05</f>
        <v>185.08449999999999</v>
      </c>
      <c r="G937" s="65" t="s">
        <v>40</v>
      </c>
      <c r="H937" s="54">
        <f>F937/1.12</f>
        <v>165.25401785714283</v>
      </c>
      <c r="I937" s="42"/>
      <c r="J937" s="10" t="s">
        <v>48</v>
      </c>
      <c r="K937" s="66">
        <f>K933/K934</f>
        <v>2248.7866666666664</v>
      </c>
      <c r="L937" s="66">
        <f>L933/L934</f>
        <v>3358.3799999999997</v>
      </c>
      <c r="M937" s="66">
        <f>M933/M934</f>
        <v>976.64333333333343</v>
      </c>
      <c r="N937" s="66">
        <f>N933/N934</f>
        <v>1367.8375000000001</v>
      </c>
      <c r="O937" s="66">
        <f>O933/O934</f>
        <v>6031.808</v>
      </c>
      <c r="P937" s="66">
        <f>P933/P934</f>
        <v>3116.9980952380952</v>
      </c>
      <c r="Q937" s="66">
        <f>Q933/Q934</f>
        <v>2850.4275000000002</v>
      </c>
      <c r="R937" s="63"/>
      <c r="S937" s="10"/>
      <c r="T937" s="10"/>
      <c r="U937" s="17"/>
      <c r="V937" s="10"/>
      <c r="W937" s="10"/>
      <c r="X937" s="10"/>
    </row>
    <row r="938" spans="1:24">
      <c r="A938" s="614"/>
      <c r="B938" s="11"/>
      <c r="C938" s="10"/>
      <c r="D938" s="10"/>
      <c r="E938" s="67" t="s">
        <v>14</v>
      </c>
      <c r="F938" s="68">
        <f>6*50</f>
        <v>300</v>
      </c>
      <c r="G938" s="10"/>
      <c r="H938" s="54">
        <f>F938/1.12</f>
        <v>267.85714285714283</v>
      </c>
      <c r="I938" s="10"/>
      <c r="J938" s="10"/>
      <c r="K938" s="10"/>
      <c r="L938" s="10"/>
      <c r="M938" s="10"/>
      <c r="N938" s="10"/>
      <c r="O938" s="10"/>
      <c r="P938" s="10"/>
      <c r="Q938" s="10"/>
      <c r="R938" s="10"/>
      <c r="S938" s="10"/>
      <c r="T938" s="10"/>
      <c r="U938" s="17"/>
      <c r="V938" s="10"/>
      <c r="W938" s="10"/>
      <c r="X938" s="10"/>
    </row>
    <row r="939" spans="1:24">
      <c r="A939" s="614"/>
      <c r="B939" s="11"/>
      <c r="C939" s="10"/>
      <c r="D939" s="10"/>
      <c r="E939" s="67" t="s">
        <v>49</v>
      </c>
      <c r="F939" s="69">
        <f>T928</f>
        <v>0</v>
      </c>
      <c r="G939" s="10"/>
      <c r="H939" s="54"/>
      <c r="I939" s="55"/>
      <c r="J939" s="42"/>
      <c r="K939" s="764" t="s">
        <v>50</v>
      </c>
      <c r="L939" s="765"/>
      <c r="M939" s="765"/>
      <c r="N939" s="765"/>
      <c r="O939" s="765"/>
      <c r="P939" s="765"/>
      <c r="Q939" s="766"/>
      <c r="R939" s="70" t="s">
        <v>28</v>
      </c>
      <c r="S939" s="71" t="s">
        <v>29</v>
      </c>
      <c r="T939" s="10"/>
      <c r="U939" s="17"/>
      <c r="V939" s="10"/>
      <c r="W939" s="10"/>
      <c r="X939" s="10"/>
    </row>
    <row r="940" spans="1:24">
      <c r="A940" s="614"/>
      <c r="B940" s="11"/>
      <c r="C940" s="10"/>
      <c r="D940" s="10"/>
      <c r="E940" s="74" t="s">
        <v>1254</v>
      </c>
      <c r="F940" s="75">
        <v>-16</v>
      </c>
      <c r="G940" s="10"/>
      <c r="H940" s="10"/>
      <c r="I940" s="10"/>
      <c r="J940" s="42"/>
      <c r="K940" s="20" t="s">
        <v>31</v>
      </c>
      <c r="L940" s="21" t="s">
        <v>32</v>
      </c>
      <c r="M940" s="21" t="s">
        <v>33</v>
      </c>
      <c r="N940" s="21" t="s">
        <v>34</v>
      </c>
      <c r="O940" s="21" t="s">
        <v>35</v>
      </c>
      <c r="P940" s="21" t="s">
        <v>36</v>
      </c>
      <c r="Q940" s="49" t="s">
        <v>37</v>
      </c>
      <c r="R940" s="50" t="s">
        <v>38</v>
      </c>
      <c r="S940" s="50" t="s">
        <v>38</v>
      </c>
      <c r="T940" s="10"/>
      <c r="U940" s="17"/>
      <c r="V940" s="10"/>
      <c r="W940" s="10"/>
      <c r="X940" s="10"/>
    </row>
    <row r="941" spans="1:24">
      <c r="A941" s="614"/>
      <c r="B941" s="11"/>
      <c r="C941" s="10"/>
      <c r="D941" s="10"/>
      <c r="E941" s="10"/>
      <c r="F941" s="10"/>
      <c r="G941" s="10"/>
      <c r="H941" s="10"/>
      <c r="I941" s="10"/>
      <c r="J941" s="42"/>
      <c r="K941" s="56">
        <f>F951+F953+F952</f>
        <v>8806</v>
      </c>
      <c r="L941" s="57">
        <f>F954+F955+F956+F957+F982+F987</f>
        <v>22613.5</v>
      </c>
      <c r="M941" s="57">
        <f>F958+F959+F983</f>
        <v>3145.9</v>
      </c>
      <c r="N941" s="57">
        <f>F960+F961+F962+F963</f>
        <v>5750</v>
      </c>
      <c r="O941" s="57">
        <f>F964+F965+F966+F988+F989</f>
        <v>35902.9</v>
      </c>
      <c r="P941" s="57">
        <f>SUM(K941:O941)</f>
        <v>76218.3</v>
      </c>
      <c r="Q941" s="58">
        <f>F964+F965+F966+F994</f>
        <v>5816.6</v>
      </c>
      <c r="R941" s="59">
        <f>F984+F990</f>
        <v>53334.400000000001</v>
      </c>
      <c r="S941" s="59">
        <f>+F995</f>
        <v>2901.6</v>
      </c>
      <c r="T941" s="10"/>
      <c r="U941" s="17"/>
      <c r="V941" s="10"/>
      <c r="W941" s="10"/>
      <c r="X941" s="10"/>
    </row>
    <row r="942" spans="1:24">
      <c r="A942" s="614"/>
      <c r="B942" s="11"/>
      <c r="C942" s="10"/>
      <c r="D942" s="10"/>
      <c r="E942" s="10"/>
      <c r="F942" s="10"/>
      <c r="G942" s="10"/>
      <c r="H942" s="10"/>
      <c r="I942" s="10"/>
      <c r="J942" s="10" t="s">
        <v>42</v>
      </c>
      <c r="K942" s="63">
        <f>K934</f>
        <v>3</v>
      </c>
      <c r="L942" s="63">
        <f>L934</f>
        <v>6</v>
      </c>
      <c r="M942" s="63">
        <f>M934</f>
        <v>3</v>
      </c>
      <c r="N942" s="63">
        <f>N934</f>
        <v>4</v>
      </c>
      <c r="O942" s="63">
        <f>O934</f>
        <v>5</v>
      </c>
      <c r="P942" s="63">
        <f>P934</f>
        <v>21</v>
      </c>
      <c r="Q942" s="63">
        <f>Q934</f>
        <v>4</v>
      </c>
      <c r="R942" s="63"/>
      <c r="S942" s="10"/>
      <c r="T942" s="10"/>
      <c r="U942" s="17"/>
      <c r="V942" s="10"/>
      <c r="W942" s="10"/>
      <c r="X942" s="10"/>
    </row>
    <row r="943" spans="1:24">
      <c r="A943" s="614"/>
      <c r="B943" s="11"/>
      <c r="C943" s="10"/>
      <c r="D943" s="10"/>
      <c r="E943" s="10"/>
      <c r="F943" s="10"/>
      <c r="G943" s="10"/>
      <c r="H943" s="10"/>
      <c r="I943" s="10"/>
      <c r="J943" s="10" t="s">
        <v>44</v>
      </c>
      <c r="K943" s="63">
        <f>K935</f>
        <v>2</v>
      </c>
      <c r="L943" s="63">
        <f>L935</f>
        <v>2</v>
      </c>
      <c r="M943" s="63">
        <f>M935</f>
        <v>6</v>
      </c>
      <c r="N943" s="63">
        <f>N935</f>
        <v>3</v>
      </c>
      <c r="O943" s="63">
        <f>O935</f>
        <v>2</v>
      </c>
      <c r="P943" s="63">
        <f>P935</f>
        <v>15</v>
      </c>
      <c r="Q943" s="63">
        <f>Q935</f>
        <v>2</v>
      </c>
      <c r="R943" s="63"/>
      <c r="S943" s="10"/>
      <c r="T943" s="10"/>
      <c r="U943" s="17"/>
      <c r="V943" s="10"/>
      <c r="W943" s="10"/>
      <c r="X943" s="10"/>
    </row>
    <row r="944" spans="1:24">
      <c r="A944" s="614"/>
      <c r="B944" s="11"/>
      <c r="C944" s="10"/>
      <c r="D944" s="10"/>
      <c r="E944" s="12"/>
      <c r="F944" s="76"/>
      <c r="G944" s="10"/>
      <c r="H944" s="10"/>
      <c r="I944" s="10"/>
      <c r="J944" s="10" t="s">
        <v>46</v>
      </c>
      <c r="K944" s="31">
        <f>K942/(K942+K943)</f>
        <v>0.6</v>
      </c>
      <c r="L944" s="31">
        <f>L942/(L942+L943)</f>
        <v>0.75</v>
      </c>
      <c r="M944" s="31">
        <f>M942/(M942+M943)</f>
        <v>0.33333333333333331</v>
      </c>
      <c r="N944" s="31">
        <f>N942/(N942+N943)</f>
        <v>0.5714285714285714</v>
      </c>
      <c r="O944" s="31">
        <f>O942/(O942+O943)</f>
        <v>0.7142857142857143</v>
      </c>
      <c r="P944" s="31">
        <f>P942/(P942+P943)</f>
        <v>0.58333333333333337</v>
      </c>
      <c r="Q944" s="31">
        <f>Q942/(Q942+Q943)</f>
        <v>0.66666666666666663</v>
      </c>
      <c r="R944" s="63"/>
      <c r="S944" s="10"/>
      <c r="T944" s="10"/>
      <c r="U944" s="17"/>
      <c r="V944" s="10"/>
      <c r="W944" s="10"/>
      <c r="X944" s="10"/>
    </row>
    <row r="945" spans="1:24">
      <c r="A945" s="614"/>
      <c r="B945" s="11"/>
      <c r="C945" s="10"/>
      <c r="D945" s="10"/>
      <c r="E945" s="10"/>
      <c r="F945" s="10"/>
      <c r="G945" s="10"/>
      <c r="H945" s="10"/>
      <c r="I945" s="10"/>
      <c r="J945" s="10" t="s">
        <v>48</v>
      </c>
      <c r="K945" s="66">
        <f>K941/K942</f>
        <v>2935.3333333333335</v>
      </c>
      <c r="L945" s="66">
        <f>L941/L942</f>
        <v>3768.9166666666665</v>
      </c>
      <c r="M945" s="66">
        <f>M941/M942</f>
        <v>1048.6333333333334</v>
      </c>
      <c r="N945" s="66">
        <f>N941/N942</f>
        <v>1437.5</v>
      </c>
      <c r="O945" s="66">
        <f>O941/O942</f>
        <v>7180.58</v>
      </c>
      <c r="P945" s="66">
        <f>P941/P942</f>
        <v>3629.4428571428571</v>
      </c>
      <c r="Q945" s="66">
        <f>Q941/Q942</f>
        <v>1454.15</v>
      </c>
      <c r="R945" s="63"/>
      <c r="S945" s="10"/>
      <c r="T945" s="10"/>
      <c r="U945" s="17"/>
      <c r="V945" s="10"/>
      <c r="W945" s="10"/>
      <c r="X945" s="10"/>
    </row>
    <row r="946" spans="1:24">
      <c r="A946" s="614"/>
      <c r="B946" s="11"/>
      <c r="C946" s="10"/>
      <c r="D946" s="10"/>
      <c r="E946" s="10"/>
      <c r="F946" s="10"/>
      <c r="G946" s="10"/>
      <c r="H946" s="10"/>
      <c r="I946" s="10"/>
      <c r="J946" s="10"/>
      <c r="K946" s="10"/>
      <c r="L946" s="10"/>
      <c r="M946" s="10"/>
      <c r="N946" s="10"/>
      <c r="O946" s="10"/>
      <c r="P946" s="10"/>
      <c r="Q946" s="10"/>
      <c r="R946" s="10"/>
      <c r="S946" s="10"/>
      <c r="T946" s="10"/>
      <c r="U946" s="17"/>
      <c r="V946" s="10"/>
      <c r="W946" s="10"/>
      <c r="X946" s="10"/>
    </row>
    <row r="947" spans="1:24">
      <c r="A947" s="614"/>
      <c r="B947" s="11"/>
      <c r="C947" s="10"/>
      <c r="D947" s="10"/>
      <c r="E947" s="10"/>
      <c r="F947" s="10"/>
      <c r="G947" s="10"/>
      <c r="H947" s="10"/>
      <c r="I947" s="10"/>
      <c r="J947" s="10"/>
      <c r="K947" s="10"/>
      <c r="L947" s="10"/>
      <c r="M947" s="10"/>
      <c r="N947" s="10"/>
      <c r="O947" s="10"/>
      <c r="P947" s="10"/>
      <c r="Q947" s="10"/>
      <c r="R947" s="10"/>
      <c r="S947" s="10"/>
      <c r="T947" s="10"/>
      <c r="U947" s="17"/>
      <c r="V947" s="10"/>
      <c r="W947" s="10"/>
      <c r="X947" s="10"/>
    </row>
    <row r="948" spans="1:24">
      <c r="A948" s="614"/>
      <c r="B948" s="18" t="s">
        <v>51</v>
      </c>
      <c r="C948" s="14"/>
      <c r="D948" s="14"/>
      <c r="E948" s="14"/>
      <c r="F948" s="13" t="s">
        <v>52</v>
      </c>
      <c r="G948" s="14"/>
      <c r="H948" s="14"/>
      <c r="I948" s="14"/>
      <c r="J948" s="14"/>
      <c r="K948" s="13" t="s">
        <v>3</v>
      </c>
      <c r="L948" s="14"/>
      <c r="M948" s="14"/>
      <c r="N948" s="13" t="s">
        <v>4</v>
      </c>
      <c r="O948" s="14"/>
      <c r="P948" s="14"/>
      <c r="Q948" s="13" t="s">
        <v>5</v>
      </c>
      <c r="R948" s="14"/>
      <c r="S948" s="14"/>
      <c r="T948" s="18"/>
      <c r="U948" s="16" t="s">
        <v>53</v>
      </c>
      <c r="V948" s="77"/>
      <c r="W948" s="77"/>
      <c r="X948" s="77"/>
    </row>
    <row r="949" spans="1:24">
      <c r="A949" s="614"/>
      <c r="B949" s="24" t="s">
        <v>54</v>
      </c>
      <c r="C949" s="21" t="s">
        <v>55</v>
      </c>
      <c r="D949" s="21" t="s">
        <v>56</v>
      </c>
      <c r="E949" s="21" t="s">
        <v>57</v>
      </c>
      <c r="F949" s="20" t="s">
        <v>58</v>
      </c>
      <c r="G949" s="21" t="s">
        <v>59</v>
      </c>
      <c r="H949" s="21" t="s">
        <v>60</v>
      </c>
      <c r="I949" s="21" t="s">
        <v>26</v>
      </c>
      <c r="J949" s="22" t="s">
        <v>61</v>
      </c>
      <c r="K949" s="21" t="s">
        <v>8</v>
      </c>
      <c r="L949" s="21" t="s">
        <v>9</v>
      </c>
      <c r="M949" s="21" t="s">
        <v>10</v>
      </c>
      <c r="N949" s="20" t="s">
        <v>11</v>
      </c>
      <c r="O949" s="21" t="s">
        <v>12</v>
      </c>
      <c r="P949" s="22" t="s">
        <v>13</v>
      </c>
      <c r="Q949" s="21" t="s">
        <v>11</v>
      </c>
      <c r="R949" s="21" t="s">
        <v>12</v>
      </c>
      <c r="S949" s="21" t="s">
        <v>13</v>
      </c>
      <c r="T949" s="78" t="s">
        <v>14</v>
      </c>
      <c r="U949" s="30"/>
      <c r="V949" s="79" t="s">
        <v>62</v>
      </c>
      <c r="W949" s="80" t="s">
        <v>63</v>
      </c>
      <c r="X949" s="81" t="s">
        <v>64</v>
      </c>
    </row>
    <row r="950" spans="1:24">
      <c r="A950" s="614"/>
      <c r="B950" s="4" t="s">
        <v>65</v>
      </c>
      <c r="C950" s="6"/>
      <c r="D950" s="6"/>
      <c r="E950" s="6"/>
      <c r="F950" s="6"/>
      <c r="G950" s="6"/>
      <c r="H950" s="6"/>
      <c r="I950" s="82"/>
      <c r="J950" s="6"/>
      <c r="K950" s="6"/>
      <c r="L950" s="6"/>
      <c r="M950" s="6"/>
      <c r="N950" s="6"/>
      <c r="O950" s="6"/>
      <c r="P950" s="6"/>
      <c r="Q950" s="6"/>
      <c r="R950" s="6"/>
      <c r="S950" s="6"/>
      <c r="T950" s="83"/>
      <c r="U950" s="6"/>
      <c r="V950" s="84"/>
      <c r="W950" s="85"/>
      <c r="X950" s="86"/>
    </row>
    <row r="951" spans="1:24">
      <c r="A951" s="614"/>
      <c r="B951" s="87">
        <v>1</v>
      </c>
      <c r="C951" s="638">
        <v>45943</v>
      </c>
      <c r="D951" s="276">
        <v>74352</v>
      </c>
      <c r="E951" s="276" t="s">
        <v>769</v>
      </c>
      <c r="F951" s="277">
        <v>1073</v>
      </c>
      <c r="G951" s="277">
        <f>39.7</f>
        <v>39.700000000000003</v>
      </c>
      <c r="H951" s="297"/>
      <c r="I951" s="278">
        <f>F951-G951-H951</f>
        <v>1033.3</v>
      </c>
      <c r="J951" s="279" t="s">
        <v>156</v>
      </c>
      <c r="K951" s="279">
        <v>1</v>
      </c>
      <c r="L951" s="279">
        <v>1</v>
      </c>
      <c r="M951" s="279">
        <v>1</v>
      </c>
      <c r="N951" s="279">
        <v>1</v>
      </c>
      <c r="O951" s="279">
        <v>1</v>
      </c>
      <c r="P951" s="279">
        <v>1</v>
      </c>
      <c r="Q951" s="279">
        <v>1</v>
      </c>
      <c r="R951" s="279">
        <v>1</v>
      </c>
      <c r="S951" s="280">
        <v>1</v>
      </c>
      <c r="T951" s="63"/>
      <c r="U951" s="10"/>
      <c r="V951" s="90">
        <f>119+1061.3</f>
        <v>1180.3</v>
      </c>
      <c r="W951" s="91"/>
      <c r="X951" s="92"/>
    </row>
    <row r="952" spans="1:24">
      <c r="A952" s="614"/>
      <c r="B952" s="87">
        <f>B951+1</f>
        <v>2</v>
      </c>
      <c r="C952" s="639">
        <v>45943</v>
      </c>
      <c r="D952" s="10">
        <v>74353</v>
      </c>
      <c r="E952" s="10" t="s">
        <v>172</v>
      </c>
      <c r="F952" s="62">
        <v>5894</v>
      </c>
      <c r="G952" s="62">
        <f>39.7+(1389.83+343.9-148.79)+250</f>
        <v>1874.64</v>
      </c>
      <c r="H952" s="62"/>
      <c r="I952" s="89">
        <f>F952-G952-H952</f>
        <v>4019.3599999999997</v>
      </c>
      <c r="J952" s="63" t="s">
        <v>150</v>
      </c>
      <c r="K952" s="63">
        <v>1</v>
      </c>
      <c r="L952" s="63">
        <v>1</v>
      </c>
      <c r="M952" s="63">
        <v>1</v>
      </c>
      <c r="N952" s="63">
        <v>1</v>
      </c>
      <c r="O952" s="63">
        <v>1</v>
      </c>
      <c r="P952" s="63">
        <v>1</v>
      </c>
      <c r="Q952" s="63">
        <v>1</v>
      </c>
      <c r="R952" s="63">
        <v>1</v>
      </c>
      <c r="S952" s="296">
        <v>1</v>
      </c>
      <c r="T952" s="21">
        <v>1</v>
      </c>
      <c r="U952" s="94" t="s">
        <v>1255</v>
      </c>
      <c r="V952" s="90">
        <v>0</v>
      </c>
      <c r="W952" s="456">
        <f>650+5835</f>
        <v>6485</v>
      </c>
      <c r="X952" s="137"/>
    </row>
    <row r="953" spans="1:24">
      <c r="A953" s="614"/>
      <c r="B953" s="87">
        <f>B952+1</f>
        <v>3</v>
      </c>
      <c r="C953" s="640">
        <v>45943</v>
      </c>
      <c r="D953" s="283">
        <v>74363</v>
      </c>
      <c r="E953" s="283" t="s">
        <v>317</v>
      </c>
      <c r="F953" s="284">
        <v>1839</v>
      </c>
      <c r="G953" s="284">
        <f>39.7+(105.6)</f>
        <v>145.30000000000001</v>
      </c>
      <c r="H953" s="284"/>
      <c r="I953" s="285">
        <f>F953-G953-H953</f>
        <v>1693.7</v>
      </c>
      <c r="J953" s="286" t="s">
        <v>236</v>
      </c>
      <c r="K953" s="286">
        <v>1</v>
      </c>
      <c r="L953" s="286">
        <v>1</v>
      </c>
      <c r="M953" s="286">
        <v>1</v>
      </c>
      <c r="N953" s="286">
        <v>1</v>
      </c>
      <c r="O953" s="286">
        <v>1</v>
      </c>
      <c r="P953" s="286">
        <v>1</v>
      </c>
      <c r="Q953" s="286">
        <v>1</v>
      </c>
      <c r="R953" s="286">
        <v>1</v>
      </c>
      <c r="S953" s="287">
        <v>1</v>
      </c>
      <c r="T953" s="21">
        <v>1</v>
      </c>
      <c r="U953" s="10"/>
      <c r="V953" s="90">
        <v>1722.9</v>
      </c>
      <c r="W953" s="440">
        <f>300</f>
        <v>300</v>
      </c>
      <c r="X953" s="92"/>
    </row>
    <row r="954" spans="1:24">
      <c r="A954" s="613"/>
      <c r="B954" s="87">
        <f>B953+1</f>
        <v>4</v>
      </c>
      <c r="C954" s="639">
        <v>45944</v>
      </c>
      <c r="D954" s="3">
        <v>74369</v>
      </c>
      <c r="E954" s="10" t="s">
        <v>294</v>
      </c>
      <c r="F954" s="62">
        <v>681</v>
      </c>
      <c r="G954" s="62"/>
      <c r="H954" s="62"/>
      <c r="I954" s="89">
        <f>F954-G954-H954</f>
        <v>681</v>
      </c>
      <c r="J954" s="63" t="s">
        <v>156</v>
      </c>
      <c r="K954" s="63">
        <v>1</v>
      </c>
      <c r="L954" s="63">
        <v>1</v>
      </c>
      <c r="M954" s="63">
        <v>1</v>
      </c>
      <c r="N954" s="63">
        <v>1</v>
      </c>
      <c r="O954" s="63">
        <v>1</v>
      </c>
      <c r="P954" s="63">
        <v>1</v>
      </c>
      <c r="Q954" s="63">
        <v>1</v>
      </c>
      <c r="R954" s="63">
        <v>1</v>
      </c>
      <c r="S954" s="296">
        <v>1</v>
      </c>
      <c r="T954" s="21">
        <v>1</v>
      </c>
      <c r="U954" s="10"/>
      <c r="V954" s="90">
        <f>75+674.1</f>
        <v>749.1</v>
      </c>
      <c r="W954" s="91"/>
      <c r="X954" s="92"/>
    </row>
    <row r="955" spans="1:24">
      <c r="A955" s="614"/>
      <c r="B955" s="87">
        <f>B954+1</f>
        <v>5</v>
      </c>
      <c r="C955" s="639">
        <v>45944</v>
      </c>
      <c r="D955" s="10">
        <v>74421</v>
      </c>
      <c r="E955" s="94" t="s">
        <v>294</v>
      </c>
      <c r="F955" s="62">
        <v>681</v>
      </c>
      <c r="G955" s="62"/>
      <c r="H955" s="62"/>
      <c r="I955" s="324">
        <f>F955-G955-H955</f>
        <v>681</v>
      </c>
      <c r="J955" s="63" t="s">
        <v>156</v>
      </c>
      <c r="K955" s="63">
        <v>1</v>
      </c>
      <c r="L955" s="63">
        <v>1</v>
      </c>
      <c r="M955" s="63">
        <v>1</v>
      </c>
      <c r="N955" s="63">
        <v>1</v>
      </c>
      <c r="O955" s="63">
        <v>1</v>
      </c>
      <c r="P955" s="63">
        <v>1</v>
      </c>
      <c r="Q955" s="63">
        <v>1</v>
      </c>
      <c r="R955" s="325">
        <v>0</v>
      </c>
      <c r="S955" s="326">
        <v>0</v>
      </c>
      <c r="T955" s="21">
        <v>1</v>
      </c>
      <c r="U955" s="10"/>
      <c r="V955" s="90">
        <f>74.91+674.19</f>
        <v>749.1</v>
      </c>
      <c r="W955" s="91"/>
      <c r="X955" s="92"/>
    </row>
    <row r="956" spans="1:24">
      <c r="A956" s="614"/>
      <c r="B956" s="87">
        <f>B955+1</f>
        <v>6</v>
      </c>
      <c r="C956" s="639">
        <v>45944</v>
      </c>
      <c r="D956" s="10">
        <v>74453</v>
      </c>
      <c r="E956" s="10" t="s">
        <v>211</v>
      </c>
      <c r="F956" s="62">
        <v>581</v>
      </c>
      <c r="G956" s="62"/>
      <c r="H956" s="62"/>
      <c r="I956" s="89">
        <f>F956-G956-H956</f>
        <v>581</v>
      </c>
      <c r="J956" s="63" t="s">
        <v>156</v>
      </c>
      <c r="K956" s="63">
        <v>1</v>
      </c>
      <c r="L956" s="63">
        <v>1</v>
      </c>
      <c r="M956" s="63">
        <v>1</v>
      </c>
      <c r="N956" s="63">
        <v>1</v>
      </c>
      <c r="O956" s="63">
        <v>1</v>
      </c>
      <c r="P956" s="63">
        <v>1</v>
      </c>
      <c r="Q956" s="63">
        <v>1</v>
      </c>
      <c r="R956" s="63">
        <v>1</v>
      </c>
      <c r="S956" s="296">
        <v>1</v>
      </c>
      <c r="T956" s="21">
        <v>1</v>
      </c>
      <c r="U956" s="10"/>
      <c r="V956" s="90">
        <f>64+575.1</f>
        <v>639.1</v>
      </c>
      <c r="W956" s="91"/>
      <c r="X956" s="92"/>
    </row>
    <row r="957" spans="1:24">
      <c r="A957" s="614"/>
      <c r="B957" s="87">
        <f>B956+1</f>
        <v>7</v>
      </c>
      <c r="C957" s="639">
        <v>45944</v>
      </c>
      <c r="D957" s="10">
        <v>74434</v>
      </c>
      <c r="E957" s="10" t="s">
        <v>1222</v>
      </c>
      <c r="F957" s="62">
        <v>1138</v>
      </c>
      <c r="G957" s="62">
        <f>39.7</f>
        <v>39.700000000000003</v>
      </c>
      <c r="H957" s="88"/>
      <c r="I957" s="89">
        <f>F957-G957-H957</f>
        <v>1098.3</v>
      </c>
      <c r="J957" s="63" t="s">
        <v>156</v>
      </c>
      <c r="K957" s="63">
        <v>1</v>
      </c>
      <c r="L957" s="63">
        <v>1</v>
      </c>
      <c r="M957" s="63">
        <v>1</v>
      </c>
      <c r="N957" s="63">
        <v>1</v>
      </c>
      <c r="O957" s="63">
        <v>1</v>
      </c>
      <c r="P957" s="63">
        <v>1</v>
      </c>
      <c r="Q957" s="63">
        <v>1</v>
      </c>
      <c r="R957" s="63">
        <v>1</v>
      </c>
      <c r="S957" s="296">
        <v>1</v>
      </c>
      <c r="T957" s="63"/>
      <c r="U957" s="10"/>
      <c r="V957" s="90">
        <f>126+1125.8</f>
        <v>1251.8</v>
      </c>
      <c r="W957" s="91"/>
      <c r="X957" s="92"/>
    </row>
    <row r="958" spans="1:24">
      <c r="A958" s="614"/>
      <c r="B958" s="87">
        <f>B957+1</f>
        <v>8</v>
      </c>
      <c r="C958" s="638">
        <v>45945</v>
      </c>
      <c r="D958" s="276">
        <v>74477</v>
      </c>
      <c r="E958" s="276" t="s">
        <v>218</v>
      </c>
      <c r="F958" s="277">
        <v>1152.9000000000001</v>
      </c>
      <c r="G958" s="277">
        <f>39.7+(96.87)</f>
        <v>136.57</v>
      </c>
      <c r="H958" s="297"/>
      <c r="I958" s="278">
        <f>F958-G958-H958</f>
        <v>1016.3300000000002</v>
      </c>
      <c r="J958" s="279" t="s">
        <v>156</v>
      </c>
      <c r="K958" s="279">
        <v>1</v>
      </c>
      <c r="L958" s="279">
        <v>1</v>
      </c>
      <c r="M958" s="279">
        <v>1</v>
      </c>
      <c r="N958" s="279">
        <v>1</v>
      </c>
      <c r="O958" s="279">
        <v>1</v>
      </c>
      <c r="P958" s="279">
        <v>1</v>
      </c>
      <c r="Q958" s="279">
        <v>1</v>
      </c>
      <c r="R958" s="279">
        <v>1</v>
      </c>
      <c r="S958" s="280">
        <v>1</v>
      </c>
      <c r="T958" s="21">
        <v>1</v>
      </c>
      <c r="U958" s="10"/>
      <c r="V958" s="90">
        <f>126.82+1141.37</f>
        <v>1268.1899999999998</v>
      </c>
      <c r="W958" s="91"/>
      <c r="X958" s="92"/>
    </row>
    <row r="959" spans="1:24">
      <c r="A959" s="614"/>
      <c r="B959" s="87">
        <f>B958+1</f>
        <v>9</v>
      </c>
      <c r="C959" s="639">
        <v>45945</v>
      </c>
      <c r="D959" s="10">
        <v>74436</v>
      </c>
      <c r="E959" s="10" t="s">
        <v>1105</v>
      </c>
      <c r="F959" s="62">
        <v>1179</v>
      </c>
      <c r="G959" s="62">
        <v>39.700000000000003</v>
      </c>
      <c r="H959" s="88"/>
      <c r="I959" s="89">
        <f>F959-G959-H959</f>
        <v>1139.3</v>
      </c>
      <c r="J959" s="63" t="s">
        <v>156</v>
      </c>
      <c r="K959" s="63">
        <v>1</v>
      </c>
      <c r="L959" s="63">
        <v>1</v>
      </c>
      <c r="M959" s="63">
        <v>1</v>
      </c>
      <c r="N959" s="63">
        <v>1</v>
      </c>
      <c r="O959" s="63">
        <v>1</v>
      </c>
      <c r="P959" s="63">
        <v>1</v>
      </c>
      <c r="Q959" s="63">
        <v>1</v>
      </c>
      <c r="R959" s="63">
        <v>1</v>
      </c>
      <c r="S959" s="296">
        <v>1</v>
      </c>
      <c r="T959" s="63"/>
      <c r="U959" s="10"/>
      <c r="V959" s="90">
        <f>129.69+1167.21</f>
        <v>1296.9000000000001</v>
      </c>
      <c r="W959" s="91"/>
      <c r="X959" s="92"/>
    </row>
    <row r="960" spans="1:24">
      <c r="A960" s="614"/>
      <c r="B960" s="87">
        <f>B959+1</f>
        <v>10</v>
      </c>
      <c r="C960" s="638">
        <v>45946</v>
      </c>
      <c r="D960" s="276">
        <v>74407</v>
      </c>
      <c r="E960" s="276" t="s">
        <v>1227</v>
      </c>
      <c r="F960" s="277">
        <v>1461</v>
      </c>
      <c r="G960" s="277">
        <f>39.7+(23.76)</f>
        <v>63.460000000000008</v>
      </c>
      <c r="H960" s="297"/>
      <c r="I960" s="278">
        <f>F960-G960-H960</f>
        <v>1397.54</v>
      </c>
      <c r="J960" s="279" t="s">
        <v>156</v>
      </c>
      <c r="K960" s="279">
        <v>1</v>
      </c>
      <c r="L960" s="279">
        <v>1</v>
      </c>
      <c r="M960" s="279">
        <v>1</v>
      </c>
      <c r="N960" s="279">
        <v>1</v>
      </c>
      <c r="O960" s="279">
        <v>1</v>
      </c>
      <c r="P960" s="279">
        <v>1</v>
      </c>
      <c r="Q960" s="279">
        <v>1</v>
      </c>
      <c r="R960" s="279">
        <v>1</v>
      </c>
      <c r="S960" s="280">
        <v>1</v>
      </c>
      <c r="T960" s="63"/>
      <c r="U960" s="10"/>
      <c r="V960" s="90">
        <f>160.71+1446.39</f>
        <v>1607.1000000000001</v>
      </c>
      <c r="W960" s="91"/>
      <c r="X960" s="92"/>
    </row>
    <row r="961" spans="1:24">
      <c r="A961" s="614"/>
      <c r="B961" s="87">
        <f>B960+1</f>
        <v>11</v>
      </c>
      <c r="C961" s="639">
        <v>45946</v>
      </c>
      <c r="D961" s="10">
        <v>74497</v>
      </c>
      <c r="E961" s="10" t="s">
        <v>604</v>
      </c>
      <c r="F961" s="62">
        <v>2861</v>
      </c>
      <c r="G961" s="62">
        <f>39.7</f>
        <v>39.700000000000003</v>
      </c>
      <c r="H961" s="88"/>
      <c r="I961" s="89">
        <f>F961-G961-H961</f>
        <v>2821.3</v>
      </c>
      <c r="J961" s="63" t="s">
        <v>156</v>
      </c>
      <c r="K961" s="63">
        <v>1</v>
      </c>
      <c r="L961" s="63">
        <v>1</v>
      </c>
      <c r="M961" s="63">
        <v>1</v>
      </c>
      <c r="N961" s="63">
        <v>1</v>
      </c>
      <c r="O961" s="63">
        <v>1</v>
      </c>
      <c r="P961" s="63">
        <v>1</v>
      </c>
      <c r="Q961" s="63">
        <v>1</v>
      </c>
      <c r="R961" s="63">
        <v>1</v>
      </c>
      <c r="S961" s="296">
        <v>1</v>
      </c>
      <c r="T961" s="63"/>
      <c r="U961" s="10"/>
      <c r="V961" s="90">
        <f>314.71+2832.39</f>
        <v>3147.1</v>
      </c>
      <c r="W961" s="91"/>
      <c r="X961" s="92"/>
    </row>
    <row r="962" spans="1:24">
      <c r="A962" s="614"/>
      <c r="B962" s="87">
        <f>B961+1</f>
        <v>12</v>
      </c>
      <c r="C962" s="639">
        <v>45946</v>
      </c>
      <c r="D962" s="10">
        <v>74492</v>
      </c>
      <c r="E962" s="10" t="s">
        <v>1042</v>
      </c>
      <c r="F962" s="95">
        <v>814</v>
      </c>
      <c r="G962" s="62">
        <f>39.7+(19.25)</f>
        <v>58.95</v>
      </c>
      <c r="H962" s="62"/>
      <c r="I962" s="89">
        <f>F962-G962-H962</f>
        <v>755.05</v>
      </c>
      <c r="J962" s="63" t="s">
        <v>156</v>
      </c>
      <c r="K962" s="63">
        <v>1</v>
      </c>
      <c r="L962" s="63">
        <v>1</v>
      </c>
      <c r="M962" s="63">
        <v>1</v>
      </c>
      <c r="N962" s="63">
        <v>1</v>
      </c>
      <c r="O962" s="63">
        <v>1</v>
      </c>
      <c r="P962" s="63">
        <v>1</v>
      </c>
      <c r="Q962" s="63">
        <v>1</v>
      </c>
      <c r="R962" s="63">
        <v>1</v>
      </c>
      <c r="S962" s="296">
        <v>1</v>
      </c>
      <c r="T962" s="63"/>
      <c r="U962" s="10"/>
      <c r="V962" s="90">
        <f>89.54+805.86</f>
        <v>895.4</v>
      </c>
      <c r="W962" s="91"/>
      <c r="X962" s="92"/>
    </row>
    <row r="963" spans="1:24">
      <c r="A963" s="614"/>
      <c r="B963" s="87">
        <f>B962+1</f>
        <v>13</v>
      </c>
      <c r="C963" s="639">
        <v>45946</v>
      </c>
      <c r="D963" s="10">
        <v>74505</v>
      </c>
      <c r="E963" s="10" t="s">
        <v>1104</v>
      </c>
      <c r="F963" s="95">
        <v>614</v>
      </c>
      <c r="G963" s="62">
        <f>+(116.54)</f>
        <v>116.54</v>
      </c>
      <c r="H963" s="62"/>
      <c r="I963" s="89">
        <f>F963-G963-H963</f>
        <v>497.46</v>
      </c>
      <c r="J963" s="63" t="s">
        <v>156</v>
      </c>
      <c r="K963" s="63">
        <v>1</v>
      </c>
      <c r="L963" s="63">
        <v>1</v>
      </c>
      <c r="M963" s="63">
        <v>1</v>
      </c>
      <c r="N963" s="63">
        <v>1</v>
      </c>
      <c r="O963" s="63">
        <v>1</v>
      </c>
      <c r="P963" s="63">
        <v>1</v>
      </c>
      <c r="Q963" s="63">
        <v>1</v>
      </c>
      <c r="R963" s="63">
        <v>1</v>
      </c>
      <c r="S963" s="296">
        <v>1</v>
      </c>
      <c r="T963" s="21">
        <v>1</v>
      </c>
      <c r="U963" s="10"/>
      <c r="V963" s="90">
        <f>67.54+607.86</f>
        <v>675.4</v>
      </c>
      <c r="W963" s="91"/>
      <c r="X963" s="92"/>
    </row>
    <row r="964" spans="1:24">
      <c r="A964" s="614"/>
      <c r="B964" s="87">
        <f>B963+1</f>
        <v>14</v>
      </c>
      <c r="C964" s="638">
        <v>45947</v>
      </c>
      <c r="D964" s="276">
        <v>74383</v>
      </c>
      <c r="E964" s="276" t="s">
        <v>1256</v>
      </c>
      <c r="F964" s="447">
        <v>1261</v>
      </c>
      <c r="G964" s="277">
        <f>39.7</f>
        <v>39.700000000000003</v>
      </c>
      <c r="H964" s="277"/>
      <c r="I964" s="278">
        <f>F964-G964-H964</f>
        <v>1221.3</v>
      </c>
      <c r="J964" s="279" t="s">
        <v>156</v>
      </c>
      <c r="K964" s="279">
        <v>1</v>
      </c>
      <c r="L964" s="279">
        <v>1</v>
      </c>
      <c r="M964" s="279">
        <v>1</v>
      </c>
      <c r="N964" s="279">
        <v>1</v>
      </c>
      <c r="O964" s="279">
        <v>1</v>
      </c>
      <c r="P964" s="279">
        <v>1</v>
      </c>
      <c r="Q964" s="279">
        <v>1</v>
      </c>
      <c r="R964" s="279">
        <v>1</v>
      </c>
      <c r="S964" s="280">
        <v>1</v>
      </c>
      <c r="T964" s="63"/>
      <c r="U964" s="10"/>
      <c r="V964" s="90">
        <f>138.71+1248.39</f>
        <v>1387.1000000000001</v>
      </c>
      <c r="W964" s="91"/>
      <c r="X964" s="92"/>
    </row>
    <row r="965" spans="1:24">
      <c r="A965" s="614"/>
      <c r="B965" s="87">
        <f>B964+1</f>
        <v>15</v>
      </c>
      <c r="C965" s="639">
        <v>45947</v>
      </c>
      <c r="D965" s="10">
        <v>74543</v>
      </c>
      <c r="E965" s="10" t="s">
        <v>1100</v>
      </c>
      <c r="F965" s="62">
        <v>1073</v>
      </c>
      <c r="G965" s="62">
        <f>39.7</f>
        <v>39.700000000000003</v>
      </c>
      <c r="H965" s="62"/>
      <c r="I965" s="89">
        <f>F965-G965-H965</f>
        <v>1033.3</v>
      </c>
      <c r="J965" s="63" t="s">
        <v>156</v>
      </c>
      <c r="K965" s="63">
        <v>1</v>
      </c>
      <c r="L965" s="63">
        <v>1</v>
      </c>
      <c r="M965" s="63">
        <v>1</v>
      </c>
      <c r="N965" s="63">
        <v>1</v>
      </c>
      <c r="O965" s="63">
        <v>1</v>
      </c>
      <c r="P965" s="63">
        <v>1</v>
      </c>
      <c r="Q965" s="63">
        <v>1</v>
      </c>
      <c r="R965" s="63">
        <v>1</v>
      </c>
      <c r="S965" s="296">
        <v>1</v>
      </c>
      <c r="T965" s="63"/>
      <c r="U965" s="94"/>
      <c r="V965" s="90">
        <f>118.03+1062.27</f>
        <v>1180.3</v>
      </c>
      <c r="W965" s="91"/>
      <c r="X965" s="92"/>
    </row>
    <row r="966" spans="1:24">
      <c r="A966" s="614"/>
      <c r="B966" s="87">
        <f>B965+1</f>
        <v>16</v>
      </c>
      <c r="C966" s="640">
        <v>45947</v>
      </c>
      <c r="D966" s="283">
        <v>74599</v>
      </c>
      <c r="E966" s="283" t="s">
        <v>1136</v>
      </c>
      <c r="F966" s="423">
        <v>581</v>
      </c>
      <c r="G966" s="284"/>
      <c r="H966" s="284"/>
      <c r="I966" s="285">
        <f>F966-G966-H966</f>
        <v>581</v>
      </c>
      <c r="J966" s="286" t="s">
        <v>156</v>
      </c>
      <c r="K966" s="286">
        <v>1</v>
      </c>
      <c r="L966" s="286">
        <v>1</v>
      </c>
      <c r="M966" s="286">
        <v>1</v>
      </c>
      <c r="N966" s="286">
        <v>1</v>
      </c>
      <c r="O966" s="286">
        <v>1</v>
      </c>
      <c r="P966" s="286">
        <v>1</v>
      </c>
      <c r="Q966" s="286">
        <v>1</v>
      </c>
      <c r="R966" s="286">
        <v>1</v>
      </c>
      <c r="S966" s="287">
        <v>1</v>
      </c>
      <c r="T966" s="63"/>
      <c r="U966" s="10" t="s">
        <v>1257</v>
      </c>
      <c r="V966" s="90">
        <f>63.91+575.19</f>
        <v>639.1</v>
      </c>
      <c r="W966" s="96"/>
      <c r="X966" s="92"/>
    </row>
    <row r="967" spans="1:24">
      <c r="A967" s="614"/>
      <c r="B967" s="87"/>
      <c r="C967" s="621"/>
      <c r="D967" s="10"/>
      <c r="E967" s="10"/>
      <c r="F967" s="97">
        <f>SUM(F951:F966)</f>
        <v>22883.9</v>
      </c>
      <c r="G967" s="97">
        <f>SUM(G951:G966)</f>
        <v>2633.6599999999994</v>
      </c>
      <c r="H967" s="97">
        <f>SUM(H951:H966)</f>
        <v>0</v>
      </c>
      <c r="I967" s="98">
        <f>SUM(I951:I966)</f>
        <v>20250.239999999994</v>
      </c>
      <c r="J967" s="63"/>
      <c r="K967" s="63">
        <f>COUNT(K951:K966)</f>
        <v>16</v>
      </c>
      <c r="L967" s="63">
        <f>COUNT(L951:L966)</f>
        <v>16</v>
      </c>
      <c r="M967" s="63">
        <f>COUNT(M951:M966)</f>
        <v>16</v>
      </c>
      <c r="N967" s="63">
        <f>COUNT(N951:N966)</f>
        <v>16</v>
      </c>
      <c r="O967" s="63">
        <f>COUNT(O951:O966)</f>
        <v>16</v>
      </c>
      <c r="P967" s="63">
        <f>COUNT(P951:P966)</f>
        <v>16</v>
      </c>
      <c r="Q967" s="63">
        <f>COUNT(Q951:Q966)</f>
        <v>16</v>
      </c>
      <c r="R967" s="63">
        <f>COUNT(R951:R966)</f>
        <v>16</v>
      </c>
      <c r="S967" s="63">
        <f>COUNT(S951:S966)</f>
        <v>16</v>
      </c>
      <c r="T967" s="63"/>
      <c r="U967" s="10"/>
      <c r="V967" s="90"/>
      <c r="W967" s="91"/>
      <c r="X967" s="92"/>
    </row>
    <row r="968" spans="1:24">
      <c r="A968" s="614"/>
      <c r="B968" s="87"/>
      <c r="C968" s="621"/>
      <c r="D968" s="10"/>
      <c r="E968" s="10"/>
      <c r="F968" s="88"/>
      <c r="G968" s="88"/>
      <c r="H968" s="88"/>
      <c r="I968" s="99"/>
      <c r="J968" s="63"/>
      <c r="K968" s="21">
        <f>SUM(K951:K966)</f>
        <v>16</v>
      </c>
      <c r="L968" s="21">
        <f>SUM(L951:L966)</f>
        <v>16</v>
      </c>
      <c r="M968" s="21">
        <f>SUM(M951:M966)</f>
        <v>16</v>
      </c>
      <c r="N968" s="21">
        <f>SUM(N951:N966)</f>
        <v>16</v>
      </c>
      <c r="O968" s="21">
        <f>SUM(O951:O966)</f>
        <v>16</v>
      </c>
      <c r="P968" s="21">
        <f>SUM(P951:P966)</f>
        <v>16</v>
      </c>
      <c r="Q968" s="21">
        <f>SUM(Q951:Q966)</f>
        <v>16</v>
      </c>
      <c r="R968" s="21">
        <f>SUM(R951:R966)</f>
        <v>15</v>
      </c>
      <c r="S968" s="21">
        <f>SUM(S951:S966)</f>
        <v>15</v>
      </c>
      <c r="T968" s="63"/>
      <c r="U968" s="10"/>
      <c r="V968" s="90"/>
      <c r="W968" s="91"/>
      <c r="X968" s="92"/>
    </row>
    <row r="969" spans="1:24">
      <c r="A969" s="614"/>
      <c r="B969" s="11"/>
      <c r="C969" s="621"/>
      <c r="D969" s="10"/>
      <c r="E969" s="10"/>
      <c r="F969" s="88"/>
      <c r="G969" s="88"/>
      <c r="H969" s="88"/>
      <c r="I969" s="99"/>
      <c r="J969" s="63"/>
      <c r="K969" s="21"/>
      <c r="L969" s="21"/>
      <c r="M969" s="21"/>
      <c r="N969" s="21"/>
      <c r="O969" s="21"/>
      <c r="P969" s="21"/>
      <c r="Q969" s="21"/>
      <c r="R969" s="21"/>
      <c r="S969" s="21"/>
      <c r="T969" s="63"/>
      <c r="U969" s="10"/>
      <c r="V969" s="90"/>
      <c r="W969" s="91"/>
      <c r="X969" s="92"/>
    </row>
    <row r="970" spans="1:24">
      <c r="A970" s="614"/>
      <c r="B970" s="100" t="s">
        <v>66</v>
      </c>
      <c r="C970" s="621"/>
      <c r="D970" s="10"/>
      <c r="E970" s="10"/>
      <c r="F970" s="88"/>
      <c r="G970" s="62"/>
      <c r="H970" s="88"/>
      <c r="I970" s="99"/>
      <c r="J970" s="63"/>
      <c r="K970" s="2"/>
      <c r="L970" s="2"/>
      <c r="M970" s="2"/>
      <c r="N970" s="2"/>
      <c r="O970" s="2"/>
      <c r="P970" s="2"/>
      <c r="Q970" s="2"/>
      <c r="R970" s="2"/>
      <c r="S970" s="2"/>
      <c r="T970" s="63"/>
      <c r="U970" s="94"/>
      <c r="V970" s="90"/>
      <c r="W970" s="91"/>
      <c r="X970" s="92"/>
    </row>
    <row r="971" spans="1:24">
      <c r="A971" s="614"/>
      <c r="B971" s="87">
        <v>1</v>
      </c>
      <c r="C971" s="638">
        <v>45948</v>
      </c>
      <c r="D971" s="327">
        <v>74581</v>
      </c>
      <c r="E971" s="281" t="s">
        <v>1046</v>
      </c>
      <c r="F971" s="277">
        <v>1281</v>
      </c>
      <c r="G971" s="277">
        <f>39.7+(109.6)</f>
        <v>149.30000000000001</v>
      </c>
      <c r="H971" s="277"/>
      <c r="I971" s="278">
        <f>F971-G971-H971</f>
        <v>1131.7</v>
      </c>
      <c r="J971" s="279" t="s">
        <v>156</v>
      </c>
      <c r="K971" s="279">
        <v>1</v>
      </c>
      <c r="L971" s="279">
        <v>1</v>
      </c>
      <c r="M971" s="279">
        <v>1</v>
      </c>
      <c r="N971" s="279">
        <v>1</v>
      </c>
      <c r="O971" s="279">
        <v>1</v>
      </c>
      <c r="P971" s="279">
        <v>1</v>
      </c>
      <c r="Q971" s="279">
        <v>1</v>
      </c>
      <c r="R971" s="279">
        <v>1</v>
      </c>
      <c r="S971" s="280">
        <v>1</v>
      </c>
      <c r="T971" s="63"/>
      <c r="U971" s="94"/>
      <c r="V971" s="90">
        <f>140.91+1268.19</f>
        <v>1409.1000000000001</v>
      </c>
      <c r="W971" s="91"/>
      <c r="X971" s="92"/>
    </row>
    <row r="972" spans="1:24">
      <c r="A972" s="614"/>
      <c r="B972" s="87">
        <f>B971+1</f>
        <v>2</v>
      </c>
      <c r="C972" s="639">
        <v>45948</v>
      </c>
      <c r="D972" s="323">
        <v>74594</v>
      </c>
      <c r="E972" s="101" t="s">
        <v>673</v>
      </c>
      <c r="F972" s="62">
        <v>1396</v>
      </c>
      <c r="G972" s="62">
        <f>39.7+(51.78)</f>
        <v>91.48</v>
      </c>
      <c r="H972" s="62"/>
      <c r="I972" s="89">
        <f>F972-G972-H972</f>
        <v>1304.52</v>
      </c>
      <c r="J972" s="63" t="s">
        <v>156</v>
      </c>
      <c r="K972" s="63">
        <v>1</v>
      </c>
      <c r="L972" s="63">
        <v>1</v>
      </c>
      <c r="M972" s="63">
        <v>1</v>
      </c>
      <c r="N972" s="63">
        <v>1</v>
      </c>
      <c r="O972" s="63">
        <v>1</v>
      </c>
      <c r="P972" s="63">
        <v>1</v>
      </c>
      <c r="Q972" s="63">
        <v>1</v>
      </c>
      <c r="R972" s="63">
        <v>1</v>
      </c>
      <c r="S972" s="296">
        <v>1</v>
      </c>
      <c r="T972" s="63"/>
      <c r="U972" s="94"/>
      <c r="V972" s="90">
        <f>153.56+1382.04</f>
        <v>1535.6</v>
      </c>
      <c r="W972" s="91"/>
      <c r="X972" s="92"/>
    </row>
    <row r="973" spans="1:24">
      <c r="A973" s="614"/>
      <c r="B973" s="87">
        <f>B972+1</f>
        <v>3</v>
      </c>
      <c r="C973" s="640">
        <v>45948</v>
      </c>
      <c r="D973" s="368">
        <v>74610</v>
      </c>
      <c r="E973" s="319" t="s">
        <v>973</v>
      </c>
      <c r="F973" s="284">
        <f>7752.7-85</f>
        <v>7667.7</v>
      </c>
      <c r="G973" s="284">
        <f>39.7+(1274.41)+250</f>
        <v>1564.1100000000001</v>
      </c>
      <c r="H973" s="284"/>
      <c r="I973" s="285">
        <f>F973-G973-H973</f>
        <v>6103.59</v>
      </c>
      <c r="J973" s="286" t="s">
        <v>236</v>
      </c>
      <c r="K973" s="286">
        <v>1</v>
      </c>
      <c r="L973" s="286">
        <v>1</v>
      </c>
      <c r="M973" s="286">
        <v>1</v>
      </c>
      <c r="N973" s="286">
        <v>1</v>
      </c>
      <c r="O973" s="286">
        <v>1</v>
      </c>
      <c r="P973" s="286">
        <v>1</v>
      </c>
      <c r="Q973" s="286">
        <v>1</v>
      </c>
      <c r="R973" s="286">
        <v>1</v>
      </c>
      <c r="S973" s="287">
        <v>1</v>
      </c>
      <c r="T973" s="63"/>
      <c r="U973" s="94" t="s">
        <v>1258</v>
      </c>
      <c r="V973" s="90">
        <f>93.5+7584.47</f>
        <v>7677.97</v>
      </c>
      <c r="W973" s="440">
        <v>850</v>
      </c>
      <c r="X973" s="92"/>
    </row>
    <row r="974" spans="1:24">
      <c r="A974" s="614"/>
      <c r="B974" s="11"/>
      <c r="C974" s="609"/>
      <c r="D974" s="10"/>
      <c r="E974" s="10"/>
      <c r="F974" s="97">
        <f>SUM(F971:F973)</f>
        <v>10344.700000000001</v>
      </c>
      <c r="G974" s="97">
        <f>SUM(G971:G973)</f>
        <v>1804.89</v>
      </c>
      <c r="H974" s="97">
        <f>SUM(H971:H973)</f>
        <v>0</v>
      </c>
      <c r="I974" s="98">
        <f>SUM(I971:I973)</f>
        <v>8539.8100000000013</v>
      </c>
      <c r="J974" s="63"/>
      <c r="K974" s="21"/>
      <c r="L974" s="21"/>
      <c r="M974" s="21"/>
      <c r="N974" s="21"/>
      <c r="O974" s="21"/>
      <c r="P974" s="21"/>
      <c r="Q974" s="21"/>
      <c r="R974" s="21"/>
      <c r="S974" s="21"/>
      <c r="T974" s="63"/>
      <c r="U974" s="94"/>
      <c r="V974" s="90"/>
      <c r="W974" s="91"/>
      <c r="X974" s="92"/>
    </row>
    <row r="975" spans="1:24">
      <c r="A975" s="614"/>
      <c r="B975" s="11"/>
      <c r="C975" s="609"/>
      <c r="D975" s="10"/>
      <c r="E975" s="10"/>
      <c r="F975" s="88"/>
      <c r="G975" s="88"/>
      <c r="H975" s="88"/>
      <c r="I975" s="99"/>
      <c r="J975" s="63"/>
      <c r="K975" s="21"/>
      <c r="L975" s="21"/>
      <c r="M975" s="21"/>
      <c r="N975" s="21"/>
      <c r="O975" s="21"/>
      <c r="P975" s="21"/>
      <c r="Q975" s="21"/>
      <c r="R975" s="21"/>
      <c r="S975" s="21"/>
      <c r="T975" s="63"/>
      <c r="U975" s="94"/>
      <c r="V975" s="90"/>
      <c r="W975" s="91"/>
      <c r="X975" s="92"/>
    </row>
    <row r="976" spans="1:24">
      <c r="A976" s="614"/>
      <c r="B976" s="100" t="s">
        <v>67</v>
      </c>
      <c r="C976" s="609"/>
      <c r="D976" s="10"/>
      <c r="E976" s="10"/>
      <c r="F976" s="88"/>
      <c r="G976" s="62"/>
      <c r="H976" s="88"/>
      <c r="I976" s="99"/>
      <c r="J976" s="63"/>
      <c r="K976" s="2"/>
      <c r="L976" s="2"/>
      <c r="M976" s="2"/>
      <c r="N976" s="2"/>
      <c r="O976" s="2"/>
      <c r="P976" s="2"/>
      <c r="Q976" s="2"/>
      <c r="R976" s="2"/>
      <c r="S976" s="2"/>
      <c r="T976" s="63"/>
      <c r="U976" s="94"/>
      <c r="V976" s="90"/>
      <c r="W976" s="91"/>
      <c r="X976" s="92"/>
    </row>
    <row r="977" spans="1:25">
      <c r="A977" s="494" t="s">
        <v>1242</v>
      </c>
      <c r="B977" s="87">
        <v>1</v>
      </c>
      <c r="C977" s="641">
        <v>45923</v>
      </c>
      <c r="D977" s="263">
        <v>73516</v>
      </c>
      <c r="E977" s="271" t="s">
        <v>1186</v>
      </c>
      <c r="F977" s="265">
        <v>2861</v>
      </c>
      <c r="G977" s="265">
        <f>39.7+(79.91)</f>
        <v>119.61</v>
      </c>
      <c r="H977" s="265"/>
      <c r="I977" s="266">
        <f>F977-G977-H977</f>
        <v>2741.39</v>
      </c>
      <c r="J977" s="267" t="s">
        <v>156</v>
      </c>
      <c r="K977" s="267">
        <v>1</v>
      </c>
      <c r="L977" s="267">
        <v>1</v>
      </c>
      <c r="M977" s="267">
        <v>1</v>
      </c>
      <c r="N977" s="267">
        <v>1</v>
      </c>
      <c r="O977" s="267">
        <v>1</v>
      </c>
      <c r="P977" s="267">
        <v>1</v>
      </c>
      <c r="Q977" s="267">
        <v>1</v>
      </c>
      <c r="R977" s="267">
        <v>1</v>
      </c>
      <c r="S977" s="366">
        <v>0</v>
      </c>
      <c r="T977" s="63"/>
      <c r="U977" s="94" t="s">
        <v>1187</v>
      </c>
      <c r="V977" s="90"/>
      <c r="W977" s="136"/>
      <c r="X977" s="137"/>
      <c r="Y977" s="260"/>
    </row>
    <row r="978" spans="1:25">
      <c r="A978" s="494" t="s">
        <v>1259</v>
      </c>
      <c r="B978" s="87">
        <f>B977+1</f>
        <v>2</v>
      </c>
      <c r="C978" s="640">
        <v>45939</v>
      </c>
      <c r="D978" s="368" t="s">
        <v>1241</v>
      </c>
      <c r="E978" s="283" t="s">
        <v>286</v>
      </c>
      <c r="F978" s="284">
        <v>1000</v>
      </c>
      <c r="G978" s="284">
        <f>39.7</f>
        <v>39.700000000000003</v>
      </c>
      <c r="H978" s="284"/>
      <c r="I978" s="285">
        <f>F978-G978-H978</f>
        <v>960.3</v>
      </c>
      <c r="J978" s="286" t="s">
        <v>156</v>
      </c>
      <c r="K978" s="286">
        <v>1</v>
      </c>
      <c r="L978" s="286">
        <v>1</v>
      </c>
      <c r="M978" s="286">
        <v>1</v>
      </c>
      <c r="N978" s="286">
        <v>1</v>
      </c>
      <c r="O978" s="286">
        <v>1</v>
      </c>
      <c r="P978" s="286">
        <v>1</v>
      </c>
      <c r="Q978" s="286">
        <v>1</v>
      </c>
      <c r="R978" s="286">
        <v>1</v>
      </c>
      <c r="S978" s="287">
        <v>1</v>
      </c>
      <c r="T978" s="63"/>
      <c r="U978" s="94"/>
      <c r="V978" s="90">
        <f>990</f>
        <v>990</v>
      </c>
      <c r="W978" s="136"/>
      <c r="X978" s="137"/>
      <c r="Y978" s="260"/>
    </row>
    <row r="979" spans="1:25">
      <c r="A979" s="614"/>
      <c r="B979" s="11"/>
      <c r="C979" s="609"/>
      <c r="D979" s="10"/>
      <c r="E979" s="10"/>
      <c r="F979" s="97">
        <f>SUM(F977:F978)</f>
        <v>3861</v>
      </c>
      <c r="G979" s="97">
        <f>SUM(G977:G978)</f>
        <v>159.31</v>
      </c>
      <c r="H979" s="97">
        <f>SUM(H977:H978)</f>
        <v>0</v>
      </c>
      <c r="I979" s="98">
        <f>SUM(I977:I978)</f>
        <v>3701.6899999999996</v>
      </c>
      <c r="J979" s="63"/>
      <c r="K979" s="21"/>
      <c r="L979" s="21"/>
      <c r="M979" s="21"/>
      <c r="N979" s="21"/>
      <c r="O979" s="21"/>
      <c r="P979" s="21"/>
      <c r="Q979" s="21"/>
      <c r="R979" s="21"/>
      <c r="S979" s="21"/>
      <c r="T979" s="63"/>
      <c r="U979" s="94"/>
      <c r="V979" s="90"/>
      <c r="W979" s="91"/>
      <c r="X979" s="92"/>
    </row>
    <row r="980" spans="1:25">
      <c r="A980" s="614"/>
      <c r="B980" s="11"/>
      <c r="C980" s="609"/>
      <c r="D980" s="10"/>
      <c r="E980" s="10"/>
      <c r="F980" s="88"/>
      <c r="G980" s="88"/>
      <c r="H980" s="88"/>
      <c r="I980" s="99"/>
      <c r="J980" s="63"/>
      <c r="K980" s="21"/>
      <c r="L980" s="21"/>
      <c r="M980" s="21"/>
      <c r="N980" s="21"/>
      <c r="O980" s="21"/>
      <c r="P980" s="21"/>
      <c r="Q980" s="21"/>
      <c r="R980" s="21"/>
      <c r="S980" s="21"/>
      <c r="T980" s="63"/>
      <c r="U980" s="94"/>
      <c r="V980" s="90"/>
      <c r="W980" s="91"/>
      <c r="X980" s="92"/>
    </row>
    <row r="981" spans="1:25">
      <c r="A981" s="615"/>
      <c r="B981" s="121" t="s">
        <v>68</v>
      </c>
      <c r="C981" s="611"/>
      <c r="D981" s="123"/>
      <c r="E981" s="123"/>
      <c r="F981" s="124"/>
      <c r="G981" s="125"/>
      <c r="H981" s="124"/>
      <c r="I981" s="126"/>
      <c r="J981" s="127"/>
      <c r="K981" s="128"/>
      <c r="L981" s="128"/>
      <c r="M981" s="128"/>
      <c r="N981" s="128"/>
      <c r="O981" s="128"/>
      <c r="P981" s="128"/>
      <c r="Q981" s="128"/>
      <c r="R981" s="128"/>
      <c r="S981" s="128"/>
      <c r="T981" s="127"/>
      <c r="U981" s="123"/>
      <c r="V981" s="129"/>
      <c r="W981" s="130"/>
      <c r="X981" s="131"/>
    </row>
    <row r="982" spans="1:25" s="342" customFormat="1">
      <c r="A982" s="356">
        <v>0.05</v>
      </c>
      <c r="B982" s="333">
        <v>1</v>
      </c>
      <c r="C982" s="653">
        <v>45944</v>
      </c>
      <c r="D982" s="335">
        <v>74414</v>
      </c>
      <c r="E982" s="394" t="s">
        <v>769</v>
      </c>
      <c r="F982" s="336">
        <v>2302</v>
      </c>
      <c r="G982" s="336">
        <f>39.7</f>
        <v>39.700000000000003</v>
      </c>
      <c r="H982" s="336">
        <f>F982*0.2</f>
        <v>460.40000000000003</v>
      </c>
      <c r="I982" s="337">
        <f>F982-G982-H982</f>
        <v>1801.9</v>
      </c>
      <c r="J982" s="338" t="s">
        <v>185</v>
      </c>
      <c r="K982" s="338">
        <v>1</v>
      </c>
      <c r="L982" s="338">
        <v>1</v>
      </c>
      <c r="M982" s="338">
        <v>1</v>
      </c>
      <c r="N982" s="338">
        <v>1</v>
      </c>
      <c r="O982" s="338">
        <v>1</v>
      </c>
      <c r="P982" s="338">
        <v>1</v>
      </c>
      <c r="Q982" s="338">
        <v>1</v>
      </c>
      <c r="R982" s="338">
        <v>1</v>
      </c>
      <c r="S982" s="339">
        <v>1</v>
      </c>
      <c r="T982" s="127"/>
      <c r="U982" s="123"/>
      <c r="V982" s="129">
        <f>253.22</f>
        <v>253.22</v>
      </c>
      <c r="W982" s="130"/>
      <c r="X982" s="131"/>
    </row>
    <row r="983" spans="1:25" s="342" customFormat="1">
      <c r="A983" s="356">
        <v>0.05</v>
      </c>
      <c r="B983" s="333">
        <f>B982+1</f>
        <v>2</v>
      </c>
      <c r="C983" s="703">
        <v>45945</v>
      </c>
      <c r="D983" s="358">
        <v>74471</v>
      </c>
      <c r="E983" s="358" t="s">
        <v>1260</v>
      </c>
      <c r="F983" s="352">
        <v>814</v>
      </c>
      <c r="G983" s="352">
        <f>39.7</f>
        <v>39.700000000000003</v>
      </c>
      <c r="H983" s="486"/>
      <c r="I983" s="353">
        <f>F983-G983-H983</f>
        <v>774.3</v>
      </c>
      <c r="J983" s="354" t="s">
        <v>156</v>
      </c>
      <c r="K983" s="354">
        <v>1</v>
      </c>
      <c r="L983" s="354">
        <v>1</v>
      </c>
      <c r="M983" s="354">
        <v>1</v>
      </c>
      <c r="N983" s="354">
        <v>1</v>
      </c>
      <c r="O983" s="354">
        <v>1</v>
      </c>
      <c r="P983" s="354">
        <v>1</v>
      </c>
      <c r="Q983" s="354">
        <v>1</v>
      </c>
      <c r="R983" s="354">
        <v>1</v>
      </c>
      <c r="S983" s="355">
        <v>1</v>
      </c>
      <c r="T983" s="127"/>
      <c r="U983" s="123" t="s">
        <v>1261</v>
      </c>
      <c r="V983" s="129">
        <f>89.54+200</f>
        <v>289.54000000000002</v>
      </c>
      <c r="W983" s="130"/>
      <c r="X983" s="131"/>
    </row>
    <row r="984" spans="1:25">
      <c r="A984" s="615"/>
      <c r="B984" s="132"/>
      <c r="C984" s="621"/>
      <c r="D984" s="123"/>
      <c r="E984" s="123"/>
      <c r="F984" s="133">
        <f>SUM(F982:F983)</f>
        <v>3116</v>
      </c>
      <c r="G984" s="133">
        <f>SUM(G982:G983)</f>
        <v>79.400000000000006</v>
      </c>
      <c r="H984" s="133">
        <f>SUM(H982:H983)</f>
        <v>460.40000000000003</v>
      </c>
      <c r="I984" s="134">
        <f>SUM(I982:I983)</f>
        <v>2576.1999999999998</v>
      </c>
      <c r="J984" s="127"/>
      <c r="K984" s="64"/>
      <c r="L984" s="64"/>
      <c r="M984" s="64"/>
      <c r="N984" s="64"/>
      <c r="O984" s="64"/>
      <c r="P984" s="64"/>
      <c r="Q984" s="64"/>
      <c r="R984" s="64"/>
      <c r="S984" s="64"/>
      <c r="T984" s="127"/>
      <c r="U984" s="123"/>
      <c r="V984" s="129"/>
      <c r="W984" s="130"/>
      <c r="X984" s="131"/>
    </row>
    <row r="985" spans="1:25">
      <c r="A985" s="614"/>
      <c r="B985" s="11"/>
      <c r="C985" s="621"/>
      <c r="D985" s="10"/>
      <c r="E985" s="10"/>
      <c r="F985" s="88"/>
      <c r="G985" s="88"/>
      <c r="H985" s="88"/>
      <c r="I985" s="99"/>
      <c r="J985" s="63"/>
      <c r="K985" s="21"/>
      <c r="L985" s="21"/>
      <c r="M985" s="21"/>
      <c r="N985" s="21"/>
      <c r="O985" s="21"/>
      <c r="P985" s="21"/>
      <c r="Q985" s="21"/>
      <c r="R985" s="21"/>
      <c r="S985" s="21"/>
      <c r="T985" s="63"/>
      <c r="U985" s="10"/>
      <c r="V985" s="90"/>
      <c r="W985" s="91"/>
      <c r="X985" s="92"/>
    </row>
    <row r="986" spans="1:25">
      <c r="A986" s="615"/>
      <c r="B986" s="121" t="s">
        <v>70</v>
      </c>
      <c r="C986" s="621"/>
      <c r="D986" s="123"/>
      <c r="E986" s="128"/>
      <c r="F986" s="124"/>
      <c r="G986" s="124"/>
      <c r="H986" s="124"/>
      <c r="I986" s="126"/>
      <c r="J986" s="127"/>
      <c r="K986" s="64"/>
      <c r="L986" s="64"/>
      <c r="M986" s="64"/>
      <c r="N986" s="64"/>
      <c r="O986" s="64"/>
      <c r="P986" s="64"/>
      <c r="Q986" s="64"/>
      <c r="R986" s="64"/>
      <c r="S986" s="64"/>
      <c r="T986" s="127"/>
      <c r="U986" s="135"/>
      <c r="V986" s="129"/>
      <c r="W986" s="130"/>
      <c r="X986" s="131"/>
    </row>
    <row r="987" spans="1:25">
      <c r="A987" s="356">
        <v>0.05</v>
      </c>
      <c r="B987" s="333">
        <v>1</v>
      </c>
      <c r="C987" s="703">
        <v>45944</v>
      </c>
      <c r="D987" s="358" t="s">
        <v>1262</v>
      </c>
      <c r="E987" s="358" t="s">
        <v>1222</v>
      </c>
      <c r="F987" s="352">
        <v>17230.5</v>
      </c>
      <c r="G987" s="352">
        <f>39.7+(29.24+153.79)+(157.94-14.91+57.66)+1500</f>
        <v>1923.42</v>
      </c>
      <c r="H987" s="486"/>
      <c r="I987" s="353">
        <f>F987-G987-H987</f>
        <v>15307.08</v>
      </c>
      <c r="J987" s="354" t="s">
        <v>228</v>
      </c>
      <c r="K987" s="354">
        <v>1</v>
      </c>
      <c r="L987" s="354"/>
      <c r="M987" s="354">
        <v>1</v>
      </c>
      <c r="N987" s="354">
        <v>1</v>
      </c>
      <c r="O987" s="354">
        <v>1</v>
      </c>
      <c r="P987" s="354">
        <v>1</v>
      </c>
      <c r="Q987" s="354"/>
      <c r="R987" s="354"/>
      <c r="S987" s="355"/>
      <c r="T987" s="127"/>
      <c r="U987" s="123" t="s">
        <v>1263</v>
      </c>
      <c r="V987" s="129">
        <f>1896+8528.77</f>
        <v>10424.77</v>
      </c>
      <c r="W987" s="130"/>
      <c r="X987" s="131"/>
      <c r="Y987" s="342"/>
    </row>
    <row r="988" spans="1:25" s="342" customFormat="1">
      <c r="A988" s="356">
        <v>0.05</v>
      </c>
      <c r="B988" s="333">
        <f>B987+1</f>
        <v>2</v>
      </c>
      <c r="C988" s="653">
        <v>45947</v>
      </c>
      <c r="D988" s="335" t="s">
        <v>1264</v>
      </c>
      <c r="E988" s="335" t="s">
        <v>1256</v>
      </c>
      <c r="F988" s="336">
        <v>16773.900000000001</v>
      </c>
      <c r="G988" s="336">
        <f>39.7+(913.3+134.89+289.41)+1500</f>
        <v>2877.3</v>
      </c>
      <c r="H988" s="336"/>
      <c r="I988" s="337">
        <f>F988-G988-H988</f>
        <v>13896.600000000002</v>
      </c>
      <c r="J988" s="338" t="s">
        <v>156</v>
      </c>
      <c r="K988" s="338">
        <v>1</v>
      </c>
      <c r="L988" s="338"/>
      <c r="M988" s="338">
        <v>1</v>
      </c>
      <c r="N988" s="338">
        <v>1</v>
      </c>
      <c r="O988" s="338">
        <v>1</v>
      </c>
      <c r="P988" s="338">
        <v>1</v>
      </c>
      <c r="Q988" s="338"/>
      <c r="R988" s="338"/>
      <c r="S988" s="339"/>
      <c r="T988" s="127"/>
      <c r="U988" s="135" t="s">
        <v>1265</v>
      </c>
      <c r="V988" s="129">
        <f>1845.13+1000</f>
        <v>2845.13</v>
      </c>
      <c r="W988" s="340"/>
      <c r="X988" s="341"/>
    </row>
    <row r="989" spans="1:25" s="342" customFormat="1">
      <c r="A989" s="356">
        <v>0.05</v>
      </c>
      <c r="B989" s="333">
        <f>B988+1</f>
        <v>3</v>
      </c>
      <c r="C989" s="655">
        <v>45947</v>
      </c>
      <c r="D989" s="396" t="s">
        <v>1266</v>
      </c>
      <c r="E989" s="396" t="s">
        <v>1100</v>
      </c>
      <c r="F989" s="397">
        <v>16214</v>
      </c>
      <c r="G989" s="397">
        <f>39.7+910.2+(85.73)+(19.36+11.04+221.13)+1500</f>
        <v>2787.16</v>
      </c>
      <c r="H989" s="397"/>
      <c r="I989" s="398">
        <f>F989-G989-H989</f>
        <v>13426.84</v>
      </c>
      <c r="J989" s="399" t="s">
        <v>156</v>
      </c>
      <c r="K989" s="399">
        <v>1</v>
      </c>
      <c r="L989" s="399"/>
      <c r="M989" s="399">
        <v>1</v>
      </c>
      <c r="N989" s="399">
        <v>1</v>
      </c>
      <c r="O989" s="399">
        <v>1</v>
      </c>
      <c r="P989" s="399">
        <v>1</v>
      </c>
      <c r="Q989" s="399"/>
      <c r="R989" s="399"/>
      <c r="S989" s="400"/>
      <c r="T989" s="127"/>
      <c r="U989" s="135" t="s">
        <v>1267</v>
      </c>
      <c r="V989" s="129">
        <f>1783.54</f>
        <v>1783.54</v>
      </c>
      <c r="W989" s="340"/>
      <c r="X989" s="341"/>
    </row>
    <row r="990" spans="1:25">
      <c r="A990" s="614"/>
      <c r="B990" s="87"/>
      <c r="C990" s="621"/>
      <c r="D990" s="10"/>
      <c r="E990" s="10"/>
      <c r="F990" s="134">
        <f>SUM(F987:F989)</f>
        <v>50218.400000000001</v>
      </c>
      <c r="G990" s="134">
        <f>SUM(G987:G989)</f>
        <v>7587.88</v>
      </c>
      <c r="H990" s="134">
        <f t="shared" ref="G990:H990" si="119">SUM(H987:H989)</f>
        <v>0</v>
      </c>
      <c r="I990" s="134">
        <f>SUM(I987:I989)</f>
        <v>42630.520000000004</v>
      </c>
      <c r="J990" s="63"/>
      <c r="K990" s="63"/>
      <c r="L990" s="63"/>
      <c r="M990" s="63"/>
      <c r="N990" s="63"/>
      <c r="O990" s="63"/>
      <c r="P990" s="63"/>
      <c r="Q990" s="63"/>
      <c r="R990" s="63"/>
      <c r="S990" s="63"/>
      <c r="T990" s="63"/>
      <c r="U990" s="94"/>
      <c r="V990" s="90"/>
      <c r="W990" s="136"/>
      <c r="X990" s="137"/>
    </row>
    <row r="991" spans="1:25">
      <c r="A991" s="614"/>
      <c r="B991" s="87"/>
      <c r="C991" s="621"/>
      <c r="D991" s="10"/>
      <c r="E991" s="10"/>
      <c r="F991" s="62"/>
      <c r="G991" s="62"/>
      <c r="H991" s="62"/>
      <c r="I991" s="89"/>
      <c r="J991" s="63"/>
      <c r="K991" s="63"/>
      <c r="L991" s="63"/>
      <c r="M991" s="63"/>
      <c r="N991" s="63"/>
      <c r="O991" s="63"/>
      <c r="P991" s="63"/>
      <c r="Q991" s="63"/>
      <c r="R991" s="63"/>
      <c r="S991" s="63"/>
      <c r="T991" s="63"/>
      <c r="U991" s="94"/>
      <c r="V991" s="90"/>
      <c r="W991" s="136"/>
      <c r="X991" s="137"/>
    </row>
    <row r="992" spans="1:25">
      <c r="A992" s="614"/>
      <c r="B992" s="11"/>
      <c r="C992" s="621"/>
      <c r="D992" s="10"/>
      <c r="E992" s="10"/>
      <c r="F992" s="88"/>
      <c r="G992" s="88"/>
      <c r="H992" s="88"/>
      <c r="I992" s="99"/>
      <c r="J992" s="10"/>
      <c r="K992" s="63"/>
      <c r="L992" s="63"/>
      <c r="M992" s="63"/>
      <c r="N992" s="63"/>
      <c r="O992" s="63"/>
      <c r="P992" s="63"/>
      <c r="Q992" s="63"/>
      <c r="R992" s="63"/>
      <c r="S992" s="63"/>
      <c r="T992" s="63"/>
      <c r="U992" s="94"/>
      <c r="V992" s="90"/>
      <c r="W992" s="91"/>
      <c r="X992" s="92"/>
    </row>
    <row r="993" spans="1:25">
      <c r="A993" s="615"/>
      <c r="B993" s="121" t="s">
        <v>71</v>
      </c>
      <c r="C993" s="621"/>
      <c r="D993" s="123"/>
      <c r="E993" s="128"/>
      <c r="F993" s="124"/>
      <c r="G993" s="124"/>
      <c r="H993" s="124"/>
      <c r="I993" s="126"/>
      <c r="J993" s="127"/>
      <c r="K993" s="64"/>
      <c r="L993" s="64"/>
      <c r="M993" s="64"/>
      <c r="N993" s="64"/>
      <c r="O993" s="64"/>
      <c r="P993" s="64"/>
      <c r="Q993" s="64"/>
      <c r="R993" s="64"/>
      <c r="S993" s="64"/>
      <c r="T993" s="127"/>
      <c r="U993" s="135"/>
      <c r="V993" s="129"/>
      <c r="W993" s="130"/>
      <c r="X993" s="131"/>
    </row>
    <row r="994" spans="1:25" s="342" customFormat="1">
      <c r="A994" s="356">
        <v>0.05</v>
      </c>
      <c r="B994" s="333">
        <v>1</v>
      </c>
      <c r="C994" s="703">
        <v>45948</v>
      </c>
      <c r="D994" s="263" t="s">
        <v>1268</v>
      </c>
      <c r="E994" s="358" t="s">
        <v>973</v>
      </c>
      <c r="F994" s="352">
        <v>2901.6</v>
      </c>
      <c r="G994" s="352">
        <f>39.7</f>
        <v>39.700000000000003</v>
      </c>
      <c r="H994" s="352"/>
      <c r="I994" s="353">
        <f>F994-G994-H994</f>
        <v>2861.9</v>
      </c>
      <c r="J994" s="354" t="s">
        <v>156</v>
      </c>
      <c r="K994" s="354">
        <v>1</v>
      </c>
      <c r="L994" s="354"/>
      <c r="M994" s="354">
        <v>1</v>
      </c>
      <c r="N994" s="354">
        <v>1</v>
      </c>
      <c r="O994" s="354">
        <v>1</v>
      </c>
      <c r="P994" s="354">
        <v>1</v>
      </c>
      <c r="Q994" s="354"/>
      <c r="R994" s="354"/>
      <c r="S994" s="355"/>
      <c r="T994" s="127"/>
      <c r="U994" s="135" t="s">
        <v>1269</v>
      </c>
      <c r="V994" s="129">
        <v>320</v>
      </c>
      <c r="W994" s="340"/>
      <c r="X994" s="341"/>
    </row>
    <row r="995" spans="1:25">
      <c r="A995" s="615"/>
      <c r="B995" s="132"/>
      <c r="C995" s="621"/>
      <c r="D995" s="123"/>
      <c r="E995" s="123"/>
      <c r="F995" s="133">
        <f>SUM(F994:F994)</f>
        <v>2901.6</v>
      </c>
      <c r="G995" s="133">
        <f>SUM(G994:G994)</f>
        <v>39.700000000000003</v>
      </c>
      <c r="H995" s="133">
        <f>SUM(H994:H994)</f>
        <v>0</v>
      </c>
      <c r="I995" s="134">
        <f>SUM(I994:I994)</f>
        <v>2861.9</v>
      </c>
      <c r="J995" s="127"/>
      <c r="K995" s="64"/>
      <c r="L995" s="64"/>
      <c r="M995" s="64"/>
      <c r="N995" s="64"/>
      <c r="O995" s="64"/>
      <c r="P995" s="64"/>
      <c r="Q995" s="64"/>
      <c r="R995" s="64"/>
      <c r="S995" s="64"/>
      <c r="T995" s="127"/>
      <c r="U995" s="135"/>
      <c r="V995" s="129"/>
      <c r="W995" s="130"/>
      <c r="X995" s="131"/>
    </row>
    <row r="996" spans="1:25">
      <c r="A996" s="614"/>
      <c r="B996" s="11"/>
      <c r="C996" s="609"/>
      <c r="D996" s="10"/>
      <c r="E996" s="10"/>
      <c r="F996" s="88"/>
      <c r="G996" s="88"/>
      <c r="H996" s="88"/>
      <c r="I996" s="99"/>
      <c r="J996" s="63"/>
      <c r="K996" s="21"/>
      <c r="L996" s="21"/>
      <c r="M996" s="21"/>
      <c r="N996" s="21"/>
      <c r="O996" s="21"/>
      <c r="P996" s="21"/>
      <c r="Q996" s="21"/>
      <c r="R996" s="21"/>
      <c r="S996" s="21"/>
      <c r="T996" s="63"/>
      <c r="U996" s="94"/>
      <c r="V996" s="90"/>
      <c r="W996" s="91"/>
      <c r="X996" s="92"/>
    </row>
    <row r="997" spans="1:25" s="260" customFormat="1">
      <c r="A997" s="181"/>
      <c r="B997" s="100" t="s">
        <v>152</v>
      </c>
      <c r="C997" s="36"/>
      <c r="D997" s="10"/>
      <c r="E997" s="10"/>
      <c r="F997" s="88"/>
      <c r="G997" s="62"/>
      <c r="H997" s="88"/>
      <c r="I997" s="99"/>
      <c r="J997" s="10"/>
      <c r="K997" s="181"/>
      <c r="L997" s="181"/>
      <c r="M997" s="181"/>
      <c r="N997" s="181"/>
      <c r="O997" s="181"/>
      <c r="P997" s="181"/>
      <c r="Q997" s="181"/>
      <c r="R997" s="181"/>
      <c r="S997" s="181"/>
      <c r="T997" s="63"/>
      <c r="U997" s="10"/>
      <c r="V997" s="90"/>
      <c r="W997" s="91"/>
      <c r="X997" s="92"/>
      <c r="Y997" s="181"/>
    </row>
    <row r="998" spans="1:25" s="260" customFormat="1">
      <c r="A998" s="494">
        <v>0.05</v>
      </c>
      <c r="B998" s="87">
        <v>1</v>
      </c>
      <c r="C998" s="641">
        <v>45911</v>
      </c>
      <c r="D998" s="263">
        <v>73200</v>
      </c>
      <c r="E998" s="264" t="s">
        <v>798</v>
      </c>
      <c r="F998" s="265">
        <f>2346-85</f>
        <v>2261</v>
      </c>
      <c r="G998" s="265">
        <f>39.7</f>
        <v>39.700000000000003</v>
      </c>
      <c r="H998" s="265"/>
      <c r="I998" s="272">
        <f>F998-G998-H998</f>
        <v>2221.3000000000002</v>
      </c>
      <c r="J998" s="267" t="s">
        <v>156</v>
      </c>
      <c r="K998" s="267">
        <v>1</v>
      </c>
      <c r="L998" s="267">
        <v>1</v>
      </c>
      <c r="M998" s="267">
        <v>1</v>
      </c>
      <c r="N998" s="267">
        <v>1</v>
      </c>
      <c r="O998" s="267">
        <v>1</v>
      </c>
      <c r="P998" s="267">
        <v>1</v>
      </c>
      <c r="Q998" s="267">
        <v>1</v>
      </c>
      <c r="R998" s="267">
        <v>1</v>
      </c>
      <c r="S998" s="269">
        <v>1</v>
      </c>
      <c r="T998" s="63"/>
      <c r="U998" s="10" t="s">
        <v>1128</v>
      </c>
      <c r="V998" s="90"/>
      <c r="W998" s="91"/>
      <c r="X998" s="92"/>
      <c r="Y998" s="181"/>
    </row>
    <row r="999" spans="1:25" s="260" customFormat="1">
      <c r="B999" s="11"/>
      <c r="C999" s="36"/>
      <c r="D999" s="10"/>
      <c r="E999" s="10"/>
      <c r="F999" s="98">
        <f>SUM(F998:F998)</f>
        <v>2261</v>
      </c>
      <c r="G999" s="98">
        <f>SUM(G998:G998)</f>
        <v>39.700000000000003</v>
      </c>
      <c r="H999" s="98">
        <f>SUM(H998:H998)</f>
        <v>0</v>
      </c>
      <c r="I999" s="98">
        <f>SUM(I998:I998)</f>
        <v>2221.3000000000002</v>
      </c>
      <c r="J999" s="63"/>
      <c r="K999" s="21"/>
      <c r="L999" s="21"/>
      <c r="M999" s="21"/>
      <c r="N999" s="21"/>
      <c r="O999" s="21"/>
      <c r="P999" s="21"/>
      <c r="Q999" s="21"/>
      <c r="R999" s="21"/>
      <c r="S999" s="21"/>
      <c r="T999" s="63"/>
      <c r="U999" s="94"/>
      <c r="V999" s="90"/>
      <c r="W999" s="91"/>
      <c r="X999" s="92"/>
    </row>
    <row r="1000" spans="1:25" s="260" customFormat="1">
      <c r="B1000" s="11"/>
      <c r="C1000" s="36"/>
      <c r="D1000" s="10"/>
      <c r="E1000" s="10"/>
      <c r="F1000" s="99"/>
      <c r="G1000" s="99"/>
      <c r="H1000" s="99"/>
      <c r="I1000" s="99"/>
      <c r="J1000" s="63"/>
      <c r="K1000" s="21"/>
      <c r="L1000" s="21"/>
      <c r="M1000" s="21"/>
      <c r="N1000" s="21"/>
      <c r="O1000" s="21"/>
      <c r="P1000" s="21"/>
      <c r="Q1000" s="21"/>
      <c r="R1000" s="21"/>
      <c r="S1000" s="21"/>
      <c r="T1000" s="63"/>
      <c r="U1000" s="94"/>
      <c r="V1000" s="90"/>
      <c r="W1000" s="91"/>
      <c r="X1000" s="92"/>
    </row>
    <row r="1001" spans="1:25">
      <c r="A1001" s="2"/>
      <c r="B1001" s="11"/>
      <c r="C1001" s="36"/>
      <c r="D1001" s="10"/>
      <c r="E1001" s="10"/>
      <c r="F1001" s="88"/>
      <c r="G1001" s="88"/>
      <c r="H1001" s="88"/>
      <c r="I1001" s="99"/>
      <c r="J1001" s="63"/>
      <c r="K1001" s="21"/>
      <c r="L1001" s="21"/>
      <c r="M1001" s="21"/>
      <c r="N1001" s="21"/>
      <c r="O1001" s="21"/>
      <c r="P1001" s="21"/>
      <c r="Q1001" s="21"/>
      <c r="R1001" s="21"/>
      <c r="S1001" s="21"/>
      <c r="T1001" s="63"/>
      <c r="U1001" s="94"/>
      <c r="V1001" s="90"/>
      <c r="W1001" s="91"/>
      <c r="X1001" s="92"/>
    </row>
    <row r="1002" spans="1:25" s="260" customFormat="1">
      <c r="B1002" s="100" t="s">
        <v>202</v>
      </c>
      <c r="C1002" s="36"/>
      <c r="D1002" s="10"/>
      <c r="E1002" s="181"/>
      <c r="F1002" s="88"/>
      <c r="G1002" s="88"/>
      <c r="H1002" s="88"/>
      <c r="I1002" s="99"/>
      <c r="J1002" s="63"/>
      <c r="K1002" s="21"/>
      <c r="L1002" s="21"/>
      <c r="M1002" s="21"/>
      <c r="N1002" s="21"/>
      <c r="O1002" s="21"/>
      <c r="P1002" s="21"/>
      <c r="Q1002" s="21"/>
      <c r="R1002" s="21"/>
      <c r="S1002" s="21"/>
      <c r="T1002" s="63"/>
      <c r="U1002" s="94"/>
      <c r="V1002" s="90"/>
      <c r="W1002" s="91"/>
      <c r="X1002" s="92"/>
    </row>
    <row r="1003" spans="1:25" s="260" customFormat="1">
      <c r="A1003" s="261">
        <v>0.05</v>
      </c>
      <c r="B1003" s="87">
        <v>1</v>
      </c>
      <c r="C1003" s="641">
        <v>45904</v>
      </c>
      <c r="D1003" s="263">
        <v>72982</v>
      </c>
      <c r="E1003" s="271" t="s">
        <v>604</v>
      </c>
      <c r="F1003" s="265">
        <v>1681</v>
      </c>
      <c r="G1003" s="265">
        <f>39.7+398</f>
        <v>437.7</v>
      </c>
      <c r="H1003" s="265"/>
      <c r="I1003" s="272">
        <f>F1003-G1003-H1003</f>
        <v>1243.3</v>
      </c>
      <c r="J1003" s="267" t="s">
        <v>156</v>
      </c>
      <c r="K1003" s="267">
        <v>1</v>
      </c>
      <c r="L1003" s="267"/>
      <c r="M1003" s="267">
        <v>1</v>
      </c>
      <c r="N1003" s="267">
        <v>1</v>
      </c>
      <c r="O1003" s="267">
        <v>1</v>
      </c>
      <c r="P1003" s="267">
        <v>1</v>
      </c>
      <c r="Q1003" s="267"/>
      <c r="R1003" s="267"/>
      <c r="S1003" s="269"/>
      <c r="T1003" s="63"/>
      <c r="U1003" s="94" t="s">
        <v>1131</v>
      </c>
      <c r="V1003" s="90"/>
      <c r="W1003" s="136"/>
      <c r="X1003" s="137"/>
    </row>
    <row r="1004" spans="1:25" s="260" customFormat="1">
      <c r="A1004" s="494">
        <v>0.05</v>
      </c>
      <c r="B1004" s="87">
        <f>B1003+1</f>
        <v>2</v>
      </c>
      <c r="C1004" s="641">
        <v>45925</v>
      </c>
      <c r="D1004" s="263" t="s">
        <v>1188</v>
      </c>
      <c r="E1004" s="271" t="s">
        <v>973</v>
      </c>
      <c r="F1004" s="265">
        <v>18161</v>
      </c>
      <c r="G1004" s="265">
        <f>39.7+33.68+1005.6+33.68+(162.47+289.66+177.5-16.43)+(86.55+60.7+267.3-217.8)+1500</f>
        <v>3422.61</v>
      </c>
      <c r="H1004" s="265"/>
      <c r="I1004" s="272">
        <f>F1004-G1004-H1004</f>
        <v>14738.39</v>
      </c>
      <c r="J1004" s="267" t="s">
        <v>156</v>
      </c>
      <c r="K1004" s="267">
        <v>1</v>
      </c>
      <c r="L1004" s="267"/>
      <c r="M1004" s="267">
        <v>1</v>
      </c>
      <c r="N1004" s="267">
        <v>1</v>
      </c>
      <c r="O1004" s="267">
        <v>1</v>
      </c>
      <c r="P1004" s="267">
        <v>1</v>
      </c>
      <c r="Q1004" s="267"/>
      <c r="R1004" s="267"/>
      <c r="S1004" s="269"/>
      <c r="T1004" s="63"/>
      <c r="U1004" s="94" t="s">
        <v>1243</v>
      </c>
      <c r="V1004" s="90"/>
      <c r="W1004" s="136"/>
      <c r="X1004" s="137"/>
    </row>
    <row r="1005" spans="1:25" s="260" customFormat="1">
      <c r="A1005" s="494">
        <v>0.05</v>
      </c>
      <c r="B1005" s="87">
        <f t="shared" ref="B1005" si="120">B1004+1</f>
        <v>3</v>
      </c>
      <c r="C1005" s="641">
        <v>45937</v>
      </c>
      <c r="D1005" s="263" t="s">
        <v>1240</v>
      </c>
      <c r="E1005" s="271" t="s">
        <v>1072</v>
      </c>
      <c r="F1005" s="265">
        <v>3952</v>
      </c>
      <c r="G1005" s="265">
        <f>39.7</f>
        <v>39.700000000000003</v>
      </c>
      <c r="H1005" s="265"/>
      <c r="I1005" s="272">
        <f>F1005-G1005-H1005</f>
        <v>3912.3</v>
      </c>
      <c r="J1005" s="267" t="s">
        <v>156</v>
      </c>
      <c r="K1005" s="267">
        <v>1</v>
      </c>
      <c r="L1005" s="267"/>
      <c r="M1005" s="267">
        <v>1</v>
      </c>
      <c r="N1005" s="267">
        <v>1</v>
      </c>
      <c r="O1005" s="267">
        <v>1</v>
      </c>
      <c r="P1005" s="267">
        <v>1</v>
      </c>
      <c r="Q1005" s="267"/>
      <c r="R1005" s="267"/>
      <c r="S1005" s="269"/>
      <c r="T1005" s="63"/>
      <c r="U1005" s="94"/>
      <c r="V1005" s="90"/>
      <c r="W1005" s="136"/>
      <c r="X1005" s="137"/>
    </row>
    <row r="1006" spans="1:25" s="260" customFormat="1">
      <c r="B1006" s="11"/>
      <c r="C1006" s="36"/>
      <c r="D1006" s="10"/>
      <c r="E1006" s="10"/>
      <c r="F1006" s="98">
        <f>SUM(F1003:F1005)</f>
        <v>23794</v>
      </c>
      <c r="G1006" s="98">
        <f>SUM(G1003:G1005)</f>
        <v>3900.0099999999998</v>
      </c>
      <c r="H1006" s="98">
        <f>SUM(H1003:H1005)</f>
        <v>0</v>
      </c>
      <c r="I1006" s="98">
        <f>SUM(I1003:I1005)</f>
        <v>19893.989999999998</v>
      </c>
      <c r="J1006" s="510"/>
      <c r="K1006" s="21"/>
      <c r="L1006" s="21"/>
      <c r="M1006" s="21"/>
      <c r="N1006" s="21"/>
      <c r="O1006" s="21"/>
      <c r="P1006" s="21"/>
      <c r="Q1006" s="21"/>
      <c r="R1006" s="21"/>
      <c r="S1006" s="21"/>
      <c r="T1006" s="63"/>
      <c r="U1006" s="94"/>
      <c r="V1006" s="90"/>
      <c r="W1006" s="91"/>
      <c r="X1006" s="92"/>
    </row>
    <row r="1007" spans="1:25" s="260" customFormat="1">
      <c r="B1007" s="11"/>
      <c r="C1007" s="36"/>
      <c r="D1007" s="10"/>
      <c r="E1007" s="10"/>
      <c r="F1007" s="99"/>
      <c r="G1007" s="99"/>
      <c r="H1007" s="99"/>
      <c r="I1007" s="99"/>
      <c r="J1007" s="63"/>
      <c r="K1007" s="21"/>
      <c r="L1007" s="21"/>
      <c r="M1007" s="21"/>
      <c r="N1007" s="21"/>
      <c r="O1007" s="21"/>
      <c r="P1007" s="21"/>
      <c r="Q1007" s="21"/>
      <c r="R1007" s="21"/>
      <c r="S1007" s="21"/>
      <c r="T1007" s="63"/>
      <c r="U1007" s="94"/>
      <c r="V1007" s="90"/>
      <c r="W1007" s="91"/>
      <c r="X1007" s="92"/>
    </row>
    <row r="1008" spans="1:25">
      <c r="A1008" s="614"/>
      <c r="B1008" s="100" t="s">
        <v>72</v>
      </c>
      <c r="C1008" s="609"/>
      <c r="D1008" s="10"/>
      <c r="E1008" s="10"/>
      <c r="F1008" s="88"/>
      <c r="G1008" s="88"/>
      <c r="H1008" s="88"/>
      <c r="I1008" s="99"/>
      <c r="J1008" s="63"/>
      <c r="K1008" s="63"/>
      <c r="L1008" s="63"/>
      <c r="M1008" s="63"/>
      <c r="N1008" s="63"/>
      <c r="O1008" s="63"/>
      <c r="P1008" s="63"/>
      <c r="Q1008" s="63"/>
      <c r="R1008" s="63"/>
      <c r="S1008" s="63"/>
      <c r="T1008" s="63"/>
      <c r="U1008" s="10"/>
      <c r="V1008" s="90"/>
      <c r="W1008" s="91"/>
      <c r="X1008" s="92"/>
    </row>
    <row r="1009" spans="1:24">
      <c r="A1009" s="614"/>
      <c r="B1009" s="87">
        <v>1</v>
      </c>
      <c r="C1009" s="638">
        <v>45943</v>
      </c>
      <c r="D1009" s="276">
        <v>74327</v>
      </c>
      <c r="E1009" s="276" t="s">
        <v>1085</v>
      </c>
      <c r="F1009" s="277">
        <v>0</v>
      </c>
      <c r="G1009" s="277">
        <v>0</v>
      </c>
      <c r="H1009" s="277"/>
      <c r="I1009" s="278">
        <f>F1009-G1009-H1009</f>
        <v>0</v>
      </c>
      <c r="J1009" s="279" t="s">
        <v>205</v>
      </c>
      <c r="K1009" s="279">
        <v>1</v>
      </c>
      <c r="L1009" s="279"/>
      <c r="M1009" s="279"/>
      <c r="N1009" s="279"/>
      <c r="O1009" s="279"/>
      <c r="P1009" s="279"/>
      <c r="Q1009" s="279">
        <v>1</v>
      </c>
      <c r="R1009" s="279">
        <v>1</v>
      </c>
      <c r="S1009" s="280">
        <v>1</v>
      </c>
      <c r="T1009" s="63"/>
      <c r="U1009" s="3"/>
      <c r="V1009" s="90"/>
      <c r="W1009" s="91"/>
      <c r="X1009" s="92"/>
    </row>
    <row r="1010" spans="1:24">
      <c r="A1010" s="614"/>
      <c r="B1010" s="87">
        <f>B1009+1</f>
        <v>2</v>
      </c>
      <c r="C1010" s="639">
        <v>45943</v>
      </c>
      <c r="D1010" s="10" t="s">
        <v>1270</v>
      </c>
      <c r="E1010" s="10" t="s">
        <v>769</v>
      </c>
      <c r="F1010" s="62">
        <v>5141</v>
      </c>
      <c r="G1010" s="62">
        <v>39.700000000000003</v>
      </c>
      <c r="H1010" s="62"/>
      <c r="I1010" s="89">
        <f>F1010-G1010-H1010</f>
        <v>5101.3</v>
      </c>
      <c r="J1010" s="63" t="s">
        <v>205</v>
      </c>
      <c r="K1010" s="63"/>
      <c r="L1010" s="63"/>
      <c r="M1010" s="63"/>
      <c r="N1010" s="63">
        <v>1</v>
      </c>
      <c r="O1010" s="63"/>
      <c r="P1010" s="63"/>
      <c r="Q1010" s="63"/>
      <c r="R1010" s="63"/>
      <c r="S1010" s="296"/>
      <c r="T1010" s="63"/>
      <c r="U1010" s="10"/>
      <c r="V1010" s="90"/>
      <c r="W1010" s="136"/>
      <c r="X1010" s="137"/>
    </row>
    <row r="1011" spans="1:24">
      <c r="A1011" s="614"/>
      <c r="B1011" s="87">
        <f>B1010+1</f>
        <v>3</v>
      </c>
      <c r="C1011" s="638">
        <v>45944</v>
      </c>
      <c r="D1011" s="275" t="s">
        <v>1271</v>
      </c>
      <c r="E1011" s="276" t="s">
        <v>211</v>
      </c>
      <c r="F1011" s="277">
        <v>4261</v>
      </c>
      <c r="G1011" s="277">
        <v>39.700000000000003</v>
      </c>
      <c r="H1011" s="277"/>
      <c r="I1011" s="278">
        <f>F1011-G1011-H1011</f>
        <v>4221.3</v>
      </c>
      <c r="J1011" s="279" t="s">
        <v>205</v>
      </c>
      <c r="K1011" s="279">
        <v>1</v>
      </c>
      <c r="L1011" s="279"/>
      <c r="M1011" s="279"/>
      <c r="N1011" s="279"/>
      <c r="O1011" s="279"/>
      <c r="P1011" s="279"/>
      <c r="Q1011" s="279"/>
      <c r="R1011" s="279"/>
      <c r="S1011" s="280"/>
      <c r="T1011" s="63"/>
      <c r="U1011" s="10"/>
      <c r="V1011" s="90"/>
      <c r="W1011" s="136"/>
      <c r="X1011" s="137"/>
    </row>
    <row r="1012" spans="1:24">
      <c r="A1012" s="614"/>
      <c r="B1012" s="87">
        <f>B1011+1</f>
        <v>4</v>
      </c>
      <c r="C1012" s="639">
        <v>45944</v>
      </c>
      <c r="D1012" s="10">
        <v>74419</v>
      </c>
      <c r="E1012" s="10" t="s">
        <v>218</v>
      </c>
      <c r="F1012" s="62">
        <v>1461</v>
      </c>
      <c r="G1012" s="62">
        <v>39.700000000000003</v>
      </c>
      <c r="H1012" s="62"/>
      <c r="I1012" s="89">
        <f>F1012-G1012-H1012</f>
        <v>1421.3</v>
      </c>
      <c r="J1012" s="63" t="s">
        <v>205</v>
      </c>
      <c r="K1012" s="63">
        <v>1</v>
      </c>
      <c r="L1012" s="63"/>
      <c r="M1012" s="63"/>
      <c r="N1012" s="63">
        <v>1</v>
      </c>
      <c r="O1012" s="63"/>
      <c r="P1012" s="63"/>
      <c r="Q1012" s="63">
        <v>1</v>
      </c>
      <c r="R1012" s="63">
        <v>1</v>
      </c>
      <c r="S1012" s="296">
        <v>1</v>
      </c>
      <c r="T1012" s="63"/>
      <c r="U1012" s="10"/>
      <c r="V1012" s="90"/>
      <c r="W1012" s="136"/>
      <c r="X1012" s="137"/>
    </row>
    <row r="1013" spans="1:24">
      <c r="A1013" s="614"/>
      <c r="B1013" s="87">
        <f>B1012+1</f>
        <v>5</v>
      </c>
      <c r="C1013" s="638">
        <v>45945</v>
      </c>
      <c r="D1013" s="276">
        <v>74293</v>
      </c>
      <c r="E1013" s="276" t="s">
        <v>1120</v>
      </c>
      <c r="F1013" s="277">
        <v>681</v>
      </c>
      <c r="G1013" s="277"/>
      <c r="H1013" s="277"/>
      <c r="I1013" s="278">
        <f>F1013-G1013-H1013</f>
        <v>681</v>
      </c>
      <c r="J1013" s="279" t="s">
        <v>205</v>
      </c>
      <c r="K1013" s="279">
        <v>1</v>
      </c>
      <c r="L1013" s="279"/>
      <c r="M1013" s="279"/>
      <c r="N1013" s="279">
        <v>1</v>
      </c>
      <c r="O1013" s="279"/>
      <c r="P1013" s="279"/>
      <c r="Q1013" s="279">
        <v>1</v>
      </c>
      <c r="R1013" s="279">
        <v>1</v>
      </c>
      <c r="S1013" s="280">
        <v>1</v>
      </c>
      <c r="T1013" s="63"/>
      <c r="U1013" s="10"/>
      <c r="V1013" s="90"/>
      <c r="W1013" s="136"/>
      <c r="X1013" s="137"/>
    </row>
    <row r="1014" spans="1:24">
      <c r="A1014" s="614"/>
      <c r="B1014" s="87">
        <f>B1013+1</f>
        <v>6</v>
      </c>
      <c r="C1014" s="639">
        <v>45945</v>
      </c>
      <c r="D1014" s="10">
        <v>74461</v>
      </c>
      <c r="E1014" s="101" t="s">
        <v>1046</v>
      </c>
      <c r="F1014" s="62">
        <v>681</v>
      </c>
      <c r="G1014" s="62"/>
      <c r="H1014" s="62"/>
      <c r="I1014" s="89">
        <f>F1014-G1014-H1014</f>
        <v>681</v>
      </c>
      <c r="J1014" s="63" t="s">
        <v>205</v>
      </c>
      <c r="K1014" s="63">
        <v>1</v>
      </c>
      <c r="L1014" s="63"/>
      <c r="M1014" s="63"/>
      <c r="N1014" s="63">
        <v>1</v>
      </c>
      <c r="O1014" s="63"/>
      <c r="P1014" s="63"/>
      <c r="Q1014" s="63">
        <v>1</v>
      </c>
      <c r="R1014" s="63">
        <v>1</v>
      </c>
      <c r="S1014" s="296">
        <v>1</v>
      </c>
      <c r="T1014" s="63"/>
      <c r="U1014" s="10"/>
      <c r="V1014" s="90"/>
      <c r="W1014" s="136"/>
      <c r="X1014" s="137"/>
    </row>
    <row r="1015" spans="1:24">
      <c r="A1015" s="614"/>
      <c r="B1015" s="87">
        <f>B1014+1</f>
        <v>7</v>
      </c>
      <c r="C1015" s="639">
        <v>45945</v>
      </c>
      <c r="D1015" s="10">
        <v>74461</v>
      </c>
      <c r="E1015" s="101" t="s">
        <v>1046</v>
      </c>
      <c r="F1015" s="62">
        <v>5814</v>
      </c>
      <c r="G1015" s="62">
        <v>39.700000000000003</v>
      </c>
      <c r="H1015" s="62"/>
      <c r="I1015" s="89">
        <f>F1015-G1015-H1015</f>
        <v>5774.3</v>
      </c>
      <c r="J1015" s="63" t="s">
        <v>205</v>
      </c>
      <c r="K1015" s="63">
        <v>1</v>
      </c>
      <c r="L1015" s="63"/>
      <c r="M1015" s="63"/>
      <c r="N1015" s="63">
        <v>1</v>
      </c>
      <c r="O1015" s="63"/>
      <c r="P1015" s="63"/>
      <c r="Q1015" s="63">
        <v>1</v>
      </c>
      <c r="R1015" s="63">
        <v>1</v>
      </c>
      <c r="S1015" s="296">
        <v>1</v>
      </c>
      <c r="T1015" s="63"/>
      <c r="U1015" s="10"/>
      <c r="V1015" s="90"/>
      <c r="W1015" s="136"/>
      <c r="X1015" s="137"/>
    </row>
    <row r="1016" spans="1:24">
      <c r="A1016" s="614"/>
      <c r="B1016" s="87">
        <f>B1015+1</f>
        <v>8</v>
      </c>
      <c r="C1016" s="639">
        <v>45945</v>
      </c>
      <c r="D1016" s="10">
        <v>74488</v>
      </c>
      <c r="E1016" s="101" t="s">
        <v>1272</v>
      </c>
      <c r="F1016" s="62">
        <v>1138</v>
      </c>
      <c r="G1016" s="62">
        <v>39.700000000000003</v>
      </c>
      <c r="H1016" s="62"/>
      <c r="I1016" s="89">
        <f>F1016-G1016-H1016</f>
        <v>1098.3</v>
      </c>
      <c r="J1016" s="63" t="s">
        <v>205</v>
      </c>
      <c r="K1016" s="63">
        <v>1</v>
      </c>
      <c r="L1016" s="63"/>
      <c r="M1016" s="63"/>
      <c r="N1016" s="63">
        <v>1</v>
      </c>
      <c r="O1016" s="63"/>
      <c r="P1016" s="63"/>
      <c r="Q1016" s="63">
        <v>1</v>
      </c>
      <c r="R1016" s="63">
        <v>1</v>
      </c>
      <c r="S1016" s="296">
        <v>1</v>
      </c>
      <c r="T1016" s="63"/>
      <c r="U1016" s="10"/>
      <c r="V1016" s="90"/>
      <c r="W1016" s="136"/>
      <c r="X1016" s="137"/>
    </row>
    <row r="1017" spans="1:24">
      <c r="A1017" s="614"/>
      <c r="B1017" s="87">
        <f>B1016+1</f>
        <v>9</v>
      </c>
      <c r="C1017" s="639">
        <v>45945</v>
      </c>
      <c r="D1017" s="10">
        <v>74446</v>
      </c>
      <c r="E1017" s="101" t="s">
        <v>1273</v>
      </c>
      <c r="F1017" s="62">
        <v>681</v>
      </c>
      <c r="G1017" s="62"/>
      <c r="H1017" s="62"/>
      <c r="I1017" s="89">
        <f>F1017-G1017-H1017</f>
        <v>681</v>
      </c>
      <c r="J1017" s="63" t="s">
        <v>205</v>
      </c>
      <c r="K1017" s="63">
        <v>1</v>
      </c>
      <c r="L1017" s="63"/>
      <c r="M1017" s="63"/>
      <c r="N1017" s="63">
        <v>1</v>
      </c>
      <c r="O1017" s="63"/>
      <c r="P1017" s="63"/>
      <c r="Q1017" s="63">
        <v>1</v>
      </c>
      <c r="R1017" s="63">
        <v>1</v>
      </c>
      <c r="S1017" s="296">
        <v>1</v>
      </c>
      <c r="T1017" s="63"/>
      <c r="U1017" s="10"/>
      <c r="V1017" s="90"/>
      <c r="W1017" s="136"/>
      <c r="X1017" s="137"/>
    </row>
    <row r="1018" spans="1:24">
      <c r="A1018" s="614"/>
      <c r="B1018" s="87">
        <f>B1017+1</f>
        <v>10</v>
      </c>
      <c r="C1018" s="639">
        <v>45945</v>
      </c>
      <c r="D1018" s="10">
        <v>74469</v>
      </c>
      <c r="E1018" s="101" t="s">
        <v>1088</v>
      </c>
      <c r="F1018" s="62">
        <v>4861</v>
      </c>
      <c r="G1018" s="62">
        <v>39.700000000000003</v>
      </c>
      <c r="H1018" s="62"/>
      <c r="I1018" s="89">
        <f>F1018-G1018-H1018</f>
        <v>4821.3</v>
      </c>
      <c r="J1018" s="63" t="s">
        <v>205</v>
      </c>
      <c r="K1018" s="63">
        <v>1</v>
      </c>
      <c r="L1018" s="63"/>
      <c r="M1018" s="63"/>
      <c r="N1018" s="63">
        <v>1</v>
      </c>
      <c r="O1018" s="63"/>
      <c r="P1018" s="63"/>
      <c r="Q1018" s="63">
        <v>1</v>
      </c>
      <c r="R1018" s="63">
        <v>1</v>
      </c>
      <c r="S1018" s="296">
        <v>1</v>
      </c>
      <c r="T1018" s="63"/>
      <c r="U1018" s="10"/>
      <c r="V1018" s="90"/>
      <c r="W1018" s="136"/>
      <c r="X1018" s="137"/>
    </row>
    <row r="1019" spans="1:24">
      <c r="A1019" s="614"/>
      <c r="B1019" s="87">
        <f>B1018+1</f>
        <v>11</v>
      </c>
      <c r="C1019" s="638">
        <v>45946</v>
      </c>
      <c r="D1019" s="275" t="s">
        <v>1274</v>
      </c>
      <c r="E1019" s="276" t="s">
        <v>604</v>
      </c>
      <c r="F1019" s="277">
        <v>3977.1</v>
      </c>
      <c r="G1019" s="277">
        <f>39.7</f>
        <v>39.700000000000003</v>
      </c>
      <c r="H1019" s="277"/>
      <c r="I1019" s="278">
        <f>F1019-G1019-H1019</f>
        <v>3937.4</v>
      </c>
      <c r="J1019" s="279" t="s">
        <v>205</v>
      </c>
      <c r="K1019" s="279">
        <v>1</v>
      </c>
      <c r="L1019" s="279"/>
      <c r="M1019" s="279"/>
      <c r="N1019" s="279">
        <v>1</v>
      </c>
      <c r="O1019" s="279"/>
      <c r="P1019" s="279"/>
      <c r="Q1019" s="279"/>
      <c r="R1019" s="279"/>
      <c r="S1019" s="280"/>
      <c r="T1019" s="63"/>
      <c r="U1019" s="10"/>
      <c r="V1019" s="90"/>
      <c r="W1019" s="136"/>
      <c r="X1019" s="137"/>
    </row>
    <row r="1020" spans="1:24">
      <c r="A1020" s="614"/>
      <c r="B1020" s="87">
        <f>B1019+1</f>
        <v>12</v>
      </c>
      <c r="C1020" s="639">
        <v>45946</v>
      </c>
      <c r="D1020" s="10">
        <v>74529</v>
      </c>
      <c r="E1020" s="101" t="s">
        <v>1227</v>
      </c>
      <c r="F1020" s="62">
        <v>5814</v>
      </c>
      <c r="G1020" s="62">
        <v>39.700000000000003</v>
      </c>
      <c r="H1020" s="62"/>
      <c r="I1020" s="89">
        <f>F1020-G1020-H1020</f>
        <v>5774.3</v>
      </c>
      <c r="J1020" s="63" t="s">
        <v>205</v>
      </c>
      <c r="K1020" s="63">
        <v>1</v>
      </c>
      <c r="L1020" s="63"/>
      <c r="M1020" s="63"/>
      <c r="N1020" s="63">
        <v>1</v>
      </c>
      <c r="O1020" s="63"/>
      <c r="P1020" s="63"/>
      <c r="Q1020" s="63">
        <v>1</v>
      </c>
      <c r="R1020" s="63">
        <v>1</v>
      </c>
      <c r="S1020" s="296">
        <v>1</v>
      </c>
      <c r="T1020" s="63"/>
      <c r="U1020" s="10"/>
      <c r="V1020" s="90"/>
      <c r="W1020" s="136"/>
      <c r="X1020" s="137"/>
    </row>
    <row r="1021" spans="1:24">
      <c r="A1021" s="614"/>
      <c r="B1021" s="87">
        <f>B1020+1</f>
        <v>13</v>
      </c>
      <c r="C1021" s="639">
        <v>45946</v>
      </c>
      <c r="D1021" s="10">
        <v>74518</v>
      </c>
      <c r="E1021" s="101" t="s">
        <v>604</v>
      </c>
      <c r="F1021" s="62">
        <v>416</v>
      </c>
      <c r="G1021" s="62">
        <v>39.700000000000003</v>
      </c>
      <c r="H1021" s="62"/>
      <c r="I1021" s="89">
        <f>F1021-G1021-H1021</f>
        <v>376.3</v>
      </c>
      <c r="J1021" s="63" t="s">
        <v>205</v>
      </c>
      <c r="K1021" s="63">
        <v>1</v>
      </c>
      <c r="L1021" s="63"/>
      <c r="M1021" s="63"/>
      <c r="N1021" s="63">
        <v>1</v>
      </c>
      <c r="O1021" s="63"/>
      <c r="P1021" s="63"/>
      <c r="Q1021" s="63">
        <v>1</v>
      </c>
      <c r="R1021" s="63">
        <v>1</v>
      </c>
      <c r="S1021" s="296">
        <v>1</v>
      </c>
      <c r="T1021" s="63"/>
      <c r="U1021" s="10"/>
      <c r="V1021" s="90"/>
      <c r="W1021" s="136"/>
      <c r="X1021" s="137"/>
    </row>
    <row r="1022" spans="1:24">
      <c r="A1022" s="614"/>
      <c r="B1022" s="87">
        <f>B1021+1</f>
        <v>14</v>
      </c>
      <c r="C1022" s="638">
        <v>45947</v>
      </c>
      <c r="D1022" s="276">
        <v>74564</v>
      </c>
      <c r="E1022" s="276" t="s">
        <v>1260</v>
      </c>
      <c r="F1022" s="277">
        <v>1861</v>
      </c>
      <c r="G1022" s="277">
        <v>39.700000000000003</v>
      </c>
      <c r="H1022" s="277"/>
      <c r="I1022" s="278">
        <f>F1022-G1022-H1022</f>
        <v>1821.3</v>
      </c>
      <c r="J1022" s="279" t="s">
        <v>205</v>
      </c>
      <c r="K1022" s="279">
        <v>1</v>
      </c>
      <c r="L1022" s="279"/>
      <c r="M1022" s="279"/>
      <c r="N1022" s="279">
        <v>1</v>
      </c>
      <c r="O1022" s="279"/>
      <c r="P1022" s="279"/>
      <c r="Q1022" s="279">
        <v>1</v>
      </c>
      <c r="R1022" s="279">
        <v>1</v>
      </c>
      <c r="S1022" s="280">
        <v>1</v>
      </c>
      <c r="T1022" s="63"/>
      <c r="U1022" s="10"/>
      <c r="V1022" s="90"/>
      <c r="W1022" s="136"/>
      <c r="X1022" s="137"/>
    </row>
    <row r="1023" spans="1:24">
      <c r="A1023" s="614"/>
      <c r="B1023" s="87">
        <f>B1022+1</f>
        <v>15</v>
      </c>
      <c r="C1023" s="640">
        <v>45947</v>
      </c>
      <c r="D1023" s="283">
        <v>74534</v>
      </c>
      <c r="E1023" s="283" t="s">
        <v>1115</v>
      </c>
      <c r="F1023" s="284">
        <v>861</v>
      </c>
      <c r="G1023" s="284">
        <v>39.700000000000003</v>
      </c>
      <c r="H1023" s="284"/>
      <c r="I1023" s="285">
        <f>F1023-G1023-H1023</f>
        <v>821.3</v>
      </c>
      <c r="J1023" s="286" t="s">
        <v>205</v>
      </c>
      <c r="K1023" s="286">
        <v>1</v>
      </c>
      <c r="L1023" s="286"/>
      <c r="M1023" s="286"/>
      <c r="N1023" s="286">
        <v>1</v>
      </c>
      <c r="O1023" s="286"/>
      <c r="P1023" s="286"/>
      <c r="Q1023" s="286">
        <v>1</v>
      </c>
      <c r="R1023" s="286">
        <v>1</v>
      </c>
      <c r="S1023" s="287">
        <v>1</v>
      </c>
      <c r="T1023" s="63"/>
      <c r="U1023" s="10"/>
      <c r="V1023" s="90"/>
      <c r="W1023" s="136"/>
      <c r="X1023" s="137"/>
    </row>
    <row r="1024" spans="1:24">
      <c r="A1024" s="614"/>
      <c r="B1024" s="11"/>
      <c r="C1024" s="621"/>
      <c r="D1024" s="10"/>
      <c r="E1024" s="10"/>
      <c r="F1024" s="97">
        <f>SUM(F1009:F1023)</f>
        <v>37648.1</v>
      </c>
      <c r="G1024" s="97">
        <f>SUM(G1009:G1023)</f>
        <v>436.69999999999993</v>
      </c>
      <c r="H1024" s="97">
        <f>SUM(H1009:H1023)</f>
        <v>0</v>
      </c>
      <c r="I1024" s="98">
        <f>SUM(I1009:I1023)</f>
        <v>37211.400000000009</v>
      </c>
      <c r="J1024" s="10"/>
      <c r="K1024" s="10"/>
      <c r="L1024" s="10"/>
      <c r="M1024" s="10"/>
      <c r="N1024" s="10"/>
      <c r="O1024" s="10"/>
      <c r="P1024" s="10"/>
      <c r="Q1024" s="10"/>
      <c r="R1024" s="10"/>
      <c r="S1024" s="10"/>
      <c r="T1024" s="63"/>
      <c r="U1024" s="10"/>
      <c r="V1024" s="138"/>
      <c r="W1024" s="136"/>
      <c r="X1024" s="137"/>
    </row>
    <row r="1025" spans="1:25">
      <c r="A1025" s="614"/>
      <c r="B1025" s="11"/>
      <c r="C1025" s="621"/>
      <c r="D1025" s="10"/>
      <c r="E1025" s="10"/>
      <c r="F1025" s="88"/>
      <c r="G1025" s="88"/>
      <c r="H1025" s="88"/>
      <c r="I1025" s="99"/>
      <c r="J1025" s="10"/>
      <c r="K1025" s="10"/>
      <c r="L1025" s="10"/>
      <c r="M1025" s="10"/>
      <c r="N1025" s="10"/>
      <c r="O1025" s="10"/>
      <c r="P1025" s="10"/>
      <c r="Q1025" s="10"/>
      <c r="R1025" s="10"/>
      <c r="S1025" s="10"/>
      <c r="T1025" s="63"/>
      <c r="U1025" s="10"/>
      <c r="V1025" s="138"/>
      <c r="W1025" s="136"/>
      <c r="X1025" s="137"/>
    </row>
    <row r="1026" spans="1:25">
      <c r="A1026" s="614"/>
      <c r="B1026" s="100" t="s">
        <v>73</v>
      </c>
      <c r="C1026" s="621"/>
      <c r="D1026" s="10"/>
      <c r="E1026" s="10"/>
      <c r="F1026" s="88"/>
      <c r="G1026" s="88"/>
      <c r="H1026" s="88"/>
      <c r="I1026" s="99"/>
      <c r="J1026" s="63"/>
      <c r="K1026" s="63"/>
      <c r="L1026" s="63"/>
      <c r="M1026" s="63"/>
      <c r="N1026" s="63"/>
      <c r="O1026" s="63"/>
      <c r="P1026" s="63"/>
      <c r="Q1026" s="63"/>
      <c r="R1026" s="63"/>
      <c r="S1026" s="63"/>
      <c r="T1026" s="63"/>
      <c r="U1026" s="94"/>
      <c r="V1026" s="90"/>
      <c r="W1026" s="91"/>
      <c r="X1026" s="92"/>
    </row>
    <row r="1027" spans="1:25">
      <c r="A1027" s="614"/>
      <c r="B1027" s="87">
        <v>1</v>
      </c>
      <c r="C1027" s="638">
        <v>45948</v>
      </c>
      <c r="D1027" s="276">
        <v>74593</v>
      </c>
      <c r="E1027" s="276" t="s">
        <v>1037</v>
      </c>
      <c r="F1027" s="277">
        <v>5814</v>
      </c>
      <c r="G1027" s="277">
        <v>39.700000000000003</v>
      </c>
      <c r="H1027" s="277"/>
      <c r="I1027" s="278">
        <f>F1027-G1027-H1027</f>
        <v>5774.3</v>
      </c>
      <c r="J1027" s="279" t="s">
        <v>205</v>
      </c>
      <c r="K1027" s="279">
        <v>1</v>
      </c>
      <c r="L1027" s="279"/>
      <c r="M1027" s="279"/>
      <c r="N1027" s="279">
        <v>1</v>
      </c>
      <c r="O1027" s="279"/>
      <c r="P1027" s="279"/>
      <c r="Q1027" s="279">
        <v>1</v>
      </c>
      <c r="R1027" s="279">
        <v>1</v>
      </c>
      <c r="S1027" s="280">
        <v>1</v>
      </c>
      <c r="T1027" s="63"/>
      <c r="U1027" s="139"/>
      <c r="V1027" s="90"/>
      <c r="W1027" s="91"/>
      <c r="X1027" s="92"/>
    </row>
    <row r="1028" spans="1:25">
      <c r="A1028" s="614"/>
      <c r="B1028" s="87">
        <f>B1027+1</f>
        <v>2</v>
      </c>
      <c r="C1028" s="640">
        <v>45948</v>
      </c>
      <c r="D1028" s="283">
        <v>74582</v>
      </c>
      <c r="E1028" s="283" t="s">
        <v>1275</v>
      </c>
      <c r="F1028" s="284">
        <v>0</v>
      </c>
      <c r="G1028" s="284">
        <v>0</v>
      </c>
      <c r="H1028" s="284"/>
      <c r="I1028" s="285">
        <f>F1028-G1028-H1028</f>
        <v>0</v>
      </c>
      <c r="J1028" s="286" t="s">
        <v>219</v>
      </c>
      <c r="K1028" s="286"/>
      <c r="L1028" s="286"/>
      <c r="M1028" s="286"/>
      <c r="N1028" s="286"/>
      <c r="O1028" s="286"/>
      <c r="P1028" s="286"/>
      <c r="Q1028" s="286"/>
      <c r="R1028" s="286"/>
      <c r="S1028" s="287"/>
      <c r="T1028" s="63"/>
      <c r="U1028" s="94"/>
      <c r="V1028" s="90"/>
      <c r="W1028" s="136"/>
      <c r="X1028" s="137"/>
    </row>
    <row r="1029" spans="1:25">
      <c r="A1029" s="614"/>
      <c r="B1029" s="11"/>
      <c r="C1029" s="609"/>
      <c r="D1029" s="10"/>
      <c r="E1029" s="10"/>
      <c r="F1029" s="97">
        <f>SUM(F1027:F1028)</f>
        <v>5814</v>
      </c>
      <c r="G1029" s="97">
        <f>SUM(G1027:G1028)</f>
        <v>39.700000000000003</v>
      </c>
      <c r="H1029" s="97">
        <f>SUM(H1027:H1028)</f>
        <v>0</v>
      </c>
      <c r="I1029" s="98">
        <f>SUM(I1027:I1028)</f>
        <v>5774.3</v>
      </c>
      <c r="J1029" s="10"/>
      <c r="K1029" s="10"/>
      <c r="L1029" s="10"/>
      <c r="M1029" s="10"/>
      <c r="N1029" s="10"/>
      <c r="O1029" s="10"/>
      <c r="P1029" s="10"/>
      <c r="Q1029" s="10"/>
      <c r="R1029" s="10"/>
      <c r="S1029" s="10"/>
      <c r="T1029" s="63"/>
      <c r="U1029" s="94"/>
      <c r="V1029" s="90"/>
      <c r="W1029" s="91"/>
      <c r="X1029" s="92"/>
    </row>
    <row r="1030" spans="1:25">
      <c r="A1030" s="614"/>
      <c r="B1030" s="26"/>
      <c r="C1030" s="612"/>
      <c r="D1030" s="141"/>
      <c r="E1030" s="141"/>
      <c r="F1030" s="141"/>
      <c r="G1030" s="141"/>
      <c r="H1030" s="141"/>
      <c r="I1030" s="141"/>
      <c r="J1030" s="141"/>
      <c r="K1030" s="142"/>
      <c r="L1030" s="142"/>
      <c r="M1030" s="142"/>
      <c r="N1030" s="142"/>
      <c r="O1030" s="142"/>
      <c r="P1030" s="142"/>
      <c r="Q1030" s="142"/>
      <c r="R1030" s="142"/>
      <c r="S1030" s="142"/>
      <c r="T1030" s="143">
        <f>SUM(T950:T1029)</f>
        <v>7</v>
      </c>
      <c r="U1030" s="141"/>
      <c r="V1030" s="144">
        <f>SUM(V950:V1029)</f>
        <v>45917.759999999995</v>
      </c>
      <c r="W1030" s="144">
        <f>SUM(W950:W1029)</f>
        <v>7635</v>
      </c>
      <c r="X1030" s="144">
        <f>SUM(X950:X1029)</f>
        <v>0</v>
      </c>
    </row>
    <row r="1033" spans="1:25">
      <c r="B1033" s="4" t="s">
        <v>1</v>
      </c>
      <c r="C1033" s="5"/>
      <c r="D1033" s="6"/>
      <c r="E1033" s="6"/>
      <c r="F1033" s="7" t="s">
        <v>2</v>
      </c>
      <c r="G1033" s="608">
        <v>45956</v>
      </c>
      <c r="H1033" s="7"/>
      <c r="I1033" s="6"/>
      <c r="J1033" s="6"/>
      <c r="K1033" s="6"/>
      <c r="L1033" s="6"/>
      <c r="M1033" s="6"/>
      <c r="N1033" s="6"/>
      <c r="O1033" s="6"/>
      <c r="P1033" s="6"/>
      <c r="Q1033" s="6"/>
      <c r="R1033" s="6"/>
      <c r="S1033" s="6"/>
      <c r="T1033" s="6"/>
      <c r="U1033" s="9"/>
      <c r="V1033" s="10"/>
      <c r="W1033" s="10"/>
      <c r="X1033" s="10"/>
      <c r="Y1033" s="2"/>
    </row>
    <row r="1034" spans="1:25">
      <c r="B1034" s="11"/>
      <c r="C1034" s="10"/>
      <c r="D1034" s="10"/>
      <c r="E1034" s="10"/>
      <c r="F1034" s="10"/>
      <c r="G1034" s="7"/>
      <c r="H1034" s="12"/>
      <c r="I1034" s="10"/>
      <c r="J1034" s="10"/>
      <c r="K1034" s="13" t="s">
        <v>3</v>
      </c>
      <c r="L1034" s="14"/>
      <c r="M1034" s="15"/>
      <c r="N1034" s="13" t="s">
        <v>4</v>
      </c>
      <c r="O1034" s="14"/>
      <c r="P1034" s="15"/>
      <c r="Q1034" s="13" t="s">
        <v>5</v>
      </c>
      <c r="R1034" s="14"/>
      <c r="S1034" s="15"/>
      <c r="T1034" s="16"/>
      <c r="U1034" s="17"/>
      <c r="V1034" s="10"/>
      <c r="W1034" s="10"/>
      <c r="X1034" s="10"/>
      <c r="Y1034" s="2"/>
    </row>
    <row r="1035" spans="1:25">
      <c r="B1035" s="18" t="s">
        <v>6</v>
      </c>
      <c r="C1035" s="19">
        <f>C1036+C1037</f>
        <v>39</v>
      </c>
      <c r="D1035" s="10"/>
      <c r="E1035" s="18" t="s">
        <v>7</v>
      </c>
      <c r="F1035" s="6"/>
      <c r="G1035" s="9"/>
      <c r="H1035" s="10"/>
      <c r="I1035" s="10"/>
      <c r="J1035" s="10"/>
      <c r="K1035" s="20" t="s">
        <v>8</v>
      </c>
      <c r="L1035" s="21" t="s">
        <v>9</v>
      </c>
      <c r="M1035" s="21" t="s">
        <v>10</v>
      </c>
      <c r="N1035" s="20" t="s">
        <v>11</v>
      </c>
      <c r="O1035" s="21" t="s">
        <v>12</v>
      </c>
      <c r="P1035" s="22" t="s">
        <v>13</v>
      </c>
      <c r="Q1035" s="21" t="s">
        <v>11</v>
      </c>
      <c r="R1035" s="21" t="s">
        <v>12</v>
      </c>
      <c r="S1035" s="22" t="s">
        <v>13</v>
      </c>
      <c r="T1035" s="23" t="s">
        <v>14</v>
      </c>
      <c r="U1035" s="17"/>
      <c r="V1035" s="10"/>
      <c r="W1035" s="10"/>
      <c r="X1035" s="10"/>
      <c r="Y1035" s="2"/>
    </row>
    <row r="1036" spans="1:25">
      <c r="B1036" s="24" t="s">
        <v>15</v>
      </c>
      <c r="C1036" s="25">
        <f>P1043</f>
        <v>20</v>
      </c>
      <c r="D1036" s="10"/>
      <c r="E1036" s="26" t="s">
        <v>16</v>
      </c>
      <c r="F1036" s="27">
        <v>0.05</v>
      </c>
      <c r="G1036" s="28"/>
      <c r="H1036" s="10"/>
      <c r="I1036" s="10"/>
      <c r="J1036" s="18" t="s">
        <v>17</v>
      </c>
      <c r="K1036" s="29">
        <f>K1077</f>
        <v>16</v>
      </c>
      <c r="L1036" s="29">
        <f t="shared" ref="L1036:S1036" si="121">L1077</f>
        <v>16</v>
      </c>
      <c r="M1036" s="29">
        <f t="shared" si="121"/>
        <v>11</v>
      </c>
      <c r="N1036" s="29">
        <f t="shared" si="121"/>
        <v>16</v>
      </c>
      <c r="O1036" s="29">
        <f t="shared" si="121"/>
        <v>16</v>
      </c>
      <c r="P1036" s="29">
        <f t="shared" si="121"/>
        <v>15</v>
      </c>
      <c r="Q1036" s="29">
        <f t="shared" si="121"/>
        <v>16</v>
      </c>
      <c r="R1036" s="29">
        <f t="shared" si="121"/>
        <v>16</v>
      </c>
      <c r="S1036" s="29">
        <f t="shared" si="121"/>
        <v>15</v>
      </c>
      <c r="T1036" s="30">
        <f>T1131</f>
        <v>5</v>
      </c>
      <c r="U1036" s="17"/>
      <c r="V1036" s="10"/>
      <c r="W1036" s="10"/>
      <c r="X1036" s="10"/>
      <c r="Y1036" s="2"/>
    </row>
    <row r="1037" spans="1:25">
      <c r="B1037" s="24" t="s">
        <v>18</v>
      </c>
      <c r="C1037" s="25">
        <f>P1044</f>
        <v>19</v>
      </c>
      <c r="D1037" s="10"/>
      <c r="E1037" s="10"/>
      <c r="F1037" s="10"/>
      <c r="G1037" s="31"/>
      <c r="H1037" s="10"/>
      <c r="I1037" s="10"/>
      <c r="J1037" s="32" t="s">
        <v>19</v>
      </c>
      <c r="K1037" s="33">
        <f>K1077/K1076</f>
        <v>1</v>
      </c>
      <c r="L1037" s="33">
        <f t="shared" ref="L1037:S1037" si="122">L1077/L1076</f>
        <v>1</v>
      </c>
      <c r="M1037" s="33">
        <f t="shared" si="122"/>
        <v>0.6875</v>
      </c>
      <c r="N1037" s="33">
        <f t="shared" si="122"/>
        <v>1</v>
      </c>
      <c r="O1037" s="33">
        <f t="shared" si="122"/>
        <v>1</v>
      </c>
      <c r="P1037" s="33">
        <f t="shared" si="122"/>
        <v>0.9375</v>
      </c>
      <c r="Q1037" s="33">
        <f t="shared" si="122"/>
        <v>1</v>
      </c>
      <c r="R1037" s="33">
        <f t="shared" si="122"/>
        <v>1</v>
      </c>
      <c r="S1037" s="33">
        <f t="shared" si="122"/>
        <v>0.9375</v>
      </c>
      <c r="T1037" s="23"/>
      <c r="U1037" s="17" t="s">
        <v>20</v>
      </c>
      <c r="V1037" s="10"/>
      <c r="W1037" s="10"/>
      <c r="X1037" s="10"/>
      <c r="Y1037" s="2"/>
    </row>
    <row r="1038" spans="1:25">
      <c r="B1038" s="24" t="s">
        <v>21</v>
      </c>
      <c r="C1038" s="34">
        <f>P1045</f>
        <v>0.51282051282051277</v>
      </c>
      <c r="D1038" s="10"/>
      <c r="E1038" s="10"/>
      <c r="F1038" s="10"/>
      <c r="G1038" s="10"/>
      <c r="H1038" s="10"/>
      <c r="I1038" s="10"/>
      <c r="J1038" s="10"/>
      <c r="K1038" s="10"/>
      <c r="L1038" s="10"/>
      <c r="M1038" s="10"/>
      <c r="N1038" s="10"/>
      <c r="O1038" s="10"/>
      <c r="P1038" s="10"/>
      <c r="Q1038" s="10"/>
      <c r="R1038" s="10"/>
      <c r="S1038" s="10"/>
      <c r="T1038" s="10"/>
      <c r="U1038" s="17"/>
      <c r="V1038" s="10"/>
      <c r="W1038" s="10"/>
      <c r="X1038" s="10"/>
      <c r="Y1038" s="2"/>
    </row>
    <row r="1039" spans="1:25">
      <c r="B1039" s="24"/>
      <c r="C1039" s="25"/>
      <c r="D1039" s="10"/>
      <c r="E1039" s="10"/>
      <c r="F1039" s="18" t="s">
        <v>22</v>
      </c>
      <c r="G1039" s="19" t="s">
        <v>23</v>
      </c>
      <c r="H1039" s="35" t="s">
        <v>24</v>
      </c>
      <c r="I1039" s="10"/>
      <c r="J1039" s="10"/>
      <c r="K1039" s="36"/>
      <c r="L1039" s="36"/>
      <c r="M1039" s="36"/>
      <c r="N1039" s="36"/>
      <c r="O1039" s="36"/>
      <c r="P1039" s="36"/>
      <c r="Q1039" s="36"/>
      <c r="R1039" s="10"/>
      <c r="S1039" s="10"/>
      <c r="T1039" s="10"/>
      <c r="U1039" s="17"/>
      <c r="V1039" s="10"/>
      <c r="W1039" s="10"/>
      <c r="X1039" s="10"/>
      <c r="Y1039" s="2"/>
    </row>
    <row r="1040" spans="1:25">
      <c r="B1040" s="32" t="s">
        <v>25</v>
      </c>
      <c r="C1040" s="37">
        <f>P1046</f>
        <v>2336.1495000000004</v>
      </c>
      <c r="D1040" s="10"/>
      <c r="E1040" s="18" t="s">
        <v>26</v>
      </c>
      <c r="F1040" s="38">
        <f>P1042</f>
        <v>46722.990000000005</v>
      </c>
      <c r="G1040" s="39">
        <f>I1076+I1094</f>
        <v>46722.989999999991</v>
      </c>
      <c r="H1040" s="40"/>
      <c r="I1040" s="41"/>
      <c r="J1040" s="42"/>
      <c r="K1040" s="43" t="s">
        <v>27</v>
      </c>
      <c r="L1040" s="44"/>
      <c r="M1040" s="44"/>
      <c r="N1040" s="44"/>
      <c r="O1040" s="44"/>
      <c r="P1040" s="44"/>
      <c r="Q1040" s="45"/>
      <c r="R1040" s="46" t="s">
        <v>28</v>
      </c>
      <c r="S1040" s="47" t="s">
        <v>29</v>
      </c>
      <c r="T1040" s="10"/>
      <c r="U1040" s="17"/>
      <c r="V1040" s="10"/>
      <c r="W1040" s="10"/>
      <c r="X1040" s="10"/>
      <c r="Y1040" s="2"/>
    </row>
    <row r="1041" spans="2:25">
      <c r="B1041" s="11"/>
      <c r="C1041" s="10"/>
      <c r="D1041" s="10"/>
      <c r="E1041" s="24" t="s">
        <v>30</v>
      </c>
      <c r="F1041" s="48">
        <f>F1036</f>
        <v>0.05</v>
      </c>
      <c r="G1041" s="17"/>
      <c r="H1041" s="40"/>
      <c r="I1041" s="41"/>
      <c r="J1041" s="42"/>
      <c r="K1041" s="20" t="s">
        <v>31</v>
      </c>
      <c r="L1041" s="21" t="s">
        <v>32</v>
      </c>
      <c r="M1041" s="21" t="s">
        <v>33</v>
      </c>
      <c r="N1041" s="21" t="s">
        <v>34</v>
      </c>
      <c r="O1041" s="21" t="s">
        <v>35</v>
      </c>
      <c r="P1041" s="21" t="s">
        <v>36</v>
      </c>
      <c r="Q1041" s="49" t="s">
        <v>37</v>
      </c>
      <c r="R1041" s="50" t="s">
        <v>38</v>
      </c>
      <c r="S1041" s="50" t="s">
        <v>38</v>
      </c>
      <c r="T1041" s="10"/>
      <c r="U1041" s="17"/>
      <c r="V1041" s="10"/>
      <c r="W1041" s="10"/>
      <c r="X1041" s="10"/>
      <c r="Y1041" s="2"/>
    </row>
    <row r="1042" spans="2:25">
      <c r="B1042" s="11"/>
      <c r="C1042" s="10"/>
      <c r="D1042" s="10"/>
      <c r="E1042" s="51" t="s">
        <v>39</v>
      </c>
      <c r="F1042" s="52">
        <f>(F1040+F1049+F1050+F1051+F1052+F1053-I1060-I1065-I1068-I1070-I1090-I1091-I1092-I1093)*F1041</f>
        <v>874.46249999999964</v>
      </c>
      <c r="G1042" s="53" t="s">
        <v>40</v>
      </c>
      <c r="H1042" s="54">
        <f>F1042/1.12</f>
        <v>780.77008928571388</v>
      </c>
      <c r="I1042" s="55"/>
      <c r="J1042" s="42"/>
      <c r="K1042" s="56">
        <f>I1060+I1061+I1062</f>
        <v>2878.6</v>
      </c>
      <c r="L1042" s="57">
        <f>I1063+I1064+I1065+I1090</f>
        <v>2870.2</v>
      </c>
      <c r="M1042" s="57">
        <f>I1066+I1067+I1068+I1069+I1070+I1091</f>
        <v>7275.0000000000009</v>
      </c>
      <c r="N1042" s="57">
        <f>I1071+I1072+I1092+I1093</f>
        <v>27212.780000000002</v>
      </c>
      <c r="O1042" s="57">
        <f>I1073+I1075+I1074</f>
        <v>6486.41</v>
      </c>
      <c r="P1042" s="57">
        <f>SUM(K1042:O1042)</f>
        <v>46722.990000000005</v>
      </c>
      <c r="Q1042" s="58">
        <f>I1080</f>
        <v>2134.11</v>
      </c>
      <c r="R1042" s="59">
        <f>+I1094</f>
        <v>24950.68</v>
      </c>
      <c r="S1042" s="59">
        <v>0</v>
      </c>
      <c r="T1042" s="10"/>
      <c r="U1042" s="17"/>
      <c r="V1042" s="10"/>
      <c r="W1042" s="10"/>
      <c r="X1042" s="10"/>
      <c r="Y1042" s="2"/>
    </row>
    <row r="1043" spans="2:25">
      <c r="B1043" s="11"/>
      <c r="C1043" s="10"/>
      <c r="D1043" s="10"/>
      <c r="E1043" s="24" t="s">
        <v>41</v>
      </c>
      <c r="F1043" s="60">
        <f>Q1042</f>
        <v>2134.11</v>
      </c>
      <c r="G1043" s="61" t="s">
        <v>40</v>
      </c>
      <c r="H1043" s="62"/>
      <c r="I1043" s="384" t="s">
        <v>1029</v>
      </c>
      <c r="J1043" s="10" t="s">
        <v>42</v>
      </c>
      <c r="K1043" s="63">
        <v>3</v>
      </c>
      <c r="L1043" s="63">
        <v>4</v>
      </c>
      <c r="M1043" s="63">
        <v>6</v>
      </c>
      <c r="N1043" s="63">
        <v>4</v>
      </c>
      <c r="O1043" s="63">
        <v>3</v>
      </c>
      <c r="P1043" s="21">
        <f>SUM(K1043:O1043)</f>
        <v>20</v>
      </c>
      <c r="Q1043" s="64">
        <v>1</v>
      </c>
      <c r="R1043" s="63"/>
      <c r="S1043" s="10"/>
      <c r="T1043" s="10"/>
      <c r="U1043" s="17"/>
      <c r="V1043" s="10"/>
      <c r="W1043" s="10"/>
      <c r="X1043" s="10"/>
      <c r="Y1043" s="2"/>
    </row>
    <row r="1044" spans="2:25">
      <c r="B1044" s="11"/>
      <c r="C1044" s="10"/>
      <c r="D1044" s="10"/>
      <c r="E1044" s="51" t="s">
        <v>43</v>
      </c>
      <c r="F1044" s="52">
        <f>F1043*0.25</f>
        <v>533.52750000000003</v>
      </c>
      <c r="G1044" s="53" t="s">
        <v>40</v>
      </c>
      <c r="H1044" s="54">
        <f>F1044/1.12</f>
        <v>476.36383928571428</v>
      </c>
      <c r="I1044" s="644">
        <f>67.5*3</f>
        <v>202.5</v>
      </c>
      <c r="J1044" s="10" t="s">
        <v>44</v>
      </c>
      <c r="K1044" s="63">
        <v>4</v>
      </c>
      <c r="L1044" s="63">
        <v>5</v>
      </c>
      <c r="M1044" s="63">
        <v>4</v>
      </c>
      <c r="N1044" s="63">
        <v>2</v>
      </c>
      <c r="O1044" s="63">
        <v>4</v>
      </c>
      <c r="P1044" s="21">
        <f>SUM(K1044:O1044)</f>
        <v>19</v>
      </c>
      <c r="Q1044" s="64">
        <v>0</v>
      </c>
      <c r="R1044" s="63"/>
      <c r="S1044" s="10"/>
      <c r="T1044" s="10"/>
      <c r="U1044" s="17"/>
      <c r="V1044" s="10"/>
      <c r="W1044" s="10"/>
      <c r="X1044" s="10"/>
      <c r="Y1044" s="2"/>
    </row>
    <row r="1045" spans="2:25">
      <c r="B1045" s="11"/>
      <c r="C1045" s="10"/>
      <c r="D1045" s="10"/>
      <c r="E1045" s="24" t="s">
        <v>45</v>
      </c>
      <c r="F1045" s="60">
        <f>I1087</f>
        <v>20452.010000000002</v>
      </c>
      <c r="G1045" s="61" t="s">
        <v>40</v>
      </c>
      <c r="H1045" s="62"/>
      <c r="I1045" s="10"/>
      <c r="J1045" s="10" t="s">
        <v>46</v>
      </c>
      <c r="K1045" s="31">
        <f t="shared" ref="K1045:Q1045" si="123">K1043/(K1043+K1044)</f>
        <v>0.42857142857142855</v>
      </c>
      <c r="L1045" s="31">
        <f t="shared" si="123"/>
        <v>0.44444444444444442</v>
      </c>
      <c r="M1045" s="31">
        <f t="shared" si="123"/>
        <v>0.6</v>
      </c>
      <c r="N1045" s="31">
        <f t="shared" si="123"/>
        <v>0.66666666666666663</v>
      </c>
      <c r="O1045" s="31">
        <f t="shared" si="123"/>
        <v>0.42857142857142855</v>
      </c>
      <c r="P1045" s="31">
        <f t="shared" si="123"/>
        <v>0.51282051282051277</v>
      </c>
      <c r="Q1045" s="31">
        <f t="shared" si="123"/>
        <v>1</v>
      </c>
      <c r="R1045" s="63"/>
      <c r="S1045" s="10"/>
      <c r="T1045" s="10"/>
      <c r="U1045" s="17"/>
      <c r="V1045" s="10"/>
      <c r="W1045" s="10"/>
      <c r="X1045" s="10"/>
      <c r="Y1045" s="2"/>
    </row>
    <row r="1046" spans="2:25">
      <c r="B1046" s="11"/>
      <c r="C1046" s="10"/>
      <c r="D1046" s="10"/>
      <c r="E1046" s="51" t="s">
        <v>47</v>
      </c>
      <c r="F1046" s="52">
        <f>(F1045-I1084)*0.05</f>
        <v>826.98550000000023</v>
      </c>
      <c r="G1046" s="65" t="s">
        <v>40</v>
      </c>
      <c r="H1046" s="54">
        <f>F1046/1.12</f>
        <v>738.37991071428587</v>
      </c>
      <c r="I1046" s="42"/>
      <c r="J1046" s="10" t="s">
        <v>48</v>
      </c>
      <c r="K1046" s="66">
        <f>K1042/K1043</f>
        <v>959.5333333333333</v>
      </c>
      <c r="L1046" s="66">
        <f t="shared" ref="L1046:Q1046" si="124">L1042/L1043</f>
        <v>717.55</v>
      </c>
      <c r="M1046" s="66">
        <f t="shared" si="124"/>
        <v>1212.5000000000002</v>
      </c>
      <c r="N1046" s="66">
        <f t="shared" si="124"/>
        <v>6803.1950000000006</v>
      </c>
      <c r="O1046" s="66">
        <f t="shared" si="124"/>
        <v>2162.1366666666668</v>
      </c>
      <c r="P1046" s="66">
        <f t="shared" si="124"/>
        <v>2336.1495000000004</v>
      </c>
      <c r="Q1046" s="66">
        <f t="shared" si="124"/>
        <v>2134.11</v>
      </c>
      <c r="R1046" s="63"/>
      <c r="S1046" s="10"/>
      <c r="T1046" s="10"/>
      <c r="U1046" s="17"/>
      <c r="V1046" s="10"/>
      <c r="W1046" s="10"/>
      <c r="X1046" s="10"/>
      <c r="Y1046" s="2"/>
    </row>
    <row r="1047" spans="2:25">
      <c r="B1047" s="11"/>
      <c r="C1047" s="10"/>
      <c r="D1047" s="10"/>
      <c r="E1047" s="67" t="s">
        <v>14</v>
      </c>
      <c r="F1047" s="68">
        <f>4*50</f>
        <v>200</v>
      </c>
      <c r="G1047" s="10"/>
      <c r="H1047" s="54">
        <f>F1047/1.12</f>
        <v>178.57142857142856</v>
      </c>
      <c r="I1047" s="10"/>
      <c r="J1047" s="10"/>
      <c r="K1047" s="10"/>
      <c r="L1047" s="10"/>
      <c r="M1047" s="10"/>
      <c r="N1047" s="10"/>
      <c r="O1047" s="10"/>
      <c r="P1047" s="10"/>
      <c r="Q1047" s="10"/>
      <c r="R1047" s="10"/>
      <c r="S1047" s="10"/>
      <c r="T1047" s="10"/>
      <c r="U1047" s="17"/>
      <c r="V1047" s="10"/>
      <c r="W1047" s="10"/>
      <c r="X1047" s="10"/>
      <c r="Y1047" s="2"/>
    </row>
    <row r="1048" spans="2:25">
      <c r="B1048" s="11"/>
      <c r="C1048" s="10"/>
      <c r="D1048" s="10"/>
      <c r="E1048" s="155" t="s">
        <v>49</v>
      </c>
      <c r="F1048" s="364">
        <f>T1037</f>
        <v>0</v>
      </c>
      <c r="G1048" s="10"/>
      <c r="H1048" s="54"/>
      <c r="I1048" s="55"/>
      <c r="J1048" s="42"/>
      <c r="K1048" s="764" t="s">
        <v>50</v>
      </c>
      <c r="L1048" s="765"/>
      <c r="M1048" s="765"/>
      <c r="N1048" s="765"/>
      <c r="O1048" s="765"/>
      <c r="P1048" s="765"/>
      <c r="Q1048" s="766"/>
      <c r="R1048" s="70" t="s">
        <v>28</v>
      </c>
      <c r="S1048" s="71" t="s">
        <v>29</v>
      </c>
      <c r="T1048" s="10"/>
      <c r="U1048" s="17"/>
      <c r="V1048" s="10"/>
      <c r="W1048" s="10"/>
      <c r="X1048" s="10"/>
      <c r="Y1048" s="2"/>
    </row>
    <row r="1049" spans="2:25">
      <c r="B1049" s="11"/>
      <c r="C1049" s="10"/>
      <c r="D1049" s="10"/>
      <c r="E1049" s="67" t="s">
        <v>285</v>
      </c>
      <c r="F1049" s="68">
        <f>180</f>
        <v>180</v>
      </c>
      <c r="G1049" s="10"/>
      <c r="H1049" s="54"/>
      <c r="I1049" s="10"/>
      <c r="J1049" s="42"/>
      <c r="K1049" s="20" t="s">
        <v>31</v>
      </c>
      <c r="L1049" s="21" t="s">
        <v>32</v>
      </c>
      <c r="M1049" s="21" t="s">
        <v>33</v>
      </c>
      <c r="N1049" s="21" t="s">
        <v>34</v>
      </c>
      <c r="O1049" s="21" t="s">
        <v>35</v>
      </c>
      <c r="P1049" s="21" t="s">
        <v>36</v>
      </c>
      <c r="Q1049" s="49" t="s">
        <v>37</v>
      </c>
      <c r="R1049" s="50" t="s">
        <v>38</v>
      </c>
      <c r="S1049" s="50" t="s">
        <v>38</v>
      </c>
      <c r="T1049" s="10"/>
      <c r="U1049" s="17"/>
      <c r="V1049" s="10"/>
      <c r="W1049" s="10"/>
      <c r="X1049" s="10"/>
      <c r="Y1049" s="2"/>
    </row>
    <row r="1050" spans="2:25">
      <c r="B1050" s="11"/>
      <c r="C1050" s="10"/>
      <c r="D1050" s="10"/>
      <c r="E1050" s="72" t="s">
        <v>1276</v>
      </c>
      <c r="F1050" s="73">
        <v>-39.39</v>
      </c>
      <c r="G1050" s="10"/>
      <c r="H1050" s="10"/>
      <c r="I1050" s="10"/>
      <c r="J1050" s="42"/>
      <c r="K1050" s="56">
        <f>F1060+F1061+F1062</f>
        <v>3158</v>
      </c>
      <c r="L1050" s="57">
        <f>F1063+F1064+F1065+F1090</f>
        <v>3579</v>
      </c>
      <c r="M1050" s="57">
        <f>F1066+F1067+F1068+F1069+F1070+F1091</f>
        <v>7710</v>
      </c>
      <c r="N1050" s="57">
        <f>F1071+F1072+F1092+F1093</f>
        <v>30643</v>
      </c>
      <c r="O1050" s="57">
        <f>F1073+F1075+F1074</f>
        <v>7150</v>
      </c>
      <c r="P1050" s="57">
        <f>SUM(K1050:O1050)</f>
        <v>52240</v>
      </c>
      <c r="Q1050" s="58">
        <f>F1080</f>
        <v>2210</v>
      </c>
      <c r="R1050" s="59">
        <f>+F1094</f>
        <v>28930.9</v>
      </c>
      <c r="S1050" s="59">
        <v>0</v>
      </c>
      <c r="T1050" s="10"/>
      <c r="U1050" s="17"/>
      <c r="V1050" s="10"/>
      <c r="W1050" s="10"/>
      <c r="X1050" s="10"/>
      <c r="Y1050" s="2"/>
    </row>
    <row r="1051" spans="2:25">
      <c r="B1051" s="11"/>
      <c r="C1051" s="10"/>
      <c r="D1051" s="10"/>
      <c r="E1051" s="72" t="s">
        <v>1277</v>
      </c>
      <c r="F1051" s="73">
        <v>-17.41</v>
      </c>
      <c r="G1051" s="10"/>
      <c r="H1051" s="10"/>
      <c r="I1051" s="10"/>
      <c r="J1051" s="10" t="s">
        <v>42</v>
      </c>
      <c r="K1051" s="63">
        <f>K1043</f>
        <v>3</v>
      </c>
      <c r="L1051" s="63">
        <f t="shared" ref="L1051:Q1052" si="125">L1043</f>
        <v>4</v>
      </c>
      <c r="M1051" s="63">
        <f t="shared" si="125"/>
        <v>6</v>
      </c>
      <c r="N1051" s="63">
        <f t="shared" si="125"/>
        <v>4</v>
      </c>
      <c r="O1051" s="63">
        <f t="shared" si="125"/>
        <v>3</v>
      </c>
      <c r="P1051" s="63">
        <f t="shared" si="125"/>
        <v>20</v>
      </c>
      <c r="Q1051" s="63">
        <f t="shared" si="125"/>
        <v>1</v>
      </c>
      <c r="R1051" s="63"/>
      <c r="S1051" s="10"/>
      <c r="T1051" s="10"/>
      <c r="U1051" s="17"/>
      <c r="V1051" s="10"/>
      <c r="W1051" s="10"/>
      <c r="X1051" s="10"/>
      <c r="Y1051" s="2"/>
    </row>
    <row r="1052" spans="2:25">
      <c r="B1052" s="11"/>
      <c r="C1052" s="10"/>
      <c r="D1052" s="10"/>
      <c r="E1052" s="74" t="s">
        <v>1278</v>
      </c>
      <c r="F1052" s="75">
        <f>-184.91</f>
        <v>-184.91</v>
      </c>
      <c r="G1052" s="10"/>
      <c r="H1052" s="10"/>
      <c r="I1052" s="10"/>
      <c r="J1052" s="10" t="s">
        <v>44</v>
      </c>
      <c r="K1052" s="63">
        <f>K1044</f>
        <v>4</v>
      </c>
      <c r="L1052" s="63">
        <f t="shared" si="125"/>
        <v>5</v>
      </c>
      <c r="M1052" s="63">
        <f t="shared" si="125"/>
        <v>4</v>
      </c>
      <c r="N1052" s="63">
        <f t="shared" si="125"/>
        <v>2</v>
      </c>
      <c r="O1052" s="63">
        <f t="shared" si="125"/>
        <v>4</v>
      </c>
      <c r="P1052" s="63">
        <f t="shared" si="125"/>
        <v>19</v>
      </c>
      <c r="Q1052" s="63">
        <f t="shared" si="125"/>
        <v>0</v>
      </c>
      <c r="R1052" s="63"/>
      <c r="S1052" s="10"/>
      <c r="T1052" s="10"/>
      <c r="U1052" s="17"/>
      <c r="V1052" s="10"/>
      <c r="W1052" s="10"/>
      <c r="X1052" s="10"/>
      <c r="Y1052" s="2"/>
    </row>
    <row r="1053" spans="2:25">
      <c r="B1053" s="11"/>
      <c r="C1053" s="10"/>
      <c r="D1053" s="10"/>
      <c r="E1053" s="74" t="s">
        <v>1279</v>
      </c>
      <c r="F1053" s="75">
        <f>-248.71</f>
        <v>-248.71</v>
      </c>
      <c r="G1053" s="10"/>
      <c r="H1053" s="10"/>
      <c r="I1053" s="10"/>
      <c r="J1053" s="10" t="s">
        <v>46</v>
      </c>
      <c r="K1053" s="31">
        <f t="shared" ref="K1053:Q1053" si="126">K1051/(K1051+K1052)</f>
        <v>0.42857142857142855</v>
      </c>
      <c r="L1053" s="31">
        <f t="shared" si="126"/>
        <v>0.44444444444444442</v>
      </c>
      <c r="M1053" s="31">
        <f t="shared" si="126"/>
        <v>0.6</v>
      </c>
      <c r="N1053" s="31">
        <f t="shared" si="126"/>
        <v>0.66666666666666663</v>
      </c>
      <c r="O1053" s="31">
        <f t="shared" si="126"/>
        <v>0.42857142857142855</v>
      </c>
      <c r="P1053" s="31">
        <f t="shared" si="126"/>
        <v>0.51282051282051277</v>
      </c>
      <c r="Q1053" s="31">
        <f t="shared" si="126"/>
        <v>1</v>
      </c>
      <c r="R1053" s="63"/>
      <c r="S1053" s="10"/>
      <c r="T1053" s="10"/>
      <c r="U1053" s="17"/>
      <c r="V1053" s="10"/>
      <c r="W1053" s="10"/>
      <c r="X1053" s="10"/>
      <c r="Y1053" s="2"/>
    </row>
    <row r="1054" spans="2:25">
      <c r="B1054" s="11"/>
      <c r="C1054" s="10"/>
      <c r="D1054" s="10"/>
      <c r="E1054" s="10"/>
      <c r="F1054" s="10"/>
      <c r="G1054" s="10"/>
      <c r="H1054" s="10"/>
      <c r="I1054" s="10"/>
      <c r="J1054" s="10" t="s">
        <v>48</v>
      </c>
      <c r="K1054" s="66">
        <f t="shared" ref="K1054:Q1054" si="127">K1050/K1051</f>
        <v>1052.6666666666667</v>
      </c>
      <c r="L1054" s="66">
        <f t="shared" si="127"/>
        <v>894.75</v>
      </c>
      <c r="M1054" s="66">
        <f t="shared" si="127"/>
        <v>1285</v>
      </c>
      <c r="N1054" s="66">
        <f t="shared" si="127"/>
        <v>7660.75</v>
      </c>
      <c r="O1054" s="66">
        <f t="shared" si="127"/>
        <v>2383.3333333333335</v>
      </c>
      <c r="P1054" s="66">
        <f t="shared" si="127"/>
        <v>2612</v>
      </c>
      <c r="Q1054" s="66">
        <f t="shared" si="127"/>
        <v>2210</v>
      </c>
      <c r="R1054" s="63"/>
      <c r="S1054" s="10"/>
      <c r="T1054" s="10"/>
      <c r="U1054" s="17"/>
      <c r="V1054" s="10"/>
      <c r="W1054" s="10"/>
      <c r="X1054" s="10"/>
      <c r="Y1054" s="2"/>
    </row>
    <row r="1055" spans="2:25">
      <c r="B1055" s="11"/>
      <c r="C1055" s="10"/>
      <c r="D1055" s="10"/>
      <c r="E1055" s="10"/>
      <c r="F1055" s="10"/>
      <c r="G1055" s="10"/>
      <c r="H1055" s="10"/>
      <c r="I1055" s="10"/>
      <c r="J1055" s="10"/>
      <c r="K1055" s="10"/>
      <c r="L1055" s="10"/>
      <c r="M1055" s="10"/>
      <c r="N1055" s="10"/>
      <c r="O1055" s="10"/>
      <c r="P1055" s="10"/>
      <c r="Q1055" s="10"/>
      <c r="R1055" s="10"/>
      <c r="S1055" s="10"/>
      <c r="T1055" s="10"/>
      <c r="U1055" s="17"/>
      <c r="V1055" s="10"/>
      <c r="W1055" s="10"/>
      <c r="X1055" s="10"/>
      <c r="Y1055" s="2"/>
    </row>
    <row r="1056" spans="2:25">
      <c r="B1056" s="11"/>
      <c r="C1056" s="10"/>
      <c r="D1056" s="10"/>
      <c r="E1056" s="10"/>
      <c r="F1056" s="10"/>
      <c r="G1056" s="10"/>
      <c r="H1056" s="10"/>
      <c r="I1056" s="10"/>
      <c r="J1056" s="10"/>
      <c r="K1056" s="10"/>
      <c r="L1056" s="10"/>
      <c r="M1056" s="10"/>
      <c r="N1056" s="10"/>
      <c r="O1056" s="10"/>
      <c r="P1056" s="10"/>
      <c r="Q1056" s="10"/>
      <c r="R1056" s="10"/>
      <c r="S1056" s="10"/>
      <c r="T1056" s="10"/>
      <c r="U1056" s="17"/>
      <c r="V1056" s="10"/>
      <c r="W1056" s="10"/>
      <c r="X1056" s="10"/>
      <c r="Y1056" s="2"/>
    </row>
    <row r="1057" spans="1:25">
      <c r="B1057" s="18" t="s">
        <v>51</v>
      </c>
      <c r="C1057" s="14"/>
      <c r="D1057" s="14"/>
      <c r="E1057" s="14"/>
      <c r="F1057" s="13" t="s">
        <v>52</v>
      </c>
      <c r="G1057" s="14"/>
      <c r="H1057" s="14"/>
      <c r="I1057" s="14"/>
      <c r="J1057" s="14"/>
      <c r="K1057" s="13" t="s">
        <v>3</v>
      </c>
      <c r="L1057" s="14"/>
      <c r="M1057" s="14"/>
      <c r="N1057" s="13" t="s">
        <v>4</v>
      </c>
      <c r="O1057" s="14"/>
      <c r="P1057" s="14"/>
      <c r="Q1057" s="13" t="s">
        <v>5</v>
      </c>
      <c r="R1057" s="14"/>
      <c r="S1057" s="14"/>
      <c r="T1057" s="18"/>
      <c r="U1057" s="16" t="s">
        <v>53</v>
      </c>
      <c r="V1057" s="77"/>
      <c r="W1057" s="77"/>
      <c r="X1057" s="77"/>
      <c r="Y1057" s="2"/>
    </row>
    <row r="1058" spans="1:25">
      <c r="B1058" s="24" t="s">
        <v>54</v>
      </c>
      <c r="C1058" s="21" t="s">
        <v>55</v>
      </c>
      <c r="D1058" s="21" t="s">
        <v>56</v>
      </c>
      <c r="E1058" s="21" t="s">
        <v>57</v>
      </c>
      <c r="F1058" s="20" t="s">
        <v>58</v>
      </c>
      <c r="G1058" s="21" t="s">
        <v>59</v>
      </c>
      <c r="H1058" s="21" t="s">
        <v>60</v>
      </c>
      <c r="I1058" s="21" t="s">
        <v>26</v>
      </c>
      <c r="J1058" s="22" t="s">
        <v>61</v>
      </c>
      <c r="K1058" s="21" t="s">
        <v>8</v>
      </c>
      <c r="L1058" s="21" t="s">
        <v>9</v>
      </c>
      <c r="M1058" s="21" t="s">
        <v>10</v>
      </c>
      <c r="N1058" s="20" t="s">
        <v>11</v>
      </c>
      <c r="O1058" s="21" t="s">
        <v>12</v>
      </c>
      <c r="P1058" s="22" t="s">
        <v>13</v>
      </c>
      <c r="Q1058" s="21" t="s">
        <v>11</v>
      </c>
      <c r="R1058" s="21" t="s">
        <v>12</v>
      </c>
      <c r="S1058" s="21" t="s">
        <v>13</v>
      </c>
      <c r="T1058" s="78" t="s">
        <v>14</v>
      </c>
      <c r="U1058" s="30"/>
      <c r="V1058" s="79" t="s">
        <v>62</v>
      </c>
      <c r="W1058" s="80" t="s">
        <v>63</v>
      </c>
      <c r="X1058" s="81" t="s">
        <v>64</v>
      </c>
      <c r="Y1058" s="2"/>
    </row>
    <row r="1059" spans="1:25">
      <c r="B1059" s="4" t="s">
        <v>65</v>
      </c>
      <c r="C1059" s="6"/>
      <c r="D1059" s="6"/>
      <c r="E1059" s="6"/>
      <c r="F1059" s="6"/>
      <c r="G1059" s="6"/>
      <c r="H1059" s="6"/>
      <c r="I1059" s="82"/>
      <c r="J1059" s="6"/>
      <c r="K1059" s="6"/>
      <c r="L1059" s="6"/>
      <c r="M1059" s="6"/>
      <c r="N1059" s="6"/>
      <c r="O1059" s="6"/>
      <c r="P1059" s="6"/>
      <c r="Q1059" s="6"/>
      <c r="R1059" s="6"/>
      <c r="S1059" s="6"/>
      <c r="T1059" s="83"/>
      <c r="U1059" s="6"/>
      <c r="V1059" s="84"/>
      <c r="W1059" s="85"/>
      <c r="X1059" s="86"/>
      <c r="Y1059" s="2"/>
    </row>
    <row r="1060" spans="1:25">
      <c r="A1060" s="2" t="s">
        <v>1280</v>
      </c>
      <c r="B1060" s="87">
        <v>1</v>
      </c>
      <c r="C1060" s="638">
        <v>45950</v>
      </c>
      <c r="D1060" s="276">
        <v>74613</v>
      </c>
      <c r="E1060" s="276" t="s">
        <v>746</v>
      </c>
      <c r="F1060" s="277">
        <v>796</v>
      </c>
      <c r="G1060" s="277">
        <f>39.7+200</f>
        <v>239.7</v>
      </c>
      <c r="H1060" s="297"/>
      <c r="I1060" s="329">
        <f t="shared" ref="I1060:I1075" si="128">F1060-G1060-H1060</f>
        <v>556.29999999999995</v>
      </c>
      <c r="J1060" s="279" t="s">
        <v>156</v>
      </c>
      <c r="K1060" s="279">
        <v>1</v>
      </c>
      <c r="L1060" s="279">
        <v>1</v>
      </c>
      <c r="M1060" s="322">
        <v>0</v>
      </c>
      <c r="N1060" s="279">
        <v>1</v>
      </c>
      <c r="O1060" s="279">
        <v>1</v>
      </c>
      <c r="P1060" s="279">
        <v>1</v>
      </c>
      <c r="Q1060" s="279">
        <v>1</v>
      </c>
      <c r="R1060" s="279">
        <v>1</v>
      </c>
      <c r="S1060" s="280">
        <v>1</v>
      </c>
      <c r="T1060" s="21">
        <v>1</v>
      </c>
      <c r="U1060" s="10" t="s">
        <v>1281</v>
      </c>
      <c r="V1060" s="90">
        <f>87.56+788.04</f>
        <v>875.59999999999991</v>
      </c>
      <c r="W1060" s="91"/>
      <c r="X1060" s="92"/>
      <c r="Y1060" s="2"/>
    </row>
    <row r="1061" spans="1:25">
      <c r="B1061" s="87">
        <f t="shared" ref="B1061:B1073" si="129">B1060+1</f>
        <v>2</v>
      </c>
      <c r="C1061" s="639">
        <v>45950</v>
      </c>
      <c r="D1061" s="10">
        <v>74519</v>
      </c>
      <c r="E1061" s="10" t="s">
        <v>1062</v>
      </c>
      <c r="F1061" s="62">
        <v>1681</v>
      </c>
      <c r="G1061" s="62">
        <f>39.7</f>
        <v>39.700000000000003</v>
      </c>
      <c r="H1061" s="62"/>
      <c r="I1061" s="89">
        <f t="shared" si="128"/>
        <v>1641.3</v>
      </c>
      <c r="J1061" s="63" t="s">
        <v>156</v>
      </c>
      <c r="K1061" s="63">
        <v>1</v>
      </c>
      <c r="L1061" s="63">
        <v>1</v>
      </c>
      <c r="M1061" s="63">
        <v>1</v>
      </c>
      <c r="N1061" s="63">
        <v>1</v>
      </c>
      <c r="O1061" s="63">
        <v>1</v>
      </c>
      <c r="P1061" s="63">
        <v>1</v>
      </c>
      <c r="Q1061" s="63">
        <v>1</v>
      </c>
      <c r="R1061" s="63">
        <v>1</v>
      </c>
      <c r="S1061" s="296">
        <v>1</v>
      </c>
      <c r="T1061" s="63"/>
      <c r="U1061" s="10"/>
      <c r="V1061" s="90">
        <f>185+850+814.1</f>
        <v>1849.1</v>
      </c>
      <c r="W1061" s="91"/>
      <c r="X1061" s="92"/>
      <c r="Y1061" s="2"/>
    </row>
    <row r="1062" spans="1:25">
      <c r="B1062" s="87">
        <f t="shared" si="129"/>
        <v>3</v>
      </c>
      <c r="C1062" s="639">
        <v>45950</v>
      </c>
      <c r="D1062" s="10">
        <v>74621</v>
      </c>
      <c r="E1062" s="101" t="s">
        <v>1008</v>
      </c>
      <c r="F1062" s="62">
        <v>681</v>
      </c>
      <c r="G1062" s="62"/>
      <c r="H1062" s="62"/>
      <c r="I1062" s="89">
        <f>F1062-G1062-H1062</f>
        <v>681</v>
      </c>
      <c r="J1062" s="63" t="s">
        <v>228</v>
      </c>
      <c r="K1062" s="63">
        <v>1</v>
      </c>
      <c r="L1062" s="63">
        <v>1</v>
      </c>
      <c r="M1062" s="63">
        <v>1</v>
      </c>
      <c r="N1062" s="63">
        <v>1</v>
      </c>
      <c r="O1062" s="63">
        <v>1</v>
      </c>
      <c r="P1062" s="63">
        <v>1</v>
      </c>
      <c r="Q1062" s="63">
        <v>1</v>
      </c>
      <c r="R1062" s="63">
        <v>1</v>
      </c>
      <c r="S1062" s="296">
        <v>1</v>
      </c>
      <c r="T1062" s="63"/>
      <c r="U1062" s="10"/>
      <c r="V1062" s="90">
        <f>74.91+674.19</f>
        <v>749.1</v>
      </c>
      <c r="W1062" s="91"/>
      <c r="X1062" s="92"/>
      <c r="Y1062" s="2"/>
    </row>
    <row r="1063" spans="1:25">
      <c r="B1063" s="87">
        <f t="shared" si="129"/>
        <v>4</v>
      </c>
      <c r="C1063" s="638">
        <v>45951</v>
      </c>
      <c r="D1063" s="276">
        <v>74643</v>
      </c>
      <c r="E1063" s="404" t="s">
        <v>725</v>
      </c>
      <c r="F1063" s="277">
        <v>861</v>
      </c>
      <c r="G1063" s="277">
        <f>39.7</f>
        <v>39.700000000000003</v>
      </c>
      <c r="H1063" s="277"/>
      <c r="I1063" s="278">
        <f t="shared" si="128"/>
        <v>821.3</v>
      </c>
      <c r="J1063" s="279" t="s">
        <v>156</v>
      </c>
      <c r="K1063" s="279">
        <v>1</v>
      </c>
      <c r="L1063" s="279">
        <v>1</v>
      </c>
      <c r="M1063" s="279">
        <v>1</v>
      </c>
      <c r="N1063" s="279">
        <v>1</v>
      </c>
      <c r="O1063" s="279">
        <v>1</v>
      </c>
      <c r="P1063" s="279">
        <v>1</v>
      </c>
      <c r="Q1063" s="279">
        <v>1</v>
      </c>
      <c r="R1063" s="279">
        <v>1</v>
      </c>
      <c r="S1063" s="280">
        <v>1</v>
      </c>
      <c r="T1063" s="21">
        <v>1</v>
      </c>
      <c r="U1063" s="10"/>
      <c r="V1063" s="90">
        <f>94.71+852.39</f>
        <v>947.1</v>
      </c>
      <c r="W1063" s="91"/>
      <c r="X1063" s="92"/>
      <c r="Y1063" s="2"/>
    </row>
    <row r="1064" spans="1:25">
      <c r="B1064" s="87">
        <f t="shared" si="129"/>
        <v>5</v>
      </c>
      <c r="C1064" s="639">
        <v>45951</v>
      </c>
      <c r="D1064" s="10">
        <v>74666</v>
      </c>
      <c r="E1064" s="10" t="s">
        <v>1175</v>
      </c>
      <c r="F1064" s="62">
        <v>861</v>
      </c>
      <c r="G1064" s="62">
        <f>39.7</f>
        <v>39.700000000000003</v>
      </c>
      <c r="H1064" s="62"/>
      <c r="I1064" s="89">
        <f t="shared" si="128"/>
        <v>821.3</v>
      </c>
      <c r="J1064" s="63" t="s">
        <v>156</v>
      </c>
      <c r="K1064" s="63">
        <v>1</v>
      </c>
      <c r="L1064" s="63">
        <v>1</v>
      </c>
      <c r="M1064" s="63">
        <v>1</v>
      </c>
      <c r="N1064" s="63">
        <v>1</v>
      </c>
      <c r="O1064" s="63">
        <v>1</v>
      </c>
      <c r="P1064" s="63">
        <v>1</v>
      </c>
      <c r="Q1064" s="63">
        <v>1</v>
      </c>
      <c r="R1064" s="63">
        <v>1</v>
      </c>
      <c r="S1064" s="296">
        <v>1</v>
      </c>
      <c r="T1064" s="63"/>
      <c r="U1064" s="10"/>
      <c r="V1064" s="90">
        <f>94.71+852.39</f>
        <v>947.1</v>
      </c>
      <c r="W1064" s="91"/>
      <c r="X1064" s="92"/>
      <c r="Y1064" s="2"/>
    </row>
    <row r="1065" spans="1:25">
      <c r="B1065" s="87">
        <f>B1064+1</f>
        <v>6</v>
      </c>
      <c r="C1065" s="639">
        <v>45951</v>
      </c>
      <c r="D1065" s="10">
        <v>74646</v>
      </c>
      <c r="E1065" s="10" t="s">
        <v>1211</v>
      </c>
      <c r="F1065" s="62">
        <f>1179-996.9</f>
        <v>182.10000000000002</v>
      </c>
      <c r="G1065" s="62">
        <f>39.7</f>
        <v>39.700000000000003</v>
      </c>
      <c r="H1065" s="62"/>
      <c r="I1065" s="369">
        <f>F1065-G1065-H1065</f>
        <v>142.40000000000003</v>
      </c>
      <c r="J1065" s="63" t="s">
        <v>228</v>
      </c>
      <c r="K1065" s="63">
        <v>1</v>
      </c>
      <c r="L1065" s="63">
        <v>1</v>
      </c>
      <c r="M1065" s="325">
        <v>0</v>
      </c>
      <c r="N1065" s="63">
        <v>1</v>
      </c>
      <c r="O1065" s="63">
        <v>1</v>
      </c>
      <c r="P1065" s="63">
        <v>1</v>
      </c>
      <c r="Q1065" s="63">
        <v>1</v>
      </c>
      <c r="R1065" s="63">
        <v>1</v>
      </c>
      <c r="S1065" s="296">
        <v>1</v>
      </c>
      <c r="T1065" s="21">
        <v>1</v>
      </c>
      <c r="U1065" s="10" t="s">
        <v>1282</v>
      </c>
      <c r="V1065" s="90">
        <f>129.69+1167.21</f>
        <v>1296.9000000000001</v>
      </c>
      <c r="W1065" s="91"/>
      <c r="X1065" s="92"/>
      <c r="Y1065" s="2"/>
    </row>
    <row r="1066" spans="1:25">
      <c r="B1066" s="87">
        <f>B1065+1</f>
        <v>7</v>
      </c>
      <c r="C1066" s="638">
        <v>45952</v>
      </c>
      <c r="D1066" s="276">
        <v>74692</v>
      </c>
      <c r="E1066" s="276" t="s">
        <v>1283</v>
      </c>
      <c r="F1066" s="277">
        <v>814</v>
      </c>
      <c r="G1066" s="277">
        <f>39.7+(34.63)</f>
        <v>74.330000000000013</v>
      </c>
      <c r="H1066" s="297"/>
      <c r="I1066" s="278">
        <f t="shared" si="128"/>
        <v>739.67</v>
      </c>
      <c r="J1066" s="279" t="s">
        <v>228</v>
      </c>
      <c r="K1066" s="279">
        <v>1</v>
      </c>
      <c r="L1066" s="279">
        <v>1</v>
      </c>
      <c r="M1066" s="279">
        <v>1</v>
      </c>
      <c r="N1066" s="279">
        <v>1</v>
      </c>
      <c r="O1066" s="279">
        <v>1</v>
      </c>
      <c r="P1066" s="279">
        <v>1</v>
      </c>
      <c r="Q1066" s="279">
        <v>1</v>
      </c>
      <c r="R1066" s="279">
        <v>1</v>
      </c>
      <c r="S1066" s="280">
        <v>1</v>
      </c>
      <c r="T1066" s="21">
        <v>1</v>
      </c>
      <c r="U1066" s="10"/>
      <c r="V1066" s="90">
        <f>89.54+805.86</f>
        <v>895.4</v>
      </c>
      <c r="W1066" s="91"/>
      <c r="X1066" s="92"/>
      <c r="Y1066" s="2"/>
    </row>
    <row r="1067" spans="1:25">
      <c r="B1067" s="87">
        <f t="shared" si="129"/>
        <v>8</v>
      </c>
      <c r="C1067" s="639">
        <v>45952</v>
      </c>
      <c r="D1067" s="10">
        <v>74687</v>
      </c>
      <c r="E1067" s="10" t="s">
        <v>1284</v>
      </c>
      <c r="F1067" s="62">
        <v>681</v>
      </c>
      <c r="G1067" s="62"/>
      <c r="H1067" s="88"/>
      <c r="I1067" s="89">
        <f t="shared" si="128"/>
        <v>681</v>
      </c>
      <c r="J1067" s="63" t="s">
        <v>156</v>
      </c>
      <c r="K1067" s="63">
        <v>1</v>
      </c>
      <c r="L1067" s="63">
        <v>1</v>
      </c>
      <c r="M1067" s="63">
        <v>1</v>
      </c>
      <c r="N1067" s="63">
        <v>1</v>
      </c>
      <c r="O1067" s="63">
        <v>1</v>
      </c>
      <c r="P1067" s="63">
        <v>1</v>
      </c>
      <c r="Q1067" s="63">
        <v>1</v>
      </c>
      <c r="R1067" s="63">
        <v>1</v>
      </c>
      <c r="S1067" s="296">
        <v>1</v>
      </c>
      <c r="T1067" s="63"/>
      <c r="U1067" s="10"/>
      <c r="V1067" s="90">
        <f>74.91+674.19</f>
        <v>749.1</v>
      </c>
      <c r="W1067" s="91"/>
      <c r="X1067" s="92"/>
      <c r="Y1067" s="2"/>
    </row>
    <row r="1068" spans="1:25">
      <c r="B1068" s="87">
        <f t="shared" si="129"/>
        <v>9</v>
      </c>
      <c r="C1068" s="639">
        <v>45952</v>
      </c>
      <c r="D1068" s="10" t="s">
        <v>1285</v>
      </c>
      <c r="E1068" s="10" t="s">
        <v>1284</v>
      </c>
      <c r="F1068" s="62">
        <v>1138</v>
      </c>
      <c r="G1068" s="62">
        <f>39.7+(45.66)</f>
        <v>85.36</v>
      </c>
      <c r="H1068" s="88"/>
      <c r="I1068" s="369">
        <f t="shared" si="128"/>
        <v>1052.6400000000001</v>
      </c>
      <c r="J1068" s="63" t="s">
        <v>156</v>
      </c>
      <c r="K1068" s="63">
        <v>1</v>
      </c>
      <c r="L1068" s="63">
        <v>1</v>
      </c>
      <c r="M1068" s="63">
        <v>1</v>
      </c>
      <c r="N1068" s="63">
        <v>1</v>
      </c>
      <c r="O1068" s="63">
        <v>1</v>
      </c>
      <c r="P1068" s="325">
        <v>0</v>
      </c>
      <c r="Q1068" s="63">
        <v>1</v>
      </c>
      <c r="R1068" s="63">
        <v>1</v>
      </c>
      <c r="S1068" s="296">
        <v>1</v>
      </c>
      <c r="T1068" s="21">
        <v>1</v>
      </c>
      <c r="U1068" s="10"/>
      <c r="V1068" s="90">
        <v>1251.8</v>
      </c>
      <c r="W1068" s="91"/>
      <c r="X1068" s="92"/>
      <c r="Y1068" s="2"/>
    </row>
    <row r="1069" spans="1:25">
      <c r="B1069" s="87">
        <f t="shared" si="129"/>
        <v>10</v>
      </c>
      <c r="C1069" s="639">
        <v>45952</v>
      </c>
      <c r="D1069" s="10">
        <v>74694</v>
      </c>
      <c r="E1069" s="10" t="s">
        <v>1256</v>
      </c>
      <c r="F1069" s="62">
        <v>1681</v>
      </c>
      <c r="G1069" s="62">
        <f>39.7+(156.21)</f>
        <v>195.91000000000003</v>
      </c>
      <c r="H1069" s="88"/>
      <c r="I1069" s="324">
        <f t="shared" si="128"/>
        <v>1485.09</v>
      </c>
      <c r="J1069" s="63" t="s">
        <v>156</v>
      </c>
      <c r="K1069" s="63">
        <v>1</v>
      </c>
      <c r="L1069" s="63">
        <v>1</v>
      </c>
      <c r="M1069" s="325">
        <v>0</v>
      </c>
      <c r="N1069" s="63">
        <v>1</v>
      </c>
      <c r="O1069" s="63">
        <v>1</v>
      </c>
      <c r="P1069" s="63">
        <v>1</v>
      </c>
      <c r="Q1069" s="63">
        <v>1</v>
      </c>
      <c r="R1069" s="63">
        <v>1</v>
      </c>
      <c r="S1069" s="296">
        <v>1</v>
      </c>
      <c r="T1069" s="63"/>
      <c r="U1069" s="10"/>
      <c r="V1069" s="90">
        <f>184.91+1664.19</f>
        <v>1849.1000000000001</v>
      </c>
      <c r="W1069" s="91"/>
      <c r="X1069" s="92"/>
      <c r="Y1069" s="2"/>
    </row>
    <row r="1070" spans="1:25">
      <c r="B1070" s="87">
        <f t="shared" si="129"/>
        <v>11</v>
      </c>
      <c r="C1070" s="639">
        <v>45952</v>
      </c>
      <c r="D1070" s="10">
        <v>74726</v>
      </c>
      <c r="E1070" s="10" t="s">
        <v>446</v>
      </c>
      <c r="F1070" s="62">
        <v>2261</v>
      </c>
      <c r="G1070" s="62">
        <f>39.7</f>
        <v>39.700000000000003</v>
      </c>
      <c r="H1070" s="62"/>
      <c r="I1070" s="369">
        <f>F1070-G1070-H1070</f>
        <v>2221.3000000000002</v>
      </c>
      <c r="J1070" s="63" t="s">
        <v>156</v>
      </c>
      <c r="K1070" s="63">
        <v>1</v>
      </c>
      <c r="L1070" s="63">
        <v>1</v>
      </c>
      <c r="M1070" s="325">
        <v>0</v>
      </c>
      <c r="N1070" s="63">
        <v>1</v>
      </c>
      <c r="O1070" s="63">
        <v>1</v>
      </c>
      <c r="P1070" s="63">
        <v>1</v>
      </c>
      <c r="Q1070" s="63">
        <v>1</v>
      </c>
      <c r="R1070" s="63">
        <v>1</v>
      </c>
      <c r="S1070" s="296">
        <v>1</v>
      </c>
      <c r="T1070" s="63"/>
      <c r="U1070" s="10" t="s">
        <v>1286</v>
      </c>
      <c r="V1070" s="90">
        <f>248.71+2238.39</f>
        <v>2487.1</v>
      </c>
      <c r="W1070" s="91"/>
      <c r="X1070" s="92"/>
      <c r="Y1070" s="2"/>
    </row>
    <row r="1071" spans="1:25">
      <c r="B1071" s="87">
        <f t="shared" si="129"/>
        <v>12</v>
      </c>
      <c r="C1071" s="638">
        <v>45953</v>
      </c>
      <c r="D1071" s="276">
        <v>74752</v>
      </c>
      <c r="E1071" s="276" t="s">
        <v>1256</v>
      </c>
      <c r="F1071" s="447">
        <v>2261</v>
      </c>
      <c r="G1071" s="277">
        <f>39.7</f>
        <v>39.700000000000003</v>
      </c>
      <c r="H1071" s="277"/>
      <c r="I1071" s="278">
        <f t="shared" si="128"/>
        <v>2221.3000000000002</v>
      </c>
      <c r="J1071" s="279" t="s">
        <v>156</v>
      </c>
      <c r="K1071" s="279">
        <v>1</v>
      </c>
      <c r="L1071" s="279">
        <v>1</v>
      </c>
      <c r="M1071" s="279">
        <v>1</v>
      </c>
      <c r="N1071" s="279">
        <v>1</v>
      </c>
      <c r="O1071" s="279">
        <v>1</v>
      </c>
      <c r="P1071" s="279">
        <v>1</v>
      </c>
      <c r="Q1071" s="279">
        <v>1</v>
      </c>
      <c r="R1071" s="279">
        <v>1</v>
      </c>
      <c r="S1071" s="280">
        <v>1</v>
      </c>
      <c r="T1071" s="63"/>
      <c r="U1071" s="10"/>
      <c r="V1071" s="90">
        <f>248.71+2238.39</f>
        <v>2487.1</v>
      </c>
      <c r="W1071" s="91"/>
      <c r="X1071" s="92"/>
      <c r="Y1071" s="2"/>
    </row>
    <row r="1072" spans="1:25">
      <c r="B1072" s="87">
        <f t="shared" si="129"/>
        <v>13</v>
      </c>
      <c r="C1072" s="639">
        <v>45953</v>
      </c>
      <c r="D1072" s="10">
        <v>74753</v>
      </c>
      <c r="E1072" s="10" t="s">
        <v>1287</v>
      </c>
      <c r="F1072" s="95">
        <v>2261</v>
      </c>
      <c r="G1072" s="62">
        <f>39.7</f>
        <v>39.700000000000003</v>
      </c>
      <c r="H1072" s="62"/>
      <c r="I1072" s="324">
        <f t="shared" si="128"/>
        <v>2221.3000000000002</v>
      </c>
      <c r="J1072" s="63" t="s">
        <v>156</v>
      </c>
      <c r="K1072" s="63">
        <v>1</v>
      </c>
      <c r="L1072" s="63">
        <v>1</v>
      </c>
      <c r="M1072" s="325">
        <v>0</v>
      </c>
      <c r="N1072" s="63">
        <v>1</v>
      </c>
      <c r="O1072" s="63">
        <v>1</v>
      </c>
      <c r="P1072" s="63">
        <v>1</v>
      </c>
      <c r="Q1072" s="63">
        <v>1</v>
      </c>
      <c r="R1072" s="63">
        <v>1</v>
      </c>
      <c r="S1072" s="296">
        <v>1</v>
      </c>
      <c r="T1072" s="63"/>
      <c r="U1072" s="10"/>
      <c r="V1072" s="90">
        <f>248.71+2238.39</f>
        <v>2487.1</v>
      </c>
      <c r="W1072" s="91"/>
      <c r="X1072" s="92"/>
      <c r="Y1072" s="2"/>
    </row>
    <row r="1073" spans="1:25">
      <c r="B1073" s="87">
        <f t="shared" si="129"/>
        <v>14</v>
      </c>
      <c r="C1073" s="638">
        <v>45954</v>
      </c>
      <c r="D1073" s="276">
        <v>74790</v>
      </c>
      <c r="E1073" s="276" t="s">
        <v>1288</v>
      </c>
      <c r="F1073" s="447">
        <v>3043</v>
      </c>
      <c r="G1073" s="277">
        <f>39.7+(116.97)+200</f>
        <v>356.67</v>
      </c>
      <c r="H1073" s="277"/>
      <c r="I1073" s="321">
        <f t="shared" si="128"/>
        <v>2686.33</v>
      </c>
      <c r="J1073" s="279" t="s">
        <v>156</v>
      </c>
      <c r="K1073" s="279">
        <v>1</v>
      </c>
      <c r="L1073" s="279">
        <v>1</v>
      </c>
      <c r="M1073" s="279">
        <v>1</v>
      </c>
      <c r="N1073" s="279">
        <v>1</v>
      </c>
      <c r="O1073" s="279">
        <v>1</v>
      </c>
      <c r="P1073" s="279">
        <v>1</v>
      </c>
      <c r="Q1073" s="279">
        <v>1</v>
      </c>
      <c r="R1073" s="279">
        <v>1</v>
      </c>
      <c r="S1073" s="328">
        <v>0</v>
      </c>
      <c r="T1073" s="63"/>
      <c r="U1073" s="10" t="s">
        <v>1289</v>
      </c>
      <c r="V1073" s="90">
        <f>334.73+3012.57</f>
        <v>3347.3</v>
      </c>
      <c r="W1073" s="91"/>
      <c r="X1073" s="92"/>
      <c r="Y1073" s="2"/>
    </row>
    <row r="1074" spans="1:25">
      <c r="B1074" s="87">
        <f>B1073+1</f>
        <v>15</v>
      </c>
      <c r="C1074" s="639">
        <v>45954</v>
      </c>
      <c r="D1074" s="10">
        <v>74791</v>
      </c>
      <c r="E1074" s="101" t="s">
        <v>1159</v>
      </c>
      <c r="F1074" s="62">
        <v>1264</v>
      </c>
      <c r="G1074" s="62">
        <f>39.7</f>
        <v>39.700000000000003</v>
      </c>
      <c r="H1074" s="62"/>
      <c r="I1074" s="89">
        <f t="shared" ref="I1074" si="130">F1074-G1074-H1074</f>
        <v>1224.3</v>
      </c>
      <c r="J1074" s="63" t="s">
        <v>228</v>
      </c>
      <c r="K1074" s="63">
        <v>1</v>
      </c>
      <c r="L1074" s="63">
        <v>1</v>
      </c>
      <c r="M1074" s="63">
        <v>1</v>
      </c>
      <c r="N1074" s="63">
        <v>1</v>
      </c>
      <c r="O1074" s="63">
        <v>1</v>
      </c>
      <c r="P1074" s="63">
        <v>1</v>
      </c>
      <c r="Q1074" s="63">
        <v>1</v>
      </c>
      <c r="R1074" s="63">
        <v>1</v>
      </c>
      <c r="S1074" s="296">
        <v>1</v>
      </c>
      <c r="T1074" s="63"/>
      <c r="U1074" s="10"/>
      <c r="V1074" s="90">
        <f>139.04+1251.36</f>
        <v>1390.3999999999999</v>
      </c>
      <c r="W1074" s="91"/>
      <c r="X1074" s="92"/>
      <c r="Y1074" s="2"/>
    </row>
    <row r="1075" spans="1:25">
      <c r="B1075" s="87">
        <f>B1074+1</f>
        <v>16</v>
      </c>
      <c r="C1075" s="640">
        <v>45954</v>
      </c>
      <c r="D1075" s="283">
        <v>74817</v>
      </c>
      <c r="E1075" s="283" t="s">
        <v>213</v>
      </c>
      <c r="F1075" s="423">
        <v>2843</v>
      </c>
      <c r="G1075" s="284">
        <f>39.7+(227.52)</f>
        <v>267.22000000000003</v>
      </c>
      <c r="H1075" s="284"/>
      <c r="I1075" s="285">
        <f t="shared" si="128"/>
        <v>2575.7799999999997</v>
      </c>
      <c r="J1075" s="286" t="s">
        <v>156</v>
      </c>
      <c r="K1075" s="286">
        <v>1</v>
      </c>
      <c r="L1075" s="286">
        <v>1</v>
      </c>
      <c r="M1075" s="286">
        <v>1</v>
      </c>
      <c r="N1075" s="286">
        <v>1</v>
      </c>
      <c r="O1075" s="286">
        <v>1</v>
      </c>
      <c r="P1075" s="286">
        <v>1</v>
      </c>
      <c r="Q1075" s="286">
        <v>1</v>
      </c>
      <c r="R1075" s="286">
        <v>1</v>
      </c>
      <c r="S1075" s="287">
        <v>1</v>
      </c>
      <c r="T1075" s="63"/>
      <c r="U1075" s="10" t="s">
        <v>1290</v>
      </c>
      <c r="V1075" s="90">
        <f>312.73+2814.57</f>
        <v>3127.3</v>
      </c>
      <c r="W1075" s="91"/>
      <c r="X1075" s="92"/>
      <c r="Y1075" s="2"/>
    </row>
    <row r="1076" spans="1:25">
      <c r="B1076" s="87"/>
      <c r="C1076" s="621"/>
      <c r="D1076" s="10"/>
      <c r="E1076" s="10"/>
      <c r="F1076" s="97">
        <f>SUM(F1060:F1075)</f>
        <v>23309.1</v>
      </c>
      <c r="G1076" s="97">
        <f>SUM(G1060:G1075)</f>
        <v>1536.7900000000002</v>
      </c>
      <c r="H1076" s="97">
        <f>SUM(H1060:H1075)</f>
        <v>0</v>
      </c>
      <c r="I1076" s="98">
        <f>SUM(I1060:I1075)</f>
        <v>21772.309999999994</v>
      </c>
      <c r="J1076" s="63"/>
      <c r="K1076" s="63">
        <f>COUNT(K1060:K1075)</f>
        <v>16</v>
      </c>
      <c r="L1076" s="63">
        <f>COUNT(L1060:L1075)</f>
        <v>16</v>
      </c>
      <c r="M1076" s="63">
        <f>COUNT(M1060:M1075)</f>
        <v>16</v>
      </c>
      <c r="N1076" s="63">
        <f>COUNT(N1060:N1075)</f>
        <v>16</v>
      </c>
      <c r="O1076" s="63">
        <f>COUNT(O1060:O1075)</f>
        <v>16</v>
      </c>
      <c r="P1076" s="63">
        <f>COUNT(P1060:P1075)</f>
        <v>16</v>
      </c>
      <c r="Q1076" s="63">
        <f>COUNT(Q1060:Q1075)</f>
        <v>16</v>
      </c>
      <c r="R1076" s="63">
        <f>COUNT(R1060:R1075)</f>
        <v>16</v>
      </c>
      <c r="S1076" s="63">
        <f>COUNT(S1060:S1075)</f>
        <v>16</v>
      </c>
      <c r="T1076" s="63"/>
      <c r="U1076" s="10"/>
      <c r="V1076" s="90"/>
      <c r="W1076" s="91"/>
      <c r="X1076" s="92"/>
      <c r="Y1076" s="2"/>
    </row>
    <row r="1077" spans="1:25">
      <c r="B1077" s="87"/>
      <c r="C1077" s="621"/>
      <c r="D1077" s="10"/>
      <c r="E1077" s="10"/>
      <c r="F1077" s="88"/>
      <c r="G1077" s="88"/>
      <c r="H1077" s="88"/>
      <c r="I1077" s="99"/>
      <c r="J1077" s="63"/>
      <c r="K1077" s="21">
        <f>SUM(K1060:K1075)</f>
        <v>16</v>
      </c>
      <c r="L1077" s="21">
        <f>SUM(L1060:L1075)</f>
        <v>16</v>
      </c>
      <c r="M1077" s="21">
        <f>SUM(M1060:M1075)</f>
        <v>11</v>
      </c>
      <c r="N1077" s="21">
        <f>SUM(N1060:N1075)</f>
        <v>16</v>
      </c>
      <c r="O1077" s="21">
        <f>SUM(O1060:O1075)</f>
        <v>16</v>
      </c>
      <c r="P1077" s="21">
        <f>SUM(P1060:P1075)</f>
        <v>15</v>
      </c>
      <c r="Q1077" s="21">
        <f>SUM(Q1060:Q1075)</f>
        <v>16</v>
      </c>
      <c r="R1077" s="21">
        <f>SUM(R1060:R1075)</f>
        <v>16</v>
      </c>
      <c r="S1077" s="21">
        <f>SUM(S1060:S1075)</f>
        <v>15</v>
      </c>
      <c r="T1077" s="63"/>
      <c r="U1077" s="10"/>
      <c r="V1077" s="90"/>
      <c r="W1077" s="91"/>
      <c r="X1077" s="92"/>
      <c r="Y1077" s="2"/>
    </row>
    <row r="1078" spans="1:25">
      <c r="B1078" s="11"/>
      <c r="C1078" s="609"/>
      <c r="D1078" s="10"/>
      <c r="E1078" s="10"/>
      <c r="F1078" s="88"/>
      <c r="G1078" s="88"/>
      <c r="H1078" s="88"/>
      <c r="I1078" s="99"/>
      <c r="J1078" s="63"/>
      <c r="K1078" s="21"/>
      <c r="L1078" s="21"/>
      <c r="M1078" s="21"/>
      <c r="N1078" s="21"/>
      <c r="O1078" s="21"/>
      <c r="P1078" s="21"/>
      <c r="Q1078" s="21"/>
      <c r="R1078" s="21"/>
      <c r="S1078" s="21"/>
      <c r="T1078" s="63"/>
      <c r="U1078" s="94"/>
      <c r="V1078" s="90"/>
      <c r="W1078" s="91"/>
      <c r="X1078" s="92"/>
      <c r="Y1078" s="2"/>
    </row>
    <row r="1079" spans="1:25">
      <c r="B1079" s="100" t="s">
        <v>66</v>
      </c>
      <c r="C1079" s="753"/>
      <c r="D1079" s="10"/>
      <c r="E1079" s="10"/>
      <c r="F1079" s="88"/>
      <c r="G1079" s="88"/>
      <c r="H1079" s="88"/>
      <c r="I1079" s="99"/>
      <c r="J1079" s="63"/>
      <c r="K1079" s="21"/>
      <c r="L1079" s="21"/>
      <c r="M1079" s="21"/>
      <c r="N1079" s="21"/>
      <c r="O1079" s="21"/>
      <c r="P1079" s="21"/>
      <c r="Q1079" s="21"/>
      <c r="R1079" s="21"/>
      <c r="S1079" s="21"/>
      <c r="T1079" s="63"/>
      <c r="U1079" s="94"/>
      <c r="V1079" s="90"/>
      <c r="W1079" s="91"/>
      <c r="X1079" s="92"/>
      <c r="Y1079" s="2"/>
    </row>
    <row r="1080" spans="1:25">
      <c r="B1080" s="87">
        <v>1</v>
      </c>
      <c r="C1080" s="641">
        <v>45955</v>
      </c>
      <c r="D1080" s="263">
        <v>74836</v>
      </c>
      <c r="E1080" s="271" t="s">
        <v>1291</v>
      </c>
      <c r="F1080" s="265">
        <f>2495-285</f>
        <v>2210</v>
      </c>
      <c r="G1080" s="265">
        <f>39.7+(36.19)</f>
        <v>75.89</v>
      </c>
      <c r="H1080" s="365"/>
      <c r="I1080" s="272">
        <f t="shared" ref="I1080" si="131">F1080-G1080-H1080</f>
        <v>2134.11</v>
      </c>
      <c r="J1080" s="267" t="s">
        <v>156</v>
      </c>
      <c r="K1080" s="267">
        <v>1</v>
      </c>
      <c r="L1080" s="267">
        <v>1</v>
      </c>
      <c r="M1080" s="267">
        <v>1</v>
      </c>
      <c r="N1080" s="267">
        <v>1</v>
      </c>
      <c r="O1080" s="267">
        <v>1</v>
      </c>
      <c r="P1080" s="267">
        <v>1</v>
      </c>
      <c r="Q1080" s="267">
        <v>1</v>
      </c>
      <c r="R1080" s="267">
        <v>1</v>
      </c>
      <c r="S1080" s="269">
        <v>1</v>
      </c>
      <c r="T1080" s="63"/>
      <c r="U1080" s="94"/>
      <c r="V1080" s="90">
        <f>313.5+2431</f>
        <v>2744.5</v>
      </c>
      <c r="W1080" s="91"/>
      <c r="X1080" s="92"/>
      <c r="Y1080" s="2"/>
    </row>
    <row r="1081" spans="1:25">
      <c r="B1081" s="11"/>
      <c r="C1081" s="609"/>
      <c r="D1081" s="10"/>
      <c r="E1081" s="10"/>
      <c r="F1081" s="98">
        <f t="shared" ref="F1081:H1081" si="132">SUM(F1080)</f>
        <v>2210</v>
      </c>
      <c r="G1081" s="98">
        <f t="shared" si="132"/>
        <v>75.89</v>
      </c>
      <c r="H1081" s="98">
        <f t="shared" si="132"/>
        <v>0</v>
      </c>
      <c r="I1081" s="98">
        <f>SUM(I1080)</f>
        <v>2134.11</v>
      </c>
      <c r="J1081" s="63"/>
      <c r="K1081" s="21"/>
      <c r="L1081" s="21"/>
      <c r="M1081" s="21"/>
      <c r="N1081" s="21"/>
      <c r="O1081" s="21"/>
      <c r="P1081" s="21"/>
      <c r="Q1081" s="21"/>
      <c r="R1081" s="21"/>
      <c r="S1081" s="21"/>
      <c r="T1081" s="63"/>
      <c r="U1081" s="94"/>
      <c r="V1081" s="90"/>
      <c r="W1081" s="91"/>
      <c r="X1081" s="92"/>
      <c r="Y1081" s="2"/>
    </row>
    <row r="1082" spans="1:25">
      <c r="B1082" s="11"/>
      <c r="C1082" s="609"/>
      <c r="D1082" s="10"/>
      <c r="E1082" s="10"/>
      <c r="F1082" s="88"/>
      <c r="G1082" s="88"/>
      <c r="H1082" s="88"/>
      <c r="I1082" s="99"/>
      <c r="J1082" s="63"/>
      <c r="K1082" s="21"/>
      <c r="L1082" s="21"/>
      <c r="M1082" s="21"/>
      <c r="N1082" s="21"/>
      <c r="O1082" s="21"/>
      <c r="P1082" s="21"/>
      <c r="Q1082" s="21"/>
      <c r="R1082" s="21"/>
      <c r="S1082" s="21"/>
      <c r="T1082" s="63"/>
      <c r="U1082" s="94"/>
      <c r="V1082" s="90"/>
      <c r="W1082" s="91"/>
      <c r="X1082" s="92"/>
      <c r="Y1082" s="2"/>
    </row>
    <row r="1083" spans="1:25">
      <c r="B1083" s="100" t="s">
        <v>67</v>
      </c>
      <c r="C1083" s="609"/>
      <c r="D1083" s="10"/>
      <c r="E1083" s="10"/>
      <c r="F1083" s="88"/>
      <c r="G1083" s="62"/>
      <c r="H1083" s="88"/>
      <c r="I1083" s="99"/>
      <c r="J1083" s="63"/>
      <c r="K1083" s="2"/>
      <c r="L1083" s="2"/>
      <c r="M1083" s="2"/>
      <c r="N1083" s="2"/>
      <c r="O1083" s="2"/>
      <c r="P1083" s="2"/>
      <c r="Q1083" s="2"/>
      <c r="R1083" s="2"/>
      <c r="S1083" s="2"/>
      <c r="T1083" s="63"/>
      <c r="U1083" s="94"/>
      <c r="V1083" s="90"/>
      <c r="W1083" s="91"/>
      <c r="X1083" s="92"/>
      <c r="Y1083" s="2"/>
    </row>
    <row r="1084" spans="1:25">
      <c r="A1084" s="494" t="s">
        <v>1292</v>
      </c>
      <c r="B1084" s="87">
        <v>1</v>
      </c>
      <c r="C1084" s="641">
        <v>45937</v>
      </c>
      <c r="D1084" s="271" t="s">
        <v>1240</v>
      </c>
      <c r="E1084" s="271" t="s">
        <v>1072</v>
      </c>
      <c r="F1084" s="265">
        <v>3952</v>
      </c>
      <c r="G1084" s="265">
        <f>39.7</f>
        <v>39.700000000000003</v>
      </c>
      <c r="H1084" s="265"/>
      <c r="I1084" s="376">
        <f>F1084-G1084-H1084</f>
        <v>3912.3</v>
      </c>
      <c r="J1084" s="267" t="s">
        <v>156</v>
      </c>
      <c r="K1084" s="267">
        <v>1</v>
      </c>
      <c r="L1084" s="267"/>
      <c r="M1084" s="267">
        <v>1</v>
      </c>
      <c r="N1084" s="267">
        <v>1</v>
      </c>
      <c r="O1084" s="267">
        <v>1</v>
      </c>
      <c r="P1084" s="267">
        <v>1</v>
      </c>
      <c r="Q1084" s="267"/>
      <c r="R1084" s="267"/>
      <c r="S1084" s="269"/>
      <c r="T1084" s="63"/>
      <c r="U1084" s="94"/>
      <c r="V1084" s="90"/>
      <c r="W1084" s="136"/>
      <c r="X1084" s="137"/>
      <c r="Y1084" s="260"/>
    </row>
    <row r="1085" spans="1:25">
      <c r="A1085" s="261" t="s">
        <v>1293</v>
      </c>
      <c r="B1085" s="87">
        <f>B1084+1</f>
        <v>2</v>
      </c>
      <c r="C1085" s="641">
        <v>45947</v>
      </c>
      <c r="D1085" s="271" t="s">
        <v>1264</v>
      </c>
      <c r="E1085" s="271" t="s">
        <v>1256</v>
      </c>
      <c r="F1085" s="265">
        <v>16773.900000000001</v>
      </c>
      <c r="G1085" s="265">
        <f>39.7+(48.55)+(913.3+134.89+289.41+6.63)+1500</f>
        <v>2932.4800000000005</v>
      </c>
      <c r="H1085" s="265"/>
      <c r="I1085" s="266">
        <f>F1085-G1085-H1085</f>
        <v>13841.420000000002</v>
      </c>
      <c r="J1085" s="267" t="s">
        <v>156</v>
      </c>
      <c r="K1085" s="267">
        <v>1</v>
      </c>
      <c r="L1085" s="267">
        <v>1</v>
      </c>
      <c r="M1085" s="267">
        <v>1</v>
      </c>
      <c r="N1085" s="267">
        <v>1</v>
      </c>
      <c r="O1085" s="267">
        <v>1</v>
      </c>
      <c r="P1085" s="267">
        <v>1</v>
      </c>
      <c r="Q1085" s="314">
        <v>0</v>
      </c>
      <c r="R1085" s="314">
        <v>0</v>
      </c>
      <c r="S1085" s="366">
        <v>0</v>
      </c>
      <c r="T1085" s="63"/>
      <c r="U1085" s="94" t="s">
        <v>1294</v>
      </c>
      <c r="V1085" s="90"/>
      <c r="W1085" s="136"/>
      <c r="X1085" s="137"/>
      <c r="Y1085" s="260"/>
    </row>
    <row r="1086" spans="1:25">
      <c r="A1086" s="261" t="s">
        <v>1295</v>
      </c>
      <c r="B1086" s="87">
        <f>B1085+1</f>
        <v>3</v>
      </c>
      <c r="C1086" s="641">
        <v>45948</v>
      </c>
      <c r="D1086" s="271" t="s">
        <v>1268</v>
      </c>
      <c r="E1086" s="271" t="s">
        <v>973</v>
      </c>
      <c r="F1086" s="265">
        <v>2901.6</v>
      </c>
      <c r="G1086" s="265">
        <f>39.7+(1.51+156.74+5.36)</f>
        <v>203.31</v>
      </c>
      <c r="H1086" s="265"/>
      <c r="I1086" s="272">
        <f>F1086-G1086-H1086</f>
        <v>2698.29</v>
      </c>
      <c r="J1086" s="267" t="s">
        <v>236</v>
      </c>
      <c r="K1086" s="267">
        <v>1</v>
      </c>
      <c r="L1086" s="267">
        <v>1</v>
      </c>
      <c r="M1086" s="267">
        <v>1</v>
      </c>
      <c r="N1086" s="267">
        <v>1</v>
      </c>
      <c r="O1086" s="267">
        <v>1</v>
      </c>
      <c r="P1086" s="267">
        <v>1</v>
      </c>
      <c r="Q1086" s="267">
        <v>0</v>
      </c>
      <c r="R1086" s="267">
        <v>0</v>
      </c>
      <c r="S1086" s="269">
        <v>0</v>
      </c>
      <c r="T1086" s="63"/>
      <c r="U1086" s="94" t="s">
        <v>1296</v>
      </c>
      <c r="V1086" s="90"/>
      <c r="W1086" s="136"/>
      <c r="X1086" s="137"/>
      <c r="Y1086" s="260"/>
    </row>
    <row r="1087" spans="1:25">
      <c r="B1087" s="11"/>
      <c r="C1087" s="609"/>
      <c r="D1087" s="10"/>
      <c r="E1087" s="10"/>
      <c r="F1087" s="97">
        <f>SUM(F1084:F1086)</f>
        <v>23627.5</v>
      </c>
      <c r="G1087" s="97">
        <f>SUM(G1084:G1086)</f>
        <v>3175.4900000000002</v>
      </c>
      <c r="H1087" s="97">
        <f>SUM(H1084:H1086)</f>
        <v>0</v>
      </c>
      <c r="I1087" s="98">
        <f>SUM(I1084:I1086)</f>
        <v>20452.010000000002</v>
      </c>
      <c r="J1087" s="63"/>
      <c r="K1087" s="21"/>
      <c r="L1087" s="21"/>
      <c r="M1087" s="21"/>
      <c r="N1087" s="21"/>
      <c r="O1087" s="21"/>
      <c r="P1087" s="21"/>
      <c r="Q1087" s="21"/>
      <c r="R1087" s="21"/>
      <c r="S1087" s="21"/>
      <c r="T1087" s="63"/>
      <c r="U1087" s="94"/>
      <c r="V1087" s="90"/>
      <c r="W1087" s="91"/>
      <c r="X1087" s="92"/>
      <c r="Y1087" s="2"/>
    </row>
    <row r="1088" spans="1:25">
      <c r="B1088" s="11"/>
      <c r="C1088" s="609"/>
      <c r="D1088" s="10"/>
      <c r="E1088" s="10"/>
      <c r="F1088" s="88"/>
      <c r="G1088" s="88"/>
      <c r="H1088" s="88"/>
      <c r="I1088" s="99"/>
      <c r="J1088" s="63"/>
      <c r="K1088" s="21"/>
      <c r="L1088" s="21"/>
      <c r="M1088" s="21"/>
      <c r="N1088" s="21"/>
      <c r="O1088" s="21"/>
      <c r="P1088" s="21"/>
      <c r="Q1088" s="21"/>
      <c r="R1088" s="21"/>
      <c r="S1088" s="21"/>
      <c r="T1088" s="63"/>
      <c r="U1088" s="94"/>
      <c r="V1088" s="90"/>
      <c r="W1088" s="91"/>
      <c r="X1088" s="92"/>
      <c r="Y1088" s="2"/>
    </row>
    <row r="1089" spans="1:25">
      <c r="B1089" s="121" t="s">
        <v>70</v>
      </c>
      <c r="C1089" s="621"/>
      <c r="D1089" s="123"/>
      <c r="E1089" s="128"/>
      <c r="F1089" s="124"/>
      <c r="G1089" s="124"/>
      <c r="H1089" s="124"/>
      <c r="I1089" s="126"/>
      <c r="J1089" s="127"/>
      <c r="K1089" s="64"/>
      <c r="L1089" s="64"/>
      <c r="M1089" s="64"/>
      <c r="N1089" s="64"/>
      <c r="O1089" s="64"/>
      <c r="P1089" s="64"/>
      <c r="Q1089" s="64"/>
      <c r="R1089" s="64"/>
      <c r="S1089" s="64"/>
      <c r="T1089" s="127"/>
      <c r="U1089" s="135"/>
      <c r="V1089" s="129"/>
      <c r="W1089" s="130"/>
      <c r="X1089" s="131"/>
      <c r="Y1089" s="128"/>
    </row>
    <row r="1090" spans="1:25" s="342" customFormat="1">
      <c r="A1090" s="356">
        <v>0.05</v>
      </c>
      <c r="B1090" s="333">
        <v>1</v>
      </c>
      <c r="C1090" s="653">
        <v>45951</v>
      </c>
      <c r="D1090" s="335">
        <v>74582</v>
      </c>
      <c r="E1090" s="335" t="s">
        <v>296</v>
      </c>
      <c r="F1090" s="336">
        <v>1674.9</v>
      </c>
      <c r="G1090" s="336">
        <f>39.7+550</f>
        <v>589.70000000000005</v>
      </c>
      <c r="H1090" s="336"/>
      <c r="I1090" s="337">
        <f>F1090-G1090-H1090</f>
        <v>1085.2</v>
      </c>
      <c r="J1090" s="338" t="s">
        <v>150</v>
      </c>
      <c r="K1090" s="338">
        <v>1</v>
      </c>
      <c r="L1090" s="338"/>
      <c r="M1090" s="338">
        <v>1</v>
      </c>
      <c r="N1090" s="338">
        <v>1</v>
      </c>
      <c r="O1090" s="338">
        <v>1</v>
      </c>
      <c r="P1090" s="338">
        <v>1</v>
      </c>
      <c r="Q1090" s="338"/>
      <c r="R1090" s="338"/>
      <c r="S1090" s="339"/>
      <c r="T1090" s="127"/>
      <c r="U1090" s="135" t="s">
        <v>1297</v>
      </c>
      <c r="V1090" s="129"/>
      <c r="W1090" s="711">
        <f>170</f>
        <v>170</v>
      </c>
      <c r="X1090" s="341"/>
      <c r="Y1090" s="128"/>
    </row>
    <row r="1091" spans="1:25" s="342" customFormat="1">
      <c r="A1091" s="356">
        <v>0.05</v>
      </c>
      <c r="B1091" s="333">
        <f t="shared" ref="B1091:B1093" si="133">B1090+1</f>
        <v>2</v>
      </c>
      <c r="C1091" s="653">
        <v>45952</v>
      </c>
      <c r="D1091" s="335">
        <v>74718</v>
      </c>
      <c r="E1091" s="335" t="s">
        <v>673</v>
      </c>
      <c r="F1091" s="336">
        <v>1135</v>
      </c>
      <c r="G1091" s="336">
        <f>39.7</f>
        <v>39.700000000000003</v>
      </c>
      <c r="H1091" s="336"/>
      <c r="I1091" s="337">
        <f t="shared" ref="I1091" si="134">F1091-G1091-H1091</f>
        <v>1095.3</v>
      </c>
      <c r="J1091" s="338" t="s">
        <v>156</v>
      </c>
      <c r="K1091" s="338">
        <v>1</v>
      </c>
      <c r="L1091" s="338"/>
      <c r="M1091" s="338">
        <v>1</v>
      </c>
      <c r="N1091" s="338">
        <v>1</v>
      </c>
      <c r="O1091" s="338">
        <v>1</v>
      </c>
      <c r="P1091" s="338">
        <v>1</v>
      </c>
      <c r="Q1091" s="338"/>
      <c r="R1091" s="338"/>
      <c r="S1091" s="339"/>
      <c r="T1091" s="127"/>
      <c r="U1091" s="135" t="s">
        <v>1298</v>
      </c>
      <c r="V1091" s="129">
        <f>124.85</f>
        <v>124.85</v>
      </c>
      <c r="W1091" s="340"/>
      <c r="X1091" s="341"/>
      <c r="Y1091" s="128"/>
    </row>
    <row r="1092" spans="1:25" s="342" customFormat="1">
      <c r="A1092" s="356">
        <v>0.05</v>
      </c>
      <c r="B1092" s="333">
        <f t="shared" si="133"/>
        <v>3</v>
      </c>
      <c r="C1092" s="653">
        <v>45953</v>
      </c>
      <c r="D1092" s="335" t="s">
        <v>1299</v>
      </c>
      <c r="E1092" s="335" t="s">
        <v>1256</v>
      </c>
      <c r="F1092" s="336">
        <v>16841</v>
      </c>
      <c r="G1092" s="336">
        <f>39.7+(162.09+75.48)+(356.14+427.71)+1500</f>
        <v>2561.12</v>
      </c>
      <c r="H1092" s="336"/>
      <c r="I1092" s="337">
        <f>F1092-G1092-H1092</f>
        <v>14279.880000000001</v>
      </c>
      <c r="J1092" s="338" t="s">
        <v>156</v>
      </c>
      <c r="K1092" s="338">
        <v>1</v>
      </c>
      <c r="L1092" s="338"/>
      <c r="M1092" s="338">
        <v>1</v>
      </c>
      <c r="N1092" s="338">
        <v>1</v>
      </c>
      <c r="O1092" s="338">
        <v>1</v>
      </c>
      <c r="P1092" s="338">
        <v>1</v>
      </c>
      <c r="Q1092" s="338"/>
      <c r="R1092" s="338"/>
      <c r="S1092" s="339"/>
      <c r="T1092" s="127"/>
      <c r="U1092" s="135" t="s">
        <v>1300</v>
      </c>
      <c r="V1092" s="129">
        <f>1852.51+2000</f>
        <v>3852.51</v>
      </c>
      <c r="W1092" s="340"/>
      <c r="X1092" s="341"/>
      <c r="Y1092" s="128"/>
    </row>
    <row r="1093" spans="1:25" s="342" customFormat="1">
      <c r="A1093" s="356">
        <v>0.05</v>
      </c>
      <c r="B1093" s="333">
        <f t="shared" si="133"/>
        <v>4</v>
      </c>
      <c r="C1093" s="655">
        <v>45953</v>
      </c>
      <c r="D1093" s="396">
        <v>74767</v>
      </c>
      <c r="E1093" s="396" t="s">
        <v>446</v>
      </c>
      <c r="F1093" s="397">
        <v>9280</v>
      </c>
      <c r="G1093" s="397">
        <f>39.7+750</f>
        <v>789.7</v>
      </c>
      <c r="H1093" s="397"/>
      <c r="I1093" s="398">
        <f>F1093-G1093-H1093</f>
        <v>8490.2999999999993</v>
      </c>
      <c r="J1093" s="399" t="s">
        <v>156</v>
      </c>
      <c r="K1093" s="399">
        <v>1</v>
      </c>
      <c r="L1093" s="399"/>
      <c r="M1093" s="399">
        <v>1</v>
      </c>
      <c r="N1093" s="399">
        <v>1</v>
      </c>
      <c r="O1093" s="399">
        <v>1</v>
      </c>
      <c r="P1093" s="399">
        <v>1</v>
      </c>
      <c r="Q1093" s="399"/>
      <c r="R1093" s="399"/>
      <c r="S1093" s="400"/>
      <c r="T1093" s="127"/>
      <c r="U1093" s="135" t="s">
        <v>1301</v>
      </c>
      <c r="V1093" s="129">
        <f>1020.8</f>
        <v>1020.8</v>
      </c>
      <c r="W1093" s="340"/>
      <c r="X1093" s="341"/>
      <c r="Y1093" s="128"/>
    </row>
    <row r="1094" spans="1:25">
      <c r="B1094" s="132"/>
      <c r="C1094" s="621"/>
      <c r="D1094" s="123"/>
      <c r="E1094" s="123"/>
      <c r="F1094" s="133">
        <f>SUM(F1090:F1093)</f>
        <v>28930.9</v>
      </c>
      <c r="G1094" s="133">
        <f>SUM(G1090:G1093)</f>
        <v>3980.2200000000003</v>
      </c>
      <c r="H1094" s="133">
        <f>SUM(H1090:H1093)</f>
        <v>0</v>
      </c>
      <c r="I1094" s="134">
        <f>SUM(I1090:I1093)</f>
        <v>24950.68</v>
      </c>
      <c r="J1094" s="127"/>
      <c r="K1094" s="64"/>
      <c r="L1094" s="64"/>
      <c r="M1094" s="64"/>
      <c r="N1094" s="64"/>
      <c r="O1094" s="64"/>
      <c r="P1094" s="64"/>
      <c r="Q1094" s="64"/>
      <c r="R1094" s="64"/>
      <c r="S1094" s="64"/>
      <c r="T1094" s="127"/>
      <c r="U1094" s="135"/>
      <c r="V1094" s="129"/>
      <c r="W1094" s="130"/>
      <c r="X1094" s="131"/>
      <c r="Y1094" s="128"/>
    </row>
    <row r="1095" spans="1:25">
      <c r="B1095" s="11"/>
      <c r="C1095" s="621"/>
      <c r="D1095" s="10"/>
      <c r="E1095" s="10"/>
      <c r="F1095" s="88"/>
      <c r="G1095" s="88"/>
      <c r="H1095" s="88"/>
      <c r="I1095" s="99"/>
      <c r="J1095" s="63"/>
      <c r="K1095" s="21"/>
      <c r="L1095" s="21"/>
      <c r="M1095" s="21"/>
      <c r="N1095" s="21"/>
      <c r="O1095" s="21"/>
      <c r="P1095" s="21"/>
      <c r="Q1095" s="21"/>
      <c r="R1095" s="21"/>
      <c r="S1095" s="21"/>
      <c r="T1095" s="63"/>
      <c r="U1095" s="94"/>
      <c r="V1095" s="90"/>
      <c r="W1095" s="91"/>
      <c r="X1095" s="92"/>
      <c r="Y1095" s="2"/>
    </row>
    <row r="1096" spans="1:25" s="260" customFormat="1">
      <c r="A1096" s="181"/>
      <c r="B1096" s="100" t="s">
        <v>152</v>
      </c>
      <c r="C1096" s="36"/>
      <c r="D1096" s="10"/>
      <c r="E1096" s="10"/>
      <c r="F1096" s="88"/>
      <c r="G1096" s="62"/>
      <c r="H1096" s="88"/>
      <c r="I1096" s="99"/>
      <c r="J1096" s="10"/>
      <c r="K1096" s="181"/>
      <c r="L1096" s="181"/>
      <c r="M1096" s="181"/>
      <c r="N1096" s="181"/>
      <c r="O1096" s="181"/>
      <c r="P1096" s="181"/>
      <c r="Q1096" s="181"/>
      <c r="R1096" s="181"/>
      <c r="S1096" s="181"/>
      <c r="T1096" s="63"/>
      <c r="U1096" s="10"/>
      <c r="V1096" s="90"/>
      <c r="W1096" s="91"/>
      <c r="X1096" s="92"/>
      <c r="Y1096" s="181"/>
    </row>
    <row r="1097" spans="1:25" s="260" customFormat="1">
      <c r="A1097" s="494">
        <v>0.05</v>
      </c>
      <c r="B1097" s="87">
        <v>1</v>
      </c>
      <c r="C1097" s="641">
        <v>45911</v>
      </c>
      <c r="D1097" s="271">
        <v>73200</v>
      </c>
      <c r="E1097" s="264" t="s">
        <v>798</v>
      </c>
      <c r="F1097" s="265">
        <f>2346-85</f>
        <v>2261</v>
      </c>
      <c r="G1097" s="265">
        <f>39.7</f>
        <v>39.700000000000003</v>
      </c>
      <c r="H1097" s="265"/>
      <c r="I1097" s="272">
        <f>F1097-G1097-H1097</f>
        <v>2221.3000000000002</v>
      </c>
      <c r="J1097" s="267" t="s">
        <v>156</v>
      </c>
      <c r="K1097" s="267">
        <v>1</v>
      </c>
      <c r="L1097" s="267">
        <v>1</v>
      </c>
      <c r="M1097" s="267">
        <v>1</v>
      </c>
      <c r="N1097" s="267">
        <v>1</v>
      </c>
      <c r="O1097" s="267">
        <v>1</v>
      </c>
      <c r="P1097" s="267">
        <v>1</v>
      </c>
      <c r="Q1097" s="267">
        <v>1</v>
      </c>
      <c r="R1097" s="267">
        <v>1</v>
      </c>
      <c r="S1097" s="269">
        <v>1</v>
      </c>
      <c r="T1097" s="63"/>
      <c r="U1097" s="10" t="s">
        <v>1128</v>
      </c>
      <c r="V1097" s="90"/>
      <c r="W1097" s="91"/>
      <c r="X1097" s="92"/>
      <c r="Y1097" s="181"/>
    </row>
    <row r="1098" spans="1:25" s="260" customFormat="1">
      <c r="A1098" s="261">
        <v>0.05</v>
      </c>
      <c r="B1098" s="87">
        <f>B1097+1</f>
        <v>2</v>
      </c>
      <c r="C1098" s="638">
        <v>45944</v>
      </c>
      <c r="D1098" s="276">
        <v>74414</v>
      </c>
      <c r="E1098" s="281" t="s">
        <v>769</v>
      </c>
      <c r="F1098" s="277">
        <v>2302</v>
      </c>
      <c r="G1098" s="277">
        <f>39.7</f>
        <v>39.700000000000003</v>
      </c>
      <c r="H1098" s="277">
        <f>F1098*0.2</f>
        <v>460.40000000000003</v>
      </c>
      <c r="I1098" s="278">
        <f>F1098-G1098-H1098</f>
        <v>1801.9</v>
      </c>
      <c r="J1098" s="279" t="s">
        <v>185</v>
      </c>
      <c r="K1098" s="279">
        <v>1</v>
      </c>
      <c r="L1098" s="279">
        <v>1</v>
      </c>
      <c r="M1098" s="279">
        <v>1</v>
      </c>
      <c r="N1098" s="279">
        <v>1</v>
      </c>
      <c r="O1098" s="279">
        <v>1</v>
      </c>
      <c r="P1098" s="279">
        <v>1</v>
      </c>
      <c r="Q1098" s="279">
        <v>1</v>
      </c>
      <c r="R1098" s="279">
        <v>1</v>
      </c>
      <c r="S1098" s="280">
        <v>1</v>
      </c>
      <c r="T1098" s="63"/>
      <c r="U1098" s="10"/>
      <c r="V1098" s="90"/>
      <c r="W1098" s="91"/>
      <c r="X1098" s="92"/>
    </row>
    <row r="1099" spans="1:25" s="260" customFormat="1">
      <c r="A1099" s="261">
        <v>0.05</v>
      </c>
      <c r="B1099" s="87">
        <f t="shared" ref="B1099:B1100" si="135">B1098+1</f>
        <v>3</v>
      </c>
      <c r="C1099" s="638">
        <v>45945</v>
      </c>
      <c r="D1099" s="276">
        <v>74471</v>
      </c>
      <c r="E1099" s="276" t="s">
        <v>1260</v>
      </c>
      <c r="F1099" s="277">
        <v>814</v>
      </c>
      <c r="G1099" s="277">
        <f>39.7</f>
        <v>39.700000000000003</v>
      </c>
      <c r="H1099" s="297"/>
      <c r="I1099" s="278">
        <f>F1099-G1099-H1099</f>
        <v>774.3</v>
      </c>
      <c r="J1099" s="279" t="s">
        <v>156</v>
      </c>
      <c r="K1099" s="279">
        <v>1</v>
      </c>
      <c r="L1099" s="279">
        <v>1</v>
      </c>
      <c r="M1099" s="279">
        <v>1</v>
      </c>
      <c r="N1099" s="279">
        <v>1</v>
      </c>
      <c r="O1099" s="279">
        <v>1</v>
      </c>
      <c r="P1099" s="279">
        <v>1</v>
      </c>
      <c r="Q1099" s="279">
        <v>1</v>
      </c>
      <c r="R1099" s="279">
        <v>1</v>
      </c>
      <c r="S1099" s="280">
        <v>1</v>
      </c>
      <c r="T1099" s="63"/>
      <c r="U1099" s="10" t="s">
        <v>1261</v>
      </c>
      <c r="V1099" s="90"/>
      <c r="W1099" s="91"/>
      <c r="X1099" s="92"/>
    </row>
    <row r="1100" spans="1:25" s="260" customFormat="1">
      <c r="A1100" s="261" t="s">
        <v>926</v>
      </c>
      <c r="B1100" s="87">
        <f t="shared" si="135"/>
        <v>4</v>
      </c>
      <c r="C1100" s="641">
        <v>45944</v>
      </c>
      <c r="D1100" s="271" t="s">
        <v>1262</v>
      </c>
      <c r="E1100" s="271" t="s">
        <v>1222</v>
      </c>
      <c r="F1100" s="265">
        <f>16735.5</f>
        <v>16735.5</v>
      </c>
      <c r="G1100" s="265">
        <f>39.7+49+87.95+(29.24+153.79+58.33)+(157.94-14.91+57.66+183.59+31.14+24.9+47.99-10.3-18.44+5.25+165.98)+1500</f>
        <v>2548.81</v>
      </c>
      <c r="H1100" s="365"/>
      <c r="I1100" s="266">
        <f>F1100-G1100-H1100</f>
        <v>14186.69</v>
      </c>
      <c r="J1100" s="267" t="s">
        <v>228</v>
      </c>
      <c r="K1100" s="267">
        <v>1</v>
      </c>
      <c r="L1100" s="267">
        <v>1</v>
      </c>
      <c r="M1100" s="267">
        <v>1</v>
      </c>
      <c r="N1100" s="267">
        <v>1</v>
      </c>
      <c r="O1100" s="267">
        <v>1</v>
      </c>
      <c r="P1100" s="267">
        <v>1</v>
      </c>
      <c r="Q1100" s="314">
        <v>0</v>
      </c>
      <c r="R1100" s="314">
        <v>0</v>
      </c>
      <c r="S1100" s="366">
        <v>0</v>
      </c>
      <c r="T1100" s="63"/>
      <c r="U1100" s="10" t="s">
        <v>1302</v>
      </c>
      <c r="V1100" s="90">
        <f>984.28</f>
        <v>984.28</v>
      </c>
      <c r="W1100" s="91"/>
      <c r="X1100" s="92"/>
    </row>
    <row r="1101" spans="1:25" s="260" customFormat="1">
      <c r="B1101" s="11"/>
      <c r="C1101" s="36"/>
      <c r="D1101" s="10"/>
      <c r="E1101" s="10"/>
      <c r="F1101" s="98">
        <f>SUM(F1097:F1100)</f>
        <v>22112.5</v>
      </c>
      <c r="G1101" s="98">
        <f t="shared" ref="G1101:I1101" si="136">SUM(G1097:G1100)</f>
        <v>2667.91</v>
      </c>
      <c r="H1101" s="98">
        <f t="shared" si="136"/>
        <v>460.40000000000003</v>
      </c>
      <c r="I1101" s="98">
        <f t="shared" si="136"/>
        <v>18984.190000000002</v>
      </c>
      <c r="J1101" s="63"/>
      <c r="K1101" s="21"/>
      <c r="L1101" s="21"/>
      <c r="M1101" s="21"/>
      <c r="N1101" s="21"/>
      <c r="O1101" s="21"/>
      <c r="P1101" s="21"/>
      <c r="Q1101" s="21"/>
      <c r="R1101" s="21"/>
      <c r="S1101" s="21"/>
      <c r="T1101" s="63"/>
      <c r="U1101" s="94"/>
      <c r="V1101" s="90"/>
      <c r="W1101" s="91"/>
      <c r="X1101" s="92"/>
    </row>
    <row r="1102" spans="1:25" s="260" customFormat="1">
      <c r="B1102" s="11"/>
      <c r="C1102" s="36"/>
      <c r="D1102" s="10"/>
      <c r="E1102" s="10"/>
      <c r="F1102" s="99"/>
      <c r="G1102" s="99"/>
      <c r="H1102" s="99"/>
      <c r="I1102" s="99"/>
      <c r="J1102" s="63"/>
      <c r="K1102" s="21"/>
      <c r="L1102" s="21"/>
      <c r="M1102" s="21"/>
      <c r="N1102" s="21"/>
      <c r="O1102" s="21"/>
      <c r="P1102" s="21"/>
      <c r="Q1102" s="21"/>
      <c r="R1102" s="21"/>
      <c r="S1102" s="21"/>
      <c r="T1102" s="63"/>
      <c r="U1102" s="94"/>
      <c r="V1102" s="90"/>
      <c r="W1102" s="91"/>
      <c r="X1102" s="92"/>
    </row>
    <row r="1103" spans="1:25">
      <c r="A1103" s="2"/>
      <c r="B1103" s="11"/>
      <c r="C1103" s="36"/>
      <c r="D1103" s="10"/>
      <c r="E1103" s="10"/>
      <c r="F1103" s="88"/>
      <c r="G1103" s="88"/>
      <c r="H1103" s="88"/>
      <c r="I1103" s="99"/>
      <c r="J1103" s="63"/>
      <c r="K1103" s="21"/>
      <c r="L1103" s="21"/>
      <c r="M1103" s="21"/>
      <c r="N1103" s="21"/>
      <c r="O1103" s="21"/>
      <c r="P1103" s="21"/>
      <c r="Q1103" s="21"/>
      <c r="R1103" s="21"/>
      <c r="S1103" s="21"/>
      <c r="T1103" s="63"/>
      <c r="U1103" s="94"/>
      <c r="V1103" s="90"/>
      <c r="W1103" s="91"/>
      <c r="X1103" s="92"/>
    </row>
    <row r="1104" spans="1:25" s="260" customFormat="1">
      <c r="B1104" s="100" t="s">
        <v>202</v>
      </c>
      <c r="C1104" s="36"/>
      <c r="D1104" s="10"/>
      <c r="E1104" s="181"/>
      <c r="F1104" s="88"/>
      <c r="G1104" s="88"/>
      <c r="H1104" s="88"/>
      <c r="I1104" s="99"/>
      <c r="J1104" s="63"/>
      <c r="K1104" s="21"/>
      <c r="L1104" s="21"/>
      <c r="M1104" s="21"/>
      <c r="N1104" s="21"/>
      <c r="O1104" s="21"/>
      <c r="P1104" s="21"/>
      <c r="Q1104" s="21"/>
      <c r="R1104" s="21"/>
      <c r="S1104" s="21"/>
      <c r="T1104" s="63"/>
      <c r="U1104" s="94"/>
      <c r="V1104" s="90"/>
      <c r="W1104" s="91"/>
      <c r="X1104" s="92"/>
    </row>
    <row r="1105" spans="1:25" s="260" customFormat="1">
      <c r="A1105" s="261">
        <v>0.05</v>
      </c>
      <c r="B1105" s="87">
        <v>1</v>
      </c>
      <c r="C1105" s="641">
        <v>45904</v>
      </c>
      <c r="D1105" s="271">
        <v>72982</v>
      </c>
      <c r="E1105" s="271" t="s">
        <v>604</v>
      </c>
      <c r="F1105" s="265">
        <v>1681</v>
      </c>
      <c r="G1105" s="265">
        <f>39.7+398</f>
        <v>437.7</v>
      </c>
      <c r="H1105" s="265"/>
      <c r="I1105" s="272">
        <f>F1105-G1105-H1105</f>
        <v>1243.3</v>
      </c>
      <c r="J1105" s="267" t="s">
        <v>156</v>
      </c>
      <c r="K1105" s="267">
        <v>1</v>
      </c>
      <c r="L1105" s="267"/>
      <c r="M1105" s="267">
        <v>1</v>
      </c>
      <c r="N1105" s="267">
        <v>1</v>
      </c>
      <c r="O1105" s="267">
        <v>1</v>
      </c>
      <c r="P1105" s="267">
        <v>1</v>
      </c>
      <c r="Q1105" s="267"/>
      <c r="R1105" s="267"/>
      <c r="S1105" s="269"/>
      <c r="T1105" s="63"/>
      <c r="U1105" s="94" t="s">
        <v>1131</v>
      </c>
      <c r="V1105" s="90"/>
      <c r="W1105" s="136"/>
      <c r="X1105" s="137"/>
    </row>
    <row r="1106" spans="1:25" s="260" customFormat="1">
      <c r="A1106" s="494">
        <v>0.05</v>
      </c>
      <c r="B1106" s="87">
        <f>B1105+1</f>
        <v>2</v>
      </c>
      <c r="C1106" s="641">
        <v>45925</v>
      </c>
      <c r="D1106" s="271" t="s">
        <v>1188</v>
      </c>
      <c r="E1106" s="271" t="s">
        <v>973</v>
      </c>
      <c r="F1106" s="265">
        <v>18161</v>
      </c>
      <c r="G1106" s="265">
        <f>39.7+33.68+1005.6+33.68+(162.47+289.66+177.5-16.43)+(86.55+60.7+267.3-217.8)+1500</f>
        <v>3422.61</v>
      </c>
      <c r="H1106" s="265"/>
      <c r="I1106" s="272">
        <f>F1106-G1106-H1106</f>
        <v>14738.39</v>
      </c>
      <c r="J1106" s="267" t="s">
        <v>156</v>
      </c>
      <c r="K1106" s="267">
        <v>1</v>
      </c>
      <c r="L1106" s="267"/>
      <c r="M1106" s="267">
        <v>1</v>
      </c>
      <c r="N1106" s="267">
        <v>1</v>
      </c>
      <c r="O1106" s="267">
        <v>1</v>
      </c>
      <c r="P1106" s="267">
        <v>1</v>
      </c>
      <c r="Q1106" s="267"/>
      <c r="R1106" s="267"/>
      <c r="S1106" s="269"/>
      <c r="T1106" s="63"/>
      <c r="U1106" s="94" t="s">
        <v>1243</v>
      </c>
      <c r="V1106" s="90"/>
      <c r="W1106" s="136"/>
      <c r="X1106" s="137"/>
    </row>
    <row r="1107" spans="1:25" s="260" customFormat="1">
      <c r="A1107" s="261">
        <v>0.05</v>
      </c>
      <c r="B1107" s="87">
        <f t="shared" ref="B1107" si="137">B1106+1</f>
        <v>3</v>
      </c>
      <c r="C1107" s="640">
        <v>45947</v>
      </c>
      <c r="D1107" s="283" t="s">
        <v>1266</v>
      </c>
      <c r="E1107" s="283" t="s">
        <v>1100</v>
      </c>
      <c r="F1107" s="284">
        <v>16214</v>
      </c>
      <c r="G1107" s="284">
        <f>39.7+910.2+96+100+(85.73+200.61+105.74+58.37+96.2+300.28+38.51-76.96)+(19.36+11.04+221.13-360.21)+1500</f>
        <v>3345.7</v>
      </c>
      <c r="H1107" s="284"/>
      <c r="I1107" s="285">
        <f>F1107-G1107-H1107</f>
        <v>12868.3</v>
      </c>
      <c r="J1107" s="286" t="s">
        <v>156</v>
      </c>
      <c r="K1107" s="286">
        <v>1</v>
      </c>
      <c r="L1107" s="286"/>
      <c r="M1107" s="286">
        <v>1</v>
      </c>
      <c r="N1107" s="286">
        <v>1</v>
      </c>
      <c r="O1107" s="286">
        <v>1</v>
      </c>
      <c r="P1107" s="286">
        <v>1</v>
      </c>
      <c r="Q1107" s="286"/>
      <c r="R1107" s="286"/>
      <c r="S1107" s="287"/>
      <c r="T1107" s="63"/>
      <c r="U1107" s="94" t="s">
        <v>1303</v>
      </c>
      <c r="V1107" s="90"/>
      <c r="W1107" s="136"/>
      <c r="X1107" s="137"/>
    </row>
    <row r="1108" spans="1:25" s="260" customFormat="1">
      <c r="B1108" s="11"/>
      <c r="C1108" s="36"/>
      <c r="D1108" s="10"/>
      <c r="E1108" s="10"/>
      <c r="F1108" s="98">
        <f>SUM(F1105:F1107)</f>
        <v>36056</v>
      </c>
      <c r="G1108" s="98">
        <f>SUM(G1105:G1107)</f>
        <v>7206.01</v>
      </c>
      <c r="H1108" s="98">
        <f>SUM(H1105:H1107)</f>
        <v>0</v>
      </c>
      <c r="I1108" s="98">
        <f>SUM(I1105:I1107)</f>
        <v>28849.989999999998</v>
      </c>
      <c r="J1108" s="510"/>
      <c r="K1108" s="21"/>
      <c r="L1108" s="21"/>
      <c r="M1108" s="21"/>
      <c r="N1108" s="21"/>
      <c r="O1108" s="21"/>
      <c r="P1108" s="21"/>
      <c r="Q1108" s="21"/>
      <c r="R1108" s="21"/>
      <c r="S1108" s="21"/>
      <c r="T1108" s="63"/>
      <c r="U1108" s="94"/>
      <c r="V1108" s="90"/>
      <c r="W1108" s="91"/>
      <c r="X1108" s="92"/>
    </row>
    <row r="1109" spans="1:25" s="260" customFormat="1">
      <c r="B1109" s="11"/>
      <c r="C1109" s="36"/>
      <c r="D1109" s="10"/>
      <c r="E1109" s="10"/>
      <c r="F1109" s="99"/>
      <c r="G1109" s="99"/>
      <c r="H1109" s="99"/>
      <c r="I1109" s="99"/>
      <c r="J1109" s="63"/>
      <c r="K1109" s="21"/>
      <c r="L1109" s="21"/>
      <c r="M1109" s="21"/>
      <c r="N1109" s="21"/>
      <c r="O1109" s="21"/>
      <c r="P1109" s="21"/>
      <c r="Q1109" s="21"/>
      <c r="R1109" s="21"/>
      <c r="S1109" s="21"/>
      <c r="T1109" s="63"/>
      <c r="U1109" s="94"/>
      <c r="V1109" s="90"/>
      <c r="W1109" s="91"/>
      <c r="X1109" s="92"/>
    </row>
    <row r="1110" spans="1:25">
      <c r="B1110" s="100" t="s">
        <v>72</v>
      </c>
      <c r="C1110" s="621"/>
      <c r="D1110" s="10"/>
      <c r="E1110" s="10"/>
      <c r="F1110" s="88"/>
      <c r="G1110" s="88"/>
      <c r="H1110" s="88"/>
      <c r="I1110" s="99"/>
      <c r="J1110" s="63"/>
      <c r="K1110" s="63"/>
      <c r="L1110" s="63"/>
      <c r="M1110" s="63"/>
      <c r="N1110" s="63"/>
      <c r="O1110" s="63"/>
      <c r="P1110" s="63"/>
      <c r="Q1110" s="63"/>
      <c r="R1110" s="63"/>
      <c r="S1110" s="63"/>
      <c r="T1110" s="63"/>
      <c r="U1110" s="10"/>
      <c r="V1110" s="90"/>
      <c r="W1110" s="91"/>
      <c r="X1110" s="92"/>
      <c r="Y1110" s="2"/>
    </row>
    <row r="1111" spans="1:25">
      <c r="B1111" s="87">
        <v>1</v>
      </c>
      <c r="C1111" s="638">
        <v>45950</v>
      </c>
      <c r="D1111" s="276">
        <v>74620</v>
      </c>
      <c r="E1111" s="276" t="s">
        <v>1028</v>
      </c>
      <c r="F1111" s="277">
        <v>1264</v>
      </c>
      <c r="G1111" s="277">
        <v>39.700000000000003</v>
      </c>
      <c r="H1111" s="277"/>
      <c r="I1111" s="278">
        <f t="shared" ref="I1111:I1129" si="138">F1111-G1111-H1111</f>
        <v>1224.3</v>
      </c>
      <c r="J1111" s="279" t="s">
        <v>205</v>
      </c>
      <c r="K1111" s="279">
        <v>1</v>
      </c>
      <c r="L1111" s="279"/>
      <c r="M1111" s="279"/>
      <c r="N1111" s="279">
        <v>1</v>
      </c>
      <c r="O1111" s="279"/>
      <c r="P1111" s="279"/>
      <c r="Q1111" s="279">
        <v>1</v>
      </c>
      <c r="R1111" s="279">
        <v>1</v>
      </c>
      <c r="S1111" s="280">
        <v>1</v>
      </c>
      <c r="T1111" s="63"/>
      <c r="U1111" s="3"/>
      <c r="V1111" s="90"/>
      <c r="W1111" s="91"/>
      <c r="X1111" s="92"/>
      <c r="Y1111" s="2"/>
    </row>
    <row r="1112" spans="1:25">
      <c r="B1112" s="87">
        <f t="shared" ref="B1112:B1127" si="139">B1111+1</f>
        <v>2</v>
      </c>
      <c r="C1112" s="639">
        <v>45950</v>
      </c>
      <c r="D1112" s="77" t="s">
        <v>1304</v>
      </c>
      <c r="E1112" s="101" t="s">
        <v>1008</v>
      </c>
      <c r="F1112" s="62">
        <v>6214</v>
      </c>
      <c r="G1112" s="62">
        <v>39.700000000000003</v>
      </c>
      <c r="H1112" s="62"/>
      <c r="I1112" s="89">
        <f t="shared" si="138"/>
        <v>6174.3</v>
      </c>
      <c r="J1112" s="63" t="s">
        <v>205</v>
      </c>
      <c r="K1112" s="63">
        <v>1</v>
      </c>
      <c r="L1112" s="63"/>
      <c r="M1112" s="63"/>
      <c r="N1112" s="63">
        <v>1</v>
      </c>
      <c r="O1112" s="63"/>
      <c r="P1112" s="63"/>
      <c r="Q1112" s="63"/>
      <c r="R1112" s="63"/>
      <c r="S1112" s="296"/>
      <c r="T1112" s="63"/>
      <c r="U1112" s="10"/>
      <c r="V1112" s="90"/>
      <c r="W1112" s="136"/>
      <c r="X1112" s="137"/>
      <c r="Y1112" s="2"/>
    </row>
    <row r="1113" spans="1:25">
      <c r="B1113" s="87">
        <f t="shared" si="139"/>
        <v>3</v>
      </c>
      <c r="C1113" s="639">
        <v>45950</v>
      </c>
      <c r="D1113" s="10">
        <v>74660</v>
      </c>
      <c r="E1113" s="101" t="s">
        <v>1008</v>
      </c>
      <c r="F1113" s="62">
        <v>0</v>
      </c>
      <c r="G1113" s="62">
        <v>0</v>
      </c>
      <c r="H1113" s="62"/>
      <c r="I1113" s="89">
        <f t="shared" si="138"/>
        <v>0</v>
      </c>
      <c r="J1113" s="63" t="s">
        <v>205</v>
      </c>
      <c r="K1113" s="63"/>
      <c r="L1113" s="63"/>
      <c r="M1113" s="63"/>
      <c r="N1113" s="63"/>
      <c r="O1113" s="63"/>
      <c r="P1113" s="63"/>
      <c r="Q1113" s="63"/>
      <c r="R1113" s="63"/>
      <c r="S1113" s="296"/>
      <c r="T1113" s="63"/>
      <c r="U1113" s="10"/>
      <c r="V1113" s="90"/>
      <c r="W1113" s="136"/>
      <c r="X1113" s="137"/>
      <c r="Y1113" s="2"/>
    </row>
    <row r="1114" spans="1:25">
      <c r="B1114" s="87">
        <f t="shared" si="139"/>
        <v>4</v>
      </c>
      <c r="C1114" s="639">
        <v>45950</v>
      </c>
      <c r="D1114" s="10">
        <v>74632</v>
      </c>
      <c r="E1114" s="10" t="s">
        <v>1088</v>
      </c>
      <c r="F1114" s="62">
        <v>2261</v>
      </c>
      <c r="G1114" s="62">
        <v>39.700000000000003</v>
      </c>
      <c r="H1114" s="62"/>
      <c r="I1114" s="89">
        <f t="shared" si="138"/>
        <v>2221.3000000000002</v>
      </c>
      <c r="J1114" s="63" t="s">
        <v>205</v>
      </c>
      <c r="K1114" s="63">
        <v>1</v>
      </c>
      <c r="L1114" s="63"/>
      <c r="M1114" s="63"/>
      <c r="N1114" s="63">
        <v>1</v>
      </c>
      <c r="O1114" s="63"/>
      <c r="P1114" s="63"/>
      <c r="Q1114" s="63">
        <v>1</v>
      </c>
      <c r="R1114" s="63">
        <v>1</v>
      </c>
      <c r="S1114" s="296">
        <v>1</v>
      </c>
      <c r="T1114" s="63"/>
      <c r="U1114" s="10"/>
      <c r="V1114" s="90"/>
      <c r="W1114" s="136"/>
      <c r="X1114" s="137"/>
      <c r="Y1114" s="2"/>
    </row>
    <row r="1115" spans="1:25">
      <c r="B1115" s="87">
        <f t="shared" si="139"/>
        <v>5</v>
      </c>
      <c r="C1115" s="638">
        <v>45951</v>
      </c>
      <c r="D1115" s="276">
        <v>74671</v>
      </c>
      <c r="E1115" s="276" t="s">
        <v>317</v>
      </c>
      <c r="F1115" s="277">
        <v>681</v>
      </c>
      <c r="G1115" s="277"/>
      <c r="H1115" s="277"/>
      <c r="I1115" s="278">
        <f t="shared" si="138"/>
        <v>681</v>
      </c>
      <c r="J1115" s="279" t="s">
        <v>205</v>
      </c>
      <c r="K1115" s="279">
        <v>1</v>
      </c>
      <c r="L1115" s="279"/>
      <c r="M1115" s="279"/>
      <c r="N1115" s="279">
        <v>1</v>
      </c>
      <c r="O1115" s="279"/>
      <c r="P1115" s="279"/>
      <c r="Q1115" s="279">
        <v>1</v>
      </c>
      <c r="R1115" s="279">
        <v>1</v>
      </c>
      <c r="S1115" s="280">
        <v>1</v>
      </c>
      <c r="T1115" s="63"/>
      <c r="U1115" s="10"/>
      <c r="V1115" s="90"/>
      <c r="W1115" s="136"/>
      <c r="X1115" s="137"/>
      <c r="Y1115" s="2"/>
    </row>
    <row r="1116" spans="1:25">
      <c r="B1116" s="87">
        <f t="shared" si="139"/>
        <v>6</v>
      </c>
      <c r="C1116" s="639">
        <v>45951</v>
      </c>
      <c r="D1116" s="10">
        <v>74648</v>
      </c>
      <c r="E1116" s="101" t="s">
        <v>211</v>
      </c>
      <c r="F1116" s="62">
        <v>2575</v>
      </c>
      <c r="G1116" s="62">
        <v>39.700000000000003</v>
      </c>
      <c r="H1116" s="62"/>
      <c r="I1116" s="89">
        <f t="shared" si="138"/>
        <v>2535.3000000000002</v>
      </c>
      <c r="J1116" s="63" t="s">
        <v>205</v>
      </c>
      <c r="K1116" s="63">
        <v>1</v>
      </c>
      <c r="L1116" s="63"/>
      <c r="M1116" s="63"/>
      <c r="N1116" s="63">
        <v>1</v>
      </c>
      <c r="O1116" s="63"/>
      <c r="P1116" s="63"/>
      <c r="Q1116" s="63">
        <v>1</v>
      </c>
      <c r="R1116" s="63">
        <v>1</v>
      </c>
      <c r="S1116" s="296">
        <v>1</v>
      </c>
      <c r="T1116" s="63"/>
      <c r="U1116" s="10"/>
      <c r="V1116" s="90"/>
      <c r="W1116" s="136"/>
      <c r="X1116" s="137"/>
      <c r="Y1116" s="2"/>
    </row>
    <row r="1117" spans="1:25">
      <c r="B1117" s="87">
        <f t="shared" si="139"/>
        <v>7</v>
      </c>
      <c r="C1117" s="639">
        <v>45951</v>
      </c>
      <c r="D1117" s="77" t="s">
        <v>1305</v>
      </c>
      <c r="E1117" s="10" t="s">
        <v>1175</v>
      </c>
      <c r="F1117" s="62">
        <v>11614</v>
      </c>
      <c r="G1117" s="62">
        <v>39.700000000000003</v>
      </c>
      <c r="H1117" s="62"/>
      <c r="I1117" s="89">
        <f t="shared" si="138"/>
        <v>11574.3</v>
      </c>
      <c r="J1117" s="63" t="s">
        <v>205</v>
      </c>
      <c r="K1117" s="63">
        <v>1</v>
      </c>
      <c r="L1117" s="63"/>
      <c r="M1117" s="63"/>
      <c r="N1117" s="63">
        <v>1</v>
      </c>
      <c r="O1117" s="63"/>
      <c r="P1117" s="63"/>
      <c r="Q1117" s="63"/>
      <c r="R1117" s="63"/>
      <c r="S1117" s="296"/>
      <c r="T1117" s="63"/>
      <c r="U1117" s="10"/>
      <c r="V1117" s="90"/>
      <c r="W1117" s="136"/>
      <c r="X1117" s="137"/>
      <c r="Y1117" s="2"/>
    </row>
    <row r="1118" spans="1:25">
      <c r="B1118" s="87">
        <f t="shared" si="139"/>
        <v>8</v>
      </c>
      <c r="C1118" s="639">
        <v>45951</v>
      </c>
      <c r="D1118" s="10">
        <v>74667</v>
      </c>
      <c r="E1118" s="101" t="s">
        <v>1173</v>
      </c>
      <c r="F1118" s="62">
        <v>0</v>
      </c>
      <c r="G1118" s="62">
        <v>0</v>
      </c>
      <c r="H1118" s="62"/>
      <c r="I1118" s="89">
        <f t="shared" si="138"/>
        <v>0</v>
      </c>
      <c r="J1118" s="63" t="s">
        <v>205</v>
      </c>
      <c r="K1118" s="63"/>
      <c r="L1118" s="63"/>
      <c r="M1118" s="63"/>
      <c r="N1118" s="63"/>
      <c r="O1118" s="63"/>
      <c r="P1118" s="63"/>
      <c r="Q1118" s="63"/>
      <c r="R1118" s="63"/>
      <c r="S1118" s="296"/>
      <c r="T1118" s="63"/>
      <c r="U1118" s="10"/>
      <c r="V1118" s="90"/>
      <c r="W1118" s="136"/>
      <c r="X1118" s="137"/>
      <c r="Y1118" s="2"/>
    </row>
    <row r="1119" spans="1:25">
      <c r="B1119" s="87">
        <f t="shared" si="139"/>
        <v>9</v>
      </c>
      <c r="C1119" s="639">
        <v>45951</v>
      </c>
      <c r="D1119" s="10">
        <v>74700</v>
      </c>
      <c r="E1119" s="101" t="s">
        <v>286</v>
      </c>
      <c r="F1119" s="62">
        <v>4261</v>
      </c>
      <c r="G1119" s="62">
        <v>39.700000000000003</v>
      </c>
      <c r="H1119" s="62"/>
      <c r="I1119" s="89">
        <f t="shared" si="138"/>
        <v>4221.3</v>
      </c>
      <c r="J1119" s="63" t="s">
        <v>205</v>
      </c>
      <c r="K1119" s="63">
        <v>1</v>
      </c>
      <c r="L1119" s="63"/>
      <c r="M1119" s="63"/>
      <c r="N1119" s="63">
        <v>1</v>
      </c>
      <c r="O1119" s="63"/>
      <c r="P1119" s="63"/>
      <c r="Q1119" s="63">
        <v>1</v>
      </c>
      <c r="R1119" s="63">
        <v>1</v>
      </c>
      <c r="S1119" s="296">
        <v>1</v>
      </c>
      <c r="T1119" s="63"/>
      <c r="U1119" s="10"/>
      <c r="V1119" s="90"/>
      <c r="W1119" s="136"/>
      <c r="X1119" s="137"/>
      <c r="Y1119" s="2"/>
    </row>
    <row r="1120" spans="1:25">
      <c r="B1120" s="87">
        <f t="shared" si="139"/>
        <v>10</v>
      </c>
      <c r="C1120" s="638">
        <v>45952</v>
      </c>
      <c r="D1120" s="275" t="s">
        <v>1306</v>
      </c>
      <c r="E1120" s="281" t="s">
        <v>1088</v>
      </c>
      <c r="F1120" s="277">
        <v>2575</v>
      </c>
      <c r="G1120" s="277">
        <v>39.700000000000003</v>
      </c>
      <c r="H1120" s="277"/>
      <c r="I1120" s="278">
        <f t="shared" si="138"/>
        <v>2535.3000000000002</v>
      </c>
      <c r="J1120" s="279" t="s">
        <v>205</v>
      </c>
      <c r="K1120" s="279">
        <v>1</v>
      </c>
      <c r="L1120" s="279"/>
      <c r="M1120" s="279"/>
      <c r="N1120" s="279">
        <v>1</v>
      </c>
      <c r="O1120" s="279"/>
      <c r="P1120" s="279"/>
      <c r="Q1120" s="279">
        <v>1</v>
      </c>
      <c r="R1120" s="279">
        <v>1</v>
      </c>
      <c r="S1120" s="280">
        <v>1</v>
      </c>
      <c r="T1120" s="63"/>
      <c r="U1120" s="10"/>
      <c r="V1120" s="90"/>
      <c r="W1120" s="136"/>
      <c r="X1120" s="137"/>
      <c r="Y1120" s="2"/>
    </row>
    <row r="1121" spans="2:25">
      <c r="B1121" s="87">
        <f t="shared" si="139"/>
        <v>11</v>
      </c>
      <c r="C1121" s="639">
        <v>45952</v>
      </c>
      <c r="D1121" s="77" t="s">
        <v>1307</v>
      </c>
      <c r="E1121" s="101" t="s">
        <v>1088</v>
      </c>
      <c r="F1121" s="62">
        <v>681</v>
      </c>
      <c r="G1121" s="62"/>
      <c r="H1121" s="62"/>
      <c r="I1121" s="89">
        <f t="shared" si="138"/>
        <v>681</v>
      </c>
      <c r="J1121" s="63" t="s">
        <v>205</v>
      </c>
      <c r="K1121" s="63">
        <v>1</v>
      </c>
      <c r="L1121" s="63"/>
      <c r="M1121" s="63"/>
      <c r="N1121" s="63">
        <v>1</v>
      </c>
      <c r="O1121" s="63"/>
      <c r="P1121" s="63"/>
      <c r="Q1121" s="63">
        <v>1</v>
      </c>
      <c r="R1121" s="63">
        <v>1</v>
      </c>
      <c r="S1121" s="296">
        <v>1</v>
      </c>
      <c r="T1121" s="63"/>
      <c r="U1121" s="10"/>
      <c r="V1121" s="90"/>
      <c r="W1121" s="136"/>
      <c r="X1121" s="137"/>
      <c r="Y1121" s="2"/>
    </row>
    <row r="1122" spans="2:25">
      <c r="B1122" s="87">
        <f t="shared" si="139"/>
        <v>12</v>
      </c>
      <c r="C1122" s="639">
        <v>45952</v>
      </c>
      <c r="D1122" s="77" t="s">
        <v>1308</v>
      </c>
      <c r="E1122" s="10" t="s">
        <v>1256</v>
      </c>
      <c r="F1122" s="62">
        <v>4132</v>
      </c>
      <c r="G1122" s="62">
        <v>39.700000000000003</v>
      </c>
      <c r="H1122" s="62"/>
      <c r="I1122" s="89">
        <f>F1122-G1122-H1122</f>
        <v>4092.3</v>
      </c>
      <c r="J1122" s="63" t="s">
        <v>205</v>
      </c>
      <c r="K1122" s="63">
        <v>1</v>
      </c>
      <c r="L1122" s="63"/>
      <c r="M1122" s="63"/>
      <c r="N1122" s="63">
        <v>1</v>
      </c>
      <c r="O1122" s="63"/>
      <c r="P1122" s="63"/>
      <c r="Q1122" s="63"/>
      <c r="R1122" s="63"/>
      <c r="S1122" s="296"/>
      <c r="T1122" s="63"/>
      <c r="U1122" s="10"/>
      <c r="V1122" s="90"/>
      <c r="W1122" s="136"/>
      <c r="X1122" s="137"/>
      <c r="Y1122" s="2"/>
    </row>
    <row r="1123" spans="2:25">
      <c r="B1123" s="87">
        <f t="shared" si="139"/>
        <v>13</v>
      </c>
      <c r="C1123" s="639">
        <v>45952</v>
      </c>
      <c r="D1123" s="77" t="s">
        <v>1309</v>
      </c>
      <c r="E1123" s="10" t="s">
        <v>446</v>
      </c>
      <c r="F1123" s="62">
        <v>51147.5</v>
      </c>
      <c r="G1123" s="62">
        <v>39.700000000000003</v>
      </c>
      <c r="H1123" s="62"/>
      <c r="I1123" s="89">
        <f t="shared" si="138"/>
        <v>51107.8</v>
      </c>
      <c r="J1123" s="63" t="s">
        <v>205</v>
      </c>
      <c r="K1123" s="63">
        <v>1</v>
      </c>
      <c r="L1123" s="63"/>
      <c r="M1123" s="63"/>
      <c r="N1123" s="63">
        <v>1</v>
      </c>
      <c r="O1123" s="63"/>
      <c r="P1123" s="63"/>
      <c r="Q1123" s="63"/>
      <c r="R1123" s="63"/>
      <c r="S1123" s="296"/>
      <c r="T1123" s="63"/>
      <c r="U1123" s="10"/>
      <c r="V1123" s="90"/>
      <c r="W1123" s="136"/>
      <c r="X1123" s="137"/>
      <c r="Y1123" s="2"/>
    </row>
    <row r="1124" spans="2:25">
      <c r="B1124" s="87">
        <f t="shared" si="139"/>
        <v>14</v>
      </c>
      <c r="C1124" s="638">
        <v>45953</v>
      </c>
      <c r="D1124" s="275" t="s">
        <v>1310</v>
      </c>
      <c r="E1124" s="276" t="s">
        <v>1287</v>
      </c>
      <c r="F1124" s="277">
        <v>119896.3</v>
      </c>
      <c r="G1124" s="277">
        <v>39.700000000000003</v>
      </c>
      <c r="H1124" s="277"/>
      <c r="I1124" s="278">
        <f t="shared" si="138"/>
        <v>119856.6</v>
      </c>
      <c r="J1124" s="279" t="s">
        <v>205</v>
      </c>
      <c r="K1124" s="279">
        <v>1</v>
      </c>
      <c r="L1124" s="279"/>
      <c r="M1124" s="279"/>
      <c r="N1124" s="279">
        <v>1</v>
      </c>
      <c r="O1124" s="279"/>
      <c r="P1124" s="279"/>
      <c r="Q1124" s="279"/>
      <c r="R1124" s="279"/>
      <c r="S1124" s="280"/>
      <c r="T1124" s="63"/>
      <c r="U1124" s="10"/>
      <c r="V1124" s="90"/>
      <c r="W1124" s="136"/>
      <c r="X1124" s="137"/>
      <c r="Y1124" s="2"/>
    </row>
    <row r="1125" spans="2:25">
      <c r="B1125" s="87">
        <f t="shared" si="139"/>
        <v>15</v>
      </c>
      <c r="C1125" s="639">
        <v>45953</v>
      </c>
      <c r="D1125" s="10">
        <v>74684</v>
      </c>
      <c r="E1125" s="10" t="s">
        <v>1058</v>
      </c>
      <c r="F1125" s="62">
        <v>4861</v>
      </c>
      <c r="G1125" s="62">
        <v>39.700000000000003</v>
      </c>
      <c r="H1125" s="62"/>
      <c r="I1125" s="89">
        <f t="shared" si="138"/>
        <v>4821.3</v>
      </c>
      <c r="J1125" s="63" t="s">
        <v>156</v>
      </c>
      <c r="K1125" s="63">
        <v>1</v>
      </c>
      <c r="L1125" s="63"/>
      <c r="M1125" s="63">
        <v>1</v>
      </c>
      <c r="N1125" s="63">
        <v>1</v>
      </c>
      <c r="O1125" s="63">
        <v>1</v>
      </c>
      <c r="P1125" s="63">
        <v>1</v>
      </c>
      <c r="Q1125" s="63">
        <v>1</v>
      </c>
      <c r="R1125" s="63">
        <v>1</v>
      </c>
      <c r="S1125" s="296">
        <v>1</v>
      </c>
      <c r="T1125" s="63"/>
      <c r="U1125" s="10" t="s">
        <v>1311</v>
      </c>
      <c r="V1125" s="90">
        <v>534.71</v>
      </c>
      <c r="W1125" s="136"/>
      <c r="X1125" s="137"/>
      <c r="Y1125" s="2"/>
    </row>
    <row r="1126" spans="2:25">
      <c r="B1126" s="87">
        <f t="shared" si="139"/>
        <v>16</v>
      </c>
      <c r="C1126" s="638">
        <v>45954</v>
      </c>
      <c r="D1126" s="276">
        <v>74741</v>
      </c>
      <c r="E1126" s="276" t="s">
        <v>216</v>
      </c>
      <c r="F1126" s="277">
        <v>681</v>
      </c>
      <c r="G1126" s="277"/>
      <c r="H1126" s="277"/>
      <c r="I1126" s="278">
        <f t="shared" si="138"/>
        <v>681</v>
      </c>
      <c r="J1126" s="279" t="s">
        <v>205</v>
      </c>
      <c r="K1126" s="279">
        <v>1</v>
      </c>
      <c r="L1126" s="279"/>
      <c r="M1126" s="279"/>
      <c r="N1126" s="279">
        <v>1</v>
      </c>
      <c r="O1126" s="279"/>
      <c r="P1126" s="279"/>
      <c r="Q1126" s="279"/>
      <c r="R1126" s="279"/>
      <c r="S1126" s="280"/>
      <c r="T1126" s="63"/>
      <c r="U1126" s="10"/>
      <c r="V1126" s="90"/>
      <c r="W1126" s="136"/>
      <c r="X1126" s="137"/>
      <c r="Y1126" s="2"/>
    </row>
    <row r="1127" spans="2:25">
      <c r="B1127" s="87">
        <f t="shared" si="139"/>
        <v>17</v>
      </c>
      <c r="C1127" s="639">
        <v>45954</v>
      </c>
      <c r="D1127" s="77" t="s">
        <v>1312</v>
      </c>
      <c r="E1127" s="10" t="s">
        <v>1313</v>
      </c>
      <c r="F1127" s="62">
        <v>4230</v>
      </c>
      <c r="G1127" s="62">
        <v>39.700000000000003</v>
      </c>
      <c r="H1127" s="62"/>
      <c r="I1127" s="89">
        <f t="shared" si="138"/>
        <v>4190.3</v>
      </c>
      <c r="J1127" s="63" t="s">
        <v>205</v>
      </c>
      <c r="K1127" s="63">
        <v>1</v>
      </c>
      <c r="L1127" s="63"/>
      <c r="M1127" s="63"/>
      <c r="N1127" s="63">
        <v>1</v>
      </c>
      <c r="O1127" s="63"/>
      <c r="P1127" s="63"/>
      <c r="Q1127" s="63">
        <v>1</v>
      </c>
      <c r="R1127" s="63">
        <v>1</v>
      </c>
      <c r="S1127" s="296">
        <v>1</v>
      </c>
      <c r="T1127" s="63"/>
      <c r="U1127" s="10"/>
      <c r="V1127" s="90"/>
      <c r="W1127" s="136"/>
      <c r="X1127" s="137"/>
      <c r="Y1127" s="2"/>
    </row>
    <row r="1128" spans="2:25">
      <c r="B1128" s="87">
        <f>B1127+1</f>
        <v>18</v>
      </c>
      <c r="C1128" s="639">
        <v>45954</v>
      </c>
      <c r="D1128" s="77" t="s">
        <v>1314</v>
      </c>
      <c r="E1128" s="10" t="s">
        <v>1313</v>
      </c>
      <c r="F1128" s="62">
        <v>2284</v>
      </c>
      <c r="G1128" s="62">
        <v>39.700000000000003</v>
      </c>
      <c r="H1128" s="62"/>
      <c r="I1128" s="89">
        <f t="shared" si="138"/>
        <v>2244.3000000000002</v>
      </c>
      <c r="J1128" s="63" t="s">
        <v>205</v>
      </c>
      <c r="K1128" s="63">
        <v>1</v>
      </c>
      <c r="L1128" s="63"/>
      <c r="M1128" s="63"/>
      <c r="N1128" s="63">
        <v>1</v>
      </c>
      <c r="O1128" s="63"/>
      <c r="P1128" s="63"/>
      <c r="Q1128" s="63">
        <v>1</v>
      </c>
      <c r="R1128" s="63">
        <v>1</v>
      </c>
      <c r="S1128" s="296">
        <v>1</v>
      </c>
      <c r="T1128" s="63"/>
      <c r="U1128" s="10"/>
      <c r="V1128" s="90"/>
      <c r="W1128" s="136"/>
      <c r="X1128" s="137"/>
      <c r="Y1128" s="2"/>
    </row>
    <row r="1129" spans="2:25">
      <c r="B1129" s="87">
        <f>B1128+1</f>
        <v>19</v>
      </c>
      <c r="C1129" s="640">
        <v>45954</v>
      </c>
      <c r="D1129" s="283">
        <v>74777</v>
      </c>
      <c r="E1129" s="283" t="s">
        <v>1043</v>
      </c>
      <c r="F1129" s="284">
        <v>581</v>
      </c>
      <c r="G1129" s="284"/>
      <c r="H1129" s="284"/>
      <c r="I1129" s="285">
        <f t="shared" si="138"/>
        <v>581</v>
      </c>
      <c r="J1129" s="286" t="s">
        <v>205</v>
      </c>
      <c r="K1129" s="286">
        <v>1</v>
      </c>
      <c r="L1129" s="286"/>
      <c r="M1129" s="286"/>
      <c r="N1129" s="286">
        <v>1</v>
      </c>
      <c r="O1129" s="286"/>
      <c r="P1129" s="286"/>
      <c r="Q1129" s="286">
        <v>1</v>
      </c>
      <c r="R1129" s="286">
        <v>1</v>
      </c>
      <c r="S1129" s="287">
        <v>1</v>
      </c>
      <c r="T1129" s="63"/>
      <c r="U1129" s="10"/>
      <c r="V1129" s="90"/>
      <c r="W1129" s="136"/>
      <c r="X1129" s="137"/>
      <c r="Y1129" s="2"/>
    </row>
    <row r="1130" spans="2:25">
      <c r="B1130" s="11"/>
      <c r="C1130" s="621"/>
      <c r="D1130" s="10"/>
      <c r="E1130" s="10"/>
      <c r="F1130" s="97">
        <f>SUM(F1111:F1129)</f>
        <v>219938.8</v>
      </c>
      <c r="G1130" s="97">
        <f>SUM(G1111:G1129)</f>
        <v>516.09999999999991</v>
      </c>
      <c r="H1130" s="97">
        <f>SUM(H1111:H1129)</f>
        <v>0</v>
      </c>
      <c r="I1130" s="98">
        <f>SUM(I1111:I1129)</f>
        <v>219422.69999999998</v>
      </c>
      <c r="J1130" s="10"/>
      <c r="K1130" s="10"/>
      <c r="L1130" s="10"/>
      <c r="M1130" s="10"/>
      <c r="N1130" s="10"/>
      <c r="O1130" s="10"/>
      <c r="P1130" s="10"/>
      <c r="Q1130" s="10"/>
      <c r="R1130" s="10"/>
      <c r="S1130" s="10"/>
      <c r="T1130" s="63"/>
      <c r="U1130" s="10"/>
      <c r="V1130" s="138"/>
      <c r="W1130" s="136"/>
      <c r="X1130" s="137"/>
      <c r="Y1130" s="2"/>
    </row>
    <row r="1131" spans="2:25">
      <c r="B1131" s="26"/>
      <c r="C1131" s="612"/>
      <c r="D1131" s="141"/>
      <c r="E1131" s="141"/>
      <c r="F1131" s="141"/>
      <c r="G1131" s="141"/>
      <c r="H1131" s="141"/>
      <c r="I1131" s="141"/>
      <c r="J1131" s="141"/>
      <c r="K1131" s="142"/>
      <c r="L1131" s="142"/>
      <c r="M1131" s="142"/>
      <c r="N1131" s="142"/>
      <c r="O1131" s="142"/>
      <c r="P1131" s="142"/>
      <c r="Q1131" s="142"/>
      <c r="R1131" s="142"/>
      <c r="S1131" s="142"/>
      <c r="T1131" s="143">
        <f>SUM(T1059:T1130)</f>
        <v>5</v>
      </c>
      <c r="U1131" s="141"/>
      <c r="V1131" s="144">
        <f>SUM(V1059:V1130)</f>
        <v>35998.25</v>
      </c>
      <c r="W1131" s="144">
        <f t="shared" ref="W1131:X1131" si="140">SUM(W1059:W1130)</f>
        <v>170</v>
      </c>
      <c r="X1131" s="144">
        <f t="shared" si="140"/>
        <v>0</v>
      </c>
      <c r="Y1131" s="2"/>
    </row>
    <row r="1132" spans="2:25">
      <c r="B1132" s="10"/>
      <c r="C1132" s="36"/>
      <c r="D1132" s="10"/>
      <c r="E1132" s="10"/>
      <c r="F1132" s="10"/>
      <c r="G1132" s="10"/>
      <c r="H1132" s="10"/>
      <c r="I1132" s="10"/>
      <c r="J1132" s="10"/>
      <c r="K1132" s="147"/>
      <c r="L1132" s="147"/>
      <c r="M1132" s="147"/>
      <c r="N1132" s="147"/>
      <c r="O1132" s="147"/>
      <c r="P1132" s="147"/>
      <c r="Q1132" s="147"/>
      <c r="R1132" s="147"/>
      <c r="S1132" s="147"/>
      <c r="T1132" s="21"/>
      <c r="U1132" s="10"/>
      <c r="V1132" s="99"/>
      <c r="W1132" s="99"/>
      <c r="X1132" s="99"/>
      <c r="Y1132" s="2"/>
    </row>
    <row r="1134" spans="2:25">
      <c r="B1134" s="4" t="s">
        <v>1</v>
      </c>
      <c r="C1134" s="5"/>
      <c r="D1134" s="6"/>
      <c r="E1134" s="6"/>
      <c r="F1134" s="7" t="s">
        <v>2</v>
      </c>
      <c r="G1134" s="608">
        <v>45963</v>
      </c>
      <c r="H1134" s="7"/>
      <c r="I1134" s="6"/>
      <c r="J1134" s="6"/>
      <c r="K1134" s="6"/>
      <c r="L1134" s="6"/>
      <c r="M1134" s="6"/>
      <c r="N1134" s="6"/>
      <c r="O1134" s="6"/>
      <c r="P1134" s="6"/>
      <c r="Q1134" s="6"/>
      <c r="R1134" s="6"/>
      <c r="S1134" s="6"/>
      <c r="T1134" s="6"/>
      <c r="U1134" s="9"/>
      <c r="V1134" s="10"/>
      <c r="W1134" s="10"/>
      <c r="X1134" s="10"/>
      <c r="Y1134" s="2"/>
    </row>
    <row r="1135" spans="2:25">
      <c r="B1135" s="11"/>
      <c r="C1135" s="10"/>
      <c r="D1135" s="10"/>
      <c r="E1135" s="10"/>
      <c r="F1135" s="10"/>
      <c r="G1135" s="7"/>
      <c r="H1135" s="12"/>
      <c r="I1135" s="10"/>
      <c r="J1135" s="10"/>
      <c r="K1135" s="13" t="s">
        <v>3</v>
      </c>
      <c r="L1135" s="14"/>
      <c r="M1135" s="15"/>
      <c r="N1135" s="13" t="s">
        <v>4</v>
      </c>
      <c r="O1135" s="14"/>
      <c r="P1135" s="15"/>
      <c r="Q1135" s="13" t="s">
        <v>5</v>
      </c>
      <c r="R1135" s="14"/>
      <c r="S1135" s="15"/>
      <c r="T1135" s="16"/>
      <c r="U1135" s="17"/>
      <c r="V1135" s="10"/>
      <c r="W1135" s="10"/>
      <c r="X1135" s="10"/>
      <c r="Y1135" s="2"/>
    </row>
    <row r="1136" spans="2:25">
      <c r="B1136" s="18" t="s">
        <v>6</v>
      </c>
      <c r="C1136" s="19">
        <f>C1137+C1138</f>
        <v>26</v>
      </c>
      <c r="D1136" s="10"/>
      <c r="E1136" s="18" t="s">
        <v>7</v>
      </c>
      <c r="F1136" s="6"/>
      <c r="G1136" s="9"/>
      <c r="H1136" s="10"/>
      <c r="I1136" s="10"/>
      <c r="J1136" s="10"/>
      <c r="K1136" s="20" t="s">
        <v>8</v>
      </c>
      <c r="L1136" s="21" t="s">
        <v>9</v>
      </c>
      <c r="M1136" s="21" t="s">
        <v>10</v>
      </c>
      <c r="N1136" s="20" t="s">
        <v>11</v>
      </c>
      <c r="O1136" s="21" t="s">
        <v>12</v>
      </c>
      <c r="P1136" s="22" t="s">
        <v>13</v>
      </c>
      <c r="Q1136" s="21" t="s">
        <v>11</v>
      </c>
      <c r="R1136" s="21" t="s">
        <v>12</v>
      </c>
      <c r="S1136" s="22" t="s">
        <v>13</v>
      </c>
      <c r="T1136" s="23" t="s">
        <v>14</v>
      </c>
      <c r="U1136" s="17"/>
      <c r="V1136" s="10"/>
      <c r="W1136" s="10"/>
      <c r="X1136" s="10"/>
      <c r="Y1136" s="2"/>
    </row>
    <row r="1137" spans="2:25">
      <c r="B1137" s="24" t="s">
        <v>15</v>
      </c>
      <c r="C1137" s="25">
        <f>P1144</f>
        <v>8</v>
      </c>
      <c r="D1137" s="10"/>
      <c r="E1137" s="26" t="s">
        <v>16</v>
      </c>
      <c r="F1137" s="27">
        <v>0.05</v>
      </c>
      <c r="G1137" s="28"/>
      <c r="H1137" s="10"/>
      <c r="I1137" s="10"/>
      <c r="J1137" s="18" t="s">
        <v>17</v>
      </c>
      <c r="K1137" s="29">
        <f>K1171</f>
        <v>8</v>
      </c>
      <c r="L1137" s="29">
        <f t="shared" ref="L1137:S1137" si="141">L1171</f>
        <v>8</v>
      </c>
      <c r="M1137" s="29">
        <f t="shared" si="141"/>
        <v>8</v>
      </c>
      <c r="N1137" s="29">
        <f t="shared" si="141"/>
        <v>8</v>
      </c>
      <c r="O1137" s="29">
        <f t="shared" si="141"/>
        <v>8</v>
      </c>
      <c r="P1137" s="29">
        <f t="shared" si="141"/>
        <v>8</v>
      </c>
      <c r="Q1137" s="29">
        <f t="shared" si="141"/>
        <v>8</v>
      </c>
      <c r="R1137" s="29">
        <f t="shared" si="141"/>
        <v>8</v>
      </c>
      <c r="S1137" s="29">
        <f t="shared" si="141"/>
        <v>8</v>
      </c>
      <c r="T1137" s="30">
        <f>T1222</f>
        <v>3</v>
      </c>
      <c r="U1137" s="17"/>
      <c r="V1137" s="10"/>
      <c r="W1137" s="10"/>
      <c r="X1137" s="10"/>
      <c r="Y1137" s="2"/>
    </row>
    <row r="1138" spans="2:25">
      <c r="B1138" s="24" t="s">
        <v>18</v>
      </c>
      <c r="C1138" s="25">
        <f>P1145</f>
        <v>18</v>
      </c>
      <c r="D1138" s="10"/>
      <c r="E1138" s="10"/>
      <c r="F1138" s="10"/>
      <c r="G1138" s="31"/>
      <c r="H1138" s="10"/>
      <c r="I1138" s="10"/>
      <c r="J1138" s="32" t="s">
        <v>19</v>
      </c>
      <c r="K1138" s="33">
        <f>K1171/K1170</f>
        <v>1</v>
      </c>
      <c r="L1138" s="33">
        <f t="shared" ref="L1138:S1138" si="142">L1171/L1170</f>
        <v>1</v>
      </c>
      <c r="M1138" s="33">
        <f t="shared" si="142"/>
        <v>1</v>
      </c>
      <c r="N1138" s="33">
        <f t="shared" si="142"/>
        <v>1</v>
      </c>
      <c r="O1138" s="33">
        <f t="shared" si="142"/>
        <v>1</v>
      </c>
      <c r="P1138" s="33">
        <f t="shared" si="142"/>
        <v>1</v>
      </c>
      <c r="Q1138" s="33">
        <f t="shared" si="142"/>
        <v>1</v>
      </c>
      <c r="R1138" s="33">
        <f t="shared" si="142"/>
        <v>1</v>
      </c>
      <c r="S1138" s="33">
        <f t="shared" si="142"/>
        <v>1</v>
      </c>
      <c r="T1138" s="23"/>
      <c r="U1138" s="17" t="s">
        <v>20</v>
      </c>
      <c r="V1138" s="10"/>
      <c r="W1138" s="10"/>
      <c r="X1138" s="10"/>
      <c r="Y1138" s="2"/>
    </row>
    <row r="1139" spans="2:25">
      <c r="B1139" s="24" t="s">
        <v>21</v>
      </c>
      <c r="C1139" s="34">
        <f>P1146</f>
        <v>0.30769230769230771</v>
      </c>
      <c r="D1139" s="10"/>
      <c r="E1139" s="10"/>
      <c r="F1139" s="10"/>
      <c r="G1139" s="10"/>
      <c r="H1139" s="10"/>
      <c r="I1139" s="10"/>
      <c r="J1139" s="10"/>
      <c r="K1139" s="10"/>
      <c r="L1139" s="10"/>
      <c r="M1139" s="10"/>
      <c r="N1139" s="10"/>
      <c r="O1139" s="10"/>
      <c r="P1139" s="10"/>
      <c r="Q1139" s="10"/>
      <c r="R1139" s="10"/>
      <c r="S1139" s="10"/>
      <c r="T1139" s="10"/>
      <c r="U1139" s="17"/>
      <c r="V1139" s="10"/>
      <c r="W1139" s="10"/>
      <c r="X1139" s="10"/>
      <c r="Y1139" s="2"/>
    </row>
    <row r="1140" spans="2:25">
      <c r="B1140" s="24"/>
      <c r="C1140" s="25"/>
      <c r="D1140" s="10"/>
      <c r="E1140" s="10"/>
      <c r="F1140" s="18" t="s">
        <v>22</v>
      </c>
      <c r="G1140" s="19" t="s">
        <v>23</v>
      </c>
      <c r="H1140" s="35" t="s">
        <v>24</v>
      </c>
      <c r="I1140" s="10"/>
      <c r="J1140" s="10"/>
      <c r="K1140" s="36"/>
      <c r="L1140" s="36"/>
      <c r="M1140" s="36"/>
      <c r="N1140" s="36"/>
      <c r="O1140" s="36"/>
      <c r="P1140" s="36"/>
      <c r="Q1140" s="36"/>
      <c r="R1140" s="10"/>
      <c r="S1140" s="10"/>
      <c r="T1140" s="10"/>
      <c r="U1140" s="17"/>
      <c r="V1140" s="10"/>
      <c r="W1140" s="10"/>
      <c r="X1140" s="10"/>
      <c r="Y1140" s="2"/>
    </row>
    <row r="1141" spans="2:25">
      <c r="B1141" s="32" t="s">
        <v>25</v>
      </c>
      <c r="C1141" s="37">
        <f>P1147</f>
        <v>1226.9624999999999</v>
      </c>
      <c r="D1141" s="10"/>
      <c r="E1141" s="18" t="s">
        <v>26</v>
      </c>
      <c r="F1141" s="38">
        <f>P1143</f>
        <v>9815.6999999999989</v>
      </c>
      <c r="G1141" s="39">
        <f>I1170</f>
        <v>9815.6999999999989</v>
      </c>
      <c r="H1141" s="40"/>
      <c r="I1141" s="41"/>
      <c r="J1141" s="42"/>
      <c r="K1141" s="43" t="s">
        <v>27</v>
      </c>
      <c r="L1141" s="44"/>
      <c r="M1141" s="44"/>
      <c r="N1141" s="44"/>
      <c r="O1141" s="44"/>
      <c r="P1141" s="44"/>
      <c r="Q1141" s="45"/>
      <c r="R1141" s="46" t="s">
        <v>28</v>
      </c>
      <c r="S1141" s="47" t="s">
        <v>29</v>
      </c>
      <c r="T1141" s="10"/>
      <c r="U1141" s="17"/>
      <c r="V1141" s="10"/>
      <c r="W1141" s="10"/>
      <c r="X1141" s="10"/>
      <c r="Y1141" s="2"/>
    </row>
    <row r="1142" spans="2:25">
      <c r="B1142" s="11"/>
      <c r="C1142" s="10"/>
      <c r="D1142" s="10"/>
      <c r="E1142" s="24" t="s">
        <v>30</v>
      </c>
      <c r="F1142" s="48">
        <f>F1137</f>
        <v>0.05</v>
      </c>
      <c r="G1142" s="17"/>
      <c r="H1142" s="40"/>
      <c r="I1142" s="41"/>
      <c r="J1142" s="42"/>
      <c r="K1142" s="20" t="s">
        <v>31</v>
      </c>
      <c r="L1142" s="21" t="s">
        <v>32</v>
      </c>
      <c r="M1142" s="21" t="s">
        <v>33</v>
      </c>
      <c r="N1142" s="21" t="s">
        <v>34</v>
      </c>
      <c r="O1142" s="21" t="s">
        <v>35</v>
      </c>
      <c r="P1142" s="21" t="s">
        <v>36</v>
      </c>
      <c r="Q1142" s="49" t="s">
        <v>37</v>
      </c>
      <c r="R1142" s="50" t="s">
        <v>38</v>
      </c>
      <c r="S1142" s="50" t="s">
        <v>38</v>
      </c>
      <c r="T1142" s="10"/>
      <c r="U1142" s="17"/>
      <c r="V1142" s="10"/>
      <c r="W1142" s="10"/>
      <c r="X1142" s="10"/>
      <c r="Y1142" s="2"/>
    </row>
    <row r="1143" spans="2:25">
      <c r="B1143" s="11"/>
      <c r="C1143" s="10"/>
      <c r="D1143" s="10"/>
      <c r="E1143" s="51" t="s">
        <v>39</v>
      </c>
      <c r="F1143" s="52">
        <f>F1141*F1142</f>
        <v>490.78499999999997</v>
      </c>
      <c r="G1143" s="53" t="s">
        <v>40</v>
      </c>
      <c r="H1143" s="54">
        <f>F1143/1.12</f>
        <v>438.20089285714278</v>
      </c>
      <c r="I1143" s="55"/>
      <c r="J1143" s="42"/>
      <c r="K1143" s="56">
        <f>I1162+I1163+I1164</f>
        <v>2053.14</v>
      </c>
      <c r="L1143" s="57">
        <f>I1165+I1166+I1167</f>
        <v>5910.52</v>
      </c>
      <c r="M1143" s="57">
        <f>I1168</f>
        <v>666.74</v>
      </c>
      <c r="N1143" s="57">
        <v>0</v>
      </c>
      <c r="O1143" s="57">
        <f>I1169</f>
        <v>1185.3</v>
      </c>
      <c r="P1143" s="57">
        <f>SUM(K1143:O1143)</f>
        <v>9815.6999999999989</v>
      </c>
      <c r="Q1143" s="58">
        <v>0</v>
      </c>
      <c r="R1143" s="59">
        <v>0</v>
      </c>
      <c r="S1143" s="59">
        <v>0</v>
      </c>
      <c r="T1143" s="10"/>
      <c r="U1143" s="17"/>
      <c r="V1143" s="10"/>
      <c r="W1143" s="10"/>
      <c r="X1143" s="10"/>
      <c r="Y1143" s="2"/>
    </row>
    <row r="1144" spans="2:25">
      <c r="B1144" s="11"/>
      <c r="C1144" s="10"/>
      <c r="D1144" s="10"/>
      <c r="E1144" s="24" t="s">
        <v>41</v>
      </c>
      <c r="F1144" s="60">
        <f>Q1143</f>
        <v>0</v>
      </c>
      <c r="G1144" s="61" t="s">
        <v>40</v>
      </c>
      <c r="H1144" s="62"/>
      <c r="I1144" s="62"/>
      <c r="J1144" s="10" t="s">
        <v>42</v>
      </c>
      <c r="K1144" s="63">
        <v>3</v>
      </c>
      <c r="L1144" s="63">
        <v>3</v>
      </c>
      <c r="M1144" s="63">
        <v>1</v>
      </c>
      <c r="N1144" s="63">
        <v>0</v>
      </c>
      <c r="O1144" s="63">
        <v>1</v>
      </c>
      <c r="P1144" s="21">
        <f>SUM(K1144:O1144)</f>
        <v>8</v>
      </c>
      <c r="Q1144" s="64"/>
      <c r="R1144" s="63"/>
      <c r="S1144" s="10"/>
      <c r="T1144" s="10"/>
      <c r="U1144" s="17"/>
      <c r="V1144" s="10"/>
      <c r="W1144" s="10"/>
      <c r="X1144" s="10"/>
      <c r="Y1144" s="2"/>
    </row>
    <row r="1145" spans="2:25">
      <c r="B1145" s="11"/>
      <c r="C1145" s="10"/>
      <c r="D1145" s="10"/>
      <c r="E1145" s="51" t="s">
        <v>43</v>
      </c>
      <c r="F1145" s="52">
        <f>F1144*0.25</f>
        <v>0</v>
      </c>
      <c r="G1145" s="53" t="s">
        <v>40</v>
      </c>
      <c r="H1145" s="54">
        <f>F1145/1.12</f>
        <v>0</v>
      </c>
      <c r="I1145" s="10"/>
      <c r="J1145" s="10" t="s">
        <v>44</v>
      </c>
      <c r="K1145" s="63">
        <v>7</v>
      </c>
      <c r="L1145" s="63">
        <v>3</v>
      </c>
      <c r="M1145" s="63">
        <v>1</v>
      </c>
      <c r="N1145" s="63">
        <v>0</v>
      </c>
      <c r="O1145" s="63">
        <v>7</v>
      </c>
      <c r="P1145" s="21">
        <f>SUM(K1145:O1145)</f>
        <v>18</v>
      </c>
      <c r="Q1145" s="64"/>
      <c r="R1145" s="63"/>
      <c r="S1145" s="10"/>
      <c r="T1145" s="10"/>
      <c r="U1145" s="17"/>
      <c r="V1145" s="10"/>
      <c r="W1145" s="10"/>
      <c r="X1145" s="10"/>
      <c r="Y1145" s="2"/>
    </row>
    <row r="1146" spans="2:25">
      <c r="B1146" s="11"/>
      <c r="C1146" s="10"/>
      <c r="D1146" s="10"/>
      <c r="E1146" s="24" t="s">
        <v>45</v>
      </c>
      <c r="F1146" s="60"/>
      <c r="G1146" s="61" t="s">
        <v>40</v>
      </c>
      <c r="H1146" s="62"/>
      <c r="I1146" s="10"/>
      <c r="J1146" s="10" t="s">
        <v>46</v>
      </c>
      <c r="K1146" s="31">
        <f t="shared" ref="K1146:Q1146" si="143">K1144/(K1144+K1145)</f>
        <v>0.3</v>
      </c>
      <c r="L1146" s="31">
        <f t="shared" si="143"/>
        <v>0.5</v>
      </c>
      <c r="M1146" s="31">
        <f t="shared" si="143"/>
        <v>0.5</v>
      </c>
      <c r="N1146" s="31" t="e">
        <f t="shared" si="143"/>
        <v>#DIV/0!</v>
      </c>
      <c r="O1146" s="31">
        <f t="shared" si="143"/>
        <v>0.125</v>
      </c>
      <c r="P1146" s="31">
        <f t="shared" si="143"/>
        <v>0.30769230769230771</v>
      </c>
      <c r="Q1146" s="31" t="e">
        <f t="shared" si="143"/>
        <v>#DIV/0!</v>
      </c>
      <c r="R1146" s="63"/>
      <c r="S1146" s="10"/>
      <c r="T1146" s="10"/>
      <c r="U1146" s="17"/>
      <c r="V1146" s="10"/>
      <c r="W1146" s="10"/>
      <c r="X1146" s="10"/>
      <c r="Y1146" s="2"/>
    </row>
    <row r="1147" spans="2:25">
      <c r="B1147" s="11"/>
      <c r="C1147" s="10"/>
      <c r="D1147" s="10"/>
      <c r="E1147" s="51" t="s">
        <v>47</v>
      </c>
      <c r="F1147" s="52">
        <f>F1146*0.05</f>
        <v>0</v>
      </c>
      <c r="G1147" s="65" t="s">
        <v>40</v>
      </c>
      <c r="H1147" s="54">
        <f>F1147/1.12</f>
        <v>0</v>
      </c>
      <c r="I1147" s="42"/>
      <c r="J1147" s="10" t="s">
        <v>48</v>
      </c>
      <c r="K1147" s="66">
        <f>K1143/K1144</f>
        <v>684.38</v>
      </c>
      <c r="L1147" s="66">
        <f t="shared" ref="L1147:Q1147" si="144">L1143/L1144</f>
        <v>1970.1733333333334</v>
      </c>
      <c r="M1147" s="66">
        <f t="shared" si="144"/>
        <v>666.74</v>
      </c>
      <c r="N1147" s="66" t="e">
        <f t="shared" si="144"/>
        <v>#DIV/0!</v>
      </c>
      <c r="O1147" s="66">
        <f t="shared" si="144"/>
        <v>1185.3</v>
      </c>
      <c r="P1147" s="66">
        <f t="shared" si="144"/>
        <v>1226.9624999999999</v>
      </c>
      <c r="Q1147" s="66" t="e">
        <f t="shared" si="144"/>
        <v>#DIV/0!</v>
      </c>
      <c r="R1147" s="63"/>
      <c r="S1147" s="10"/>
      <c r="T1147" s="10"/>
      <c r="U1147" s="17"/>
      <c r="V1147" s="10"/>
      <c r="W1147" s="10"/>
      <c r="X1147" s="10"/>
      <c r="Y1147" s="2"/>
    </row>
    <row r="1148" spans="2:25">
      <c r="B1148" s="11"/>
      <c r="C1148" s="10"/>
      <c r="D1148" s="10"/>
      <c r="E1148" s="67" t="s">
        <v>14</v>
      </c>
      <c r="F1148" s="68">
        <f>3*50</f>
        <v>150</v>
      </c>
      <c r="G1148" s="10"/>
      <c r="H1148" s="54">
        <f>F1148/1.12</f>
        <v>133.92857142857142</v>
      </c>
      <c r="I1148" s="10"/>
      <c r="J1148" s="10"/>
      <c r="K1148" s="10"/>
      <c r="L1148" s="10"/>
      <c r="M1148" s="10"/>
      <c r="N1148" s="10"/>
      <c r="O1148" s="10"/>
      <c r="P1148" s="10"/>
      <c r="Q1148" s="10"/>
      <c r="R1148" s="10"/>
      <c r="S1148" s="10"/>
      <c r="T1148" s="10"/>
      <c r="U1148" s="17"/>
      <c r="V1148" s="10"/>
      <c r="W1148" s="10"/>
      <c r="X1148" s="10"/>
      <c r="Y1148" s="2"/>
    </row>
    <row r="1149" spans="2:25">
      <c r="B1149" s="11"/>
      <c r="C1149" s="10"/>
      <c r="D1149" s="10"/>
      <c r="E1149" s="67" t="s">
        <v>49</v>
      </c>
      <c r="F1149" s="69">
        <f>T1138</f>
        <v>0</v>
      </c>
      <c r="G1149" s="10"/>
      <c r="H1149" s="54"/>
      <c r="I1149" s="55"/>
      <c r="J1149" s="42"/>
      <c r="K1149" s="764" t="s">
        <v>50</v>
      </c>
      <c r="L1149" s="765"/>
      <c r="M1149" s="765"/>
      <c r="N1149" s="765"/>
      <c r="O1149" s="765"/>
      <c r="P1149" s="765"/>
      <c r="Q1149" s="766"/>
      <c r="R1149" s="70" t="s">
        <v>28</v>
      </c>
      <c r="S1149" s="71" t="s">
        <v>29</v>
      </c>
      <c r="T1149" s="10"/>
      <c r="U1149" s="17"/>
      <c r="V1149" s="10"/>
      <c r="W1149" s="10"/>
      <c r="X1149" s="10"/>
      <c r="Y1149" s="2"/>
    </row>
    <row r="1150" spans="2:25">
      <c r="B1150" s="11"/>
      <c r="C1150" s="10"/>
      <c r="D1150" s="10"/>
      <c r="E1150" s="72" t="s">
        <v>1315</v>
      </c>
      <c r="F1150" s="73">
        <v>-6.5</v>
      </c>
      <c r="G1150" s="10"/>
      <c r="H1150" s="10"/>
      <c r="I1150" s="10"/>
      <c r="J1150" s="42"/>
      <c r="K1150" s="20" t="s">
        <v>31</v>
      </c>
      <c r="L1150" s="21" t="s">
        <v>32</v>
      </c>
      <c r="M1150" s="21" t="s">
        <v>33</v>
      </c>
      <c r="N1150" s="21" t="s">
        <v>34</v>
      </c>
      <c r="O1150" s="21" t="s">
        <v>35</v>
      </c>
      <c r="P1150" s="21" t="s">
        <v>36</v>
      </c>
      <c r="Q1150" s="49" t="s">
        <v>37</v>
      </c>
      <c r="R1150" s="50" t="s">
        <v>38</v>
      </c>
      <c r="S1150" s="50" t="s">
        <v>38</v>
      </c>
      <c r="T1150" s="10"/>
      <c r="U1150" s="17"/>
      <c r="V1150" s="10"/>
      <c r="W1150" s="10"/>
      <c r="X1150" s="10"/>
      <c r="Y1150" s="2"/>
    </row>
    <row r="1151" spans="2:25">
      <c r="B1151" s="11"/>
      <c r="C1151" s="10"/>
      <c r="D1151" s="10"/>
      <c r="E1151" s="72" t="s">
        <v>1316</v>
      </c>
      <c r="F1151" s="73">
        <v>-358.73</v>
      </c>
      <c r="G1151" s="10"/>
      <c r="H1151" s="10"/>
      <c r="I1151" s="10"/>
      <c r="J1151" s="42"/>
      <c r="K1151" s="56">
        <f>F1162+F1163+F1164</f>
        <v>2158</v>
      </c>
      <c r="L1151" s="57">
        <f>F1165+F1166+F1167</f>
        <v>6268</v>
      </c>
      <c r="M1151" s="57">
        <f>F1168</f>
        <v>681</v>
      </c>
      <c r="N1151" s="57">
        <v>0</v>
      </c>
      <c r="O1151" s="57">
        <f>F1169</f>
        <v>1225</v>
      </c>
      <c r="P1151" s="57">
        <f>SUM(K1151:O1151)</f>
        <v>10332</v>
      </c>
      <c r="Q1151" s="58">
        <v>0</v>
      </c>
      <c r="R1151" s="59">
        <v>0</v>
      </c>
      <c r="S1151" s="59">
        <v>0</v>
      </c>
      <c r="T1151" s="10"/>
      <c r="U1151" s="17"/>
      <c r="V1151" s="10"/>
      <c r="W1151" s="10"/>
      <c r="X1151" s="10"/>
      <c r="Y1151" s="2"/>
    </row>
    <row r="1152" spans="2:25">
      <c r="B1152" s="11"/>
      <c r="C1152" s="10"/>
      <c r="D1152" s="10"/>
      <c r="E1152" s="74" t="s">
        <v>1317</v>
      </c>
      <c r="F1152" s="75">
        <v>-125.82</v>
      </c>
      <c r="G1152" s="10"/>
      <c r="H1152" s="10"/>
      <c r="I1152" s="10"/>
      <c r="J1152" s="10" t="s">
        <v>42</v>
      </c>
      <c r="K1152" s="63">
        <f>K1144</f>
        <v>3</v>
      </c>
      <c r="L1152" s="63">
        <f t="shared" ref="L1152:Q1153" si="145">L1144</f>
        <v>3</v>
      </c>
      <c r="M1152" s="63">
        <f t="shared" si="145"/>
        <v>1</v>
      </c>
      <c r="N1152" s="63">
        <f t="shared" si="145"/>
        <v>0</v>
      </c>
      <c r="O1152" s="63">
        <f t="shared" si="145"/>
        <v>1</v>
      </c>
      <c r="P1152" s="63">
        <f t="shared" si="145"/>
        <v>8</v>
      </c>
      <c r="Q1152" s="63">
        <f t="shared" si="145"/>
        <v>0</v>
      </c>
      <c r="R1152" s="63"/>
      <c r="S1152" s="10"/>
      <c r="T1152" s="10"/>
      <c r="U1152" s="17"/>
      <c r="V1152" s="10"/>
      <c r="W1152" s="10"/>
      <c r="X1152" s="10"/>
      <c r="Y1152" s="2"/>
    </row>
    <row r="1153" spans="2:25">
      <c r="B1153" s="11"/>
      <c r="C1153" s="10"/>
      <c r="D1153" s="10"/>
      <c r="E1153" s="10"/>
      <c r="F1153" s="10"/>
      <c r="G1153" s="10"/>
      <c r="H1153" s="10"/>
      <c r="I1153" s="10"/>
      <c r="J1153" s="10" t="s">
        <v>44</v>
      </c>
      <c r="K1153" s="63">
        <f>K1145</f>
        <v>7</v>
      </c>
      <c r="L1153" s="63">
        <f t="shared" si="145"/>
        <v>3</v>
      </c>
      <c r="M1153" s="63">
        <f t="shared" si="145"/>
        <v>1</v>
      </c>
      <c r="N1153" s="63">
        <f t="shared" si="145"/>
        <v>0</v>
      </c>
      <c r="O1153" s="63">
        <f t="shared" si="145"/>
        <v>7</v>
      </c>
      <c r="P1153" s="63">
        <f t="shared" si="145"/>
        <v>18</v>
      </c>
      <c r="Q1153" s="63">
        <f t="shared" si="145"/>
        <v>0</v>
      </c>
      <c r="R1153" s="63"/>
      <c r="S1153" s="10"/>
      <c r="T1153" s="10"/>
      <c r="U1153" s="17"/>
      <c r="V1153" s="10"/>
      <c r="W1153" s="10"/>
      <c r="X1153" s="10"/>
      <c r="Y1153" s="2"/>
    </row>
    <row r="1154" spans="2:25">
      <c r="B1154" s="11"/>
      <c r="C1154" s="10"/>
      <c r="D1154" s="10"/>
      <c r="E1154" s="10"/>
      <c r="F1154" s="10"/>
      <c r="G1154" s="10"/>
      <c r="H1154" s="10"/>
      <c r="I1154" s="10"/>
      <c r="J1154" s="10" t="s">
        <v>46</v>
      </c>
      <c r="K1154" s="31">
        <f t="shared" ref="K1154:Q1154" si="146">K1152/(K1152+K1153)</f>
        <v>0.3</v>
      </c>
      <c r="L1154" s="31">
        <f t="shared" si="146"/>
        <v>0.5</v>
      </c>
      <c r="M1154" s="31">
        <f t="shared" si="146"/>
        <v>0.5</v>
      </c>
      <c r="N1154" s="31" t="e">
        <f t="shared" si="146"/>
        <v>#DIV/0!</v>
      </c>
      <c r="O1154" s="31">
        <f t="shared" si="146"/>
        <v>0.125</v>
      </c>
      <c r="P1154" s="31">
        <f t="shared" si="146"/>
        <v>0.30769230769230771</v>
      </c>
      <c r="Q1154" s="31" t="e">
        <f t="shared" si="146"/>
        <v>#DIV/0!</v>
      </c>
      <c r="R1154" s="63"/>
      <c r="S1154" s="10"/>
      <c r="T1154" s="10"/>
      <c r="U1154" s="17"/>
      <c r="V1154" s="10"/>
      <c r="W1154" s="10"/>
      <c r="X1154" s="10"/>
      <c r="Y1154" s="2"/>
    </row>
    <row r="1155" spans="2:25">
      <c r="B1155" s="11"/>
      <c r="C1155" s="10"/>
      <c r="D1155" s="10"/>
      <c r="E1155" s="10"/>
      <c r="F1155" s="10"/>
      <c r="G1155" s="10"/>
      <c r="H1155" s="10"/>
      <c r="I1155" s="10"/>
      <c r="J1155" s="10" t="s">
        <v>48</v>
      </c>
      <c r="K1155" s="66">
        <f t="shared" ref="K1155:Q1155" si="147">K1151/K1152</f>
        <v>719.33333333333337</v>
      </c>
      <c r="L1155" s="66">
        <f t="shared" si="147"/>
        <v>2089.3333333333335</v>
      </c>
      <c r="M1155" s="66">
        <f t="shared" si="147"/>
        <v>681</v>
      </c>
      <c r="N1155" s="66" t="e">
        <f t="shared" si="147"/>
        <v>#DIV/0!</v>
      </c>
      <c r="O1155" s="66">
        <f t="shared" si="147"/>
        <v>1225</v>
      </c>
      <c r="P1155" s="66">
        <f t="shared" si="147"/>
        <v>1291.5</v>
      </c>
      <c r="Q1155" s="66" t="e">
        <f t="shared" si="147"/>
        <v>#DIV/0!</v>
      </c>
      <c r="R1155" s="63"/>
      <c r="S1155" s="10"/>
      <c r="T1155" s="10"/>
      <c r="U1155" s="17"/>
      <c r="V1155" s="10"/>
      <c r="W1155" s="10"/>
      <c r="X1155" s="10"/>
      <c r="Y1155" s="2"/>
    </row>
    <row r="1156" spans="2:25">
      <c r="B1156" s="11"/>
      <c r="C1156" s="10"/>
      <c r="D1156" s="10"/>
      <c r="E1156" s="10"/>
      <c r="F1156" s="10"/>
      <c r="G1156" s="10"/>
      <c r="H1156" s="10"/>
      <c r="I1156" s="10"/>
      <c r="J1156" s="10"/>
      <c r="K1156" s="66"/>
      <c r="L1156" s="66"/>
      <c r="M1156" s="66"/>
      <c r="N1156" s="66"/>
      <c r="O1156" s="66"/>
      <c r="P1156" s="66"/>
      <c r="Q1156" s="66"/>
      <c r="R1156" s="63"/>
      <c r="S1156" s="10"/>
      <c r="T1156" s="10"/>
      <c r="U1156" s="17"/>
      <c r="V1156" s="10"/>
      <c r="W1156" s="10"/>
      <c r="X1156" s="10"/>
      <c r="Y1156" s="2"/>
    </row>
    <row r="1157" spans="2:25">
      <c r="B1157" s="11"/>
      <c r="C1157" s="10"/>
      <c r="D1157" s="10"/>
      <c r="E1157" s="10"/>
      <c r="F1157" s="10"/>
      <c r="G1157" s="10"/>
      <c r="H1157" s="10"/>
      <c r="I1157" s="10"/>
      <c r="J1157" s="10"/>
      <c r="K1157" s="66"/>
      <c r="L1157" s="66"/>
      <c r="M1157" s="66"/>
      <c r="N1157" s="66"/>
      <c r="O1157" s="66"/>
      <c r="P1157" s="66"/>
      <c r="Q1157" s="66"/>
      <c r="R1157" s="63"/>
      <c r="S1157" s="10"/>
      <c r="T1157" s="10"/>
      <c r="U1157" s="17"/>
      <c r="V1157" s="10"/>
      <c r="W1157" s="10"/>
      <c r="X1157" s="10"/>
      <c r="Y1157" s="2"/>
    </row>
    <row r="1158" spans="2:25">
      <c r="B1158" s="11"/>
      <c r="C1158" s="10"/>
      <c r="D1158" s="10"/>
      <c r="E1158" s="10"/>
      <c r="F1158" s="10"/>
      <c r="G1158" s="10"/>
      <c r="H1158" s="10"/>
      <c r="I1158" s="10"/>
      <c r="J1158" s="10"/>
      <c r="K1158" s="10"/>
      <c r="L1158" s="10"/>
      <c r="M1158" s="10"/>
      <c r="N1158" s="10"/>
      <c r="O1158" s="10"/>
      <c r="P1158" s="10"/>
      <c r="Q1158" s="10"/>
      <c r="R1158" s="10"/>
      <c r="S1158" s="10"/>
      <c r="T1158" s="10"/>
      <c r="U1158" s="17"/>
      <c r="V1158" s="10"/>
      <c r="W1158" s="10"/>
      <c r="X1158" s="10"/>
      <c r="Y1158" s="2"/>
    </row>
    <row r="1159" spans="2:25">
      <c r="B1159" s="18" t="s">
        <v>51</v>
      </c>
      <c r="C1159" s="14"/>
      <c r="D1159" s="14"/>
      <c r="E1159" s="14"/>
      <c r="F1159" s="13" t="s">
        <v>52</v>
      </c>
      <c r="G1159" s="14"/>
      <c r="H1159" s="14"/>
      <c r="I1159" s="14"/>
      <c r="J1159" s="14"/>
      <c r="K1159" s="13" t="s">
        <v>3</v>
      </c>
      <c r="L1159" s="14"/>
      <c r="M1159" s="14"/>
      <c r="N1159" s="13" t="s">
        <v>4</v>
      </c>
      <c r="O1159" s="14"/>
      <c r="P1159" s="14"/>
      <c r="Q1159" s="13" t="s">
        <v>5</v>
      </c>
      <c r="R1159" s="14"/>
      <c r="S1159" s="14"/>
      <c r="T1159" s="18"/>
      <c r="U1159" s="16" t="s">
        <v>53</v>
      </c>
      <c r="V1159" s="77"/>
      <c r="W1159" s="77"/>
      <c r="X1159" s="77"/>
      <c r="Y1159" s="2"/>
    </row>
    <row r="1160" spans="2:25">
      <c r="B1160" s="24" t="s">
        <v>54</v>
      </c>
      <c r="C1160" s="21" t="s">
        <v>55</v>
      </c>
      <c r="D1160" s="21" t="s">
        <v>56</v>
      </c>
      <c r="E1160" s="21" t="s">
        <v>57</v>
      </c>
      <c r="F1160" s="20" t="s">
        <v>58</v>
      </c>
      <c r="G1160" s="21" t="s">
        <v>59</v>
      </c>
      <c r="H1160" s="21" t="s">
        <v>60</v>
      </c>
      <c r="I1160" s="21" t="s">
        <v>26</v>
      </c>
      <c r="J1160" s="22" t="s">
        <v>61</v>
      </c>
      <c r="K1160" s="21" t="s">
        <v>8</v>
      </c>
      <c r="L1160" s="21" t="s">
        <v>9</v>
      </c>
      <c r="M1160" s="21" t="s">
        <v>10</v>
      </c>
      <c r="N1160" s="20" t="s">
        <v>11</v>
      </c>
      <c r="O1160" s="21" t="s">
        <v>12</v>
      </c>
      <c r="P1160" s="22" t="s">
        <v>13</v>
      </c>
      <c r="Q1160" s="21" t="s">
        <v>11</v>
      </c>
      <c r="R1160" s="21" t="s">
        <v>12</v>
      </c>
      <c r="S1160" s="21" t="s">
        <v>13</v>
      </c>
      <c r="T1160" s="78" t="s">
        <v>14</v>
      </c>
      <c r="U1160" s="30"/>
      <c r="V1160" s="79" t="s">
        <v>62</v>
      </c>
      <c r="W1160" s="80" t="s">
        <v>63</v>
      </c>
      <c r="X1160" s="81" t="s">
        <v>64</v>
      </c>
      <c r="Y1160" s="2"/>
    </row>
    <row r="1161" spans="2:25">
      <c r="B1161" s="4" t="s">
        <v>65</v>
      </c>
      <c r="C1161" s="6"/>
      <c r="D1161" s="6"/>
      <c r="E1161" s="6"/>
      <c r="F1161" s="6"/>
      <c r="G1161" s="6"/>
      <c r="H1161" s="6"/>
      <c r="I1161" s="82"/>
      <c r="J1161" s="6"/>
      <c r="K1161" s="6"/>
      <c r="L1161" s="6"/>
      <c r="M1161" s="6"/>
      <c r="N1161" s="6"/>
      <c r="O1161" s="6"/>
      <c r="P1161" s="6"/>
      <c r="Q1161" s="6"/>
      <c r="R1161" s="6"/>
      <c r="S1161" s="6"/>
      <c r="T1161" s="83"/>
      <c r="U1161" s="6"/>
      <c r="V1161" s="84"/>
      <c r="W1161" s="85"/>
      <c r="X1161" s="86"/>
      <c r="Y1161" s="2"/>
    </row>
    <row r="1162" spans="2:25">
      <c r="B1162" s="87">
        <v>1</v>
      </c>
      <c r="C1162" s="638">
        <v>45957</v>
      </c>
      <c r="D1162" s="276">
        <v>74838</v>
      </c>
      <c r="E1162" s="276" t="s">
        <v>673</v>
      </c>
      <c r="F1162" s="277">
        <v>681</v>
      </c>
      <c r="G1162" s="277"/>
      <c r="H1162" s="297"/>
      <c r="I1162" s="278">
        <f t="shared" ref="I1162:I1169" si="148">F1162-G1162-H1162</f>
        <v>681</v>
      </c>
      <c r="J1162" s="279" t="s">
        <v>156</v>
      </c>
      <c r="K1162" s="279">
        <v>1</v>
      </c>
      <c r="L1162" s="279">
        <v>1</v>
      </c>
      <c r="M1162" s="279">
        <v>1</v>
      </c>
      <c r="N1162" s="279">
        <v>1</v>
      </c>
      <c r="O1162" s="279">
        <v>1</v>
      </c>
      <c r="P1162" s="279">
        <v>1</v>
      </c>
      <c r="Q1162" s="279">
        <v>1</v>
      </c>
      <c r="R1162" s="279">
        <v>1</v>
      </c>
      <c r="S1162" s="280">
        <v>1</v>
      </c>
      <c r="T1162" s="63"/>
      <c r="U1162" s="10"/>
      <c r="V1162" s="90">
        <f>74.91+674.19</f>
        <v>749.1</v>
      </c>
      <c r="W1162" s="91"/>
      <c r="X1162" s="92"/>
      <c r="Y1162" s="2"/>
    </row>
    <row r="1163" spans="2:25">
      <c r="B1163" s="87">
        <f t="shared" ref="B1163:B1169" si="149">B1162+1</f>
        <v>2</v>
      </c>
      <c r="C1163" s="639">
        <v>45957</v>
      </c>
      <c r="D1163" s="10">
        <v>74857</v>
      </c>
      <c r="E1163" s="10" t="s">
        <v>1047</v>
      </c>
      <c r="F1163" s="62">
        <v>681</v>
      </c>
      <c r="G1163" s="62"/>
      <c r="H1163" s="62"/>
      <c r="I1163" s="89">
        <f t="shared" si="148"/>
        <v>681</v>
      </c>
      <c r="J1163" s="63" t="s">
        <v>156</v>
      </c>
      <c r="K1163" s="63">
        <v>1</v>
      </c>
      <c r="L1163" s="63">
        <v>1</v>
      </c>
      <c r="M1163" s="63">
        <v>1</v>
      </c>
      <c r="N1163" s="63">
        <v>1</v>
      </c>
      <c r="O1163" s="63">
        <v>1</v>
      </c>
      <c r="P1163" s="63">
        <v>1</v>
      </c>
      <c r="Q1163" s="63">
        <v>1</v>
      </c>
      <c r="R1163" s="63">
        <v>1</v>
      </c>
      <c r="S1163" s="296">
        <v>1</v>
      </c>
      <c r="T1163" s="63"/>
      <c r="U1163" s="10"/>
      <c r="V1163" s="90">
        <f>74.91+674.19</f>
        <v>749.1</v>
      </c>
      <c r="W1163" s="91"/>
      <c r="X1163" s="92"/>
      <c r="Y1163" s="2"/>
    </row>
    <row r="1164" spans="2:25">
      <c r="B1164" s="87">
        <f t="shared" si="149"/>
        <v>3</v>
      </c>
      <c r="C1164" s="639">
        <v>45957</v>
      </c>
      <c r="D1164" s="3">
        <v>74855</v>
      </c>
      <c r="E1164" s="10" t="s">
        <v>1222</v>
      </c>
      <c r="F1164" s="62">
        <v>796</v>
      </c>
      <c r="G1164" s="62">
        <f>39.7+(65.16)</f>
        <v>104.86</v>
      </c>
      <c r="H1164" s="62"/>
      <c r="I1164" s="89">
        <f t="shared" si="148"/>
        <v>691.14</v>
      </c>
      <c r="J1164" s="63" t="s">
        <v>156</v>
      </c>
      <c r="K1164" s="63">
        <v>1</v>
      </c>
      <c r="L1164" s="63">
        <v>1</v>
      </c>
      <c r="M1164" s="63">
        <v>1</v>
      </c>
      <c r="N1164" s="63">
        <v>1</v>
      </c>
      <c r="O1164" s="63">
        <v>1</v>
      </c>
      <c r="P1164" s="63">
        <v>1</v>
      </c>
      <c r="Q1164" s="63">
        <v>1</v>
      </c>
      <c r="R1164" s="63">
        <v>1</v>
      </c>
      <c r="S1164" s="296">
        <v>1</v>
      </c>
      <c r="T1164" s="21">
        <v>1</v>
      </c>
      <c r="U1164" s="10"/>
      <c r="V1164" s="90">
        <f>87.56+788.04</f>
        <v>875.59999999999991</v>
      </c>
      <c r="W1164" s="91"/>
      <c r="X1164" s="92"/>
      <c r="Y1164" s="2"/>
    </row>
    <row r="1165" spans="2:25">
      <c r="B1165" s="87">
        <f t="shared" si="149"/>
        <v>4</v>
      </c>
      <c r="C1165" s="638">
        <v>45958</v>
      </c>
      <c r="D1165" s="276">
        <v>74860</v>
      </c>
      <c r="E1165" s="404" t="s">
        <v>659</v>
      </c>
      <c r="F1165" s="277">
        <v>2562</v>
      </c>
      <c r="G1165" s="277">
        <f>39.7+(165.6)</f>
        <v>205.3</v>
      </c>
      <c r="H1165" s="277"/>
      <c r="I1165" s="278">
        <f t="shared" si="148"/>
        <v>2356.6999999999998</v>
      </c>
      <c r="J1165" s="279" t="s">
        <v>236</v>
      </c>
      <c r="K1165" s="279">
        <v>1</v>
      </c>
      <c r="L1165" s="279">
        <v>1</v>
      </c>
      <c r="M1165" s="279">
        <v>1</v>
      </c>
      <c r="N1165" s="279">
        <v>1</v>
      </c>
      <c r="O1165" s="279">
        <v>1</v>
      </c>
      <c r="P1165" s="279">
        <v>1</v>
      </c>
      <c r="Q1165" s="279">
        <v>1</v>
      </c>
      <c r="R1165" s="279">
        <v>1</v>
      </c>
      <c r="S1165" s="280">
        <v>1</v>
      </c>
      <c r="T1165" s="63"/>
      <c r="U1165" s="10" t="s">
        <v>1318</v>
      </c>
      <c r="V1165" s="90">
        <v>2538.1999999999998</v>
      </c>
      <c r="W1165" s="367">
        <v>280</v>
      </c>
      <c r="X1165" s="92"/>
      <c r="Y1165" s="2"/>
    </row>
    <row r="1166" spans="2:25">
      <c r="B1166" s="87">
        <f t="shared" si="149"/>
        <v>5</v>
      </c>
      <c r="C1166" s="639">
        <v>45958</v>
      </c>
      <c r="D1166" s="10">
        <v>74885</v>
      </c>
      <c r="E1166" s="10" t="s">
        <v>752</v>
      </c>
      <c r="F1166" s="62">
        <v>1264</v>
      </c>
      <c r="G1166" s="62">
        <f>39.7</f>
        <v>39.700000000000003</v>
      </c>
      <c r="H1166" s="62"/>
      <c r="I1166" s="89">
        <f t="shared" si="148"/>
        <v>1224.3</v>
      </c>
      <c r="J1166" s="63" t="s">
        <v>156</v>
      </c>
      <c r="K1166" s="63">
        <v>1</v>
      </c>
      <c r="L1166" s="63">
        <v>1</v>
      </c>
      <c r="M1166" s="63">
        <v>1</v>
      </c>
      <c r="N1166" s="63">
        <v>1</v>
      </c>
      <c r="O1166" s="63">
        <v>1</v>
      </c>
      <c r="P1166" s="63">
        <v>1</v>
      </c>
      <c r="Q1166" s="63">
        <v>1</v>
      </c>
      <c r="R1166" s="63">
        <v>1</v>
      </c>
      <c r="S1166" s="296">
        <v>1</v>
      </c>
      <c r="T1166" s="63"/>
      <c r="U1166" s="10"/>
      <c r="V1166" s="90">
        <f>139.04+1251.36</f>
        <v>1390.3999999999999</v>
      </c>
      <c r="W1166" s="91"/>
      <c r="X1166" s="92"/>
      <c r="Y1166" s="2"/>
    </row>
    <row r="1167" spans="2:25">
      <c r="B1167" s="87">
        <f t="shared" si="149"/>
        <v>6</v>
      </c>
      <c r="C1167" s="639">
        <v>45958</v>
      </c>
      <c r="D1167" s="10">
        <v>74894</v>
      </c>
      <c r="E1167" s="10" t="s">
        <v>778</v>
      </c>
      <c r="F1167" s="62">
        <v>2442</v>
      </c>
      <c r="G1167" s="62">
        <f>39.7+(72.78)</f>
        <v>112.48</v>
      </c>
      <c r="H1167" s="88"/>
      <c r="I1167" s="89">
        <f t="shared" si="148"/>
        <v>2329.52</v>
      </c>
      <c r="J1167" s="63" t="s">
        <v>156</v>
      </c>
      <c r="K1167" s="63">
        <v>1</v>
      </c>
      <c r="L1167" s="63">
        <v>1</v>
      </c>
      <c r="M1167" s="63">
        <v>1</v>
      </c>
      <c r="N1167" s="63">
        <v>1</v>
      </c>
      <c r="O1167" s="63">
        <v>1</v>
      </c>
      <c r="P1167" s="63">
        <v>1</v>
      </c>
      <c r="Q1167" s="63">
        <v>1</v>
      </c>
      <c r="R1167" s="63">
        <v>1</v>
      </c>
      <c r="S1167" s="296">
        <v>1</v>
      </c>
      <c r="T1167" s="21">
        <v>1</v>
      </c>
      <c r="U1167" s="10"/>
      <c r="V1167" s="90">
        <f>268.62+2417.58</f>
        <v>2686.2</v>
      </c>
      <c r="W1167" s="91"/>
      <c r="X1167" s="92"/>
      <c r="Y1167" s="2"/>
    </row>
    <row r="1168" spans="2:25">
      <c r="B1168" s="87">
        <f t="shared" si="149"/>
        <v>7</v>
      </c>
      <c r="C1168" s="638">
        <v>45959</v>
      </c>
      <c r="D1168" s="276">
        <v>74906</v>
      </c>
      <c r="E1168" s="276" t="s">
        <v>1273</v>
      </c>
      <c r="F1168" s="277">
        <v>681</v>
      </c>
      <c r="G1168" s="277">
        <f>+(14.26)</f>
        <v>14.26</v>
      </c>
      <c r="H1168" s="297"/>
      <c r="I1168" s="278">
        <f t="shared" si="148"/>
        <v>666.74</v>
      </c>
      <c r="J1168" s="279" t="s">
        <v>156</v>
      </c>
      <c r="K1168" s="279">
        <v>1</v>
      </c>
      <c r="L1168" s="279">
        <v>1</v>
      </c>
      <c r="M1168" s="279">
        <v>1</v>
      </c>
      <c r="N1168" s="279">
        <v>1</v>
      </c>
      <c r="O1168" s="279">
        <v>1</v>
      </c>
      <c r="P1168" s="279">
        <v>1</v>
      </c>
      <c r="Q1168" s="279">
        <v>1</v>
      </c>
      <c r="R1168" s="279">
        <v>1</v>
      </c>
      <c r="S1168" s="280">
        <v>1</v>
      </c>
      <c r="T1168" s="21">
        <v>1</v>
      </c>
      <c r="U1168" s="10"/>
      <c r="V1168" s="90">
        <f>74.91+674.19</f>
        <v>749.1</v>
      </c>
      <c r="W1168" s="91"/>
      <c r="X1168" s="92"/>
      <c r="Y1168" s="2"/>
    </row>
    <row r="1169" spans="1:25">
      <c r="A1169" s="2" t="s">
        <v>230</v>
      </c>
      <c r="B1169" s="87">
        <f t="shared" si="149"/>
        <v>8</v>
      </c>
      <c r="C1169" s="641">
        <v>45961</v>
      </c>
      <c r="D1169" s="271">
        <v>75019</v>
      </c>
      <c r="E1169" s="271" t="s">
        <v>1319</v>
      </c>
      <c r="F1169" s="265">
        <v>1225</v>
      </c>
      <c r="G1169" s="265">
        <f>39.7</f>
        <v>39.700000000000003</v>
      </c>
      <c r="H1169" s="365"/>
      <c r="I1169" s="376">
        <f t="shared" si="148"/>
        <v>1185.3</v>
      </c>
      <c r="J1169" s="267" t="s">
        <v>156</v>
      </c>
      <c r="K1169" s="267">
        <v>1</v>
      </c>
      <c r="L1169" s="267">
        <v>1</v>
      </c>
      <c r="M1169" s="267">
        <v>1</v>
      </c>
      <c r="N1169" s="267">
        <v>1</v>
      </c>
      <c r="O1169" s="267">
        <v>1</v>
      </c>
      <c r="P1169" s="267">
        <v>1</v>
      </c>
      <c r="Q1169" s="267">
        <v>1</v>
      </c>
      <c r="R1169" s="267">
        <v>1</v>
      </c>
      <c r="S1169" s="269">
        <v>1</v>
      </c>
      <c r="T1169" s="63"/>
      <c r="U1169" s="10"/>
      <c r="V1169" s="90">
        <f>134.75+1212.75</f>
        <v>1347.5</v>
      </c>
      <c r="W1169" s="91"/>
      <c r="X1169" s="92"/>
      <c r="Y1169" s="2"/>
    </row>
    <row r="1170" spans="1:25">
      <c r="B1170" s="87"/>
      <c r="C1170" s="621"/>
      <c r="D1170" s="10"/>
      <c r="E1170" s="10"/>
      <c r="F1170" s="97">
        <f>SUM(F1162:F1169)</f>
        <v>10332</v>
      </c>
      <c r="G1170" s="97">
        <f>SUM(G1162:G1169)</f>
        <v>516.30000000000007</v>
      </c>
      <c r="H1170" s="97">
        <f>SUM(H1162:H1169)</f>
        <v>0</v>
      </c>
      <c r="I1170" s="98">
        <f>SUM(I1162:I1169)</f>
        <v>9815.6999999999989</v>
      </c>
      <c r="J1170" s="63"/>
      <c r="K1170" s="63">
        <f>COUNT(K1162:K1169)</f>
        <v>8</v>
      </c>
      <c r="L1170" s="63">
        <f>COUNT(L1162:L1169)</f>
        <v>8</v>
      </c>
      <c r="M1170" s="63">
        <f>COUNT(M1162:M1169)</f>
        <v>8</v>
      </c>
      <c r="N1170" s="63">
        <f>COUNT(N1162:N1169)</f>
        <v>8</v>
      </c>
      <c r="O1170" s="63">
        <f>COUNT(O1162:O1169)</f>
        <v>8</v>
      </c>
      <c r="P1170" s="63">
        <f>COUNT(P1162:P1169)</f>
        <v>8</v>
      </c>
      <c r="Q1170" s="63">
        <f>COUNT(Q1162:Q1169)</f>
        <v>8</v>
      </c>
      <c r="R1170" s="63">
        <f>COUNT(R1162:R1169)</f>
        <v>8</v>
      </c>
      <c r="S1170" s="63">
        <f>COUNT(S1162:S1169)</f>
        <v>8</v>
      </c>
      <c r="T1170" s="63"/>
      <c r="U1170" s="10"/>
      <c r="V1170" s="90"/>
      <c r="W1170" s="91"/>
      <c r="X1170" s="92"/>
      <c r="Y1170" s="2"/>
    </row>
    <row r="1171" spans="1:25">
      <c r="B1171" s="87"/>
      <c r="C1171" s="621"/>
      <c r="D1171" s="10"/>
      <c r="E1171" s="10"/>
      <c r="F1171" s="88"/>
      <c r="G1171" s="88"/>
      <c r="H1171" s="88"/>
      <c r="I1171" s="99"/>
      <c r="J1171" s="63"/>
      <c r="K1171" s="21">
        <f>SUM(K1162:K1169)</f>
        <v>8</v>
      </c>
      <c r="L1171" s="21">
        <f>SUM(L1162:L1169)</f>
        <v>8</v>
      </c>
      <c r="M1171" s="21">
        <f>SUM(M1162:M1169)</f>
        <v>8</v>
      </c>
      <c r="N1171" s="21">
        <f>SUM(N1162:N1169)</f>
        <v>8</v>
      </c>
      <c r="O1171" s="21">
        <f>SUM(O1162:O1169)</f>
        <v>8</v>
      </c>
      <c r="P1171" s="21">
        <f>SUM(P1162:P1169)</f>
        <v>8</v>
      </c>
      <c r="Q1171" s="21">
        <f>SUM(Q1162:Q1169)</f>
        <v>8</v>
      </c>
      <c r="R1171" s="21">
        <f>SUM(R1162:R1169)</f>
        <v>8</v>
      </c>
      <c r="S1171" s="21">
        <f>SUM(S1162:S1169)</f>
        <v>8</v>
      </c>
      <c r="T1171" s="63"/>
      <c r="U1171" s="10"/>
      <c r="V1171" s="90"/>
      <c r="W1171" s="91"/>
      <c r="X1171" s="92"/>
      <c r="Y1171" s="2"/>
    </row>
    <row r="1172" spans="1:25">
      <c r="B1172" s="11"/>
      <c r="C1172" s="609"/>
      <c r="D1172" s="10"/>
      <c r="E1172" s="10"/>
      <c r="F1172" s="88"/>
      <c r="G1172" s="88"/>
      <c r="H1172" s="88"/>
      <c r="I1172" s="99"/>
      <c r="J1172" s="63"/>
      <c r="K1172" s="21"/>
      <c r="L1172" s="21"/>
      <c r="M1172" s="21"/>
      <c r="N1172" s="21"/>
      <c r="O1172" s="21"/>
      <c r="P1172" s="21"/>
      <c r="Q1172" s="21"/>
      <c r="R1172" s="21"/>
      <c r="S1172" s="21"/>
      <c r="T1172" s="63"/>
      <c r="U1172" s="94"/>
      <c r="V1172" s="90"/>
      <c r="W1172" s="91"/>
      <c r="X1172" s="92"/>
      <c r="Y1172" s="2"/>
    </row>
    <row r="1173" spans="1:25">
      <c r="B1173" s="100" t="s">
        <v>67</v>
      </c>
      <c r="C1173" s="609"/>
      <c r="D1173" s="10"/>
      <c r="E1173" s="10"/>
      <c r="F1173" s="88"/>
      <c r="G1173" s="62"/>
      <c r="H1173" s="88"/>
      <c r="I1173" s="99"/>
      <c r="J1173" s="63"/>
      <c r="K1173" s="2"/>
      <c r="L1173" s="2"/>
      <c r="M1173" s="2"/>
      <c r="N1173" s="2"/>
      <c r="O1173" s="2"/>
      <c r="P1173" s="2"/>
      <c r="Q1173" s="2"/>
      <c r="R1173" s="2"/>
      <c r="S1173" s="2"/>
      <c r="T1173" s="63"/>
      <c r="U1173" s="94"/>
      <c r="V1173" s="90"/>
      <c r="W1173" s="91"/>
      <c r="X1173" s="92"/>
      <c r="Y1173" s="2"/>
    </row>
    <row r="1174" spans="1:25">
      <c r="B1174" s="87">
        <v>1</v>
      </c>
      <c r="C1174" s="609"/>
      <c r="D1174" s="10"/>
      <c r="E1174" s="101"/>
      <c r="F1174" s="62"/>
      <c r="G1174" s="62"/>
      <c r="H1174" s="62"/>
      <c r="I1174" s="89">
        <f t="shared" ref="I1174:I1181" si="150">F1174-G1174-H1174</f>
        <v>0</v>
      </c>
      <c r="J1174" s="63"/>
      <c r="K1174" s="63"/>
      <c r="L1174" s="63"/>
      <c r="M1174" s="63"/>
      <c r="N1174" s="63"/>
      <c r="O1174" s="63"/>
      <c r="P1174" s="63"/>
      <c r="Q1174" s="63"/>
      <c r="R1174" s="63"/>
      <c r="S1174" s="63"/>
      <c r="T1174" s="63"/>
      <c r="U1174" s="94"/>
      <c r="V1174" s="90"/>
      <c r="W1174" s="91"/>
      <c r="X1174" s="92"/>
      <c r="Y1174" s="2"/>
    </row>
    <row r="1175" spans="1:25">
      <c r="B1175" s="87">
        <f t="shared" ref="B1175:B1181" si="151">B1174+1</f>
        <v>2</v>
      </c>
      <c r="C1175" s="609"/>
      <c r="D1175" s="10"/>
      <c r="E1175" s="101"/>
      <c r="F1175" s="62"/>
      <c r="G1175" s="62"/>
      <c r="H1175" s="62"/>
      <c r="I1175" s="89">
        <f t="shared" si="150"/>
        <v>0</v>
      </c>
      <c r="J1175" s="63"/>
      <c r="K1175" s="63"/>
      <c r="L1175" s="63"/>
      <c r="M1175" s="63"/>
      <c r="N1175" s="63"/>
      <c r="O1175" s="63"/>
      <c r="P1175" s="63"/>
      <c r="Q1175" s="63"/>
      <c r="R1175" s="63"/>
      <c r="S1175" s="63"/>
      <c r="T1175" s="63"/>
      <c r="U1175" s="94"/>
      <c r="V1175" s="90"/>
      <c r="W1175" s="91"/>
      <c r="X1175" s="92"/>
      <c r="Y1175" s="2"/>
    </row>
    <row r="1176" spans="1:25">
      <c r="B1176" s="87">
        <f t="shared" si="151"/>
        <v>3</v>
      </c>
      <c r="C1176" s="609"/>
      <c r="D1176" s="10"/>
      <c r="E1176" s="101"/>
      <c r="F1176" s="62"/>
      <c r="G1176" s="62"/>
      <c r="H1176" s="62"/>
      <c r="I1176" s="89">
        <f t="shared" si="150"/>
        <v>0</v>
      </c>
      <c r="J1176" s="63"/>
      <c r="K1176" s="63"/>
      <c r="L1176" s="63"/>
      <c r="M1176" s="63"/>
      <c r="N1176" s="63"/>
      <c r="O1176" s="63"/>
      <c r="P1176" s="63"/>
      <c r="Q1176" s="63"/>
      <c r="R1176" s="63"/>
      <c r="S1176" s="63"/>
      <c r="T1176" s="63"/>
      <c r="U1176" s="94"/>
      <c r="V1176" s="90"/>
      <c r="W1176" s="91"/>
      <c r="X1176" s="92"/>
      <c r="Y1176" s="2"/>
    </row>
    <row r="1177" spans="1:25">
      <c r="B1177" s="87">
        <f t="shared" si="151"/>
        <v>4</v>
      </c>
      <c r="C1177" s="609"/>
      <c r="D1177" s="10"/>
      <c r="E1177" s="101"/>
      <c r="F1177" s="62"/>
      <c r="G1177" s="62"/>
      <c r="H1177" s="62"/>
      <c r="I1177" s="89">
        <f t="shared" si="150"/>
        <v>0</v>
      </c>
      <c r="J1177" s="63"/>
      <c r="K1177" s="63"/>
      <c r="L1177" s="63"/>
      <c r="M1177" s="63"/>
      <c r="N1177" s="63"/>
      <c r="O1177" s="63"/>
      <c r="P1177" s="63"/>
      <c r="Q1177" s="63"/>
      <c r="R1177" s="63"/>
      <c r="S1177" s="63"/>
      <c r="T1177" s="63"/>
      <c r="U1177" s="94"/>
      <c r="V1177" s="90"/>
      <c r="W1177" s="91"/>
      <c r="X1177" s="92"/>
      <c r="Y1177" s="2"/>
    </row>
    <row r="1178" spans="1:25">
      <c r="B1178" s="87">
        <f t="shared" si="151"/>
        <v>5</v>
      </c>
      <c r="C1178" s="609"/>
      <c r="D1178" s="10"/>
      <c r="E1178" s="101"/>
      <c r="F1178" s="62"/>
      <c r="G1178" s="62"/>
      <c r="H1178" s="62"/>
      <c r="I1178" s="89">
        <f t="shared" si="150"/>
        <v>0</v>
      </c>
      <c r="J1178" s="63"/>
      <c r="K1178" s="63"/>
      <c r="L1178" s="63"/>
      <c r="M1178" s="63"/>
      <c r="N1178" s="63"/>
      <c r="O1178" s="63"/>
      <c r="P1178" s="63"/>
      <c r="Q1178" s="63"/>
      <c r="R1178" s="63"/>
      <c r="S1178" s="63"/>
      <c r="T1178" s="63"/>
      <c r="U1178" s="94"/>
      <c r="V1178" s="90"/>
      <c r="W1178" s="91"/>
      <c r="X1178" s="92"/>
      <c r="Y1178" s="2"/>
    </row>
    <row r="1179" spans="1:25">
      <c r="B1179" s="87">
        <f t="shared" si="151"/>
        <v>6</v>
      </c>
      <c r="C1179" s="609"/>
      <c r="D1179" s="10"/>
      <c r="E1179" s="101"/>
      <c r="F1179" s="62"/>
      <c r="G1179" s="62"/>
      <c r="H1179" s="62"/>
      <c r="I1179" s="89">
        <f t="shared" si="150"/>
        <v>0</v>
      </c>
      <c r="J1179" s="63"/>
      <c r="K1179" s="63"/>
      <c r="L1179" s="63"/>
      <c r="M1179" s="63"/>
      <c r="N1179" s="63"/>
      <c r="O1179" s="63"/>
      <c r="P1179" s="63"/>
      <c r="Q1179" s="63"/>
      <c r="R1179" s="63"/>
      <c r="S1179" s="63"/>
      <c r="T1179" s="63"/>
      <c r="U1179" s="94"/>
      <c r="V1179" s="90"/>
      <c r="W1179" s="91"/>
      <c r="X1179" s="92"/>
      <c r="Y1179" s="2"/>
    </row>
    <row r="1180" spans="1:25">
      <c r="B1180" s="87">
        <f t="shared" si="151"/>
        <v>7</v>
      </c>
      <c r="C1180" s="609"/>
      <c r="D1180" s="10"/>
      <c r="E1180" s="101"/>
      <c r="F1180" s="62"/>
      <c r="G1180" s="62"/>
      <c r="H1180" s="62"/>
      <c r="I1180" s="89">
        <f t="shared" si="150"/>
        <v>0</v>
      </c>
      <c r="J1180" s="63"/>
      <c r="K1180" s="63"/>
      <c r="L1180" s="63"/>
      <c r="M1180" s="63"/>
      <c r="N1180" s="63"/>
      <c r="O1180" s="63"/>
      <c r="P1180" s="63"/>
      <c r="Q1180" s="63"/>
      <c r="R1180" s="63"/>
      <c r="S1180" s="63"/>
      <c r="T1180" s="63"/>
      <c r="U1180" s="94"/>
      <c r="V1180" s="90"/>
      <c r="W1180" s="91"/>
      <c r="X1180" s="92"/>
      <c r="Y1180" s="2"/>
    </row>
    <row r="1181" spans="1:25">
      <c r="B1181" s="87">
        <f t="shared" si="151"/>
        <v>8</v>
      </c>
      <c r="C1181" s="609"/>
      <c r="D1181" s="10"/>
      <c r="E1181" s="101"/>
      <c r="F1181" s="62"/>
      <c r="G1181" s="62"/>
      <c r="H1181" s="62"/>
      <c r="I1181" s="89">
        <f t="shared" si="150"/>
        <v>0</v>
      </c>
      <c r="J1181" s="63"/>
      <c r="K1181" s="63"/>
      <c r="L1181" s="63"/>
      <c r="M1181" s="63"/>
      <c r="N1181" s="63"/>
      <c r="O1181" s="63"/>
      <c r="P1181" s="63"/>
      <c r="Q1181" s="63"/>
      <c r="R1181" s="63"/>
      <c r="S1181" s="63"/>
      <c r="T1181" s="63"/>
      <c r="U1181" s="94"/>
      <c r="V1181" s="90"/>
      <c r="W1181" s="91"/>
      <c r="X1181" s="92"/>
      <c r="Y1181" s="2"/>
    </row>
    <row r="1182" spans="1:25">
      <c r="B1182" s="11"/>
      <c r="C1182" s="609"/>
      <c r="D1182" s="10"/>
      <c r="E1182" s="10"/>
      <c r="F1182" s="97">
        <f>SUM(F1174:F1181)</f>
        <v>0</v>
      </c>
      <c r="G1182" s="97">
        <f>SUM(G1174:G1181)</f>
        <v>0</v>
      </c>
      <c r="H1182" s="97">
        <f>SUM(H1174:H1181)</f>
        <v>0</v>
      </c>
      <c r="I1182" s="98">
        <f>SUM(I1174:I1181)</f>
        <v>0</v>
      </c>
      <c r="J1182" s="63"/>
      <c r="K1182" s="21"/>
      <c r="L1182" s="21"/>
      <c r="M1182" s="21"/>
      <c r="N1182" s="21"/>
      <c r="O1182" s="21"/>
      <c r="P1182" s="21"/>
      <c r="Q1182" s="21"/>
      <c r="R1182" s="21"/>
      <c r="S1182" s="21"/>
      <c r="T1182" s="63"/>
      <c r="U1182" s="94"/>
      <c r="V1182" s="90"/>
      <c r="W1182" s="91"/>
      <c r="X1182" s="92"/>
      <c r="Y1182" s="2"/>
    </row>
    <row r="1183" spans="1:25">
      <c r="B1183" s="11"/>
      <c r="C1183" s="621"/>
      <c r="D1183" s="10"/>
      <c r="E1183" s="10"/>
      <c r="F1183" s="88"/>
      <c r="G1183" s="88"/>
      <c r="H1183" s="88"/>
      <c r="I1183" s="99"/>
      <c r="J1183" s="63"/>
      <c r="K1183" s="21"/>
      <c r="L1183" s="21"/>
      <c r="M1183" s="21"/>
      <c r="N1183" s="21"/>
      <c r="O1183" s="21"/>
      <c r="P1183" s="21"/>
      <c r="Q1183" s="21"/>
      <c r="R1183" s="21"/>
      <c r="S1183" s="21"/>
      <c r="T1183" s="63"/>
      <c r="U1183" s="94"/>
      <c r="V1183" s="90"/>
      <c r="W1183" s="91"/>
      <c r="X1183" s="92"/>
      <c r="Y1183" s="2"/>
    </row>
    <row r="1184" spans="1:25" s="260" customFormat="1">
      <c r="A1184" s="181"/>
      <c r="B1184" s="100" t="s">
        <v>152</v>
      </c>
      <c r="C1184" s="36"/>
      <c r="D1184" s="10"/>
      <c r="E1184" s="10"/>
      <c r="F1184" s="88"/>
      <c r="G1184" s="62"/>
      <c r="H1184" s="88"/>
      <c r="I1184" s="99"/>
      <c r="J1184" s="10"/>
      <c r="K1184" s="181"/>
      <c r="L1184" s="181"/>
      <c r="M1184" s="181"/>
      <c r="N1184" s="181"/>
      <c r="O1184" s="181"/>
      <c r="P1184" s="181"/>
      <c r="Q1184" s="181"/>
      <c r="R1184" s="181"/>
      <c r="S1184" s="181"/>
      <c r="T1184" s="63"/>
      <c r="U1184" s="10"/>
      <c r="V1184" s="90"/>
      <c r="W1184" s="91"/>
      <c r="X1184" s="92"/>
      <c r="Y1184" s="181"/>
    </row>
    <row r="1185" spans="1:25" s="260" customFormat="1">
      <c r="A1185" s="494">
        <v>0.05</v>
      </c>
      <c r="B1185" s="87">
        <v>1</v>
      </c>
      <c r="C1185" s="641">
        <v>45911</v>
      </c>
      <c r="D1185" s="271">
        <v>73200</v>
      </c>
      <c r="E1185" s="264" t="s">
        <v>798</v>
      </c>
      <c r="F1185" s="265">
        <f>2346-85</f>
        <v>2261</v>
      </c>
      <c r="G1185" s="265">
        <f>39.7</f>
        <v>39.700000000000003</v>
      </c>
      <c r="H1185" s="265"/>
      <c r="I1185" s="272">
        <f>F1185-G1185-H1185</f>
        <v>2221.3000000000002</v>
      </c>
      <c r="J1185" s="267" t="s">
        <v>156</v>
      </c>
      <c r="K1185" s="267">
        <v>1</v>
      </c>
      <c r="L1185" s="267">
        <v>1</v>
      </c>
      <c r="M1185" s="267">
        <v>1</v>
      </c>
      <c r="N1185" s="267">
        <v>1</v>
      </c>
      <c r="O1185" s="267">
        <v>1</v>
      </c>
      <c r="P1185" s="267">
        <v>1</v>
      </c>
      <c r="Q1185" s="267">
        <v>1</v>
      </c>
      <c r="R1185" s="267">
        <v>1</v>
      </c>
      <c r="S1185" s="269">
        <v>1</v>
      </c>
      <c r="T1185" s="63"/>
      <c r="U1185" s="10" t="s">
        <v>1128</v>
      </c>
      <c r="V1185" s="90"/>
      <c r="W1185" s="91"/>
      <c r="X1185" s="92"/>
      <c r="Y1185" s="181"/>
    </row>
    <row r="1186" spans="1:25" s="260" customFormat="1">
      <c r="A1186" s="261">
        <v>0.05</v>
      </c>
      <c r="B1186" s="87">
        <f>B1185+1</f>
        <v>2</v>
      </c>
      <c r="C1186" s="638">
        <v>45944</v>
      </c>
      <c r="D1186" s="276">
        <v>74414</v>
      </c>
      <c r="E1186" s="281" t="s">
        <v>769</v>
      </c>
      <c r="F1186" s="277">
        <v>2302</v>
      </c>
      <c r="G1186" s="277">
        <f>39.7</f>
        <v>39.700000000000003</v>
      </c>
      <c r="H1186" s="277">
        <f>F1186*0.2</f>
        <v>460.40000000000003</v>
      </c>
      <c r="I1186" s="278">
        <f>F1186-G1186-H1186</f>
        <v>1801.9</v>
      </c>
      <c r="J1186" s="279" t="s">
        <v>185</v>
      </c>
      <c r="K1186" s="279">
        <v>1</v>
      </c>
      <c r="L1186" s="279">
        <v>1</v>
      </c>
      <c r="M1186" s="279">
        <v>1</v>
      </c>
      <c r="N1186" s="279">
        <v>1</v>
      </c>
      <c r="O1186" s="279">
        <v>1</v>
      </c>
      <c r="P1186" s="279">
        <v>1</v>
      </c>
      <c r="Q1186" s="279">
        <v>1</v>
      </c>
      <c r="R1186" s="279">
        <v>1</v>
      </c>
      <c r="S1186" s="280">
        <v>1</v>
      </c>
      <c r="T1186" s="63"/>
      <c r="U1186" s="10"/>
      <c r="V1186" s="90"/>
      <c r="W1186" s="91"/>
      <c r="X1186" s="92"/>
    </row>
    <row r="1187" spans="1:25" s="260" customFormat="1">
      <c r="A1187" s="261">
        <v>0.05</v>
      </c>
      <c r="B1187" s="87">
        <f t="shared" ref="B1187:B1188" si="152">B1186+1</f>
        <v>3</v>
      </c>
      <c r="C1187" s="638">
        <v>45945</v>
      </c>
      <c r="D1187" s="276">
        <v>74471</v>
      </c>
      <c r="E1187" s="276" t="s">
        <v>1260</v>
      </c>
      <c r="F1187" s="277">
        <v>814</v>
      </c>
      <c r="G1187" s="277">
        <f>39.7</f>
        <v>39.700000000000003</v>
      </c>
      <c r="H1187" s="297"/>
      <c r="I1187" s="278">
        <f>F1187-G1187-H1187</f>
        <v>774.3</v>
      </c>
      <c r="J1187" s="279" t="s">
        <v>156</v>
      </c>
      <c r="K1187" s="279">
        <v>1</v>
      </c>
      <c r="L1187" s="279">
        <v>1</v>
      </c>
      <c r="M1187" s="279">
        <v>1</v>
      </c>
      <c r="N1187" s="279">
        <v>1</v>
      </c>
      <c r="O1187" s="279">
        <v>1</v>
      </c>
      <c r="P1187" s="279">
        <v>1</v>
      </c>
      <c r="Q1187" s="279">
        <v>1</v>
      </c>
      <c r="R1187" s="279">
        <v>1</v>
      </c>
      <c r="S1187" s="280">
        <v>1</v>
      </c>
      <c r="T1187" s="63"/>
      <c r="U1187" s="10" t="s">
        <v>1261</v>
      </c>
      <c r="V1187" s="90"/>
      <c r="W1187" s="91"/>
      <c r="X1187" s="92"/>
    </row>
    <row r="1188" spans="1:25" s="260" customFormat="1">
      <c r="A1188" s="261" t="s">
        <v>926</v>
      </c>
      <c r="B1188" s="87">
        <f t="shared" si="152"/>
        <v>4</v>
      </c>
      <c r="C1188" s="641">
        <v>45944</v>
      </c>
      <c r="D1188" s="271" t="s">
        <v>1262</v>
      </c>
      <c r="E1188" s="271" t="s">
        <v>1222</v>
      </c>
      <c r="F1188" s="265">
        <f>16735.5</f>
        <v>16735.5</v>
      </c>
      <c r="G1188" s="265">
        <f>39.7+49+87.95+(29.24+153.79+58.33)+(157.94-14.91+57.66+183.59+31.14+24.9+47.99-10.3-18.44+5.25+165.98-21.55)+1500</f>
        <v>2527.2600000000002</v>
      </c>
      <c r="H1188" s="365"/>
      <c r="I1188" s="266">
        <f>F1188-G1188-H1188</f>
        <v>14208.24</v>
      </c>
      <c r="J1188" s="267" t="s">
        <v>228</v>
      </c>
      <c r="K1188" s="267">
        <v>1</v>
      </c>
      <c r="L1188" s="267">
        <v>1</v>
      </c>
      <c r="M1188" s="267">
        <v>1</v>
      </c>
      <c r="N1188" s="267">
        <v>1</v>
      </c>
      <c r="O1188" s="267">
        <v>1</v>
      </c>
      <c r="P1188" s="267">
        <v>1</v>
      </c>
      <c r="Q1188" s="314">
        <v>0</v>
      </c>
      <c r="R1188" s="314">
        <v>0</v>
      </c>
      <c r="S1188" s="366">
        <v>0</v>
      </c>
      <c r="T1188" s="63"/>
      <c r="U1188" s="10" t="s">
        <v>1302</v>
      </c>
      <c r="V1188" s="90">
        <f>984.28</f>
        <v>984.28</v>
      </c>
      <c r="W1188" s="91"/>
      <c r="X1188" s="92"/>
    </row>
    <row r="1189" spans="1:25" s="260" customFormat="1">
      <c r="B1189" s="11"/>
      <c r="C1189" s="36"/>
      <c r="D1189" s="10"/>
      <c r="E1189" s="10"/>
      <c r="F1189" s="98">
        <f>SUM(F1185:F1188)</f>
        <v>22112.5</v>
      </c>
      <c r="G1189" s="98">
        <f t="shared" ref="G1189" si="153">SUM(G1185:G1188)</f>
        <v>2646.36</v>
      </c>
      <c r="H1189" s="98">
        <f t="shared" ref="H1189" si="154">SUM(H1185:H1188)</f>
        <v>460.40000000000003</v>
      </c>
      <c r="I1189" s="98">
        <f t="shared" ref="I1189" si="155">SUM(I1185:I1188)</f>
        <v>19005.739999999998</v>
      </c>
      <c r="J1189" s="63"/>
      <c r="K1189" s="21"/>
      <c r="L1189" s="21"/>
      <c r="M1189" s="21"/>
      <c r="N1189" s="21"/>
      <c r="O1189" s="21"/>
      <c r="P1189" s="21"/>
      <c r="Q1189" s="21"/>
      <c r="R1189" s="21"/>
      <c r="S1189" s="21"/>
      <c r="T1189" s="63"/>
      <c r="U1189" s="94"/>
      <c r="V1189" s="90"/>
      <c r="W1189" s="91"/>
      <c r="X1189" s="92"/>
    </row>
    <row r="1190" spans="1:25" s="260" customFormat="1">
      <c r="B1190" s="11"/>
      <c r="C1190" s="36"/>
      <c r="D1190" s="10"/>
      <c r="E1190" s="10"/>
      <c r="F1190" s="99"/>
      <c r="G1190" s="99"/>
      <c r="H1190" s="99"/>
      <c r="I1190" s="99"/>
      <c r="J1190" s="63"/>
      <c r="K1190" s="21"/>
      <c r="L1190" s="21"/>
      <c r="M1190" s="21"/>
      <c r="N1190" s="21"/>
      <c r="O1190" s="21"/>
      <c r="P1190" s="21"/>
      <c r="Q1190" s="21"/>
      <c r="R1190" s="21"/>
      <c r="S1190" s="21"/>
      <c r="T1190" s="63"/>
      <c r="U1190" s="94"/>
      <c r="V1190" s="90"/>
      <c r="W1190" s="91"/>
      <c r="X1190" s="92"/>
    </row>
    <row r="1191" spans="1:25">
      <c r="A1191" s="2"/>
      <c r="B1191" s="11"/>
      <c r="C1191" s="36"/>
      <c r="D1191" s="10"/>
      <c r="E1191" s="10"/>
      <c r="F1191" s="88"/>
      <c r="G1191" s="88"/>
      <c r="H1191" s="88"/>
      <c r="I1191" s="99"/>
      <c r="J1191" s="63"/>
      <c r="K1191" s="21"/>
      <c r="L1191" s="21"/>
      <c r="M1191" s="21"/>
      <c r="N1191" s="21"/>
      <c r="O1191" s="21"/>
      <c r="P1191" s="21"/>
      <c r="Q1191" s="21"/>
      <c r="R1191" s="21"/>
      <c r="S1191" s="21"/>
      <c r="T1191" s="63"/>
      <c r="U1191" s="94"/>
      <c r="V1191" s="90"/>
      <c r="W1191" s="91"/>
      <c r="X1191" s="92"/>
    </row>
    <row r="1192" spans="1:25" s="260" customFormat="1">
      <c r="B1192" s="100" t="s">
        <v>202</v>
      </c>
      <c r="C1192" s="36"/>
      <c r="D1192" s="10"/>
      <c r="E1192" s="181"/>
      <c r="F1192" s="88"/>
      <c r="G1192" s="88"/>
      <c r="H1192" s="88"/>
      <c r="I1192" s="99"/>
      <c r="J1192" s="63"/>
      <c r="K1192" s="21"/>
      <c r="L1192" s="21"/>
      <c r="M1192" s="21"/>
      <c r="N1192" s="21"/>
      <c r="O1192" s="21"/>
      <c r="P1192" s="21"/>
      <c r="Q1192" s="21"/>
      <c r="R1192" s="21"/>
      <c r="S1192" s="21"/>
      <c r="T1192" s="63"/>
      <c r="U1192" s="94"/>
      <c r="V1192" s="90"/>
      <c r="W1192" s="91"/>
      <c r="X1192" s="92"/>
    </row>
    <row r="1193" spans="1:25" s="260" customFormat="1">
      <c r="A1193" s="261">
        <v>0.05</v>
      </c>
      <c r="B1193" s="87">
        <v>1</v>
      </c>
      <c r="C1193" s="641">
        <v>45904</v>
      </c>
      <c r="D1193" s="271">
        <v>72982</v>
      </c>
      <c r="E1193" s="271" t="s">
        <v>604</v>
      </c>
      <c r="F1193" s="265">
        <v>1681</v>
      </c>
      <c r="G1193" s="265">
        <f>39.7+398</f>
        <v>437.7</v>
      </c>
      <c r="H1193" s="265"/>
      <c r="I1193" s="272">
        <f>F1193-G1193-H1193</f>
        <v>1243.3</v>
      </c>
      <c r="J1193" s="267" t="s">
        <v>156</v>
      </c>
      <c r="K1193" s="267">
        <v>1</v>
      </c>
      <c r="L1193" s="267"/>
      <c r="M1193" s="267">
        <v>1</v>
      </c>
      <c r="N1193" s="267">
        <v>1</v>
      </c>
      <c r="O1193" s="267">
        <v>1</v>
      </c>
      <c r="P1193" s="267">
        <v>1</v>
      </c>
      <c r="Q1193" s="267"/>
      <c r="R1193" s="267"/>
      <c r="S1193" s="269"/>
      <c r="T1193" s="63"/>
      <c r="U1193" s="94" t="s">
        <v>1131</v>
      </c>
      <c r="V1193" s="90"/>
      <c r="W1193" s="136"/>
      <c r="X1193" s="137"/>
    </row>
    <row r="1194" spans="1:25" s="260" customFormat="1">
      <c r="A1194" s="494">
        <v>0.05</v>
      </c>
      <c r="B1194" s="87">
        <f>B1193+1</f>
        <v>2</v>
      </c>
      <c r="C1194" s="641">
        <v>45925</v>
      </c>
      <c r="D1194" s="271" t="s">
        <v>1188</v>
      </c>
      <c r="E1194" s="271" t="s">
        <v>973</v>
      </c>
      <c r="F1194" s="265">
        <v>18161</v>
      </c>
      <c r="G1194" s="265">
        <f>39.7+33.68+1005.6+33.68+(162.47+289.66+177.5-16.43)+(86.55+60.7+267.3-217.8)+1500</f>
        <v>3422.61</v>
      </c>
      <c r="H1194" s="265"/>
      <c r="I1194" s="272">
        <f>F1194-G1194-H1194</f>
        <v>14738.39</v>
      </c>
      <c r="J1194" s="267" t="s">
        <v>156</v>
      </c>
      <c r="K1194" s="267">
        <v>1</v>
      </c>
      <c r="L1194" s="267"/>
      <c r="M1194" s="267">
        <v>1</v>
      </c>
      <c r="N1194" s="267">
        <v>1</v>
      </c>
      <c r="O1194" s="267">
        <v>1</v>
      </c>
      <c r="P1194" s="267">
        <v>1</v>
      </c>
      <c r="Q1194" s="267"/>
      <c r="R1194" s="267"/>
      <c r="S1194" s="269"/>
      <c r="T1194" s="63"/>
      <c r="U1194" s="94" t="s">
        <v>1243</v>
      </c>
      <c r="V1194" s="90"/>
      <c r="W1194" s="136"/>
      <c r="X1194" s="137"/>
    </row>
    <row r="1195" spans="1:25" s="260" customFormat="1">
      <c r="A1195" s="261">
        <v>0.05</v>
      </c>
      <c r="B1195" s="87">
        <f t="shared" ref="B1195:B1199" si="156">B1194+1</f>
        <v>3</v>
      </c>
      <c r="C1195" s="640">
        <v>45947</v>
      </c>
      <c r="D1195" s="283" t="s">
        <v>1266</v>
      </c>
      <c r="E1195" s="283" t="s">
        <v>1100</v>
      </c>
      <c r="F1195" s="284">
        <v>16214</v>
      </c>
      <c r="G1195" s="284">
        <f>39.7+910.2+96+100+(85.73+200.61+105.74+58.37+96.2+300.28+38.51-76.96)+(19.36+11.04+221.13-360.21-4.58)+1500</f>
        <v>3341.12</v>
      </c>
      <c r="H1195" s="284"/>
      <c r="I1195" s="285">
        <f>F1195-G1195-H1195</f>
        <v>12872.880000000001</v>
      </c>
      <c r="J1195" s="286" t="s">
        <v>156</v>
      </c>
      <c r="K1195" s="286">
        <v>1</v>
      </c>
      <c r="L1195" s="286"/>
      <c r="M1195" s="286">
        <v>1</v>
      </c>
      <c r="N1195" s="286">
        <v>1</v>
      </c>
      <c r="O1195" s="286">
        <v>1</v>
      </c>
      <c r="P1195" s="286">
        <v>1</v>
      </c>
      <c r="Q1195" s="286"/>
      <c r="R1195" s="286"/>
      <c r="S1195" s="287"/>
      <c r="T1195" s="63"/>
      <c r="U1195" s="94" t="s">
        <v>1303</v>
      </c>
      <c r="V1195" s="90"/>
      <c r="W1195" s="136"/>
      <c r="X1195" s="137"/>
    </row>
    <row r="1196" spans="1:25" s="260" customFormat="1">
      <c r="A1196" s="261">
        <v>0.05</v>
      </c>
      <c r="B1196" s="87">
        <f t="shared" si="156"/>
        <v>4</v>
      </c>
      <c r="C1196" s="638">
        <v>45951</v>
      </c>
      <c r="D1196" s="276">
        <v>74582</v>
      </c>
      <c r="E1196" s="276" t="s">
        <v>296</v>
      </c>
      <c r="F1196" s="277">
        <v>1674.9</v>
      </c>
      <c r="G1196" s="277">
        <f>39.7+550</f>
        <v>589.70000000000005</v>
      </c>
      <c r="H1196" s="277"/>
      <c r="I1196" s="278">
        <f>F1196-G1196-H1196</f>
        <v>1085.2</v>
      </c>
      <c r="J1196" s="279" t="s">
        <v>150</v>
      </c>
      <c r="K1196" s="279">
        <v>1</v>
      </c>
      <c r="L1196" s="279"/>
      <c r="M1196" s="279">
        <v>1</v>
      </c>
      <c r="N1196" s="279">
        <v>1</v>
      </c>
      <c r="O1196" s="279">
        <v>1</v>
      </c>
      <c r="P1196" s="279">
        <v>1</v>
      </c>
      <c r="Q1196" s="279"/>
      <c r="R1196" s="279"/>
      <c r="S1196" s="280"/>
      <c r="T1196" s="63"/>
      <c r="U1196" s="94" t="s">
        <v>1320</v>
      </c>
      <c r="V1196" s="90"/>
      <c r="W1196" s="136"/>
      <c r="X1196" s="137"/>
      <c r="Y1196" s="181"/>
    </row>
    <row r="1197" spans="1:25" s="260" customFormat="1">
      <c r="A1197" s="261">
        <v>0.05</v>
      </c>
      <c r="B1197" s="87">
        <f t="shared" si="156"/>
        <v>5</v>
      </c>
      <c r="C1197" s="638">
        <v>45952</v>
      </c>
      <c r="D1197" s="276">
        <v>74718</v>
      </c>
      <c r="E1197" s="276" t="s">
        <v>673</v>
      </c>
      <c r="F1197" s="277">
        <v>1135</v>
      </c>
      <c r="G1197" s="277">
        <f>39.7</f>
        <v>39.700000000000003</v>
      </c>
      <c r="H1197" s="277"/>
      <c r="I1197" s="278">
        <f t="shared" ref="I1197" si="157">F1197-G1197-H1197</f>
        <v>1095.3</v>
      </c>
      <c r="J1197" s="279" t="s">
        <v>156</v>
      </c>
      <c r="K1197" s="279">
        <v>1</v>
      </c>
      <c r="L1197" s="279"/>
      <c r="M1197" s="279">
        <v>1</v>
      </c>
      <c r="N1197" s="279">
        <v>1</v>
      </c>
      <c r="O1197" s="279">
        <v>1</v>
      </c>
      <c r="P1197" s="279">
        <v>1</v>
      </c>
      <c r="Q1197" s="279"/>
      <c r="R1197" s="279"/>
      <c r="S1197" s="280"/>
      <c r="T1197" s="63"/>
      <c r="U1197" s="94" t="s">
        <v>1298</v>
      </c>
      <c r="V1197" s="90"/>
      <c r="W1197" s="136"/>
      <c r="X1197" s="137"/>
      <c r="Y1197" s="181"/>
    </row>
    <row r="1198" spans="1:25" s="260" customFormat="1">
      <c r="A1198" s="261">
        <v>0.05</v>
      </c>
      <c r="B1198" s="87">
        <f t="shared" si="156"/>
        <v>6</v>
      </c>
      <c r="C1198" s="638">
        <v>45953</v>
      </c>
      <c r="D1198" s="276" t="s">
        <v>1299</v>
      </c>
      <c r="E1198" s="276" t="s">
        <v>1256</v>
      </c>
      <c r="F1198" s="277">
        <v>16841</v>
      </c>
      <c r="G1198" s="277">
        <f>39.7+(162.09+75.48+162.09+75.48)+(356.14+427.71+356.14+427.71)+1500</f>
        <v>3582.54</v>
      </c>
      <c r="H1198" s="277"/>
      <c r="I1198" s="278">
        <f>F1198-G1198-H1198</f>
        <v>13258.46</v>
      </c>
      <c r="J1198" s="279" t="s">
        <v>156</v>
      </c>
      <c r="K1198" s="279">
        <v>1</v>
      </c>
      <c r="L1198" s="279"/>
      <c r="M1198" s="279">
        <v>1</v>
      </c>
      <c r="N1198" s="279">
        <v>1</v>
      </c>
      <c r="O1198" s="279">
        <v>1</v>
      </c>
      <c r="P1198" s="279">
        <v>1</v>
      </c>
      <c r="Q1198" s="279"/>
      <c r="R1198" s="279"/>
      <c r="S1198" s="280"/>
      <c r="T1198" s="63"/>
      <c r="U1198" s="94" t="s">
        <v>1321</v>
      </c>
      <c r="V1198" s="90"/>
      <c r="W1198" s="136"/>
      <c r="X1198" s="137"/>
      <c r="Y1198" s="181"/>
    </row>
    <row r="1199" spans="1:25" s="260" customFormat="1">
      <c r="A1199" s="261">
        <v>0.05</v>
      </c>
      <c r="B1199" s="87">
        <f t="shared" si="156"/>
        <v>7</v>
      </c>
      <c r="C1199" s="640">
        <v>45953</v>
      </c>
      <c r="D1199" s="283">
        <v>74767</v>
      </c>
      <c r="E1199" s="283" t="s">
        <v>446</v>
      </c>
      <c r="F1199" s="284">
        <v>9280</v>
      </c>
      <c r="G1199" s="284">
        <f>39.7+750</f>
        <v>789.7</v>
      </c>
      <c r="H1199" s="284"/>
      <c r="I1199" s="285">
        <f>F1199-G1199-H1199</f>
        <v>8490.2999999999993</v>
      </c>
      <c r="J1199" s="286" t="s">
        <v>156</v>
      </c>
      <c r="K1199" s="286">
        <v>1</v>
      </c>
      <c r="L1199" s="286"/>
      <c r="M1199" s="286">
        <v>1</v>
      </c>
      <c r="N1199" s="286">
        <v>1</v>
      </c>
      <c r="O1199" s="286">
        <v>1</v>
      </c>
      <c r="P1199" s="286">
        <v>1</v>
      </c>
      <c r="Q1199" s="286"/>
      <c r="R1199" s="286"/>
      <c r="S1199" s="287"/>
      <c r="T1199" s="63"/>
      <c r="U1199" s="94" t="s">
        <v>1301</v>
      </c>
      <c r="V1199" s="90"/>
      <c r="W1199" s="136"/>
      <c r="X1199" s="137"/>
      <c r="Y1199" s="181"/>
    </row>
    <row r="1200" spans="1:25" s="260" customFormat="1">
      <c r="B1200" s="11"/>
      <c r="C1200" s="36"/>
      <c r="D1200" s="10"/>
      <c r="E1200" s="10"/>
      <c r="F1200" s="98">
        <f>SUM(F1193:F1199)</f>
        <v>64986.9</v>
      </c>
      <c r="G1200" s="98">
        <f t="shared" ref="G1200:I1200" si="158">SUM(G1193:G1199)</f>
        <v>12203.07</v>
      </c>
      <c r="H1200" s="98">
        <f t="shared" si="158"/>
        <v>0</v>
      </c>
      <c r="I1200" s="98">
        <f t="shared" si="158"/>
        <v>52783.83</v>
      </c>
      <c r="J1200" s="510"/>
      <c r="K1200" s="21"/>
      <c r="L1200" s="21"/>
      <c r="M1200" s="21"/>
      <c r="N1200" s="21"/>
      <c r="O1200" s="21"/>
      <c r="P1200" s="21"/>
      <c r="Q1200" s="21"/>
      <c r="R1200" s="21"/>
      <c r="S1200" s="21"/>
      <c r="T1200" s="63"/>
      <c r="U1200" s="94"/>
      <c r="V1200" s="90"/>
      <c r="W1200" s="91"/>
      <c r="X1200" s="92"/>
    </row>
    <row r="1201" spans="1:25" s="260" customFormat="1">
      <c r="B1201" s="11"/>
      <c r="C1201" s="36"/>
      <c r="D1201" s="10"/>
      <c r="E1201" s="10"/>
      <c r="F1201" s="99"/>
      <c r="G1201" s="99"/>
      <c r="H1201" s="99"/>
      <c r="I1201" s="99"/>
      <c r="J1201" s="63"/>
      <c r="K1201" s="21"/>
      <c r="L1201" s="21"/>
      <c r="M1201" s="21"/>
      <c r="N1201" s="21"/>
      <c r="O1201" s="21"/>
      <c r="P1201" s="21"/>
      <c r="Q1201" s="21"/>
      <c r="R1201" s="21"/>
      <c r="S1201" s="21"/>
      <c r="T1201" s="63"/>
      <c r="U1201" s="94"/>
      <c r="V1201" s="90"/>
      <c r="W1201" s="91"/>
      <c r="X1201" s="92"/>
    </row>
    <row r="1202" spans="1:25">
      <c r="B1202" s="100" t="s">
        <v>72</v>
      </c>
      <c r="C1202" s="621"/>
      <c r="D1202" s="10"/>
      <c r="E1202" s="10"/>
      <c r="F1202" s="88"/>
      <c r="G1202" s="88"/>
      <c r="H1202" s="88"/>
      <c r="I1202" s="99"/>
      <c r="J1202" s="63"/>
      <c r="K1202" s="63"/>
      <c r="L1202" s="63"/>
      <c r="M1202" s="63"/>
      <c r="N1202" s="63"/>
      <c r="O1202" s="63"/>
      <c r="P1202" s="63"/>
      <c r="Q1202" s="63"/>
      <c r="R1202" s="63"/>
      <c r="S1202" s="63"/>
      <c r="T1202" s="63"/>
      <c r="U1202" s="10"/>
      <c r="V1202" s="90"/>
      <c r="W1202" s="91"/>
      <c r="X1202" s="92"/>
      <c r="Y1202" s="2"/>
    </row>
    <row r="1203" spans="1:25">
      <c r="B1203" s="87">
        <v>1</v>
      </c>
      <c r="C1203" s="638">
        <v>45957</v>
      </c>
      <c r="D1203" s="275" t="s">
        <v>1322</v>
      </c>
      <c r="E1203" s="276" t="s">
        <v>673</v>
      </c>
      <c r="F1203" s="277">
        <v>2962</v>
      </c>
      <c r="G1203" s="277">
        <f>39.7</f>
        <v>39.700000000000003</v>
      </c>
      <c r="H1203" s="277"/>
      <c r="I1203" s="278">
        <f t="shared" ref="I1203:I1220" si="159">F1203-G1203-H1203</f>
        <v>2922.3</v>
      </c>
      <c r="J1203" s="279" t="s">
        <v>205</v>
      </c>
      <c r="K1203" s="279">
        <v>1</v>
      </c>
      <c r="L1203" s="279"/>
      <c r="M1203" s="279"/>
      <c r="N1203" s="279">
        <v>1</v>
      </c>
      <c r="O1203" s="279"/>
      <c r="P1203" s="279"/>
      <c r="Q1203" s="279"/>
      <c r="R1203" s="279"/>
      <c r="S1203" s="280"/>
      <c r="T1203" s="63"/>
      <c r="U1203" s="3"/>
      <c r="V1203" s="90"/>
      <c r="W1203" s="91"/>
      <c r="X1203" s="92"/>
      <c r="Y1203" s="2"/>
    </row>
    <row r="1204" spans="1:25">
      <c r="B1204" s="87">
        <f t="shared" ref="B1204:B1220" si="160">B1203+1</f>
        <v>2</v>
      </c>
      <c r="C1204" s="639">
        <v>45957</v>
      </c>
      <c r="D1204" s="10">
        <v>74870</v>
      </c>
      <c r="E1204" s="10" t="s">
        <v>1256</v>
      </c>
      <c r="F1204" s="62">
        <v>532</v>
      </c>
      <c r="G1204" s="62"/>
      <c r="H1204" s="62"/>
      <c r="I1204" s="89">
        <f t="shared" si="159"/>
        <v>532</v>
      </c>
      <c r="J1204" s="63" t="s">
        <v>205</v>
      </c>
      <c r="K1204" s="63">
        <v>1</v>
      </c>
      <c r="L1204" s="63"/>
      <c r="M1204" s="63"/>
      <c r="N1204" s="63">
        <v>1</v>
      </c>
      <c r="O1204" s="63"/>
      <c r="P1204" s="63"/>
      <c r="Q1204" s="63">
        <v>1</v>
      </c>
      <c r="R1204" s="63">
        <v>1</v>
      </c>
      <c r="S1204" s="296">
        <v>1</v>
      </c>
      <c r="T1204" s="63"/>
      <c r="U1204" s="10"/>
      <c r="V1204" s="90"/>
      <c r="W1204" s="136"/>
      <c r="X1204" s="137"/>
      <c r="Y1204" s="2"/>
    </row>
    <row r="1205" spans="1:25">
      <c r="A1205" s="2" t="s">
        <v>383</v>
      </c>
      <c r="B1205" s="87">
        <f t="shared" si="160"/>
        <v>3</v>
      </c>
      <c r="C1205" s="639">
        <v>45957</v>
      </c>
      <c r="D1205" s="10">
        <v>74858</v>
      </c>
      <c r="E1205" s="10" t="s">
        <v>1260</v>
      </c>
      <c r="F1205" s="62">
        <v>1461</v>
      </c>
      <c r="G1205" s="62">
        <v>39.700000000000003</v>
      </c>
      <c r="H1205" s="62"/>
      <c r="I1205" s="89">
        <f t="shared" si="159"/>
        <v>1421.3</v>
      </c>
      <c r="J1205" s="63" t="s">
        <v>205</v>
      </c>
      <c r="K1205" s="63">
        <v>1</v>
      </c>
      <c r="L1205" s="63"/>
      <c r="M1205" s="63"/>
      <c r="N1205" s="63">
        <v>1</v>
      </c>
      <c r="O1205" s="63"/>
      <c r="P1205" s="63"/>
      <c r="Q1205" s="63">
        <v>1</v>
      </c>
      <c r="R1205" s="63">
        <v>1</v>
      </c>
      <c r="S1205" s="296">
        <v>1</v>
      </c>
      <c r="T1205" s="63"/>
      <c r="U1205" s="10" t="s">
        <v>1323</v>
      </c>
      <c r="V1205" s="90"/>
      <c r="W1205" s="136"/>
      <c r="X1205" s="137"/>
      <c r="Y1205" s="2"/>
    </row>
    <row r="1206" spans="1:25">
      <c r="B1206" s="87">
        <f t="shared" si="160"/>
        <v>4</v>
      </c>
      <c r="C1206" s="639">
        <v>45957</v>
      </c>
      <c r="D1206" s="10">
        <v>74875</v>
      </c>
      <c r="E1206" s="10" t="s">
        <v>1034</v>
      </c>
      <c r="F1206" s="62">
        <v>5233</v>
      </c>
      <c r="G1206" s="62">
        <v>39.700000000000003</v>
      </c>
      <c r="H1206" s="62"/>
      <c r="I1206" s="89">
        <f t="shared" si="159"/>
        <v>5193.3</v>
      </c>
      <c r="J1206" s="63" t="s">
        <v>205</v>
      </c>
      <c r="K1206" s="63">
        <v>1</v>
      </c>
      <c r="L1206" s="63"/>
      <c r="M1206" s="63"/>
      <c r="N1206" s="63">
        <v>1</v>
      </c>
      <c r="O1206" s="63"/>
      <c r="P1206" s="63"/>
      <c r="Q1206" s="63">
        <v>1</v>
      </c>
      <c r="R1206" s="63">
        <v>1</v>
      </c>
      <c r="S1206" s="296">
        <v>1</v>
      </c>
      <c r="T1206" s="63"/>
      <c r="U1206" s="10"/>
      <c r="V1206" s="90"/>
      <c r="W1206" s="136"/>
      <c r="X1206" s="137"/>
      <c r="Y1206" s="2"/>
    </row>
    <row r="1207" spans="1:25">
      <c r="B1207" s="87">
        <f t="shared" si="160"/>
        <v>5</v>
      </c>
      <c r="C1207" s="639">
        <v>45957</v>
      </c>
      <c r="D1207" s="77" t="s">
        <v>1324</v>
      </c>
      <c r="E1207" s="10" t="s">
        <v>1047</v>
      </c>
      <c r="F1207" s="62">
        <v>1910</v>
      </c>
      <c r="G1207" s="62">
        <v>39.700000000000003</v>
      </c>
      <c r="H1207" s="62"/>
      <c r="I1207" s="89">
        <f t="shared" si="159"/>
        <v>1870.3</v>
      </c>
      <c r="J1207" s="63" t="s">
        <v>205</v>
      </c>
      <c r="K1207" s="63">
        <v>1</v>
      </c>
      <c r="L1207" s="63"/>
      <c r="M1207" s="63"/>
      <c r="N1207" s="63">
        <v>1</v>
      </c>
      <c r="O1207" s="63"/>
      <c r="P1207" s="63"/>
      <c r="Q1207" s="63"/>
      <c r="R1207" s="63"/>
      <c r="S1207" s="296"/>
      <c r="T1207" s="63"/>
      <c r="U1207" s="10"/>
      <c r="V1207" s="90"/>
      <c r="W1207" s="136"/>
      <c r="X1207" s="137"/>
      <c r="Y1207" s="2"/>
    </row>
    <row r="1208" spans="1:25">
      <c r="B1208" s="87">
        <f t="shared" si="160"/>
        <v>6</v>
      </c>
      <c r="C1208" s="639">
        <v>45957</v>
      </c>
      <c r="D1208" s="77" t="s">
        <v>1325</v>
      </c>
      <c r="E1208" s="10" t="s">
        <v>1047</v>
      </c>
      <c r="F1208" s="62">
        <v>1261</v>
      </c>
      <c r="G1208" s="62">
        <v>39.700000000000003</v>
      </c>
      <c r="H1208" s="62"/>
      <c r="I1208" s="89">
        <f t="shared" si="159"/>
        <v>1221.3</v>
      </c>
      <c r="J1208" s="63" t="s">
        <v>205</v>
      </c>
      <c r="K1208" s="63">
        <v>1</v>
      </c>
      <c r="L1208" s="63"/>
      <c r="M1208" s="63"/>
      <c r="N1208" s="63">
        <v>1</v>
      </c>
      <c r="O1208" s="63"/>
      <c r="P1208" s="63"/>
      <c r="Q1208" s="63"/>
      <c r="R1208" s="63"/>
      <c r="S1208" s="296"/>
      <c r="T1208" s="63"/>
      <c r="U1208" s="10"/>
      <c r="V1208" s="90"/>
      <c r="W1208" s="136"/>
      <c r="X1208" s="137"/>
      <c r="Y1208" s="2"/>
    </row>
    <row r="1209" spans="1:25">
      <c r="B1209" s="87">
        <f t="shared" si="160"/>
        <v>7</v>
      </c>
      <c r="C1209" s="639">
        <v>45957</v>
      </c>
      <c r="D1209" s="10">
        <v>74863</v>
      </c>
      <c r="E1209" s="101" t="s">
        <v>1042</v>
      </c>
      <c r="F1209" s="62">
        <v>2814</v>
      </c>
      <c r="G1209" s="62">
        <v>39.700000000000003</v>
      </c>
      <c r="H1209" s="62"/>
      <c r="I1209" s="89">
        <f t="shared" si="159"/>
        <v>2774.3</v>
      </c>
      <c r="J1209" s="63" t="s">
        <v>205</v>
      </c>
      <c r="K1209" s="63">
        <v>1</v>
      </c>
      <c r="L1209" s="63"/>
      <c r="M1209" s="63"/>
      <c r="N1209" s="63">
        <v>1</v>
      </c>
      <c r="O1209" s="63"/>
      <c r="P1209" s="63"/>
      <c r="Q1209" s="63">
        <v>1</v>
      </c>
      <c r="R1209" s="63">
        <v>1</v>
      </c>
      <c r="S1209" s="296">
        <v>1</v>
      </c>
      <c r="T1209" s="63"/>
      <c r="U1209" s="10"/>
      <c r="V1209" s="90"/>
      <c r="W1209" s="136"/>
      <c r="X1209" s="137"/>
      <c r="Y1209" s="2"/>
    </row>
    <row r="1210" spans="1:25">
      <c r="B1210" s="87">
        <f t="shared" si="160"/>
        <v>8</v>
      </c>
      <c r="C1210" s="638">
        <v>45958</v>
      </c>
      <c r="D1210" s="275" t="s">
        <v>1326</v>
      </c>
      <c r="E1210" s="281" t="s">
        <v>211</v>
      </c>
      <c r="F1210" s="277">
        <v>1746</v>
      </c>
      <c r="G1210" s="277">
        <v>39.700000000000003</v>
      </c>
      <c r="H1210" s="277"/>
      <c r="I1210" s="278">
        <f t="shared" si="159"/>
        <v>1706.3</v>
      </c>
      <c r="J1210" s="279" t="s">
        <v>205</v>
      </c>
      <c r="K1210" s="279">
        <v>1</v>
      </c>
      <c r="L1210" s="279"/>
      <c r="M1210" s="279"/>
      <c r="N1210" s="279">
        <v>1</v>
      </c>
      <c r="O1210" s="279"/>
      <c r="P1210" s="279"/>
      <c r="Q1210" s="279">
        <v>1</v>
      </c>
      <c r="R1210" s="279">
        <v>1</v>
      </c>
      <c r="S1210" s="280">
        <v>1</v>
      </c>
      <c r="T1210" s="63"/>
      <c r="U1210" s="10"/>
      <c r="V1210" s="90"/>
      <c r="W1210" s="136"/>
      <c r="X1210" s="137"/>
      <c r="Y1210" s="2"/>
    </row>
    <row r="1211" spans="1:25">
      <c r="B1211" s="87">
        <f t="shared" si="160"/>
        <v>9</v>
      </c>
      <c r="C1211" s="639">
        <v>45958</v>
      </c>
      <c r="D1211" s="77" t="s">
        <v>1327</v>
      </c>
      <c r="E1211" s="101" t="s">
        <v>211</v>
      </c>
      <c r="F1211" s="62">
        <v>10328</v>
      </c>
      <c r="G1211" s="62">
        <v>39.700000000000003</v>
      </c>
      <c r="H1211" s="62"/>
      <c r="I1211" s="89">
        <f t="shared" si="159"/>
        <v>10288.299999999999</v>
      </c>
      <c r="J1211" s="63" t="s">
        <v>205</v>
      </c>
      <c r="K1211" s="63">
        <v>1</v>
      </c>
      <c r="L1211" s="63"/>
      <c r="M1211" s="63"/>
      <c r="N1211" s="63">
        <v>1</v>
      </c>
      <c r="O1211" s="63"/>
      <c r="P1211" s="63"/>
      <c r="Q1211" s="63">
        <v>1</v>
      </c>
      <c r="R1211" s="63">
        <v>1</v>
      </c>
      <c r="S1211" s="296">
        <v>1</v>
      </c>
      <c r="T1211" s="63"/>
      <c r="U1211" s="10"/>
      <c r="V1211" s="90"/>
      <c r="W1211" s="136"/>
      <c r="X1211" s="137"/>
      <c r="Y1211" s="2"/>
    </row>
    <row r="1212" spans="1:25">
      <c r="B1212" s="87">
        <f t="shared" si="160"/>
        <v>10</v>
      </c>
      <c r="C1212" s="639">
        <v>45958</v>
      </c>
      <c r="D1212" s="77" t="s">
        <v>1328</v>
      </c>
      <c r="E1212" s="10" t="s">
        <v>752</v>
      </c>
      <c r="F1212" s="62">
        <v>1226</v>
      </c>
      <c r="G1212" s="62">
        <v>39.700000000000003</v>
      </c>
      <c r="H1212" s="62"/>
      <c r="I1212" s="89">
        <f t="shared" si="159"/>
        <v>1186.3</v>
      </c>
      <c r="J1212" s="63" t="s">
        <v>205</v>
      </c>
      <c r="K1212" s="63">
        <v>1</v>
      </c>
      <c r="L1212" s="63"/>
      <c r="M1212" s="63"/>
      <c r="N1212" s="63">
        <v>1</v>
      </c>
      <c r="O1212" s="63"/>
      <c r="P1212" s="63"/>
      <c r="Q1212" s="63"/>
      <c r="R1212" s="63"/>
      <c r="S1212" s="296"/>
      <c r="T1212" s="63"/>
      <c r="U1212" s="10"/>
      <c r="V1212" s="90"/>
      <c r="W1212" s="136"/>
      <c r="X1212" s="137"/>
      <c r="Y1212" s="2"/>
    </row>
    <row r="1213" spans="1:25">
      <c r="B1213" s="87">
        <f t="shared" si="160"/>
        <v>11</v>
      </c>
      <c r="C1213" s="638">
        <v>45959</v>
      </c>
      <c r="D1213" s="276">
        <v>74900</v>
      </c>
      <c r="E1213" s="281" t="s">
        <v>1284</v>
      </c>
      <c r="F1213" s="277">
        <v>796</v>
      </c>
      <c r="G1213" s="277">
        <v>39.700000000000003</v>
      </c>
      <c r="H1213" s="277"/>
      <c r="I1213" s="278">
        <f t="shared" si="159"/>
        <v>756.3</v>
      </c>
      <c r="J1213" s="279" t="s">
        <v>205</v>
      </c>
      <c r="K1213" s="279">
        <v>1</v>
      </c>
      <c r="L1213" s="279"/>
      <c r="M1213" s="279"/>
      <c r="N1213" s="279">
        <v>1</v>
      </c>
      <c r="O1213" s="279"/>
      <c r="P1213" s="279"/>
      <c r="Q1213" s="279">
        <v>1</v>
      </c>
      <c r="R1213" s="279">
        <v>1</v>
      </c>
      <c r="S1213" s="280">
        <v>1</v>
      </c>
      <c r="T1213" s="63"/>
      <c r="U1213" s="10"/>
      <c r="V1213" s="90"/>
      <c r="W1213" s="136"/>
      <c r="X1213" s="137"/>
      <c r="Y1213" s="2"/>
    </row>
    <row r="1214" spans="1:25">
      <c r="B1214" s="87">
        <f t="shared" si="160"/>
        <v>12</v>
      </c>
      <c r="C1214" s="638">
        <v>45961</v>
      </c>
      <c r="D1214" s="276">
        <v>74720</v>
      </c>
      <c r="E1214" s="281" t="s">
        <v>1117</v>
      </c>
      <c r="F1214" s="277">
        <v>861</v>
      </c>
      <c r="G1214" s="277">
        <v>39.700000000000003</v>
      </c>
      <c r="H1214" s="277"/>
      <c r="I1214" s="278">
        <f t="shared" si="159"/>
        <v>821.3</v>
      </c>
      <c r="J1214" s="279" t="s">
        <v>205</v>
      </c>
      <c r="K1214" s="279">
        <v>1</v>
      </c>
      <c r="L1214" s="279"/>
      <c r="M1214" s="279"/>
      <c r="N1214" s="279">
        <v>1</v>
      </c>
      <c r="O1214" s="279"/>
      <c r="P1214" s="279"/>
      <c r="Q1214" s="279">
        <v>1</v>
      </c>
      <c r="R1214" s="279">
        <v>1</v>
      </c>
      <c r="S1214" s="280">
        <v>1</v>
      </c>
      <c r="T1214" s="63"/>
      <c r="U1214" s="10"/>
      <c r="V1214" s="90"/>
      <c r="W1214" s="136"/>
      <c r="X1214" s="137"/>
      <c r="Y1214" s="2"/>
    </row>
    <row r="1215" spans="1:25">
      <c r="B1215" s="87">
        <f t="shared" si="160"/>
        <v>13</v>
      </c>
      <c r="C1215" s="639">
        <v>45961</v>
      </c>
      <c r="D1215" s="77">
        <v>74992</v>
      </c>
      <c r="E1215" s="101" t="s">
        <v>1115</v>
      </c>
      <c r="F1215" s="62">
        <v>1681</v>
      </c>
      <c r="G1215" s="62">
        <v>39.700000000000003</v>
      </c>
      <c r="H1215" s="62"/>
      <c r="I1215" s="89">
        <f t="shared" si="159"/>
        <v>1641.3</v>
      </c>
      <c r="J1215" s="63" t="s">
        <v>205</v>
      </c>
      <c r="K1215" s="63">
        <v>1</v>
      </c>
      <c r="L1215" s="63"/>
      <c r="M1215" s="63"/>
      <c r="N1215" s="63">
        <v>1</v>
      </c>
      <c r="O1215" s="63"/>
      <c r="P1215" s="63"/>
      <c r="Q1215" s="63">
        <v>1</v>
      </c>
      <c r="R1215" s="63">
        <v>1</v>
      </c>
      <c r="S1215" s="296">
        <v>1</v>
      </c>
      <c r="T1215" s="63"/>
      <c r="U1215" s="10"/>
      <c r="V1215" s="90"/>
      <c r="W1215" s="136"/>
      <c r="X1215" s="137"/>
      <c r="Y1215" s="2"/>
    </row>
    <row r="1216" spans="1:25">
      <c r="B1216" s="87">
        <f>B1215+1</f>
        <v>14</v>
      </c>
      <c r="C1216" s="639">
        <v>45961</v>
      </c>
      <c r="D1216" s="77" t="s">
        <v>1329</v>
      </c>
      <c r="E1216" s="10" t="s">
        <v>1319</v>
      </c>
      <c r="F1216" s="62">
        <v>14989</v>
      </c>
      <c r="G1216" s="62">
        <v>39.700000000000003</v>
      </c>
      <c r="H1216" s="62"/>
      <c r="I1216" s="89">
        <f t="shared" si="159"/>
        <v>14949.3</v>
      </c>
      <c r="J1216" s="63" t="s">
        <v>205</v>
      </c>
      <c r="K1216" s="63">
        <v>1</v>
      </c>
      <c r="L1216" s="63"/>
      <c r="M1216" s="63"/>
      <c r="N1216" s="63">
        <v>1</v>
      </c>
      <c r="O1216" s="63"/>
      <c r="P1216" s="63"/>
      <c r="Q1216" s="63"/>
      <c r="R1216" s="63"/>
      <c r="S1216" s="296"/>
      <c r="T1216" s="63"/>
      <c r="U1216" s="10"/>
      <c r="V1216" s="90"/>
      <c r="W1216" s="136"/>
      <c r="X1216" s="137"/>
      <c r="Y1216" s="2"/>
    </row>
    <row r="1217" spans="2:25">
      <c r="B1217" s="87">
        <f t="shared" si="160"/>
        <v>15</v>
      </c>
      <c r="C1217" s="639">
        <v>45961</v>
      </c>
      <c r="D1217" s="77" t="s">
        <v>1330</v>
      </c>
      <c r="E1217" s="10" t="s">
        <v>1034</v>
      </c>
      <c r="F1217" s="62">
        <v>4419</v>
      </c>
      <c r="G1217" s="62">
        <v>39.700000000000003</v>
      </c>
      <c r="H1217" s="62"/>
      <c r="I1217" s="89">
        <f t="shared" si="159"/>
        <v>4379.3</v>
      </c>
      <c r="J1217" s="63" t="s">
        <v>205</v>
      </c>
      <c r="K1217" s="63">
        <v>1</v>
      </c>
      <c r="L1217" s="63"/>
      <c r="M1217" s="63"/>
      <c r="N1217" s="63">
        <v>1</v>
      </c>
      <c r="O1217" s="63"/>
      <c r="P1217" s="63"/>
      <c r="Q1217" s="63">
        <v>1</v>
      </c>
      <c r="R1217" s="63">
        <v>1</v>
      </c>
      <c r="S1217" s="296">
        <v>1</v>
      </c>
      <c r="T1217" s="63"/>
      <c r="U1217" s="10"/>
      <c r="V1217" s="90"/>
      <c r="W1217" s="136"/>
      <c r="X1217" s="137"/>
      <c r="Y1217" s="2"/>
    </row>
    <row r="1218" spans="2:25">
      <c r="B1218" s="87">
        <f>B1217+1</f>
        <v>16</v>
      </c>
      <c r="C1218" s="639">
        <v>45961</v>
      </c>
      <c r="D1218" s="77" t="s">
        <v>1331</v>
      </c>
      <c r="E1218" s="10" t="s">
        <v>1034</v>
      </c>
      <c r="F1218" s="62">
        <v>14593</v>
      </c>
      <c r="G1218" s="62">
        <v>39.700000000000003</v>
      </c>
      <c r="H1218" s="62"/>
      <c r="I1218" s="89">
        <f t="shared" si="159"/>
        <v>14553.3</v>
      </c>
      <c r="J1218" s="63" t="s">
        <v>205</v>
      </c>
      <c r="K1218" s="63">
        <v>1</v>
      </c>
      <c r="L1218" s="63"/>
      <c r="M1218" s="63"/>
      <c r="N1218" s="63">
        <v>1</v>
      </c>
      <c r="O1218" s="63"/>
      <c r="P1218" s="63"/>
      <c r="Q1218" s="63">
        <v>1</v>
      </c>
      <c r="R1218" s="63">
        <v>1</v>
      </c>
      <c r="S1218" s="296">
        <v>1</v>
      </c>
      <c r="T1218" s="63"/>
      <c r="U1218" s="10"/>
      <c r="V1218" s="90"/>
      <c r="W1218" s="136"/>
      <c r="X1218" s="137"/>
      <c r="Y1218" s="2"/>
    </row>
    <row r="1219" spans="2:25">
      <c r="B1219" s="87">
        <f>B1218+1</f>
        <v>17</v>
      </c>
      <c r="C1219" s="639">
        <v>45961</v>
      </c>
      <c r="D1219" s="77">
        <v>75028</v>
      </c>
      <c r="E1219" s="10" t="s">
        <v>1100</v>
      </c>
      <c r="F1219" s="62">
        <v>1075</v>
      </c>
      <c r="G1219" s="62">
        <v>39.700000000000003</v>
      </c>
      <c r="H1219" s="62"/>
      <c r="I1219" s="89">
        <f>F1219-G1219-H1219</f>
        <v>1035.3</v>
      </c>
      <c r="J1219" s="63" t="s">
        <v>205</v>
      </c>
      <c r="K1219" s="63">
        <v>1</v>
      </c>
      <c r="L1219" s="63"/>
      <c r="M1219" s="63"/>
      <c r="N1219" s="63">
        <v>1</v>
      </c>
      <c r="O1219" s="63"/>
      <c r="P1219" s="63"/>
      <c r="Q1219" s="63">
        <v>1</v>
      </c>
      <c r="R1219" s="63">
        <v>1</v>
      </c>
      <c r="S1219" s="296">
        <v>1</v>
      </c>
      <c r="T1219" s="63"/>
      <c r="U1219" s="10"/>
      <c r="V1219" s="90"/>
      <c r="W1219" s="136"/>
      <c r="X1219" s="137"/>
      <c r="Y1219" s="2"/>
    </row>
    <row r="1220" spans="2:25">
      <c r="B1220" s="87">
        <f t="shared" si="160"/>
        <v>18</v>
      </c>
      <c r="C1220" s="640">
        <v>45961</v>
      </c>
      <c r="D1220" s="302">
        <v>74997</v>
      </c>
      <c r="E1220" s="283" t="s">
        <v>1105</v>
      </c>
      <c r="F1220" s="284">
        <v>2674</v>
      </c>
      <c r="G1220" s="284">
        <v>39.700000000000003</v>
      </c>
      <c r="H1220" s="284"/>
      <c r="I1220" s="285">
        <f t="shared" si="159"/>
        <v>2634.3</v>
      </c>
      <c r="J1220" s="286" t="s">
        <v>205</v>
      </c>
      <c r="K1220" s="286">
        <v>1</v>
      </c>
      <c r="L1220" s="286"/>
      <c r="M1220" s="286"/>
      <c r="N1220" s="286">
        <v>1</v>
      </c>
      <c r="O1220" s="286"/>
      <c r="P1220" s="286"/>
      <c r="Q1220" s="286">
        <v>1</v>
      </c>
      <c r="R1220" s="286">
        <v>1</v>
      </c>
      <c r="S1220" s="287">
        <v>1</v>
      </c>
      <c r="T1220" s="63"/>
      <c r="U1220" s="10"/>
      <c r="V1220" s="90"/>
      <c r="W1220" s="136"/>
      <c r="X1220" s="137"/>
      <c r="Y1220" s="2"/>
    </row>
    <row r="1221" spans="2:25">
      <c r="B1221" s="11"/>
      <c r="C1221" s="621"/>
      <c r="D1221" s="10"/>
      <c r="E1221" s="10"/>
      <c r="F1221" s="97">
        <f>SUM(F1203:F1220)</f>
        <v>70561</v>
      </c>
      <c r="G1221" s="97">
        <f>SUM(G1203:G1220)</f>
        <v>674.90000000000009</v>
      </c>
      <c r="H1221" s="97">
        <f>SUM(H1203:H1220)</f>
        <v>0</v>
      </c>
      <c r="I1221" s="98">
        <f>SUM(I1203:I1220)</f>
        <v>69886.100000000006</v>
      </c>
      <c r="J1221" s="10"/>
      <c r="K1221" s="10"/>
      <c r="L1221" s="10"/>
      <c r="M1221" s="10"/>
      <c r="N1221" s="10"/>
      <c r="O1221" s="10"/>
      <c r="P1221" s="10"/>
      <c r="Q1221" s="10"/>
      <c r="R1221" s="10"/>
      <c r="S1221" s="10"/>
      <c r="T1221" s="63"/>
      <c r="U1221" s="10"/>
      <c r="V1221" s="138"/>
      <c r="W1221" s="136"/>
      <c r="X1221" s="137"/>
      <c r="Y1221" s="2"/>
    </row>
    <row r="1222" spans="2:25">
      <c r="B1222" s="26"/>
      <c r="C1222" s="612"/>
      <c r="D1222" s="141"/>
      <c r="E1222" s="141"/>
      <c r="F1222" s="141"/>
      <c r="G1222" s="141"/>
      <c r="H1222" s="141"/>
      <c r="I1222" s="141"/>
      <c r="J1222" s="141"/>
      <c r="K1222" s="142"/>
      <c r="L1222" s="142"/>
      <c r="M1222" s="142"/>
      <c r="N1222" s="142"/>
      <c r="O1222" s="142"/>
      <c r="P1222" s="142"/>
      <c r="Q1222" s="142"/>
      <c r="R1222" s="142"/>
      <c r="S1222" s="142"/>
      <c r="T1222" s="143">
        <f>SUM(T1162:T1221)</f>
        <v>3</v>
      </c>
      <c r="U1222" s="141"/>
      <c r="V1222" s="144">
        <f>SUM(V1161:V1221)</f>
        <v>12069.48</v>
      </c>
      <c r="W1222" s="144">
        <f t="shared" ref="W1222:X1222" si="161">SUM(W1161:W1221)</f>
        <v>280</v>
      </c>
      <c r="X1222" s="144">
        <f t="shared" si="161"/>
        <v>0</v>
      </c>
      <c r="Y1222" s="2"/>
    </row>
    <row r="1223" spans="2:25">
      <c r="B1223" s="10"/>
      <c r="C1223" s="36"/>
      <c r="D1223" s="10"/>
      <c r="E1223" s="10"/>
      <c r="F1223" s="10"/>
      <c r="G1223" s="10"/>
      <c r="H1223" s="10"/>
      <c r="I1223" s="10"/>
      <c r="J1223" s="10"/>
      <c r="K1223" s="147"/>
      <c r="L1223" s="147"/>
      <c r="M1223" s="147"/>
      <c r="N1223" s="147"/>
      <c r="O1223" s="147"/>
      <c r="P1223" s="147"/>
      <c r="Q1223" s="147"/>
      <c r="R1223" s="147"/>
      <c r="S1223" s="147"/>
      <c r="T1223" s="21"/>
      <c r="U1223" s="10"/>
      <c r="V1223" s="99"/>
      <c r="W1223" s="99"/>
      <c r="X1223" s="99"/>
      <c r="Y1223" s="2"/>
    </row>
    <row r="1225" spans="2:25">
      <c r="B1225" s="4" t="s">
        <v>1</v>
      </c>
      <c r="C1225" s="5"/>
      <c r="D1225" s="6"/>
      <c r="E1225" s="6"/>
      <c r="F1225" s="7" t="s">
        <v>2</v>
      </c>
      <c r="G1225" s="608">
        <v>45970</v>
      </c>
      <c r="H1225" s="7"/>
      <c r="I1225" s="6"/>
      <c r="J1225" s="6"/>
      <c r="K1225" s="6"/>
      <c r="L1225" s="6"/>
      <c r="M1225" s="6"/>
      <c r="N1225" s="6"/>
      <c r="O1225" s="6"/>
      <c r="P1225" s="6"/>
      <c r="Q1225" s="6"/>
      <c r="R1225" s="6"/>
      <c r="S1225" s="6"/>
      <c r="T1225" s="6"/>
      <c r="U1225" s="9"/>
      <c r="V1225" s="10"/>
      <c r="W1225" s="10"/>
      <c r="X1225" s="10"/>
      <c r="Y1225" s="2"/>
    </row>
    <row r="1226" spans="2:25">
      <c r="B1226" s="11"/>
      <c r="C1226" s="10"/>
      <c r="D1226" s="10"/>
      <c r="E1226" s="10"/>
      <c r="F1226" s="10"/>
      <c r="G1226" s="7"/>
      <c r="H1226" s="12"/>
      <c r="I1226" s="10"/>
      <c r="J1226" s="10"/>
      <c r="K1226" s="13" t="s">
        <v>3</v>
      </c>
      <c r="L1226" s="14"/>
      <c r="M1226" s="15"/>
      <c r="N1226" s="13" t="s">
        <v>4</v>
      </c>
      <c r="O1226" s="14"/>
      <c r="P1226" s="15"/>
      <c r="Q1226" s="13" t="s">
        <v>5</v>
      </c>
      <c r="R1226" s="14"/>
      <c r="S1226" s="15"/>
      <c r="T1226" s="16"/>
      <c r="U1226" s="17"/>
      <c r="V1226" s="10"/>
      <c r="W1226" s="10"/>
      <c r="X1226" s="10"/>
      <c r="Y1226" s="2"/>
    </row>
    <row r="1227" spans="2:25">
      <c r="B1227" s="18" t="s">
        <v>6</v>
      </c>
      <c r="C1227" s="19">
        <f>C1228+C1229</f>
        <v>16</v>
      </c>
      <c r="D1227" s="10"/>
      <c r="E1227" s="18" t="s">
        <v>7</v>
      </c>
      <c r="F1227" s="6"/>
      <c r="G1227" s="9"/>
      <c r="H1227" s="10"/>
      <c r="I1227" s="10"/>
      <c r="J1227" s="10"/>
      <c r="K1227" s="20" t="s">
        <v>8</v>
      </c>
      <c r="L1227" s="21" t="s">
        <v>9</v>
      </c>
      <c r="M1227" s="21" t="s">
        <v>10</v>
      </c>
      <c r="N1227" s="20" t="s">
        <v>11</v>
      </c>
      <c r="O1227" s="21" t="s">
        <v>12</v>
      </c>
      <c r="P1227" s="22" t="s">
        <v>13</v>
      </c>
      <c r="Q1227" s="21" t="s">
        <v>11</v>
      </c>
      <c r="R1227" s="21" t="s">
        <v>12</v>
      </c>
      <c r="S1227" s="22" t="s">
        <v>13</v>
      </c>
      <c r="T1227" s="23" t="s">
        <v>14</v>
      </c>
      <c r="U1227" s="17"/>
      <c r="V1227" s="10"/>
      <c r="W1227" s="10"/>
      <c r="X1227" s="10"/>
      <c r="Y1227" s="2"/>
    </row>
    <row r="1228" spans="2:25">
      <c r="B1228" s="24" t="s">
        <v>15</v>
      </c>
      <c r="C1228" s="25">
        <f>P1235</f>
        <v>3</v>
      </c>
      <c r="D1228" s="10"/>
      <c r="E1228" s="26" t="s">
        <v>16</v>
      </c>
      <c r="F1228" s="27">
        <v>0.05</v>
      </c>
      <c r="G1228" s="28"/>
      <c r="H1228" s="10"/>
      <c r="I1228" s="10"/>
      <c r="J1228" s="18" t="s">
        <v>17</v>
      </c>
      <c r="K1228" s="29">
        <f>K1269</f>
        <v>1</v>
      </c>
      <c r="L1228" s="29">
        <f t="shared" ref="L1228:S1228" si="162">L1269</f>
        <v>1</v>
      </c>
      <c r="M1228" s="29">
        <f t="shared" si="162"/>
        <v>1</v>
      </c>
      <c r="N1228" s="29">
        <f t="shared" si="162"/>
        <v>1</v>
      </c>
      <c r="O1228" s="29">
        <f t="shared" si="162"/>
        <v>1</v>
      </c>
      <c r="P1228" s="29">
        <f t="shared" si="162"/>
        <v>1</v>
      </c>
      <c r="Q1228" s="29">
        <f t="shared" si="162"/>
        <v>1</v>
      </c>
      <c r="R1228" s="29">
        <f t="shared" si="162"/>
        <v>1</v>
      </c>
      <c r="S1228" s="29">
        <f t="shared" si="162"/>
        <v>1</v>
      </c>
      <c r="T1228" s="30">
        <f>T1366</f>
        <v>1</v>
      </c>
      <c r="U1228" s="17"/>
      <c r="V1228" s="10"/>
      <c r="W1228" s="10"/>
      <c r="X1228" s="10"/>
      <c r="Y1228" s="2"/>
    </row>
    <row r="1229" spans="2:25">
      <c r="B1229" s="24" t="s">
        <v>18</v>
      </c>
      <c r="C1229" s="25">
        <f>P1236</f>
        <v>13</v>
      </c>
      <c r="D1229" s="10"/>
      <c r="E1229" s="10"/>
      <c r="F1229" s="10"/>
      <c r="G1229" s="31"/>
      <c r="H1229" s="10"/>
      <c r="I1229" s="10"/>
      <c r="J1229" s="32" t="s">
        <v>19</v>
      </c>
      <c r="K1229" s="33">
        <f>K1269/K1268</f>
        <v>1</v>
      </c>
      <c r="L1229" s="33">
        <f t="shared" ref="L1229:S1229" si="163">L1269/L1268</f>
        <v>1</v>
      </c>
      <c r="M1229" s="33">
        <f t="shared" si="163"/>
        <v>1</v>
      </c>
      <c r="N1229" s="33">
        <f t="shared" si="163"/>
        <v>1</v>
      </c>
      <c r="O1229" s="33">
        <f t="shared" si="163"/>
        <v>1</v>
      </c>
      <c r="P1229" s="33">
        <f t="shared" si="163"/>
        <v>1</v>
      </c>
      <c r="Q1229" s="33">
        <f t="shared" si="163"/>
        <v>1</v>
      </c>
      <c r="R1229" s="33">
        <f t="shared" si="163"/>
        <v>1</v>
      </c>
      <c r="S1229" s="33">
        <f t="shared" si="163"/>
        <v>1</v>
      </c>
      <c r="T1229" s="23"/>
      <c r="U1229" s="17" t="s">
        <v>20</v>
      </c>
      <c r="V1229" s="10"/>
      <c r="W1229" s="10"/>
      <c r="X1229" s="10"/>
      <c r="Y1229" s="2"/>
    </row>
    <row r="1230" spans="2:25">
      <c r="B1230" s="24" t="s">
        <v>21</v>
      </c>
      <c r="C1230" s="34">
        <f>P1237</f>
        <v>0.1875</v>
      </c>
      <c r="D1230" s="10"/>
      <c r="E1230" s="10"/>
      <c r="F1230" s="10"/>
      <c r="G1230" s="10"/>
      <c r="H1230" s="10"/>
      <c r="I1230" s="10"/>
      <c r="J1230" s="10"/>
      <c r="K1230" s="10"/>
      <c r="L1230" s="10"/>
      <c r="M1230" s="10"/>
      <c r="N1230" s="10"/>
      <c r="O1230" s="10"/>
      <c r="P1230" s="10"/>
      <c r="Q1230" s="10"/>
      <c r="R1230" s="10"/>
      <c r="S1230" s="10"/>
      <c r="T1230" s="10"/>
      <c r="U1230" s="17"/>
      <c r="V1230" s="10"/>
      <c r="W1230" s="10"/>
      <c r="X1230" s="10"/>
      <c r="Y1230" s="2"/>
    </row>
    <row r="1231" spans="2:25">
      <c r="B1231" s="24"/>
      <c r="C1231" s="25"/>
      <c r="D1231" s="10"/>
      <c r="E1231" s="10"/>
      <c r="F1231" s="18" t="s">
        <v>22</v>
      </c>
      <c r="G1231" s="19" t="s">
        <v>23</v>
      </c>
      <c r="H1231" s="35" t="s">
        <v>24</v>
      </c>
      <c r="I1231" s="10"/>
      <c r="J1231" s="10"/>
      <c r="K1231" s="36"/>
      <c r="L1231" s="36"/>
      <c r="M1231" s="36"/>
      <c r="N1231" s="36"/>
      <c r="O1231" s="36"/>
      <c r="P1231" s="36"/>
      <c r="Q1231" s="36"/>
      <c r="R1231" s="10"/>
      <c r="S1231" s="10"/>
      <c r="T1231" s="10"/>
      <c r="U1231" s="17"/>
      <c r="V1231" s="10"/>
      <c r="W1231" s="10"/>
      <c r="X1231" s="10"/>
      <c r="Y1231" s="2"/>
    </row>
    <row r="1232" spans="2:25">
      <c r="B1232" s="32" t="s">
        <v>25</v>
      </c>
      <c r="C1232" s="37">
        <f>P1238</f>
        <v>1374.5333333333335</v>
      </c>
      <c r="D1232" s="10"/>
      <c r="E1232" s="18" t="s">
        <v>26</v>
      </c>
      <c r="F1232" s="38">
        <f>P1234</f>
        <v>4123.6000000000004</v>
      </c>
      <c r="G1232" s="39">
        <f>I1268+I1302+I1324</f>
        <v>4123.6000000000004</v>
      </c>
      <c r="H1232" s="40"/>
      <c r="I1232" s="41"/>
      <c r="J1232" s="42"/>
      <c r="K1232" s="43" t="s">
        <v>27</v>
      </c>
      <c r="L1232" s="44"/>
      <c r="M1232" s="44"/>
      <c r="N1232" s="44"/>
      <c r="O1232" s="44"/>
      <c r="P1232" s="44"/>
      <c r="Q1232" s="45"/>
      <c r="R1232" s="46" t="s">
        <v>28</v>
      </c>
      <c r="S1232" s="47" t="s">
        <v>29</v>
      </c>
      <c r="T1232" s="10"/>
      <c r="U1232" s="17"/>
      <c r="V1232" s="10"/>
      <c r="W1232" s="10"/>
      <c r="X1232" s="10"/>
      <c r="Y1232" s="2"/>
    </row>
    <row r="1233" spans="2:25">
      <c r="B1233" s="11"/>
      <c r="C1233" s="10"/>
      <c r="D1233" s="10"/>
      <c r="E1233" s="24" t="s">
        <v>30</v>
      </c>
      <c r="F1233" s="48">
        <f>F1228</f>
        <v>0.05</v>
      </c>
      <c r="G1233" s="17"/>
      <c r="H1233" s="40"/>
      <c r="I1233" s="41"/>
      <c r="J1233" s="42"/>
      <c r="K1233" s="20" t="s">
        <v>31</v>
      </c>
      <c r="L1233" s="21" t="s">
        <v>32</v>
      </c>
      <c r="M1233" s="21" t="s">
        <v>33</v>
      </c>
      <c r="N1233" s="21" t="s">
        <v>34</v>
      </c>
      <c r="O1233" s="21" t="s">
        <v>35</v>
      </c>
      <c r="P1233" s="21" t="s">
        <v>36</v>
      </c>
      <c r="Q1233" s="49" t="s">
        <v>37</v>
      </c>
      <c r="R1233" s="50" t="s">
        <v>38</v>
      </c>
      <c r="S1233" s="50" t="s">
        <v>38</v>
      </c>
      <c r="T1233" s="10"/>
      <c r="U1233" s="17"/>
      <c r="V1233" s="10"/>
      <c r="W1233" s="10"/>
      <c r="X1233" s="10"/>
      <c r="Y1233" s="2"/>
    </row>
    <row r="1234" spans="2:25">
      <c r="B1234" s="11"/>
      <c r="C1234" s="10"/>
      <c r="D1234" s="10"/>
      <c r="E1234" s="51" t="s">
        <v>39</v>
      </c>
      <c r="F1234" s="52">
        <f>F1232*F1233</f>
        <v>206.18000000000004</v>
      </c>
      <c r="G1234" s="53" t="s">
        <v>40</v>
      </c>
      <c r="H1234" s="54">
        <f>F1234/1.12</f>
        <v>184.08928571428572</v>
      </c>
      <c r="I1234" s="55"/>
      <c r="J1234" s="42"/>
      <c r="K1234" s="56">
        <f>I1252+I1316+I1317</f>
        <v>4123.6000000000004</v>
      </c>
      <c r="L1234" s="57"/>
      <c r="M1234" s="57"/>
      <c r="N1234" s="57"/>
      <c r="O1234" s="57"/>
      <c r="P1234" s="57">
        <f>SUM(K1234:O1234)</f>
        <v>4123.6000000000004</v>
      </c>
      <c r="Q1234" s="58">
        <v>0</v>
      </c>
      <c r="R1234" s="59">
        <f>I1302+I1324</f>
        <v>3642.6</v>
      </c>
      <c r="S1234" s="59">
        <f>I1313+I1335</f>
        <v>0</v>
      </c>
      <c r="T1234" s="10"/>
      <c r="U1234" s="17"/>
      <c r="V1234" s="10"/>
      <c r="W1234" s="10"/>
      <c r="X1234" s="10"/>
      <c r="Y1234" s="2"/>
    </row>
    <row r="1235" spans="2:25">
      <c r="B1235" s="11"/>
      <c r="C1235" s="10"/>
      <c r="D1235" s="10"/>
      <c r="E1235" s="24" t="s">
        <v>41</v>
      </c>
      <c r="F1235" s="60">
        <f>Q1234</f>
        <v>0</v>
      </c>
      <c r="G1235" s="61" t="s">
        <v>40</v>
      </c>
      <c r="H1235" s="62"/>
      <c r="I1235" s="62"/>
      <c r="J1235" s="10" t="s">
        <v>42</v>
      </c>
      <c r="K1235" s="63">
        <v>3</v>
      </c>
      <c r="L1235" s="63"/>
      <c r="M1235" s="63"/>
      <c r="N1235" s="63"/>
      <c r="O1235" s="63"/>
      <c r="P1235" s="21">
        <f>SUM(K1235:O1235)</f>
        <v>3</v>
      </c>
      <c r="Q1235" s="64"/>
      <c r="R1235" s="63"/>
      <c r="S1235" s="10"/>
      <c r="T1235" s="10"/>
      <c r="U1235" s="17"/>
      <c r="V1235" s="10"/>
      <c r="W1235" s="10"/>
      <c r="X1235" s="10"/>
      <c r="Y1235" s="2"/>
    </row>
    <row r="1236" spans="2:25">
      <c r="B1236" s="11"/>
      <c r="C1236" s="10"/>
      <c r="D1236" s="10"/>
      <c r="E1236" s="51" t="s">
        <v>43</v>
      </c>
      <c r="F1236" s="52">
        <f>F1235*0.25</f>
        <v>0</v>
      </c>
      <c r="G1236" s="53" t="s">
        <v>40</v>
      </c>
      <c r="H1236" s="54">
        <f>F1236/1.12</f>
        <v>0</v>
      </c>
      <c r="I1236" s="10"/>
      <c r="J1236" s="10" t="s">
        <v>44</v>
      </c>
      <c r="K1236" s="63">
        <v>13</v>
      </c>
      <c r="L1236" s="63"/>
      <c r="M1236" s="63"/>
      <c r="N1236" s="63"/>
      <c r="O1236" s="63"/>
      <c r="P1236" s="21">
        <f>SUM(K1236:O1236)</f>
        <v>13</v>
      </c>
      <c r="Q1236" s="64"/>
      <c r="R1236" s="63"/>
      <c r="S1236" s="10"/>
      <c r="T1236" s="10"/>
      <c r="U1236" s="17"/>
      <c r="V1236" s="10"/>
      <c r="W1236" s="10"/>
      <c r="X1236" s="10"/>
      <c r="Y1236" s="2"/>
    </row>
    <row r="1237" spans="2:25">
      <c r="B1237" s="11"/>
      <c r="C1237" s="10"/>
      <c r="D1237" s="10"/>
      <c r="E1237" s="24" t="s">
        <v>45</v>
      </c>
      <c r="F1237" s="60"/>
      <c r="G1237" s="61" t="s">
        <v>40</v>
      </c>
      <c r="H1237" s="62"/>
      <c r="I1237" s="10"/>
      <c r="J1237" s="10" t="s">
        <v>46</v>
      </c>
      <c r="K1237" s="31">
        <f t="shared" ref="K1237:Q1237" si="164">K1235/(K1235+K1236)</f>
        <v>0.1875</v>
      </c>
      <c r="L1237" s="31" t="e">
        <f t="shared" si="164"/>
        <v>#DIV/0!</v>
      </c>
      <c r="M1237" s="31" t="e">
        <f t="shared" si="164"/>
        <v>#DIV/0!</v>
      </c>
      <c r="N1237" s="31" t="e">
        <f t="shared" si="164"/>
        <v>#DIV/0!</v>
      </c>
      <c r="O1237" s="31" t="e">
        <f t="shared" si="164"/>
        <v>#DIV/0!</v>
      </c>
      <c r="P1237" s="31">
        <f t="shared" si="164"/>
        <v>0.1875</v>
      </c>
      <c r="Q1237" s="31" t="e">
        <f t="shared" si="164"/>
        <v>#DIV/0!</v>
      </c>
      <c r="R1237" s="63"/>
      <c r="S1237" s="10"/>
      <c r="T1237" s="10"/>
      <c r="U1237" s="17"/>
      <c r="V1237" s="10"/>
      <c r="W1237" s="10"/>
      <c r="X1237" s="10"/>
      <c r="Y1237" s="2"/>
    </row>
    <row r="1238" spans="2:25">
      <c r="B1238" s="11"/>
      <c r="C1238" s="10"/>
      <c r="D1238" s="10"/>
      <c r="E1238" s="51" t="s">
        <v>47</v>
      </c>
      <c r="F1238" s="52">
        <f>F1237*0.05</f>
        <v>0</v>
      </c>
      <c r="G1238" s="65" t="s">
        <v>40</v>
      </c>
      <c r="H1238" s="54">
        <f>F1238/1.12</f>
        <v>0</v>
      </c>
      <c r="I1238" s="42"/>
      <c r="J1238" s="10" t="s">
        <v>48</v>
      </c>
      <c r="K1238" s="66">
        <f>K1234/K1235</f>
        <v>1374.5333333333335</v>
      </c>
      <c r="L1238" s="66" t="e">
        <f t="shared" ref="L1238:Q1238" si="165">L1234/L1235</f>
        <v>#DIV/0!</v>
      </c>
      <c r="M1238" s="66" t="e">
        <f t="shared" si="165"/>
        <v>#DIV/0!</v>
      </c>
      <c r="N1238" s="66" t="e">
        <f t="shared" si="165"/>
        <v>#DIV/0!</v>
      </c>
      <c r="O1238" s="66" t="e">
        <f t="shared" si="165"/>
        <v>#DIV/0!</v>
      </c>
      <c r="P1238" s="66">
        <f t="shared" si="165"/>
        <v>1374.5333333333335</v>
      </c>
      <c r="Q1238" s="66" t="e">
        <f t="shared" si="165"/>
        <v>#DIV/0!</v>
      </c>
      <c r="R1238" s="63"/>
      <c r="S1238" s="10"/>
      <c r="T1238" s="10"/>
      <c r="U1238" s="17"/>
      <c r="V1238" s="10"/>
      <c r="W1238" s="10"/>
      <c r="X1238" s="10"/>
      <c r="Y1238" s="2"/>
    </row>
    <row r="1239" spans="2:25">
      <c r="B1239" s="11"/>
      <c r="C1239" s="10"/>
      <c r="D1239" s="10"/>
      <c r="E1239" s="67" t="s">
        <v>14</v>
      </c>
      <c r="F1239" s="68"/>
      <c r="G1239" s="10"/>
      <c r="H1239" s="54">
        <f>F1239/1.12</f>
        <v>0</v>
      </c>
      <c r="I1239" s="10"/>
      <c r="J1239" s="10"/>
      <c r="K1239" s="10"/>
      <c r="L1239" s="10"/>
      <c r="M1239" s="10"/>
      <c r="N1239" s="10"/>
      <c r="O1239" s="10"/>
      <c r="P1239" s="10"/>
      <c r="Q1239" s="10"/>
      <c r="R1239" s="10"/>
      <c r="S1239" s="10"/>
      <c r="T1239" s="10"/>
      <c r="U1239" s="17"/>
      <c r="V1239" s="10"/>
      <c r="W1239" s="10"/>
      <c r="X1239" s="10"/>
      <c r="Y1239" s="2"/>
    </row>
    <row r="1240" spans="2:25">
      <c r="B1240" s="11"/>
      <c r="C1240" s="10"/>
      <c r="D1240" s="10"/>
      <c r="E1240" s="67" t="s">
        <v>49</v>
      </c>
      <c r="F1240" s="69">
        <f>T1229</f>
        <v>0</v>
      </c>
      <c r="G1240" s="10"/>
      <c r="H1240" s="54"/>
      <c r="I1240" s="55"/>
      <c r="J1240" s="42"/>
      <c r="K1240" s="764" t="s">
        <v>50</v>
      </c>
      <c r="L1240" s="765"/>
      <c r="M1240" s="765"/>
      <c r="N1240" s="765"/>
      <c r="O1240" s="765"/>
      <c r="P1240" s="765"/>
      <c r="Q1240" s="766"/>
      <c r="R1240" s="70" t="s">
        <v>28</v>
      </c>
      <c r="S1240" s="71" t="s">
        <v>29</v>
      </c>
      <c r="T1240" s="10"/>
      <c r="U1240" s="17"/>
      <c r="V1240" s="10"/>
      <c r="W1240" s="10"/>
      <c r="X1240" s="10"/>
      <c r="Y1240" s="2"/>
    </row>
    <row r="1241" spans="2:25">
      <c r="B1241" s="11"/>
      <c r="C1241" s="10"/>
      <c r="D1241" s="10"/>
      <c r="E1241" s="72"/>
      <c r="F1241" s="73"/>
      <c r="G1241" s="10"/>
      <c r="H1241" s="10"/>
      <c r="I1241" s="10"/>
      <c r="J1241" s="42"/>
      <c r="K1241" s="20" t="s">
        <v>31</v>
      </c>
      <c r="L1241" s="21" t="s">
        <v>32</v>
      </c>
      <c r="M1241" s="21" t="s">
        <v>33</v>
      </c>
      <c r="N1241" s="21" t="s">
        <v>34</v>
      </c>
      <c r="O1241" s="21" t="s">
        <v>35</v>
      </c>
      <c r="P1241" s="21" t="s">
        <v>36</v>
      </c>
      <c r="Q1241" s="49" t="s">
        <v>37</v>
      </c>
      <c r="R1241" s="50" t="s">
        <v>38</v>
      </c>
      <c r="S1241" s="50" t="s">
        <v>38</v>
      </c>
      <c r="T1241" s="10"/>
      <c r="U1241" s="17"/>
      <c r="V1241" s="10"/>
      <c r="W1241" s="10"/>
      <c r="X1241" s="10"/>
      <c r="Y1241" s="2"/>
    </row>
    <row r="1242" spans="2:25">
      <c r="B1242" s="11"/>
      <c r="C1242" s="10"/>
      <c r="D1242" s="10"/>
      <c r="E1242" s="72"/>
      <c r="F1242" s="73"/>
      <c r="G1242" s="10"/>
      <c r="H1242" s="10"/>
      <c r="I1242" s="10"/>
      <c r="J1242" s="42"/>
      <c r="K1242" s="56">
        <f>F1252+F1316+F1317</f>
        <v>4203</v>
      </c>
      <c r="L1242" s="57"/>
      <c r="M1242" s="57"/>
      <c r="N1242" s="57"/>
      <c r="O1242" s="57"/>
      <c r="P1242" s="57">
        <f>SUM(K1242:O1242)</f>
        <v>4203</v>
      </c>
      <c r="Q1242" s="58">
        <v>0</v>
      </c>
      <c r="R1242" s="59">
        <f>F1302+F1324</f>
        <v>3722</v>
      </c>
      <c r="S1242" s="59">
        <f>F1313+F1335</f>
        <v>0</v>
      </c>
      <c r="T1242" s="10"/>
      <c r="U1242" s="17"/>
      <c r="V1242" s="10"/>
      <c r="W1242" s="10"/>
      <c r="X1242" s="10"/>
      <c r="Y1242" s="2"/>
    </row>
    <row r="1243" spans="2:25">
      <c r="B1243" s="11"/>
      <c r="C1243" s="10"/>
      <c r="D1243" s="10"/>
      <c r="E1243" s="72"/>
      <c r="F1243" s="73"/>
      <c r="G1243" s="10"/>
      <c r="H1243" s="10"/>
      <c r="I1243" s="10"/>
      <c r="J1243" s="10" t="s">
        <v>42</v>
      </c>
      <c r="K1243" s="63">
        <f>K1235</f>
        <v>3</v>
      </c>
      <c r="L1243" s="63">
        <f t="shared" ref="L1243:Q1244" si="166">L1235</f>
        <v>0</v>
      </c>
      <c r="M1243" s="63">
        <f t="shared" si="166"/>
        <v>0</v>
      </c>
      <c r="N1243" s="63">
        <f t="shared" si="166"/>
        <v>0</v>
      </c>
      <c r="O1243" s="63">
        <f t="shared" si="166"/>
        <v>0</v>
      </c>
      <c r="P1243" s="63">
        <f t="shared" si="166"/>
        <v>3</v>
      </c>
      <c r="Q1243" s="63">
        <f t="shared" si="166"/>
        <v>0</v>
      </c>
      <c r="R1243" s="63"/>
      <c r="S1243" s="10"/>
      <c r="T1243" s="10"/>
      <c r="U1243" s="17"/>
      <c r="V1243" s="10"/>
      <c r="W1243" s="10"/>
      <c r="X1243" s="10"/>
      <c r="Y1243" s="2"/>
    </row>
    <row r="1244" spans="2:25">
      <c r="B1244" s="11"/>
      <c r="C1244" s="10"/>
      <c r="D1244" s="10"/>
      <c r="E1244" s="74"/>
      <c r="F1244" s="75"/>
      <c r="G1244" s="10"/>
      <c r="H1244" s="10"/>
      <c r="I1244" s="10"/>
      <c r="J1244" s="10" t="s">
        <v>44</v>
      </c>
      <c r="K1244" s="63">
        <f>K1236</f>
        <v>13</v>
      </c>
      <c r="L1244" s="63">
        <f t="shared" si="166"/>
        <v>0</v>
      </c>
      <c r="M1244" s="63">
        <f t="shared" si="166"/>
        <v>0</v>
      </c>
      <c r="N1244" s="63">
        <f t="shared" si="166"/>
        <v>0</v>
      </c>
      <c r="O1244" s="63">
        <f t="shared" si="166"/>
        <v>0</v>
      </c>
      <c r="P1244" s="63">
        <f t="shared" si="166"/>
        <v>13</v>
      </c>
      <c r="Q1244" s="63">
        <f t="shared" si="166"/>
        <v>0</v>
      </c>
      <c r="R1244" s="63"/>
      <c r="S1244" s="10"/>
      <c r="T1244" s="10"/>
      <c r="U1244" s="17"/>
      <c r="V1244" s="10"/>
      <c r="W1244" s="10"/>
      <c r="X1244" s="10"/>
      <c r="Y1244" s="2"/>
    </row>
    <row r="1245" spans="2:25">
      <c r="B1245" s="11"/>
      <c r="C1245" s="10"/>
      <c r="D1245" s="10"/>
      <c r="E1245" s="12"/>
      <c r="F1245" s="76"/>
      <c r="G1245" s="10"/>
      <c r="H1245" s="10"/>
      <c r="I1245" s="10"/>
      <c r="J1245" s="10" t="s">
        <v>46</v>
      </c>
      <c r="K1245" s="31">
        <f t="shared" ref="K1245:Q1245" si="167">K1243/(K1243+K1244)</f>
        <v>0.1875</v>
      </c>
      <c r="L1245" s="31" t="e">
        <f t="shared" si="167"/>
        <v>#DIV/0!</v>
      </c>
      <c r="M1245" s="31" t="e">
        <f t="shared" si="167"/>
        <v>#DIV/0!</v>
      </c>
      <c r="N1245" s="31" t="e">
        <f t="shared" si="167"/>
        <v>#DIV/0!</v>
      </c>
      <c r="O1245" s="31" t="e">
        <f t="shared" si="167"/>
        <v>#DIV/0!</v>
      </c>
      <c r="P1245" s="31">
        <f t="shared" si="167"/>
        <v>0.1875</v>
      </c>
      <c r="Q1245" s="31" t="e">
        <f t="shared" si="167"/>
        <v>#DIV/0!</v>
      </c>
      <c r="R1245" s="63"/>
      <c r="S1245" s="10"/>
      <c r="T1245" s="10"/>
      <c r="U1245" s="17"/>
      <c r="V1245" s="10"/>
      <c r="W1245" s="10"/>
      <c r="X1245" s="10"/>
      <c r="Y1245" s="2"/>
    </row>
    <row r="1246" spans="2:25">
      <c r="B1246" s="11"/>
      <c r="C1246" s="10"/>
      <c r="D1246" s="10"/>
      <c r="E1246" s="10"/>
      <c r="F1246" s="10"/>
      <c r="G1246" s="10"/>
      <c r="H1246" s="10"/>
      <c r="I1246" s="10"/>
      <c r="J1246" s="10" t="s">
        <v>48</v>
      </c>
      <c r="K1246" s="66">
        <f t="shared" ref="K1246:Q1246" si="168">K1242/K1243</f>
        <v>1401</v>
      </c>
      <c r="L1246" s="66" t="e">
        <f t="shared" si="168"/>
        <v>#DIV/0!</v>
      </c>
      <c r="M1246" s="66" t="e">
        <f t="shared" si="168"/>
        <v>#DIV/0!</v>
      </c>
      <c r="N1246" s="66" t="e">
        <f t="shared" si="168"/>
        <v>#DIV/0!</v>
      </c>
      <c r="O1246" s="66" t="e">
        <f t="shared" si="168"/>
        <v>#DIV/0!</v>
      </c>
      <c r="P1246" s="66">
        <f t="shared" si="168"/>
        <v>1401</v>
      </c>
      <c r="Q1246" s="66" t="e">
        <f t="shared" si="168"/>
        <v>#DIV/0!</v>
      </c>
      <c r="R1246" s="63"/>
      <c r="S1246" s="10"/>
      <c r="T1246" s="10"/>
      <c r="U1246" s="17"/>
      <c r="V1246" s="10"/>
      <c r="W1246" s="10"/>
      <c r="X1246" s="10"/>
      <c r="Y1246" s="2"/>
    </row>
    <row r="1247" spans="2:25">
      <c r="B1247" s="11"/>
      <c r="C1247" s="10"/>
      <c r="D1247" s="10"/>
      <c r="E1247" s="10"/>
      <c r="F1247" s="10"/>
      <c r="G1247" s="10"/>
      <c r="H1247" s="10"/>
      <c r="I1247" s="10"/>
      <c r="J1247" s="10"/>
      <c r="K1247" s="10"/>
      <c r="L1247" s="10"/>
      <c r="M1247" s="10"/>
      <c r="N1247" s="10"/>
      <c r="O1247" s="10"/>
      <c r="P1247" s="10"/>
      <c r="Q1247" s="10"/>
      <c r="R1247" s="10"/>
      <c r="S1247" s="10"/>
      <c r="T1247" s="10"/>
      <c r="U1247" s="17"/>
      <c r="V1247" s="10"/>
      <c r="W1247" s="10"/>
      <c r="X1247" s="10"/>
      <c r="Y1247" s="2"/>
    </row>
    <row r="1248" spans="2:25">
      <c r="B1248" s="11"/>
      <c r="C1248" s="10"/>
      <c r="D1248" s="10"/>
      <c r="E1248" s="10"/>
      <c r="F1248" s="10"/>
      <c r="G1248" s="10"/>
      <c r="H1248" s="10"/>
      <c r="I1248" s="10"/>
      <c r="J1248" s="10"/>
      <c r="K1248" s="10"/>
      <c r="L1248" s="10"/>
      <c r="M1248" s="10"/>
      <c r="N1248" s="10"/>
      <c r="O1248" s="10"/>
      <c r="P1248" s="10"/>
      <c r="Q1248" s="10"/>
      <c r="R1248" s="10"/>
      <c r="S1248" s="10"/>
      <c r="T1248" s="10"/>
      <c r="U1248" s="17"/>
      <c r="V1248" s="10"/>
      <c r="W1248" s="10"/>
      <c r="X1248" s="10"/>
      <c r="Y1248" s="2"/>
    </row>
    <row r="1249" spans="2:25">
      <c r="B1249" s="18" t="s">
        <v>51</v>
      </c>
      <c r="C1249" s="14"/>
      <c r="D1249" s="14"/>
      <c r="E1249" s="14"/>
      <c r="F1249" s="13" t="s">
        <v>52</v>
      </c>
      <c r="G1249" s="14"/>
      <c r="H1249" s="14"/>
      <c r="I1249" s="14"/>
      <c r="J1249" s="14"/>
      <c r="K1249" s="13" t="s">
        <v>3</v>
      </c>
      <c r="L1249" s="14"/>
      <c r="M1249" s="14"/>
      <c r="N1249" s="13" t="s">
        <v>4</v>
      </c>
      <c r="O1249" s="14"/>
      <c r="P1249" s="14"/>
      <c r="Q1249" s="13" t="s">
        <v>5</v>
      </c>
      <c r="R1249" s="14"/>
      <c r="S1249" s="14"/>
      <c r="T1249" s="18"/>
      <c r="U1249" s="16" t="s">
        <v>53</v>
      </c>
      <c r="V1249" s="77"/>
      <c r="W1249" s="77"/>
      <c r="X1249" s="77"/>
      <c r="Y1249" s="2"/>
    </row>
    <row r="1250" spans="2:25">
      <c r="B1250" s="24" t="s">
        <v>54</v>
      </c>
      <c r="C1250" s="21" t="s">
        <v>55</v>
      </c>
      <c r="D1250" s="21" t="s">
        <v>56</v>
      </c>
      <c r="E1250" s="21" t="s">
        <v>57</v>
      </c>
      <c r="F1250" s="20" t="s">
        <v>58</v>
      </c>
      <c r="G1250" s="21" t="s">
        <v>59</v>
      </c>
      <c r="H1250" s="21" t="s">
        <v>60</v>
      </c>
      <c r="I1250" s="21" t="s">
        <v>26</v>
      </c>
      <c r="J1250" s="22" t="s">
        <v>61</v>
      </c>
      <c r="K1250" s="21" t="s">
        <v>8</v>
      </c>
      <c r="L1250" s="21" t="s">
        <v>9</v>
      </c>
      <c r="M1250" s="21" t="s">
        <v>10</v>
      </c>
      <c r="N1250" s="20" t="s">
        <v>11</v>
      </c>
      <c r="O1250" s="21" t="s">
        <v>12</v>
      </c>
      <c r="P1250" s="22" t="s">
        <v>13</v>
      </c>
      <c r="Q1250" s="21" t="s">
        <v>11</v>
      </c>
      <c r="R1250" s="21" t="s">
        <v>12</v>
      </c>
      <c r="S1250" s="21" t="s">
        <v>13</v>
      </c>
      <c r="T1250" s="78" t="s">
        <v>14</v>
      </c>
      <c r="U1250" s="30"/>
      <c r="V1250" s="79" t="s">
        <v>62</v>
      </c>
      <c r="W1250" s="80" t="s">
        <v>63</v>
      </c>
      <c r="X1250" s="81" t="s">
        <v>64</v>
      </c>
      <c r="Y1250" s="2"/>
    </row>
    <row r="1251" spans="2:25">
      <c r="B1251" s="4" t="s">
        <v>65</v>
      </c>
      <c r="C1251" s="6"/>
      <c r="D1251" s="6"/>
      <c r="E1251" s="6"/>
      <c r="F1251" s="6"/>
      <c r="G1251" s="6"/>
      <c r="H1251" s="6"/>
      <c r="I1251" s="82"/>
      <c r="J1251" s="6"/>
      <c r="K1251" s="6"/>
      <c r="L1251" s="6"/>
      <c r="M1251" s="6"/>
      <c r="N1251" s="6"/>
      <c r="O1251" s="6"/>
      <c r="P1251" s="6"/>
      <c r="Q1251" s="6"/>
      <c r="R1251" s="6"/>
      <c r="S1251" s="6"/>
      <c r="T1251" s="83"/>
      <c r="U1251" s="6"/>
      <c r="V1251" s="84"/>
      <c r="W1251" s="85"/>
      <c r="X1251" s="86"/>
      <c r="Y1251" s="2"/>
    </row>
    <row r="1252" spans="2:25">
      <c r="B1252" s="87">
        <v>1</v>
      </c>
      <c r="C1252" s="262">
        <v>45964</v>
      </c>
      <c r="D1252" s="271">
        <v>75071</v>
      </c>
      <c r="E1252" s="271" t="s">
        <v>1088</v>
      </c>
      <c r="F1252" s="265">
        <v>481</v>
      </c>
      <c r="G1252" s="265"/>
      <c r="H1252" s="365"/>
      <c r="I1252" s="272">
        <f t="shared" ref="I1252:I1267" si="169">F1252-G1252-H1252</f>
        <v>481</v>
      </c>
      <c r="J1252" s="267" t="s">
        <v>156</v>
      </c>
      <c r="K1252" s="267">
        <v>1</v>
      </c>
      <c r="L1252" s="267">
        <v>1</v>
      </c>
      <c r="M1252" s="267">
        <v>1</v>
      </c>
      <c r="N1252" s="267">
        <v>1</v>
      </c>
      <c r="O1252" s="267">
        <v>1</v>
      </c>
      <c r="P1252" s="267">
        <v>1</v>
      </c>
      <c r="Q1252" s="267">
        <v>1</v>
      </c>
      <c r="R1252" s="267">
        <v>1</v>
      </c>
      <c r="S1252" s="269">
        <v>1</v>
      </c>
      <c r="T1252" s="21">
        <v>1</v>
      </c>
      <c r="U1252" s="10"/>
      <c r="V1252" s="90">
        <f>53+476.1</f>
        <v>529.1</v>
      </c>
      <c r="W1252" s="91"/>
      <c r="X1252" s="92"/>
      <c r="Y1252" s="2"/>
    </row>
    <row r="1253" spans="2:25">
      <c r="B1253" s="87">
        <f t="shared" ref="B1253:B1267" si="170">B1252+1</f>
        <v>2</v>
      </c>
      <c r="C1253" s="36"/>
      <c r="D1253" s="10"/>
      <c r="E1253" s="10"/>
      <c r="F1253" s="62"/>
      <c r="G1253" s="62"/>
      <c r="H1253" s="62"/>
      <c r="I1253" s="89">
        <f t="shared" si="169"/>
        <v>0</v>
      </c>
      <c r="J1253" s="63"/>
      <c r="K1253" s="63"/>
      <c r="L1253" s="63"/>
      <c r="M1253" s="63"/>
      <c r="N1253" s="63"/>
      <c r="O1253" s="63"/>
      <c r="P1253" s="63"/>
      <c r="Q1253" s="63"/>
      <c r="R1253" s="63"/>
      <c r="S1253" s="63"/>
      <c r="T1253" s="63"/>
      <c r="U1253" s="10"/>
      <c r="V1253" s="90"/>
      <c r="W1253" s="91"/>
      <c r="X1253" s="92"/>
      <c r="Y1253" s="2"/>
    </row>
    <row r="1254" spans="2:25">
      <c r="B1254" s="87">
        <f t="shared" si="170"/>
        <v>3</v>
      </c>
      <c r="C1254" s="36"/>
      <c r="D1254" s="3"/>
      <c r="E1254" s="10"/>
      <c r="F1254" s="62"/>
      <c r="G1254" s="62"/>
      <c r="H1254" s="62"/>
      <c r="I1254" s="89">
        <f t="shared" si="169"/>
        <v>0</v>
      </c>
      <c r="J1254" s="63"/>
      <c r="K1254" s="63"/>
      <c r="L1254" s="63"/>
      <c r="M1254" s="63"/>
      <c r="N1254" s="63"/>
      <c r="O1254" s="63"/>
      <c r="P1254" s="63"/>
      <c r="Q1254" s="63"/>
      <c r="R1254" s="63"/>
      <c r="S1254" s="63"/>
      <c r="T1254" s="63"/>
      <c r="U1254" s="10"/>
      <c r="V1254" s="90"/>
      <c r="W1254" s="91"/>
      <c r="X1254" s="92"/>
      <c r="Y1254" s="2"/>
    </row>
    <row r="1255" spans="2:25">
      <c r="B1255" s="87">
        <f t="shared" si="170"/>
        <v>4</v>
      </c>
      <c r="C1255" s="36"/>
      <c r="D1255" s="10"/>
      <c r="E1255" s="94"/>
      <c r="F1255" s="62"/>
      <c r="G1255" s="62"/>
      <c r="H1255" s="62"/>
      <c r="I1255" s="89">
        <f t="shared" si="169"/>
        <v>0</v>
      </c>
      <c r="J1255" s="63"/>
      <c r="K1255" s="63"/>
      <c r="L1255" s="63"/>
      <c r="M1255" s="63"/>
      <c r="N1255" s="63"/>
      <c r="O1255" s="63"/>
      <c r="P1255" s="63"/>
      <c r="Q1255" s="63"/>
      <c r="R1255" s="63"/>
      <c r="S1255" s="63"/>
      <c r="T1255" s="63"/>
      <c r="U1255" s="10"/>
      <c r="V1255" s="90"/>
      <c r="W1255" s="91"/>
      <c r="X1255" s="92"/>
      <c r="Y1255" s="2"/>
    </row>
    <row r="1256" spans="2:25">
      <c r="B1256" s="87">
        <f t="shared" si="170"/>
        <v>5</v>
      </c>
      <c r="C1256" s="36"/>
      <c r="D1256" s="10"/>
      <c r="E1256" s="10"/>
      <c r="F1256" s="62"/>
      <c r="G1256" s="62"/>
      <c r="H1256" s="62"/>
      <c r="I1256" s="89">
        <f t="shared" si="169"/>
        <v>0</v>
      </c>
      <c r="J1256" s="63"/>
      <c r="K1256" s="63"/>
      <c r="L1256" s="63"/>
      <c r="M1256" s="63"/>
      <c r="N1256" s="63"/>
      <c r="O1256" s="63"/>
      <c r="P1256" s="63"/>
      <c r="Q1256" s="63"/>
      <c r="R1256" s="63"/>
      <c r="S1256" s="63"/>
      <c r="T1256" s="63"/>
      <c r="U1256" s="10"/>
      <c r="V1256" s="90"/>
      <c r="W1256" s="91"/>
      <c r="X1256" s="92"/>
      <c r="Y1256" s="2"/>
    </row>
    <row r="1257" spans="2:25">
      <c r="B1257" s="87">
        <f t="shared" si="170"/>
        <v>6</v>
      </c>
      <c r="C1257" s="36"/>
      <c r="D1257" s="10"/>
      <c r="E1257" s="10"/>
      <c r="F1257" s="62"/>
      <c r="G1257" s="62"/>
      <c r="H1257" s="88"/>
      <c r="I1257" s="89">
        <f t="shared" si="169"/>
        <v>0</v>
      </c>
      <c r="J1257" s="63"/>
      <c r="K1257" s="63"/>
      <c r="L1257" s="63"/>
      <c r="M1257" s="63"/>
      <c r="N1257" s="63"/>
      <c r="O1257" s="63"/>
      <c r="P1257" s="63"/>
      <c r="Q1257" s="63"/>
      <c r="R1257" s="63"/>
      <c r="S1257" s="63"/>
      <c r="T1257" s="63"/>
      <c r="U1257" s="10"/>
      <c r="V1257" s="90"/>
      <c r="W1257" s="91"/>
      <c r="X1257" s="92"/>
      <c r="Y1257" s="2"/>
    </row>
    <row r="1258" spans="2:25">
      <c r="B1258" s="87">
        <f t="shared" si="170"/>
        <v>7</v>
      </c>
      <c r="C1258" s="36"/>
      <c r="D1258" s="10"/>
      <c r="E1258" s="10"/>
      <c r="F1258" s="62"/>
      <c r="G1258" s="62"/>
      <c r="H1258" s="88"/>
      <c r="I1258" s="89">
        <f t="shared" si="169"/>
        <v>0</v>
      </c>
      <c r="J1258" s="63"/>
      <c r="K1258" s="63"/>
      <c r="L1258" s="63"/>
      <c r="M1258" s="63"/>
      <c r="N1258" s="63"/>
      <c r="O1258" s="63"/>
      <c r="P1258" s="63"/>
      <c r="Q1258" s="63"/>
      <c r="R1258" s="63"/>
      <c r="S1258" s="63"/>
      <c r="T1258" s="63"/>
      <c r="U1258" s="10"/>
      <c r="V1258" s="90"/>
      <c r="W1258" s="91"/>
      <c r="X1258" s="92"/>
      <c r="Y1258" s="2"/>
    </row>
    <row r="1259" spans="2:25">
      <c r="B1259" s="87">
        <f t="shared" si="170"/>
        <v>8</v>
      </c>
      <c r="C1259" s="36"/>
      <c r="D1259" s="10"/>
      <c r="E1259" s="10"/>
      <c r="F1259" s="62"/>
      <c r="G1259" s="62"/>
      <c r="H1259" s="88"/>
      <c r="I1259" s="89">
        <f t="shared" si="169"/>
        <v>0</v>
      </c>
      <c r="J1259" s="63"/>
      <c r="K1259" s="63"/>
      <c r="L1259" s="63"/>
      <c r="M1259" s="63"/>
      <c r="N1259" s="63"/>
      <c r="O1259" s="63"/>
      <c r="P1259" s="63"/>
      <c r="Q1259" s="63"/>
      <c r="R1259" s="63"/>
      <c r="S1259" s="63"/>
      <c r="T1259" s="63"/>
      <c r="U1259" s="10"/>
      <c r="V1259" s="90"/>
      <c r="W1259" s="91"/>
      <c r="X1259" s="92"/>
      <c r="Y1259" s="2"/>
    </row>
    <row r="1260" spans="2:25">
      <c r="B1260" s="87">
        <f t="shared" si="170"/>
        <v>9</v>
      </c>
      <c r="C1260" s="36"/>
      <c r="D1260" s="10"/>
      <c r="E1260" s="10"/>
      <c r="F1260" s="62"/>
      <c r="G1260" s="62"/>
      <c r="H1260" s="88"/>
      <c r="I1260" s="89">
        <f t="shared" si="169"/>
        <v>0</v>
      </c>
      <c r="J1260" s="63"/>
      <c r="K1260" s="63"/>
      <c r="L1260" s="63"/>
      <c r="M1260" s="63"/>
      <c r="N1260" s="63"/>
      <c r="O1260" s="63"/>
      <c r="P1260" s="63"/>
      <c r="Q1260" s="63"/>
      <c r="R1260" s="63"/>
      <c r="S1260" s="63"/>
      <c r="T1260" s="63"/>
      <c r="U1260" s="10"/>
      <c r="V1260" s="90"/>
      <c r="W1260" s="91"/>
      <c r="X1260" s="92"/>
      <c r="Y1260" s="2"/>
    </row>
    <row r="1261" spans="2:25">
      <c r="B1261" s="87">
        <f t="shared" si="170"/>
        <v>10</v>
      </c>
      <c r="C1261" s="36"/>
      <c r="D1261" s="10"/>
      <c r="E1261" s="10"/>
      <c r="F1261" s="62"/>
      <c r="G1261" s="62"/>
      <c r="H1261" s="88"/>
      <c r="I1261" s="89">
        <f t="shared" si="169"/>
        <v>0</v>
      </c>
      <c r="J1261" s="63"/>
      <c r="K1261" s="63"/>
      <c r="L1261" s="63"/>
      <c r="M1261" s="63"/>
      <c r="N1261" s="63"/>
      <c r="O1261" s="63"/>
      <c r="P1261" s="63"/>
      <c r="Q1261" s="63"/>
      <c r="R1261" s="63"/>
      <c r="S1261" s="63"/>
      <c r="T1261" s="63"/>
      <c r="U1261" s="10"/>
      <c r="V1261" s="90"/>
      <c r="W1261" s="91"/>
      <c r="X1261" s="92"/>
      <c r="Y1261" s="2"/>
    </row>
    <row r="1262" spans="2:25">
      <c r="B1262" s="87">
        <f t="shared" si="170"/>
        <v>11</v>
      </c>
      <c r="C1262" s="36"/>
      <c r="D1262" s="10"/>
      <c r="E1262" s="10"/>
      <c r="F1262" s="95"/>
      <c r="G1262" s="62"/>
      <c r="H1262" s="62"/>
      <c r="I1262" s="89">
        <f t="shared" si="169"/>
        <v>0</v>
      </c>
      <c r="J1262" s="63"/>
      <c r="K1262" s="63"/>
      <c r="L1262" s="63"/>
      <c r="M1262" s="63"/>
      <c r="N1262" s="63"/>
      <c r="O1262" s="63"/>
      <c r="P1262" s="63"/>
      <c r="Q1262" s="63"/>
      <c r="R1262" s="63"/>
      <c r="S1262" s="63"/>
      <c r="T1262" s="63"/>
      <c r="U1262" s="10"/>
      <c r="V1262" s="90"/>
      <c r="W1262" s="91"/>
      <c r="X1262" s="92"/>
      <c r="Y1262" s="2"/>
    </row>
    <row r="1263" spans="2:25">
      <c r="B1263" s="87">
        <f t="shared" si="170"/>
        <v>12</v>
      </c>
      <c r="C1263" s="36"/>
      <c r="D1263" s="10"/>
      <c r="E1263" s="10"/>
      <c r="F1263" s="95"/>
      <c r="G1263" s="62"/>
      <c r="H1263" s="62"/>
      <c r="I1263" s="89">
        <f t="shared" si="169"/>
        <v>0</v>
      </c>
      <c r="J1263" s="63"/>
      <c r="K1263" s="63"/>
      <c r="L1263" s="63"/>
      <c r="M1263" s="63"/>
      <c r="N1263" s="63"/>
      <c r="O1263" s="63"/>
      <c r="P1263" s="63"/>
      <c r="Q1263" s="63"/>
      <c r="R1263" s="63"/>
      <c r="S1263" s="63"/>
      <c r="T1263" s="63"/>
      <c r="U1263" s="10"/>
      <c r="V1263" s="90"/>
      <c r="W1263" s="91"/>
      <c r="X1263" s="92"/>
      <c r="Y1263" s="2"/>
    </row>
    <row r="1264" spans="2:25">
      <c r="B1264" s="87">
        <f t="shared" si="170"/>
        <v>13</v>
      </c>
      <c r="C1264" s="36"/>
      <c r="D1264" s="10"/>
      <c r="E1264" s="10"/>
      <c r="F1264" s="95"/>
      <c r="G1264" s="62"/>
      <c r="H1264" s="62"/>
      <c r="I1264" s="89">
        <f t="shared" si="169"/>
        <v>0</v>
      </c>
      <c r="J1264" s="63"/>
      <c r="K1264" s="63"/>
      <c r="L1264" s="63"/>
      <c r="M1264" s="63"/>
      <c r="N1264" s="63"/>
      <c r="O1264" s="63"/>
      <c r="P1264" s="63"/>
      <c r="Q1264" s="63"/>
      <c r="R1264" s="63"/>
      <c r="S1264" s="63"/>
      <c r="T1264" s="63"/>
      <c r="U1264" s="10"/>
      <c r="V1264" s="90"/>
      <c r="W1264" s="91"/>
      <c r="X1264" s="92"/>
      <c r="Y1264" s="2"/>
    </row>
    <row r="1265" spans="2:25">
      <c r="B1265" s="87">
        <f t="shared" si="170"/>
        <v>14</v>
      </c>
      <c r="C1265" s="36"/>
      <c r="D1265" s="10"/>
      <c r="E1265" s="10"/>
      <c r="F1265" s="95"/>
      <c r="G1265" s="62"/>
      <c r="H1265" s="62"/>
      <c r="I1265" s="89">
        <f t="shared" si="169"/>
        <v>0</v>
      </c>
      <c r="J1265" s="63"/>
      <c r="K1265" s="63"/>
      <c r="L1265" s="63"/>
      <c r="M1265" s="63"/>
      <c r="N1265" s="63"/>
      <c r="O1265" s="63"/>
      <c r="P1265" s="63"/>
      <c r="Q1265" s="63"/>
      <c r="R1265" s="63"/>
      <c r="S1265" s="63"/>
      <c r="T1265" s="63"/>
      <c r="U1265" s="10"/>
      <c r="V1265" s="90"/>
      <c r="W1265" s="91"/>
      <c r="X1265" s="92"/>
      <c r="Y1265" s="2"/>
    </row>
    <row r="1266" spans="2:25">
      <c r="B1266" s="87">
        <f t="shared" si="170"/>
        <v>15</v>
      </c>
      <c r="C1266" s="36"/>
      <c r="D1266" s="10"/>
      <c r="E1266" s="10"/>
      <c r="F1266" s="95"/>
      <c r="G1266" s="62"/>
      <c r="H1266" s="62"/>
      <c r="I1266" s="89">
        <f t="shared" si="169"/>
        <v>0</v>
      </c>
      <c r="J1266" s="63"/>
      <c r="K1266" s="63"/>
      <c r="L1266" s="63"/>
      <c r="M1266" s="63"/>
      <c r="N1266" s="63"/>
      <c r="O1266" s="63"/>
      <c r="P1266" s="63"/>
      <c r="Q1266" s="63"/>
      <c r="R1266" s="63"/>
      <c r="S1266" s="63"/>
      <c r="T1266" s="63"/>
      <c r="U1266" s="10"/>
      <c r="V1266" s="90"/>
      <c r="W1266" s="96"/>
      <c r="X1266" s="92"/>
      <c r="Y1266" s="2"/>
    </row>
    <row r="1267" spans="2:25">
      <c r="B1267" s="87">
        <f t="shared" si="170"/>
        <v>16</v>
      </c>
      <c r="C1267" s="36"/>
      <c r="D1267" s="10"/>
      <c r="E1267" s="10"/>
      <c r="F1267" s="95"/>
      <c r="G1267" s="62"/>
      <c r="H1267" s="62"/>
      <c r="I1267" s="89">
        <f t="shared" si="169"/>
        <v>0</v>
      </c>
      <c r="J1267" s="63"/>
      <c r="K1267" s="63"/>
      <c r="L1267" s="63"/>
      <c r="M1267" s="63"/>
      <c r="N1267" s="63"/>
      <c r="O1267" s="63"/>
      <c r="P1267" s="63"/>
      <c r="Q1267" s="63"/>
      <c r="R1267" s="63"/>
      <c r="S1267" s="63"/>
      <c r="T1267" s="63"/>
      <c r="U1267" s="10"/>
      <c r="V1267" s="90"/>
      <c r="W1267" s="96"/>
      <c r="X1267" s="92"/>
      <c r="Y1267" s="2"/>
    </row>
    <row r="1268" spans="2:25">
      <c r="B1268" s="87"/>
      <c r="C1268" s="36"/>
      <c r="D1268" s="10"/>
      <c r="E1268" s="10"/>
      <c r="F1268" s="97">
        <f>SUM(F1252:F1267)</f>
        <v>481</v>
      </c>
      <c r="G1268" s="97">
        <f>SUM(G1252:G1267)</f>
        <v>0</v>
      </c>
      <c r="H1268" s="97">
        <f>SUM(H1252:H1267)</f>
        <v>0</v>
      </c>
      <c r="I1268" s="98">
        <f>SUM(I1252:I1267)</f>
        <v>481</v>
      </c>
      <c r="J1268" s="63"/>
      <c r="K1268" s="63">
        <f t="shared" ref="K1268:S1268" si="171">COUNT(K1252:K1267)</f>
        <v>1</v>
      </c>
      <c r="L1268" s="63">
        <f t="shared" si="171"/>
        <v>1</v>
      </c>
      <c r="M1268" s="63">
        <f t="shared" si="171"/>
        <v>1</v>
      </c>
      <c r="N1268" s="63">
        <f t="shared" si="171"/>
        <v>1</v>
      </c>
      <c r="O1268" s="63">
        <f t="shared" si="171"/>
        <v>1</v>
      </c>
      <c r="P1268" s="63">
        <f t="shared" si="171"/>
        <v>1</v>
      </c>
      <c r="Q1268" s="63">
        <f t="shared" si="171"/>
        <v>1</v>
      </c>
      <c r="R1268" s="63">
        <f t="shared" si="171"/>
        <v>1</v>
      </c>
      <c r="S1268" s="63">
        <f t="shared" si="171"/>
        <v>1</v>
      </c>
      <c r="T1268" s="63"/>
      <c r="U1268" s="10"/>
      <c r="V1268" s="90"/>
      <c r="W1268" s="91"/>
      <c r="X1268" s="92"/>
      <c r="Y1268" s="2"/>
    </row>
    <row r="1269" spans="2:25">
      <c r="B1269" s="87"/>
      <c r="C1269" s="36"/>
      <c r="D1269" s="10"/>
      <c r="E1269" s="10"/>
      <c r="F1269" s="88"/>
      <c r="G1269" s="88"/>
      <c r="H1269" s="88"/>
      <c r="I1269" s="99"/>
      <c r="J1269" s="63"/>
      <c r="K1269" s="21">
        <f t="shared" ref="K1269:S1269" si="172">SUM(K1252:K1267)</f>
        <v>1</v>
      </c>
      <c r="L1269" s="21">
        <f t="shared" si="172"/>
        <v>1</v>
      </c>
      <c r="M1269" s="21">
        <f t="shared" si="172"/>
        <v>1</v>
      </c>
      <c r="N1269" s="21">
        <f t="shared" si="172"/>
        <v>1</v>
      </c>
      <c r="O1269" s="21">
        <f t="shared" si="172"/>
        <v>1</v>
      </c>
      <c r="P1269" s="21">
        <f t="shared" si="172"/>
        <v>1</v>
      </c>
      <c r="Q1269" s="21">
        <f t="shared" si="172"/>
        <v>1</v>
      </c>
      <c r="R1269" s="21">
        <f t="shared" si="172"/>
        <v>1</v>
      </c>
      <c r="S1269" s="21">
        <f t="shared" si="172"/>
        <v>1</v>
      </c>
      <c r="T1269" s="63"/>
      <c r="U1269" s="10"/>
      <c r="V1269" s="90"/>
      <c r="W1269" s="91"/>
      <c r="X1269" s="92"/>
      <c r="Y1269" s="2"/>
    </row>
    <row r="1270" spans="2:25">
      <c r="B1270" s="11"/>
      <c r="C1270" s="36"/>
      <c r="D1270" s="10"/>
      <c r="E1270" s="10"/>
      <c r="F1270" s="88"/>
      <c r="G1270" s="88"/>
      <c r="H1270" s="88"/>
      <c r="I1270" s="99"/>
      <c r="J1270" s="63"/>
      <c r="K1270" s="21"/>
      <c r="L1270" s="21"/>
      <c r="M1270" s="21"/>
      <c r="N1270" s="21"/>
      <c r="O1270" s="21"/>
      <c r="P1270" s="21"/>
      <c r="Q1270" s="21"/>
      <c r="R1270" s="21"/>
      <c r="S1270" s="21"/>
      <c r="T1270" s="63"/>
      <c r="U1270" s="10"/>
      <c r="V1270" s="90"/>
      <c r="W1270" s="91"/>
      <c r="X1270" s="92"/>
      <c r="Y1270" s="2"/>
    </row>
    <row r="1271" spans="2:25">
      <c r="B1271" s="100" t="s">
        <v>66</v>
      </c>
      <c r="C1271" s="36"/>
      <c r="D1271" s="10"/>
      <c r="E1271" s="10"/>
      <c r="F1271" s="88"/>
      <c r="G1271" s="62"/>
      <c r="H1271" s="88"/>
      <c r="I1271" s="99"/>
      <c r="J1271" s="63"/>
      <c r="K1271" s="2"/>
      <c r="L1271" s="2"/>
      <c r="M1271" s="2"/>
      <c r="N1271" s="2"/>
      <c r="O1271" s="2"/>
      <c r="P1271" s="2"/>
      <c r="Q1271" s="2"/>
      <c r="R1271" s="2"/>
      <c r="S1271" s="2"/>
      <c r="T1271" s="63"/>
      <c r="U1271" s="94"/>
      <c r="V1271" s="90"/>
      <c r="W1271" s="91"/>
      <c r="X1271" s="92"/>
      <c r="Y1271" s="2"/>
    </row>
    <row r="1272" spans="2:25">
      <c r="B1272" s="87">
        <v>1</v>
      </c>
      <c r="C1272" s="36"/>
      <c r="D1272" s="10"/>
      <c r="E1272" s="101"/>
      <c r="F1272" s="62"/>
      <c r="G1272" s="62"/>
      <c r="H1272" s="62"/>
      <c r="I1272" s="89">
        <f t="shared" ref="I1272:I1279" si="173">F1272-G1272-H1272</f>
        <v>0</v>
      </c>
      <c r="J1272" s="63"/>
      <c r="K1272" s="63"/>
      <c r="L1272" s="63"/>
      <c r="M1272" s="63"/>
      <c r="N1272" s="63"/>
      <c r="O1272" s="63"/>
      <c r="P1272" s="63"/>
      <c r="Q1272" s="63"/>
      <c r="R1272" s="63"/>
      <c r="S1272" s="63"/>
      <c r="T1272" s="63"/>
      <c r="U1272" s="94"/>
      <c r="V1272" s="90"/>
      <c r="W1272" s="91"/>
      <c r="X1272" s="92"/>
      <c r="Y1272" s="2"/>
    </row>
    <row r="1273" spans="2:25">
      <c r="B1273" s="87">
        <f t="shared" ref="B1273:B1279" si="174">B1272+1</f>
        <v>2</v>
      </c>
      <c r="C1273" s="36"/>
      <c r="D1273" s="10"/>
      <c r="E1273" s="101"/>
      <c r="F1273" s="62"/>
      <c r="G1273" s="62"/>
      <c r="H1273" s="62"/>
      <c r="I1273" s="89">
        <f t="shared" si="173"/>
        <v>0</v>
      </c>
      <c r="J1273" s="63"/>
      <c r="K1273" s="63"/>
      <c r="L1273" s="63"/>
      <c r="M1273" s="63"/>
      <c r="N1273" s="63"/>
      <c r="O1273" s="63"/>
      <c r="P1273" s="63"/>
      <c r="Q1273" s="63"/>
      <c r="R1273" s="63"/>
      <c r="S1273" s="63"/>
      <c r="T1273" s="63"/>
      <c r="U1273" s="94"/>
      <c r="V1273" s="90"/>
      <c r="W1273" s="91"/>
      <c r="X1273" s="92"/>
      <c r="Y1273" s="2"/>
    </row>
    <row r="1274" spans="2:25">
      <c r="B1274" s="87">
        <f t="shared" si="174"/>
        <v>3</v>
      </c>
      <c r="C1274" s="36"/>
      <c r="D1274" s="10"/>
      <c r="E1274" s="101"/>
      <c r="F1274" s="62"/>
      <c r="G1274" s="62"/>
      <c r="H1274" s="62"/>
      <c r="I1274" s="89">
        <f t="shared" si="173"/>
        <v>0</v>
      </c>
      <c r="J1274" s="63"/>
      <c r="K1274" s="63"/>
      <c r="L1274" s="63"/>
      <c r="M1274" s="63"/>
      <c r="N1274" s="63"/>
      <c r="O1274" s="63"/>
      <c r="P1274" s="63"/>
      <c r="Q1274" s="63"/>
      <c r="R1274" s="63"/>
      <c r="S1274" s="63"/>
      <c r="T1274" s="63"/>
      <c r="U1274" s="94"/>
      <c r="V1274" s="90"/>
      <c r="W1274" s="91"/>
      <c r="X1274" s="92"/>
      <c r="Y1274" s="2"/>
    </row>
    <row r="1275" spans="2:25">
      <c r="B1275" s="87">
        <f t="shared" si="174"/>
        <v>4</v>
      </c>
      <c r="C1275" s="36"/>
      <c r="D1275" s="10"/>
      <c r="E1275" s="101"/>
      <c r="F1275" s="62"/>
      <c r="G1275" s="62"/>
      <c r="H1275" s="62"/>
      <c r="I1275" s="89">
        <f t="shared" si="173"/>
        <v>0</v>
      </c>
      <c r="J1275" s="63"/>
      <c r="K1275" s="63"/>
      <c r="L1275" s="63"/>
      <c r="M1275" s="63"/>
      <c r="N1275" s="63"/>
      <c r="O1275" s="63"/>
      <c r="P1275" s="63"/>
      <c r="Q1275" s="63"/>
      <c r="R1275" s="63"/>
      <c r="S1275" s="63"/>
      <c r="T1275" s="63"/>
      <c r="U1275" s="94"/>
      <c r="V1275" s="90"/>
      <c r="W1275" s="91"/>
      <c r="X1275" s="92"/>
      <c r="Y1275" s="2"/>
    </row>
    <row r="1276" spans="2:25">
      <c r="B1276" s="87">
        <f t="shared" si="174"/>
        <v>5</v>
      </c>
      <c r="C1276" s="36"/>
      <c r="D1276" s="10"/>
      <c r="E1276" s="101"/>
      <c r="F1276" s="62"/>
      <c r="G1276" s="62"/>
      <c r="H1276" s="62"/>
      <c r="I1276" s="89">
        <f t="shared" si="173"/>
        <v>0</v>
      </c>
      <c r="J1276" s="63"/>
      <c r="K1276" s="63"/>
      <c r="L1276" s="63"/>
      <c r="M1276" s="63"/>
      <c r="N1276" s="63"/>
      <c r="O1276" s="63"/>
      <c r="P1276" s="63"/>
      <c r="Q1276" s="63"/>
      <c r="R1276" s="63"/>
      <c r="S1276" s="63"/>
      <c r="T1276" s="63"/>
      <c r="U1276" s="94"/>
      <c r="V1276" s="90"/>
      <c r="W1276" s="91"/>
      <c r="X1276" s="92"/>
      <c r="Y1276" s="2"/>
    </row>
    <row r="1277" spans="2:25">
      <c r="B1277" s="87">
        <f t="shared" si="174"/>
        <v>6</v>
      </c>
      <c r="C1277" s="36"/>
      <c r="D1277" s="10"/>
      <c r="E1277" s="101"/>
      <c r="F1277" s="62"/>
      <c r="G1277" s="62"/>
      <c r="H1277" s="62"/>
      <c r="I1277" s="89">
        <f t="shared" si="173"/>
        <v>0</v>
      </c>
      <c r="J1277" s="63"/>
      <c r="K1277" s="63"/>
      <c r="L1277" s="63"/>
      <c r="M1277" s="63"/>
      <c r="N1277" s="63"/>
      <c r="O1277" s="63"/>
      <c r="P1277" s="63"/>
      <c r="Q1277" s="63"/>
      <c r="R1277" s="63"/>
      <c r="S1277" s="63"/>
      <c r="T1277" s="63"/>
      <c r="U1277" s="94"/>
      <c r="V1277" s="90"/>
      <c r="W1277" s="91"/>
      <c r="X1277" s="92"/>
      <c r="Y1277" s="2"/>
    </row>
    <row r="1278" spans="2:25">
      <c r="B1278" s="87">
        <f t="shared" si="174"/>
        <v>7</v>
      </c>
      <c r="C1278" s="36"/>
      <c r="D1278" s="10"/>
      <c r="E1278" s="101"/>
      <c r="F1278" s="62"/>
      <c r="G1278" s="62"/>
      <c r="H1278" s="62"/>
      <c r="I1278" s="89">
        <f t="shared" si="173"/>
        <v>0</v>
      </c>
      <c r="J1278" s="63"/>
      <c r="K1278" s="63"/>
      <c r="L1278" s="63"/>
      <c r="M1278" s="63"/>
      <c r="N1278" s="63"/>
      <c r="O1278" s="63"/>
      <c r="P1278" s="63"/>
      <c r="Q1278" s="63"/>
      <c r="R1278" s="63"/>
      <c r="S1278" s="63"/>
      <c r="T1278" s="63"/>
      <c r="U1278" s="94"/>
      <c r="V1278" s="90"/>
      <c r="W1278" s="91"/>
      <c r="X1278" s="92"/>
      <c r="Y1278" s="2"/>
    </row>
    <row r="1279" spans="2:25">
      <c r="B1279" s="87">
        <f t="shared" si="174"/>
        <v>8</v>
      </c>
      <c r="C1279" s="36"/>
      <c r="D1279" s="10"/>
      <c r="E1279" s="101"/>
      <c r="F1279" s="62"/>
      <c r="G1279" s="62"/>
      <c r="H1279" s="62"/>
      <c r="I1279" s="89">
        <f t="shared" si="173"/>
        <v>0</v>
      </c>
      <c r="J1279" s="63"/>
      <c r="K1279" s="63"/>
      <c r="L1279" s="63"/>
      <c r="M1279" s="63"/>
      <c r="N1279" s="63"/>
      <c r="O1279" s="63"/>
      <c r="P1279" s="63"/>
      <c r="Q1279" s="63"/>
      <c r="R1279" s="63"/>
      <c r="S1279" s="63"/>
      <c r="T1279" s="63"/>
      <c r="U1279" s="94"/>
      <c r="V1279" s="90"/>
      <c r="W1279" s="91"/>
      <c r="X1279" s="92"/>
      <c r="Y1279" s="2"/>
    </row>
    <row r="1280" spans="2:25">
      <c r="B1280" s="11"/>
      <c r="C1280" s="609"/>
      <c r="D1280" s="10"/>
      <c r="E1280" s="10"/>
      <c r="F1280" s="97">
        <f>SUM(F1272:F1279)</f>
        <v>0</v>
      </c>
      <c r="G1280" s="97">
        <f>SUM(G1272:G1279)</f>
        <v>0</v>
      </c>
      <c r="H1280" s="97">
        <f>SUM(H1272:H1279)</f>
        <v>0</v>
      </c>
      <c r="I1280" s="98">
        <f>SUM(I1272:I1279)</f>
        <v>0</v>
      </c>
      <c r="J1280" s="63"/>
      <c r="K1280" s="21"/>
      <c r="L1280" s="21"/>
      <c r="M1280" s="21"/>
      <c r="N1280" s="21"/>
      <c r="O1280" s="21"/>
      <c r="P1280" s="21"/>
      <c r="Q1280" s="21"/>
      <c r="R1280" s="21"/>
      <c r="S1280" s="21"/>
      <c r="T1280" s="63"/>
      <c r="U1280" s="94"/>
      <c r="V1280" s="90"/>
      <c r="W1280" s="91"/>
      <c r="X1280" s="92"/>
      <c r="Y1280" s="2"/>
    </row>
    <row r="1281" spans="2:25">
      <c r="B1281" s="11"/>
      <c r="C1281" s="609"/>
      <c r="D1281" s="10"/>
      <c r="E1281" s="10"/>
      <c r="F1281" s="88"/>
      <c r="G1281" s="88"/>
      <c r="H1281" s="88"/>
      <c r="I1281" s="99"/>
      <c r="J1281" s="63"/>
      <c r="K1281" s="21"/>
      <c r="L1281" s="21"/>
      <c r="M1281" s="21"/>
      <c r="N1281" s="21"/>
      <c r="O1281" s="21"/>
      <c r="P1281" s="21"/>
      <c r="Q1281" s="21"/>
      <c r="R1281" s="21"/>
      <c r="S1281" s="21"/>
      <c r="T1281" s="63"/>
      <c r="U1281" s="94"/>
      <c r="V1281" s="90"/>
      <c r="W1281" s="91"/>
      <c r="X1281" s="92"/>
      <c r="Y1281" s="2"/>
    </row>
    <row r="1282" spans="2:25">
      <c r="B1282" s="102" t="s">
        <v>67</v>
      </c>
      <c r="C1282" s="610"/>
      <c r="D1282" s="104"/>
      <c r="E1282" s="104"/>
      <c r="F1282" s="105"/>
      <c r="G1282" s="106"/>
      <c r="H1282" s="105"/>
      <c r="I1282" s="107"/>
      <c r="J1282" s="108"/>
      <c r="K1282" s="109"/>
      <c r="L1282" s="109"/>
      <c r="M1282" s="109"/>
      <c r="N1282" s="109"/>
      <c r="O1282" s="109"/>
      <c r="P1282" s="109"/>
      <c r="Q1282" s="109"/>
      <c r="R1282" s="109"/>
      <c r="S1282" s="109"/>
      <c r="T1282" s="108"/>
      <c r="U1282" s="110"/>
      <c r="V1282" s="111"/>
      <c r="W1282" s="112"/>
      <c r="X1282" s="113"/>
      <c r="Y1282" s="2"/>
    </row>
    <row r="1283" spans="2:25">
      <c r="B1283" s="114">
        <v>1</v>
      </c>
      <c r="C1283" s="610"/>
      <c r="D1283" s="104"/>
      <c r="E1283" s="115"/>
      <c r="F1283" s="106"/>
      <c r="G1283" s="106"/>
      <c r="H1283" s="106"/>
      <c r="I1283" s="116">
        <f t="shared" ref="I1283:I1290" si="175">F1283-G1283-H1283</f>
        <v>0</v>
      </c>
      <c r="J1283" s="108"/>
      <c r="K1283" s="108"/>
      <c r="L1283" s="108"/>
      <c r="M1283" s="108"/>
      <c r="N1283" s="108"/>
      <c r="O1283" s="108"/>
      <c r="P1283" s="108"/>
      <c r="Q1283" s="108"/>
      <c r="R1283" s="108"/>
      <c r="S1283" s="108"/>
      <c r="T1283" s="108"/>
      <c r="U1283" s="110"/>
      <c r="V1283" s="111"/>
      <c r="W1283" s="112"/>
      <c r="X1283" s="113"/>
      <c r="Y1283" s="2"/>
    </row>
    <row r="1284" spans="2:25">
      <c r="B1284" s="114">
        <f t="shared" ref="B1284:B1290" si="176">B1283+1</f>
        <v>2</v>
      </c>
      <c r="C1284" s="610"/>
      <c r="D1284" s="104"/>
      <c r="E1284" s="115"/>
      <c r="F1284" s="106"/>
      <c r="G1284" s="106"/>
      <c r="H1284" s="106"/>
      <c r="I1284" s="116">
        <f t="shared" si="175"/>
        <v>0</v>
      </c>
      <c r="J1284" s="108"/>
      <c r="K1284" s="108"/>
      <c r="L1284" s="108"/>
      <c r="M1284" s="108"/>
      <c r="N1284" s="108"/>
      <c r="O1284" s="108"/>
      <c r="P1284" s="108"/>
      <c r="Q1284" s="108"/>
      <c r="R1284" s="108"/>
      <c r="S1284" s="108"/>
      <c r="T1284" s="108"/>
      <c r="U1284" s="110"/>
      <c r="V1284" s="111"/>
      <c r="W1284" s="112"/>
      <c r="X1284" s="113"/>
      <c r="Y1284" s="2"/>
    </row>
    <row r="1285" spans="2:25">
      <c r="B1285" s="114">
        <f t="shared" si="176"/>
        <v>3</v>
      </c>
      <c r="C1285" s="610"/>
      <c r="D1285" s="104"/>
      <c r="E1285" s="115"/>
      <c r="F1285" s="106"/>
      <c r="G1285" s="106"/>
      <c r="H1285" s="106"/>
      <c r="I1285" s="116">
        <f t="shared" si="175"/>
        <v>0</v>
      </c>
      <c r="J1285" s="108"/>
      <c r="K1285" s="108"/>
      <c r="L1285" s="108"/>
      <c r="M1285" s="108"/>
      <c r="N1285" s="108"/>
      <c r="O1285" s="108"/>
      <c r="P1285" s="108"/>
      <c r="Q1285" s="108"/>
      <c r="R1285" s="108"/>
      <c r="S1285" s="108"/>
      <c r="T1285" s="108"/>
      <c r="U1285" s="110"/>
      <c r="V1285" s="111"/>
      <c r="W1285" s="112"/>
      <c r="X1285" s="113"/>
      <c r="Y1285" s="2"/>
    </row>
    <row r="1286" spans="2:25">
      <c r="B1286" s="114">
        <f t="shared" si="176"/>
        <v>4</v>
      </c>
      <c r="C1286" s="610"/>
      <c r="D1286" s="104"/>
      <c r="E1286" s="115"/>
      <c r="F1286" s="106"/>
      <c r="G1286" s="106"/>
      <c r="H1286" s="106"/>
      <c r="I1286" s="116">
        <f t="shared" si="175"/>
        <v>0</v>
      </c>
      <c r="J1286" s="108"/>
      <c r="K1286" s="108"/>
      <c r="L1286" s="108"/>
      <c r="M1286" s="108"/>
      <c r="N1286" s="108"/>
      <c r="O1286" s="108"/>
      <c r="P1286" s="108"/>
      <c r="Q1286" s="108"/>
      <c r="R1286" s="108"/>
      <c r="S1286" s="108"/>
      <c r="T1286" s="108"/>
      <c r="U1286" s="110"/>
      <c r="V1286" s="111"/>
      <c r="W1286" s="112"/>
      <c r="X1286" s="113"/>
      <c r="Y1286" s="2"/>
    </row>
    <row r="1287" spans="2:25">
      <c r="B1287" s="114">
        <f t="shared" si="176"/>
        <v>5</v>
      </c>
      <c r="C1287" s="610"/>
      <c r="D1287" s="104"/>
      <c r="E1287" s="115"/>
      <c r="F1287" s="106"/>
      <c r="G1287" s="106"/>
      <c r="H1287" s="106"/>
      <c r="I1287" s="116">
        <f t="shared" si="175"/>
        <v>0</v>
      </c>
      <c r="J1287" s="108"/>
      <c r="K1287" s="108"/>
      <c r="L1287" s="108"/>
      <c r="M1287" s="108"/>
      <c r="N1287" s="108"/>
      <c r="O1287" s="108"/>
      <c r="P1287" s="108"/>
      <c r="Q1287" s="108"/>
      <c r="R1287" s="108"/>
      <c r="S1287" s="108"/>
      <c r="T1287" s="108"/>
      <c r="U1287" s="110"/>
      <c r="V1287" s="111"/>
      <c r="W1287" s="112"/>
      <c r="X1287" s="113"/>
      <c r="Y1287" s="2"/>
    </row>
    <row r="1288" spans="2:25">
      <c r="B1288" s="114">
        <f t="shared" si="176"/>
        <v>6</v>
      </c>
      <c r="C1288" s="610"/>
      <c r="D1288" s="104"/>
      <c r="E1288" s="115"/>
      <c r="F1288" s="106"/>
      <c r="G1288" s="106"/>
      <c r="H1288" s="106"/>
      <c r="I1288" s="116">
        <f t="shared" si="175"/>
        <v>0</v>
      </c>
      <c r="J1288" s="108"/>
      <c r="K1288" s="108"/>
      <c r="L1288" s="108"/>
      <c r="M1288" s="108"/>
      <c r="N1288" s="108"/>
      <c r="O1288" s="108"/>
      <c r="P1288" s="108"/>
      <c r="Q1288" s="108"/>
      <c r="R1288" s="108"/>
      <c r="S1288" s="108"/>
      <c r="T1288" s="108"/>
      <c r="U1288" s="110"/>
      <c r="V1288" s="111"/>
      <c r="W1288" s="112"/>
      <c r="X1288" s="113"/>
      <c r="Y1288" s="2"/>
    </row>
    <row r="1289" spans="2:25">
      <c r="B1289" s="114">
        <f t="shared" si="176"/>
        <v>7</v>
      </c>
      <c r="C1289" s="610"/>
      <c r="D1289" s="104"/>
      <c r="E1289" s="115"/>
      <c r="F1289" s="106"/>
      <c r="G1289" s="106"/>
      <c r="H1289" s="106"/>
      <c r="I1289" s="116">
        <f t="shared" si="175"/>
        <v>0</v>
      </c>
      <c r="J1289" s="108"/>
      <c r="K1289" s="108"/>
      <c r="L1289" s="108"/>
      <c r="M1289" s="108"/>
      <c r="N1289" s="108"/>
      <c r="O1289" s="108"/>
      <c r="P1289" s="108"/>
      <c r="Q1289" s="108"/>
      <c r="R1289" s="108"/>
      <c r="S1289" s="108"/>
      <c r="T1289" s="108"/>
      <c r="U1289" s="110"/>
      <c r="V1289" s="111"/>
      <c r="W1289" s="112"/>
      <c r="X1289" s="113"/>
      <c r="Y1289" s="2"/>
    </row>
    <row r="1290" spans="2:25">
      <c r="B1290" s="114">
        <f t="shared" si="176"/>
        <v>8</v>
      </c>
      <c r="C1290" s="610"/>
      <c r="D1290" s="104"/>
      <c r="E1290" s="115"/>
      <c r="F1290" s="106"/>
      <c r="G1290" s="106"/>
      <c r="H1290" s="106"/>
      <c r="I1290" s="116">
        <f t="shared" si="175"/>
        <v>0</v>
      </c>
      <c r="J1290" s="108"/>
      <c r="K1290" s="108"/>
      <c r="L1290" s="108"/>
      <c r="M1290" s="108"/>
      <c r="N1290" s="108"/>
      <c r="O1290" s="108"/>
      <c r="P1290" s="108"/>
      <c r="Q1290" s="108"/>
      <c r="R1290" s="108"/>
      <c r="S1290" s="108"/>
      <c r="T1290" s="108"/>
      <c r="U1290" s="110"/>
      <c r="V1290" s="111"/>
      <c r="W1290" s="112"/>
      <c r="X1290" s="113"/>
      <c r="Y1290" s="2"/>
    </row>
    <row r="1291" spans="2:25">
      <c r="B1291" s="117"/>
      <c r="C1291" s="610"/>
      <c r="D1291" s="104"/>
      <c r="E1291" s="104"/>
      <c r="F1291" s="118">
        <f>SUM(F1283:F1290)</f>
        <v>0</v>
      </c>
      <c r="G1291" s="118">
        <f>SUM(G1283:G1290)</f>
        <v>0</v>
      </c>
      <c r="H1291" s="118">
        <f>SUM(H1283:H1290)</f>
        <v>0</v>
      </c>
      <c r="I1291" s="119">
        <f>SUM(I1283:I1290)</f>
        <v>0</v>
      </c>
      <c r="J1291" s="108"/>
      <c r="K1291" s="120"/>
      <c r="L1291" s="120"/>
      <c r="M1291" s="120"/>
      <c r="N1291" s="120"/>
      <c r="O1291" s="120"/>
      <c r="P1291" s="120"/>
      <c r="Q1291" s="120"/>
      <c r="R1291" s="120"/>
      <c r="S1291" s="120"/>
      <c r="T1291" s="108"/>
      <c r="U1291" s="110"/>
      <c r="V1291" s="111"/>
      <c r="W1291" s="112"/>
      <c r="X1291" s="113"/>
      <c r="Y1291" s="2"/>
    </row>
    <row r="1292" spans="2:25">
      <c r="B1292" s="11"/>
      <c r="C1292" s="609"/>
      <c r="D1292" s="10"/>
      <c r="E1292" s="10"/>
      <c r="F1292" s="88"/>
      <c r="G1292" s="88"/>
      <c r="H1292" s="88"/>
      <c r="I1292" s="99"/>
      <c r="J1292" s="63"/>
      <c r="K1292" s="21"/>
      <c r="L1292" s="21"/>
      <c r="M1292" s="21"/>
      <c r="N1292" s="21"/>
      <c r="O1292" s="21"/>
      <c r="P1292" s="21"/>
      <c r="Q1292" s="21"/>
      <c r="R1292" s="21"/>
      <c r="S1292" s="21"/>
      <c r="T1292" s="63"/>
      <c r="U1292" s="94"/>
      <c r="V1292" s="90"/>
      <c r="W1292" s="91"/>
      <c r="X1292" s="92"/>
      <c r="Y1292" s="2"/>
    </row>
    <row r="1293" spans="2:25">
      <c r="B1293" s="121" t="s">
        <v>68</v>
      </c>
      <c r="C1293" s="611"/>
      <c r="D1293" s="123"/>
      <c r="E1293" s="123"/>
      <c r="F1293" s="124"/>
      <c r="G1293" s="125"/>
      <c r="H1293" s="124"/>
      <c r="I1293" s="126"/>
      <c r="J1293" s="127"/>
      <c r="K1293" s="128"/>
      <c r="L1293" s="128"/>
      <c r="M1293" s="128"/>
      <c r="N1293" s="128"/>
      <c r="O1293" s="128"/>
      <c r="P1293" s="128"/>
      <c r="Q1293" s="128"/>
      <c r="R1293" s="128"/>
      <c r="S1293" s="128"/>
      <c r="T1293" s="127"/>
      <c r="U1293" s="123"/>
      <c r="V1293" s="129"/>
      <c r="W1293" s="130"/>
      <c r="X1293" s="131"/>
      <c r="Y1293" s="128"/>
    </row>
    <row r="1294" spans="2:25">
      <c r="B1294" s="87">
        <v>1</v>
      </c>
      <c r="C1294" s="36"/>
      <c r="D1294" s="10"/>
      <c r="E1294" s="101"/>
      <c r="F1294" s="62"/>
      <c r="G1294" s="62"/>
      <c r="H1294" s="62"/>
      <c r="I1294" s="89">
        <f t="shared" ref="I1294:I1301" si="177">F1294-G1294-H1294</f>
        <v>0</v>
      </c>
      <c r="J1294" s="63"/>
      <c r="K1294" s="63"/>
      <c r="L1294" s="63"/>
      <c r="M1294" s="63"/>
      <c r="N1294" s="63"/>
      <c r="O1294" s="63"/>
      <c r="P1294" s="63"/>
      <c r="Q1294" s="63"/>
      <c r="R1294" s="63"/>
      <c r="S1294" s="63"/>
      <c r="T1294" s="63"/>
      <c r="U1294" s="10"/>
      <c r="V1294" s="90"/>
      <c r="W1294" s="91"/>
      <c r="X1294" s="92"/>
      <c r="Y1294" s="2"/>
    </row>
    <row r="1295" spans="2:25">
      <c r="B1295" s="87">
        <f t="shared" ref="B1295:B1301" si="178">B1294+1</f>
        <v>2</v>
      </c>
      <c r="C1295" s="36"/>
      <c r="D1295" s="10"/>
      <c r="E1295" s="101"/>
      <c r="F1295" s="62"/>
      <c r="G1295" s="62"/>
      <c r="H1295" s="62"/>
      <c r="I1295" s="89">
        <f t="shared" si="177"/>
        <v>0</v>
      </c>
      <c r="J1295" s="63"/>
      <c r="K1295" s="63"/>
      <c r="L1295" s="63"/>
      <c r="M1295" s="63"/>
      <c r="N1295" s="63"/>
      <c r="O1295" s="63"/>
      <c r="P1295" s="63"/>
      <c r="Q1295" s="63"/>
      <c r="R1295" s="63"/>
      <c r="S1295" s="63"/>
      <c r="T1295" s="63"/>
      <c r="U1295" s="10"/>
      <c r="V1295" s="90"/>
      <c r="W1295" s="91"/>
      <c r="X1295" s="92"/>
      <c r="Y1295" s="2"/>
    </row>
    <row r="1296" spans="2:25">
      <c r="B1296" s="87">
        <f t="shared" si="178"/>
        <v>3</v>
      </c>
      <c r="C1296" s="36"/>
      <c r="D1296" s="10"/>
      <c r="E1296" s="101"/>
      <c r="F1296" s="62"/>
      <c r="G1296" s="62"/>
      <c r="H1296" s="62"/>
      <c r="I1296" s="89">
        <f t="shared" si="177"/>
        <v>0</v>
      </c>
      <c r="J1296" s="63"/>
      <c r="K1296" s="63"/>
      <c r="L1296" s="63"/>
      <c r="M1296" s="63"/>
      <c r="N1296" s="63"/>
      <c r="O1296" s="63"/>
      <c r="P1296" s="63"/>
      <c r="Q1296" s="63"/>
      <c r="R1296" s="63"/>
      <c r="S1296" s="63"/>
      <c r="T1296" s="63"/>
      <c r="U1296" s="10"/>
      <c r="V1296" s="90"/>
      <c r="W1296" s="91"/>
      <c r="X1296" s="92"/>
      <c r="Y1296" s="2"/>
    </row>
    <row r="1297" spans="2:25">
      <c r="B1297" s="87">
        <f t="shared" si="178"/>
        <v>4</v>
      </c>
      <c r="C1297" s="36"/>
      <c r="D1297" s="10"/>
      <c r="E1297" s="101"/>
      <c r="F1297" s="62"/>
      <c r="G1297" s="62"/>
      <c r="H1297" s="62"/>
      <c r="I1297" s="89">
        <f t="shared" si="177"/>
        <v>0</v>
      </c>
      <c r="J1297" s="63"/>
      <c r="K1297" s="63"/>
      <c r="L1297" s="63"/>
      <c r="M1297" s="63"/>
      <c r="N1297" s="63"/>
      <c r="O1297" s="63"/>
      <c r="P1297" s="63"/>
      <c r="Q1297" s="63"/>
      <c r="R1297" s="63"/>
      <c r="S1297" s="63"/>
      <c r="T1297" s="63"/>
      <c r="U1297" s="10"/>
      <c r="V1297" s="90"/>
      <c r="W1297" s="91"/>
      <c r="X1297" s="92"/>
      <c r="Y1297" s="2"/>
    </row>
    <row r="1298" spans="2:25">
      <c r="B1298" s="87">
        <f t="shared" si="178"/>
        <v>5</v>
      </c>
      <c r="C1298" s="36"/>
      <c r="D1298" s="10"/>
      <c r="E1298" s="101"/>
      <c r="F1298" s="62"/>
      <c r="G1298" s="62"/>
      <c r="H1298" s="62"/>
      <c r="I1298" s="89">
        <f t="shared" si="177"/>
        <v>0</v>
      </c>
      <c r="J1298" s="63"/>
      <c r="K1298" s="63"/>
      <c r="L1298" s="63"/>
      <c r="M1298" s="63"/>
      <c r="N1298" s="63"/>
      <c r="O1298" s="63"/>
      <c r="P1298" s="63"/>
      <c r="Q1298" s="63"/>
      <c r="R1298" s="63"/>
      <c r="S1298" s="63"/>
      <c r="T1298" s="63"/>
      <c r="U1298" s="10"/>
      <c r="V1298" s="90"/>
      <c r="W1298" s="91"/>
      <c r="X1298" s="92"/>
      <c r="Y1298" s="2"/>
    </row>
    <row r="1299" spans="2:25">
      <c r="B1299" s="87">
        <f t="shared" si="178"/>
        <v>6</v>
      </c>
      <c r="C1299" s="36"/>
      <c r="D1299" s="10"/>
      <c r="E1299" s="101"/>
      <c r="F1299" s="62"/>
      <c r="G1299" s="62"/>
      <c r="H1299" s="62"/>
      <c r="I1299" s="89">
        <f t="shared" si="177"/>
        <v>0</v>
      </c>
      <c r="J1299" s="63"/>
      <c r="K1299" s="63"/>
      <c r="L1299" s="63"/>
      <c r="M1299" s="63"/>
      <c r="N1299" s="63"/>
      <c r="O1299" s="63"/>
      <c r="P1299" s="63"/>
      <c r="Q1299" s="63"/>
      <c r="R1299" s="63"/>
      <c r="S1299" s="63"/>
      <c r="T1299" s="63"/>
      <c r="U1299" s="10"/>
      <c r="V1299" s="90"/>
      <c r="W1299" s="91"/>
      <c r="X1299" s="92"/>
      <c r="Y1299" s="2"/>
    </row>
    <row r="1300" spans="2:25">
      <c r="B1300" s="87">
        <f t="shared" si="178"/>
        <v>7</v>
      </c>
      <c r="C1300" s="36"/>
      <c r="D1300" s="10"/>
      <c r="E1300" s="101"/>
      <c r="F1300" s="62"/>
      <c r="G1300" s="62"/>
      <c r="H1300" s="62"/>
      <c r="I1300" s="89">
        <f t="shared" si="177"/>
        <v>0</v>
      </c>
      <c r="J1300" s="63"/>
      <c r="K1300" s="63"/>
      <c r="L1300" s="63"/>
      <c r="M1300" s="63"/>
      <c r="N1300" s="63"/>
      <c r="O1300" s="63"/>
      <c r="P1300" s="63"/>
      <c r="Q1300" s="63"/>
      <c r="R1300" s="63"/>
      <c r="S1300" s="63"/>
      <c r="T1300" s="63"/>
      <c r="U1300" s="10"/>
      <c r="V1300" s="90"/>
      <c r="W1300" s="91"/>
      <c r="X1300" s="92"/>
      <c r="Y1300" s="2"/>
    </row>
    <row r="1301" spans="2:25">
      <c r="B1301" s="87">
        <f t="shared" si="178"/>
        <v>8</v>
      </c>
      <c r="C1301" s="36"/>
      <c r="D1301" s="10"/>
      <c r="E1301" s="101"/>
      <c r="F1301" s="62"/>
      <c r="G1301" s="62"/>
      <c r="H1301" s="62"/>
      <c r="I1301" s="89">
        <f t="shared" si="177"/>
        <v>0</v>
      </c>
      <c r="J1301" s="63"/>
      <c r="K1301" s="63"/>
      <c r="L1301" s="63"/>
      <c r="M1301" s="63"/>
      <c r="N1301" s="63"/>
      <c r="O1301" s="63"/>
      <c r="P1301" s="63"/>
      <c r="Q1301" s="63"/>
      <c r="R1301" s="63"/>
      <c r="S1301" s="63"/>
      <c r="T1301" s="63"/>
      <c r="U1301" s="10"/>
      <c r="V1301" s="90"/>
      <c r="W1301" s="91"/>
      <c r="X1301" s="92"/>
      <c r="Y1301" s="2"/>
    </row>
    <row r="1302" spans="2:25">
      <c r="B1302" s="132"/>
      <c r="C1302" s="36"/>
      <c r="D1302" s="123"/>
      <c r="E1302" s="123"/>
      <c r="F1302" s="133">
        <f>SUM(F1294:F1301)</f>
        <v>0</v>
      </c>
      <c r="G1302" s="133">
        <f>SUM(G1294:G1301)</f>
        <v>0</v>
      </c>
      <c r="H1302" s="133">
        <f>SUM(H1294:H1301)</f>
        <v>0</v>
      </c>
      <c r="I1302" s="134">
        <f>SUM(I1294:I1301)</f>
        <v>0</v>
      </c>
      <c r="J1302" s="127"/>
      <c r="K1302" s="64"/>
      <c r="L1302" s="64"/>
      <c r="M1302" s="64"/>
      <c r="N1302" s="64"/>
      <c r="O1302" s="64"/>
      <c r="P1302" s="64"/>
      <c r="Q1302" s="64"/>
      <c r="R1302" s="64"/>
      <c r="S1302" s="64"/>
      <c r="T1302" s="127"/>
      <c r="U1302" s="123"/>
      <c r="V1302" s="129"/>
      <c r="W1302" s="130"/>
      <c r="X1302" s="131"/>
      <c r="Y1302" s="128"/>
    </row>
    <row r="1303" spans="2:25">
      <c r="B1303" s="11"/>
      <c r="C1303" s="36"/>
      <c r="D1303" s="10"/>
      <c r="E1303" s="10"/>
      <c r="F1303" s="88"/>
      <c r="G1303" s="88"/>
      <c r="H1303" s="88"/>
      <c r="I1303" s="99"/>
      <c r="J1303" s="63"/>
      <c r="K1303" s="21"/>
      <c r="L1303" s="21"/>
      <c r="M1303" s="21"/>
      <c r="N1303" s="21"/>
      <c r="O1303" s="21"/>
      <c r="P1303" s="21"/>
      <c r="Q1303" s="21"/>
      <c r="R1303" s="21"/>
      <c r="S1303" s="21"/>
      <c r="T1303" s="63"/>
      <c r="U1303" s="10"/>
      <c r="V1303" s="90"/>
      <c r="W1303" s="91"/>
      <c r="X1303" s="92"/>
      <c r="Y1303" s="2"/>
    </row>
    <row r="1304" spans="2:25">
      <c r="B1304" s="121" t="s">
        <v>69</v>
      </c>
      <c r="C1304" s="36"/>
      <c r="D1304" s="123"/>
      <c r="E1304" s="123"/>
      <c r="F1304" s="124"/>
      <c r="G1304" s="125"/>
      <c r="H1304" s="124"/>
      <c r="I1304" s="126"/>
      <c r="J1304" s="127"/>
      <c r="K1304" s="128"/>
      <c r="L1304" s="128"/>
      <c r="M1304" s="128"/>
      <c r="N1304" s="128"/>
      <c r="O1304" s="128"/>
      <c r="P1304" s="128"/>
      <c r="Q1304" s="128"/>
      <c r="R1304" s="128"/>
      <c r="S1304" s="128"/>
      <c r="T1304" s="127"/>
      <c r="U1304" s="135"/>
      <c r="V1304" s="129"/>
      <c r="W1304" s="130"/>
      <c r="X1304" s="131"/>
      <c r="Y1304" s="128"/>
    </row>
    <row r="1305" spans="2:25">
      <c r="B1305" s="87">
        <v>1</v>
      </c>
      <c r="C1305" s="36"/>
      <c r="D1305" s="10"/>
      <c r="E1305" s="101"/>
      <c r="F1305" s="62"/>
      <c r="G1305" s="62"/>
      <c r="H1305" s="62"/>
      <c r="I1305" s="89">
        <f t="shared" ref="I1305:I1312" si="179">F1305-G1305-H1305</f>
        <v>0</v>
      </c>
      <c r="J1305" s="63"/>
      <c r="K1305" s="63"/>
      <c r="L1305" s="63"/>
      <c r="M1305" s="63"/>
      <c r="N1305" s="63"/>
      <c r="O1305" s="63"/>
      <c r="P1305" s="63"/>
      <c r="Q1305" s="63"/>
      <c r="R1305" s="63"/>
      <c r="S1305" s="63"/>
      <c r="T1305" s="63"/>
      <c r="U1305" s="94"/>
      <c r="V1305" s="90"/>
      <c r="W1305" s="91"/>
      <c r="X1305" s="92"/>
      <c r="Y1305" s="2"/>
    </row>
    <row r="1306" spans="2:25">
      <c r="B1306" s="87">
        <f t="shared" ref="B1306:B1312" si="180">B1305+1</f>
        <v>2</v>
      </c>
      <c r="C1306" s="36"/>
      <c r="D1306" s="10"/>
      <c r="E1306" s="101"/>
      <c r="F1306" s="62"/>
      <c r="G1306" s="62"/>
      <c r="H1306" s="62"/>
      <c r="I1306" s="89">
        <f t="shared" si="179"/>
        <v>0</v>
      </c>
      <c r="J1306" s="63"/>
      <c r="K1306" s="63"/>
      <c r="L1306" s="63"/>
      <c r="M1306" s="63"/>
      <c r="N1306" s="63"/>
      <c r="O1306" s="63"/>
      <c r="P1306" s="63"/>
      <c r="Q1306" s="63"/>
      <c r="R1306" s="63"/>
      <c r="S1306" s="63"/>
      <c r="T1306" s="63"/>
      <c r="U1306" s="94"/>
      <c r="V1306" s="90"/>
      <c r="W1306" s="91"/>
      <c r="X1306" s="92"/>
      <c r="Y1306" s="2"/>
    </row>
    <row r="1307" spans="2:25">
      <c r="B1307" s="87">
        <f t="shared" si="180"/>
        <v>3</v>
      </c>
      <c r="C1307" s="36"/>
      <c r="D1307" s="10"/>
      <c r="E1307" s="101"/>
      <c r="F1307" s="62"/>
      <c r="G1307" s="62"/>
      <c r="H1307" s="62"/>
      <c r="I1307" s="89">
        <f t="shared" si="179"/>
        <v>0</v>
      </c>
      <c r="J1307" s="63"/>
      <c r="K1307" s="63"/>
      <c r="L1307" s="63"/>
      <c r="M1307" s="63"/>
      <c r="N1307" s="63"/>
      <c r="O1307" s="63"/>
      <c r="P1307" s="63"/>
      <c r="Q1307" s="63"/>
      <c r="R1307" s="63"/>
      <c r="S1307" s="63"/>
      <c r="T1307" s="63"/>
      <c r="U1307" s="94"/>
      <c r="V1307" s="90"/>
      <c r="W1307" s="91"/>
      <c r="X1307" s="92"/>
      <c r="Y1307" s="2"/>
    </row>
    <row r="1308" spans="2:25">
      <c r="B1308" s="87">
        <f t="shared" si="180"/>
        <v>4</v>
      </c>
      <c r="C1308" s="36"/>
      <c r="D1308" s="10"/>
      <c r="E1308" s="101"/>
      <c r="F1308" s="62"/>
      <c r="G1308" s="62"/>
      <c r="H1308" s="62"/>
      <c r="I1308" s="89">
        <f t="shared" si="179"/>
        <v>0</v>
      </c>
      <c r="J1308" s="63"/>
      <c r="K1308" s="63"/>
      <c r="L1308" s="63"/>
      <c r="M1308" s="63"/>
      <c r="N1308" s="63"/>
      <c r="O1308" s="63"/>
      <c r="P1308" s="63"/>
      <c r="Q1308" s="63"/>
      <c r="R1308" s="63"/>
      <c r="S1308" s="63"/>
      <c r="T1308" s="63"/>
      <c r="U1308" s="94"/>
      <c r="V1308" s="90"/>
      <c r="W1308" s="91"/>
      <c r="X1308" s="92"/>
      <c r="Y1308" s="2"/>
    </row>
    <row r="1309" spans="2:25">
      <c r="B1309" s="87">
        <f t="shared" si="180"/>
        <v>5</v>
      </c>
      <c r="C1309" s="36"/>
      <c r="D1309" s="10"/>
      <c r="E1309" s="101"/>
      <c r="F1309" s="62"/>
      <c r="G1309" s="62"/>
      <c r="H1309" s="62"/>
      <c r="I1309" s="89">
        <f t="shared" si="179"/>
        <v>0</v>
      </c>
      <c r="J1309" s="63"/>
      <c r="K1309" s="63"/>
      <c r="L1309" s="63"/>
      <c r="M1309" s="63"/>
      <c r="N1309" s="63"/>
      <c r="O1309" s="63"/>
      <c r="P1309" s="63"/>
      <c r="Q1309" s="63"/>
      <c r="R1309" s="63"/>
      <c r="S1309" s="63"/>
      <c r="T1309" s="63"/>
      <c r="U1309" s="94"/>
      <c r="V1309" s="90"/>
      <c r="W1309" s="91"/>
      <c r="X1309" s="92"/>
      <c r="Y1309" s="2"/>
    </row>
    <row r="1310" spans="2:25">
      <c r="B1310" s="87">
        <f t="shared" si="180"/>
        <v>6</v>
      </c>
      <c r="C1310" s="36"/>
      <c r="D1310" s="10"/>
      <c r="E1310" s="101"/>
      <c r="F1310" s="62"/>
      <c r="G1310" s="62"/>
      <c r="H1310" s="62"/>
      <c r="I1310" s="89">
        <f t="shared" si="179"/>
        <v>0</v>
      </c>
      <c r="J1310" s="63"/>
      <c r="K1310" s="63"/>
      <c r="L1310" s="63"/>
      <c r="M1310" s="63"/>
      <c r="N1310" s="63"/>
      <c r="O1310" s="63"/>
      <c r="P1310" s="63"/>
      <c r="Q1310" s="63"/>
      <c r="R1310" s="63"/>
      <c r="S1310" s="63"/>
      <c r="T1310" s="63"/>
      <c r="U1310" s="94"/>
      <c r="V1310" s="90"/>
      <c r="W1310" s="91"/>
      <c r="X1310" s="92"/>
      <c r="Y1310" s="2"/>
    </row>
    <row r="1311" spans="2:25">
      <c r="B1311" s="87">
        <f t="shared" si="180"/>
        <v>7</v>
      </c>
      <c r="C1311" s="36"/>
      <c r="D1311" s="10"/>
      <c r="E1311" s="101"/>
      <c r="F1311" s="62"/>
      <c r="G1311" s="62"/>
      <c r="H1311" s="62"/>
      <c r="I1311" s="89">
        <f t="shared" si="179"/>
        <v>0</v>
      </c>
      <c r="J1311" s="63"/>
      <c r="K1311" s="63"/>
      <c r="L1311" s="63"/>
      <c r="M1311" s="63"/>
      <c r="N1311" s="63"/>
      <c r="O1311" s="63"/>
      <c r="P1311" s="63"/>
      <c r="Q1311" s="63"/>
      <c r="R1311" s="63"/>
      <c r="S1311" s="63"/>
      <c r="T1311" s="63"/>
      <c r="U1311" s="94"/>
      <c r="V1311" s="90"/>
      <c r="W1311" s="91"/>
      <c r="X1311" s="92"/>
      <c r="Y1311" s="2"/>
    </row>
    <row r="1312" spans="2:25">
      <c r="B1312" s="87">
        <f t="shared" si="180"/>
        <v>8</v>
      </c>
      <c r="C1312" s="36"/>
      <c r="D1312" s="10"/>
      <c r="E1312" s="101"/>
      <c r="F1312" s="62"/>
      <c r="G1312" s="62"/>
      <c r="H1312" s="62"/>
      <c r="I1312" s="89">
        <f t="shared" si="179"/>
        <v>0</v>
      </c>
      <c r="J1312" s="63"/>
      <c r="K1312" s="63"/>
      <c r="L1312" s="63"/>
      <c r="M1312" s="63"/>
      <c r="N1312" s="63"/>
      <c r="O1312" s="63"/>
      <c r="P1312" s="63"/>
      <c r="Q1312" s="63"/>
      <c r="R1312" s="63"/>
      <c r="S1312" s="63"/>
      <c r="T1312" s="63"/>
      <c r="U1312" s="94"/>
      <c r="V1312" s="90"/>
      <c r="W1312" s="91"/>
      <c r="X1312" s="92"/>
      <c r="Y1312" s="2"/>
    </row>
    <row r="1313" spans="1:25">
      <c r="B1313" s="132"/>
      <c r="C1313" s="36"/>
      <c r="D1313" s="123"/>
      <c r="E1313" s="123"/>
      <c r="F1313" s="133">
        <f>SUM(F1305:F1312)</f>
        <v>0</v>
      </c>
      <c r="G1313" s="133">
        <f>SUM(G1305:G1312)</f>
        <v>0</v>
      </c>
      <c r="H1313" s="133">
        <f>SUM(H1305:H1312)</f>
        <v>0</v>
      </c>
      <c r="I1313" s="134">
        <f>SUM(I1305:I1312)</f>
        <v>0</v>
      </c>
      <c r="J1313" s="127"/>
      <c r="K1313" s="64"/>
      <c r="L1313" s="64"/>
      <c r="M1313" s="64"/>
      <c r="N1313" s="64"/>
      <c r="O1313" s="64"/>
      <c r="P1313" s="64"/>
      <c r="Q1313" s="64"/>
      <c r="R1313" s="64"/>
      <c r="S1313" s="64"/>
      <c r="T1313" s="127"/>
      <c r="U1313" s="135"/>
      <c r="V1313" s="129"/>
      <c r="W1313" s="130"/>
      <c r="X1313" s="131"/>
      <c r="Y1313" s="128"/>
    </row>
    <row r="1314" spans="1:25">
      <c r="B1314" s="11"/>
      <c r="C1314" s="36"/>
      <c r="D1314" s="10"/>
      <c r="E1314" s="10"/>
      <c r="F1314" s="88"/>
      <c r="G1314" s="88"/>
      <c r="H1314" s="88"/>
      <c r="I1314" s="99"/>
      <c r="J1314" s="63"/>
      <c r="K1314" s="21"/>
      <c r="L1314" s="21"/>
      <c r="M1314" s="21"/>
      <c r="N1314" s="21"/>
      <c r="O1314" s="21"/>
      <c r="P1314" s="21"/>
      <c r="Q1314" s="21"/>
      <c r="R1314" s="21"/>
      <c r="S1314" s="21"/>
      <c r="T1314" s="63"/>
      <c r="U1314" s="94"/>
      <c r="V1314" s="90"/>
      <c r="W1314" s="91"/>
      <c r="X1314" s="92"/>
      <c r="Y1314" s="2"/>
    </row>
    <row r="1315" spans="1:25">
      <c r="B1315" s="121" t="s">
        <v>70</v>
      </c>
      <c r="C1315" s="36"/>
      <c r="D1315" s="123"/>
      <c r="E1315" s="128"/>
      <c r="F1315" s="124"/>
      <c r="G1315" s="124"/>
      <c r="H1315" s="124"/>
      <c r="I1315" s="126"/>
      <c r="J1315" s="127"/>
      <c r="K1315" s="64"/>
      <c r="L1315" s="64"/>
      <c r="M1315" s="64"/>
      <c r="N1315" s="64"/>
      <c r="O1315" s="64"/>
      <c r="P1315" s="64"/>
      <c r="Q1315" s="64"/>
      <c r="R1315" s="64"/>
      <c r="S1315" s="64"/>
      <c r="T1315" s="127"/>
      <c r="U1315" s="135"/>
      <c r="V1315" s="129"/>
      <c r="W1315" s="130"/>
      <c r="X1315" s="131"/>
      <c r="Y1315" s="128"/>
    </row>
    <row r="1316" spans="1:25">
      <c r="A1316" s="2" t="s">
        <v>1332</v>
      </c>
      <c r="B1316" s="87">
        <v>1</v>
      </c>
      <c r="C1316" s="274">
        <v>45964</v>
      </c>
      <c r="D1316" s="276">
        <v>75044</v>
      </c>
      <c r="E1316" s="276" t="s">
        <v>1088</v>
      </c>
      <c r="F1316" s="277">
        <v>1861</v>
      </c>
      <c r="G1316" s="277">
        <f>39.7</f>
        <v>39.700000000000003</v>
      </c>
      <c r="H1316" s="277"/>
      <c r="I1316" s="278">
        <f>F1316-G1316-H1316</f>
        <v>1821.3</v>
      </c>
      <c r="J1316" s="279" t="s">
        <v>156</v>
      </c>
      <c r="K1316" s="279">
        <v>1</v>
      </c>
      <c r="L1316" s="279"/>
      <c r="M1316" s="279">
        <v>1</v>
      </c>
      <c r="N1316" s="279">
        <v>1</v>
      </c>
      <c r="O1316" s="279">
        <v>1</v>
      </c>
      <c r="P1316" s="279">
        <v>1</v>
      </c>
      <c r="Q1316" s="279"/>
      <c r="R1316" s="279"/>
      <c r="S1316" s="280"/>
      <c r="T1316" s="63"/>
      <c r="U1316" s="94"/>
      <c r="V1316" s="90">
        <f>204.71</f>
        <v>204.71</v>
      </c>
      <c r="W1316" s="136"/>
      <c r="X1316" s="137"/>
      <c r="Y1316" s="2"/>
    </row>
    <row r="1317" spans="1:25">
      <c r="A1317" s="2" t="s">
        <v>1333</v>
      </c>
      <c r="B1317" s="87">
        <f t="shared" ref="B1317:B1323" si="181">B1316+1</f>
        <v>2</v>
      </c>
      <c r="C1317" s="282">
        <v>45964</v>
      </c>
      <c r="D1317" s="283">
        <v>75068</v>
      </c>
      <c r="E1317" s="283" t="s">
        <v>1256</v>
      </c>
      <c r="F1317" s="284">
        <v>1861</v>
      </c>
      <c r="G1317" s="284">
        <f>39.7</f>
        <v>39.700000000000003</v>
      </c>
      <c r="H1317" s="284"/>
      <c r="I1317" s="285">
        <f t="shared" ref="I1317" si="182">F1317-G1317-H1317</f>
        <v>1821.3</v>
      </c>
      <c r="J1317" s="286" t="s">
        <v>156</v>
      </c>
      <c r="K1317" s="286">
        <v>1</v>
      </c>
      <c r="L1317" s="286"/>
      <c r="M1317" s="286">
        <v>1</v>
      </c>
      <c r="N1317" s="286">
        <v>1</v>
      </c>
      <c r="O1317" s="286">
        <v>1</v>
      </c>
      <c r="P1317" s="286">
        <v>1</v>
      </c>
      <c r="Q1317" s="286"/>
      <c r="R1317" s="286"/>
      <c r="S1317" s="287"/>
      <c r="T1317" s="63"/>
      <c r="U1317" s="94"/>
      <c r="V1317" s="90">
        <f>204.71</f>
        <v>204.71</v>
      </c>
      <c r="W1317" s="136"/>
      <c r="X1317" s="137"/>
      <c r="Y1317" s="2"/>
    </row>
    <row r="1318" spans="1:25">
      <c r="B1318" s="87">
        <f t="shared" si="181"/>
        <v>3</v>
      </c>
      <c r="C1318" s="36"/>
      <c r="D1318" s="10"/>
      <c r="E1318" s="10"/>
      <c r="F1318" s="62"/>
      <c r="G1318" s="62"/>
      <c r="H1318" s="62"/>
      <c r="I1318" s="89">
        <f>F1318-G1318-H1318</f>
        <v>0</v>
      </c>
      <c r="J1318" s="63"/>
      <c r="K1318" s="63"/>
      <c r="L1318" s="63"/>
      <c r="M1318" s="63"/>
      <c r="N1318" s="63"/>
      <c r="O1318" s="63"/>
      <c r="P1318" s="63"/>
      <c r="Q1318" s="63"/>
      <c r="R1318" s="63"/>
      <c r="S1318" s="63"/>
      <c r="T1318" s="63"/>
      <c r="U1318" s="94"/>
      <c r="V1318" s="90"/>
      <c r="W1318" s="136"/>
      <c r="X1318" s="137"/>
      <c r="Y1318" s="2"/>
    </row>
    <row r="1319" spans="1:25">
      <c r="B1319" s="87">
        <f t="shared" si="181"/>
        <v>4</v>
      </c>
      <c r="C1319" s="36"/>
      <c r="D1319" s="10"/>
      <c r="E1319" s="10"/>
      <c r="F1319" s="62"/>
      <c r="G1319" s="62"/>
      <c r="H1319" s="62"/>
      <c r="I1319" s="89">
        <f>F1319-G1319-H1319</f>
        <v>0</v>
      </c>
      <c r="J1319" s="63"/>
      <c r="K1319" s="63"/>
      <c r="L1319" s="63"/>
      <c r="M1319" s="63"/>
      <c r="N1319" s="63"/>
      <c r="O1319" s="63"/>
      <c r="P1319" s="63"/>
      <c r="Q1319" s="63"/>
      <c r="R1319" s="63"/>
      <c r="S1319" s="63"/>
      <c r="T1319" s="63"/>
      <c r="U1319" s="94"/>
      <c r="V1319" s="90"/>
      <c r="W1319" s="136"/>
      <c r="X1319" s="137"/>
      <c r="Y1319" s="2"/>
    </row>
    <row r="1320" spans="1:25">
      <c r="B1320" s="87">
        <f t="shared" si="181"/>
        <v>5</v>
      </c>
      <c r="C1320" s="36"/>
      <c r="D1320" s="10"/>
      <c r="E1320" s="10"/>
      <c r="F1320" s="62"/>
      <c r="G1320" s="62"/>
      <c r="H1320" s="62"/>
      <c r="I1320" s="89">
        <f>F1320-G1320-H1320</f>
        <v>0</v>
      </c>
      <c r="J1320" s="63"/>
      <c r="K1320" s="63"/>
      <c r="L1320" s="63"/>
      <c r="M1320" s="63"/>
      <c r="N1320" s="63"/>
      <c r="O1320" s="63"/>
      <c r="P1320" s="63"/>
      <c r="Q1320" s="63"/>
      <c r="R1320" s="63"/>
      <c r="S1320" s="63"/>
      <c r="T1320" s="63"/>
      <c r="U1320" s="94"/>
      <c r="V1320" s="90"/>
      <c r="W1320" s="136"/>
      <c r="X1320" s="137"/>
      <c r="Y1320" s="2"/>
    </row>
    <row r="1321" spans="1:25">
      <c r="B1321" s="87">
        <f t="shared" si="181"/>
        <v>6</v>
      </c>
      <c r="C1321" s="36"/>
      <c r="D1321" s="10"/>
      <c r="E1321" s="10"/>
      <c r="F1321" s="62"/>
      <c r="G1321" s="62"/>
      <c r="H1321" s="62"/>
      <c r="I1321" s="89">
        <f>F1321-G1321-H1321</f>
        <v>0</v>
      </c>
      <c r="J1321" s="63"/>
      <c r="K1321" s="63"/>
      <c r="L1321" s="63"/>
      <c r="M1321" s="63"/>
      <c r="N1321" s="63"/>
      <c r="O1321" s="63"/>
      <c r="P1321" s="63"/>
      <c r="Q1321" s="63"/>
      <c r="R1321" s="63"/>
      <c r="S1321" s="63"/>
      <c r="T1321" s="63"/>
      <c r="U1321" s="94"/>
      <c r="V1321" s="90"/>
      <c r="W1321" s="136"/>
      <c r="X1321" s="137"/>
      <c r="Y1321" s="2"/>
    </row>
    <row r="1322" spans="1:25">
      <c r="B1322" s="87">
        <f t="shared" si="181"/>
        <v>7</v>
      </c>
      <c r="C1322" s="36"/>
      <c r="D1322" s="10"/>
      <c r="E1322" s="10"/>
      <c r="F1322" s="62"/>
      <c r="G1322" s="62"/>
      <c r="H1322" s="62"/>
      <c r="I1322" s="89">
        <f t="shared" ref="I1322:I1323" si="183">F1322-G1322-H1322</f>
        <v>0</v>
      </c>
      <c r="J1322" s="63"/>
      <c r="K1322" s="63"/>
      <c r="L1322" s="63"/>
      <c r="M1322" s="63"/>
      <c r="N1322" s="63"/>
      <c r="O1322" s="63"/>
      <c r="P1322" s="63"/>
      <c r="Q1322" s="63"/>
      <c r="R1322" s="63"/>
      <c r="S1322" s="63"/>
      <c r="T1322" s="63"/>
      <c r="U1322" s="94"/>
      <c r="V1322" s="90"/>
      <c r="W1322" s="136"/>
      <c r="X1322" s="137"/>
      <c r="Y1322" s="2"/>
    </row>
    <row r="1323" spans="1:25">
      <c r="B1323" s="87">
        <f t="shared" si="181"/>
        <v>8</v>
      </c>
      <c r="C1323" s="36"/>
      <c r="D1323" s="10"/>
      <c r="E1323" s="10"/>
      <c r="F1323" s="62"/>
      <c r="G1323" s="62"/>
      <c r="H1323" s="62"/>
      <c r="I1323" s="89">
        <f t="shared" si="183"/>
        <v>0</v>
      </c>
      <c r="J1323" s="63"/>
      <c r="K1323" s="63"/>
      <c r="L1323" s="63"/>
      <c r="M1323" s="63"/>
      <c r="N1323" s="63"/>
      <c r="O1323" s="63"/>
      <c r="P1323" s="63"/>
      <c r="Q1323" s="63"/>
      <c r="R1323" s="63"/>
      <c r="S1323" s="63"/>
      <c r="T1323" s="63"/>
      <c r="U1323" s="94"/>
      <c r="V1323" s="90"/>
      <c r="W1323" s="136"/>
      <c r="X1323" s="137"/>
      <c r="Y1323" s="2"/>
    </row>
    <row r="1324" spans="1:25">
      <c r="B1324" s="132"/>
      <c r="C1324" s="36"/>
      <c r="D1324" s="123"/>
      <c r="E1324" s="123"/>
      <c r="F1324" s="133">
        <f>SUM(F1316:F1323)</f>
        <v>3722</v>
      </c>
      <c r="G1324" s="133">
        <f t="shared" ref="G1324:I1324" si="184">SUM(G1316:G1323)</f>
        <v>79.400000000000006</v>
      </c>
      <c r="H1324" s="133">
        <f t="shared" si="184"/>
        <v>0</v>
      </c>
      <c r="I1324" s="134">
        <f t="shared" si="184"/>
        <v>3642.6</v>
      </c>
      <c r="J1324" s="127"/>
      <c r="K1324" s="64"/>
      <c r="L1324" s="64"/>
      <c r="M1324" s="64"/>
      <c r="N1324" s="64"/>
      <c r="O1324" s="64"/>
      <c r="P1324" s="64"/>
      <c r="Q1324" s="64"/>
      <c r="R1324" s="64"/>
      <c r="S1324" s="64"/>
      <c r="T1324" s="127"/>
      <c r="U1324" s="135"/>
      <c r="V1324" s="129"/>
      <c r="W1324" s="130"/>
      <c r="X1324" s="131"/>
      <c r="Y1324" s="128"/>
    </row>
    <row r="1325" spans="1:25">
      <c r="B1325" s="11"/>
      <c r="C1325" s="36"/>
      <c r="D1325" s="10"/>
      <c r="E1325" s="10"/>
      <c r="F1325" s="88"/>
      <c r="G1325" s="88"/>
      <c r="H1325" s="88"/>
      <c r="I1325" s="99"/>
      <c r="J1325" s="10"/>
      <c r="K1325" s="63"/>
      <c r="L1325" s="63"/>
      <c r="M1325" s="63"/>
      <c r="N1325" s="63"/>
      <c r="O1325" s="63"/>
      <c r="P1325" s="63"/>
      <c r="Q1325" s="63"/>
      <c r="R1325" s="63"/>
      <c r="S1325" s="63"/>
      <c r="T1325" s="63"/>
      <c r="U1325" s="94"/>
      <c r="V1325" s="90"/>
      <c r="W1325" s="91"/>
      <c r="X1325" s="92"/>
      <c r="Y1325" s="2"/>
    </row>
    <row r="1326" spans="1:25">
      <c r="B1326" s="121" t="s">
        <v>71</v>
      </c>
      <c r="C1326" s="36"/>
      <c r="D1326" s="123"/>
      <c r="E1326" s="128"/>
      <c r="F1326" s="124"/>
      <c r="G1326" s="124"/>
      <c r="H1326" s="124"/>
      <c r="I1326" s="126"/>
      <c r="J1326" s="127"/>
      <c r="K1326" s="64"/>
      <c r="L1326" s="64"/>
      <c r="M1326" s="64"/>
      <c r="N1326" s="64"/>
      <c r="O1326" s="64"/>
      <c r="P1326" s="64"/>
      <c r="Q1326" s="64"/>
      <c r="R1326" s="64"/>
      <c r="S1326" s="64"/>
      <c r="T1326" s="127"/>
      <c r="U1326" s="135"/>
      <c r="V1326" s="129"/>
      <c r="W1326" s="130"/>
      <c r="X1326" s="131"/>
      <c r="Y1326" s="128"/>
    </row>
    <row r="1327" spans="1:25">
      <c r="B1327" s="87">
        <v>1</v>
      </c>
      <c r="C1327" s="36"/>
      <c r="D1327" s="10"/>
      <c r="E1327" s="10"/>
      <c r="F1327" s="62"/>
      <c r="G1327" s="62"/>
      <c r="H1327" s="62"/>
      <c r="I1327" s="89">
        <f t="shared" ref="I1327:I1334" si="185">F1327-G1327-H1327</f>
        <v>0</v>
      </c>
      <c r="J1327" s="63"/>
      <c r="K1327" s="63"/>
      <c r="L1327" s="63"/>
      <c r="M1327" s="63"/>
      <c r="N1327" s="63"/>
      <c r="O1327" s="63"/>
      <c r="P1327" s="63"/>
      <c r="Q1327" s="63"/>
      <c r="R1327" s="63"/>
      <c r="S1327" s="63"/>
      <c r="T1327" s="63"/>
      <c r="U1327" s="94"/>
      <c r="V1327" s="90"/>
      <c r="W1327" s="136"/>
      <c r="X1327" s="137"/>
      <c r="Y1327" s="2"/>
    </row>
    <row r="1328" spans="1:25">
      <c r="B1328" s="87">
        <f t="shared" ref="B1328:B1334" si="186">B1327+1</f>
        <v>2</v>
      </c>
      <c r="C1328" s="36"/>
      <c r="D1328" s="10"/>
      <c r="E1328" s="10"/>
      <c r="F1328" s="62"/>
      <c r="G1328" s="62"/>
      <c r="H1328" s="62"/>
      <c r="I1328" s="89">
        <f t="shared" si="185"/>
        <v>0</v>
      </c>
      <c r="J1328" s="63"/>
      <c r="K1328" s="63"/>
      <c r="L1328" s="63"/>
      <c r="M1328" s="63"/>
      <c r="N1328" s="63"/>
      <c r="O1328" s="63"/>
      <c r="P1328" s="63"/>
      <c r="Q1328" s="63"/>
      <c r="R1328" s="63"/>
      <c r="S1328" s="63"/>
      <c r="T1328" s="63"/>
      <c r="U1328" s="94"/>
      <c r="V1328" s="90"/>
      <c r="W1328" s="136"/>
      <c r="X1328" s="137"/>
      <c r="Y1328" s="2"/>
    </row>
    <row r="1329" spans="2:25">
      <c r="B1329" s="87">
        <f t="shared" si="186"/>
        <v>3</v>
      </c>
      <c r="C1329" s="36"/>
      <c r="D1329" s="10"/>
      <c r="E1329" s="10"/>
      <c r="F1329" s="62"/>
      <c r="G1329" s="62"/>
      <c r="H1329" s="62"/>
      <c r="I1329" s="89">
        <f t="shared" si="185"/>
        <v>0</v>
      </c>
      <c r="J1329" s="63"/>
      <c r="K1329" s="63"/>
      <c r="L1329" s="63"/>
      <c r="M1329" s="63"/>
      <c r="N1329" s="63"/>
      <c r="O1329" s="63"/>
      <c r="P1329" s="63"/>
      <c r="Q1329" s="63"/>
      <c r="R1329" s="63"/>
      <c r="S1329" s="63"/>
      <c r="T1329" s="63"/>
      <c r="U1329" s="94"/>
      <c r="V1329" s="90"/>
      <c r="W1329" s="136"/>
      <c r="X1329" s="137"/>
      <c r="Y1329" s="2"/>
    </row>
    <row r="1330" spans="2:25">
      <c r="B1330" s="87">
        <f t="shared" si="186"/>
        <v>4</v>
      </c>
      <c r="C1330" s="36"/>
      <c r="D1330" s="10"/>
      <c r="E1330" s="10"/>
      <c r="F1330" s="62"/>
      <c r="G1330" s="62"/>
      <c r="H1330" s="62"/>
      <c r="I1330" s="89">
        <f t="shared" si="185"/>
        <v>0</v>
      </c>
      <c r="J1330" s="63"/>
      <c r="K1330" s="63"/>
      <c r="L1330" s="63"/>
      <c r="M1330" s="63"/>
      <c r="N1330" s="63"/>
      <c r="O1330" s="63"/>
      <c r="P1330" s="63"/>
      <c r="Q1330" s="63"/>
      <c r="R1330" s="63"/>
      <c r="S1330" s="63"/>
      <c r="T1330" s="63"/>
      <c r="U1330" s="94"/>
      <c r="V1330" s="90"/>
      <c r="W1330" s="136"/>
      <c r="X1330" s="137"/>
      <c r="Y1330" s="2"/>
    </row>
    <row r="1331" spans="2:25">
      <c r="B1331" s="87">
        <f t="shared" si="186"/>
        <v>5</v>
      </c>
      <c r="C1331" s="36"/>
      <c r="D1331" s="10"/>
      <c r="E1331" s="10"/>
      <c r="F1331" s="62"/>
      <c r="G1331" s="62"/>
      <c r="H1331" s="62"/>
      <c r="I1331" s="89">
        <f t="shared" si="185"/>
        <v>0</v>
      </c>
      <c r="J1331" s="63"/>
      <c r="K1331" s="63"/>
      <c r="L1331" s="63"/>
      <c r="M1331" s="63"/>
      <c r="N1331" s="63"/>
      <c r="O1331" s="63"/>
      <c r="P1331" s="63"/>
      <c r="Q1331" s="63"/>
      <c r="R1331" s="63"/>
      <c r="S1331" s="63"/>
      <c r="T1331" s="63"/>
      <c r="U1331" s="94"/>
      <c r="V1331" s="90"/>
      <c r="W1331" s="136"/>
      <c r="X1331" s="137"/>
      <c r="Y1331" s="2"/>
    </row>
    <row r="1332" spans="2:25">
      <c r="B1332" s="87">
        <f t="shared" si="186"/>
        <v>6</v>
      </c>
      <c r="C1332" s="36"/>
      <c r="D1332" s="10"/>
      <c r="E1332" s="10"/>
      <c r="F1332" s="62"/>
      <c r="G1332" s="62"/>
      <c r="H1332" s="62"/>
      <c r="I1332" s="89">
        <f t="shared" si="185"/>
        <v>0</v>
      </c>
      <c r="J1332" s="63"/>
      <c r="K1332" s="63"/>
      <c r="L1332" s="63"/>
      <c r="M1332" s="63"/>
      <c r="N1332" s="63"/>
      <c r="O1332" s="63"/>
      <c r="P1332" s="63"/>
      <c r="Q1332" s="63"/>
      <c r="R1332" s="63"/>
      <c r="S1332" s="63"/>
      <c r="T1332" s="63"/>
      <c r="U1332" s="94"/>
      <c r="V1332" s="90"/>
      <c r="W1332" s="136"/>
      <c r="X1332" s="137"/>
      <c r="Y1332" s="2"/>
    </row>
    <row r="1333" spans="2:25">
      <c r="B1333" s="87">
        <f t="shared" si="186"/>
        <v>7</v>
      </c>
      <c r="C1333" s="36"/>
      <c r="D1333" s="10"/>
      <c r="E1333" s="10"/>
      <c r="F1333" s="62"/>
      <c r="G1333" s="62"/>
      <c r="H1333" s="62"/>
      <c r="I1333" s="89">
        <f t="shared" si="185"/>
        <v>0</v>
      </c>
      <c r="J1333" s="63"/>
      <c r="K1333" s="63"/>
      <c r="L1333" s="63"/>
      <c r="M1333" s="63"/>
      <c r="N1333" s="63"/>
      <c r="O1333" s="63"/>
      <c r="P1333" s="63"/>
      <c r="Q1333" s="63"/>
      <c r="R1333" s="63"/>
      <c r="S1333" s="63"/>
      <c r="T1333" s="63"/>
      <c r="U1333" s="94"/>
      <c r="V1333" s="90"/>
      <c r="W1333" s="136"/>
      <c r="X1333" s="137"/>
      <c r="Y1333" s="2"/>
    </row>
    <row r="1334" spans="2:25">
      <c r="B1334" s="87">
        <f t="shared" si="186"/>
        <v>8</v>
      </c>
      <c r="C1334" s="36"/>
      <c r="D1334" s="10"/>
      <c r="E1334" s="10"/>
      <c r="F1334" s="62"/>
      <c r="G1334" s="62"/>
      <c r="H1334" s="62"/>
      <c r="I1334" s="89">
        <f t="shared" si="185"/>
        <v>0</v>
      </c>
      <c r="J1334" s="63"/>
      <c r="K1334" s="63"/>
      <c r="L1334" s="63"/>
      <c r="M1334" s="63"/>
      <c r="N1334" s="63"/>
      <c r="O1334" s="63"/>
      <c r="P1334" s="63"/>
      <c r="Q1334" s="63"/>
      <c r="R1334" s="63"/>
      <c r="S1334" s="63"/>
      <c r="T1334" s="63"/>
      <c r="U1334" s="94"/>
      <c r="V1334" s="90"/>
      <c r="W1334" s="136"/>
      <c r="X1334" s="137"/>
      <c r="Y1334" s="2"/>
    </row>
    <row r="1335" spans="2:25">
      <c r="B1335" s="132"/>
      <c r="C1335" s="36"/>
      <c r="D1335" s="123"/>
      <c r="E1335" s="123"/>
      <c r="F1335" s="133">
        <f>SUM(F1327:F1334)</f>
        <v>0</v>
      </c>
      <c r="G1335" s="133">
        <f>SUM(G1327:G1334)</f>
        <v>0</v>
      </c>
      <c r="H1335" s="133">
        <f>SUM(H1327:H1334)</f>
        <v>0</v>
      </c>
      <c r="I1335" s="134">
        <f>SUM(I1327:I1334)</f>
        <v>0</v>
      </c>
      <c r="J1335" s="127"/>
      <c r="K1335" s="64"/>
      <c r="L1335" s="64"/>
      <c r="M1335" s="64"/>
      <c r="N1335" s="64"/>
      <c r="O1335" s="64"/>
      <c r="P1335" s="64"/>
      <c r="Q1335" s="64"/>
      <c r="R1335" s="64"/>
      <c r="S1335" s="64"/>
      <c r="T1335" s="127"/>
      <c r="U1335" s="135"/>
      <c r="V1335" s="129"/>
      <c r="W1335" s="130"/>
      <c r="X1335" s="131"/>
      <c r="Y1335" s="128"/>
    </row>
    <row r="1336" spans="2:25">
      <c r="B1336" s="11"/>
      <c r="C1336" s="609"/>
      <c r="D1336" s="10"/>
      <c r="E1336" s="10"/>
      <c r="F1336" s="88"/>
      <c r="G1336" s="88"/>
      <c r="H1336" s="88"/>
      <c r="I1336" s="99"/>
      <c r="J1336" s="63"/>
      <c r="K1336" s="21"/>
      <c r="L1336" s="21"/>
      <c r="M1336" s="21"/>
      <c r="N1336" s="21"/>
      <c r="O1336" s="21"/>
      <c r="P1336" s="21"/>
      <c r="Q1336" s="21"/>
      <c r="R1336" s="21"/>
      <c r="S1336" s="21"/>
      <c r="T1336" s="63"/>
      <c r="U1336" s="94"/>
      <c r="V1336" s="90"/>
      <c r="W1336" s="91"/>
      <c r="X1336" s="92"/>
      <c r="Y1336" s="2"/>
    </row>
    <row r="1337" spans="2:25">
      <c r="B1337" s="100" t="s">
        <v>72</v>
      </c>
      <c r="C1337" s="609"/>
      <c r="D1337" s="10"/>
      <c r="E1337" s="10"/>
      <c r="F1337" s="88"/>
      <c r="G1337" s="88"/>
      <c r="H1337" s="88"/>
      <c r="I1337" s="99"/>
      <c r="J1337" s="63"/>
      <c r="K1337" s="63"/>
      <c r="L1337" s="63"/>
      <c r="M1337" s="63"/>
      <c r="N1337" s="63"/>
      <c r="O1337" s="63"/>
      <c r="P1337" s="63"/>
      <c r="Q1337" s="63"/>
      <c r="R1337" s="63"/>
      <c r="S1337" s="63"/>
      <c r="T1337" s="63"/>
      <c r="U1337" s="10"/>
      <c r="V1337" s="90"/>
      <c r="W1337" s="91"/>
      <c r="X1337" s="92"/>
      <c r="Y1337" s="2"/>
    </row>
    <row r="1338" spans="2:25">
      <c r="B1338" s="87">
        <v>1</v>
      </c>
      <c r="C1338" s="274">
        <v>45964</v>
      </c>
      <c r="D1338" s="275" t="s">
        <v>1334</v>
      </c>
      <c r="E1338" s="276" t="s">
        <v>1088</v>
      </c>
      <c r="F1338" s="277">
        <v>2030</v>
      </c>
      <c r="G1338" s="277">
        <v>39.700000000000003</v>
      </c>
      <c r="H1338" s="277"/>
      <c r="I1338" s="278">
        <f t="shared" ref="I1338:I1355" si="187">F1338-G1338-H1338</f>
        <v>1990.3</v>
      </c>
      <c r="J1338" s="279" t="s">
        <v>205</v>
      </c>
      <c r="K1338" s="279">
        <v>1</v>
      </c>
      <c r="L1338" s="279"/>
      <c r="M1338" s="279"/>
      <c r="N1338" s="279">
        <v>1</v>
      </c>
      <c r="O1338" s="279"/>
      <c r="P1338" s="279"/>
      <c r="Q1338" s="279"/>
      <c r="R1338" s="279"/>
      <c r="S1338" s="280"/>
      <c r="T1338" s="63"/>
      <c r="U1338" s="3"/>
      <c r="V1338" s="90"/>
      <c r="W1338" s="91"/>
      <c r="X1338" s="92"/>
      <c r="Y1338" s="2"/>
    </row>
    <row r="1339" spans="2:25">
      <c r="B1339" s="87">
        <f t="shared" ref="B1339:B1355" si="188">B1338+1</f>
        <v>2</v>
      </c>
      <c r="C1339" s="295">
        <v>45964</v>
      </c>
      <c r="D1339" s="77" t="s">
        <v>1335</v>
      </c>
      <c r="E1339" s="10" t="s">
        <v>1088</v>
      </c>
      <c r="F1339" s="62">
        <v>614</v>
      </c>
      <c r="G1339" s="62"/>
      <c r="H1339" s="62"/>
      <c r="I1339" s="89">
        <f t="shared" si="187"/>
        <v>614</v>
      </c>
      <c r="J1339" s="63" t="s">
        <v>205</v>
      </c>
      <c r="K1339" s="63">
        <v>1</v>
      </c>
      <c r="L1339" s="63"/>
      <c r="M1339" s="63"/>
      <c r="N1339" s="63">
        <v>1</v>
      </c>
      <c r="O1339" s="63"/>
      <c r="P1339" s="63"/>
      <c r="Q1339" s="63"/>
      <c r="R1339" s="63"/>
      <c r="S1339" s="296"/>
      <c r="T1339" s="63"/>
      <c r="U1339" s="10"/>
      <c r="V1339" s="90"/>
      <c r="W1339" s="136"/>
      <c r="X1339" s="137"/>
      <c r="Y1339" s="2"/>
    </row>
    <row r="1340" spans="2:25">
      <c r="B1340" s="87">
        <f t="shared" si="188"/>
        <v>3</v>
      </c>
      <c r="C1340" s="295">
        <v>45964</v>
      </c>
      <c r="D1340" s="10">
        <v>75056</v>
      </c>
      <c r="E1340" s="10" t="s">
        <v>1117</v>
      </c>
      <c r="F1340" s="62">
        <v>2035</v>
      </c>
      <c r="G1340" s="62">
        <v>39.700000000000003</v>
      </c>
      <c r="H1340" s="62"/>
      <c r="I1340" s="89">
        <f t="shared" si="187"/>
        <v>1995.3</v>
      </c>
      <c r="J1340" s="63" t="s">
        <v>205</v>
      </c>
      <c r="K1340" s="63">
        <v>1</v>
      </c>
      <c r="L1340" s="63"/>
      <c r="M1340" s="63"/>
      <c r="N1340" s="63">
        <v>1</v>
      </c>
      <c r="O1340" s="63"/>
      <c r="P1340" s="63"/>
      <c r="Q1340" s="63">
        <v>1</v>
      </c>
      <c r="R1340" s="63">
        <v>1</v>
      </c>
      <c r="S1340" s="296">
        <v>1</v>
      </c>
      <c r="T1340" s="63"/>
      <c r="U1340" s="10"/>
      <c r="V1340" s="90"/>
      <c r="W1340" s="136"/>
      <c r="X1340" s="137"/>
      <c r="Y1340" s="2"/>
    </row>
    <row r="1341" spans="2:25">
      <c r="B1341" s="87">
        <f t="shared" si="188"/>
        <v>4</v>
      </c>
      <c r="C1341" s="295">
        <v>45964</v>
      </c>
      <c r="D1341" s="77" t="s">
        <v>1336</v>
      </c>
      <c r="E1341" s="10" t="s">
        <v>1088</v>
      </c>
      <c r="F1341" s="62">
        <v>5733</v>
      </c>
      <c r="G1341" s="62">
        <v>39.700000000000003</v>
      </c>
      <c r="H1341" s="62"/>
      <c r="I1341" s="89">
        <f t="shared" si="187"/>
        <v>5693.3</v>
      </c>
      <c r="J1341" s="63" t="s">
        <v>205</v>
      </c>
      <c r="K1341" s="63">
        <v>1</v>
      </c>
      <c r="L1341" s="63"/>
      <c r="M1341" s="63"/>
      <c r="N1341" s="63">
        <v>1</v>
      </c>
      <c r="O1341" s="63"/>
      <c r="P1341" s="63"/>
      <c r="Q1341" s="63"/>
      <c r="R1341" s="63"/>
      <c r="S1341" s="296"/>
      <c r="T1341" s="63"/>
      <c r="U1341" s="10"/>
      <c r="V1341" s="90"/>
      <c r="W1341" s="136"/>
      <c r="X1341" s="137"/>
      <c r="Y1341" s="2"/>
    </row>
    <row r="1342" spans="2:25">
      <c r="B1342" s="87">
        <f t="shared" si="188"/>
        <v>5</v>
      </c>
      <c r="C1342" s="295">
        <v>45964</v>
      </c>
      <c r="D1342" s="77" t="s">
        <v>1336</v>
      </c>
      <c r="E1342" s="10" t="s">
        <v>1088</v>
      </c>
      <c r="F1342" s="62">
        <v>3214</v>
      </c>
      <c r="G1342" s="62">
        <v>39.700000000000003</v>
      </c>
      <c r="H1342" s="62"/>
      <c r="I1342" s="89">
        <f t="shared" si="187"/>
        <v>3174.3</v>
      </c>
      <c r="J1342" s="63" t="s">
        <v>205</v>
      </c>
      <c r="K1342" s="63">
        <v>1</v>
      </c>
      <c r="L1342" s="63"/>
      <c r="M1342" s="63"/>
      <c r="N1342" s="63">
        <v>1</v>
      </c>
      <c r="O1342" s="63"/>
      <c r="P1342" s="63"/>
      <c r="Q1342" s="63"/>
      <c r="R1342" s="63"/>
      <c r="S1342" s="296"/>
      <c r="T1342" s="63"/>
      <c r="U1342" s="10"/>
      <c r="V1342" s="90"/>
      <c r="W1342" s="136"/>
      <c r="X1342" s="137"/>
      <c r="Y1342" s="2"/>
    </row>
    <row r="1343" spans="2:25">
      <c r="B1343" s="87">
        <f t="shared" si="188"/>
        <v>6</v>
      </c>
      <c r="C1343" s="295">
        <v>45964</v>
      </c>
      <c r="D1343" s="10">
        <v>75073</v>
      </c>
      <c r="E1343" s="101" t="s">
        <v>673</v>
      </c>
      <c r="F1343" s="62">
        <v>1242</v>
      </c>
      <c r="G1343" s="62">
        <v>39.700000000000003</v>
      </c>
      <c r="H1343" s="62"/>
      <c r="I1343" s="89">
        <f t="shared" si="187"/>
        <v>1202.3</v>
      </c>
      <c r="J1343" s="63" t="s">
        <v>205</v>
      </c>
      <c r="K1343" s="63">
        <v>1</v>
      </c>
      <c r="L1343" s="63"/>
      <c r="M1343" s="63"/>
      <c r="N1343" s="63">
        <v>1</v>
      </c>
      <c r="O1343" s="63"/>
      <c r="P1343" s="63"/>
      <c r="Q1343" s="63">
        <v>1</v>
      </c>
      <c r="R1343" s="63">
        <v>1</v>
      </c>
      <c r="S1343" s="296">
        <v>1</v>
      </c>
      <c r="T1343" s="63"/>
      <c r="U1343" s="10"/>
      <c r="V1343" s="90"/>
      <c r="W1343" s="136"/>
      <c r="X1343" s="137"/>
      <c r="Y1343" s="2"/>
    </row>
    <row r="1344" spans="2:25">
      <c r="B1344" s="87">
        <f t="shared" si="188"/>
        <v>7</v>
      </c>
      <c r="C1344" s="295">
        <v>45964</v>
      </c>
      <c r="D1344" s="10">
        <v>75090</v>
      </c>
      <c r="E1344" s="101" t="s">
        <v>1098</v>
      </c>
      <c r="F1344" s="62">
        <v>2035</v>
      </c>
      <c r="G1344" s="62">
        <v>39.700000000000003</v>
      </c>
      <c r="H1344" s="62"/>
      <c r="I1344" s="89">
        <f t="shared" si="187"/>
        <v>1995.3</v>
      </c>
      <c r="J1344" s="63" t="s">
        <v>205</v>
      </c>
      <c r="K1344" s="63">
        <v>1</v>
      </c>
      <c r="L1344" s="63"/>
      <c r="M1344" s="63"/>
      <c r="N1344" s="63">
        <v>1</v>
      </c>
      <c r="O1344" s="63"/>
      <c r="P1344" s="63"/>
      <c r="Q1344" s="63">
        <v>1</v>
      </c>
      <c r="R1344" s="63">
        <v>1</v>
      </c>
      <c r="S1344" s="296">
        <v>1</v>
      </c>
      <c r="T1344" s="63"/>
      <c r="U1344" s="10"/>
      <c r="V1344" s="90"/>
      <c r="W1344" s="136"/>
      <c r="X1344" s="137"/>
      <c r="Y1344" s="2"/>
    </row>
    <row r="1345" spans="2:25">
      <c r="B1345" s="87">
        <f t="shared" si="188"/>
        <v>8</v>
      </c>
      <c r="C1345" s="295">
        <v>45964</v>
      </c>
      <c r="D1345" s="10">
        <v>75106</v>
      </c>
      <c r="E1345" s="101" t="s">
        <v>1169</v>
      </c>
      <c r="F1345" s="62">
        <v>1038</v>
      </c>
      <c r="G1345" s="62">
        <v>39.700000000000003</v>
      </c>
      <c r="H1345" s="62"/>
      <c r="I1345" s="89">
        <f t="shared" si="187"/>
        <v>998.3</v>
      </c>
      <c r="J1345" s="63" t="s">
        <v>205</v>
      </c>
      <c r="K1345" s="63">
        <v>1</v>
      </c>
      <c r="L1345" s="63"/>
      <c r="M1345" s="63"/>
      <c r="N1345" s="63">
        <v>1</v>
      </c>
      <c r="O1345" s="63"/>
      <c r="P1345" s="63"/>
      <c r="Q1345" s="63">
        <v>1</v>
      </c>
      <c r="R1345" s="63">
        <v>1</v>
      </c>
      <c r="S1345" s="296">
        <v>1</v>
      </c>
      <c r="T1345" s="63"/>
      <c r="U1345" s="10"/>
      <c r="V1345" s="90"/>
      <c r="W1345" s="136"/>
      <c r="X1345" s="137"/>
      <c r="Y1345" s="2"/>
    </row>
    <row r="1346" spans="2:25">
      <c r="B1346" s="87">
        <f t="shared" si="188"/>
        <v>9</v>
      </c>
      <c r="C1346" s="295">
        <v>45964</v>
      </c>
      <c r="D1346" s="77" t="s">
        <v>1337</v>
      </c>
      <c r="E1346" s="101" t="s">
        <v>1338</v>
      </c>
      <c r="F1346" s="62">
        <v>796</v>
      </c>
      <c r="G1346" s="62">
        <v>39.700000000000003</v>
      </c>
      <c r="H1346" s="62"/>
      <c r="I1346" s="89">
        <f t="shared" si="187"/>
        <v>756.3</v>
      </c>
      <c r="J1346" s="63" t="s">
        <v>205</v>
      </c>
      <c r="K1346" s="63">
        <v>1</v>
      </c>
      <c r="L1346" s="63"/>
      <c r="M1346" s="63"/>
      <c r="N1346" s="63">
        <v>1</v>
      </c>
      <c r="O1346" s="63"/>
      <c r="P1346" s="63"/>
      <c r="Q1346" s="63">
        <v>1</v>
      </c>
      <c r="R1346" s="63">
        <v>1</v>
      </c>
      <c r="S1346" s="296">
        <v>1</v>
      </c>
      <c r="T1346" s="63"/>
      <c r="U1346" s="10"/>
      <c r="V1346" s="90"/>
      <c r="W1346" s="136"/>
      <c r="X1346" s="137"/>
      <c r="Y1346" s="2"/>
    </row>
    <row r="1347" spans="2:25">
      <c r="B1347" s="87">
        <f t="shared" si="188"/>
        <v>10</v>
      </c>
      <c r="C1347" s="295">
        <v>45964</v>
      </c>
      <c r="D1347" s="77" t="s">
        <v>1339</v>
      </c>
      <c r="E1347" s="101" t="s">
        <v>1338</v>
      </c>
      <c r="F1347" s="62">
        <v>8838</v>
      </c>
      <c r="G1347" s="62">
        <v>39.700000000000003</v>
      </c>
      <c r="H1347" s="62"/>
      <c r="I1347" s="89">
        <f t="shared" si="187"/>
        <v>8798.2999999999993</v>
      </c>
      <c r="J1347" s="63" t="s">
        <v>205</v>
      </c>
      <c r="K1347" s="63">
        <v>1</v>
      </c>
      <c r="L1347" s="63"/>
      <c r="M1347" s="63"/>
      <c r="N1347" s="63">
        <v>1</v>
      </c>
      <c r="O1347" s="63"/>
      <c r="P1347" s="63"/>
      <c r="Q1347" s="63">
        <v>1</v>
      </c>
      <c r="R1347" s="63">
        <v>1</v>
      </c>
      <c r="S1347" s="296">
        <v>1</v>
      </c>
      <c r="T1347" s="63"/>
      <c r="U1347" s="10"/>
      <c r="V1347" s="90"/>
      <c r="W1347" s="136"/>
      <c r="X1347" s="137"/>
      <c r="Y1347" s="2"/>
    </row>
    <row r="1348" spans="2:25">
      <c r="B1348" s="87">
        <f t="shared" si="188"/>
        <v>11</v>
      </c>
      <c r="C1348" s="295">
        <v>45964</v>
      </c>
      <c r="D1348" s="77" t="s">
        <v>1340</v>
      </c>
      <c r="E1348" s="101" t="s">
        <v>1058</v>
      </c>
      <c r="F1348" s="62">
        <v>2575</v>
      </c>
      <c r="G1348" s="62">
        <v>39.700000000000003</v>
      </c>
      <c r="H1348" s="62"/>
      <c r="I1348" s="89">
        <f t="shared" si="187"/>
        <v>2535.3000000000002</v>
      </c>
      <c r="J1348" s="63" t="s">
        <v>205</v>
      </c>
      <c r="K1348" s="63">
        <v>1</v>
      </c>
      <c r="L1348" s="63"/>
      <c r="M1348" s="63"/>
      <c r="N1348" s="63">
        <v>1</v>
      </c>
      <c r="O1348" s="63"/>
      <c r="P1348" s="63"/>
      <c r="Q1348" s="63">
        <v>1</v>
      </c>
      <c r="R1348" s="63">
        <v>1</v>
      </c>
      <c r="S1348" s="296">
        <v>1</v>
      </c>
      <c r="T1348" s="63"/>
      <c r="U1348" s="10"/>
      <c r="V1348" s="90"/>
      <c r="W1348" s="136"/>
      <c r="X1348" s="137"/>
      <c r="Y1348" s="2"/>
    </row>
    <row r="1349" spans="2:25">
      <c r="B1349" s="87">
        <f t="shared" si="188"/>
        <v>12</v>
      </c>
      <c r="C1349" s="295">
        <v>45964</v>
      </c>
      <c r="D1349" s="77" t="s">
        <v>1341</v>
      </c>
      <c r="E1349" s="101" t="s">
        <v>1058</v>
      </c>
      <c r="F1349" s="62">
        <v>1175</v>
      </c>
      <c r="G1349" s="62">
        <v>39.700000000000003</v>
      </c>
      <c r="H1349" s="62"/>
      <c r="I1349" s="89">
        <f t="shared" si="187"/>
        <v>1135.3</v>
      </c>
      <c r="J1349" s="63" t="s">
        <v>205</v>
      </c>
      <c r="K1349" s="63">
        <v>1</v>
      </c>
      <c r="L1349" s="63"/>
      <c r="M1349" s="63"/>
      <c r="N1349" s="63">
        <v>1</v>
      </c>
      <c r="O1349" s="63"/>
      <c r="P1349" s="63"/>
      <c r="Q1349" s="63">
        <v>1</v>
      </c>
      <c r="R1349" s="63">
        <v>1</v>
      </c>
      <c r="S1349" s="296">
        <v>1</v>
      </c>
      <c r="T1349" s="63"/>
      <c r="U1349" s="10"/>
      <c r="V1349" s="90"/>
      <c r="W1349" s="136"/>
      <c r="X1349" s="137"/>
      <c r="Y1349" s="2"/>
    </row>
    <row r="1350" spans="2:25">
      <c r="B1350" s="87">
        <f t="shared" si="188"/>
        <v>13</v>
      </c>
      <c r="C1350" s="282">
        <v>45964</v>
      </c>
      <c r="D1350" s="283">
        <v>75086</v>
      </c>
      <c r="E1350" s="319" t="s">
        <v>725</v>
      </c>
      <c r="F1350" s="284">
        <v>2261</v>
      </c>
      <c r="G1350" s="284">
        <v>39.700000000000003</v>
      </c>
      <c r="H1350" s="284"/>
      <c r="I1350" s="285">
        <f t="shared" si="187"/>
        <v>2221.3000000000002</v>
      </c>
      <c r="J1350" s="286" t="s">
        <v>156</v>
      </c>
      <c r="K1350" s="286">
        <v>1</v>
      </c>
      <c r="L1350" s="286"/>
      <c r="M1350" s="286">
        <v>1</v>
      </c>
      <c r="N1350" s="286">
        <v>1</v>
      </c>
      <c r="O1350" s="286"/>
      <c r="P1350" s="286"/>
      <c r="Q1350" s="286">
        <v>1</v>
      </c>
      <c r="R1350" s="286">
        <v>1</v>
      </c>
      <c r="S1350" s="287">
        <v>1</v>
      </c>
      <c r="T1350" s="63"/>
      <c r="U1350" s="10"/>
      <c r="V1350" s="90">
        <v>93.5</v>
      </c>
      <c r="W1350" s="136"/>
      <c r="X1350" s="137"/>
      <c r="Y1350" s="2"/>
    </row>
    <row r="1351" spans="2:25">
      <c r="B1351" s="87">
        <f t="shared" si="188"/>
        <v>14</v>
      </c>
      <c r="C1351" s="36"/>
      <c r="D1351" s="10"/>
      <c r="E1351" s="10"/>
      <c r="F1351" s="62"/>
      <c r="G1351" s="62"/>
      <c r="H1351" s="62"/>
      <c r="I1351" s="89">
        <f t="shared" si="187"/>
        <v>0</v>
      </c>
      <c r="J1351" s="63"/>
      <c r="K1351" s="63"/>
      <c r="L1351" s="63"/>
      <c r="M1351" s="63"/>
      <c r="N1351" s="63"/>
      <c r="O1351" s="63"/>
      <c r="P1351" s="63"/>
      <c r="Q1351" s="63"/>
      <c r="R1351" s="63"/>
      <c r="S1351" s="63"/>
      <c r="T1351" s="63"/>
      <c r="U1351" s="10"/>
      <c r="V1351" s="90"/>
      <c r="W1351" s="136"/>
      <c r="X1351" s="137"/>
      <c r="Y1351" s="2"/>
    </row>
    <row r="1352" spans="2:25">
      <c r="B1352" s="87">
        <f t="shared" si="188"/>
        <v>15</v>
      </c>
      <c r="C1352" s="36"/>
      <c r="D1352" s="10"/>
      <c r="E1352" s="10"/>
      <c r="F1352" s="62"/>
      <c r="G1352" s="62"/>
      <c r="H1352" s="62"/>
      <c r="I1352" s="89">
        <f t="shared" si="187"/>
        <v>0</v>
      </c>
      <c r="J1352" s="63"/>
      <c r="K1352" s="63"/>
      <c r="L1352" s="63"/>
      <c r="M1352" s="63"/>
      <c r="N1352" s="63"/>
      <c r="O1352" s="63"/>
      <c r="P1352" s="63"/>
      <c r="Q1352" s="63"/>
      <c r="R1352" s="63"/>
      <c r="S1352" s="63"/>
      <c r="T1352" s="63"/>
      <c r="U1352" s="10"/>
      <c r="V1352" s="90"/>
      <c r="W1352" s="136"/>
      <c r="X1352" s="137"/>
      <c r="Y1352" s="2"/>
    </row>
    <row r="1353" spans="2:25">
      <c r="B1353" s="87">
        <f t="shared" si="188"/>
        <v>16</v>
      </c>
      <c r="C1353" s="36"/>
      <c r="D1353" s="10"/>
      <c r="E1353" s="10"/>
      <c r="F1353" s="62"/>
      <c r="G1353" s="62"/>
      <c r="H1353" s="62"/>
      <c r="I1353" s="89">
        <f t="shared" si="187"/>
        <v>0</v>
      </c>
      <c r="J1353" s="63"/>
      <c r="K1353" s="63"/>
      <c r="L1353" s="63"/>
      <c r="M1353" s="63"/>
      <c r="N1353" s="63"/>
      <c r="O1353" s="63"/>
      <c r="P1353" s="63"/>
      <c r="Q1353" s="63"/>
      <c r="R1353" s="63"/>
      <c r="S1353" s="63"/>
      <c r="T1353" s="63"/>
      <c r="U1353" s="10"/>
      <c r="V1353" s="90"/>
      <c r="W1353" s="136"/>
      <c r="X1353" s="137"/>
      <c r="Y1353" s="2"/>
    </row>
    <row r="1354" spans="2:25">
      <c r="B1354" s="87">
        <f t="shared" si="188"/>
        <v>17</v>
      </c>
      <c r="C1354" s="36"/>
      <c r="D1354" s="10"/>
      <c r="E1354" s="10"/>
      <c r="F1354" s="62"/>
      <c r="G1354" s="62"/>
      <c r="H1354" s="62"/>
      <c r="I1354" s="89">
        <f t="shared" si="187"/>
        <v>0</v>
      </c>
      <c r="J1354" s="63"/>
      <c r="K1354" s="63"/>
      <c r="L1354" s="63"/>
      <c r="M1354" s="63"/>
      <c r="N1354" s="63"/>
      <c r="O1354" s="63"/>
      <c r="P1354" s="63"/>
      <c r="Q1354" s="63"/>
      <c r="R1354" s="63"/>
      <c r="S1354" s="63"/>
      <c r="T1354" s="63"/>
      <c r="U1354" s="10"/>
      <c r="V1354" s="90"/>
      <c r="W1354" s="136"/>
      <c r="X1354" s="137"/>
      <c r="Y1354" s="2"/>
    </row>
    <row r="1355" spans="2:25">
      <c r="B1355" s="87">
        <f t="shared" si="188"/>
        <v>18</v>
      </c>
      <c r="C1355" s="36"/>
      <c r="D1355" s="10"/>
      <c r="E1355" s="10"/>
      <c r="F1355" s="62"/>
      <c r="G1355" s="62"/>
      <c r="H1355" s="62"/>
      <c r="I1355" s="89">
        <f t="shared" si="187"/>
        <v>0</v>
      </c>
      <c r="J1355" s="63"/>
      <c r="K1355" s="63"/>
      <c r="L1355" s="63"/>
      <c r="M1355" s="63"/>
      <c r="N1355" s="63"/>
      <c r="O1355" s="63"/>
      <c r="P1355" s="63"/>
      <c r="Q1355" s="63"/>
      <c r="R1355" s="63"/>
      <c r="S1355" s="63"/>
      <c r="T1355" s="63"/>
      <c r="U1355" s="10"/>
      <c r="V1355" s="90"/>
      <c r="W1355" s="136"/>
      <c r="X1355" s="137"/>
      <c r="Y1355" s="2"/>
    </row>
    <row r="1356" spans="2:25">
      <c r="B1356" s="11"/>
      <c r="C1356" s="36"/>
      <c r="D1356" s="10"/>
      <c r="E1356" s="10"/>
      <c r="F1356" s="97">
        <f>SUM(F1338:F1355)</f>
        <v>33586</v>
      </c>
      <c r="G1356" s="97">
        <f>SUM(G1338:G1355)</f>
        <v>476.39999999999992</v>
      </c>
      <c r="H1356" s="97">
        <f>SUM(H1338:H1355)</f>
        <v>0</v>
      </c>
      <c r="I1356" s="98">
        <f>SUM(I1338:I1355)</f>
        <v>33109.599999999999</v>
      </c>
      <c r="J1356" s="10"/>
      <c r="K1356" s="10"/>
      <c r="L1356" s="10"/>
      <c r="M1356" s="10"/>
      <c r="N1356" s="10"/>
      <c r="O1356" s="10"/>
      <c r="P1356" s="10"/>
      <c r="Q1356" s="10"/>
      <c r="R1356" s="10"/>
      <c r="S1356" s="10"/>
      <c r="T1356" s="63"/>
      <c r="U1356" s="10"/>
      <c r="V1356" s="138"/>
      <c r="W1356" s="136"/>
      <c r="X1356" s="137"/>
      <c r="Y1356" s="2"/>
    </row>
    <row r="1357" spans="2:25">
      <c r="B1357" s="11"/>
      <c r="C1357" s="36"/>
      <c r="D1357" s="10"/>
      <c r="E1357" s="10"/>
      <c r="F1357" s="88"/>
      <c r="G1357" s="88"/>
      <c r="H1357" s="88"/>
      <c r="I1357" s="99"/>
      <c r="J1357" s="10"/>
      <c r="K1357" s="10"/>
      <c r="L1357" s="10"/>
      <c r="M1357" s="10"/>
      <c r="N1357" s="10"/>
      <c r="O1357" s="10"/>
      <c r="P1357" s="10"/>
      <c r="Q1357" s="10"/>
      <c r="R1357" s="10"/>
      <c r="S1357" s="10"/>
      <c r="T1357" s="63"/>
      <c r="U1357" s="10"/>
      <c r="V1357" s="138"/>
      <c r="W1357" s="136"/>
      <c r="X1357" s="137"/>
      <c r="Y1357" s="2"/>
    </row>
    <row r="1358" spans="2:25">
      <c r="B1358" s="100" t="s">
        <v>73</v>
      </c>
      <c r="C1358" s="36"/>
      <c r="D1358" s="10"/>
      <c r="E1358" s="10"/>
      <c r="F1358" s="88"/>
      <c r="G1358" s="88"/>
      <c r="H1358" s="88"/>
      <c r="I1358" s="99"/>
      <c r="J1358" s="63"/>
      <c r="K1358" s="63"/>
      <c r="L1358" s="63"/>
      <c r="M1358" s="63"/>
      <c r="N1358" s="63"/>
      <c r="O1358" s="63"/>
      <c r="P1358" s="63"/>
      <c r="Q1358" s="63"/>
      <c r="R1358" s="63"/>
      <c r="S1358" s="63"/>
      <c r="T1358" s="63"/>
      <c r="U1358" s="94"/>
      <c r="V1358" s="90"/>
      <c r="W1358" s="91"/>
      <c r="X1358" s="92"/>
      <c r="Y1358" s="2"/>
    </row>
    <row r="1359" spans="2:25">
      <c r="B1359" s="87">
        <v>1</v>
      </c>
      <c r="C1359" s="36"/>
      <c r="D1359" s="10"/>
      <c r="E1359" s="10"/>
      <c r="F1359" s="62"/>
      <c r="G1359" s="62"/>
      <c r="H1359" s="62"/>
      <c r="I1359" s="89">
        <f t="shared" ref="I1359:I1364" si="189">F1359-G1359-H1359</f>
        <v>0</v>
      </c>
      <c r="J1359" s="63"/>
      <c r="K1359" s="63"/>
      <c r="L1359" s="63"/>
      <c r="M1359" s="63"/>
      <c r="N1359" s="63"/>
      <c r="O1359" s="63"/>
      <c r="P1359" s="63"/>
      <c r="Q1359" s="63"/>
      <c r="R1359" s="63"/>
      <c r="S1359" s="63"/>
      <c r="T1359" s="63"/>
      <c r="U1359" s="139"/>
      <c r="V1359" s="90"/>
      <c r="W1359" s="91"/>
      <c r="X1359" s="92"/>
      <c r="Y1359" s="2"/>
    </row>
    <row r="1360" spans="2:25">
      <c r="B1360" s="87">
        <f>B1359+1</f>
        <v>2</v>
      </c>
      <c r="C1360" s="36"/>
      <c r="D1360" s="10"/>
      <c r="E1360" s="10"/>
      <c r="F1360" s="62"/>
      <c r="G1360" s="62"/>
      <c r="H1360" s="62"/>
      <c r="I1360" s="89">
        <f t="shared" si="189"/>
        <v>0</v>
      </c>
      <c r="J1360" s="63"/>
      <c r="K1360" s="63"/>
      <c r="L1360" s="63"/>
      <c r="M1360" s="63"/>
      <c r="N1360" s="63"/>
      <c r="O1360" s="63"/>
      <c r="P1360" s="63"/>
      <c r="Q1360" s="63"/>
      <c r="R1360" s="63"/>
      <c r="S1360" s="63"/>
      <c r="T1360" s="63"/>
      <c r="U1360" s="94"/>
      <c r="V1360" s="90"/>
      <c r="W1360" s="136"/>
      <c r="X1360" s="137"/>
      <c r="Y1360" s="2"/>
    </row>
    <row r="1361" spans="2:25">
      <c r="B1361" s="87">
        <f>B1360+1</f>
        <v>3</v>
      </c>
      <c r="C1361" s="36"/>
      <c r="D1361" s="10"/>
      <c r="E1361" s="10"/>
      <c r="F1361" s="62"/>
      <c r="G1361" s="62"/>
      <c r="H1361" s="62"/>
      <c r="I1361" s="89">
        <f t="shared" si="189"/>
        <v>0</v>
      </c>
      <c r="J1361" s="63"/>
      <c r="K1361" s="63"/>
      <c r="L1361" s="63"/>
      <c r="M1361" s="63"/>
      <c r="N1361" s="63"/>
      <c r="O1361" s="63"/>
      <c r="P1361" s="63"/>
      <c r="Q1361" s="63"/>
      <c r="R1361" s="63"/>
      <c r="S1361" s="63"/>
      <c r="T1361" s="63"/>
      <c r="U1361" s="94"/>
      <c r="V1361" s="90"/>
      <c r="W1361" s="136"/>
      <c r="X1361" s="137"/>
      <c r="Y1361" s="2"/>
    </row>
    <row r="1362" spans="2:25">
      <c r="B1362" s="87">
        <f>B1361+1</f>
        <v>4</v>
      </c>
      <c r="C1362" s="36"/>
      <c r="D1362" s="10"/>
      <c r="E1362" s="10"/>
      <c r="F1362" s="62"/>
      <c r="G1362" s="62"/>
      <c r="H1362" s="62"/>
      <c r="I1362" s="89">
        <f t="shared" si="189"/>
        <v>0</v>
      </c>
      <c r="J1362" s="63"/>
      <c r="K1362" s="63"/>
      <c r="L1362" s="63"/>
      <c r="M1362" s="63"/>
      <c r="N1362" s="63"/>
      <c r="O1362" s="63"/>
      <c r="P1362" s="63"/>
      <c r="Q1362" s="63"/>
      <c r="R1362" s="63"/>
      <c r="S1362" s="63"/>
      <c r="T1362" s="63"/>
      <c r="U1362" s="94"/>
      <c r="V1362" s="90"/>
      <c r="W1362" s="136"/>
      <c r="X1362" s="137"/>
      <c r="Y1362" s="2"/>
    </row>
    <row r="1363" spans="2:25">
      <c r="B1363" s="87">
        <f>B1362+1</f>
        <v>5</v>
      </c>
      <c r="C1363" s="36"/>
      <c r="D1363" s="10"/>
      <c r="E1363" s="10"/>
      <c r="F1363" s="62"/>
      <c r="G1363" s="62"/>
      <c r="H1363" s="62"/>
      <c r="I1363" s="89">
        <f t="shared" si="189"/>
        <v>0</v>
      </c>
      <c r="J1363" s="63"/>
      <c r="K1363" s="63"/>
      <c r="L1363" s="63"/>
      <c r="M1363" s="63"/>
      <c r="N1363" s="63"/>
      <c r="O1363" s="63"/>
      <c r="P1363" s="63"/>
      <c r="Q1363" s="63"/>
      <c r="R1363" s="63"/>
      <c r="S1363" s="63"/>
      <c r="T1363" s="63"/>
      <c r="U1363" s="94"/>
      <c r="V1363" s="90"/>
      <c r="W1363" s="136"/>
      <c r="X1363" s="137"/>
      <c r="Y1363" s="2"/>
    </row>
    <row r="1364" spans="2:25">
      <c r="B1364" s="87">
        <f>B1363+1</f>
        <v>6</v>
      </c>
      <c r="C1364" s="36"/>
      <c r="D1364" s="10"/>
      <c r="E1364" s="101"/>
      <c r="F1364" s="62"/>
      <c r="G1364" s="62"/>
      <c r="H1364" s="62"/>
      <c r="I1364" s="89">
        <f t="shared" si="189"/>
        <v>0</v>
      </c>
      <c r="J1364" s="63"/>
      <c r="K1364" s="63"/>
      <c r="L1364" s="63"/>
      <c r="M1364" s="63"/>
      <c r="N1364" s="63"/>
      <c r="O1364" s="63"/>
      <c r="P1364" s="63"/>
      <c r="Q1364" s="63"/>
      <c r="R1364" s="63"/>
      <c r="S1364" s="63"/>
      <c r="T1364" s="63"/>
      <c r="U1364" s="94"/>
      <c r="V1364" s="90"/>
      <c r="W1364" s="136"/>
      <c r="X1364" s="137"/>
      <c r="Y1364" s="2"/>
    </row>
    <row r="1365" spans="2:25">
      <c r="B1365" s="11"/>
      <c r="C1365" s="609"/>
      <c r="D1365" s="10"/>
      <c r="E1365" s="10"/>
      <c r="F1365" s="97">
        <f>SUM(F1359:F1364)</f>
        <v>0</v>
      </c>
      <c r="G1365" s="97">
        <f>SUM(G1359:G1364)</f>
        <v>0</v>
      </c>
      <c r="H1365" s="97">
        <f>SUM(H1359:H1364)</f>
        <v>0</v>
      </c>
      <c r="I1365" s="98">
        <f>SUM(I1359:I1364)</f>
        <v>0</v>
      </c>
      <c r="J1365" s="10"/>
      <c r="K1365" s="10"/>
      <c r="L1365" s="10"/>
      <c r="M1365" s="10"/>
      <c r="N1365" s="10"/>
      <c r="O1365" s="10"/>
      <c r="P1365" s="10"/>
      <c r="Q1365" s="10"/>
      <c r="R1365" s="10"/>
      <c r="S1365" s="10"/>
      <c r="T1365" s="63"/>
      <c r="U1365" s="94"/>
      <c r="V1365" s="90"/>
      <c r="W1365" s="91"/>
      <c r="X1365" s="92"/>
      <c r="Y1365" s="2"/>
    </row>
    <row r="1366" spans="2:25">
      <c r="B1366" s="26"/>
      <c r="C1366" s="612"/>
      <c r="D1366" s="141"/>
      <c r="E1366" s="141"/>
      <c r="F1366" s="141"/>
      <c r="G1366" s="141"/>
      <c r="H1366" s="141"/>
      <c r="I1366" s="141"/>
      <c r="J1366" s="141"/>
      <c r="K1366" s="142"/>
      <c r="L1366" s="142"/>
      <c r="M1366" s="142"/>
      <c r="N1366" s="142"/>
      <c r="O1366" s="142"/>
      <c r="P1366" s="142"/>
      <c r="Q1366" s="142"/>
      <c r="R1366" s="142"/>
      <c r="S1366" s="142"/>
      <c r="T1366" s="143">
        <f>SUM(T1252:T1365)</f>
        <v>1</v>
      </c>
      <c r="U1366" s="141"/>
      <c r="V1366" s="144">
        <f>SUM(V1252:V1365)</f>
        <v>1032.02</v>
      </c>
      <c r="W1366" s="145">
        <f>SUM(W1252:W1365)</f>
        <v>0</v>
      </c>
      <c r="X1366" s="146">
        <f>SUM(X1252:X1365)</f>
        <v>0</v>
      </c>
      <c r="Y1366" s="2"/>
    </row>
    <row r="1367" spans="2:25">
      <c r="B1367" s="10"/>
      <c r="C1367" s="36"/>
      <c r="D1367" s="10"/>
      <c r="E1367" s="10"/>
      <c r="F1367" s="10"/>
      <c r="G1367" s="10"/>
      <c r="H1367" s="10"/>
      <c r="I1367" s="10"/>
      <c r="J1367" s="10"/>
      <c r="K1367" s="147"/>
      <c r="L1367" s="147"/>
      <c r="M1367" s="147"/>
      <c r="N1367" s="147"/>
      <c r="O1367" s="147"/>
      <c r="P1367" s="147"/>
      <c r="Q1367" s="147"/>
      <c r="R1367" s="147"/>
      <c r="S1367" s="147"/>
      <c r="T1367" s="21"/>
      <c r="U1367" s="10"/>
      <c r="V1367" s="99"/>
      <c r="W1367" s="99"/>
      <c r="X1367" s="99"/>
      <c r="Y1367" s="2"/>
    </row>
  </sheetData>
  <mergeCells count="17">
    <mergeCell ref="K755:Q755"/>
    <mergeCell ref="K669:Q669"/>
    <mergeCell ref="K585:Q585"/>
    <mergeCell ref="K17:Q17"/>
    <mergeCell ref="K50:Q50"/>
    <mergeCell ref="K100:Q100"/>
    <mergeCell ref="K139:Q139"/>
    <mergeCell ref="K489:Q489"/>
    <mergeCell ref="K386:Q386"/>
    <mergeCell ref="K293:Q293"/>
    <mergeCell ref="K236:Q236"/>
    <mergeCell ref="K186:Q186"/>
    <mergeCell ref="K1240:Q1240"/>
    <mergeCell ref="K1149:Q1149"/>
    <mergeCell ref="K1048:Q1048"/>
    <mergeCell ref="K939:Q939"/>
    <mergeCell ref="K840:Q840"/>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BF7E-8D14-4FC6-8FAC-4820D4033BC9}">
  <sheetPr>
    <tabColor rgb="FFFFFF00"/>
  </sheetPr>
  <dimension ref="B2:X145"/>
  <sheetViews>
    <sheetView workbookViewId="0">
      <selection activeCell="H25" sqref="H25"/>
    </sheetView>
  </sheetViews>
  <sheetFormatPr defaultRowHeight="15"/>
  <sheetData>
    <row r="2" spans="2:24">
      <c r="B2" s="4" t="s">
        <v>1</v>
      </c>
      <c r="C2" s="5"/>
      <c r="D2" s="83"/>
      <c r="E2" s="6"/>
      <c r="F2" s="7" t="s">
        <v>2</v>
      </c>
      <c r="G2" s="608">
        <v>45970</v>
      </c>
      <c r="H2" s="7"/>
      <c r="I2" s="6"/>
      <c r="J2" s="6"/>
      <c r="K2" s="6"/>
      <c r="L2" s="6"/>
      <c r="M2" s="6"/>
      <c r="N2" s="6"/>
      <c r="O2" s="6"/>
      <c r="P2" s="6"/>
      <c r="Q2" s="6"/>
      <c r="R2" s="6"/>
      <c r="S2" s="6"/>
      <c r="T2" s="6"/>
      <c r="U2" s="149"/>
      <c r="V2" s="77"/>
      <c r="W2" s="77"/>
      <c r="X2" s="77"/>
    </row>
    <row r="3" spans="2:24">
      <c r="B3" s="11"/>
      <c r="C3" s="10"/>
      <c r="D3" s="63"/>
      <c r="E3" s="10"/>
      <c r="F3" s="10"/>
      <c r="G3" s="7"/>
      <c r="H3" s="12"/>
      <c r="I3" s="10"/>
      <c r="J3" s="10"/>
      <c r="K3" s="13" t="s">
        <v>3</v>
      </c>
      <c r="L3" s="14"/>
      <c r="M3" s="15"/>
      <c r="N3" s="13" t="s">
        <v>4</v>
      </c>
      <c r="O3" s="14"/>
      <c r="P3" s="15"/>
      <c r="Q3" s="13" t="s">
        <v>5</v>
      </c>
      <c r="R3" s="14"/>
      <c r="S3" s="15"/>
      <c r="T3" s="16"/>
      <c r="U3" s="151"/>
      <c r="V3" s="77"/>
      <c r="W3" s="77"/>
      <c r="X3" s="77"/>
    </row>
    <row r="4" spans="2:24">
      <c r="B4" s="18" t="s">
        <v>6</v>
      </c>
      <c r="C4" s="19">
        <f>C5+C6</f>
        <v>0</v>
      </c>
      <c r="D4" s="63"/>
      <c r="E4" s="18" t="s">
        <v>7</v>
      </c>
      <c r="F4" s="6"/>
      <c r="G4" s="9"/>
      <c r="H4" s="10"/>
      <c r="I4" s="10"/>
      <c r="J4" s="10"/>
      <c r="K4" s="20" t="s">
        <v>8</v>
      </c>
      <c r="L4" s="21" t="s">
        <v>9</v>
      </c>
      <c r="M4" s="21" t="s">
        <v>10</v>
      </c>
      <c r="N4" s="20" t="s">
        <v>11</v>
      </c>
      <c r="O4" s="21" t="s">
        <v>12</v>
      </c>
      <c r="P4" s="22" t="s">
        <v>13</v>
      </c>
      <c r="Q4" s="21" t="s">
        <v>11</v>
      </c>
      <c r="R4" s="21" t="s">
        <v>12</v>
      </c>
      <c r="S4" s="22" t="s">
        <v>13</v>
      </c>
      <c r="T4" s="23" t="s">
        <v>14</v>
      </c>
      <c r="U4" s="151"/>
      <c r="V4" s="77"/>
      <c r="W4" s="77"/>
      <c r="X4" s="77"/>
    </row>
    <row r="5" spans="2:24">
      <c r="B5" s="24" t="s">
        <v>15</v>
      </c>
      <c r="C5" s="25">
        <f>P12</f>
        <v>0</v>
      </c>
      <c r="D5" s="63"/>
      <c r="E5" s="11" t="s">
        <v>16</v>
      </c>
      <c r="F5" s="10" t="s">
        <v>78</v>
      </c>
      <c r="G5" s="153">
        <v>0.05</v>
      </c>
      <c r="H5" s="10"/>
      <c r="I5" s="10"/>
      <c r="J5" s="18" t="s">
        <v>17</v>
      </c>
      <c r="K5" s="29">
        <f>K47</f>
        <v>0</v>
      </c>
      <c r="L5" s="29">
        <f t="shared" ref="L5:S5" si="0">L47</f>
        <v>0</v>
      </c>
      <c r="M5" s="29">
        <f t="shared" si="0"/>
        <v>0</v>
      </c>
      <c r="N5" s="29">
        <f t="shared" si="0"/>
        <v>0</v>
      </c>
      <c r="O5" s="29">
        <f t="shared" si="0"/>
        <v>0</v>
      </c>
      <c r="P5" s="29">
        <f t="shared" si="0"/>
        <v>0</v>
      </c>
      <c r="Q5" s="29">
        <f t="shared" si="0"/>
        <v>0</v>
      </c>
      <c r="R5" s="29">
        <f t="shared" si="0"/>
        <v>0</v>
      </c>
      <c r="S5" s="29">
        <f t="shared" si="0"/>
        <v>0</v>
      </c>
      <c r="T5" s="30">
        <f>T144</f>
        <v>0</v>
      </c>
      <c r="U5" s="151"/>
      <c r="V5" s="77"/>
      <c r="W5" s="77"/>
      <c r="X5" s="77"/>
    </row>
    <row r="6" spans="2:24">
      <c r="B6" s="24" t="s">
        <v>18</v>
      </c>
      <c r="C6" s="25">
        <f>P13</f>
        <v>0</v>
      </c>
      <c r="D6" s="63"/>
      <c r="E6" s="26" t="s">
        <v>80</v>
      </c>
      <c r="F6" s="141" t="s">
        <v>81</v>
      </c>
      <c r="G6" s="154">
        <v>0.1</v>
      </c>
      <c r="H6" s="10"/>
      <c r="I6" s="10"/>
      <c r="J6" s="32" t="s">
        <v>19</v>
      </c>
      <c r="K6" s="33" t="e">
        <f>K47/K46</f>
        <v>#DIV/0!</v>
      </c>
      <c r="L6" s="33" t="e">
        <f t="shared" ref="L6:S6" si="1">L47/L46</f>
        <v>#DIV/0!</v>
      </c>
      <c r="M6" s="33" t="e">
        <f t="shared" si="1"/>
        <v>#DIV/0!</v>
      </c>
      <c r="N6" s="33" t="e">
        <f t="shared" si="1"/>
        <v>#DIV/0!</v>
      </c>
      <c r="O6" s="33" t="e">
        <f t="shared" si="1"/>
        <v>#DIV/0!</v>
      </c>
      <c r="P6" s="33" t="e">
        <f t="shared" si="1"/>
        <v>#DIV/0!</v>
      </c>
      <c r="Q6" s="33" t="e">
        <f t="shared" si="1"/>
        <v>#DIV/0!</v>
      </c>
      <c r="R6" s="33" t="e">
        <f t="shared" si="1"/>
        <v>#DIV/0!</v>
      </c>
      <c r="S6" s="33" t="e">
        <f t="shared" si="1"/>
        <v>#DIV/0!</v>
      </c>
      <c r="T6" s="23"/>
      <c r="U6" s="151" t="s">
        <v>20</v>
      </c>
      <c r="V6" s="77"/>
      <c r="W6" s="77"/>
      <c r="X6" s="77"/>
    </row>
    <row r="7" spans="2:24">
      <c r="B7" s="24" t="s">
        <v>21</v>
      </c>
      <c r="C7" s="34" t="e">
        <f>P14</f>
        <v>#DIV/0!</v>
      </c>
      <c r="D7" s="63"/>
      <c r="E7" s="10"/>
      <c r="F7" s="10"/>
      <c r="G7" s="10"/>
      <c r="H7" s="10"/>
      <c r="I7" s="10"/>
      <c r="J7" s="10"/>
      <c r="K7" s="10"/>
      <c r="L7" s="10"/>
      <c r="M7" s="10"/>
      <c r="N7" s="10"/>
      <c r="O7" s="10"/>
      <c r="P7" s="10"/>
      <c r="Q7" s="10"/>
      <c r="R7" s="10"/>
      <c r="S7" s="10"/>
      <c r="T7" s="10"/>
      <c r="U7" s="151"/>
      <c r="V7" s="77"/>
      <c r="W7" s="77"/>
      <c r="X7" s="77"/>
    </row>
    <row r="8" spans="2:24">
      <c r="B8" s="24"/>
      <c r="C8" s="25"/>
      <c r="D8" s="63"/>
      <c r="E8" s="10"/>
      <c r="F8" s="18" t="s">
        <v>22</v>
      </c>
      <c r="G8" s="19" t="s">
        <v>23</v>
      </c>
      <c r="H8" s="35" t="s">
        <v>24</v>
      </c>
      <c r="I8" s="10"/>
      <c r="J8" s="10"/>
      <c r="K8" s="36"/>
      <c r="L8" s="36"/>
      <c r="M8" s="36"/>
      <c r="N8" s="36"/>
      <c r="O8" s="36"/>
      <c r="P8" s="36"/>
      <c r="Q8" s="36"/>
      <c r="R8" s="10"/>
      <c r="S8" s="10"/>
      <c r="T8" s="10"/>
      <c r="U8" s="151"/>
      <c r="V8" s="77"/>
      <c r="W8" s="77"/>
      <c r="X8" s="77"/>
    </row>
    <row r="9" spans="2:24">
      <c r="B9" s="32" t="s">
        <v>25</v>
      </c>
      <c r="C9" s="37" t="e">
        <f>P15</f>
        <v>#DIV/0!</v>
      </c>
      <c r="D9" s="63"/>
      <c r="E9" s="18" t="s">
        <v>26</v>
      </c>
      <c r="F9" s="38">
        <f>P11</f>
        <v>0</v>
      </c>
      <c r="G9" s="39">
        <f>I46+I80+I102</f>
        <v>0</v>
      </c>
      <c r="H9" s="40"/>
      <c r="I9" s="41"/>
      <c r="J9" s="42"/>
      <c r="K9" s="43" t="s">
        <v>27</v>
      </c>
      <c r="L9" s="44"/>
      <c r="M9" s="44"/>
      <c r="N9" s="44"/>
      <c r="O9" s="44"/>
      <c r="P9" s="44"/>
      <c r="Q9" s="45"/>
      <c r="R9" s="46" t="s">
        <v>28</v>
      </c>
      <c r="S9" s="47" t="s">
        <v>29</v>
      </c>
      <c r="T9" s="10"/>
      <c r="U9" s="151"/>
      <c r="V9" s="77"/>
      <c r="W9" s="77"/>
      <c r="X9" s="77"/>
    </row>
    <row r="10" spans="2:24">
      <c r="B10" s="11"/>
      <c r="C10" s="10"/>
      <c r="D10" s="63"/>
      <c r="E10" s="24" t="s">
        <v>30</v>
      </c>
      <c r="F10" s="48">
        <f>IF(F9&gt;=25000,10%,5%)</f>
        <v>0.05</v>
      </c>
      <c r="G10" s="17"/>
      <c r="H10" s="40"/>
      <c r="I10" s="41"/>
      <c r="J10" s="42"/>
      <c r="K10" s="20" t="s">
        <v>31</v>
      </c>
      <c r="L10" s="21" t="s">
        <v>32</v>
      </c>
      <c r="M10" s="21" t="s">
        <v>33</v>
      </c>
      <c r="N10" s="21" t="s">
        <v>34</v>
      </c>
      <c r="O10" s="21" t="s">
        <v>35</v>
      </c>
      <c r="P10" s="21" t="s">
        <v>36</v>
      </c>
      <c r="Q10" s="49" t="s">
        <v>37</v>
      </c>
      <c r="R10" s="50" t="s">
        <v>38</v>
      </c>
      <c r="S10" s="50" t="s">
        <v>38</v>
      </c>
      <c r="T10" s="10"/>
      <c r="U10" s="151"/>
      <c r="V10" s="77"/>
      <c r="W10" s="77"/>
      <c r="X10" s="77"/>
    </row>
    <row r="11" spans="2:24" ht="14.25">
      <c r="B11" s="11"/>
      <c r="C11" s="10"/>
      <c r="D11" s="63"/>
      <c r="E11" s="51" t="s">
        <v>39</v>
      </c>
      <c r="F11" s="52">
        <f>F9*F10</f>
        <v>0</v>
      </c>
      <c r="G11" s="53" t="s">
        <v>40</v>
      </c>
      <c r="H11" s="54">
        <f>F11/1.12</f>
        <v>0</v>
      </c>
      <c r="I11" s="55"/>
      <c r="J11" s="42"/>
      <c r="K11" s="56"/>
      <c r="L11" s="57"/>
      <c r="M11" s="57"/>
      <c r="N11" s="57"/>
      <c r="O11" s="57"/>
      <c r="P11" s="57">
        <f>SUM(K11:O11)</f>
        <v>0</v>
      </c>
      <c r="Q11" s="58">
        <v>0</v>
      </c>
      <c r="R11" s="59">
        <f>I80+I102</f>
        <v>0</v>
      </c>
      <c r="S11" s="59">
        <f>+I91+I113</f>
        <v>0</v>
      </c>
      <c r="T11" s="10"/>
      <c r="U11" s="151"/>
      <c r="V11" s="77"/>
      <c r="W11" s="77"/>
      <c r="X11" s="77"/>
    </row>
    <row r="12" spans="2:24">
      <c r="B12" s="11"/>
      <c r="C12" s="10"/>
      <c r="D12" s="63"/>
      <c r="E12" s="24" t="s">
        <v>41</v>
      </c>
      <c r="F12" s="60">
        <f>Q11</f>
        <v>0</v>
      </c>
      <c r="G12" s="61" t="s">
        <v>40</v>
      </c>
      <c r="H12" s="62"/>
      <c r="I12" s="62"/>
      <c r="J12" s="10" t="s">
        <v>42</v>
      </c>
      <c r="K12" s="63"/>
      <c r="L12" s="63"/>
      <c r="M12" s="63"/>
      <c r="N12" s="63"/>
      <c r="O12" s="63"/>
      <c r="P12" s="21">
        <f>SUM(K12:O12)</f>
        <v>0</v>
      </c>
      <c r="Q12" s="64"/>
      <c r="R12" s="63"/>
      <c r="S12" s="10"/>
      <c r="T12" s="10"/>
      <c r="U12" s="151"/>
      <c r="V12" s="77"/>
      <c r="W12" s="77"/>
      <c r="X12" s="77"/>
    </row>
    <row r="13" spans="2:24" ht="14.25">
      <c r="B13" s="11"/>
      <c r="C13" s="10"/>
      <c r="D13" s="63"/>
      <c r="E13" s="51" t="s">
        <v>43</v>
      </c>
      <c r="F13" s="52">
        <f>F12*0.25</f>
        <v>0</v>
      </c>
      <c r="G13" s="53" t="s">
        <v>40</v>
      </c>
      <c r="H13" s="54">
        <f>F13/1.12</f>
        <v>0</v>
      </c>
      <c r="I13" s="10"/>
      <c r="J13" s="10" t="s">
        <v>44</v>
      </c>
      <c r="K13" s="63"/>
      <c r="L13" s="63"/>
      <c r="M13" s="63"/>
      <c r="N13" s="63"/>
      <c r="O13" s="63"/>
      <c r="P13" s="21">
        <f>SUM(K13:O13)</f>
        <v>0</v>
      </c>
      <c r="Q13" s="64"/>
      <c r="R13" s="63"/>
      <c r="S13" s="10"/>
      <c r="T13" s="10"/>
      <c r="U13" s="151"/>
      <c r="V13" s="77"/>
      <c r="W13" s="77"/>
      <c r="X13" s="77"/>
    </row>
    <row r="14" spans="2:24">
      <c r="B14" s="11"/>
      <c r="C14" s="10"/>
      <c r="D14" s="63"/>
      <c r="E14" s="24" t="s">
        <v>45</v>
      </c>
      <c r="F14" s="60">
        <v>0</v>
      </c>
      <c r="G14" s="61" t="s">
        <v>40</v>
      </c>
      <c r="H14" s="62"/>
      <c r="I14" s="10"/>
      <c r="J14" s="10" t="s">
        <v>46</v>
      </c>
      <c r="K14" s="31" t="e">
        <f t="shared" ref="K14:Q14" si="2">K12/(K12+K13)</f>
        <v>#DIV/0!</v>
      </c>
      <c r="L14" s="31" t="e">
        <f t="shared" si="2"/>
        <v>#DIV/0!</v>
      </c>
      <c r="M14" s="31" t="e">
        <f t="shared" si="2"/>
        <v>#DIV/0!</v>
      </c>
      <c r="N14" s="31" t="e">
        <f t="shared" si="2"/>
        <v>#DIV/0!</v>
      </c>
      <c r="O14" s="31" t="e">
        <f t="shared" si="2"/>
        <v>#DIV/0!</v>
      </c>
      <c r="P14" s="31" t="e">
        <f t="shared" si="2"/>
        <v>#DIV/0!</v>
      </c>
      <c r="Q14" s="31" t="e">
        <f t="shared" si="2"/>
        <v>#DIV/0!</v>
      </c>
      <c r="R14" s="63"/>
      <c r="S14" s="10"/>
      <c r="T14" s="10"/>
      <c r="U14" s="151"/>
      <c r="V14" s="77"/>
      <c r="W14" s="77"/>
      <c r="X14" s="77"/>
    </row>
    <row r="15" spans="2:24" ht="14.25">
      <c r="B15" s="11"/>
      <c r="C15" s="10"/>
      <c r="D15" s="63"/>
      <c r="E15" s="51" t="s">
        <v>47</v>
      </c>
      <c r="F15" s="52">
        <f>F14*0.05</f>
        <v>0</v>
      </c>
      <c r="G15" s="65" t="s">
        <v>40</v>
      </c>
      <c r="H15" s="54">
        <f>F15/1.12</f>
        <v>0</v>
      </c>
      <c r="I15" s="42"/>
      <c r="J15" s="10" t="s">
        <v>48</v>
      </c>
      <c r="K15" s="66" t="e">
        <f>K11/K12</f>
        <v>#DIV/0!</v>
      </c>
      <c r="L15" s="66" t="e">
        <f t="shared" ref="L15:Q15" si="3">L11/L12</f>
        <v>#DIV/0!</v>
      </c>
      <c r="M15" s="66" t="e">
        <f t="shared" si="3"/>
        <v>#DIV/0!</v>
      </c>
      <c r="N15" s="66" t="e">
        <f t="shared" si="3"/>
        <v>#DIV/0!</v>
      </c>
      <c r="O15" s="66" t="e">
        <f t="shared" si="3"/>
        <v>#DIV/0!</v>
      </c>
      <c r="P15" s="66" t="e">
        <f t="shared" si="3"/>
        <v>#DIV/0!</v>
      </c>
      <c r="Q15" s="66" t="e">
        <f t="shared" si="3"/>
        <v>#DIV/0!</v>
      </c>
      <c r="R15" s="63"/>
      <c r="S15" s="10"/>
      <c r="T15" s="10"/>
      <c r="U15" s="151"/>
      <c r="V15" s="77"/>
      <c r="W15" s="77"/>
      <c r="X15" s="77"/>
    </row>
    <row r="16" spans="2:24" ht="14.25">
      <c r="B16" s="132"/>
      <c r="C16" s="123"/>
      <c r="D16" s="127"/>
      <c r="E16" s="155" t="s">
        <v>14</v>
      </c>
      <c r="F16" s="156"/>
      <c r="G16" s="123"/>
      <c r="H16" s="54">
        <f>F16/1.12</f>
        <v>0</v>
      </c>
      <c r="I16" s="123"/>
      <c r="J16" s="123"/>
      <c r="K16" s="123"/>
      <c r="L16" s="123"/>
      <c r="M16" s="123"/>
      <c r="N16" s="123"/>
      <c r="O16" s="123"/>
      <c r="P16" s="123"/>
      <c r="Q16" s="123"/>
      <c r="R16" s="123"/>
      <c r="S16" s="123"/>
      <c r="T16" s="123"/>
      <c r="U16" s="157"/>
      <c r="V16" s="123"/>
      <c r="W16" s="123"/>
      <c r="X16" s="123"/>
    </row>
    <row r="17" spans="2:24">
      <c r="B17" s="132"/>
      <c r="C17" s="123"/>
      <c r="D17" s="127"/>
      <c r="E17" s="158" t="s">
        <v>49</v>
      </c>
      <c r="F17" s="159">
        <f>T6</f>
        <v>0</v>
      </c>
      <c r="G17" s="123"/>
      <c r="H17" s="54"/>
      <c r="I17" s="123"/>
      <c r="J17" s="42"/>
      <c r="K17" s="764" t="s">
        <v>50</v>
      </c>
      <c r="L17" s="765"/>
      <c r="M17" s="765"/>
      <c r="N17" s="765"/>
      <c r="O17" s="765"/>
      <c r="P17" s="765"/>
      <c r="Q17" s="766"/>
      <c r="R17" s="70" t="s">
        <v>28</v>
      </c>
      <c r="S17" s="71" t="s">
        <v>29</v>
      </c>
      <c r="T17" s="123"/>
      <c r="U17" s="157"/>
      <c r="V17" s="123"/>
      <c r="W17" s="123"/>
      <c r="X17" s="123"/>
    </row>
    <row r="18" spans="2:24">
      <c r="B18" s="132"/>
      <c r="C18" s="123"/>
      <c r="D18" s="127"/>
      <c r="E18" s="74"/>
      <c r="F18" s="75"/>
      <c r="G18" s="123"/>
      <c r="H18" s="54"/>
      <c r="I18" s="123"/>
      <c r="J18" s="42"/>
      <c r="K18" s="20" t="s">
        <v>31</v>
      </c>
      <c r="L18" s="21" t="s">
        <v>32</v>
      </c>
      <c r="M18" s="21" t="s">
        <v>33</v>
      </c>
      <c r="N18" s="21" t="s">
        <v>34</v>
      </c>
      <c r="O18" s="21" t="s">
        <v>35</v>
      </c>
      <c r="P18" s="21" t="s">
        <v>36</v>
      </c>
      <c r="Q18" s="49" t="s">
        <v>37</v>
      </c>
      <c r="R18" s="50" t="s">
        <v>38</v>
      </c>
      <c r="S18" s="50" t="s">
        <v>38</v>
      </c>
      <c r="T18" s="123"/>
      <c r="U18" s="157"/>
      <c r="V18" s="123"/>
      <c r="W18" s="123"/>
      <c r="X18" s="123"/>
    </row>
    <row r="19" spans="2:24">
      <c r="B19" s="132"/>
      <c r="C19" s="123"/>
      <c r="D19" s="127"/>
      <c r="E19" s="12"/>
      <c r="F19" s="76"/>
      <c r="G19" s="123"/>
      <c r="H19" s="54"/>
      <c r="I19" s="123"/>
      <c r="J19" s="42"/>
      <c r="K19" s="56"/>
      <c r="L19" s="57"/>
      <c r="M19" s="57"/>
      <c r="N19" s="57"/>
      <c r="O19" s="57"/>
      <c r="P19" s="57">
        <f>SUM(K19:O19)</f>
        <v>0</v>
      </c>
      <c r="Q19" s="58">
        <v>0</v>
      </c>
      <c r="R19" s="59">
        <f>F80+F102</f>
        <v>0</v>
      </c>
      <c r="S19" s="59">
        <f>F91+F113</f>
        <v>0</v>
      </c>
      <c r="T19" s="123"/>
      <c r="U19" s="157"/>
      <c r="V19" s="123"/>
      <c r="W19" s="123"/>
      <c r="X19" s="123"/>
    </row>
    <row r="20" spans="2:24">
      <c r="B20" s="132"/>
      <c r="C20" s="123"/>
      <c r="D20" s="127"/>
      <c r="E20" s="12"/>
      <c r="F20" s="76"/>
      <c r="G20" s="123"/>
      <c r="H20" s="54"/>
      <c r="I20" s="123"/>
      <c r="J20" s="10" t="s">
        <v>42</v>
      </c>
      <c r="K20" s="63">
        <f t="shared" ref="K20:Q21" si="4">K12</f>
        <v>0</v>
      </c>
      <c r="L20" s="63">
        <f t="shared" si="4"/>
        <v>0</v>
      </c>
      <c r="M20" s="63">
        <f t="shared" si="4"/>
        <v>0</v>
      </c>
      <c r="N20" s="63">
        <f t="shared" si="4"/>
        <v>0</v>
      </c>
      <c r="O20" s="63">
        <f t="shared" si="4"/>
        <v>0</v>
      </c>
      <c r="P20" s="63">
        <f t="shared" si="4"/>
        <v>0</v>
      </c>
      <c r="Q20" s="63">
        <f t="shared" si="4"/>
        <v>0</v>
      </c>
      <c r="R20" s="63"/>
      <c r="S20" s="10"/>
      <c r="T20" s="123"/>
      <c r="U20" s="157"/>
      <c r="V20" s="123"/>
      <c r="W20" s="123"/>
      <c r="X20" s="123"/>
    </row>
    <row r="21" spans="2:24">
      <c r="B21" s="132"/>
      <c r="C21" s="123"/>
      <c r="D21" s="127"/>
      <c r="E21" s="12"/>
      <c r="F21" s="76"/>
      <c r="G21" s="123"/>
      <c r="H21" s="54"/>
      <c r="I21" s="123"/>
      <c r="J21" s="10" t="s">
        <v>44</v>
      </c>
      <c r="K21" s="63">
        <f t="shared" si="4"/>
        <v>0</v>
      </c>
      <c r="L21" s="63">
        <f t="shared" si="4"/>
        <v>0</v>
      </c>
      <c r="M21" s="63">
        <f t="shared" si="4"/>
        <v>0</v>
      </c>
      <c r="N21" s="63">
        <f t="shared" si="4"/>
        <v>0</v>
      </c>
      <c r="O21" s="63">
        <f t="shared" si="4"/>
        <v>0</v>
      </c>
      <c r="P21" s="63">
        <f t="shared" si="4"/>
        <v>0</v>
      </c>
      <c r="Q21" s="63">
        <f t="shared" si="4"/>
        <v>0</v>
      </c>
      <c r="R21" s="63"/>
      <c r="S21" s="10"/>
      <c r="T21" s="123"/>
      <c r="U21" s="157"/>
      <c r="V21" s="123"/>
      <c r="W21" s="123"/>
      <c r="X21" s="123"/>
    </row>
    <row r="22" spans="2:24">
      <c r="B22" s="132"/>
      <c r="C22" s="123"/>
      <c r="D22" s="127"/>
      <c r="E22" s="12"/>
      <c r="F22" s="160"/>
      <c r="G22" s="123"/>
      <c r="H22" s="54"/>
      <c r="I22" s="123"/>
      <c r="J22" s="10" t="s">
        <v>46</v>
      </c>
      <c r="K22" s="31" t="e">
        <f t="shared" ref="K22:Q22" si="5">K20/(K20+K21)</f>
        <v>#DIV/0!</v>
      </c>
      <c r="L22" s="31" t="e">
        <f t="shared" si="5"/>
        <v>#DIV/0!</v>
      </c>
      <c r="M22" s="31" t="e">
        <f t="shared" si="5"/>
        <v>#DIV/0!</v>
      </c>
      <c r="N22" s="31" t="e">
        <f t="shared" si="5"/>
        <v>#DIV/0!</v>
      </c>
      <c r="O22" s="31" t="e">
        <f t="shared" si="5"/>
        <v>#DIV/0!</v>
      </c>
      <c r="P22" s="31" t="e">
        <f t="shared" si="5"/>
        <v>#DIV/0!</v>
      </c>
      <c r="Q22" s="31" t="e">
        <f t="shared" si="5"/>
        <v>#DIV/0!</v>
      </c>
      <c r="R22" s="63"/>
      <c r="S22" s="10"/>
      <c r="T22" s="123"/>
      <c r="U22" s="157"/>
      <c r="V22" s="123"/>
      <c r="W22" s="123"/>
      <c r="X22" s="123"/>
    </row>
    <row r="23" spans="2:24">
      <c r="B23" s="132"/>
      <c r="C23" s="123"/>
      <c r="D23" s="127"/>
      <c r="E23" s="12"/>
      <c r="F23" s="160"/>
      <c r="G23" s="123"/>
      <c r="H23" s="54"/>
      <c r="I23" s="123"/>
      <c r="J23" s="10" t="s">
        <v>48</v>
      </c>
      <c r="K23" s="66" t="e">
        <f t="shared" ref="K23:Q23" si="6">K19/K20</f>
        <v>#DIV/0!</v>
      </c>
      <c r="L23" s="66" t="e">
        <f t="shared" si="6"/>
        <v>#DIV/0!</v>
      </c>
      <c r="M23" s="66" t="e">
        <f t="shared" si="6"/>
        <v>#DIV/0!</v>
      </c>
      <c r="N23" s="66" t="e">
        <f t="shared" si="6"/>
        <v>#DIV/0!</v>
      </c>
      <c r="O23" s="66" t="e">
        <f t="shared" si="6"/>
        <v>#DIV/0!</v>
      </c>
      <c r="P23" s="66" t="e">
        <f t="shared" si="6"/>
        <v>#DIV/0!</v>
      </c>
      <c r="Q23" s="66" t="e">
        <f t="shared" si="6"/>
        <v>#DIV/0!</v>
      </c>
      <c r="R23" s="63"/>
      <c r="S23" s="10"/>
      <c r="T23" s="123"/>
      <c r="U23" s="157"/>
      <c r="V23" s="123"/>
      <c r="W23" s="123"/>
      <c r="X23" s="123"/>
    </row>
    <row r="24" spans="2:24">
      <c r="B24" s="132"/>
      <c r="C24" s="123"/>
      <c r="D24" s="127"/>
      <c r="E24" s="12"/>
      <c r="F24" s="160"/>
      <c r="G24" s="123"/>
      <c r="H24" s="54"/>
      <c r="I24" s="123"/>
      <c r="J24" s="123"/>
      <c r="K24" s="123"/>
      <c r="L24" s="123"/>
      <c r="M24" s="123"/>
      <c r="N24" s="123"/>
      <c r="O24" s="123"/>
      <c r="P24" s="123"/>
      <c r="Q24" s="123"/>
      <c r="R24" s="123"/>
      <c r="S24" s="123"/>
      <c r="T24" s="123"/>
      <c r="U24" s="157"/>
      <c r="V24" s="123"/>
      <c r="W24" s="123"/>
      <c r="X24" s="123"/>
    </row>
    <row r="25" spans="2:24">
      <c r="B25" s="11"/>
      <c r="C25" s="10"/>
      <c r="D25" s="63"/>
      <c r="E25" s="12"/>
      <c r="F25" s="12"/>
      <c r="G25" s="10"/>
      <c r="H25" s="10"/>
      <c r="I25" s="10"/>
      <c r="J25" s="10"/>
      <c r="K25" s="10"/>
      <c r="L25" s="10"/>
      <c r="M25" s="10"/>
      <c r="N25" s="10"/>
      <c r="O25" s="10"/>
      <c r="P25" s="10"/>
      <c r="Q25" s="10"/>
      <c r="R25" s="10"/>
      <c r="S25" s="10"/>
      <c r="T25" s="10"/>
      <c r="U25" s="151"/>
      <c r="V25" s="77"/>
      <c r="W25" s="77"/>
      <c r="X25" s="77"/>
    </row>
    <row r="26" spans="2:24">
      <c r="B26" s="11"/>
      <c r="C26" s="10"/>
      <c r="D26" s="63"/>
      <c r="E26" s="10"/>
      <c r="F26" s="10"/>
      <c r="G26" s="10"/>
      <c r="H26" s="10"/>
      <c r="I26" s="10"/>
      <c r="J26" s="10"/>
      <c r="K26" s="10"/>
      <c r="L26" s="10"/>
      <c r="M26" s="10"/>
      <c r="N26" s="10"/>
      <c r="O26" s="10"/>
      <c r="P26" s="10"/>
      <c r="Q26" s="10"/>
      <c r="R26" s="10"/>
      <c r="S26" s="10"/>
      <c r="T26" s="10"/>
      <c r="U26" s="151"/>
      <c r="V26" s="77"/>
      <c r="W26" s="77"/>
      <c r="X26" s="77"/>
    </row>
    <row r="27" spans="2:24">
      <c r="B27" s="18" t="s">
        <v>51</v>
      </c>
      <c r="C27" s="14"/>
      <c r="D27" s="14"/>
      <c r="E27" s="14"/>
      <c r="F27" s="13" t="s">
        <v>52</v>
      </c>
      <c r="G27" s="14"/>
      <c r="H27" s="14"/>
      <c r="I27" s="14"/>
      <c r="J27" s="14"/>
      <c r="K27" s="13" t="s">
        <v>3</v>
      </c>
      <c r="L27" s="14"/>
      <c r="M27" s="14"/>
      <c r="N27" s="13" t="s">
        <v>4</v>
      </c>
      <c r="O27" s="14"/>
      <c r="P27" s="14"/>
      <c r="Q27" s="13" t="s">
        <v>5</v>
      </c>
      <c r="R27" s="14"/>
      <c r="S27" s="14"/>
      <c r="T27" s="18"/>
      <c r="U27" s="161" t="s">
        <v>53</v>
      </c>
      <c r="V27" s="77"/>
      <c r="W27" s="77"/>
      <c r="X27" s="77"/>
    </row>
    <row r="28" spans="2:24">
      <c r="B28" s="24" t="s">
        <v>54</v>
      </c>
      <c r="C28" s="21" t="s">
        <v>55</v>
      </c>
      <c r="D28" s="21" t="s">
        <v>56</v>
      </c>
      <c r="E28" s="21" t="s">
        <v>57</v>
      </c>
      <c r="F28" s="20" t="s">
        <v>58</v>
      </c>
      <c r="G28" s="21" t="s">
        <v>59</v>
      </c>
      <c r="H28" s="21" t="s">
        <v>60</v>
      </c>
      <c r="I28" s="21" t="s">
        <v>26</v>
      </c>
      <c r="J28" s="22" t="s">
        <v>61</v>
      </c>
      <c r="K28" s="21" t="s">
        <v>8</v>
      </c>
      <c r="L28" s="21" t="s">
        <v>9</v>
      </c>
      <c r="M28" s="21" t="s">
        <v>10</v>
      </c>
      <c r="N28" s="20" t="s">
        <v>11</v>
      </c>
      <c r="O28" s="21" t="s">
        <v>12</v>
      </c>
      <c r="P28" s="22" t="s">
        <v>13</v>
      </c>
      <c r="Q28" s="21" t="s">
        <v>11</v>
      </c>
      <c r="R28" s="21" t="s">
        <v>12</v>
      </c>
      <c r="S28" s="21" t="s">
        <v>13</v>
      </c>
      <c r="T28" s="78" t="s">
        <v>14</v>
      </c>
      <c r="U28" s="162"/>
      <c r="V28" s="79" t="s">
        <v>62</v>
      </c>
      <c r="W28" s="80" t="s">
        <v>63</v>
      </c>
      <c r="X28" s="81" t="s">
        <v>64</v>
      </c>
    </row>
    <row r="29" spans="2:24">
      <c r="B29" s="4" t="s">
        <v>65</v>
      </c>
      <c r="C29" s="6"/>
      <c r="D29" s="6"/>
      <c r="E29" s="6"/>
      <c r="F29" s="6"/>
      <c r="G29" s="6"/>
      <c r="H29" s="6"/>
      <c r="I29" s="82"/>
      <c r="J29" s="6"/>
      <c r="K29" s="6"/>
      <c r="L29" s="6"/>
      <c r="M29" s="6"/>
      <c r="N29" s="6"/>
      <c r="O29" s="6"/>
      <c r="P29" s="6"/>
      <c r="Q29" s="6"/>
      <c r="R29" s="6"/>
      <c r="S29" s="6"/>
      <c r="T29" s="83"/>
      <c r="U29" s="163"/>
      <c r="V29" s="84"/>
      <c r="W29" s="85"/>
      <c r="X29" s="86"/>
    </row>
    <row r="30" spans="2:24">
      <c r="B30" s="87">
        <v>1</v>
      </c>
      <c r="C30" s="609"/>
      <c r="D30" s="10"/>
      <c r="E30" s="10"/>
      <c r="F30" s="62"/>
      <c r="G30" s="62"/>
      <c r="H30" s="88"/>
      <c r="I30" s="89">
        <f>F30-G30-H30</f>
        <v>0</v>
      </c>
      <c r="J30" s="63"/>
      <c r="K30" s="63"/>
      <c r="L30" s="63"/>
      <c r="M30" s="63"/>
      <c r="N30" s="63"/>
      <c r="O30" s="63"/>
      <c r="P30" s="63"/>
      <c r="Q30" s="63"/>
      <c r="R30" s="63"/>
      <c r="S30" s="63"/>
      <c r="T30" s="63"/>
      <c r="U30" s="94"/>
      <c r="V30" s="90"/>
      <c r="W30" s="91"/>
      <c r="X30" s="92"/>
    </row>
    <row r="31" spans="2:24">
      <c r="B31" s="87">
        <f t="shared" ref="B31:B45" si="7">B30+1</f>
        <v>2</v>
      </c>
      <c r="C31" s="609"/>
      <c r="D31" s="10"/>
      <c r="E31" s="10"/>
      <c r="F31" s="62"/>
      <c r="G31" s="62"/>
      <c r="H31" s="62"/>
      <c r="I31" s="89">
        <f t="shared" ref="I31:I45" si="8">F31-G31-H31</f>
        <v>0</v>
      </c>
      <c r="J31" s="63"/>
      <c r="K31" s="63"/>
      <c r="L31" s="63"/>
      <c r="M31" s="63"/>
      <c r="N31" s="63"/>
      <c r="O31" s="63"/>
      <c r="P31" s="63"/>
      <c r="Q31" s="63"/>
      <c r="R31" s="63"/>
      <c r="S31" s="63"/>
      <c r="T31" s="63"/>
      <c r="U31" s="94"/>
      <c r="V31" s="90"/>
      <c r="W31" s="91"/>
      <c r="X31" s="92"/>
    </row>
    <row r="32" spans="2:24">
      <c r="B32" s="87">
        <f t="shared" si="7"/>
        <v>3</v>
      </c>
      <c r="C32" s="609"/>
      <c r="D32" s="3"/>
      <c r="E32" s="10"/>
      <c r="F32" s="62"/>
      <c r="G32" s="62"/>
      <c r="H32" s="62"/>
      <c r="I32" s="89">
        <f t="shared" si="8"/>
        <v>0</v>
      </c>
      <c r="J32" s="63"/>
      <c r="K32" s="63"/>
      <c r="L32" s="63"/>
      <c r="M32" s="63"/>
      <c r="N32" s="63"/>
      <c r="O32" s="63"/>
      <c r="P32" s="63"/>
      <c r="Q32" s="63"/>
      <c r="R32" s="63"/>
      <c r="S32" s="63"/>
      <c r="T32" s="63"/>
      <c r="U32" s="94"/>
      <c r="V32" s="90"/>
      <c r="W32" s="91"/>
      <c r="X32" s="92"/>
    </row>
    <row r="33" spans="2:24">
      <c r="B33" s="87">
        <f t="shared" si="7"/>
        <v>4</v>
      </c>
      <c r="C33" s="609"/>
      <c r="D33" s="10"/>
      <c r="E33" s="94"/>
      <c r="F33" s="62"/>
      <c r="G33" s="62"/>
      <c r="H33" s="62"/>
      <c r="I33" s="89">
        <f t="shared" si="8"/>
        <v>0</v>
      </c>
      <c r="J33" s="63"/>
      <c r="K33" s="63"/>
      <c r="L33" s="63"/>
      <c r="M33" s="63"/>
      <c r="N33" s="63"/>
      <c r="O33" s="63"/>
      <c r="P33" s="63"/>
      <c r="Q33" s="63"/>
      <c r="R33" s="63"/>
      <c r="S33" s="63"/>
      <c r="T33" s="63"/>
      <c r="U33" s="94"/>
      <c r="V33" s="90"/>
      <c r="W33" s="91"/>
      <c r="X33" s="92"/>
    </row>
    <row r="34" spans="2:24">
      <c r="B34" s="87">
        <f t="shared" si="7"/>
        <v>5</v>
      </c>
      <c r="C34" s="609"/>
      <c r="D34" s="10"/>
      <c r="E34" s="10"/>
      <c r="F34" s="62"/>
      <c r="G34" s="62"/>
      <c r="H34" s="62"/>
      <c r="I34" s="89">
        <f t="shared" si="8"/>
        <v>0</v>
      </c>
      <c r="J34" s="63"/>
      <c r="K34" s="63"/>
      <c r="L34" s="63"/>
      <c r="M34" s="63"/>
      <c r="N34" s="63"/>
      <c r="O34" s="63"/>
      <c r="P34" s="63"/>
      <c r="Q34" s="63"/>
      <c r="R34" s="63"/>
      <c r="S34" s="63"/>
      <c r="T34" s="63"/>
      <c r="U34" s="94"/>
      <c r="V34" s="90"/>
      <c r="W34" s="91"/>
      <c r="X34" s="92"/>
    </row>
    <row r="35" spans="2:24">
      <c r="B35" s="87">
        <f t="shared" si="7"/>
        <v>6</v>
      </c>
      <c r="C35" s="609"/>
      <c r="D35" s="10"/>
      <c r="E35" s="10"/>
      <c r="F35" s="62"/>
      <c r="G35" s="62"/>
      <c r="H35" s="88"/>
      <c r="I35" s="89">
        <f t="shared" si="8"/>
        <v>0</v>
      </c>
      <c r="J35" s="63"/>
      <c r="K35" s="63"/>
      <c r="L35" s="63"/>
      <c r="M35" s="63"/>
      <c r="N35" s="63"/>
      <c r="O35" s="63"/>
      <c r="P35" s="63"/>
      <c r="Q35" s="63"/>
      <c r="R35" s="63"/>
      <c r="S35" s="63"/>
      <c r="T35" s="63"/>
      <c r="U35" s="94"/>
      <c r="V35" s="90"/>
      <c r="W35" s="91"/>
      <c r="X35" s="92"/>
    </row>
    <row r="36" spans="2:24">
      <c r="B36" s="87">
        <f t="shared" si="7"/>
        <v>7</v>
      </c>
      <c r="C36" s="609"/>
      <c r="D36" s="10"/>
      <c r="E36" s="10"/>
      <c r="F36" s="62"/>
      <c r="G36" s="62"/>
      <c r="H36" s="88"/>
      <c r="I36" s="89">
        <f>F36-G36-H36</f>
        <v>0</v>
      </c>
      <c r="J36" s="63"/>
      <c r="K36" s="63"/>
      <c r="L36" s="63"/>
      <c r="M36" s="63"/>
      <c r="N36" s="63"/>
      <c r="O36" s="63"/>
      <c r="P36" s="63"/>
      <c r="Q36" s="63"/>
      <c r="R36" s="63"/>
      <c r="S36" s="63"/>
      <c r="T36" s="63"/>
      <c r="U36" s="94"/>
      <c r="V36" s="90"/>
      <c r="W36" s="91"/>
      <c r="X36" s="92"/>
    </row>
    <row r="37" spans="2:24">
      <c r="B37" s="87">
        <f t="shared" si="7"/>
        <v>8</v>
      </c>
      <c r="C37" s="609"/>
      <c r="D37" s="10"/>
      <c r="E37" s="10"/>
      <c r="F37" s="62"/>
      <c r="G37" s="62"/>
      <c r="H37" s="88"/>
      <c r="I37" s="89">
        <f>F37-G37-H37</f>
        <v>0</v>
      </c>
      <c r="J37" s="63"/>
      <c r="K37" s="63"/>
      <c r="L37" s="63"/>
      <c r="M37" s="63"/>
      <c r="N37" s="63"/>
      <c r="O37" s="63"/>
      <c r="P37" s="63"/>
      <c r="Q37" s="63"/>
      <c r="R37" s="63"/>
      <c r="S37" s="63"/>
      <c r="T37" s="63"/>
      <c r="U37" s="94"/>
      <c r="V37" s="90"/>
      <c r="W37" s="91"/>
      <c r="X37" s="92"/>
    </row>
    <row r="38" spans="2:24">
      <c r="B38" s="87">
        <f t="shared" si="7"/>
        <v>9</v>
      </c>
      <c r="C38" s="609"/>
      <c r="D38" s="10"/>
      <c r="E38" s="10"/>
      <c r="F38" s="62"/>
      <c r="G38" s="62"/>
      <c r="H38" s="88"/>
      <c r="I38" s="89">
        <f>F38-G38-H38</f>
        <v>0</v>
      </c>
      <c r="J38" s="63"/>
      <c r="K38" s="63"/>
      <c r="L38" s="63"/>
      <c r="M38" s="63"/>
      <c r="N38" s="63"/>
      <c r="O38" s="63"/>
      <c r="P38" s="63"/>
      <c r="Q38" s="63"/>
      <c r="R38" s="63"/>
      <c r="S38" s="63"/>
      <c r="T38" s="63"/>
      <c r="U38" s="94"/>
      <c r="V38" s="90"/>
      <c r="W38" s="91"/>
      <c r="X38" s="92"/>
    </row>
    <row r="39" spans="2:24">
      <c r="B39" s="87">
        <f t="shared" si="7"/>
        <v>10</v>
      </c>
      <c r="C39" s="609"/>
      <c r="D39" s="10"/>
      <c r="E39" s="10"/>
      <c r="F39" s="62"/>
      <c r="G39" s="62"/>
      <c r="H39" s="88"/>
      <c r="I39" s="89">
        <f>F39-G39-H39</f>
        <v>0</v>
      </c>
      <c r="J39" s="63"/>
      <c r="K39" s="63"/>
      <c r="L39" s="63"/>
      <c r="M39" s="63"/>
      <c r="N39" s="63"/>
      <c r="O39" s="63"/>
      <c r="P39" s="63"/>
      <c r="Q39" s="63"/>
      <c r="R39" s="63"/>
      <c r="S39" s="63"/>
      <c r="T39" s="63"/>
      <c r="U39" s="94"/>
      <c r="V39" s="90"/>
      <c r="W39" s="91"/>
      <c r="X39" s="92"/>
    </row>
    <row r="40" spans="2:24">
      <c r="B40" s="87">
        <f t="shared" si="7"/>
        <v>11</v>
      </c>
      <c r="C40" s="609"/>
      <c r="D40" s="10"/>
      <c r="E40" s="10"/>
      <c r="F40" s="95"/>
      <c r="G40" s="62"/>
      <c r="H40" s="62"/>
      <c r="I40" s="89">
        <f t="shared" si="8"/>
        <v>0</v>
      </c>
      <c r="J40" s="63"/>
      <c r="K40" s="63"/>
      <c r="L40" s="63"/>
      <c r="M40" s="63"/>
      <c r="N40" s="63"/>
      <c r="O40" s="63"/>
      <c r="P40" s="63"/>
      <c r="Q40" s="63"/>
      <c r="R40" s="63"/>
      <c r="S40" s="63"/>
      <c r="T40" s="63"/>
      <c r="U40" s="94"/>
      <c r="V40" s="90"/>
      <c r="W40" s="91"/>
      <c r="X40" s="92"/>
    </row>
    <row r="41" spans="2:24">
      <c r="B41" s="87">
        <f t="shared" si="7"/>
        <v>12</v>
      </c>
      <c r="C41" s="609"/>
      <c r="D41" s="10"/>
      <c r="E41" s="10"/>
      <c r="F41" s="95"/>
      <c r="G41" s="62"/>
      <c r="H41" s="62"/>
      <c r="I41" s="89">
        <f t="shared" si="8"/>
        <v>0</v>
      </c>
      <c r="J41" s="63"/>
      <c r="K41" s="63"/>
      <c r="L41" s="63"/>
      <c r="M41" s="63"/>
      <c r="N41" s="63"/>
      <c r="O41" s="63"/>
      <c r="P41" s="63"/>
      <c r="Q41" s="63"/>
      <c r="R41" s="63"/>
      <c r="S41" s="63"/>
      <c r="T41" s="63"/>
      <c r="U41" s="94"/>
      <c r="V41" s="90"/>
      <c r="W41" s="91"/>
      <c r="X41" s="92"/>
    </row>
    <row r="42" spans="2:24">
      <c r="B42" s="87">
        <f t="shared" si="7"/>
        <v>13</v>
      </c>
      <c r="C42" s="609"/>
      <c r="D42" s="10"/>
      <c r="E42" s="10"/>
      <c r="F42" s="95"/>
      <c r="G42" s="62"/>
      <c r="H42" s="62"/>
      <c r="I42" s="89">
        <f t="shared" si="8"/>
        <v>0</v>
      </c>
      <c r="J42" s="63"/>
      <c r="K42" s="63"/>
      <c r="L42" s="63"/>
      <c r="M42" s="63"/>
      <c r="N42" s="63"/>
      <c r="O42" s="63"/>
      <c r="P42" s="63"/>
      <c r="Q42" s="63"/>
      <c r="R42" s="63"/>
      <c r="S42" s="63"/>
      <c r="T42" s="63"/>
      <c r="U42" s="94"/>
      <c r="V42" s="90"/>
      <c r="W42" s="91"/>
      <c r="X42" s="92"/>
    </row>
    <row r="43" spans="2:24">
      <c r="B43" s="87">
        <f t="shared" si="7"/>
        <v>14</v>
      </c>
      <c r="C43" s="609"/>
      <c r="D43" s="10"/>
      <c r="E43" s="10"/>
      <c r="F43" s="95"/>
      <c r="G43" s="62"/>
      <c r="H43" s="62"/>
      <c r="I43" s="89">
        <f t="shared" si="8"/>
        <v>0</v>
      </c>
      <c r="J43" s="63"/>
      <c r="K43" s="63"/>
      <c r="L43" s="63"/>
      <c r="M43" s="63"/>
      <c r="N43" s="63"/>
      <c r="O43" s="63"/>
      <c r="P43" s="63"/>
      <c r="Q43" s="63"/>
      <c r="R43" s="63"/>
      <c r="S43" s="63"/>
      <c r="T43" s="63"/>
      <c r="U43" s="94"/>
      <c r="V43" s="90"/>
      <c r="W43" s="91"/>
      <c r="X43" s="92"/>
    </row>
    <row r="44" spans="2:24">
      <c r="B44" s="87">
        <f t="shared" si="7"/>
        <v>15</v>
      </c>
      <c r="C44" s="609"/>
      <c r="D44" s="10"/>
      <c r="E44" s="10"/>
      <c r="F44" s="95"/>
      <c r="G44" s="62"/>
      <c r="H44" s="62"/>
      <c r="I44" s="89">
        <f t="shared" si="8"/>
        <v>0</v>
      </c>
      <c r="J44" s="63"/>
      <c r="K44" s="63"/>
      <c r="L44" s="63"/>
      <c r="M44" s="63"/>
      <c r="N44" s="63"/>
      <c r="O44" s="63"/>
      <c r="P44" s="63"/>
      <c r="Q44" s="63"/>
      <c r="R44" s="63"/>
      <c r="S44" s="63"/>
      <c r="T44" s="63"/>
      <c r="U44" s="94"/>
      <c r="V44" s="90"/>
      <c r="W44" s="96"/>
      <c r="X44" s="92"/>
    </row>
    <row r="45" spans="2:24">
      <c r="B45" s="87">
        <f t="shared" si="7"/>
        <v>16</v>
      </c>
      <c r="C45" s="609"/>
      <c r="D45" s="10"/>
      <c r="E45" s="10"/>
      <c r="F45" s="95"/>
      <c r="G45" s="62"/>
      <c r="H45" s="62"/>
      <c r="I45" s="89">
        <f t="shared" si="8"/>
        <v>0</v>
      </c>
      <c r="J45" s="63"/>
      <c r="K45" s="63"/>
      <c r="L45" s="63"/>
      <c r="M45" s="63"/>
      <c r="N45" s="63"/>
      <c r="O45" s="63"/>
      <c r="P45" s="63"/>
      <c r="Q45" s="63"/>
      <c r="R45" s="63"/>
      <c r="S45" s="63"/>
      <c r="T45" s="63"/>
      <c r="U45" s="94"/>
      <c r="V45" s="90"/>
      <c r="W45" s="96"/>
      <c r="X45" s="92"/>
    </row>
    <row r="46" spans="2:24">
      <c r="B46" s="87"/>
      <c r="C46" s="609"/>
      <c r="D46" s="10"/>
      <c r="E46" s="10"/>
      <c r="F46" s="97">
        <f>SUM(F30:F45)</f>
        <v>0</v>
      </c>
      <c r="G46" s="97">
        <f t="shared" ref="G46:I46" si="9">SUM(G30:G45)</f>
        <v>0</v>
      </c>
      <c r="H46" s="97">
        <f t="shared" si="9"/>
        <v>0</v>
      </c>
      <c r="I46" s="98">
        <f t="shared" si="9"/>
        <v>0</v>
      </c>
      <c r="J46" s="63"/>
      <c r="K46" s="63">
        <f>COUNT(K30:K45)</f>
        <v>0</v>
      </c>
      <c r="L46" s="63">
        <f t="shared" ref="L46:R46" si="10">COUNT(L30:L45)</f>
        <v>0</v>
      </c>
      <c r="M46" s="63">
        <f t="shared" si="10"/>
        <v>0</v>
      </c>
      <c r="N46" s="63">
        <f t="shared" si="10"/>
        <v>0</v>
      </c>
      <c r="O46" s="63">
        <f t="shared" si="10"/>
        <v>0</v>
      </c>
      <c r="P46" s="63">
        <f t="shared" si="10"/>
        <v>0</v>
      </c>
      <c r="Q46" s="63">
        <f t="shared" si="10"/>
        <v>0</v>
      </c>
      <c r="R46" s="63">
        <f t="shared" si="10"/>
        <v>0</v>
      </c>
      <c r="S46" s="63">
        <f>COUNT(S30:S45)</f>
        <v>0</v>
      </c>
      <c r="T46" s="63"/>
      <c r="U46" s="94"/>
      <c r="V46" s="90"/>
      <c r="W46" s="91"/>
      <c r="X46" s="92"/>
    </row>
    <row r="47" spans="2:24">
      <c r="B47" s="87"/>
      <c r="C47" s="609"/>
      <c r="D47" s="10"/>
      <c r="E47" s="10"/>
      <c r="F47" s="88"/>
      <c r="G47" s="88"/>
      <c r="H47" s="88"/>
      <c r="I47" s="99"/>
      <c r="J47" s="63"/>
      <c r="K47" s="21">
        <f>SUM(K30:K45)</f>
        <v>0</v>
      </c>
      <c r="L47" s="21">
        <f t="shared" ref="L47:R47" si="11">SUM(L30:L45)</f>
        <v>0</v>
      </c>
      <c r="M47" s="21">
        <f t="shared" si="11"/>
        <v>0</v>
      </c>
      <c r="N47" s="21">
        <f t="shared" si="11"/>
        <v>0</v>
      </c>
      <c r="O47" s="21">
        <f t="shared" si="11"/>
        <v>0</v>
      </c>
      <c r="P47" s="21">
        <f t="shared" si="11"/>
        <v>0</v>
      </c>
      <c r="Q47" s="21">
        <f t="shared" si="11"/>
        <v>0</v>
      </c>
      <c r="R47" s="21">
        <f t="shared" si="11"/>
        <v>0</v>
      </c>
      <c r="S47" s="21">
        <f>SUM(S30:S45)</f>
        <v>0</v>
      </c>
      <c r="T47" s="63"/>
      <c r="U47" s="94"/>
      <c r="V47" s="90"/>
      <c r="W47" s="91"/>
      <c r="X47" s="92"/>
    </row>
    <row r="48" spans="2:24">
      <c r="B48" s="11"/>
      <c r="C48" s="609"/>
      <c r="D48" s="10"/>
      <c r="E48" s="10"/>
      <c r="F48" s="88"/>
      <c r="G48" s="88"/>
      <c r="H48" s="88"/>
      <c r="I48" s="99"/>
      <c r="J48" s="63"/>
      <c r="K48" s="21"/>
      <c r="L48" s="21"/>
      <c r="M48" s="21"/>
      <c r="N48" s="21"/>
      <c r="O48" s="21"/>
      <c r="P48" s="21"/>
      <c r="Q48" s="21"/>
      <c r="R48" s="21"/>
      <c r="S48" s="21"/>
      <c r="T48" s="63"/>
      <c r="U48" s="94"/>
      <c r="V48" s="90"/>
      <c r="W48" s="91"/>
      <c r="X48" s="92"/>
    </row>
    <row r="49" spans="2:24">
      <c r="B49" s="100" t="s">
        <v>66</v>
      </c>
      <c r="C49" s="609"/>
      <c r="D49" s="10"/>
      <c r="E49" s="10"/>
      <c r="F49" s="88"/>
      <c r="G49" s="62"/>
      <c r="H49" s="88"/>
      <c r="I49" s="99"/>
      <c r="J49" s="63"/>
      <c r="K49" s="2"/>
      <c r="L49" s="2"/>
      <c r="M49" s="2"/>
      <c r="N49" s="2"/>
      <c r="O49" s="2"/>
      <c r="P49" s="2"/>
      <c r="Q49" s="2"/>
      <c r="R49" s="2"/>
      <c r="S49" s="2"/>
      <c r="T49" s="63"/>
      <c r="U49" s="94"/>
      <c r="V49" s="90"/>
      <c r="W49" s="91"/>
      <c r="X49" s="92"/>
    </row>
    <row r="50" spans="2:24">
      <c r="B50" s="87">
        <v>1</v>
      </c>
      <c r="C50" s="609"/>
      <c r="D50" s="10"/>
      <c r="E50" s="101"/>
      <c r="F50" s="62"/>
      <c r="G50" s="62"/>
      <c r="H50" s="62"/>
      <c r="I50" s="89">
        <f t="shared" ref="I50:I57" si="12">F50-G50-H50</f>
        <v>0</v>
      </c>
      <c r="J50" s="63"/>
      <c r="K50" s="63"/>
      <c r="L50" s="63"/>
      <c r="M50" s="63"/>
      <c r="N50" s="63"/>
      <c r="O50" s="63"/>
      <c r="P50" s="63"/>
      <c r="Q50" s="63"/>
      <c r="R50" s="63"/>
      <c r="S50" s="63"/>
      <c r="T50" s="63"/>
      <c r="U50" s="94"/>
      <c r="V50" s="90"/>
      <c r="W50" s="91"/>
      <c r="X50" s="92"/>
    </row>
    <row r="51" spans="2:24">
      <c r="B51" s="87">
        <f t="shared" ref="B51:B57" si="13">B50+1</f>
        <v>2</v>
      </c>
      <c r="C51" s="609"/>
      <c r="D51" s="10"/>
      <c r="E51" s="101"/>
      <c r="F51" s="62"/>
      <c r="G51" s="62"/>
      <c r="H51" s="62"/>
      <c r="I51" s="89">
        <f t="shared" si="12"/>
        <v>0</v>
      </c>
      <c r="J51" s="63"/>
      <c r="K51" s="63"/>
      <c r="L51" s="63"/>
      <c r="M51" s="63"/>
      <c r="N51" s="63"/>
      <c r="O51" s="63"/>
      <c r="P51" s="63"/>
      <c r="Q51" s="63"/>
      <c r="R51" s="63"/>
      <c r="S51" s="63"/>
      <c r="T51" s="63"/>
      <c r="U51" s="94"/>
      <c r="V51" s="90"/>
      <c r="W51" s="91"/>
      <c r="X51" s="92"/>
    </row>
    <row r="52" spans="2:24">
      <c r="B52" s="87">
        <f t="shared" si="13"/>
        <v>3</v>
      </c>
      <c r="C52" s="609"/>
      <c r="D52" s="10"/>
      <c r="E52" s="101"/>
      <c r="F52" s="62"/>
      <c r="G52" s="62"/>
      <c r="H52" s="62"/>
      <c r="I52" s="89">
        <f t="shared" si="12"/>
        <v>0</v>
      </c>
      <c r="J52" s="63"/>
      <c r="K52" s="63"/>
      <c r="L52" s="63"/>
      <c r="M52" s="63"/>
      <c r="N52" s="63"/>
      <c r="O52" s="63"/>
      <c r="P52" s="63"/>
      <c r="Q52" s="63"/>
      <c r="R52" s="63"/>
      <c r="S52" s="63"/>
      <c r="T52" s="63"/>
      <c r="U52" s="94"/>
      <c r="V52" s="90"/>
      <c r="W52" s="91"/>
      <c r="X52" s="92"/>
    </row>
    <row r="53" spans="2:24">
      <c r="B53" s="87">
        <f t="shared" si="13"/>
        <v>4</v>
      </c>
      <c r="C53" s="609"/>
      <c r="D53" s="10"/>
      <c r="E53" s="101"/>
      <c r="F53" s="62"/>
      <c r="G53" s="62"/>
      <c r="H53" s="62"/>
      <c r="I53" s="89">
        <f t="shared" si="12"/>
        <v>0</v>
      </c>
      <c r="J53" s="63"/>
      <c r="K53" s="63"/>
      <c r="L53" s="63"/>
      <c r="M53" s="63"/>
      <c r="N53" s="63"/>
      <c r="O53" s="63"/>
      <c r="P53" s="63"/>
      <c r="Q53" s="63"/>
      <c r="R53" s="63"/>
      <c r="S53" s="63"/>
      <c r="T53" s="63"/>
      <c r="U53" s="94"/>
      <c r="V53" s="90"/>
      <c r="W53" s="91"/>
      <c r="X53" s="92"/>
    </row>
    <row r="54" spans="2:24">
      <c r="B54" s="87">
        <f t="shared" si="13"/>
        <v>5</v>
      </c>
      <c r="C54" s="609"/>
      <c r="D54" s="10"/>
      <c r="E54" s="101"/>
      <c r="F54" s="62"/>
      <c r="G54" s="62"/>
      <c r="H54" s="62"/>
      <c r="I54" s="89">
        <f t="shared" si="12"/>
        <v>0</v>
      </c>
      <c r="J54" s="63"/>
      <c r="K54" s="63"/>
      <c r="L54" s="63"/>
      <c r="M54" s="63"/>
      <c r="N54" s="63"/>
      <c r="O54" s="63"/>
      <c r="P54" s="63"/>
      <c r="Q54" s="63"/>
      <c r="R54" s="63"/>
      <c r="S54" s="63"/>
      <c r="T54" s="63"/>
      <c r="U54" s="94"/>
      <c r="V54" s="90"/>
      <c r="W54" s="91"/>
      <c r="X54" s="92"/>
    </row>
    <row r="55" spans="2:24">
      <c r="B55" s="87">
        <f t="shared" si="13"/>
        <v>6</v>
      </c>
      <c r="C55" s="609"/>
      <c r="D55" s="10"/>
      <c r="E55" s="101"/>
      <c r="F55" s="62"/>
      <c r="G55" s="62"/>
      <c r="H55" s="62"/>
      <c r="I55" s="89">
        <f t="shared" si="12"/>
        <v>0</v>
      </c>
      <c r="J55" s="63"/>
      <c r="K55" s="63"/>
      <c r="L55" s="63"/>
      <c r="M55" s="63"/>
      <c r="N55" s="63"/>
      <c r="O55" s="63"/>
      <c r="P55" s="63"/>
      <c r="Q55" s="63"/>
      <c r="R55" s="63"/>
      <c r="S55" s="63"/>
      <c r="T55" s="63"/>
      <c r="U55" s="94"/>
      <c r="V55" s="90"/>
      <c r="W55" s="91"/>
      <c r="X55" s="92"/>
    </row>
    <row r="56" spans="2:24">
      <c r="B56" s="87">
        <f t="shared" si="13"/>
        <v>7</v>
      </c>
      <c r="C56" s="609"/>
      <c r="D56" s="10"/>
      <c r="E56" s="101"/>
      <c r="F56" s="62"/>
      <c r="G56" s="62"/>
      <c r="H56" s="62"/>
      <c r="I56" s="89">
        <f t="shared" si="12"/>
        <v>0</v>
      </c>
      <c r="J56" s="63"/>
      <c r="K56" s="63"/>
      <c r="L56" s="63"/>
      <c r="M56" s="63"/>
      <c r="N56" s="63"/>
      <c r="O56" s="63"/>
      <c r="P56" s="63"/>
      <c r="Q56" s="63"/>
      <c r="R56" s="63"/>
      <c r="S56" s="63"/>
      <c r="T56" s="63"/>
      <c r="U56" s="94"/>
      <c r="V56" s="90"/>
      <c r="W56" s="91"/>
      <c r="X56" s="92"/>
    </row>
    <row r="57" spans="2:24">
      <c r="B57" s="87">
        <f t="shared" si="13"/>
        <v>8</v>
      </c>
      <c r="C57" s="609"/>
      <c r="D57" s="10"/>
      <c r="E57" s="101"/>
      <c r="F57" s="62"/>
      <c r="G57" s="62"/>
      <c r="H57" s="62"/>
      <c r="I57" s="89">
        <f t="shared" si="12"/>
        <v>0</v>
      </c>
      <c r="J57" s="63"/>
      <c r="K57" s="63"/>
      <c r="L57" s="63"/>
      <c r="M57" s="63"/>
      <c r="N57" s="63"/>
      <c r="O57" s="63"/>
      <c r="P57" s="63"/>
      <c r="Q57" s="63"/>
      <c r="R57" s="63"/>
      <c r="S57" s="63"/>
      <c r="T57" s="63"/>
      <c r="U57" s="94"/>
      <c r="V57" s="90"/>
      <c r="W57" s="91"/>
      <c r="X57" s="92"/>
    </row>
    <row r="58" spans="2:24">
      <c r="B58" s="11"/>
      <c r="C58" s="609"/>
      <c r="D58" s="10"/>
      <c r="E58" s="10"/>
      <c r="F58" s="97">
        <f>SUM(F50:F57)</f>
        <v>0</v>
      </c>
      <c r="G58" s="97">
        <f>SUM(G50:G57)</f>
        <v>0</v>
      </c>
      <c r="H58" s="97">
        <f>SUM(H50:H57)</f>
        <v>0</v>
      </c>
      <c r="I58" s="98">
        <f>SUM(I50:I57)</f>
        <v>0</v>
      </c>
      <c r="J58" s="63"/>
      <c r="K58" s="21"/>
      <c r="L58" s="21"/>
      <c r="M58" s="21"/>
      <c r="N58" s="21"/>
      <c r="O58" s="21"/>
      <c r="P58" s="21"/>
      <c r="Q58" s="21"/>
      <c r="R58" s="21"/>
      <c r="S58" s="21"/>
      <c r="T58" s="63"/>
      <c r="U58" s="94"/>
      <c r="V58" s="90"/>
      <c r="W58" s="91"/>
      <c r="X58" s="92"/>
    </row>
    <row r="59" spans="2:24">
      <c r="B59" s="11"/>
      <c r="C59" s="609"/>
      <c r="D59" s="10"/>
      <c r="E59" s="10"/>
      <c r="F59" s="88"/>
      <c r="G59" s="88"/>
      <c r="H59" s="88"/>
      <c r="I59" s="99"/>
      <c r="J59" s="63"/>
      <c r="K59" s="21"/>
      <c r="L59" s="21"/>
      <c r="M59" s="21"/>
      <c r="N59" s="21"/>
      <c r="O59" s="21"/>
      <c r="P59" s="21"/>
      <c r="Q59" s="21"/>
      <c r="R59" s="21"/>
      <c r="S59" s="21"/>
      <c r="T59" s="63"/>
      <c r="U59" s="94"/>
      <c r="V59" s="90"/>
      <c r="W59" s="91"/>
      <c r="X59" s="92"/>
    </row>
    <row r="60" spans="2:24">
      <c r="B60" s="102" t="s">
        <v>67</v>
      </c>
      <c r="C60" s="610"/>
      <c r="D60" s="104"/>
      <c r="E60" s="104"/>
      <c r="F60" s="105"/>
      <c r="G60" s="106"/>
      <c r="H60" s="105"/>
      <c r="I60" s="107"/>
      <c r="J60" s="108"/>
      <c r="K60" s="109"/>
      <c r="L60" s="109"/>
      <c r="M60" s="109"/>
      <c r="N60" s="109"/>
      <c r="O60" s="109"/>
      <c r="P60" s="109"/>
      <c r="Q60" s="109"/>
      <c r="R60" s="109"/>
      <c r="S60" s="109"/>
      <c r="T60" s="108"/>
      <c r="U60" s="110"/>
      <c r="V60" s="111"/>
      <c r="W60" s="112"/>
      <c r="X60" s="113"/>
    </row>
    <row r="61" spans="2:24">
      <c r="B61" s="114">
        <v>1</v>
      </c>
      <c r="C61" s="610"/>
      <c r="D61" s="104"/>
      <c r="E61" s="115"/>
      <c r="F61" s="106"/>
      <c r="G61" s="106"/>
      <c r="H61" s="106"/>
      <c r="I61" s="116">
        <f t="shared" ref="I61:I68" si="14">F61-G61-H61</f>
        <v>0</v>
      </c>
      <c r="J61" s="108"/>
      <c r="K61" s="108"/>
      <c r="L61" s="108"/>
      <c r="M61" s="108"/>
      <c r="N61" s="108"/>
      <c r="O61" s="108"/>
      <c r="P61" s="108"/>
      <c r="Q61" s="108"/>
      <c r="R61" s="108"/>
      <c r="S61" s="108"/>
      <c r="T61" s="108"/>
      <c r="U61" s="110"/>
      <c r="V61" s="111"/>
      <c r="W61" s="112"/>
      <c r="X61" s="113"/>
    </row>
    <row r="62" spans="2:24">
      <c r="B62" s="114">
        <f t="shared" ref="B62:B68" si="15">B61+1</f>
        <v>2</v>
      </c>
      <c r="C62" s="610"/>
      <c r="D62" s="104"/>
      <c r="E62" s="115"/>
      <c r="F62" s="106"/>
      <c r="G62" s="106"/>
      <c r="H62" s="106"/>
      <c r="I62" s="116">
        <f t="shared" si="14"/>
        <v>0</v>
      </c>
      <c r="J62" s="108"/>
      <c r="K62" s="108"/>
      <c r="L62" s="108"/>
      <c r="M62" s="108"/>
      <c r="N62" s="108"/>
      <c r="O62" s="108"/>
      <c r="P62" s="108"/>
      <c r="Q62" s="108"/>
      <c r="R62" s="108"/>
      <c r="S62" s="108"/>
      <c r="T62" s="108"/>
      <c r="U62" s="110"/>
      <c r="V62" s="111"/>
      <c r="W62" s="112"/>
      <c r="X62" s="113"/>
    </row>
    <row r="63" spans="2:24">
      <c r="B63" s="114">
        <f t="shared" si="15"/>
        <v>3</v>
      </c>
      <c r="C63" s="610"/>
      <c r="D63" s="104"/>
      <c r="E63" s="115"/>
      <c r="F63" s="106"/>
      <c r="G63" s="106"/>
      <c r="H63" s="106"/>
      <c r="I63" s="116">
        <f t="shared" si="14"/>
        <v>0</v>
      </c>
      <c r="J63" s="108"/>
      <c r="K63" s="108"/>
      <c r="L63" s="108"/>
      <c r="M63" s="108"/>
      <c r="N63" s="108"/>
      <c r="O63" s="108"/>
      <c r="P63" s="108"/>
      <c r="Q63" s="108"/>
      <c r="R63" s="108"/>
      <c r="S63" s="108"/>
      <c r="T63" s="108"/>
      <c r="U63" s="110"/>
      <c r="V63" s="111"/>
      <c r="W63" s="112"/>
      <c r="X63" s="113"/>
    </row>
    <row r="64" spans="2:24">
      <c r="B64" s="114">
        <f t="shared" si="15"/>
        <v>4</v>
      </c>
      <c r="C64" s="610"/>
      <c r="D64" s="104"/>
      <c r="E64" s="115"/>
      <c r="F64" s="106"/>
      <c r="G64" s="106"/>
      <c r="H64" s="106"/>
      <c r="I64" s="116">
        <f t="shared" si="14"/>
        <v>0</v>
      </c>
      <c r="J64" s="108"/>
      <c r="K64" s="108"/>
      <c r="L64" s="108"/>
      <c r="M64" s="108"/>
      <c r="N64" s="108"/>
      <c r="O64" s="108"/>
      <c r="P64" s="108"/>
      <c r="Q64" s="108"/>
      <c r="R64" s="108"/>
      <c r="S64" s="108"/>
      <c r="T64" s="108"/>
      <c r="U64" s="110"/>
      <c r="V64" s="111"/>
      <c r="W64" s="112"/>
      <c r="X64" s="113"/>
    </row>
    <row r="65" spans="2:24">
      <c r="B65" s="114">
        <f t="shared" si="15"/>
        <v>5</v>
      </c>
      <c r="C65" s="610"/>
      <c r="D65" s="104"/>
      <c r="E65" s="115"/>
      <c r="F65" s="106"/>
      <c r="G65" s="106"/>
      <c r="H65" s="106"/>
      <c r="I65" s="116">
        <f t="shared" si="14"/>
        <v>0</v>
      </c>
      <c r="J65" s="108"/>
      <c r="K65" s="108"/>
      <c r="L65" s="108"/>
      <c r="M65" s="108"/>
      <c r="N65" s="108"/>
      <c r="O65" s="108"/>
      <c r="P65" s="108"/>
      <c r="Q65" s="108"/>
      <c r="R65" s="108"/>
      <c r="S65" s="108"/>
      <c r="T65" s="108"/>
      <c r="U65" s="110"/>
      <c r="V65" s="111"/>
      <c r="W65" s="112"/>
      <c r="X65" s="113"/>
    </row>
    <row r="66" spans="2:24">
      <c r="B66" s="114">
        <f t="shared" si="15"/>
        <v>6</v>
      </c>
      <c r="C66" s="610"/>
      <c r="D66" s="104"/>
      <c r="E66" s="115"/>
      <c r="F66" s="106"/>
      <c r="G66" s="106"/>
      <c r="H66" s="106"/>
      <c r="I66" s="116">
        <f t="shared" si="14"/>
        <v>0</v>
      </c>
      <c r="J66" s="108"/>
      <c r="K66" s="108"/>
      <c r="L66" s="108"/>
      <c r="M66" s="108"/>
      <c r="N66" s="108"/>
      <c r="O66" s="108"/>
      <c r="P66" s="108"/>
      <c r="Q66" s="108"/>
      <c r="R66" s="108"/>
      <c r="S66" s="108"/>
      <c r="T66" s="108"/>
      <c r="U66" s="110"/>
      <c r="V66" s="111"/>
      <c r="W66" s="112"/>
      <c r="X66" s="113"/>
    </row>
    <row r="67" spans="2:24">
      <c r="B67" s="114">
        <f t="shared" si="15"/>
        <v>7</v>
      </c>
      <c r="C67" s="610"/>
      <c r="D67" s="104"/>
      <c r="E67" s="115"/>
      <c r="F67" s="106"/>
      <c r="G67" s="106"/>
      <c r="H67" s="106"/>
      <c r="I67" s="116">
        <f t="shared" si="14"/>
        <v>0</v>
      </c>
      <c r="J67" s="108"/>
      <c r="K67" s="108"/>
      <c r="L67" s="108"/>
      <c r="M67" s="108"/>
      <c r="N67" s="108"/>
      <c r="O67" s="108"/>
      <c r="P67" s="108"/>
      <c r="Q67" s="108"/>
      <c r="R67" s="108"/>
      <c r="S67" s="108"/>
      <c r="T67" s="108"/>
      <c r="U67" s="110"/>
      <c r="V67" s="111"/>
      <c r="W67" s="112"/>
      <c r="X67" s="113"/>
    </row>
    <row r="68" spans="2:24">
      <c r="B68" s="114">
        <f t="shared" si="15"/>
        <v>8</v>
      </c>
      <c r="C68" s="610"/>
      <c r="D68" s="104"/>
      <c r="E68" s="115"/>
      <c r="F68" s="106"/>
      <c r="G68" s="106"/>
      <c r="H68" s="106"/>
      <c r="I68" s="116">
        <f t="shared" si="14"/>
        <v>0</v>
      </c>
      <c r="J68" s="108"/>
      <c r="K68" s="108"/>
      <c r="L68" s="108"/>
      <c r="M68" s="108"/>
      <c r="N68" s="108"/>
      <c r="O68" s="108"/>
      <c r="P68" s="108"/>
      <c r="Q68" s="108"/>
      <c r="R68" s="108"/>
      <c r="S68" s="108"/>
      <c r="T68" s="108"/>
      <c r="U68" s="110"/>
      <c r="V68" s="111"/>
      <c r="W68" s="112"/>
      <c r="X68" s="113"/>
    </row>
    <row r="69" spans="2:24">
      <c r="B69" s="117"/>
      <c r="C69" s="610"/>
      <c r="D69" s="104"/>
      <c r="E69" s="104"/>
      <c r="F69" s="118">
        <f>SUM(F61:F68)</f>
        <v>0</v>
      </c>
      <c r="G69" s="118">
        <f>SUM(G61:G68)</f>
        <v>0</v>
      </c>
      <c r="H69" s="118">
        <f>SUM(H61:H68)</f>
        <v>0</v>
      </c>
      <c r="I69" s="119">
        <f>SUM(I61:I68)</f>
        <v>0</v>
      </c>
      <c r="J69" s="108"/>
      <c r="K69" s="120"/>
      <c r="L69" s="120"/>
      <c r="M69" s="120"/>
      <c r="N69" s="120"/>
      <c r="O69" s="120"/>
      <c r="P69" s="120"/>
      <c r="Q69" s="120"/>
      <c r="R69" s="120"/>
      <c r="S69" s="120"/>
      <c r="T69" s="108"/>
      <c r="U69" s="110"/>
      <c r="V69" s="111"/>
      <c r="W69" s="112"/>
      <c r="X69" s="113"/>
    </row>
    <row r="70" spans="2:24">
      <c r="B70" s="11"/>
      <c r="C70" s="609"/>
      <c r="D70" s="10"/>
      <c r="E70" s="10"/>
      <c r="F70" s="88"/>
      <c r="G70" s="88"/>
      <c r="H70" s="88"/>
      <c r="I70" s="99"/>
      <c r="J70" s="63"/>
      <c r="K70" s="21"/>
      <c r="L70" s="21"/>
      <c r="M70" s="21"/>
      <c r="N70" s="21"/>
      <c r="O70" s="21"/>
      <c r="P70" s="21"/>
      <c r="Q70" s="21"/>
      <c r="R70" s="21"/>
      <c r="S70" s="21"/>
      <c r="T70" s="63"/>
      <c r="U70" s="94"/>
      <c r="V70" s="90"/>
      <c r="W70" s="91"/>
      <c r="X70" s="92"/>
    </row>
    <row r="71" spans="2:24">
      <c r="B71" s="121" t="s">
        <v>68</v>
      </c>
      <c r="C71" s="611"/>
      <c r="D71" s="123"/>
      <c r="E71" s="123"/>
      <c r="F71" s="124"/>
      <c r="G71" s="125"/>
      <c r="H71" s="124"/>
      <c r="I71" s="126"/>
      <c r="J71" s="127"/>
      <c r="K71" s="128"/>
      <c r="L71" s="128"/>
      <c r="M71" s="128"/>
      <c r="N71" s="128"/>
      <c r="O71" s="128"/>
      <c r="P71" s="128"/>
      <c r="Q71" s="128"/>
      <c r="R71" s="128"/>
      <c r="S71" s="128"/>
      <c r="T71" s="127"/>
      <c r="U71" s="135"/>
      <c r="V71" s="129"/>
      <c r="W71" s="130"/>
      <c r="X71" s="131"/>
    </row>
    <row r="72" spans="2:24">
      <c r="B72" s="87">
        <v>1</v>
      </c>
      <c r="C72" s="609"/>
      <c r="D72" s="10"/>
      <c r="E72" s="101"/>
      <c r="F72" s="62"/>
      <c r="G72" s="62"/>
      <c r="H72" s="62"/>
      <c r="I72" s="89">
        <f>F72-G72-H72</f>
        <v>0</v>
      </c>
      <c r="J72" s="63"/>
      <c r="K72" s="63"/>
      <c r="L72" s="63"/>
      <c r="M72" s="63"/>
      <c r="N72" s="63"/>
      <c r="O72" s="63"/>
      <c r="P72" s="63"/>
      <c r="Q72" s="63"/>
      <c r="R72" s="63"/>
      <c r="S72" s="63"/>
      <c r="T72" s="63"/>
      <c r="U72" s="94"/>
      <c r="V72" s="90"/>
      <c r="W72" s="91"/>
      <c r="X72" s="92"/>
    </row>
    <row r="73" spans="2:24">
      <c r="B73" s="87">
        <f t="shared" ref="B73:B79" si="16">B72+1</f>
        <v>2</v>
      </c>
      <c r="C73" s="609"/>
      <c r="D73" s="10"/>
      <c r="E73" s="101"/>
      <c r="F73" s="62"/>
      <c r="G73" s="62"/>
      <c r="H73" s="62"/>
      <c r="I73" s="89">
        <f t="shared" ref="I73:I79" si="17">F73-G73-H73</f>
        <v>0</v>
      </c>
      <c r="J73" s="63"/>
      <c r="K73" s="63"/>
      <c r="L73" s="63"/>
      <c r="M73" s="63"/>
      <c r="N73" s="63"/>
      <c r="O73" s="63"/>
      <c r="P73" s="63"/>
      <c r="Q73" s="63"/>
      <c r="R73" s="63"/>
      <c r="S73" s="63"/>
      <c r="T73" s="63"/>
      <c r="U73" s="94"/>
      <c r="V73" s="90"/>
      <c r="W73" s="91"/>
      <c r="X73" s="92"/>
    </row>
    <row r="74" spans="2:24">
      <c r="B74" s="87">
        <f t="shared" si="16"/>
        <v>3</v>
      </c>
      <c r="C74" s="609"/>
      <c r="D74" s="10"/>
      <c r="E74" s="101"/>
      <c r="F74" s="62"/>
      <c r="G74" s="62"/>
      <c r="H74" s="62"/>
      <c r="I74" s="89">
        <f>F74-G74-H74</f>
        <v>0</v>
      </c>
      <c r="J74" s="63"/>
      <c r="K74" s="63"/>
      <c r="L74" s="63"/>
      <c r="M74" s="63"/>
      <c r="N74" s="63"/>
      <c r="O74" s="63"/>
      <c r="P74" s="63"/>
      <c r="Q74" s="63"/>
      <c r="R74" s="63"/>
      <c r="S74" s="63"/>
      <c r="T74" s="63"/>
      <c r="U74" s="94"/>
      <c r="V74" s="90"/>
      <c r="W74" s="91"/>
      <c r="X74" s="92"/>
    </row>
    <row r="75" spans="2:24">
      <c r="B75" s="87">
        <f t="shared" si="16"/>
        <v>4</v>
      </c>
      <c r="C75" s="609"/>
      <c r="D75" s="10"/>
      <c r="E75" s="101"/>
      <c r="F75" s="62"/>
      <c r="G75" s="62"/>
      <c r="H75" s="62"/>
      <c r="I75" s="89">
        <f>F75-G75-H75</f>
        <v>0</v>
      </c>
      <c r="J75" s="63"/>
      <c r="K75" s="63"/>
      <c r="L75" s="63"/>
      <c r="M75" s="63"/>
      <c r="N75" s="63"/>
      <c r="O75" s="63"/>
      <c r="P75" s="63"/>
      <c r="Q75" s="63"/>
      <c r="R75" s="63"/>
      <c r="S75" s="63"/>
      <c r="T75" s="63"/>
      <c r="U75" s="94"/>
      <c r="V75" s="90"/>
      <c r="W75" s="91"/>
      <c r="X75" s="92"/>
    </row>
    <row r="76" spans="2:24">
      <c r="B76" s="87">
        <f t="shared" si="16"/>
        <v>5</v>
      </c>
      <c r="C76" s="609"/>
      <c r="D76" s="10"/>
      <c r="E76" s="101"/>
      <c r="F76" s="62"/>
      <c r="G76" s="62"/>
      <c r="H76" s="62"/>
      <c r="I76" s="89">
        <f>F76-G76-H76</f>
        <v>0</v>
      </c>
      <c r="J76" s="63"/>
      <c r="K76" s="63"/>
      <c r="L76" s="63"/>
      <c r="M76" s="63"/>
      <c r="N76" s="63"/>
      <c r="O76" s="63"/>
      <c r="P76" s="63"/>
      <c r="Q76" s="63"/>
      <c r="R76" s="63"/>
      <c r="S76" s="63"/>
      <c r="T76" s="63"/>
      <c r="U76" s="94"/>
      <c r="V76" s="90"/>
      <c r="W76" s="91"/>
      <c r="X76" s="92"/>
    </row>
    <row r="77" spans="2:24">
      <c r="B77" s="87">
        <f t="shared" si="16"/>
        <v>6</v>
      </c>
      <c r="C77" s="609"/>
      <c r="D77" s="10"/>
      <c r="E77" s="101"/>
      <c r="F77" s="62"/>
      <c r="G77" s="62"/>
      <c r="H77" s="62"/>
      <c r="I77" s="89">
        <f>F77-G77-H77</f>
        <v>0</v>
      </c>
      <c r="J77" s="63"/>
      <c r="K77" s="63"/>
      <c r="L77" s="63"/>
      <c r="M77" s="63"/>
      <c r="N77" s="63"/>
      <c r="O77" s="63"/>
      <c r="P77" s="63"/>
      <c r="Q77" s="63"/>
      <c r="R77" s="63"/>
      <c r="S77" s="63"/>
      <c r="T77" s="63"/>
      <c r="U77" s="94"/>
      <c r="V77" s="90"/>
      <c r="W77" s="91"/>
      <c r="X77" s="92"/>
    </row>
    <row r="78" spans="2:24">
      <c r="B78" s="87">
        <f t="shared" si="16"/>
        <v>7</v>
      </c>
      <c r="C78" s="609"/>
      <c r="D78" s="10"/>
      <c r="E78" s="101"/>
      <c r="F78" s="62"/>
      <c r="G78" s="62"/>
      <c r="H78" s="62"/>
      <c r="I78" s="89">
        <f t="shared" si="17"/>
        <v>0</v>
      </c>
      <c r="J78" s="63"/>
      <c r="K78" s="63"/>
      <c r="L78" s="63"/>
      <c r="M78" s="63"/>
      <c r="N78" s="63"/>
      <c r="O78" s="63"/>
      <c r="P78" s="63"/>
      <c r="Q78" s="63"/>
      <c r="R78" s="63"/>
      <c r="S78" s="63"/>
      <c r="T78" s="63"/>
      <c r="U78" s="94"/>
      <c r="V78" s="90"/>
      <c r="W78" s="91"/>
      <c r="X78" s="92"/>
    </row>
    <row r="79" spans="2:24">
      <c r="B79" s="87">
        <f t="shared" si="16"/>
        <v>8</v>
      </c>
      <c r="C79" s="609"/>
      <c r="D79" s="10"/>
      <c r="E79" s="101"/>
      <c r="F79" s="62"/>
      <c r="G79" s="62"/>
      <c r="H79" s="62"/>
      <c r="I79" s="89">
        <f t="shared" si="17"/>
        <v>0</v>
      </c>
      <c r="J79" s="63"/>
      <c r="K79" s="63"/>
      <c r="L79" s="63"/>
      <c r="M79" s="63"/>
      <c r="N79" s="63"/>
      <c r="O79" s="63"/>
      <c r="P79" s="63"/>
      <c r="Q79" s="63"/>
      <c r="R79" s="63"/>
      <c r="S79" s="63"/>
      <c r="T79" s="63"/>
      <c r="U79" s="94"/>
      <c r="V79" s="90"/>
      <c r="W79" s="91"/>
      <c r="X79" s="92"/>
    </row>
    <row r="80" spans="2:24">
      <c r="B80" s="132"/>
      <c r="C80" s="611"/>
      <c r="D80" s="123"/>
      <c r="E80" s="123"/>
      <c r="F80" s="133">
        <f>SUM(F72:F79)</f>
        <v>0</v>
      </c>
      <c r="G80" s="133">
        <f>SUM(G72:G79)</f>
        <v>0</v>
      </c>
      <c r="H80" s="133">
        <f>SUM(H72:H79)</f>
        <v>0</v>
      </c>
      <c r="I80" s="134">
        <f>SUM(I72:I79)</f>
        <v>0</v>
      </c>
      <c r="J80" s="127"/>
      <c r="K80" s="64"/>
      <c r="L80" s="64"/>
      <c r="M80" s="64"/>
      <c r="N80" s="64"/>
      <c r="O80" s="64"/>
      <c r="P80" s="64"/>
      <c r="Q80" s="64"/>
      <c r="R80" s="64"/>
      <c r="S80" s="64"/>
      <c r="T80" s="127"/>
      <c r="U80" s="135"/>
      <c r="V80" s="129"/>
      <c r="W80" s="130"/>
      <c r="X80" s="131"/>
    </row>
    <row r="81" spans="2:24">
      <c r="B81" s="11"/>
      <c r="C81" s="609"/>
      <c r="D81" s="10"/>
      <c r="E81" s="10"/>
      <c r="F81" s="88"/>
      <c r="G81" s="88"/>
      <c r="H81" s="88"/>
      <c r="I81" s="99"/>
      <c r="J81" s="63"/>
      <c r="K81" s="21"/>
      <c r="L81" s="21"/>
      <c r="M81" s="21"/>
      <c r="N81" s="21"/>
      <c r="O81" s="21"/>
      <c r="P81" s="21"/>
      <c r="Q81" s="21"/>
      <c r="R81" s="21"/>
      <c r="S81" s="21"/>
      <c r="T81" s="63"/>
      <c r="U81" s="94"/>
      <c r="V81" s="90"/>
      <c r="W81" s="91"/>
      <c r="X81" s="92"/>
    </row>
    <row r="82" spans="2:24">
      <c r="B82" s="121" t="s">
        <v>69</v>
      </c>
      <c r="C82" s="611"/>
      <c r="D82" s="123"/>
      <c r="E82" s="123"/>
      <c r="F82" s="124"/>
      <c r="G82" s="125"/>
      <c r="H82" s="124"/>
      <c r="I82" s="126"/>
      <c r="J82" s="127"/>
      <c r="K82" s="128"/>
      <c r="L82" s="128"/>
      <c r="M82" s="128"/>
      <c r="N82" s="128"/>
      <c r="O82" s="128"/>
      <c r="P82" s="128"/>
      <c r="Q82" s="128"/>
      <c r="R82" s="128"/>
      <c r="S82" s="128"/>
      <c r="T82" s="127"/>
      <c r="U82" s="135"/>
      <c r="V82" s="129"/>
      <c r="W82" s="130"/>
      <c r="X82" s="131"/>
    </row>
    <row r="83" spans="2:24">
      <c r="B83" s="87">
        <v>1</v>
      </c>
      <c r="C83" s="609"/>
      <c r="D83" s="10"/>
      <c r="E83" s="101"/>
      <c r="F83" s="62"/>
      <c r="G83" s="62"/>
      <c r="H83" s="62"/>
      <c r="I83" s="89">
        <f t="shared" ref="I83:I90" si="18">F83-G83-H83</f>
        <v>0</v>
      </c>
      <c r="J83" s="63"/>
      <c r="K83" s="63"/>
      <c r="L83" s="63"/>
      <c r="M83" s="63"/>
      <c r="N83" s="63"/>
      <c r="O83" s="63"/>
      <c r="P83" s="63"/>
      <c r="Q83" s="63"/>
      <c r="R83" s="63"/>
      <c r="S83" s="63"/>
      <c r="T83" s="63"/>
      <c r="U83" s="94"/>
      <c r="V83" s="90"/>
      <c r="W83" s="91"/>
      <c r="X83" s="92"/>
    </row>
    <row r="84" spans="2:24">
      <c r="B84" s="87">
        <f t="shared" ref="B84:B90" si="19">B83+1</f>
        <v>2</v>
      </c>
      <c r="C84" s="609"/>
      <c r="D84" s="10"/>
      <c r="E84" s="101"/>
      <c r="F84" s="62"/>
      <c r="G84" s="62"/>
      <c r="H84" s="62"/>
      <c r="I84" s="89">
        <f t="shared" si="18"/>
        <v>0</v>
      </c>
      <c r="J84" s="63"/>
      <c r="K84" s="63"/>
      <c r="L84" s="63"/>
      <c r="M84" s="63"/>
      <c r="N84" s="63"/>
      <c r="O84" s="63"/>
      <c r="P84" s="63"/>
      <c r="Q84" s="63"/>
      <c r="R84" s="63"/>
      <c r="S84" s="63"/>
      <c r="T84" s="63"/>
      <c r="U84" s="94"/>
      <c r="V84" s="90"/>
      <c r="W84" s="91"/>
      <c r="X84" s="92"/>
    </row>
    <row r="85" spans="2:24">
      <c r="B85" s="87">
        <f t="shared" si="19"/>
        <v>3</v>
      </c>
      <c r="C85" s="609"/>
      <c r="D85" s="10"/>
      <c r="E85" s="101"/>
      <c r="F85" s="62"/>
      <c r="G85" s="62"/>
      <c r="H85" s="62"/>
      <c r="I85" s="89">
        <f t="shared" si="18"/>
        <v>0</v>
      </c>
      <c r="J85" s="63"/>
      <c r="K85" s="63"/>
      <c r="L85" s="63"/>
      <c r="M85" s="63"/>
      <c r="N85" s="63"/>
      <c r="O85" s="63"/>
      <c r="P85" s="63"/>
      <c r="Q85" s="63"/>
      <c r="R85" s="63"/>
      <c r="S85" s="63"/>
      <c r="T85" s="63"/>
      <c r="U85" s="94"/>
      <c r="V85" s="90"/>
      <c r="W85" s="91"/>
      <c r="X85" s="92"/>
    </row>
    <row r="86" spans="2:24">
      <c r="B86" s="87">
        <f t="shared" si="19"/>
        <v>4</v>
      </c>
      <c r="C86" s="609"/>
      <c r="D86" s="10"/>
      <c r="E86" s="101"/>
      <c r="F86" s="62"/>
      <c r="G86" s="62"/>
      <c r="H86" s="62"/>
      <c r="I86" s="89">
        <f t="shared" si="18"/>
        <v>0</v>
      </c>
      <c r="J86" s="63"/>
      <c r="K86" s="63"/>
      <c r="L86" s="63"/>
      <c r="M86" s="63"/>
      <c r="N86" s="63"/>
      <c r="O86" s="63"/>
      <c r="P86" s="63"/>
      <c r="Q86" s="63"/>
      <c r="R86" s="63"/>
      <c r="S86" s="63"/>
      <c r="T86" s="63"/>
      <c r="U86" s="94"/>
      <c r="V86" s="90"/>
      <c r="W86" s="91"/>
      <c r="X86" s="92"/>
    </row>
    <row r="87" spans="2:24">
      <c r="B87" s="87">
        <f t="shared" si="19"/>
        <v>5</v>
      </c>
      <c r="C87" s="609"/>
      <c r="D87" s="10"/>
      <c r="E87" s="101"/>
      <c r="F87" s="62"/>
      <c r="G87" s="62"/>
      <c r="H87" s="62"/>
      <c r="I87" s="89">
        <f t="shared" si="18"/>
        <v>0</v>
      </c>
      <c r="J87" s="63"/>
      <c r="K87" s="63"/>
      <c r="L87" s="63"/>
      <c r="M87" s="63"/>
      <c r="N87" s="63"/>
      <c r="O87" s="63"/>
      <c r="P87" s="63"/>
      <c r="Q87" s="63"/>
      <c r="R87" s="63"/>
      <c r="S87" s="63"/>
      <c r="T87" s="63"/>
      <c r="U87" s="94"/>
      <c r="V87" s="90"/>
      <c r="W87" s="91"/>
      <c r="X87" s="92"/>
    </row>
    <row r="88" spans="2:24">
      <c r="B88" s="87">
        <f t="shared" si="19"/>
        <v>6</v>
      </c>
      <c r="C88" s="609"/>
      <c r="D88" s="10"/>
      <c r="E88" s="101"/>
      <c r="F88" s="62"/>
      <c r="G88" s="62"/>
      <c r="H88" s="62"/>
      <c r="I88" s="89">
        <f t="shared" si="18"/>
        <v>0</v>
      </c>
      <c r="J88" s="63"/>
      <c r="K88" s="63"/>
      <c r="L88" s="63"/>
      <c r="M88" s="63"/>
      <c r="N88" s="63"/>
      <c r="O88" s="63"/>
      <c r="P88" s="63"/>
      <c r="Q88" s="63"/>
      <c r="R88" s="63"/>
      <c r="S88" s="63"/>
      <c r="T88" s="63"/>
      <c r="U88" s="94"/>
      <c r="V88" s="90"/>
      <c r="W88" s="91"/>
      <c r="X88" s="92"/>
    </row>
    <row r="89" spans="2:24">
      <c r="B89" s="87">
        <f t="shared" si="19"/>
        <v>7</v>
      </c>
      <c r="C89" s="609"/>
      <c r="D89" s="10"/>
      <c r="E89" s="101"/>
      <c r="F89" s="62"/>
      <c r="G89" s="62"/>
      <c r="H89" s="62"/>
      <c r="I89" s="89">
        <f t="shared" si="18"/>
        <v>0</v>
      </c>
      <c r="J89" s="63"/>
      <c r="K89" s="63"/>
      <c r="L89" s="63"/>
      <c r="M89" s="63"/>
      <c r="N89" s="63"/>
      <c r="O89" s="63"/>
      <c r="P89" s="63"/>
      <c r="Q89" s="63"/>
      <c r="R89" s="63"/>
      <c r="S89" s="63"/>
      <c r="T89" s="63"/>
      <c r="U89" s="94"/>
      <c r="V89" s="90"/>
      <c r="W89" s="91"/>
      <c r="X89" s="92"/>
    </row>
    <row r="90" spans="2:24">
      <c r="B90" s="87">
        <f t="shared" si="19"/>
        <v>8</v>
      </c>
      <c r="C90" s="609"/>
      <c r="D90" s="10"/>
      <c r="E90" s="101"/>
      <c r="F90" s="62"/>
      <c r="G90" s="62"/>
      <c r="H90" s="62"/>
      <c r="I90" s="89">
        <f t="shared" si="18"/>
        <v>0</v>
      </c>
      <c r="J90" s="63"/>
      <c r="K90" s="63"/>
      <c r="L90" s="63"/>
      <c r="M90" s="63"/>
      <c r="N90" s="63"/>
      <c r="O90" s="63"/>
      <c r="P90" s="63"/>
      <c r="Q90" s="63"/>
      <c r="R90" s="63"/>
      <c r="S90" s="63"/>
      <c r="T90" s="63"/>
      <c r="U90" s="94"/>
      <c r="V90" s="90"/>
      <c r="W90" s="91"/>
      <c r="X90" s="92"/>
    </row>
    <row r="91" spans="2:24">
      <c r="B91" s="132"/>
      <c r="C91" s="611"/>
      <c r="D91" s="123"/>
      <c r="E91" s="123"/>
      <c r="F91" s="133">
        <f>SUM(F83:F90)</f>
        <v>0</v>
      </c>
      <c r="G91" s="133">
        <f>SUM(G83:G90)</f>
        <v>0</v>
      </c>
      <c r="H91" s="133">
        <f>SUM(H83:H90)</f>
        <v>0</v>
      </c>
      <c r="I91" s="134">
        <f>SUM(I83:I90)</f>
        <v>0</v>
      </c>
      <c r="J91" s="127"/>
      <c r="K91" s="64"/>
      <c r="L91" s="64"/>
      <c r="M91" s="64"/>
      <c r="N91" s="64"/>
      <c r="O91" s="64"/>
      <c r="P91" s="64"/>
      <c r="Q91" s="64"/>
      <c r="R91" s="64"/>
      <c r="S91" s="64"/>
      <c r="T91" s="127"/>
      <c r="U91" s="135"/>
      <c r="V91" s="129"/>
      <c r="W91" s="130"/>
      <c r="X91" s="131"/>
    </row>
    <row r="92" spans="2:24">
      <c r="B92" s="11"/>
      <c r="C92" s="609"/>
      <c r="D92" s="10"/>
      <c r="E92" s="10"/>
      <c r="F92" s="88"/>
      <c r="G92" s="88"/>
      <c r="H92" s="88"/>
      <c r="I92" s="99"/>
      <c r="J92" s="63"/>
      <c r="K92" s="21"/>
      <c r="L92" s="21"/>
      <c r="M92" s="21"/>
      <c r="N92" s="21"/>
      <c r="O92" s="21"/>
      <c r="P92" s="21"/>
      <c r="Q92" s="21"/>
      <c r="R92" s="21"/>
      <c r="S92" s="21"/>
      <c r="T92" s="63"/>
      <c r="U92" s="94"/>
      <c r="V92" s="90"/>
      <c r="W92" s="91"/>
      <c r="X92" s="92"/>
    </row>
    <row r="93" spans="2:24">
      <c r="B93" s="121" t="s">
        <v>70</v>
      </c>
      <c r="C93" s="611"/>
      <c r="D93" s="123"/>
      <c r="E93" s="128"/>
      <c r="F93" s="124"/>
      <c r="G93" s="124"/>
      <c r="H93" s="124"/>
      <c r="I93" s="126"/>
      <c r="J93" s="127"/>
      <c r="K93" s="64"/>
      <c r="L93" s="64"/>
      <c r="M93" s="64"/>
      <c r="N93" s="64"/>
      <c r="O93" s="64"/>
      <c r="P93" s="64"/>
      <c r="Q93" s="64"/>
      <c r="R93" s="64"/>
      <c r="S93" s="64"/>
      <c r="T93" s="127"/>
      <c r="U93" s="135"/>
      <c r="V93" s="129"/>
      <c r="W93" s="130"/>
      <c r="X93" s="131"/>
    </row>
    <row r="94" spans="2:24">
      <c r="B94" s="87">
        <v>1</v>
      </c>
      <c r="C94" s="609"/>
      <c r="D94" s="10"/>
      <c r="E94" s="10"/>
      <c r="F94" s="62"/>
      <c r="G94" s="62"/>
      <c r="H94" s="62"/>
      <c r="I94" s="89">
        <f>F94-G94-H94</f>
        <v>0</v>
      </c>
      <c r="J94" s="63"/>
      <c r="K94" s="63"/>
      <c r="L94" s="63"/>
      <c r="M94" s="63"/>
      <c r="N94" s="63"/>
      <c r="O94" s="63"/>
      <c r="P94" s="63"/>
      <c r="Q94" s="63"/>
      <c r="R94" s="63"/>
      <c r="S94" s="63"/>
      <c r="T94" s="63"/>
      <c r="U94" s="94"/>
      <c r="V94" s="90"/>
      <c r="W94" s="136"/>
      <c r="X94" s="137"/>
    </row>
    <row r="95" spans="2:24">
      <c r="B95" s="87">
        <f t="shared" ref="B95:B101" si="20">B94+1</f>
        <v>2</v>
      </c>
      <c r="C95" s="609"/>
      <c r="D95" s="10"/>
      <c r="E95" s="10"/>
      <c r="F95" s="62"/>
      <c r="G95" s="62"/>
      <c r="H95" s="62"/>
      <c r="I95" s="89">
        <f t="shared" ref="I95:I101" si="21">F95-G95-H95</f>
        <v>0</v>
      </c>
      <c r="J95" s="63"/>
      <c r="K95" s="63"/>
      <c r="L95" s="63"/>
      <c r="M95" s="63"/>
      <c r="N95" s="63"/>
      <c r="O95" s="63"/>
      <c r="P95" s="63"/>
      <c r="Q95" s="63"/>
      <c r="R95" s="63"/>
      <c r="S95" s="63"/>
      <c r="T95" s="63"/>
      <c r="U95" s="94"/>
      <c r="V95" s="90"/>
      <c r="W95" s="136"/>
      <c r="X95" s="137"/>
    </row>
    <row r="96" spans="2:24">
      <c r="B96" s="87">
        <f t="shared" si="20"/>
        <v>3</v>
      </c>
      <c r="C96" s="609"/>
      <c r="D96" s="10"/>
      <c r="E96" s="10"/>
      <c r="F96" s="62"/>
      <c r="G96" s="62"/>
      <c r="H96" s="62"/>
      <c r="I96" s="89">
        <f>F96-G96-H96</f>
        <v>0</v>
      </c>
      <c r="J96" s="63"/>
      <c r="K96" s="63"/>
      <c r="L96" s="63"/>
      <c r="M96" s="63"/>
      <c r="N96" s="63"/>
      <c r="O96" s="63"/>
      <c r="P96" s="63"/>
      <c r="Q96" s="63"/>
      <c r="R96" s="63"/>
      <c r="S96" s="63"/>
      <c r="T96" s="63"/>
      <c r="U96" s="94"/>
      <c r="V96" s="90"/>
      <c r="W96" s="136"/>
      <c r="X96" s="137"/>
    </row>
    <row r="97" spans="2:24">
      <c r="B97" s="87">
        <f t="shared" si="20"/>
        <v>4</v>
      </c>
      <c r="C97" s="609"/>
      <c r="D97" s="10"/>
      <c r="E97" s="10"/>
      <c r="F97" s="62"/>
      <c r="G97" s="62"/>
      <c r="H97" s="62"/>
      <c r="I97" s="89">
        <f>F97-G97-H97</f>
        <v>0</v>
      </c>
      <c r="J97" s="63"/>
      <c r="K97" s="63"/>
      <c r="L97" s="63"/>
      <c r="M97" s="63"/>
      <c r="N97" s="63"/>
      <c r="O97" s="63"/>
      <c r="P97" s="63"/>
      <c r="Q97" s="63"/>
      <c r="R97" s="63"/>
      <c r="S97" s="63"/>
      <c r="T97" s="63"/>
      <c r="U97" s="94"/>
      <c r="V97" s="90"/>
      <c r="W97" s="136"/>
      <c r="X97" s="137"/>
    </row>
    <row r="98" spans="2:24">
      <c r="B98" s="87">
        <f t="shared" si="20"/>
        <v>5</v>
      </c>
      <c r="C98" s="609"/>
      <c r="D98" s="10"/>
      <c r="E98" s="10"/>
      <c r="F98" s="62"/>
      <c r="G98" s="62"/>
      <c r="H98" s="62"/>
      <c r="I98" s="89">
        <f>F98-G98-H98</f>
        <v>0</v>
      </c>
      <c r="J98" s="63"/>
      <c r="K98" s="63"/>
      <c r="L98" s="63"/>
      <c r="M98" s="63"/>
      <c r="N98" s="63"/>
      <c r="O98" s="63"/>
      <c r="P98" s="63"/>
      <c r="Q98" s="63"/>
      <c r="R98" s="63"/>
      <c r="S98" s="63"/>
      <c r="T98" s="63"/>
      <c r="U98" s="94"/>
      <c r="V98" s="90"/>
      <c r="W98" s="136"/>
      <c r="X98" s="137"/>
    </row>
    <row r="99" spans="2:24">
      <c r="B99" s="87">
        <f t="shared" si="20"/>
        <v>6</v>
      </c>
      <c r="C99" s="609"/>
      <c r="D99" s="10"/>
      <c r="E99" s="10"/>
      <c r="F99" s="62"/>
      <c r="G99" s="62"/>
      <c r="H99" s="62"/>
      <c r="I99" s="89">
        <f>F99-G99-H99</f>
        <v>0</v>
      </c>
      <c r="J99" s="63"/>
      <c r="K99" s="63"/>
      <c r="L99" s="63"/>
      <c r="M99" s="63"/>
      <c r="N99" s="63"/>
      <c r="O99" s="63"/>
      <c r="P99" s="63"/>
      <c r="Q99" s="63"/>
      <c r="R99" s="63"/>
      <c r="S99" s="63"/>
      <c r="T99" s="63"/>
      <c r="U99" s="94"/>
      <c r="V99" s="90"/>
      <c r="W99" s="136"/>
      <c r="X99" s="137"/>
    </row>
    <row r="100" spans="2:24">
      <c r="B100" s="87">
        <f t="shared" si="20"/>
        <v>7</v>
      </c>
      <c r="C100" s="609"/>
      <c r="D100" s="10"/>
      <c r="E100" s="10"/>
      <c r="F100" s="62"/>
      <c r="G100" s="62"/>
      <c r="H100" s="62"/>
      <c r="I100" s="89">
        <f t="shared" si="21"/>
        <v>0</v>
      </c>
      <c r="J100" s="63"/>
      <c r="K100" s="63"/>
      <c r="L100" s="63"/>
      <c r="M100" s="63"/>
      <c r="N100" s="63"/>
      <c r="O100" s="63"/>
      <c r="P100" s="63"/>
      <c r="Q100" s="63"/>
      <c r="R100" s="63"/>
      <c r="S100" s="63"/>
      <c r="T100" s="63"/>
      <c r="U100" s="94"/>
      <c r="V100" s="90"/>
      <c r="W100" s="136"/>
      <c r="X100" s="137"/>
    </row>
    <row r="101" spans="2:24">
      <c r="B101" s="87">
        <f t="shared" si="20"/>
        <v>8</v>
      </c>
      <c r="C101" s="609"/>
      <c r="D101" s="10"/>
      <c r="E101" s="10"/>
      <c r="F101" s="62"/>
      <c r="G101" s="62"/>
      <c r="H101" s="62"/>
      <c r="I101" s="89">
        <f t="shared" si="21"/>
        <v>0</v>
      </c>
      <c r="J101" s="63"/>
      <c r="K101" s="63"/>
      <c r="L101" s="63"/>
      <c r="M101" s="63"/>
      <c r="N101" s="63"/>
      <c r="O101" s="63"/>
      <c r="P101" s="63"/>
      <c r="Q101" s="63"/>
      <c r="R101" s="63"/>
      <c r="S101" s="63"/>
      <c r="T101" s="63"/>
      <c r="U101" s="94"/>
      <c r="V101" s="90"/>
      <c r="W101" s="136"/>
      <c r="X101" s="137"/>
    </row>
    <row r="102" spans="2:24">
      <c r="B102" s="132"/>
      <c r="C102" s="611"/>
      <c r="D102" s="123"/>
      <c r="E102" s="123"/>
      <c r="F102" s="133">
        <f>SUM(F94:F101)</f>
        <v>0</v>
      </c>
      <c r="G102" s="133">
        <f t="shared" ref="G102:I102" si="22">SUM(G94:G101)</f>
        <v>0</v>
      </c>
      <c r="H102" s="133">
        <f t="shared" si="22"/>
        <v>0</v>
      </c>
      <c r="I102" s="134">
        <f t="shared" si="22"/>
        <v>0</v>
      </c>
      <c r="J102" s="127"/>
      <c r="K102" s="64"/>
      <c r="L102" s="64"/>
      <c r="M102" s="64"/>
      <c r="N102" s="64"/>
      <c r="O102" s="64"/>
      <c r="P102" s="64"/>
      <c r="Q102" s="64"/>
      <c r="R102" s="64"/>
      <c r="S102" s="64"/>
      <c r="T102" s="127"/>
      <c r="U102" s="135"/>
      <c r="V102" s="129"/>
      <c r="W102" s="130"/>
      <c r="X102" s="131"/>
    </row>
    <row r="103" spans="2:24">
      <c r="B103" s="11"/>
      <c r="C103" s="609"/>
      <c r="D103" s="10"/>
      <c r="E103" s="10"/>
      <c r="F103" s="88"/>
      <c r="G103" s="88"/>
      <c r="H103" s="88"/>
      <c r="I103" s="99"/>
      <c r="J103" s="10"/>
      <c r="K103" s="63"/>
      <c r="L103" s="63"/>
      <c r="M103" s="63"/>
      <c r="N103" s="63"/>
      <c r="O103" s="63"/>
      <c r="P103" s="63"/>
      <c r="Q103" s="63"/>
      <c r="R103" s="63"/>
      <c r="S103" s="63"/>
      <c r="T103" s="63"/>
      <c r="U103" s="94"/>
      <c r="V103" s="90"/>
      <c r="W103" s="91"/>
      <c r="X103" s="92"/>
    </row>
    <row r="104" spans="2:24">
      <c r="B104" s="121" t="s">
        <v>71</v>
      </c>
      <c r="C104" s="611"/>
      <c r="D104" s="123"/>
      <c r="E104" s="128"/>
      <c r="F104" s="124"/>
      <c r="G104" s="124"/>
      <c r="H104" s="124"/>
      <c r="I104" s="126"/>
      <c r="J104" s="127"/>
      <c r="K104" s="64"/>
      <c r="L104" s="64"/>
      <c r="M104" s="64"/>
      <c r="N104" s="64"/>
      <c r="O104" s="64"/>
      <c r="P104" s="64"/>
      <c r="Q104" s="64"/>
      <c r="R104" s="64"/>
      <c r="S104" s="64"/>
      <c r="T104" s="127"/>
      <c r="U104" s="135"/>
      <c r="V104" s="129"/>
      <c r="W104" s="130"/>
      <c r="X104" s="131"/>
    </row>
    <row r="105" spans="2:24">
      <c r="B105" s="87">
        <v>1</v>
      </c>
      <c r="C105" s="609"/>
      <c r="D105" s="10"/>
      <c r="E105" s="10"/>
      <c r="F105" s="62"/>
      <c r="G105" s="62"/>
      <c r="H105" s="62"/>
      <c r="I105" s="89">
        <f t="shared" ref="I105:I112" si="23">F105-G105-H105</f>
        <v>0</v>
      </c>
      <c r="J105" s="63"/>
      <c r="K105" s="63"/>
      <c r="L105" s="63"/>
      <c r="M105" s="63"/>
      <c r="N105" s="63"/>
      <c r="O105" s="63"/>
      <c r="P105" s="63"/>
      <c r="Q105" s="63"/>
      <c r="R105" s="63"/>
      <c r="S105" s="63"/>
      <c r="T105" s="63"/>
      <c r="U105" s="94"/>
      <c r="V105" s="90"/>
      <c r="W105" s="136"/>
      <c r="X105" s="137"/>
    </row>
    <row r="106" spans="2:24">
      <c r="B106" s="87">
        <f t="shared" ref="B106:B112" si="24">B105+1</f>
        <v>2</v>
      </c>
      <c r="C106" s="609"/>
      <c r="D106" s="10"/>
      <c r="E106" s="10"/>
      <c r="F106" s="62"/>
      <c r="G106" s="62"/>
      <c r="H106" s="62"/>
      <c r="I106" s="89">
        <f t="shared" si="23"/>
        <v>0</v>
      </c>
      <c r="J106" s="63"/>
      <c r="K106" s="63"/>
      <c r="L106" s="63"/>
      <c r="M106" s="63"/>
      <c r="N106" s="63"/>
      <c r="O106" s="63"/>
      <c r="P106" s="63"/>
      <c r="Q106" s="63"/>
      <c r="R106" s="63"/>
      <c r="S106" s="63"/>
      <c r="T106" s="63"/>
      <c r="U106" s="94"/>
      <c r="V106" s="90"/>
      <c r="W106" s="136"/>
      <c r="X106" s="137"/>
    </row>
    <row r="107" spans="2:24">
      <c r="B107" s="87">
        <f t="shared" si="24"/>
        <v>3</v>
      </c>
      <c r="C107" s="609"/>
      <c r="D107" s="10"/>
      <c r="E107" s="10"/>
      <c r="F107" s="62"/>
      <c r="G107" s="62"/>
      <c r="H107" s="62"/>
      <c r="I107" s="89">
        <f t="shared" si="23"/>
        <v>0</v>
      </c>
      <c r="J107" s="63"/>
      <c r="K107" s="63"/>
      <c r="L107" s="63"/>
      <c r="M107" s="63"/>
      <c r="N107" s="63"/>
      <c r="O107" s="63"/>
      <c r="P107" s="63"/>
      <c r="Q107" s="63"/>
      <c r="R107" s="63"/>
      <c r="S107" s="63"/>
      <c r="T107" s="63"/>
      <c r="U107" s="94"/>
      <c r="V107" s="90"/>
      <c r="W107" s="136"/>
      <c r="X107" s="137"/>
    </row>
    <row r="108" spans="2:24">
      <c r="B108" s="87">
        <f t="shared" si="24"/>
        <v>4</v>
      </c>
      <c r="C108" s="609"/>
      <c r="D108" s="10"/>
      <c r="E108" s="10"/>
      <c r="F108" s="62"/>
      <c r="G108" s="62"/>
      <c r="H108" s="62"/>
      <c r="I108" s="89">
        <f t="shared" si="23"/>
        <v>0</v>
      </c>
      <c r="J108" s="63"/>
      <c r="K108" s="63"/>
      <c r="L108" s="63"/>
      <c r="M108" s="63"/>
      <c r="N108" s="63"/>
      <c r="O108" s="63"/>
      <c r="P108" s="63"/>
      <c r="Q108" s="63"/>
      <c r="R108" s="63"/>
      <c r="S108" s="63"/>
      <c r="T108" s="63"/>
      <c r="U108" s="94"/>
      <c r="V108" s="90"/>
      <c r="W108" s="136"/>
      <c r="X108" s="137"/>
    </row>
    <row r="109" spans="2:24">
      <c r="B109" s="87">
        <f t="shared" si="24"/>
        <v>5</v>
      </c>
      <c r="C109" s="609"/>
      <c r="D109" s="10"/>
      <c r="E109" s="10"/>
      <c r="F109" s="62"/>
      <c r="G109" s="62"/>
      <c r="H109" s="62"/>
      <c r="I109" s="89">
        <f t="shared" si="23"/>
        <v>0</v>
      </c>
      <c r="J109" s="63"/>
      <c r="K109" s="63"/>
      <c r="L109" s="63"/>
      <c r="M109" s="63"/>
      <c r="N109" s="63"/>
      <c r="O109" s="63"/>
      <c r="P109" s="63"/>
      <c r="Q109" s="63"/>
      <c r="R109" s="63"/>
      <c r="S109" s="63"/>
      <c r="T109" s="63"/>
      <c r="U109" s="94"/>
      <c r="V109" s="90"/>
      <c r="W109" s="136"/>
      <c r="X109" s="137"/>
    </row>
    <row r="110" spans="2:24">
      <c r="B110" s="87">
        <f t="shared" si="24"/>
        <v>6</v>
      </c>
      <c r="C110" s="609"/>
      <c r="D110" s="10"/>
      <c r="E110" s="10"/>
      <c r="F110" s="62"/>
      <c r="G110" s="62"/>
      <c r="H110" s="62"/>
      <c r="I110" s="89">
        <f t="shared" si="23"/>
        <v>0</v>
      </c>
      <c r="J110" s="63"/>
      <c r="K110" s="63"/>
      <c r="L110" s="63"/>
      <c r="M110" s="63"/>
      <c r="N110" s="63"/>
      <c r="O110" s="63"/>
      <c r="P110" s="63"/>
      <c r="Q110" s="63"/>
      <c r="R110" s="63"/>
      <c r="S110" s="63"/>
      <c r="T110" s="63"/>
      <c r="U110" s="94"/>
      <c r="V110" s="90"/>
      <c r="W110" s="136"/>
      <c r="X110" s="137"/>
    </row>
    <row r="111" spans="2:24">
      <c r="B111" s="87">
        <f t="shared" si="24"/>
        <v>7</v>
      </c>
      <c r="C111" s="609"/>
      <c r="D111" s="10"/>
      <c r="E111" s="10"/>
      <c r="F111" s="62"/>
      <c r="G111" s="62"/>
      <c r="H111" s="62"/>
      <c r="I111" s="89">
        <f t="shared" si="23"/>
        <v>0</v>
      </c>
      <c r="J111" s="63"/>
      <c r="K111" s="63"/>
      <c r="L111" s="63"/>
      <c r="M111" s="63"/>
      <c r="N111" s="63"/>
      <c r="O111" s="63"/>
      <c r="P111" s="63"/>
      <c r="Q111" s="63"/>
      <c r="R111" s="63"/>
      <c r="S111" s="63"/>
      <c r="T111" s="63"/>
      <c r="U111" s="94"/>
      <c r="V111" s="90"/>
      <c r="W111" s="136"/>
      <c r="X111" s="137"/>
    </row>
    <row r="112" spans="2:24">
      <c r="B112" s="87">
        <f t="shared" si="24"/>
        <v>8</v>
      </c>
      <c r="C112" s="609"/>
      <c r="D112" s="10"/>
      <c r="E112" s="10"/>
      <c r="F112" s="62"/>
      <c r="G112" s="62"/>
      <c r="H112" s="62"/>
      <c r="I112" s="89">
        <f t="shared" si="23"/>
        <v>0</v>
      </c>
      <c r="J112" s="63"/>
      <c r="K112" s="63"/>
      <c r="L112" s="63"/>
      <c r="M112" s="63"/>
      <c r="N112" s="63"/>
      <c r="O112" s="63"/>
      <c r="P112" s="63"/>
      <c r="Q112" s="63"/>
      <c r="R112" s="63"/>
      <c r="S112" s="63"/>
      <c r="T112" s="63"/>
      <c r="U112" s="94"/>
      <c r="V112" s="90"/>
      <c r="W112" s="136"/>
      <c r="X112" s="137"/>
    </row>
    <row r="113" spans="2:24">
      <c r="B113" s="132"/>
      <c r="C113" s="611"/>
      <c r="D113" s="123"/>
      <c r="E113" s="123"/>
      <c r="F113" s="133">
        <f>SUM(F105:F112)</f>
        <v>0</v>
      </c>
      <c r="G113" s="133">
        <f>SUM(G105:G112)</f>
        <v>0</v>
      </c>
      <c r="H113" s="133">
        <f>SUM(H105:H112)</f>
        <v>0</v>
      </c>
      <c r="I113" s="134">
        <f>SUM(I105:I112)</f>
        <v>0</v>
      </c>
      <c r="J113" s="127"/>
      <c r="K113" s="64"/>
      <c r="L113" s="64"/>
      <c r="M113" s="64"/>
      <c r="N113" s="64"/>
      <c r="O113" s="64"/>
      <c r="P113" s="64"/>
      <c r="Q113" s="64"/>
      <c r="R113" s="64"/>
      <c r="S113" s="64"/>
      <c r="T113" s="127"/>
      <c r="U113" s="135"/>
      <c r="V113" s="129"/>
      <c r="W113" s="130"/>
      <c r="X113" s="131"/>
    </row>
    <row r="114" spans="2:24">
      <c r="B114" s="11"/>
      <c r="C114" s="609"/>
      <c r="D114" s="10"/>
      <c r="E114" s="10"/>
      <c r="F114" s="88"/>
      <c r="G114" s="88"/>
      <c r="H114" s="88"/>
      <c r="I114" s="99"/>
      <c r="J114" s="63"/>
      <c r="K114" s="21"/>
      <c r="L114" s="21"/>
      <c r="M114" s="21"/>
      <c r="N114" s="21"/>
      <c r="O114" s="21"/>
      <c r="P114" s="21"/>
      <c r="Q114" s="21"/>
      <c r="R114" s="21"/>
      <c r="S114" s="21"/>
      <c r="T114" s="63"/>
      <c r="U114" s="94"/>
      <c r="V114" s="90"/>
      <c r="W114" s="91"/>
      <c r="X114" s="92"/>
    </row>
    <row r="115" spans="2:24">
      <c r="B115" s="100" t="s">
        <v>72</v>
      </c>
      <c r="C115" s="609"/>
      <c r="D115" s="10"/>
      <c r="E115" s="10"/>
      <c r="F115" s="88"/>
      <c r="G115" s="88"/>
      <c r="H115" s="88"/>
      <c r="I115" s="99"/>
      <c r="J115" s="63"/>
      <c r="K115" s="63"/>
      <c r="L115" s="63"/>
      <c r="M115" s="63"/>
      <c r="N115" s="63"/>
      <c r="O115" s="63"/>
      <c r="P115" s="63"/>
      <c r="Q115" s="63"/>
      <c r="R115" s="63"/>
      <c r="S115" s="63"/>
      <c r="T115" s="63"/>
      <c r="U115" s="94"/>
      <c r="V115" s="90"/>
      <c r="W115" s="91"/>
      <c r="X115" s="92"/>
    </row>
    <row r="116" spans="2:24">
      <c r="B116" s="87">
        <v>1</v>
      </c>
      <c r="C116" s="609"/>
      <c r="D116" s="10"/>
      <c r="E116" s="10"/>
      <c r="F116" s="62"/>
      <c r="G116" s="62"/>
      <c r="H116" s="62"/>
      <c r="I116" s="89">
        <f>F116-G116-H116</f>
        <v>0</v>
      </c>
      <c r="J116" s="63"/>
      <c r="K116" s="63"/>
      <c r="L116" s="63"/>
      <c r="M116" s="63"/>
      <c r="N116" s="63"/>
      <c r="O116" s="63"/>
      <c r="P116" s="63"/>
      <c r="Q116" s="63"/>
      <c r="R116" s="63"/>
      <c r="S116" s="63"/>
      <c r="T116" s="63"/>
      <c r="U116" s="164"/>
      <c r="V116" s="90"/>
      <c r="W116" s="91"/>
      <c r="X116" s="92"/>
    </row>
    <row r="117" spans="2:24">
      <c r="B117" s="87">
        <f>B116+1</f>
        <v>2</v>
      </c>
      <c r="C117" s="609"/>
      <c r="D117" s="10"/>
      <c r="E117" s="10"/>
      <c r="F117" s="62"/>
      <c r="G117" s="62"/>
      <c r="H117" s="62"/>
      <c r="I117" s="89">
        <f t="shared" ref="I117:I133" si="25">F117-G117-H117</f>
        <v>0</v>
      </c>
      <c r="J117" s="63"/>
      <c r="K117" s="63"/>
      <c r="L117" s="63"/>
      <c r="M117" s="63"/>
      <c r="N117" s="63"/>
      <c r="O117" s="63"/>
      <c r="P117" s="63"/>
      <c r="Q117" s="63"/>
      <c r="R117" s="63"/>
      <c r="S117" s="63"/>
      <c r="T117" s="63"/>
      <c r="U117" s="94"/>
      <c r="V117" s="90"/>
      <c r="W117" s="136"/>
      <c r="X117" s="137"/>
    </row>
    <row r="118" spans="2:24">
      <c r="B118" s="87">
        <f t="shared" ref="B118:B133" si="26">B117+1</f>
        <v>3</v>
      </c>
      <c r="C118" s="609"/>
      <c r="D118" s="10"/>
      <c r="E118" s="10"/>
      <c r="F118" s="62"/>
      <c r="G118" s="62"/>
      <c r="H118" s="62"/>
      <c r="I118" s="89">
        <f t="shared" si="25"/>
        <v>0</v>
      </c>
      <c r="J118" s="63"/>
      <c r="K118" s="63"/>
      <c r="L118" s="63"/>
      <c r="M118" s="63"/>
      <c r="N118" s="63"/>
      <c r="O118" s="63"/>
      <c r="P118" s="63"/>
      <c r="Q118" s="63"/>
      <c r="R118" s="63"/>
      <c r="S118" s="63"/>
      <c r="T118" s="63"/>
      <c r="U118" s="94"/>
      <c r="V118" s="90"/>
      <c r="W118" s="136"/>
      <c r="X118" s="137"/>
    </row>
    <row r="119" spans="2:24">
      <c r="B119" s="87">
        <f t="shared" si="26"/>
        <v>4</v>
      </c>
      <c r="C119" s="609"/>
      <c r="D119" s="10"/>
      <c r="E119" s="10"/>
      <c r="F119" s="62"/>
      <c r="G119" s="62"/>
      <c r="H119" s="62"/>
      <c r="I119" s="89">
        <f t="shared" si="25"/>
        <v>0</v>
      </c>
      <c r="J119" s="63"/>
      <c r="K119" s="63"/>
      <c r="L119" s="63"/>
      <c r="M119" s="63"/>
      <c r="N119" s="63"/>
      <c r="O119" s="63"/>
      <c r="P119" s="63"/>
      <c r="Q119" s="63"/>
      <c r="R119" s="63"/>
      <c r="S119" s="63"/>
      <c r="T119" s="63"/>
      <c r="U119" s="94"/>
      <c r="V119" s="90"/>
      <c r="W119" s="136"/>
      <c r="X119" s="137"/>
    </row>
    <row r="120" spans="2:24">
      <c r="B120" s="87">
        <f t="shared" si="26"/>
        <v>5</v>
      </c>
      <c r="C120" s="609"/>
      <c r="D120" s="10"/>
      <c r="E120" s="10"/>
      <c r="F120" s="62"/>
      <c r="G120" s="62"/>
      <c r="H120" s="62"/>
      <c r="I120" s="89">
        <f t="shared" si="25"/>
        <v>0</v>
      </c>
      <c r="J120" s="63"/>
      <c r="K120" s="63"/>
      <c r="L120" s="63"/>
      <c r="M120" s="63"/>
      <c r="N120" s="63"/>
      <c r="O120" s="63"/>
      <c r="P120" s="63"/>
      <c r="Q120" s="63"/>
      <c r="R120" s="63"/>
      <c r="S120" s="63"/>
      <c r="T120" s="63"/>
      <c r="U120" s="94"/>
      <c r="V120" s="90"/>
      <c r="W120" s="136"/>
      <c r="X120" s="137"/>
    </row>
    <row r="121" spans="2:24">
      <c r="B121" s="87">
        <f t="shared" si="26"/>
        <v>6</v>
      </c>
      <c r="C121" s="609"/>
      <c r="D121" s="10"/>
      <c r="E121" s="101"/>
      <c r="F121" s="62"/>
      <c r="G121" s="62"/>
      <c r="H121" s="62"/>
      <c r="I121" s="89">
        <f t="shared" si="25"/>
        <v>0</v>
      </c>
      <c r="J121" s="63"/>
      <c r="K121" s="63"/>
      <c r="L121" s="63"/>
      <c r="M121" s="63"/>
      <c r="N121" s="63"/>
      <c r="O121" s="63"/>
      <c r="P121" s="63"/>
      <c r="Q121" s="63"/>
      <c r="R121" s="63"/>
      <c r="S121" s="63"/>
      <c r="T121" s="63"/>
      <c r="U121" s="94"/>
      <c r="V121" s="90"/>
      <c r="W121" s="136"/>
      <c r="X121" s="137"/>
    </row>
    <row r="122" spans="2:24">
      <c r="B122" s="87">
        <f t="shared" si="26"/>
        <v>7</v>
      </c>
      <c r="C122" s="609"/>
      <c r="D122" s="10"/>
      <c r="E122" s="101"/>
      <c r="F122" s="62"/>
      <c r="G122" s="62"/>
      <c r="H122" s="62"/>
      <c r="I122" s="89">
        <f t="shared" si="25"/>
        <v>0</v>
      </c>
      <c r="J122" s="63"/>
      <c r="K122" s="63"/>
      <c r="L122" s="63"/>
      <c r="M122" s="63"/>
      <c r="N122" s="63"/>
      <c r="O122" s="63"/>
      <c r="P122" s="63"/>
      <c r="Q122" s="63"/>
      <c r="R122" s="63"/>
      <c r="S122" s="63"/>
      <c r="T122" s="63"/>
      <c r="U122" s="94"/>
      <c r="V122" s="90"/>
      <c r="W122" s="136"/>
      <c r="X122" s="137"/>
    </row>
    <row r="123" spans="2:24">
      <c r="B123" s="87">
        <f t="shared" si="26"/>
        <v>8</v>
      </c>
      <c r="C123" s="609"/>
      <c r="D123" s="10"/>
      <c r="E123" s="101"/>
      <c r="F123" s="62"/>
      <c r="G123" s="62"/>
      <c r="H123" s="62"/>
      <c r="I123" s="89">
        <f t="shared" si="25"/>
        <v>0</v>
      </c>
      <c r="J123" s="63"/>
      <c r="K123" s="63"/>
      <c r="L123" s="63"/>
      <c r="M123" s="63"/>
      <c r="N123" s="63"/>
      <c r="O123" s="63"/>
      <c r="P123" s="63"/>
      <c r="Q123" s="63"/>
      <c r="R123" s="63"/>
      <c r="S123" s="63"/>
      <c r="T123" s="63"/>
      <c r="U123" s="94"/>
      <c r="V123" s="90"/>
      <c r="W123" s="136"/>
      <c r="X123" s="137"/>
    </row>
    <row r="124" spans="2:24">
      <c r="B124" s="87">
        <f t="shared" si="26"/>
        <v>9</v>
      </c>
      <c r="C124" s="609"/>
      <c r="D124" s="10"/>
      <c r="E124" s="101"/>
      <c r="F124" s="62"/>
      <c r="G124" s="62"/>
      <c r="H124" s="62"/>
      <c r="I124" s="89">
        <f t="shared" si="25"/>
        <v>0</v>
      </c>
      <c r="J124" s="63"/>
      <c r="K124" s="63"/>
      <c r="L124" s="63"/>
      <c r="M124" s="63"/>
      <c r="N124" s="63"/>
      <c r="O124" s="63"/>
      <c r="P124" s="63"/>
      <c r="Q124" s="63"/>
      <c r="R124" s="63"/>
      <c r="S124" s="63"/>
      <c r="T124" s="63"/>
      <c r="U124" s="94"/>
      <c r="V124" s="90"/>
      <c r="W124" s="136"/>
      <c r="X124" s="137"/>
    </row>
    <row r="125" spans="2:24">
      <c r="B125" s="87">
        <f t="shared" si="26"/>
        <v>10</v>
      </c>
      <c r="C125" s="609"/>
      <c r="D125" s="10"/>
      <c r="E125" s="101"/>
      <c r="F125" s="62"/>
      <c r="G125" s="62"/>
      <c r="H125" s="62"/>
      <c r="I125" s="89">
        <f t="shared" si="25"/>
        <v>0</v>
      </c>
      <c r="J125" s="63"/>
      <c r="K125" s="63"/>
      <c r="L125" s="63"/>
      <c r="M125" s="63"/>
      <c r="N125" s="63"/>
      <c r="O125" s="63"/>
      <c r="P125" s="63"/>
      <c r="Q125" s="63"/>
      <c r="R125" s="63"/>
      <c r="S125" s="63"/>
      <c r="T125" s="63"/>
      <c r="U125" s="94"/>
      <c r="V125" s="90"/>
      <c r="W125" s="136"/>
      <c r="X125" s="137"/>
    </row>
    <row r="126" spans="2:24">
      <c r="B126" s="87">
        <f t="shared" si="26"/>
        <v>11</v>
      </c>
      <c r="C126" s="609"/>
      <c r="D126" s="10"/>
      <c r="E126" s="101"/>
      <c r="F126" s="62"/>
      <c r="G126" s="62"/>
      <c r="H126" s="62"/>
      <c r="I126" s="89">
        <f t="shared" si="25"/>
        <v>0</v>
      </c>
      <c r="J126" s="63"/>
      <c r="K126" s="63"/>
      <c r="L126" s="63"/>
      <c r="M126" s="63"/>
      <c r="N126" s="63"/>
      <c r="O126" s="63"/>
      <c r="P126" s="63"/>
      <c r="Q126" s="63"/>
      <c r="R126" s="63"/>
      <c r="S126" s="63"/>
      <c r="T126" s="63"/>
      <c r="U126" s="94"/>
      <c r="V126" s="90"/>
      <c r="W126" s="136"/>
      <c r="X126" s="137"/>
    </row>
    <row r="127" spans="2:24">
      <c r="B127" s="87">
        <f t="shared" si="26"/>
        <v>12</v>
      </c>
      <c r="C127" s="609"/>
      <c r="D127" s="10"/>
      <c r="E127" s="101"/>
      <c r="F127" s="62"/>
      <c r="G127" s="62"/>
      <c r="H127" s="62"/>
      <c r="I127" s="89">
        <f t="shared" si="25"/>
        <v>0</v>
      </c>
      <c r="J127" s="63"/>
      <c r="K127" s="63"/>
      <c r="L127" s="63"/>
      <c r="M127" s="63"/>
      <c r="N127" s="63"/>
      <c r="O127" s="63"/>
      <c r="P127" s="63"/>
      <c r="Q127" s="63"/>
      <c r="R127" s="63"/>
      <c r="S127" s="63"/>
      <c r="T127" s="63"/>
      <c r="U127" s="94"/>
      <c r="V127" s="90"/>
      <c r="W127" s="136"/>
      <c r="X127" s="137"/>
    </row>
    <row r="128" spans="2:24">
      <c r="B128" s="87">
        <f t="shared" si="26"/>
        <v>13</v>
      </c>
      <c r="C128" s="609"/>
      <c r="D128" s="10"/>
      <c r="E128" s="101"/>
      <c r="F128" s="62"/>
      <c r="G128" s="62"/>
      <c r="H128" s="62"/>
      <c r="I128" s="89">
        <f t="shared" si="25"/>
        <v>0</v>
      </c>
      <c r="J128" s="63"/>
      <c r="K128" s="63"/>
      <c r="L128" s="63"/>
      <c r="M128" s="63"/>
      <c r="N128" s="63"/>
      <c r="O128" s="63"/>
      <c r="P128" s="63"/>
      <c r="Q128" s="63"/>
      <c r="R128" s="63"/>
      <c r="S128" s="63"/>
      <c r="T128" s="63"/>
      <c r="U128" s="94"/>
      <c r="V128" s="90"/>
      <c r="W128" s="136"/>
      <c r="X128" s="137"/>
    </row>
    <row r="129" spans="2:24">
      <c r="B129" s="87">
        <f t="shared" si="26"/>
        <v>14</v>
      </c>
      <c r="C129" s="609"/>
      <c r="D129" s="10"/>
      <c r="E129" s="10"/>
      <c r="F129" s="62"/>
      <c r="G129" s="62"/>
      <c r="H129" s="62"/>
      <c r="I129" s="89">
        <f t="shared" si="25"/>
        <v>0</v>
      </c>
      <c r="J129" s="63"/>
      <c r="K129" s="63"/>
      <c r="L129" s="63"/>
      <c r="M129" s="63"/>
      <c r="N129" s="63"/>
      <c r="O129" s="63"/>
      <c r="P129" s="63"/>
      <c r="Q129" s="63"/>
      <c r="R129" s="63"/>
      <c r="S129" s="63"/>
      <c r="T129" s="63"/>
      <c r="U129" s="94"/>
      <c r="V129" s="90"/>
      <c r="W129" s="136"/>
      <c r="X129" s="137"/>
    </row>
    <row r="130" spans="2:24">
      <c r="B130" s="87">
        <f t="shared" si="26"/>
        <v>15</v>
      </c>
      <c r="C130" s="609"/>
      <c r="D130" s="10"/>
      <c r="E130" s="10"/>
      <c r="F130" s="62"/>
      <c r="G130" s="62"/>
      <c r="H130" s="62"/>
      <c r="I130" s="89">
        <f t="shared" si="25"/>
        <v>0</v>
      </c>
      <c r="J130" s="63"/>
      <c r="K130" s="63"/>
      <c r="L130" s="63"/>
      <c r="M130" s="63"/>
      <c r="N130" s="63"/>
      <c r="O130" s="63"/>
      <c r="P130" s="63"/>
      <c r="Q130" s="63"/>
      <c r="R130" s="63"/>
      <c r="S130" s="63"/>
      <c r="T130" s="63"/>
      <c r="U130" s="94"/>
      <c r="V130" s="90"/>
      <c r="W130" s="136"/>
      <c r="X130" s="137"/>
    </row>
    <row r="131" spans="2:24">
      <c r="B131" s="87">
        <f t="shared" si="26"/>
        <v>16</v>
      </c>
      <c r="C131" s="609"/>
      <c r="D131" s="10"/>
      <c r="E131" s="10"/>
      <c r="F131" s="62"/>
      <c r="G131" s="62"/>
      <c r="H131" s="62"/>
      <c r="I131" s="89">
        <f t="shared" si="25"/>
        <v>0</v>
      </c>
      <c r="J131" s="63"/>
      <c r="K131" s="63"/>
      <c r="L131" s="63"/>
      <c r="M131" s="63"/>
      <c r="N131" s="63"/>
      <c r="O131" s="63"/>
      <c r="P131" s="63"/>
      <c r="Q131" s="63"/>
      <c r="R131" s="63"/>
      <c r="S131" s="63"/>
      <c r="T131" s="63"/>
      <c r="U131" s="94"/>
      <c r="V131" s="90"/>
      <c r="W131" s="136"/>
      <c r="X131" s="137"/>
    </row>
    <row r="132" spans="2:24">
      <c r="B132" s="87">
        <f t="shared" si="26"/>
        <v>17</v>
      </c>
      <c r="C132" s="609"/>
      <c r="D132" s="10"/>
      <c r="E132" s="10"/>
      <c r="F132" s="62"/>
      <c r="G132" s="62"/>
      <c r="H132" s="62"/>
      <c r="I132" s="89">
        <f t="shared" si="25"/>
        <v>0</v>
      </c>
      <c r="J132" s="63"/>
      <c r="K132" s="63"/>
      <c r="L132" s="63"/>
      <c r="M132" s="63"/>
      <c r="N132" s="63"/>
      <c r="O132" s="63"/>
      <c r="P132" s="63"/>
      <c r="Q132" s="63"/>
      <c r="R132" s="63"/>
      <c r="S132" s="63"/>
      <c r="T132" s="63"/>
      <c r="U132" s="94"/>
      <c r="V132" s="90"/>
      <c r="W132" s="136"/>
      <c r="X132" s="137"/>
    </row>
    <row r="133" spans="2:24">
      <c r="B133" s="87">
        <f t="shared" si="26"/>
        <v>18</v>
      </c>
      <c r="C133" s="609"/>
      <c r="D133" s="10"/>
      <c r="E133" s="10"/>
      <c r="F133" s="62"/>
      <c r="G133" s="62"/>
      <c r="H133" s="62"/>
      <c r="I133" s="89">
        <f t="shared" si="25"/>
        <v>0</v>
      </c>
      <c r="J133" s="63"/>
      <c r="K133" s="63"/>
      <c r="L133" s="63"/>
      <c r="M133" s="63"/>
      <c r="N133" s="63"/>
      <c r="O133" s="63"/>
      <c r="P133" s="63"/>
      <c r="Q133" s="63"/>
      <c r="R133" s="63"/>
      <c r="S133" s="63"/>
      <c r="T133" s="63"/>
      <c r="U133" s="94"/>
      <c r="V133" s="90"/>
      <c r="W133" s="136"/>
      <c r="X133" s="137"/>
    </row>
    <row r="134" spans="2:24">
      <c r="B134" s="11"/>
      <c r="C134" s="609"/>
      <c r="D134" s="10"/>
      <c r="E134" s="10"/>
      <c r="F134" s="97">
        <f>SUM(F116:F133)</f>
        <v>0</v>
      </c>
      <c r="G134" s="97">
        <f t="shared" ref="G134:I134" si="27">SUM(G116:G133)</f>
        <v>0</v>
      </c>
      <c r="H134" s="97">
        <f t="shared" si="27"/>
        <v>0</v>
      </c>
      <c r="I134" s="98">
        <f t="shared" si="27"/>
        <v>0</v>
      </c>
      <c r="J134" s="10"/>
      <c r="K134" s="10"/>
      <c r="L134" s="10"/>
      <c r="M134" s="10"/>
      <c r="N134" s="10"/>
      <c r="O134" s="10"/>
      <c r="P134" s="10"/>
      <c r="Q134" s="10"/>
      <c r="R134" s="10"/>
      <c r="S134" s="10"/>
      <c r="T134" s="63"/>
      <c r="U134" s="94"/>
      <c r="V134" s="90"/>
      <c r="W134" s="91"/>
      <c r="X134" s="92"/>
    </row>
    <row r="135" spans="2:24">
      <c r="B135" s="11"/>
      <c r="C135" s="609"/>
      <c r="D135" s="10"/>
      <c r="E135" s="10"/>
      <c r="F135" s="88"/>
      <c r="G135" s="88"/>
      <c r="H135" s="88"/>
      <c r="I135" s="99"/>
      <c r="J135" s="10"/>
      <c r="K135" s="10"/>
      <c r="L135" s="10"/>
      <c r="M135" s="10"/>
      <c r="N135" s="10"/>
      <c r="O135" s="10"/>
      <c r="P135" s="10"/>
      <c r="Q135" s="10"/>
      <c r="R135" s="10"/>
      <c r="S135" s="10"/>
      <c r="T135" s="63"/>
      <c r="U135" s="94"/>
      <c r="V135" s="165"/>
      <c r="W135" s="166"/>
      <c r="X135" s="167"/>
    </row>
    <row r="136" spans="2:24">
      <c r="B136" s="100" t="s">
        <v>73</v>
      </c>
      <c r="C136" s="609"/>
      <c r="D136" s="10"/>
      <c r="E136" s="10"/>
      <c r="F136" s="88"/>
      <c r="G136" s="88"/>
      <c r="H136" s="88"/>
      <c r="I136" s="99"/>
      <c r="J136" s="63"/>
      <c r="K136" s="63"/>
      <c r="L136" s="63"/>
      <c r="M136" s="63"/>
      <c r="N136" s="63"/>
      <c r="O136" s="63"/>
      <c r="P136" s="63"/>
      <c r="Q136" s="63"/>
      <c r="R136" s="63"/>
      <c r="S136" s="63"/>
      <c r="T136" s="63"/>
      <c r="U136" s="94"/>
      <c r="V136" s="90"/>
      <c r="W136" s="91"/>
      <c r="X136" s="92"/>
    </row>
    <row r="137" spans="2:24">
      <c r="B137" s="87">
        <v>1</v>
      </c>
      <c r="C137" s="609"/>
      <c r="D137" s="10"/>
      <c r="E137" s="10"/>
      <c r="F137" s="62"/>
      <c r="G137" s="62"/>
      <c r="H137" s="62"/>
      <c r="I137" s="89">
        <f t="shared" ref="I137:I142" si="28">F137-G137-H137</f>
        <v>0</v>
      </c>
      <c r="J137" s="63"/>
      <c r="K137" s="63"/>
      <c r="L137" s="63"/>
      <c r="M137" s="63"/>
      <c r="N137" s="63"/>
      <c r="O137" s="63"/>
      <c r="P137" s="63"/>
      <c r="Q137" s="63"/>
      <c r="R137" s="63"/>
      <c r="S137" s="63"/>
      <c r="T137" s="63"/>
      <c r="U137" s="139"/>
      <c r="V137" s="90"/>
      <c r="W137" s="91"/>
      <c r="X137" s="92"/>
    </row>
    <row r="138" spans="2:24">
      <c r="B138" s="87">
        <f>B137+1</f>
        <v>2</v>
      </c>
      <c r="C138" s="609"/>
      <c r="D138" s="10"/>
      <c r="E138" s="10"/>
      <c r="F138" s="62"/>
      <c r="G138" s="62"/>
      <c r="H138" s="62"/>
      <c r="I138" s="89">
        <f t="shared" si="28"/>
        <v>0</v>
      </c>
      <c r="J138" s="63"/>
      <c r="K138" s="63"/>
      <c r="L138" s="63"/>
      <c r="M138" s="63"/>
      <c r="N138" s="63"/>
      <c r="O138" s="63"/>
      <c r="P138" s="63"/>
      <c r="Q138" s="63"/>
      <c r="R138" s="63"/>
      <c r="S138" s="63"/>
      <c r="T138" s="63"/>
      <c r="U138" s="94"/>
      <c r="V138" s="90"/>
      <c r="W138" s="136"/>
      <c r="X138" s="137"/>
    </row>
    <row r="139" spans="2:24">
      <c r="B139" s="87">
        <f>B138+1</f>
        <v>3</v>
      </c>
      <c r="C139" s="609"/>
      <c r="D139" s="10"/>
      <c r="E139" s="10"/>
      <c r="F139" s="62"/>
      <c r="G139" s="62"/>
      <c r="H139" s="62"/>
      <c r="I139" s="89">
        <f t="shared" si="28"/>
        <v>0</v>
      </c>
      <c r="J139" s="63"/>
      <c r="K139" s="63"/>
      <c r="L139" s="63"/>
      <c r="M139" s="63"/>
      <c r="N139" s="63"/>
      <c r="O139" s="63"/>
      <c r="P139" s="63"/>
      <c r="Q139" s="63"/>
      <c r="R139" s="63"/>
      <c r="S139" s="63"/>
      <c r="T139" s="63"/>
      <c r="U139" s="94"/>
      <c r="V139" s="90"/>
      <c r="W139" s="136"/>
      <c r="X139" s="137"/>
    </row>
    <row r="140" spans="2:24">
      <c r="B140" s="87">
        <f>B139+1</f>
        <v>4</v>
      </c>
      <c r="C140" s="609"/>
      <c r="D140" s="10"/>
      <c r="E140" s="10"/>
      <c r="F140" s="62"/>
      <c r="G140" s="62"/>
      <c r="H140" s="62"/>
      <c r="I140" s="89">
        <f t="shared" si="28"/>
        <v>0</v>
      </c>
      <c r="J140" s="63"/>
      <c r="K140" s="63"/>
      <c r="L140" s="63"/>
      <c r="M140" s="63"/>
      <c r="N140" s="63"/>
      <c r="O140" s="63"/>
      <c r="P140" s="63"/>
      <c r="Q140" s="63"/>
      <c r="R140" s="63"/>
      <c r="S140" s="63"/>
      <c r="T140" s="63"/>
      <c r="U140" s="94"/>
      <c r="V140" s="90"/>
      <c r="W140" s="136"/>
      <c r="X140" s="137"/>
    </row>
    <row r="141" spans="2:24">
      <c r="B141" s="87">
        <f>B140+1</f>
        <v>5</v>
      </c>
      <c r="C141" s="609"/>
      <c r="D141" s="10"/>
      <c r="E141" s="10"/>
      <c r="F141" s="62"/>
      <c r="G141" s="62"/>
      <c r="H141" s="62"/>
      <c r="I141" s="89">
        <f t="shared" si="28"/>
        <v>0</v>
      </c>
      <c r="J141" s="63"/>
      <c r="K141" s="63"/>
      <c r="L141" s="63"/>
      <c r="M141" s="63"/>
      <c r="N141" s="63"/>
      <c r="O141" s="63"/>
      <c r="P141" s="63"/>
      <c r="Q141" s="63"/>
      <c r="R141" s="63"/>
      <c r="S141" s="63"/>
      <c r="T141" s="63"/>
      <c r="U141" s="94"/>
      <c r="V141" s="90"/>
      <c r="W141" s="136"/>
      <c r="X141" s="137"/>
    </row>
    <row r="142" spans="2:24">
      <c r="B142" s="87">
        <f>B141+1</f>
        <v>6</v>
      </c>
      <c r="C142" s="609"/>
      <c r="D142" s="10"/>
      <c r="E142" s="101"/>
      <c r="F142" s="62"/>
      <c r="G142" s="62"/>
      <c r="H142" s="62"/>
      <c r="I142" s="89">
        <f t="shared" si="28"/>
        <v>0</v>
      </c>
      <c r="J142" s="63"/>
      <c r="K142" s="63"/>
      <c r="L142" s="63"/>
      <c r="M142" s="63"/>
      <c r="N142" s="63"/>
      <c r="O142" s="63"/>
      <c r="P142" s="63"/>
      <c r="Q142" s="63"/>
      <c r="R142" s="63"/>
      <c r="S142" s="63"/>
      <c r="T142" s="63"/>
      <c r="U142" s="94"/>
      <c r="V142" s="90"/>
      <c r="W142" s="136"/>
      <c r="X142" s="137"/>
    </row>
    <row r="143" spans="2:24">
      <c r="B143" s="11"/>
      <c r="C143" s="609"/>
      <c r="D143" s="10"/>
      <c r="E143" s="10"/>
      <c r="F143" s="97">
        <f>SUM(F137:F142)</f>
        <v>0</v>
      </c>
      <c r="G143" s="97">
        <f>SUM(G137:G142)</f>
        <v>0</v>
      </c>
      <c r="H143" s="97">
        <f>SUM(H137:H142)</f>
        <v>0</v>
      </c>
      <c r="I143" s="98">
        <f>SUM(I137:I142)</f>
        <v>0</v>
      </c>
      <c r="J143" s="10"/>
      <c r="K143" s="10"/>
      <c r="L143" s="10"/>
      <c r="M143" s="10"/>
      <c r="N143" s="10"/>
      <c r="O143" s="10"/>
      <c r="P143" s="10"/>
      <c r="Q143" s="10"/>
      <c r="R143" s="10"/>
      <c r="S143" s="10"/>
      <c r="T143" s="63"/>
      <c r="U143" s="94"/>
      <c r="V143" s="90"/>
      <c r="W143" s="91"/>
      <c r="X143" s="92"/>
    </row>
    <row r="144" spans="2:24">
      <c r="B144" s="26"/>
      <c r="C144" s="612"/>
      <c r="D144" s="141"/>
      <c r="E144" s="141"/>
      <c r="F144" s="141"/>
      <c r="G144" s="141"/>
      <c r="H144" s="141"/>
      <c r="I144" s="141"/>
      <c r="J144" s="141"/>
      <c r="K144" s="142"/>
      <c r="L144" s="142"/>
      <c r="M144" s="142"/>
      <c r="N144" s="142"/>
      <c r="O144" s="142"/>
      <c r="P144" s="142"/>
      <c r="Q144" s="142"/>
      <c r="R144" s="142"/>
      <c r="S144" s="142"/>
      <c r="T144" s="143">
        <f>SUM(T29:T143)</f>
        <v>0</v>
      </c>
      <c r="U144" s="168"/>
      <c r="V144" s="144">
        <f>SUM(V29:V143)</f>
        <v>0</v>
      </c>
      <c r="W144" s="145">
        <f>SUM(W29:W143)</f>
        <v>0</v>
      </c>
      <c r="X144" s="146">
        <f>SUM(X29:X143)</f>
        <v>0</v>
      </c>
    </row>
    <row r="145" spans="2:24">
      <c r="B145" s="2"/>
      <c r="C145" s="2"/>
      <c r="D145" s="2"/>
      <c r="E145" s="2"/>
      <c r="F145" s="2"/>
      <c r="G145" s="2"/>
      <c r="H145" s="2"/>
      <c r="I145" s="2"/>
      <c r="J145" s="2"/>
      <c r="K145" s="2"/>
      <c r="L145" s="2"/>
      <c r="M145" s="2"/>
      <c r="N145" s="2"/>
      <c r="O145" s="2"/>
      <c r="P145" s="2"/>
      <c r="Q145" s="2"/>
      <c r="R145" s="2"/>
      <c r="S145" s="2"/>
      <c r="T145" s="2"/>
      <c r="U145" s="2"/>
      <c r="V145" s="2"/>
      <c r="W145" s="2"/>
      <c r="X145" s="2"/>
    </row>
  </sheetData>
  <mergeCells count="1">
    <mergeCell ref="K17:Q1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1E376-13C4-4456-AB40-503545C5AB55}">
  <sheetPr>
    <tabColor rgb="FFFFC000"/>
  </sheetPr>
  <dimension ref="A3:AE455"/>
  <sheetViews>
    <sheetView topLeftCell="A302" workbookViewId="0">
      <selection activeCell="H335" sqref="H335"/>
    </sheetView>
  </sheetViews>
  <sheetFormatPr defaultRowHeight="15"/>
  <cols>
    <col min="3" max="3" width="9.85546875" bestFit="1" customWidth="1"/>
    <col min="4" max="4" width="14.5703125" customWidth="1"/>
    <col min="5" max="5" width="24.42578125" customWidth="1"/>
    <col min="6" max="6" width="11.85546875" customWidth="1"/>
    <col min="7" max="7" width="12.5703125" customWidth="1"/>
    <col min="8" max="8" width="11.7109375" customWidth="1"/>
    <col min="9" max="9" width="13.42578125" customWidth="1"/>
    <col min="13" max="13" width="10.42578125" customWidth="1"/>
    <col min="15" max="15" width="10.85546875" customWidth="1"/>
    <col min="16" max="16" width="10.140625" customWidth="1"/>
    <col min="18" max="18" width="10.140625" customWidth="1"/>
    <col min="22" max="22" width="10.85546875" customWidth="1"/>
  </cols>
  <sheetData>
    <row r="3" spans="1:29">
      <c r="A3" s="3"/>
      <c r="B3" s="4" t="s">
        <v>1</v>
      </c>
      <c r="C3" s="5"/>
      <c r="D3" s="6"/>
      <c r="E3" s="6"/>
      <c r="F3" s="7" t="s">
        <v>2</v>
      </c>
      <c r="G3" s="8">
        <v>45837</v>
      </c>
      <c r="H3" s="7"/>
      <c r="I3" s="6"/>
      <c r="J3" s="6"/>
      <c r="K3" s="6"/>
      <c r="L3" s="6"/>
      <c r="M3" s="6"/>
      <c r="N3" s="6"/>
      <c r="O3" s="6"/>
      <c r="P3" s="6"/>
      <c r="Q3" s="6"/>
      <c r="R3" s="6"/>
      <c r="S3" s="6"/>
      <c r="T3" s="6"/>
      <c r="U3" s="9"/>
      <c r="V3" s="10"/>
      <c r="W3" s="10"/>
      <c r="X3" s="10"/>
      <c r="Y3" s="2"/>
      <c r="Z3" s="2"/>
      <c r="AA3" s="2"/>
      <c r="AB3" s="2"/>
      <c r="AC3" s="2"/>
    </row>
    <row r="4" spans="1:29">
      <c r="A4" s="2"/>
      <c r="B4" s="11"/>
      <c r="C4" s="10"/>
      <c r="D4" s="10"/>
      <c r="E4" s="10"/>
      <c r="F4" s="10"/>
      <c r="G4" s="7"/>
      <c r="H4" s="12"/>
      <c r="I4" s="10"/>
      <c r="J4" s="10"/>
      <c r="K4" s="13" t="s">
        <v>3</v>
      </c>
      <c r="L4" s="14"/>
      <c r="M4" s="15"/>
      <c r="N4" s="13" t="s">
        <v>4</v>
      </c>
      <c r="O4" s="14"/>
      <c r="P4" s="15"/>
      <c r="Q4" s="13" t="s">
        <v>5</v>
      </c>
      <c r="R4" s="14"/>
      <c r="S4" s="15"/>
      <c r="T4" s="16"/>
      <c r="U4" s="17"/>
      <c r="V4" s="10"/>
      <c r="W4" s="10"/>
      <c r="X4" s="10"/>
      <c r="Y4" s="2"/>
      <c r="Z4" s="2"/>
      <c r="AA4" s="2"/>
      <c r="AB4" s="2"/>
      <c r="AC4" s="2"/>
    </row>
    <row r="5" spans="1:29">
      <c r="A5" s="2"/>
      <c r="B5" s="18" t="s">
        <v>6</v>
      </c>
      <c r="C5" s="19">
        <f>C6+C7</f>
        <v>40</v>
      </c>
      <c r="D5" s="10"/>
      <c r="E5" s="18" t="s">
        <v>7</v>
      </c>
      <c r="F5" s="6"/>
      <c r="G5" s="9"/>
      <c r="H5" s="10"/>
      <c r="I5" s="10"/>
      <c r="J5" s="10"/>
      <c r="K5" s="20" t="s">
        <v>8</v>
      </c>
      <c r="L5" s="21" t="s">
        <v>9</v>
      </c>
      <c r="M5" s="21" t="s">
        <v>10</v>
      </c>
      <c r="N5" s="20" t="s">
        <v>11</v>
      </c>
      <c r="O5" s="21" t="s">
        <v>12</v>
      </c>
      <c r="P5" s="22" t="s">
        <v>13</v>
      </c>
      <c r="Q5" s="21" t="s">
        <v>11</v>
      </c>
      <c r="R5" s="21" t="s">
        <v>12</v>
      </c>
      <c r="S5" s="22" t="s">
        <v>13</v>
      </c>
      <c r="T5" s="23" t="s">
        <v>14</v>
      </c>
      <c r="U5" s="17"/>
      <c r="V5" s="10"/>
      <c r="W5" s="10"/>
      <c r="X5" s="10"/>
      <c r="Y5" s="2"/>
      <c r="Z5" s="2"/>
      <c r="AA5" s="2"/>
      <c r="AB5" s="2"/>
      <c r="AC5" s="2"/>
    </row>
    <row r="6" spans="1:29">
      <c r="A6" s="2"/>
      <c r="B6" s="24" t="s">
        <v>15</v>
      </c>
      <c r="C6" s="25">
        <f>P13</f>
        <v>12</v>
      </c>
      <c r="D6" s="10"/>
      <c r="E6" s="26" t="s">
        <v>16</v>
      </c>
      <c r="F6" s="27">
        <v>0.05</v>
      </c>
      <c r="G6" s="28"/>
      <c r="H6" s="10"/>
      <c r="I6" s="10"/>
      <c r="J6" s="18" t="s">
        <v>17</v>
      </c>
      <c r="K6" s="29">
        <f>K41</f>
        <v>10</v>
      </c>
      <c r="L6" s="29">
        <f t="shared" ref="L6:S6" si="0">L41</f>
        <v>8</v>
      </c>
      <c r="M6" s="29">
        <f t="shared" si="0"/>
        <v>10</v>
      </c>
      <c r="N6" s="29">
        <f t="shared" si="0"/>
        <v>10</v>
      </c>
      <c r="O6" s="29">
        <f t="shared" si="0"/>
        <v>10</v>
      </c>
      <c r="P6" s="29">
        <f t="shared" si="0"/>
        <v>8</v>
      </c>
      <c r="Q6" s="29">
        <f t="shared" si="0"/>
        <v>9</v>
      </c>
      <c r="R6" s="29">
        <f t="shared" si="0"/>
        <v>9</v>
      </c>
      <c r="S6" s="29">
        <f t="shared" si="0"/>
        <v>8</v>
      </c>
      <c r="T6" s="30">
        <f>T92</f>
        <v>0</v>
      </c>
      <c r="U6" s="17"/>
      <c r="V6" s="10"/>
      <c r="W6" s="10"/>
      <c r="X6" s="10"/>
      <c r="Y6" s="2"/>
      <c r="Z6" s="2"/>
      <c r="AA6" s="2"/>
      <c r="AB6" s="2"/>
      <c r="AC6" s="2"/>
    </row>
    <row r="7" spans="1:29">
      <c r="A7" s="2"/>
      <c r="B7" s="24" t="s">
        <v>18</v>
      </c>
      <c r="C7" s="25">
        <f>P14</f>
        <v>28</v>
      </c>
      <c r="D7" s="10"/>
      <c r="E7" s="10"/>
      <c r="F7" s="10"/>
      <c r="G7" s="31"/>
      <c r="H7" s="10"/>
      <c r="I7" s="10"/>
      <c r="J7" s="32" t="s">
        <v>19</v>
      </c>
      <c r="K7" s="33">
        <f>K41/K40</f>
        <v>1</v>
      </c>
      <c r="L7" s="33">
        <f t="shared" ref="L7:S7" si="1">L41/L40</f>
        <v>0.8</v>
      </c>
      <c r="M7" s="33">
        <f t="shared" si="1"/>
        <v>1</v>
      </c>
      <c r="N7" s="33">
        <f t="shared" si="1"/>
        <v>1</v>
      </c>
      <c r="O7" s="33">
        <f t="shared" si="1"/>
        <v>1</v>
      </c>
      <c r="P7" s="33">
        <f t="shared" si="1"/>
        <v>0.8</v>
      </c>
      <c r="Q7" s="33">
        <f t="shared" si="1"/>
        <v>0.9</v>
      </c>
      <c r="R7" s="33">
        <f t="shared" si="1"/>
        <v>0.9</v>
      </c>
      <c r="S7" s="33">
        <f t="shared" si="1"/>
        <v>0.8</v>
      </c>
      <c r="T7" s="23"/>
      <c r="U7" s="17" t="s">
        <v>20</v>
      </c>
      <c r="V7" s="10"/>
      <c r="W7" s="10"/>
      <c r="X7" s="10"/>
      <c r="Y7" s="2"/>
      <c r="Z7" s="2"/>
      <c r="AA7" s="2"/>
      <c r="AB7" s="2"/>
      <c r="AC7" s="2"/>
    </row>
    <row r="8" spans="1:29">
      <c r="A8" s="2"/>
      <c r="B8" s="24" t="s">
        <v>21</v>
      </c>
      <c r="C8" s="34">
        <f>P15</f>
        <v>0.3</v>
      </c>
      <c r="D8" s="10"/>
      <c r="E8" s="10"/>
      <c r="F8" s="10"/>
      <c r="G8" s="10"/>
      <c r="H8" s="10"/>
      <c r="I8" s="10"/>
      <c r="J8" s="10"/>
      <c r="K8" s="10"/>
      <c r="L8" s="10"/>
      <c r="M8" s="10"/>
      <c r="N8" s="10"/>
      <c r="O8" s="10"/>
      <c r="P8" s="10"/>
      <c r="Q8" s="10"/>
      <c r="R8" s="10"/>
      <c r="S8" s="10"/>
      <c r="T8" s="10"/>
      <c r="U8" s="17"/>
      <c r="V8" s="10"/>
      <c r="W8" s="10"/>
      <c r="X8" s="10"/>
      <c r="Y8" s="2"/>
      <c r="Z8" s="2"/>
      <c r="AA8" s="2"/>
      <c r="AB8" s="2"/>
      <c r="AC8" s="2"/>
    </row>
    <row r="9" spans="1:29">
      <c r="A9" s="2"/>
      <c r="B9" s="24"/>
      <c r="C9" s="25"/>
      <c r="D9" s="10"/>
      <c r="E9" s="10"/>
      <c r="F9" s="18" t="s">
        <v>22</v>
      </c>
      <c r="G9" s="19" t="s">
        <v>23</v>
      </c>
      <c r="H9" s="35" t="s">
        <v>24</v>
      </c>
      <c r="I9" s="10"/>
      <c r="J9" s="10"/>
      <c r="K9" s="36"/>
      <c r="L9" s="36"/>
      <c r="M9" s="36"/>
      <c r="N9" s="36"/>
      <c r="O9" s="36"/>
      <c r="P9" s="36"/>
      <c r="Q9" s="36"/>
      <c r="R9" s="10"/>
      <c r="S9" s="10"/>
      <c r="T9" s="10"/>
      <c r="U9" s="17"/>
      <c r="V9" s="10"/>
      <c r="W9" s="10"/>
      <c r="X9" s="10"/>
      <c r="Y9" s="2"/>
      <c r="Z9" s="2"/>
      <c r="AA9" s="2"/>
      <c r="AB9" s="2"/>
      <c r="AC9" s="2"/>
    </row>
    <row r="10" spans="1:29">
      <c r="A10" s="2"/>
      <c r="B10" s="32" t="s">
        <v>25</v>
      </c>
      <c r="C10" s="37">
        <f>P16</f>
        <v>1048.1583333333333</v>
      </c>
      <c r="D10" s="10"/>
      <c r="E10" s="18" t="s">
        <v>26</v>
      </c>
      <c r="F10" s="38">
        <f>P12</f>
        <v>12577.9</v>
      </c>
      <c r="G10" s="39">
        <f>I40+I49+I53</f>
        <v>12577.9</v>
      </c>
      <c r="H10" s="40"/>
      <c r="I10" s="41"/>
      <c r="J10" s="42"/>
      <c r="K10" s="43" t="s">
        <v>27</v>
      </c>
      <c r="L10" s="44"/>
      <c r="M10" s="44"/>
      <c r="N10" s="44"/>
      <c r="O10" s="44"/>
      <c r="P10" s="44"/>
      <c r="Q10" s="45"/>
      <c r="R10" s="46" t="s">
        <v>28</v>
      </c>
      <c r="S10" s="47" t="s">
        <v>29</v>
      </c>
      <c r="T10" s="10"/>
      <c r="U10" s="17"/>
      <c r="V10" s="10"/>
      <c r="W10" s="10"/>
      <c r="X10" s="10"/>
      <c r="Y10" s="2"/>
      <c r="Z10" s="2"/>
      <c r="AA10" s="2"/>
      <c r="AB10" s="2"/>
      <c r="AC10" s="2"/>
    </row>
    <row r="11" spans="1:29">
      <c r="A11" s="2"/>
      <c r="B11" s="11"/>
      <c r="C11" s="10"/>
      <c r="D11" s="10"/>
      <c r="E11" s="24" t="s">
        <v>30</v>
      </c>
      <c r="F11" s="48">
        <f>F6</f>
        <v>0.05</v>
      </c>
      <c r="G11" s="17"/>
      <c r="H11" s="40"/>
      <c r="I11" s="41"/>
      <c r="J11" s="42"/>
      <c r="K11" s="20" t="s">
        <v>31</v>
      </c>
      <c r="L11" s="21" t="s">
        <v>32</v>
      </c>
      <c r="M11" s="21" t="s">
        <v>33</v>
      </c>
      <c r="N11" s="21" t="s">
        <v>34</v>
      </c>
      <c r="O11" s="21" t="s">
        <v>35</v>
      </c>
      <c r="P11" s="21" t="s">
        <v>36</v>
      </c>
      <c r="Q11" s="49" t="s">
        <v>37</v>
      </c>
      <c r="R11" s="50" t="s">
        <v>38</v>
      </c>
      <c r="S11" s="50" t="s">
        <v>38</v>
      </c>
      <c r="T11" s="10"/>
      <c r="U11" s="17"/>
      <c r="V11" s="10"/>
      <c r="W11" s="10"/>
      <c r="X11" s="10"/>
      <c r="Y11" s="2"/>
      <c r="Z11" s="2"/>
      <c r="AA11" s="2"/>
      <c r="AB11" s="2"/>
      <c r="AC11" s="2"/>
    </row>
    <row r="12" spans="1:29">
      <c r="A12" s="2"/>
      <c r="B12" s="11"/>
      <c r="C12" s="10"/>
      <c r="D12" s="10"/>
      <c r="E12" s="51" t="s">
        <v>39</v>
      </c>
      <c r="F12" s="52">
        <f>(F10-I48-I52)*F11</f>
        <v>491.91500000000008</v>
      </c>
      <c r="G12" s="53" t="s">
        <v>40</v>
      </c>
      <c r="H12" s="54">
        <f>F12/1.12</f>
        <v>439.20982142857144</v>
      </c>
      <c r="I12" s="55"/>
      <c r="J12" s="42"/>
      <c r="K12" s="56">
        <f>I30+I52</f>
        <v>2196.6</v>
      </c>
      <c r="L12" s="57">
        <f>I31+I32</f>
        <v>997</v>
      </c>
      <c r="M12" s="57">
        <f>I48</f>
        <v>1641.3</v>
      </c>
      <c r="N12" s="57">
        <f>I33+I34+I35</f>
        <v>3437.6</v>
      </c>
      <c r="O12" s="57">
        <f>I37+I36+I38+I39</f>
        <v>4305.3999999999996</v>
      </c>
      <c r="P12" s="57">
        <f>SUM(K12:O12)</f>
        <v>12577.9</v>
      </c>
      <c r="Q12" s="58">
        <v>0</v>
      </c>
      <c r="R12" s="59">
        <f>I49+I53</f>
        <v>2739.6</v>
      </c>
      <c r="S12" s="59">
        <v>0</v>
      </c>
      <c r="T12" s="10"/>
      <c r="U12" s="17"/>
      <c r="V12" s="10"/>
      <c r="W12" s="10"/>
      <c r="X12" s="10"/>
      <c r="Y12" s="2"/>
      <c r="Z12" s="2"/>
      <c r="AA12" s="2"/>
      <c r="AB12" s="2"/>
      <c r="AC12" s="2"/>
    </row>
    <row r="13" spans="1:29">
      <c r="A13" s="2"/>
      <c r="B13" s="11"/>
      <c r="C13" s="10"/>
      <c r="D13" s="10"/>
      <c r="E13" s="24" t="s">
        <v>41</v>
      </c>
      <c r="F13" s="60">
        <f>Q12</f>
        <v>0</v>
      </c>
      <c r="G13" s="61" t="s">
        <v>40</v>
      </c>
      <c r="H13" s="62"/>
      <c r="I13" s="62"/>
      <c r="J13" s="10" t="s">
        <v>42</v>
      </c>
      <c r="K13" s="63">
        <v>2</v>
      </c>
      <c r="L13" s="63">
        <v>2</v>
      </c>
      <c r="M13" s="63">
        <v>1</v>
      </c>
      <c r="N13" s="63">
        <v>3</v>
      </c>
      <c r="O13" s="63">
        <v>4</v>
      </c>
      <c r="P13" s="21">
        <f>SUM(K13:O13)</f>
        <v>12</v>
      </c>
      <c r="Q13" s="64"/>
      <c r="R13" s="63"/>
      <c r="S13" s="10"/>
      <c r="T13" s="10"/>
      <c r="U13" s="17"/>
      <c r="V13" s="10"/>
      <c r="W13" s="10"/>
      <c r="X13" s="10"/>
      <c r="Y13" s="2"/>
      <c r="Z13" s="2"/>
      <c r="AA13" s="2"/>
      <c r="AB13" s="2"/>
      <c r="AC13" s="2"/>
    </row>
    <row r="14" spans="1:29">
      <c r="A14" s="2"/>
      <c r="B14" s="11"/>
      <c r="C14" s="10"/>
      <c r="D14" s="10"/>
      <c r="E14" s="51" t="s">
        <v>43</v>
      </c>
      <c r="F14" s="52">
        <f>F13*0.25</f>
        <v>0</v>
      </c>
      <c r="G14" s="53" t="s">
        <v>40</v>
      </c>
      <c r="H14" s="54">
        <f>F14/1.115</f>
        <v>0</v>
      </c>
      <c r="I14" s="10"/>
      <c r="J14" s="10" t="s">
        <v>44</v>
      </c>
      <c r="K14" s="63">
        <v>6</v>
      </c>
      <c r="L14" s="63">
        <v>7</v>
      </c>
      <c r="M14" s="63">
        <v>4</v>
      </c>
      <c r="N14" s="63">
        <v>8</v>
      </c>
      <c r="O14" s="63">
        <v>3</v>
      </c>
      <c r="P14" s="21">
        <f>SUM(K14:O14)</f>
        <v>28</v>
      </c>
      <c r="Q14" s="64"/>
      <c r="R14" s="63"/>
      <c r="S14" s="10"/>
      <c r="T14" s="10"/>
      <c r="U14" s="17"/>
      <c r="V14" s="10"/>
      <c r="W14" s="10"/>
      <c r="X14" s="10"/>
      <c r="Y14" s="2"/>
      <c r="Z14" s="2"/>
      <c r="AA14" s="2"/>
      <c r="AB14" s="2"/>
      <c r="AC14" s="2"/>
    </row>
    <row r="15" spans="1:29">
      <c r="A15" s="2"/>
      <c r="B15" s="11"/>
      <c r="C15" s="10"/>
      <c r="D15" s="10"/>
      <c r="E15" s="24" t="s">
        <v>45</v>
      </c>
      <c r="F15" s="60"/>
      <c r="G15" s="61" t="s">
        <v>40</v>
      </c>
      <c r="H15" s="62"/>
      <c r="I15" s="10"/>
      <c r="J15" s="10" t="s">
        <v>46</v>
      </c>
      <c r="K15" s="31">
        <f t="shared" ref="K15:Q15" si="2">K13/(K13+K14)</f>
        <v>0.25</v>
      </c>
      <c r="L15" s="31">
        <f t="shared" si="2"/>
        <v>0.22222222222222221</v>
      </c>
      <c r="M15" s="31">
        <f t="shared" si="2"/>
        <v>0.2</v>
      </c>
      <c r="N15" s="31">
        <f t="shared" si="2"/>
        <v>0.27272727272727271</v>
      </c>
      <c r="O15" s="31">
        <f t="shared" si="2"/>
        <v>0.5714285714285714</v>
      </c>
      <c r="P15" s="31">
        <f t="shared" si="2"/>
        <v>0.3</v>
      </c>
      <c r="Q15" s="31" t="e">
        <f t="shared" si="2"/>
        <v>#DIV/0!</v>
      </c>
      <c r="R15" s="63"/>
      <c r="S15" s="10"/>
      <c r="T15" s="10"/>
      <c r="U15" s="17"/>
      <c r="V15" s="10"/>
      <c r="W15" s="10"/>
      <c r="X15" s="10"/>
      <c r="Y15" s="2"/>
      <c r="Z15" s="2"/>
      <c r="AA15" s="2"/>
      <c r="AB15" s="2"/>
      <c r="AC15" s="2"/>
    </row>
    <row r="16" spans="1:29">
      <c r="A16" s="2"/>
      <c r="B16" s="11"/>
      <c r="C16" s="10"/>
      <c r="D16" s="10"/>
      <c r="E16" s="51" t="s">
        <v>47</v>
      </c>
      <c r="F16" s="52">
        <f>F15*0.05</f>
        <v>0</v>
      </c>
      <c r="G16" s="65" t="s">
        <v>40</v>
      </c>
      <c r="H16" s="54">
        <f>F16/1.115</f>
        <v>0</v>
      </c>
      <c r="I16" s="42"/>
      <c r="J16" s="10" t="s">
        <v>48</v>
      </c>
      <c r="K16" s="66">
        <f>K12/K13</f>
        <v>1098.3</v>
      </c>
      <c r="L16" s="66">
        <f t="shared" ref="L16:Q16" si="3">L12/L13</f>
        <v>498.5</v>
      </c>
      <c r="M16" s="66">
        <f t="shared" si="3"/>
        <v>1641.3</v>
      </c>
      <c r="N16" s="66">
        <f t="shared" si="3"/>
        <v>1145.8666666666666</v>
      </c>
      <c r="O16" s="66">
        <f t="shared" si="3"/>
        <v>1076.3499999999999</v>
      </c>
      <c r="P16" s="66">
        <f t="shared" si="3"/>
        <v>1048.1583333333333</v>
      </c>
      <c r="Q16" s="66" t="e">
        <f t="shared" si="3"/>
        <v>#DIV/0!</v>
      </c>
      <c r="R16" s="63"/>
      <c r="S16" s="10"/>
      <c r="T16" s="10"/>
      <c r="U16" s="17"/>
      <c r="V16" s="10"/>
      <c r="W16" s="10"/>
      <c r="X16" s="10"/>
      <c r="Y16" s="2"/>
      <c r="Z16" s="2"/>
      <c r="AA16" s="2"/>
      <c r="AB16" s="2"/>
      <c r="AC16" s="2"/>
    </row>
    <row r="17" spans="1:29">
      <c r="A17" s="2"/>
      <c r="B17" s="11"/>
      <c r="C17" s="10"/>
      <c r="D17" s="10"/>
      <c r="E17" s="67" t="s">
        <v>14</v>
      </c>
      <c r="F17" s="68"/>
      <c r="G17" s="10"/>
      <c r="H17" s="54">
        <f>F17/1.115</f>
        <v>0</v>
      </c>
      <c r="I17" s="10"/>
      <c r="J17" s="10"/>
      <c r="K17" s="10"/>
      <c r="L17" s="10"/>
      <c r="M17" s="10"/>
      <c r="N17" s="10"/>
      <c r="O17" s="10"/>
      <c r="P17" s="10"/>
      <c r="Q17" s="10"/>
      <c r="R17" s="10"/>
      <c r="S17" s="10"/>
      <c r="T17" s="10"/>
      <c r="U17" s="17"/>
      <c r="V17" s="10"/>
      <c r="W17" s="10"/>
      <c r="X17" s="10"/>
      <c r="Y17" s="2"/>
      <c r="Z17" s="2"/>
      <c r="AA17" s="2"/>
      <c r="AB17" s="2"/>
      <c r="AC17" s="2"/>
    </row>
    <row r="18" spans="1:29">
      <c r="A18" s="2"/>
      <c r="B18" s="11"/>
      <c r="C18" s="10"/>
      <c r="D18" s="10"/>
      <c r="E18" s="155" t="s">
        <v>49</v>
      </c>
      <c r="F18" s="364">
        <f>T7</f>
        <v>0</v>
      </c>
      <c r="G18" s="10"/>
      <c r="H18" s="54"/>
      <c r="I18" s="55"/>
      <c r="J18" s="42"/>
      <c r="K18" s="764" t="s">
        <v>50</v>
      </c>
      <c r="L18" s="765"/>
      <c r="M18" s="765"/>
      <c r="N18" s="765"/>
      <c r="O18" s="765"/>
      <c r="P18" s="765"/>
      <c r="Q18" s="766"/>
      <c r="R18" s="70" t="s">
        <v>28</v>
      </c>
      <c r="S18" s="71" t="s">
        <v>29</v>
      </c>
      <c r="T18" s="10"/>
      <c r="U18" s="17"/>
      <c r="V18" s="10"/>
      <c r="W18" s="10"/>
      <c r="X18" s="10"/>
      <c r="Y18" s="2"/>
      <c r="Z18" s="2"/>
      <c r="AA18" s="2"/>
      <c r="AB18" s="2"/>
      <c r="AC18" s="2"/>
    </row>
    <row r="19" spans="1:29">
      <c r="A19" s="2"/>
      <c r="B19" s="11"/>
      <c r="C19" s="10"/>
      <c r="D19" s="10"/>
      <c r="E19" s="12"/>
      <c r="F19" s="76"/>
      <c r="G19" s="10"/>
      <c r="H19" s="10"/>
      <c r="I19" s="10"/>
      <c r="J19" s="42"/>
      <c r="K19" s="20" t="s">
        <v>31</v>
      </c>
      <c r="L19" s="21" t="s">
        <v>32</v>
      </c>
      <c r="M19" s="21" t="s">
        <v>33</v>
      </c>
      <c r="N19" s="21" t="s">
        <v>34</v>
      </c>
      <c r="O19" s="21" t="s">
        <v>35</v>
      </c>
      <c r="P19" s="21" t="s">
        <v>36</v>
      </c>
      <c r="Q19" s="49" t="s">
        <v>37</v>
      </c>
      <c r="R19" s="50" t="s">
        <v>38</v>
      </c>
      <c r="S19" s="50" t="s">
        <v>38</v>
      </c>
      <c r="T19" s="10"/>
      <c r="U19" s="17"/>
      <c r="V19" s="10"/>
      <c r="W19" s="10"/>
      <c r="X19" s="10"/>
      <c r="Y19" s="2"/>
      <c r="Z19" s="2"/>
      <c r="AA19" s="2"/>
      <c r="AB19" s="2"/>
      <c r="AC19" s="2"/>
    </row>
    <row r="20" spans="1:29">
      <c r="A20" s="2"/>
      <c r="B20" s="11"/>
      <c r="C20" s="10"/>
      <c r="D20" s="10"/>
      <c r="E20" s="10"/>
      <c r="F20" s="10"/>
      <c r="G20" s="10"/>
      <c r="H20" s="10"/>
      <c r="I20" s="10"/>
      <c r="J20" s="42"/>
      <c r="K20" s="56">
        <f>F30+F52</f>
        <v>2276</v>
      </c>
      <c r="L20" s="57">
        <f>F31+F32</f>
        <v>997</v>
      </c>
      <c r="M20" s="57">
        <f>F48</f>
        <v>1681</v>
      </c>
      <c r="N20" s="57">
        <f>F33+F34+F35</f>
        <v>3517</v>
      </c>
      <c r="O20" s="57">
        <f>F37+F36+F38+F39</f>
        <v>4464</v>
      </c>
      <c r="P20" s="57">
        <f>SUM(K20:O20)</f>
        <v>12935</v>
      </c>
      <c r="Q20" s="58">
        <v>0</v>
      </c>
      <c r="R20" s="59">
        <f>F49+F53</f>
        <v>2819</v>
      </c>
      <c r="S20" s="59">
        <v>0</v>
      </c>
      <c r="T20" s="10"/>
      <c r="U20" s="17"/>
      <c r="V20" s="10"/>
      <c r="W20" s="10"/>
      <c r="X20" s="10"/>
      <c r="Y20" s="2"/>
      <c r="Z20" s="2"/>
      <c r="AA20" s="2"/>
      <c r="AB20" s="2"/>
      <c r="AC20" s="2"/>
    </row>
    <row r="21" spans="1:29">
      <c r="A21" s="2"/>
      <c r="B21" s="11"/>
      <c r="C21" s="10"/>
      <c r="D21" s="10"/>
      <c r="E21" s="10"/>
      <c r="F21" s="10"/>
      <c r="G21" s="10"/>
      <c r="H21" s="10"/>
      <c r="I21" s="10"/>
      <c r="J21" s="10" t="s">
        <v>42</v>
      </c>
      <c r="K21" s="63">
        <f>K13</f>
        <v>2</v>
      </c>
      <c r="L21" s="63">
        <f t="shared" ref="L21:Q22" si="4">L13</f>
        <v>2</v>
      </c>
      <c r="M21" s="63">
        <f t="shared" si="4"/>
        <v>1</v>
      </c>
      <c r="N21" s="63">
        <f t="shared" si="4"/>
        <v>3</v>
      </c>
      <c r="O21" s="63">
        <f t="shared" si="4"/>
        <v>4</v>
      </c>
      <c r="P21" s="63">
        <f t="shared" si="4"/>
        <v>12</v>
      </c>
      <c r="Q21" s="63">
        <f t="shared" si="4"/>
        <v>0</v>
      </c>
      <c r="R21" s="63"/>
      <c r="S21" s="10"/>
      <c r="T21" s="10"/>
      <c r="U21" s="17"/>
      <c r="V21" s="10"/>
      <c r="W21" s="10"/>
      <c r="X21" s="10"/>
      <c r="Y21" s="2"/>
      <c r="Z21" s="2"/>
      <c r="AA21" s="2"/>
      <c r="AB21" s="2"/>
      <c r="AC21" s="2"/>
    </row>
    <row r="22" spans="1:29">
      <c r="A22" s="2"/>
      <c r="B22" s="11"/>
      <c r="C22" s="10"/>
      <c r="D22" s="10"/>
      <c r="E22" s="10"/>
      <c r="F22" s="10"/>
      <c r="G22" s="10"/>
      <c r="H22" s="10"/>
      <c r="I22" s="10"/>
      <c r="J22" s="10" t="s">
        <v>44</v>
      </c>
      <c r="K22" s="63">
        <f>K14</f>
        <v>6</v>
      </c>
      <c r="L22" s="63">
        <f t="shared" si="4"/>
        <v>7</v>
      </c>
      <c r="M22" s="63">
        <f t="shared" si="4"/>
        <v>4</v>
      </c>
      <c r="N22" s="63">
        <f t="shared" si="4"/>
        <v>8</v>
      </c>
      <c r="O22" s="63">
        <f t="shared" si="4"/>
        <v>3</v>
      </c>
      <c r="P22" s="63">
        <f t="shared" si="4"/>
        <v>28</v>
      </c>
      <c r="Q22" s="63">
        <f t="shared" si="4"/>
        <v>0</v>
      </c>
      <c r="R22" s="63"/>
      <c r="S22" s="10"/>
      <c r="T22" s="10"/>
      <c r="U22" s="17"/>
      <c r="V22" s="10"/>
      <c r="W22" s="10"/>
      <c r="X22" s="10"/>
      <c r="Y22" s="2"/>
      <c r="Z22" s="2"/>
      <c r="AA22" s="2"/>
      <c r="AB22" s="2"/>
      <c r="AC22" s="2"/>
    </row>
    <row r="23" spans="1:29">
      <c r="A23" s="2"/>
      <c r="B23" s="11"/>
      <c r="C23" s="10"/>
      <c r="D23" s="10"/>
      <c r="E23" s="12"/>
      <c r="F23" s="76"/>
      <c r="G23" s="10"/>
      <c r="H23" s="10"/>
      <c r="I23" s="10"/>
      <c r="J23" s="10" t="s">
        <v>46</v>
      </c>
      <c r="K23" s="31">
        <f t="shared" ref="K23:Q23" si="5">K21/(K21+K22)</f>
        <v>0.25</v>
      </c>
      <c r="L23" s="31">
        <f t="shared" si="5"/>
        <v>0.22222222222222221</v>
      </c>
      <c r="M23" s="31">
        <f t="shared" si="5"/>
        <v>0.2</v>
      </c>
      <c r="N23" s="31">
        <f t="shared" si="5"/>
        <v>0.27272727272727271</v>
      </c>
      <c r="O23" s="31">
        <f t="shared" si="5"/>
        <v>0.5714285714285714</v>
      </c>
      <c r="P23" s="31">
        <f t="shared" si="5"/>
        <v>0.3</v>
      </c>
      <c r="Q23" s="31" t="e">
        <f t="shared" si="5"/>
        <v>#DIV/0!</v>
      </c>
      <c r="R23" s="63"/>
      <c r="S23" s="10"/>
      <c r="T23" s="10"/>
      <c r="U23" s="17"/>
      <c r="V23" s="10"/>
      <c r="W23" s="10"/>
      <c r="X23" s="10"/>
      <c r="Y23" s="2"/>
      <c r="Z23" s="2"/>
      <c r="AA23" s="2"/>
      <c r="AB23" s="2"/>
      <c r="AC23" s="2"/>
    </row>
    <row r="24" spans="1:29">
      <c r="A24" s="2"/>
      <c r="B24" s="11"/>
      <c r="C24" s="10"/>
      <c r="D24" s="10"/>
      <c r="E24" s="10"/>
      <c r="F24" s="10"/>
      <c r="G24" s="10"/>
      <c r="H24" s="10"/>
      <c r="I24" s="10"/>
      <c r="J24" s="10" t="s">
        <v>48</v>
      </c>
      <c r="K24" s="66">
        <f t="shared" ref="K24:Q24" si="6">K20/K21</f>
        <v>1138</v>
      </c>
      <c r="L24" s="66">
        <f t="shared" si="6"/>
        <v>498.5</v>
      </c>
      <c r="M24" s="66">
        <f t="shared" si="6"/>
        <v>1681</v>
      </c>
      <c r="N24" s="66">
        <f t="shared" si="6"/>
        <v>1172.3333333333333</v>
      </c>
      <c r="O24" s="66">
        <f t="shared" si="6"/>
        <v>1116</v>
      </c>
      <c r="P24" s="66">
        <f t="shared" si="6"/>
        <v>1077.9166666666667</v>
      </c>
      <c r="Q24" s="66" t="e">
        <f t="shared" si="6"/>
        <v>#DIV/0!</v>
      </c>
      <c r="R24" s="63"/>
      <c r="S24" s="10"/>
      <c r="T24" s="10"/>
      <c r="U24" s="17"/>
      <c r="V24" s="10"/>
      <c r="W24" s="10"/>
      <c r="X24" s="10"/>
      <c r="Y24" s="2"/>
      <c r="Z24" s="2"/>
      <c r="AA24" s="2"/>
      <c r="AB24" s="2"/>
      <c r="AC24" s="2"/>
    </row>
    <row r="25" spans="1:29">
      <c r="A25" s="2"/>
      <c r="B25" s="11"/>
      <c r="C25" s="10"/>
      <c r="D25" s="10"/>
      <c r="E25" s="10"/>
      <c r="F25" s="10"/>
      <c r="G25" s="10"/>
      <c r="H25" s="10"/>
      <c r="I25" s="10"/>
      <c r="J25" s="10"/>
      <c r="K25" s="10"/>
      <c r="L25" s="10"/>
      <c r="M25" s="10"/>
      <c r="N25" s="10"/>
      <c r="O25" s="10"/>
      <c r="P25" s="10"/>
      <c r="Q25" s="10"/>
      <c r="R25" s="10"/>
      <c r="S25" s="10"/>
      <c r="T25" s="10"/>
      <c r="U25" s="17"/>
      <c r="V25" s="10"/>
      <c r="W25" s="10"/>
      <c r="X25" s="10"/>
      <c r="Y25" s="2"/>
      <c r="Z25" s="2"/>
      <c r="AA25" s="2"/>
      <c r="AB25" s="2"/>
      <c r="AC25" s="2"/>
    </row>
    <row r="26" spans="1:29">
      <c r="A26" s="2"/>
      <c r="B26" s="11"/>
      <c r="C26" s="10"/>
      <c r="D26" s="10"/>
      <c r="E26" s="10"/>
      <c r="F26" s="10"/>
      <c r="G26" s="10"/>
      <c r="H26" s="10"/>
      <c r="I26" s="10"/>
      <c r="J26" s="10"/>
      <c r="K26" s="10"/>
      <c r="L26" s="10"/>
      <c r="M26" s="10"/>
      <c r="N26" s="10"/>
      <c r="O26" s="10"/>
      <c r="P26" s="10"/>
      <c r="Q26" s="10"/>
      <c r="R26" s="10"/>
      <c r="S26" s="10"/>
      <c r="T26" s="10"/>
      <c r="U26" s="17"/>
      <c r="V26" s="10"/>
      <c r="W26" s="10"/>
      <c r="X26" s="10"/>
      <c r="Y26" s="2"/>
      <c r="Z26" s="2"/>
      <c r="AA26" s="2"/>
      <c r="AB26" s="2"/>
      <c r="AC26" s="2"/>
    </row>
    <row r="27" spans="1:29">
      <c r="A27" s="2"/>
      <c r="B27" s="18" t="s">
        <v>51</v>
      </c>
      <c r="C27" s="14"/>
      <c r="D27" s="14"/>
      <c r="E27" s="14"/>
      <c r="F27" s="13" t="s">
        <v>52</v>
      </c>
      <c r="G27" s="14"/>
      <c r="H27" s="14"/>
      <c r="I27" s="14"/>
      <c r="J27" s="14"/>
      <c r="K27" s="13" t="s">
        <v>3</v>
      </c>
      <c r="L27" s="14"/>
      <c r="M27" s="14"/>
      <c r="N27" s="13" t="s">
        <v>4</v>
      </c>
      <c r="O27" s="14"/>
      <c r="P27" s="14"/>
      <c r="Q27" s="13" t="s">
        <v>5</v>
      </c>
      <c r="R27" s="14"/>
      <c r="S27" s="14"/>
      <c r="T27" s="18"/>
      <c r="U27" s="16" t="s">
        <v>53</v>
      </c>
      <c r="V27" s="77"/>
      <c r="W27" s="77"/>
      <c r="X27" s="77"/>
      <c r="Y27" s="2"/>
      <c r="Z27" s="2"/>
      <c r="AA27" s="2"/>
      <c r="AB27" s="2"/>
      <c r="AC27" s="2"/>
    </row>
    <row r="28" spans="1:29">
      <c r="A28" s="2"/>
      <c r="B28" s="24" t="s">
        <v>54</v>
      </c>
      <c r="C28" s="21" t="s">
        <v>55</v>
      </c>
      <c r="D28" s="21" t="s">
        <v>56</v>
      </c>
      <c r="E28" s="21" t="s">
        <v>57</v>
      </c>
      <c r="F28" s="20" t="s">
        <v>58</v>
      </c>
      <c r="G28" s="21" t="s">
        <v>59</v>
      </c>
      <c r="H28" s="21" t="s">
        <v>60</v>
      </c>
      <c r="I28" s="21" t="s">
        <v>26</v>
      </c>
      <c r="J28" s="22" t="s">
        <v>61</v>
      </c>
      <c r="K28" s="21" t="s">
        <v>8</v>
      </c>
      <c r="L28" s="21" t="s">
        <v>9</v>
      </c>
      <c r="M28" s="21" t="s">
        <v>10</v>
      </c>
      <c r="N28" s="20" t="s">
        <v>11</v>
      </c>
      <c r="O28" s="21" t="s">
        <v>12</v>
      </c>
      <c r="P28" s="22" t="s">
        <v>13</v>
      </c>
      <c r="Q28" s="21" t="s">
        <v>11</v>
      </c>
      <c r="R28" s="21" t="s">
        <v>12</v>
      </c>
      <c r="S28" s="21" t="s">
        <v>13</v>
      </c>
      <c r="T28" s="78" t="s">
        <v>14</v>
      </c>
      <c r="U28" s="30"/>
      <c r="V28" s="79" t="s">
        <v>62</v>
      </c>
      <c r="W28" s="80" t="s">
        <v>63</v>
      </c>
      <c r="X28" s="81" t="s">
        <v>64</v>
      </c>
      <c r="Y28" s="2"/>
      <c r="Z28" s="2"/>
      <c r="AA28" s="2"/>
      <c r="AB28" s="2"/>
      <c r="AC28" s="2"/>
    </row>
    <row r="29" spans="1:29">
      <c r="A29" s="2"/>
      <c r="B29" s="4" t="s">
        <v>65</v>
      </c>
      <c r="C29" s="6"/>
      <c r="D29" s="6"/>
      <c r="E29" s="6"/>
      <c r="F29" s="6"/>
      <c r="G29" s="6"/>
      <c r="H29" s="6"/>
      <c r="I29" s="82"/>
      <c r="J29" s="6"/>
      <c r="K29" s="6"/>
      <c r="L29" s="6"/>
      <c r="M29" s="6"/>
      <c r="N29" s="6"/>
      <c r="O29" s="6"/>
      <c r="P29" s="6"/>
      <c r="Q29" s="6"/>
      <c r="R29" s="6"/>
      <c r="S29" s="6"/>
      <c r="T29" s="83"/>
      <c r="U29" s="6"/>
      <c r="V29" s="84"/>
      <c r="W29" s="85"/>
      <c r="X29" s="86"/>
      <c r="Y29" s="2"/>
      <c r="Z29" s="2"/>
      <c r="AA29" s="2"/>
      <c r="AB29" s="2"/>
      <c r="AC29" s="2"/>
    </row>
    <row r="30" spans="1:29">
      <c r="A30" s="2"/>
      <c r="B30" s="87">
        <v>1</v>
      </c>
      <c r="C30" s="262">
        <v>45831</v>
      </c>
      <c r="D30" s="263">
        <v>70916</v>
      </c>
      <c r="E30" s="271" t="s">
        <v>344</v>
      </c>
      <c r="F30" s="265">
        <v>1138</v>
      </c>
      <c r="G30" s="265">
        <v>39.700000000000003</v>
      </c>
      <c r="H30" s="365"/>
      <c r="I30" s="266">
        <f t="shared" ref="I30:I37" si="7">F30-G30-H30</f>
        <v>1098.3</v>
      </c>
      <c r="J30" s="267" t="s">
        <v>156</v>
      </c>
      <c r="K30" s="267">
        <v>1</v>
      </c>
      <c r="L30" s="267">
        <v>0</v>
      </c>
      <c r="M30" s="267">
        <v>1</v>
      </c>
      <c r="N30" s="267">
        <v>1</v>
      </c>
      <c r="O30" s="267">
        <v>1</v>
      </c>
      <c r="P30" s="314">
        <v>0</v>
      </c>
      <c r="Q30" s="314">
        <v>0</v>
      </c>
      <c r="R30" s="314">
        <v>0</v>
      </c>
      <c r="S30" s="366">
        <v>0</v>
      </c>
      <c r="T30" s="63"/>
      <c r="U30" s="10"/>
      <c r="V30" s="90">
        <v>1251.8</v>
      </c>
      <c r="W30" s="91"/>
      <c r="X30" s="92"/>
      <c r="Y30" s="2"/>
      <c r="Z30" s="2"/>
      <c r="AA30" s="2"/>
      <c r="AB30" s="2"/>
      <c r="AC30" s="2"/>
    </row>
    <row r="31" spans="1:29">
      <c r="A31" s="2"/>
      <c r="B31" s="87">
        <f>B30+1</f>
        <v>2</v>
      </c>
      <c r="C31" s="274">
        <v>45832</v>
      </c>
      <c r="D31" s="327">
        <v>70991</v>
      </c>
      <c r="E31" s="276" t="s">
        <v>1342</v>
      </c>
      <c r="F31" s="277">
        <v>481</v>
      </c>
      <c r="G31" s="277"/>
      <c r="H31" s="277"/>
      <c r="I31" s="278">
        <f>F31-G31-H31</f>
        <v>481</v>
      </c>
      <c r="J31" s="279" t="s">
        <v>374</v>
      </c>
      <c r="K31" s="279">
        <v>1</v>
      </c>
      <c r="L31" s="279">
        <v>1</v>
      </c>
      <c r="M31" s="279">
        <v>1</v>
      </c>
      <c r="N31" s="279">
        <v>1</v>
      </c>
      <c r="O31" s="279">
        <v>1</v>
      </c>
      <c r="P31" s="279">
        <v>1</v>
      </c>
      <c r="Q31" s="279">
        <v>1</v>
      </c>
      <c r="R31" s="279">
        <v>1</v>
      </c>
      <c r="S31" s="280">
        <v>1</v>
      </c>
      <c r="T31" s="63"/>
      <c r="U31" s="10"/>
      <c r="V31" s="90">
        <v>529.1</v>
      </c>
      <c r="W31" s="91"/>
      <c r="X31" s="92"/>
      <c r="Y31" s="2"/>
      <c r="Z31" s="2"/>
      <c r="AA31" s="2"/>
      <c r="AB31" s="2"/>
      <c r="AC31" s="2"/>
    </row>
    <row r="32" spans="1:29">
      <c r="A32" s="2"/>
      <c r="B32" s="87">
        <f>B31+1</f>
        <v>3</v>
      </c>
      <c r="C32" s="295">
        <v>45832</v>
      </c>
      <c r="D32" s="323">
        <v>70996</v>
      </c>
      <c r="E32" s="10" t="s">
        <v>1342</v>
      </c>
      <c r="F32" s="62">
        <v>516</v>
      </c>
      <c r="G32" s="62"/>
      <c r="H32" s="62"/>
      <c r="I32" s="89">
        <f>F32-G32-H32</f>
        <v>516</v>
      </c>
      <c r="J32" s="63" t="s">
        <v>817</v>
      </c>
      <c r="K32" s="63">
        <v>1</v>
      </c>
      <c r="L32" s="63">
        <v>1</v>
      </c>
      <c r="M32" s="63">
        <v>1</v>
      </c>
      <c r="N32" s="63">
        <v>1</v>
      </c>
      <c r="O32" s="63">
        <v>1</v>
      </c>
      <c r="P32" s="63">
        <v>1</v>
      </c>
      <c r="Q32" s="63">
        <v>1</v>
      </c>
      <c r="R32" s="63">
        <v>1</v>
      </c>
      <c r="S32" s="296">
        <v>1</v>
      </c>
      <c r="T32" s="63"/>
      <c r="U32" s="10" t="s">
        <v>1343</v>
      </c>
      <c r="V32" s="90">
        <v>10.6</v>
      </c>
      <c r="W32" s="367">
        <v>557</v>
      </c>
      <c r="X32" s="92"/>
      <c r="Y32" s="2"/>
      <c r="Z32" s="2"/>
      <c r="AA32" s="2"/>
      <c r="AB32" s="2"/>
      <c r="AC32" s="2"/>
    </row>
    <row r="33" spans="1:31">
      <c r="A33" s="388">
        <v>45847</v>
      </c>
      <c r="B33" s="87">
        <f>B32+1</f>
        <v>4</v>
      </c>
      <c r="C33" s="274">
        <v>45834</v>
      </c>
      <c r="D33" s="327">
        <v>71011</v>
      </c>
      <c r="E33" s="276" t="s">
        <v>1058</v>
      </c>
      <c r="F33" s="277">
        <v>1138</v>
      </c>
      <c r="G33" s="277">
        <v>39.700000000000003</v>
      </c>
      <c r="H33" s="277"/>
      <c r="I33" s="278">
        <f t="shared" si="7"/>
        <v>1098.3</v>
      </c>
      <c r="J33" s="279" t="s">
        <v>156</v>
      </c>
      <c r="K33" s="279">
        <v>1</v>
      </c>
      <c r="L33" s="279">
        <v>1</v>
      </c>
      <c r="M33" s="279">
        <v>1</v>
      </c>
      <c r="N33" s="279">
        <v>1</v>
      </c>
      <c r="O33" s="279">
        <v>1</v>
      </c>
      <c r="P33" s="279">
        <v>1</v>
      </c>
      <c r="Q33" s="279">
        <v>1</v>
      </c>
      <c r="R33" s="279">
        <v>1</v>
      </c>
      <c r="S33" s="280">
        <v>1</v>
      </c>
      <c r="T33" s="63"/>
      <c r="U33" s="10" t="s">
        <v>1344</v>
      </c>
      <c r="V33" s="90">
        <v>1251.8</v>
      </c>
      <c r="W33" s="91"/>
      <c r="X33" s="92"/>
      <c r="Y33" s="2"/>
      <c r="Z33" s="2"/>
      <c r="AA33" s="2"/>
      <c r="AB33" s="2"/>
      <c r="AC33" s="2"/>
    </row>
    <row r="34" spans="1:31">
      <c r="A34" s="93"/>
      <c r="B34" s="87">
        <f t="shared" ref="B34" si="8">B33+1</f>
        <v>5</v>
      </c>
      <c r="C34" s="295">
        <v>45834</v>
      </c>
      <c r="D34" s="323">
        <v>71029</v>
      </c>
      <c r="E34" s="10" t="s">
        <v>1345</v>
      </c>
      <c r="F34" s="62">
        <v>516</v>
      </c>
      <c r="G34" s="62"/>
      <c r="H34" s="62"/>
      <c r="I34" s="89">
        <f t="shared" si="7"/>
        <v>516</v>
      </c>
      <c r="J34" s="63" t="s">
        <v>156</v>
      </c>
      <c r="K34" s="63">
        <v>1</v>
      </c>
      <c r="L34" s="63">
        <v>1</v>
      </c>
      <c r="M34" s="63">
        <v>1</v>
      </c>
      <c r="N34" s="63">
        <v>1</v>
      </c>
      <c r="O34" s="63">
        <v>1</v>
      </c>
      <c r="P34" s="63">
        <v>1</v>
      </c>
      <c r="Q34" s="63">
        <v>1</v>
      </c>
      <c r="R34" s="63">
        <v>1</v>
      </c>
      <c r="S34" s="296">
        <v>1</v>
      </c>
      <c r="T34" s="63"/>
      <c r="U34" s="10"/>
      <c r="V34" s="90">
        <v>567.6</v>
      </c>
      <c r="W34" s="91"/>
      <c r="X34" s="92"/>
      <c r="Y34" s="2"/>
      <c r="Z34" s="2"/>
      <c r="AA34" s="2"/>
      <c r="AB34" s="2"/>
      <c r="AC34" s="2"/>
    </row>
    <row r="35" spans="1:31">
      <c r="A35" s="2"/>
      <c r="B35" s="87">
        <f>B34+1</f>
        <v>6</v>
      </c>
      <c r="C35" s="295">
        <v>45834</v>
      </c>
      <c r="D35" s="323">
        <v>71031</v>
      </c>
      <c r="E35" s="10" t="s">
        <v>296</v>
      </c>
      <c r="F35" s="62">
        <v>1863</v>
      </c>
      <c r="G35" s="62">
        <v>39.700000000000003</v>
      </c>
      <c r="H35" s="62"/>
      <c r="I35" s="324">
        <f>F35-G35-H35</f>
        <v>1823.3</v>
      </c>
      <c r="J35" s="63" t="s">
        <v>374</v>
      </c>
      <c r="K35" s="63">
        <v>1</v>
      </c>
      <c r="L35" s="63">
        <v>1</v>
      </c>
      <c r="M35" s="63">
        <v>1</v>
      </c>
      <c r="N35" s="63">
        <v>1</v>
      </c>
      <c r="O35" s="63">
        <v>1</v>
      </c>
      <c r="P35" s="325">
        <v>0</v>
      </c>
      <c r="Q35" s="63">
        <v>1</v>
      </c>
      <c r="R35" s="63">
        <v>1</v>
      </c>
      <c r="S35" s="326">
        <v>0</v>
      </c>
      <c r="T35" s="63"/>
      <c r="U35" s="10" t="s">
        <v>1346</v>
      </c>
      <c r="V35" s="138">
        <v>2049.3000000000002</v>
      </c>
      <c r="W35" s="136"/>
      <c r="X35" s="137"/>
      <c r="Y35" s="2"/>
      <c r="Z35" s="2"/>
      <c r="AA35" s="2"/>
      <c r="AB35" s="2"/>
      <c r="AC35" s="2"/>
    </row>
    <row r="36" spans="1:31">
      <c r="A36" s="2"/>
      <c r="B36" s="87">
        <f>B35+1</f>
        <v>7</v>
      </c>
      <c r="C36" s="274">
        <v>45835</v>
      </c>
      <c r="D36" s="327">
        <v>71048</v>
      </c>
      <c r="E36" s="281" t="s">
        <v>444</v>
      </c>
      <c r="F36" s="277">
        <v>1264</v>
      </c>
      <c r="G36" s="277">
        <v>39.700000000000003</v>
      </c>
      <c r="H36" s="277"/>
      <c r="I36" s="278">
        <f>F36-G36-H36</f>
        <v>1224.3</v>
      </c>
      <c r="J36" s="279" t="s">
        <v>374</v>
      </c>
      <c r="K36" s="279">
        <v>1</v>
      </c>
      <c r="L36" s="279">
        <v>1</v>
      </c>
      <c r="M36" s="279">
        <v>1</v>
      </c>
      <c r="N36" s="279">
        <v>1</v>
      </c>
      <c r="O36" s="279">
        <v>1</v>
      </c>
      <c r="P36" s="279">
        <v>1</v>
      </c>
      <c r="Q36" s="279">
        <v>1</v>
      </c>
      <c r="R36" s="279">
        <v>1</v>
      </c>
      <c r="S36" s="280">
        <v>1</v>
      </c>
      <c r="T36" s="63"/>
      <c r="U36" s="10" t="s">
        <v>1347</v>
      </c>
      <c r="V36" s="90">
        <v>1390.4</v>
      </c>
      <c r="W36" s="91"/>
      <c r="X36" s="92"/>
      <c r="Y36" s="2"/>
      <c r="Z36" s="2"/>
      <c r="AA36" s="2"/>
      <c r="AB36" s="2"/>
      <c r="AC36" s="2"/>
    </row>
    <row r="37" spans="1:31">
      <c r="A37" s="2"/>
      <c r="B37" s="87">
        <f>B36+1</f>
        <v>8</v>
      </c>
      <c r="C37" s="295">
        <v>45835</v>
      </c>
      <c r="D37" s="323">
        <v>71067</v>
      </c>
      <c r="E37" s="94" t="s">
        <v>1348</v>
      </c>
      <c r="F37" s="62">
        <v>966</v>
      </c>
      <c r="G37" s="62">
        <v>39.700000000000003</v>
      </c>
      <c r="H37" s="62"/>
      <c r="I37" s="89">
        <f t="shared" si="7"/>
        <v>926.3</v>
      </c>
      <c r="J37" s="63" t="s">
        <v>156</v>
      </c>
      <c r="K37" s="63">
        <v>1</v>
      </c>
      <c r="L37" s="63">
        <v>1</v>
      </c>
      <c r="M37" s="63">
        <v>1</v>
      </c>
      <c r="N37" s="63">
        <v>1</v>
      </c>
      <c r="O37" s="63">
        <v>1</v>
      </c>
      <c r="P37" s="63">
        <v>1</v>
      </c>
      <c r="Q37" s="63">
        <v>1</v>
      </c>
      <c r="R37" s="63">
        <v>1</v>
      </c>
      <c r="S37" s="296">
        <v>1</v>
      </c>
      <c r="T37" s="63"/>
      <c r="U37" s="10"/>
      <c r="V37" s="90">
        <v>1062.5999999999999</v>
      </c>
      <c r="W37" s="91"/>
      <c r="X37" s="92"/>
      <c r="Y37" s="2"/>
      <c r="Z37" s="2"/>
      <c r="AA37" s="2"/>
      <c r="AB37" s="2"/>
      <c r="AC37" s="2"/>
    </row>
    <row r="38" spans="1:31">
      <c r="A38" s="2"/>
      <c r="B38" s="87">
        <f>B37+1</f>
        <v>9</v>
      </c>
      <c r="C38" s="295">
        <v>45835</v>
      </c>
      <c r="D38" s="346" t="s">
        <v>1349</v>
      </c>
      <c r="E38" s="101" t="s">
        <v>322</v>
      </c>
      <c r="F38" s="62">
        <v>919</v>
      </c>
      <c r="G38" s="62">
        <v>39.700000000000003</v>
      </c>
      <c r="H38" s="62"/>
      <c r="I38" s="89">
        <f>F38-G38-H38</f>
        <v>879.3</v>
      </c>
      <c r="J38" s="63" t="s">
        <v>374</v>
      </c>
      <c r="K38" s="63">
        <v>1</v>
      </c>
      <c r="L38" s="63">
        <v>0</v>
      </c>
      <c r="M38" s="63">
        <v>1</v>
      </c>
      <c r="N38" s="63">
        <v>1</v>
      </c>
      <c r="O38" s="63">
        <v>1</v>
      </c>
      <c r="P38" s="63">
        <v>1</v>
      </c>
      <c r="Q38" s="63">
        <v>1</v>
      </c>
      <c r="R38" s="63">
        <v>1</v>
      </c>
      <c r="S38" s="296">
        <v>1</v>
      </c>
      <c r="T38" s="63"/>
      <c r="U38" s="10" t="s">
        <v>1350</v>
      </c>
      <c r="V38" s="90">
        <v>1010.9</v>
      </c>
      <c r="W38" s="91"/>
      <c r="X38" s="92"/>
      <c r="Y38" s="2"/>
      <c r="Z38" s="2"/>
      <c r="AA38" s="2"/>
      <c r="AB38" s="2"/>
      <c r="AC38" s="2"/>
    </row>
    <row r="39" spans="1:31">
      <c r="A39" s="2"/>
      <c r="B39" s="87">
        <f>B38+1</f>
        <v>10</v>
      </c>
      <c r="C39" s="282">
        <v>45835</v>
      </c>
      <c r="D39" s="368">
        <v>71060</v>
      </c>
      <c r="E39" s="319" t="s">
        <v>299</v>
      </c>
      <c r="F39" s="284">
        <v>1315</v>
      </c>
      <c r="G39" s="284">
        <v>39.5</v>
      </c>
      <c r="H39" s="284"/>
      <c r="I39" s="285">
        <f>F39-G39-H39</f>
        <v>1275.5</v>
      </c>
      <c r="J39" s="286" t="s">
        <v>374</v>
      </c>
      <c r="K39" s="286">
        <v>1</v>
      </c>
      <c r="L39" s="286">
        <v>1</v>
      </c>
      <c r="M39" s="286">
        <v>1</v>
      </c>
      <c r="N39" s="286">
        <v>1</v>
      </c>
      <c r="O39" s="286">
        <v>1</v>
      </c>
      <c r="P39" s="286">
        <v>1</v>
      </c>
      <c r="Q39" s="286">
        <v>1</v>
      </c>
      <c r="R39" s="286">
        <v>1</v>
      </c>
      <c r="S39" s="287">
        <v>1</v>
      </c>
      <c r="T39" s="63"/>
      <c r="U39" s="10" t="s">
        <v>1351</v>
      </c>
      <c r="V39" s="90">
        <v>1446.5</v>
      </c>
      <c r="W39" s="91"/>
      <c r="X39" s="92"/>
      <c r="Y39" s="2"/>
      <c r="Z39" s="2"/>
      <c r="AA39" s="2"/>
      <c r="AB39" s="2"/>
      <c r="AC39" s="2"/>
    </row>
    <row r="40" spans="1:31">
      <c r="A40" s="2"/>
      <c r="B40" s="87"/>
      <c r="C40" s="36"/>
      <c r="D40" s="10"/>
      <c r="E40" s="10"/>
      <c r="F40" s="98">
        <f>SUM(F30:F39)</f>
        <v>10116</v>
      </c>
      <c r="G40" s="98">
        <f>SUM(G30:G39)</f>
        <v>277.7</v>
      </c>
      <c r="H40" s="98">
        <f>SUM(H30:H39)</f>
        <v>0</v>
      </c>
      <c r="I40" s="98">
        <f>SUM(I30:I39)</f>
        <v>9838.3000000000011</v>
      </c>
      <c r="J40" s="63"/>
      <c r="K40" s="63">
        <f>COUNT(K30:K39)</f>
        <v>10</v>
      </c>
      <c r="L40" s="63">
        <f t="shared" ref="L40:S40" si="9">COUNT(L30:L39)</f>
        <v>10</v>
      </c>
      <c r="M40" s="63">
        <f t="shared" si="9"/>
        <v>10</v>
      </c>
      <c r="N40" s="63">
        <f t="shared" si="9"/>
        <v>10</v>
      </c>
      <c r="O40" s="63">
        <f t="shared" si="9"/>
        <v>10</v>
      </c>
      <c r="P40" s="63">
        <f t="shared" si="9"/>
        <v>10</v>
      </c>
      <c r="Q40" s="63">
        <f t="shared" si="9"/>
        <v>10</v>
      </c>
      <c r="R40" s="63">
        <f t="shared" si="9"/>
        <v>10</v>
      </c>
      <c r="S40" s="63">
        <f t="shared" si="9"/>
        <v>10</v>
      </c>
      <c r="T40" s="63"/>
      <c r="U40" s="10"/>
      <c r="V40" s="90"/>
      <c r="W40" s="91"/>
      <c r="X40" s="92"/>
      <c r="Y40" s="2"/>
      <c r="Z40" s="2"/>
      <c r="AA40" s="2"/>
      <c r="AB40" s="2"/>
      <c r="AC40" s="2"/>
    </row>
    <row r="41" spans="1:31">
      <c r="A41" s="2"/>
      <c r="B41" s="87"/>
      <c r="C41" s="36"/>
      <c r="D41" s="10"/>
      <c r="E41" s="10"/>
      <c r="F41" s="88"/>
      <c r="G41" s="88"/>
      <c r="H41" s="88"/>
      <c r="I41" s="99"/>
      <c r="J41" s="63"/>
      <c r="K41" s="21">
        <f>SUM(K30:K39)</f>
        <v>10</v>
      </c>
      <c r="L41" s="21">
        <f t="shared" ref="L41:S41" si="10">SUM(L30:L39)</f>
        <v>8</v>
      </c>
      <c r="M41" s="21">
        <f t="shared" si="10"/>
        <v>10</v>
      </c>
      <c r="N41" s="21">
        <f t="shared" si="10"/>
        <v>10</v>
      </c>
      <c r="O41" s="21">
        <f t="shared" si="10"/>
        <v>10</v>
      </c>
      <c r="P41" s="21">
        <f t="shared" si="10"/>
        <v>8</v>
      </c>
      <c r="Q41" s="21">
        <f t="shared" si="10"/>
        <v>9</v>
      </c>
      <c r="R41" s="21">
        <f t="shared" si="10"/>
        <v>9</v>
      </c>
      <c r="S41" s="21">
        <f t="shared" si="10"/>
        <v>8</v>
      </c>
      <c r="T41" s="63"/>
      <c r="U41" s="10"/>
      <c r="V41" s="90"/>
      <c r="W41" s="91"/>
      <c r="X41" s="92"/>
      <c r="Y41" s="2"/>
      <c r="Z41" s="2"/>
      <c r="AA41" s="2"/>
      <c r="AB41" s="2"/>
      <c r="AC41" s="2"/>
    </row>
    <row r="42" spans="1:31">
      <c r="A42" s="2"/>
      <c r="B42" s="11"/>
      <c r="C42" s="36"/>
      <c r="D42" s="10"/>
      <c r="E42" s="10"/>
      <c r="F42" s="88"/>
      <c r="G42" s="88"/>
      <c r="H42" s="88"/>
      <c r="I42" s="99"/>
      <c r="J42" s="63"/>
      <c r="K42" s="21"/>
      <c r="L42" s="21"/>
      <c r="M42" s="21"/>
      <c r="N42" s="21"/>
      <c r="O42" s="21"/>
      <c r="P42" s="21"/>
      <c r="Q42" s="21"/>
      <c r="R42" s="21"/>
      <c r="S42" s="21"/>
      <c r="T42" s="63"/>
      <c r="U42" s="10"/>
      <c r="V42" s="90"/>
      <c r="W42" s="91"/>
      <c r="X42" s="92"/>
      <c r="Y42" s="2"/>
      <c r="Z42" s="2"/>
      <c r="AA42" s="2"/>
      <c r="AB42" s="2"/>
      <c r="AC42" s="2"/>
    </row>
    <row r="43" spans="1:31">
      <c r="A43" s="2"/>
      <c r="B43" s="100" t="s">
        <v>67</v>
      </c>
      <c r="C43" s="36"/>
      <c r="D43" s="10"/>
      <c r="E43" s="10"/>
      <c r="F43" s="88"/>
      <c r="G43" s="62"/>
      <c r="H43" s="88"/>
      <c r="I43" s="99"/>
      <c r="J43" s="63"/>
      <c r="K43" s="2"/>
      <c r="L43" s="2"/>
      <c r="M43" s="2"/>
      <c r="N43" s="2"/>
      <c r="O43" s="2"/>
      <c r="P43" s="2"/>
      <c r="Q43" s="2"/>
      <c r="R43" s="2"/>
      <c r="S43" s="2"/>
      <c r="T43" s="63"/>
      <c r="U43" s="94"/>
      <c r="V43" s="90"/>
      <c r="W43" s="91"/>
      <c r="X43" s="92"/>
      <c r="Y43" s="2"/>
      <c r="Z43" s="2"/>
      <c r="AA43" s="2"/>
      <c r="AB43" s="2"/>
      <c r="AC43" s="2"/>
    </row>
    <row r="44" spans="1:31">
      <c r="A44" s="261" t="s">
        <v>1352</v>
      </c>
      <c r="B44" s="87">
        <v>1</v>
      </c>
      <c r="C44" s="262">
        <v>45819</v>
      </c>
      <c r="D44" s="263">
        <v>70680</v>
      </c>
      <c r="E44" s="264" t="s">
        <v>204</v>
      </c>
      <c r="F44" s="265">
        <v>2861</v>
      </c>
      <c r="G44" s="265">
        <f>39.7+(54.28-11.08)</f>
        <v>82.9</v>
      </c>
      <c r="H44" s="265"/>
      <c r="I44" s="266">
        <f>F44-G44-H44</f>
        <v>2778.1</v>
      </c>
      <c r="J44" s="267" t="s">
        <v>374</v>
      </c>
      <c r="K44" s="267">
        <v>1</v>
      </c>
      <c r="L44" s="267">
        <v>1</v>
      </c>
      <c r="M44" s="267">
        <v>1</v>
      </c>
      <c r="N44" s="267">
        <v>1</v>
      </c>
      <c r="O44" s="267">
        <v>1</v>
      </c>
      <c r="P44" s="314">
        <v>0</v>
      </c>
      <c r="Q44" s="314">
        <v>0</v>
      </c>
      <c r="R44" s="314">
        <v>0</v>
      </c>
      <c r="S44" s="366">
        <v>0</v>
      </c>
      <c r="T44" s="63"/>
      <c r="U44" s="10" t="s">
        <v>1353</v>
      </c>
      <c r="V44" s="90">
        <f>3147.1</f>
        <v>3147.1</v>
      </c>
      <c r="W44" s="91"/>
      <c r="X44" s="92"/>
      <c r="Y44" s="181"/>
      <c r="Z44" s="181"/>
      <c r="AA44" s="181"/>
      <c r="AB44" s="181"/>
      <c r="AC44" s="181"/>
      <c r="AD44" s="260"/>
      <c r="AE44" s="260"/>
    </row>
    <row r="45" spans="1:31">
      <c r="A45" s="2"/>
      <c r="B45" s="11"/>
      <c r="C45" s="36"/>
      <c r="D45" s="10"/>
      <c r="E45" s="10"/>
      <c r="F45" s="97">
        <f>SUM(F44:F44)</f>
        <v>2861</v>
      </c>
      <c r="G45" s="97">
        <f>SUM(G44:G44)</f>
        <v>82.9</v>
      </c>
      <c r="H45" s="97">
        <f>SUM(H44:H44)</f>
        <v>0</v>
      </c>
      <c r="I45" s="98">
        <f>SUM(I44:I44)</f>
        <v>2778.1</v>
      </c>
      <c r="J45" s="63"/>
      <c r="K45" s="21"/>
      <c r="L45" s="21"/>
      <c r="M45" s="21"/>
      <c r="N45" s="21"/>
      <c r="O45" s="21"/>
      <c r="P45" s="21"/>
      <c r="Q45" s="21"/>
      <c r="R45" s="21"/>
      <c r="S45" s="21"/>
      <c r="T45" s="63"/>
      <c r="U45" s="94"/>
      <c r="V45" s="90"/>
      <c r="W45" s="91"/>
      <c r="X45" s="92"/>
      <c r="Y45" s="2"/>
      <c r="Z45" s="2"/>
      <c r="AA45" s="2"/>
      <c r="AB45" s="2"/>
      <c r="AC45" s="2"/>
    </row>
    <row r="46" spans="1:31">
      <c r="A46" s="2"/>
      <c r="B46" s="11"/>
      <c r="C46" s="36"/>
      <c r="D46" s="10"/>
      <c r="E46" s="10"/>
      <c r="F46" s="88"/>
      <c r="G46" s="88"/>
      <c r="H46" s="88"/>
      <c r="I46" s="99"/>
      <c r="J46" s="63"/>
      <c r="K46" s="21"/>
      <c r="L46" s="21"/>
      <c r="M46" s="21"/>
      <c r="N46" s="21"/>
      <c r="O46" s="21"/>
      <c r="P46" s="21"/>
      <c r="Q46" s="21"/>
      <c r="R46" s="21"/>
      <c r="S46" s="21"/>
      <c r="T46" s="63"/>
      <c r="U46" s="94"/>
      <c r="V46" s="90"/>
      <c r="W46" s="91"/>
      <c r="X46" s="92"/>
      <c r="Y46" s="2"/>
      <c r="Z46" s="2"/>
      <c r="AA46" s="2"/>
      <c r="AB46" s="2"/>
      <c r="AC46" s="2"/>
    </row>
    <row r="47" spans="1:31" s="342" customFormat="1">
      <c r="A47" s="128"/>
      <c r="B47" s="121" t="s">
        <v>68</v>
      </c>
      <c r="C47" s="122"/>
      <c r="D47" s="123"/>
      <c r="E47" s="123"/>
      <c r="F47" s="124"/>
      <c r="G47" s="125"/>
      <c r="H47" s="124"/>
      <c r="I47" s="126"/>
      <c r="J47" s="127"/>
      <c r="K47" s="128"/>
      <c r="L47" s="128"/>
      <c r="M47" s="128"/>
      <c r="N47" s="128"/>
      <c r="O47" s="128"/>
      <c r="P47" s="128"/>
      <c r="Q47" s="128"/>
      <c r="R47" s="128"/>
      <c r="S47" s="128"/>
      <c r="T47" s="127"/>
      <c r="U47" s="123"/>
      <c r="V47" s="129"/>
      <c r="W47" s="130"/>
      <c r="X47" s="131"/>
      <c r="Y47" s="128"/>
      <c r="Z47" s="128"/>
      <c r="AA47" s="128"/>
      <c r="AB47" s="128"/>
      <c r="AC47" s="128"/>
    </row>
    <row r="48" spans="1:31" s="342" customFormat="1">
      <c r="A48" s="356">
        <v>0.05</v>
      </c>
      <c r="B48" s="333">
        <v>1</v>
      </c>
      <c r="C48" s="350">
        <v>45833</v>
      </c>
      <c r="D48" s="263">
        <v>71034</v>
      </c>
      <c r="E48" s="358" t="s">
        <v>596</v>
      </c>
      <c r="F48" s="352">
        <f>1866-185</f>
        <v>1681</v>
      </c>
      <c r="G48" s="352">
        <v>39.700000000000003</v>
      </c>
      <c r="H48" s="352"/>
      <c r="I48" s="353">
        <f>F48-G48-H48</f>
        <v>1641.3</v>
      </c>
      <c r="J48" s="354" t="s">
        <v>156</v>
      </c>
      <c r="K48" s="354">
        <v>1</v>
      </c>
      <c r="L48" s="354">
        <v>1</v>
      </c>
      <c r="M48" s="354">
        <v>1</v>
      </c>
      <c r="N48" s="354">
        <v>1</v>
      </c>
      <c r="O48" s="354">
        <v>1</v>
      </c>
      <c r="P48" s="354">
        <v>1</v>
      </c>
      <c r="Q48" s="354">
        <v>1</v>
      </c>
      <c r="R48" s="314">
        <v>0</v>
      </c>
      <c r="S48" s="355">
        <v>1</v>
      </c>
      <c r="T48" s="127"/>
      <c r="U48" s="123" t="s">
        <v>1354</v>
      </c>
      <c r="V48" s="129">
        <v>203.5</v>
      </c>
      <c r="W48" s="340"/>
      <c r="X48" s="341"/>
      <c r="Y48" s="128"/>
      <c r="Z48" s="128"/>
      <c r="AA48" s="128"/>
      <c r="AB48" s="128"/>
      <c r="AC48" s="128"/>
    </row>
    <row r="49" spans="1:31" s="342" customFormat="1">
      <c r="A49" s="128"/>
      <c r="B49" s="132"/>
      <c r="C49" s="122"/>
      <c r="D49" s="123"/>
      <c r="E49" s="123"/>
      <c r="F49" s="134">
        <f>SUM(F48:F48)</f>
        <v>1681</v>
      </c>
      <c r="G49" s="134">
        <f>SUM(G48:G48)</f>
        <v>39.700000000000003</v>
      </c>
      <c r="H49" s="134">
        <f>SUM(H48:H48)</f>
        <v>0</v>
      </c>
      <c r="I49" s="134">
        <f>SUM(I48:I48)</f>
        <v>1641.3</v>
      </c>
      <c r="J49" s="127"/>
      <c r="K49" s="64"/>
      <c r="L49" s="64"/>
      <c r="M49" s="64"/>
      <c r="N49" s="64"/>
      <c r="O49" s="64"/>
      <c r="P49" s="64"/>
      <c r="Q49" s="64"/>
      <c r="R49" s="64"/>
      <c r="S49" s="64"/>
      <c r="T49" s="127"/>
      <c r="U49" s="123"/>
      <c r="V49" s="129"/>
      <c r="W49" s="130"/>
      <c r="X49" s="131"/>
      <c r="Y49" s="128"/>
      <c r="Z49" s="128"/>
      <c r="AA49" s="128"/>
      <c r="AB49" s="128"/>
      <c r="AC49" s="128"/>
    </row>
    <row r="50" spans="1:31" s="342" customFormat="1">
      <c r="A50" s="128"/>
      <c r="B50" s="132"/>
      <c r="C50" s="122"/>
      <c r="D50" s="123"/>
      <c r="E50" s="123"/>
      <c r="F50" s="124"/>
      <c r="G50" s="124"/>
      <c r="H50" s="124"/>
      <c r="I50" s="126"/>
      <c r="J50" s="127"/>
      <c r="K50" s="64"/>
      <c r="L50" s="64"/>
      <c r="M50" s="64"/>
      <c r="N50" s="64"/>
      <c r="O50" s="64"/>
      <c r="P50" s="64"/>
      <c r="Q50" s="64"/>
      <c r="R50" s="64"/>
      <c r="S50" s="64"/>
      <c r="T50" s="127"/>
      <c r="U50" s="123"/>
      <c r="V50" s="129"/>
      <c r="W50" s="130"/>
      <c r="X50" s="131"/>
      <c r="Y50" s="128"/>
      <c r="Z50" s="128"/>
      <c r="AA50" s="128"/>
      <c r="AB50" s="128"/>
      <c r="AC50" s="128"/>
    </row>
    <row r="51" spans="1:31" s="342" customFormat="1">
      <c r="A51" s="128"/>
      <c r="B51" s="121" t="s">
        <v>70</v>
      </c>
      <c r="C51" s="122"/>
      <c r="D51" s="123"/>
      <c r="E51" s="128"/>
      <c r="F51" s="124"/>
      <c r="G51" s="124"/>
      <c r="H51" s="124"/>
      <c r="I51" s="126"/>
      <c r="J51" s="127"/>
      <c r="K51" s="64"/>
      <c r="L51" s="64"/>
      <c r="M51" s="64"/>
      <c r="N51" s="64"/>
      <c r="O51" s="64"/>
      <c r="P51" s="64"/>
      <c r="Q51" s="64"/>
      <c r="R51" s="64"/>
      <c r="S51" s="64"/>
      <c r="T51" s="127"/>
      <c r="U51" s="123"/>
      <c r="V51" s="129"/>
      <c r="W51" s="130"/>
      <c r="X51" s="131"/>
      <c r="Y51" s="128"/>
      <c r="Z51" s="128"/>
      <c r="AA51" s="128"/>
      <c r="AB51" s="128"/>
      <c r="AC51" s="128"/>
    </row>
    <row r="52" spans="1:31" s="342" customFormat="1">
      <c r="A52" s="356">
        <v>0.05</v>
      </c>
      <c r="B52" s="333">
        <v>1</v>
      </c>
      <c r="C52" s="350">
        <v>45831</v>
      </c>
      <c r="D52" s="263">
        <v>70945</v>
      </c>
      <c r="E52" s="358" t="s">
        <v>572</v>
      </c>
      <c r="F52" s="352">
        <v>1138</v>
      </c>
      <c r="G52" s="352">
        <v>39.700000000000003</v>
      </c>
      <c r="H52" s="352"/>
      <c r="I52" s="353">
        <f t="shared" ref="I52" si="11">F52-G52-H52</f>
        <v>1098.3</v>
      </c>
      <c r="J52" s="354"/>
      <c r="K52" s="354">
        <v>1</v>
      </c>
      <c r="L52" s="354"/>
      <c r="M52" s="354"/>
      <c r="N52" s="354">
        <v>1</v>
      </c>
      <c r="O52" s="354">
        <v>1</v>
      </c>
      <c r="P52" s="354">
        <v>0</v>
      </c>
      <c r="Q52" s="354"/>
      <c r="R52" s="354"/>
      <c r="S52" s="355"/>
      <c r="T52" s="127"/>
      <c r="U52" s="123" t="s">
        <v>1355</v>
      </c>
      <c r="V52" s="129"/>
      <c r="W52" s="340"/>
      <c r="X52" s="341"/>
      <c r="Y52" s="128"/>
      <c r="Z52" s="128"/>
      <c r="AA52" s="128"/>
      <c r="AB52" s="128"/>
      <c r="AC52" s="128"/>
    </row>
    <row r="53" spans="1:31" s="342" customFormat="1">
      <c r="A53" s="128"/>
      <c r="B53" s="132"/>
      <c r="C53" s="122"/>
      <c r="D53" s="123"/>
      <c r="E53" s="123"/>
      <c r="F53" s="133">
        <f>SUM(F52:F52)</f>
        <v>1138</v>
      </c>
      <c r="G53" s="133">
        <f>SUM(G52:G52)</f>
        <v>39.700000000000003</v>
      </c>
      <c r="H53" s="133">
        <f>SUM(H52:H52)</f>
        <v>0</v>
      </c>
      <c r="I53" s="134">
        <f>SUM(I52:I52)</f>
        <v>1098.3</v>
      </c>
      <c r="J53" s="127"/>
      <c r="K53" s="64"/>
      <c r="L53" s="64"/>
      <c r="M53" s="64"/>
      <c r="N53" s="64"/>
      <c r="O53" s="64"/>
      <c r="P53" s="64"/>
      <c r="Q53" s="64"/>
      <c r="R53" s="64"/>
      <c r="S53" s="64"/>
      <c r="T53" s="127"/>
      <c r="U53" s="123"/>
      <c r="V53" s="129"/>
      <c r="W53" s="130"/>
      <c r="X53" s="131"/>
      <c r="Y53" s="128"/>
      <c r="Z53" s="128"/>
      <c r="AA53" s="128"/>
      <c r="AB53" s="128"/>
      <c r="AC53" s="128"/>
    </row>
    <row r="54" spans="1:31">
      <c r="A54" s="2"/>
      <c r="B54" s="11"/>
      <c r="C54" s="36"/>
      <c r="D54" s="10"/>
      <c r="E54" s="10"/>
      <c r="F54" s="88"/>
      <c r="G54" s="88"/>
      <c r="H54" s="88"/>
      <c r="I54" s="99"/>
      <c r="J54" s="10"/>
      <c r="K54" s="63"/>
      <c r="L54" s="63"/>
      <c r="M54" s="63"/>
      <c r="N54" s="63"/>
      <c r="O54" s="63"/>
      <c r="P54" s="63"/>
      <c r="Q54" s="63"/>
      <c r="R54" s="63"/>
      <c r="S54" s="63"/>
      <c r="T54" s="63"/>
      <c r="U54" s="10"/>
      <c r="V54" s="90"/>
      <c r="W54" s="91"/>
      <c r="X54" s="92"/>
      <c r="Y54" s="2"/>
      <c r="Z54" s="2"/>
      <c r="AA54" s="2"/>
      <c r="AB54" s="2"/>
      <c r="AC54" s="2"/>
    </row>
    <row r="55" spans="1:31" s="260" customFormat="1">
      <c r="A55" s="181"/>
      <c r="B55" s="100" t="s">
        <v>152</v>
      </c>
      <c r="C55" s="36"/>
      <c r="D55" s="10"/>
      <c r="E55" s="10"/>
      <c r="F55" s="88"/>
      <c r="G55" s="62"/>
      <c r="H55" s="88"/>
      <c r="I55" s="99"/>
      <c r="J55" s="63"/>
      <c r="K55" s="181"/>
      <c r="L55" s="181"/>
      <c r="M55" s="181"/>
      <c r="N55" s="181"/>
      <c r="O55" s="181"/>
      <c r="P55" s="181"/>
      <c r="Q55" s="181"/>
      <c r="R55" s="181"/>
      <c r="S55" s="181"/>
      <c r="T55" s="63"/>
      <c r="U55" s="10"/>
      <c r="V55" s="90"/>
      <c r="W55" s="91"/>
      <c r="X55" s="92"/>
      <c r="Y55" s="181"/>
      <c r="Z55" s="181"/>
      <c r="AA55" s="181"/>
      <c r="AB55" s="181"/>
      <c r="AC55" s="181"/>
    </row>
    <row r="56" spans="1:31" s="342" customFormat="1">
      <c r="A56" s="261">
        <v>0.05</v>
      </c>
      <c r="B56" s="87">
        <v>1</v>
      </c>
      <c r="C56" s="262">
        <v>45824</v>
      </c>
      <c r="D56" s="263">
        <v>70824</v>
      </c>
      <c r="E56" s="264" t="s">
        <v>292</v>
      </c>
      <c r="F56" s="265">
        <f>861-185</f>
        <v>676</v>
      </c>
      <c r="G56" s="265">
        <f>39.7</f>
        <v>39.700000000000003</v>
      </c>
      <c r="H56" s="265"/>
      <c r="I56" s="272">
        <f>F56-G56-H56</f>
        <v>636.29999999999995</v>
      </c>
      <c r="J56" s="267" t="s">
        <v>156</v>
      </c>
      <c r="K56" s="267">
        <v>1</v>
      </c>
      <c r="L56" s="267">
        <v>1</v>
      </c>
      <c r="M56" s="267">
        <v>1</v>
      </c>
      <c r="N56" s="267">
        <v>1</v>
      </c>
      <c r="O56" s="267">
        <v>1</v>
      </c>
      <c r="P56" s="267">
        <v>1</v>
      </c>
      <c r="Q56" s="267">
        <v>1</v>
      </c>
      <c r="R56" s="267">
        <v>1</v>
      </c>
      <c r="S56" s="269">
        <v>1</v>
      </c>
      <c r="T56" s="63"/>
      <c r="U56" s="10"/>
      <c r="V56" s="90"/>
      <c r="W56" s="91"/>
      <c r="X56" s="92"/>
      <c r="Y56" s="181"/>
      <c r="Z56" s="181"/>
      <c r="AA56" s="181"/>
      <c r="AB56" s="181"/>
      <c r="AC56" s="181"/>
      <c r="AD56" s="260"/>
      <c r="AE56" s="260"/>
    </row>
    <row r="57" spans="1:31" s="260" customFormat="1">
      <c r="A57" s="261">
        <v>0.05</v>
      </c>
      <c r="B57" s="87">
        <f>B61+1</f>
        <v>2</v>
      </c>
      <c r="C57" s="262">
        <v>45827</v>
      </c>
      <c r="D57" s="263">
        <v>70883</v>
      </c>
      <c r="E57" s="271" t="s">
        <v>643</v>
      </c>
      <c r="F57" s="265">
        <v>8614</v>
      </c>
      <c r="G57" s="265">
        <f>39.7+(161.15+1191.42+647.38)+500</f>
        <v>2539.6500000000005</v>
      </c>
      <c r="H57" s="265"/>
      <c r="I57" s="272">
        <f>F57-G57-H57</f>
        <v>6074.3499999999995</v>
      </c>
      <c r="J57" s="267" t="s">
        <v>156</v>
      </c>
      <c r="K57" s="267">
        <v>1</v>
      </c>
      <c r="L57" s="267"/>
      <c r="M57" s="267">
        <v>1</v>
      </c>
      <c r="N57" s="267">
        <v>1</v>
      </c>
      <c r="O57" s="267">
        <v>1</v>
      </c>
      <c r="P57" s="267">
        <v>0</v>
      </c>
      <c r="Q57" s="267">
        <v>1</v>
      </c>
      <c r="R57" s="267">
        <v>1</v>
      </c>
      <c r="S57" s="269">
        <v>0</v>
      </c>
      <c r="T57" s="63"/>
      <c r="U57" s="10" t="s">
        <v>1356</v>
      </c>
      <c r="V57" s="90"/>
      <c r="W57" s="136"/>
      <c r="X57" s="137"/>
      <c r="Y57" s="181"/>
      <c r="Z57" s="181"/>
      <c r="AA57" s="181"/>
      <c r="AB57" s="181"/>
      <c r="AC57" s="181"/>
    </row>
    <row r="58" spans="1:31" s="260" customFormat="1">
      <c r="A58" s="181"/>
      <c r="B58" s="11"/>
      <c r="C58" s="36"/>
      <c r="D58" s="10"/>
      <c r="E58" s="10"/>
      <c r="F58" s="97">
        <f>SUM(F56:F57)</f>
        <v>9290</v>
      </c>
      <c r="G58" s="97">
        <f t="shared" ref="G58:I58" si="12">SUM(G56:G57)</f>
        <v>2579.3500000000004</v>
      </c>
      <c r="H58" s="97">
        <f t="shared" si="12"/>
        <v>0</v>
      </c>
      <c r="I58" s="97">
        <f t="shared" si="12"/>
        <v>6710.65</v>
      </c>
      <c r="J58" s="63"/>
      <c r="K58" s="21"/>
      <c r="L58" s="21"/>
      <c r="M58" s="21"/>
      <c r="N58" s="21"/>
      <c r="O58" s="21"/>
      <c r="P58" s="21"/>
      <c r="Q58" s="21"/>
      <c r="R58" s="21"/>
      <c r="S58" s="21"/>
      <c r="T58" s="63"/>
      <c r="U58" s="10"/>
      <c r="V58" s="90"/>
      <c r="W58" s="91"/>
      <c r="X58" s="92"/>
      <c r="Y58" s="181"/>
      <c r="Z58" s="181"/>
      <c r="AA58" s="181"/>
      <c r="AB58" s="181"/>
      <c r="AC58" s="181"/>
    </row>
    <row r="59" spans="1:31" s="260" customFormat="1">
      <c r="A59" s="181"/>
      <c r="B59" s="11"/>
      <c r="C59" s="36"/>
      <c r="D59" s="10"/>
      <c r="E59" s="10"/>
      <c r="F59" s="88"/>
      <c r="G59" s="88"/>
      <c r="H59" s="88"/>
      <c r="I59" s="99"/>
      <c r="J59" s="63"/>
      <c r="K59" s="21"/>
      <c r="L59" s="21"/>
      <c r="M59" s="21"/>
      <c r="N59" s="21"/>
      <c r="O59" s="21"/>
      <c r="P59" s="21"/>
      <c r="Q59" s="21"/>
      <c r="R59" s="21"/>
      <c r="S59" s="21"/>
      <c r="T59" s="63"/>
      <c r="U59" s="10"/>
      <c r="V59" s="90"/>
      <c r="W59" s="91"/>
      <c r="X59" s="92"/>
      <c r="Y59" s="181"/>
      <c r="Z59" s="181"/>
      <c r="AA59" s="181"/>
      <c r="AB59" s="181"/>
      <c r="AC59" s="181"/>
    </row>
    <row r="60" spans="1:31" s="260" customFormat="1">
      <c r="A60" s="181"/>
      <c r="B60" s="100" t="s">
        <v>202</v>
      </c>
      <c r="C60" s="36"/>
      <c r="D60" s="10"/>
      <c r="E60" s="181"/>
      <c r="F60" s="88"/>
      <c r="G60" s="88"/>
      <c r="H60" s="88"/>
      <c r="I60" s="99"/>
      <c r="J60" s="63"/>
      <c r="K60" s="21"/>
      <c r="L60" s="21"/>
      <c r="M60" s="21"/>
      <c r="N60" s="21"/>
      <c r="O60" s="21"/>
      <c r="P60" s="21"/>
      <c r="Q60" s="21"/>
      <c r="R60" s="21"/>
      <c r="S60" s="21"/>
      <c r="T60" s="63"/>
      <c r="U60" s="10"/>
      <c r="V60" s="90"/>
      <c r="W60" s="91"/>
      <c r="X60" s="92"/>
      <c r="Y60" s="181"/>
      <c r="Z60" s="181"/>
      <c r="AA60" s="181"/>
      <c r="AB60" s="181"/>
      <c r="AC60" s="181"/>
    </row>
    <row r="61" spans="1:31" s="260" customFormat="1">
      <c r="A61" s="261">
        <v>0.05</v>
      </c>
      <c r="B61" s="87">
        <v>1</v>
      </c>
      <c r="C61" s="262">
        <v>45810</v>
      </c>
      <c r="D61" s="263">
        <v>70518</v>
      </c>
      <c r="E61" s="271" t="s">
        <v>811</v>
      </c>
      <c r="F61" s="265">
        <v>26419</v>
      </c>
      <c r="G61" s="265">
        <f>39.7+203.2+120+64.59+1183.4+149.23+(130.62+177.65+87.1-177.65+57.34)+(128.64+382.27+26.55-93.95+8.58)+(F61*0.2)</f>
        <v>7771.07</v>
      </c>
      <c r="H61" s="265"/>
      <c r="I61" s="272">
        <f>F61-G61-H61</f>
        <v>18647.93</v>
      </c>
      <c r="J61" s="267"/>
      <c r="K61" s="267">
        <v>1</v>
      </c>
      <c r="L61" s="267"/>
      <c r="M61" s="267"/>
      <c r="N61" s="267">
        <v>1</v>
      </c>
      <c r="O61" s="267">
        <v>1</v>
      </c>
      <c r="P61" s="267">
        <v>0</v>
      </c>
      <c r="Q61" s="267"/>
      <c r="R61" s="267"/>
      <c r="S61" s="269"/>
      <c r="T61" s="63"/>
      <c r="U61" s="301" t="s">
        <v>1357</v>
      </c>
      <c r="V61" s="90">
        <f>2500</f>
        <v>2500</v>
      </c>
      <c r="W61" s="136"/>
      <c r="X61" s="137"/>
      <c r="Y61" s="181"/>
      <c r="Z61" s="181"/>
      <c r="AA61" s="181"/>
      <c r="AB61" s="181"/>
      <c r="AC61" s="181"/>
    </row>
    <row r="62" spans="1:31" s="260" customFormat="1">
      <c r="A62" s="181"/>
      <c r="B62" s="11"/>
      <c r="C62" s="36"/>
      <c r="D62" s="10"/>
      <c r="E62" s="10"/>
      <c r="F62" s="97">
        <f>SUM(F61:F61)</f>
        <v>26419</v>
      </c>
      <c r="G62" s="97">
        <f>SUM(G61:G61)</f>
        <v>7771.07</v>
      </c>
      <c r="H62" s="97">
        <f>SUM(H61:H61)</f>
        <v>0</v>
      </c>
      <c r="I62" s="97">
        <f>SUM(I61:I61)</f>
        <v>18647.93</v>
      </c>
      <c r="J62" s="63"/>
      <c r="K62" s="21"/>
      <c r="L62" s="21"/>
      <c r="M62" s="21"/>
      <c r="N62" s="21"/>
      <c r="O62" s="21"/>
      <c r="P62" s="21"/>
      <c r="Q62" s="21"/>
      <c r="R62" s="21"/>
      <c r="S62" s="21"/>
      <c r="T62" s="63"/>
      <c r="U62" s="10"/>
      <c r="V62" s="90"/>
      <c r="W62" s="91"/>
      <c r="X62" s="92"/>
      <c r="Y62" s="181"/>
      <c r="Z62" s="181"/>
      <c r="AA62" s="181"/>
      <c r="AB62" s="181"/>
      <c r="AC62" s="181"/>
    </row>
    <row r="63" spans="1:31" s="260" customFormat="1">
      <c r="A63" s="181"/>
      <c r="B63" s="11"/>
      <c r="C63" s="36"/>
      <c r="D63" s="10"/>
      <c r="E63" s="10"/>
      <c r="F63" s="88"/>
      <c r="G63" s="88"/>
      <c r="H63" s="88"/>
      <c r="I63" s="99"/>
      <c r="J63" s="10"/>
      <c r="K63" s="63"/>
      <c r="L63" s="63"/>
      <c r="M63" s="63"/>
      <c r="N63" s="63"/>
      <c r="O63" s="63"/>
      <c r="P63" s="63"/>
      <c r="Q63" s="63"/>
      <c r="R63" s="63"/>
      <c r="S63" s="63"/>
      <c r="T63" s="63"/>
      <c r="U63" s="10"/>
      <c r="V63" s="90"/>
      <c r="W63" s="91"/>
      <c r="X63" s="92"/>
      <c r="Y63" s="181"/>
      <c r="Z63" s="181"/>
      <c r="AA63" s="181"/>
      <c r="AB63" s="181"/>
      <c r="AC63" s="181"/>
    </row>
    <row r="64" spans="1:31">
      <c r="A64" s="2"/>
      <c r="B64" s="100" t="s">
        <v>72</v>
      </c>
      <c r="C64" s="36"/>
      <c r="D64" s="10"/>
      <c r="E64" s="10"/>
      <c r="F64" s="88"/>
      <c r="G64" s="88"/>
      <c r="H64" s="88"/>
      <c r="I64" s="99"/>
      <c r="J64" s="63"/>
      <c r="K64" s="63"/>
      <c r="L64" s="63"/>
      <c r="M64" s="63"/>
      <c r="N64" s="63"/>
      <c r="O64" s="63"/>
      <c r="P64" s="63"/>
      <c r="Q64" s="63"/>
      <c r="R64" s="63"/>
      <c r="S64" s="63"/>
      <c r="T64" s="63"/>
      <c r="U64" s="10"/>
      <c r="V64" s="90"/>
      <c r="W64" s="91"/>
      <c r="X64" s="92"/>
      <c r="Y64" s="2"/>
      <c r="Z64" s="2"/>
      <c r="AA64" s="2"/>
      <c r="AB64" s="2"/>
      <c r="AC64" s="2"/>
    </row>
    <row r="65" spans="1:29">
      <c r="A65" s="2"/>
      <c r="B65" s="87">
        <v>1</v>
      </c>
      <c r="C65" s="274">
        <v>45831</v>
      </c>
      <c r="D65" s="276">
        <v>70912</v>
      </c>
      <c r="E65" s="276" t="s">
        <v>407</v>
      </c>
      <c r="F65" s="277">
        <v>1861</v>
      </c>
      <c r="G65" s="277">
        <v>39.700000000000003</v>
      </c>
      <c r="H65" s="277"/>
      <c r="I65" s="278">
        <f t="shared" ref="I65:I90" si="13">F65-G65-H65</f>
        <v>1821.3</v>
      </c>
      <c r="J65" s="279" t="s">
        <v>205</v>
      </c>
      <c r="K65" s="279">
        <v>1</v>
      </c>
      <c r="L65" s="279"/>
      <c r="M65" s="279"/>
      <c r="N65" s="279">
        <v>1</v>
      </c>
      <c r="O65" s="279"/>
      <c r="P65" s="279"/>
      <c r="Q65" s="279">
        <v>1</v>
      </c>
      <c r="R65" s="279">
        <v>1</v>
      </c>
      <c r="S65" s="280">
        <v>1</v>
      </c>
      <c r="T65" s="63"/>
      <c r="U65" s="3"/>
      <c r="V65" s="90"/>
      <c r="W65" s="91"/>
      <c r="X65" s="92"/>
      <c r="Y65" s="2"/>
      <c r="Z65" s="2"/>
      <c r="AA65" s="2"/>
      <c r="AB65" s="2"/>
      <c r="AC65" s="2"/>
    </row>
    <row r="66" spans="1:29">
      <c r="A66" s="2"/>
      <c r="B66" s="87">
        <f t="shared" ref="B66:B80" si="14">B65+1</f>
        <v>2</v>
      </c>
      <c r="C66" s="295">
        <v>45831</v>
      </c>
      <c r="D66" s="77" t="s">
        <v>1358</v>
      </c>
      <c r="E66" s="10" t="s">
        <v>344</v>
      </c>
      <c r="F66" s="62">
        <v>15093.2</v>
      </c>
      <c r="G66" s="62">
        <v>39.700000000000003</v>
      </c>
      <c r="H66" s="62"/>
      <c r="I66" s="89">
        <f t="shared" si="13"/>
        <v>15053.5</v>
      </c>
      <c r="J66" s="63" t="s">
        <v>205</v>
      </c>
      <c r="K66" s="63">
        <v>1</v>
      </c>
      <c r="L66" s="63"/>
      <c r="M66" s="63"/>
      <c r="N66" s="63">
        <v>1</v>
      </c>
      <c r="O66" s="63"/>
      <c r="P66" s="63"/>
      <c r="Q66" s="63"/>
      <c r="R66" s="63"/>
      <c r="S66" s="296"/>
      <c r="T66" s="63"/>
      <c r="U66" s="10"/>
      <c r="V66" s="90"/>
      <c r="W66" s="136"/>
      <c r="X66" s="137"/>
      <c r="Y66" s="2"/>
      <c r="Z66" s="2"/>
      <c r="AA66" s="2"/>
      <c r="AB66" s="2"/>
      <c r="AC66" s="2"/>
    </row>
    <row r="67" spans="1:29">
      <c r="A67" s="2"/>
      <c r="B67" s="87">
        <f t="shared" si="14"/>
        <v>3</v>
      </c>
      <c r="C67" s="295">
        <v>45831</v>
      </c>
      <c r="D67" s="77" t="s">
        <v>1359</v>
      </c>
      <c r="E67" s="10" t="s">
        <v>1360</v>
      </c>
      <c r="F67" s="62">
        <v>6214</v>
      </c>
      <c r="G67" s="62">
        <v>39.700000000000003</v>
      </c>
      <c r="H67" s="62"/>
      <c r="I67" s="89">
        <f t="shared" si="13"/>
        <v>6174.3</v>
      </c>
      <c r="J67" s="63" t="s">
        <v>205</v>
      </c>
      <c r="K67" s="63">
        <v>1</v>
      </c>
      <c r="L67" s="63"/>
      <c r="M67" s="63"/>
      <c r="N67" s="63">
        <v>1</v>
      </c>
      <c r="O67" s="63"/>
      <c r="P67" s="63"/>
      <c r="Q67" s="63">
        <v>1</v>
      </c>
      <c r="R67" s="63">
        <v>1</v>
      </c>
      <c r="S67" s="296">
        <v>1</v>
      </c>
      <c r="T67" s="63"/>
      <c r="U67" s="10"/>
      <c r="V67" s="90"/>
      <c r="W67" s="136"/>
      <c r="X67" s="137"/>
      <c r="Y67" s="2"/>
      <c r="Z67" s="2"/>
      <c r="AA67" s="2"/>
      <c r="AB67" s="2"/>
      <c r="AC67" s="2"/>
    </row>
    <row r="68" spans="1:29">
      <c r="A68" s="2"/>
      <c r="B68" s="87">
        <f t="shared" si="14"/>
        <v>4</v>
      </c>
      <c r="C68" s="295">
        <v>45831</v>
      </c>
      <c r="D68" s="77" t="s">
        <v>1361</v>
      </c>
      <c r="E68" s="10" t="s">
        <v>1360</v>
      </c>
      <c r="F68" s="62">
        <v>6814</v>
      </c>
      <c r="G68" s="62">
        <v>39.700000000000003</v>
      </c>
      <c r="H68" s="62"/>
      <c r="I68" s="89">
        <f t="shared" si="13"/>
        <v>6774.3</v>
      </c>
      <c r="J68" s="63" t="s">
        <v>205</v>
      </c>
      <c r="K68" s="63">
        <v>1</v>
      </c>
      <c r="L68" s="63"/>
      <c r="M68" s="63"/>
      <c r="N68" s="63">
        <v>1</v>
      </c>
      <c r="O68" s="63"/>
      <c r="P68" s="63"/>
      <c r="Q68" s="63">
        <v>1</v>
      </c>
      <c r="R68" s="63">
        <v>1</v>
      </c>
      <c r="S68" s="296">
        <v>1</v>
      </c>
      <c r="T68" s="63"/>
      <c r="U68" s="10"/>
      <c r="V68" s="90"/>
      <c r="W68" s="136"/>
      <c r="X68" s="137"/>
      <c r="Y68" s="2"/>
      <c r="Z68" s="2"/>
      <c r="AA68" s="2"/>
      <c r="AB68" s="2"/>
      <c r="AC68" s="2"/>
    </row>
    <row r="69" spans="1:29">
      <c r="A69" s="2"/>
      <c r="B69" s="87">
        <f t="shared" si="14"/>
        <v>5</v>
      </c>
      <c r="C69" s="295">
        <v>45831</v>
      </c>
      <c r="D69" s="77" t="s">
        <v>1362</v>
      </c>
      <c r="E69" s="10" t="s">
        <v>572</v>
      </c>
      <c r="F69" s="62">
        <v>12814</v>
      </c>
      <c r="G69" s="62">
        <v>39.700000000000003</v>
      </c>
      <c r="H69" s="62"/>
      <c r="I69" s="89">
        <f t="shared" si="13"/>
        <v>12774.3</v>
      </c>
      <c r="J69" s="63" t="s">
        <v>205</v>
      </c>
      <c r="K69" s="63">
        <v>1</v>
      </c>
      <c r="L69" s="63"/>
      <c r="M69" s="63"/>
      <c r="N69" s="63">
        <v>1</v>
      </c>
      <c r="O69" s="63"/>
      <c r="P69" s="63" t="s">
        <v>1363</v>
      </c>
      <c r="Q69" s="63"/>
      <c r="R69" s="63"/>
      <c r="S69" s="296"/>
      <c r="T69" s="63"/>
      <c r="U69" s="10"/>
      <c r="V69" s="90"/>
      <c r="W69" s="136"/>
      <c r="X69" s="137"/>
      <c r="Y69" s="2"/>
      <c r="Z69" s="2"/>
      <c r="AA69" s="2"/>
      <c r="AB69" s="2"/>
      <c r="AC69" s="2"/>
    </row>
    <row r="70" spans="1:29">
      <c r="A70" s="2"/>
      <c r="B70" s="87">
        <f t="shared" si="14"/>
        <v>6</v>
      </c>
      <c r="C70" s="295">
        <v>45831</v>
      </c>
      <c r="D70" s="10">
        <v>70931</v>
      </c>
      <c r="E70" s="101" t="s">
        <v>381</v>
      </c>
      <c r="F70" s="62">
        <v>1396</v>
      </c>
      <c r="G70" s="62">
        <v>39.700000000000003</v>
      </c>
      <c r="H70" s="62"/>
      <c r="I70" s="89">
        <f t="shared" si="13"/>
        <v>1356.3</v>
      </c>
      <c r="J70" s="63" t="s">
        <v>205</v>
      </c>
      <c r="K70" s="63">
        <v>1</v>
      </c>
      <c r="L70" s="63"/>
      <c r="M70" s="63"/>
      <c r="N70" s="63">
        <v>1</v>
      </c>
      <c r="O70" s="63"/>
      <c r="P70" s="63"/>
      <c r="Q70" s="63">
        <v>1</v>
      </c>
      <c r="R70" s="63">
        <v>1</v>
      </c>
      <c r="S70" s="296">
        <v>1</v>
      </c>
      <c r="T70" s="63"/>
      <c r="U70" s="10"/>
      <c r="V70" s="90"/>
      <c r="W70" s="136"/>
      <c r="X70" s="137"/>
      <c r="Y70" s="2"/>
      <c r="Z70" s="2"/>
      <c r="AA70" s="2"/>
      <c r="AB70" s="2"/>
      <c r="AC70" s="2"/>
    </row>
    <row r="71" spans="1:29">
      <c r="A71" s="2"/>
      <c r="B71" s="87">
        <f t="shared" si="14"/>
        <v>7</v>
      </c>
      <c r="C71" s="274">
        <v>45832</v>
      </c>
      <c r="D71" s="276">
        <v>70963</v>
      </c>
      <c r="E71" s="281" t="s">
        <v>563</v>
      </c>
      <c r="F71" s="277">
        <v>1175</v>
      </c>
      <c r="G71" s="277">
        <v>39.700000000000003</v>
      </c>
      <c r="H71" s="277"/>
      <c r="I71" s="278">
        <f t="shared" si="13"/>
        <v>1135.3</v>
      </c>
      <c r="J71" s="279" t="s">
        <v>205</v>
      </c>
      <c r="K71" s="279">
        <v>1</v>
      </c>
      <c r="L71" s="279"/>
      <c r="M71" s="279"/>
      <c r="N71" s="279">
        <v>1</v>
      </c>
      <c r="O71" s="279"/>
      <c r="P71" s="279"/>
      <c r="Q71" s="279">
        <v>1</v>
      </c>
      <c r="R71" s="279">
        <v>1</v>
      </c>
      <c r="S71" s="280">
        <v>1</v>
      </c>
      <c r="T71" s="63"/>
      <c r="U71" s="10"/>
      <c r="V71" s="90"/>
      <c r="W71" s="136"/>
      <c r="X71" s="137"/>
      <c r="Y71" s="2"/>
      <c r="Z71" s="2"/>
      <c r="AA71" s="2"/>
      <c r="AB71" s="2"/>
      <c r="AC71" s="2"/>
    </row>
    <row r="72" spans="1:29">
      <c r="A72" s="2"/>
      <c r="B72" s="87">
        <f t="shared" si="14"/>
        <v>8</v>
      </c>
      <c r="C72" s="295">
        <v>45832</v>
      </c>
      <c r="D72" s="10">
        <v>70975</v>
      </c>
      <c r="E72" s="101" t="s">
        <v>158</v>
      </c>
      <c r="F72" s="62">
        <v>1461</v>
      </c>
      <c r="G72" s="62">
        <v>39.700000000000003</v>
      </c>
      <c r="H72" s="62"/>
      <c r="I72" s="89">
        <f t="shared" si="13"/>
        <v>1421.3</v>
      </c>
      <c r="J72" s="63" t="s">
        <v>205</v>
      </c>
      <c r="K72" s="63">
        <v>1</v>
      </c>
      <c r="L72" s="63"/>
      <c r="M72" s="63"/>
      <c r="N72" s="63">
        <v>1</v>
      </c>
      <c r="O72" s="63"/>
      <c r="P72" s="63"/>
      <c r="Q72" s="63">
        <v>1</v>
      </c>
      <c r="R72" s="63">
        <v>1</v>
      </c>
      <c r="S72" s="296">
        <v>1</v>
      </c>
      <c r="T72" s="63"/>
      <c r="U72" s="10"/>
      <c r="V72" s="90"/>
      <c r="W72" s="136"/>
      <c r="X72" s="137"/>
      <c r="Y72" s="2"/>
      <c r="Z72" s="2"/>
      <c r="AA72" s="2"/>
      <c r="AB72" s="2"/>
      <c r="AC72" s="2"/>
    </row>
    <row r="73" spans="1:29">
      <c r="A73" s="2"/>
      <c r="B73" s="87">
        <f t="shared" si="14"/>
        <v>9</v>
      </c>
      <c r="C73" s="295">
        <v>45832</v>
      </c>
      <c r="D73" s="10">
        <v>70977</v>
      </c>
      <c r="E73" s="101" t="s">
        <v>168</v>
      </c>
      <c r="F73" s="62">
        <v>1461</v>
      </c>
      <c r="G73" s="62">
        <v>39.700000000000003</v>
      </c>
      <c r="H73" s="62"/>
      <c r="I73" s="89">
        <f t="shared" si="13"/>
        <v>1421.3</v>
      </c>
      <c r="J73" s="63" t="s">
        <v>205</v>
      </c>
      <c r="K73" s="63">
        <v>1</v>
      </c>
      <c r="L73" s="63"/>
      <c r="M73" s="63"/>
      <c r="N73" s="63">
        <v>1</v>
      </c>
      <c r="O73" s="63"/>
      <c r="P73" s="63"/>
      <c r="Q73" s="63">
        <v>1</v>
      </c>
      <c r="R73" s="63">
        <v>1</v>
      </c>
      <c r="S73" s="296">
        <v>1</v>
      </c>
      <c r="T73" s="63"/>
      <c r="U73" s="10"/>
      <c r="V73" s="90"/>
      <c r="W73" s="136"/>
      <c r="X73" s="137"/>
      <c r="Y73" s="2"/>
      <c r="Z73" s="2"/>
      <c r="AA73" s="2"/>
      <c r="AB73" s="2"/>
      <c r="AC73" s="2"/>
    </row>
    <row r="74" spans="1:29">
      <c r="A74" s="2"/>
      <c r="B74" s="87">
        <f t="shared" si="14"/>
        <v>10</v>
      </c>
      <c r="C74" s="295">
        <v>45832</v>
      </c>
      <c r="D74" s="10">
        <v>70998</v>
      </c>
      <c r="E74" s="101" t="s">
        <v>1225</v>
      </c>
      <c r="F74" s="62">
        <v>0</v>
      </c>
      <c r="G74" s="62"/>
      <c r="H74" s="62"/>
      <c r="I74" s="89">
        <f t="shared" si="13"/>
        <v>0</v>
      </c>
      <c r="J74" s="63" t="s">
        <v>205</v>
      </c>
      <c r="K74" s="63"/>
      <c r="L74" s="63"/>
      <c r="M74" s="63"/>
      <c r="N74" s="63">
        <v>1</v>
      </c>
      <c r="O74" s="63"/>
      <c r="P74" s="63"/>
      <c r="Q74" s="63"/>
      <c r="R74" s="63"/>
      <c r="S74" s="296"/>
      <c r="T74" s="63"/>
      <c r="U74" s="10"/>
      <c r="V74" s="90"/>
      <c r="W74" s="136"/>
      <c r="X74" s="137"/>
      <c r="Y74" s="2"/>
      <c r="Z74" s="2"/>
      <c r="AA74" s="2"/>
      <c r="AB74" s="2"/>
      <c r="AC74" s="2"/>
    </row>
    <row r="75" spans="1:29">
      <c r="A75" s="2"/>
      <c r="B75" s="87">
        <f t="shared" si="14"/>
        <v>11</v>
      </c>
      <c r="C75" s="295">
        <v>45832</v>
      </c>
      <c r="D75" s="10">
        <v>70994</v>
      </c>
      <c r="E75" s="101" t="s">
        <v>189</v>
      </c>
      <c r="F75" s="62">
        <v>0</v>
      </c>
      <c r="G75" s="62"/>
      <c r="H75" s="62"/>
      <c r="I75" s="89">
        <f t="shared" si="13"/>
        <v>0</v>
      </c>
      <c r="J75" s="63" t="s">
        <v>1364</v>
      </c>
      <c r="K75" s="63">
        <v>1</v>
      </c>
      <c r="L75" s="63"/>
      <c r="M75" s="63"/>
      <c r="N75" s="63"/>
      <c r="O75" s="63"/>
      <c r="P75" s="63"/>
      <c r="Q75" s="63">
        <v>1</v>
      </c>
      <c r="R75" s="63">
        <v>1</v>
      </c>
      <c r="S75" s="296">
        <v>1</v>
      </c>
      <c r="T75" s="63"/>
      <c r="U75" s="10"/>
      <c r="V75" s="90"/>
      <c r="W75" s="136"/>
      <c r="X75" s="137"/>
      <c r="Y75" s="2"/>
      <c r="Z75" s="2"/>
      <c r="AA75" s="2"/>
      <c r="AB75" s="2"/>
      <c r="AC75" s="2"/>
    </row>
    <row r="76" spans="1:29">
      <c r="A76" s="2"/>
      <c r="B76" s="87">
        <f t="shared" si="14"/>
        <v>12</v>
      </c>
      <c r="C76" s="295">
        <v>45832</v>
      </c>
      <c r="D76" s="10">
        <v>70989</v>
      </c>
      <c r="E76" s="101" t="s">
        <v>1365</v>
      </c>
      <c r="F76" s="62">
        <v>12814</v>
      </c>
      <c r="G76" s="62">
        <v>39.700000000000003</v>
      </c>
      <c r="H76" s="62"/>
      <c r="I76" s="89">
        <f t="shared" si="13"/>
        <v>12774.3</v>
      </c>
      <c r="J76" s="63" t="s">
        <v>205</v>
      </c>
      <c r="K76" s="63">
        <v>1</v>
      </c>
      <c r="L76" s="63"/>
      <c r="M76" s="63"/>
      <c r="N76" s="63">
        <v>1</v>
      </c>
      <c r="O76" s="63"/>
      <c r="P76" s="63"/>
      <c r="Q76" s="63"/>
      <c r="R76" s="63"/>
      <c r="S76" s="296"/>
      <c r="T76" s="63"/>
      <c r="U76" s="10"/>
      <c r="V76" s="90"/>
      <c r="W76" s="136"/>
      <c r="X76" s="137"/>
      <c r="Y76" s="2"/>
      <c r="Z76" s="2"/>
      <c r="AA76" s="2"/>
      <c r="AB76" s="2"/>
      <c r="AC76" s="2"/>
    </row>
    <row r="77" spans="1:29">
      <c r="A77" s="2"/>
      <c r="B77" s="87">
        <f>B76+1</f>
        <v>13</v>
      </c>
      <c r="C77" s="274">
        <v>45833</v>
      </c>
      <c r="D77" s="276">
        <v>70944</v>
      </c>
      <c r="E77" s="281" t="s">
        <v>1366</v>
      </c>
      <c r="F77" s="277">
        <v>0</v>
      </c>
      <c r="G77" s="277"/>
      <c r="H77" s="277"/>
      <c r="I77" s="278">
        <f t="shared" si="13"/>
        <v>0</v>
      </c>
      <c r="J77" s="279" t="s">
        <v>219</v>
      </c>
      <c r="K77" s="279"/>
      <c r="L77" s="279"/>
      <c r="M77" s="279"/>
      <c r="N77" s="279"/>
      <c r="O77" s="279"/>
      <c r="P77" s="279"/>
      <c r="Q77" s="279"/>
      <c r="R77" s="279"/>
      <c r="S77" s="280"/>
      <c r="T77" s="63"/>
      <c r="U77" s="10"/>
      <c r="V77" s="90"/>
      <c r="W77" s="136"/>
      <c r="X77" s="137"/>
      <c r="Y77" s="2"/>
      <c r="Z77" s="2"/>
      <c r="AA77" s="2"/>
      <c r="AB77" s="2"/>
      <c r="AC77" s="2"/>
    </row>
    <row r="78" spans="1:29">
      <c r="A78" s="2"/>
      <c r="B78" s="87">
        <f t="shared" si="14"/>
        <v>14</v>
      </c>
      <c r="C78" s="295">
        <v>45833</v>
      </c>
      <c r="D78" s="77" t="s">
        <v>1367</v>
      </c>
      <c r="E78" s="101" t="s">
        <v>752</v>
      </c>
      <c r="F78" s="62">
        <v>2814</v>
      </c>
      <c r="G78" s="62">
        <v>39.700000000000003</v>
      </c>
      <c r="H78" s="62"/>
      <c r="I78" s="89">
        <f t="shared" si="13"/>
        <v>2774.3</v>
      </c>
      <c r="J78" s="63" t="s">
        <v>205</v>
      </c>
      <c r="K78" s="63">
        <v>1</v>
      </c>
      <c r="L78" s="63"/>
      <c r="M78" s="63"/>
      <c r="N78" s="63">
        <v>1</v>
      </c>
      <c r="O78" s="63"/>
      <c r="P78" s="63"/>
      <c r="Q78" s="63">
        <v>1</v>
      </c>
      <c r="R78" s="63">
        <v>1</v>
      </c>
      <c r="S78" s="296">
        <v>1</v>
      </c>
      <c r="T78" s="63"/>
      <c r="U78" s="10"/>
      <c r="V78" s="90"/>
      <c r="W78" s="136"/>
      <c r="X78" s="137"/>
      <c r="Y78" s="2"/>
      <c r="Z78" s="2"/>
      <c r="AA78" s="2"/>
      <c r="AB78" s="2"/>
      <c r="AC78" s="2"/>
    </row>
    <row r="79" spans="1:29">
      <c r="A79" s="2"/>
      <c r="B79" s="87">
        <f t="shared" si="14"/>
        <v>15</v>
      </c>
      <c r="C79" s="295">
        <v>45833</v>
      </c>
      <c r="D79" s="77" t="s">
        <v>1368</v>
      </c>
      <c r="E79" s="101" t="s">
        <v>752</v>
      </c>
      <c r="F79" s="62">
        <v>1138</v>
      </c>
      <c r="G79" s="62">
        <v>39.700000000000003</v>
      </c>
      <c r="H79" s="62"/>
      <c r="I79" s="89">
        <f t="shared" si="13"/>
        <v>1098.3</v>
      </c>
      <c r="J79" s="63" t="s">
        <v>205</v>
      </c>
      <c r="K79" s="63">
        <v>1</v>
      </c>
      <c r="L79" s="63"/>
      <c r="M79" s="63"/>
      <c r="N79" s="63">
        <v>1</v>
      </c>
      <c r="O79" s="63"/>
      <c r="P79" s="63"/>
      <c r="Q79" s="63">
        <v>1</v>
      </c>
      <c r="R79" s="63">
        <v>1</v>
      </c>
      <c r="S79" s="296">
        <v>1</v>
      </c>
      <c r="T79" s="63"/>
      <c r="U79" s="10"/>
      <c r="V79" s="90"/>
      <c r="W79" s="136"/>
      <c r="X79" s="137"/>
      <c r="Y79" s="2"/>
      <c r="Z79" s="2"/>
      <c r="AA79" s="2"/>
      <c r="AB79" s="2"/>
      <c r="AC79" s="2"/>
    </row>
    <row r="80" spans="1:29">
      <c r="A80" s="2"/>
      <c r="B80" s="87">
        <f t="shared" si="14"/>
        <v>16</v>
      </c>
      <c r="C80" s="295">
        <v>45833</v>
      </c>
      <c r="D80" s="10">
        <v>71008</v>
      </c>
      <c r="E80" s="10" t="s">
        <v>246</v>
      </c>
      <c r="F80" s="62">
        <v>0</v>
      </c>
      <c r="G80" s="62"/>
      <c r="H80" s="62"/>
      <c r="I80" s="89">
        <f t="shared" si="13"/>
        <v>0</v>
      </c>
      <c r="J80" s="63" t="s">
        <v>219</v>
      </c>
      <c r="K80" s="63">
        <v>1</v>
      </c>
      <c r="L80" s="63"/>
      <c r="M80" s="63"/>
      <c r="N80" s="63"/>
      <c r="O80" s="63"/>
      <c r="P80" s="63"/>
      <c r="Q80" s="63"/>
      <c r="R80" s="63"/>
      <c r="S80" s="296"/>
      <c r="T80" s="63"/>
      <c r="U80" s="10"/>
      <c r="V80" s="90"/>
      <c r="W80" s="136"/>
      <c r="X80" s="137"/>
      <c r="Y80" s="2"/>
      <c r="Z80" s="2"/>
      <c r="AA80" s="2"/>
      <c r="AB80" s="2"/>
      <c r="AC80" s="2"/>
    </row>
    <row r="81" spans="1:29">
      <c r="A81" s="2"/>
      <c r="B81" s="87">
        <f t="shared" ref="B81:B90" si="15">B80+1</f>
        <v>17</v>
      </c>
      <c r="C81" s="274">
        <v>45834</v>
      </c>
      <c r="D81" s="276">
        <v>71007</v>
      </c>
      <c r="E81" s="276" t="s">
        <v>604</v>
      </c>
      <c r="F81" s="277">
        <v>1372</v>
      </c>
      <c r="G81" s="277">
        <v>39.700000000000003</v>
      </c>
      <c r="H81" s="277"/>
      <c r="I81" s="278">
        <f t="shared" si="13"/>
        <v>1332.3</v>
      </c>
      <c r="J81" s="279" t="s">
        <v>205</v>
      </c>
      <c r="K81" s="279">
        <v>1</v>
      </c>
      <c r="L81" s="279"/>
      <c r="M81" s="279"/>
      <c r="N81" s="279">
        <v>1</v>
      </c>
      <c r="O81" s="279"/>
      <c r="P81" s="279"/>
      <c r="Q81" s="279">
        <v>1</v>
      </c>
      <c r="R81" s="279">
        <v>1</v>
      </c>
      <c r="S81" s="280">
        <v>1</v>
      </c>
      <c r="T81" s="63"/>
      <c r="U81" s="10"/>
      <c r="V81" s="138"/>
      <c r="W81" s="136"/>
      <c r="X81" s="137"/>
      <c r="Y81" s="2"/>
      <c r="Z81" s="2"/>
      <c r="AA81" s="2"/>
      <c r="AB81" s="2"/>
      <c r="AC81" s="2"/>
    </row>
    <row r="82" spans="1:29">
      <c r="A82" s="2"/>
      <c r="B82" s="87">
        <f t="shared" si="15"/>
        <v>18</v>
      </c>
      <c r="C82" s="295">
        <v>45834</v>
      </c>
      <c r="D82" s="10">
        <v>71014</v>
      </c>
      <c r="E82" s="10" t="s">
        <v>1211</v>
      </c>
      <c r="F82" s="62">
        <v>0</v>
      </c>
      <c r="G82" s="62"/>
      <c r="H82" s="62"/>
      <c r="I82" s="89">
        <f t="shared" si="13"/>
        <v>0</v>
      </c>
      <c r="J82" s="63" t="s">
        <v>219</v>
      </c>
      <c r="K82" s="63">
        <v>1</v>
      </c>
      <c r="L82" s="63"/>
      <c r="M82" s="63"/>
      <c r="N82" s="63"/>
      <c r="O82" s="63"/>
      <c r="P82" s="63"/>
      <c r="Q82" s="63">
        <v>1</v>
      </c>
      <c r="R82" s="63">
        <v>1</v>
      </c>
      <c r="S82" s="296">
        <v>1</v>
      </c>
      <c r="T82" s="63"/>
      <c r="U82" s="10"/>
      <c r="V82" s="138"/>
      <c r="W82" s="136"/>
      <c r="X82" s="137"/>
      <c r="Y82" s="2"/>
      <c r="Z82" s="2"/>
      <c r="AA82" s="2"/>
      <c r="AB82" s="2"/>
      <c r="AC82" s="2"/>
    </row>
    <row r="83" spans="1:29">
      <c r="A83" s="2"/>
      <c r="B83" s="87">
        <f t="shared" si="15"/>
        <v>19</v>
      </c>
      <c r="C83" s="295">
        <v>45834</v>
      </c>
      <c r="D83" s="10">
        <v>71017</v>
      </c>
      <c r="E83" s="10" t="s">
        <v>1369</v>
      </c>
      <c r="F83" s="62">
        <v>0</v>
      </c>
      <c r="G83" s="62"/>
      <c r="H83" s="62"/>
      <c r="I83" s="89">
        <f t="shared" si="13"/>
        <v>0</v>
      </c>
      <c r="J83" s="63" t="s">
        <v>219</v>
      </c>
      <c r="K83" s="63">
        <v>1</v>
      </c>
      <c r="L83" s="63"/>
      <c r="M83" s="63"/>
      <c r="N83" s="63"/>
      <c r="O83" s="63"/>
      <c r="P83" s="63"/>
      <c r="Q83" s="63">
        <v>1</v>
      </c>
      <c r="R83" s="63">
        <v>1</v>
      </c>
      <c r="S83" s="296">
        <v>1</v>
      </c>
      <c r="T83" s="63"/>
      <c r="U83" s="10"/>
      <c r="V83" s="138"/>
      <c r="W83" s="136"/>
      <c r="X83" s="137"/>
      <c r="Y83" s="2"/>
      <c r="Z83" s="2"/>
      <c r="AA83" s="2"/>
      <c r="AB83" s="2"/>
      <c r="AC83" s="2"/>
    </row>
    <row r="84" spans="1:29">
      <c r="A84" s="2"/>
      <c r="B84" s="87">
        <f t="shared" si="15"/>
        <v>20</v>
      </c>
      <c r="C84" s="295">
        <v>45834</v>
      </c>
      <c r="D84" s="10">
        <v>71033</v>
      </c>
      <c r="E84" s="10" t="s">
        <v>715</v>
      </c>
      <c r="F84" s="62">
        <v>20417</v>
      </c>
      <c r="G84" s="62">
        <v>39.700000000000003</v>
      </c>
      <c r="H84" s="62"/>
      <c r="I84" s="89">
        <f t="shared" si="13"/>
        <v>20377.3</v>
      </c>
      <c r="J84" s="63" t="s">
        <v>205</v>
      </c>
      <c r="K84" s="63">
        <v>1</v>
      </c>
      <c r="L84" s="63"/>
      <c r="M84" s="63"/>
      <c r="N84" s="63">
        <v>1</v>
      </c>
      <c r="O84" s="63"/>
      <c r="P84" s="63"/>
      <c r="Q84" s="63"/>
      <c r="R84" s="63"/>
      <c r="S84" s="296"/>
      <c r="T84" s="63"/>
      <c r="U84" s="10"/>
      <c r="V84" s="138"/>
      <c r="W84" s="136"/>
      <c r="X84" s="137"/>
      <c r="Y84" s="2"/>
      <c r="Z84" s="2"/>
      <c r="AA84" s="2"/>
      <c r="AB84" s="2"/>
      <c r="AC84" s="2"/>
    </row>
    <row r="85" spans="1:29">
      <c r="A85" s="2"/>
      <c r="B85" s="87">
        <f t="shared" si="15"/>
        <v>21</v>
      </c>
      <c r="C85" s="295">
        <v>45834</v>
      </c>
      <c r="D85" s="10">
        <v>71052</v>
      </c>
      <c r="E85" s="10" t="s">
        <v>1369</v>
      </c>
      <c r="F85" s="62">
        <v>749</v>
      </c>
      <c r="G85" s="62"/>
      <c r="H85" s="62"/>
      <c r="I85" s="89">
        <f t="shared" si="13"/>
        <v>749</v>
      </c>
      <c r="J85" s="63" t="s">
        <v>205</v>
      </c>
      <c r="K85" s="63">
        <v>1</v>
      </c>
      <c r="L85" s="63"/>
      <c r="M85" s="63"/>
      <c r="N85" s="63">
        <v>1</v>
      </c>
      <c r="O85" s="63"/>
      <c r="P85" s="63"/>
      <c r="Q85" s="63">
        <v>1</v>
      </c>
      <c r="R85" s="63">
        <v>1</v>
      </c>
      <c r="S85" s="296">
        <v>1</v>
      </c>
      <c r="T85" s="63"/>
      <c r="U85" s="10"/>
      <c r="V85" s="138"/>
      <c r="W85" s="136"/>
      <c r="X85" s="137"/>
      <c r="Y85" s="2"/>
      <c r="Z85" s="2"/>
      <c r="AA85" s="2"/>
      <c r="AB85" s="2"/>
      <c r="AC85" s="2"/>
    </row>
    <row r="86" spans="1:29">
      <c r="A86" s="2"/>
      <c r="B86" s="87">
        <f t="shared" si="15"/>
        <v>22</v>
      </c>
      <c r="C86" s="295">
        <v>45834</v>
      </c>
      <c r="D86" s="77" t="s">
        <v>1370</v>
      </c>
      <c r="E86" s="10" t="s">
        <v>811</v>
      </c>
      <c r="F86" s="62">
        <v>5814</v>
      </c>
      <c r="G86" s="62">
        <v>39.700000000000003</v>
      </c>
      <c r="H86" s="62"/>
      <c r="I86" s="89">
        <f t="shared" si="13"/>
        <v>5774.3</v>
      </c>
      <c r="J86" s="63" t="s">
        <v>205</v>
      </c>
      <c r="K86" s="63">
        <v>1</v>
      </c>
      <c r="L86" s="63"/>
      <c r="M86" s="63"/>
      <c r="N86" s="63">
        <v>1</v>
      </c>
      <c r="O86" s="63"/>
      <c r="P86" s="63"/>
      <c r="Q86" s="63">
        <v>1</v>
      </c>
      <c r="R86" s="63">
        <v>1</v>
      </c>
      <c r="S86" s="296">
        <v>1</v>
      </c>
      <c r="T86" s="63"/>
      <c r="U86" s="10"/>
      <c r="V86" s="138"/>
      <c r="W86" s="136"/>
      <c r="X86" s="137"/>
      <c r="Y86" s="2"/>
      <c r="Z86" s="2"/>
      <c r="AA86" s="2"/>
      <c r="AB86" s="2"/>
      <c r="AC86" s="2"/>
    </row>
    <row r="87" spans="1:29">
      <c r="A87" s="2"/>
      <c r="B87" s="87">
        <f t="shared" si="15"/>
        <v>23</v>
      </c>
      <c r="C87" s="295">
        <v>45834</v>
      </c>
      <c r="D87" s="77" t="s">
        <v>1371</v>
      </c>
      <c r="E87" s="10" t="s">
        <v>811</v>
      </c>
      <c r="F87" s="62">
        <v>5814</v>
      </c>
      <c r="G87" s="62">
        <v>39.700000000000003</v>
      </c>
      <c r="H87" s="62"/>
      <c r="I87" s="89">
        <f t="shared" si="13"/>
        <v>5774.3</v>
      </c>
      <c r="J87" s="63" t="s">
        <v>205</v>
      </c>
      <c r="K87" s="63">
        <v>1</v>
      </c>
      <c r="L87" s="63"/>
      <c r="M87" s="63"/>
      <c r="N87" s="63">
        <v>1</v>
      </c>
      <c r="O87" s="63"/>
      <c r="P87" s="63"/>
      <c r="Q87" s="63">
        <v>1</v>
      </c>
      <c r="R87" s="63">
        <v>1</v>
      </c>
      <c r="S87" s="296">
        <v>1</v>
      </c>
      <c r="T87" s="63"/>
      <c r="U87" s="10"/>
      <c r="V87" s="138"/>
      <c r="W87" s="136"/>
      <c r="X87" s="137"/>
      <c r="Y87" s="2"/>
      <c r="Z87" s="2"/>
      <c r="AA87" s="2"/>
      <c r="AB87" s="2"/>
      <c r="AC87" s="2"/>
    </row>
    <row r="88" spans="1:29">
      <c r="A88" s="2"/>
      <c r="B88" s="87">
        <f t="shared" si="15"/>
        <v>24</v>
      </c>
      <c r="C88" s="274">
        <v>45835</v>
      </c>
      <c r="D88" s="276">
        <v>71042</v>
      </c>
      <c r="E88" s="276" t="s">
        <v>1372</v>
      </c>
      <c r="F88" s="277">
        <v>6814</v>
      </c>
      <c r="G88" s="277">
        <v>39.700000000000003</v>
      </c>
      <c r="H88" s="277"/>
      <c r="I88" s="278">
        <f t="shared" si="13"/>
        <v>6774.3</v>
      </c>
      <c r="J88" s="279" t="s">
        <v>205</v>
      </c>
      <c r="K88" s="279">
        <v>1</v>
      </c>
      <c r="L88" s="279"/>
      <c r="M88" s="279"/>
      <c r="N88" s="279">
        <v>1</v>
      </c>
      <c r="O88" s="279"/>
      <c r="P88" s="279"/>
      <c r="Q88" s="279">
        <v>1</v>
      </c>
      <c r="R88" s="279">
        <v>1</v>
      </c>
      <c r="S88" s="280">
        <v>1</v>
      </c>
      <c r="T88" s="63"/>
      <c r="U88" s="10"/>
      <c r="V88" s="138"/>
      <c r="W88" s="136"/>
      <c r="X88" s="137"/>
      <c r="Y88" s="2"/>
      <c r="Z88" s="2"/>
      <c r="AA88" s="2"/>
      <c r="AB88" s="2"/>
      <c r="AC88" s="2"/>
    </row>
    <row r="89" spans="1:29">
      <c r="A89" s="2"/>
      <c r="B89" s="87">
        <f t="shared" si="15"/>
        <v>25</v>
      </c>
      <c r="C89" s="295">
        <v>45835</v>
      </c>
      <c r="D89" s="10">
        <v>71057</v>
      </c>
      <c r="E89" s="10" t="s">
        <v>349</v>
      </c>
      <c r="F89" s="62">
        <v>2816</v>
      </c>
      <c r="G89" s="62">
        <v>39.700000000000003</v>
      </c>
      <c r="H89" s="62"/>
      <c r="I89" s="89">
        <f t="shared" si="13"/>
        <v>2776.3</v>
      </c>
      <c r="J89" s="63" t="s">
        <v>205</v>
      </c>
      <c r="K89" s="63">
        <v>1</v>
      </c>
      <c r="L89" s="63"/>
      <c r="M89" s="63"/>
      <c r="N89" s="63">
        <v>1</v>
      </c>
      <c r="O89" s="63"/>
      <c r="P89" s="63"/>
      <c r="Q89" s="63">
        <v>1</v>
      </c>
      <c r="R89" s="63">
        <v>1</v>
      </c>
      <c r="S89" s="296">
        <v>1</v>
      </c>
      <c r="T89" s="63"/>
      <c r="U89" s="10"/>
      <c r="V89" s="138"/>
      <c r="W89" s="136"/>
      <c r="X89" s="137"/>
      <c r="Y89" s="2"/>
      <c r="Z89" s="2"/>
      <c r="AA89" s="2"/>
      <c r="AB89" s="2"/>
      <c r="AC89" s="2"/>
    </row>
    <row r="90" spans="1:29">
      <c r="A90" s="2"/>
      <c r="B90" s="87">
        <f t="shared" si="15"/>
        <v>26</v>
      </c>
      <c r="C90" s="282">
        <v>45835</v>
      </c>
      <c r="D90" s="302" t="s">
        <v>1373</v>
      </c>
      <c r="E90" s="319" t="s">
        <v>322</v>
      </c>
      <c r="F90" s="284">
        <v>5208</v>
      </c>
      <c r="G90" s="284">
        <v>39.700000000000003</v>
      </c>
      <c r="H90" s="284"/>
      <c r="I90" s="285">
        <f t="shared" si="13"/>
        <v>5168.3</v>
      </c>
      <c r="J90" s="286" t="s">
        <v>205</v>
      </c>
      <c r="K90" s="286">
        <v>1</v>
      </c>
      <c r="L90" s="286"/>
      <c r="M90" s="286"/>
      <c r="N90" s="286">
        <v>1</v>
      </c>
      <c r="O90" s="286"/>
      <c r="P90" s="286"/>
      <c r="Q90" s="286"/>
      <c r="R90" s="286"/>
      <c r="S90" s="287"/>
      <c r="T90" s="63"/>
      <c r="U90" s="10"/>
      <c r="V90" s="138"/>
      <c r="W90" s="136"/>
      <c r="X90" s="137"/>
      <c r="Y90" s="2"/>
      <c r="Z90" s="2"/>
      <c r="AA90" s="2"/>
      <c r="AB90" s="2"/>
      <c r="AC90" s="2"/>
    </row>
    <row r="91" spans="1:29">
      <c r="A91" s="2"/>
      <c r="B91" s="11"/>
      <c r="C91" s="36"/>
      <c r="D91" s="10"/>
      <c r="E91" s="10"/>
      <c r="F91" s="98">
        <f t="shared" ref="F91:H91" si="16">SUM(F65:F90)</f>
        <v>114059.2</v>
      </c>
      <c r="G91" s="98">
        <f t="shared" si="16"/>
        <v>754.30000000000018</v>
      </c>
      <c r="H91" s="98">
        <f t="shared" si="16"/>
        <v>0</v>
      </c>
      <c r="I91" s="98">
        <f>SUM(I65:I90)</f>
        <v>113304.90000000004</v>
      </c>
      <c r="J91" s="10"/>
      <c r="K91" s="10"/>
      <c r="L91" s="10"/>
      <c r="M91" s="10"/>
      <c r="N91" s="10"/>
      <c r="O91" s="10"/>
      <c r="P91" s="10"/>
      <c r="Q91" s="10"/>
      <c r="R91" s="10"/>
      <c r="S91" s="10"/>
      <c r="T91" s="63"/>
      <c r="U91" s="10"/>
      <c r="V91" s="138"/>
      <c r="W91" s="136"/>
      <c r="X91" s="137"/>
      <c r="Y91" s="2"/>
      <c r="Z91" s="2"/>
      <c r="AA91" s="2"/>
      <c r="AB91" s="2"/>
      <c r="AC91" s="2"/>
    </row>
    <row r="92" spans="1:29">
      <c r="A92" s="2"/>
      <c r="B92" s="26"/>
      <c r="C92" s="140"/>
      <c r="D92" s="141"/>
      <c r="E92" s="141"/>
      <c r="F92" s="141"/>
      <c r="G92" s="141"/>
      <c r="H92" s="141"/>
      <c r="I92" s="141"/>
      <c r="J92" s="141"/>
      <c r="K92" s="142"/>
      <c r="L92" s="142"/>
      <c r="M92" s="142"/>
      <c r="N92" s="142"/>
      <c r="O92" s="142"/>
      <c r="P92" s="142"/>
      <c r="Q92" s="142"/>
      <c r="R92" s="142"/>
      <c r="S92" s="142"/>
      <c r="T92" s="143">
        <f>SUM(T30:T91)</f>
        <v>0</v>
      </c>
      <c r="U92" s="141"/>
      <c r="V92" s="144">
        <f>SUM(V30:V91)</f>
        <v>16421.2</v>
      </c>
      <c r="W92" s="145">
        <f>SUM(W30:W91)</f>
        <v>557</v>
      </c>
      <c r="X92" s="146">
        <f>SUM(X30:X91)</f>
        <v>0</v>
      </c>
      <c r="Y92" s="2"/>
      <c r="Z92" s="2"/>
      <c r="AA92" s="2"/>
      <c r="AB92" s="2"/>
      <c r="AC92" s="2"/>
    </row>
    <row r="93" spans="1:29">
      <c r="B93" s="258"/>
      <c r="C93" s="258"/>
      <c r="D93" s="258"/>
      <c r="E93" s="258"/>
      <c r="F93" s="258"/>
      <c r="G93" s="258"/>
      <c r="H93" s="258"/>
      <c r="I93" s="258"/>
      <c r="J93" s="258"/>
      <c r="K93" s="258"/>
      <c r="L93" s="258"/>
      <c r="M93" s="258"/>
      <c r="N93" s="258"/>
      <c r="O93" s="258"/>
      <c r="P93" s="258"/>
      <c r="Q93" s="258"/>
      <c r="R93" s="258"/>
      <c r="S93" s="258"/>
      <c r="T93" s="258"/>
      <c r="U93" s="258"/>
      <c r="V93" s="258"/>
      <c r="W93" s="258"/>
      <c r="X93" s="258"/>
    </row>
    <row r="96" spans="1:29">
      <c r="A96" s="3"/>
      <c r="B96" s="4" t="s">
        <v>1</v>
      </c>
      <c r="C96" s="5"/>
      <c r="D96" s="6"/>
      <c r="E96" s="6"/>
      <c r="F96" s="7" t="s">
        <v>2</v>
      </c>
      <c r="G96" s="8">
        <v>45844</v>
      </c>
      <c r="H96" s="7"/>
      <c r="I96" s="6"/>
      <c r="J96" s="6"/>
      <c r="K96" s="6"/>
      <c r="L96" s="6"/>
      <c r="M96" s="6"/>
      <c r="N96" s="6"/>
      <c r="O96" s="6"/>
      <c r="P96" s="6"/>
      <c r="Q96" s="6"/>
      <c r="R96" s="6"/>
      <c r="S96" s="6"/>
      <c r="T96" s="6"/>
      <c r="U96" s="9"/>
      <c r="V96" s="10"/>
      <c r="W96" s="10"/>
      <c r="X96" s="10"/>
    </row>
    <row r="97" spans="1:24">
      <c r="A97" s="2"/>
      <c r="B97" s="11"/>
      <c r="C97" s="10"/>
      <c r="D97" s="10"/>
      <c r="E97" s="10"/>
      <c r="F97" s="10"/>
      <c r="G97" s="7"/>
      <c r="H97" s="12"/>
      <c r="I97" s="10"/>
      <c r="J97" s="10"/>
      <c r="K97" s="13" t="s">
        <v>3</v>
      </c>
      <c r="L97" s="14"/>
      <c r="M97" s="15"/>
      <c r="N97" s="13" t="s">
        <v>4</v>
      </c>
      <c r="O97" s="14"/>
      <c r="P97" s="15"/>
      <c r="Q97" s="13" t="s">
        <v>5</v>
      </c>
      <c r="R97" s="14"/>
      <c r="S97" s="15"/>
      <c r="T97" s="16"/>
      <c r="U97" s="17"/>
      <c r="V97" s="10"/>
      <c r="W97" s="10"/>
      <c r="X97" s="10"/>
    </row>
    <row r="98" spans="1:24">
      <c r="A98" s="2"/>
      <c r="B98" s="18" t="s">
        <v>6</v>
      </c>
      <c r="C98" s="19">
        <f>C99+C100</f>
        <v>26</v>
      </c>
      <c r="D98" s="10"/>
      <c r="E98" s="18" t="s">
        <v>7</v>
      </c>
      <c r="F98" s="6"/>
      <c r="G98" s="9"/>
      <c r="H98" s="10"/>
      <c r="I98" s="10"/>
      <c r="J98" s="10"/>
      <c r="K98" s="20" t="s">
        <v>8</v>
      </c>
      <c r="L98" s="21" t="s">
        <v>9</v>
      </c>
      <c r="M98" s="21" t="s">
        <v>10</v>
      </c>
      <c r="N98" s="20" t="s">
        <v>11</v>
      </c>
      <c r="O98" s="21" t="s">
        <v>12</v>
      </c>
      <c r="P98" s="22" t="s">
        <v>13</v>
      </c>
      <c r="Q98" s="21" t="s">
        <v>11</v>
      </c>
      <c r="R98" s="21" t="s">
        <v>12</v>
      </c>
      <c r="S98" s="22" t="s">
        <v>13</v>
      </c>
      <c r="T98" s="23" t="s">
        <v>14</v>
      </c>
      <c r="U98" s="17"/>
      <c r="V98" s="10"/>
      <c r="W98" s="10"/>
      <c r="X98" s="10"/>
    </row>
    <row r="99" spans="1:24">
      <c r="A99" s="2"/>
      <c r="B99" s="24" t="s">
        <v>15</v>
      </c>
      <c r="C99" s="25">
        <f>P106</f>
        <v>12</v>
      </c>
      <c r="D99" s="10"/>
      <c r="E99" s="26" t="s">
        <v>16</v>
      </c>
      <c r="F99" s="27">
        <v>0.05</v>
      </c>
      <c r="G99" s="28"/>
      <c r="H99" s="10"/>
      <c r="I99" s="10"/>
      <c r="J99" s="18" t="s">
        <v>17</v>
      </c>
      <c r="K99" s="29">
        <f>K131</f>
        <v>7</v>
      </c>
      <c r="L99" s="29">
        <f t="shared" ref="L99:S99" si="17">L131</f>
        <v>6</v>
      </c>
      <c r="M99" s="29">
        <f t="shared" si="17"/>
        <v>6</v>
      </c>
      <c r="N99" s="29">
        <f t="shared" si="17"/>
        <v>7</v>
      </c>
      <c r="O99" s="29">
        <f t="shared" si="17"/>
        <v>7</v>
      </c>
      <c r="P99" s="29">
        <f t="shared" si="17"/>
        <v>5</v>
      </c>
      <c r="Q99" s="29">
        <f t="shared" si="17"/>
        <v>7</v>
      </c>
      <c r="R99" s="29">
        <f t="shared" si="17"/>
        <v>7</v>
      </c>
      <c r="S99" s="29">
        <f t="shared" si="17"/>
        <v>6</v>
      </c>
      <c r="T99" s="30">
        <f>T172</f>
        <v>0</v>
      </c>
      <c r="U99" s="17"/>
      <c r="V99" s="10"/>
      <c r="W99" s="10"/>
      <c r="X99" s="10"/>
    </row>
    <row r="100" spans="1:24">
      <c r="A100" s="2"/>
      <c r="B100" s="24" t="s">
        <v>18</v>
      </c>
      <c r="C100" s="25">
        <f>P107</f>
        <v>14</v>
      </c>
      <c r="D100" s="10"/>
      <c r="E100" s="10"/>
      <c r="F100" s="10"/>
      <c r="G100" s="31"/>
      <c r="H100" s="10"/>
      <c r="I100" s="10"/>
      <c r="J100" s="32" t="s">
        <v>19</v>
      </c>
      <c r="K100" s="33">
        <f>K131/K130</f>
        <v>1</v>
      </c>
      <c r="L100" s="33">
        <f t="shared" ref="L100:S100" si="18">L131/L130</f>
        <v>0.8571428571428571</v>
      </c>
      <c r="M100" s="33">
        <f t="shared" si="18"/>
        <v>0.8571428571428571</v>
      </c>
      <c r="N100" s="33">
        <f t="shared" si="18"/>
        <v>1</v>
      </c>
      <c r="O100" s="33">
        <f t="shared" si="18"/>
        <v>1</v>
      </c>
      <c r="P100" s="33">
        <f t="shared" si="18"/>
        <v>0.7142857142857143</v>
      </c>
      <c r="Q100" s="33">
        <f t="shared" si="18"/>
        <v>1</v>
      </c>
      <c r="R100" s="33">
        <f t="shared" si="18"/>
        <v>1</v>
      </c>
      <c r="S100" s="33">
        <f t="shared" si="18"/>
        <v>0.8571428571428571</v>
      </c>
      <c r="T100" s="23"/>
      <c r="U100" s="17" t="s">
        <v>20</v>
      </c>
      <c r="V100" s="10"/>
      <c r="W100" s="10"/>
      <c r="X100" s="10"/>
    </row>
    <row r="101" spans="1:24">
      <c r="A101" s="2"/>
      <c r="B101" s="24" t="s">
        <v>21</v>
      </c>
      <c r="C101" s="34">
        <f>P108</f>
        <v>0.46153846153846156</v>
      </c>
      <c r="D101" s="10"/>
      <c r="E101" s="10"/>
      <c r="F101" s="10"/>
      <c r="G101" s="10"/>
      <c r="H101" s="10"/>
      <c r="I101" s="10"/>
      <c r="J101" s="10"/>
      <c r="K101" s="10"/>
      <c r="L101" s="10"/>
      <c r="M101" s="10"/>
      <c r="N101" s="10"/>
      <c r="O101" s="10"/>
      <c r="P101" s="10"/>
      <c r="Q101" s="10"/>
      <c r="R101" s="10"/>
      <c r="S101" s="10"/>
      <c r="T101" s="10"/>
      <c r="U101" s="17"/>
      <c r="V101" s="10"/>
      <c r="W101" s="10"/>
      <c r="X101" s="10"/>
    </row>
    <row r="102" spans="1:24">
      <c r="A102" s="2"/>
      <c r="B102" s="24"/>
      <c r="C102" s="25"/>
      <c r="D102" s="10"/>
      <c r="E102" s="10"/>
      <c r="F102" s="18" t="s">
        <v>22</v>
      </c>
      <c r="G102" s="19" t="s">
        <v>23</v>
      </c>
      <c r="H102" s="35" t="s">
        <v>24</v>
      </c>
      <c r="I102" s="10"/>
      <c r="J102" s="10"/>
      <c r="K102" s="36"/>
      <c r="L102" s="36"/>
      <c r="M102" s="36"/>
      <c r="N102" s="36"/>
      <c r="O102" s="36"/>
      <c r="P102" s="36"/>
      <c r="Q102" s="36"/>
      <c r="R102" s="10"/>
      <c r="S102" s="10"/>
      <c r="T102" s="10"/>
      <c r="U102" s="17"/>
      <c r="V102" s="10"/>
      <c r="W102" s="10"/>
      <c r="X102" s="10"/>
    </row>
    <row r="103" spans="1:24">
      <c r="A103" s="2"/>
      <c r="B103" s="32" t="s">
        <v>25</v>
      </c>
      <c r="C103" s="37">
        <f>P109</f>
        <v>3436.5158333333329</v>
      </c>
      <c r="D103" s="10"/>
      <c r="E103" s="18" t="s">
        <v>26</v>
      </c>
      <c r="F103" s="38">
        <f>P105</f>
        <v>41238.189999999995</v>
      </c>
      <c r="G103" s="39">
        <f>I130+I142+I147</f>
        <v>41238.19</v>
      </c>
      <c r="H103" s="40"/>
      <c r="I103" s="41"/>
      <c r="J103" s="42"/>
      <c r="K103" s="43" t="s">
        <v>27</v>
      </c>
      <c r="L103" s="44"/>
      <c r="M103" s="44"/>
      <c r="N103" s="44"/>
      <c r="O103" s="44"/>
      <c r="P103" s="44"/>
      <c r="Q103" s="45"/>
      <c r="R103" s="46" t="s">
        <v>28</v>
      </c>
      <c r="S103" s="47" t="s">
        <v>29</v>
      </c>
      <c r="T103" s="10"/>
      <c r="U103" s="17"/>
      <c r="V103" s="10"/>
      <c r="W103" s="10"/>
      <c r="X103" s="10"/>
    </row>
    <row r="104" spans="1:24">
      <c r="A104" s="2"/>
      <c r="B104" s="11"/>
      <c r="C104" s="10"/>
      <c r="D104" s="10"/>
      <c r="E104" s="24" t="s">
        <v>30</v>
      </c>
      <c r="F104" s="48">
        <f>F99</f>
        <v>0.05</v>
      </c>
      <c r="G104" s="17"/>
      <c r="H104" s="40"/>
      <c r="I104" s="41"/>
      <c r="J104" s="42"/>
      <c r="K104" s="20" t="s">
        <v>31</v>
      </c>
      <c r="L104" s="21" t="s">
        <v>32</v>
      </c>
      <c r="M104" s="21" t="s">
        <v>33</v>
      </c>
      <c r="N104" s="21" t="s">
        <v>34</v>
      </c>
      <c r="O104" s="21" t="s">
        <v>35</v>
      </c>
      <c r="P104" s="21" t="s">
        <v>36</v>
      </c>
      <c r="Q104" s="49" t="s">
        <v>37</v>
      </c>
      <c r="R104" s="50" t="s">
        <v>38</v>
      </c>
      <c r="S104" s="50" t="s">
        <v>38</v>
      </c>
      <c r="T104" s="10"/>
      <c r="U104" s="17"/>
      <c r="V104" s="10"/>
      <c r="W104" s="10"/>
      <c r="X104" s="10"/>
    </row>
    <row r="105" spans="1:24">
      <c r="A105" s="2"/>
      <c r="B105" s="11"/>
      <c r="C105" s="10"/>
      <c r="D105" s="10"/>
      <c r="E105" s="51" t="s">
        <v>39</v>
      </c>
      <c r="F105" s="52">
        <f>(F103-I126-I139-I140-I141-I145-I146)*F104</f>
        <v>433.42999999999961</v>
      </c>
      <c r="G105" s="53" t="s">
        <v>40</v>
      </c>
      <c r="H105" s="54">
        <f>F105/1.12</f>
        <v>386.99107142857105</v>
      </c>
      <c r="I105" s="55"/>
      <c r="J105" s="42"/>
      <c r="K105" s="56">
        <f>I125+I123+I124</f>
        <v>4069.5499999999997</v>
      </c>
      <c r="L105" s="57"/>
      <c r="M105" s="57">
        <f>+I139+I145+I126</f>
        <v>15872.989999999998</v>
      </c>
      <c r="N105" s="57"/>
      <c r="O105" s="57">
        <f>I127+I128+I129+I140+I146+I141</f>
        <v>21295.649999999998</v>
      </c>
      <c r="P105" s="57">
        <f>SUM(K105:O105)</f>
        <v>41238.189999999995</v>
      </c>
      <c r="Q105" s="58">
        <v>0</v>
      </c>
      <c r="R105" s="59">
        <f>I142+I147</f>
        <v>31148.289999999997</v>
      </c>
      <c r="S105" s="59"/>
      <c r="T105" s="10"/>
      <c r="U105" s="17"/>
      <c r="V105" s="10"/>
      <c r="W105" s="10"/>
      <c r="X105" s="10"/>
    </row>
    <row r="106" spans="1:24">
      <c r="A106" s="2"/>
      <c r="B106" s="11"/>
      <c r="C106" s="10"/>
      <c r="D106" s="10"/>
      <c r="E106" s="24" t="s">
        <v>41</v>
      </c>
      <c r="F106" s="60">
        <f>Q105</f>
        <v>0</v>
      </c>
      <c r="G106" s="61" t="s">
        <v>40</v>
      </c>
      <c r="H106" s="62"/>
      <c r="I106" s="62"/>
      <c r="J106" s="10" t="s">
        <v>42</v>
      </c>
      <c r="K106" s="63">
        <v>3</v>
      </c>
      <c r="L106" s="63"/>
      <c r="M106" s="63">
        <v>3</v>
      </c>
      <c r="N106" s="63">
        <v>0</v>
      </c>
      <c r="O106" s="63">
        <v>6</v>
      </c>
      <c r="P106" s="21">
        <f>SUM(K106:O106)</f>
        <v>12</v>
      </c>
      <c r="Q106" s="64"/>
      <c r="R106" s="63"/>
      <c r="S106" s="10"/>
      <c r="T106" s="10"/>
      <c r="U106" s="17"/>
      <c r="V106" s="10"/>
      <c r="W106" s="10"/>
      <c r="X106" s="10"/>
    </row>
    <row r="107" spans="1:24">
      <c r="A107" s="2"/>
      <c r="B107" s="11"/>
      <c r="C107" s="10"/>
      <c r="D107" s="10"/>
      <c r="E107" s="51" t="s">
        <v>43</v>
      </c>
      <c r="F107" s="52">
        <f>F106*0.25</f>
        <v>0</v>
      </c>
      <c r="G107" s="53" t="s">
        <v>40</v>
      </c>
      <c r="H107" s="54">
        <f>F107/1.12</f>
        <v>0</v>
      </c>
      <c r="I107" s="10"/>
      <c r="J107" s="10" t="s">
        <v>44</v>
      </c>
      <c r="K107" s="63">
        <v>3</v>
      </c>
      <c r="L107" s="63"/>
      <c r="M107" s="63">
        <v>4</v>
      </c>
      <c r="N107" s="63">
        <v>6</v>
      </c>
      <c r="O107" s="63">
        <v>1</v>
      </c>
      <c r="P107" s="21">
        <f>SUM(K107:O107)</f>
        <v>14</v>
      </c>
      <c r="Q107" s="64"/>
      <c r="R107" s="63"/>
      <c r="S107" s="10"/>
      <c r="T107" s="10"/>
      <c r="U107" s="17"/>
      <c r="V107" s="10"/>
      <c r="W107" s="10"/>
      <c r="X107" s="10"/>
    </row>
    <row r="108" spans="1:24">
      <c r="A108" s="2"/>
      <c r="B108" s="11"/>
      <c r="C108" s="10"/>
      <c r="D108" s="10"/>
      <c r="E108" s="24" t="s">
        <v>45</v>
      </c>
      <c r="F108" s="60">
        <f>I136</f>
        <v>19245.37</v>
      </c>
      <c r="G108" s="61" t="s">
        <v>40</v>
      </c>
      <c r="H108" s="62"/>
      <c r="I108" s="10"/>
      <c r="J108" s="10" t="s">
        <v>46</v>
      </c>
      <c r="K108" s="31">
        <f t="shared" ref="K108:Q108" si="19">K106/(K106+K107)</f>
        <v>0.5</v>
      </c>
      <c r="L108" s="31" t="e">
        <f t="shared" si="19"/>
        <v>#DIV/0!</v>
      </c>
      <c r="M108" s="31">
        <f t="shared" si="19"/>
        <v>0.42857142857142855</v>
      </c>
      <c r="N108" s="31">
        <f t="shared" si="19"/>
        <v>0</v>
      </c>
      <c r="O108" s="31">
        <f t="shared" si="19"/>
        <v>0.8571428571428571</v>
      </c>
      <c r="P108" s="31">
        <f t="shared" si="19"/>
        <v>0.46153846153846156</v>
      </c>
      <c r="Q108" s="31" t="e">
        <f t="shared" si="19"/>
        <v>#DIV/0!</v>
      </c>
      <c r="R108" s="63"/>
      <c r="S108" s="10"/>
      <c r="T108" s="10"/>
      <c r="U108" s="17"/>
      <c r="V108" s="10"/>
      <c r="W108" s="10"/>
      <c r="X108" s="10"/>
    </row>
    <row r="109" spans="1:24">
      <c r="A109" s="2"/>
      <c r="B109" s="11"/>
      <c r="C109" s="10"/>
      <c r="D109" s="10"/>
      <c r="E109" s="51" t="s">
        <v>47</v>
      </c>
      <c r="F109" s="52">
        <f>(F108+F112)*0.05</f>
        <v>957.81849999999997</v>
      </c>
      <c r="G109" s="65" t="s">
        <v>40</v>
      </c>
      <c r="H109" s="54">
        <f>F109/1.12</f>
        <v>855.19508928571418</v>
      </c>
      <c r="I109" s="42"/>
      <c r="J109" s="10" t="s">
        <v>48</v>
      </c>
      <c r="K109" s="66">
        <f>K105/K106</f>
        <v>1356.5166666666667</v>
      </c>
      <c r="L109" s="66" t="e">
        <f t="shared" ref="L109:Q109" si="20">L105/L106</f>
        <v>#DIV/0!</v>
      </c>
      <c r="M109" s="66">
        <f t="shared" si="20"/>
        <v>5290.996666666666</v>
      </c>
      <c r="N109" s="66" t="e">
        <f t="shared" si="20"/>
        <v>#DIV/0!</v>
      </c>
      <c r="O109" s="66">
        <f t="shared" si="20"/>
        <v>3549.2749999999996</v>
      </c>
      <c r="P109" s="66">
        <f t="shared" si="20"/>
        <v>3436.5158333333329</v>
      </c>
      <c r="Q109" s="66" t="e">
        <f t="shared" si="20"/>
        <v>#DIV/0!</v>
      </c>
      <c r="R109" s="63"/>
      <c r="S109" s="10"/>
      <c r="T109" s="10"/>
      <c r="U109" s="17"/>
      <c r="V109" s="10"/>
      <c r="W109" s="10"/>
      <c r="X109" s="10"/>
    </row>
    <row r="110" spans="1:24">
      <c r="A110" s="2"/>
      <c r="B110" s="11"/>
      <c r="C110" s="10"/>
      <c r="D110" s="10"/>
      <c r="E110" s="67" t="s">
        <v>14</v>
      </c>
      <c r="F110" s="68"/>
      <c r="G110" s="10"/>
      <c r="H110" s="54">
        <f>F110/1.12</f>
        <v>0</v>
      </c>
      <c r="I110" s="10"/>
      <c r="J110" s="10"/>
      <c r="K110" s="10"/>
      <c r="L110" s="10"/>
      <c r="M110" s="10"/>
      <c r="N110" s="10"/>
      <c r="O110" s="10"/>
      <c r="P110" s="10"/>
      <c r="Q110" s="10"/>
      <c r="R110" s="10"/>
      <c r="S110" s="10"/>
      <c r="T110" s="10"/>
      <c r="U110" s="17"/>
      <c r="V110" s="10"/>
      <c r="W110" s="10"/>
      <c r="X110" s="10"/>
    </row>
    <row r="111" spans="1:24" ht="15" customHeight="1">
      <c r="A111" s="2"/>
      <c r="B111" s="11"/>
      <c r="C111" s="10"/>
      <c r="D111" s="10"/>
      <c r="E111" s="67" t="s">
        <v>49</v>
      </c>
      <c r="F111" s="69">
        <f>T100</f>
        <v>0</v>
      </c>
      <c r="G111" s="10"/>
      <c r="H111" s="54"/>
      <c r="I111" s="55"/>
      <c r="J111" s="42"/>
      <c r="K111" s="764" t="s">
        <v>50</v>
      </c>
      <c r="L111" s="765"/>
      <c r="M111" s="765"/>
      <c r="N111" s="765"/>
      <c r="O111" s="765"/>
      <c r="P111" s="765"/>
      <c r="Q111" s="766"/>
      <c r="R111" s="70" t="s">
        <v>28</v>
      </c>
      <c r="S111" s="71" t="s">
        <v>29</v>
      </c>
      <c r="T111" s="10"/>
      <c r="U111" s="17"/>
      <c r="V111" s="10"/>
      <c r="W111" s="10"/>
      <c r="X111" s="10"/>
    </row>
    <row r="112" spans="1:24">
      <c r="A112" s="2"/>
      <c r="B112" s="11"/>
      <c r="C112" s="10"/>
      <c r="D112" s="10"/>
      <c r="E112" s="74" t="s">
        <v>1374</v>
      </c>
      <c r="F112" s="75">
        <f>-89</f>
        <v>-89</v>
      </c>
      <c r="G112" s="10"/>
      <c r="H112" s="10"/>
      <c r="I112" s="10"/>
      <c r="J112" s="42"/>
      <c r="K112" s="20" t="s">
        <v>31</v>
      </c>
      <c r="L112" s="21" t="s">
        <v>32</v>
      </c>
      <c r="M112" s="21" t="s">
        <v>33</v>
      </c>
      <c r="N112" s="21" t="s">
        <v>34</v>
      </c>
      <c r="O112" s="21" t="s">
        <v>35</v>
      </c>
      <c r="P112" s="21" t="s">
        <v>36</v>
      </c>
      <c r="Q112" s="49" t="s">
        <v>37</v>
      </c>
      <c r="R112" s="50" t="s">
        <v>38</v>
      </c>
      <c r="S112" s="50" t="s">
        <v>38</v>
      </c>
      <c r="T112" s="10"/>
      <c r="U112" s="17"/>
      <c r="V112" s="10"/>
      <c r="W112" s="10"/>
      <c r="X112" s="10"/>
    </row>
    <row r="113" spans="1:24">
      <c r="A113" s="2"/>
      <c r="B113" s="11"/>
      <c r="C113" s="10"/>
      <c r="D113" s="10"/>
      <c r="E113" s="12"/>
      <c r="F113" s="76"/>
      <c r="G113" s="10"/>
      <c r="H113" s="10"/>
      <c r="I113" s="10"/>
      <c r="J113" s="42"/>
      <c r="K113" s="56">
        <f>F125+F123+F124</f>
        <v>4952</v>
      </c>
      <c r="L113" s="57"/>
      <c r="M113" s="57">
        <f>+F139+F145+F126</f>
        <v>18356</v>
      </c>
      <c r="N113" s="57"/>
      <c r="O113" s="57">
        <f>F127+F128+F129+F140+F146+F141</f>
        <v>23016</v>
      </c>
      <c r="P113" s="57">
        <f>SUM(K113:O113)</f>
        <v>46324</v>
      </c>
      <c r="Q113" s="58">
        <v>0</v>
      </c>
      <c r="R113" s="59">
        <f>F142+F147</f>
        <v>35171</v>
      </c>
      <c r="S113" s="59"/>
      <c r="T113" s="10"/>
      <c r="U113" s="17"/>
      <c r="V113" s="10"/>
      <c r="W113" s="10"/>
      <c r="X113" s="10"/>
    </row>
    <row r="114" spans="1:24">
      <c r="A114" s="2"/>
      <c r="B114" s="11"/>
      <c r="C114" s="10"/>
      <c r="D114" s="10"/>
      <c r="E114" s="10"/>
      <c r="F114" s="10"/>
      <c r="G114" s="10"/>
      <c r="H114" s="10"/>
      <c r="I114" s="10"/>
      <c r="J114" s="10" t="s">
        <v>42</v>
      </c>
      <c r="K114" s="63">
        <f>K106</f>
        <v>3</v>
      </c>
      <c r="L114" s="63">
        <f t="shared" ref="L114:Q115" si="21">L106</f>
        <v>0</v>
      </c>
      <c r="M114" s="63">
        <f t="shared" si="21"/>
        <v>3</v>
      </c>
      <c r="N114" s="63">
        <f t="shared" si="21"/>
        <v>0</v>
      </c>
      <c r="O114" s="63">
        <f t="shared" si="21"/>
        <v>6</v>
      </c>
      <c r="P114" s="63">
        <f>P106</f>
        <v>12</v>
      </c>
      <c r="Q114" s="63">
        <f t="shared" si="21"/>
        <v>0</v>
      </c>
      <c r="R114" s="63"/>
      <c r="S114" s="10"/>
      <c r="T114" s="10"/>
      <c r="U114" s="17"/>
      <c r="V114" s="10"/>
      <c r="W114" s="10"/>
      <c r="X114" s="10"/>
    </row>
    <row r="115" spans="1:24">
      <c r="A115" s="2"/>
      <c r="B115" s="11"/>
      <c r="C115" s="10"/>
      <c r="D115" s="10"/>
      <c r="E115" s="10"/>
      <c r="F115" s="10"/>
      <c r="G115" s="10"/>
      <c r="H115" s="10"/>
      <c r="I115" s="10"/>
      <c r="J115" s="10" t="s">
        <v>44</v>
      </c>
      <c r="K115" s="63">
        <f>K107</f>
        <v>3</v>
      </c>
      <c r="L115" s="63">
        <f>L107</f>
        <v>0</v>
      </c>
      <c r="M115" s="63">
        <f>M107</f>
        <v>4</v>
      </c>
      <c r="N115" s="63">
        <f>N107</f>
        <v>6</v>
      </c>
      <c r="O115" s="63">
        <f>O107</f>
        <v>1</v>
      </c>
      <c r="P115" s="63">
        <f>P107</f>
        <v>14</v>
      </c>
      <c r="Q115" s="63">
        <f t="shared" si="21"/>
        <v>0</v>
      </c>
      <c r="R115" s="63"/>
      <c r="S115" s="10"/>
      <c r="T115" s="10"/>
      <c r="U115" s="17"/>
      <c r="V115" s="10"/>
      <c r="W115" s="10"/>
      <c r="X115" s="10"/>
    </row>
    <row r="116" spans="1:24">
      <c r="A116" s="2"/>
      <c r="B116" s="11"/>
      <c r="C116" s="10"/>
      <c r="D116" s="10"/>
      <c r="E116" s="12"/>
      <c r="F116" s="76"/>
      <c r="G116" s="10"/>
      <c r="H116" s="10"/>
      <c r="I116" s="10"/>
      <c r="J116" s="10" t="s">
        <v>46</v>
      </c>
      <c r="K116" s="31">
        <f t="shared" ref="K116:Q116" si="22">K114/(K114+K115)</f>
        <v>0.5</v>
      </c>
      <c r="L116" s="31" t="e">
        <f t="shared" si="22"/>
        <v>#DIV/0!</v>
      </c>
      <c r="M116" s="31">
        <f t="shared" si="22"/>
        <v>0.42857142857142855</v>
      </c>
      <c r="N116" s="31">
        <f t="shared" si="22"/>
        <v>0</v>
      </c>
      <c r="O116" s="31">
        <f t="shared" si="22"/>
        <v>0.8571428571428571</v>
      </c>
      <c r="P116" s="31">
        <f t="shared" si="22"/>
        <v>0.46153846153846156</v>
      </c>
      <c r="Q116" s="31" t="e">
        <f t="shared" si="22"/>
        <v>#DIV/0!</v>
      </c>
      <c r="R116" s="63"/>
      <c r="S116" s="10"/>
      <c r="T116" s="10"/>
      <c r="U116" s="17"/>
      <c r="V116" s="10"/>
      <c r="W116" s="10"/>
      <c r="X116" s="10"/>
    </row>
    <row r="117" spans="1:24">
      <c r="A117" s="2"/>
      <c r="B117" s="11"/>
      <c r="C117" s="10"/>
      <c r="D117" s="10"/>
      <c r="E117" s="10"/>
      <c r="F117" s="10"/>
      <c r="G117" s="10"/>
      <c r="H117" s="10"/>
      <c r="I117" s="10"/>
      <c r="J117" s="10" t="s">
        <v>48</v>
      </c>
      <c r="K117" s="66">
        <f t="shared" ref="K117:Q117" si="23">K113/K114</f>
        <v>1650.6666666666667</v>
      </c>
      <c r="L117" s="66" t="e">
        <f t="shared" si="23"/>
        <v>#DIV/0!</v>
      </c>
      <c r="M117" s="66">
        <f t="shared" si="23"/>
        <v>6118.666666666667</v>
      </c>
      <c r="N117" s="66" t="e">
        <f t="shared" si="23"/>
        <v>#DIV/0!</v>
      </c>
      <c r="O117" s="66">
        <f t="shared" si="23"/>
        <v>3836</v>
      </c>
      <c r="P117" s="66">
        <f t="shared" si="23"/>
        <v>3860.3333333333335</v>
      </c>
      <c r="Q117" s="66" t="e">
        <f t="shared" si="23"/>
        <v>#DIV/0!</v>
      </c>
      <c r="R117" s="63"/>
      <c r="S117" s="10"/>
      <c r="T117" s="10"/>
      <c r="U117" s="17"/>
      <c r="V117" s="10"/>
      <c r="W117" s="10"/>
      <c r="X117" s="10"/>
    </row>
    <row r="118" spans="1:24">
      <c r="A118" s="2"/>
      <c r="B118" s="11"/>
      <c r="C118" s="10"/>
      <c r="D118" s="10"/>
      <c r="E118" s="10"/>
      <c r="F118" s="10"/>
      <c r="G118" s="10"/>
      <c r="H118" s="10"/>
      <c r="I118" s="10"/>
      <c r="J118" s="10"/>
      <c r="K118" s="10"/>
      <c r="L118" s="10"/>
      <c r="M118" s="10"/>
      <c r="N118" s="10"/>
      <c r="O118" s="10"/>
      <c r="P118" s="10"/>
      <c r="Q118" s="10"/>
      <c r="R118" s="10"/>
      <c r="S118" s="10"/>
      <c r="T118" s="10"/>
      <c r="U118" s="17"/>
      <c r="V118" s="10"/>
      <c r="W118" s="10"/>
      <c r="X118" s="10"/>
    </row>
    <row r="119" spans="1:24">
      <c r="A119" s="2"/>
      <c r="B119" s="11"/>
      <c r="C119" s="10"/>
      <c r="D119" s="10"/>
      <c r="E119" s="10"/>
      <c r="F119" s="10"/>
      <c r="G119" s="10"/>
      <c r="H119" s="10"/>
      <c r="I119" s="10"/>
      <c r="J119" s="10"/>
      <c r="K119" s="10"/>
      <c r="L119" s="10"/>
      <c r="M119" s="10"/>
      <c r="N119" s="10"/>
      <c r="O119" s="10"/>
      <c r="P119" s="10"/>
      <c r="Q119" s="10"/>
      <c r="R119" s="10"/>
      <c r="S119" s="10"/>
      <c r="T119" s="10"/>
      <c r="U119" s="17"/>
      <c r="V119" s="10"/>
      <c r="W119" s="10"/>
      <c r="X119" s="10"/>
    </row>
    <row r="120" spans="1:24">
      <c r="A120" s="2"/>
      <c r="B120" s="18" t="s">
        <v>51</v>
      </c>
      <c r="C120" s="14"/>
      <c r="D120" s="14"/>
      <c r="E120" s="14"/>
      <c r="F120" s="13" t="s">
        <v>52</v>
      </c>
      <c r="G120" s="14"/>
      <c r="H120" s="14"/>
      <c r="I120" s="14"/>
      <c r="J120" s="14"/>
      <c r="K120" s="13" t="s">
        <v>3</v>
      </c>
      <c r="L120" s="14"/>
      <c r="M120" s="14"/>
      <c r="N120" s="13" t="s">
        <v>4</v>
      </c>
      <c r="O120" s="14"/>
      <c r="P120" s="14"/>
      <c r="Q120" s="13" t="s">
        <v>5</v>
      </c>
      <c r="R120" s="14"/>
      <c r="S120" s="14"/>
      <c r="T120" s="18"/>
      <c r="U120" s="16" t="s">
        <v>53</v>
      </c>
      <c r="V120" s="77"/>
      <c r="W120" s="77"/>
      <c r="X120" s="77"/>
    </row>
    <row r="121" spans="1:24">
      <c r="A121" s="2"/>
      <c r="B121" s="24" t="s">
        <v>54</v>
      </c>
      <c r="C121" s="21" t="s">
        <v>55</v>
      </c>
      <c r="D121" s="21" t="s">
        <v>56</v>
      </c>
      <c r="E121" s="21" t="s">
        <v>57</v>
      </c>
      <c r="F121" s="20" t="s">
        <v>58</v>
      </c>
      <c r="G121" s="21" t="s">
        <v>59</v>
      </c>
      <c r="H121" s="21" t="s">
        <v>60</v>
      </c>
      <c r="I121" s="21" t="s">
        <v>26</v>
      </c>
      <c r="J121" s="22" t="s">
        <v>61</v>
      </c>
      <c r="K121" s="21" t="s">
        <v>8</v>
      </c>
      <c r="L121" s="21" t="s">
        <v>9</v>
      </c>
      <c r="M121" s="21" t="s">
        <v>10</v>
      </c>
      <c r="N121" s="20" t="s">
        <v>11</v>
      </c>
      <c r="O121" s="21" t="s">
        <v>12</v>
      </c>
      <c r="P121" s="22" t="s">
        <v>13</v>
      </c>
      <c r="Q121" s="21" t="s">
        <v>11</v>
      </c>
      <c r="R121" s="21" t="s">
        <v>12</v>
      </c>
      <c r="S121" s="21" t="s">
        <v>13</v>
      </c>
      <c r="T121" s="78" t="s">
        <v>14</v>
      </c>
      <c r="U121" s="30"/>
      <c r="V121" s="79" t="s">
        <v>62</v>
      </c>
      <c r="W121" s="80" t="s">
        <v>63</v>
      </c>
      <c r="X121" s="81" t="s">
        <v>64</v>
      </c>
    </row>
    <row r="122" spans="1:24">
      <c r="A122" s="2"/>
      <c r="B122" s="4" t="s">
        <v>65</v>
      </c>
      <c r="C122" s="6"/>
      <c r="D122" s="6"/>
      <c r="E122" s="6"/>
      <c r="F122" s="6"/>
      <c r="G122" s="6"/>
      <c r="H122" s="6"/>
      <c r="I122" s="82"/>
      <c r="J122" s="6"/>
      <c r="K122" s="6"/>
      <c r="L122" s="6"/>
      <c r="M122" s="6"/>
      <c r="N122" s="6"/>
      <c r="O122" s="6"/>
      <c r="P122" s="6"/>
      <c r="Q122" s="6"/>
      <c r="R122" s="6"/>
      <c r="S122" s="6"/>
      <c r="T122" s="83"/>
      <c r="U122" s="6"/>
      <c r="V122" s="84"/>
      <c r="W122" s="85"/>
      <c r="X122" s="86"/>
    </row>
    <row r="123" spans="1:24">
      <c r="A123" s="2"/>
      <c r="B123" s="87">
        <v>1</v>
      </c>
      <c r="C123" s="274">
        <v>45838</v>
      </c>
      <c r="D123" s="320" t="s">
        <v>1375</v>
      </c>
      <c r="E123" s="281" t="s">
        <v>610</v>
      </c>
      <c r="F123" s="277">
        <v>1138</v>
      </c>
      <c r="G123" s="277">
        <v>39.700000000000003</v>
      </c>
      <c r="H123" s="277"/>
      <c r="I123" s="321">
        <f>F123-G123-H123</f>
        <v>1098.3</v>
      </c>
      <c r="J123" s="279" t="s">
        <v>374</v>
      </c>
      <c r="K123" s="279">
        <v>1</v>
      </c>
      <c r="L123" s="279">
        <v>1</v>
      </c>
      <c r="M123" s="279">
        <v>1</v>
      </c>
      <c r="N123" s="279">
        <v>1</v>
      </c>
      <c r="O123" s="279">
        <v>1</v>
      </c>
      <c r="P123" s="322">
        <v>0</v>
      </c>
      <c r="Q123" s="279">
        <v>1</v>
      </c>
      <c r="R123" s="279">
        <v>1</v>
      </c>
      <c r="S123" s="280">
        <v>1</v>
      </c>
      <c r="T123" s="63"/>
      <c r="U123" s="298" t="s">
        <v>1376</v>
      </c>
      <c r="V123" s="90">
        <v>1251.8</v>
      </c>
      <c r="W123" s="91"/>
      <c r="X123" s="92"/>
    </row>
    <row r="124" spans="1:24">
      <c r="A124" s="2"/>
      <c r="B124" s="87">
        <f>B123+1</f>
        <v>2</v>
      </c>
      <c r="C124" s="295">
        <v>45838</v>
      </c>
      <c r="D124" s="346" t="s">
        <v>1377</v>
      </c>
      <c r="E124" s="101" t="s">
        <v>610</v>
      </c>
      <c r="F124" s="62">
        <f>3814-1261</f>
        <v>2553</v>
      </c>
      <c r="G124" s="62">
        <f>39.7+(763.35)</f>
        <v>803.05000000000007</v>
      </c>
      <c r="H124" s="62"/>
      <c r="I124" s="89">
        <f>F124-G124-H124</f>
        <v>1749.9499999999998</v>
      </c>
      <c r="J124" s="63" t="s">
        <v>374</v>
      </c>
      <c r="K124" s="63">
        <v>1</v>
      </c>
      <c r="L124" s="63">
        <v>1</v>
      </c>
      <c r="M124" s="63">
        <v>1</v>
      </c>
      <c r="N124" s="63">
        <v>1</v>
      </c>
      <c r="O124" s="63">
        <v>1</v>
      </c>
      <c r="P124" s="63">
        <v>1</v>
      </c>
      <c r="Q124" s="63">
        <v>1</v>
      </c>
      <c r="R124" s="63">
        <v>1</v>
      </c>
      <c r="S124" s="296">
        <v>1</v>
      </c>
      <c r="T124" s="63"/>
      <c r="U124" s="10" t="s">
        <v>1378</v>
      </c>
      <c r="V124" s="90">
        <v>2808.3</v>
      </c>
      <c r="W124" s="91"/>
      <c r="X124" s="92"/>
    </row>
    <row r="125" spans="1:24">
      <c r="A125" s="2"/>
      <c r="B125" s="87">
        <f>+B124+1</f>
        <v>3</v>
      </c>
      <c r="C125" s="282">
        <v>45838</v>
      </c>
      <c r="D125" s="368">
        <v>71118</v>
      </c>
      <c r="E125" s="283" t="s">
        <v>225</v>
      </c>
      <c r="F125" s="284">
        <v>1261</v>
      </c>
      <c r="G125" s="284">
        <v>39.700000000000003</v>
      </c>
      <c r="H125" s="315"/>
      <c r="I125" s="300">
        <f t="shared" ref="I125:I129" si="24">F125-G125-H125</f>
        <v>1221.3</v>
      </c>
      <c r="J125" s="286" t="s">
        <v>156</v>
      </c>
      <c r="K125" s="286">
        <v>1</v>
      </c>
      <c r="L125" s="286">
        <v>1</v>
      </c>
      <c r="M125" s="286">
        <v>1</v>
      </c>
      <c r="N125" s="286">
        <v>1</v>
      </c>
      <c r="O125" s="286">
        <v>1</v>
      </c>
      <c r="P125" s="332">
        <v>0</v>
      </c>
      <c r="Q125" s="286">
        <v>1</v>
      </c>
      <c r="R125" s="286">
        <v>1</v>
      </c>
      <c r="S125" s="370">
        <v>0</v>
      </c>
      <c r="T125" s="63"/>
      <c r="U125" s="10" t="s">
        <v>1379</v>
      </c>
      <c r="V125" s="90">
        <v>1387.1</v>
      </c>
      <c r="W125" s="91"/>
      <c r="X125" s="92"/>
    </row>
    <row r="126" spans="1:24">
      <c r="A126" s="2"/>
      <c r="B126" s="87">
        <f>B125+1</f>
        <v>4</v>
      </c>
      <c r="C126" s="295">
        <v>45840</v>
      </c>
      <c r="D126" s="346" t="s">
        <v>1380</v>
      </c>
      <c r="E126" s="101" t="s">
        <v>291</v>
      </c>
      <c r="F126" s="62">
        <v>1461</v>
      </c>
      <c r="G126" s="62">
        <v>39.700000000000003</v>
      </c>
      <c r="H126" s="62"/>
      <c r="I126" s="369">
        <f>F126-G126-H126</f>
        <v>1421.3</v>
      </c>
      <c r="J126" s="63" t="s">
        <v>374</v>
      </c>
      <c r="K126" s="63">
        <v>1</v>
      </c>
      <c r="L126" s="325">
        <v>0</v>
      </c>
      <c r="M126" s="63">
        <v>1</v>
      </c>
      <c r="N126" s="63">
        <v>1</v>
      </c>
      <c r="O126" s="63">
        <v>1</v>
      </c>
      <c r="P126" s="63">
        <v>1</v>
      </c>
      <c r="Q126" s="63">
        <v>1</v>
      </c>
      <c r="R126" s="63">
        <v>1</v>
      </c>
      <c r="S126" s="296">
        <v>1</v>
      </c>
      <c r="T126" s="63"/>
      <c r="U126" s="10" t="s">
        <v>1381</v>
      </c>
      <c r="V126" s="90">
        <v>1607.1</v>
      </c>
      <c r="W126" s="91"/>
      <c r="X126" s="92"/>
    </row>
    <row r="127" spans="1:24">
      <c r="A127" s="2"/>
      <c r="B127" s="87">
        <f>B126+1</f>
        <v>5</v>
      </c>
      <c r="C127" s="274">
        <v>45842</v>
      </c>
      <c r="D127" s="327">
        <v>71226</v>
      </c>
      <c r="E127" s="276" t="s">
        <v>302</v>
      </c>
      <c r="F127" s="277">
        <v>1138</v>
      </c>
      <c r="G127" s="277">
        <v>39.700000000000003</v>
      </c>
      <c r="H127" s="277"/>
      <c r="I127" s="278">
        <f t="shared" si="24"/>
        <v>1098.3</v>
      </c>
      <c r="J127" s="279" t="s">
        <v>156</v>
      </c>
      <c r="K127" s="279">
        <v>1</v>
      </c>
      <c r="L127" s="279">
        <v>1</v>
      </c>
      <c r="M127" s="322">
        <v>0</v>
      </c>
      <c r="N127" s="279">
        <v>1</v>
      </c>
      <c r="O127" s="279">
        <v>1</v>
      </c>
      <c r="P127" s="279">
        <v>1</v>
      </c>
      <c r="Q127" s="279">
        <v>1</v>
      </c>
      <c r="R127" s="279">
        <v>1</v>
      </c>
      <c r="S127" s="280">
        <v>1</v>
      </c>
      <c r="T127" s="63"/>
      <c r="U127" s="10"/>
      <c r="V127" s="90">
        <v>1251.8</v>
      </c>
      <c r="W127" s="91"/>
      <c r="X127" s="92"/>
    </row>
    <row r="128" spans="1:24">
      <c r="A128" s="93"/>
      <c r="B128" s="87">
        <f t="shared" ref="B128:B129" si="25">B127+1</f>
        <v>6</v>
      </c>
      <c r="C128" s="295">
        <v>45842</v>
      </c>
      <c r="D128" s="323" t="s">
        <v>1382</v>
      </c>
      <c r="E128" s="10" t="s">
        <v>286</v>
      </c>
      <c r="F128" s="62">
        <v>2341</v>
      </c>
      <c r="G128" s="62">
        <f>39.7+(21.85)</f>
        <v>61.550000000000004</v>
      </c>
      <c r="H128" s="62"/>
      <c r="I128" s="89">
        <f t="shared" si="24"/>
        <v>2279.4499999999998</v>
      </c>
      <c r="J128" s="63" t="s">
        <v>374</v>
      </c>
      <c r="K128" s="63">
        <v>1</v>
      </c>
      <c r="L128" s="63">
        <v>1</v>
      </c>
      <c r="M128" s="63">
        <v>1</v>
      </c>
      <c r="N128" s="63">
        <v>1</v>
      </c>
      <c r="O128" s="63">
        <v>1</v>
      </c>
      <c r="P128" s="63">
        <v>1</v>
      </c>
      <c r="Q128" s="63">
        <v>1</v>
      </c>
      <c r="R128" s="63">
        <v>1</v>
      </c>
      <c r="S128" s="296">
        <v>1</v>
      </c>
      <c r="T128" s="63"/>
      <c r="U128" s="10"/>
      <c r="V128" s="90">
        <v>2575.1</v>
      </c>
      <c r="W128" s="91"/>
      <c r="X128" s="92"/>
    </row>
    <row r="129" spans="1:31">
      <c r="A129" s="2"/>
      <c r="B129" s="87">
        <f t="shared" si="25"/>
        <v>7</v>
      </c>
      <c r="C129" s="282">
        <v>45842</v>
      </c>
      <c r="D129" s="368">
        <v>71241</v>
      </c>
      <c r="E129" s="441" t="s">
        <v>509</v>
      </c>
      <c r="F129" s="284">
        <v>1261</v>
      </c>
      <c r="G129" s="284">
        <v>39.700000000000003</v>
      </c>
      <c r="H129" s="284"/>
      <c r="I129" s="285">
        <f t="shared" si="24"/>
        <v>1221.3</v>
      </c>
      <c r="J129" s="286" t="s">
        <v>156</v>
      </c>
      <c r="K129" s="286">
        <v>1</v>
      </c>
      <c r="L129" s="286">
        <v>1</v>
      </c>
      <c r="M129" s="286">
        <v>1</v>
      </c>
      <c r="N129" s="286">
        <v>1</v>
      </c>
      <c r="O129" s="286">
        <v>1</v>
      </c>
      <c r="P129" s="286">
        <v>1</v>
      </c>
      <c r="Q129" s="286">
        <v>1</v>
      </c>
      <c r="R129" s="286">
        <v>1</v>
      </c>
      <c r="S129" s="287">
        <v>1</v>
      </c>
      <c r="T129" s="63"/>
      <c r="U129" s="10" t="s">
        <v>1383</v>
      </c>
      <c r="V129" s="90">
        <v>1387.1</v>
      </c>
      <c r="W129" s="91"/>
      <c r="X129" s="92"/>
    </row>
    <row r="130" spans="1:31">
      <c r="A130" s="2"/>
      <c r="B130" s="87"/>
      <c r="C130" s="36"/>
      <c r="D130" s="10"/>
      <c r="E130" s="10"/>
      <c r="F130" s="98">
        <f>SUM(F123:F129)</f>
        <v>11153</v>
      </c>
      <c r="G130" s="98">
        <f>SUM(G123:G129)</f>
        <v>1063.1000000000001</v>
      </c>
      <c r="H130" s="98">
        <f>SUM(H123:H129)</f>
        <v>0</v>
      </c>
      <c r="I130" s="98">
        <f>SUM(I123:I129)</f>
        <v>10089.9</v>
      </c>
      <c r="J130" s="63"/>
      <c r="K130" s="63">
        <f t="shared" ref="K130:S130" si="26">COUNT(K123:K129)</f>
        <v>7</v>
      </c>
      <c r="L130" s="63">
        <f t="shared" si="26"/>
        <v>7</v>
      </c>
      <c r="M130" s="63">
        <f t="shared" si="26"/>
        <v>7</v>
      </c>
      <c r="N130" s="63">
        <f t="shared" si="26"/>
        <v>7</v>
      </c>
      <c r="O130" s="63">
        <f t="shared" si="26"/>
        <v>7</v>
      </c>
      <c r="P130" s="63">
        <f t="shared" si="26"/>
        <v>7</v>
      </c>
      <c r="Q130" s="63">
        <f t="shared" si="26"/>
        <v>7</v>
      </c>
      <c r="R130" s="63">
        <f t="shared" si="26"/>
        <v>7</v>
      </c>
      <c r="S130" s="63">
        <f t="shared" si="26"/>
        <v>7</v>
      </c>
      <c r="T130" s="63"/>
      <c r="U130" s="10"/>
      <c r="V130" s="90"/>
      <c r="W130" s="91"/>
      <c r="X130" s="92"/>
    </row>
    <row r="131" spans="1:31">
      <c r="A131" s="2"/>
      <c r="B131" s="87"/>
      <c r="C131" s="36"/>
      <c r="D131" s="10"/>
      <c r="E131" s="10"/>
      <c r="F131" s="88"/>
      <c r="G131" s="88"/>
      <c r="H131" s="88"/>
      <c r="I131" s="99"/>
      <c r="J131" s="63"/>
      <c r="K131" s="21">
        <f t="shared" ref="K131:S131" si="27">SUM(K123:K129)</f>
        <v>7</v>
      </c>
      <c r="L131" s="21">
        <f t="shared" si="27"/>
        <v>6</v>
      </c>
      <c r="M131" s="21">
        <f t="shared" si="27"/>
        <v>6</v>
      </c>
      <c r="N131" s="21">
        <f t="shared" si="27"/>
        <v>7</v>
      </c>
      <c r="O131" s="21">
        <f t="shared" si="27"/>
        <v>7</v>
      </c>
      <c r="P131" s="21">
        <f t="shared" si="27"/>
        <v>5</v>
      </c>
      <c r="Q131" s="21">
        <f t="shared" si="27"/>
        <v>7</v>
      </c>
      <c r="R131" s="21">
        <f t="shared" si="27"/>
        <v>7</v>
      </c>
      <c r="S131" s="21">
        <f t="shared" si="27"/>
        <v>6</v>
      </c>
      <c r="T131" s="63"/>
      <c r="U131" s="10"/>
      <c r="V131" s="90"/>
      <c r="W131" s="91"/>
      <c r="X131" s="92"/>
    </row>
    <row r="132" spans="1:31">
      <c r="A132" s="2"/>
      <c r="B132" s="11"/>
      <c r="C132" s="36"/>
      <c r="D132" s="10"/>
      <c r="E132" s="10"/>
      <c r="F132" s="88"/>
      <c r="G132" s="88"/>
      <c r="H132" s="88"/>
      <c r="I132" s="99"/>
      <c r="J132" s="63"/>
      <c r="K132" s="21"/>
      <c r="L132" s="21"/>
      <c r="M132" s="21"/>
      <c r="N132" s="21"/>
      <c r="O132" s="21"/>
      <c r="P132" s="21"/>
      <c r="Q132" s="21"/>
      <c r="R132" s="21"/>
      <c r="S132" s="21"/>
      <c r="T132" s="63"/>
      <c r="U132" s="94"/>
      <c r="V132" s="90"/>
      <c r="W132" s="91"/>
      <c r="X132" s="92"/>
    </row>
    <row r="133" spans="1:31">
      <c r="A133" s="2"/>
      <c r="B133" s="100" t="s">
        <v>67</v>
      </c>
      <c r="C133" s="36"/>
      <c r="D133" s="10"/>
      <c r="E133" s="10"/>
      <c r="F133" s="88"/>
      <c r="G133" s="62"/>
      <c r="H133" s="88"/>
      <c r="I133" s="99"/>
      <c r="J133" s="63"/>
      <c r="K133" s="2"/>
      <c r="L133" s="2"/>
      <c r="M133" s="2"/>
      <c r="N133" s="2"/>
      <c r="O133" s="2"/>
      <c r="P133" s="2"/>
      <c r="Q133" s="2"/>
      <c r="R133" s="2"/>
      <c r="S133" s="2"/>
      <c r="T133" s="63"/>
      <c r="U133" s="94"/>
      <c r="V133" s="90"/>
      <c r="W133" s="91"/>
      <c r="X133" s="92"/>
    </row>
    <row r="134" spans="1:31">
      <c r="A134" s="261" t="s">
        <v>1384</v>
      </c>
      <c r="B134" s="87">
        <v>1</v>
      </c>
      <c r="C134" s="262">
        <v>45824</v>
      </c>
      <c r="D134" s="263">
        <v>70824</v>
      </c>
      <c r="E134" s="264" t="s">
        <v>292</v>
      </c>
      <c r="F134" s="265">
        <f>861-185</f>
        <v>676</v>
      </c>
      <c r="G134" s="265">
        <f>39.7</f>
        <v>39.700000000000003</v>
      </c>
      <c r="H134" s="265"/>
      <c r="I134" s="272">
        <f>F134-G134-H134</f>
        <v>636.29999999999995</v>
      </c>
      <c r="J134" s="267" t="s">
        <v>156</v>
      </c>
      <c r="K134" s="267">
        <v>1</v>
      </c>
      <c r="L134" s="267">
        <v>1</v>
      </c>
      <c r="M134" s="267">
        <v>1</v>
      </c>
      <c r="N134" s="267">
        <v>1</v>
      </c>
      <c r="O134" s="267">
        <v>1</v>
      </c>
      <c r="P134" s="267">
        <v>1</v>
      </c>
      <c r="Q134" s="267">
        <v>1</v>
      </c>
      <c r="R134" s="267">
        <v>1</v>
      </c>
      <c r="S134" s="269">
        <v>1</v>
      </c>
      <c r="T134" s="63"/>
      <c r="U134" s="10"/>
      <c r="V134" s="90"/>
      <c r="W134" s="91"/>
      <c r="X134" s="92"/>
      <c r="Y134" s="181"/>
      <c r="Z134" s="181"/>
      <c r="AA134" s="181"/>
      <c r="AB134" s="181"/>
      <c r="AC134" s="181"/>
      <c r="AD134" s="260"/>
      <c r="AE134" s="260"/>
    </row>
    <row r="135" spans="1:31">
      <c r="A135" s="261" t="s">
        <v>1385</v>
      </c>
      <c r="B135" s="87">
        <f>B134+1</f>
        <v>2</v>
      </c>
      <c r="C135" s="262">
        <v>45810</v>
      </c>
      <c r="D135" s="263">
        <v>70518</v>
      </c>
      <c r="E135" s="271" t="s">
        <v>811</v>
      </c>
      <c r="F135" s="265">
        <v>26419</v>
      </c>
      <c r="G135" s="265">
        <f>39.7+203.2+120+64.59+1183.4+149.23+(130.62+177.65+87.1-177.65+57.34)+(128.64+382.27+26.55-93.95+8.58+38.86)+(F135*0.2)</f>
        <v>7809.93</v>
      </c>
      <c r="H135" s="265"/>
      <c r="I135" s="272">
        <f>F135-G135-H135</f>
        <v>18609.07</v>
      </c>
      <c r="J135" s="267" t="s">
        <v>1386</v>
      </c>
      <c r="K135" s="267">
        <v>1</v>
      </c>
      <c r="L135" s="267">
        <v>1</v>
      </c>
      <c r="M135" s="267">
        <v>1</v>
      </c>
      <c r="N135" s="267">
        <v>1</v>
      </c>
      <c r="O135" s="267">
        <v>1</v>
      </c>
      <c r="P135" s="267">
        <v>1</v>
      </c>
      <c r="Q135" s="267">
        <v>1</v>
      </c>
      <c r="R135" s="267">
        <v>1</v>
      </c>
      <c r="S135" s="269">
        <v>1</v>
      </c>
      <c r="T135" s="63"/>
      <c r="U135" s="301" t="s">
        <v>1387</v>
      </c>
      <c r="V135" s="90">
        <f>560.9</f>
        <v>560.9</v>
      </c>
      <c r="W135" s="136"/>
      <c r="X135" s="137"/>
      <c r="Y135" s="181"/>
      <c r="Z135" s="181"/>
      <c r="AA135" s="181"/>
      <c r="AB135" s="181"/>
      <c r="AC135" s="181"/>
      <c r="AD135" s="260"/>
      <c r="AE135" s="260"/>
    </row>
    <row r="136" spans="1:31">
      <c r="A136" s="2"/>
      <c r="B136" s="11"/>
      <c r="C136" s="36"/>
      <c r="D136" s="10"/>
      <c r="E136" s="10"/>
      <c r="F136" s="97">
        <f>SUM(F134:F135)</f>
        <v>27095</v>
      </c>
      <c r="G136" s="97">
        <f>SUM(G134:G135)</f>
        <v>7849.63</v>
      </c>
      <c r="H136" s="97">
        <f>SUM(H134:H135)</f>
        <v>0</v>
      </c>
      <c r="I136" s="98">
        <f>SUM(I134:I135)</f>
        <v>19245.37</v>
      </c>
      <c r="J136" s="63"/>
      <c r="K136" s="21"/>
      <c r="L136" s="21"/>
      <c r="M136" s="21"/>
      <c r="N136" s="21"/>
      <c r="O136" s="21"/>
      <c r="P136" s="21"/>
      <c r="Q136" s="21"/>
      <c r="R136" s="21"/>
      <c r="S136" s="21"/>
      <c r="T136" s="63"/>
      <c r="U136" s="94"/>
      <c r="V136" s="90"/>
      <c r="W136" s="91"/>
      <c r="X136" s="92"/>
    </row>
    <row r="137" spans="1:31">
      <c r="A137" s="2"/>
      <c r="B137" s="11"/>
      <c r="C137" s="36"/>
      <c r="D137" s="10"/>
      <c r="E137" s="10"/>
      <c r="F137" s="88"/>
      <c r="G137" s="88"/>
      <c r="H137" s="88"/>
      <c r="I137" s="99"/>
      <c r="J137" s="63"/>
      <c r="K137" s="21"/>
      <c r="L137" s="21"/>
      <c r="M137" s="21"/>
      <c r="N137" s="21"/>
      <c r="O137" s="21"/>
      <c r="P137" s="21"/>
      <c r="Q137" s="21"/>
      <c r="R137" s="21"/>
      <c r="S137" s="21"/>
      <c r="T137" s="63"/>
      <c r="U137" s="94"/>
      <c r="V137" s="90"/>
      <c r="W137" s="91"/>
      <c r="X137" s="92"/>
    </row>
    <row r="138" spans="1:31">
      <c r="A138" s="128"/>
      <c r="B138" s="121" t="s">
        <v>68</v>
      </c>
      <c r="C138" s="122"/>
      <c r="D138" s="123"/>
      <c r="E138" s="123"/>
      <c r="F138" s="124"/>
      <c r="G138" s="125"/>
      <c r="H138" s="124"/>
      <c r="I138" s="126"/>
      <c r="J138" s="127"/>
      <c r="K138" s="128"/>
      <c r="L138" s="128"/>
      <c r="M138" s="128"/>
      <c r="N138" s="128"/>
      <c r="O138" s="128"/>
      <c r="P138" s="128"/>
      <c r="Q138" s="128"/>
      <c r="R138" s="128"/>
      <c r="S138" s="128"/>
      <c r="T138" s="127"/>
      <c r="U138" s="123"/>
      <c r="V138" s="129"/>
      <c r="W138" s="130"/>
      <c r="X138" s="131"/>
    </row>
    <row r="139" spans="1:31" s="342" customFormat="1">
      <c r="A139" s="356">
        <v>0.05</v>
      </c>
      <c r="B139" s="333">
        <v>1</v>
      </c>
      <c r="C139" s="334">
        <v>45840</v>
      </c>
      <c r="D139" s="327" t="s">
        <v>1388</v>
      </c>
      <c r="E139" s="335" t="s">
        <v>456</v>
      </c>
      <c r="F139" s="336">
        <v>681</v>
      </c>
      <c r="G139" s="336"/>
      <c r="H139" s="336"/>
      <c r="I139" s="337">
        <f t="shared" ref="I139" si="28">F139-G139-H139</f>
        <v>681</v>
      </c>
      <c r="J139" s="338"/>
      <c r="K139" s="338">
        <v>1</v>
      </c>
      <c r="L139" s="338">
        <v>1</v>
      </c>
      <c r="M139" s="338"/>
      <c r="N139" s="338">
        <v>1</v>
      </c>
      <c r="O139" s="338">
        <v>1</v>
      </c>
      <c r="P139" s="322">
        <v>0</v>
      </c>
      <c r="Q139" s="338">
        <v>1</v>
      </c>
      <c r="R139" s="338">
        <v>1</v>
      </c>
      <c r="S139" s="339">
        <v>0</v>
      </c>
      <c r="T139" s="127"/>
      <c r="U139" s="123" t="s">
        <v>1389</v>
      </c>
      <c r="V139" s="129"/>
      <c r="W139" s="130"/>
      <c r="X139" s="131"/>
    </row>
    <row r="140" spans="1:31" s="381" customFormat="1">
      <c r="A140" s="380" t="s">
        <v>259</v>
      </c>
      <c r="B140" s="372">
        <f>B139+1</f>
        <v>2</v>
      </c>
      <c r="C140" s="442">
        <v>45842</v>
      </c>
      <c r="D140" s="327" t="s">
        <v>1390</v>
      </c>
      <c r="E140" s="444" t="s">
        <v>286</v>
      </c>
      <c r="F140" s="445">
        <v>481</v>
      </c>
      <c r="G140" s="445"/>
      <c r="H140" s="445"/>
      <c r="I140" s="329">
        <f t="shared" ref="I140" si="29">F140-G140-H140</f>
        <v>481</v>
      </c>
      <c r="J140" s="322"/>
      <c r="K140" s="322">
        <v>1</v>
      </c>
      <c r="L140" s="322">
        <v>1</v>
      </c>
      <c r="M140" s="322"/>
      <c r="N140" s="322">
        <v>1</v>
      </c>
      <c r="O140" s="322">
        <v>1</v>
      </c>
      <c r="P140" s="322">
        <v>0</v>
      </c>
      <c r="Q140" s="322">
        <v>0</v>
      </c>
      <c r="R140" s="322">
        <v>0</v>
      </c>
      <c r="S140" s="328">
        <v>0</v>
      </c>
      <c r="T140" s="325"/>
      <c r="U140" s="42"/>
      <c r="V140" s="377"/>
      <c r="W140" s="378"/>
      <c r="X140" s="393"/>
    </row>
    <row r="141" spans="1:31" s="381" customFormat="1">
      <c r="A141" s="380" t="s">
        <v>259</v>
      </c>
      <c r="B141" s="372">
        <f>B146+1</f>
        <v>3</v>
      </c>
      <c r="C141" s="453">
        <v>45842</v>
      </c>
      <c r="D141" s="427">
        <v>71256</v>
      </c>
      <c r="E141" s="427" t="s">
        <v>1391</v>
      </c>
      <c r="F141" s="428">
        <v>1581</v>
      </c>
      <c r="G141" s="428">
        <v>39.700000000000003</v>
      </c>
      <c r="H141" s="428"/>
      <c r="I141" s="331">
        <f>F141-G141-H141</f>
        <v>1541.3</v>
      </c>
      <c r="J141" s="332"/>
      <c r="K141" s="332">
        <v>1</v>
      </c>
      <c r="L141" s="332">
        <v>0</v>
      </c>
      <c r="M141" s="332"/>
      <c r="N141" s="332">
        <v>1</v>
      </c>
      <c r="O141" s="332">
        <v>1</v>
      </c>
      <c r="P141" s="332">
        <v>0</v>
      </c>
      <c r="Q141" s="332">
        <v>0</v>
      </c>
      <c r="R141" s="332">
        <v>0</v>
      </c>
      <c r="S141" s="370">
        <v>0</v>
      </c>
      <c r="T141" s="325"/>
      <c r="U141" s="430" t="s">
        <v>1392</v>
      </c>
      <c r="V141" s="377"/>
      <c r="W141" s="392"/>
      <c r="X141" s="379"/>
    </row>
    <row r="142" spans="1:31" s="342" customFormat="1">
      <c r="A142" s="128"/>
      <c r="B142" s="132"/>
      <c r="C142" s="122"/>
      <c r="D142" s="123"/>
      <c r="E142" s="123"/>
      <c r="F142" s="134">
        <f>SUM(F139:F141)</f>
        <v>2743</v>
      </c>
      <c r="G142" s="134">
        <f>SUM(G139:G141)</f>
        <v>39.700000000000003</v>
      </c>
      <c r="H142" s="134">
        <f>SUM(H139:H141)</f>
        <v>0</v>
      </c>
      <c r="I142" s="134">
        <f>SUM(I139:I141)</f>
        <v>2703.3</v>
      </c>
      <c r="J142" s="127"/>
      <c r="K142" s="64"/>
      <c r="L142" s="64"/>
      <c r="M142" s="64"/>
      <c r="N142" s="64"/>
      <c r="O142" s="64"/>
      <c r="P142" s="64"/>
      <c r="Q142" s="64"/>
      <c r="R142" s="64"/>
      <c r="S142" s="64"/>
      <c r="T142" s="127"/>
      <c r="U142" s="123"/>
      <c r="V142" s="129"/>
      <c r="W142" s="130"/>
      <c r="X142" s="131"/>
    </row>
    <row r="143" spans="1:31" s="342" customFormat="1">
      <c r="A143" s="128"/>
      <c r="B143" s="132"/>
      <c r="C143" s="122"/>
      <c r="D143" s="123"/>
      <c r="E143" s="123"/>
      <c r="F143" s="124"/>
      <c r="G143" s="124"/>
      <c r="H143" s="124"/>
      <c r="I143" s="126"/>
      <c r="J143" s="127"/>
      <c r="K143" s="64"/>
      <c r="L143" s="64"/>
      <c r="M143" s="64"/>
      <c r="N143" s="64"/>
      <c r="O143" s="64"/>
      <c r="P143" s="64"/>
      <c r="Q143" s="64"/>
      <c r="R143" s="64"/>
      <c r="S143" s="64"/>
      <c r="T143" s="127"/>
      <c r="U143" s="123"/>
      <c r="V143" s="129"/>
      <c r="W143" s="130"/>
      <c r="X143" s="131"/>
    </row>
    <row r="144" spans="1:31" s="342" customFormat="1">
      <c r="A144" s="128"/>
      <c r="B144" s="121" t="s">
        <v>70</v>
      </c>
      <c r="C144" s="122"/>
      <c r="D144" s="123"/>
      <c r="E144" s="128"/>
      <c r="F144" s="124"/>
      <c r="G144" s="124"/>
      <c r="H144" s="124"/>
      <c r="I144" s="126"/>
      <c r="J144" s="127"/>
      <c r="K144" s="64"/>
      <c r="L144" s="64"/>
      <c r="M144" s="64"/>
      <c r="N144" s="64"/>
      <c r="O144" s="64"/>
      <c r="P144" s="64"/>
      <c r="Q144" s="64"/>
      <c r="R144" s="64"/>
      <c r="S144" s="64"/>
      <c r="T144" s="127"/>
      <c r="U144" s="135"/>
      <c r="V144" s="129"/>
      <c r="W144" s="130"/>
      <c r="X144" s="131"/>
    </row>
    <row r="145" spans="1:29" s="342" customFormat="1">
      <c r="A145" s="356">
        <v>0.05</v>
      </c>
      <c r="B145" s="333">
        <v>1</v>
      </c>
      <c r="C145" s="334">
        <v>45840</v>
      </c>
      <c r="D145" s="320" t="s">
        <v>1393</v>
      </c>
      <c r="E145" s="335" t="s">
        <v>456</v>
      </c>
      <c r="F145" s="336">
        <v>16214</v>
      </c>
      <c r="G145" s="336">
        <f>39.7+493.5+(68.87+130.25+56.24+85.57)+(69.18)+1500</f>
        <v>2443.3100000000004</v>
      </c>
      <c r="H145" s="336"/>
      <c r="I145" s="337">
        <f t="shared" ref="I145" si="30">F145-G145-H145</f>
        <v>13770.689999999999</v>
      </c>
      <c r="J145" s="338" t="s">
        <v>374</v>
      </c>
      <c r="K145" s="338">
        <v>1</v>
      </c>
      <c r="L145" s="338"/>
      <c r="M145" s="338">
        <v>1</v>
      </c>
      <c r="N145" s="338">
        <v>1</v>
      </c>
      <c r="O145" s="338">
        <v>1</v>
      </c>
      <c r="P145" s="322">
        <v>0</v>
      </c>
      <c r="Q145" s="338"/>
      <c r="R145" s="338"/>
      <c r="S145" s="339"/>
      <c r="T145" s="127"/>
      <c r="U145" s="123" t="s">
        <v>1394</v>
      </c>
      <c r="V145" s="129">
        <f>2000+4000</f>
        <v>6000</v>
      </c>
      <c r="W145" s="340"/>
      <c r="X145" s="341"/>
    </row>
    <row r="146" spans="1:29" s="342" customFormat="1">
      <c r="A146" s="356">
        <v>0.05</v>
      </c>
      <c r="B146" s="333">
        <f t="shared" ref="B146" si="31">B145+1</f>
        <v>2</v>
      </c>
      <c r="C146" s="350">
        <v>45842</v>
      </c>
      <c r="D146" s="357" t="s">
        <v>1395</v>
      </c>
      <c r="E146" s="358" t="s">
        <v>302</v>
      </c>
      <c r="F146" s="352">
        <v>16214</v>
      </c>
      <c r="G146" s="352">
        <f>39.7+1500</f>
        <v>1539.7</v>
      </c>
      <c r="H146" s="352"/>
      <c r="I146" s="353">
        <f t="shared" ref="I146" si="32">F146-G146-H146</f>
        <v>14674.3</v>
      </c>
      <c r="J146" s="354" t="s">
        <v>156</v>
      </c>
      <c r="K146" s="354">
        <v>1</v>
      </c>
      <c r="L146" s="354"/>
      <c r="M146" s="354">
        <v>1</v>
      </c>
      <c r="N146" s="354">
        <v>1</v>
      </c>
      <c r="O146" s="354">
        <v>1</v>
      </c>
      <c r="P146" s="354">
        <v>1</v>
      </c>
      <c r="Q146" s="354"/>
      <c r="R146" s="354"/>
      <c r="S146" s="355"/>
      <c r="T146" s="127"/>
      <c r="U146" s="135" t="s">
        <v>1396</v>
      </c>
      <c r="V146" s="129">
        <v>1908.72</v>
      </c>
      <c r="W146" s="340"/>
      <c r="X146" s="341"/>
    </row>
    <row r="147" spans="1:29">
      <c r="A147" s="128"/>
      <c r="B147" s="132"/>
      <c r="C147" s="122"/>
      <c r="D147" s="123"/>
      <c r="E147" s="123"/>
      <c r="F147" s="133">
        <f>SUM(F145:F146)</f>
        <v>32428</v>
      </c>
      <c r="G147" s="133">
        <f>SUM(G145:G146)</f>
        <v>3983.01</v>
      </c>
      <c r="H147" s="133">
        <f>SUM(H145:H146)</f>
        <v>0</v>
      </c>
      <c r="I147" s="134">
        <f>SUM(I145:I146)</f>
        <v>28444.989999999998</v>
      </c>
      <c r="J147" s="127"/>
      <c r="K147" s="64"/>
      <c r="L147" s="64"/>
      <c r="M147" s="64"/>
      <c r="N147" s="64"/>
      <c r="O147" s="64"/>
      <c r="P147" s="64"/>
      <c r="Q147" s="64"/>
      <c r="R147" s="64"/>
      <c r="S147" s="64"/>
      <c r="T147" s="127"/>
      <c r="U147" s="135"/>
      <c r="V147" s="129"/>
      <c r="W147" s="130"/>
      <c r="X147" s="131"/>
    </row>
    <row r="148" spans="1:29">
      <c r="A148" s="2"/>
      <c r="B148" s="11"/>
      <c r="C148" s="36"/>
      <c r="D148" s="10"/>
      <c r="E148" s="10"/>
      <c r="F148" s="88"/>
      <c r="G148" s="88"/>
      <c r="H148" s="88"/>
      <c r="I148" s="99"/>
      <c r="J148" s="10"/>
      <c r="K148" s="63"/>
      <c r="L148" s="63"/>
      <c r="M148" s="63"/>
      <c r="N148" s="63"/>
      <c r="O148" s="63"/>
      <c r="P148" s="63"/>
      <c r="Q148" s="63"/>
      <c r="R148" s="63"/>
      <c r="S148" s="63"/>
      <c r="T148" s="63"/>
      <c r="U148" s="94"/>
      <c r="V148" s="90"/>
      <c r="W148" s="91"/>
      <c r="X148" s="92"/>
    </row>
    <row r="149" spans="1:29" s="260" customFormat="1">
      <c r="A149" s="181"/>
      <c r="B149" s="100" t="s">
        <v>152</v>
      </c>
      <c r="C149" s="36"/>
      <c r="D149" s="10"/>
      <c r="E149" s="10"/>
      <c r="F149" s="88"/>
      <c r="G149" s="62"/>
      <c r="H149" s="88"/>
      <c r="I149" s="99"/>
      <c r="J149" s="63"/>
      <c r="K149" s="181"/>
      <c r="L149" s="181"/>
      <c r="M149" s="181"/>
      <c r="N149" s="181"/>
      <c r="O149" s="181"/>
      <c r="P149" s="181"/>
      <c r="Q149" s="181"/>
      <c r="R149" s="181"/>
      <c r="S149" s="181"/>
      <c r="T149" s="63"/>
      <c r="U149" s="10"/>
      <c r="V149" s="90"/>
      <c r="W149" s="91"/>
      <c r="X149" s="92"/>
      <c r="Y149" s="181"/>
      <c r="Z149" s="181"/>
      <c r="AA149" s="181"/>
      <c r="AB149" s="181"/>
      <c r="AC149" s="181"/>
    </row>
    <row r="150" spans="1:29" s="260" customFormat="1">
      <c r="A150" s="261">
        <v>0.05</v>
      </c>
      <c r="B150" s="87">
        <v>1</v>
      </c>
      <c r="C150" s="262">
        <v>45827</v>
      </c>
      <c r="D150" s="271">
        <v>70883</v>
      </c>
      <c r="E150" s="271" t="s">
        <v>643</v>
      </c>
      <c r="F150" s="265">
        <v>8614</v>
      </c>
      <c r="G150" s="265">
        <f>39.7+(161.15+1191.42+647.38)+500</f>
        <v>2539.6500000000005</v>
      </c>
      <c r="H150" s="265"/>
      <c r="I150" s="272">
        <f>F150-G150-H150</f>
        <v>6074.3499999999995</v>
      </c>
      <c r="J150" s="267" t="s">
        <v>156</v>
      </c>
      <c r="K150" s="267">
        <v>1</v>
      </c>
      <c r="L150" s="267"/>
      <c r="M150" s="267">
        <v>1</v>
      </c>
      <c r="N150" s="267">
        <v>1</v>
      </c>
      <c r="O150" s="267">
        <v>1</v>
      </c>
      <c r="P150" s="267">
        <v>0</v>
      </c>
      <c r="Q150" s="267">
        <v>1</v>
      </c>
      <c r="R150" s="267">
        <v>1</v>
      </c>
      <c r="S150" s="269">
        <v>0</v>
      </c>
      <c r="T150" s="63"/>
      <c r="U150" s="10" t="s">
        <v>1356</v>
      </c>
      <c r="V150" s="90"/>
      <c r="W150" s="136"/>
      <c r="X150" s="137"/>
      <c r="Y150" s="181"/>
      <c r="Z150" s="181"/>
      <c r="AA150" s="181"/>
      <c r="AB150" s="181"/>
      <c r="AC150" s="181"/>
    </row>
    <row r="151" spans="1:29" s="260" customFormat="1">
      <c r="A151" s="261">
        <v>0.05</v>
      </c>
      <c r="B151" s="87">
        <f>B150+1</f>
        <v>2</v>
      </c>
      <c r="C151" s="262">
        <v>45833</v>
      </c>
      <c r="D151" s="271">
        <v>71034</v>
      </c>
      <c r="E151" s="271" t="s">
        <v>596</v>
      </c>
      <c r="F151" s="265">
        <f>1866-185</f>
        <v>1681</v>
      </c>
      <c r="G151" s="265">
        <v>39.700000000000003</v>
      </c>
      <c r="H151" s="265"/>
      <c r="I151" s="272">
        <f>F151-G151-H151</f>
        <v>1641.3</v>
      </c>
      <c r="J151" s="267" t="s">
        <v>156</v>
      </c>
      <c r="K151" s="267">
        <v>1</v>
      </c>
      <c r="L151" s="267">
        <v>1</v>
      </c>
      <c r="M151" s="267">
        <v>1</v>
      </c>
      <c r="N151" s="267">
        <v>1</v>
      </c>
      <c r="O151" s="267">
        <v>1</v>
      </c>
      <c r="P151" s="267">
        <v>1</v>
      </c>
      <c r="Q151" s="267">
        <v>1</v>
      </c>
      <c r="R151" s="267">
        <v>0</v>
      </c>
      <c r="S151" s="269">
        <v>1</v>
      </c>
      <c r="T151" s="63"/>
      <c r="U151" s="10"/>
      <c r="V151" s="90"/>
      <c r="W151" s="136"/>
      <c r="X151" s="137"/>
      <c r="Y151" s="181"/>
      <c r="Z151" s="181"/>
      <c r="AA151" s="181"/>
      <c r="AB151" s="181"/>
      <c r="AC151" s="181"/>
    </row>
    <row r="152" spans="1:29" s="260" customFormat="1">
      <c r="A152" s="261">
        <v>0.05</v>
      </c>
      <c r="B152" s="87">
        <f>B151+1</f>
        <v>3</v>
      </c>
      <c r="C152" s="262">
        <v>45831</v>
      </c>
      <c r="D152" s="271">
        <v>70945</v>
      </c>
      <c r="E152" s="271" t="s">
        <v>572</v>
      </c>
      <c r="F152" s="265">
        <v>1138</v>
      </c>
      <c r="G152" s="265">
        <v>39.700000000000003</v>
      </c>
      <c r="H152" s="265"/>
      <c r="I152" s="272">
        <f t="shared" ref="I152" si="33">F152-G152-H152</f>
        <v>1098.3</v>
      </c>
      <c r="J152" s="267" t="s">
        <v>374</v>
      </c>
      <c r="K152" s="267">
        <v>1</v>
      </c>
      <c r="L152" s="267">
        <v>1</v>
      </c>
      <c r="M152" s="267">
        <v>1</v>
      </c>
      <c r="N152" s="267">
        <v>1</v>
      </c>
      <c r="O152" s="267">
        <v>1</v>
      </c>
      <c r="P152" s="267">
        <v>0</v>
      </c>
      <c r="Q152" s="267">
        <v>1</v>
      </c>
      <c r="R152" s="267">
        <v>1</v>
      </c>
      <c r="S152" s="269">
        <v>0</v>
      </c>
      <c r="T152" s="63"/>
      <c r="U152" s="301" t="s">
        <v>1397</v>
      </c>
      <c r="V152" s="90"/>
      <c r="W152" s="136"/>
      <c r="X152" s="137"/>
      <c r="Y152" s="181"/>
      <c r="Z152" s="181"/>
      <c r="AA152" s="181"/>
      <c r="AB152" s="181"/>
      <c r="AC152" s="181"/>
    </row>
    <row r="153" spans="1:29" s="260" customFormat="1">
      <c r="A153" s="181"/>
      <c r="B153" s="11"/>
      <c r="C153" s="36"/>
      <c r="D153" s="10"/>
      <c r="E153" s="10"/>
      <c r="F153" s="97">
        <f>SUM(F150:F152)</f>
        <v>11433</v>
      </c>
      <c r="G153" s="97">
        <f t="shared" ref="G153:I153" si="34">SUM(G150:G152)</f>
        <v>2619.0500000000002</v>
      </c>
      <c r="H153" s="97">
        <f t="shared" si="34"/>
        <v>0</v>
      </c>
      <c r="I153" s="97">
        <f t="shared" si="34"/>
        <v>8813.9499999999989</v>
      </c>
      <c r="J153" s="63"/>
      <c r="K153" s="21"/>
      <c r="L153" s="21"/>
      <c r="M153" s="21"/>
      <c r="N153" s="21"/>
      <c r="O153" s="21"/>
      <c r="P153" s="21"/>
      <c r="Q153" s="21"/>
      <c r="R153" s="21"/>
      <c r="S153" s="21"/>
      <c r="T153" s="63"/>
      <c r="U153" s="10"/>
      <c r="V153" s="90"/>
      <c r="W153" s="91"/>
      <c r="X153" s="92"/>
      <c r="Y153" s="181"/>
      <c r="Z153" s="181"/>
      <c r="AA153" s="181"/>
      <c r="AB153" s="181"/>
      <c r="AC153" s="181"/>
    </row>
    <row r="154" spans="1:29" s="260" customFormat="1">
      <c r="A154" s="181"/>
      <c r="B154" s="11"/>
      <c r="C154" s="36"/>
      <c r="D154" s="10"/>
      <c r="E154" s="10"/>
      <c r="F154" s="88"/>
      <c r="G154" s="88"/>
      <c r="H154" s="88"/>
      <c r="I154" s="99"/>
      <c r="J154" s="63"/>
      <c r="K154" s="21"/>
      <c r="L154" s="21"/>
      <c r="M154" s="21"/>
      <c r="N154" s="21"/>
      <c r="O154" s="21"/>
      <c r="P154" s="21"/>
      <c r="Q154" s="21"/>
      <c r="R154" s="21"/>
      <c r="S154" s="21"/>
      <c r="T154" s="63"/>
      <c r="U154" s="10"/>
      <c r="V154" s="90"/>
      <c r="W154" s="91"/>
      <c r="X154" s="92"/>
      <c r="Y154" s="181"/>
      <c r="Z154" s="181"/>
      <c r="AA154" s="181"/>
      <c r="AB154" s="181"/>
      <c r="AC154" s="181"/>
    </row>
    <row r="155" spans="1:29">
      <c r="A155" s="2"/>
      <c r="B155" s="100" t="s">
        <v>72</v>
      </c>
      <c r="C155" s="36"/>
      <c r="D155" s="10"/>
      <c r="E155" s="10"/>
      <c r="F155" s="88"/>
      <c r="G155" s="88"/>
      <c r="H155" s="88"/>
      <c r="I155" s="99"/>
      <c r="J155" s="63"/>
      <c r="K155" s="63"/>
      <c r="L155" s="63"/>
      <c r="M155" s="63"/>
      <c r="N155" s="63"/>
      <c r="O155" s="63"/>
      <c r="P155" s="63"/>
      <c r="Q155" s="63"/>
      <c r="R155" s="63"/>
      <c r="S155" s="63"/>
      <c r="T155" s="63"/>
      <c r="U155" s="10"/>
      <c r="V155" s="90"/>
      <c r="W155" s="91"/>
      <c r="X155" s="92"/>
    </row>
    <row r="156" spans="1:29">
      <c r="A156" s="2"/>
      <c r="B156" s="87">
        <v>1</v>
      </c>
      <c r="C156" s="274">
        <v>45838</v>
      </c>
      <c r="D156" s="276">
        <v>71080</v>
      </c>
      <c r="E156" s="276" t="s">
        <v>299</v>
      </c>
      <c r="F156" s="277">
        <v>8214</v>
      </c>
      <c r="G156" s="277">
        <v>39.700000000000003</v>
      </c>
      <c r="H156" s="277"/>
      <c r="I156" s="278">
        <f t="shared" ref="I156:I169" si="35">F156-G156-H156</f>
        <v>8174.3</v>
      </c>
      <c r="J156" s="279" t="s">
        <v>205</v>
      </c>
      <c r="K156" s="279">
        <v>1</v>
      </c>
      <c r="L156" s="279"/>
      <c r="M156" s="279"/>
      <c r="N156" s="279">
        <v>1</v>
      </c>
      <c r="O156" s="279"/>
      <c r="P156" s="279"/>
      <c r="Q156" s="279">
        <v>1</v>
      </c>
      <c r="R156" s="279">
        <v>1</v>
      </c>
      <c r="S156" s="280">
        <v>1</v>
      </c>
      <c r="T156" s="63"/>
      <c r="U156" s="3"/>
      <c r="V156" s="90"/>
      <c r="W156" s="91"/>
      <c r="X156" s="92"/>
    </row>
    <row r="157" spans="1:29">
      <c r="A157" s="2"/>
      <c r="B157" s="87">
        <f t="shared" ref="B157:B168" si="36">B156+1</f>
        <v>2</v>
      </c>
      <c r="C157" s="295">
        <v>45838</v>
      </c>
      <c r="D157" s="10">
        <v>71090</v>
      </c>
      <c r="E157" s="10" t="s">
        <v>178</v>
      </c>
      <c r="F157" s="62">
        <v>0</v>
      </c>
      <c r="G157" s="62"/>
      <c r="H157" s="62"/>
      <c r="I157" s="89">
        <f t="shared" si="35"/>
        <v>0</v>
      </c>
      <c r="J157" s="63" t="s">
        <v>219</v>
      </c>
      <c r="K157" s="63">
        <v>1</v>
      </c>
      <c r="L157" s="63"/>
      <c r="M157" s="63"/>
      <c r="N157" s="63"/>
      <c r="O157" s="63"/>
      <c r="P157" s="63"/>
      <c r="Q157" s="63">
        <v>1</v>
      </c>
      <c r="R157" s="63">
        <v>1</v>
      </c>
      <c r="S157" s="296">
        <v>1</v>
      </c>
      <c r="T157" s="63"/>
      <c r="U157" s="10"/>
      <c r="V157" s="90"/>
      <c r="W157" s="136"/>
      <c r="X157" s="137"/>
    </row>
    <row r="158" spans="1:29">
      <c r="A158" s="2"/>
      <c r="B158" s="87">
        <f t="shared" si="36"/>
        <v>3</v>
      </c>
      <c r="C158" s="295">
        <v>45838</v>
      </c>
      <c r="D158" s="10">
        <v>71099</v>
      </c>
      <c r="E158" s="10" t="s">
        <v>203</v>
      </c>
      <c r="F158" s="62">
        <v>496</v>
      </c>
      <c r="G158" s="62"/>
      <c r="H158" s="62"/>
      <c r="I158" s="89">
        <f t="shared" si="35"/>
        <v>496</v>
      </c>
      <c r="J158" s="63" t="s">
        <v>205</v>
      </c>
      <c r="K158" s="63">
        <v>1</v>
      </c>
      <c r="L158" s="63"/>
      <c r="M158" s="63"/>
      <c r="N158" s="63">
        <v>1</v>
      </c>
      <c r="O158" s="63"/>
      <c r="P158" s="63"/>
      <c r="Q158" s="63">
        <v>1</v>
      </c>
      <c r="R158" s="63">
        <v>1</v>
      </c>
      <c r="S158" s="296">
        <v>1</v>
      </c>
      <c r="T158" s="63"/>
      <c r="U158" s="10"/>
      <c r="V158" s="90"/>
      <c r="W158" s="136"/>
      <c r="X158" s="137"/>
    </row>
    <row r="159" spans="1:29">
      <c r="A159" s="2"/>
      <c r="B159" s="87">
        <f t="shared" si="36"/>
        <v>4</v>
      </c>
      <c r="C159" s="274">
        <v>45840</v>
      </c>
      <c r="D159" s="276" t="s">
        <v>1398</v>
      </c>
      <c r="E159" s="276" t="s">
        <v>349</v>
      </c>
      <c r="F159" s="277">
        <v>5814</v>
      </c>
      <c r="G159" s="277">
        <v>39.700000000000003</v>
      </c>
      <c r="H159" s="277"/>
      <c r="I159" s="278">
        <f t="shared" si="35"/>
        <v>5774.3</v>
      </c>
      <c r="J159" s="279" t="s">
        <v>205</v>
      </c>
      <c r="K159" s="279">
        <v>1</v>
      </c>
      <c r="L159" s="279"/>
      <c r="M159" s="279"/>
      <c r="N159" s="279">
        <v>1</v>
      </c>
      <c r="O159" s="279"/>
      <c r="P159" s="279"/>
      <c r="Q159" s="279"/>
      <c r="R159" s="279"/>
      <c r="S159" s="280"/>
      <c r="T159" s="63"/>
      <c r="U159" s="10"/>
      <c r="V159" s="90"/>
      <c r="W159" s="136"/>
      <c r="X159" s="137"/>
    </row>
    <row r="160" spans="1:29">
      <c r="A160" s="2"/>
      <c r="B160" s="87">
        <f t="shared" si="36"/>
        <v>5</v>
      </c>
      <c r="C160" s="295">
        <v>45840</v>
      </c>
      <c r="D160" s="10" t="s">
        <v>1399</v>
      </c>
      <c r="E160" s="10" t="s">
        <v>349</v>
      </c>
      <c r="F160" s="62">
        <v>6814</v>
      </c>
      <c r="G160" s="62">
        <v>39.700000000000003</v>
      </c>
      <c r="H160" s="62"/>
      <c r="I160" s="89">
        <f t="shared" si="35"/>
        <v>6774.3</v>
      </c>
      <c r="J160" s="63" t="s">
        <v>205</v>
      </c>
      <c r="K160" s="63">
        <v>1</v>
      </c>
      <c r="L160" s="63"/>
      <c r="M160" s="63"/>
      <c r="N160" s="63">
        <v>1</v>
      </c>
      <c r="O160" s="63"/>
      <c r="P160" s="63"/>
      <c r="Q160" s="63"/>
      <c r="R160" s="63"/>
      <c r="S160" s="296"/>
      <c r="T160" s="63"/>
      <c r="U160" s="10"/>
      <c r="V160" s="90"/>
      <c r="W160" s="136"/>
      <c r="X160" s="137"/>
    </row>
    <row r="161" spans="1:24">
      <c r="A161" s="2"/>
      <c r="B161" s="87">
        <f t="shared" si="36"/>
        <v>6</v>
      </c>
      <c r="C161" s="295">
        <v>45840</v>
      </c>
      <c r="D161" s="10">
        <v>71155</v>
      </c>
      <c r="E161" s="101" t="s">
        <v>334</v>
      </c>
      <c r="F161" s="62">
        <v>776</v>
      </c>
      <c r="G161" s="62">
        <v>39.700000000000003</v>
      </c>
      <c r="H161" s="62"/>
      <c r="I161" s="89">
        <f t="shared" si="35"/>
        <v>736.3</v>
      </c>
      <c r="J161" s="63" t="s">
        <v>205</v>
      </c>
      <c r="K161" s="63">
        <v>1</v>
      </c>
      <c r="L161" s="63"/>
      <c r="M161" s="63"/>
      <c r="N161" s="63">
        <v>1</v>
      </c>
      <c r="O161" s="63"/>
      <c r="P161" s="63"/>
      <c r="Q161" s="63">
        <v>1</v>
      </c>
      <c r="R161" s="63">
        <v>1</v>
      </c>
      <c r="S161" s="296">
        <v>1</v>
      </c>
      <c r="T161" s="63"/>
      <c r="U161" s="10"/>
      <c r="V161" s="90"/>
      <c r="W161" s="136"/>
      <c r="X161" s="137"/>
    </row>
    <row r="162" spans="1:24">
      <c r="A162" s="2"/>
      <c r="B162" s="87">
        <f t="shared" si="36"/>
        <v>7</v>
      </c>
      <c r="C162" s="295">
        <v>45840</v>
      </c>
      <c r="D162" s="10" t="s">
        <v>1400</v>
      </c>
      <c r="E162" s="101" t="s">
        <v>291</v>
      </c>
      <c r="F162" s="62">
        <v>12814</v>
      </c>
      <c r="G162" s="62">
        <v>39.700000000000003</v>
      </c>
      <c r="H162" s="62"/>
      <c r="I162" s="89">
        <f t="shared" si="35"/>
        <v>12774.3</v>
      </c>
      <c r="J162" s="63" t="s">
        <v>205</v>
      </c>
      <c r="K162" s="63">
        <v>1</v>
      </c>
      <c r="L162" s="63"/>
      <c r="M162" s="63"/>
      <c r="N162" s="63">
        <v>1</v>
      </c>
      <c r="O162" s="63"/>
      <c r="P162" s="63"/>
      <c r="Q162" s="63"/>
      <c r="R162" s="63"/>
      <c r="S162" s="296"/>
      <c r="T162" s="63"/>
      <c r="U162" s="10"/>
      <c r="V162" s="90"/>
      <c r="W162" s="136"/>
      <c r="X162" s="137"/>
    </row>
    <row r="163" spans="1:24">
      <c r="A163" s="2"/>
      <c r="B163" s="87">
        <f t="shared" si="36"/>
        <v>8</v>
      </c>
      <c r="C163" s="274">
        <v>45841</v>
      </c>
      <c r="D163" s="276">
        <v>71085</v>
      </c>
      <c r="E163" s="281" t="s">
        <v>204</v>
      </c>
      <c r="F163" s="277">
        <v>2300</v>
      </c>
      <c r="G163" s="277">
        <v>39.700000000000003</v>
      </c>
      <c r="H163" s="277"/>
      <c r="I163" s="278">
        <f t="shared" si="35"/>
        <v>2260.3000000000002</v>
      </c>
      <c r="J163" s="279" t="s">
        <v>205</v>
      </c>
      <c r="K163" s="279">
        <v>1</v>
      </c>
      <c r="L163" s="279"/>
      <c r="M163" s="279"/>
      <c r="N163" s="279">
        <v>1</v>
      </c>
      <c r="O163" s="279"/>
      <c r="P163" s="279"/>
      <c r="Q163" s="279">
        <v>1</v>
      </c>
      <c r="R163" s="279">
        <v>1</v>
      </c>
      <c r="S163" s="280">
        <v>1</v>
      </c>
      <c r="T163" s="63"/>
      <c r="U163" s="10"/>
      <c r="V163" s="90"/>
      <c r="W163" s="136"/>
      <c r="X163" s="137"/>
    </row>
    <row r="164" spans="1:24">
      <c r="A164" s="2"/>
      <c r="B164" s="87">
        <f t="shared" si="36"/>
        <v>9</v>
      </c>
      <c r="C164" s="295">
        <v>45841</v>
      </c>
      <c r="D164" s="10">
        <v>71196</v>
      </c>
      <c r="E164" s="101" t="s">
        <v>168</v>
      </c>
      <c r="F164" s="62">
        <v>516</v>
      </c>
      <c r="G164" s="62"/>
      <c r="H164" s="62"/>
      <c r="I164" s="89">
        <f t="shared" si="35"/>
        <v>516</v>
      </c>
      <c r="J164" s="63" t="s">
        <v>205</v>
      </c>
      <c r="K164" s="63">
        <v>1</v>
      </c>
      <c r="L164" s="63"/>
      <c r="M164" s="63"/>
      <c r="N164" s="63">
        <v>1</v>
      </c>
      <c r="O164" s="63"/>
      <c r="P164" s="63"/>
      <c r="Q164" s="63">
        <v>1</v>
      </c>
      <c r="R164" s="63">
        <v>1</v>
      </c>
      <c r="S164" s="296">
        <v>1</v>
      </c>
      <c r="T164" s="63"/>
      <c r="U164" s="10"/>
      <c r="V164" s="90"/>
      <c r="W164" s="136"/>
      <c r="X164" s="137"/>
    </row>
    <row r="165" spans="1:24">
      <c r="A165" s="2"/>
      <c r="B165" s="87">
        <f t="shared" si="36"/>
        <v>10</v>
      </c>
      <c r="C165" s="295">
        <v>45841</v>
      </c>
      <c r="D165" s="10">
        <v>71197</v>
      </c>
      <c r="E165" s="101" t="s">
        <v>809</v>
      </c>
      <c r="F165" s="62">
        <v>1138</v>
      </c>
      <c r="G165" s="62"/>
      <c r="H165" s="62"/>
      <c r="I165" s="89">
        <f t="shared" si="35"/>
        <v>1138</v>
      </c>
      <c r="J165" s="63" t="s">
        <v>205</v>
      </c>
      <c r="K165" s="63">
        <v>1</v>
      </c>
      <c r="L165" s="63"/>
      <c r="M165" s="63"/>
      <c r="N165" s="63">
        <v>1</v>
      </c>
      <c r="O165" s="63"/>
      <c r="P165" s="63"/>
      <c r="Q165" s="63">
        <v>1</v>
      </c>
      <c r="R165" s="63">
        <v>1</v>
      </c>
      <c r="S165" s="296">
        <v>1</v>
      </c>
      <c r="T165" s="63"/>
      <c r="U165" s="10"/>
      <c r="V165" s="90"/>
      <c r="W165" s="136"/>
      <c r="X165" s="137"/>
    </row>
    <row r="166" spans="1:24">
      <c r="A166" s="2"/>
      <c r="B166" s="87">
        <f t="shared" si="36"/>
        <v>11</v>
      </c>
      <c r="C166" s="295">
        <v>45841</v>
      </c>
      <c r="D166" s="10">
        <v>71208</v>
      </c>
      <c r="E166" s="101" t="s">
        <v>1401</v>
      </c>
      <c r="F166" s="62">
        <v>8614</v>
      </c>
      <c r="G166" s="62"/>
      <c r="H166" s="62"/>
      <c r="I166" s="89">
        <f t="shared" si="35"/>
        <v>8614</v>
      </c>
      <c r="J166" s="63" t="s">
        <v>205</v>
      </c>
      <c r="K166" s="63">
        <v>1</v>
      </c>
      <c r="L166" s="63"/>
      <c r="M166" s="63"/>
      <c r="N166" s="63">
        <v>1</v>
      </c>
      <c r="O166" s="63"/>
      <c r="P166" s="63"/>
      <c r="Q166" s="63">
        <v>1</v>
      </c>
      <c r="R166" s="63">
        <v>1</v>
      </c>
      <c r="S166" s="296">
        <v>1</v>
      </c>
      <c r="T166" s="63"/>
      <c r="U166" s="10"/>
      <c r="V166" s="90"/>
      <c r="W166" s="136"/>
      <c r="X166" s="137"/>
    </row>
    <row r="167" spans="1:24">
      <c r="A167" s="2"/>
      <c r="B167" s="87">
        <f t="shared" si="36"/>
        <v>12</v>
      </c>
      <c r="C167" s="295">
        <v>45841</v>
      </c>
      <c r="D167" s="10">
        <v>71209</v>
      </c>
      <c r="E167" s="101" t="s">
        <v>1085</v>
      </c>
      <c r="F167" s="62">
        <v>581</v>
      </c>
      <c r="G167" s="62"/>
      <c r="H167" s="62"/>
      <c r="I167" s="89">
        <f t="shared" si="35"/>
        <v>581</v>
      </c>
      <c r="J167" s="63" t="s">
        <v>205</v>
      </c>
      <c r="K167" s="63">
        <v>1</v>
      </c>
      <c r="L167" s="63"/>
      <c r="M167" s="63"/>
      <c r="N167" s="63">
        <v>1</v>
      </c>
      <c r="O167" s="63"/>
      <c r="P167" s="63"/>
      <c r="Q167" s="63"/>
      <c r="R167" s="63"/>
      <c r="S167" s="296"/>
      <c r="T167" s="63"/>
      <c r="U167" s="10"/>
      <c r="V167" s="90"/>
      <c r="W167" s="136"/>
      <c r="X167" s="137"/>
    </row>
    <row r="168" spans="1:24">
      <c r="A168" s="2"/>
      <c r="B168" s="87">
        <f t="shared" si="36"/>
        <v>13</v>
      </c>
      <c r="C168" s="295">
        <v>45841</v>
      </c>
      <c r="D168" s="10">
        <v>71217</v>
      </c>
      <c r="E168" s="101" t="s">
        <v>317</v>
      </c>
      <c r="F168" s="62">
        <v>614</v>
      </c>
      <c r="G168" s="62"/>
      <c r="H168" s="62"/>
      <c r="I168" s="89">
        <f t="shared" si="35"/>
        <v>614</v>
      </c>
      <c r="J168" s="63" t="s">
        <v>205</v>
      </c>
      <c r="K168" s="63">
        <v>1</v>
      </c>
      <c r="L168" s="63"/>
      <c r="M168" s="63"/>
      <c r="N168" s="63">
        <v>1</v>
      </c>
      <c r="O168" s="63"/>
      <c r="P168" s="63"/>
      <c r="Q168" s="63"/>
      <c r="R168" s="63"/>
      <c r="S168" s="296"/>
      <c r="T168" s="63"/>
      <c r="U168" s="10"/>
      <c r="V168" s="90"/>
      <c r="W168" s="136"/>
      <c r="X168" s="137"/>
    </row>
    <row r="169" spans="1:24">
      <c r="A169" s="2"/>
      <c r="B169" s="87">
        <f>B168+1</f>
        <v>14</v>
      </c>
      <c r="C169" s="262">
        <v>45842</v>
      </c>
      <c r="D169" s="271" t="s">
        <v>1402</v>
      </c>
      <c r="E169" s="264" t="s">
        <v>1391</v>
      </c>
      <c r="F169" s="265">
        <v>28614</v>
      </c>
      <c r="G169" s="265"/>
      <c r="H169" s="265"/>
      <c r="I169" s="272">
        <f t="shared" si="35"/>
        <v>28614</v>
      </c>
      <c r="J169" s="267" t="s">
        <v>205</v>
      </c>
      <c r="K169" s="267">
        <v>1</v>
      </c>
      <c r="L169" s="267"/>
      <c r="M169" s="267"/>
      <c r="N169" s="267">
        <v>1</v>
      </c>
      <c r="O169" s="267"/>
      <c r="P169" s="267"/>
      <c r="Q169" s="267"/>
      <c r="R169" s="267"/>
      <c r="S169" s="269"/>
      <c r="T169" s="63"/>
      <c r="U169" s="10"/>
      <c r="V169" s="138"/>
      <c r="W169" s="136"/>
      <c r="X169" s="137"/>
    </row>
    <row r="170" spans="1:24">
      <c r="A170" s="2"/>
      <c r="B170" s="11"/>
      <c r="C170" s="36"/>
      <c r="D170" s="10"/>
      <c r="E170" s="10"/>
      <c r="F170" s="98">
        <f>SUM(F156:F169)</f>
        <v>77305</v>
      </c>
      <c r="G170" s="98">
        <f>SUM(G156:G169)</f>
        <v>238.2</v>
      </c>
      <c r="H170" s="98">
        <f>SUM(H156:H169)</f>
        <v>0</v>
      </c>
      <c r="I170" s="98">
        <f>SUM(I156:I169)</f>
        <v>77066.8</v>
      </c>
      <c r="J170" s="10"/>
      <c r="K170" s="10"/>
      <c r="L170" s="10"/>
      <c r="M170" s="10"/>
      <c r="N170" s="10"/>
      <c r="O170" s="10"/>
      <c r="P170" s="10"/>
      <c r="Q170" s="10"/>
      <c r="R170" s="10"/>
      <c r="S170" s="10"/>
      <c r="T170" s="63"/>
      <c r="U170" s="10"/>
      <c r="V170" s="138"/>
      <c r="W170" s="136"/>
      <c r="X170" s="137"/>
    </row>
    <row r="171" spans="1:24">
      <c r="A171" s="2"/>
      <c r="B171" s="11"/>
      <c r="C171" s="36"/>
      <c r="D171" s="10"/>
      <c r="E171" s="10"/>
      <c r="F171" s="88"/>
      <c r="G171" s="88"/>
      <c r="H171" s="88"/>
      <c r="I171" s="99"/>
      <c r="J171" s="10"/>
      <c r="K171" s="10"/>
      <c r="L171" s="10"/>
      <c r="M171" s="10"/>
      <c r="N171" s="10"/>
      <c r="O171" s="10"/>
      <c r="P171" s="10"/>
      <c r="Q171" s="10"/>
      <c r="R171" s="10"/>
      <c r="S171" s="10"/>
      <c r="T171" s="63"/>
      <c r="U171" s="10"/>
      <c r="V171" s="138"/>
      <c r="W171" s="136"/>
      <c r="X171" s="137"/>
    </row>
    <row r="172" spans="1:24">
      <c r="A172" s="2"/>
      <c r="B172" s="26"/>
      <c r="C172" s="140"/>
      <c r="D172" s="141"/>
      <c r="E172" s="141"/>
      <c r="F172" s="141"/>
      <c r="G172" s="141"/>
      <c r="H172" s="141"/>
      <c r="I172" s="141"/>
      <c r="J172" s="141"/>
      <c r="K172" s="142"/>
      <c r="L172" s="142"/>
      <c r="M172" s="142"/>
      <c r="N172" s="142"/>
      <c r="O172" s="142"/>
      <c r="P172" s="142"/>
      <c r="Q172" s="142"/>
      <c r="R172" s="142"/>
      <c r="S172" s="142"/>
      <c r="T172" s="143">
        <f>SUM(T123:T171)</f>
        <v>0</v>
      </c>
      <c r="U172" s="141"/>
      <c r="V172" s="144">
        <f>SUM(V123:V171)</f>
        <v>20737.920000000002</v>
      </c>
      <c r="W172" s="145">
        <f>SUM(W123:W171)</f>
        <v>0</v>
      </c>
      <c r="X172" s="146">
        <f>SUM(X123:X171)</f>
        <v>0</v>
      </c>
    </row>
    <row r="175" spans="1:24">
      <c r="B175" s="4" t="s">
        <v>1</v>
      </c>
      <c r="C175" s="5"/>
      <c r="D175" s="6"/>
      <c r="E175" s="6"/>
      <c r="F175" s="7" t="s">
        <v>2</v>
      </c>
      <c r="G175" s="8">
        <v>45851</v>
      </c>
      <c r="H175" s="7"/>
      <c r="I175" s="6"/>
      <c r="J175" s="6"/>
      <c r="K175" s="6"/>
      <c r="L175" s="6"/>
      <c r="M175" s="6"/>
      <c r="N175" s="6"/>
      <c r="O175" s="6"/>
      <c r="P175" s="6"/>
      <c r="Q175" s="6"/>
      <c r="R175" s="6"/>
      <c r="S175" s="6"/>
      <c r="T175" s="6"/>
      <c r="U175" s="9"/>
      <c r="V175" s="10"/>
      <c r="W175" s="10"/>
      <c r="X175" s="10"/>
    </row>
    <row r="176" spans="1:24">
      <c r="B176" s="11"/>
      <c r="C176" s="10"/>
      <c r="D176" s="10"/>
      <c r="E176" s="10"/>
      <c r="F176" s="10"/>
      <c r="G176" s="7"/>
      <c r="H176" s="12"/>
      <c r="I176" s="10"/>
      <c r="J176" s="10"/>
      <c r="K176" s="13" t="s">
        <v>3</v>
      </c>
      <c r="L176" s="14"/>
      <c r="M176" s="15"/>
      <c r="N176" s="13" t="s">
        <v>4</v>
      </c>
      <c r="O176" s="14"/>
      <c r="P176" s="15"/>
      <c r="Q176" s="13" t="s">
        <v>5</v>
      </c>
      <c r="R176" s="14"/>
      <c r="S176" s="15"/>
      <c r="T176" s="16"/>
      <c r="U176" s="17"/>
      <c r="V176" s="10"/>
      <c r="W176" s="10"/>
      <c r="X176" s="10"/>
    </row>
    <row r="177" spans="2:24">
      <c r="B177" s="18" t="s">
        <v>6</v>
      </c>
      <c r="C177" s="19">
        <f>C178+C179</f>
        <v>15</v>
      </c>
      <c r="D177" s="10"/>
      <c r="E177" s="18" t="s">
        <v>7</v>
      </c>
      <c r="F177" s="6"/>
      <c r="G177" s="9"/>
      <c r="H177" s="10"/>
      <c r="I177" s="10"/>
      <c r="J177" s="10"/>
      <c r="K177" s="20" t="s">
        <v>8</v>
      </c>
      <c r="L177" s="21" t="s">
        <v>9</v>
      </c>
      <c r="M177" s="21" t="s">
        <v>10</v>
      </c>
      <c r="N177" s="20" t="s">
        <v>11</v>
      </c>
      <c r="O177" s="21" t="s">
        <v>12</v>
      </c>
      <c r="P177" s="22" t="s">
        <v>13</v>
      </c>
      <c r="Q177" s="21" t="s">
        <v>11</v>
      </c>
      <c r="R177" s="21" t="s">
        <v>12</v>
      </c>
      <c r="S177" s="22" t="s">
        <v>13</v>
      </c>
      <c r="T177" s="23" t="s">
        <v>14</v>
      </c>
      <c r="U177" s="17"/>
      <c r="V177" s="10"/>
      <c r="W177" s="10"/>
      <c r="X177" s="10"/>
    </row>
    <row r="178" spans="2:24">
      <c r="B178" s="24" t="s">
        <v>15</v>
      </c>
      <c r="C178" s="25">
        <f>P185</f>
        <v>4</v>
      </c>
      <c r="D178" s="10"/>
      <c r="E178" s="26" t="s">
        <v>16</v>
      </c>
      <c r="F178" s="27">
        <v>0.05</v>
      </c>
      <c r="G178" s="28"/>
      <c r="H178" s="10"/>
      <c r="I178" s="10"/>
      <c r="J178" s="18" t="s">
        <v>17</v>
      </c>
      <c r="K178" s="29">
        <f t="shared" ref="K178:S178" si="37">K207</f>
        <v>4</v>
      </c>
      <c r="L178" s="29">
        <f t="shared" si="37"/>
        <v>4</v>
      </c>
      <c r="M178" s="29">
        <f t="shared" si="37"/>
        <v>4</v>
      </c>
      <c r="N178" s="29">
        <f t="shared" si="37"/>
        <v>4</v>
      </c>
      <c r="O178" s="29">
        <f t="shared" si="37"/>
        <v>4</v>
      </c>
      <c r="P178" s="29">
        <f t="shared" si="37"/>
        <v>4</v>
      </c>
      <c r="Q178" s="29">
        <f t="shared" si="37"/>
        <v>4</v>
      </c>
      <c r="R178" s="29">
        <f t="shared" si="37"/>
        <v>4</v>
      </c>
      <c r="S178" s="29">
        <f t="shared" si="37"/>
        <v>4</v>
      </c>
      <c r="T178" s="30">
        <f>T236</f>
        <v>0</v>
      </c>
      <c r="U178" s="17"/>
      <c r="V178" s="10"/>
      <c r="W178" s="10"/>
      <c r="X178" s="10"/>
    </row>
    <row r="179" spans="2:24">
      <c r="B179" s="24" t="s">
        <v>18</v>
      </c>
      <c r="C179" s="25">
        <f>P186</f>
        <v>11</v>
      </c>
      <c r="D179" s="10"/>
      <c r="E179" s="10"/>
      <c r="F179" s="10"/>
      <c r="G179" s="31"/>
      <c r="H179" s="10"/>
      <c r="I179" s="10"/>
      <c r="J179" s="32" t="s">
        <v>19</v>
      </c>
      <c r="K179" s="33">
        <f t="shared" ref="K179:S179" si="38">K207/K206</f>
        <v>1</v>
      </c>
      <c r="L179" s="33">
        <f t="shared" si="38"/>
        <v>1</v>
      </c>
      <c r="M179" s="33">
        <f t="shared" si="38"/>
        <v>1</v>
      </c>
      <c r="N179" s="33">
        <f t="shared" si="38"/>
        <v>1</v>
      </c>
      <c r="O179" s="33">
        <f t="shared" si="38"/>
        <v>1</v>
      </c>
      <c r="P179" s="33">
        <f t="shared" si="38"/>
        <v>1</v>
      </c>
      <c r="Q179" s="33">
        <f t="shared" si="38"/>
        <v>1</v>
      </c>
      <c r="R179" s="33">
        <f t="shared" si="38"/>
        <v>1</v>
      </c>
      <c r="S179" s="33">
        <f t="shared" si="38"/>
        <v>1</v>
      </c>
      <c r="T179" s="23"/>
      <c r="U179" s="17" t="s">
        <v>20</v>
      </c>
      <c r="V179" s="10"/>
      <c r="W179" s="10"/>
      <c r="X179" s="10"/>
    </row>
    <row r="180" spans="2:24">
      <c r="B180" s="24" t="s">
        <v>21</v>
      </c>
      <c r="C180" s="34">
        <f>P187</f>
        <v>0.26666666666666666</v>
      </c>
      <c r="D180" s="10"/>
      <c r="E180" s="10"/>
      <c r="F180" s="10"/>
      <c r="G180" s="10"/>
      <c r="H180" s="10"/>
      <c r="I180" s="10"/>
      <c r="J180" s="10"/>
      <c r="K180" s="10"/>
      <c r="L180" s="10"/>
      <c r="M180" s="10"/>
      <c r="N180" s="10"/>
      <c r="O180" s="10"/>
      <c r="P180" s="10"/>
      <c r="Q180" s="10"/>
      <c r="R180" s="10"/>
      <c r="S180" s="10"/>
      <c r="T180" s="10"/>
      <c r="U180" s="17"/>
      <c r="V180" s="10"/>
      <c r="W180" s="10"/>
      <c r="X180" s="10"/>
    </row>
    <row r="181" spans="2:24">
      <c r="B181" s="24"/>
      <c r="C181" s="25"/>
      <c r="D181" s="10"/>
      <c r="E181" s="10"/>
      <c r="F181" s="18" t="s">
        <v>22</v>
      </c>
      <c r="G181" s="19" t="s">
        <v>23</v>
      </c>
      <c r="H181" s="35" t="s">
        <v>24</v>
      </c>
      <c r="I181" s="10"/>
      <c r="J181" s="10"/>
      <c r="K181" s="36"/>
      <c r="L181" s="36"/>
      <c r="M181" s="36"/>
      <c r="N181" s="36"/>
      <c r="O181" s="36"/>
      <c r="P181" s="36"/>
      <c r="Q181" s="36"/>
      <c r="R181" s="10"/>
      <c r="S181" s="10"/>
      <c r="T181" s="10"/>
      <c r="U181" s="17"/>
      <c r="V181" s="10"/>
      <c r="W181" s="10"/>
      <c r="X181" s="10"/>
    </row>
    <row r="182" spans="2:24">
      <c r="B182" s="32" t="s">
        <v>25</v>
      </c>
      <c r="C182" s="37">
        <f>P188</f>
        <v>1182.6500000000001</v>
      </c>
      <c r="D182" s="10"/>
      <c r="E182" s="18" t="s">
        <v>26</v>
      </c>
      <c r="F182" s="38">
        <f>P184</f>
        <v>4730.6000000000004</v>
      </c>
      <c r="G182" s="39">
        <f>I206</f>
        <v>4730.6000000000004</v>
      </c>
      <c r="H182" s="40"/>
      <c r="I182" s="41"/>
      <c r="J182" s="42"/>
      <c r="K182" s="43" t="s">
        <v>27</v>
      </c>
      <c r="L182" s="44"/>
      <c r="M182" s="44"/>
      <c r="N182" s="44"/>
      <c r="O182" s="44"/>
      <c r="P182" s="44"/>
      <c r="Q182" s="45"/>
      <c r="R182" s="46" t="s">
        <v>28</v>
      </c>
      <c r="S182" s="47" t="s">
        <v>29</v>
      </c>
      <c r="T182" s="10"/>
      <c r="U182" s="17"/>
      <c r="V182" s="10"/>
      <c r="W182" s="10"/>
      <c r="X182" s="10"/>
    </row>
    <row r="183" spans="2:24">
      <c r="B183" s="11"/>
      <c r="C183" s="10"/>
      <c r="D183" s="10"/>
      <c r="E183" s="24" t="s">
        <v>30</v>
      </c>
      <c r="F183" s="48">
        <f>F178</f>
        <v>0.05</v>
      </c>
      <c r="G183" s="17"/>
      <c r="H183" s="40"/>
      <c r="I183" s="41"/>
      <c r="J183" s="42"/>
      <c r="K183" s="20" t="s">
        <v>31</v>
      </c>
      <c r="L183" s="21" t="s">
        <v>32</v>
      </c>
      <c r="M183" s="21" t="s">
        <v>33</v>
      </c>
      <c r="N183" s="21" t="s">
        <v>34</v>
      </c>
      <c r="O183" s="21" t="s">
        <v>35</v>
      </c>
      <c r="P183" s="21" t="s">
        <v>36</v>
      </c>
      <c r="Q183" s="49" t="s">
        <v>37</v>
      </c>
      <c r="R183" s="50" t="s">
        <v>38</v>
      </c>
      <c r="S183" s="50" t="s">
        <v>38</v>
      </c>
      <c r="T183" s="10"/>
      <c r="U183" s="17"/>
      <c r="V183" s="10"/>
      <c r="W183" s="10"/>
      <c r="X183" s="10"/>
    </row>
    <row r="184" spans="2:24">
      <c r="B184" s="11"/>
      <c r="C184" s="10"/>
      <c r="D184" s="10"/>
      <c r="E184" s="51" t="s">
        <v>39</v>
      </c>
      <c r="F184" s="52">
        <f>F182*F183</f>
        <v>236.53000000000003</v>
      </c>
      <c r="G184" s="53" t="s">
        <v>40</v>
      </c>
      <c r="H184" s="54">
        <f>F184/1.12</f>
        <v>211.1875</v>
      </c>
      <c r="I184" s="55"/>
      <c r="J184" s="42"/>
      <c r="K184" s="56">
        <f>I202+I204+I203</f>
        <v>3632.3</v>
      </c>
      <c r="L184" s="57">
        <f>I205</f>
        <v>1098.3</v>
      </c>
      <c r="M184" s="57"/>
      <c r="N184" s="57"/>
      <c r="O184" s="57"/>
      <c r="P184" s="57">
        <f>SUM(K184:O184)</f>
        <v>4730.6000000000004</v>
      </c>
      <c r="Q184" s="58">
        <v>0</v>
      </c>
      <c r="R184" s="59"/>
      <c r="S184" s="59"/>
      <c r="T184" s="10"/>
      <c r="U184" s="17"/>
      <c r="V184" s="10"/>
      <c r="W184" s="10"/>
      <c r="X184" s="10"/>
    </row>
    <row r="185" spans="2:24">
      <c r="B185" s="11"/>
      <c r="C185" s="10"/>
      <c r="D185" s="10"/>
      <c r="E185" s="24" t="s">
        <v>41</v>
      </c>
      <c r="F185" s="60">
        <f>Q184</f>
        <v>0</v>
      </c>
      <c r="G185" s="61" t="s">
        <v>40</v>
      </c>
      <c r="H185" s="62"/>
      <c r="I185" s="62"/>
      <c r="J185" s="10" t="s">
        <v>42</v>
      </c>
      <c r="K185" s="63">
        <v>3</v>
      </c>
      <c r="L185" s="63">
        <v>1</v>
      </c>
      <c r="M185" s="63"/>
      <c r="N185" s="63"/>
      <c r="O185" s="63"/>
      <c r="P185" s="21">
        <f>SUM(K185:O185)</f>
        <v>4</v>
      </c>
      <c r="Q185" s="64"/>
      <c r="R185" s="63"/>
      <c r="S185" s="10"/>
      <c r="T185" s="10"/>
      <c r="U185" s="17"/>
      <c r="V185" s="10"/>
      <c r="W185" s="10"/>
      <c r="X185" s="10"/>
    </row>
    <row r="186" spans="2:24">
      <c r="B186" s="11"/>
      <c r="C186" s="10"/>
      <c r="D186" s="10"/>
      <c r="E186" s="51" t="s">
        <v>43</v>
      </c>
      <c r="F186" s="52">
        <f>F185*0.25</f>
        <v>0</v>
      </c>
      <c r="G186" s="53" t="s">
        <v>40</v>
      </c>
      <c r="H186" s="54">
        <f>F186/1.12</f>
        <v>0</v>
      </c>
      <c r="I186" s="10"/>
      <c r="J186" s="10" t="s">
        <v>44</v>
      </c>
      <c r="K186" s="63">
        <v>5</v>
      </c>
      <c r="L186" s="63">
        <v>6</v>
      </c>
      <c r="M186" s="63"/>
      <c r="N186" s="63"/>
      <c r="O186" s="63"/>
      <c r="P186" s="21">
        <f>SUM(K186:O186)</f>
        <v>11</v>
      </c>
      <c r="Q186" s="64"/>
      <c r="R186" s="63"/>
      <c r="S186" s="10"/>
      <c r="T186" s="10"/>
      <c r="U186" s="17"/>
      <c r="V186" s="10"/>
      <c r="W186" s="10"/>
      <c r="X186" s="10"/>
    </row>
    <row r="187" spans="2:24">
      <c r="B187" s="11"/>
      <c r="C187" s="10"/>
      <c r="D187" s="10"/>
      <c r="E187" s="24" t="s">
        <v>45</v>
      </c>
      <c r="F187" s="60">
        <f>I215</f>
        <v>20613.699999999997</v>
      </c>
      <c r="G187" s="61" t="s">
        <v>40</v>
      </c>
      <c r="H187" s="62"/>
      <c r="I187" s="10"/>
      <c r="J187" s="10" t="s">
        <v>46</v>
      </c>
      <c r="K187" s="31">
        <f t="shared" ref="K187:Q187" si="39">K185/(K185+K186)</f>
        <v>0.375</v>
      </c>
      <c r="L187" s="31">
        <f t="shared" si="39"/>
        <v>0.14285714285714285</v>
      </c>
      <c r="M187" s="31" t="e">
        <f t="shared" si="39"/>
        <v>#DIV/0!</v>
      </c>
      <c r="N187" s="31" t="e">
        <f t="shared" si="39"/>
        <v>#DIV/0!</v>
      </c>
      <c r="O187" s="31" t="e">
        <f t="shared" si="39"/>
        <v>#DIV/0!</v>
      </c>
      <c r="P187" s="31">
        <f t="shared" si="39"/>
        <v>0.26666666666666666</v>
      </c>
      <c r="Q187" s="31" t="e">
        <f t="shared" si="39"/>
        <v>#DIV/0!</v>
      </c>
      <c r="R187" s="63"/>
      <c r="S187" s="10"/>
      <c r="T187" s="10"/>
      <c r="U187" s="17"/>
      <c r="V187" s="10"/>
      <c r="W187" s="10"/>
      <c r="X187" s="10"/>
    </row>
    <row r="188" spans="2:24">
      <c r="B188" s="11"/>
      <c r="C188" s="10"/>
      <c r="D188" s="10"/>
      <c r="E188" s="51" t="s">
        <v>47</v>
      </c>
      <c r="F188" s="52">
        <f>(F187-I214)*0.05</f>
        <v>1030.6849999999999</v>
      </c>
      <c r="G188" s="65" t="s">
        <v>40</v>
      </c>
      <c r="H188" s="54">
        <f>F188/1.12</f>
        <v>920.25446428571411</v>
      </c>
      <c r="I188" s="42"/>
      <c r="J188" s="10" t="s">
        <v>48</v>
      </c>
      <c r="K188" s="66">
        <f t="shared" ref="K188:Q188" si="40">K184/K185</f>
        <v>1210.7666666666667</v>
      </c>
      <c r="L188" s="66">
        <f t="shared" si="40"/>
        <v>1098.3</v>
      </c>
      <c r="M188" s="66" t="e">
        <f t="shared" si="40"/>
        <v>#DIV/0!</v>
      </c>
      <c r="N188" s="66" t="e">
        <f t="shared" si="40"/>
        <v>#DIV/0!</v>
      </c>
      <c r="O188" s="66" t="e">
        <f t="shared" si="40"/>
        <v>#DIV/0!</v>
      </c>
      <c r="P188" s="66">
        <f t="shared" si="40"/>
        <v>1182.6500000000001</v>
      </c>
      <c r="Q188" s="66" t="e">
        <f t="shared" si="40"/>
        <v>#DIV/0!</v>
      </c>
      <c r="R188" s="63"/>
      <c r="S188" s="10"/>
      <c r="T188" s="10"/>
      <c r="U188" s="17"/>
      <c r="V188" s="10"/>
      <c r="W188" s="10"/>
      <c r="X188" s="10"/>
    </row>
    <row r="189" spans="2:24">
      <c r="B189" s="11"/>
      <c r="C189" s="10"/>
      <c r="D189" s="10"/>
      <c r="E189" s="67" t="s">
        <v>14</v>
      </c>
      <c r="F189" s="68"/>
      <c r="G189" s="10"/>
      <c r="H189" s="54">
        <f>F189/1.12</f>
        <v>0</v>
      </c>
      <c r="I189" s="10"/>
      <c r="J189" s="10"/>
      <c r="K189" s="10"/>
      <c r="L189" s="10"/>
      <c r="M189" s="10"/>
      <c r="N189" s="10"/>
      <c r="O189" s="10"/>
      <c r="P189" s="10"/>
      <c r="Q189" s="10"/>
      <c r="R189" s="10"/>
      <c r="S189" s="10"/>
      <c r="T189" s="10"/>
      <c r="U189" s="17"/>
      <c r="V189" s="10"/>
      <c r="W189" s="10"/>
      <c r="X189" s="10"/>
    </row>
    <row r="190" spans="2:24">
      <c r="B190" s="11"/>
      <c r="C190" s="10"/>
      <c r="D190" s="10"/>
      <c r="E190" s="67" t="s">
        <v>49</v>
      </c>
      <c r="F190" s="69">
        <f>T179</f>
        <v>0</v>
      </c>
      <c r="G190" s="10"/>
      <c r="H190" s="54"/>
      <c r="I190" s="55"/>
      <c r="J190" s="42"/>
      <c r="K190" s="764" t="s">
        <v>50</v>
      </c>
      <c r="L190" s="765"/>
      <c r="M190" s="765"/>
      <c r="N190" s="765"/>
      <c r="O190" s="765"/>
      <c r="P190" s="765"/>
      <c r="Q190" s="766"/>
      <c r="R190" s="70" t="s">
        <v>28</v>
      </c>
      <c r="S190" s="71" t="s">
        <v>29</v>
      </c>
      <c r="T190" s="10"/>
      <c r="U190" s="17"/>
      <c r="V190" s="10"/>
      <c r="W190" s="10"/>
      <c r="X190" s="10"/>
    </row>
    <row r="191" spans="2:24">
      <c r="B191" s="11"/>
      <c r="C191" s="10"/>
      <c r="D191" s="10"/>
      <c r="E191" s="485" t="s">
        <v>1403</v>
      </c>
      <c r="F191" s="403">
        <v>-24.55</v>
      </c>
      <c r="G191" s="10"/>
      <c r="H191" s="10"/>
      <c r="I191" s="10"/>
      <c r="J191" s="42"/>
      <c r="K191" s="20" t="s">
        <v>31</v>
      </c>
      <c r="L191" s="21" t="s">
        <v>32</v>
      </c>
      <c r="M191" s="21" t="s">
        <v>33</v>
      </c>
      <c r="N191" s="21" t="s">
        <v>34</v>
      </c>
      <c r="O191" s="21" t="s">
        <v>35</v>
      </c>
      <c r="P191" s="21" t="s">
        <v>36</v>
      </c>
      <c r="Q191" s="49" t="s">
        <v>37</v>
      </c>
      <c r="R191" s="50" t="s">
        <v>38</v>
      </c>
      <c r="S191" s="50" t="s">
        <v>38</v>
      </c>
      <c r="T191" s="10"/>
      <c r="U191" s="17"/>
      <c r="V191" s="10"/>
      <c r="W191" s="10"/>
      <c r="X191" s="10"/>
    </row>
    <row r="192" spans="2:24">
      <c r="B192" s="11"/>
      <c r="C192" s="10"/>
      <c r="D192" s="10"/>
      <c r="E192" s="12"/>
      <c r="F192" s="76"/>
      <c r="G192" s="10"/>
      <c r="H192" s="10"/>
      <c r="I192" s="10"/>
      <c r="J192" s="42"/>
      <c r="K192" s="56">
        <f>F202+F204+F203</f>
        <v>3672</v>
      </c>
      <c r="L192" s="57">
        <f>F205</f>
        <v>1138</v>
      </c>
      <c r="M192" s="57"/>
      <c r="N192" s="57"/>
      <c r="O192" s="57"/>
      <c r="P192" s="57">
        <f>SUM(K192:O192)</f>
        <v>4810</v>
      </c>
      <c r="Q192" s="58">
        <v>0</v>
      </c>
      <c r="R192" s="59"/>
      <c r="S192" s="59"/>
      <c r="T192" s="10"/>
      <c r="U192" s="17"/>
      <c r="V192" s="10"/>
      <c r="W192" s="10"/>
      <c r="X192" s="10"/>
    </row>
    <row r="193" spans="2:24">
      <c r="B193" s="11"/>
      <c r="C193" s="10"/>
      <c r="D193" s="10"/>
      <c r="E193" s="10"/>
      <c r="F193" s="10"/>
      <c r="G193" s="10"/>
      <c r="H193" s="10"/>
      <c r="I193" s="10"/>
      <c r="J193" s="10" t="s">
        <v>42</v>
      </c>
      <c r="K193" s="63">
        <f t="shared" ref="K193:Q194" si="41">K185</f>
        <v>3</v>
      </c>
      <c r="L193" s="63">
        <f t="shared" si="41"/>
        <v>1</v>
      </c>
      <c r="M193" s="63">
        <f t="shared" si="41"/>
        <v>0</v>
      </c>
      <c r="N193" s="63">
        <f t="shared" si="41"/>
        <v>0</v>
      </c>
      <c r="O193" s="63">
        <f t="shared" si="41"/>
        <v>0</v>
      </c>
      <c r="P193" s="63">
        <f t="shared" si="41"/>
        <v>4</v>
      </c>
      <c r="Q193" s="63">
        <f t="shared" si="41"/>
        <v>0</v>
      </c>
      <c r="R193" s="63"/>
      <c r="S193" s="10"/>
      <c r="T193" s="10"/>
      <c r="U193" s="17"/>
      <c r="V193" s="10"/>
      <c r="W193" s="10"/>
      <c r="X193" s="10"/>
    </row>
    <row r="194" spans="2:24">
      <c r="B194" s="11"/>
      <c r="C194" s="10"/>
      <c r="D194" s="10"/>
      <c r="E194" s="10"/>
      <c r="F194" s="10"/>
      <c r="G194" s="10"/>
      <c r="H194" s="10"/>
      <c r="I194" s="10"/>
      <c r="J194" s="10" t="s">
        <v>44</v>
      </c>
      <c r="K194" s="63">
        <f t="shared" si="41"/>
        <v>5</v>
      </c>
      <c r="L194" s="63">
        <f t="shared" si="41"/>
        <v>6</v>
      </c>
      <c r="M194" s="63">
        <f t="shared" si="41"/>
        <v>0</v>
      </c>
      <c r="N194" s="63">
        <f t="shared" si="41"/>
        <v>0</v>
      </c>
      <c r="O194" s="63">
        <f t="shared" si="41"/>
        <v>0</v>
      </c>
      <c r="P194" s="63">
        <f t="shared" si="41"/>
        <v>11</v>
      </c>
      <c r="Q194" s="63">
        <f t="shared" si="41"/>
        <v>0</v>
      </c>
      <c r="R194" s="63"/>
      <c r="S194" s="10"/>
      <c r="T194" s="10"/>
      <c r="U194" s="17"/>
      <c r="V194" s="10"/>
      <c r="W194" s="10"/>
      <c r="X194" s="10"/>
    </row>
    <row r="195" spans="2:24">
      <c r="B195" s="11"/>
      <c r="C195" s="10"/>
      <c r="D195" s="10"/>
      <c r="E195" s="12"/>
      <c r="F195" s="76"/>
      <c r="G195" s="10"/>
      <c r="H195" s="10"/>
      <c r="I195" s="10"/>
      <c r="J195" s="10" t="s">
        <v>46</v>
      </c>
      <c r="K195" s="31">
        <f t="shared" ref="K195:Q195" si="42">K193/(K193+K194)</f>
        <v>0.375</v>
      </c>
      <c r="L195" s="31">
        <f t="shared" si="42"/>
        <v>0.14285714285714285</v>
      </c>
      <c r="M195" s="31" t="e">
        <f t="shared" si="42"/>
        <v>#DIV/0!</v>
      </c>
      <c r="N195" s="31" t="e">
        <f t="shared" si="42"/>
        <v>#DIV/0!</v>
      </c>
      <c r="O195" s="31" t="e">
        <f t="shared" si="42"/>
        <v>#DIV/0!</v>
      </c>
      <c r="P195" s="31">
        <f t="shared" si="42"/>
        <v>0.26666666666666666</v>
      </c>
      <c r="Q195" s="31" t="e">
        <f t="shared" si="42"/>
        <v>#DIV/0!</v>
      </c>
      <c r="R195" s="63"/>
      <c r="S195" s="10"/>
      <c r="T195" s="10"/>
      <c r="U195" s="17"/>
      <c r="V195" s="10"/>
      <c r="W195" s="10"/>
      <c r="X195" s="10"/>
    </row>
    <row r="196" spans="2:24">
      <c r="B196" s="11"/>
      <c r="C196" s="10"/>
      <c r="D196" s="10"/>
      <c r="E196" s="10"/>
      <c r="F196" s="10"/>
      <c r="G196" s="10"/>
      <c r="H196" s="10"/>
      <c r="I196" s="10"/>
      <c r="J196" s="10" t="s">
        <v>48</v>
      </c>
      <c r="K196" s="66">
        <f t="shared" ref="K196:Q196" si="43">K192/K193</f>
        <v>1224</v>
      </c>
      <c r="L196" s="66">
        <f t="shared" si="43"/>
        <v>1138</v>
      </c>
      <c r="M196" s="66" t="e">
        <f t="shared" si="43"/>
        <v>#DIV/0!</v>
      </c>
      <c r="N196" s="66" t="e">
        <f t="shared" si="43"/>
        <v>#DIV/0!</v>
      </c>
      <c r="O196" s="66" t="e">
        <f t="shared" si="43"/>
        <v>#DIV/0!</v>
      </c>
      <c r="P196" s="66">
        <f t="shared" si="43"/>
        <v>1202.5</v>
      </c>
      <c r="Q196" s="66" t="e">
        <f t="shared" si="43"/>
        <v>#DIV/0!</v>
      </c>
      <c r="R196" s="63"/>
      <c r="S196" s="10"/>
      <c r="T196" s="10"/>
      <c r="U196" s="17"/>
      <c r="V196" s="10"/>
      <c r="W196" s="10"/>
      <c r="X196" s="10"/>
    </row>
    <row r="197" spans="2:24">
      <c r="B197" s="11"/>
      <c r="C197" s="10"/>
      <c r="D197" s="10"/>
      <c r="E197" s="10"/>
      <c r="F197" s="10"/>
      <c r="G197" s="10"/>
      <c r="H197" s="10"/>
      <c r="I197" s="10"/>
      <c r="J197" s="10"/>
      <c r="K197" s="10"/>
      <c r="L197" s="10"/>
      <c r="M197" s="10"/>
      <c r="N197" s="10"/>
      <c r="O197" s="10"/>
      <c r="P197" s="10"/>
      <c r="Q197" s="10"/>
      <c r="R197" s="10"/>
      <c r="S197" s="10"/>
      <c r="T197" s="10"/>
      <c r="U197" s="17"/>
      <c r="V197" s="10"/>
      <c r="W197" s="10"/>
      <c r="X197" s="10"/>
    </row>
    <row r="198" spans="2:24">
      <c r="B198" s="11"/>
      <c r="C198" s="10"/>
      <c r="D198" s="10"/>
      <c r="E198" s="10"/>
      <c r="F198" s="10"/>
      <c r="G198" s="10"/>
      <c r="H198" s="10"/>
      <c r="I198" s="10"/>
      <c r="J198" s="10"/>
      <c r="K198" s="10"/>
      <c r="L198" s="10"/>
      <c r="M198" s="10"/>
      <c r="N198" s="10"/>
      <c r="O198" s="10"/>
      <c r="P198" s="10"/>
      <c r="Q198" s="10"/>
      <c r="R198" s="10"/>
      <c r="S198" s="10"/>
      <c r="T198" s="10"/>
      <c r="U198" s="17"/>
      <c r="V198" s="10"/>
      <c r="W198" s="10"/>
      <c r="X198" s="10"/>
    </row>
    <row r="199" spans="2:24">
      <c r="B199" s="18" t="s">
        <v>51</v>
      </c>
      <c r="C199" s="14"/>
      <c r="D199" s="14"/>
      <c r="E199" s="14"/>
      <c r="F199" s="13" t="s">
        <v>52</v>
      </c>
      <c r="G199" s="14"/>
      <c r="H199" s="14"/>
      <c r="I199" s="14"/>
      <c r="J199" s="14"/>
      <c r="K199" s="13" t="s">
        <v>3</v>
      </c>
      <c r="L199" s="14"/>
      <c r="M199" s="14"/>
      <c r="N199" s="13" t="s">
        <v>4</v>
      </c>
      <c r="O199" s="14"/>
      <c r="P199" s="14"/>
      <c r="Q199" s="13" t="s">
        <v>5</v>
      </c>
      <c r="R199" s="14"/>
      <c r="S199" s="14"/>
      <c r="T199" s="18"/>
      <c r="U199" s="16" t="s">
        <v>53</v>
      </c>
      <c r="V199" s="77"/>
      <c r="W199" s="77"/>
      <c r="X199" s="77"/>
    </row>
    <row r="200" spans="2:24">
      <c r="B200" s="24" t="s">
        <v>54</v>
      </c>
      <c r="C200" s="21" t="s">
        <v>55</v>
      </c>
      <c r="D200" s="21" t="s">
        <v>56</v>
      </c>
      <c r="E200" s="21" t="s">
        <v>57</v>
      </c>
      <c r="F200" s="20" t="s">
        <v>58</v>
      </c>
      <c r="G200" s="21" t="s">
        <v>59</v>
      </c>
      <c r="H200" s="21" t="s">
        <v>60</v>
      </c>
      <c r="I200" s="21" t="s">
        <v>26</v>
      </c>
      <c r="J200" s="22" t="s">
        <v>61</v>
      </c>
      <c r="K200" s="21" t="s">
        <v>8</v>
      </c>
      <c r="L200" s="21" t="s">
        <v>9</v>
      </c>
      <c r="M200" s="21" t="s">
        <v>10</v>
      </c>
      <c r="N200" s="20" t="s">
        <v>11</v>
      </c>
      <c r="O200" s="21" t="s">
        <v>12</v>
      </c>
      <c r="P200" s="22" t="s">
        <v>13</v>
      </c>
      <c r="Q200" s="21" t="s">
        <v>11</v>
      </c>
      <c r="R200" s="21" t="s">
        <v>12</v>
      </c>
      <c r="S200" s="21" t="s">
        <v>13</v>
      </c>
      <c r="T200" s="78" t="s">
        <v>14</v>
      </c>
      <c r="U200" s="30"/>
      <c r="V200" s="79" t="s">
        <v>62</v>
      </c>
      <c r="W200" s="80" t="s">
        <v>63</v>
      </c>
      <c r="X200" s="81" t="s">
        <v>64</v>
      </c>
    </row>
    <row r="201" spans="2:24">
      <c r="B201" s="4" t="s">
        <v>65</v>
      </c>
      <c r="C201" s="6"/>
      <c r="D201" s="6"/>
      <c r="E201" s="6"/>
      <c r="F201" s="6"/>
      <c r="G201" s="6"/>
      <c r="H201" s="6"/>
      <c r="I201" s="82"/>
      <c r="J201" s="6"/>
      <c r="K201" s="6"/>
      <c r="L201" s="6"/>
      <c r="M201" s="6"/>
      <c r="N201" s="6"/>
      <c r="O201" s="6"/>
      <c r="P201" s="6"/>
      <c r="Q201" s="6"/>
      <c r="R201" s="6"/>
      <c r="S201" s="6"/>
      <c r="T201" s="83"/>
      <c r="U201" s="6"/>
      <c r="V201" s="84"/>
      <c r="W201" s="85"/>
      <c r="X201" s="86"/>
    </row>
    <row r="202" spans="2:24">
      <c r="B202" s="87">
        <v>1</v>
      </c>
      <c r="C202" s="274">
        <v>45845</v>
      </c>
      <c r="D202" s="327">
        <v>71270</v>
      </c>
      <c r="E202" s="276" t="s">
        <v>524</v>
      </c>
      <c r="F202" s="277">
        <v>516</v>
      </c>
      <c r="G202" s="277"/>
      <c r="H202" s="297"/>
      <c r="I202" s="278">
        <f>F202-G202-H202</f>
        <v>516</v>
      </c>
      <c r="J202" s="279" t="s">
        <v>156</v>
      </c>
      <c r="K202" s="279">
        <v>1</v>
      </c>
      <c r="L202" s="279">
        <v>1</v>
      </c>
      <c r="M202" s="279">
        <v>1</v>
      </c>
      <c r="N202" s="279">
        <v>1</v>
      </c>
      <c r="O202" s="279">
        <v>1</v>
      </c>
      <c r="P202" s="279">
        <v>1</v>
      </c>
      <c r="Q202" s="279">
        <v>1</v>
      </c>
      <c r="R202" s="279">
        <v>1</v>
      </c>
      <c r="S202" s="280">
        <v>1</v>
      </c>
      <c r="T202" s="63"/>
      <c r="U202" s="10"/>
      <c r="V202" s="90">
        <v>567.6</v>
      </c>
      <c r="W202" s="91"/>
      <c r="X202" s="92"/>
    </row>
    <row r="203" spans="2:24">
      <c r="B203" s="87">
        <f>B202+1</f>
        <v>2</v>
      </c>
      <c r="C203" s="295">
        <v>45845</v>
      </c>
      <c r="D203" s="323">
        <v>71274</v>
      </c>
      <c r="E203" s="101" t="s">
        <v>444</v>
      </c>
      <c r="F203" s="62">
        <v>2575</v>
      </c>
      <c r="G203" s="62">
        <v>39.700000000000003</v>
      </c>
      <c r="H203" s="62"/>
      <c r="I203" s="89">
        <f>F203-G203-H203</f>
        <v>2535.3000000000002</v>
      </c>
      <c r="J203" s="63" t="s">
        <v>374</v>
      </c>
      <c r="K203" s="63">
        <v>1</v>
      </c>
      <c r="L203" s="63">
        <v>1</v>
      </c>
      <c r="M203" s="63">
        <v>1</v>
      </c>
      <c r="N203" s="63">
        <v>1</v>
      </c>
      <c r="O203" s="63">
        <v>1</v>
      </c>
      <c r="P203" s="63">
        <v>1</v>
      </c>
      <c r="Q203" s="63">
        <v>1</v>
      </c>
      <c r="R203" s="63">
        <v>1</v>
      </c>
      <c r="S203" s="296">
        <v>1</v>
      </c>
      <c r="T203" s="63"/>
      <c r="U203" s="10" t="s">
        <v>1404</v>
      </c>
      <c r="V203" s="90">
        <v>2832.5</v>
      </c>
      <c r="W203" s="91"/>
      <c r="X203" s="92"/>
    </row>
    <row r="204" spans="2:24">
      <c r="B204" s="87">
        <f>B203+1</f>
        <v>3</v>
      </c>
      <c r="C204" s="282">
        <v>45845</v>
      </c>
      <c r="D204" s="368">
        <v>71275</v>
      </c>
      <c r="E204" s="283" t="s">
        <v>813</v>
      </c>
      <c r="F204" s="284">
        <v>581</v>
      </c>
      <c r="G204" s="284"/>
      <c r="H204" s="284"/>
      <c r="I204" s="285">
        <f>F204-G204-H204</f>
        <v>581</v>
      </c>
      <c r="J204" s="286" t="s">
        <v>156</v>
      </c>
      <c r="K204" s="286">
        <v>1</v>
      </c>
      <c r="L204" s="286">
        <v>1</v>
      </c>
      <c r="M204" s="286">
        <v>1</v>
      </c>
      <c r="N204" s="286">
        <v>1</v>
      </c>
      <c r="O204" s="286">
        <v>1</v>
      </c>
      <c r="P204" s="286">
        <v>1</v>
      </c>
      <c r="Q204" s="286">
        <v>1</v>
      </c>
      <c r="R204" s="286">
        <v>1</v>
      </c>
      <c r="S204" s="287">
        <v>1</v>
      </c>
      <c r="T204" s="63"/>
      <c r="U204" s="10"/>
      <c r="V204" s="90">
        <v>639.1</v>
      </c>
      <c r="W204" s="91"/>
      <c r="X204" s="92"/>
    </row>
    <row r="205" spans="2:24">
      <c r="B205" s="87">
        <f>B204+1</f>
        <v>4</v>
      </c>
      <c r="C205" s="262">
        <v>45846</v>
      </c>
      <c r="D205" s="263">
        <v>71311</v>
      </c>
      <c r="E205" s="264" t="s">
        <v>322</v>
      </c>
      <c r="F205" s="265">
        <v>1138</v>
      </c>
      <c r="G205" s="265">
        <v>39.700000000000003</v>
      </c>
      <c r="H205" s="265"/>
      <c r="I205" s="272">
        <f>F205-G205-H205</f>
        <v>1098.3</v>
      </c>
      <c r="J205" s="267" t="s">
        <v>374</v>
      </c>
      <c r="K205" s="267">
        <v>1</v>
      </c>
      <c r="L205" s="267">
        <v>1</v>
      </c>
      <c r="M205" s="267">
        <v>1</v>
      </c>
      <c r="N205" s="267">
        <v>1</v>
      </c>
      <c r="O205" s="267">
        <v>1</v>
      </c>
      <c r="P205" s="267">
        <v>1</v>
      </c>
      <c r="Q205" s="267">
        <v>1</v>
      </c>
      <c r="R205" s="267">
        <v>1</v>
      </c>
      <c r="S205" s="269">
        <v>1</v>
      </c>
      <c r="T205" s="63"/>
      <c r="U205" s="10" t="s">
        <v>1405</v>
      </c>
      <c r="V205" s="90">
        <v>1251.8</v>
      </c>
      <c r="W205" s="91"/>
      <c r="X205" s="92"/>
    </row>
    <row r="206" spans="2:24">
      <c r="B206" s="87"/>
      <c r="C206" s="36"/>
      <c r="D206" s="10"/>
      <c r="E206" s="10"/>
      <c r="F206" s="97">
        <f>SUM(F202:F205)</f>
        <v>4810</v>
      </c>
      <c r="G206" s="97">
        <f>SUM(G202:G205)</f>
        <v>79.400000000000006</v>
      </c>
      <c r="H206" s="97">
        <f>SUM(H202:H205)</f>
        <v>0</v>
      </c>
      <c r="I206" s="98">
        <f>SUM(I202:I205)</f>
        <v>4730.6000000000004</v>
      </c>
      <c r="J206" s="63"/>
      <c r="K206" s="63">
        <f t="shared" ref="K206:S206" si="44">COUNT(K202:K205)</f>
        <v>4</v>
      </c>
      <c r="L206" s="63">
        <f t="shared" si="44"/>
        <v>4</v>
      </c>
      <c r="M206" s="63">
        <f t="shared" si="44"/>
        <v>4</v>
      </c>
      <c r="N206" s="63">
        <f t="shared" si="44"/>
        <v>4</v>
      </c>
      <c r="O206" s="63">
        <f t="shared" si="44"/>
        <v>4</v>
      </c>
      <c r="P206" s="63">
        <f t="shared" si="44"/>
        <v>4</v>
      </c>
      <c r="Q206" s="63">
        <f t="shared" si="44"/>
        <v>4</v>
      </c>
      <c r="R206" s="63">
        <f t="shared" si="44"/>
        <v>4</v>
      </c>
      <c r="S206" s="63">
        <f t="shared" si="44"/>
        <v>4</v>
      </c>
      <c r="T206" s="63"/>
      <c r="U206" s="10"/>
      <c r="V206" s="90"/>
      <c r="W206" s="91"/>
      <c r="X206" s="92"/>
    </row>
    <row r="207" spans="2:24">
      <c r="B207" s="87"/>
      <c r="C207" s="36"/>
      <c r="D207" s="10"/>
      <c r="E207" s="10"/>
      <c r="F207" s="88"/>
      <c r="G207" s="88"/>
      <c r="H207" s="88"/>
      <c r="I207" s="99"/>
      <c r="J207" s="63"/>
      <c r="K207" s="21">
        <f t="shared" ref="K207:S207" si="45">SUM(K202:K205)</f>
        <v>4</v>
      </c>
      <c r="L207" s="21">
        <f t="shared" si="45"/>
        <v>4</v>
      </c>
      <c r="M207" s="21">
        <f t="shared" si="45"/>
        <v>4</v>
      </c>
      <c r="N207" s="21">
        <f t="shared" si="45"/>
        <v>4</v>
      </c>
      <c r="O207" s="21">
        <f t="shared" si="45"/>
        <v>4</v>
      </c>
      <c r="P207" s="21">
        <f t="shared" si="45"/>
        <v>4</v>
      </c>
      <c r="Q207" s="21">
        <f t="shared" si="45"/>
        <v>4</v>
      </c>
      <c r="R207" s="21">
        <f t="shared" si="45"/>
        <v>4</v>
      </c>
      <c r="S207" s="21">
        <f t="shared" si="45"/>
        <v>4</v>
      </c>
      <c r="T207" s="63"/>
      <c r="U207" s="10"/>
      <c r="V207" s="90"/>
      <c r="W207" s="91"/>
      <c r="X207" s="92"/>
    </row>
    <row r="208" spans="2:24">
      <c r="B208" s="11"/>
      <c r="C208" s="36"/>
      <c r="D208" s="10"/>
      <c r="E208" s="10"/>
      <c r="F208" s="88"/>
      <c r="G208" s="88"/>
      <c r="H208" s="88"/>
      <c r="I208" s="99"/>
      <c r="J208" s="63"/>
      <c r="K208" s="21"/>
      <c r="L208" s="21"/>
      <c r="M208" s="21"/>
      <c r="N208" s="21"/>
      <c r="O208" s="21"/>
      <c r="P208" s="21"/>
      <c r="Q208" s="21"/>
      <c r="R208" s="21"/>
      <c r="S208" s="21"/>
      <c r="T208" s="63"/>
      <c r="U208" s="10"/>
      <c r="V208" s="90"/>
      <c r="W208" s="91"/>
      <c r="X208" s="92"/>
    </row>
    <row r="209" spans="1:31">
      <c r="B209" s="100" t="s">
        <v>67</v>
      </c>
      <c r="C209" s="36"/>
      <c r="D209" s="10"/>
      <c r="E209" s="10"/>
      <c r="F209" s="88"/>
      <c r="G209" s="62"/>
      <c r="H209" s="88"/>
      <c r="I209" s="99"/>
      <c r="J209" s="63"/>
      <c r="K209" s="2"/>
      <c r="L209" s="2"/>
      <c r="M209" s="2"/>
      <c r="N209" s="2"/>
      <c r="O209" s="2"/>
      <c r="P209" s="2"/>
      <c r="Q209" s="2"/>
      <c r="R209" s="2"/>
      <c r="S209" s="2"/>
      <c r="T209" s="63"/>
      <c r="U209" s="94"/>
      <c r="V209" s="90"/>
      <c r="W209" s="91"/>
      <c r="X209" s="92"/>
    </row>
    <row r="210" spans="1:31">
      <c r="A210" s="261" t="s">
        <v>310</v>
      </c>
      <c r="B210" s="87">
        <v>1</v>
      </c>
      <c r="C210" s="262">
        <v>45827</v>
      </c>
      <c r="D210" s="263">
        <v>70883</v>
      </c>
      <c r="E210" s="271" t="s">
        <v>643</v>
      </c>
      <c r="F210" s="265">
        <v>8614</v>
      </c>
      <c r="G210" s="265">
        <f>39.7+(161.15+1191.42+647.38)+500</f>
        <v>2539.6500000000005</v>
      </c>
      <c r="H210" s="265"/>
      <c r="I210" s="266">
        <f>F210-G210-H210</f>
        <v>6074.3499999999995</v>
      </c>
      <c r="J210" s="267" t="s">
        <v>228</v>
      </c>
      <c r="K210" s="267">
        <v>1</v>
      </c>
      <c r="L210" s="267">
        <v>1</v>
      </c>
      <c r="M210" s="267">
        <v>1</v>
      </c>
      <c r="N210" s="267">
        <v>1</v>
      </c>
      <c r="O210" s="267">
        <v>1</v>
      </c>
      <c r="P210" s="314">
        <v>0</v>
      </c>
      <c r="Q210" s="267">
        <v>1</v>
      </c>
      <c r="R210" s="267">
        <v>1</v>
      </c>
      <c r="S210" s="366">
        <v>0</v>
      </c>
      <c r="T210" s="63"/>
      <c r="U210" s="10" t="s">
        <v>1356</v>
      </c>
      <c r="V210" s="90">
        <f>8528.4</f>
        <v>8528.4</v>
      </c>
      <c r="W210" s="136"/>
      <c r="X210" s="137"/>
      <c r="Y210" s="181"/>
      <c r="Z210" s="181"/>
      <c r="AA210" s="181"/>
      <c r="AB210" s="181"/>
      <c r="AC210" s="181"/>
    </row>
    <row r="211" spans="1:31">
      <c r="A211" s="261" t="s">
        <v>1406</v>
      </c>
      <c r="B211" s="87">
        <f>B210+1</f>
        <v>2</v>
      </c>
      <c r="C211" s="262">
        <v>45833</v>
      </c>
      <c r="D211" s="263">
        <v>71034</v>
      </c>
      <c r="E211" s="271" t="s">
        <v>596</v>
      </c>
      <c r="F211" s="265">
        <f>1866-185</f>
        <v>1681</v>
      </c>
      <c r="G211" s="265">
        <v>39.700000000000003</v>
      </c>
      <c r="H211" s="265"/>
      <c r="I211" s="266">
        <f>F211-G211-H211</f>
        <v>1641.3</v>
      </c>
      <c r="J211" s="267" t="s">
        <v>156</v>
      </c>
      <c r="K211" s="267">
        <v>1</v>
      </c>
      <c r="L211" s="267">
        <v>1</v>
      </c>
      <c r="M211" s="267">
        <v>1</v>
      </c>
      <c r="N211" s="267">
        <v>1</v>
      </c>
      <c r="O211" s="267">
        <v>1</v>
      </c>
      <c r="P211" s="267">
        <v>1</v>
      </c>
      <c r="Q211" s="267">
        <v>1</v>
      </c>
      <c r="R211" s="314">
        <v>0</v>
      </c>
      <c r="S211" s="269">
        <v>1</v>
      </c>
      <c r="T211" s="63"/>
      <c r="U211" s="10"/>
      <c r="V211" s="90">
        <f>1849.1</f>
        <v>1849.1</v>
      </c>
      <c r="W211" s="136"/>
      <c r="X211" s="137"/>
      <c r="Y211" s="181"/>
      <c r="Z211" s="181"/>
      <c r="AA211" s="181"/>
      <c r="AB211" s="181"/>
      <c r="AC211" s="181"/>
    </row>
    <row r="212" spans="1:31">
      <c r="A212" s="261" t="s">
        <v>1406</v>
      </c>
      <c r="B212" s="87">
        <f>B211+1</f>
        <v>3</v>
      </c>
      <c r="C212" s="274">
        <v>45840</v>
      </c>
      <c r="D212" s="327" t="s">
        <v>1388</v>
      </c>
      <c r="E212" s="276" t="s">
        <v>456</v>
      </c>
      <c r="F212" s="277">
        <v>681</v>
      </c>
      <c r="G212" s="277"/>
      <c r="H212" s="277"/>
      <c r="I212" s="321">
        <f>F212-G212-H212</f>
        <v>681</v>
      </c>
      <c r="J212" s="279" t="s">
        <v>374</v>
      </c>
      <c r="K212" s="279">
        <v>1</v>
      </c>
      <c r="L212" s="279">
        <v>1</v>
      </c>
      <c r="M212" s="279">
        <v>1</v>
      </c>
      <c r="N212" s="279">
        <v>1</v>
      </c>
      <c r="O212" s="279">
        <v>1</v>
      </c>
      <c r="P212" s="322">
        <v>0</v>
      </c>
      <c r="Q212" s="322">
        <v>0</v>
      </c>
      <c r="R212" s="322">
        <v>0</v>
      </c>
      <c r="S212" s="328">
        <v>0</v>
      </c>
      <c r="T212" s="63"/>
      <c r="U212" s="301" t="s">
        <v>1389</v>
      </c>
      <c r="V212" s="90"/>
      <c r="W212" s="136"/>
      <c r="X212" s="137"/>
      <c r="Y212" s="181"/>
      <c r="Z212" s="181"/>
      <c r="AA212" s="181"/>
      <c r="AB212" s="181"/>
      <c r="AC212" s="181"/>
      <c r="AD212" s="260"/>
      <c r="AE212" s="260"/>
    </row>
    <row r="213" spans="1:31">
      <c r="A213" s="261" t="s">
        <v>1406</v>
      </c>
      <c r="B213" s="87">
        <f t="shared" ref="B213" si="46">B212+1</f>
        <v>4</v>
      </c>
      <c r="C213" s="262">
        <v>45840</v>
      </c>
      <c r="D213" s="357" t="s">
        <v>1393</v>
      </c>
      <c r="E213" s="271" t="s">
        <v>456</v>
      </c>
      <c r="F213" s="265">
        <v>16214</v>
      </c>
      <c r="G213" s="265">
        <f>39.7+493.5+178.17+900+178.17+(68.87+130.25+56.24+85.57+14.17)+(69.18+39.44+44.78+9.58+189.33)+1500</f>
        <v>3996.95</v>
      </c>
      <c r="H213" s="265"/>
      <c r="I213" s="272">
        <f>F213-G213-H213</f>
        <v>12217.05</v>
      </c>
      <c r="J213" s="267" t="s">
        <v>374</v>
      </c>
      <c r="K213" s="267">
        <v>1</v>
      </c>
      <c r="L213" s="267">
        <v>1</v>
      </c>
      <c r="M213" s="267">
        <v>1</v>
      </c>
      <c r="N213" s="267">
        <v>1</v>
      </c>
      <c r="O213" s="267">
        <v>1</v>
      </c>
      <c r="P213" s="314">
        <v>0</v>
      </c>
      <c r="Q213" s="314">
        <v>0</v>
      </c>
      <c r="R213" s="314">
        <v>0</v>
      </c>
      <c r="S213" s="366">
        <v>0</v>
      </c>
      <c r="T213" s="63"/>
      <c r="U213" s="10" t="s">
        <v>1407</v>
      </c>
      <c r="V213" s="90">
        <f>4584.5</f>
        <v>4584.5</v>
      </c>
      <c r="W213" s="136"/>
      <c r="X213" s="137"/>
      <c r="Y213" s="260"/>
      <c r="Z213" s="260"/>
      <c r="AA213" s="260"/>
      <c r="AB213" s="260"/>
      <c r="AC213" s="260"/>
      <c r="AD213" s="260"/>
      <c r="AE213" s="260"/>
    </row>
    <row r="214" spans="1:31" s="381" customFormat="1">
      <c r="A214" s="371" t="s">
        <v>1408</v>
      </c>
      <c r="B214" s="372">
        <f>B213+1</f>
        <v>5</v>
      </c>
      <c r="C214" s="373">
        <v>45842</v>
      </c>
      <c r="D214" s="357" t="s">
        <v>1395</v>
      </c>
      <c r="E214" s="391" t="s">
        <v>302</v>
      </c>
      <c r="F214" s="375">
        <f>16214-16214</f>
        <v>0</v>
      </c>
      <c r="G214" s="375">
        <f>1500-1500</f>
        <v>0</v>
      </c>
      <c r="H214" s="375"/>
      <c r="I214" s="376">
        <f t="shared" ref="I214" si="47">F214-G214-H214</f>
        <v>0</v>
      </c>
      <c r="J214" s="314"/>
      <c r="K214" s="314">
        <v>1</v>
      </c>
      <c r="L214" s="314"/>
      <c r="M214" s="314">
        <v>1</v>
      </c>
      <c r="N214" s="314">
        <v>1</v>
      </c>
      <c r="O214" s="314">
        <v>1</v>
      </c>
      <c r="P214" s="314">
        <v>1</v>
      </c>
      <c r="Q214" s="314"/>
      <c r="R214" s="314"/>
      <c r="S214" s="366"/>
      <c r="T214" s="325"/>
      <c r="U214" s="430" t="s">
        <v>1396</v>
      </c>
      <c r="V214" s="377"/>
      <c r="W214" s="392"/>
      <c r="X214" s="379"/>
    </row>
    <row r="215" spans="1:31">
      <c r="B215" s="11"/>
      <c r="C215" s="36"/>
      <c r="D215" s="10"/>
      <c r="E215" s="10"/>
      <c r="F215" s="97">
        <f>SUM(F210:F214)</f>
        <v>27190</v>
      </c>
      <c r="G215" s="97">
        <f>SUM(G210:G214)</f>
        <v>6576.3</v>
      </c>
      <c r="H215" s="97">
        <f>SUM(H210:H214)</f>
        <v>0</v>
      </c>
      <c r="I215" s="98">
        <f>SUM(I210:I214)</f>
        <v>20613.699999999997</v>
      </c>
      <c r="J215" s="63"/>
      <c r="K215" s="21"/>
      <c r="L215" s="21"/>
      <c r="M215" s="21"/>
      <c r="N215" s="21"/>
      <c r="O215" s="21"/>
      <c r="P215" s="21"/>
      <c r="Q215" s="21"/>
      <c r="R215" s="21"/>
      <c r="S215" s="21"/>
      <c r="T215" s="63"/>
      <c r="U215" s="94"/>
      <c r="V215" s="90"/>
      <c r="W215" s="91"/>
      <c r="X215" s="92"/>
    </row>
    <row r="216" spans="1:31">
      <c r="B216" s="11"/>
      <c r="C216" s="36"/>
      <c r="D216" s="10"/>
      <c r="E216" s="10"/>
      <c r="F216" s="88"/>
      <c r="G216" s="88"/>
      <c r="H216" s="88"/>
      <c r="I216" s="99"/>
      <c r="J216" s="63"/>
      <c r="K216" s="21"/>
      <c r="L216" s="21"/>
      <c r="M216" s="21"/>
      <c r="N216" s="21"/>
      <c r="O216" s="21"/>
      <c r="P216" s="21"/>
      <c r="Q216" s="21"/>
      <c r="R216" s="21"/>
      <c r="S216" s="21"/>
      <c r="T216" s="63"/>
      <c r="U216" s="94"/>
      <c r="V216" s="90"/>
      <c r="W216" s="91"/>
      <c r="X216" s="92"/>
    </row>
    <row r="217" spans="1:31">
      <c r="B217" s="11"/>
      <c r="C217" s="36"/>
      <c r="D217" s="10"/>
      <c r="E217" s="10"/>
      <c r="F217" s="88"/>
      <c r="G217" s="88"/>
      <c r="H217" s="88"/>
      <c r="I217" s="99"/>
      <c r="J217" s="63"/>
      <c r="K217" s="21"/>
      <c r="L217" s="21"/>
      <c r="M217" s="21"/>
      <c r="N217" s="21"/>
      <c r="O217" s="21"/>
      <c r="P217" s="21"/>
      <c r="Q217" s="21"/>
      <c r="R217" s="21"/>
      <c r="S217" s="21"/>
      <c r="T217" s="63"/>
      <c r="U217" s="94"/>
      <c r="V217" s="90"/>
      <c r="W217" s="91"/>
      <c r="X217" s="92"/>
    </row>
    <row r="218" spans="1:31" s="260" customFormat="1">
      <c r="A218" s="181"/>
      <c r="B218" s="100" t="s">
        <v>152</v>
      </c>
      <c r="C218" s="36"/>
      <c r="D218" s="10"/>
      <c r="E218" s="10"/>
      <c r="F218" s="88"/>
      <c r="G218" s="62"/>
      <c r="H218" s="88"/>
      <c r="I218" s="99"/>
      <c r="J218" s="63"/>
      <c r="K218" s="181"/>
      <c r="L218" s="181"/>
      <c r="M218" s="181"/>
      <c r="N218" s="181"/>
      <c r="O218" s="181"/>
      <c r="P218" s="181"/>
      <c r="Q218" s="181"/>
      <c r="R218" s="181"/>
      <c r="S218" s="181"/>
      <c r="T218" s="63"/>
      <c r="U218" s="10"/>
      <c r="V218" s="90"/>
      <c r="W218" s="91"/>
      <c r="X218" s="92"/>
      <c r="Y218" s="181"/>
      <c r="Z218" s="181"/>
      <c r="AA218" s="181"/>
      <c r="AB218" s="181"/>
      <c r="AC218" s="181"/>
    </row>
    <row r="219" spans="1:31" s="260" customFormat="1">
      <c r="A219" s="261">
        <v>0.05</v>
      </c>
      <c r="B219" s="87">
        <v>1</v>
      </c>
      <c r="C219" s="262">
        <v>45831</v>
      </c>
      <c r="D219" s="271">
        <v>70945</v>
      </c>
      <c r="E219" s="271" t="s">
        <v>572</v>
      </c>
      <c r="F219" s="265">
        <v>1138</v>
      </c>
      <c r="G219" s="265">
        <v>39.700000000000003</v>
      </c>
      <c r="H219" s="265"/>
      <c r="I219" s="272">
        <f t="shared" ref="I219" si="48">F219-G219-H219</f>
        <v>1098.3</v>
      </c>
      <c r="J219" s="267" t="s">
        <v>374</v>
      </c>
      <c r="K219" s="267">
        <v>1</v>
      </c>
      <c r="L219" s="267">
        <v>1</v>
      </c>
      <c r="M219" s="267">
        <v>1</v>
      </c>
      <c r="N219" s="267">
        <v>1</v>
      </c>
      <c r="O219" s="267">
        <v>1</v>
      </c>
      <c r="P219" s="267">
        <v>0</v>
      </c>
      <c r="Q219" s="267">
        <v>1</v>
      </c>
      <c r="R219" s="267">
        <v>1</v>
      </c>
      <c r="S219" s="269">
        <v>0</v>
      </c>
      <c r="T219" s="63"/>
      <c r="U219" s="301" t="s">
        <v>1397</v>
      </c>
      <c r="V219" s="90"/>
      <c r="W219" s="136"/>
      <c r="X219" s="137"/>
      <c r="Y219" s="181"/>
      <c r="Z219" s="181"/>
      <c r="AA219" s="181"/>
      <c r="AB219" s="181"/>
      <c r="AC219" s="181"/>
    </row>
    <row r="220" spans="1:31" s="260" customFormat="1">
      <c r="A220" s="181"/>
      <c r="B220" s="11"/>
      <c r="C220" s="36"/>
      <c r="D220" s="10"/>
      <c r="E220" s="10"/>
      <c r="F220" s="97">
        <f>SUM(F219)</f>
        <v>1138</v>
      </c>
      <c r="G220" s="97">
        <f t="shared" ref="G220:I220" si="49">SUM(G219)</f>
        <v>39.700000000000003</v>
      </c>
      <c r="H220" s="97">
        <f t="shared" si="49"/>
        <v>0</v>
      </c>
      <c r="I220" s="97">
        <f t="shared" si="49"/>
        <v>1098.3</v>
      </c>
      <c r="J220" s="63"/>
      <c r="K220" s="21"/>
      <c r="L220" s="21"/>
      <c r="M220" s="21"/>
      <c r="N220" s="21"/>
      <c r="O220" s="21"/>
      <c r="P220" s="21"/>
      <c r="Q220" s="21"/>
      <c r="R220" s="21"/>
      <c r="S220" s="21"/>
      <c r="T220" s="63"/>
      <c r="U220" s="10"/>
      <c r="V220" s="90"/>
      <c r="W220" s="91"/>
      <c r="X220" s="92"/>
      <c r="Y220" s="181"/>
      <c r="Z220" s="181"/>
      <c r="AA220" s="181"/>
      <c r="AB220" s="181"/>
      <c r="AC220" s="181"/>
    </row>
    <row r="221" spans="1:31" s="260" customFormat="1">
      <c r="A221" s="181"/>
      <c r="B221" s="11"/>
      <c r="C221" s="36"/>
      <c r="D221" s="10"/>
      <c r="E221" s="10"/>
      <c r="F221" s="88"/>
      <c r="G221" s="88"/>
      <c r="H221" s="88"/>
      <c r="I221" s="99"/>
      <c r="J221" s="63"/>
      <c r="K221" s="21"/>
      <c r="L221" s="21"/>
      <c r="M221" s="21"/>
      <c r="N221" s="21"/>
      <c r="O221" s="21"/>
      <c r="P221" s="21"/>
      <c r="Q221" s="21"/>
      <c r="R221" s="21"/>
      <c r="S221" s="21"/>
      <c r="T221" s="63"/>
      <c r="U221" s="10"/>
      <c r="V221" s="90"/>
      <c r="W221" s="91"/>
      <c r="X221" s="92"/>
      <c r="Y221" s="181"/>
      <c r="Z221" s="181"/>
      <c r="AA221" s="181"/>
      <c r="AB221" s="181"/>
      <c r="AC221" s="181"/>
    </row>
    <row r="222" spans="1:31">
      <c r="B222" s="100" t="s">
        <v>72</v>
      </c>
      <c r="C222" s="36"/>
      <c r="D222" s="10"/>
      <c r="E222" s="10"/>
      <c r="F222" s="88"/>
      <c r="G222" s="88"/>
      <c r="H222" s="88"/>
      <c r="I222" s="99"/>
      <c r="J222" s="63"/>
      <c r="K222" s="63"/>
      <c r="L222" s="63"/>
      <c r="M222" s="63"/>
      <c r="N222" s="63"/>
      <c r="O222" s="63"/>
      <c r="P222" s="63"/>
      <c r="Q222" s="63"/>
      <c r="R222" s="63"/>
      <c r="S222" s="63"/>
      <c r="T222" s="63"/>
      <c r="U222" s="10"/>
      <c r="V222" s="90"/>
      <c r="W222" s="91"/>
      <c r="X222" s="92"/>
    </row>
    <row r="223" spans="1:31">
      <c r="B223" s="87">
        <v>1</v>
      </c>
      <c r="C223" s="274">
        <v>45845</v>
      </c>
      <c r="D223" s="276">
        <v>71261</v>
      </c>
      <c r="E223" s="276" t="s">
        <v>292</v>
      </c>
      <c r="F223" s="277">
        <v>0</v>
      </c>
      <c r="G223" s="277"/>
      <c r="H223" s="277"/>
      <c r="I223" s="278">
        <f t="shared" ref="I223:I233" si="50">F223-G223-H223</f>
        <v>0</v>
      </c>
      <c r="J223" s="279" t="s">
        <v>156</v>
      </c>
      <c r="K223" s="279">
        <v>1</v>
      </c>
      <c r="L223" s="279"/>
      <c r="M223" s="279">
        <v>1</v>
      </c>
      <c r="N223" s="279"/>
      <c r="O223" s="279"/>
      <c r="P223" s="279"/>
      <c r="Q223" s="279">
        <v>1</v>
      </c>
      <c r="R223" s="279">
        <v>1</v>
      </c>
      <c r="S223" s="280">
        <v>1</v>
      </c>
      <c r="T223" s="63"/>
      <c r="U223" s="3"/>
      <c r="V223" s="90">
        <v>203.5</v>
      </c>
      <c r="W223" s="91"/>
      <c r="X223" s="92"/>
    </row>
    <row r="224" spans="1:31">
      <c r="B224" s="87">
        <f t="shared" ref="B224:B233" si="51">B223+1</f>
        <v>2</v>
      </c>
      <c r="C224" s="295">
        <v>45845</v>
      </c>
      <c r="D224" s="10">
        <v>71287</v>
      </c>
      <c r="E224" s="10" t="s">
        <v>322</v>
      </c>
      <c r="F224" s="62">
        <v>581</v>
      </c>
      <c r="G224" s="62"/>
      <c r="H224" s="62"/>
      <c r="I224" s="89">
        <f t="shared" si="50"/>
        <v>581</v>
      </c>
      <c r="J224" s="63" t="s">
        <v>205</v>
      </c>
      <c r="K224" s="63">
        <v>1</v>
      </c>
      <c r="L224" s="63"/>
      <c r="M224" s="63"/>
      <c r="N224" s="63">
        <v>1</v>
      </c>
      <c r="O224" s="63"/>
      <c r="P224" s="63"/>
      <c r="Q224" s="63">
        <v>1</v>
      </c>
      <c r="R224" s="63">
        <v>1</v>
      </c>
      <c r="S224" s="296"/>
      <c r="T224" s="63"/>
      <c r="U224" s="10"/>
      <c r="V224" s="90"/>
      <c r="W224" s="136"/>
      <c r="X224" s="137"/>
    </row>
    <row r="225" spans="1:24">
      <c r="B225" s="87">
        <f t="shared" si="51"/>
        <v>3</v>
      </c>
      <c r="C225" s="295">
        <v>45845</v>
      </c>
      <c r="D225" s="10">
        <v>71292</v>
      </c>
      <c r="E225" s="10" t="s">
        <v>178</v>
      </c>
      <c r="F225" s="62">
        <v>1296</v>
      </c>
      <c r="G225" s="62">
        <v>39.700000000000003</v>
      </c>
      <c r="H225" s="62"/>
      <c r="I225" s="89">
        <f t="shared" si="50"/>
        <v>1256.3</v>
      </c>
      <c r="J225" s="63" t="s">
        <v>205</v>
      </c>
      <c r="K225" s="63">
        <v>1</v>
      </c>
      <c r="L225" s="63"/>
      <c r="M225" s="63"/>
      <c r="N225" s="63">
        <v>1</v>
      </c>
      <c r="O225" s="63"/>
      <c r="P225" s="63"/>
      <c r="Q225" s="63">
        <v>1</v>
      </c>
      <c r="R225" s="63">
        <v>1</v>
      </c>
      <c r="S225" s="296">
        <v>1</v>
      </c>
      <c r="T225" s="63"/>
      <c r="U225" s="10"/>
      <c r="V225" s="90"/>
      <c r="W225" s="136"/>
      <c r="X225" s="137"/>
    </row>
    <row r="226" spans="1:24">
      <c r="B226" s="87">
        <f t="shared" si="51"/>
        <v>4</v>
      </c>
      <c r="C226" s="295">
        <v>45845</v>
      </c>
      <c r="D226" s="77" t="s">
        <v>1409</v>
      </c>
      <c r="E226" s="10" t="s">
        <v>1410</v>
      </c>
      <c r="F226" s="62">
        <v>2522</v>
      </c>
      <c r="G226" s="62">
        <v>39.700000000000003</v>
      </c>
      <c r="H226" s="62"/>
      <c r="I226" s="89">
        <f t="shared" si="50"/>
        <v>2482.3000000000002</v>
      </c>
      <c r="J226" s="63" t="s">
        <v>205</v>
      </c>
      <c r="K226" s="63"/>
      <c r="L226" s="63"/>
      <c r="M226" s="63"/>
      <c r="N226" s="63">
        <v>1</v>
      </c>
      <c r="O226" s="63"/>
      <c r="P226" s="63"/>
      <c r="Q226" s="63">
        <v>1</v>
      </c>
      <c r="R226" s="63">
        <v>1</v>
      </c>
      <c r="S226" s="296">
        <v>1</v>
      </c>
      <c r="T226" s="63"/>
      <c r="U226" s="10"/>
      <c r="V226" s="90"/>
      <c r="W226" s="136"/>
      <c r="X226" s="137"/>
    </row>
    <row r="227" spans="1:24">
      <c r="B227" s="87">
        <f t="shared" si="51"/>
        <v>5</v>
      </c>
      <c r="C227" s="295">
        <v>45845</v>
      </c>
      <c r="D227" s="77" t="s">
        <v>1411</v>
      </c>
      <c r="E227" s="10" t="s">
        <v>1410</v>
      </c>
      <c r="F227" s="62">
        <v>2922</v>
      </c>
      <c r="G227" s="62">
        <v>39.700000000000003</v>
      </c>
      <c r="H227" s="62"/>
      <c r="I227" s="89">
        <f t="shared" si="50"/>
        <v>2882.3</v>
      </c>
      <c r="J227" s="63" t="s">
        <v>205</v>
      </c>
      <c r="K227" s="63"/>
      <c r="L227" s="63"/>
      <c r="M227" s="63"/>
      <c r="N227" s="63">
        <v>1</v>
      </c>
      <c r="O227" s="63"/>
      <c r="P227" s="63"/>
      <c r="Q227" s="63">
        <v>1</v>
      </c>
      <c r="R227" s="63">
        <v>1</v>
      </c>
      <c r="S227" s="296">
        <v>1</v>
      </c>
      <c r="T227" s="63"/>
      <c r="U227" s="10"/>
      <c r="V227" s="90"/>
      <c r="W227" s="136"/>
      <c r="X227" s="137"/>
    </row>
    <row r="228" spans="1:24">
      <c r="B228" s="87">
        <f t="shared" si="51"/>
        <v>6</v>
      </c>
      <c r="C228" s="274">
        <v>45846</v>
      </c>
      <c r="D228" s="275" t="s">
        <v>1412</v>
      </c>
      <c r="E228" s="281" t="s">
        <v>384</v>
      </c>
      <c r="F228" s="277">
        <v>581</v>
      </c>
      <c r="G228" s="277"/>
      <c r="H228" s="277"/>
      <c r="I228" s="278">
        <f t="shared" si="50"/>
        <v>581</v>
      </c>
      <c r="J228" s="279" t="s">
        <v>205</v>
      </c>
      <c r="K228" s="279">
        <v>1</v>
      </c>
      <c r="L228" s="279"/>
      <c r="M228" s="279"/>
      <c r="N228" s="279">
        <v>1</v>
      </c>
      <c r="O228" s="279"/>
      <c r="P228" s="279"/>
      <c r="Q228" s="279">
        <v>1</v>
      </c>
      <c r="R228" s="279">
        <v>1</v>
      </c>
      <c r="S228" s="280">
        <v>1</v>
      </c>
      <c r="T228" s="63"/>
      <c r="U228" s="10"/>
      <c r="V228" s="90"/>
      <c r="W228" s="136"/>
      <c r="X228" s="137"/>
    </row>
    <row r="229" spans="1:24">
      <c r="B229" s="87">
        <f t="shared" si="51"/>
        <v>7</v>
      </c>
      <c r="C229" s="295">
        <v>45846</v>
      </c>
      <c r="D229" s="77" t="s">
        <v>1413</v>
      </c>
      <c r="E229" s="101" t="s">
        <v>384</v>
      </c>
      <c r="F229" s="62">
        <v>5814</v>
      </c>
      <c r="G229" s="62">
        <v>39.700000000000003</v>
      </c>
      <c r="H229" s="62"/>
      <c r="I229" s="89">
        <f t="shared" si="50"/>
        <v>5774.3</v>
      </c>
      <c r="J229" s="63" t="s">
        <v>205</v>
      </c>
      <c r="K229" s="63">
        <v>1</v>
      </c>
      <c r="L229" s="63"/>
      <c r="M229" s="63"/>
      <c r="N229" s="63">
        <v>1</v>
      </c>
      <c r="O229" s="63"/>
      <c r="P229" s="63"/>
      <c r="Q229" s="63">
        <v>1</v>
      </c>
      <c r="R229" s="63">
        <v>1</v>
      </c>
      <c r="S229" s="296">
        <v>1</v>
      </c>
      <c r="T229" s="63"/>
      <c r="U229" s="10"/>
      <c r="V229" s="90"/>
      <c r="W229" s="136"/>
      <c r="X229" s="137"/>
    </row>
    <row r="230" spans="1:24">
      <c r="B230" s="87">
        <f t="shared" si="51"/>
        <v>8</v>
      </c>
      <c r="C230" s="295">
        <v>45846</v>
      </c>
      <c r="D230" s="10">
        <v>71280</v>
      </c>
      <c r="E230" s="101" t="s">
        <v>377</v>
      </c>
      <c r="F230" s="62">
        <v>0</v>
      </c>
      <c r="G230" s="62"/>
      <c r="H230" s="62"/>
      <c r="I230" s="89">
        <f t="shared" si="50"/>
        <v>0</v>
      </c>
      <c r="J230" s="63" t="s">
        <v>219</v>
      </c>
      <c r="K230" s="63">
        <v>1</v>
      </c>
      <c r="L230" s="63"/>
      <c r="M230" s="63"/>
      <c r="N230" s="63"/>
      <c r="O230" s="63"/>
      <c r="P230" s="63"/>
      <c r="Q230" s="63">
        <v>1</v>
      </c>
      <c r="R230" s="63">
        <v>1</v>
      </c>
      <c r="S230" s="296">
        <v>1</v>
      </c>
      <c r="T230" s="63"/>
      <c r="U230" s="10"/>
      <c r="V230" s="90"/>
      <c r="W230" s="136"/>
      <c r="X230" s="137"/>
    </row>
    <row r="231" spans="1:24">
      <c r="B231" s="87">
        <f t="shared" si="51"/>
        <v>9</v>
      </c>
      <c r="C231" s="295">
        <v>45846</v>
      </c>
      <c r="D231" s="10">
        <v>71307</v>
      </c>
      <c r="E231" s="101" t="s">
        <v>355</v>
      </c>
      <c r="F231" s="62">
        <v>2048.4</v>
      </c>
      <c r="G231" s="62">
        <v>39.700000000000003</v>
      </c>
      <c r="H231" s="62"/>
      <c r="I231" s="89">
        <f t="shared" si="50"/>
        <v>2008.7</v>
      </c>
      <c r="J231" s="63" t="s">
        <v>205</v>
      </c>
      <c r="K231" s="63">
        <v>1</v>
      </c>
      <c r="L231" s="63"/>
      <c r="M231" s="63"/>
      <c r="N231" s="63">
        <v>1</v>
      </c>
      <c r="O231" s="63"/>
      <c r="P231" s="63"/>
      <c r="Q231" s="63">
        <v>1</v>
      </c>
      <c r="R231" s="63">
        <v>1</v>
      </c>
      <c r="S231" s="296">
        <v>1</v>
      </c>
      <c r="T231" s="63"/>
      <c r="U231" s="10"/>
      <c r="V231" s="90"/>
      <c r="W231" s="136"/>
      <c r="X231" s="137"/>
    </row>
    <row r="232" spans="1:24">
      <c r="B232" s="87">
        <f t="shared" si="51"/>
        <v>10</v>
      </c>
      <c r="C232" s="295">
        <v>45846</v>
      </c>
      <c r="D232" s="77" t="s">
        <v>1414</v>
      </c>
      <c r="E232" s="101" t="s">
        <v>322</v>
      </c>
      <c r="F232" s="62">
        <v>28614</v>
      </c>
      <c r="G232" s="62">
        <v>39.700000000000003</v>
      </c>
      <c r="H232" s="62"/>
      <c r="I232" s="89">
        <f t="shared" si="50"/>
        <v>28574.3</v>
      </c>
      <c r="J232" s="63" t="s">
        <v>205</v>
      </c>
      <c r="K232" s="63">
        <v>1</v>
      </c>
      <c r="L232" s="63"/>
      <c r="M232" s="63"/>
      <c r="N232" s="63">
        <v>1</v>
      </c>
      <c r="O232" s="63"/>
      <c r="P232" s="63"/>
      <c r="Q232" s="63"/>
      <c r="R232" s="63"/>
      <c r="S232" s="296"/>
      <c r="T232" s="63"/>
      <c r="U232" s="10"/>
      <c r="V232" s="90"/>
      <c r="W232" s="136"/>
      <c r="X232" s="137"/>
    </row>
    <row r="233" spans="1:24">
      <c r="B233" s="87">
        <f t="shared" si="51"/>
        <v>11</v>
      </c>
      <c r="C233" s="282">
        <v>45846</v>
      </c>
      <c r="D233" s="283">
        <v>71303</v>
      </c>
      <c r="E233" s="319" t="s">
        <v>206</v>
      </c>
      <c r="F233" s="284">
        <v>1025</v>
      </c>
      <c r="G233" s="284">
        <v>39.700000000000003</v>
      </c>
      <c r="H233" s="284"/>
      <c r="I233" s="285">
        <f t="shared" si="50"/>
        <v>985.3</v>
      </c>
      <c r="J233" s="286" t="s">
        <v>205</v>
      </c>
      <c r="K233" s="286">
        <v>1</v>
      </c>
      <c r="L233" s="286"/>
      <c r="M233" s="286"/>
      <c r="N233" s="286">
        <v>1</v>
      </c>
      <c r="O233" s="286"/>
      <c r="P233" s="286"/>
      <c r="Q233" s="286">
        <v>1</v>
      </c>
      <c r="R233" s="286">
        <v>1</v>
      </c>
      <c r="S233" s="287">
        <v>1</v>
      </c>
      <c r="T233" s="63"/>
      <c r="U233" s="10"/>
      <c r="V233" s="90"/>
      <c r="W233" s="136"/>
      <c r="X233" s="137"/>
    </row>
    <row r="234" spans="1:24">
      <c r="B234" s="11"/>
      <c r="C234" s="36"/>
      <c r="D234" s="10"/>
      <c r="E234" s="10"/>
      <c r="F234" s="97">
        <f>SUM(F223:F233)</f>
        <v>45403.4</v>
      </c>
      <c r="G234" s="97">
        <f>SUM(G223:G233)</f>
        <v>277.89999999999998</v>
      </c>
      <c r="H234" s="97">
        <f>SUM(H223:H233)</f>
        <v>0</v>
      </c>
      <c r="I234" s="98">
        <f>SUM(I223:I233)</f>
        <v>45125.5</v>
      </c>
      <c r="J234" s="10"/>
      <c r="K234" s="10"/>
      <c r="L234" s="10"/>
      <c r="M234" s="10"/>
      <c r="N234" s="10"/>
      <c r="O234" s="10"/>
      <c r="P234" s="10"/>
      <c r="Q234" s="10"/>
      <c r="R234" s="10"/>
      <c r="S234" s="10"/>
      <c r="T234" s="63"/>
      <c r="U234" s="10"/>
      <c r="V234" s="138"/>
      <c r="W234" s="136"/>
      <c r="X234" s="137"/>
    </row>
    <row r="235" spans="1:24">
      <c r="B235" s="11"/>
      <c r="C235" s="36"/>
      <c r="D235" s="10"/>
      <c r="E235" s="10"/>
      <c r="F235" s="88"/>
      <c r="G235" s="88"/>
      <c r="H235" s="88"/>
      <c r="I235" s="99"/>
      <c r="J235" s="10"/>
      <c r="K235" s="10"/>
      <c r="L235" s="10"/>
      <c r="M235" s="10"/>
      <c r="N235" s="10"/>
      <c r="O235" s="10"/>
      <c r="P235" s="10"/>
      <c r="Q235" s="10"/>
      <c r="R235" s="10"/>
      <c r="S235" s="10"/>
      <c r="T235" s="63"/>
      <c r="U235" s="10"/>
      <c r="V235" s="138"/>
      <c r="W235" s="136"/>
      <c r="X235" s="137"/>
    </row>
    <row r="236" spans="1:24">
      <c r="B236" s="26"/>
      <c r="C236" s="140"/>
      <c r="D236" s="141"/>
      <c r="E236" s="141"/>
      <c r="F236" s="141"/>
      <c r="G236" s="141"/>
      <c r="H236" s="141"/>
      <c r="I236" s="141"/>
      <c r="J236" s="141"/>
      <c r="K236" s="142"/>
      <c r="L236" s="142"/>
      <c r="M236" s="142"/>
      <c r="N236" s="142"/>
      <c r="O236" s="142"/>
      <c r="P236" s="142"/>
      <c r="Q236" s="142"/>
      <c r="R236" s="142"/>
      <c r="S236" s="142"/>
      <c r="T236" s="143">
        <f>SUM(T201:T235)</f>
        <v>0</v>
      </c>
      <c r="U236" s="141"/>
      <c r="V236" s="144">
        <f>SUM(V201:V235)</f>
        <v>20456.5</v>
      </c>
      <c r="W236" s="145">
        <f>SUM(W201:W235)</f>
        <v>0</v>
      </c>
      <c r="X236" s="146">
        <f>SUM(X201:X235)</f>
        <v>0</v>
      </c>
    </row>
    <row r="239" spans="1:24">
      <c r="A239" s="3"/>
      <c r="B239" s="4" t="s">
        <v>1</v>
      </c>
      <c r="C239" s="5"/>
      <c r="D239" s="6"/>
      <c r="E239" s="6"/>
      <c r="F239" s="7" t="s">
        <v>2</v>
      </c>
      <c r="G239" s="8">
        <v>45865</v>
      </c>
      <c r="H239" s="7"/>
      <c r="I239" s="6"/>
      <c r="J239" s="6"/>
      <c r="K239" s="6"/>
      <c r="L239" s="6"/>
      <c r="M239" s="6"/>
      <c r="N239" s="6"/>
      <c r="O239" s="6"/>
      <c r="P239" s="6"/>
      <c r="Q239" s="6"/>
      <c r="R239" s="6"/>
      <c r="S239" s="6"/>
      <c r="T239" s="6"/>
      <c r="U239" s="9"/>
      <c r="V239" s="10"/>
      <c r="W239" s="10"/>
      <c r="X239" s="10"/>
    </row>
    <row r="240" spans="1:24">
      <c r="A240" s="2"/>
      <c r="B240" s="11"/>
      <c r="C240" s="10"/>
      <c r="D240" s="10"/>
      <c r="E240" s="10"/>
      <c r="F240" s="10"/>
      <c r="G240" s="7"/>
      <c r="H240" s="12"/>
      <c r="I240" s="10"/>
      <c r="J240" s="10"/>
      <c r="K240" s="13" t="s">
        <v>3</v>
      </c>
      <c r="L240" s="14"/>
      <c r="M240" s="15"/>
      <c r="N240" s="13" t="s">
        <v>4</v>
      </c>
      <c r="O240" s="14"/>
      <c r="P240" s="15"/>
      <c r="Q240" s="13" t="s">
        <v>5</v>
      </c>
      <c r="R240" s="14"/>
      <c r="S240" s="15"/>
      <c r="T240" s="16"/>
      <c r="U240" s="17"/>
      <c r="V240" s="10"/>
      <c r="W240" s="10"/>
      <c r="X240" s="10"/>
    </row>
    <row r="241" spans="1:24">
      <c r="A241" s="2"/>
      <c r="B241" s="18" t="s">
        <v>6</v>
      </c>
      <c r="C241" s="19">
        <f>C242+C243</f>
        <v>0</v>
      </c>
      <c r="D241" s="10"/>
      <c r="E241" s="18" t="s">
        <v>7</v>
      </c>
      <c r="F241" s="6"/>
      <c r="G241" s="9"/>
      <c r="H241" s="10"/>
      <c r="I241" s="10"/>
      <c r="J241" s="10"/>
      <c r="K241" s="20" t="s">
        <v>8</v>
      </c>
      <c r="L241" s="21" t="s">
        <v>9</v>
      </c>
      <c r="M241" s="21" t="s">
        <v>10</v>
      </c>
      <c r="N241" s="20" t="s">
        <v>11</v>
      </c>
      <c r="O241" s="21" t="s">
        <v>12</v>
      </c>
      <c r="P241" s="22" t="s">
        <v>13</v>
      </c>
      <c r="Q241" s="21" t="s">
        <v>11</v>
      </c>
      <c r="R241" s="21" t="s">
        <v>12</v>
      </c>
      <c r="S241" s="22" t="s">
        <v>13</v>
      </c>
      <c r="T241" s="23" t="s">
        <v>14</v>
      </c>
      <c r="U241" s="17"/>
      <c r="V241" s="10"/>
      <c r="W241" s="10"/>
      <c r="X241" s="10"/>
    </row>
    <row r="242" spans="1:24">
      <c r="A242" s="2"/>
      <c r="B242" s="24" t="s">
        <v>15</v>
      </c>
      <c r="C242" s="25">
        <f>P249</f>
        <v>0</v>
      </c>
      <c r="D242" s="10"/>
      <c r="E242" s="26" t="s">
        <v>16</v>
      </c>
      <c r="F242" s="27">
        <v>0.05</v>
      </c>
      <c r="G242" s="28"/>
      <c r="H242" s="10"/>
      <c r="I242" s="10"/>
      <c r="J242" s="18" t="s">
        <v>17</v>
      </c>
      <c r="K242" s="29">
        <f>K268</f>
        <v>0</v>
      </c>
      <c r="L242" s="29">
        <f t="shared" ref="L242:S242" si="52">L268</f>
        <v>0</v>
      </c>
      <c r="M242" s="29">
        <f t="shared" si="52"/>
        <v>0</v>
      </c>
      <c r="N242" s="29">
        <f t="shared" si="52"/>
        <v>0</v>
      </c>
      <c r="O242" s="29">
        <f t="shared" si="52"/>
        <v>0</v>
      </c>
      <c r="P242" s="29">
        <f t="shared" si="52"/>
        <v>0</v>
      </c>
      <c r="Q242" s="29">
        <f t="shared" si="52"/>
        <v>0</v>
      </c>
      <c r="R242" s="29">
        <f t="shared" si="52"/>
        <v>0</v>
      </c>
      <c r="S242" s="29">
        <f t="shared" si="52"/>
        <v>0</v>
      </c>
      <c r="T242" s="30">
        <f>T273</f>
        <v>0</v>
      </c>
      <c r="U242" s="17"/>
      <c r="V242" s="10"/>
      <c r="W242" s="10"/>
      <c r="X242" s="10"/>
    </row>
    <row r="243" spans="1:24">
      <c r="A243" s="2"/>
      <c r="B243" s="24" t="s">
        <v>18</v>
      </c>
      <c r="C243" s="25">
        <f>P250</f>
        <v>0</v>
      </c>
      <c r="D243" s="10"/>
      <c r="E243" s="10"/>
      <c r="F243" s="10"/>
      <c r="G243" s="31"/>
      <c r="H243" s="10"/>
      <c r="I243" s="10"/>
      <c r="J243" s="32" t="s">
        <v>19</v>
      </c>
      <c r="K243" s="33" t="e">
        <f>K268/K267</f>
        <v>#DIV/0!</v>
      </c>
      <c r="L243" s="33" t="e">
        <f t="shared" ref="L243:S243" si="53">L268/L267</f>
        <v>#DIV/0!</v>
      </c>
      <c r="M243" s="33" t="e">
        <f t="shared" si="53"/>
        <v>#DIV/0!</v>
      </c>
      <c r="N243" s="33" t="e">
        <f t="shared" si="53"/>
        <v>#DIV/0!</v>
      </c>
      <c r="O243" s="33" t="e">
        <f t="shared" si="53"/>
        <v>#DIV/0!</v>
      </c>
      <c r="P243" s="33" t="e">
        <f t="shared" si="53"/>
        <v>#DIV/0!</v>
      </c>
      <c r="Q243" s="33" t="e">
        <f t="shared" si="53"/>
        <v>#DIV/0!</v>
      </c>
      <c r="R243" s="33" t="e">
        <f t="shared" si="53"/>
        <v>#DIV/0!</v>
      </c>
      <c r="S243" s="33" t="e">
        <f t="shared" si="53"/>
        <v>#DIV/0!</v>
      </c>
      <c r="T243" s="23"/>
      <c r="U243" s="17" t="s">
        <v>20</v>
      </c>
      <c r="V243" s="10"/>
      <c r="W243" s="10"/>
      <c r="X243" s="10"/>
    </row>
    <row r="244" spans="1:24">
      <c r="A244" s="2"/>
      <c r="B244" s="24" t="s">
        <v>21</v>
      </c>
      <c r="C244" s="34" t="e">
        <f>P251</f>
        <v>#DIV/0!</v>
      </c>
      <c r="D244" s="10"/>
      <c r="E244" s="10"/>
      <c r="F244" s="10"/>
      <c r="G244" s="10"/>
      <c r="H244" s="10"/>
      <c r="I244" s="10"/>
      <c r="J244" s="10"/>
      <c r="K244" s="10"/>
      <c r="L244" s="10"/>
      <c r="M244" s="10"/>
      <c r="N244" s="10"/>
      <c r="O244" s="10"/>
      <c r="P244" s="10"/>
      <c r="Q244" s="10"/>
      <c r="R244" s="10"/>
      <c r="S244" s="10"/>
      <c r="T244" s="10"/>
      <c r="U244" s="17"/>
      <c r="V244" s="10"/>
      <c r="W244" s="10"/>
      <c r="X244" s="10"/>
    </row>
    <row r="245" spans="1:24">
      <c r="A245" s="2"/>
      <c r="B245" s="24"/>
      <c r="C245" s="25"/>
      <c r="D245" s="10"/>
      <c r="E245" s="10"/>
      <c r="F245" s="18" t="s">
        <v>22</v>
      </c>
      <c r="G245" s="19" t="s">
        <v>23</v>
      </c>
      <c r="H245" s="35" t="s">
        <v>24</v>
      </c>
      <c r="I245" s="10"/>
      <c r="J245" s="10"/>
      <c r="K245" s="36"/>
      <c r="L245" s="36"/>
      <c r="M245" s="36"/>
      <c r="N245" s="36"/>
      <c r="O245" s="36"/>
      <c r="P245" s="36"/>
      <c r="Q245" s="36"/>
      <c r="R245" s="10"/>
      <c r="S245" s="10"/>
      <c r="T245" s="10"/>
      <c r="U245" s="17"/>
      <c r="V245" s="10"/>
      <c r="W245" s="10"/>
      <c r="X245" s="10"/>
    </row>
    <row r="246" spans="1:24">
      <c r="A246" s="2"/>
      <c r="B246" s="32" t="s">
        <v>25</v>
      </c>
      <c r="C246" s="37" t="e">
        <f>P252</f>
        <v>#DIV/0!</v>
      </c>
      <c r="D246" s="10"/>
      <c r="E246" s="18" t="s">
        <v>26</v>
      </c>
      <c r="F246" s="38">
        <f>P248</f>
        <v>0</v>
      </c>
      <c r="G246" s="39">
        <f>I267</f>
        <v>0</v>
      </c>
      <c r="H246" s="40"/>
      <c r="I246" s="41"/>
      <c r="J246" s="42"/>
      <c r="K246" s="43" t="s">
        <v>27</v>
      </c>
      <c r="L246" s="44"/>
      <c r="M246" s="44"/>
      <c r="N246" s="44"/>
      <c r="O246" s="44"/>
      <c r="P246" s="44"/>
      <c r="Q246" s="45"/>
      <c r="R246" s="46" t="s">
        <v>28</v>
      </c>
      <c r="S246" s="47" t="s">
        <v>29</v>
      </c>
      <c r="T246" s="10"/>
      <c r="U246" s="17"/>
      <c r="V246" s="10"/>
      <c r="W246" s="10"/>
      <c r="X246" s="10"/>
    </row>
    <row r="247" spans="1:24">
      <c r="A247" s="2"/>
      <c r="B247" s="11"/>
      <c r="C247" s="10"/>
      <c r="D247" s="10"/>
      <c r="E247" s="24" t="s">
        <v>30</v>
      </c>
      <c r="F247" s="48">
        <f>F242</f>
        <v>0.05</v>
      </c>
      <c r="G247" s="17"/>
      <c r="H247" s="40"/>
      <c r="I247" s="41"/>
      <c r="J247" s="42"/>
      <c r="K247" s="20" t="s">
        <v>31</v>
      </c>
      <c r="L247" s="21" t="s">
        <v>32</v>
      </c>
      <c r="M247" s="21" t="s">
        <v>33</v>
      </c>
      <c r="N247" s="21" t="s">
        <v>34</v>
      </c>
      <c r="O247" s="21" t="s">
        <v>35</v>
      </c>
      <c r="P247" s="21" t="s">
        <v>36</v>
      </c>
      <c r="Q247" s="49" t="s">
        <v>37</v>
      </c>
      <c r="R247" s="50" t="s">
        <v>38</v>
      </c>
      <c r="S247" s="50" t="s">
        <v>38</v>
      </c>
      <c r="T247" s="10"/>
      <c r="U247" s="17"/>
      <c r="V247" s="10"/>
      <c r="W247" s="10"/>
      <c r="X247" s="10"/>
    </row>
    <row r="248" spans="1:24">
      <c r="A248" s="2"/>
      <c r="B248" s="11"/>
      <c r="C248" s="10"/>
      <c r="D248" s="10"/>
      <c r="E248" s="51" t="s">
        <v>39</v>
      </c>
      <c r="F248" s="52">
        <f>F246*F247</f>
        <v>0</v>
      </c>
      <c r="G248" s="53" t="s">
        <v>40</v>
      </c>
      <c r="H248" s="54">
        <f>F248/1.12</f>
        <v>0</v>
      </c>
      <c r="I248" s="55"/>
      <c r="J248" s="42"/>
      <c r="K248" s="56"/>
      <c r="L248" s="57"/>
      <c r="M248" s="57"/>
      <c r="N248" s="57"/>
      <c r="O248" s="57"/>
      <c r="P248" s="57">
        <f>SUM(K248:O248)</f>
        <v>0</v>
      </c>
      <c r="Q248" s="58">
        <v>0</v>
      </c>
      <c r="R248" s="59">
        <v>0</v>
      </c>
      <c r="S248" s="59">
        <v>0</v>
      </c>
      <c r="T248" s="10"/>
      <c r="U248" s="17"/>
      <c r="V248" s="10"/>
      <c r="W248" s="10"/>
      <c r="X248" s="10"/>
    </row>
    <row r="249" spans="1:24">
      <c r="A249" s="2"/>
      <c r="B249" s="11"/>
      <c r="C249" s="10"/>
      <c r="D249" s="10"/>
      <c r="E249" s="24" t="s">
        <v>41</v>
      </c>
      <c r="F249" s="60">
        <f>Q248</f>
        <v>0</v>
      </c>
      <c r="G249" s="61" t="s">
        <v>40</v>
      </c>
      <c r="H249" s="62"/>
      <c r="I249" s="62"/>
      <c r="J249" s="10" t="s">
        <v>42</v>
      </c>
      <c r="K249" s="63"/>
      <c r="L249" s="63"/>
      <c r="M249" s="63"/>
      <c r="N249" s="63"/>
      <c r="O249" s="63"/>
      <c r="P249" s="21">
        <f>SUM(K249:O249)</f>
        <v>0</v>
      </c>
      <c r="Q249" s="64"/>
      <c r="R249" s="63"/>
      <c r="S249" s="10"/>
      <c r="T249" s="10"/>
      <c r="U249" s="17"/>
      <c r="V249" s="10"/>
      <c r="W249" s="10"/>
      <c r="X249" s="10"/>
    </row>
    <row r="250" spans="1:24">
      <c r="A250" s="2"/>
      <c r="B250" s="11"/>
      <c r="C250" s="10"/>
      <c r="D250" s="10"/>
      <c r="E250" s="51" t="s">
        <v>43</v>
      </c>
      <c r="F250" s="52">
        <f>F249*0.25</f>
        <v>0</v>
      </c>
      <c r="G250" s="53" t="s">
        <v>40</v>
      </c>
      <c r="H250" s="54">
        <f>F250/1.12</f>
        <v>0</v>
      </c>
      <c r="I250" s="10"/>
      <c r="J250" s="10" t="s">
        <v>44</v>
      </c>
      <c r="K250" s="63"/>
      <c r="L250" s="63"/>
      <c r="M250" s="63"/>
      <c r="N250" s="63"/>
      <c r="O250" s="63"/>
      <c r="P250" s="21">
        <f>SUM(K250:O250)</f>
        <v>0</v>
      </c>
      <c r="Q250" s="64"/>
      <c r="R250" s="63"/>
      <c r="S250" s="10"/>
      <c r="T250" s="10"/>
      <c r="U250" s="17"/>
      <c r="V250" s="10"/>
      <c r="W250" s="10"/>
      <c r="X250" s="10"/>
    </row>
    <row r="251" spans="1:24">
      <c r="A251" s="2"/>
      <c r="B251" s="11"/>
      <c r="C251" s="10"/>
      <c r="D251" s="10"/>
      <c r="E251" s="24" t="s">
        <v>45</v>
      </c>
      <c r="F251" s="60"/>
      <c r="G251" s="61" t="s">
        <v>40</v>
      </c>
      <c r="H251" s="62"/>
      <c r="I251" s="10"/>
      <c r="J251" s="10" t="s">
        <v>46</v>
      </c>
      <c r="K251" s="31" t="e">
        <f t="shared" ref="K251:Q251" si="54">K249/(K249+K250)</f>
        <v>#DIV/0!</v>
      </c>
      <c r="L251" s="31" t="e">
        <f t="shared" si="54"/>
        <v>#DIV/0!</v>
      </c>
      <c r="M251" s="31" t="e">
        <f t="shared" si="54"/>
        <v>#DIV/0!</v>
      </c>
      <c r="N251" s="31" t="e">
        <f t="shared" si="54"/>
        <v>#DIV/0!</v>
      </c>
      <c r="O251" s="31" t="e">
        <f t="shared" si="54"/>
        <v>#DIV/0!</v>
      </c>
      <c r="P251" s="31" t="e">
        <f t="shared" si="54"/>
        <v>#DIV/0!</v>
      </c>
      <c r="Q251" s="31" t="e">
        <f t="shared" si="54"/>
        <v>#DIV/0!</v>
      </c>
      <c r="R251" s="63"/>
      <c r="S251" s="10"/>
      <c r="T251" s="10"/>
      <c r="U251" s="17"/>
      <c r="V251" s="10"/>
      <c r="W251" s="10"/>
      <c r="X251" s="10"/>
    </row>
    <row r="252" spans="1:24">
      <c r="A252" s="2"/>
      <c r="B252" s="11"/>
      <c r="C252" s="10"/>
      <c r="D252" s="10"/>
      <c r="E252" s="51" t="s">
        <v>47</v>
      </c>
      <c r="F252" s="52">
        <f>F251*0.05</f>
        <v>0</v>
      </c>
      <c r="G252" s="65" t="s">
        <v>40</v>
      </c>
      <c r="H252" s="54">
        <f>F252/1.12</f>
        <v>0</v>
      </c>
      <c r="I252" s="42"/>
      <c r="J252" s="10" t="s">
        <v>48</v>
      </c>
      <c r="K252" s="66" t="e">
        <f>K248/K249</f>
        <v>#DIV/0!</v>
      </c>
      <c r="L252" s="66" t="e">
        <f t="shared" ref="L252:Q252" si="55">L248/L249</f>
        <v>#DIV/0!</v>
      </c>
      <c r="M252" s="66" t="e">
        <f t="shared" si="55"/>
        <v>#DIV/0!</v>
      </c>
      <c r="N252" s="66" t="e">
        <f t="shared" si="55"/>
        <v>#DIV/0!</v>
      </c>
      <c r="O252" s="66" t="e">
        <f t="shared" si="55"/>
        <v>#DIV/0!</v>
      </c>
      <c r="P252" s="66" t="e">
        <f t="shared" si="55"/>
        <v>#DIV/0!</v>
      </c>
      <c r="Q252" s="66" t="e">
        <f t="shared" si="55"/>
        <v>#DIV/0!</v>
      </c>
      <c r="R252" s="63"/>
      <c r="S252" s="10"/>
      <c r="T252" s="10"/>
      <c r="U252" s="17"/>
      <c r="V252" s="10"/>
      <c r="W252" s="10"/>
      <c r="X252" s="10"/>
    </row>
    <row r="253" spans="1:24">
      <c r="A253" s="2"/>
      <c r="B253" s="11"/>
      <c r="C253" s="10"/>
      <c r="D253" s="10"/>
      <c r="E253" s="67" t="s">
        <v>14</v>
      </c>
      <c r="F253" s="68">
        <f>1*50</f>
        <v>50</v>
      </c>
      <c r="G253" s="10"/>
      <c r="H253" s="54">
        <f>F253/1.12</f>
        <v>44.642857142857139</v>
      </c>
      <c r="I253" s="10"/>
      <c r="J253" s="10"/>
      <c r="K253" s="10"/>
      <c r="L253" s="10"/>
      <c r="M253" s="10"/>
      <c r="N253" s="10"/>
      <c r="O253" s="10"/>
      <c r="P253" s="10"/>
      <c r="Q253" s="10"/>
      <c r="R253" s="10"/>
      <c r="S253" s="10"/>
      <c r="T253" s="10"/>
      <c r="U253" s="17"/>
      <c r="V253" s="10"/>
      <c r="W253" s="10"/>
      <c r="X253" s="10"/>
    </row>
    <row r="254" spans="1:24">
      <c r="A254" s="2"/>
      <c r="B254" s="11"/>
      <c r="C254" s="10"/>
      <c r="D254" s="10"/>
      <c r="E254" s="155" t="s">
        <v>49</v>
      </c>
      <c r="F254" s="364">
        <f>T243</f>
        <v>0</v>
      </c>
      <c r="G254" s="10"/>
      <c r="H254" s="54"/>
      <c r="I254" s="55"/>
      <c r="J254" s="42"/>
      <c r="K254" s="764" t="s">
        <v>50</v>
      </c>
      <c r="L254" s="765"/>
      <c r="M254" s="765"/>
      <c r="N254" s="765"/>
      <c r="O254" s="765"/>
      <c r="P254" s="765"/>
      <c r="Q254" s="766"/>
      <c r="R254" s="70" t="s">
        <v>28</v>
      </c>
      <c r="S254" s="71" t="s">
        <v>29</v>
      </c>
      <c r="T254" s="10"/>
      <c r="U254" s="17"/>
      <c r="V254" s="10"/>
      <c r="W254" s="10"/>
      <c r="X254" s="10"/>
    </row>
    <row r="255" spans="1:24">
      <c r="A255" s="2"/>
      <c r="B255" s="11"/>
      <c r="C255" s="10"/>
      <c r="D255" s="10"/>
      <c r="E255" s="12"/>
      <c r="F255" s="76"/>
      <c r="G255" s="10"/>
      <c r="H255" s="10"/>
      <c r="I255" s="10"/>
      <c r="J255" s="42"/>
      <c r="K255" s="20" t="s">
        <v>31</v>
      </c>
      <c r="L255" s="21" t="s">
        <v>32</v>
      </c>
      <c r="M255" s="21" t="s">
        <v>33</v>
      </c>
      <c r="N255" s="21" t="s">
        <v>34</v>
      </c>
      <c r="O255" s="21" t="s">
        <v>35</v>
      </c>
      <c r="P255" s="21" t="s">
        <v>36</v>
      </c>
      <c r="Q255" s="49" t="s">
        <v>37</v>
      </c>
      <c r="R255" s="50" t="s">
        <v>38</v>
      </c>
      <c r="S255" s="50" t="s">
        <v>38</v>
      </c>
      <c r="T255" s="10"/>
      <c r="U255" s="17"/>
      <c r="V255" s="10"/>
      <c r="W255" s="10"/>
      <c r="X255" s="10"/>
    </row>
    <row r="256" spans="1:24">
      <c r="A256" s="2"/>
      <c r="B256" s="11"/>
      <c r="C256" s="10"/>
      <c r="D256" s="10"/>
      <c r="E256" s="10"/>
      <c r="F256" s="10"/>
      <c r="G256" s="10"/>
      <c r="H256" s="10"/>
      <c r="I256" s="10"/>
      <c r="J256" s="42"/>
      <c r="K256" s="56"/>
      <c r="L256" s="57"/>
      <c r="M256" s="57"/>
      <c r="N256" s="57"/>
      <c r="O256" s="57"/>
      <c r="P256" s="57">
        <f>SUM(K256:O256)</f>
        <v>0</v>
      </c>
      <c r="Q256" s="58">
        <v>0</v>
      </c>
      <c r="R256" s="59">
        <v>0</v>
      </c>
      <c r="S256" s="59">
        <v>0</v>
      </c>
      <c r="T256" s="10"/>
      <c r="U256" s="17"/>
      <c r="V256" s="10"/>
      <c r="W256" s="10"/>
      <c r="X256" s="10"/>
    </row>
    <row r="257" spans="1:29">
      <c r="A257" s="2"/>
      <c r="B257" s="11"/>
      <c r="C257" s="10"/>
      <c r="D257" s="10"/>
      <c r="E257" s="10"/>
      <c r="F257" s="10"/>
      <c r="G257" s="10"/>
      <c r="H257" s="10"/>
      <c r="I257" s="10"/>
      <c r="J257" s="10" t="s">
        <v>42</v>
      </c>
      <c r="K257" s="63">
        <f>K249</f>
        <v>0</v>
      </c>
      <c r="L257" s="63">
        <f t="shared" ref="L257:Q258" si="56">L249</f>
        <v>0</v>
      </c>
      <c r="M257" s="63">
        <f t="shared" si="56"/>
        <v>0</v>
      </c>
      <c r="N257" s="63">
        <f t="shared" si="56"/>
        <v>0</v>
      </c>
      <c r="O257" s="63">
        <f t="shared" si="56"/>
        <v>0</v>
      </c>
      <c r="P257" s="63">
        <f t="shared" si="56"/>
        <v>0</v>
      </c>
      <c r="Q257" s="63">
        <f t="shared" si="56"/>
        <v>0</v>
      </c>
      <c r="R257" s="63"/>
      <c r="S257" s="10"/>
      <c r="T257" s="10"/>
      <c r="U257" s="17"/>
      <c r="V257" s="10"/>
      <c r="W257" s="10"/>
      <c r="X257" s="10"/>
    </row>
    <row r="258" spans="1:29">
      <c r="A258" s="2"/>
      <c r="B258" s="11"/>
      <c r="C258" s="10"/>
      <c r="D258" s="10"/>
      <c r="E258" s="10"/>
      <c r="F258" s="10"/>
      <c r="G258" s="10"/>
      <c r="H258" s="10"/>
      <c r="I258" s="10"/>
      <c r="J258" s="10" t="s">
        <v>44</v>
      </c>
      <c r="K258" s="63">
        <f>K250</f>
        <v>0</v>
      </c>
      <c r="L258" s="63">
        <f t="shared" si="56"/>
        <v>0</v>
      </c>
      <c r="M258" s="63">
        <f t="shared" si="56"/>
        <v>0</v>
      </c>
      <c r="N258" s="63">
        <f t="shared" si="56"/>
        <v>0</v>
      </c>
      <c r="O258" s="63">
        <f t="shared" si="56"/>
        <v>0</v>
      </c>
      <c r="P258" s="63">
        <f t="shared" si="56"/>
        <v>0</v>
      </c>
      <c r="Q258" s="63">
        <f t="shared" si="56"/>
        <v>0</v>
      </c>
      <c r="R258" s="63"/>
      <c r="S258" s="10"/>
      <c r="T258" s="10"/>
      <c r="U258" s="17"/>
      <c r="V258" s="10"/>
      <c r="W258" s="10"/>
      <c r="X258" s="10"/>
    </row>
    <row r="259" spans="1:29">
      <c r="A259" s="2"/>
      <c r="B259" s="11"/>
      <c r="C259" s="10"/>
      <c r="D259" s="10"/>
      <c r="E259" s="10"/>
      <c r="F259" s="10"/>
      <c r="G259" s="10"/>
      <c r="H259" s="10"/>
      <c r="I259" s="10"/>
      <c r="J259" s="10" t="s">
        <v>46</v>
      </c>
      <c r="K259" s="31" t="e">
        <f t="shared" ref="K259:Q259" si="57">K257/(K257+K258)</f>
        <v>#DIV/0!</v>
      </c>
      <c r="L259" s="31" t="e">
        <f t="shared" si="57"/>
        <v>#DIV/0!</v>
      </c>
      <c r="M259" s="31" t="e">
        <f t="shared" si="57"/>
        <v>#DIV/0!</v>
      </c>
      <c r="N259" s="31" t="e">
        <f t="shared" si="57"/>
        <v>#DIV/0!</v>
      </c>
      <c r="O259" s="31" t="e">
        <f t="shared" si="57"/>
        <v>#DIV/0!</v>
      </c>
      <c r="P259" s="31" t="e">
        <f t="shared" si="57"/>
        <v>#DIV/0!</v>
      </c>
      <c r="Q259" s="31" t="e">
        <f t="shared" si="57"/>
        <v>#DIV/0!</v>
      </c>
      <c r="R259" s="63"/>
      <c r="S259" s="10"/>
      <c r="T259" s="10"/>
      <c r="U259" s="17"/>
      <c r="V259" s="10"/>
      <c r="W259" s="10"/>
      <c r="X259" s="10"/>
    </row>
    <row r="260" spans="1:29">
      <c r="A260" s="2"/>
      <c r="B260" s="11"/>
      <c r="C260" s="10"/>
      <c r="D260" s="10"/>
      <c r="E260" s="10"/>
      <c r="F260" s="10"/>
      <c r="G260" s="10"/>
      <c r="H260" s="10"/>
      <c r="I260" s="10"/>
      <c r="J260" s="10" t="s">
        <v>48</v>
      </c>
      <c r="K260" s="66" t="e">
        <f t="shared" ref="K260:Q260" si="58">K256/K257</f>
        <v>#DIV/0!</v>
      </c>
      <c r="L260" s="66" t="e">
        <f t="shared" si="58"/>
        <v>#DIV/0!</v>
      </c>
      <c r="M260" s="66" t="e">
        <f t="shared" si="58"/>
        <v>#DIV/0!</v>
      </c>
      <c r="N260" s="66" t="e">
        <f t="shared" si="58"/>
        <v>#DIV/0!</v>
      </c>
      <c r="O260" s="66" t="e">
        <f t="shared" si="58"/>
        <v>#DIV/0!</v>
      </c>
      <c r="P260" s="66" t="e">
        <f t="shared" si="58"/>
        <v>#DIV/0!</v>
      </c>
      <c r="Q260" s="66" t="e">
        <f t="shared" si="58"/>
        <v>#DIV/0!</v>
      </c>
      <c r="R260" s="63"/>
      <c r="S260" s="10"/>
      <c r="T260" s="10"/>
      <c r="U260" s="17"/>
      <c r="V260" s="10"/>
      <c r="W260" s="10"/>
      <c r="X260" s="10"/>
    </row>
    <row r="261" spans="1:29">
      <c r="A261" s="2"/>
      <c r="B261" s="11"/>
      <c r="C261" s="10"/>
      <c r="D261" s="10"/>
      <c r="E261" s="10"/>
      <c r="F261" s="10"/>
      <c r="G261" s="10"/>
      <c r="H261" s="10"/>
      <c r="I261" s="10"/>
      <c r="J261" s="10"/>
      <c r="K261" s="10"/>
      <c r="L261" s="10"/>
      <c r="M261" s="10"/>
      <c r="N261" s="10"/>
      <c r="O261" s="10"/>
      <c r="P261" s="10"/>
      <c r="Q261" s="10"/>
      <c r="R261" s="10"/>
      <c r="S261" s="10"/>
      <c r="T261" s="10"/>
      <c r="U261" s="17"/>
      <c r="V261" s="10"/>
      <c r="W261" s="10"/>
      <c r="X261" s="10"/>
    </row>
    <row r="262" spans="1:29">
      <c r="A262" s="2"/>
      <c r="B262" s="11"/>
      <c r="C262" s="10"/>
      <c r="D262" s="10"/>
      <c r="E262" s="10"/>
      <c r="F262" s="10"/>
      <c r="G262" s="10"/>
      <c r="H262" s="10"/>
      <c r="I262" s="10"/>
      <c r="J262" s="10"/>
      <c r="K262" s="10"/>
      <c r="L262" s="10"/>
      <c r="M262" s="10"/>
      <c r="N262" s="10"/>
      <c r="O262" s="10"/>
      <c r="P262" s="10"/>
      <c r="Q262" s="10"/>
      <c r="R262" s="10"/>
      <c r="S262" s="10"/>
      <c r="T262" s="10"/>
      <c r="U262" s="17"/>
      <c r="V262" s="10"/>
      <c r="W262" s="10"/>
      <c r="X262" s="10"/>
    </row>
    <row r="263" spans="1:29">
      <c r="A263" s="2"/>
      <c r="B263" s="18" t="s">
        <v>51</v>
      </c>
      <c r="C263" s="14"/>
      <c r="D263" s="14"/>
      <c r="E263" s="14"/>
      <c r="F263" s="13" t="s">
        <v>52</v>
      </c>
      <c r="G263" s="14"/>
      <c r="H263" s="14"/>
      <c r="I263" s="14"/>
      <c r="J263" s="14"/>
      <c r="K263" s="13" t="s">
        <v>3</v>
      </c>
      <c r="L263" s="14"/>
      <c r="M263" s="14"/>
      <c r="N263" s="13" t="s">
        <v>4</v>
      </c>
      <c r="O263" s="14"/>
      <c r="P263" s="14"/>
      <c r="Q263" s="13" t="s">
        <v>5</v>
      </c>
      <c r="R263" s="14"/>
      <c r="S263" s="14"/>
      <c r="T263" s="18"/>
      <c r="U263" s="16" t="s">
        <v>53</v>
      </c>
      <c r="V263" s="77"/>
      <c r="W263" s="77"/>
      <c r="X263" s="77"/>
    </row>
    <row r="264" spans="1:29">
      <c r="A264" s="2"/>
      <c r="B264" s="24" t="s">
        <v>54</v>
      </c>
      <c r="C264" s="21" t="s">
        <v>55</v>
      </c>
      <c r="D264" s="21" t="s">
        <v>56</v>
      </c>
      <c r="E264" s="21" t="s">
        <v>57</v>
      </c>
      <c r="F264" s="20" t="s">
        <v>58</v>
      </c>
      <c r="G264" s="21" t="s">
        <v>59</v>
      </c>
      <c r="H264" s="21" t="s">
        <v>60</v>
      </c>
      <c r="I264" s="21" t="s">
        <v>26</v>
      </c>
      <c r="J264" s="22" t="s">
        <v>61</v>
      </c>
      <c r="K264" s="21" t="s">
        <v>8</v>
      </c>
      <c r="L264" s="21" t="s">
        <v>9</v>
      </c>
      <c r="M264" s="21" t="s">
        <v>10</v>
      </c>
      <c r="N264" s="20" t="s">
        <v>11</v>
      </c>
      <c r="O264" s="21" t="s">
        <v>12</v>
      </c>
      <c r="P264" s="22" t="s">
        <v>13</v>
      </c>
      <c r="Q264" s="21" t="s">
        <v>11</v>
      </c>
      <c r="R264" s="21" t="s">
        <v>12</v>
      </c>
      <c r="S264" s="21" t="s">
        <v>13</v>
      </c>
      <c r="T264" s="78" t="s">
        <v>14</v>
      </c>
      <c r="U264" s="30"/>
      <c r="V264" s="79" t="s">
        <v>62</v>
      </c>
      <c r="W264" s="80" t="s">
        <v>63</v>
      </c>
      <c r="X264" s="81" t="s">
        <v>64</v>
      </c>
    </row>
    <row r="265" spans="1:29">
      <c r="A265" s="2"/>
      <c r="B265" s="4" t="s">
        <v>65</v>
      </c>
      <c r="C265" s="6"/>
      <c r="D265" s="6"/>
      <c r="E265" s="6"/>
      <c r="F265" s="6"/>
      <c r="G265" s="6"/>
      <c r="H265" s="6"/>
      <c r="I265" s="82"/>
      <c r="J265" s="6"/>
      <c r="K265" s="6"/>
      <c r="L265" s="6"/>
      <c r="M265" s="6"/>
      <c r="N265" s="6"/>
      <c r="O265" s="6"/>
      <c r="P265" s="6"/>
      <c r="Q265" s="6"/>
      <c r="R265" s="6"/>
      <c r="S265" s="6"/>
      <c r="T265" s="83"/>
      <c r="U265" s="6"/>
      <c r="V265" s="84"/>
      <c r="W265" s="85"/>
      <c r="X265" s="86"/>
    </row>
    <row r="266" spans="1:29">
      <c r="A266" s="2"/>
      <c r="B266" s="87">
        <v>1</v>
      </c>
      <c r="C266" s="262"/>
      <c r="D266" s="271"/>
      <c r="E266" s="271"/>
      <c r="F266" s="265"/>
      <c r="G266" s="265"/>
      <c r="H266" s="365"/>
      <c r="I266" s="272">
        <f t="shared" ref="I266" si="59">F266-G266-H266</f>
        <v>0</v>
      </c>
      <c r="J266" s="267"/>
      <c r="K266" s="267"/>
      <c r="L266" s="267"/>
      <c r="M266" s="267"/>
      <c r="N266" s="267"/>
      <c r="O266" s="267"/>
      <c r="P266" s="267"/>
      <c r="Q266" s="267"/>
      <c r="R266" s="267"/>
      <c r="S266" s="269"/>
      <c r="T266" s="63"/>
      <c r="U266" s="10"/>
      <c r="V266" s="90"/>
      <c r="W266" s="91"/>
      <c r="X266" s="92"/>
    </row>
    <row r="267" spans="1:29">
      <c r="A267" s="2"/>
      <c r="B267" s="87"/>
      <c r="C267" s="36"/>
      <c r="D267" s="10"/>
      <c r="E267" s="10"/>
      <c r="F267" s="97">
        <f>SUM(F266:F266)</f>
        <v>0</v>
      </c>
      <c r="G267" s="97">
        <f>SUM(G266:G266)</f>
        <v>0</v>
      </c>
      <c r="H267" s="97">
        <f>SUM(H266:H266)</f>
        <v>0</v>
      </c>
      <c r="I267" s="98">
        <f>SUM(I266:I266)</f>
        <v>0</v>
      </c>
      <c r="J267" s="63"/>
      <c r="K267" s="63">
        <f t="shared" ref="K267:S267" si="60">COUNT(K266:K266)</f>
        <v>0</v>
      </c>
      <c r="L267" s="63">
        <f t="shared" si="60"/>
        <v>0</v>
      </c>
      <c r="M267" s="63">
        <f t="shared" si="60"/>
        <v>0</v>
      </c>
      <c r="N267" s="63">
        <f t="shared" si="60"/>
        <v>0</v>
      </c>
      <c r="O267" s="63">
        <f t="shared" si="60"/>
        <v>0</v>
      </c>
      <c r="P267" s="63">
        <f t="shared" si="60"/>
        <v>0</v>
      </c>
      <c r="Q267" s="63">
        <f t="shared" si="60"/>
        <v>0</v>
      </c>
      <c r="R267" s="63">
        <f t="shared" si="60"/>
        <v>0</v>
      </c>
      <c r="S267" s="63">
        <f t="shared" si="60"/>
        <v>0</v>
      </c>
      <c r="T267" s="63"/>
      <c r="U267" s="10"/>
      <c r="V267" s="90"/>
      <c r="W267" s="91"/>
      <c r="X267" s="92"/>
    </row>
    <row r="268" spans="1:29">
      <c r="A268" s="2"/>
      <c r="B268" s="87"/>
      <c r="C268" s="36"/>
      <c r="D268" s="10"/>
      <c r="E268" s="10"/>
      <c r="F268" s="88"/>
      <c r="G268" s="88"/>
      <c r="H268" s="88"/>
      <c r="I268" s="99"/>
      <c r="J268" s="63"/>
      <c r="K268" s="21">
        <f t="shared" ref="K268:S268" si="61">SUM(K266:K266)</f>
        <v>0</v>
      </c>
      <c r="L268" s="21">
        <f t="shared" si="61"/>
        <v>0</v>
      </c>
      <c r="M268" s="21">
        <f t="shared" si="61"/>
        <v>0</v>
      </c>
      <c r="N268" s="21">
        <f t="shared" si="61"/>
        <v>0</v>
      </c>
      <c r="O268" s="21">
        <f t="shared" si="61"/>
        <v>0</v>
      </c>
      <c r="P268" s="21">
        <f t="shared" si="61"/>
        <v>0</v>
      </c>
      <c r="Q268" s="21">
        <f t="shared" si="61"/>
        <v>0</v>
      </c>
      <c r="R268" s="21">
        <f t="shared" si="61"/>
        <v>0</v>
      </c>
      <c r="S268" s="21">
        <f t="shared" si="61"/>
        <v>0</v>
      </c>
      <c r="T268" s="63"/>
      <c r="U268" s="10"/>
      <c r="V268" s="90"/>
      <c r="W268" s="91"/>
      <c r="X268" s="92"/>
    </row>
    <row r="269" spans="1:29">
      <c r="A269" s="2"/>
      <c r="B269" s="11"/>
      <c r="C269" s="36"/>
      <c r="D269" s="10"/>
      <c r="E269" s="10"/>
      <c r="F269" s="88"/>
      <c r="G269" s="88"/>
      <c r="H269" s="88"/>
      <c r="I269" s="99"/>
      <c r="J269" s="63"/>
      <c r="K269" s="21"/>
      <c r="L269" s="21"/>
      <c r="M269" s="21"/>
      <c r="N269" s="21"/>
      <c r="O269" s="21"/>
      <c r="P269" s="21"/>
      <c r="Q269" s="21"/>
      <c r="R269" s="21"/>
      <c r="S269" s="21"/>
      <c r="T269" s="63"/>
      <c r="U269" s="94"/>
      <c r="V269" s="90"/>
      <c r="W269" s="91"/>
      <c r="X269" s="92"/>
    </row>
    <row r="270" spans="1:29" s="260" customFormat="1">
      <c r="A270" s="181"/>
      <c r="B270" s="100" t="s">
        <v>152</v>
      </c>
      <c r="C270" s="36"/>
      <c r="D270" s="10"/>
      <c r="E270" s="10"/>
      <c r="F270" s="88"/>
      <c r="G270" s="62"/>
      <c r="H270" s="88"/>
      <c r="I270" s="99"/>
      <c r="J270" s="63"/>
      <c r="K270" s="181"/>
      <c r="L270" s="181"/>
      <c r="M270" s="181"/>
      <c r="N270" s="181"/>
      <c r="O270" s="181"/>
      <c r="P270" s="181"/>
      <c r="Q270" s="181"/>
      <c r="R270" s="181"/>
      <c r="S270" s="181"/>
      <c r="T270" s="63"/>
      <c r="U270" s="10"/>
      <c r="V270" s="90"/>
      <c r="W270" s="91"/>
      <c r="X270" s="92"/>
      <c r="Y270" s="181"/>
      <c r="Z270" s="181"/>
      <c r="AA270" s="181"/>
      <c r="AB270" s="181"/>
      <c r="AC270" s="181"/>
    </row>
    <row r="271" spans="1:29" s="260" customFormat="1">
      <c r="A271" s="261">
        <v>0.05</v>
      </c>
      <c r="B271" s="87">
        <v>1</v>
      </c>
      <c r="C271" s="262">
        <v>45831</v>
      </c>
      <c r="D271" s="263">
        <v>70945</v>
      </c>
      <c r="E271" s="271" t="s">
        <v>572</v>
      </c>
      <c r="F271" s="265">
        <v>1138</v>
      </c>
      <c r="G271" s="265">
        <v>39.700000000000003</v>
      </c>
      <c r="H271" s="265"/>
      <c r="I271" s="272">
        <f t="shared" ref="I271" si="62">F271-G271-H271</f>
        <v>1098.3</v>
      </c>
      <c r="J271" s="267" t="s">
        <v>374</v>
      </c>
      <c r="K271" s="267">
        <v>1</v>
      </c>
      <c r="L271" s="267">
        <v>1</v>
      </c>
      <c r="M271" s="267">
        <v>1</v>
      </c>
      <c r="N271" s="267">
        <v>1</v>
      </c>
      <c r="O271" s="267">
        <v>1</v>
      </c>
      <c r="P271" s="267">
        <v>0</v>
      </c>
      <c r="Q271" s="267">
        <v>1</v>
      </c>
      <c r="R271" s="267">
        <v>1</v>
      </c>
      <c r="S271" s="269">
        <v>0</v>
      </c>
      <c r="T271" s="63"/>
      <c r="U271" s="301" t="s">
        <v>1397</v>
      </c>
      <c r="V271" s="90"/>
      <c r="W271" s="136"/>
      <c r="X271" s="137"/>
      <c r="Y271" s="181"/>
      <c r="Z271" s="181"/>
      <c r="AA271" s="181"/>
      <c r="AB271" s="181"/>
      <c r="AC271" s="181"/>
    </row>
    <row r="272" spans="1:29" s="260" customFormat="1">
      <c r="A272" s="181"/>
      <c r="B272" s="11"/>
      <c r="C272" s="36"/>
      <c r="D272" s="10"/>
      <c r="E272" s="10"/>
      <c r="F272" s="97">
        <f>SUM(F271)</f>
        <v>1138</v>
      </c>
      <c r="G272" s="97">
        <f t="shared" ref="G272" si="63">SUM(G271)</f>
        <v>39.700000000000003</v>
      </c>
      <c r="H272" s="97">
        <f t="shared" ref="H272" si="64">SUM(H271)</f>
        <v>0</v>
      </c>
      <c r="I272" s="97">
        <f t="shared" ref="I272" si="65">SUM(I271)</f>
        <v>1098.3</v>
      </c>
      <c r="J272" s="63"/>
      <c r="K272" s="21"/>
      <c r="L272" s="21"/>
      <c r="M272" s="21"/>
      <c r="N272" s="21"/>
      <c r="O272" s="21"/>
      <c r="P272" s="21"/>
      <c r="Q272" s="21"/>
      <c r="R272" s="21"/>
      <c r="S272" s="21"/>
      <c r="T272" s="63"/>
      <c r="U272" s="10"/>
      <c r="V272" s="90"/>
      <c r="W272" s="91"/>
      <c r="X272" s="92"/>
      <c r="Y272" s="181"/>
      <c r="Z272" s="181"/>
      <c r="AA272" s="181"/>
      <c r="AB272" s="181"/>
      <c r="AC272" s="181"/>
    </row>
    <row r="273" spans="1:24">
      <c r="A273" s="2"/>
      <c r="B273" s="26"/>
      <c r="C273" s="140"/>
      <c r="D273" s="141"/>
      <c r="E273" s="141"/>
      <c r="F273" s="141"/>
      <c r="G273" s="141"/>
      <c r="H273" s="141"/>
      <c r="I273" s="141"/>
      <c r="J273" s="141"/>
      <c r="K273" s="142"/>
      <c r="L273" s="142"/>
      <c r="M273" s="142"/>
      <c r="N273" s="142"/>
      <c r="O273" s="142"/>
      <c r="P273" s="142"/>
      <c r="Q273" s="142"/>
      <c r="R273" s="142"/>
      <c r="S273" s="142"/>
      <c r="T273" s="143">
        <f>SUM(T266:T272)</f>
        <v>0</v>
      </c>
      <c r="U273" s="141"/>
      <c r="V273" s="144">
        <f>SUM(V266:V272)</f>
        <v>0</v>
      </c>
      <c r="W273" s="145">
        <f>SUM(W266:W272)</f>
        <v>0</v>
      </c>
      <c r="X273" s="146">
        <f>SUM(X266:X272)</f>
        <v>0</v>
      </c>
    </row>
    <row r="276" spans="1:24">
      <c r="A276" s="3"/>
      <c r="B276" s="4" t="s">
        <v>1</v>
      </c>
      <c r="C276" s="5"/>
      <c r="D276" s="6"/>
      <c r="E276" s="6"/>
      <c r="F276" s="7" t="s">
        <v>2</v>
      </c>
      <c r="G276" s="8">
        <v>45872</v>
      </c>
      <c r="H276" s="7"/>
      <c r="I276" s="6"/>
      <c r="J276" s="6"/>
      <c r="K276" s="6"/>
      <c r="L276" s="6"/>
      <c r="M276" s="6"/>
      <c r="N276" s="6"/>
      <c r="O276" s="6"/>
      <c r="P276" s="6"/>
      <c r="Q276" s="6"/>
      <c r="R276" s="6"/>
      <c r="S276" s="6"/>
      <c r="T276" s="6"/>
      <c r="U276" s="9"/>
      <c r="V276" s="10"/>
      <c r="W276" s="10"/>
      <c r="X276" s="10"/>
    </row>
    <row r="277" spans="1:24">
      <c r="A277" s="2"/>
      <c r="B277" s="11"/>
      <c r="C277" s="10"/>
      <c r="D277" s="10"/>
      <c r="E277" s="10"/>
      <c r="F277" s="10"/>
      <c r="G277" s="7"/>
      <c r="H277" s="12"/>
      <c r="I277" s="10"/>
      <c r="J277" s="10"/>
      <c r="K277" s="13" t="s">
        <v>3</v>
      </c>
      <c r="L277" s="14"/>
      <c r="M277" s="15"/>
      <c r="N277" s="13" t="s">
        <v>4</v>
      </c>
      <c r="O277" s="14"/>
      <c r="P277" s="15"/>
      <c r="Q277" s="13" t="s">
        <v>5</v>
      </c>
      <c r="R277" s="14"/>
      <c r="S277" s="15"/>
      <c r="T277" s="16"/>
      <c r="U277" s="17"/>
      <c r="V277" s="10"/>
      <c r="W277" s="10"/>
      <c r="X277" s="10"/>
    </row>
    <row r="278" spans="1:24">
      <c r="A278" s="2"/>
      <c r="B278" s="18" t="s">
        <v>6</v>
      </c>
      <c r="C278" s="19">
        <f>C279+C280</f>
        <v>0</v>
      </c>
      <c r="D278" s="10"/>
      <c r="E278" s="18" t="s">
        <v>7</v>
      </c>
      <c r="F278" s="6"/>
      <c r="G278" s="9"/>
      <c r="H278" s="10"/>
      <c r="I278" s="10"/>
      <c r="J278" s="10"/>
      <c r="K278" s="20" t="s">
        <v>8</v>
      </c>
      <c r="L278" s="21" t="s">
        <v>9</v>
      </c>
      <c r="M278" s="21" t="s">
        <v>10</v>
      </c>
      <c r="N278" s="20" t="s">
        <v>11</v>
      </c>
      <c r="O278" s="21" t="s">
        <v>12</v>
      </c>
      <c r="P278" s="22" t="s">
        <v>13</v>
      </c>
      <c r="Q278" s="21" t="s">
        <v>11</v>
      </c>
      <c r="R278" s="21" t="s">
        <v>12</v>
      </c>
      <c r="S278" s="22" t="s">
        <v>13</v>
      </c>
      <c r="T278" s="23" t="s">
        <v>14</v>
      </c>
      <c r="U278" s="17"/>
      <c r="V278" s="10"/>
      <c r="W278" s="10"/>
      <c r="X278" s="10"/>
    </row>
    <row r="279" spans="1:24">
      <c r="A279" s="2"/>
      <c r="B279" s="24" t="s">
        <v>15</v>
      </c>
      <c r="C279" s="25">
        <f>P286</f>
        <v>0</v>
      </c>
      <c r="D279" s="10"/>
      <c r="E279" s="26" t="s">
        <v>16</v>
      </c>
      <c r="F279" s="27">
        <v>0.05</v>
      </c>
      <c r="G279" s="28"/>
      <c r="H279" s="10"/>
      <c r="I279" s="10"/>
      <c r="J279" s="18" t="s">
        <v>17</v>
      </c>
      <c r="K279" s="29">
        <f>K305</f>
        <v>0</v>
      </c>
      <c r="L279" s="29">
        <f t="shared" ref="L279:S279" si="66">L305</f>
        <v>0</v>
      </c>
      <c r="M279" s="29">
        <f t="shared" si="66"/>
        <v>0</v>
      </c>
      <c r="N279" s="29">
        <f t="shared" si="66"/>
        <v>0</v>
      </c>
      <c r="O279" s="29">
        <f t="shared" si="66"/>
        <v>0</v>
      </c>
      <c r="P279" s="29">
        <f t="shared" si="66"/>
        <v>0</v>
      </c>
      <c r="Q279" s="29">
        <f t="shared" si="66"/>
        <v>0</v>
      </c>
      <c r="R279" s="29">
        <f t="shared" si="66"/>
        <v>0</v>
      </c>
      <c r="S279" s="29">
        <f t="shared" si="66"/>
        <v>0</v>
      </c>
      <c r="T279" s="30">
        <f>T310</f>
        <v>0</v>
      </c>
      <c r="U279" s="17"/>
      <c r="V279" s="10"/>
      <c r="W279" s="10"/>
      <c r="X279" s="10"/>
    </row>
    <row r="280" spans="1:24">
      <c r="A280" s="2"/>
      <c r="B280" s="24" t="s">
        <v>18</v>
      </c>
      <c r="C280" s="25">
        <f>P287</f>
        <v>0</v>
      </c>
      <c r="D280" s="10"/>
      <c r="E280" s="10"/>
      <c r="F280" s="10"/>
      <c r="G280" s="31"/>
      <c r="H280" s="10"/>
      <c r="I280" s="10"/>
      <c r="J280" s="32" t="s">
        <v>19</v>
      </c>
      <c r="K280" s="33" t="e">
        <f>K305/K304</f>
        <v>#DIV/0!</v>
      </c>
      <c r="L280" s="33" t="e">
        <f t="shared" ref="L280:S280" si="67">L305/L304</f>
        <v>#DIV/0!</v>
      </c>
      <c r="M280" s="33" t="e">
        <f t="shared" si="67"/>
        <v>#DIV/0!</v>
      </c>
      <c r="N280" s="33" t="e">
        <f t="shared" si="67"/>
        <v>#DIV/0!</v>
      </c>
      <c r="O280" s="33" t="e">
        <f t="shared" si="67"/>
        <v>#DIV/0!</v>
      </c>
      <c r="P280" s="33" t="e">
        <f t="shared" si="67"/>
        <v>#DIV/0!</v>
      </c>
      <c r="Q280" s="33" t="e">
        <f t="shared" si="67"/>
        <v>#DIV/0!</v>
      </c>
      <c r="R280" s="33" t="e">
        <f t="shared" si="67"/>
        <v>#DIV/0!</v>
      </c>
      <c r="S280" s="33" t="e">
        <f t="shared" si="67"/>
        <v>#DIV/0!</v>
      </c>
      <c r="T280" s="23"/>
      <c r="U280" s="17" t="s">
        <v>20</v>
      </c>
      <c r="V280" s="10"/>
      <c r="W280" s="10"/>
      <c r="X280" s="10"/>
    </row>
    <row r="281" spans="1:24">
      <c r="A281" s="2"/>
      <c r="B281" s="24" t="s">
        <v>21</v>
      </c>
      <c r="C281" s="34" t="e">
        <f>P288</f>
        <v>#DIV/0!</v>
      </c>
      <c r="D281" s="10"/>
      <c r="E281" s="10"/>
      <c r="F281" s="10"/>
      <c r="G281" s="10"/>
      <c r="H281" s="10"/>
      <c r="I281" s="10"/>
      <c r="J281" s="10"/>
      <c r="K281" s="10"/>
      <c r="L281" s="10"/>
      <c r="M281" s="10"/>
      <c r="N281" s="10"/>
      <c r="O281" s="10"/>
      <c r="P281" s="10"/>
      <c r="Q281" s="10"/>
      <c r="R281" s="10"/>
      <c r="S281" s="10"/>
      <c r="T281" s="10"/>
      <c r="U281" s="17"/>
      <c r="V281" s="10"/>
      <c r="W281" s="10"/>
      <c r="X281" s="10"/>
    </row>
    <row r="282" spans="1:24">
      <c r="A282" s="2"/>
      <c r="B282" s="24"/>
      <c r="C282" s="25"/>
      <c r="D282" s="10"/>
      <c r="E282" s="10"/>
      <c r="F282" s="18" t="s">
        <v>22</v>
      </c>
      <c r="G282" s="19" t="s">
        <v>23</v>
      </c>
      <c r="H282" s="35" t="s">
        <v>24</v>
      </c>
      <c r="I282" s="10"/>
      <c r="J282" s="10"/>
      <c r="K282" s="36"/>
      <c r="L282" s="36"/>
      <c r="M282" s="36"/>
      <c r="N282" s="36"/>
      <c r="O282" s="36"/>
      <c r="P282" s="36"/>
      <c r="Q282" s="36"/>
      <c r="R282" s="10"/>
      <c r="S282" s="10"/>
      <c r="T282" s="10"/>
      <c r="U282" s="17"/>
      <c r="V282" s="10"/>
      <c r="W282" s="10"/>
      <c r="X282" s="10"/>
    </row>
    <row r="283" spans="1:24">
      <c r="A283" s="2"/>
      <c r="B283" s="32" t="s">
        <v>25</v>
      </c>
      <c r="C283" s="37" t="e">
        <f>P289</f>
        <v>#DIV/0!</v>
      </c>
      <c r="D283" s="10"/>
      <c r="E283" s="18" t="s">
        <v>26</v>
      </c>
      <c r="F283" s="38">
        <f>P285</f>
        <v>0</v>
      </c>
      <c r="G283" s="39">
        <f>I304</f>
        <v>0</v>
      </c>
      <c r="H283" s="40"/>
      <c r="I283" s="41"/>
      <c r="J283" s="42"/>
      <c r="K283" s="43" t="s">
        <v>27</v>
      </c>
      <c r="L283" s="44"/>
      <c r="M283" s="44"/>
      <c r="N283" s="44"/>
      <c r="O283" s="44"/>
      <c r="P283" s="44"/>
      <c r="Q283" s="45"/>
      <c r="R283" s="46" t="s">
        <v>28</v>
      </c>
      <c r="S283" s="47" t="s">
        <v>29</v>
      </c>
      <c r="T283" s="10"/>
      <c r="U283" s="17"/>
      <c r="V283" s="10"/>
      <c r="W283" s="10"/>
      <c r="X283" s="10"/>
    </row>
    <row r="284" spans="1:24">
      <c r="A284" s="2"/>
      <c r="B284" s="11"/>
      <c r="C284" s="10"/>
      <c r="D284" s="10"/>
      <c r="E284" s="24" t="s">
        <v>30</v>
      </c>
      <c r="F284" s="48">
        <f>F279</f>
        <v>0.05</v>
      </c>
      <c r="G284" s="17"/>
      <c r="H284" s="40"/>
      <c r="I284" s="41"/>
      <c r="J284" s="42"/>
      <c r="K284" s="20" t="s">
        <v>31</v>
      </c>
      <c r="L284" s="21" t="s">
        <v>32</v>
      </c>
      <c r="M284" s="21" t="s">
        <v>33</v>
      </c>
      <c r="N284" s="21" t="s">
        <v>34</v>
      </c>
      <c r="O284" s="21" t="s">
        <v>35</v>
      </c>
      <c r="P284" s="21" t="s">
        <v>36</v>
      </c>
      <c r="Q284" s="49" t="s">
        <v>37</v>
      </c>
      <c r="R284" s="50" t="s">
        <v>38</v>
      </c>
      <c r="S284" s="50" t="s">
        <v>38</v>
      </c>
      <c r="T284" s="10"/>
      <c r="U284" s="17"/>
      <c r="V284" s="10"/>
      <c r="W284" s="10"/>
      <c r="X284" s="10"/>
    </row>
    <row r="285" spans="1:24">
      <c r="A285" s="2"/>
      <c r="B285" s="11"/>
      <c r="C285" s="10"/>
      <c r="D285" s="10"/>
      <c r="E285" s="51" t="s">
        <v>39</v>
      </c>
      <c r="F285" s="52">
        <f>F283*F284</f>
        <v>0</v>
      </c>
      <c r="G285" s="53" t="s">
        <v>40</v>
      </c>
      <c r="H285" s="54">
        <f>F285/1.12</f>
        <v>0</v>
      </c>
      <c r="I285" s="55"/>
      <c r="J285" s="42"/>
      <c r="K285" s="56"/>
      <c r="L285" s="57"/>
      <c r="M285" s="57"/>
      <c r="N285" s="57"/>
      <c r="O285" s="57"/>
      <c r="P285" s="57">
        <f>SUM(K285:O285)</f>
        <v>0</v>
      </c>
      <c r="Q285" s="58">
        <v>0</v>
      </c>
      <c r="R285" s="59">
        <f>0</f>
        <v>0</v>
      </c>
      <c r="S285" s="59">
        <f>0</f>
        <v>0</v>
      </c>
      <c r="T285" s="10"/>
      <c r="U285" s="17"/>
      <c r="V285" s="10"/>
      <c r="W285" s="10"/>
      <c r="X285" s="10"/>
    </row>
    <row r="286" spans="1:24">
      <c r="A286" s="2"/>
      <c r="B286" s="11"/>
      <c r="C286" s="10"/>
      <c r="D286" s="10"/>
      <c r="E286" s="24" t="s">
        <v>41</v>
      </c>
      <c r="F286" s="60">
        <f>Q285</f>
        <v>0</v>
      </c>
      <c r="G286" s="61" t="s">
        <v>40</v>
      </c>
      <c r="H286" s="62"/>
      <c r="I286" s="62"/>
      <c r="J286" s="10" t="s">
        <v>42</v>
      </c>
      <c r="K286" s="63"/>
      <c r="L286" s="63"/>
      <c r="M286" s="63"/>
      <c r="N286" s="63"/>
      <c r="O286" s="63"/>
      <c r="P286" s="21">
        <f>SUM(K286:O286)</f>
        <v>0</v>
      </c>
      <c r="Q286" s="64"/>
      <c r="R286" s="63"/>
      <c r="S286" s="10"/>
      <c r="T286" s="10"/>
      <c r="U286" s="17"/>
      <c r="V286" s="10"/>
      <c r="W286" s="10"/>
      <c r="X286" s="10"/>
    </row>
    <row r="287" spans="1:24">
      <c r="A287" s="2"/>
      <c r="B287" s="11"/>
      <c r="C287" s="10"/>
      <c r="D287" s="10"/>
      <c r="E287" s="51" t="s">
        <v>43</v>
      </c>
      <c r="F287" s="52">
        <f>F286*0.25</f>
        <v>0</v>
      </c>
      <c r="G287" s="53" t="s">
        <v>40</v>
      </c>
      <c r="H287" s="54">
        <f>F287/1.12</f>
        <v>0</v>
      </c>
      <c r="I287" s="10"/>
      <c r="J287" s="10" t="s">
        <v>44</v>
      </c>
      <c r="K287" s="63"/>
      <c r="L287" s="63"/>
      <c r="M287" s="63"/>
      <c r="N287" s="63"/>
      <c r="O287" s="63"/>
      <c r="P287" s="21">
        <f>SUM(K287:O287)</f>
        <v>0</v>
      </c>
      <c r="Q287" s="64"/>
      <c r="R287" s="63"/>
      <c r="S287" s="10"/>
      <c r="T287" s="10"/>
      <c r="U287" s="17"/>
      <c r="V287" s="10"/>
      <c r="W287" s="10"/>
      <c r="X287" s="10"/>
    </row>
    <row r="288" spans="1:24">
      <c r="A288" s="2"/>
      <c r="B288" s="11"/>
      <c r="C288" s="10"/>
      <c r="D288" s="10"/>
      <c r="E288" s="24" t="s">
        <v>45</v>
      </c>
      <c r="F288" s="60">
        <f>I309</f>
        <v>1098.3</v>
      </c>
      <c r="G288" s="61" t="s">
        <v>40</v>
      </c>
      <c r="H288" s="62"/>
      <c r="I288" s="10"/>
      <c r="J288" s="10" t="s">
        <v>46</v>
      </c>
      <c r="K288" s="31" t="e">
        <f t="shared" ref="K288:Q288" si="68">K286/(K286+K287)</f>
        <v>#DIV/0!</v>
      </c>
      <c r="L288" s="31" t="e">
        <f t="shared" si="68"/>
        <v>#DIV/0!</v>
      </c>
      <c r="M288" s="31" t="e">
        <f t="shared" si="68"/>
        <v>#DIV/0!</v>
      </c>
      <c r="N288" s="31" t="e">
        <f t="shared" si="68"/>
        <v>#DIV/0!</v>
      </c>
      <c r="O288" s="31" t="e">
        <f t="shared" si="68"/>
        <v>#DIV/0!</v>
      </c>
      <c r="P288" s="31" t="e">
        <f t="shared" si="68"/>
        <v>#DIV/0!</v>
      </c>
      <c r="Q288" s="31" t="e">
        <f t="shared" si="68"/>
        <v>#DIV/0!</v>
      </c>
      <c r="R288" s="63"/>
      <c r="S288" s="10"/>
      <c r="T288" s="10"/>
      <c r="U288" s="17"/>
      <c r="V288" s="10"/>
      <c r="W288" s="10"/>
      <c r="X288" s="10"/>
    </row>
    <row r="289" spans="1:24">
      <c r="A289" s="2"/>
      <c r="B289" s="11"/>
      <c r="C289" s="10"/>
      <c r="D289" s="10"/>
      <c r="E289" s="51" t="s">
        <v>47</v>
      </c>
      <c r="F289" s="52">
        <f>(F288+F292)*0.05</f>
        <v>2.6649999999999978</v>
      </c>
      <c r="G289" s="65" t="s">
        <v>40</v>
      </c>
      <c r="H289" s="54">
        <f>F289/1.12</f>
        <v>2.3794642857142834</v>
      </c>
      <c r="I289" s="42"/>
      <c r="J289" s="10" t="s">
        <v>48</v>
      </c>
      <c r="K289" s="66" t="e">
        <f>K285/K286</f>
        <v>#DIV/0!</v>
      </c>
      <c r="L289" s="66" t="e">
        <f t="shared" ref="L289:Q289" si="69">L285/L286</f>
        <v>#DIV/0!</v>
      </c>
      <c r="M289" s="66" t="e">
        <f t="shared" si="69"/>
        <v>#DIV/0!</v>
      </c>
      <c r="N289" s="66" t="e">
        <f t="shared" si="69"/>
        <v>#DIV/0!</v>
      </c>
      <c r="O289" s="66" t="e">
        <f t="shared" si="69"/>
        <v>#DIV/0!</v>
      </c>
      <c r="P289" s="66" t="e">
        <f t="shared" si="69"/>
        <v>#DIV/0!</v>
      </c>
      <c r="Q289" s="66" t="e">
        <f t="shared" si="69"/>
        <v>#DIV/0!</v>
      </c>
      <c r="R289" s="63"/>
      <c r="S289" s="10"/>
      <c r="T289" s="10"/>
      <c r="U289" s="17"/>
      <c r="V289" s="10"/>
      <c r="W289" s="10"/>
      <c r="X289" s="10"/>
    </row>
    <row r="290" spans="1:24">
      <c r="A290" s="2"/>
      <c r="B290" s="11"/>
      <c r="C290" s="10"/>
      <c r="D290" s="10"/>
      <c r="E290" s="67" t="s">
        <v>14</v>
      </c>
      <c r="F290" s="68"/>
      <c r="G290" s="10"/>
      <c r="H290" s="54">
        <f>F290/1.12</f>
        <v>0</v>
      </c>
      <c r="I290" s="10"/>
      <c r="J290" s="10"/>
      <c r="K290" s="10"/>
      <c r="L290" s="10"/>
      <c r="M290" s="10"/>
      <c r="N290" s="10"/>
      <c r="O290" s="10"/>
      <c r="P290" s="10"/>
      <c r="Q290" s="10"/>
      <c r="R290" s="10"/>
      <c r="S290" s="10"/>
      <c r="T290" s="10"/>
      <c r="U290" s="17"/>
      <c r="V290" s="10"/>
      <c r="W290" s="10"/>
      <c r="X290" s="10"/>
    </row>
    <row r="291" spans="1:24">
      <c r="A291" s="2"/>
      <c r="B291" s="11"/>
      <c r="C291" s="10"/>
      <c r="D291" s="10"/>
      <c r="E291" s="67" t="s">
        <v>49</v>
      </c>
      <c r="F291" s="69">
        <f>T280</f>
        <v>0</v>
      </c>
      <c r="G291" s="10"/>
      <c r="H291" s="54"/>
      <c r="I291" s="55"/>
      <c r="J291" s="42"/>
      <c r="K291" s="764" t="s">
        <v>50</v>
      </c>
      <c r="L291" s="765"/>
      <c r="M291" s="765"/>
      <c r="N291" s="765"/>
      <c r="O291" s="765"/>
      <c r="P291" s="765"/>
      <c r="Q291" s="766"/>
      <c r="R291" s="70" t="s">
        <v>28</v>
      </c>
      <c r="S291" s="71" t="s">
        <v>29</v>
      </c>
      <c r="T291" s="10"/>
      <c r="U291" s="17"/>
      <c r="V291" s="10"/>
      <c r="W291" s="10"/>
      <c r="X291" s="10"/>
    </row>
    <row r="292" spans="1:24">
      <c r="A292" s="2"/>
      <c r="B292" s="11"/>
      <c r="C292" s="10"/>
      <c r="D292" s="10"/>
      <c r="E292" s="74" t="s">
        <v>1415</v>
      </c>
      <c r="F292" s="75">
        <f>-1045</f>
        <v>-1045</v>
      </c>
      <c r="G292" s="10"/>
      <c r="H292" s="10"/>
      <c r="I292" s="10"/>
      <c r="J292" s="42"/>
      <c r="K292" s="20" t="s">
        <v>31</v>
      </c>
      <c r="L292" s="21" t="s">
        <v>32</v>
      </c>
      <c r="M292" s="21" t="s">
        <v>33</v>
      </c>
      <c r="N292" s="21" t="s">
        <v>34</v>
      </c>
      <c r="O292" s="21" t="s">
        <v>35</v>
      </c>
      <c r="P292" s="21" t="s">
        <v>36</v>
      </c>
      <c r="Q292" s="49" t="s">
        <v>37</v>
      </c>
      <c r="R292" s="50" t="s">
        <v>38</v>
      </c>
      <c r="S292" s="50" t="s">
        <v>38</v>
      </c>
      <c r="T292" s="10"/>
      <c r="U292" s="17"/>
      <c r="V292" s="10"/>
      <c r="W292" s="10"/>
      <c r="X292" s="10"/>
    </row>
    <row r="293" spans="1:24">
      <c r="A293" s="2"/>
      <c r="B293" s="11"/>
      <c r="C293" s="10"/>
      <c r="D293" s="10"/>
      <c r="E293" s="12"/>
      <c r="F293" s="76"/>
      <c r="G293" s="10"/>
      <c r="H293" s="10"/>
      <c r="I293" s="10"/>
      <c r="J293" s="42"/>
      <c r="K293" s="56"/>
      <c r="L293" s="57"/>
      <c r="M293" s="57"/>
      <c r="N293" s="57"/>
      <c r="O293" s="57"/>
      <c r="P293" s="57"/>
      <c r="Q293" s="58">
        <v>0</v>
      </c>
      <c r="R293" s="59">
        <f>0</f>
        <v>0</v>
      </c>
      <c r="S293" s="59">
        <f>0</f>
        <v>0</v>
      </c>
      <c r="T293" s="10"/>
      <c r="U293" s="17"/>
      <c r="V293" s="10"/>
      <c r="W293" s="10"/>
      <c r="X293" s="10"/>
    </row>
    <row r="294" spans="1:24">
      <c r="A294" s="2"/>
      <c r="B294" s="11"/>
      <c r="C294" s="10"/>
      <c r="D294" s="10"/>
      <c r="E294" s="10"/>
      <c r="F294" s="10"/>
      <c r="G294" s="10"/>
      <c r="H294" s="10"/>
      <c r="I294" s="10"/>
      <c r="J294" s="10" t="s">
        <v>42</v>
      </c>
      <c r="K294" s="63">
        <f>K286</f>
        <v>0</v>
      </c>
      <c r="L294" s="63">
        <f t="shared" ref="L294:Q295" si="70">L286</f>
        <v>0</v>
      </c>
      <c r="M294" s="63">
        <f t="shared" si="70"/>
        <v>0</v>
      </c>
      <c r="N294" s="63">
        <f t="shared" si="70"/>
        <v>0</v>
      </c>
      <c r="O294" s="63">
        <f t="shared" si="70"/>
        <v>0</v>
      </c>
      <c r="P294" s="63">
        <f t="shared" si="70"/>
        <v>0</v>
      </c>
      <c r="Q294" s="63">
        <f t="shared" si="70"/>
        <v>0</v>
      </c>
      <c r="R294" s="63"/>
      <c r="S294" s="10"/>
      <c r="T294" s="10"/>
      <c r="U294" s="17"/>
      <c r="V294" s="10"/>
      <c r="W294" s="10"/>
      <c r="X294" s="10"/>
    </row>
    <row r="295" spans="1:24">
      <c r="A295" s="2"/>
      <c r="B295" s="11"/>
      <c r="C295" s="10"/>
      <c r="D295" s="10"/>
      <c r="E295" s="10"/>
      <c r="F295" s="10"/>
      <c r="G295" s="10"/>
      <c r="H295" s="10"/>
      <c r="I295" s="10"/>
      <c r="J295" s="10" t="s">
        <v>44</v>
      </c>
      <c r="K295" s="63">
        <f>K287</f>
        <v>0</v>
      </c>
      <c r="L295" s="63">
        <f t="shared" si="70"/>
        <v>0</v>
      </c>
      <c r="M295" s="63">
        <f t="shared" si="70"/>
        <v>0</v>
      </c>
      <c r="N295" s="63">
        <f t="shared" si="70"/>
        <v>0</v>
      </c>
      <c r="O295" s="63">
        <f t="shared" si="70"/>
        <v>0</v>
      </c>
      <c r="P295" s="63">
        <f t="shared" si="70"/>
        <v>0</v>
      </c>
      <c r="Q295" s="63">
        <f t="shared" si="70"/>
        <v>0</v>
      </c>
      <c r="R295" s="63"/>
      <c r="S295" s="10"/>
      <c r="T295" s="10"/>
      <c r="U295" s="17"/>
      <c r="V295" s="10"/>
      <c r="W295" s="10"/>
      <c r="X295" s="10"/>
    </row>
    <row r="296" spans="1:24">
      <c r="A296" s="2"/>
      <c r="B296" s="11"/>
      <c r="C296" s="10"/>
      <c r="D296" s="10"/>
      <c r="E296" s="10"/>
      <c r="F296" s="10"/>
      <c r="G296" s="10"/>
      <c r="H296" s="10"/>
      <c r="I296" s="10"/>
      <c r="J296" s="10" t="s">
        <v>46</v>
      </c>
      <c r="K296" s="31" t="e">
        <f t="shared" ref="K296:Q296" si="71">K294/(K294+K295)</f>
        <v>#DIV/0!</v>
      </c>
      <c r="L296" s="31" t="e">
        <f t="shared" si="71"/>
        <v>#DIV/0!</v>
      </c>
      <c r="M296" s="31" t="e">
        <f t="shared" si="71"/>
        <v>#DIV/0!</v>
      </c>
      <c r="N296" s="31" t="e">
        <f t="shared" si="71"/>
        <v>#DIV/0!</v>
      </c>
      <c r="O296" s="31" t="e">
        <f t="shared" si="71"/>
        <v>#DIV/0!</v>
      </c>
      <c r="P296" s="31" t="e">
        <f t="shared" si="71"/>
        <v>#DIV/0!</v>
      </c>
      <c r="Q296" s="31" t="e">
        <f t="shared" si="71"/>
        <v>#DIV/0!</v>
      </c>
      <c r="R296" s="63"/>
      <c r="S296" s="10"/>
      <c r="T296" s="10"/>
      <c r="U296" s="17"/>
      <c r="V296" s="10"/>
      <c r="W296" s="10"/>
      <c r="X296" s="10"/>
    </row>
    <row r="297" spans="1:24">
      <c r="A297" s="2"/>
      <c r="B297" s="11"/>
      <c r="C297" s="10"/>
      <c r="D297" s="10"/>
      <c r="E297" s="10"/>
      <c r="F297" s="10"/>
      <c r="G297" s="10"/>
      <c r="H297" s="10"/>
      <c r="I297" s="10"/>
      <c r="J297" s="10" t="s">
        <v>48</v>
      </c>
      <c r="K297" s="66" t="e">
        <f t="shared" ref="K297:Q297" si="72">K293/K294</f>
        <v>#DIV/0!</v>
      </c>
      <c r="L297" s="66" t="e">
        <f t="shared" si="72"/>
        <v>#DIV/0!</v>
      </c>
      <c r="M297" s="66" t="e">
        <f t="shared" si="72"/>
        <v>#DIV/0!</v>
      </c>
      <c r="N297" s="66" t="e">
        <f t="shared" si="72"/>
        <v>#DIV/0!</v>
      </c>
      <c r="O297" s="66" t="e">
        <f t="shared" si="72"/>
        <v>#DIV/0!</v>
      </c>
      <c r="P297" s="66" t="e">
        <f t="shared" si="72"/>
        <v>#DIV/0!</v>
      </c>
      <c r="Q297" s="66" t="e">
        <f t="shared" si="72"/>
        <v>#DIV/0!</v>
      </c>
      <c r="R297" s="63"/>
      <c r="S297" s="10"/>
      <c r="T297" s="10"/>
      <c r="U297" s="17"/>
      <c r="V297" s="10"/>
      <c r="W297" s="10"/>
      <c r="X297" s="10"/>
    </row>
    <row r="298" spans="1:24">
      <c r="A298" s="2"/>
      <c r="B298" s="11"/>
      <c r="C298" s="10"/>
      <c r="D298" s="10"/>
      <c r="E298" s="10"/>
      <c r="F298" s="10"/>
      <c r="G298" s="10"/>
      <c r="H298" s="10"/>
      <c r="I298" s="10"/>
      <c r="J298" s="10"/>
      <c r="K298" s="10"/>
      <c r="L298" s="10"/>
      <c r="M298" s="10"/>
      <c r="N298" s="10"/>
      <c r="O298" s="10"/>
      <c r="P298" s="10"/>
      <c r="Q298" s="10"/>
      <c r="R298" s="10"/>
      <c r="S298" s="10"/>
      <c r="T298" s="10"/>
      <c r="U298" s="17"/>
      <c r="V298" s="10"/>
      <c r="W298" s="10"/>
      <c r="X298" s="10"/>
    </row>
    <row r="299" spans="1:24">
      <c r="A299" s="2"/>
      <c r="B299" s="11"/>
      <c r="C299" s="10"/>
      <c r="D299" s="10"/>
      <c r="E299" s="10"/>
      <c r="F299" s="10"/>
      <c r="G299" s="10"/>
      <c r="H299" s="10"/>
      <c r="I299" s="10"/>
      <c r="J299" s="10"/>
      <c r="K299" s="10"/>
      <c r="L299" s="10"/>
      <c r="M299" s="10"/>
      <c r="N299" s="10"/>
      <c r="O299" s="10"/>
      <c r="P299" s="10"/>
      <c r="Q299" s="10"/>
      <c r="R299" s="10"/>
      <c r="S299" s="10"/>
      <c r="T299" s="10"/>
      <c r="U299" s="17"/>
      <c r="V299" s="10"/>
      <c r="W299" s="10"/>
      <c r="X299" s="10"/>
    </row>
    <row r="300" spans="1:24">
      <c r="A300" s="2"/>
      <c r="B300" s="18" t="s">
        <v>51</v>
      </c>
      <c r="C300" s="14"/>
      <c r="D300" s="14"/>
      <c r="E300" s="14"/>
      <c r="F300" s="13" t="s">
        <v>52</v>
      </c>
      <c r="G300" s="14"/>
      <c r="H300" s="14"/>
      <c r="I300" s="14"/>
      <c r="J300" s="14"/>
      <c r="K300" s="13" t="s">
        <v>3</v>
      </c>
      <c r="L300" s="14"/>
      <c r="M300" s="14"/>
      <c r="N300" s="13" t="s">
        <v>4</v>
      </c>
      <c r="O300" s="14"/>
      <c r="P300" s="14"/>
      <c r="Q300" s="13" t="s">
        <v>5</v>
      </c>
      <c r="R300" s="14"/>
      <c r="S300" s="14"/>
      <c r="T300" s="18"/>
      <c r="U300" s="16" t="s">
        <v>53</v>
      </c>
      <c r="V300" s="77"/>
      <c r="W300" s="77"/>
      <c r="X300" s="77"/>
    </row>
    <row r="301" spans="1:24">
      <c r="A301" s="2"/>
      <c r="B301" s="24" t="s">
        <v>54</v>
      </c>
      <c r="C301" s="21" t="s">
        <v>55</v>
      </c>
      <c r="D301" s="21" t="s">
        <v>56</v>
      </c>
      <c r="E301" s="21" t="s">
        <v>57</v>
      </c>
      <c r="F301" s="20" t="s">
        <v>58</v>
      </c>
      <c r="G301" s="21" t="s">
        <v>59</v>
      </c>
      <c r="H301" s="21" t="s">
        <v>60</v>
      </c>
      <c r="I301" s="21" t="s">
        <v>26</v>
      </c>
      <c r="J301" s="22" t="s">
        <v>61</v>
      </c>
      <c r="K301" s="21" t="s">
        <v>8</v>
      </c>
      <c r="L301" s="21" t="s">
        <v>9</v>
      </c>
      <c r="M301" s="21" t="s">
        <v>10</v>
      </c>
      <c r="N301" s="20" t="s">
        <v>11</v>
      </c>
      <c r="O301" s="21" t="s">
        <v>12</v>
      </c>
      <c r="P301" s="22" t="s">
        <v>13</v>
      </c>
      <c r="Q301" s="21" t="s">
        <v>11</v>
      </c>
      <c r="R301" s="21" t="s">
        <v>12</v>
      </c>
      <c r="S301" s="21" t="s">
        <v>13</v>
      </c>
      <c r="T301" s="78" t="s">
        <v>14</v>
      </c>
      <c r="U301" s="30"/>
      <c r="V301" s="79" t="s">
        <v>62</v>
      </c>
      <c r="W301" s="80" t="s">
        <v>63</v>
      </c>
      <c r="X301" s="81" t="s">
        <v>64</v>
      </c>
    </row>
    <row r="302" spans="1:24">
      <c r="A302" s="2"/>
      <c r="B302" s="4" t="s">
        <v>65</v>
      </c>
      <c r="C302" s="6"/>
      <c r="D302" s="6"/>
      <c r="E302" s="6"/>
      <c r="F302" s="6"/>
      <c r="G302" s="6"/>
      <c r="H302" s="6"/>
      <c r="I302" s="82"/>
      <c r="J302" s="6"/>
      <c r="K302" s="6"/>
      <c r="L302" s="6"/>
      <c r="M302" s="6"/>
      <c r="N302" s="6"/>
      <c r="O302" s="6"/>
      <c r="P302" s="6"/>
      <c r="Q302" s="6"/>
      <c r="R302" s="6"/>
      <c r="S302" s="6"/>
      <c r="T302" s="83"/>
      <c r="U302" s="6"/>
      <c r="V302" s="84"/>
      <c r="W302" s="85"/>
      <c r="X302" s="86"/>
    </row>
    <row r="303" spans="1:24">
      <c r="A303" s="2"/>
      <c r="B303" s="87">
        <v>1</v>
      </c>
      <c r="C303" s="262"/>
      <c r="D303" s="271"/>
      <c r="E303" s="271"/>
      <c r="F303" s="265"/>
      <c r="G303" s="265"/>
      <c r="H303" s="365"/>
      <c r="I303" s="272">
        <f t="shared" ref="I303" si="73">F303-G303-H303</f>
        <v>0</v>
      </c>
      <c r="J303" s="267"/>
      <c r="K303" s="267"/>
      <c r="L303" s="267"/>
      <c r="M303" s="267"/>
      <c r="N303" s="267"/>
      <c r="O303" s="267"/>
      <c r="P303" s="267"/>
      <c r="Q303" s="267"/>
      <c r="R303" s="267"/>
      <c r="S303" s="269"/>
      <c r="T303" s="63"/>
      <c r="U303" s="10"/>
      <c r="V303" s="90"/>
      <c r="W303" s="91"/>
      <c r="X303" s="92"/>
    </row>
    <row r="304" spans="1:24">
      <c r="A304" s="2"/>
      <c r="B304" s="87"/>
      <c r="C304" s="36"/>
      <c r="D304" s="10"/>
      <c r="E304" s="10"/>
      <c r="F304" s="97">
        <f>SUM(F303:F303)</f>
        <v>0</v>
      </c>
      <c r="G304" s="97">
        <f>SUM(G303:G303)</f>
        <v>0</v>
      </c>
      <c r="H304" s="97">
        <f>SUM(H303:H303)</f>
        <v>0</v>
      </c>
      <c r="I304" s="98">
        <f>SUM(I303:I303)</f>
        <v>0</v>
      </c>
      <c r="J304" s="63"/>
      <c r="K304" s="63">
        <f t="shared" ref="K304:S304" si="74">COUNT(K303:K303)</f>
        <v>0</v>
      </c>
      <c r="L304" s="63">
        <f t="shared" si="74"/>
        <v>0</v>
      </c>
      <c r="M304" s="63">
        <f t="shared" si="74"/>
        <v>0</v>
      </c>
      <c r="N304" s="63">
        <f t="shared" si="74"/>
        <v>0</v>
      </c>
      <c r="O304" s="63">
        <f t="shared" si="74"/>
        <v>0</v>
      </c>
      <c r="P304" s="63">
        <f t="shared" si="74"/>
        <v>0</v>
      </c>
      <c r="Q304" s="63">
        <f t="shared" si="74"/>
        <v>0</v>
      </c>
      <c r="R304" s="63">
        <f t="shared" si="74"/>
        <v>0</v>
      </c>
      <c r="S304" s="63">
        <f t="shared" si="74"/>
        <v>0</v>
      </c>
      <c r="T304" s="63"/>
      <c r="U304" s="10"/>
      <c r="V304" s="90"/>
      <c r="W304" s="91"/>
      <c r="X304" s="92"/>
    </row>
    <row r="305" spans="1:29">
      <c r="A305" s="2"/>
      <c r="B305" s="87"/>
      <c r="C305" s="36"/>
      <c r="D305" s="10"/>
      <c r="E305" s="10"/>
      <c r="F305" s="88"/>
      <c r="G305" s="88"/>
      <c r="H305" s="88"/>
      <c r="I305" s="99"/>
      <c r="J305" s="63"/>
      <c r="K305" s="21">
        <f t="shared" ref="K305:S305" si="75">SUM(K303:K303)</f>
        <v>0</v>
      </c>
      <c r="L305" s="21">
        <f t="shared" si="75"/>
        <v>0</v>
      </c>
      <c r="M305" s="21">
        <f t="shared" si="75"/>
        <v>0</v>
      </c>
      <c r="N305" s="21">
        <f t="shared" si="75"/>
        <v>0</v>
      </c>
      <c r="O305" s="21">
        <f t="shared" si="75"/>
        <v>0</v>
      </c>
      <c r="P305" s="21">
        <f t="shared" si="75"/>
        <v>0</v>
      </c>
      <c r="Q305" s="21">
        <f t="shared" si="75"/>
        <v>0</v>
      </c>
      <c r="R305" s="21">
        <f t="shared" si="75"/>
        <v>0</v>
      </c>
      <c r="S305" s="21">
        <f t="shared" si="75"/>
        <v>0</v>
      </c>
      <c r="T305" s="63"/>
      <c r="U305" s="10"/>
      <c r="V305" s="90"/>
      <c r="W305" s="91"/>
      <c r="X305" s="92"/>
    </row>
    <row r="306" spans="1:29">
      <c r="A306" s="2"/>
      <c r="B306" s="11"/>
      <c r="C306" s="36"/>
      <c r="D306" s="10"/>
      <c r="E306" s="10"/>
      <c r="F306" s="88"/>
      <c r="G306" s="88"/>
      <c r="H306" s="88"/>
      <c r="I306" s="99"/>
      <c r="J306" s="63"/>
      <c r="K306" s="21"/>
      <c r="L306" s="21"/>
      <c r="M306" s="21"/>
      <c r="N306" s="21"/>
      <c r="O306" s="21"/>
      <c r="P306" s="21"/>
      <c r="Q306" s="21"/>
      <c r="R306" s="21"/>
      <c r="S306" s="21"/>
      <c r="T306" s="63"/>
      <c r="U306" s="10"/>
      <c r="V306" s="90"/>
      <c r="W306" s="91"/>
      <c r="X306" s="92"/>
    </row>
    <row r="307" spans="1:29" s="260" customFormat="1">
      <c r="A307" s="181"/>
      <c r="B307" s="100" t="s">
        <v>152</v>
      </c>
      <c r="C307" s="36"/>
      <c r="D307" s="10"/>
      <c r="E307" s="10"/>
      <c r="F307" s="88"/>
      <c r="G307" s="62"/>
      <c r="H307" s="88"/>
      <c r="I307" s="99"/>
      <c r="J307" s="63"/>
      <c r="K307" s="181"/>
      <c r="L307" s="181"/>
      <c r="M307" s="181"/>
      <c r="N307" s="181"/>
      <c r="O307" s="181"/>
      <c r="P307" s="181"/>
      <c r="Q307" s="181"/>
      <c r="R307" s="181"/>
      <c r="S307" s="181"/>
      <c r="T307" s="63"/>
      <c r="U307" s="10"/>
      <c r="V307" s="90"/>
      <c r="W307" s="91"/>
      <c r="X307" s="92"/>
      <c r="Y307" s="181"/>
      <c r="Z307" s="181"/>
      <c r="AA307" s="181"/>
      <c r="AB307" s="181"/>
      <c r="AC307" s="181"/>
    </row>
    <row r="308" spans="1:29" s="260" customFormat="1">
      <c r="A308" s="261">
        <v>0.05</v>
      </c>
      <c r="B308" s="87">
        <v>1</v>
      </c>
      <c r="C308" s="262">
        <v>45831</v>
      </c>
      <c r="D308" s="263">
        <v>70945</v>
      </c>
      <c r="E308" s="271" t="s">
        <v>572</v>
      </c>
      <c r="F308" s="265">
        <v>1138</v>
      </c>
      <c r="G308" s="265">
        <v>39.700000000000003</v>
      </c>
      <c r="H308" s="265"/>
      <c r="I308" s="272">
        <f>F308-G308-H308</f>
        <v>1098.3</v>
      </c>
      <c r="J308" s="267" t="s">
        <v>374</v>
      </c>
      <c r="K308" s="267">
        <v>1</v>
      </c>
      <c r="L308" s="267">
        <v>1</v>
      </c>
      <c r="M308" s="267">
        <v>1</v>
      </c>
      <c r="N308" s="267">
        <v>1</v>
      </c>
      <c r="O308" s="267">
        <v>1</v>
      </c>
      <c r="P308" s="267">
        <v>0</v>
      </c>
      <c r="Q308" s="267">
        <v>1</v>
      </c>
      <c r="R308" s="267">
        <v>1</v>
      </c>
      <c r="S308" s="269">
        <v>0</v>
      </c>
      <c r="T308" s="63"/>
      <c r="U308" s="301" t="s">
        <v>1397</v>
      </c>
      <c r="V308" s="90"/>
      <c r="W308" s="136"/>
      <c r="X308" s="137"/>
      <c r="Y308" s="181"/>
      <c r="Z308" s="181"/>
      <c r="AA308" s="181"/>
      <c r="AB308" s="181"/>
      <c r="AC308" s="181"/>
    </row>
    <row r="309" spans="1:29" s="260" customFormat="1">
      <c r="A309" s="181"/>
      <c r="B309" s="11"/>
      <c r="C309" s="36"/>
      <c r="D309" s="10"/>
      <c r="E309" s="10"/>
      <c r="F309" s="97">
        <f>SUM(F308)</f>
        <v>1138</v>
      </c>
      <c r="G309" s="97">
        <f>SUM(G308)</f>
        <v>39.700000000000003</v>
      </c>
      <c r="H309" s="97">
        <f>SUM(H308)</f>
        <v>0</v>
      </c>
      <c r="I309" s="97">
        <f>SUM(I308)</f>
        <v>1098.3</v>
      </c>
      <c r="J309" s="63"/>
      <c r="K309" s="21"/>
      <c r="L309" s="21"/>
      <c r="M309" s="21"/>
      <c r="N309" s="21"/>
      <c r="O309" s="21"/>
      <c r="P309" s="21"/>
      <c r="Q309" s="21"/>
      <c r="R309" s="21"/>
      <c r="S309" s="21"/>
      <c r="T309" s="63"/>
      <c r="U309" s="10"/>
      <c r="V309" s="90"/>
      <c r="W309" s="91"/>
      <c r="X309" s="92"/>
      <c r="Y309" s="181"/>
      <c r="Z309" s="181"/>
      <c r="AA309" s="181"/>
      <c r="AB309" s="181"/>
      <c r="AC309" s="181"/>
    </row>
    <row r="310" spans="1:29">
      <c r="A310" s="2"/>
      <c r="B310" s="26"/>
      <c r="C310" s="140"/>
      <c r="D310" s="141"/>
      <c r="E310" s="141"/>
      <c r="F310" s="141"/>
      <c r="G310" s="141"/>
      <c r="H310" s="141"/>
      <c r="I310" s="141"/>
      <c r="J310" s="141"/>
      <c r="K310" s="142"/>
      <c r="L310" s="142"/>
      <c r="M310" s="142"/>
      <c r="N310" s="142"/>
      <c r="O310" s="142"/>
      <c r="P310" s="142"/>
      <c r="Q310" s="142"/>
      <c r="R310" s="142"/>
      <c r="S310" s="142"/>
      <c r="T310" s="143">
        <f>SUM(T303:T309)</f>
        <v>0</v>
      </c>
      <c r="U310" s="141"/>
      <c r="V310" s="144">
        <f>SUM(V303:V309)</f>
        <v>0</v>
      </c>
      <c r="W310" s="145">
        <f>SUM(W303:W309)</f>
        <v>0</v>
      </c>
      <c r="X310" s="146">
        <f>SUM(X303:X309)</f>
        <v>0</v>
      </c>
    </row>
    <row r="313" spans="1:29">
      <c r="B313" s="4" t="s">
        <v>1</v>
      </c>
      <c r="C313" s="5"/>
      <c r="D313" s="6"/>
      <c r="E313" s="6"/>
      <c r="F313" s="7" t="s">
        <v>2</v>
      </c>
      <c r="G313" s="608">
        <v>45970</v>
      </c>
      <c r="H313" s="7"/>
      <c r="I313" s="6"/>
      <c r="J313" s="6"/>
      <c r="K313" s="6"/>
      <c r="L313" s="6"/>
      <c r="M313" s="6"/>
      <c r="N313" s="6"/>
      <c r="O313" s="6"/>
      <c r="P313" s="6"/>
      <c r="Q313" s="6"/>
      <c r="R313" s="6"/>
      <c r="S313" s="6"/>
      <c r="T313" s="6"/>
      <c r="U313" s="9"/>
      <c r="V313" s="10"/>
      <c r="W313" s="10"/>
      <c r="X313" s="10"/>
    </row>
    <row r="314" spans="1:29">
      <c r="B314" s="11"/>
      <c r="C314" s="10"/>
      <c r="D314" s="10"/>
      <c r="E314" s="10"/>
      <c r="F314" s="10"/>
      <c r="G314" s="7"/>
      <c r="H314" s="12"/>
      <c r="I314" s="10"/>
      <c r="J314" s="10"/>
      <c r="K314" s="13" t="s">
        <v>3</v>
      </c>
      <c r="L314" s="14"/>
      <c r="M314" s="15"/>
      <c r="N314" s="13" t="s">
        <v>4</v>
      </c>
      <c r="O314" s="14"/>
      <c r="P314" s="15"/>
      <c r="Q314" s="13" t="s">
        <v>5</v>
      </c>
      <c r="R314" s="14"/>
      <c r="S314" s="15"/>
      <c r="T314" s="16"/>
      <c r="U314" s="17"/>
      <c r="V314" s="10"/>
      <c r="W314" s="10"/>
      <c r="X314" s="10"/>
    </row>
    <row r="315" spans="1:29">
      <c r="B315" s="18" t="s">
        <v>6</v>
      </c>
      <c r="C315" s="19">
        <f>C316+C317</f>
        <v>0</v>
      </c>
      <c r="D315" s="10"/>
      <c r="E315" s="18" t="s">
        <v>7</v>
      </c>
      <c r="F315" s="6"/>
      <c r="G315" s="9"/>
      <c r="H315" s="10"/>
      <c r="I315" s="10"/>
      <c r="J315" s="10"/>
      <c r="K315" s="20" t="s">
        <v>8</v>
      </c>
      <c r="L315" s="21" t="s">
        <v>9</v>
      </c>
      <c r="M315" s="21" t="s">
        <v>10</v>
      </c>
      <c r="N315" s="20" t="s">
        <v>11</v>
      </c>
      <c r="O315" s="21" t="s">
        <v>12</v>
      </c>
      <c r="P315" s="22" t="s">
        <v>13</v>
      </c>
      <c r="Q315" s="21" t="s">
        <v>11</v>
      </c>
      <c r="R315" s="21" t="s">
        <v>12</v>
      </c>
      <c r="S315" s="22" t="s">
        <v>13</v>
      </c>
      <c r="T315" s="23" t="s">
        <v>14</v>
      </c>
      <c r="U315" s="17"/>
      <c r="V315" s="10"/>
      <c r="W315" s="10"/>
      <c r="X315" s="10"/>
    </row>
    <row r="316" spans="1:29">
      <c r="B316" s="24" t="s">
        <v>15</v>
      </c>
      <c r="C316" s="25">
        <f>P323</f>
        <v>0</v>
      </c>
      <c r="D316" s="10"/>
      <c r="E316" s="26" t="s">
        <v>16</v>
      </c>
      <c r="F316" s="27">
        <v>0.05</v>
      </c>
      <c r="G316" s="28"/>
      <c r="H316" s="10"/>
      <c r="I316" s="10"/>
      <c r="J316" s="18" t="s">
        <v>17</v>
      </c>
      <c r="K316" s="29">
        <f>K357</f>
        <v>0</v>
      </c>
      <c r="L316" s="29">
        <f t="shared" ref="L316:S316" si="76">L357</f>
        <v>0</v>
      </c>
      <c r="M316" s="29">
        <f t="shared" si="76"/>
        <v>0</v>
      </c>
      <c r="N316" s="29">
        <f t="shared" si="76"/>
        <v>0</v>
      </c>
      <c r="O316" s="29">
        <f t="shared" si="76"/>
        <v>0</v>
      </c>
      <c r="P316" s="29">
        <f t="shared" si="76"/>
        <v>0</v>
      </c>
      <c r="Q316" s="29">
        <f t="shared" si="76"/>
        <v>0</v>
      </c>
      <c r="R316" s="29">
        <f t="shared" si="76"/>
        <v>0</v>
      </c>
      <c r="S316" s="29">
        <f t="shared" si="76"/>
        <v>0</v>
      </c>
      <c r="T316" s="30">
        <f>T454</f>
        <v>0</v>
      </c>
      <c r="U316" s="17"/>
      <c r="V316" s="10"/>
      <c r="W316" s="10"/>
      <c r="X316" s="10"/>
    </row>
    <row r="317" spans="1:29">
      <c r="B317" s="24" t="s">
        <v>18</v>
      </c>
      <c r="C317" s="25">
        <f>P324</f>
        <v>0</v>
      </c>
      <c r="D317" s="10"/>
      <c r="E317" s="10"/>
      <c r="F317" s="10"/>
      <c r="G317" s="31"/>
      <c r="H317" s="10"/>
      <c r="I317" s="10"/>
      <c r="J317" s="32" t="s">
        <v>19</v>
      </c>
      <c r="K317" s="33" t="e">
        <f>K357/K356</f>
        <v>#DIV/0!</v>
      </c>
      <c r="L317" s="33" t="e">
        <f t="shared" ref="L317:S317" si="77">L357/L356</f>
        <v>#DIV/0!</v>
      </c>
      <c r="M317" s="33" t="e">
        <f t="shared" si="77"/>
        <v>#DIV/0!</v>
      </c>
      <c r="N317" s="33" t="e">
        <f t="shared" si="77"/>
        <v>#DIV/0!</v>
      </c>
      <c r="O317" s="33" t="e">
        <f t="shared" si="77"/>
        <v>#DIV/0!</v>
      </c>
      <c r="P317" s="33" t="e">
        <f t="shared" si="77"/>
        <v>#DIV/0!</v>
      </c>
      <c r="Q317" s="33" t="e">
        <f t="shared" si="77"/>
        <v>#DIV/0!</v>
      </c>
      <c r="R317" s="33" t="e">
        <f t="shared" si="77"/>
        <v>#DIV/0!</v>
      </c>
      <c r="S317" s="33" t="e">
        <f t="shared" si="77"/>
        <v>#DIV/0!</v>
      </c>
      <c r="T317" s="23"/>
      <c r="U317" s="17" t="s">
        <v>20</v>
      </c>
      <c r="V317" s="10"/>
      <c r="W317" s="10"/>
      <c r="X317" s="10"/>
    </row>
    <row r="318" spans="1:29">
      <c r="B318" s="24" t="s">
        <v>21</v>
      </c>
      <c r="C318" s="34" t="e">
        <f>P325</f>
        <v>#DIV/0!</v>
      </c>
      <c r="D318" s="10"/>
      <c r="E318" s="10"/>
      <c r="F318" s="10"/>
      <c r="G318" s="10"/>
      <c r="H318" s="10"/>
      <c r="I318" s="10"/>
      <c r="J318" s="10"/>
      <c r="K318" s="10"/>
      <c r="L318" s="10"/>
      <c r="M318" s="10"/>
      <c r="N318" s="10"/>
      <c r="O318" s="10"/>
      <c r="P318" s="10"/>
      <c r="Q318" s="10"/>
      <c r="R318" s="10"/>
      <c r="S318" s="10"/>
      <c r="T318" s="10"/>
      <c r="U318" s="17"/>
      <c r="V318" s="10"/>
      <c r="W318" s="10"/>
      <c r="X318" s="10"/>
    </row>
    <row r="319" spans="1:29">
      <c r="B319" s="24"/>
      <c r="C319" s="25"/>
      <c r="D319" s="10"/>
      <c r="E319" s="10"/>
      <c r="F319" s="18" t="s">
        <v>22</v>
      </c>
      <c r="G319" s="19" t="s">
        <v>23</v>
      </c>
      <c r="H319" s="35" t="s">
        <v>24</v>
      </c>
      <c r="I319" s="10"/>
      <c r="J319" s="10"/>
      <c r="K319" s="36"/>
      <c r="L319" s="36"/>
      <c r="M319" s="36"/>
      <c r="N319" s="36"/>
      <c r="O319" s="36"/>
      <c r="P319" s="36"/>
      <c r="Q319" s="36"/>
      <c r="R319" s="10"/>
      <c r="S319" s="10"/>
      <c r="T319" s="10"/>
      <c r="U319" s="17"/>
      <c r="V319" s="10"/>
      <c r="W319" s="10"/>
      <c r="X319" s="10"/>
    </row>
    <row r="320" spans="1:29">
      <c r="B320" s="32" t="s">
        <v>25</v>
      </c>
      <c r="C320" s="37" t="e">
        <f>P326</f>
        <v>#DIV/0!</v>
      </c>
      <c r="D320" s="10"/>
      <c r="E320" s="18" t="s">
        <v>26</v>
      </c>
      <c r="F320" s="38">
        <f>P322</f>
        <v>0</v>
      </c>
      <c r="G320" s="39">
        <f>I356+I390+I412</f>
        <v>0</v>
      </c>
      <c r="H320" s="40"/>
      <c r="I320" s="41"/>
      <c r="J320" s="42"/>
      <c r="K320" s="43" t="s">
        <v>27</v>
      </c>
      <c r="L320" s="44"/>
      <c r="M320" s="44"/>
      <c r="N320" s="44"/>
      <c r="O320" s="44"/>
      <c r="P320" s="44"/>
      <c r="Q320" s="45"/>
      <c r="R320" s="46" t="s">
        <v>28</v>
      </c>
      <c r="S320" s="47" t="s">
        <v>29</v>
      </c>
      <c r="T320" s="10"/>
      <c r="U320" s="17"/>
      <c r="V320" s="10"/>
      <c r="W320" s="10"/>
      <c r="X320" s="10"/>
    </row>
    <row r="321" spans="2:24">
      <c r="B321" s="11"/>
      <c r="C321" s="10"/>
      <c r="D321" s="10"/>
      <c r="E321" s="24" t="s">
        <v>30</v>
      </c>
      <c r="F321" s="48">
        <f>F316</f>
        <v>0.05</v>
      </c>
      <c r="G321" s="17"/>
      <c r="H321" s="40"/>
      <c r="I321" s="41"/>
      <c r="J321" s="42"/>
      <c r="K321" s="20" t="s">
        <v>31</v>
      </c>
      <c r="L321" s="21" t="s">
        <v>32</v>
      </c>
      <c r="M321" s="21" t="s">
        <v>33</v>
      </c>
      <c r="N321" s="21" t="s">
        <v>34</v>
      </c>
      <c r="O321" s="21" t="s">
        <v>35</v>
      </c>
      <c r="P321" s="21" t="s">
        <v>36</v>
      </c>
      <c r="Q321" s="49" t="s">
        <v>37</v>
      </c>
      <c r="R321" s="50" t="s">
        <v>38</v>
      </c>
      <c r="S321" s="50" t="s">
        <v>38</v>
      </c>
      <c r="T321" s="10"/>
      <c r="U321" s="17"/>
      <c r="V321" s="10"/>
      <c r="W321" s="10"/>
      <c r="X321" s="10"/>
    </row>
    <row r="322" spans="2:24">
      <c r="B322" s="11"/>
      <c r="C322" s="10"/>
      <c r="D322" s="10"/>
      <c r="E322" s="51" t="s">
        <v>39</v>
      </c>
      <c r="F322" s="52">
        <f>F320*F321</f>
        <v>0</v>
      </c>
      <c r="G322" s="53" t="s">
        <v>40</v>
      </c>
      <c r="H322" s="54">
        <f>F322/1.12</f>
        <v>0</v>
      </c>
      <c r="I322" s="55"/>
      <c r="J322" s="42"/>
      <c r="K322" s="56"/>
      <c r="L322" s="57"/>
      <c r="M322" s="57"/>
      <c r="N322" s="57"/>
      <c r="O322" s="57"/>
      <c r="P322" s="57">
        <f>SUM(K322:O322)</f>
        <v>0</v>
      </c>
      <c r="Q322" s="58">
        <v>0</v>
      </c>
      <c r="R322" s="59">
        <f>I390+I412</f>
        <v>0</v>
      </c>
      <c r="S322" s="59">
        <f>I401+I423</f>
        <v>0</v>
      </c>
      <c r="T322" s="10"/>
      <c r="U322" s="17"/>
      <c r="V322" s="10"/>
      <c r="W322" s="10"/>
      <c r="X322" s="10"/>
    </row>
    <row r="323" spans="2:24">
      <c r="B323" s="11"/>
      <c r="C323" s="10"/>
      <c r="D323" s="10"/>
      <c r="E323" s="24" t="s">
        <v>41</v>
      </c>
      <c r="F323" s="60">
        <f>Q322</f>
        <v>0</v>
      </c>
      <c r="G323" s="61" t="s">
        <v>40</v>
      </c>
      <c r="H323" s="62"/>
      <c r="I323" s="62"/>
      <c r="J323" s="10" t="s">
        <v>42</v>
      </c>
      <c r="K323" s="63"/>
      <c r="L323" s="63"/>
      <c r="M323" s="63"/>
      <c r="N323" s="63"/>
      <c r="O323" s="63"/>
      <c r="P323" s="21">
        <f>SUM(K323:O323)</f>
        <v>0</v>
      </c>
      <c r="Q323" s="64"/>
      <c r="R323" s="63"/>
      <c r="S323" s="10"/>
      <c r="T323" s="10"/>
      <c r="U323" s="17"/>
      <c r="V323" s="10"/>
      <c r="W323" s="10"/>
      <c r="X323" s="10"/>
    </row>
    <row r="324" spans="2:24">
      <c r="B324" s="11"/>
      <c r="C324" s="10"/>
      <c r="D324" s="10"/>
      <c r="E324" s="51" t="s">
        <v>43</v>
      </c>
      <c r="F324" s="52">
        <f>F323*0.25</f>
        <v>0</v>
      </c>
      <c r="G324" s="53" t="s">
        <v>40</v>
      </c>
      <c r="H324" s="54">
        <f>F324/1.12</f>
        <v>0</v>
      </c>
      <c r="I324" s="10"/>
      <c r="J324" s="10" t="s">
        <v>44</v>
      </c>
      <c r="K324" s="63"/>
      <c r="L324" s="63"/>
      <c r="M324" s="63"/>
      <c r="N324" s="63"/>
      <c r="O324" s="63"/>
      <c r="P324" s="21">
        <f>SUM(K324:O324)</f>
        <v>0</v>
      </c>
      <c r="Q324" s="64"/>
      <c r="R324" s="63"/>
      <c r="S324" s="10"/>
      <c r="T324" s="10"/>
      <c r="U324" s="17"/>
      <c r="V324" s="10"/>
      <c r="W324" s="10"/>
      <c r="X324" s="10"/>
    </row>
    <row r="325" spans="2:24">
      <c r="B325" s="11"/>
      <c r="C325" s="10"/>
      <c r="D325" s="10"/>
      <c r="E325" s="24" t="s">
        <v>45</v>
      </c>
      <c r="F325" s="60"/>
      <c r="G325" s="61" t="s">
        <v>40</v>
      </c>
      <c r="H325" s="62"/>
      <c r="I325" s="10"/>
      <c r="J325" s="10" t="s">
        <v>46</v>
      </c>
      <c r="K325" s="31" t="e">
        <f t="shared" ref="K325:Q325" si="78">K323/(K323+K324)</f>
        <v>#DIV/0!</v>
      </c>
      <c r="L325" s="31" t="e">
        <f t="shared" si="78"/>
        <v>#DIV/0!</v>
      </c>
      <c r="M325" s="31" t="e">
        <f t="shared" si="78"/>
        <v>#DIV/0!</v>
      </c>
      <c r="N325" s="31" t="e">
        <f t="shared" si="78"/>
        <v>#DIV/0!</v>
      </c>
      <c r="O325" s="31" t="e">
        <f t="shared" si="78"/>
        <v>#DIV/0!</v>
      </c>
      <c r="P325" s="31" t="e">
        <f t="shared" si="78"/>
        <v>#DIV/0!</v>
      </c>
      <c r="Q325" s="31" t="e">
        <f t="shared" si="78"/>
        <v>#DIV/0!</v>
      </c>
      <c r="R325" s="63"/>
      <c r="S325" s="10"/>
      <c r="T325" s="10"/>
      <c r="U325" s="17"/>
      <c r="V325" s="10"/>
      <c r="W325" s="10"/>
      <c r="X325" s="10"/>
    </row>
    <row r="326" spans="2:24">
      <c r="B326" s="11"/>
      <c r="C326" s="10"/>
      <c r="D326" s="10"/>
      <c r="E326" s="51" t="s">
        <v>47</v>
      </c>
      <c r="F326" s="52">
        <f>F325*0.05</f>
        <v>0</v>
      </c>
      <c r="G326" s="65" t="s">
        <v>40</v>
      </c>
      <c r="H326" s="54">
        <f>F326/1.12</f>
        <v>0</v>
      </c>
      <c r="I326" s="42"/>
      <c r="J326" s="10" t="s">
        <v>48</v>
      </c>
      <c r="K326" s="66" t="e">
        <f>K322/K323</f>
        <v>#DIV/0!</v>
      </c>
      <c r="L326" s="66" t="e">
        <f t="shared" ref="L326:Q326" si="79">L322/L323</f>
        <v>#DIV/0!</v>
      </c>
      <c r="M326" s="66" t="e">
        <f t="shared" si="79"/>
        <v>#DIV/0!</v>
      </c>
      <c r="N326" s="66" t="e">
        <f t="shared" si="79"/>
        <v>#DIV/0!</v>
      </c>
      <c r="O326" s="66" t="e">
        <f t="shared" si="79"/>
        <v>#DIV/0!</v>
      </c>
      <c r="P326" s="66" t="e">
        <f t="shared" si="79"/>
        <v>#DIV/0!</v>
      </c>
      <c r="Q326" s="66" t="e">
        <f t="shared" si="79"/>
        <v>#DIV/0!</v>
      </c>
      <c r="R326" s="63"/>
      <c r="S326" s="10"/>
      <c r="T326" s="10"/>
      <c r="U326" s="17"/>
      <c r="V326" s="10"/>
      <c r="W326" s="10"/>
      <c r="X326" s="10"/>
    </row>
    <row r="327" spans="2:24">
      <c r="B327" s="11"/>
      <c r="C327" s="10"/>
      <c r="D327" s="10"/>
      <c r="E327" s="67" t="s">
        <v>14</v>
      </c>
      <c r="F327" s="68"/>
      <c r="G327" s="10"/>
      <c r="H327" s="54">
        <f>F327/1.12</f>
        <v>0</v>
      </c>
      <c r="I327" s="10"/>
      <c r="J327" s="10"/>
      <c r="K327" s="10"/>
      <c r="L327" s="10"/>
      <c r="M327" s="10"/>
      <c r="N327" s="10"/>
      <c r="O327" s="10"/>
      <c r="P327" s="10"/>
      <c r="Q327" s="10"/>
      <c r="R327" s="10"/>
      <c r="S327" s="10"/>
      <c r="T327" s="10"/>
      <c r="U327" s="17"/>
      <c r="V327" s="10"/>
      <c r="W327" s="10"/>
      <c r="X327" s="10"/>
    </row>
    <row r="328" spans="2:24">
      <c r="B328" s="11"/>
      <c r="C328" s="10"/>
      <c r="D328" s="10"/>
      <c r="E328" s="67" t="s">
        <v>49</v>
      </c>
      <c r="F328" s="69">
        <f>T317</f>
        <v>0</v>
      </c>
      <c r="G328" s="10"/>
      <c r="H328" s="54"/>
      <c r="I328" s="55"/>
      <c r="J328" s="42"/>
      <c r="K328" s="764" t="s">
        <v>50</v>
      </c>
      <c r="L328" s="765"/>
      <c r="M328" s="765"/>
      <c r="N328" s="765"/>
      <c r="O328" s="765"/>
      <c r="P328" s="765"/>
      <c r="Q328" s="766"/>
      <c r="R328" s="70" t="s">
        <v>28</v>
      </c>
      <c r="S328" s="71" t="s">
        <v>29</v>
      </c>
      <c r="T328" s="10"/>
      <c r="U328" s="17"/>
      <c r="V328" s="10"/>
      <c r="W328" s="10"/>
      <c r="X328" s="10"/>
    </row>
    <row r="329" spans="2:24">
      <c r="B329" s="11"/>
      <c r="C329" s="10"/>
      <c r="D329" s="10"/>
      <c r="E329" s="72"/>
      <c r="F329" s="73"/>
      <c r="G329" s="10"/>
      <c r="H329" s="10"/>
      <c r="I329" s="10"/>
      <c r="J329" s="42"/>
      <c r="K329" s="20" t="s">
        <v>31</v>
      </c>
      <c r="L329" s="21" t="s">
        <v>32</v>
      </c>
      <c r="M329" s="21" t="s">
        <v>33</v>
      </c>
      <c r="N329" s="21" t="s">
        <v>34</v>
      </c>
      <c r="O329" s="21" t="s">
        <v>35</v>
      </c>
      <c r="P329" s="21" t="s">
        <v>36</v>
      </c>
      <c r="Q329" s="49" t="s">
        <v>37</v>
      </c>
      <c r="R329" s="50" t="s">
        <v>38</v>
      </c>
      <c r="S329" s="50" t="s">
        <v>38</v>
      </c>
      <c r="T329" s="10"/>
      <c r="U329" s="17"/>
      <c r="V329" s="10"/>
      <c r="W329" s="10"/>
      <c r="X329" s="10"/>
    </row>
    <row r="330" spans="2:24">
      <c r="B330" s="11"/>
      <c r="C330" s="10"/>
      <c r="D330" s="10"/>
      <c r="E330" s="72"/>
      <c r="F330" s="73"/>
      <c r="G330" s="10"/>
      <c r="H330" s="10"/>
      <c r="I330" s="10"/>
      <c r="J330" s="42"/>
      <c r="K330" s="56"/>
      <c r="L330" s="57"/>
      <c r="M330" s="57"/>
      <c r="N330" s="57"/>
      <c r="O330" s="57"/>
      <c r="P330" s="57">
        <f>SUM(K330:O330)</f>
        <v>0</v>
      </c>
      <c r="Q330" s="58">
        <v>0</v>
      </c>
      <c r="R330" s="59">
        <f>F390+F412</f>
        <v>0</v>
      </c>
      <c r="S330" s="59">
        <f>F401+F423</f>
        <v>0</v>
      </c>
      <c r="T330" s="10"/>
      <c r="U330" s="17"/>
      <c r="V330" s="10"/>
      <c r="W330" s="10"/>
      <c r="X330" s="10"/>
    </row>
    <row r="331" spans="2:24">
      <c r="B331" s="11"/>
      <c r="C331" s="10"/>
      <c r="D331" s="10"/>
      <c r="E331" s="72"/>
      <c r="F331" s="73"/>
      <c r="G331" s="10"/>
      <c r="H331" s="10"/>
      <c r="I331" s="10"/>
      <c r="J331" s="10" t="s">
        <v>42</v>
      </c>
      <c r="K331" s="63">
        <f>K323</f>
        <v>0</v>
      </c>
      <c r="L331" s="63">
        <f t="shared" ref="L331:Q332" si="80">L323</f>
        <v>0</v>
      </c>
      <c r="M331" s="63">
        <f t="shared" si="80"/>
        <v>0</v>
      </c>
      <c r="N331" s="63">
        <f t="shared" si="80"/>
        <v>0</v>
      </c>
      <c r="O331" s="63">
        <f t="shared" si="80"/>
        <v>0</v>
      </c>
      <c r="P331" s="63">
        <f t="shared" si="80"/>
        <v>0</v>
      </c>
      <c r="Q331" s="63">
        <f t="shared" si="80"/>
        <v>0</v>
      </c>
      <c r="R331" s="63"/>
      <c r="S331" s="10"/>
      <c r="T331" s="10"/>
      <c r="U331" s="17"/>
      <c r="V331" s="10"/>
      <c r="W331" s="10"/>
      <c r="X331" s="10"/>
    </row>
    <row r="332" spans="2:24">
      <c r="B332" s="11"/>
      <c r="C332" s="10"/>
      <c r="D332" s="10"/>
      <c r="E332" s="74"/>
      <c r="F332" s="75"/>
      <c r="G332" s="10"/>
      <c r="H332" s="10"/>
      <c r="I332" s="10"/>
      <c r="J332" s="10" t="s">
        <v>44</v>
      </c>
      <c r="K332" s="63">
        <f>K324</f>
        <v>0</v>
      </c>
      <c r="L332" s="63">
        <f t="shared" si="80"/>
        <v>0</v>
      </c>
      <c r="M332" s="63">
        <f t="shared" si="80"/>
        <v>0</v>
      </c>
      <c r="N332" s="63">
        <f t="shared" si="80"/>
        <v>0</v>
      </c>
      <c r="O332" s="63">
        <f t="shared" si="80"/>
        <v>0</v>
      </c>
      <c r="P332" s="63">
        <f t="shared" si="80"/>
        <v>0</v>
      </c>
      <c r="Q332" s="63">
        <f t="shared" si="80"/>
        <v>0</v>
      </c>
      <c r="R332" s="63"/>
      <c r="S332" s="10"/>
      <c r="T332" s="10"/>
      <c r="U332" s="17"/>
      <c r="V332" s="10"/>
      <c r="W332" s="10"/>
      <c r="X332" s="10"/>
    </row>
    <row r="333" spans="2:24">
      <c r="B333" s="11"/>
      <c r="C333" s="10"/>
      <c r="D333" s="10"/>
      <c r="E333" s="12"/>
      <c r="F333" s="76"/>
      <c r="G333" s="10"/>
      <c r="H333" s="10"/>
      <c r="I333" s="10"/>
      <c r="J333" s="10" t="s">
        <v>46</v>
      </c>
      <c r="K333" s="31" t="e">
        <f t="shared" ref="K333:Q333" si="81">K331/(K331+K332)</f>
        <v>#DIV/0!</v>
      </c>
      <c r="L333" s="31" t="e">
        <f t="shared" si="81"/>
        <v>#DIV/0!</v>
      </c>
      <c r="M333" s="31" t="e">
        <f t="shared" si="81"/>
        <v>#DIV/0!</v>
      </c>
      <c r="N333" s="31" t="e">
        <f t="shared" si="81"/>
        <v>#DIV/0!</v>
      </c>
      <c r="O333" s="31" t="e">
        <f t="shared" si="81"/>
        <v>#DIV/0!</v>
      </c>
      <c r="P333" s="31" t="e">
        <f t="shared" si="81"/>
        <v>#DIV/0!</v>
      </c>
      <c r="Q333" s="31" t="e">
        <f t="shared" si="81"/>
        <v>#DIV/0!</v>
      </c>
      <c r="R333" s="63"/>
      <c r="S333" s="10"/>
      <c r="T333" s="10"/>
      <c r="U333" s="17"/>
      <c r="V333" s="10"/>
      <c r="W333" s="10"/>
      <c r="X333" s="10"/>
    </row>
    <row r="334" spans="2:24">
      <c r="B334" s="11"/>
      <c r="C334" s="10"/>
      <c r="D334" s="10"/>
      <c r="E334" s="10"/>
      <c r="F334" s="10"/>
      <c r="G334" s="10"/>
      <c r="H334" s="10"/>
      <c r="I334" s="10"/>
      <c r="J334" s="10" t="s">
        <v>48</v>
      </c>
      <c r="K334" s="66" t="e">
        <f t="shared" ref="K334:Q334" si="82">K330/K331</f>
        <v>#DIV/0!</v>
      </c>
      <c r="L334" s="66" t="e">
        <f t="shared" si="82"/>
        <v>#DIV/0!</v>
      </c>
      <c r="M334" s="66" t="e">
        <f t="shared" si="82"/>
        <v>#DIV/0!</v>
      </c>
      <c r="N334" s="66" t="e">
        <f t="shared" si="82"/>
        <v>#DIV/0!</v>
      </c>
      <c r="O334" s="66" t="e">
        <f t="shared" si="82"/>
        <v>#DIV/0!</v>
      </c>
      <c r="P334" s="66" t="e">
        <f t="shared" si="82"/>
        <v>#DIV/0!</v>
      </c>
      <c r="Q334" s="66" t="e">
        <f t="shared" si="82"/>
        <v>#DIV/0!</v>
      </c>
      <c r="R334" s="63"/>
      <c r="S334" s="10"/>
      <c r="T334" s="10"/>
      <c r="U334" s="17"/>
      <c r="V334" s="10"/>
      <c r="W334" s="10"/>
      <c r="X334" s="10"/>
    </row>
    <row r="335" spans="2:24">
      <c r="B335" s="11"/>
      <c r="C335" s="10"/>
      <c r="D335" s="10"/>
      <c r="E335" s="10"/>
      <c r="F335" s="10"/>
      <c r="G335" s="10"/>
      <c r="H335" s="10"/>
      <c r="I335" s="10"/>
      <c r="J335" s="10"/>
      <c r="K335" s="10"/>
      <c r="L335" s="10"/>
      <c r="M335" s="10"/>
      <c r="N335" s="10"/>
      <c r="O335" s="10"/>
      <c r="P335" s="10"/>
      <c r="Q335" s="10"/>
      <c r="R335" s="10"/>
      <c r="S335" s="10"/>
      <c r="T335" s="10"/>
      <c r="U335" s="17"/>
      <c r="V335" s="10"/>
      <c r="W335" s="10"/>
      <c r="X335" s="10"/>
    </row>
    <row r="336" spans="2:24">
      <c r="B336" s="11"/>
      <c r="C336" s="10"/>
      <c r="D336" s="10"/>
      <c r="E336" s="10"/>
      <c r="F336" s="10"/>
      <c r="G336" s="10"/>
      <c r="H336" s="10"/>
      <c r="I336" s="10"/>
      <c r="J336" s="10"/>
      <c r="K336" s="10"/>
      <c r="L336" s="10"/>
      <c r="M336" s="10"/>
      <c r="N336" s="10"/>
      <c r="O336" s="10"/>
      <c r="P336" s="10"/>
      <c r="Q336" s="10"/>
      <c r="R336" s="10"/>
      <c r="S336" s="10"/>
      <c r="T336" s="10"/>
      <c r="U336" s="17"/>
      <c r="V336" s="10"/>
      <c r="W336" s="10"/>
      <c r="X336" s="10"/>
    </row>
    <row r="337" spans="2:24">
      <c r="B337" s="18" t="s">
        <v>51</v>
      </c>
      <c r="C337" s="14"/>
      <c r="D337" s="14"/>
      <c r="E337" s="14"/>
      <c r="F337" s="13" t="s">
        <v>52</v>
      </c>
      <c r="G337" s="14"/>
      <c r="H337" s="14"/>
      <c r="I337" s="14"/>
      <c r="J337" s="14"/>
      <c r="K337" s="13" t="s">
        <v>3</v>
      </c>
      <c r="L337" s="14"/>
      <c r="M337" s="14"/>
      <c r="N337" s="13" t="s">
        <v>4</v>
      </c>
      <c r="O337" s="14"/>
      <c r="P337" s="14"/>
      <c r="Q337" s="13" t="s">
        <v>5</v>
      </c>
      <c r="R337" s="14"/>
      <c r="S337" s="14"/>
      <c r="T337" s="18"/>
      <c r="U337" s="16" t="s">
        <v>53</v>
      </c>
      <c r="V337" s="77"/>
      <c r="W337" s="77"/>
      <c r="X337" s="77"/>
    </row>
    <row r="338" spans="2:24">
      <c r="B338" s="24" t="s">
        <v>54</v>
      </c>
      <c r="C338" s="21" t="s">
        <v>55</v>
      </c>
      <c r="D338" s="21" t="s">
        <v>56</v>
      </c>
      <c r="E338" s="21" t="s">
        <v>57</v>
      </c>
      <c r="F338" s="20" t="s">
        <v>58</v>
      </c>
      <c r="G338" s="21" t="s">
        <v>59</v>
      </c>
      <c r="H338" s="21" t="s">
        <v>60</v>
      </c>
      <c r="I338" s="21" t="s">
        <v>26</v>
      </c>
      <c r="J338" s="22" t="s">
        <v>61</v>
      </c>
      <c r="K338" s="21" t="s">
        <v>8</v>
      </c>
      <c r="L338" s="21" t="s">
        <v>9</v>
      </c>
      <c r="M338" s="21" t="s">
        <v>10</v>
      </c>
      <c r="N338" s="20" t="s">
        <v>11</v>
      </c>
      <c r="O338" s="21" t="s">
        <v>12</v>
      </c>
      <c r="P338" s="22" t="s">
        <v>13</v>
      </c>
      <c r="Q338" s="21" t="s">
        <v>11</v>
      </c>
      <c r="R338" s="21" t="s">
        <v>12</v>
      </c>
      <c r="S338" s="21" t="s">
        <v>13</v>
      </c>
      <c r="T338" s="78" t="s">
        <v>14</v>
      </c>
      <c r="U338" s="30"/>
      <c r="V338" s="79" t="s">
        <v>62</v>
      </c>
      <c r="W338" s="80" t="s">
        <v>63</v>
      </c>
      <c r="X338" s="81" t="s">
        <v>64</v>
      </c>
    </row>
    <row r="339" spans="2:24">
      <c r="B339" s="4" t="s">
        <v>65</v>
      </c>
      <c r="C339" s="6"/>
      <c r="D339" s="6"/>
      <c r="E339" s="6"/>
      <c r="F339" s="6"/>
      <c r="G339" s="6"/>
      <c r="H339" s="6"/>
      <c r="I339" s="82"/>
      <c r="J339" s="6"/>
      <c r="K339" s="6"/>
      <c r="L339" s="6"/>
      <c r="M339" s="6"/>
      <c r="N339" s="6"/>
      <c r="O339" s="6"/>
      <c r="P339" s="6"/>
      <c r="Q339" s="6"/>
      <c r="R339" s="6"/>
      <c r="S339" s="6"/>
      <c r="T339" s="83"/>
      <c r="U339" s="6"/>
      <c r="V339" s="84"/>
      <c r="W339" s="85"/>
      <c r="X339" s="86"/>
    </row>
    <row r="340" spans="2:24">
      <c r="B340" s="87">
        <v>1</v>
      </c>
      <c r="C340" s="609"/>
      <c r="D340" s="10"/>
      <c r="E340" s="10"/>
      <c r="F340" s="62"/>
      <c r="G340" s="62"/>
      <c r="H340" s="88"/>
      <c r="I340" s="89">
        <f t="shared" ref="I340:I355" si="83">F340-G340-H340</f>
        <v>0</v>
      </c>
      <c r="J340" s="63"/>
      <c r="K340" s="63"/>
      <c r="L340" s="63"/>
      <c r="M340" s="63"/>
      <c r="N340" s="63"/>
      <c r="O340" s="63"/>
      <c r="P340" s="63"/>
      <c r="Q340" s="63"/>
      <c r="R340" s="63"/>
      <c r="S340" s="63"/>
      <c r="T340" s="63"/>
      <c r="U340" s="10"/>
      <c r="V340" s="90"/>
      <c r="W340" s="91"/>
      <c r="X340" s="92"/>
    </row>
    <row r="341" spans="2:24">
      <c r="B341" s="87">
        <f t="shared" ref="B341:B355" si="84">B340+1</f>
        <v>2</v>
      </c>
      <c r="C341" s="609"/>
      <c r="D341" s="10"/>
      <c r="E341" s="10"/>
      <c r="F341" s="62"/>
      <c r="G341" s="62"/>
      <c r="H341" s="62"/>
      <c r="I341" s="89">
        <f t="shared" si="83"/>
        <v>0</v>
      </c>
      <c r="J341" s="63"/>
      <c r="K341" s="63"/>
      <c r="L341" s="63"/>
      <c r="M341" s="63"/>
      <c r="N341" s="63"/>
      <c r="O341" s="63"/>
      <c r="P341" s="63"/>
      <c r="Q341" s="63"/>
      <c r="R341" s="63"/>
      <c r="S341" s="63"/>
      <c r="T341" s="63"/>
      <c r="U341" s="10"/>
      <c r="V341" s="90"/>
      <c r="W341" s="91"/>
      <c r="X341" s="92"/>
    </row>
    <row r="342" spans="2:24">
      <c r="B342" s="87">
        <f t="shared" si="84"/>
        <v>3</v>
      </c>
      <c r="C342" s="609"/>
      <c r="D342" s="3"/>
      <c r="E342" s="10"/>
      <c r="F342" s="62"/>
      <c r="G342" s="62"/>
      <c r="H342" s="62"/>
      <c r="I342" s="89">
        <f t="shared" si="83"/>
        <v>0</v>
      </c>
      <c r="J342" s="63"/>
      <c r="K342" s="63"/>
      <c r="L342" s="63"/>
      <c r="M342" s="63"/>
      <c r="N342" s="63"/>
      <c r="O342" s="63"/>
      <c r="P342" s="63"/>
      <c r="Q342" s="63"/>
      <c r="R342" s="63"/>
      <c r="S342" s="63"/>
      <c r="T342" s="63"/>
      <c r="U342" s="10"/>
      <c r="V342" s="90"/>
      <c r="W342" s="91"/>
      <c r="X342" s="92"/>
    </row>
    <row r="343" spans="2:24">
      <c r="B343" s="87">
        <f t="shared" si="84"/>
        <v>4</v>
      </c>
      <c r="C343" s="609"/>
      <c r="D343" s="10"/>
      <c r="E343" s="94"/>
      <c r="F343" s="62"/>
      <c r="G343" s="62"/>
      <c r="H343" s="62"/>
      <c r="I343" s="89">
        <f t="shared" si="83"/>
        <v>0</v>
      </c>
      <c r="J343" s="63"/>
      <c r="K343" s="63"/>
      <c r="L343" s="63"/>
      <c r="M343" s="63"/>
      <c r="N343" s="63"/>
      <c r="O343" s="63"/>
      <c r="P343" s="63"/>
      <c r="Q343" s="63"/>
      <c r="R343" s="63"/>
      <c r="S343" s="63"/>
      <c r="T343" s="63"/>
      <c r="U343" s="10"/>
      <c r="V343" s="90"/>
      <c r="W343" s="91"/>
      <c r="X343" s="92"/>
    </row>
    <row r="344" spans="2:24">
      <c r="B344" s="87">
        <f t="shared" si="84"/>
        <v>5</v>
      </c>
      <c r="C344" s="609"/>
      <c r="D344" s="10"/>
      <c r="E344" s="10"/>
      <c r="F344" s="62"/>
      <c r="G344" s="62"/>
      <c r="H344" s="62"/>
      <c r="I344" s="89">
        <f t="shared" si="83"/>
        <v>0</v>
      </c>
      <c r="J344" s="63"/>
      <c r="K344" s="63"/>
      <c r="L344" s="63"/>
      <c r="M344" s="63"/>
      <c r="N344" s="63"/>
      <c r="O344" s="63"/>
      <c r="P344" s="63"/>
      <c r="Q344" s="63"/>
      <c r="R344" s="63"/>
      <c r="S344" s="63"/>
      <c r="T344" s="63"/>
      <c r="U344" s="10"/>
      <c r="V344" s="90"/>
      <c r="W344" s="91"/>
      <c r="X344" s="92"/>
    </row>
    <row r="345" spans="2:24">
      <c r="B345" s="87">
        <f t="shared" si="84"/>
        <v>6</v>
      </c>
      <c r="C345" s="609"/>
      <c r="D345" s="10"/>
      <c r="E345" s="10"/>
      <c r="F345" s="62"/>
      <c r="G345" s="62"/>
      <c r="H345" s="88"/>
      <c r="I345" s="89">
        <f t="shared" si="83"/>
        <v>0</v>
      </c>
      <c r="J345" s="63"/>
      <c r="K345" s="63"/>
      <c r="L345" s="63"/>
      <c r="M345" s="63"/>
      <c r="N345" s="63"/>
      <c r="O345" s="63"/>
      <c r="P345" s="63"/>
      <c r="Q345" s="63"/>
      <c r="R345" s="63"/>
      <c r="S345" s="63"/>
      <c r="T345" s="63"/>
      <c r="U345" s="10"/>
      <c r="V345" s="90"/>
      <c r="W345" s="91"/>
      <c r="X345" s="92"/>
    </row>
    <row r="346" spans="2:24">
      <c r="B346" s="87">
        <f t="shared" si="84"/>
        <v>7</v>
      </c>
      <c r="C346" s="609"/>
      <c r="D346" s="10"/>
      <c r="E346" s="10"/>
      <c r="F346" s="62"/>
      <c r="G346" s="62"/>
      <c r="H346" s="88"/>
      <c r="I346" s="89">
        <f t="shared" si="83"/>
        <v>0</v>
      </c>
      <c r="J346" s="63"/>
      <c r="K346" s="63"/>
      <c r="L346" s="63"/>
      <c r="M346" s="63"/>
      <c r="N346" s="63"/>
      <c r="O346" s="63"/>
      <c r="P346" s="63"/>
      <c r="Q346" s="63"/>
      <c r="R346" s="63"/>
      <c r="S346" s="63"/>
      <c r="T346" s="63"/>
      <c r="U346" s="10"/>
      <c r="V346" s="90"/>
      <c r="W346" s="91"/>
      <c r="X346" s="92"/>
    </row>
    <row r="347" spans="2:24">
      <c r="B347" s="87">
        <f t="shared" si="84"/>
        <v>8</v>
      </c>
      <c r="C347" s="609"/>
      <c r="D347" s="10"/>
      <c r="E347" s="10"/>
      <c r="F347" s="62"/>
      <c r="G347" s="62"/>
      <c r="H347" s="88"/>
      <c r="I347" s="89">
        <f t="shared" si="83"/>
        <v>0</v>
      </c>
      <c r="J347" s="63"/>
      <c r="K347" s="63"/>
      <c r="L347" s="63"/>
      <c r="M347" s="63"/>
      <c r="N347" s="63"/>
      <c r="O347" s="63"/>
      <c r="P347" s="63"/>
      <c r="Q347" s="63"/>
      <c r="R347" s="63"/>
      <c r="S347" s="63"/>
      <c r="T347" s="63"/>
      <c r="U347" s="10"/>
      <c r="V347" s="90"/>
      <c r="W347" s="91"/>
      <c r="X347" s="92"/>
    </row>
    <row r="348" spans="2:24">
      <c r="B348" s="87">
        <f t="shared" si="84"/>
        <v>9</v>
      </c>
      <c r="C348" s="609"/>
      <c r="D348" s="10"/>
      <c r="E348" s="10"/>
      <c r="F348" s="62"/>
      <c r="G348" s="62"/>
      <c r="H348" s="88"/>
      <c r="I348" s="89">
        <f t="shared" si="83"/>
        <v>0</v>
      </c>
      <c r="J348" s="63"/>
      <c r="K348" s="63"/>
      <c r="L348" s="63"/>
      <c r="M348" s="63"/>
      <c r="N348" s="63"/>
      <c r="O348" s="63"/>
      <c r="P348" s="63"/>
      <c r="Q348" s="63"/>
      <c r="R348" s="63"/>
      <c r="S348" s="63"/>
      <c r="T348" s="63"/>
      <c r="U348" s="10"/>
      <c r="V348" s="90"/>
      <c r="W348" s="91"/>
      <c r="X348" s="92"/>
    </row>
    <row r="349" spans="2:24">
      <c r="B349" s="87">
        <f t="shared" si="84"/>
        <v>10</v>
      </c>
      <c r="C349" s="609"/>
      <c r="D349" s="10"/>
      <c r="E349" s="10"/>
      <c r="F349" s="62"/>
      <c r="G349" s="62"/>
      <c r="H349" s="88"/>
      <c r="I349" s="89">
        <f t="shared" si="83"/>
        <v>0</v>
      </c>
      <c r="J349" s="63"/>
      <c r="K349" s="63"/>
      <c r="L349" s="63"/>
      <c r="M349" s="63"/>
      <c r="N349" s="63"/>
      <c r="O349" s="63"/>
      <c r="P349" s="63"/>
      <c r="Q349" s="63"/>
      <c r="R349" s="63"/>
      <c r="S349" s="63"/>
      <c r="T349" s="63"/>
      <c r="U349" s="10"/>
      <c r="V349" s="90"/>
      <c r="W349" s="91"/>
      <c r="X349" s="92"/>
    </row>
    <row r="350" spans="2:24">
      <c r="B350" s="87">
        <f t="shared" si="84"/>
        <v>11</v>
      </c>
      <c r="C350" s="609"/>
      <c r="D350" s="10"/>
      <c r="E350" s="10"/>
      <c r="F350" s="95"/>
      <c r="G350" s="62"/>
      <c r="H350" s="62"/>
      <c r="I350" s="89">
        <f t="shared" si="83"/>
        <v>0</v>
      </c>
      <c r="J350" s="63"/>
      <c r="K350" s="63"/>
      <c r="L350" s="63"/>
      <c r="M350" s="63"/>
      <c r="N350" s="63"/>
      <c r="O350" s="63"/>
      <c r="P350" s="63"/>
      <c r="Q350" s="63"/>
      <c r="R350" s="63"/>
      <c r="S350" s="63"/>
      <c r="T350" s="63"/>
      <c r="U350" s="10"/>
      <c r="V350" s="90"/>
      <c r="W350" s="91"/>
      <c r="X350" s="92"/>
    </row>
    <row r="351" spans="2:24">
      <c r="B351" s="87">
        <f t="shared" si="84"/>
        <v>12</v>
      </c>
      <c r="C351" s="609"/>
      <c r="D351" s="10"/>
      <c r="E351" s="10"/>
      <c r="F351" s="95"/>
      <c r="G351" s="62"/>
      <c r="H351" s="62"/>
      <c r="I351" s="89">
        <f t="shared" si="83"/>
        <v>0</v>
      </c>
      <c r="J351" s="63"/>
      <c r="K351" s="63"/>
      <c r="L351" s="63"/>
      <c r="M351" s="63"/>
      <c r="N351" s="63"/>
      <c r="O351" s="63"/>
      <c r="P351" s="63"/>
      <c r="Q351" s="63"/>
      <c r="R351" s="63"/>
      <c r="S351" s="63"/>
      <c r="T351" s="63"/>
      <c r="U351" s="10"/>
      <c r="V351" s="90"/>
      <c r="W351" s="91"/>
      <c r="X351" s="92"/>
    </row>
    <row r="352" spans="2:24">
      <c r="B352" s="87">
        <f t="shared" si="84"/>
        <v>13</v>
      </c>
      <c r="C352" s="609"/>
      <c r="D352" s="10"/>
      <c r="E352" s="10"/>
      <c r="F352" s="95"/>
      <c r="G352" s="62"/>
      <c r="H352" s="62"/>
      <c r="I352" s="89">
        <f t="shared" si="83"/>
        <v>0</v>
      </c>
      <c r="J352" s="63"/>
      <c r="K352" s="63"/>
      <c r="L352" s="63"/>
      <c r="M352" s="63"/>
      <c r="N352" s="63"/>
      <c r="O352" s="63"/>
      <c r="P352" s="63"/>
      <c r="Q352" s="63"/>
      <c r="R352" s="63"/>
      <c r="S352" s="63"/>
      <c r="T352" s="63"/>
      <c r="U352" s="10"/>
      <c r="V352" s="90"/>
      <c r="W352" s="91"/>
      <c r="X352" s="92"/>
    </row>
    <row r="353" spans="2:24">
      <c r="B353" s="87">
        <f t="shared" si="84"/>
        <v>14</v>
      </c>
      <c r="C353" s="609"/>
      <c r="D353" s="10"/>
      <c r="E353" s="10"/>
      <c r="F353" s="95"/>
      <c r="G353" s="62"/>
      <c r="H353" s="62"/>
      <c r="I353" s="89">
        <f t="shared" si="83"/>
        <v>0</v>
      </c>
      <c r="J353" s="63"/>
      <c r="K353" s="63"/>
      <c r="L353" s="63"/>
      <c r="M353" s="63"/>
      <c r="N353" s="63"/>
      <c r="O353" s="63"/>
      <c r="P353" s="63"/>
      <c r="Q353" s="63"/>
      <c r="R353" s="63"/>
      <c r="S353" s="63"/>
      <c r="T353" s="63"/>
      <c r="U353" s="10"/>
      <c r="V353" s="90"/>
      <c r="W353" s="91"/>
      <c r="X353" s="92"/>
    </row>
    <row r="354" spans="2:24">
      <c r="B354" s="87">
        <f t="shared" si="84"/>
        <v>15</v>
      </c>
      <c r="C354" s="609"/>
      <c r="D354" s="10"/>
      <c r="E354" s="10"/>
      <c r="F354" s="95"/>
      <c r="G354" s="62"/>
      <c r="H354" s="62"/>
      <c r="I354" s="89">
        <f t="shared" si="83"/>
        <v>0</v>
      </c>
      <c r="J354" s="63"/>
      <c r="K354" s="63"/>
      <c r="L354" s="63"/>
      <c r="M354" s="63"/>
      <c r="N354" s="63"/>
      <c r="O354" s="63"/>
      <c r="P354" s="63"/>
      <c r="Q354" s="63"/>
      <c r="R354" s="63"/>
      <c r="S354" s="63"/>
      <c r="T354" s="63"/>
      <c r="U354" s="10"/>
      <c r="V354" s="90"/>
      <c r="W354" s="96"/>
      <c r="X354" s="92"/>
    </row>
    <row r="355" spans="2:24">
      <c r="B355" s="87">
        <f t="shared" si="84"/>
        <v>16</v>
      </c>
      <c r="C355" s="609"/>
      <c r="D355" s="10"/>
      <c r="E355" s="10"/>
      <c r="F355" s="95"/>
      <c r="G355" s="62"/>
      <c r="H355" s="62"/>
      <c r="I355" s="89">
        <f t="shared" si="83"/>
        <v>0</v>
      </c>
      <c r="J355" s="63"/>
      <c r="K355" s="63"/>
      <c r="L355" s="63"/>
      <c r="M355" s="63"/>
      <c r="N355" s="63"/>
      <c r="O355" s="63"/>
      <c r="P355" s="63"/>
      <c r="Q355" s="63"/>
      <c r="R355" s="63"/>
      <c r="S355" s="63"/>
      <c r="T355" s="63"/>
      <c r="U355" s="10"/>
      <c r="V355" s="90"/>
      <c r="W355" s="96"/>
      <c r="X355" s="92"/>
    </row>
    <row r="356" spans="2:24">
      <c r="B356" s="87"/>
      <c r="C356" s="609"/>
      <c r="D356" s="10"/>
      <c r="E356" s="10"/>
      <c r="F356" s="97">
        <f>SUM(F340:F355)</f>
        <v>0</v>
      </c>
      <c r="G356" s="97">
        <f>SUM(G340:G355)</f>
        <v>0</v>
      </c>
      <c r="H356" s="97">
        <f>SUM(H340:H355)</f>
        <v>0</v>
      </c>
      <c r="I356" s="98">
        <f>SUM(I340:I355)</f>
        <v>0</v>
      </c>
      <c r="J356" s="63"/>
      <c r="K356" s="63">
        <f t="shared" ref="K356:S356" si="85">COUNT(K340:K355)</f>
        <v>0</v>
      </c>
      <c r="L356" s="63">
        <f t="shared" si="85"/>
        <v>0</v>
      </c>
      <c r="M356" s="63">
        <f t="shared" si="85"/>
        <v>0</v>
      </c>
      <c r="N356" s="63">
        <f t="shared" si="85"/>
        <v>0</v>
      </c>
      <c r="O356" s="63">
        <f t="shared" si="85"/>
        <v>0</v>
      </c>
      <c r="P356" s="63">
        <f t="shared" si="85"/>
        <v>0</v>
      </c>
      <c r="Q356" s="63">
        <f t="shared" si="85"/>
        <v>0</v>
      </c>
      <c r="R356" s="63">
        <f t="shared" si="85"/>
        <v>0</v>
      </c>
      <c r="S356" s="63">
        <f t="shared" si="85"/>
        <v>0</v>
      </c>
      <c r="T356" s="63"/>
      <c r="U356" s="10"/>
      <c r="V356" s="90"/>
      <c r="W356" s="91"/>
      <c r="X356" s="92"/>
    </row>
    <row r="357" spans="2:24">
      <c r="B357" s="87"/>
      <c r="C357" s="609"/>
      <c r="D357" s="10"/>
      <c r="E357" s="10"/>
      <c r="F357" s="88"/>
      <c r="G357" s="88"/>
      <c r="H357" s="88"/>
      <c r="I357" s="99"/>
      <c r="J357" s="63"/>
      <c r="K357" s="21">
        <f t="shared" ref="K357:S357" si="86">SUM(K340:K355)</f>
        <v>0</v>
      </c>
      <c r="L357" s="21">
        <f t="shared" si="86"/>
        <v>0</v>
      </c>
      <c r="M357" s="21">
        <f t="shared" si="86"/>
        <v>0</v>
      </c>
      <c r="N357" s="21">
        <f t="shared" si="86"/>
        <v>0</v>
      </c>
      <c r="O357" s="21">
        <f t="shared" si="86"/>
        <v>0</v>
      </c>
      <c r="P357" s="21">
        <f t="shared" si="86"/>
        <v>0</v>
      </c>
      <c r="Q357" s="21">
        <f t="shared" si="86"/>
        <v>0</v>
      </c>
      <c r="R357" s="21">
        <f t="shared" si="86"/>
        <v>0</v>
      </c>
      <c r="S357" s="21">
        <f t="shared" si="86"/>
        <v>0</v>
      </c>
      <c r="T357" s="63"/>
      <c r="U357" s="10"/>
      <c r="V357" s="90"/>
      <c r="W357" s="91"/>
      <c r="X357" s="92"/>
    </row>
    <row r="358" spans="2:24">
      <c r="B358" s="11"/>
      <c r="C358" s="609"/>
      <c r="D358" s="10"/>
      <c r="E358" s="10"/>
      <c r="F358" s="88"/>
      <c r="G358" s="88"/>
      <c r="H358" s="88"/>
      <c r="I358" s="99"/>
      <c r="J358" s="63"/>
      <c r="K358" s="21"/>
      <c r="L358" s="21"/>
      <c r="M358" s="21"/>
      <c r="N358" s="21"/>
      <c r="O358" s="21"/>
      <c r="P358" s="21"/>
      <c r="Q358" s="21"/>
      <c r="R358" s="21"/>
      <c r="S358" s="21"/>
      <c r="T358" s="63"/>
      <c r="U358" s="10"/>
      <c r="V358" s="90"/>
      <c r="W358" s="91"/>
      <c r="X358" s="92"/>
    </row>
    <row r="359" spans="2:24">
      <c r="B359" s="100" t="s">
        <v>66</v>
      </c>
      <c r="C359" s="609"/>
      <c r="D359" s="10"/>
      <c r="E359" s="10"/>
      <c r="F359" s="88"/>
      <c r="G359" s="62"/>
      <c r="H359" s="88"/>
      <c r="I359" s="99"/>
      <c r="J359" s="63"/>
      <c r="K359" s="2"/>
      <c r="L359" s="2"/>
      <c r="M359" s="2"/>
      <c r="N359" s="2"/>
      <c r="O359" s="2"/>
      <c r="P359" s="2"/>
      <c r="Q359" s="2"/>
      <c r="R359" s="2"/>
      <c r="S359" s="2"/>
      <c r="T359" s="63"/>
      <c r="U359" s="94"/>
      <c r="V359" s="90"/>
      <c r="W359" s="91"/>
      <c r="X359" s="92"/>
    </row>
    <row r="360" spans="2:24">
      <c r="B360" s="87">
        <v>1</v>
      </c>
      <c r="C360" s="609"/>
      <c r="D360" s="10"/>
      <c r="E360" s="101"/>
      <c r="F360" s="62"/>
      <c r="G360" s="62"/>
      <c r="H360" s="62"/>
      <c r="I360" s="89">
        <f t="shared" ref="I360:I367" si="87">F360-G360-H360</f>
        <v>0</v>
      </c>
      <c r="J360" s="63"/>
      <c r="K360" s="63"/>
      <c r="L360" s="63"/>
      <c r="M360" s="63"/>
      <c r="N360" s="63"/>
      <c r="O360" s="63"/>
      <c r="P360" s="63"/>
      <c r="Q360" s="63"/>
      <c r="R360" s="63"/>
      <c r="S360" s="63"/>
      <c r="T360" s="63"/>
      <c r="U360" s="94"/>
      <c r="V360" s="90"/>
      <c r="W360" s="91"/>
      <c r="X360" s="92"/>
    </row>
    <row r="361" spans="2:24">
      <c r="B361" s="87">
        <f t="shared" ref="B361:B367" si="88">B360+1</f>
        <v>2</v>
      </c>
      <c r="C361" s="609"/>
      <c r="D361" s="10"/>
      <c r="E361" s="101"/>
      <c r="F361" s="62"/>
      <c r="G361" s="62"/>
      <c r="H361" s="62"/>
      <c r="I361" s="89">
        <f t="shared" si="87"/>
        <v>0</v>
      </c>
      <c r="J361" s="63"/>
      <c r="K361" s="63"/>
      <c r="L361" s="63"/>
      <c r="M361" s="63"/>
      <c r="N361" s="63"/>
      <c r="O361" s="63"/>
      <c r="P361" s="63"/>
      <c r="Q361" s="63"/>
      <c r="R361" s="63"/>
      <c r="S361" s="63"/>
      <c r="T361" s="63"/>
      <c r="U361" s="94"/>
      <c r="V361" s="90"/>
      <c r="W361" s="91"/>
      <c r="X361" s="92"/>
    </row>
    <row r="362" spans="2:24">
      <c r="B362" s="87">
        <f t="shared" si="88"/>
        <v>3</v>
      </c>
      <c r="C362" s="609"/>
      <c r="D362" s="10"/>
      <c r="E362" s="101"/>
      <c r="F362" s="62"/>
      <c r="G362" s="62"/>
      <c r="H362" s="62"/>
      <c r="I362" s="89">
        <f t="shared" si="87"/>
        <v>0</v>
      </c>
      <c r="J362" s="63"/>
      <c r="K362" s="63"/>
      <c r="L362" s="63"/>
      <c r="M362" s="63"/>
      <c r="N362" s="63"/>
      <c r="O362" s="63"/>
      <c r="P362" s="63"/>
      <c r="Q362" s="63"/>
      <c r="R362" s="63"/>
      <c r="S362" s="63"/>
      <c r="T362" s="63"/>
      <c r="U362" s="94"/>
      <c r="V362" s="90"/>
      <c r="W362" s="91"/>
      <c r="X362" s="92"/>
    </row>
    <row r="363" spans="2:24">
      <c r="B363" s="87">
        <f t="shared" si="88"/>
        <v>4</v>
      </c>
      <c r="C363" s="609"/>
      <c r="D363" s="10"/>
      <c r="E363" s="101"/>
      <c r="F363" s="62"/>
      <c r="G363" s="62"/>
      <c r="H363" s="62"/>
      <c r="I363" s="89">
        <f t="shared" si="87"/>
        <v>0</v>
      </c>
      <c r="J363" s="63"/>
      <c r="K363" s="63"/>
      <c r="L363" s="63"/>
      <c r="M363" s="63"/>
      <c r="N363" s="63"/>
      <c r="O363" s="63"/>
      <c r="P363" s="63"/>
      <c r="Q363" s="63"/>
      <c r="R363" s="63"/>
      <c r="S363" s="63"/>
      <c r="T363" s="63"/>
      <c r="U363" s="94"/>
      <c r="V363" s="90"/>
      <c r="W363" s="91"/>
      <c r="X363" s="92"/>
    </row>
    <row r="364" spans="2:24">
      <c r="B364" s="87">
        <f t="shared" si="88"/>
        <v>5</v>
      </c>
      <c r="C364" s="609"/>
      <c r="D364" s="10"/>
      <c r="E364" s="101"/>
      <c r="F364" s="62"/>
      <c r="G364" s="62"/>
      <c r="H364" s="62"/>
      <c r="I364" s="89">
        <f t="shared" si="87"/>
        <v>0</v>
      </c>
      <c r="J364" s="63"/>
      <c r="K364" s="63"/>
      <c r="L364" s="63"/>
      <c r="M364" s="63"/>
      <c r="N364" s="63"/>
      <c r="O364" s="63"/>
      <c r="P364" s="63"/>
      <c r="Q364" s="63"/>
      <c r="R364" s="63"/>
      <c r="S364" s="63"/>
      <c r="T364" s="63"/>
      <c r="U364" s="94"/>
      <c r="V364" s="90"/>
      <c r="W364" s="91"/>
      <c r="X364" s="92"/>
    </row>
    <row r="365" spans="2:24">
      <c r="B365" s="87">
        <f t="shared" si="88"/>
        <v>6</v>
      </c>
      <c r="C365" s="609"/>
      <c r="D365" s="10"/>
      <c r="E365" s="101"/>
      <c r="F365" s="62"/>
      <c r="G365" s="62"/>
      <c r="H365" s="62"/>
      <c r="I365" s="89">
        <f t="shared" si="87"/>
        <v>0</v>
      </c>
      <c r="J365" s="63"/>
      <c r="K365" s="63"/>
      <c r="L365" s="63"/>
      <c r="M365" s="63"/>
      <c r="N365" s="63"/>
      <c r="O365" s="63"/>
      <c r="P365" s="63"/>
      <c r="Q365" s="63"/>
      <c r="R365" s="63"/>
      <c r="S365" s="63"/>
      <c r="T365" s="63"/>
      <c r="U365" s="94"/>
      <c r="V365" s="90"/>
      <c r="W365" s="91"/>
      <c r="X365" s="92"/>
    </row>
    <row r="366" spans="2:24">
      <c r="B366" s="87">
        <f t="shared" si="88"/>
        <v>7</v>
      </c>
      <c r="C366" s="609"/>
      <c r="D366" s="10"/>
      <c r="E366" s="101"/>
      <c r="F366" s="62"/>
      <c r="G366" s="62"/>
      <c r="H366" s="62"/>
      <c r="I366" s="89">
        <f t="shared" si="87"/>
        <v>0</v>
      </c>
      <c r="J366" s="63"/>
      <c r="K366" s="63"/>
      <c r="L366" s="63"/>
      <c r="M366" s="63"/>
      <c r="N366" s="63"/>
      <c r="O366" s="63"/>
      <c r="P366" s="63"/>
      <c r="Q366" s="63"/>
      <c r="R366" s="63"/>
      <c r="S366" s="63"/>
      <c r="T366" s="63"/>
      <c r="U366" s="94"/>
      <c r="V366" s="90"/>
      <c r="W366" s="91"/>
      <c r="X366" s="92"/>
    </row>
    <row r="367" spans="2:24">
      <c r="B367" s="87">
        <f t="shared" si="88"/>
        <v>8</v>
      </c>
      <c r="C367" s="609"/>
      <c r="D367" s="10"/>
      <c r="E367" s="101"/>
      <c r="F367" s="62"/>
      <c r="G367" s="62"/>
      <c r="H367" s="62"/>
      <c r="I367" s="89">
        <f t="shared" si="87"/>
        <v>0</v>
      </c>
      <c r="J367" s="63"/>
      <c r="K367" s="63"/>
      <c r="L367" s="63"/>
      <c r="M367" s="63"/>
      <c r="N367" s="63"/>
      <c r="O367" s="63"/>
      <c r="P367" s="63"/>
      <c r="Q367" s="63"/>
      <c r="R367" s="63"/>
      <c r="S367" s="63"/>
      <c r="T367" s="63"/>
      <c r="U367" s="94"/>
      <c r="V367" s="90"/>
      <c r="W367" s="91"/>
      <c r="X367" s="92"/>
    </row>
    <row r="368" spans="2:24">
      <c r="B368" s="11"/>
      <c r="C368" s="609"/>
      <c r="D368" s="10"/>
      <c r="E368" s="10"/>
      <c r="F368" s="97">
        <f>SUM(F360:F367)</f>
        <v>0</v>
      </c>
      <c r="G368" s="97">
        <f>SUM(G360:G367)</f>
        <v>0</v>
      </c>
      <c r="H368" s="97">
        <f>SUM(H360:H367)</f>
        <v>0</v>
      </c>
      <c r="I368" s="98">
        <f>SUM(I360:I367)</f>
        <v>0</v>
      </c>
      <c r="J368" s="63"/>
      <c r="K368" s="21"/>
      <c r="L368" s="21"/>
      <c r="M368" s="21"/>
      <c r="N368" s="21"/>
      <c r="O368" s="21"/>
      <c r="P368" s="21"/>
      <c r="Q368" s="21"/>
      <c r="R368" s="21"/>
      <c r="S368" s="21"/>
      <c r="T368" s="63"/>
      <c r="U368" s="94"/>
      <c r="V368" s="90"/>
      <c r="W368" s="91"/>
      <c r="X368" s="92"/>
    </row>
    <row r="369" spans="2:24">
      <c r="B369" s="11"/>
      <c r="C369" s="609"/>
      <c r="D369" s="10"/>
      <c r="E369" s="10"/>
      <c r="F369" s="88"/>
      <c r="G369" s="88"/>
      <c r="H369" s="88"/>
      <c r="I369" s="99"/>
      <c r="J369" s="63"/>
      <c r="K369" s="21"/>
      <c r="L369" s="21"/>
      <c r="M369" s="21"/>
      <c r="N369" s="21"/>
      <c r="O369" s="21"/>
      <c r="P369" s="21"/>
      <c r="Q369" s="21"/>
      <c r="R369" s="21"/>
      <c r="S369" s="21"/>
      <c r="T369" s="63"/>
      <c r="U369" s="94"/>
      <c r="V369" s="90"/>
      <c r="W369" s="91"/>
      <c r="X369" s="92"/>
    </row>
    <row r="370" spans="2:24">
      <c r="B370" s="102" t="s">
        <v>67</v>
      </c>
      <c r="C370" s="610"/>
      <c r="D370" s="104"/>
      <c r="E370" s="104"/>
      <c r="F370" s="105"/>
      <c r="G370" s="106"/>
      <c r="H370" s="105"/>
      <c r="I370" s="107"/>
      <c r="J370" s="108"/>
      <c r="K370" s="109"/>
      <c r="L370" s="109"/>
      <c r="M370" s="109"/>
      <c r="N370" s="109"/>
      <c r="O370" s="109"/>
      <c r="P370" s="109"/>
      <c r="Q370" s="109"/>
      <c r="R370" s="109"/>
      <c r="S370" s="109"/>
      <c r="T370" s="108"/>
      <c r="U370" s="110"/>
      <c r="V370" s="111"/>
      <c r="W370" s="112"/>
      <c r="X370" s="113"/>
    </row>
    <row r="371" spans="2:24">
      <c r="B371" s="114">
        <v>1</v>
      </c>
      <c r="C371" s="610"/>
      <c r="D371" s="104"/>
      <c r="E371" s="115"/>
      <c r="F371" s="106"/>
      <c r="G371" s="106"/>
      <c r="H371" s="106"/>
      <c r="I371" s="116">
        <f t="shared" ref="I371:I378" si="89">F371-G371-H371</f>
        <v>0</v>
      </c>
      <c r="J371" s="108"/>
      <c r="K371" s="108"/>
      <c r="L371" s="108"/>
      <c r="M371" s="108"/>
      <c r="N371" s="108"/>
      <c r="O371" s="108"/>
      <c r="P371" s="108"/>
      <c r="Q371" s="108"/>
      <c r="R371" s="108"/>
      <c r="S371" s="108"/>
      <c r="T371" s="108"/>
      <c r="U371" s="110"/>
      <c r="V371" s="111"/>
      <c r="W371" s="112"/>
      <c r="X371" s="113"/>
    </row>
    <row r="372" spans="2:24">
      <c r="B372" s="114">
        <f t="shared" ref="B372:B378" si="90">B371+1</f>
        <v>2</v>
      </c>
      <c r="C372" s="610"/>
      <c r="D372" s="104"/>
      <c r="E372" s="115"/>
      <c r="F372" s="106"/>
      <c r="G372" s="106"/>
      <c r="H372" s="106"/>
      <c r="I372" s="116">
        <f t="shared" si="89"/>
        <v>0</v>
      </c>
      <c r="J372" s="108"/>
      <c r="K372" s="108"/>
      <c r="L372" s="108"/>
      <c r="M372" s="108"/>
      <c r="N372" s="108"/>
      <c r="O372" s="108"/>
      <c r="P372" s="108"/>
      <c r="Q372" s="108"/>
      <c r="R372" s="108"/>
      <c r="S372" s="108"/>
      <c r="T372" s="108"/>
      <c r="U372" s="110"/>
      <c r="V372" s="111"/>
      <c r="W372" s="112"/>
      <c r="X372" s="113"/>
    </row>
    <row r="373" spans="2:24">
      <c r="B373" s="114">
        <f t="shared" si="90"/>
        <v>3</v>
      </c>
      <c r="C373" s="610"/>
      <c r="D373" s="104"/>
      <c r="E373" s="115"/>
      <c r="F373" s="106"/>
      <c r="G373" s="106"/>
      <c r="H373" s="106"/>
      <c r="I373" s="116">
        <f t="shared" si="89"/>
        <v>0</v>
      </c>
      <c r="J373" s="108"/>
      <c r="K373" s="108"/>
      <c r="L373" s="108"/>
      <c r="M373" s="108"/>
      <c r="N373" s="108"/>
      <c r="O373" s="108"/>
      <c r="P373" s="108"/>
      <c r="Q373" s="108"/>
      <c r="R373" s="108"/>
      <c r="S373" s="108"/>
      <c r="T373" s="108"/>
      <c r="U373" s="110"/>
      <c r="V373" s="111"/>
      <c r="W373" s="112"/>
      <c r="X373" s="113"/>
    </row>
    <row r="374" spans="2:24">
      <c r="B374" s="114">
        <f t="shared" si="90"/>
        <v>4</v>
      </c>
      <c r="C374" s="610"/>
      <c r="D374" s="104"/>
      <c r="E374" s="115"/>
      <c r="F374" s="106"/>
      <c r="G374" s="106"/>
      <c r="H374" s="106"/>
      <c r="I374" s="116">
        <f t="shared" si="89"/>
        <v>0</v>
      </c>
      <c r="J374" s="108"/>
      <c r="K374" s="108"/>
      <c r="L374" s="108"/>
      <c r="M374" s="108"/>
      <c r="N374" s="108"/>
      <c r="O374" s="108"/>
      <c r="P374" s="108"/>
      <c r="Q374" s="108"/>
      <c r="R374" s="108"/>
      <c r="S374" s="108"/>
      <c r="T374" s="108"/>
      <c r="U374" s="110"/>
      <c r="V374" s="111"/>
      <c r="W374" s="112"/>
      <c r="X374" s="113"/>
    </row>
    <row r="375" spans="2:24">
      <c r="B375" s="114">
        <f t="shared" si="90"/>
        <v>5</v>
      </c>
      <c r="C375" s="610"/>
      <c r="D375" s="104"/>
      <c r="E375" s="115"/>
      <c r="F375" s="106"/>
      <c r="G375" s="106"/>
      <c r="H375" s="106"/>
      <c r="I375" s="116">
        <f t="shared" si="89"/>
        <v>0</v>
      </c>
      <c r="J375" s="108"/>
      <c r="K375" s="108"/>
      <c r="L375" s="108"/>
      <c r="M375" s="108"/>
      <c r="N375" s="108"/>
      <c r="O375" s="108"/>
      <c r="P375" s="108"/>
      <c r="Q375" s="108"/>
      <c r="R375" s="108"/>
      <c r="S375" s="108"/>
      <c r="T375" s="108"/>
      <c r="U375" s="110"/>
      <c r="V375" s="111"/>
      <c r="W375" s="112"/>
      <c r="X375" s="113"/>
    </row>
    <row r="376" spans="2:24">
      <c r="B376" s="114">
        <f t="shared" si="90"/>
        <v>6</v>
      </c>
      <c r="C376" s="610"/>
      <c r="D376" s="104"/>
      <c r="E376" s="115"/>
      <c r="F376" s="106"/>
      <c r="G376" s="106"/>
      <c r="H376" s="106"/>
      <c r="I376" s="116">
        <f t="shared" si="89"/>
        <v>0</v>
      </c>
      <c r="J376" s="108"/>
      <c r="K376" s="108"/>
      <c r="L376" s="108"/>
      <c r="M376" s="108"/>
      <c r="N376" s="108"/>
      <c r="O376" s="108"/>
      <c r="P376" s="108"/>
      <c r="Q376" s="108"/>
      <c r="R376" s="108"/>
      <c r="S376" s="108"/>
      <c r="T376" s="108"/>
      <c r="U376" s="110"/>
      <c r="V376" s="111"/>
      <c r="W376" s="112"/>
      <c r="X376" s="113"/>
    </row>
    <row r="377" spans="2:24">
      <c r="B377" s="114">
        <f t="shared" si="90"/>
        <v>7</v>
      </c>
      <c r="C377" s="610"/>
      <c r="D377" s="104"/>
      <c r="E377" s="115"/>
      <c r="F377" s="106"/>
      <c r="G377" s="106"/>
      <c r="H377" s="106"/>
      <c r="I377" s="116">
        <f t="shared" si="89"/>
        <v>0</v>
      </c>
      <c r="J377" s="108"/>
      <c r="K377" s="108"/>
      <c r="L377" s="108"/>
      <c r="M377" s="108"/>
      <c r="N377" s="108"/>
      <c r="O377" s="108"/>
      <c r="P377" s="108"/>
      <c r="Q377" s="108"/>
      <c r="R377" s="108"/>
      <c r="S377" s="108"/>
      <c r="T377" s="108"/>
      <c r="U377" s="110"/>
      <c r="V377" s="111"/>
      <c r="W377" s="112"/>
      <c r="X377" s="113"/>
    </row>
    <row r="378" spans="2:24">
      <c r="B378" s="114">
        <f t="shared" si="90"/>
        <v>8</v>
      </c>
      <c r="C378" s="610"/>
      <c r="D378" s="104"/>
      <c r="E378" s="115"/>
      <c r="F378" s="106"/>
      <c r="G378" s="106"/>
      <c r="H378" s="106"/>
      <c r="I378" s="116">
        <f t="shared" si="89"/>
        <v>0</v>
      </c>
      <c r="J378" s="108"/>
      <c r="K378" s="108"/>
      <c r="L378" s="108"/>
      <c r="M378" s="108"/>
      <c r="N378" s="108"/>
      <c r="O378" s="108"/>
      <c r="P378" s="108"/>
      <c r="Q378" s="108"/>
      <c r="R378" s="108"/>
      <c r="S378" s="108"/>
      <c r="T378" s="108"/>
      <c r="U378" s="110"/>
      <c r="V378" s="111"/>
      <c r="W378" s="112"/>
      <c r="X378" s="113"/>
    </row>
    <row r="379" spans="2:24">
      <c r="B379" s="117"/>
      <c r="C379" s="610"/>
      <c r="D379" s="104"/>
      <c r="E379" s="104"/>
      <c r="F379" s="118">
        <f>SUM(F371:F378)</f>
        <v>0</v>
      </c>
      <c r="G379" s="118">
        <f>SUM(G371:G378)</f>
        <v>0</v>
      </c>
      <c r="H379" s="118">
        <f>SUM(H371:H378)</f>
        <v>0</v>
      </c>
      <c r="I379" s="119">
        <f>SUM(I371:I378)</f>
        <v>0</v>
      </c>
      <c r="J379" s="108"/>
      <c r="K379" s="120"/>
      <c r="L379" s="120"/>
      <c r="M379" s="120"/>
      <c r="N379" s="120"/>
      <c r="O379" s="120"/>
      <c r="P379" s="120"/>
      <c r="Q379" s="120"/>
      <c r="R379" s="120"/>
      <c r="S379" s="120"/>
      <c r="T379" s="108"/>
      <c r="U379" s="110"/>
      <c r="V379" s="111"/>
      <c r="W379" s="112"/>
      <c r="X379" s="113"/>
    </row>
    <row r="380" spans="2:24">
      <c r="B380" s="11"/>
      <c r="C380" s="609"/>
      <c r="D380" s="10"/>
      <c r="E380" s="10"/>
      <c r="F380" s="88"/>
      <c r="G380" s="88"/>
      <c r="H380" s="88"/>
      <c r="I380" s="99"/>
      <c r="J380" s="63"/>
      <c r="K380" s="21"/>
      <c r="L380" s="21"/>
      <c r="M380" s="21"/>
      <c r="N380" s="21"/>
      <c r="O380" s="21"/>
      <c r="P380" s="21"/>
      <c r="Q380" s="21"/>
      <c r="R380" s="21"/>
      <c r="S380" s="21"/>
      <c r="T380" s="63"/>
      <c r="U380" s="94"/>
      <c r="V380" s="90"/>
      <c r="W380" s="91"/>
      <c r="X380" s="92"/>
    </row>
    <row r="381" spans="2:24">
      <c r="B381" s="121" t="s">
        <v>68</v>
      </c>
      <c r="C381" s="611"/>
      <c r="D381" s="123"/>
      <c r="E381" s="123"/>
      <c r="F381" s="124"/>
      <c r="G381" s="125"/>
      <c r="H381" s="124"/>
      <c r="I381" s="126"/>
      <c r="J381" s="127"/>
      <c r="K381" s="128"/>
      <c r="L381" s="128"/>
      <c r="M381" s="128"/>
      <c r="N381" s="128"/>
      <c r="O381" s="128"/>
      <c r="P381" s="128"/>
      <c r="Q381" s="128"/>
      <c r="R381" s="128"/>
      <c r="S381" s="128"/>
      <c r="T381" s="127"/>
      <c r="U381" s="123"/>
      <c r="V381" s="129"/>
      <c r="W381" s="130"/>
      <c r="X381" s="131"/>
    </row>
    <row r="382" spans="2:24">
      <c r="B382" s="87">
        <v>1</v>
      </c>
      <c r="C382" s="609"/>
      <c r="D382" s="10"/>
      <c r="E382" s="101"/>
      <c r="F382" s="62"/>
      <c r="G382" s="62"/>
      <c r="H382" s="62"/>
      <c r="I382" s="89">
        <f t="shared" ref="I382:I389" si="91">F382-G382-H382</f>
        <v>0</v>
      </c>
      <c r="J382" s="63"/>
      <c r="K382" s="63"/>
      <c r="L382" s="63"/>
      <c r="M382" s="63"/>
      <c r="N382" s="63"/>
      <c r="O382" s="63"/>
      <c r="P382" s="63"/>
      <c r="Q382" s="63"/>
      <c r="R382" s="63"/>
      <c r="S382" s="63"/>
      <c r="T382" s="63"/>
      <c r="U382" s="10"/>
      <c r="V382" s="90"/>
      <c r="W382" s="91"/>
      <c r="X382" s="92"/>
    </row>
    <row r="383" spans="2:24">
      <c r="B383" s="87">
        <f t="shared" ref="B383:B389" si="92">B382+1</f>
        <v>2</v>
      </c>
      <c r="C383" s="609"/>
      <c r="D383" s="10"/>
      <c r="E383" s="101"/>
      <c r="F383" s="62"/>
      <c r="G383" s="62"/>
      <c r="H383" s="62"/>
      <c r="I383" s="89">
        <f t="shared" si="91"/>
        <v>0</v>
      </c>
      <c r="J383" s="63"/>
      <c r="K383" s="63"/>
      <c r="L383" s="63"/>
      <c r="M383" s="63"/>
      <c r="N383" s="63"/>
      <c r="O383" s="63"/>
      <c r="P383" s="63"/>
      <c r="Q383" s="63"/>
      <c r="R383" s="63"/>
      <c r="S383" s="63"/>
      <c r="T383" s="63"/>
      <c r="U383" s="10"/>
      <c r="V383" s="90"/>
      <c r="W383" s="91"/>
      <c r="X383" s="92"/>
    </row>
    <row r="384" spans="2:24">
      <c r="B384" s="87">
        <f t="shared" si="92"/>
        <v>3</v>
      </c>
      <c r="C384" s="609"/>
      <c r="D384" s="10"/>
      <c r="E384" s="101"/>
      <c r="F384" s="62"/>
      <c r="G384" s="62"/>
      <c r="H384" s="62"/>
      <c r="I384" s="89">
        <f t="shared" si="91"/>
        <v>0</v>
      </c>
      <c r="J384" s="63"/>
      <c r="K384" s="63"/>
      <c r="L384" s="63"/>
      <c r="M384" s="63"/>
      <c r="N384" s="63"/>
      <c r="O384" s="63"/>
      <c r="P384" s="63"/>
      <c r="Q384" s="63"/>
      <c r="R384" s="63"/>
      <c r="S384" s="63"/>
      <c r="T384" s="63"/>
      <c r="U384" s="10"/>
      <c r="V384" s="90"/>
      <c r="W384" s="91"/>
      <c r="X384" s="92"/>
    </row>
    <row r="385" spans="2:24">
      <c r="B385" s="87">
        <f t="shared" si="92"/>
        <v>4</v>
      </c>
      <c r="C385" s="609"/>
      <c r="D385" s="10"/>
      <c r="E385" s="101"/>
      <c r="F385" s="62"/>
      <c r="G385" s="62"/>
      <c r="H385" s="62"/>
      <c r="I385" s="89">
        <f t="shared" si="91"/>
        <v>0</v>
      </c>
      <c r="J385" s="63"/>
      <c r="K385" s="63"/>
      <c r="L385" s="63"/>
      <c r="M385" s="63"/>
      <c r="N385" s="63"/>
      <c r="O385" s="63"/>
      <c r="P385" s="63"/>
      <c r="Q385" s="63"/>
      <c r="R385" s="63"/>
      <c r="S385" s="63"/>
      <c r="T385" s="63"/>
      <c r="U385" s="10"/>
      <c r="V385" s="90"/>
      <c r="W385" s="91"/>
      <c r="X385" s="92"/>
    </row>
    <row r="386" spans="2:24">
      <c r="B386" s="87">
        <f t="shared" si="92"/>
        <v>5</v>
      </c>
      <c r="C386" s="609"/>
      <c r="D386" s="10"/>
      <c r="E386" s="101"/>
      <c r="F386" s="62"/>
      <c r="G386" s="62"/>
      <c r="H386" s="62"/>
      <c r="I386" s="89">
        <f t="shared" si="91"/>
        <v>0</v>
      </c>
      <c r="J386" s="63"/>
      <c r="K386" s="63"/>
      <c r="L386" s="63"/>
      <c r="M386" s="63"/>
      <c r="N386" s="63"/>
      <c r="O386" s="63"/>
      <c r="P386" s="63"/>
      <c r="Q386" s="63"/>
      <c r="R386" s="63"/>
      <c r="S386" s="63"/>
      <c r="T386" s="63"/>
      <c r="U386" s="10"/>
      <c r="V386" s="90"/>
      <c r="W386" s="91"/>
      <c r="X386" s="92"/>
    </row>
    <row r="387" spans="2:24">
      <c r="B387" s="87">
        <f t="shared" si="92"/>
        <v>6</v>
      </c>
      <c r="C387" s="609"/>
      <c r="D387" s="10"/>
      <c r="E387" s="101"/>
      <c r="F387" s="62"/>
      <c r="G387" s="62"/>
      <c r="H387" s="62"/>
      <c r="I387" s="89">
        <f t="shared" si="91"/>
        <v>0</v>
      </c>
      <c r="J387" s="63"/>
      <c r="K387" s="63"/>
      <c r="L387" s="63"/>
      <c r="M387" s="63"/>
      <c r="N387" s="63"/>
      <c r="O387" s="63"/>
      <c r="P387" s="63"/>
      <c r="Q387" s="63"/>
      <c r="R387" s="63"/>
      <c r="S387" s="63"/>
      <c r="T387" s="63"/>
      <c r="U387" s="10"/>
      <c r="V387" s="90"/>
      <c r="W387" s="91"/>
      <c r="X387" s="92"/>
    </row>
    <row r="388" spans="2:24">
      <c r="B388" s="87">
        <f t="shared" si="92"/>
        <v>7</v>
      </c>
      <c r="C388" s="609"/>
      <c r="D388" s="10"/>
      <c r="E388" s="101"/>
      <c r="F388" s="62"/>
      <c r="G388" s="62"/>
      <c r="H388" s="62"/>
      <c r="I388" s="89">
        <f t="shared" si="91"/>
        <v>0</v>
      </c>
      <c r="J388" s="63"/>
      <c r="K388" s="63"/>
      <c r="L388" s="63"/>
      <c r="M388" s="63"/>
      <c r="N388" s="63"/>
      <c r="O388" s="63"/>
      <c r="P388" s="63"/>
      <c r="Q388" s="63"/>
      <c r="R388" s="63"/>
      <c r="S388" s="63"/>
      <c r="T388" s="63"/>
      <c r="U388" s="10"/>
      <c r="V388" s="90"/>
      <c r="W388" s="91"/>
      <c r="X388" s="92"/>
    </row>
    <row r="389" spans="2:24">
      <c r="B389" s="87">
        <f t="shared" si="92"/>
        <v>8</v>
      </c>
      <c r="C389" s="609"/>
      <c r="D389" s="10"/>
      <c r="E389" s="101"/>
      <c r="F389" s="62"/>
      <c r="G389" s="62"/>
      <c r="H389" s="62"/>
      <c r="I389" s="89">
        <f t="shared" si="91"/>
        <v>0</v>
      </c>
      <c r="J389" s="63"/>
      <c r="K389" s="63"/>
      <c r="L389" s="63"/>
      <c r="M389" s="63"/>
      <c r="N389" s="63"/>
      <c r="O389" s="63"/>
      <c r="P389" s="63"/>
      <c r="Q389" s="63"/>
      <c r="R389" s="63"/>
      <c r="S389" s="63"/>
      <c r="T389" s="63"/>
      <c r="U389" s="10"/>
      <c r="V389" s="90"/>
      <c r="W389" s="91"/>
      <c r="X389" s="92"/>
    </row>
    <row r="390" spans="2:24">
      <c r="B390" s="132"/>
      <c r="C390" s="611"/>
      <c r="D390" s="123"/>
      <c r="E390" s="123"/>
      <c r="F390" s="133">
        <f>SUM(F382:F389)</f>
        <v>0</v>
      </c>
      <c r="G390" s="133">
        <f>SUM(G382:G389)</f>
        <v>0</v>
      </c>
      <c r="H390" s="133">
        <f>SUM(H382:H389)</f>
        <v>0</v>
      </c>
      <c r="I390" s="134">
        <f>SUM(I382:I389)</f>
        <v>0</v>
      </c>
      <c r="J390" s="127"/>
      <c r="K390" s="64"/>
      <c r="L390" s="64"/>
      <c r="M390" s="64"/>
      <c r="N390" s="64"/>
      <c r="O390" s="64"/>
      <c r="P390" s="64"/>
      <c r="Q390" s="64"/>
      <c r="R390" s="64"/>
      <c r="S390" s="64"/>
      <c r="T390" s="127"/>
      <c r="U390" s="123"/>
      <c r="V390" s="129"/>
      <c r="W390" s="130"/>
      <c r="X390" s="131"/>
    </row>
    <row r="391" spans="2:24">
      <c r="B391" s="11"/>
      <c r="C391" s="609"/>
      <c r="D391" s="10"/>
      <c r="E391" s="10"/>
      <c r="F391" s="88"/>
      <c r="G391" s="88"/>
      <c r="H391" s="88"/>
      <c r="I391" s="99"/>
      <c r="J391" s="63"/>
      <c r="K391" s="21"/>
      <c r="L391" s="21"/>
      <c r="M391" s="21"/>
      <c r="N391" s="21"/>
      <c r="O391" s="21"/>
      <c r="P391" s="21"/>
      <c r="Q391" s="21"/>
      <c r="R391" s="21"/>
      <c r="S391" s="21"/>
      <c r="T391" s="63"/>
      <c r="U391" s="10"/>
      <c r="V391" s="90"/>
      <c r="W391" s="91"/>
      <c r="X391" s="92"/>
    </row>
    <row r="392" spans="2:24">
      <c r="B392" s="121" t="s">
        <v>69</v>
      </c>
      <c r="C392" s="611"/>
      <c r="D392" s="123"/>
      <c r="E392" s="123"/>
      <c r="F392" s="124"/>
      <c r="G392" s="125"/>
      <c r="H392" s="124"/>
      <c r="I392" s="126"/>
      <c r="J392" s="127"/>
      <c r="K392" s="128"/>
      <c r="L392" s="128"/>
      <c r="M392" s="128"/>
      <c r="N392" s="128"/>
      <c r="O392" s="128"/>
      <c r="P392" s="128"/>
      <c r="Q392" s="128"/>
      <c r="R392" s="128"/>
      <c r="S392" s="128"/>
      <c r="T392" s="127"/>
      <c r="U392" s="135"/>
      <c r="V392" s="129"/>
      <c r="W392" s="130"/>
      <c r="X392" s="131"/>
    </row>
    <row r="393" spans="2:24">
      <c r="B393" s="87">
        <v>1</v>
      </c>
      <c r="C393" s="609"/>
      <c r="D393" s="10"/>
      <c r="E393" s="101"/>
      <c r="F393" s="62"/>
      <c r="G393" s="62"/>
      <c r="H393" s="62"/>
      <c r="I393" s="89">
        <f t="shared" ref="I393:I400" si="93">F393-G393-H393</f>
        <v>0</v>
      </c>
      <c r="J393" s="63"/>
      <c r="K393" s="63"/>
      <c r="L393" s="63"/>
      <c r="M393" s="63"/>
      <c r="N393" s="63"/>
      <c r="O393" s="63"/>
      <c r="P393" s="63"/>
      <c r="Q393" s="63"/>
      <c r="R393" s="63"/>
      <c r="S393" s="63"/>
      <c r="T393" s="63"/>
      <c r="U393" s="94"/>
      <c r="V393" s="90"/>
      <c r="W393" s="91"/>
      <c r="X393" s="92"/>
    </row>
    <row r="394" spans="2:24">
      <c r="B394" s="87">
        <f t="shared" ref="B394:B400" si="94">B393+1</f>
        <v>2</v>
      </c>
      <c r="C394" s="609"/>
      <c r="D394" s="10"/>
      <c r="E394" s="101"/>
      <c r="F394" s="62"/>
      <c r="G394" s="62"/>
      <c r="H394" s="62"/>
      <c r="I394" s="89">
        <f t="shared" si="93"/>
        <v>0</v>
      </c>
      <c r="J394" s="63"/>
      <c r="K394" s="63"/>
      <c r="L394" s="63"/>
      <c r="M394" s="63"/>
      <c r="N394" s="63"/>
      <c r="O394" s="63"/>
      <c r="P394" s="63"/>
      <c r="Q394" s="63"/>
      <c r="R394" s="63"/>
      <c r="S394" s="63"/>
      <c r="T394" s="63"/>
      <c r="U394" s="94"/>
      <c r="V394" s="90"/>
      <c r="W394" s="91"/>
      <c r="X394" s="92"/>
    </row>
    <row r="395" spans="2:24">
      <c r="B395" s="87">
        <f t="shared" si="94"/>
        <v>3</v>
      </c>
      <c r="C395" s="609"/>
      <c r="D395" s="10"/>
      <c r="E395" s="101"/>
      <c r="F395" s="62"/>
      <c r="G395" s="62"/>
      <c r="H395" s="62"/>
      <c r="I395" s="89">
        <f t="shared" si="93"/>
        <v>0</v>
      </c>
      <c r="J395" s="63"/>
      <c r="K395" s="63"/>
      <c r="L395" s="63"/>
      <c r="M395" s="63"/>
      <c r="N395" s="63"/>
      <c r="O395" s="63"/>
      <c r="P395" s="63"/>
      <c r="Q395" s="63"/>
      <c r="R395" s="63"/>
      <c r="S395" s="63"/>
      <c r="T395" s="63"/>
      <c r="U395" s="94"/>
      <c r="V395" s="90"/>
      <c r="W395" s="91"/>
      <c r="X395" s="92"/>
    </row>
    <row r="396" spans="2:24">
      <c r="B396" s="87">
        <f t="shared" si="94"/>
        <v>4</v>
      </c>
      <c r="C396" s="609"/>
      <c r="D396" s="10"/>
      <c r="E396" s="101"/>
      <c r="F396" s="62"/>
      <c r="G396" s="62"/>
      <c r="H396" s="62"/>
      <c r="I396" s="89">
        <f t="shared" si="93"/>
        <v>0</v>
      </c>
      <c r="J396" s="63"/>
      <c r="K396" s="63"/>
      <c r="L396" s="63"/>
      <c r="M396" s="63"/>
      <c r="N396" s="63"/>
      <c r="O396" s="63"/>
      <c r="P396" s="63"/>
      <c r="Q396" s="63"/>
      <c r="R396" s="63"/>
      <c r="S396" s="63"/>
      <c r="T396" s="63"/>
      <c r="U396" s="94"/>
      <c r="V396" s="90"/>
      <c r="W396" s="91"/>
      <c r="X396" s="92"/>
    </row>
    <row r="397" spans="2:24">
      <c r="B397" s="87">
        <f t="shared" si="94"/>
        <v>5</v>
      </c>
      <c r="C397" s="609"/>
      <c r="D397" s="10"/>
      <c r="E397" s="101"/>
      <c r="F397" s="62"/>
      <c r="G397" s="62"/>
      <c r="H397" s="62"/>
      <c r="I397" s="89">
        <f t="shared" si="93"/>
        <v>0</v>
      </c>
      <c r="J397" s="63"/>
      <c r="K397" s="63"/>
      <c r="L397" s="63"/>
      <c r="M397" s="63"/>
      <c r="N397" s="63"/>
      <c r="O397" s="63"/>
      <c r="P397" s="63"/>
      <c r="Q397" s="63"/>
      <c r="R397" s="63"/>
      <c r="S397" s="63"/>
      <c r="T397" s="63"/>
      <c r="U397" s="94"/>
      <c r="V397" s="90"/>
      <c r="W397" s="91"/>
      <c r="X397" s="92"/>
    </row>
    <row r="398" spans="2:24">
      <c r="B398" s="87">
        <f t="shared" si="94"/>
        <v>6</v>
      </c>
      <c r="C398" s="609"/>
      <c r="D398" s="10"/>
      <c r="E398" s="101"/>
      <c r="F398" s="62"/>
      <c r="G398" s="62"/>
      <c r="H398" s="62"/>
      <c r="I398" s="89">
        <f t="shared" si="93"/>
        <v>0</v>
      </c>
      <c r="J398" s="63"/>
      <c r="K398" s="63"/>
      <c r="L398" s="63"/>
      <c r="M398" s="63"/>
      <c r="N398" s="63"/>
      <c r="O398" s="63"/>
      <c r="P398" s="63"/>
      <c r="Q398" s="63"/>
      <c r="R398" s="63"/>
      <c r="S398" s="63"/>
      <c r="T398" s="63"/>
      <c r="U398" s="94"/>
      <c r="V398" s="90"/>
      <c r="W398" s="91"/>
      <c r="X398" s="92"/>
    </row>
    <row r="399" spans="2:24">
      <c r="B399" s="87">
        <f t="shared" si="94"/>
        <v>7</v>
      </c>
      <c r="C399" s="609"/>
      <c r="D399" s="10"/>
      <c r="E399" s="101"/>
      <c r="F399" s="62"/>
      <c r="G399" s="62"/>
      <c r="H399" s="62"/>
      <c r="I399" s="89">
        <f t="shared" si="93"/>
        <v>0</v>
      </c>
      <c r="J399" s="63"/>
      <c r="K399" s="63"/>
      <c r="L399" s="63"/>
      <c r="M399" s="63"/>
      <c r="N399" s="63"/>
      <c r="O399" s="63"/>
      <c r="P399" s="63"/>
      <c r="Q399" s="63"/>
      <c r="R399" s="63"/>
      <c r="S399" s="63"/>
      <c r="T399" s="63"/>
      <c r="U399" s="94"/>
      <c r="V399" s="90"/>
      <c r="W399" s="91"/>
      <c r="X399" s="92"/>
    </row>
    <row r="400" spans="2:24">
      <c r="B400" s="87">
        <f t="shared" si="94"/>
        <v>8</v>
      </c>
      <c r="C400" s="609"/>
      <c r="D400" s="10"/>
      <c r="E400" s="101"/>
      <c r="F400" s="62"/>
      <c r="G400" s="62"/>
      <c r="H400" s="62"/>
      <c r="I400" s="89">
        <f t="shared" si="93"/>
        <v>0</v>
      </c>
      <c r="J400" s="63"/>
      <c r="K400" s="63"/>
      <c r="L400" s="63"/>
      <c r="M400" s="63"/>
      <c r="N400" s="63"/>
      <c r="O400" s="63"/>
      <c r="P400" s="63"/>
      <c r="Q400" s="63"/>
      <c r="R400" s="63"/>
      <c r="S400" s="63"/>
      <c r="T400" s="63"/>
      <c r="U400" s="94"/>
      <c r="V400" s="90"/>
      <c r="W400" s="91"/>
      <c r="X400" s="92"/>
    </row>
    <row r="401" spans="2:24">
      <c r="B401" s="132"/>
      <c r="C401" s="611"/>
      <c r="D401" s="123"/>
      <c r="E401" s="123"/>
      <c r="F401" s="133">
        <f>SUM(F393:F400)</f>
        <v>0</v>
      </c>
      <c r="G401" s="133">
        <f>SUM(G393:G400)</f>
        <v>0</v>
      </c>
      <c r="H401" s="133">
        <f>SUM(H393:H400)</f>
        <v>0</v>
      </c>
      <c r="I401" s="134">
        <f>SUM(I393:I400)</f>
        <v>0</v>
      </c>
      <c r="J401" s="127"/>
      <c r="K401" s="64"/>
      <c r="L401" s="64"/>
      <c r="M401" s="64"/>
      <c r="N401" s="64"/>
      <c r="O401" s="64"/>
      <c r="P401" s="64"/>
      <c r="Q401" s="64"/>
      <c r="R401" s="64"/>
      <c r="S401" s="64"/>
      <c r="T401" s="127"/>
      <c r="U401" s="135"/>
      <c r="V401" s="129"/>
      <c r="W401" s="130"/>
      <c r="X401" s="131"/>
    </row>
    <row r="402" spans="2:24">
      <c r="B402" s="11"/>
      <c r="C402" s="609"/>
      <c r="D402" s="10"/>
      <c r="E402" s="10"/>
      <c r="F402" s="88"/>
      <c r="G402" s="88"/>
      <c r="H402" s="88"/>
      <c r="I402" s="99"/>
      <c r="J402" s="63"/>
      <c r="K402" s="21"/>
      <c r="L402" s="21"/>
      <c r="M402" s="21"/>
      <c r="N402" s="21"/>
      <c r="O402" s="21"/>
      <c r="P402" s="21"/>
      <c r="Q402" s="21"/>
      <c r="R402" s="21"/>
      <c r="S402" s="21"/>
      <c r="T402" s="63"/>
      <c r="U402" s="94"/>
      <c r="V402" s="90"/>
      <c r="W402" s="91"/>
      <c r="X402" s="92"/>
    </row>
    <row r="403" spans="2:24">
      <c r="B403" s="121" t="s">
        <v>70</v>
      </c>
      <c r="C403" s="611"/>
      <c r="D403" s="123"/>
      <c r="E403" s="128"/>
      <c r="F403" s="124"/>
      <c r="G403" s="124"/>
      <c r="H403" s="124"/>
      <c r="I403" s="126"/>
      <c r="J403" s="127"/>
      <c r="K403" s="64"/>
      <c r="L403" s="64"/>
      <c r="M403" s="64"/>
      <c r="N403" s="64"/>
      <c r="O403" s="64"/>
      <c r="P403" s="64"/>
      <c r="Q403" s="64"/>
      <c r="R403" s="64"/>
      <c r="S403" s="64"/>
      <c r="T403" s="127"/>
      <c r="U403" s="135"/>
      <c r="V403" s="129"/>
      <c r="W403" s="130"/>
      <c r="X403" s="131"/>
    </row>
    <row r="404" spans="2:24">
      <c r="B404" s="87">
        <v>1</v>
      </c>
      <c r="C404" s="609"/>
      <c r="D404" s="10"/>
      <c r="E404" s="10"/>
      <c r="F404" s="62"/>
      <c r="G404" s="62"/>
      <c r="H404" s="62"/>
      <c r="I404" s="89">
        <f>F404-G404-H404</f>
        <v>0</v>
      </c>
      <c r="J404" s="63"/>
      <c r="K404" s="63"/>
      <c r="L404" s="63"/>
      <c r="M404" s="63"/>
      <c r="N404" s="63"/>
      <c r="O404" s="63"/>
      <c r="P404" s="63"/>
      <c r="Q404" s="63"/>
      <c r="R404" s="63"/>
      <c r="S404" s="63"/>
      <c r="T404" s="63"/>
      <c r="U404" s="94"/>
      <c r="V404" s="90"/>
      <c r="W404" s="136"/>
      <c r="X404" s="137"/>
    </row>
    <row r="405" spans="2:24">
      <c r="B405" s="87">
        <f t="shared" ref="B405:B411" si="95">B404+1</f>
        <v>2</v>
      </c>
      <c r="C405" s="609"/>
      <c r="D405" s="10"/>
      <c r="E405" s="10"/>
      <c r="F405" s="62"/>
      <c r="G405" s="62"/>
      <c r="H405" s="62"/>
      <c r="I405" s="89">
        <f t="shared" ref="I405" si="96">F405-G405-H405</f>
        <v>0</v>
      </c>
      <c r="J405" s="63"/>
      <c r="K405" s="63"/>
      <c r="L405" s="63"/>
      <c r="M405" s="63"/>
      <c r="N405" s="63"/>
      <c r="O405" s="63"/>
      <c r="P405" s="63"/>
      <c r="Q405" s="63"/>
      <c r="R405" s="63"/>
      <c r="S405" s="63"/>
      <c r="T405" s="63"/>
      <c r="U405" s="94"/>
      <c r="V405" s="90"/>
      <c r="W405" s="136"/>
      <c r="X405" s="137"/>
    </row>
    <row r="406" spans="2:24">
      <c r="B406" s="87">
        <f t="shared" si="95"/>
        <v>3</v>
      </c>
      <c r="C406" s="609"/>
      <c r="D406" s="10"/>
      <c r="E406" s="10"/>
      <c r="F406" s="62"/>
      <c r="G406" s="62"/>
      <c r="H406" s="62"/>
      <c r="I406" s="89">
        <f>F406-G406-H406</f>
        <v>0</v>
      </c>
      <c r="J406" s="63"/>
      <c r="K406" s="63"/>
      <c r="L406" s="63"/>
      <c r="M406" s="63"/>
      <c r="N406" s="63"/>
      <c r="O406" s="63"/>
      <c r="P406" s="63"/>
      <c r="Q406" s="63"/>
      <c r="R406" s="63"/>
      <c r="S406" s="63"/>
      <c r="T406" s="63"/>
      <c r="U406" s="94"/>
      <c r="V406" s="90"/>
      <c r="W406" s="136"/>
      <c r="X406" s="137"/>
    </row>
    <row r="407" spans="2:24">
      <c r="B407" s="87">
        <f t="shared" si="95"/>
        <v>4</v>
      </c>
      <c r="C407" s="609"/>
      <c r="D407" s="10"/>
      <c r="E407" s="10"/>
      <c r="F407" s="62"/>
      <c r="G407" s="62"/>
      <c r="H407" s="62"/>
      <c r="I407" s="89">
        <f>F407-G407-H407</f>
        <v>0</v>
      </c>
      <c r="J407" s="63"/>
      <c r="K407" s="63"/>
      <c r="L407" s="63"/>
      <c r="M407" s="63"/>
      <c r="N407" s="63"/>
      <c r="O407" s="63"/>
      <c r="P407" s="63"/>
      <c r="Q407" s="63"/>
      <c r="R407" s="63"/>
      <c r="S407" s="63"/>
      <c r="T407" s="63"/>
      <c r="U407" s="94"/>
      <c r="V407" s="90"/>
      <c r="W407" s="136"/>
      <c r="X407" s="137"/>
    </row>
    <row r="408" spans="2:24">
      <c r="B408" s="87">
        <f t="shared" si="95"/>
        <v>5</v>
      </c>
      <c r="C408" s="609"/>
      <c r="D408" s="10"/>
      <c r="E408" s="10"/>
      <c r="F408" s="62"/>
      <c r="G408" s="62"/>
      <c r="H408" s="62"/>
      <c r="I408" s="89">
        <f>F408-G408-H408</f>
        <v>0</v>
      </c>
      <c r="J408" s="63"/>
      <c r="K408" s="63"/>
      <c r="L408" s="63"/>
      <c r="M408" s="63"/>
      <c r="N408" s="63"/>
      <c r="O408" s="63"/>
      <c r="P408" s="63"/>
      <c r="Q408" s="63"/>
      <c r="R408" s="63"/>
      <c r="S408" s="63"/>
      <c r="T408" s="63"/>
      <c r="U408" s="94"/>
      <c r="V408" s="90"/>
      <c r="W408" s="136"/>
      <c r="X408" s="137"/>
    </row>
    <row r="409" spans="2:24">
      <c r="B409" s="87">
        <f t="shared" si="95"/>
        <v>6</v>
      </c>
      <c r="C409" s="609"/>
      <c r="D409" s="10"/>
      <c r="E409" s="10"/>
      <c r="F409" s="62"/>
      <c r="G409" s="62"/>
      <c r="H409" s="62"/>
      <c r="I409" s="89">
        <f>F409-G409-H409</f>
        <v>0</v>
      </c>
      <c r="J409" s="63"/>
      <c r="K409" s="63"/>
      <c r="L409" s="63"/>
      <c r="M409" s="63"/>
      <c r="N409" s="63"/>
      <c r="O409" s="63"/>
      <c r="P409" s="63"/>
      <c r="Q409" s="63"/>
      <c r="R409" s="63"/>
      <c r="S409" s="63"/>
      <c r="T409" s="63"/>
      <c r="U409" s="94"/>
      <c r="V409" s="90"/>
      <c r="W409" s="136"/>
      <c r="X409" s="137"/>
    </row>
    <row r="410" spans="2:24">
      <c r="B410" s="87">
        <f t="shared" si="95"/>
        <v>7</v>
      </c>
      <c r="C410" s="609"/>
      <c r="D410" s="10"/>
      <c r="E410" s="10"/>
      <c r="F410" s="62"/>
      <c r="G410" s="62"/>
      <c r="H410" s="62"/>
      <c r="I410" s="89">
        <f t="shared" ref="I410:I411" si="97">F410-G410-H410</f>
        <v>0</v>
      </c>
      <c r="J410" s="63"/>
      <c r="K410" s="63"/>
      <c r="L410" s="63"/>
      <c r="M410" s="63"/>
      <c r="N410" s="63"/>
      <c r="O410" s="63"/>
      <c r="P410" s="63"/>
      <c r="Q410" s="63"/>
      <c r="R410" s="63"/>
      <c r="S410" s="63"/>
      <c r="T410" s="63"/>
      <c r="U410" s="94"/>
      <c r="V410" s="90"/>
      <c r="W410" s="136"/>
      <c r="X410" s="137"/>
    </row>
    <row r="411" spans="2:24">
      <c r="B411" s="87">
        <f t="shared" si="95"/>
        <v>8</v>
      </c>
      <c r="C411" s="609"/>
      <c r="D411" s="10"/>
      <c r="E411" s="10"/>
      <c r="F411" s="62"/>
      <c r="G411" s="62"/>
      <c r="H411" s="62"/>
      <c r="I411" s="89">
        <f t="shared" si="97"/>
        <v>0</v>
      </c>
      <c r="J411" s="63"/>
      <c r="K411" s="63"/>
      <c r="L411" s="63"/>
      <c r="M411" s="63"/>
      <c r="N411" s="63"/>
      <c r="O411" s="63"/>
      <c r="P411" s="63"/>
      <c r="Q411" s="63"/>
      <c r="R411" s="63"/>
      <c r="S411" s="63"/>
      <c r="T411" s="63"/>
      <c r="U411" s="94"/>
      <c r="V411" s="90"/>
      <c r="W411" s="136"/>
      <c r="X411" s="137"/>
    </row>
    <row r="412" spans="2:24">
      <c r="B412" s="132"/>
      <c r="C412" s="611"/>
      <c r="D412" s="123"/>
      <c r="E412" s="123"/>
      <c r="F412" s="133">
        <f>SUM(F404:F411)</f>
        <v>0</v>
      </c>
      <c r="G412" s="133">
        <f t="shared" ref="G412:I412" si="98">SUM(G404:G411)</f>
        <v>0</v>
      </c>
      <c r="H412" s="133">
        <f t="shared" si="98"/>
        <v>0</v>
      </c>
      <c r="I412" s="134">
        <f t="shared" si="98"/>
        <v>0</v>
      </c>
      <c r="J412" s="127"/>
      <c r="K412" s="64"/>
      <c r="L412" s="64"/>
      <c r="M412" s="64"/>
      <c r="N412" s="64"/>
      <c r="O412" s="64"/>
      <c r="P412" s="64"/>
      <c r="Q412" s="64"/>
      <c r="R412" s="64"/>
      <c r="S412" s="64"/>
      <c r="T412" s="127"/>
      <c r="U412" s="135"/>
      <c r="V412" s="129"/>
      <c r="W412" s="130"/>
      <c r="X412" s="131"/>
    </row>
    <row r="413" spans="2:24">
      <c r="B413" s="11"/>
      <c r="C413" s="609"/>
      <c r="D413" s="10"/>
      <c r="E413" s="10"/>
      <c r="F413" s="88"/>
      <c r="G413" s="88"/>
      <c r="H413" s="88"/>
      <c r="I413" s="99"/>
      <c r="J413" s="10"/>
      <c r="K413" s="63"/>
      <c r="L413" s="63"/>
      <c r="M413" s="63"/>
      <c r="N413" s="63"/>
      <c r="O413" s="63"/>
      <c r="P413" s="63"/>
      <c r="Q413" s="63"/>
      <c r="R413" s="63"/>
      <c r="S413" s="63"/>
      <c r="T413" s="63"/>
      <c r="U413" s="94"/>
      <c r="V413" s="90"/>
      <c r="W413" s="91"/>
      <c r="X413" s="92"/>
    </row>
    <row r="414" spans="2:24">
      <c r="B414" s="121" t="s">
        <v>71</v>
      </c>
      <c r="C414" s="611"/>
      <c r="D414" s="123"/>
      <c r="E414" s="128"/>
      <c r="F414" s="124"/>
      <c r="G414" s="124"/>
      <c r="H414" s="124"/>
      <c r="I414" s="126"/>
      <c r="J414" s="127"/>
      <c r="K414" s="64"/>
      <c r="L414" s="64"/>
      <c r="M414" s="64"/>
      <c r="N414" s="64"/>
      <c r="O414" s="64"/>
      <c r="P414" s="64"/>
      <c r="Q414" s="64"/>
      <c r="R414" s="64"/>
      <c r="S414" s="64"/>
      <c r="T414" s="127"/>
      <c r="U414" s="135"/>
      <c r="V414" s="129"/>
      <c r="W414" s="130"/>
      <c r="X414" s="131"/>
    </row>
    <row r="415" spans="2:24">
      <c r="B415" s="87">
        <v>1</v>
      </c>
      <c r="C415" s="609"/>
      <c r="D415" s="10"/>
      <c r="E415" s="10"/>
      <c r="F415" s="62"/>
      <c r="G415" s="62"/>
      <c r="H415" s="62"/>
      <c r="I415" s="89">
        <f t="shared" ref="I415:I422" si="99">F415-G415-H415</f>
        <v>0</v>
      </c>
      <c r="J415" s="63"/>
      <c r="K415" s="63"/>
      <c r="L415" s="63"/>
      <c r="M415" s="63"/>
      <c r="N415" s="63"/>
      <c r="O415" s="63"/>
      <c r="P415" s="63"/>
      <c r="Q415" s="63"/>
      <c r="R415" s="63"/>
      <c r="S415" s="63"/>
      <c r="T415" s="63"/>
      <c r="U415" s="94"/>
      <c r="V415" s="90"/>
      <c r="W415" s="136"/>
      <c r="X415" s="137"/>
    </row>
    <row r="416" spans="2:24">
      <c r="B416" s="87">
        <f t="shared" ref="B416:B422" si="100">B415+1</f>
        <v>2</v>
      </c>
      <c r="C416" s="609"/>
      <c r="D416" s="10"/>
      <c r="E416" s="10"/>
      <c r="F416" s="62"/>
      <c r="G416" s="62"/>
      <c r="H416" s="62"/>
      <c r="I416" s="89">
        <f t="shared" si="99"/>
        <v>0</v>
      </c>
      <c r="J416" s="63"/>
      <c r="K416" s="63"/>
      <c r="L416" s="63"/>
      <c r="M416" s="63"/>
      <c r="N416" s="63"/>
      <c r="O416" s="63"/>
      <c r="P416" s="63"/>
      <c r="Q416" s="63"/>
      <c r="R416" s="63"/>
      <c r="S416" s="63"/>
      <c r="T416" s="63"/>
      <c r="U416" s="94"/>
      <c r="V416" s="90"/>
      <c r="W416" s="136"/>
      <c r="X416" s="137"/>
    </row>
    <row r="417" spans="2:24">
      <c r="B417" s="87">
        <f t="shared" si="100"/>
        <v>3</v>
      </c>
      <c r="C417" s="609"/>
      <c r="D417" s="10"/>
      <c r="E417" s="10"/>
      <c r="F417" s="62"/>
      <c r="G417" s="62"/>
      <c r="H417" s="62"/>
      <c r="I417" s="89">
        <f t="shared" si="99"/>
        <v>0</v>
      </c>
      <c r="J417" s="63"/>
      <c r="K417" s="63"/>
      <c r="L417" s="63"/>
      <c r="M417" s="63"/>
      <c r="N417" s="63"/>
      <c r="O417" s="63"/>
      <c r="P417" s="63"/>
      <c r="Q417" s="63"/>
      <c r="R417" s="63"/>
      <c r="S417" s="63"/>
      <c r="T417" s="63"/>
      <c r="U417" s="94"/>
      <c r="V417" s="90"/>
      <c r="W417" s="136"/>
      <c r="X417" s="137"/>
    </row>
    <row r="418" spans="2:24">
      <c r="B418" s="87">
        <f t="shared" si="100"/>
        <v>4</v>
      </c>
      <c r="C418" s="609"/>
      <c r="D418" s="10"/>
      <c r="E418" s="10"/>
      <c r="F418" s="62"/>
      <c r="G418" s="62"/>
      <c r="H418" s="62"/>
      <c r="I418" s="89">
        <f t="shared" si="99"/>
        <v>0</v>
      </c>
      <c r="J418" s="63"/>
      <c r="K418" s="63"/>
      <c r="L418" s="63"/>
      <c r="M418" s="63"/>
      <c r="N418" s="63"/>
      <c r="O418" s="63"/>
      <c r="P418" s="63"/>
      <c r="Q418" s="63"/>
      <c r="R418" s="63"/>
      <c r="S418" s="63"/>
      <c r="T418" s="63"/>
      <c r="U418" s="94"/>
      <c r="V418" s="90"/>
      <c r="W418" s="136"/>
      <c r="X418" s="137"/>
    </row>
    <row r="419" spans="2:24">
      <c r="B419" s="87">
        <f t="shared" si="100"/>
        <v>5</v>
      </c>
      <c r="C419" s="609"/>
      <c r="D419" s="10"/>
      <c r="E419" s="10"/>
      <c r="F419" s="62"/>
      <c r="G419" s="62"/>
      <c r="H419" s="62"/>
      <c r="I419" s="89">
        <f t="shared" si="99"/>
        <v>0</v>
      </c>
      <c r="J419" s="63"/>
      <c r="K419" s="63"/>
      <c r="L419" s="63"/>
      <c r="M419" s="63"/>
      <c r="N419" s="63"/>
      <c r="O419" s="63"/>
      <c r="P419" s="63"/>
      <c r="Q419" s="63"/>
      <c r="R419" s="63"/>
      <c r="S419" s="63"/>
      <c r="T419" s="63"/>
      <c r="U419" s="94"/>
      <c r="V419" s="90"/>
      <c r="W419" s="136"/>
      <c r="X419" s="137"/>
    </row>
    <row r="420" spans="2:24">
      <c r="B420" s="87">
        <f t="shared" si="100"/>
        <v>6</v>
      </c>
      <c r="C420" s="609"/>
      <c r="D420" s="10"/>
      <c r="E420" s="10"/>
      <c r="F420" s="62"/>
      <c r="G420" s="62"/>
      <c r="H420" s="62"/>
      <c r="I420" s="89">
        <f t="shared" si="99"/>
        <v>0</v>
      </c>
      <c r="J420" s="63"/>
      <c r="K420" s="63"/>
      <c r="L420" s="63"/>
      <c r="M420" s="63"/>
      <c r="N420" s="63"/>
      <c r="O420" s="63"/>
      <c r="P420" s="63"/>
      <c r="Q420" s="63"/>
      <c r="R420" s="63"/>
      <c r="S420" s="63"/>
      <c r="T420" s="63"/>
      <c r="U420" s="94"/>
      <c r="V420" s="90"/>
      <c r="W420" s="136"/>
      <c r="X420" s="137"/>
    </row>
    <row r="421" spans="2:24">
      <c r="B421" s="87">
        <f t="shared" si="100"/>
        <v>7</v>
      </c>
      <c r="C421" s="609"/>
      <c r="D421" s="10"/>
      <c r="E421" s="10"/>
      <c r="F421" s="62"/>
      <c r="G421" s="62"/>
      <c r="H421" s="62"/>
      <c r="I421" s="89">
        <f t="shared" si="99"/>
        <v>0</v>
      </c>
      <c r="J421" s="63"/>
      <c r="K421" s="63"/>
      <c r="L421" s="63"/>
      <c r="M421" s="63"/>
      <c r="N421" s="63"/>
      <c r="O421" s="63"/>
      <c r="P421" s="63"/>
      <c r="Q421" s="63"/>
      <c r="R421" s="63"/>
      <c r="S421" s="63"/>
      <c r="T421" s="63"/>
      <c r="U421" s="94"/>
      <c r="V421" s="90"/>
      <c r="W421" s="136"/>
      <c r="X421" s="137"/>
    </row>
    <row r="422" spans="2:24">
      <c r="B422" s="87">
        <f t="shared" si="100"/>
        <v>8</v>
      </c>
      <c r="C422" s="609"/>
      <c r="D422" s="10"/>
      <c r="E422" s="10"/>
      <c r="F422" s="62"/>
      <c r="G422" s="62"/>
      <c r="H422" s="62"/>
      <c r="I422" s="89">
        <f t="shared" si="99"/>
        <v>0</v>
      </c>
      <c r="J422" s="63"/>
      <c r="K422" s="63"/>
      <c r="L422" s="63"/>
      <c r="M422" s="63"/>
      <c r="N422" s="63"/>
      <c r="O422" s="63"/>
      <c r="P422" s="63"/>
      <c r="Q422" s="63"/>
      <c r="R422" s="63"/>
      <c r="S422" s="63"/>
      <c r="T422" s="63"/>
      <c r="U422" s="94"/>
      <c r="V422" s="90"/>
      <c r="W422" s="136"/>
      <c r="X422" s="137"/>
    </row>
    <row r="423" spans="2:24">
      <c r="B423" s="132"/>
      <c r="C423" s="611"/>
      <c r="D423" s="123"/>
      <c r="E423" s="123"/>
      <c r="F423" s="133">
        <f>SUM(F415:F422)</f>
        <v>0</v>
      </c>
      <c r="G423" s="133">
        <f>SUM(G415:G422)</f>
        <v>0</v>
      </c>
      <c r="H423" s="133">
        <f>SUM(H415:H422)</f>
        <v>0</v>
      </c>
      <c r="I423" s="134">
        <f>SUM(I415:I422)</f>
        <v>0</v>
      </c>
      <c r="J423" s="127"/>
      <c r="K423" s="64"/>
      <c r="L423" s="64"/>
      <c r="M423" s="64"/>
      <c r="N423" s="64"/>
      <c r="O423" s="64"/>
      <c r="P423" s="64"/>
      <c r="Q423" s="64"/>
      <c r="R423" s="64"/>
      <c r="S423" s="64"/>
      <c r="T423" s="127"/>
      <c r="U423" s="135"/>
      <c r="V423" s="129"/>
      <c r="W423" s="130"/>
      <c r="X423" s="131"/>
    </row>
    <row r="424" spans="2:24">
      <c r="B424" s="11"/>
      <c r="C424" s="609"/>
      <c r="D424" s="10"/>
      <c r="E424" s="10"/>
      <c r="F424" s="88"/>
      <c r="G424" s="88"/>
      <c r="H424" s="88"/>
      <c r="I424" s="99"/>
      <c r="J424" s="63"/>
      <c r="K424" s="21"/>
      <c r="L424" s="21"/>
      <c r="M424" s="21"/>
      <c r="N424" s="21"/>
      <c r="O424" s="21"/>
      <c r="P424" s="21"/>
      <c r="Q424" s="21"/>
      <c r="R424" s="21"/>
      <c r="S424" s="21"/>
      <c r="T424" s="63"/>
      <c r="U424" s="94"/>
      <c r="V424" s="90"/>
      <c r="W424" s="91"/>
      <c r="X424" s="92"/>
    </row>
    <row r="425" spans="2:24">
      <c r="B425" s="100" t="s">
        <v>72</v>
      </c>
      <c r="C425" s="609"/>
      <c r="D425" s="10"/>
      <c r="E425" s="10"/>
      <c r="F425" s="88"/>
      <c r="G425" s="88"/>
      <c r="H425" s="88"/>
      <c r="I425" s="99"/>
      <c r="J425" s="63"/>
      <c r="K425" s="63"/>
      <c r="L425" s="63"/>
      <c r="M425" s="63"/>
      <c r="N425" s="63"/>
      <c r="O425" s="63"/>
      <c r="P425" s="63"/>
      <c r="Q425" s="63"/>
      <c r="R425" s="63"/>
      <c r="S425" s="63"/>
      <c r="T425" s="63"/>
      <c r="U425" s="10"/>
      <c r="V425" s="90"/>
      <c r="W425" s="91"/>
      <c r="X425" s="92"/>
    </row>
    <row r="426" spans="2:24">
      <c r="B426" s="87">
        <v>1</v>
      </c>
      <c r="C426" s="609"/>
      <c r="D426" s="10"/>
      <c r="E426" s="10"/>
      <c r="F426" s="62"/>
      <c r="G426" s="62"/>
      <c r="H426" s="62"/>
      <c r="I426" s="89">
        <f t="shared" ref="I426:I443" si="101">F426-G426-H426</f>
        <v>0</v>
      </c>
      <c r="J426" s="63"/>
      <c r="K426" s="63"/>
      <c r="L426" s="63"/>
      <c r="M426" s="63"/>
      <c r="N426" s="63"/>
      <c r="O426" s="63"/>
      <c r="P426" s="63"/>
      <c r="Q426" s="63"/>
      <c r="R426" s="63"/>
      <c r="S426" s="63"/>
      <c r="T426" s="63"/>
      <c r="U426" s="3"/>
      <c r="V426" s="90"/>
      <c r="W426" s="91"/>
      <c r="X426" s="92"/>
    </row>
    <row r="427" spans="2:24">
      <c r="B427" s="87">
        <f t="shared" ref="B427:B443" si="102">B426+1</f>
        <v>2</v>
      </c>
      <c r="C427" s="609"/>
      <c r="D427" s="10"/>
      <c r="E427" s="10"/>
      <c r="F427" s="62"/>
      <c r="G427" s="62"/>
      <c r="H427" s="62"/>
      <c r="I427" s="89">
        <f t="shared" si="101"/>
        <v>0</v>
      </c>
      <c r="J427" s="63"/>
      <c r="K427" s="63"/>
      <c r="L427" s="63"/>
      <c r="M427" s="63"/>
      <c r="N427" s="63"/>
      <c r="O427" s="63"/>
      <c r="P427" s="63"/>
      <c r="Q427" s="63"/>
      <c r="R427" s="63"/>
      <c r="S427" s="63"/>
      <c r="T427" s="63"/>
      <c r="U427" s="10"/>
      <c r="V427" s="90"/>
      <c r="W427" s="136"/>
      <c r="X427" s="137"/>
    </row>
    <row r="428" spans="2:24">
      <c r="B428" s="87">
        <f t="shared" si="102"/>
        <v>3</v>
      </c>
      <c r="C428" s="609"/>
      <c r="D428" s="10"/>
      <c r="E428" s="10"/>
      <c r="F428" s="62"/>
      <c r="G428" s="62"/>
      <c r="H428" s="62"/>
      <c r="I428" s="89">
        <f t="shared" si="101"/>
        <v>0</v>
      </c>
      <c r="J428" s="63"/>
      <c r="K428" s="63"/>
      <c r="L428" s="63"/>
      <c r="M428" s="63"/>
      <c r="N428" s="63"/>
      <c r="O428" s="63"/>
      <c r="P428" s="63"/>
      <c r="Q428" s="63"/>
      <c r="R428" s="63"/>
      <c r="S428" s="63"/>
      <c r="T428" s="63"/>
      <c r="U428" s="10"/>
      <c r="V428" s="90"/>
      <c r="W428" s="136"/>
      <c r="X428" s="137"/>
    </row>
    <row r="429" spans="2:24">
      <c r="B429" s="87">
        <f t="shared" si="102"/>
        <v>4</v>
      </c>
      <c r="C429" s="609"/>
      <c r="D429" s="10"/>
      <c r="E429" s="10"/>
      <c r="F429" s="62"/>
      <c r="G429" s="62"/>
      <c r="H429" s="62"/>
      <c r="I429" s="89">
        <f t="shared" si="101"/>
        <v>0</v>
      </c>
      <c r="J429" s="63"/>
      <c r="K429" s="63"/>
      <c r="L429" s="63"/>
      <c r="M429" s="63"/>
      <c r="N429" s="63"/>
      <c r="O429" s="63"/>
      <c r="P429" s="63"/>
      <c r="Q429" s="63"/>
      <c r="R429" s="63"/>
      <c r="S429" s="63"/>
      <c r="T429" s="63"/>
      <c r="U429" s="10"/>
      <c r="V429" s="90"/>
      <c r="W429" s="136"/>
      <c r="X429" s="137"/>
    </row>
    <row r="430" spans="2:24">
      <c r="B430" s="87">
        <f t="shared" si="102"/>
        <v>5</v>
      </c>
      <c r="C430" s="609"/>
      <c r="D430" s="10"/>
      <c r="E430" s="10"/>
      <c r="F430" s="62"/>
      <c r="G430" s="62"/>
      <c r="H430" s="62"/>
      <c r="I430" s="89">
        <f t="shared" si="101"/>
        <v>0</v>
      </c>
      <c r="J430" s="63"/>
      <c r="K430" s="63"/>
      <c r="L430" s="63"/>
      <c r="M430" s="63"/>
      <c r="N430" s="63"/>
      <c r="O430" s="63"/>
      <c r="P430" s="63"/>
      <c r="Q430" s="63"/>
      <c r="R430" s="63"/>
      <c r="S430" s="63"/>
      <c r="T430" s="63"/>
      <c r="U430" s="10"/>
      <c r="V430" s="90"/>
      <c r="W430" s="136"/>
      <c r="X430" s="137"/>
    </row>
    <row r="431" spans="2:24">
      <c r="B431" s="87">
        <f t="shared" si="102"/>
        <v>6</v>
      </c>
      <c r="C431" s="609"/>
      <c r="D431" s="10"/>
      <c r="E431" s="101"/>
      <c r="F431" s="62"/>
      <c r="G431" s="62"/>
      <c r="H431" s="62"/>
      <c r="I431" s="89">
        <f t="shared" si="101"/>
        <v>0</v>
      </c>
      <c r="J431" s="63"/>
      <c r="K431" s="63"/>
      <c r="L431" s="63"/>
      <c r="M431" s="63"/>
      <c r="N431" s="63"/>
      <c r="O431" s="63"/>
      <c r="P431" s="63"/>
      <c r="Q431" s="63"/>
      <c r="R431" s="63"/>
      <c r="S431" s="63"/>
      <c r="T431" s="63"/>
      <c r="U431" s="10"/>
      <c r="V431" s="90"/>
      <c r="W431" s="136"/>
      <c r="X431" s="137"/>
    </row>
    <row r="432" spans="2:24">
      <c r="B432" s="87">
        <f t="shared" si="102"/>
        <v>7</v>
      </c>
      <c r="C432" s="609"/>
      <c r="D432" s="10"/>
      <c r="E432" s="101"/>
      <c r="F432" s="62"/>
      <c r="G432" s="62"/>
      <c r="H432" s="62"/>
      <c r="I432" s="89">
        <f t="shared" si="101"/>
        <v>0</v>
      </c>
      <c r="J432" s="63"/>
      <c r="K432" s="63"/>
      <c r="L432" s="63"/>
      <c r="M432" s="63"/>
      <c r="N432" s="63"/>
      <c r="O432" s="63"/>
      <c r="P432" s="63"/>
      <c r="Q432" s="63"/>
      <c r="R432" s="63"/>
      <c r="S432" s="63"/>
      <c r="T432" s="63"/>
      <c r="U432" s="10"/>
      <c r="V432" s="90"/>
      <c r="W432" s="136"/>
      <c r="X432" s="137"/>
    </row>
    <row r="433" spans="2:24">
      <c r="B433" s="87">
        <f t="shared" si="102"/>
        <v>8</v>
      </c>
      <c r="C433" s="609"/>
      <c r="D433" s="10"/>
      <c r="E433" s="101"/>
      <c r="F433" s="62"/>
      <c r="G433" s="62"/>
      <c r="H433" s="62"/>
      <c r="I433" s="89">
        <f t="shared" si="101"/>
        <v>0</v>
      </c>
      <c r="J433" s="63"/>
      <c r="K433" s="63"/>
      <c r="L433" s="63"/>
      <c r="M433" s="63"/>
      <c r="N433" s="63"/>
      <c r="O433" s="63"/>
      <c r="P433" s="63"/>
      <c r="Q433" s="63"/>
      <c r="R433" s="63"/>
      <c r="S433" s="63"/>
      <c r="T433" s="63"/>
      <c r="U433" s="10"/>
      <c r="V433" s="90"/>
      <c r="W433" s="136"/>
      <c r="X433" s="137"/>
    </row>
    <row r="434" spans="2:24">
      <c r="B434" s="87">
        <f t="shared" si="102"/>
        <v>9</v>
      </c>
      <c r="C434" s="609"/>
      <c r="D434" s="10"/>
      <c r="E434" s="101"/>
      <c r="F434" s="62"/>
      <c r="G434" s="62"/>
      <c r="H434" s="62"/>
      <c r="I434" s="89">
        <f t="shared" si="101"/>
        <v>0</v>
      </c>
      <c r="J434" s="63"/>
      <c r="K434" s="63"/>
      <c r="L434" s="63"/>
      <c r="M434" s="63"/>
      <c r="N434" s="63"/>
      <c r="O434" s="63"/>
      <c r="P434" s="63"/>
      <c r="Q434" s="63"/>
      <c r="R434" s="63"/>
      <c r="S434" s="63"/>
      <c r="T434" s="63"/>
      <c r="U434" s="10"/>
      <c r="V434" s="90"/>
      <c r="W434" s="136"/>
      <c r="X434" s="137"/>
    </row>
    <row r="435" spans="2:24">
      <c r="B435" s="87">
        <f t="shared" si="102"/>
        <v>10</v>
      </c>
      <c r="C435" s="609"/>
      <c r="D435" s="10"/>
      <c r="E435" s="101"/>
      <c r="F435" s="62"/>
      <c r="G435" s="62"/>
      <c r="H435" s="62"/>
      <c r="I435" s="89">
        <f t="shared" si="101"/>
        <v>0</v>
      </c>
      <c r="J435" s="63"/>
      <c r="K435" s="63"/>
      <c r="L435" s="63"/>
      <c r="M435" s="63"/>
      <c r="N435" s="63"/>
      <c r="O435" s="63"/>
      <c r="P435" s="63"/>
      <c r="Q435" s="63"/>
      <c r="R435" s="63"/>
      <c r="S435" s="63"/>
      <c r="T435" s="63"/>
      <c r="U435" s="10"/>
      <c r="V435" s="90"/>
      <c r="W435" s="136"/>
      <c r="X435" s="137"/>
    </row>
    <row r="436" spans="2:24">
      <c r="B436" s="87">
        <f t="shared" si="102"/>
        <v>11</v>
      </c>
      <c r="C436" s="609"/>
      <c r="D436" s="10"/>
      <c r="E436" s="101"/>
      <c r="F436" s="62"/>
      <c r="G436" s="62"/>
      <c r="H436" s="62"/>
      <c r="I436" s="89">
        <f t="shared" si="101"/>
        <v>0</v>
      </c>
      <c r="J436" s="63"/>
      <c r="K436" s="63"/>
      <c r="L436" s="63"/>
      <c r="M436" s="63"/>
      <c r="N436" s="63"/>
      <c r="O436" s="63"/>
      <c r="P436" s="63"/>
      <c r="Q436" s="63"/>
      <c r="R436" s="63"/>
      <c r="S436" s="63"/>
      <c r="T436" s="63"/>
      <c r="U436" s="10"/>
      <c r="V436" s="90"/>
      <c r="W436" s="136"/>
      <c r="X436" s="137"/>
    </row>
    <row r="437" spans="2:24">
      <c r="B437" s="87">
        <f t="shared" si="102"/>
        <v>12</v>
      </c>
      <c r="C437" s="609"/>
      <c r="D437" s="10"/>
      <c r="E437" s="101"/>
      <c r="F437" s="62"/>
      <c r="G437" s="62"/>
      <c r="H437" s="62"/>
      <c r="I437" s="89">
        <f t="shared" si="101"/>
        <v>0</v>
      </c>
      <c r="J437" s="63"/>
      <c r="K437" s="63"/>
      <c r="L437" s="63"/>
      <c r="M437" s="63"/>
      <c r="N437" s="63"/>
      <c r="O437" s="63"/>
      <c r="P437" s="63"/>
      <c r="Q437" s="63"/>
      <c r="R437" s="63"/>
      <c r="S437" s="63"/>
      <c r="T437" s="63"/>
      <c r="U437" s="10"/>
      <c r="V437" s="90"/>
      <c r="W437" s="136"/>
      <c r="X437" s="137"/>
    </row>
    <row r="438" spans="2:24">
      <c r="B438" s="87">
        <f t="shared" si="102"/>
        <v>13</v>
      </c>
      <c r="C438" s="609"/>
      <c r="D438" s="10"/>
      <c r="E438" s="101"/>
      <c r="F438" s="62"/>
      <c r="G438" s="62"/>
      <c r="H438" s="62"/>
      <c r="I438" s="89">
        <f t="shared" si="101"/>
        <v>0</v>
      </c>
      <c r="J438" s="63"/>
      <c r="K438" s="63"/>
      <c r="L438" s="63"/>
      <c r="M438" s="63"/>
      <c r="N438" s="63"/>
      <c r="O438" s="63"/>
      <c r="P438" s="63"/>
      <c r="Q438" s="63"/>
      <c r="R438" s="63"/>
      <c r="S438" s="63"/>
      <c r="T438" s="63"/>
      <c r="U438" s="10"/>
      <c r="V438" s="90"/>
      <c r="W438" s="136"/>
      <c r="X438" s="137"/>
    </row>
    <row r="439" spans="2:24">
      <c r="B439" s="87">
        <f t="shared" si="102"/>
        <v>14</v>
      </c>
      <c r="C439" s="609"/>
      <c r="D439" s="10"/>
      <c r="E439" s="10"/>
      <c r="F439" s="62"/>
      <c r="G439" s="62"/>
      <c r="H439" s="62"/>
      <c r="I439" s="89">
        <f t="shared" si="101"/>
        <v>0</v>
      </c>
      <c r="J439" s="63"/>
      <c r="K439" s="63"/>
      <c r="L439" s="63"/>
      <c r="M439" s="63"/>
      <c r="N439" s="63"/>
      <c r="O439" s="63"/>
      <c r="P439" s="63"/>
      <c r="Q439" s="63"/>
      <c r="R439" s="63"/>
      <c r="S439" s="63"/>
      <c r="T439" s="63"/>
      <c r="U439" s="10"/>
      <c r="V439" s="90"/>
      <c r="W439" s="136"/>
      <c r="X439" s="137"/>
    </row>
    <row r="440" spans="2:24">
      <c r="B440" s="87">
        <f t="shared" si="102"/>
        <v>15</v>
      </c>
      <c r="C440" s="609"/>
      <c r="D440" s="10"/>
      <c r="E440" s="10"/>
      <c r="F440" s="62"/>
      <c r="G440" s="62"/>
      <c r="H440" s="62"/>
      <c r="I440" s="89">
        <f t="shared" si="101"/>
        <v>0</v>
      </c>
      <c r="J440" s="63"/>
      <c r="K440" s="63"/>
      <c r="L440" s="63"/>
      <c r="M440" s="63"/>
      <c r="N440" s="63"/>
      <c r="O440" s="63"/>
      <c r="P440" s="63"/>
      <c r="Q440" s="63"/>
      <c r="R440" s="63"/>
      <c r="S440" s="63"/>
      <c r="T440" s="63"/>
      <c r="U440" s="10"/>
      <c r="V440" s="90"/>
      <c r="W440" s="136"/>
      <c r="X440" s="137"/>
    </row>
    <row r="441" spans="2:24">
      <c r="B441" s="87">
        <f t="shared" si="102"/>
        <v>16</v>
      </c>
      <c r="C441" s="609"/>
      <c r="D441" s="10"/>
      <c r="E441" s="10"/>
      <c r="F441" s="62"/>
      <c r="G441" s="62"/>
      <c r="H441" s="62"/>
      <c r="I441" s="89">
        <f t="shared" si="101"/>
        <v>0</v>
      </c>
      <c r="J441" s="63"/>
      <c r="K441" s="63"/>
      <c r="L441" s="63"/>
      <c r="M441" s="63"/>
      <c r="N441" s="63"/>
      <c r="O441" s="63"/>
      <c r="P441" s="63"/>
      <c r="Q441" s="63"/>
      <c r="R441" s="63"/>
      <c r="S441" s="63"/>
      <c r="T441" s="63"/>
      <c r="U441" s="10"/>
      <c r="V441" s="90"/>
      <c r="W441" s="136"/>
      <c r="X441" s="137"/>
    </row>
    <row r="442" spans="2:24">
      <c r="B442" s="87">
        <f t="shared" si="102"/>
        <v>17</v>
      </c>
      <c r="C442" s="609"/>
      <c r="D442" s="10"/>
      <c r="E442" s="10"/>
      <c r="F442" s="62"/>
      <c r="G442" s="62"/>
      <c r="H442" s="62"/>
      <c r="I442" s="89">
        <f t="shared" si="101"/>
        <v>0</v>
      </c>
      <c r="J442" s="63"/>
      <c r="K442" s="63"/>
      <c r="L442" s="63"/>
      <c r="M442" s="63"/>
      <c r="N442" s="63"/>
      <c r="O442" s="63"/>
      <c r="P442" s="63"/>
      <c r="Q442" s="63"/>
      <c r="R442" s="63"/>
      <c r="S442" s="63"/>
      <c r="T442" s="63"/>
      <c r="U442" s="10"/>
      <c r="V442" s="90"/>
      <c r="W442" s="136"/>
      <c r="X442" s="137"/>
    </row>
    <row r="443" spans="2:24">
      <c r="B443" s="87">
        <f t="shared" si="102"/>
        <v>18</v>
      </c>
      <c r="C443" s="609"/>
      <c r="D443" s="10"/>
      <c r="E443" s="10"/>
      <c r="F443" s="62"/>
      <c r="G443" s="62"/>
      <c r="H443" s="62"/>
      <c r="I443" s="89">
        <f t="shared" si="101"/>
        <v>0</v>
      </c>
      <c r="J443" s="63"/>
      <c r="K443" s="63"/>
      <c r="L443" s="63"/>
      <c r="M443" s="63"/>
      <c r="N443" s="63"/>
      <c r="O443" s="63"/>
      <c r="P443" s="63"/>
      <c r="Q443" s="63"/>
      <c r="R443" s="63"/>
      <c r="S443" s="63"/>
      <c r="T443" s="63"/>
      <c r="U443" s="10"/>
      <c r="V443" s="90"/>
      <c r="W443" s="136"/>
      <c r="X443" s="137"/>
    </row>
    <row r="444" spans="2:24">
      <c r="B444" s="11"/>
      <c r="C444" s="609"/>
      <c r="D444" s="10"/>
      <c r="E444" s="10"/>
      <c r="F444" s="97">
        <f>SUM(F426:F443)</f>
        <v>0</v>
      </c>
      <c r="G444" s="97">
        <f>SUM(G426:G443)</f>
        <v>0</v>
      </c>
      <c r="H444" s="97">
        <f>SUM(H426:H443)</f>
        <v>0</v>
      </c>
      <c r="I444" s="98">
        <f>SUM(I426:I443)</f>
        <v>0</v>
      </c>
      <c r="J444" s="10"/>
      <c r="K444" s="10"/>
      <c r="L444" s="10"/>
      <c r="M444" s="10"/>
      <c r="N444" s="10"/>
      <c r="O444" s="10"/>
      <c r="P444" s="10"/>
      <c r="Q444" s="10"/>
      <c r="R444" s="10"/>
      <c r="S444" s="10"/>
      <c r="T444" s="63"/>
      <c r="U444" s="10"/>
      <c r="V444" s="138"/>
      <c r="W444" s="136"/>
      <c r="X444" s="137"/>
    </row>
    <row r="445" spans="2:24">
      <c r="B445" s="11"/>
      <c r="C445" s="609"/>
      <c r="D445" s="10"/>
      <c r="E445" s="10"/>
      <c r="F445" s="88"/>
      <c r="G445" s="88"/>
      <c r="H445" s="88"/>
      <c r="I445" s="99"/>
      <c r="J445" s="10"/>
      <c r="K445" s="10"/>
      <c r="L445" s="10"/>
      <c r="M445" s="10"/>
      <c r="N445" s="10"/>
      <c r="O445" s="10"/>
      <c r="P445" s="10"/>
      <c r="Q445" s="10"/>
      <c r="R445" s="10"/>
      <c r="S445" s="10"/>
      <c r="T445" s="63"/>
      <c r="U445" s="10"/>
      <c r="V445" s="138"/>
      <c r="W445" s="136"/>
      <c r="X445" s="137"/>
    </row>
    <row r="446" spans="2:24">
      <c r="B446" s="100" t="s">
        <v>73</v>
      </c>
      <c r="C446" s="609"/>
      <c r="D446" s="10"/>
      <c r="E446" s="10"/>
      <c r="F446" s="88"/>
      <c r="G446" s="88"/>
      <c r="H446" s="88"/>
      <c r="I446" s="99"/>
      <c r="J446" s="63"/>
      <c r="K446" s="63"/>
      <c r="L446" s="63"/>
      <c r="M446" s="63"/>
      <c r="N446" s="63"/>
      <c r="O446" s="63"/>
      <c r="P446" s="63"/>
      <c r="Q446" s="63"/>
      <c r="R446" s="63"/>
      <c r="S446" s="63"/>
      <c r="T446" s="63"/>
      <c r="U446" s="94"/>
      <c r="V446" s="90"/>
      <c r="W446" s="91"/>
      <c r="X446" s="92"/>
    </row>
    <row r="447" spans="2:24">
      <c r="B447" s="87">
        <v>1</v>
      </c>
      <c r="C447" s="609"/>
      <c r="D447" s="10"/>
      <c r="E447" s="10"/>
      <c r="F447" s="62"/>
      <c r="G447" s="62"/>
      <c r="H447" s="62"/>
      <c r="I447" s="89">
        <f t="shared" ref="I447:I452" si="103">F447-G447-H447</f>
        <v>0</v>
      </c>
      <c r="J447" s="63"/>
      <c r="K447" s="63"/>
      <c r="L447" s="63"/>
      <c r="M447" s="63"/>
      <c r="N447" s="63"/>
      <c r="O447" s="63"/>
      <c r="P447" s="63"/>
      <c r="Q447" s="63"/>
      <c r="R447" s="63"/>
      <c r="S447" s="63"/>
      <c r="T447" s="63"/>
      <c r="U447" s="139"/>
      <c r="V447" s="90"/>
      <c r="W447" s="91"/>
      <c r="X447" s="92"/>
    </row>
    <row r="448" spans="2:24">
      <c r="B448" s="87">
        <f>B447+1</f>
        <v>2</v>
      </c>
      <c r="C448" s="609"/>
      <c r="D448" s="10"/>
      <c r="E448" s="10"/>
      <c r="F448" s="62"/>
      <c r="G448" s="62"/>
      <c r="H448" s="62"/>
      <c r="I448" s="89">
        <f t="shared" si="103"/>
        <v>0</v>
      </c>
      <c r="J448" s="63"/>
      <c r="K448" s="63"/>
      <c r="L448" s="63"/>
      <c r="M448" s="63"/>
      <c r="N448" s="63"/>
      <c r="O448" s="63"/>
      <c r="P448" s="63"/>
      <c r="Q448" s="63"/>
      <c r="R448" s="63"/>
      <c r="S448" s="63"/>
      <c r="T448" s="63"/>
      <c r="U448" s="94"/>
      <c r="V448" s="90"/>
      <c r="W448" s="136"/>
      <c r="X448" s="137"/>
    </row>
    <row r="449" spans="2:24">
      <c r="B449" s="87">
        <f>B448+1</f>
        <v>3</v>
      </c>
      <c r="C449" s="609"/>
      <c r="D449" s="10"/>
      <c r="E449" s="10"/>
      <c r="F449" s="62"/>
      <c r="G449" s="62"/>
      <c r="H449" s="62"/>
      <c r="I449" s="89">
        <f t="shared" si="103"/>
        <v>0</v>
      </c>
      <c r="J449" s="63"/>
      <c r="K449" s="63"/>
      <c r="L449" s="63"/>
      <c r="M449" s="63"/>
      <c r="N449" s="63"/>
      <c r="O449" s="63"/>
      <c r="P449" s="63"/>
      <c r="Q449" s="63"/>
      <c r="R449" s="63"/>
      <c r="S449" s="63"/>
      <c r="T449" s="63"/>
      <c r="U449" s="94"/>
      <c r="V449" s="90"/>
      <c r="W449" s="136"/>
      <c r="X449" s="137"/>
    </row>
    <row r="450" spans="2:24">
      <c r="B450" s="87">
        <f>B449+1</f>
        <v>4</v>
      </c>
      <c r="C450" s="609"/>
      <c r="D450" s="10"/>
      <c r="E450" s="10"/>
      <c r="F450" s="62"/>
      <c r="G450" s="62"/>
      <c r="H450" s="62"/>
      <c r="I450" s="89">
        <f t="shared" si="103"/>
        <v>0</v>
      </c>
      <c r="J450" s="63"/>
      <c r="K450" s="63"/>
      <c r="L450" s="63"/>
      <c r="M450" s="63"/>
      <c r="N450" s="63"/>
      <c r="O450" s="63"/>
      <c r="P450" s="63"/>
      <c r="Q450" s="63"/>
      <c r="R450" s="63"/>
      <c r="S450" s="63"/>
      <c r="T450" s="63"/>
      <c r="U450" s="94"/>
      <c r="V450" s="90"/>
      <c r="W450" s="136"/>
      <c r="X450" s="137"/>
    </row>
    <row r="451" spans="2:24">
      <c r="B451" s="87">
        <f>B450+1</f>
        <v>5</v>
      </c>
      <c r="C451" s="609"/>
      <c r="D451" s="10"/>
      <c r="E451" s="10"/>
      <c r="F451" s="62"/>
      <c r="G451" s="62"/>
      <c r="H451" s="62"/>
      <c r="I451" s="89">
        <f t="shared" si="103"/>
        <v>0</v>
      </c>
      <c r="J451" s="63"/>
      <c r="K451" s="63"/>
      <c r="L451" s="63"/>
      <c r="M451" s="63"/>
      <c r="N451" s="63"/>
      <c r="O451" s="63"/>
      <c r="P451" s="63"/>
      <c r="Q451" s="63"/>
      <c r="R451" s="63"/>
      <c r="S451" s="63"/>
      <c r="T451" s="63"/>
      <c r="U451" s="94"/>
      <c r="V451" s="90"/>
      <c r="W451" s="136"/>
      <c r="X451" s="137"/>
    </row>
    <row r="452" spans="2:24">
      <c r="B452" s="87">
        <f>B451+1</f>
        <v>6</v>
      </c>
      <c r="C452" s="609"/>
      <c r="D452" s="10"/>
      <c r="E452" s="101"/>
      <c r="F452" s="62"/>
      <c r="G452" s="62"/>
      <c r="H452" s="62"/>
      <c r="I452" s="89">
        <f t="shared" si="103"/>
        <v>0</v>
      </c>
      <c r="J452" s="63"/>
      <c r="K452" s="63"/>
      <c r="L452" s="63"/>
      <c r="M452" s="63"/>
      <c r="N452" s="63"/>
      <c r="O452" s="63"/>
      <c r="P452" s="63"/>
      <c r="Q452" s="63"/>
      <c r="R452" s="63"/>
      <c r="S452" s="63"/>
      <c r="T452" s="63"/>
      <c r="U452" s="94"/>
      <c r="V452" s="90"/>
      <c r="W452" s="136"/>
      <c r="X452" s="137"/>
    </row>
    <row r="453" spans="2:24">
      <c r="B453" s="11"/>
      <c r="C453" s="609"/>
      <c r="D453" s="10"/>
      <c r="E453" s="10"/>
      <c r="F453" s="97">
        <f>SUM(F447:F452)</f>
        <v>0</v>
      </c>
      <c r="G453" s="97">
        <f>SUM(G447:G452)</f>
        <v>0</v>
      </c>
      <c r="H453" s="97">
        <f>SUM(H447:H452)</f>
        <v>0</v>
      </c>
      <c r="I453" s="98">
        <f>SUM(I447:I452)</f>
        <v>0</v>
      </c>
      <c r="J453" s="10"/>
      <c r="K453" s="10"/>
      <c r="L453" s="10"/>
      <c r="M453" s="10"/>
      <c r="N453" s="10"/>
      <c r="O453" s="10"/>
      <c r="P453" s="10"/>
      <c r="Q453" s="10"/>
      <c r="R453" s="10"/>
      <c r="S453" s="10"/>
      <c r="T453" s="63"/>
      <c r="U453" s="94"/>
      <c r="V453" s="90"/>
      <c r="W453" s="91"/>
      <c r="X453" s="92"/>
    </row>
    <row r="454" spans="2:24">
      <c r="B454" s="26"/>
      <c r="C454" s="612"/>
      <c r="D454" s="141"/>
      <c r="E454" s="141"/>
      <c r="F454" s="141"/>
      <c r="G454" s="141"/>
      <c r="H454" s="141"/>
      <c r="I454" s="141"/>
      <c r="J454" s="141"/>
      <c r="K454" s="142"/>
      <c r="L454" s="142"/>
      <c r="M454" s="142"/>
      <c r="N454" s="142"/>
      <c r="O454" s="142"/>
      <c r="P454" s="142"/>
      <c r="Q454" s="142"/>
      <c r="R454" s="142"/>
      <c r="S454" s="142"/>
      <c r="T454" s="143">
        <f>SUM(T340:T453)</f>
        <v>0</v>
      </c>
      <c r="U454" s="141"/>
      <c r="V454" s="144">
        <f>SUM(V340:V453)</f>
        <v>0</v>
      </c>
      <c r="W454" s="145">
        <f>SUM(W340:W453)</f>
        <v>0</v>
      </c>
      <c r="X454" s="146">
        <f>SUM(X340:X453)</f>
        <v>0</v>
      </c>
    </row>
    <row r="455" spans="2:24">
      <c r="B455" s="10"/>
      <c r="C455" s="36"/>
      <c r="D455" s="10"/>
      <c r="E455" s="10"/>
      <c r="F455" s="10"/>
      <c r="G455" s="10"/>
      <c r="H455" s="10"/>
      <c r="I455" s="10"/>
      <c r="J455" s="10"/>
      <c r="K455" s="147"/>
      <c r="L455" s="147"/>
      <c r="M455" s="147"/>
      <c r="N455" s="147"/>
      <c r="O455" s="147"/>
      <c r="P455" s="147"/>
      <c r="Q455" s="147"/>
      <c r="R455" s="147"/>
      <c r="S455" s="147"/>
      <c r="T455" s="21"/>
      <c r="U455" s="10"/>
      <c r="V455" s="99"/>
      <c r="W455" s="99"/>
      <c r="X455" s="99"/>
    </row>
  </sheetData>
  <mergeCells count="6">
    <mergeCell ref="K328:Q328"/>
    <mergeCell ref="K111:Q111"/>
    <mergeCell ref="K18:Q18"/>
    <mergeCell ref="K190:Q190"/>
    <mergeCell ref="K254:Q254"/>
    <mergeCell ref="K291:Q291"/>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8B4A0-E9E8-4DC8-8C4C-2CE3707971F5}">
  <sheetPr>
    <tabColor rgb="FFFF0000"/>
  </sheetPr>
  <dimension ref="A3:Z1691"/>
  <sheetViews>
    <sheetView topLeftCell="A1548" workbookViewId="0">
      <selection activeCell="E1465" sqref="E1465:F1465"/>
    </sheetView>
  </sheetViews>
  <sheetFormatPr defaultRowHeight="15"/>
  <cols>
    <col min="1" max="1" width="9.140625" customWidth="1"/>
    <col min="3" max="3" width="10.42578125" customWidth="1"/>
    <col min="4" max="4" width="14" customWidth="1"/>
    <col min="5" max="5" width="27.140625" customWidth="1"/>
    <col min="6" max="6" width="13.42578125" customWidth="1"/>
    <col min="7" max="7" width="14.140625" customWidth="1"/>
    <col min="8" max="8" width="10.85546875" customWidth="1"/>
    <col min="9" max="9" width="12.28515625" customWidth="1"/>
    <col min="11" max="11" width="11.28515625" customWidth="1"/>
    <col min="12" max="12" width="11.140625" customWidth="1"/>
    <col min="13" max="13" width="11.42578125" customWidth="1"/>
    <col min="14" max="14" width="10.7109375" customWidth="1"/>
    <col min="15" max="15" width="10" customWidth="1"/>
    <col min="16" max="16" width="11.85546875" customWidth="1"/>
    <col min="18" max="18" width="12.28515625" customWidth="1"/>
    <col min="21" max="21" width="9.28515625" customWidth="1"/>
    <col min="22" max="22" width="12.85546875" customWidth="1"/>
    <col min="23" max="23" width="9.5703125" customWidth="1"/>
    <col min="24" max="24" width="11.7109375" customWidth="1"/>
  </cols>
  <sheetData>
    <row r="3" spans="1:25">
      <c r="A3" s="3"/>
      <c r="B3" s="4" t="s">
        <v>1</v>
      </c>
      <c r="C3" s="5"/>
      <c r="D3" s="6"/>
      <c r="E3" s="6"/>
      <c r="F3" s="7" t="s">
        <v>2</v>
      </c>
      <c r="G3" s="8">
        <v>45837</v>
      </c>
      <c r="H3" s="7"/>
      <c r="I3" s="6"/>
      <c r="J3" s="6"/>
      <c r="K3" s="6"/>
      <c r="L3" s="6"/>
      <c r="M3" s="6"/>
      <c r="N3" s="6"/>
      <c r="O3" s="6"/>
      <c r="P3" s="6"/>
      <c r="Q3" s="6"/>
      <c r="R3" s="6"/>
      <c r="S3" s="6"/>
      <c r="T3" s="6"/>
      <c r="U3" s="9"/>
      <c r="V3" s="10"/>
      <c r="W3" s="10"/>
      <c r="X3" s="10"/>
      <c r="Y3" s="2"/>
    </row>
    <row r="4" spans="1:25">
      <c r="A4" s="2"/>
      <c r="B4" s="11"/>
      <c r="C4" s="10"/>
      <c r="D4" s="10"/>
      <c r="E4" s="10"/>
      <c r="F4" s="10"/>
      <c r="G4" s="7"/>
      <c r="H4" s="12"/>
      <c r="I4" s="10"/>
      <c r="J4" s="10"/>
      <c r="K4" s="13" t="s">
        <v>3</v>
      </c>
      <c r="L4" s="14"/>
      <c r="M4" s="15"/>
      <c r="N4" s="13" t="s">
        <v>4</v>
      </c>
      <c r="O4" s="14"/>
      <c r="P4" s="15"/>
      <c r="Q4" s="13" t="s">
        <v>5</v>
      </c>
      <c r="R4" s="14"/>
      <c r="S4" s="15"/>
      <c r="T4" s="16"/>
      <c r="U4" s="17"/>
      <c r="V4" s="10"/>
      <c r="W4" s="10"/>
      <c r="X4" s="10"/>
      <c r="Y4" s="2"/>
    </row>
    <row r="5" spans="1:25">
      <c r="A5" s="2"/>
      <c r="B5" s="18" t="s">
        <v>6</v>
      </c>
      <c r="C5" s="19">
        <f>C6+C7</f>
        <v>0</v>
      </c>
      <c r="D5" s="10"/>
      <c r="E5" s="18" t="s">
        <v>7</v>
      </c>
      <c r="F5" s="6"/>
      <c r="G5" s="9"/>
      <c r="H5" s="10"/>
      <c r="I5" s="10"/>
      <c r="J5" s="10"/>
      <c r="K5" s="20" t="s">
        <v>8</v>
      </c>
      <c r="L5" s="21" t="s">
        <v>9</v>
      </c>
      <c r="M5" s="21" t="s">
        <v>10</v>
      </c>
      <c r="N5" s="20" t="s">
        <v>11</v>
      </c>
      <c r="O5" s="21" t="s">
        <v>12</v>
      </c>
      <c r="P5" s="22" t="s">
        <v>13</v>
      </c>
      <c r="Q5" s="21" t="s">
        <v>11</v>
      </c>
      <c r="R5" s="21" t="s">
        <v>12</v>
      </c>
      <c r="S5" s="22" t="s">
        <v>13</v>
      </c>
      <c r="T5" s="23" t="s">
        <v>14</v>
      </c>
      <c r="U5" s="17"/>
      <c r="V5" s="10"/>
      <c r="W5" s="10"/>
      <c r="X5" s="10"/>
      <c r="Y5" s="2"/>
    </row>
    <row r="6" spans="1:25">
      <c r="A6" s="2"/>
      <c r="B6" s="24" t="s">
        <v>15</v>
      </c>
      <c r="C6" s="25">
        <f>P13</f>
        <v>0</v>
      </c>
      <c r="D6" s="10"/>
      <c r="E6" s="26" t="s">
        <v>16</v>
      </c>
      <c r="F6" s="27">
        <v>0.05</v>
      </c>
      <c r="G6" s="28"/>
      <c r="H6" s="10"/>
      <c r="I6" s="10"/>
      <c r="J6" s="18" t="s">
        <v>17</v>
      </c>
      <c r="K6" s="29">
        <f>K32</f>
        <v>0</v>
      </c>
      <c r="L6" s="29">
        <f t="shared" ref="L6:S6" si="0">L32</f>
        <v>0</v>
      </c>
      <c r="M6" s="29">
        <f t="shared" si="0"/>
        <v>0</v>
      </c>
      <c r="N6" s="29">
        <f t="shared" si="0"/>
        <v>0</v>
      </c>
      <c r="O6" s="29">
        <f t="shared" si="0"/>
        <v>0</v>
      </c>
      <c r="P6" s="29">
        <f t="shared" si="0"/>
        <v>0</v>
      </c>
      <c r="Q6" s="29">
        <f t="shared" si="0"/>
        <v>0</v>
      </c>
      <c r="R6" s="29">
        <f t="shared" si="0"/>
        <v>0</v>
      </c>
      <c r="S6" s="29">
        <f t="shared" si="0"/>
        <v>0</v>
      </c>
      <c r="T6" s="30">
        <f>T37</f>
        <v>0</v>
      </c>
      <c r="U6" s="17"/>
      <c r="V6" s="10"/>
      <c r="W6" s="10"/>
      <c r="X6" s="10"/>
      <c r="Y6" s="2"/>
    </row>
    <row r="7" spans="1:25">
      <c r="A7" s="2"/>
      <c r="B7" s="24" t="s">
        <v>18</v>
      </c>
      <c r="C7" s="25">
        <f>P14</f>
        <v>0</v>
      </c>
      <c r="D7" s="10"/>
      <c r="E7" s="10"/>
      <c r="F7" s="10"/>
      <c r="G7" s="31"/>
      <c r="H7" s="10"/>
      <c r="I7" s="10"/>
      <c r="J7" s="32" t="s">
        <v>19</v>
      </c>
      <c r="K7" s="33" t="e">
        <f>K32/K31</f>
        <v>#DIV/0!</v>
      </c>
      <c r="L7" s="33" t="e">
        <f t="shared" ref="L7:S7" si="1">L32/L31</f>
        <v>#DIV/0!</v>
      </c>
      <c r="M7" s="33" t="e">
        <f t="shared" si="1"/>
        <v>#DIV/0!</v>
      </c>
      <c r="N7" s="33" t="e">
        <f t="shared" si="1"/>
        <v>#DIV/0!</v>
      </c>
      <c r="O7" s="33" t="e">
        <f t="shared" si="1"/>
        <v>#DIV/0!</v>
      </c>
      <c r="P7" s="33" t="e">
        <f t="shared" si="1"/>
        <v>#DIV/0!</v>
      </c>
      <c r="Q7" s="33" t="e">
        <f t="shared" si="1"/>
        <v>#DIV/0!</v>
      </c>
      <c r="R7" s="33" t="e">
        <f t="shared" si="1"/>
        <v>#DIV/0!</v>
      </c>
      <c r="S7" s="33" t="e">
        <f t="shared" si="1"/>
        <v>#DIV/0!</v>
      </c>
      <c r="T7" s="23"/>
      <c r="U7" s="17" t="s">
        <v>20</v>
      </c>
      <c r="V7" s="10"/>
      <c r="W7" s="10"/>
      <c r="X7" s="10"/>
      <c r="Y7" s="2"/>
    </row>
    <row r="8" spans="1:25">
      <c r="A8" s="2"/>
      <c r="B8" s="24" t="s">
        <v>21</v>
      </c>
      <c r="C8" s="34" t="e">
        <f>P15</f>
        <v>#DIV/0!</v>
      </c>
      <c r="D8" s="10"/>
      <c r="E8" s="10"/>
      <c r="F8" s="10"/>
      <c r="G8" s="10"/>
      <c r="H8" s="10"/>
      <c r="I8" s="10"/>
      <c r="J8" s="10"/>
      <c r="K8" s="10"/>
      <c r="L8" s="10"/>
      <c r="M8" s="10"/>
      <c r="N8" s="10"/>
      <c r="O8" s="10"/>
      <c r="P8" s="10"/>
      <c r="Q8" s="10"/>
      <c r="R8" s="10"/>
      <c r="S8" s="10"/>
      <c r="T8" s="10"/>
      <c r="U8" s="17"/>
      <c r="V8" s="10"/>
      <c r="W8" s="10"/>
      <c r="X8" s="10"/>
      <c r="Y8" s="2"/>
    </row>
    <row r="9" spans="1:25">
      <c r="A9" s="2"/>
      <c r="B9" s="24"/>
      <c r="C9" s="25"/>
      <c r="D9" s="10"/>
      <c r="E9" s="10"/>
      <c r="F9" s="18" t="s">
        <v>22</v>
      </c>
      <c r="G9" s="19" t="s">
        <v>23</v>
      </c>
      <c r="H9" s="35" t="s">
        <v>24</v>
      </c>
      <c r="I9" s="10"/>
      <c r="J9" s="10"/>
      <c r="K9" s="36"/>
      <c r="L9" s="36"/>
      <c r="M9" s="36"/>
      <c r="N9" s="36"/>
      <c r="O9" s="36"/>
      <c r="P9" s="36"/>
      <c r="Q9" s="36"/>
      <c r="R9" s="10"/>
      <c r="S9" s="10"/>
      <c r="T9" s="10"/>
      <c r="U9" s="17"/>
      <c r="V9" s="10"/>
      <c r="W9" s="10"/>
      <c r="X9" s="10"/>
      <c r="Y9" s="2"/>
    </row>
    <row r="10" spans="1:25">
      <c r="A10" s="2"/>
      <c r="B10" s="32" t="s">
        <v>25</v>
      </c>
      <c r="C10" s="37" t="e">
        <f>P16</f>
        <v>#DIV/0!</v>
      </c>
      <c r="D10" s="10"/>
      <c r="E10" s="18" t="s">
        <v>26</v>
      </c>
      <c r="F10" s="38">
        <f>P12</f>
        <v>0</v>
      </c>
      <c r="G10" s="39">
        <f>I31</f>
        <v>0</v>
      </c>
      <c r="H10" s="40"/>
      <c r="I10" s="41"/>
      <c r="J10" s="42"/>
      <c r="K10" s="43" t="s">
        <v>27</v>
      </c>
      <c r="L10" s="44"/>
      <c r="M10" s="44"/>
      <c r="N10" s="44"/>
      <c r="O10" s="44"/>
      <c r="P10" s="44"/>
      <c r="Q10" s="45"/>
      <c r="R10" s="46" t="s">
        <v>28</v>
      </c>
      <c r="S10" s="47" t="s">
        <v>29</v>
      </c>
      <c r="T10" s="10"/>
      <c r="U10" s="17"/>
      <c r="V10" s="10"/>
      <c r="W10" s="10"/>
      <c r="X10" s="10"/>
      <c r="Y10" s="2"/>
    </row>
    <row r="11" spans="1:25">
      <c r="A11" s="2"/>
      <c r="B11" s="11"/>
      <c r="C11" s="10"/>
      <c r="D11" s="10"/>
      <c r="E11" s="24" t="s">
        <v>30</v>
      </c>
      <c r="F11" s="48">
        <f>F6</f>
        <v>0.05</v>
      </c>
      <c r="G11" s="17"/>
      <c r="H11" s="40"/>
      <c r="I11" s="41"/>
      <c r="J11" s="42"/>
      <c r="K11" s="20" t="s">
        <v>31</v>
      </c>
      <c r="L11" s="21" t="s">
        <v>32</v>
      </c>
      <c r="M11" s="21" t="s">
        <v>33</v>
      </c>
      <c r="N11" s="21" t="s">
        <v>34</v>
      </c>
      <c r="O11" s="21" t="s">
        <v>35</v>
      </c>
      <c r="P11" s="21" t="s">
        <v>36</v>
      </c>
      <c r="Q11" s="49" t="s">
        <v>37</v>
      </c>
      <c r="R11" s="50" t="s">
        <v>38</v>
      </c>
      <c r="S11" s="50" t="s">
        <v>38</v>
      </c>
      <c r="T11" s="10"/>
      <c r="U11" s="17"/>
      <c r="V11" s="10"/>
      <c r="W11" s="10"/>
      <c r="X11" s="10"/>
      <c r="Y11" s="2"/>
    </row>
    <row r="12" spans="1:25">
      <c r="A12" s="2"/>
      <c r="B12" s="11"/>
      <c r="C12" s="10"/>
      <c r="D12" s="10"/>
      <c r="E12" s="51" t="s">
        <v>39</v>
      </c>
      <c r="F12" s="52">
        <f>F10*F11</f>
        <v>0</v>
      </c>
      <c r="G12" s="53" t="s">
        <v>40</v>
      </c>
      <c r="H12" s="54">
        <f>F12/1.115</f>
        <v>0</v>
      </c>
      <c r="I12" s="55"/>
      <c r="J12" s="42"/>
      <c r="K12" s="56"/>
      <c r="L12" s="57"/>
      <c r="M12" s="57"/>
      <c r="N12" s="57"/>
      <c r="O12" s="57"/>
      <c r="P12" s="57">
        <f>SUM(K12:O12)</f>
        <v>0</v>
      </c>
      <c r="Q12" s="58">
        <v>0</v>
      </c>
      <c r="R12" s="59">
        <f>0</f>
        <v>0</v>
      </c>
      <c r="S12" s="59">
        <v>0</v>
      </c>
      <c r="T12" s="10"/>
      <c r="U12" s="17"/>
      <c r="V12" s="10"/>
      <c r="W12" s="10"/>
      <c r="X12" s="10"/>
      <c r="Y12" s="2"/>
    </row>
    <row r="13" spans="1:25">
      <c r="A13" s="2"/>
      <c r="B13" s="11"/>
      <c r="C13" s="10"/>
      <c r="D13" s="10"/>
      <c r="E13" s="24" t="s">
        <v>41</v>
      </c>
      <c r="F13" s="60">
        <f>Q12</f>
        <v>0</v>
      </c>
      <c r="G13" s="61" t="s">
        <v>40</v>
      </c>
      <c r="H13" s="62"/>
      <c r="I13" s="62"/>
      <c r="J13" s="10" t="s">
        <v>42</v>
      </c>
      <c r="K13" s="63"/>
      <c r="L13" s="63"/>
      <c r="M13" s="63"/>
      <c r="N13" s="63"/>
      <c r="O13" s="63"/>
      <c r="P13" s="21">
        <f>SUM(K13:O13)</f>
        <v>0</v>
      </c>
      <c r="Q13" s="64"/>
      <c r="R13" s="63"/>
      <c r="S13" s="10"/>
      <c r="T13" s="10"/>
      <c r="U13" s="17"/>
      <c r="V13" s="10"/>
      <c r="W13" s="10"/>
      <c r="X13" s="10"/>
      <c r="Y13" s="2"/>
    </row>
    <row r="14" spans="1:25">
      <c r="A14" s="2"/>
      <c r="B14" s="11"/>
      <c r="C14" s="10"/>
      <c r="D14" s="10"/>
      <c r="E14" s="51" t="s">
        <v>43</v>
      </c>
      <c r="F14" s="52">
        <f>F13*0.25</f>
        <v>0</v>
      </c>
      <c r="G14" s="53" t="s">
        <v>40</v>
      </c>
      <c r="H14" s="54">
        <f>F14/1.115</f>
        <v>0</v>
      </c>
      <c r="I14" s="10"/>
      <c r="J14" s="10" t="s">
        <v>44</v>
      </c>
      <c r="K14" s="63"/>
      <c r="L14" s="63"/>
      <c r="M14" s="63"/>
      <c r="N14" s="63"/>
      <c r="O14" s="63"/>
      <c r="P14" s="21">
        <f>SUM(K14:O14)</f>
        <v>0</v>
      </c>
      <c r="Q14" s="64"/>
      <c r="R14" s="63"/>
      <c r="S14" s="10"/>
      <c r="T14" s="10"/>
      <c r="U14" s="17"/>
      <c r="V14" s="10"/>
      <c r="W14" s="10"/>
      <c r="X14" s="10"/>
      <c r="Y14" s="2"/>
    </row>
    <row r="15" spans="1:25">
      <c r="A15" s="2"/>
      <c r="B15" s="11"/>
      <c r="C15" s="10"/>
      <c r="D15" s="10"/>
      <c r="E15" s="24" t="s">
        <v>45</v>
      </c>
      <c r="F15" s="60"/>
      <c r="G15" s="61" t="s">
        <v>40</v>
      </c>
      <c r="H15" s="62"/>
      <c r="I15" s="10"/>
      <c r="J15" s="10" t="s">
        <v>46</v>
      </c>
      <c r="K15" s="31" t="e">
        <f t="shared" ref="K15:Q15" si="2">K13/(K13+K14)</f>
        <v>#DIV/0!</v>
      </c>
      <c r="L15" s="31" t="e">
        <f t="shared" si="2"/>
        <v>#DIV/0!</v>
      </c>
      <c r="M15" s="31" t="e">
        <f t="shared" si="2"/>
        <v>#DIV/0!</v>
      </c>
      <c r="N15" s="31" t="e">
        <f t="shared" si="2"/>
        <v>#DIV/0!</v>
      </c>
      <c r="O15" s="31" t="e">
        <f t="shared" si="2"/>
        <v>#DIV/0!</v>
      </c>
      <c r="P15" s="31" t="e">
        <f t="shared" si="2"/>
        <v>#DIV/0!</v>
      </c>
      <c r="Q15" s="31" t="e">
        <f t="shared" si="2"/>
        <v>#DIV/0!</v>
      </c>
      <c r="R15" s="63"/>
      <c r="S15" s="10"/>
      <c r="T15" s="10"/>
      <c r="U15" s="17"/>
      <c r="V15" s="10"/>
      <c r="W15" s="10"/>
      <c r="X15" s="10"/>
      <c r="Y15" s="2"/>
    </row>
    <row r="16" spans="1:25">
      <c r="A16" s="2"/>
      <c r="B16" s="11"/>
      <c r="C16" s="10"/>
      <c r="D16" s="10"/>
      <c r="E16" s="51" t="s">
        <v>47</v>
      </c>
      <c r="F16" s="52">
        <f>F15*0.05</f>
        <v>0</v>
      </c>
      <c r="G16" s="65" t="s">
        <v>40</v>
      </c>
      <c r="H16" s="54">
        <f>F16/1.115</f>
        <v>0</v>
      </c>
      <c r="I16" s="42"/>
      <c r="J16" s="10" t="s">
        <v>48</v>
      </c>
      <c r="K16" s="66" t="e">
        <f>K12/K13</f>
        <v>#DIV/0!</v>
      </c>
      <c r="L16" s="66" t="e">
        <f t="shared" ref="L16:Q16" si="3">L12/L13</f>
        <v>#DIV/0!</v>
      </c>
      <c r="M16" s="66" t="e">
        <f t="shared" si="3"/>
        <v>#DIV/0!</v>
      </c>
      <c r="N16" s="66" t="e">
        <f t="shared" si="3"/>
        <v>#DIV/0!</v>
      </c>
      <c r="O16" s="66" t="e">
        <f t="shared" si="3"/>
        <v>#DIV/0!</v>
      </c>
      <c r="P16" s="66" t="e">
        <f t="shared" si="3"/>
        <v>#DIV/0!</v>
      </c>
      <c r="Q16" s="66" t="e">
        <f t="shared" si="3"/>
        <v>#DIV/0!</v>
      </c>
      <c r="R16" s="63"/>
      <c r="S16" s="10"/>
      <c r="T16" s="10"/>
      <c r="U16" s="17"/>
      <c r="V16" s="10"/>
      <c r="W16" s="10"/>
      <c r="X16" s="10"/>
      <c r="Y16" s="2"/>
    </row>
    <row r="17" spans="1:25">
      <c r="A17" s="2"/>
      <c r="B17" s="11"/>
      <c r="C17" s="10"/>
      <c r="D17" s="10"/>
      <c r="E17" s="67" t="s">
        <v>14</v>
      </c>
      <c r="F17" s="68"/>
      <c r="G17" s="10"/>
      <c r="H17" s="54">
        <f>F17/1.115</f>
        <v>0</v>
      </c>
      <c r="I17" s="10"/>
      <c r="J17" s="10"/>
      <c r="K17" s="10"/>
      <c r="L17" s="10"/>
      <c r="M17" s="10"/>
      <c r="N17" s="10"/>
      <c r="O17" s="10"/>
      <c r="P17" s="10"/>
      <c r="Q17" s="10"/>
      <c r="R17" s="10"/>
      <c r="S17" s="10"/>
      <c r="T17" s="10"/>
      <c r="U17" s="17"/>
      <c r="V17" s="10"/>
      <c r="W17" s="10"/>
      <c r="X17" s="10"/>
      <c r="Y17" s="2"/>
    </row>
    <row r="18" spans="1:25">
      <c r="A18" s="2"/>
      <c r="B18" s="11"/>
      <c r="C18" s="10"/>
      <c r="D18" s="10"/>
      <c r="E18" s="67" t="s">
        <v>49</v>
      </c>
      <c r="F18" s="69">
        <f>T7</f>
        <v>0</v>
      </c>
      <c r="G18" s="10"/>
      <c r="H18" s="54"/>
      <c r="I18" s="55"/>
      <c r="J18" s="42"/>
      <c r="K18" s="764" t="s">
        <v>50</v>
      </c>
      <c r="L18" s="765"/>
      <c r="M18" s="765"/>
      <c r="N18" s="765"/>
      <c r="O18" s="765"/>
      <c r="P18" s="765"/>
      <c r="Q18" s="766"/>
      <c r="R18" s="70" t="s">
        <v>28</v>
      </c>
      <c r="S18" s="71" t="s">
        <v>29</v>
      </c>
      <c r="T18" s="10"/>
      <c r="U18" s="17"/>
      <c r="V18" s="10"/>
      <c r="W18" s="10"/>
      <c r="X18" s="10"/>
      <c r="Y18" s="2"/>
    </row>
    <row r="19" spans="1:25">
      <c r="A19" s="2"/>
      <c r="B19" s="11"/>
      <c r="C19" s="10"/>
      <c r="D19" s="10"/>
      <c r="E19" s="74" t="s">
        <v>1416</v>
      </c>
      <c r="F19" s="75">
        <v>-189.55</v>
      </c>
      <c r="G19" s="10"/>
      <c r="H19" s="10"/>
      <c r="I19" s="10"/>
      <c r="J19" s="42"/>
      <c r="K19" s="20" t="s">
        <v>31</v>
      </c>
      <c r="L19" s="21" t="s">
        <v>32</v>
      </c>
      <c r="M19" s="21" t="s">
        <v>33</v>
      </c>
      <c r="N19" s="21" t="s">
        <v>34</v>
      </c>
      <c r="O19" s="21" t="s">
        <v>35</v>
      </c>
      <c r="P19" s="21" t="s">
        <v>36</v>
      </c>
      <c r="Q19" s="49" t="s">
        <v>37</v>
      </c>
      <c r="R19" s="50" t="s">
        <v>38</v>
      </c>
      <c r="S19" s="50" t="s">
        <v>38</v>
      </c>
      <c r="T19" s="10"/>
      <c r="U19" s="17"/>
      <c r="V19" s="10"/>
      <c r="W19" s="10"/>
      <c r="X19" s="10"/>
      <c r="Y19" s="2"/>
    </row>
    <row r="20" spans="1:25">
      <c r="A20" s="2"/>
      <c r="B20" s="11"/>
      <c r="C20" s="10"/>
      <c r="D20" s="10"/>
      <c r="E20" s="12"/>
      <c r="F20" s="76"/>
      <c r="G20" s="10"/>
      <c r="H20" s="10"/>
      <c r="I20" s="10"/>
      <c r="J20" s="42"/>
      <c r="K20" s="56"/>
      <c r="L20" s="57"/>
      <c r="M20" s="57"/>
      <c r="N20" s="57"/>
      <c r="O20" s="57"/>
      <c r="P20" s="57"/>
      <c r="Q20" s="58">
        <v>0</v>
      </c>
      <c r="R20" s="59"/>
      <c r="S20" s="59">
        <v>0</v>
      </c>
      <c r="T20" s="10"/>
      <c r="U20" s="17"/>
      <c r="V20" s="10"/>
      <c r="W20" s="10"/>
      <c r="X20" s="10"/>
      <c r="Y20" s="2"/>
    </row>
    <row r="21" spans="1:25">
      <c r="A21" s="2"/>
      <c r="B21" s="11"/>
      <c r="C21" s="10"/>
      <c r="D21" s="10"/>
      <c r="E21" s="10"/>
      <c r="F21" s="10"/>
      <c r="G21" s="10"/>
      <c r="H21" s="10"/>
      <c r="I21" s="10"/>
      <c r="J21" s="10" t="s">
        <v>42</v>
      </c>
      <c r="K21" s="63">
        <f>K13</f>
        <v>0</v>
      </c>
      <c r="L21" s="63">
        <f t="shared" ref="L21:Q22" si="4">L13</f>
        <v>0</v>
      </c>
      <c r="M21" s="63">
        <f t="shared" si="4"/>
        <v>0</v>
      </c>
      <c r="N21" s="63">
        <f t="shared" si="4"/>
        <v>0</v>
      </c>
      <c r="O21" s="63">
        <f t="shared" si="4"/>
        <v>0</v>
      </c>
      <c r="P21" s="63">
        <f t="shared" si="4"/>
        <v>0</v>
      </c>
      <c r="Q21" s="63">
        <f t="shared" si="4"/>
        <v>0</v>
      </c>
      <c r="R21" s="63"/>
      <c r="S21" s="10"/>
      <c r="T21" s="10"/>
      <c r="U21" s="17"/>
      <c r="V21" s="10"/>
      <c r="W21" s="10"/>
      <c r="X21" s="10"/>
      <c r="Y21" s="2"/>
    </row>
    <row r="22" spans="1:25">
      <c r="A22" s="2"/>
      <c r="B22" s="11"/>
      <c r="C22" s="10"/>
      <c r="D22" s="10"/>
      <c r="E22" s="10"/>
      <c r="F22" s="10"/>
      <c r="G22" s="10"/>
      <c r="H22" s="10"/>
      <c r="I22" s="10"/>
      <c r="J22" s="10" t="s">
        <v>44</v>
      </c>
      <c r="K22" s="63">
        <f>K14</f>
        <v>0</v>
      </c>
      <c r="L22" s="63">
        <f t="shared" si="4"/>
        <v>0</v>
      </c>
      <c r="M22" s="63">
        <f t="shared" si="4"/>
        <v>0</v>
      </c>
      <c r="N22" s="63">
        <f t="shared" si="4"/>
        <v>0</v>
      </c>
      <c r="O22" s="63">
        <f t="shared" si="4"/>
        <v>0</v>
      </c>
      <c r="P22" s="63">
        <f t="shared" si="4"/>
        <v>0</v>
      </c>
      <c r="Q22" s="63">
        <f t="shared" si="4"/>
        <v>0</v>
      </c>
      <c r="R22" s="63"/>
      <c r="S22" s="10"/>
      <c r="T22" s="10"/>
      <c r="U22" s="17"/>
      <c r="V22" s="10"/>
      <c r="W22" s="10"/>
      <c r="X22" s="10"/>
      <c r="Y22" s="2"/>
    </row>
    <row r="23" spans="1:25">
      <c r="A23" s="2"/>
      <c r="B23" s="11"/>
      <c r="C23" s="10"/>
      <c r="D23" s="10"/>
      <c r="E23" s="12"/>
      <c r="F23" s="76"/>
      <c r="G23" s="10"/>
      <c r="H23" s="10"/>
      <c r="I23" s="10"/>
      <c r="J23" s="10" t="s">
        <v>46</v>
      </c>
      <c r="K23" s="31" t="e">
        <f t="shared" ref="K23:Q23" si="5">K21/(K21+K22)</f>
        <v>#DIV/0!</v>
      </c>
      <c r="L23" s="31" t="e">
        <f t="shared" si="5"/>
        <v>#DIV/0!</v>
      </c>
      <c r="M23" s="31" t="e">
        <f t="shared" si="5"/>
        <v>#DIV/0!</v>
      </c>
      <c r="N23" s="31" t="e">
        <f t="shared" si="5"/>
        <v>#DIV/0!</v>
      </c>
      <c r="O23" s="31" t="e">
        <f t="shared" si="5"/>
        <v>#DIV/0!</v>
      </c>
      <c r="P23" s="31" t="e">
        <f t="shared" si="5"/>
        <v>#DIV/0!</v>
      </c>
      <c r="Q23" s="31" t="e">
        <f t="shared" si="5"/>
        <v>#DIV/0!</v>
      </c>
      <c r="R23" s="63"/>
      <c r="S23" s="10"/>
      <c r="T23" s="10"/>
      <c r="U23" s="17"/>
      <c r="V23" s="10"/>
      <c r="W23" s="10"/>
      <c r="X23" s="10"/>
      <c r="Y23" s="2"/>
    </row>
    <row r="24" spans="1:25">
      <c r="A24" s="2"/>
      <c r="B24" s="11"/>
      <c r="C24" s="10"/>
      <c r="D24" s="10"/>
      <c r="E24" s="10"/>
      <c r="F24" s="10"/>
      <c r="G24" s="10"/>
      <c r="H24" s="10"/>
      <c r="I24" s="10"/>
      <c r="J24" s="10" t="s">
        <v>48</v>
      </c>
      <c r="K24" s="66" t="e">
        <f t="shared" ref="K24:Q24" si="6">K20/K21</f>
        <v>#DIV/0!</v>
      </c>
      <c r="L24" s="66" t="e">
        <f t="shared" si="6"/>
        <v>#DIV/0!</v>
      </c>
      <c r="M24" s="66" t="e">
        <f t="shared" si="6"/>
        <v>#DIV/0!</v>
      </c>
      <c r="N24" s="66" t="e">
        <f t="shared" si="6"/>
        <v>#DIV/0!</v>
      </c>
      <c r="O24" s="66" t="e">
        <f t="shared" si="6"/>
        <v>#DIV/0!</v>
      </c>
      <c r="P24" s="66" t="e">
        <f t="shared" si="6"/>
        <v>#DIV/0!</v>
      </c>
      <c r="Q24" s="66" t="e">
        <f t="shared" si="6"/>
        <v>#DIV/0!</v>
      </c>
      <c r="R24" s="63"/>
      <c r="S24" s="10"/>
      <c r="T24" s="10"/>
      <c r="U24" s="17"/>
      <c r="V24" s="10"/>
      <c r="W24" s="10"/>
      <c r="X24" s="10"/>
      <c r="Y24" s="2"/>
    </row>
    <row r="25" spans="1:25">
      <c r="A25" s="2"/>
      <c r="B25" s="11"/>
      <c r="C25" s="10"/>
      <c r="D25" s="10"/>
      <c r="E25" s="10"/>
      <c r="F25" s="10"/>
      <c r="G25" s="10"/>
      <c r="H25" s="10"/>
      <c r="I25" s="10"/>
      <c r="J25" s="10"/>
      <c r="K25" s="10"/>
      <c r="L25" s="10"/>
      <c r="M25" s="10"/>
      <c r="N25" s="10"/>
      <c r="O25" s="10"/>
      <c r="P25" s="10"/>
      <c r="Q25" s="10"/>
      <c r="R25" s="10"/>
      <c r="S25" s="10"/>
      <c r="T25" s="10"/>
      <c r="U25" s="17"/>
      <c r="V25" s="10"/>
      <c r="W25" s="10"/>
      <c r="X25" s="10"/>
      <c r="Y25" s="2"/>
    </row>
    <row r="26" spans="1:25">
      <c r="A26" s="2"/>
      <c r="B26" s="11"/>
      <c r="C26" s="10"/>
      <c r="D26" s="10"/>
      <c r="E26" s="10"/>
      <c r="F26" s="10"/>
      <c r="G26" s="10"/>
      <c r="H26" s="10"/>
      <c r="I26" s="10"/>
      <c r="J26" s="10"/>
      <c r="K26" s="10"/>
      <c r="L26" s="10"/>
      <c r="M26" s="10"/>
      <c r="N26" s="10"/>
      <c r="O26" s="10"/>
      <c r="P26" s="10"/>
      <c r="Q26" s="10"/>
      <c r="R26" s="10"/>
      <c r="S26" s="10"/>
      <c r="T26" s="10"/>
      <c r="U26" s="17"/>
      <c r="V26" s="10"/>
      <c r="W26" s="10"/>
      <c r="X26" s="10"/>
      <c r="Y26" s="2"/>
    </row>
    <row r="27" spans="1:25">
      <c r="A27" s="2"/>
      <c r="B27" s="18" t="s">
        <v>51</v>
      </c>
      <c r="C27" s="14"/>
      <c r="D27" s="14"/>
      <c r="E27" s="14"/>
      <c r="F27" s="13" t="s">
        <v>52</v>
      </c>
      <c r="G27" s="14"/>
      <c r="H27" s="14"/>
      <c r="I27" s="14"/>
      <c r="J27" s="14"/>
      <c r="K27" s="13" t="s">
        <v>3</v>
      </c>
      <c r="L27" s="14"/>
      <c r="M27" s="14"/>
      <c r="N27" s="13" t="s">
        <v>4</v>
      </c>
      <c r="O27" s="14"/>
      <c r="P27" s="14"/>
      <c r="Q27" s="13" t="s">
        <v>5</v>
      </c>
      <c r="R27" s="14"/>
      <c r="S27" s="14"/>
      <c r="T27" s="18"/>
      <c r="U27" s="16" t="s">
        <v>53</v>
      </c>
      <c r="V27" s="77"/>
      <c r="W27" s="77"/>
      <c r="X27" s="77"/>
      <c r="Y27" s="2"/>
    </row>
    <row r="28" spans="1:25">
      <c r="A28" s="2"/>
      <c r="B28" s="24" t="s">
        <v>54</v>
      </c>
      <c r="C28" s="21" t="s">
        <v>55</v>
      </c>
      <c r="D28" s="21" t="s">
        <v>56</v>
      </c>
      <c r="E28" s="21" t="s">
        <v>57</v>
      </c>
      <c r="F28" s="20" t="s">
        <v>58</v>
      </c>
      <c r="G28" s="21" t="s">
        <v>59</v>
      </c>
      <c r="H28" s="21" t="s">
        <v>60</v>
      </c>
      <c r="I28" s="21" t="s">
        <v>26</v>
      </c>
      <c r="J28" s="22" t="s">
        <v>61</v>
      </c>
      <c r="K28" s="21" t="s">
        <v>8</v>
      </c>
      <c r="L28" s="21" t="s">
        <v>9</v>
      </c>
      <c r="M28" s="21" t="s">
        <v>10</v>
      </c>
      <c r="N28" s="20" t="s">
        <v>11</v>
      </c>
      <c r="O28" s="21" t="s">
        <v>12</v>
      </c>
      <c r="P28" s="22" t="s">
        <v>13</v>
      </c>
      <c r="Q28" s="21" t="s">
        <v>11</v>
      </c>
      <c r="R28" s="21" t="s">
        <v>12</v>
      </c>
      <c r="S28" s="21" t="s">
        <v>13</v>
      </c>
      <c r="T28" s="78" t="s">
        <v>14</v>
      </c>
      <c r="U28" s="30"/>
      <c r="V28" s="79" t="s">
        <v>62</v>
      </c>
      <c r="W28" s="80" t="s">
        <v>63</v>
      </c>
      <c r="X28" s="81" t="s">
        <v>64</v>
      </c>
      <c r="Y28" s="2"/>
    </row>
    <row r="29" spans="1:25">
      <c r="A29" s="2"/>
      <c r="B29" s="4" t="s">
        <v>65</v>
      </c>
      <c r="C29" s="6"/>
      <c r="D29" s="6"/>
      <c r="E29" s="6"/>
      <c r="F29" s="6"/>
      <c r="G29" s="6"/>
      <c r="H29" s="6"/>
      <c r="I29" s="82"/>
      <c r="J29" s="6"/>
      <c r="K29" s="6"/>
      <c r="L29" s="6"/>
      <c r="M29" s="6"/>
      <c r="N29" s="6"/>
      <c r="O29" s="6"/>
      <c r="P29" s="6"/>
      <c r="Q29" s="6"/>
      <c r="R29" s="6"/>
      <c r="S29" s="6"/>
      <c r="T29" s="83"/>
      <c r="U29" s="6"/>
      <c r="V29" s="84"/>
      <c r="W29" s="85"/>
      <c r="X29" s="86"/>
      <c r="Y29" s="2"/>
    </row>
    <row r="30" spans="1:25">
      <c r="A30" s="2"/>
      <c r="B30" s="87">
        <v>1</v>
      </c>
      <c r="C30" s="262"/>
      <c r="D30" s="271"/>
      <c r="E30" s="271"/>
      <c r="F30" s="265"/>
      <c r="G30" s="265"/>
      <c r="H30" s="365"/>
      <c r="I30" s="272">
        <f t="shared" ref="I30" si="7">F30-G30-H30</f>
        <v>0</v>
      </c>
      <c r="J30" s="267"/>
      <c r="K30" s="267"/>
      <c r="L30" s="267"/>
      <c r="M30" s="267"/>
      <c r="N30" s="267"/>
      <c r="O30" s="267"/>
      <c r="P30" s="267"/>
      <c r="Q30" s="267"/>
      <c r="R30" s="267"/>
      <c r="S30" s="267"/>
      <c r="T30" s="269"/>
      <c r="U30" s="10"/>
      <c r="V30" s="90"/>
      <c r="W30" s="91"/>
      <c r="X30" s="92"/>
      <c r="Y30" s="2"/>
    </row>
    <row r="31" spans="1:25">
      <c r="A31" s="2"/>
      <c r="B31" s="87"/>
      <c r="C31" s="36"/>
      <c r="D31" s="10"/>
      <c r="E31" s="10"/>
      <c r="F31" s="97">
        <f>SUM(F30:F30)</f>
        <v>0</v>
      </c>
      <c r="G31" s="97">
        <f>SUM(G30:G30)</f>
        <v>0</v>
      </c>
      <c r="H31" s="97">
        <f>SUM(H30:H30)</f>
        <v>0</v>
      </c>
      <c r="I31" s="98">
        <f>SUM(I30:I30)</f>
        <v>0</v>
      </c>
      <c r="J31" s="63"/>
      <c r="K31" s="63">
        <f t="shared" ref="K31:S31" si="8">COUNT(K30:K30)</f>
        <v>0</v>
      </c>
      <c r="L31" s="63">
        <f t="shared" si="8"/>
        <v>0</v>
      </c>
      <c r="M31" s="63">
        <f t="shared" si="8"/>
        <v>0</v>
      </c>
      <c r="N31" s="63">
        <f t="shared" si="8"/>
        <v>0</v>
      </c>
      <c r="O31" s="63">
        <f t="shared" si="8"/>
        <v>0</v>
      </c>
      <c r="P31" s="63">
        <f t="shared" si="8"/>
        <v>0</v>
      </c>
      <c r="Q31" s="63">
        <f t="shared" si="8"/>
        <v>0</v>
      </c>
      <c r="R31" s="63">
        <f t="shared" si="8"/>
        <v>0</v>
      </c>
      <c r="S31" s="63">
        <f t="shared" si="8"/>
        <v>0</v>
      </c>
      <c r="T31" s="63"/>
      <c r="U31" s="10"/>
      <c r="V31" s="90"/>
      <c r="W31" s="91"/>
      <c r="X31" s="92"/>
      <c r="Y31" s="2"/>
    </row>
    <row r="32" spans="1:25">
      <c r="A32" s="2"/>
      <c r="B32" s="87"/>
      <c r="C32" s="36"/>
      <c r="D32" s="10"/>
      <c r="E32" s="10"/>
      <c r="F32" s="88"/>
      <c r="G32" s="88"/>
      <c r="H32" s="88"/>
      <c r="I32" s="99"/>
      <c r="J32" s="63"/>
      <c r="K32" s="21">
        <f t="shared" ref="K32:S32" si="9">SUM(K30:K30)</f>
        <v>0</v>
      </c>
      <c r="L32" s="21">
        <f t="shared" si="9"/>
        <v>0</v>
      </c>
      <c r="M32" s="21">
        <f t="shared" si="9"/>
        <v>0</v>
      </c>
      <c r="N32" s="21">
        <f t="shared" si="9"/>
        <v>0</v>
      </c>
      <c r="O32" s="21">
        <f t="shared" si="9"/>
        <v>0</v>
      </c>
      <c r="P32" s="21">
        <f t="shared" si="9"/>
        <v>0</v>
      </c>
      <c r="Q32" s="21">
        <f t="shared" si="9"/>
        <v>0</v>
      </c>
      <c r="R32" s="21">
        <f t="shared" si="9"/>
        <v>0</v>
      </c>
      <c r="S32" s="21">
        <f t="shared" si="9"/>
        <v>0</v>
      </c>
      <c r="T32" s="63"/>
      <c r="U32" s="10"/>
      <c r="V32" s="90"/>
      <c r="W32" s="91"/>
      <c r="X32" s="92"/>
      <c r="Y32" s="2"/>
    </row>
    <row r="33" spans="1:25">
      <c r="A33" s="2"/>
      <c r="B33" s="87"/>
      <c r="C33" s="36"/>
      <c r="D33" s="10"/>
      <c r="E33" s="10"/>
      <c r="F33" s="88"/>
      <c r="G33" s="88"/>
      <c r="H33" s="88"/>
      <c r="I33" s="99"/>
      <c r="J33" s="63"/>
      <c r="K33" s="21"/>
      <c r="L33" s="21"/>
      <c r="M33" s="21"/>
      <c r="N33" s="21"/>
      <c r="O33" s="21"/>
      <c r="P33" s="21"/>
      <c r="Q33" s="21"/>
      <c r="R33" s="21"/>
      <c r="S33" s="21"/>
      <c r="T33" s="63"/>
      <c r="U33" s="10"/>
      <c r="V33" s="90"/>
      <c r="W33" s="91"/>
      <c r="X33" s="92"/>
      <c r="Y33" s="2"/>
    </row>
    <row r="34" spans="1:25" s="260" customFormat="1">
      <c r="A34" s="181"/>
      <c r="B34" s="100" t="s">
        <v>152</v>
      </c>
      <c r="C34" s="36"/>
      <c r="D34" s="10"/>
      <c r="E34" s="10"/>
      <c r="F34" s="88"/>
      <c r="G34" s="62"/>
      <c r="H34" s="88"/>
      <c r="I34" s="89"/>
      <c r="J34" s="63"/>
      <c r="K34" s="181"/>
      <c r="L34" s="181"/>
      <c r="M34" s="181"/>
      <c r="N34" s="181"/>
      <c r="O34" s="181"/>
      <c r="P34" s="181"/>
      <c r="Q34" s="181"/>
      <c r="R34" s="181"/>
      <c r="S34" s="181"/>
      <c r="T34" s="63"/>
      <c r="U34" s="10"/>
      <c r="V34" s="90"/>
      <c r="W34" s="91"/>
      <c r="X34" s="92"/>
      <c r="Y34" s="181"/>
    </row>
    <row r="35" spans="1:25" s="260" customFormat="1">
      <c r="A35" s="261">
        <v>0.05</v>
      </c>
      <c r="B35" s="87">
        <v>1</v>
      </c>
      <c r="C35" s="262">
        <v>45779</v>
      </c>
      <c r="D35" s="263">
        <v>55166</v>
      </c>
      <c r="E35" s="264" t="s">
        <v>1417</v>
      </c>
      <c r="F35" s="265">
        <v>2024.78</v>
      </c>
      <c r="G35" s="265">
        <v>39.700000000000003</v>
      </c>
      <c r="H35" s="265"/>
      <c r="I35" s="272">
        <f>F35-G35-H35</f>
        <v>1985.08</v>
      </c>
      <c r="J35" s="267"/>
      <c r="K35" s="267">
        <v>1</v>
      </c>
      <c r="L35" s="267">
        <v>1</v>
      </c>
      <c r="M35" s="267"/>
      <c r="N35" s="267">
        <v>1</v>
      </c>
      <c r="O35" s="267">
        <v>1</v>
      </c>
      <c r="P35" s="267">
        <v>1</v>
      </c>
      <c r="Q35" s="267">
        <v>1</v>
      </c>
      <c r="R35" s="267">
        <v>1</v>
      </c>
      <c r="S35" s="269">
        <v>1</v>
      </c>
      <c r="T35" s="63"/>
      <c r="U35" s="10"/>
      <c r="V35" s="90"/>
      <c r="W35" s="91"/>
      <c r="X35" s="92"/>
      <c r="Y35" s="181"/>
    </row>
    <row r="36" spans="1:25" s="260" customFormat="1">
      <c r="A36" s="181"/>
      <c r="B36" s="11"/>
      <c r="C36" s="36"/>
      <c r="D36" s="10"/>
      <c r="E36" s="10"/>
      <c r="F36" s="97">
        <f>SUM(F35:F35)</f>
        <v>2024.78</v>
      </c>
      <c r="G36" s="97">
        <f>SUM(G35:G35)</f>
        <v>39.700000000000003</v>
      </c>
      <c r="H36" s="97">
        <f>SUM(H35:H35)</f>
        <v>0</v>
      </c>
      <c r="I36" s="97">
        <f>SUM(I35:I35)</f>
        <v>1985.08</v>
      </c>
      <c r="J36" s="63"/>
      <c r="K36" s="21"/>
      <c r="L36" s="21"/>
      <c r="M36" s="21"/>
      <c r="N36" s="21"/>
      <c r="O36" s="21"/>
      <c r="P36" s="21"/>
      <c r="Q36" s="21"/>
      <c r="R36" s="21"/>
      <c r="S36" s="21"/>
      <c r="T36" s="63"/>
      <c r="U36" s="10"/>
      <c r="V36" s="90"/>
      <c r="W36" s="91"/>
      <c r="X36" s="92"/>
      <c r="Y36" s="181"/>
    </row>
    <row r="37" spans="1:25">
      <c r="A37" s="2"/>
      <c r="B37" s="26"/>
      <c r="C37" s="140"/>
      <c r="D37" s="141"/>
      <c r="E37" s="141"/>
      <c r="F37" s="141"/>
      <c r="G37" s="141"/>
      <c r="H37" s="141"/>
      <c r="I37" s="141"/>
      <c r="J37" s="141"/>
      <c r="K37" s="142"/>
      <c r="L37" s="142"/>
      <c r="M37" s="142"/>
      <c r="N37" s="142"/>
      <c r="O37" s="142"/>
      <c r="P37" s="142"/>
      <c r="Q37" s="142"/>
      <c r="R37" s="142"/>
      <c r="S37" s="142"/>
      <c r="T37" s="143">
        <f>SUM(T30:T36)</f>
        <v>0</v>
      </c>
      <c r="U37" s="141"/>
      <c r="V37" s="144">
        <f>SUM(V30:V36)</f>
        <v>0</v>
      </c>
      <c r="W37" s="145">
        <f>SUM(W30:W36)</f>
        <v>0</v>
      </c>
      <c r="X37" s="146">
        <f>SUM(X30:X36)</f>
        <v>0</v>
      </c>
      <c r="Y37" s="2"/>
    </row>
    <row r="38" spans="1:25">
      <c r="B38" s="258"/>
      <c r="C38" s="258"/>
      <c r="D38" s="258"/>
      <c r="E38" s="258"/>
      <c r="F38" s="258"/>
      <c r="G38" s="258"/>
      <c r="H38" s="258"/>
      <c r="I38" s="258"/>
      <c r="J38" s="258"/>
      <c r="K38" s="258"/>
      <c r="L38" s="258"/>
      <c r="M38" s="258"/>
      <c r="N38" s="258"/>
      <c r="O38" s="258"/>
      <c r="P38" s="258"/>
      <c r="Q38" s="258"/>
      <c r="R38" s="258"/>
      <c r="S38" s="258"/>
      <c r="T38" s="258"/>
      <c r="U38" s="258"/>
      <c r="V38" s="258"/>
      <c r="W38" s="258"/>
      <c r="X38" s="258"/>
    </row>
    <row r="41" spans="1:25">
      <c r="A41" s="3"/>
      <c r="B41" s="4" t="s">
        <v>1</v>
      </c>
      <c r="C41" s="5"/>
      <c r="D41" s="6"/>
      <c r="E41" s="6"/>
      <c r="F41" s="7" t="s">
        <v>2</v>
      </c>
      <c r="G41" s="8">
        <v>45851</v>
      </c>
      <c r="H41" s="7"/>
      <c r="I41" s="6"/>
      <c r="J41" s="6"/>
      <c r="K41" s="6"/>
      <c r="L41" s="6"/>
      <c r="M41" s="6"/>
      <c r="N41" s="6"/>
      <c r="O41" s="6"/>
      <c r="P41" s="6"/>
      <c r="Q41" s="6"/>
      <c r="R41" s="6"/>
      <c r="S41" s="6"/>
      <c r="T41" s="6"/>
      <c r="U41" s="9"/>
      <c r="V41" s="10"/>
      <c r="W41" s="10"/>
      <c r="X41" s="10"/>
    </row>
    <row r="42" spans="1:25">
      <c r="A42" s="2"/>
      <c r="B42" s="11"/>
      <c r="C42" s="10"/>
      <c r="D42" s="10"/>
      <c r="E42" s="10"/>
      <c r="F42" s="10"/>
      <c r="G42" s="7"/>
      <c r="H42" s="12"/>
      <c r="I42" s="10"/>
      <c r="J42" s="10"/>
      <c r="K42" s="13" t="s">
        <v>3</v>
      </c>
      <c r="L42" s="14"/>
      <c r="M42" s="15"/>
      <c r="N42" s="13" t="s">
        <v>4</v>
      </c>
      <c r="O42" s="14"/>
      <c r="P42" s="15"/>
      <c r="Q42" s="13" t="s">
        <v>5</v>
      </c>
      <c r="R42" s="14"/>
      <c r="S42" s="15"/>
      <c r="T42" s="16"/>
      <c r="U42" s="17"/>
      <c r="V42" s="10"/>
      <c r="W42" s="10"/>
      <c r="X42" s="10"/>
    </row>
    <row r="43" spans="1:25">
      <c r="A43" s="2"/>
      <c r="B43" s="18" t="s">
        <v>6</v>
      </c>
      <c r="C43" s="19">
        <f>C44+C45</f>
        <v>22</v>
      </c>
      <c r="D43" s="10"/>
      <c r="E43" s="18" t="s">
        <v>7</v>
      </c>
      <c r="F43" s="6"/>
      <c r="G43" s="9"/>
      <c r="H43" s="10"/>
      <c r="I43" s="10"/>
      <c r="J43" s="10"/>
      <c r="K43" s="20" t="s">
        <v>8</v>
      </c>
      <c r="L43" s="21" t="s">
        <v>9</v>
      </c>
      <c r="M43" s="21" t="s">
        <v>10</v>
      </c>
      <c r="N43" s="20" t="s">
        <v>11</v>
      </c>
      <c r="O43" s="21" t="s">
        <v>12</v>
      </c>
      <c r="P43" s="22" t="s">
        <v>13</v>
      </c>
      <c r="Q43" s="21" t="s">
        <v>11</v>
      </c>
      <c r="R43" s="21" t="s">
        <v>12</v>
      </c>
      <c r="S43" s="22" t="s">
        <v>13</v>
      </c>
      <c r="T43" s="23" t="s">
        <v>14</v>
      </c>
      <c r="U43" s="17"/>
      <c r="V43" s="10"/>
      <c r="W43" s="10"/>
      <c r="X43" s="10"/>
    </row>
    <row r="44" spans="1:25">
      <c r="A44" s="2"/>
      <c r="B44" s="24" t="s">
        <v>15</v>
      </c>
      <c r="C44" s="25">
        <f>P51</f>
        <v>9</v>
      </c>
      <c r="D44" s="10"/>
      <c r="E44" s="26" t="s">
        <v>16</v>
      </c>
      <c r="F44" s="27">
        <v>0.05</v>
      </c>
      <c r="G44" s="28"/>
      <c r="H44" s="10"/>
      <c r="I44" s="10"/>
      <c r="J44" s="18" t="s">
        <v>17</v>
      </c>
      <c r="K44" s="29">
        <f>K71</f>
        <v>2</v>
      </c>
      <c r="L44" s="29">
        <f t="shared" ref="L44:S44" si="10">L71</f>
        <v>2</v>
      </c>
      <c r="M44" s="29">
        <f t="shared" si="10"/>
        <v>1</v>
      </c>
      <c r="N44" s="29">
        <f t="shared" si="10"/>
        <v>2</v>
      </c>
      <c r="O44" s="29">
        <f t="shared" si="10"/>
        <v>2</v>
      </c>
      <c r="P44" s="29">
        <f t="shared" si="10"/>
        <v>1</v>
      </c>
      <c r="Q44" s="29">
        <f t="shared" si="10"/>
        <v>0</v>
      </c>
      <c r="R44" s="29">
        <f t="shared" si="10"/>
        <v>0</v>
      </c>
      <c r="S44" s="29">
        <f t="shared" si="10"/>
        <v>0</v>
      </c>
      <c r="T44" s="30">
        <f>T106</f>
        <v>0</v>
      </c>
      <c r="U44" s="17"/>
      <c r="V44" s="10"/>
      <c r="W44" s="10"/>
      <c r="X44" s="10"/>
    </row>
    <row r="45" spans="1:25">
      <c r="A45" s="2"/>
      <c r="B45" s="24" t="s">
        <v>18</v>
      </c>
      <c r="C45" s="25">
        <f>P52</f>
        <v>13</v>
      </c>
      <c r="D45" s="10"/>
      <c r="E45" s="10"/>
      <c r="F45" s="10"/>
      <c r="G45" s="31"/>
      <c r="H45" s="10"/>
      <c r="I45" s="10"/>
      <c r="J45" s="32" t="s">
        <v>19</v>
      </c>
      <c r="K45" s="33">
        <f>K71/K70</f>
        <v>1</v>
      </c>
      <c r="L45" s="33">
        <f t="shared" ref="L45:S45" si="11">L71/L70</f>
        <v>1</v>
      </c>
      <c r="M45" s="33">
        <f t="shared" si="11"/>
        <v>0.5</v>
      </c>
      <c r="N45" s="33">
        <f t="shared" si="11"/>
        <v>1</v>
      </c>
      <c r="O45" s="33">
        <f t="shared" si="11"/>
        <v>1</v>
      </c>
      <c r="P45" s="33">
        <f t="shared" si="11"/>
        <v>0.5</v>
      </c>
      <c r="Q45" s="33">
        <f t="shared" si="11"/>
        <v>0</v>
      </c>
      <c r="R45" s="33">
        <f t="shared" si="11"/>
        <v>0</v>
      </c>
      <c r="S45" s="33">
        <f t="shared" si="11"/>
        <v>0</v>
      </c>
      <c r="T45" s="23"/>
      <c r="U45" s="17" t="s">
        <v>20</v>
      </c>
      <c r="V45" s="10"/>
      <c r="W45" s="10"/>
      <c r="X45" s="10"/>
    </row>
    <row r="46" spans="1:25">
      <c r="A46" s="2"/>
      <c r="B46" s="24" t="s">
        <v>21</v>
      </c>
      <c r="C46" s="34">
        <f>P53</f>
        <v>0.40909090909090912</v>
      </c>
      <c r="D46" s="10"/>
      <c r="E46" s="10"/>
      <c r="F46" s="10"/>
      <c r="G46" s="10"/>
      <c r="H46" s="10"/>
      <c r="I46" s="10"/>
      <c r="J46" s="10"/>
      <c r="K46" s="10"/>
      <c r="L46" s="10"/>
      <c r="M46" s="10"/>
      <c r="N46" s="10"/>
      <c r="O46" s="10"/>
      <c r="P46" s="10"/>
      <c r="Q46" s="10"/>
      <c r="R46" s="10"/>
      <c r="S46" s="10"/>
      <c r="T46" s="10"/>
      <c r="U46" s="17"/>
      <c r="V46" s="10"/>
      <c r="W46" s="10"/>
      <c r="X46" s="10"/>
    </row>
    <row r="47" spans="1:25">
      <c r="A47" s="2"/>
      <c r="B47" s="24"/>
      <c r="C47" s="25"/>
      <c r="D47" s="10"/>
      <c r="E47" s="10"/>
      <c r="F47" s="18" t="s">
        <v>22</v>
      </c>
      <c r="G47" s="19" t="s">
        <v>23</v>
      </c>
      <c r="H47" s="35" t="s">
        <v>24</v>
      </c>
      <c r="I47" s="10"/>
      <c r="J47" s="10"/>
      <c r="K47" s="36"/>
      <c r="L47" s="36"/>
      <c r="M47" s="36"/>
      <c r="N47" s="36"/>
      <c r="O47" s="36"/>
      <c r="P47" s="36"/>
      <c r="Q47" s="36"/>
      <c r="R47" s="10"/>
      <c r="S47" s="10"/>
      <c r="T47" s="10"/>
      <c r="U47" s="17"/>
      <c r="V47" s="10"/>
      <c r="W47" s="10"/>
      <c r="X47" s="10"/>
    </row>
    <row r="48" spans="1:25">
      <c r="A48" s="2"/>
      <c r="B48" s="32" t="s">
        <v>25</v>
      </c>
      <c r="C48" s="37">
        <f>P54</f>
        <v>5548.724444444445</v>
      </c>
      <c r="D48" s="10"/>
      <c r="E48" s="18" t="s">
        <v>26</v>
      </c>
      <c r="F48" s="38">
        <f>P50</f>
        <v>49938.520000000004</v>
      </c>
      <c r="G48" s="39">
        <f>I70+I82+I88</f>
        <v>49938.52</v>
      </c>
      <c r="H48" s="40"/>
      <c r="I48" s="41"/>
      <c r="J48" s="42"/>
      <c r="K48" s="43" t="s">
        <v>27</v>
      </c>
      <c r="L48" s="44"/>
      <c r="M48" s="44"/>
      <c r="N48" s="44"/>
      <c r="O48" s="44"/>
      <c r="P48" s="44"/>
      <c r="Q48" s="45"/>
      <c r="R48" s="46" t="s">
        <v>28</v>
      </c>
      <c r="S48" s="47" t="s">
        <v>29</v>
      </c>
      <c r="T48" s="10"/>
      <c r="U48" s="17"/>
      <c r="V48" s="10"/>
      <c r="W48" s="10"/>
      <c r="X48" s="10"/>
    </row>
    <row r="49" spans="1:24">
      <c r="A49" s="2"/>
      <c r="B49" s="11"/>
      <c r="C49" s="10"/>
      <c r="D49" s="10"/>
      <c r="E49" s="24" t="s">
        <v>30</v>
      </c>
      <c r="F49" s="48">
        <f>F44</f>
        <v>0.05</v>
      </c>
      <c r="G49" s="17"/>
      <c r="H49" s="40"/>
      <c r="I49" s="41"/>
      <c r="J49" s="42"/>
      <c r="K49" s="20" t="s">
        <v>31</v>
      </c>
      <c r="L49" s="21" t="s">
        <v>32</v>
      </c>
      <c r="M49" s="21" t="s">
        <v>33</v>
      </c>
      <c r="N49" s="21" t="s">
        <v>34</v>
      </c>
      <c r="O49" s="21" t="s">
        <v>35</v>
      </c>
      <c r="P49" s="21" t="s">
        <v>36</v>
      </c>
      <c r="Q49" s="49" t="s">
        <v>37</v>
      </c>
      <c r="R49" s="50" t="s">
        <v>38</v>
      </c>
      <c r="S49" s="50" t="s">
        <v>38</v>
      </c>
      <c r="T49" s="10"/>
      <c r="U49" s="17"/>
      <c r="V49" s="10"/>
      <c r="W49" s="10"/>
      <c r="X49" s="10"/>
    </row>
    <row r="50" spans="1:24">
      <c r="A50" s="2"/>
      <c r="B50" s="11"/>
      <c r="C50" s="10"/>
      <c r="D50" s="10"/>
      <c r="E50" s="51" t="s">
        <v>39</v>
      </c>
      <c r="F50" s="52">
        <f>(F48-I69-I78-I79-I80-I81-I85-I86-I87)*F49</f>
        <v>-4.5474735088646414E-14</v>
      </c>
      <c r="G50" s="53" t="s">
        <v>40</v>
      </c>
      <c r="H50" s="54">
        <f>F50/1.12</f>
        <v>-4.0602442043434297E-14</v>
      </c>
      <c r="I50" s="55"/>
      <c r="J50" s="42"/>
      <c r="K50" s="56"/>
      <c r="L50" s="57"/>
      <c r="M50" s="57">
        <f>I68+I78</f>
        <v>11118.99</v>
      </c>
      <c r="N50" s="57">
        <f>I69+I79+I85</f>
        <v>15994.33</v>
      </c>
      <c r="O50" s="57">
        <f>I80+I81+I86+I87</f>
        <v>22825.200000000001</v>
      </c>
      <c r="P50" s="57">
        <f>SUM(K50:O50)</f>
        <v>49938.520000000004</v>
      </c>
      <c r="Q50" s="58">
        <v>0</v>
      </c>
      <c r="R50" s="59">
        <f>I82+I88</f>
        <v>48840.22</v>
      </c>
      <c r="S50" s="59"/>
      <c r="T50" s="10"/>
      <c r="U50" s="17"/>
      <c r="V50" s="10"/>
      <c r="W50" s="10"/>
      <c r="X50" s="10"/>
    </row>
    <row r="51" spans="1:24">
      <c r="A51" s="2"/>
      <c r="B51" s="11"/>
      <c r="C51" s="10"/>
      <c r="D51" s="10"/>
      <c r="E51" s="24" t="s">
        <v>41</v>
      </c>
      <c r="F51" s="60">
        <f>Q50</f>
        <v>0</v>
      </c>
      <c r="G51" s="61" t="s">
        <v>40</v>
      </c>
      <c r="H51" s="62"/>
      <c r="I51" s="62"/>
      <c r="J51" s="10" t="s">
        <v>42</v>
      </c>
      <c r="K51" s="63"/>
      <c r="L51" s="63"/>
      <c r="M51" s="63">
        <v>2</v>
      </c>
      <c r="N51" s="63">
        <v>3</v>
      </c>
      <c r="O51" s="63">
        <v>4</v>
      </c>
      <c r="P51" s="21">
        <f>SUM(K51:O51)</f>
        <v>9</v>
      </c>
      <c r="Q51" s="64"/>
      <c r="R51" s="63"/>
      <c r="S51" s="10"/>
      <c r="T51" s="10"/>
      <c r="U51" s="17"/>
      <c r="V51" s="10"/>
      <c r="W51" s="10"/>
      <c r="X51" s="10"/>
    </row>
    <row r="52" spans="1:24">
      <c r="A52" s="2"/>
      <c r="B52" s="11"/>
      <c r="C52" s="10"/>
      <c r="D52" s="10"/>
      <c r="E52" s="51" t="s">
        <v>43</v>
      </c>
      <c r="F52" s="52">
        <f>F51*0.25</f>
        <v>0</v>
      </c>
      <c r="G52" s="53" t="s">
        <v>40</v>
      </c>
      <c r="H52" s="54">
        <f>F52/1.12</f>
        <v>0</v>
      </c>
      <c r="I52" s="10"/>
      <c r="J52" s="10" t="s">
        <v>44</v>
      </c>
      <c r="K52" s="63"/>
      <c r="L52" s="63"/>
      <c r="M52" s="63">
        <v>5</v>
      </c>
      <c r="N52" s="63">
        <v>5</v>
      </c>
      <c r="O52" s="63">
        <v>3</v>
      </c>
      <c r="P52" s="21">
        <f>SUM(K52:O52)</f>
        <v>13</v>
      </c>
      <c r="Q52" s="64"/>
      <c r="R52" s="63"/>
      <c r="S52" s="10"/>
      <c r="T52" s="10"/>
      <c r="U52" s="17"/>
      <c r="V52" s="10"/>
      <c r="W52" s="10"/>
      <c r="X52" s="10"/>
    </row>
    <row r="53" spans="1:24">
      <c r="A53" s="2"/>
      <c r="B53" s="11"/>
      <c r="C53" s="10"/>
      <c r="D53" s="10"/>
      <c r="E53" s="24" t="s">
        <v>45</v>
      </c>
      <c r="F53" s="60">
        <f>I75</f>
        <v>1985.08</v>
      </c>
      <c r="G53" s="61" t="s">
        <v>40</v>
      </c>
      <c r="H53" s="62"/>
      <c r="I53" s="10"/>
      <c r="J53" s="10" t="s">
        <v>46</v>
      </c>
      <c r="K53" s="31" t="e">
        <f t="shared" ref="K53:Q53" si="12">K51/(K51+K52)</f>
        <v>#DIV/0!</v>
      </c>
      <c r="L53" s="31" t="e">
        <f t="shared" si="12"/>
        <v>#DIV/0!</v>
      </c>
      <c r="M53" s="31">
        <f t="shared" si="12"/>
        <v>0.2857142857142857</v>
      </c>
      <c r="N53" s="31">
        <f t="shared" si="12"/>
        <v>0.375</v>
      </c>
      <c r="O53" s="31">
        <f t="shared" si="12"/>
        <v>0.5714285714285714</v>
      </c>
      <c r="P53" s="31">
        <f t="shared" si="12"/>
        <v>0.40909090909090912</v>
      </c>
      <c r="Q53" s="31" t="e">
        <f t="shared" si="12"/>
        <v>#DIV/0!</v>
      </c>
      <c r="R53" s="63"/>
      <c r="S53" s="10"/>
      <c r="T53" s="10"/>
      <c r="U53" s="17"/>
      <c r="V53" s="10"/>
      <c r="W53" s="10"/>
      <c r="X53" s="10"/>
    </row>
    <row r="54" spans="1:24">
      <c r="A54" s="2"/>
      <c r="B54" s="11"/>
      <c r="C54" s="10"/>
      <c r="D54" s="10"/>
      <c r="E54" s="51" t="s">
        <v>47</v>
      </c>
      <c r="F54" s="52">
        <f>(F53+F57)*0.05</f>
        <v>89.776499999999999</v>
      </c>
      <c r="G54" s="65" t="s">
        <v>40</v>
      </c>
      <c r="H54" s="54">
        <f>F54/1.12</f>
        <v>80.15758928571428</v>
      </c>
      <c r="I54" s="42"/>
      <c r="J54" s="10" t="s">
        <v>48</v>
      </c>
      <c r="K54" s="66" t="e">
        <f>K50/K51</f>
        <v>#DIV/0!</v>
      </c>
      <c r="L54" s="66" t="e">
        <f t="shared" ref="L54:Q54" si="13">L50/L51</f>
        <v>#DIV/0!</v>
      </c>
      <c r="M54" s="66">
        <f t="shared" si="13"/>
        <v>5559.4949999999999</v>
      </c>
      <c r="N54" s="66">
        <f t="shared" si="13"/>
        <v>5331.4433333333336</v>
      </c>
      <c r="O54" s="66">
        <f t="shared" si="13"/>
        <v>5706.3</v>
      </c>
      <c r="P54" s="66">
        <f t="shared" si="13"/>
        <v>5548.724444444445</v>
      </c>
      <c r="Q54" s="66" t="e">
        <f t="shared" si="13"/>
        <v>#DIV/0!</v>
      </c>
      <c r="R54" s="63"/>
      <c r="S54" s="10"/>
      <c r="T54" s="10"/>
      <c r="U54" s="17"/>
      <c r="V54" s="10"/>
      <c r="W54" s="10"/>
      <c r="X54" s="10"/>
    </row>
    <row r="55" spans="1:24">
      <c r="A55" s="2"/>
      <c r="B55" s="11"/>
      <c r="C55" s="10"/>
      <c r="D55" s="10"/>
      <c r="E55" s="67" t="s">
        <v>14</v>
      </c>
      <c r="F55" s="68"/>
      <c r="G55" s="10"/>
      <c r="H55" s="54">
        <f>F55/1.12</f>
        <v>0</v>
      </c>
      <c r="I55" s="10"/>
      <c r="J55" s="10"/>
      <c r="K55" s="10"/>
      <c r="L55" s="10"/>
      <c r="M55" s="10"/>
      <c r="N55" s="10"/>
      <c r="O55" s="10"/>
      <c r="P55" s="10"/>
      <c r="Q55" s="10"/>
      <c r="R55" s="10"/>
      <c r="S55" s="10"/>
      <c r="T55" s="10"/>
      <c r="U55" s="17"/>
      <c r="V55" s="10"/>
      <c r="W55" s="10"/>
      <c r="X55" s="10"/>
    </row>
    <row r="56" spans="1:24" ht="15" customHeight="1">
      <c r="A56" s="2"/>
      <c r="B56" s="11"/>
      <c r="C56" s="10"/>
      <c r="D56" s="10"/>
      <c r="E56" s="67" t="s">
        <v>49</v>
      </c>
      <c r="F56" s="69">
        <f>T45</f>
        <v>0</v>
      </c>
      <c r="G56" s="10"/>
      <c r="H56" s="54"/>
      <c r="I56" s="55"/>
      <c r="J56" s="42"/>
      <c r="K56" s="764" t="s">
        <v>50</v>
      </c>
      <c r="L56" s="765"/>
      <c r="M56" s="765"/>
      <c r="N56" s="765"/>
      <c r="O56" s="765"/>
      <c r="P56" s="765"/>
      <c r="Q56" s="766"/>
      <c r="R56" s="70" t="s">
        <v>28</v>
      </c>
      <c r="S56" s="71" t="s">
        <v>29</v>
      </c>
      <c r="T56" s="10"/>
      <c r="U56" s="17"/>
      <c r="V56" s="10"/>
      <c r="W56" s="10"/>
      <c r="X56" s="10"/>
    </row>
    <row r="57" spans="1:24">
      <c r="A57" s="2"/>
      <c r="B57" s="11"/>
      <c r="C57" s="10"/>
      <c r="D57" s="10"/>
      <c r="E57" s="74" t="s">
        <v>1416</v>
      </c>
      <c r="F57" s="75">
        <v>-189.55</v>
      </c>
      <c r="G57" s="10"/>
      <c r="H57" s="10"/>
      <c r="I57" s="10"/>
      <c r="J57" s="42"/>
      <c r="K57" s="20" t="s">
        <v>31</v>
      </c>
      <c r="L57" s="21" t="s">
        <v>32</v>
      </c>
      <c r="M57" s="21" t="s">
        <v>33</v>
      </c>
      <c r="N57" s="21" t="s">
        <v>34</v>
      </c>
      <c r="O57" s="21" t="s">
        <v>35</v>
      </c>
      <c r="P57" s="21" t="s">
        <v>36</v>
      </c>
      <c r="Q57" s="49" t="s">
        <v>37</v>
      </c>
      <c r="R57" s="50" t="s">
        <v>38</v>
      </c>
      <c r="S57" s="50" t="s">
        <v>38</v>
      </c>
      <c r="T57" s="10"/>
      <c r="U57" s="17"/>
      <c r="V57" s="10"/>
      <c r="W57" s="10"/>
      <c r="X57" s="10"/>
    </row>
    <row r="58" spans="1:24">
      <c r="A58" s="2"/>
      <c r="B58" s="11"/>
      <c r="C58" s="10"/>
      <c r="D58" s="10"/>
      <c r="E58" s="12"/>
      <c r="F58" s="76"/>
      <c r="G58" s="10"/>
      <c r="H58" s="10"/>
      <c r="I58" s="10"/>
      <c r="J58" s="42"/>
      <c r="K58" s="56"/>
      <c r="L58" s="57"/>
      <c r="M58" s="57">
        <f>F68+F78</f>
        <v>17023</v>
      </c>
      <c r="N58" s="57">
        <f>F69+F79+F85</f>
        <v>18411.599999999999</v>
      </c>
      <c r="O58" s="57">
        <f>F80+F81+F86+F87</f>
        <v>24484</v>
      </c>
      <c r="P58" s="57">
        <f>SUM(K58:O58)</f>
        <v>59918.6</v>
      </c>
      <c r="Q58" s="58">
        <v>0</v>
      </c>
      <c r="R58" s="59">
        <f>F82+F88</f>
        <v>58780.6</v>
      </c>
      <c r="S58" s="59"/>
      <c r="T58" s="10"/>
      <c r="U58" s="17"/>
      <c r="V58" s="10"/>
      <c r="W58" s="10"/>
      <c r="X58" s="10"/>
    </row>
    <row r="59" spans="1:24">
      <c r="A59" s="2"/>
      <c r="B59" s="11"/>
      <c r="C59" s="10"/>
      <c r="D59" s="10"/>
      <c r="E59" s="12"/>
      <c r="F59" s="76"/>
      <c r="G59" s="10"/>
      <c r="H59" s="10"/>
      <c r="I59" s="10"/>
      <c r="J59" s="10" t="s">
        <v>42</v>
      </c>
      <c r="K59" s="63">
        <f>K51</f>
        <v>0</v>
      </c>
      <c r="L59" s="63">
        <f t="shared" ref="L59:Q60" si="14">L51</f>
        <v>0</v>
      </c>
      <c r="M59" s="63">
        <f t="shared" si="14"/>
        <v>2</v>
      </c>
      <c r="N59" s="63">
        <f t="shared" si="14"/>
        <v>3</v>
      </c>
      <c r="O59" s="63">
        <f t="shared" si="14"/>
        <v>4</v>
      </c>
      <c r="P59" s="63">
        <f t="shared" si="14"/>
        <v>9</v>
      </c>
      <c r="Q59" s="63">
        <f t="shared" si="14"/>
        <v>0</v>
      </c>
      <c r="R59" s="63"/>
      <c r="S59" s="10"/>
      <c r="T59" s="10"/>
      <c r="U59" s="17"/>
      <c r="V59" s="10"/>
      <c r="W59" s="10"/>
      <c r="X59" s="10"/>
    </row>
    <row r="60" spans="1:24">
      <c r="A60" s="2"/>
      <c r="B60" s="11"/>
      <c r="C60" s="10"/>
      <c r="D60" s="10"/>
      <c r="E60" s="12"/>
      <c r="F60" s="76"/>
      <c r="G60" s="10"/>
      <c r="H60" s="10"/>
      <c r="I60" s="10"/>
      <c r="J60" s="10" t="s">
        <v>44</v>
      </c>
      <c r="K60" s="63">
        <f>K52</f>
        <v>0</v>
      </c>
      <c r="L60" s="63">
        <f t="shared" si="14"/>
        <v>0</v>
      </c>
      <c r="M60" s="63">
        <f t="shared" si="14"/>
        <v>5</v>
      </c>
      <c r="N60" s="63">
        <f t="shared" si="14"/>
        <v>5</v>
      </c>
      <c r="O60" s="63">
        <f t="shared" si="14"/>
        <v>3</v>
      </c>
      <c r="P60" s="63">
        <f t="shared" si="14"/>
        <v>13</v>
      </c>
      <c r="Q60" s="63">
        <f t="shared" si="14"/>
        <v>0</v>
      </c>
      <c r="R60" s="63"/>
      <c r="S60" s="10"/>
      <c r="T60" s="10"/>
      <c r="U60" s="17"/>
      <c r="V60" s="10"/>
      <c r="W60" s="10"/>
      <c r="X60" s="10"/>
    </row>
    <row r="61" spans="1:24">
      <c r="A61" s="2"/>
      <c r="B61" s="11"/>
      <c r="C61" s="10"/>
      <c r="D61" s="10"/>
      <c r="E61" s="12"/>
      <c r="F61" s="76"/>
      <c r="G61" s="10"/>
      <c r="H61" s="10"/>
      <c r="I61" s="10"/>
      <c r="J61" s="10" t="s">
        <v>46</v>
      </c>
      <c r="K61" s="31" t="e">
        <f t="shared" ref="K61:Q61" si="15">K59/(K59+K60)</f>
        <v>#DIV/0!</v>
      </c>
      <c r="L61" s="31" t="e">
        <f t="shared" si="15"/>
        <v>#DIV/0!</v>
      </c>
      <c r="M61" s="31">
        <f t="shared" si="15"/>
        <v>0.2857142857142857</v>
      </c>
      <c r="N61" s="31">
        <f t="shared" si="15"/>
        <v>0.375</v>
      </c>
      <c r="O61" s="31">
        <f t="shared" si="15"/>
        <v>0.5714285714285714</v>
      </c>
      <c r="P61" s="31">
        <f t="shared" si="15"/>
        <v>0.40909090909090912</v>
      </c>
      <c r="Q61" s="31" t="e">
        <f t="shared" si="15"/>
        <v>#DIV/0!</v>
      </c>
      <c r="R61" s="63"/>
      <c r="S61" s="10"/>
      <c r="T61" s="10"/>
      <c r="U61" s="17"/>
      <c r="V61" s="10"/>
      <c r="W61" s="10"/>
      <c r="X61" s="10"/>
    </row>
    <row r="62" spans="1:24">
      <c r="A62" s="2"/>
      <c r="B62" s="11"/>
      <c r="C62" s="10"/>
      <c r="D62" s="10"/>
      <c r="E62" s="439" t="s">
        <v>1418</v>
      </c>
      <c r="F62" s="10"/>
      <c r="G62" s="10"/>
      <c r="H62" s="10"/>
      <c r="I62" s="10"/>
      <c r="J62" s="10" t="s">
        <v>48</v>
      </c>
      <c r="K62" s="66" t="e">
        <f t="shared" ref="K62:Q62" si="16">K58/K59</f>
        <v>#DIV/0!</v>
      </c>
      <c r="L62" s="66" t="e">
        <f t="shared" si="16"/>
        <v>#DIV/0!</v>
      </c>
      <c r="M62" s="66">
        <f t="shared" si="16"/>
        <v>8511.5</v>
      </c>
      <c r="N62" s="66">
        <f t="shared" si="16"/>
        <v>6137.2</v>
      </c>
      <c r="O62" s="66">
        <f t="shared" si="16"/>
        <v>6121</v>
      </c>
      <c r="P62" s="66">
        <f t="shared" si="16"/>
        <v>6657.6222222222223</v>
      </c>
      <c r="Q62" s="66" t="e">
        <f t="shared" si="16"/>
        <v>#DIV/0!</v>
      </c>
      <c r="R62" s="63"/>
      <c r="S62" s="10"/>
      <c r="T62" s="10"/>
      <c r="U62" s="17"/>
      <c r="V62" s="10"/>
      <c r="W62" s="10"/>
      <c r="X62" s="10"/>
    </row>
    <row r="63" spans="1:24">
      <c r="A63" s="2"/>
      <c r="B63" s="11"/>
      <c r="C63" s="10"/>
      <c r="D63" s="10"/>
      <c r="E63" s="10"/>
      <c r="F63" s="10"/>
      <c r="G63" s="10"/>
      <c r="H63" s="10"/>
      <c r="I63" s="10"/>
      <c r="J63" s="10"/>
      <c r="K63" s="10"/>
      <c r="L63" s="10"/>
      <c r="M63" s="10"/>
      <c r="N63" s="10"/>
      <c r="O63" s="10"/>
      <c r="P63" s="10"/>
      <c r="Q63" s="10"/>
      <c r="R63" s="10"/>
      <c r="S63" s="10"/>
      <c r="T63" s="10"/>
      <c r="U63" s="17"/>
      <c r="V63" s="10"/>
      <c r="W63" s="10"/>
      <c r="X63" s="10"/>
    </row>
    <row r="64" spans="1:24">
      <c r="A64" s="2"/>
      <c r="B64" s="11"/>
      <c r="C64" s="10"/>
      <c r="D64" s="10"/>
      <c r="E64" s="10"/>
      <c r="F64" s="10"/>
      <c r="G64" s="10"/>
      <c r="H64" s="10"/>
      <c r="I64" s="10"/>
      <c r="J64" s="10"/>
      <c r="K64" s="10"/>
      <c r="L64" s="10"/>
      <c r="M64" s="10"/>
      <c r="N64" s="10"/>
      <c r="O64" s="10"/>
      <c r="P64" s="10"/>
      <c r="Q64" s="10"/>
      <c r="R64" s="10"/>
      <c r="S64" s="10"/>
      <c r="T64" s="10"/>
      <c r="U64" s="17"/>
      <c r="V64" s="10"/>
      <c r="W64" s="10"/>
      <c r="X64" s="10"/>
    </row>
    <row r="65" spans="1:25">
      <c r="A65" s="2"/>
      <c r="B65" s="18" t="s">
        <v>51</v>
      </c>
      <c r="C65" s="14"/>
      <c r="D65" s="14"/>
      <c r="E65" s="14"/>
      <c r="F65" s="13" t="s">
        <v>52</v>
      </c>
      <c r="G65" s="14"/>
      <c r="H65" s="14"/>
      <c r="I65" s="14"/>
      <c r="J65" s="14"/>
      <c r="K65" s="13" t="s">
        <v>3</v>
      </c>
      <c r="L65" s="14"/>
      <c r="M65" s="14"/>
      <c r="N65" s="13" t="s">
        <v>4</v>
      </c>
      <c r="O65" s="14"/>
      <c r="P65" s="14"/>
      <c r="Q65" s="13" t="s">
        <v>5</v>
      </c>
      <c r="R65" s="14"/>
      <c r="S65" s="14"/>
      <c r="T65" s="18"/>
      <c r="U65" s="16" t="s">
        <v>53</v>
      </c>
      <c r="V65" s="77"/>
      <c r="W65" s="77"/>
      <c r="X65" s="77"/>
    </row>
    <row r="66" spans="1:25">
      <c r="A66" s="2"/>
      <c r="B66" s="24" t="s">
        <v>54</v>
      </c>
      <c r="C66" s="21" t="s">
        <v>55</v>
      </c>
      <c r="D66" s="21" t="s">
        <v>56</v>
      </c>
      <c r="E66" s="21" t="s">
        <v>57</v>
      </c>
      <c r="F66" s="20" t="s">
        <v>58</v>
      </c>
      <c r="G66" s="21" t="s">
        <v>59</v>
      </c>
      <c r="H66" s="21" t="s">
        <v>60</v>
      </c>
      <c r="I66" s="21" t="s">
        <v>26</v>
      </c>
      <c r="J66" s="22" t="s">
        <v>61</v>
      </c>
      <c r="K66" s="21" t="s">
        <v>8</v>
      </c>
      <c r="L66" s="21" t="s">
        <v>9</v>
      </c>
      <c r="M66" s="21" t="s">
        <v>10</v>
      </c>
      <c r="N66" s="20" t="s">
        <v>11</v>
      </c>
      <c r="O66" s="21" t="s">
        <v>12</v>
      </c>
      <c r="P66" s="22" t="s">
        <v>13</v>
      </c>
      <c r="Q66" s="21" t="s">
        <v>11</v>
      </c>
      <c r="R66" s="21" t="s">
        <v>12</v>
      </c>
      <c r="S66" s="21" t="s">
        <v>13</v>
      </c>
      <c r="T66" s="78" t="s">
        <v>14</v>
      </c>
      <c r="U66" s="30"/>
      <c r="V66" s="79" t="s">
        <v>62</v>
      </c>
      <c r="W66" s="80" t="s">
        <v>63</v>
      </c>
      <c r="X66" s="81" t="s">
        <v>64</v>
      </c>
    </row>
    <row r="67" spans="1:25">
      <c r="A67" s="2"/>
      <c r="B67" s="4" t="s">
        <v>65</v>
      </c>
      <c r="C67" s="6"/>
      <c r="D67" s="6"/>
      <c r="E67" s="6"/>
      <c r="F67" s="6"/>
      <c r="G67" s="6"/>
      <c r="H67" s="6"/>
      <c r="I67" s="82"/>
      <c r="J67" s="6"/>
      <c r="K67" s="6"/>
      <c r="L67" s="6"/>
      <c r="M67" s="6"/>
      <c r="N67" s="6"/>
      <c r="O67" s="6"/>
      <c r="P67" s="6"/>
      <c r="Q67" s="6"/>
      <c r="R67" s="6"/>
      <c r="S67" s="6"/>
      <c r="T67" s="83"/>
      <c r="U67" s="6"/>
      <c r="V67" s="84"/>
      <c r="W67" s="85"/>
      <c r="X67" s="86"/>
    </row>
    <row r="68" spans="1:25">
      <c r="A68" s="2"/>
      <c r="B68" s="87">
        <v>1</v>
      </c>
      <c r="C68" s="274">
        <v>45847</v>
      </c>
      <c r="D68" s="327">
        <v>71308</v>
      </c>
      <c r="E68" s="276" t="s">
        <v>1419</v>
      </c>
      <c r="F68" s="277">
        <f>1138-1138</f>
        <v>0</v>
      </c>
      <c r="G68" s="277"/>
      <c r="H68" s="297"/>
      <c r="I68" s="278">
        <f t="shared" ref="I68:I69" si="17">F68-G68-H68</f>
        <v>0</v>
      </c>
      <c r="J68" s="279" t="s">
        <v>465</v>
      </c>
      <c r="K68" s="279">
        <v>1</v>
      </c>
      <c r="L68" s="279">
        <v>1</v>
      </c>
      <c r="M68" s="279">
        <v>0</v>
      </c>
      <c r="N68" s="279">
        <v>1</v>
      </c>
      <c r="O68" s="279">
        <v>1</v>
      </c>
      <c r="P68" s="322">
        <v>0</v>
      </c>
      <c r="Q68" s="322">
        <v>0</v>
      </c>
      <c r="R68" s="322">
        <v>0</v>
      </c>
      <c r="S68" s="328">
        <v>0</v>
      </c>
      <c r="T68" s="63"/>
      <c r="U68" s="10" t="s">
        <v>1420</v>
      </c>
      <c r="V68" s="90"/>
      <c r="W68" s="91"/>
      <c r="X68" s="92"/>
    </row>
    <row r="69" spans="1:25">
      <c r="A69" s="2"/>
      <c r="B69" s="87">
        <f t="shared" ref="B69" si="18">B68+1</f>
        <v>2</v>
      </c>
      <c r="C69" s="262">
        <v>45848</v>
      </c>
      <c r="D69" s="263">
        <v>71383</v>
      </c>
      <c r="E69" s="271" t="s">
        <v>149</v>
      </c>
      <c r="F69" s="265">
        <v>1138</v>
      </c>
      <c r="G69" s="265">
        <f>39.7</f>
        <v>39.700000000000003</v>
      </c>
      <c r="H69" s="265"/>
      <c r="I69" s="376">
        <f t="shared" si="17"/>
        <v>1098.3</v>
      </c>
      <c r="J69" s="267" t="s">
        <v>156</v>
      </c>
      <c r="K69" s="267">
        <v>1</v>
      </c>
      <c r="L69" s="267">
        <v>1</v>
      </c>
      <c r="M69" s="267">
        <v>1</v>
      </c>
      <c r="N69" s="267">
        <v>1</v>
      </c>
      <c r="O69" s="267">
        <v>1</v>
      </c>
      <c r="P69" s="267">
        <v>1</v>
      </c>
      <c r="Q69" s="314">
        <v>0</v>
      </c>
      <c r="R69" s="314">
        <v>0</v>
      </c>
      <c r="S69" s="366">
        <v>0</v>
      </c>
      <c r="T69" s="63"/>
      <c r="U69" s="10" t="s">
        <v>1421</v>
      </c>
      <c r="V69" s="90">
        <v>1251.8</v>
      </c>
      <c r="W69" s="91"/>
      <c r="X69" s="92"/>
    </row>
    <row r="70" spans="1:25">
      <c r="A70" s="2"/>
      <c r="B70" s="87"/>
      <c r="C70" s="36"/>
      <c r="D70" s="10"/>
      <c r="E70" s="10"/>
      <c r="F70" s="97">
        <f>SUM(F68:F69)</f>
        <v>1138</v>
      </c>
      <c r="G70" s="97">
        <f>SUM(G68:G69)</f>
        <v>39.700000000000003</v>
      </c>
      <c r="H70" s="97">
        <f>SUM(H68:H69)</f>
        <v>0</v>
      </c>
      <c r="I70" s="98">
        <f>SUM(I68:I69)</f>
        <v>1098.3</v>
      </c>
      <c r="J70" s="63"/>
      <c r="K70" s="63">
        <f t="shared" ref="K70:S70" si="19">COUNT(K68:K69)</f>
        <v>2</v>
      </c>
      <c r="L70" s="63">
        <f t="shared" si="19"/>
        <v>2</v>
      </c>
      <c r="M70" s="63">
        <f t="shared" si="19"/>
        <v>2</v>
      </c>
      <c r="N70" s="63">
        <f t="shared" si="19"/>
        <v>2</v>
      </c>
      <c r="O70" s="63">
        <f t="shared" si="19"/>
        <v>2</v>
      </c>
      <c r="P70" s="63">
        <f t="shared" si="19"/>
        <v>2</v>
      </c>
      <c r="Q70" s="63">
        <f t="shared" si="19"/>
        <v>2</v>
      </c>
      <c r="R70" s="63">
        <f t="shared" si="19"/>
        <v>2</v>
      </c>
      <c r="S70" s="63">
        <f t="shared" si="19"/>
        <v>2</v>
      </c>
      <c r="T70" s="63"/>
      <c r="U70" s="10"/>
      <c r="V70" s="90"/>
      <c r="W70" s="91"/>
      <c r="X70" s="92"/>
    </row>
    <row r="71" spans="1:25">
      <c r="A71" s="2"/>
      <c r="B71" s="87"/>
      <c r="C71" s="36"/>
      <c r="D71" s="10"/>
      <c r="E71" s="10"/>
      <c r="F71" s="88"/>
      <c r="G71" s="88"/>
      <c r="H71" s="88"/>
      <c r="I71" s="99"/>
      <c r="J71" s="63"/>
      <c r="K71" s="21">
        <f t="shared" ref="K71:S71" si="20">SUM(K68:K69)</f>
        <v>2</v>
      </c>
      <c r="L71" s="21">
        <f t="shared" si="20"/>
        <v>2</v>
      </c>
      <c r="M71" s="21">
        <f t="shared" si="20"/>
        <v>1</v>
      </c>
      <c r="N71" s="21">
        <f t="shared" si="20"/>
        <v>2</v>
      </c>
      <c r="O71" s="21">
        <f t="shared" si="20"/>
        <v>2</v>
      </c>
      <c r="P71" s="21">
        <f t="shared" si="20"/>
        <v>1</v>
      </c>
      <c r="Q71" s="21">
        <f t="shared" si="20"/>
        <v>0</v>
      </c>
      <c r="R71" s="21">
        <f t="shared" si="20"/>
        <v>0</v>
      </c>
      <c r="S71" s="21">
        <f t="shared" si="20"/>
        <v>0</v>
      </c>
      <c r="T71" s="63"/>
      <c r="U71" s="10"/>
      <c r="V71" s="90"/>
      <c r="W71" s="91"/>
      <c r="X71" s="92"/>
    </row>
    <row r="72" spans="1:25">
      <c r="A72" s="2"/>
      <c r="B72" s="11"/>
      <c r="C72" s="36"/>
      <c r="D72" s="10"/>
      <c r="E72" s="10"/>
      <c r="F72" s="88"/>
      <c r="G72" s="88"/>
      <c r="H72" s="88"/>
      <c r="I72" s="99"/>
      <c r="J72" s="63"/>
      <c r="K72" s="21"/>
      <c r="L72" s="21"/>
      <c r="M72" s="21"/>
      <c r="N72" s="21"/>
      <c r="O72" s="21"/>
      <c r="P72" s="21"/>
      <c r="Q72" s="21"/>
      <c r="R72" s="21"/>
      <c r="S72" s="21"/>
      <c r="T72" s="63"/>
      <c r="U72" s="10"/>
      <c r="V72" s="90"/>
      <c r="W72" s="91"/>
      <c r="X72" s="92"/>
    </row>
    <row r="73" spans="1:25">
      <c r="A73" s="2"/>
      <c r="B73" s="100" t="s">
        <v>67</v>
      </c>
      <c r="C73" s="36"/>
      <c r="D73" s="10"/>
      <c r="E73" s="10"/>
      <c r="F73" s="88"/>
      <c r="G73" s="62"/>
      <c r="H73" s="88"/>
      <c r="I73" s="99"/>
      <c r="J73" s="63"/>
      <c r="K73" s="2"/>
      <c r="L73" s="2"/>
      <c r="M73" s="2"/>
      <c r="N73" s="2"/>
      <c r="O73" s="2"/>
      <c r="P73" s="2"/>
      <c r="Q73" s="2"/>
      <c r="R73" s="2"/>
      <c r="S73" s="2"/>
      <c r="T73" s="63"/>
      <c r="U73" s="94"/>
      <c r="V73" s="90"/>
      <c r="W73" s="91"/>
      <c r="X73" s="92"/>
    </row>
    <row r="74" spans="1:25">
      <c r="A74" s="261" t="s">
        <v>1422</v>
      </c>
      <c r="B74" s="87">
        <v>1</v>
      </c>
      <c r="C74" s="262">
        <v>45779</v>
      </c>
      <c r="D74" s="263">
        <v>55166</v>
      </c>
      <c r="E74" s="264" t="s">
        <v>1417</v>
      </c>
      <c r="F74" s="265">
        <v>2024.78</v>
      </c>
      <c r="G74" s="265">
        <v>39.700000000000003</v>
      </c>
      <c r="H74" s="265"/>
      <c r="I74" s="272">
        <f>F74-G74-H74</f>
        <v>1985.08</v>
      </c>
      <c r="J74" s="267" t="s">
        <v>374</v>
      </c>
      <c r="K74" s="267">
        <v>1</v>
      </c>
      <c r="L74" s="267">
        <v>1</v>
      </c>
      <c r="M74" s="267">
        <v>1</v>
      </c>
      <c r="N74" s="267">
        <v>1</v>
      </c>
      <c r="O74" s="267">
        <v>1</v>
      </c>
      <c r="P74" s="267">
        <v>1</v>
      </c>
      <c r="Q74" s="267">
        <v>1</v>
      </c>
      <c r="R74" s="267">
        <v>1</v>
      </c>
      <c r="S74" s="269">
        <v>1</v>
      </c>
      <c r="T74" s="63"/>
      <c r="U74" s="10"/>
      <c r="V74" s="90">
        <f>2227.26</f>
        <v>2227.2600000000002</v>
      </c>
      <c r="W74" s="91"/>
      <c r="X74" s="92"/>
      <c r="Y74" s="181"/>
    </row>
    <row r="75" spans="1:25">
      <c r="A75" s="2"/>
      <c r="B75" s="11"/>
      <c r="C75" s="36"/>
      <c r="D75" s="10"/>
      <c r="E75" s="10"/>
      <c r="F75" s="97">
        <f>SUM(F74:F74)</f>
        <v>2024.78</v>
      </c>
      <c r="G75" s="97">
        <f>SUM(G74:G74)</f>
        <v>39.700000000000003</v>
      </c>
      <c r="H75" s="97">
        <f>SUM(H74:H74)</f>
        <v>0</v>
      </c>
      <c r="I75" s="98">
        <f>SUM(I74:I74)</f>
        <v>1985.08</v>
      </c>
      <c r="J75" s="63"/>
      <c r="K75" s="21"/>
      <c r="L75" s="21"/>
      <c r="M75" s="21"/>
      <c r="N75" s="21"/>
      <c r="O75" s="21"/>
      <c r="P75" s="21"/>
      <c r="Q75" s="21"/>
      <c r="R75" s="21"/>
      <c r="S75" s="21"/>
      <c r="T75" s="63"/>
      <c r="U75" s="94"/>
      <c r="V75" s="90"/>
      <c r="W75" s="91"/>
      <c r="X75" s="92"/>
    </row>
    <row r="76" spans="1:25">
      <c r="A76" s="2"/>
      <c r="B76" s="11"/>
      <c r="C76" s="36"/>
      <c r="D76" s="10"/>
      <c r="E76" s="10"/>
      <c r="F76" s="88"/>
      <c r="G76" s="88"/>
      <c r="H76" s="88"/>
      <c r="I76" s="99"/>
      <c r="J76" s="63"/>
      <c r="K76" s="21"/>
      <c r="L76" s="21"/>
      <c r="M76" s="21"/>
      <c r="N76" s="21"/>
      <c r="O76" s="21"/>
      <c r="P76" s="21"/>
      <c r="Q76" s="21"/>
      <c r="R76" s="21"/>
      <c r="S76" s="21"/>
      <c r="T76" s="63"/>
      <c r="U76" s="94"/>
      <c r="V76" s="90"/>
      <c r="W76" s="91"/>
      <c r="X76" s="92"/>
    </row>
    <row r="77" spans="1:25" s="466" customFormat="1" ht="13.5">
      <c r="A77" s="123"/>
      <c r="B77" s="121" t="s">
        <v>68</v>
      </c>
      <c r="C77" s="122"/>
      <c r="D77" s="123"/>
      <c r="E77" s="123"/>
      <c r="F77" s="124"/>
      <c r="G77" s="125"/>
      <c r="H77" s="124"/>
      <c r="I77" s="126"/>
      <c r="J77" s="127"/>
      <c r="K77" s="123"/>
      <c r="L77" s="123"/>
      <c r="M77" s="123"/>
      <c r="N77" s="123"/>
      <c r="O77" s="123"/>
      <c r="P77" s="123"/>
      <c r="Q77" s="123"/>
      <c r="R77" s="123"/>
      <c r="S77" s="123"/>
      <c r="T77" s="127"/>
      <c r="U77" s="123"/>
      <c r="V77" s="129"/>
      <c r="W77" s="130"/>
      <c r="X77" s="131"/>
    </row>
    <row r="78" spans="1:25" s="466" customFormat="1" ht="13.5">
      <c r="A78" s="491" t="s">
        <v>1423</v>
      </c>
      <c r="B78" s="333">
        <v>1</v>
      </c>
      <c r="C78" s="334">
        <v>45847</v>
      </c>
      <c r="D78" s="320" t="s">
        <v>1424</v>
      </c>
      <c r="E78" s="335" t="s">
        <v>1419</v>
      </c>
      <c r="F78" s="336">
        <v>17023</v>
      </c>
      <c r="G78" s="336">
        <f>39.7+107.63+330+(289.11+195.23)+(37.74)+1500</f>
        <v>2499.41</v>
      </c>
      <c r="H78" s="336">
        <f>F78*0.2</f>
        <v>3404.6000000000004</v>
      </c>
      <c r="I78" s="337">
        <f>F78-G78-H78</f>
        <v>11118.99</v>
      </c>
      <c r="J78" s="338" t="s">
        <v>313</v>
      </c>
      <c r="K78" s="338">
        <v>1</v>
      </c>
      <c r="L78" s="338">
        <v>1</v>
      </c>
      <c r="M78" s="338"/>
      <c r="N78" s="338">
        <v>1</v>
      </c>
      <c r="O78" s="338">
        <v>1</v>
      </c>
      <c r="P78" s="322">
        <v>0</v>
      </c>
      <c r="Q78" s="338">
        <v>1</v>
      </c>
      <c r="R78" s="338">
        <v>1</v>
      </c>
      <c r="S78" s="339">
        <v>1</v>
      </c>
      <c r="T78" s="127"/>
      <c r="U78" s="123" t="s">
        <v>1425</v>
      </c>
      <c r="V78" s="129"/>
      <c r="W78" s="340"/>
      <c r="X78" s="341"/>
    </row>
    <row r="79" spans="1:25" s="466" customFormat="1" ht="13.5">
      <c r="A79" s="491">
        <v>0.05</v>
      </c>
      <c r="B79" s="333">
        <f>B78+1</f>
        <v>2</v>
      </c>
      <c r="C79" s="334">
        <v>45848</v>
      </c>
      <c r="D79" s="327">
        <v>71373</v>
      </c>
      <c r="E79" s="394" t="s">
        <v>1338</v>
      </c>
      <c r="F79" s="336">
        <v>2681</v>
      </c>
      <c r="G79" s="336">
        <f>39.7</f>
        <v>39.700000000000003</v>
      </c>
      <c r="H79" s="336"/>
      <c r="I79" s="337">
        <f>F79-G79-H79</f>
        <v>2641.3</v>
      </c>
      <c r="J79" s="338" t="s">
        <v>156</v>
      </c>
      <c r="K79" s="338">
        <v>1</v>
      </c>
      <c r="L79" s="338">
        <v>1</v>
      </c>
      <c r="M79" s="338">
        <v>1</v>
      </c>
      <c r="N79" s="338">
        <v>1</v>
      </c>
      <c r="O79" s="338">
        <v>1</v>
      </c>
      <c r="P79" s="322">
        <v>0</v>
      </c>
      <c r="Q79" s="322">
        <v>0</v>
      </c>
      <c r="R79" s="322">
        <v>0</v>
      </c>
      <c r="S79" s="328">
        <v>0</v>
      </c>
      <c r="T79" s="127"/>
      <c r="U79" s="123"/>
      <c r="V79" s="129">
        <v>300</v>
      </c>
      <c r="W79" s="130"/>
      <c r="X79" s="131"/>
    </row>
    <row r="80" spans="1:25" s="466" customFormat="1" ht="13.5">
      <c r="A80" s="491">
        <v>0.05</v>
      </c>
      <c r="B80" s="333">
        <f>B79+1</f>
        <v>3</v>
      </c>
      <c r="C80" s="334">
        <v>45849</v>
      </c>
      <c r="D80" s="327" t="s">
        <v>1426</v>
      </c>
      <c r="E80" s="335" t="s">
        <v>1045</v>
      </c>
      <c r="F80" s="336">
        <f>866-85</f>
        <v>781</v>
      </c>
      <c r="G80" s="336">
        <v>39.700000000000003</v>
      </c>
      <c r="H80" s="336"/>
      <c r="I80" s="337">
        <f>F80-G80-H80</f>
        <v>741.3</v>
      </c>
      <c r="J80" s="338" t="s">
        <v>156</v>
      </c>
      <c r="K80" s="338">
        <v>1</v>
      </c>
      <c r="L80" s="338">
        <v>1</v>
      </c>
      <c r="M80" s="338"/>
      <c r="N80" s="338">
        <v>1</v>
      </c>
      <c r="O80" s="338">
        <v>1</v>
      </c>
      <c r="P80" s="322">
        <v>0</v>
      </c>
      <c r="Q80" s="338">
        <v>1</v>
      </c>
      <c r="R80" s="338">
        <v>1</v>
      </c>
      <c r="S80" s="339">
        <v>1</v>
      </c>
      <c r="T80" s="127"/>
      <c r="U80" s="123" t="s">
        <v>1427</v>
      </c>
      <c r="V80" s="129">
        <f>93.5</f>
        <v>93.5</v>
      </c>
      <c r="W80" s="130"/>
      <c r="X80" s="131"/>
    </row>
    <row r="81" spans="1:25" s="466" customFormat="1" ht="13.5">
      <c r="A81" s="491" t="s">
        <v>1428</v>
      </c>
      <c r="B81" s="333">
        <f>B80+1</f>
        <v>4</v>
      </c>
      <c r="C81" s="395">
        <v>45849</v>
      </c>
      <c r="D81" s="368" t="s">
        <v>1429</v>
      </c>
      <c r="E81" s="396" t="s">
        <v>1045</v>
      </c>
      <c r="F81" s="397">
        <f>2946-85</f>
        <v>2861</v>
      </c>
      <c r="G81" s="397">
        <v>39.700000000000003</v>
      </c>
      <c r="H81" s="397"/>
      <c r="I81" s="398">
        <f>F81-G81-H81</f>
        <v>2821.3</v>
      </c>
      <c r="J81" s="399" t="s">
        <v>374</v>
      </c>
      <c r="K81" s="399">
        <v>1</v>
      </c>
      <c r="L81" s="399">
        <v>1</v>
      </c>
      <c r="M81" s="399">
        <v>1</v>
      </c>
      <c r="N81" s="399">
        <v>1</v>
      </c>
      <c r="O81" s="399">
        <v>1</v>
      </c>
      <c r="P81" s="332">
        <v>0</v>
      </c>
      <c r="Q81" s="399">
        <v>1</v>
      </c>
      <c r="R81" s="399">
        <v>1</v>
      </c>
      <c r="S81" s="400">
        <v>1</v>
      </c>
      <c r="T81" s="127"/>
      <c r="U81" s="123" t="s">
        <v>1430</v>
      </c>
      <c r="V81" s="129">
        <f>3000</f>
        <v>3000</v>
      </c>
      <c r="W81" s="130"/>
      <c r="X81" s="131"/>
    </row>
    <row r="82" spans="1:25" s="466" customFormat="1" ht="13.5">
      <c r="A82" s="123"/>
      <c r="B82" s="132"/>
      <c r="C82" s="122"/>
      <c r="D82" s="123"/>
      <c r="E82" s="123"/>
      <c r="F82" s="134">
        <f>SUM(F78:F81)</f>
        <v>23346</v>
      </c>
      <c r="G82" s="134">
        <f>SUM(G78:G81)</f>
        <v>2618.5099999999993</v>
      </c>
      <c r="H82" s="134">
        <f>SUM(H78:H81)</f>
        <v>3404.6000000000004</v>
      </c>
      <c r="I82" s="134">
        <f>SUM(I78:I81)</f>
        <v>17322.89</v>
      </c>
      <c r="J82" s="127"/>
      <c r="K82" s="64"/>
      <c r="L82" s="64"/>
      <c r="M82" s="64"/>
      <c r="N82" s="64"/>
      <c r="O82" s="64"/>
      <c r="P82" s="64"/>
      <c r="Q82" s="64"/>
      <c r="R82" s="64"/>
      <c r="S82" s="64"/>
      <c r="T82" s="127"/>
      <c r="U82" s="123"/>
      <c r="V82" s="129"/>
      <c r="W82" s="130"/>
      <c r="X82" s="131"/>
    </row>
    <row r="83" spans="1:25" s="466" customFormat="1" ht="13.5">
      <c r="A83" s="123"/>
      <c r="B83" s="132"/>
      <c r="C83" s="122"/>
      <c r="D83" s="123"/>
      <c r="E83" s="123"/>
      <c r="F83" s="124"/>
      <c r="G83" s="124"/>
      <c r="H83" s="124"/>
      <c r="I83" s="126"/>
      <c r="J83" s="127"/>
      <c r="K83" s="64"/>
      <c r="L83" s="64"/>
      <c r="M83" s="64"/>
      <c r="N83" s="64"/>
      <c r="O83" s="64"/>
      <c r="P83" s="64"/>
      <c r="Q83" s="64"/>
      <c r="R83" s="64"/>
      <c r="S83" s="64"/>
      <c r="T83" s="127"/>
      <c r="U83" s="123"/>
      <c r="V83" s="129"/>
      <c r="W83" s="130"/>
      <c r="X83" s="131"/>
    </row>
    <row r="84" spans="1:25" s="466" customFormat="1" ht="13.5">
      <c r="A84" s="123"/>
      <c r="B84" s="121" t="s">
        <v>70</v>
      </c>
      <c r="C84" s="122"/>
      <c r="D84" s="123"/>
      <c r="E84" s="123"/>
      <c r="F84" s="124"/>
      <c r="G84" s="124"/>
      <c r="H84" s="124"/>
      <c r="I84" s="126"/>
      <c r="J84" s="127"/>
      <c r="K84" s="64"/>
      <c r="L84" s="64"/>
      <c r="M84" s="64"/>
      <c r="N84" s="64"/>
      <c r="O84" s="64"/>
      <c r="P84" s="64"/>
      <c r="Q84" s="64"/>
      <c r="R84" s="64"/>
      <c r="S84" s="64"/>
      <c r="T84" s="127"/>
      <c r="U84" s="135"/>
      <c r="V84" s="129"/>
      <c r="W84" s="130"/>
      <c r="X84" s="131"/>
    </row>
    <row r="85" spans="1:25" s="466" customFormat="1" ht="13.5">
      <c r="A85" s="491">
        <v>0.05</v>
      </c>
      <c r="B85" s="333">
        <v>1</v>
      </c>
      <c r="C85" s="334">
        <v>45848</v>
      </c>
      <c r="D85" s="327" t="s">
        <v>1431</v>
      </c>
      <c r="E85" s="335" t="s">
        <v>149</v>
      </c>
      <c r="F85" s="336">
        <v>14592.6</v>
      </c>
      <c r="G85" s="336">
        <f>39.7+306+291+(15.93+73.45+284.68+149.24-76.96)+(254.83)+1000</f>
        <v>2337.87</v>
      </c>
      <c r="H85" s="336"/>
      <c r="I85" s="337">
        <f>F85-G85-H85</f>
        <v>12254.73</v>
      </c>
      <c r="J85" s="338" t="s">
        <v>156</v>
      </c>
      <c r="K85" s="338">
        <v>1</v>
      </c>
      <c r="L85" s="338"/>
      <c r="M85" s="338">
        <v>1</v>
      </c>
      <c r="N85" s="338">
        <v>1</v>
      </c>
      <c r="O85" s="338">
        <v>1</v>
      </c>
      <c r="P85" s="338">
        <v>0</v>
      </c>
      <c r="Q85" s="338"/>
      <c r="R85" s="338"/>
      <c r="S85" s="339"/>
      <c r="T85" s="127"/>
      <c r="U85" s="123" t="s">
        <v>1432</v>
      </c>
      <c r="V85" s="129">
        <f>1600+2000</f>
        <v>3600</v>
      </c>
      <c r="W85" s="340"/>
      <c r="X85" s="341"/>
    </row>
    <row r="86" spans="1:25" s="466" customFormat="1" ht="13.5">
      <c r="A86" s="491">
        <v>0.05</v>
      </c>
      <c r="B86" s="333">
        <f>B85+1</f>
        <v>2</v>
      </c>
      <c r="C86" s="334">
        <v>45849</v>
      </c>
      <c r="D86" s="327" t="s">
        <v>1433</v>
      </c>
      <c r="E86" s="335" t="s">
        <v>1045</v>
      </c>
      <c r="F86" s="336">
        <v>18161</v>
      </c>
      <c r="G86" s="336">
        <f>39.7+1500</f>
        <v>1539.7</v>
      </c>
      <c r="H86" s="336"/>
      <c r="I86" s="337">
        <f>F86-G86-H86</f>
        <v>16621.3</v>
      </c>
      <c r="J86" s="338"/>
      <c r="K86" s="338">
        <v>1</v>
      </c>
      <c r="L86" s="338"/>
      <c r="M86" s="338"/>
      <c r="N86" s="338">
        <v>1</v>
      </c>
      <c r="O86" s="338">
        <v>1</v>
      </c>
      <c r="P86" s="338">
        <v>1</v>
      </c>
      <c r="Q86" s="338"/>
      <c r="R86" s="338"/>
      <c r="S86" s="339"/>
      <c r="T86" s="127"/>
      <c r="U86" s="123" t="s">
        <v>1434</v>
      </c>
      <c r="V86" s="129"/>
      <c r="W86" s="130"/>
      <c r="X86" s="131"/>
    </row>
    <row r="87" spans="1:25" s="466" customFormat="1" ht="13.5">
      <c r="A87" s="491">
        <v>0.05</v>
      </c>
      <c r="B87" s="333">
        <f>B86+1</f>
        <v>3</v>
      </c>
      <c r="C87" s="395">
        <v>45849</v>
      </c>
      <c r="D87" s="368">
        <v>71276</v>
      </c>
      <c r="E87" s="396" t="s">
        <v>218</v>
      </c>
      <c r="F87" s="397">
        <v>2681</v>
      </c>
      <c r="G87" s="397">
        <v>39.700000000000003</v>
      </c>
      <c r="H87" s="397"/>
      <c r="I87" s="398">
        <f>F87-G87-H87</f>
        <v>2641.3</v>
      </c>
      <c r="J87" s="399" t="s">
        <v>156</v>
      </c>
      <c r="K87" s="399">
        <v>1</v>
      </c>
      <c r="L87" s="399"/>
      <c r="M87" s="399">
        <v>1</v>
      </c>
      <c r="N87" s="399">
        <v>1</v>
      </c>
      <c r="O87" s="399">
        <v>1</v>
      </c>
      <c r="P87" s="399">
        <v>1</v>
      </c>
      <c r="Q87" s="399"/>
      <c r="R87" s="399"/>
      <c r="S87" s="400"/>
      <c r="T87" s="127"/>
      <c r="U87" s="135"/>
      <c r="V87" s="129">
        <f>290</f>
        <v>290</v>
      </c>
      <c r="W87" s="340"/>
      <c r="X87" s="341"/>
    </row>
    <row r="88" spans="1:25" s="466" customFormat="1" ht="13.5">
      <c r="A88" s="491"/>
      <c r="B88" s="132"/>
      <c r="C88" s="122"/>
      <c r="D88" s="123"/>
      <c r="E88" s="123"/>
      <c r="F88" s="134">
        <f>SUM(F85:F87)</f>
        <v>35434.6</v>
      </c>
      <c r="G88" s="134">
        <f>SUM(G85:G87)</f>
        <v>3917.2699999999995</v>
      </c>
      <c r="H88" s="134">
        <f>SUM(H85:H87)</f>
        <v>0</v>
      </c>
      <c r="I88" s="134">
        <f>SUM(I85:I87)</f>
        <v>31517.329999999998</v>
      </c>
      <c r="J88" s="127"/>
      <c r="K88" s="64"/>
      <c r="L88" s="64"/>
      <c r="M88" s="64"/>
      <c r="N88" s="64"/>
      <c r="O88" s="64"/>
      <c r="P88" s="64"/>
      <c r="Q88" s="64"/>
      <c r="R88" s="64"/>
      <c r="S88" s="64"/>
      <c r="T88" s="127"/>
      <c r="U88" s="135"/>
      <c r="V88" s="129"/>
      <c r="W88" s="130"/>
      <c r="X88" s="131"/>
    </row>
    <row r="89" spans="1:25">
      <c r="A89" s="2"/>
      <c r="B89" s="11"/>
      <c r="C89" s="36"/>
      <c r="D89" s="10"/>
      <c r="E89" s="10"/>
      <c r="F89" s="88"/>
      <c r="G89" s="88"/>
      <c r="H89" s="88"/>
      <c r="I89" s="99"/>
      <c r="J89" s="10"/>
      <c r="K89" s="63"/>
      <c r="L89" s="63"/>
      <c r="M89" s="63"/>
      <c r="N89" s="63"/>
      <c r="O89" s="63"/>
      <c r="P89" s="63"/>
      <c r="Q89" s="63"/>
      <c r="R89" s="63"/>
      <c r="S89" s="63"/>
      <c r="T89" s="63"/>
      <c r="U89" s="94"/>
      <c r="V89" s="90"/>
      <c r="W89" s="91"/>
      <c r="X89" s="92"/>
    </row>
    <row r="90" spans="1:25" s="260" customFormat="1">
      <c r="A90" s="2"/>
      <c r="B90" s="100" t="s">
        <v>72</v>
      </c>
      <c r="C90" s="36"/>
      <c r="D90" s="10"/>
      <c r="E90" s="10"/>
      <c r="F90" s="88"/>
      <c r="G90" s="88"/>
      <c r="H90" s="88"/>
      <c r="I90" s="99"/>
      <c r="J90" s="63"/>
      <c r="K90" s="63"/>
      <c r="L90" s="63"/>
      <c r="M90" s="63"/>
      <c r="N90" s="63"/>
      <c r="O90" s="63"/>
      <c r="P90" s="63"/>
      <c r="Q90" s="63"/>
      <c r="R90" s="63"/>
      <c r="S90" s="63"/>
      <c r="T90" s="63"/>
      <c r="U90" s="10"/>
      <c r="V90" s="90"/>
      <c r="W90" s="91"/>
      <c r="X90" s="92"/>
      <c r="Y90" s="181"/>
    </row>
    <row r="91" spans="1:25" s="260" customFormat="1">
      <c r="A91" s="2"/>
      <c r="B91" s="87">
        <v>1</v>
      </c>
      <c r="C91" s="274">
        <v>45847</v>
      </c>
      <c r="D91" s="276">
        <v>71323</v>
      </c>
      <c r="E91" s="276" t="s">
        <v>673</v>
      </c>
      <c r="F91" s="277">
        <v>1138</v>
      </c>
      <c r="G91" s="277">
        <v>39.700000000000003</v>
      </c>
      <c r="H91" s="277"/>
      <c r="I91" s="278">
        <f t="shared" ref="I91:I103" si="21">F91-G91-H91</f>
        <v>1098.3</v>
      </c>
      <c r="J91" s="279" t="s">
        <v>205</v>
      </c>
      <c r="K91" s="279">
        <v>1</v>
      </c>
      <c r="L91" s="279"/>
      <c r="M91" s="279"/>
      <c r="N91" s="279">
        <v>1</v>
      </c>
      <c r="O91" s="279"/>
      <c r="P91" s="279"/>
      <c r="Q91" s="279">
        <v>1</v>
      </c>
      <c r="R91" s="279">
        <v>1</v>
      </c>
      <c r="S91" s="280">
        <v>1</v>
      </c>
      <c r="T91" s="63"/>
      <c r="U91" s="3"/>
      <c r="V91" s="90"/>
      <c r="W91" s="91"/>
      <c r="X91" s="92"/>
      <c r="Y91" s="181"/>
    </row>
    <row r="92" spans="1:25" s="260" customFormat="1">
      <c r="A92" s="2"/>
      <c r="B92" s="87">
        <f t="shared" ref="B92:B103" si="22">B91+1</f>
        <v>2</v>
      </c>
      <c r="C92" s="295">
        <v>45847</v>
      </c>
      <c r="D92" s="10" t="s">
        <v>1435</v>
      </c>
      <c r="E92" s="10" t="s">
        <v>447</v>
      </c>
      <c r="F92" s="62">
        <v>1281</v>
      </c>
      <c r="G92" s="62">
        <v>39.700000000000003</v>
      </c>
      <c r="H92" s="62"/>
      <c r="I92" s="89">
        <f t="shared" si="21"/>
        <v>1241.3</v>
      </c>
      <c r="J92" s="63" t="s">
        <v>205</v>
      </c>
      <c r="K92" s="63">
        <v>1</v>
      </c>
      <c r="L92" s="63"/>
      <c r="M92" s="63"/>
      <c r="N92" s="63">
        <v>1</v>
      </c>
      <c r="O92" s="63"/>
      <c r="P92" s="63"/>
      <c r="Q92" s="63">
        <v>1</v>
      </c>
      <c r="R92" s="63">
        <v>1</v>
      </c>
      <c r="S92" s="296">
        <v>1</v>
      </c>
      <c r="T92" s="63"/>
      <c r="U92" s="10"/>
      <c r="V92" s="90"/>
      <c r="W92" s="136"/>
      <c r="X92" s="137"/>
      <c r="Y92" s="181"/>
    </row>
    <row r="93" spans="1:25" s="260" customFormat="1">
      <c r="A93" s="2"/>
      <c r="B93" s="87">
        <f t="shared" si="22"/>
        <v>3</v>
      </c>
      <c r="C93" s="295">
        <v>45847</v>
      </c>
      <c r="D93" s="10" t="s">
        <v>1436</v>
      </c>
      <c r="E93" s="10" t="s">
        <v>447</v>
      </c>
      <c r="F93" s="62">
        <v>681</v>
      </c>
      <c r="G93" s="62"/>
      <c r="H93" s="62"/>
      <c r="I93" s="89">
        <f t="shared" si="21"/>
        <v>681</v>
      </c>
      <c r="J93" s="63" t="s">
        <v>205</v>
      </c>
      <c r="K93" s="63">
        <v>1</v>
      </c>
      <c r="L93" s="63"/>
      <c r="M93" s="63"/>
      <c r="N93" s="63">
        <v>1</v>
      </c>
      <c r="O93" s="63"/>
      <c r="P93" s="63"/>
      <c r="Q93" s="63">
        <v>1</v>
      </c>
      <c r="R93" s="63">
        <v>1</v>
      </c>
      <c r="S93" s="296">
        <v>1</v>
      </c>
      <c r="T93" s="63"/>
      <c r="U93" s="10"/>
      <c r="V93" s="90"/>
      <c r="W93" s="136"/>
      <c r="X93" s="137"/>
      <c r="Y93" s="181"/>
    </row>
    <row r="94" spans="1:25">
      <c r="A94" s="2"/>
      <c r="B94" s="87">
        <f t="shared" si="22"/>
        <v>4</v>
      </c>
      <c r="C94" s="295">
        <v>45847</v>
      </c>
      <c r="D94" s="10" t="s">
        <v>1437</v>
      </c>
      <c r="E94" s="10" t="s">
        <v>447</v>
      </c>
      <c r="F94" s="62">
        <v>481</v>
      </c>
      <c r="G94" s="62"/>
      <c r="H94" s="62"/>
      <c r="I94" s="89">
        <f t="shared" si="21"/>
        <v>481</v>
      </c>
      <c r="J94" s="63" t="s">
        <v>205</v>
      </c>
      <c r="K94" s="63">
        <v>1</v>
      </c>
      <c r="L94" s="63"/>
      <c r="M94" s="63"/>
      <c r="N94" s="63">
        <v>1</v>
      </c>
      <c r="O94" s="63"/>
      <c r="P94" s="63"/>
      <c r="Q94" s="63">
        <v>1</v>
      </c>
      <c r="R94" s="63">
        <v>1</v>
      </c>
      <c r="S94" s="296">
        <v>1</v>
      </c>
      <c r="T94" s="63"/>
      <c r="U94" s="10"/>
      <c r="V94" s="90"/>
      <c r="W94" s="136"/>
      <c r="X94" s="137"/>
    </row>
    <row r="95" spans="1:25">
      <c r="A95" s="2"/>
      <c r="B95" s="87">
        <f t="shared" si="22"/>
        <v>5</v>
      </c>
      <c r="C95" s="295">
        <v>45847</v>
      </c>
      <c r="D95" s="10">
        <v>71348</v>
      </c>
      <c r="E95" s="10" t="s">
        <v>149</v>
      </c>
      <c r="F95" s="62">
        <v>6814</v>
      </c>
      <c r="G95" s="62"/>
      <c r="H95" s="62"/>
      <c r="I95" s="89">
        <f t="shared" si="21"/>
        <v>6814</v>
      </c>
      <c r="J95" s="63" t="s">
        <v>205</v>
      </c>
      <c r="K95" s="63">
        <v>1</v>
      </c>
      <c r="L95" s="63"/>
      <c r="M95" s="63"/>
      <c r="N95" s="63">
        <v>1</v>
      </c>
      <c r="O95" s="63"/>
      <c r="P95" s="63"/>
      <c r="Q95" s="63">
        <v>1</v>
      </c>
      <c r="R95" s="63">
        <v>1</v>
      </c>
      <c r="S95" s="296">
        <v>1</v>
      </c>
      <c r="T95" s="63"/>
      <c r="U95" s="10" t="s">
        <v>1438</v>
      </c>
      <c r="V95" s="90"/>
      <c r="W95" s="136"/>
      <c r="X95" s="137"/>
    </row>
    <row r="96" spans="1:25">
      <c r="A96" s="2"/>
      <c r="B96" s="87">
        <f t="shared" si="22"/>
        <v>6</v>
      </c>
      <c r="C96" s="274">
        <v>45848</v>
      </c>
      <c r="D96" s="276">
        <v>71333</v>
      </c>
      <c r="E96" s="281" t="s">
        <v>1439</v>
      </c>
      <c r="F96" s="277">
        <v>2861</v>
      </c>
      <c r="G96" s="277">
        <f>39.7</f>
        <v>39.700000000000003</v>
      </c>
      <c r="H96" s="277"/>
      <c r="I96" s="278">
        <f t="shared" si="21"/>
        <v>2821.3</v>
      </c>
      <c r="J96" s="279" t="s">
        <v>205</v>
      </c>
      <c r="K96" s="279">
        <v>1</v>
      </c>
      <c r="L96" s="279"/>
      <c r="M96" s="279"/>
      <c r="N96" s="279">
        <v>1</v>
      </c>
      <c r="O96" s="279"/>
      <c r="P96" s="279"/>
      <c r="Q96" s="279">
        <v>1</v>
      </c>
      <c r="R96" s="279">
        <v>1</v>
      </c>
      <c r="S96" s="280">
        <v>1</v>
      </c>
      <c r="T96" s="63"/>
      <c r="U96" s="10"/>
      <c r="V96" s="90"/>
      <c r="W96" s="136"/>
      <c r="X96" s="137"/>
    </row>
    <row r="97" spans="1:24">
      <c r="A97" s="2"/>
      <c r="B97" s="87">
        <f t="shared" si="22"/>
        <v>7</v>
      </c>
      <c r="C97" s="295">
        <v>45848</v>
      </c>
      <c r="D97" s="10">
        <v>71355</v>
      </c>
      <c r="E97" s="101" t="s">
        <v>1439</v>
      </c>
      <c r="F97" s="62">
        <v>8214</v>
      </c>
      <c r="G97" s="62">
        <f>39.7</f>
        <v>39.700000000000003</v>
      </c>
      <c r="H97" s="62"/>
      <c r="I97" s="89">
        <f t="shared" si="21"/>
        <v>8174.3</v>
      </c>
      <c r="J97" s="63" t="s">
        <v>205</v>
      </c>
      <c r="K97" s="63">
        <v>1</v>
      </c>
      <c r="L97" s="63"/>
      <c r="M97" s="63"/>
      <c r="N97" s="63">
        <v>1</v>
      </c>
      <c r="O97" s="63"/>
      <c r="P97" s="63"/>
      <c r="Q97" s="63"/>
      <c r="R97" s="63"/>
      <c r="S97" s="296"/>
      <c r="T97" s="63"/>
      <c r="U97" s="10"/>
      <c r="V97" s="90"/>
      <c r="W97" s="136"/>
      <c r="X97" s="137"/>
    </row>
    <row r="98" spans="1:24">
      <c r="A98" s="2"/>
      <c r="B98" s="87">
        <f t="shared" si="22"/>
        <v>8</v>
      </c>
      <c r="C98" s="295">
        <v>45848</v>
      </c>
      <c r="D98" s="10">
        <v>71375</v>
      </c>
      <c r="E98" s="101" t="s">
        <v>1256</v>
      </c>
      <c r="F98" s="62">
        <v>2681</v>
      </c>
      <c r="G98" s="62">
        <v>39.700000000000003</v>
      </c>
      <c r="H98" s="62"/>
      <c r="I98" s="89">
        <f t="shared" si="21"/>
        <v>2641.3</v>
      </c>
      <c r="J98" s="63" t="s">
        <v>205</v>
      </c>
      <c r="K98" s="63"/>
      <c r="L98" s="63"/>
      <c r="M98" s="63"/>
      <c r="N98" s="63">
        <v>1</v>
      </c>
      <c r="O98" s="63"/>
      <c r="P98" s="63"/>
      <c r="Q98" s="63">
        <v>1</v>
      </c>
      <c r="R98" s="63">
        <v>1</v>
      </c>
      <c r="S98" s="296">
        <v>1</v>
      </c>
      <c r="T98" s="63"/>
      <c r="U98" s="10"/>
      <c r="V98" s="90"/>
      <c r="W98" s="136"/>
      <c r="X98" s="137"/>
    </row>
    <row r="99" spans="1:24">
      <c r="A99" s="2"/>
      <c r="B99" s="87">
        <f t="shared" si="22"/>
        <v>9</v>
      </c>
      <c r="C99" s="295">
        <v>45848</v>
      </c>
      <c r="D99" s="10">
        <v>71380</v>
      </c>
      <c r="E99" s="101" t="s">
        <v>1088</v>
      </c>
      <c r="F99" s="62">
        <v>681</v>
      </c>
      <c r="G99" s="62"/>
      <c r="H99" s="62"/>
      <c r="I99" s="89">
        <f t="shared" si="21"/>
        <v>681</v>
      </c>
      <c r="J99" s="63" t="s">
        <v>205</v>
      </c>
      <c r="K99" s="63">
        <v>1</v>
      </c>
      <c r="L99" s="63"/>
      <c r="M99" s="63"/>
      <c r="N99" s="63">
        <v>1</v>
      </c>
      <c r="O99" s="63"/>
      <c r="P99" s="63"/>
      <c r="Q99" s="63">
        <v>1</v>
      </c>
      <c r="R99" s="63">
        <v>1</v>
      </c>
      <c r="S99" s="296">
        <v>1</v>
      </c>
      <c r="T99" s="63"/>
      <c r="U99" s="10"/>
      <c r="V99" s="90"/>
      <c r="W99" s="136"/>
      <c r="X99" s="137"/>
    </row>
    <row r="100" spans="1:24">
      <c r="A100" s="2"/>
      <c r="B100" s="87">
        <f t="shared" si="22"/>
        <v>10</v>
      </c>
      <c r="C100" s="295">
        <v>45848</v>
      </c>
      <c r="D100" s="10">
        <v>71341</v>
      </c>
      <c r="E100" s="101" t="s">
        <v>1034</v>
      </c>
      <c r="F100" s="62">
        <v>18161</v>
      </c>
      <c r="G100" s="62">
        <v>39.700000000000003</v>
      </c>
      <c r="H100" s="62"/>
      <c r="I100" s="89">
        <f t="shared" si="21"/>
        <v>18121.3</v>
      </c>
      <c r="J100" s="63" t="s">
        <v>205</v>
      </c>
      <c r="K100" s="63">
        <v>1</v>
      </c>
      <c r="L100" s="63"/>
      <c r="M100" s="63"/>
      <c r="N100" s="63">
        <v>1</v>
      </c>
      <c r="O100" s="63"/>
      <c r="P100" s="63"/>
      <c r="Q100" s="63">
        <v>1</v>
      </c>
      <c r="R100" s="63">
        <v>1</v>
      </c>
      <c r="S100" s="296">
        <v>1</v>
      </c>
      <c r="T100" s="63"/>
      <c r="U100" s="10"/>
      <c r="V100" s="90"/>
      <c r="W100" s="136"/>
      <c r="X100" s="137"/>
    </row>
    <row r="101" spans="1:24">
      <c r="A101" s="2"/>
      <c r="B101" s="87">
        <f t="shared" si="22"/>
        <v>11</v>
      </c>
      <c r="C101" s="274">
        <v>45849</v>
      </c>
      <c r="D101" s="276">
        <v>71328</v>
      </c>
      <c r="E101" s="281" t="s">
        <v>1002</v>
      </c>
      <c r="F101" s="277">
        <v>1861</v>
      </c>
      <c r="G101" s="277">
        <v>39.700000000000003</v>
      </c>
      <c r="H101" s="277"/>
      <c r="I101" s="278">
        <f t="shared" si="21"/>
        <v>1821.3</v>
      </c>
      <c r="J101" s="279" t="s">
        <v>205</v>
      </c>
      <c r="K101" s="279">
        <v>1</v>
      </c>
      <c r="L101" s="279"/>
      <c r="M101" s="279"/>
      <c r="N101" s="279">
        <v>1</v>
      </c>
      <c r="O101" s="279"/>
      <c r="P101" s="279"/>
      <c r="Q101" s="279">
        <v>1</v>
      </c>
      <c r="R101" s="279">
        <v>1</v>
      </c>
      <c r="S101" s="280">
        <v>1</v>
      </c>
      <c r="T101" s="63"/>
      <c r="U101" s="10"/>
      <c r="V101" s="90"/>
      <c r="W101" s="136"/>
      <c r="X101" s="137"/>
    </row>
    <row r="102" spans="1:24">
      <c r="A102" s="2"/>
      <c r="B102" s="87">
        <f t="shared" si="22"/>
        <v>12</v>
      </c>
      <c r="C102" s="295">
        <v>45849</v>
      </c>
      <c r="D102" s="10">
        <v>71396</v>
      </c>
      <c r="E102" s="101" t="s">
        <v>1440</v>
      </c>
      <c r="F102" s="62">
        <v>0</v>
      </c>
      <c r="G102" s="62"/>
      <c r="H102" s="62"/>
      <c r="I102" s="89">
        <f t="shared" si="21"/>
        <v>0</v>
      </c>
      <c r="J102" s="63" t="s">
        <v>219</v>
      </c>
      <c r="K102" s="63"/>
      <c r="L102" s="63"/>
      <c r="M102" s="63"/>
      <c r="N102" s="63"/>
      <c r="O102" s="63"/>
      <c r="P102" s="63"/>
      <c r="Q102" s="63"/>
      <c r="R102" s="63"/>
      <c r="S102" s="296"/>
      <c r="T102" s="63"/>
      <c r="U102" s="10"/>
      <c r="V102" s="90"/>
      <c r="W102" s="136"/>
      <c r="X102" s="137"/>
    </row>
    <row r="103" spans="1:24">
      <c r="A103" s="2"/>
      <c r="B103" s="87">
        <f t="shared" si="22"/>
        <v>13</v>
      </c>
      <c r="C103" s="282">
        <v>45849</v>
      </c>
      <c r="D103" s="283">
        <v>71363</v>
      </c>
      <c r="E103" s="283" t="s">
        <v>1441</v>
      </c>
      <c r="F103" s="284">
        <v>17861</v>
      </c>
      <c r="G103" s="284">
        <v>39.700000000000003</v>
      </c>
      <c r="H103" s="284"/>
      <c r="I103" s="285">
        <f t="shared" si="21"/>
        <v>17821.3</v>
      </c>
      <c r="J103" s="286" t="s">
        <v>205</v>
      </c>
      <c r="K103" s="286">
        <v>1</v>
      </c>
      <c r="L103" s="286"/>
      <c r="M103" s="286"/>
      <c r="N103" s="286">
        <v>1</v>
      </c>
      <c r="O103" s="286"/>
      <c r="P103" s="286"/>
      <c r="Q103" s="286">
        <v>1</v>
      </c>
      <c r="R103" s="286">
        <v>1</v>
      </c>
      <c r="S103" s="287">
        <v>1</v>
      </c>
      <c r="T103" s="63"/>
      <c r="U103" s="10"/>
      <c r="V103" s="90"/>
      <c r="W103" s="136"/>
      <c r="X103" s="137"/>
    </row>
    <row r="104" spans="1:24">
      <c r="A104" s="2"/>
      <c r="B104" s="11"/>
      <c r="C104" s="36"/>
      <c r="D104" s="10"/>
      <c r="E104" s="10"/>
      <c r="F104" s="97">
        <f>SUM(F91:F103)</f>
        <v>62715</v>
      </c>
      <c r="G104" s="97">
        <f>SUM(G91:G103)</f>
        <v>317.59999999999997</v>
      </c>
      <c r="H104" s="97">
        <f>SUM(H91:H103)</f>
        <v>0</v>
      </c>
      <c r="I104" s="98">
        <f>SUM(I91:I103)</f>
        <v>62397.400000000009</v>
      </c>
      <c r="J104" s="10"/>
      <c r="K104" s="10"/>
      <c r="L104" s="10"/>
      <c r="M104" s="10"/>
      <c r="N104" s="10"/>
      <c r="O104" s="10"/>
      <c r="P104" s="10"/>
      <c r="Q104" s="10"/>
      <c r="R104" s="10"/>
      <c r="S104" s="10"/>
      <c r="T104" s="63"/>
      <c r="U104" s="10"/>
      <c r="V104" s="138"/>
      <c r="W104" s="136"/>
      <c r="X104" s="137"/>
    </row>
    <row r="105" spans="1:24">
      <c r="A105" s="2"/>
      <c r="B105" s="11"/>
      <c r="C105" s="36"/>
      <c r="D105" s="10"/>
      <c r="E105" s="10"/>
      <c r="F105" s="88"/>
      <c r="G105" s="88"/>
      <c r="H105" s="88"/>
      <c r="I105" s="99"/>
      <c r="J105" s="10"/>
      <c r="K105" s="10"/>
      <c r="L105" s="10"/>
      <c r="M105" s="10"/>
      <c r="N105" s="10"/>
      <c r="O105" s="10"/>
      <c r="P105" s="10"/>
      <c r="Q105" s="10"/>
      <c r="R105" s="10"/>
      <c r="S105" s="10"/>
      <c r="T105" s="63"/>
      <c r="U105" s="10"/>
      <c r="V105" s="138"/>
      <c r="W105" s="136"/>
      <c r="X105" s="137"/>
    </row>
    <row r="106" spans="1:24">
      <c r="A106" s="2"/>
      <c r="B106" s="26"/>
      <c r="C106" s="140"/>
      <c r="D106" s="141"/>
      <c r="E106" s="141"/>
      <c r="F106" s="141"/>
      <c r="G106" s="141"/>
      <c r="H106" s="141"/>
      <c r="I106" s="141"/>
      <c r="J106" s="141"/>
      <c r="K106" s="142"/>
      <c r="L106" s="142"/>
      <c r="M106" s="142"/>
      <c r="N106" s="142"/>
      <c r="O106" s="142"/>
      <c r="P106" s="142"/>
      <c r="Q106" s="142"/>
      <c r="R106" s="142"/>
      <c r="S106" s="142"/>
      <c r="T106" s="143">
        <f>SUM(T67:T105)</f>
        <v>0</v>
      </c>
      <c r="U106" s="141"/>
      <c r="V106" s="144">
        <f>SUM(V67:V105)</f>
        <v>10762.560000000001</v>
      </c>
      <c r="W106" s="145">
        <f>SUM(W67:W105)</f>
        <v>0</v>
      </c>
      <c r="X106" s="146">
        <f>SUM(X67:X105)</f>
        <v>0</v>
      </c>
    </row>
    <row r="109" spans="1:24">
      <c r="A109" s="3"/>
      <c r="B109" s="4" t="s">
        <v>1</v>
      </c>
      <c r="C109" s="5"/>
      <c r="D109" s="6"/>
      <c r="E109" s="6"/>
      <c r="F109" s="7" t="s">
        <v>2</v>
      </c>
      <c r="G109" s="8">
        <v>45858</v>
      </c>
      <c r="H109" s="7"/>
      <c r="I109" s="6"/>
      <c r="J109" s="6"/>
      <c r="K109" s="6"/>
      <c r="L109" s="6"/>
      <c r="M109" s="6"/>
      <c r="N109" s="6"/>
      <c r="O109" s="6"/>
      <c r="P109" s="6"/>
      <c r="Q109" s="6"/>
      <c r="R109" s="6"/>
      <c r="S109" s="6"/>
      <c r="T109" s="6"/>
      <c r="U109" s="9"/>
      <c r="V109" s="10"/>
      <c r="W109" s="10"/>
      <c r="X109" s="10"/>
    </row>
    <row r="110" spans="1:24">
      <c r="A110" s="2"/>
      <c r="B110" s="11"/>
      <c r="C110" s="10"/>
      <c r="D110" s="10"/>
      <c r="E110" s="10"/>
      <c r="F110" s="10"/>
      <c r="G110" s="7"/>
      <c r="H110" s="12"/>
      <c r="I110" s="10"/>
      <c r="J110" s="10"/>
      <c r="K110" s="13" t="s">
        <v>3</v>
      </c>
      <c r="L110" s="14"/>
      <c r="M110" s="15"/>
      <c r="N110" s="13" t="s">
        <v>4</v>
      </c>
      <c r="O110" s="14"/>
      <c r="P110" s="15"/>
      <c r="Q110" s="13" t="s">
        <v>5</v>
      </c>
      <c r="R110" s="14"/>
      <c r="S110" s="15"/>
      <c r="T110" s="16"/>
      <c r="U110" s="17"/>
      <c r="V110" s="10"/>
      <c r="W110" s="10"/>
      <c r="X110" s="10"/>
    </row>
    <row r="111" spans="1:24">
      <c r="A111" s="2"/>
      <c r="B111" s="18" t="s">
        <v>6</v>
      </c>
      <c r="C111" s="19">
        <f>C112+C113</f>
        <v>36</v>
      </c>
      <c r="D111" s="10"/>
      <c r="E111" s="18" t="s">
        <v>7</v>
      </c>
      <c r="F111" s="6"/>
      <c r="G111" s="9"/>
      <c r="H111" s="10"/>
      <c r="I111" s="10"/>
      <c r="J111" s="10"/>
      <c r="K111" s="20" t="s">
        <v>8</v>
      </c>
      <c r="L111" s="21" t="s">
        <v>9</v>
      </c>
      <c r="M111" s="21" t="s">
        <v>10</v>
      </c>
      <c r="N111" s="20" t="s">
        <v>11</v>
      </c>
      <c r="O111" s="21" t="s">
        <v>12</v>
      </c>
      <c r="P111" s="22" t="s">
        <v>13</v>
      </c>
      <c r="Q111" s="21" t="s">
        <v>11</v>
      </c>
      <c r="R111" s="21" t="s">
        <v>12</v>
      </c>
      <c r="S111" s="22" t="s">
        <v>13</v>
      </c>
      <c r="T111" s="23" t="s">
        <v>14</v>
      </c>
      <c r="U111" s="17"/>
      <c r="V111" s="10"/>
      <c r="W111" s="10"/>
      <c r="X111" s="10"/>
    </row>
    <row r="112" spans="1:24">
      <c r="A112" s="2"/>
      <c r="B112" s="24" t="s">
        <v>15</v>
      </c>
      <c r="C112" s="25">
        <f>P119</f>
        <v>18</v>
      </c>
      <c r="D112" s="10"/>
      <c r="E112" s="26" t="s">
        <v>16</v>
      </c>
      <c r="F112" s="27">
        <v>0.05</v>
      </c>
      <c r="G112" s="28"/>
      <c r="H112" s="10"/>
      <c r="I112" s="10"/>
      <c r="J112" s="18" t="s">
        <v>17</v>
      </c>
      <c r="K112" s="29">
        <f>K154</f>
        <v>17</v>
      </c>
      <c r="L112" s="29">
        <f t="shared" ref="L112:S112" si="23">L154</f>
        <v>16</v>
      </c>
      <c r="M112" s="29">
        <f t="shared" si="23"/>
        <v>17</v>
      </c>
      <c r="N112" s="29">
        <f t="shared" si="23"/>
        <v>16</v>
      </c>
      <c r="O112" s="29">
        <f t="shared" si="23"/>
        <v>16</v>
      </c>
      <c r="P112" s="29">
        <f t="shared" si="23"/>
        <v>7</v>
      </c>
      <c r="Q112" s="29">
        <f t="shared" si="23"/>
        <v>16</v>
      </c>
      <c r="R112" s="29">
        <f t="shared" si="23"/>
        <v>11</v>
      </c>
      <c r="S112" s="29">
        <f t="shared" si="23"/>
        <v>15</v>
      </c>
      <c r="T112" s="30">
        <f>T199</f>
        <v>0</v>
      </c>
      <c r="U112" s="17"/>
      <c r="V112" s="10"/>
      <c r="W112" s="10"/>
      <c r="X112" s="10"/>
    </row>
    <row r="113" spans="1:24">
      <c r="A113" s="2"/>
      <c r="B113" s="24" t="s">
        <v>18</v>
      </c>
      <c r="C113" s="25">
        <f>P120</f>
        <v>18</v>
      </c>
      <c r="D113" s="10"/>
      <c r="E113" s="10"/>
      <c r="F113" s="10"/>
      <c r="G113" s="31"/>
      <c r="H113" s="10"/>
      <c r="I113" s="10"/>
      <c r="J113" s="32" t="s">
        <v>19</v>
      </c>
      <c r="K113" s="33">
        <f>K154/K153</f>
        <v>1</v>
      </c>
      <c r="L113" s="33">
        <f t="shared" ref="L113:S113" si="24">L154/L153</f>
        <v>0.94117647058823528</v>
      </c>
      <c r="M113" s="33">
        <f t="shared" si="24"/>
        <v>1</v>
      </c>
      <c r="N113" s="33">
        <f t="shared" si="24"/>
        <v>0.94117647058823528</v>
      </c>
      <c r="O113" s="33">
        <f t="shared" si="24"/>
        <v>0.94117647058823528</v>
      </c>
      <c r="P113" s="33">
        <f t="shared" si="24"/>
        <v>0.41176470588235292</v>
      </c>
      <c r="Q113" s="33">
        <f t="shared" si="24"/>
        <v>0.94117647058823528</v>
      </c>
      <c r="R113" s="33">
        <f t="shared" si="24"/>
        <v>0.6470588235294118</v>
      </c>
      <c r="S113" s="33">
        <f t="shared" si="24"/>
        <v>0.88235294117647056</v>
      </c>
      <c r="T113" s="23"/>
      <c r="U113" s="17" t="s">
        <v>20</v>
      </c>
      <c r="V113" s="10"/>
      <c r="W113" s="10"/>
      <c r="X113" s="10"/>
    </row>
    <row r="114" spans="1:24">
      <c r="A114" s="2"/>
      <c r="B114" s="24" t="s">
        <v>21</v>
      </c>
      <c r="C114" s="34">
        <f>P121</f>
        <v>0.5</v>
      </c>
      <c r="D114" s="10"/>
      <c r="E114" s="10"/>
      <c r="F114" s="10"/>
      <c r="G114" s="10"/>
      <c r="H114" s="10"/>
      <c r="I114" s="10"/>
      <c r="J114" s="10"/>
      <c r="K114" s="10"/>
      <c r="L114" s="10"/>
      <c r="M114" s="10"/>
      <c r="N114" s="10"/>
      <c r="O114" s="10"/>
      <c r="P114" s="10"/>
      <c r="Q114" s="10"/>
      <c r="R114" s="10"/>
      <c r="S114" s="10"/>
      <c r="T114" s="10"/>
      <c r="U114" s="17"/>
      <c r="V114" s="10"/>
      <c r="W114" s="10"/>
      <c r="X114" s="10"/>
    </row>
    <row r="115" spans="1:24">
      <c r="A115" s="2"/>
      <c r="B115" s="24"/>
      <c r="C115" s="25"/>
      <c r="D115" s="10"/>
      <c r="E115" s="10"/>
      <c r="F115" s="18" t="s">
        <v>22</v>
      </c>
      <c r="G115" s="19" t="s">
        <v>23</v>
      </c>
      <c r="H115" s="35" t="s">
        <v>24</v>
      </c>
      <c r="I115" s="10"/>
      <c r="J115" s="10"/>
      <c r="K115" s="36"/>
      <c r="L115" s="36"/>
      <c r="M115" s="36"/>
      <c r="N115" s="36"/>
      <c r="O115" s="36"/>
      <c r="P115" s="36"/>
      <c r="Q115" s="36"/>
      <c r="R115" s="10"/>
      <c r="S115" s="10"/>
      <c r="T115" s="10"/>
      <c r="U115" s="17"/>
      <c r="V115" s="10"/>
      <c r="W115" s="10"/>
      <c r="X115" s="10"/>
    </row>
    <row r="116" spans="1:24" ht="21" customHeight="1">
      <c r="A116" s="2"/>
      <c r="B116" s="32" t="s">
        <v>25</v>
      </c>
      <c r="C116" s="37">
        <f>P122</f>
        <v>2031.9805555555561</v>
      </c>
      <c r="D116" s="10"/>
      <c r="E116" s="18" t="s">
        <v>26</v>
      </c>
      <c r="F116" s="38">
        <f>P118</f>
        <v>36575.650000000009</v>
      </c>
      <c r="G116" s="39">
        <f>I153+I165</f>
        <v>36575.65</v>
      </c>
      <c r="H116" s="40"/>
      <c r="I116" s="41"/>
      <c r="J116" s="42"/>
      <c r="K116" s="43" t="s">
        <v>27</v>
      </c>
      <c r="L116" s="44"/>
      <c r="M116" s="44"/>
      <c r="N116" s="44"/>
      <c r="O116" s="44"/>
      <c r="P116" s="44"/>
      <c r="Q116" s="45"/>
      <c r="R116" s="46" t="s">
        <v>28</v>
      </c>
      <c r="S116" s="47" t="s">
        <v>29</v>
      </c>
      <c r="T116" s="10"/>
      <c r="U116" s="17"/>
      <c r="V116" s="10"/>
      <c r="W116" s="10"/>
      <c r="X116" s="10"/>
    </row>
    <row r="117" spans="1:24" ht="22.5" customHeight="1">
      <c r="A117" s="2"/>
      <c r="B117" s="11"/>
      <c r="C117" s="10"/>
      <c r="D117" s="10"/>
      <c r="E117" s="24" t="s">
        <v>30</v>
      </c>
      <c r="F117" s="48">
        <f>F112</f>
        <v>0.05</v>
      </c>
      <c r="G117" s="17"/>
      <c r="H117" s="40"/>
      <c r="I117" s="41"/>
      <c r="J117" s="42"/>
      <c r="K117" s="20" t="s">
        <v>31</v>
      </c>
      <c r="L117" s="21" t="s">
        <v>32</v>
      </c>
      <c r="M117" s="21" t="s">
        <v>33</v>
      </c>
      <c r="N117" s="21" t="s">
        <v>34</v>
      </c>
      <c r="O117" s="21" t="s">
        <v>35</v>
      </c>
      <c r="P117" s="21" t="s">
        <v>36</v>
      </c>
      <c r="Q117" s="49" t="s">
        <v>37</v>
      </c>
      <c r="R117" s="50" t="s">
        <v>38</v>
      </c>
      <c r="S117" s="50" t="s">
        <v>38</v>
      </c>
      <c r="T117" s="10"/>
      <c r="U117" s="17"/>
      <c r="V117" s="10"/>
      <c r="W117" s="10"/>
      <c r="X117" s="10"/>
    </row>
    <row r="118" spans="1:24">
      <c r="A118" s="2"/>
      <c r="B118" s="11"/>
      <c r="C118" s="10"/>
      <c r="D118" s="10"/>
      <c r="E118" s="51" t="s">
        <v>39</v>
      </c>
      <c r="F118" s="52">
        <f>(F116-I140-I145-I150-I164)*F117</f>
        <v>1528.1280000000006</v>
      </c>
      <c r="G118" s="53" t="s">
        <v>40</v>
      </c>
      <c r="H118" s="54">
        <f>F118/1.12</f>
        <v>1364.4000000000003</v>
      </c>
      <c r="I118" s="55"/>
      <c r="J118" s="42"/>
      <c r="K118" s="56">
        <f>I136+I137+I139+I138+I141+I140</f>
        <v>21224.95</v>
      </c>
      <c r="L118" s="57">
        <f>I144+I145+I143+I142</f>
        <v>3861.61</v>
      </c>
      <c r="M118" s="57">
        <f>I146+I147+I149+I148</f>
        <v>6842.56</v>
      </c>
      <c r="N118" s="57">
        <f>I150+I164</f>
        <v>3224.23</v>
      </c>
      <c r="O118" s="57">
        <f>I151+I152</f>
        <v>1422.3</v>
      </c>
      <c r="P118" s="57">
        <f>SUM(K118:O118)</f>
        <v>36575.650000000009</v>
      </c>
      <c r="Q118" s="58">
        <v>0</v>
      </c>
      <c r="R118" s="59">
        <f>I165</f>
        <v>1582.93</v>
      </c>
      <c r="S118" s="59">
        <v>0</v>
      </c>
      <c r="T118" s="10"/>
      <c r="U118" s="17"/>
      <c r="V118" s="10"/>
      <c r="W118" s="10"/>
      <c r="X118" s="10"/>
    </row>
    <row r="119" spans="1:24">
      <c r="A119" s="2"/>
      <c r="B119" s="11"/>
      <c r="C119" s="10"/>
      <c r="D119" s="10"/>
      <c r="E119" s="24" t="s">
        <v>41</v>
      </c>
      <c r="F119" s="60">
        <f>Q118</f>
        <v>0</v>
      </c>
      <c r="G119" s="61" t="s">
        <v>40</v>
      </c>
      <c r="H119" s="62"/>
      <c r="I119" s="62"/>
      <c r="J119" s="10" t="s">
        <v>42</v>
      </c>
      <c r="K119" s="63">
        <v>6</v>
      </c>
      <c r="L119" s="63">
        <v>4</v>
      </c>
      <c r="M119" s="63">
        <v>4</v>
      </c>
      <c r="N119" s="63">
        <v>2</v>
      </c>
      <c r="O119" s="63">
        <v>2</v>
      </c>
      <c r="P119" s="21">
        <f>SUM(K119:O119)</f>
        <v>18</v>
      </c>
      <c r="Q119" s="64">
        <v>0</v>
      </c>
      <c r="R119" s="63"/>
      <c r="S119" s="10"/>
      <c r="T119" s="10"/>
      <c r="U119" s="17"/>
      <c r="V119" s="10"/>
      <c r="W119" s="10"/>
      <c r="X119" s="10"/>
    </row>
    <row r="120" spans="1:24">
      <c r="A120" s="2"/>
      <c r="B120" s="11"/>
      <c r="C120" s="10"/>
      <c r="D120" s="10"/>
      <c r="E120" s="51" t="s">
        <v>43</v>
      </c>
      <c r="F120" s="52">
        <f>F119*0.25</f>
        <v>0</v>
      </c>
      <c r="G120" s="53" t="s">
        <v>40</v>
      </c>
      <c r="H120" s="54">
        <f>F120/1.12</f>
        <v>0</v>
      </c>
      <c r="I120" s="10"/>
      <c r="J120" s="10" t="s">
        <v>44</v>
      </c>
      <c r="K120" s="63">
        <v>2</v>
      </c>
      <c r="L120" s="63">
        <v>2</v>
      </c>
      <c r="M120" s="63">
        <v>2</v>
      </c>
      <c r="N120" s="63">
        <v>9</v>
      </c>
      <c r="O120" s="63">
        <v>3</v>
      </c>
      <c r="P120" s="21">
        <f>SUM(K120:O120)</f>
        <v>18</v>
      </c>
      <c r="Q120" s="64">
        <v>3</v>
      </c>
      <c r="R120" s="63"/>
      <c r="S120" s="10"/>
      <c r="T120" s="10"/>
      <c r="U120" s="17"/>
      <c r="V120" s="10"/>
      <c r="W120" s="10"/>
      <c r="X120" s="10"/>
    </row>
    <row r="121" spans="1:24">
      <c r="A121" s="2"/>
      <c r="B121" s="11"/>
      <c r="C121" s="10"/>
      <c r="D121" s="10"/>
      <c r="E121" s="24" t="s">
        <v>45</v>
      </c>
      <c r="F121" s="60">
        <f>I161</f>
        <v>17336.16</v>
      </c>
      <c r="G121" s="61" t="s">
        <v>40</v>
      </c>
      <c r="H121" s="62"/>
      <c r="I121" s="10"/>
      <c r="J121" s="10" t="s">
        <v>46</v>
      </c>
      <c r="K121" s="31">
        <f t="shared" ref="K121:Q121" si="25">K119/(K119+K120)</f>
        <v>0.75</v>
      </c>
      <c r="L121" s="31">
        <f t="shared" si="25"/>
        <v>0.66666666666666663</v>
      </c>
      <c r="M121" s="31">
        <f t="shared" si="25"/>
        <v>0.66666666666666663</v>
      </c>
      <c r="N121" s="31">
        <f t="shared" si="25"/>
        <v>0.18181818181818182</v>
      </c>
      <c r="O121" s="31">
        <f t="shared" si="25"/>
        <v>0.4</v>
      </c>
      <c r="P121" s="31">
        <f t="shared" si="25"/>
        <v>0.5</v>
      </c>
      <c r="Q121" s="31">
        <f t="shared" si="25"/>
        <v>0</v>
      </c>
      <c r="R121" s="63"/>
      <c r="S121" s="10"/>
      <c r="T121" s="10"/>
      <c r="U121" s="17"/>
      <c r="V121" s="10"/>
      <c r="W121" s="10"/>
      <c r="X121" s="10"/>
    </row>
    <row r="122" spans="1:24">
      <c r="A122" s="2"/>
      <c r="B122" s="11"/>
      <c r="C122" s="10"/>
      <c r="D122" s="10"/>
      <c r="E122" s="51" t="s">
        <v>47</v>
      </c>
      <c r="F122" s="52">
        <f>(F121-I159)*0.05</f>
        <v>866.80799999999999</v>
      </c>
      <c r="G122" s="65" t="s">
        <v>40</v>
      </c>
      <c r="H122" s="54">
        <f>F122/1.12</f>
        <v>773.9357142857142</v>
      </c>
      <c r="I122" s="42"/>
      <c r="J122" s="10" t="s">
        <v>48</v>
      </c>
      <c r="K122" s="66">
        <f>K118/K119</f>
        <v>3537.4916666666668</v>
      </c>
      <c r="L122" s="66">
        <f t="shared" ref="L122:Q122" si="26">L118/L119</f>
        <v>965.40250000000003</v>
      </c>
      <c r="M122" s="66">
        <f t="shared" si="26"/>
        <v>1710.64</v>
      </c>
      <c r="N122" s="66">
        <f t="shared" si="26"/>
        <v>1612.115</v>
      </c>
      <c r="O122" s="66">
        <f t="shared" si="26"/>
        <v>711.15</v>
      </c>
      <c r="P122" s="66">
        <f t="shared" si="26"/>
        <v>2031.9805555555561</v>
      </c>
      <c r="Q122" s="66" t="e">
        <f t="shared" si="26"/>
        <v>#DIV/0!</v>
      </c>
      <c r="R122" s="63"/>
      <c r="S122" s="10"/>
      <c r="T122" s="10"/>
      <c r="U122" s="17"/>
      <c r="V122" s="10"/>
      <c r="W122" s="10"/>
      <c r="X122" s="10"/>
    </row>
    <row r="123" spans="1:24">
      <c r="A123" s="2"/>
      <c r="B123" s="11"/>
      <c r="C123" s="10"/>
      <c r="D123" s="10"/>
      <c r="E123" s="67" t="s">
        <v>14</v>
      </c>
      <c r="F123" s="68">
        <f>1*50</f>
        <v>50</v>
      </c>
      <c r="G123" s="10"/>
      <c r="H123" s="54">
        <f>F123/1.12</f>
        <v>44.642857142857139</v>
      </c>
      <c r="I123" s="10"/>
      <c r="J123" s="10"/>
      <c r="K123" s="10"/>
      <c r="L123" s="10"/>
      <c r="M123" s="10"/>
      <c r="N123" s="10"/>
      <c r="O123" s="10"/>
      <c r="P123" s="10"/>
      <c r="Q123" s="10"/>
      <c r="R123" s="10"/>
      <c r="S123" s="10"/>
      <c r="T123" s="10"/>
      <c r="U123" s="17"/>
      <c r="V123" s="10"/>
      <c r="W123" s="10"/>
      <c r="X123" s="10"/>
    </row>
    <row r="124" spans="1:24">
      <c r="A124" s="2"/>
      <c r="B124" s="11"/>
      <c r="C124" s="10"/>
      <c r="D124" s="10"/>
      <c r="E124" s="155" t="s">
        <v>49</v>
      </c>
      <c r="F124" s="364">
        <f>T113</f>
        <v>0</v>
      </c>
      <c r="G124" s="10"/>
      <c r="H124" s="54"/>
      <c r="I124" s="55"/>
      <c r="J124" s="42"/>
      <c r="K124" s="764" t="s">
        <v>50</v>
      </c>
      <c r="L124" s="765"/>
      <c r="M124" s="765"/>
      <c r="N124" s="765"/>
      <c r="O124" s="765"/>
      <c r="P124" s="765"/>
      <c r="Q124" s="766"/>
      <c r="R124" s="70" t="s">
        <v>28</v>
      </c>
      <c r="S124" s="71" t="s">
        <v>29</v>
      </c>
      <c r="T124" s="10"/>
      <c r="U124" s="17"/>
      <c r="V124" s="10"/>
      <c r="W124" s="10"/>
      <c r="X124" s="10"/>
    </row>
    <row r="125" spans="1:24">
      <c r="A125" s="2"/>
      <c r="B125" s="11"/>
      <c r="C125" s="10"/>
      <c r="D125" s="10"/>
      <c r="E125" s="12"/>
      <c r="F125" s="76"/>
      <c r="G125" s="10"/>
      <c r="H125" s="10"/>
      <c r="I125" s="10"/>
      <c r="J125" s="42"/>
      <c r="K125" s="20" t="s">
        <v>31</v>
      </c>
      <c r="L125" s="21" t="s">
        <v>32</v>
      </c>
      <c r="M125" s="21" t="s">
        <v>33</v>
      </c>
      <c r="N125" s="21" t="s">
        <v>34</v>
      </c>
      <c r="O125" s="21" t="s">
        <v>35</v>
      </c>
      <c r="P125" s="21" t="s">
        <v>36</v>
      </c>
      <c r="Q125" s="49" t="s">
        <v>37</v>
      </c>
      <c r="R125" s="50" t="s">
        <v>38</v>
      </c>
      <c r="S125" s="50" t="s">
        <v>38</v>
      </c>
      <c r="T125" s="10"/>
      <c r="U125" s="17"/>
      <c r="V125" s="10"/>
      <c r="W125" s="10"/>
      <c r="X125" s="10"/>
    </row>
    <row r="126" spans="1:24">
      <c r="A126" s="2"/>
      <c r="B126" s="11"/>
      <c r="C126" s="10"/>
      <c r="D126" s="10"/>
      <c r="E126" s="10"/>
      <c r="F126" s="10"/>
      <c r="G126" s="10"/>
      <c r="H126" s="10"/>
      <c r="I126" s="10"/>
      <c r="J126" s="42"/>
      <c r="K126" s="56">
        <f>F136+F137+F139+F138+F141+F140</f>
        <v>27894.400000000001</v>
      </c>
      <c r="L126" s="57">
        <f>F144+F145+F143+F142</f>
        <v>4022</v>
      </c>
      <c r="M126" s="57">
        <f>F146+F147+F149+F148</f>
        <v>8712.17</v>
      </c>
      <c r="N126" s="57">
        <f>F150+F164</f>
        <v>3715.9</v>
      </c>
      <c r="O126" s="57">
        <f>F151+F152</f>
        <v>1462</v>
      </c>
      <c r="P126" s="57">
        <f>SUM(K126:O126)</f>
        <v>45806.47</v>
      </c>
      <c r="Q126" s="58">
        <v>0</v>
      </c>
      <c r="R126" s="59">
        <f>F165</f>
        <v>2034.9</v>
      </c>
      <c r="S126" s="59">
        <v>0</v>
      </c>
      <c r="T126" s="10"/>
      <c r="U126" s="17"/>
      <c r="V126" s="10"/>
      <c r="W126" s="10"/>
      <c r="X126" s="10"/>
    </row>
    <row r="127" spans="1:24">
      <c r="A127" s="2"/>
      <c r="B127" s="11"/>
      <c r="C127" s="10"/>
      <c r="D127" s="10"/>
      <c r="E127" s="10"/>
      <c r="F127" s="10"/>
      <c r="G127" s="10"/>
      <c r="H127" s="10"/>
      <c r="I127" s="10"/>
      <c r="J127" s="10" t="s">
        <v>42</v>
      </c>
      <c r="K127" s="63">
        <f>K119</f>
        <v>6</v>
      </c>
      <c r="L127" s="63">
        <f t="shared" ref="L127:Q128" si="27">L119</f>
        <v>4</v>
      </c>
      <c r="M127" s="63">
        <f t="shared" si="27"/>
        <v>4</v>
      </c>
      <c r="N127" s="63">
        <f t="shared" si="27"/>
        <v>2</v>
      </c>
      <c r="O127" s="63">
        <f t="shared" si="27"/>
        <v>2</v>
      </c>
      <c r="P127" s="63">
        <f t="shared" si="27"/>
        <v>18</v>
      </c>
      <c r="Q127" s="63">
        <f t="shared" si="27"/>
        <v>0</v>
      </c>
      <c r="R127" s="63"/>
      <c r="S127" s="10"/>
      <c r="T127" s="10"/>
      <c r="U127" s="17"/>
      <c r="V127" s="10"/>
      <c r="W127" s="10"/>
      <c r="X127" s="10"/>
    </row>
    <row r="128" spans="1:24">
      <c r="A128" s="2"/>
      <c r="B128" s="11"/>
      <c r="C128" s="10"/>
      <c r="D128" s="10"/>
      <c r="E128" s="10"/>
      <c r="F128" s="10"/>
      <c r="G128" s="10"/>
      <c r="H128" s="10"/>
      <c r="I128" s="10"/>
      <c r="J128" s="10" t="s">
        <v>44</v>
      </c>
      <c r="K128" s="63">
        <f>K120</f>
        <v>2</v>
      </c>
      <c r="L128" s="63">
        <f t="shared" si="27"/>
        <v>2</v>
      </c>
      <c r="M128" s="63">
        <f t="shared" si="27"/>
        <v>2</v>
      </c>
      <c r="N128" s="63">
        <f t="shared" si="27"/>
        <v>9</v>
      </c>
      <c r="O128" s="63">
        <f t="shared" si="27"/>
        <v>3</v>
      </c>
      <c r="P128" s="63">
        <f t="shared" si="27"/>
        <v>18</v>
      </c>
      <c r="Q128" s="63">
        <f t="shared" si="27"/>
        <v>3</v>
      </c>
      <c r="R128" s="63"/>
      <c r="S128" s="10"/>
      <c r="T128" s="10"/>
      <c r="U128" s="17"/>
      <c r="V128" s="10"/>
      <c r="W128" s="10"/>
      <c r="X128" s="10"/>
    </row>
    <row r="129" spans="1:25">
      <c r="A129" s="2"/>
      <c r="B129" s="11"/>
      <c r="C129" s="10"/>
      <c r="D129" s="10"/>
      <c r="E129" s="12"/>
      <c r="F129" s="76"/>
      <c r="G129" s="10"/>
      <c r="H129" s="10"/>
      <c r="I129" s="10"/>
      <c r="J129" s="10" t="s">
        <v>46</v>
      </c>
      <c r="K129" s="31">
        <f t="shared" ref="K129:Q129" si="28">K127/(K127+K128)</f>
        <v>0.75</v>
      </c>
      <c r="L129" s="31">
        <f t="shared" si="28"/>
        <v>0.66666666666666663</v>
      </c>
      <c r="M129" s="31">
        <f t="shared" si="28"/>
        <v>0.66666666666666663</v>
      </c>
      <c r="N129" s="31">
        <f t="shared" si="28"/>
        <v>0.18181818181818182</v>
      </c>
      <c r="O129" s="31">
        <f t="shared" si="28"/>
        <v>0.4</v>
      </c>
      <c r="P129" s="31">
        <f t="shared" si="28"/>
        <v>0.5</v>
      </c>
      <c r="Q129" s="31">
        <f t="shared" si="28"/>
        <v>0</v>
      </c>
      <c r="R129" s="63"/>
      <c r="S129" s="10"/>
      <c r="T129" s="10"/>
      <c r="U129" s="17"/>
      <c r="V129" s="10"/>
      <c r="W129" s="10"/>
      <c r="X129" s="10"/>
    </row>
    <row r="130" spans="1:25">
      <c r="A130" s="2"/>
      <c r="B130" s="11"/>
      <c r="C130" s="10"/>
      <c r="D130" s="10"/>
      <c r="E130" s="10"/>
      <c r="F130" s="10"/>
      <c r="G130" s="10"/>
      <c r="H130" s="10"/>
      <c r="I130" s="10"/>
      <c r="J130" s="10" t="s">
        <v>48</v>
      </c>
      <c r="K130" s="66">
        <f t="shared" ref="K130:Q130" si="29">K126/K127</f>
        <v>4649.0666666666666</v>
      </c>
      <c r="L130" s="66">
        <f t="shared" si="29"/>
        <v>1005.5</v>
      </c>
      <c r="M130" s="66">
        <f t="shared" si="29"/>
        <v>2178.0425</v>
      </c>
      <c r="N130" s="66">
        <f t="shared" si="29"/>
        <v>1857.95</v>
      </c>
      <c r="O130" s="66">
        <f t="shared" si="29"/>
        <v>731</v>
      </c>
      <c r="P130" s="66">
        <f t="shared" si="29"/>
        <v>2544.8038888888891</v>
      </c>
      <c r="Q130" s="66" t="e">
        <f t="shared" si="29"/>
        <v>#DIV/0!</v>
      </c>
      <c r="R130" s="63"/>
      <c r="S130" s="10"/>
      <c r="T130" s="10"/>
      <c r="U130" s="17"/>
      <c r="V130" s="10"/>
      <c r="W130" s="10"/>
      <c r="X130" s="10"/>
    </row>
    <row r="131" spans="1:25">
      <c r="A131" s="2"/>
      <c r="B131" s="11"/>
      <c r="C131" s="10"/>
      <c r="D131" s="10"/>
      <c r="E131" s="10"/>
      <c r="F131" s="10"/>
      <c r="G131" s="10"/>
      <c r="H131" s="10"/>
      <c r="I131" s="10"/>
      <c r="J131" s="10"/>
      <c r="K131" s="10"/>
      <c r="L131" s="10"/>
      <c r="M131" s="10"/>
      <c r="N131" s="10"/>
      <c r="O131" s="10"/>
      <c r="P131" s="10"/>
      <c r="Q131" s="10"/>
      <c r="R131" s="10"/>
      <c r="S131" s="10"/>
      <c r="T131" s="10"/>
      <c r="U131" s="17"/>
      <c r="V131" s="10"/>
      <c r="W131" s="10"/>
      <c r="X131" s="10"/>
    </row>
    <row r="132" spans="1:25">
      <c r="A132" s="2"/>
      <c r="B132" s="11"/>
      <c r="C132" s="10"/>
      <c r="D132" s="10"/>
      <c r="E132" s="10"/>
      <c r="F132" s="10"/>
      <c r="G132" s="10"/>
      <c r="H132" s="10"/>
      <c r="I132" s="10"/>
      <c r="J132" s="10"/>
      <c r="K132" s="10"/>
      <c r="L132" s="10"/>
      <c r="M132" s="10"/>
      <c r="N132" s="10"/>
      <c r="O132" s="10"/>
      <c r="P132" s="10"/>
      <c r="Q132" s="10"/>
      <c r="R132" s="10"/>
      <c r="S132" s="10"/>
      <c r="T132" s="10"/>
      <c r="U132" s="17"/>
      <c r="V132" s="10"/>
      <c r="W132" s="10"/>
      <c r="X132" s="10"/>
    </row>
    <row r="133" spans="1:25">
      <c r="A133" s="2"/>
      <c r="B133" s="18" t="s">
        <v>51</v>
      </c>
      <c r="C133" s="14"/>
      <c r="D133" s="14"/>
      <c r="E133" s="14"/>
      <c r="F133" s="13" t="s">
        <v>52</v>
      </c>
      <c r="G133" s="14"/>
      <c r="H133" s="14"/>
      <c r="I133" s="14"/>
      <c r="J133" s="14"/>
      <c r="K133" s="13" t="s">
        <v>3</v>
      </c>
      <c r="L133" s="14"/>
      <c r="M133" s="14"/>
      <c r="N133" s="13" t="s">
        <v>4</v>
      </c>
      <c r="O133" s="14"/>
      <c r="P133" s="14"/>
      <c r="Q133" s="13" t="s">
        <v>5</v>
      </c>
      <c r="R133" s="14"/>
      <c r="S133" s="14"/>
      <c r="T133" s="18"/>
      <c r="U133" s="16" t="s">
        <v>53</v>
      </c>
      <c r="V133" s="77"/>
      <c r="W133" s="77"/>
      <c r="X133" s="77"/>
    </row>
    <row r="134" spans="1:25">
      <c r="A134" s="2"/>
      <c r="B134" s="24" t="s">
        <v>54</v>
      </c>
      <c r="C134" s="21" t="s">
        <v>55</v>
      </c>
      <c r="D134" s="21" t="s">
        <v>56</v>
      </c>
      <c r="E134" s="21" t="s">
        <v>57</v>
      </c>
      <c r="F134" s="20" t="s">
        <v>58</v>
      </c>
      <c r="G134" s="21" t="s">
        <v>59</v>
      </c>
      <c r="H134" s="21" t="s">
        <v>60</v>
      </c>
      <c r="I134" s="21" t="s">
        <v>26</v>
      </c>
      <c r="J134" s="22" t="s">
        <v>61</v>
      </c>
      <c r="K134" s="21" t="s">
        <v>8</v>
      </c>
      <c r="L134" s="21" t="s">
        <v>9</v>
      </c>
      <c r="M134" s="21" t="s">
        <v>10</v>
      </c>
      <c r="N134" s="20" t="s">
        <v>11</v>
      </c>
      <c r="O134" s="21" t="s">
        <v>12</v>
      </c>
      <c r="P134" s="22" t="s">
        <v>13</v>
      </c>
      <c r="Q134" s="21" t="s">
        <v>11</v>
      </c>
      <c r="R134" s="21" t="s">
        <v>12</v>
      </c>
      <c r="S134" s="21" t="s">
        <v>13</v>
      </c>
      <c r="T134" s="78" t="s">
        <v>14</v>
      </c>
      <c r="U134" s="30"/>
      <c r="V134" s="79" t="s">
        <v>62</v>
      </c>
      <c r="W134" s="80" t="s">
        <v>63</v>
      </c>
      <c r="X134" s="81" t="s">
        <v>64</v>
      </c>
    </row>
    <row r="135" spans="1:25">
      <c r="A135" s="2"/>
      <c r="B135" s="4" t="s">
        <v>65</v>
      </c>
      <c r="C135" s="6"/>
      <c r="D135" s="6"/>
      <c r="E135" s="6"/>
      <c r="F135" s="6"/>
      <c r="G135" s="6"/>
      <c r="H135" s="6"/>
      <c r="I135" s="82"/>
      <c r="J135" s="6"/>
      <c r="K135" s="6"/>
      <c r="L135" s="6"/>
      <c r="M135" s="6"/>
      <c r="N135" s="6"/>
      <c r="O135" s="6"/>
      <c r="P135" s="6"/>
      <c r="Q135" s="6"/>
      <c r="R135" s="6"/>
      <c r="S135" s="6"/>
      <c r="T135" s="83"/>
      <c r="U135" s="6"/>
      <c r="V135" s="84"/>
      <c r="W135" s="85"/>
      <c r="X135" s="86"/>
    </row>
    <row r="136" spans="1:25">
      <c r="A136" s="2"/>
      <c r="B136" s="87">
        <v>1</v>
      </c>
      <c r="C136" s="274">
        <v>45852</v>
      </c>
      <c r="D136" s="327" t="s">
        <v>1442</v>
      </c>
      <c r="E136" s="276" t="s">
        <v>1443</v>
      </c>
      <c r="F136" s="277">
        <v>1138</v>
      </c>
      <c r="G136" s="277">
        <f>39.7</f>
        <v>39.700000000000003</v>
      </c>
      <c r="H136" s="297"/>
      <c r="I136" s="278">
        <f t="shared" ref="I136:I152" si="30">F136-G136-H136</f>
        <v>1098.3</v>
      </c>
      <c r="J136" s="279" t="s">
        <v>156</v>
      </c>
      <c r="K136" s="279">
        <v>1</v>
      </c>
      <c r="L136" s="279">
        <v>1</v>
      </c>
      <c r="M136" s="279">
        <v>1</v>
      </c>
      <c r="N136" s="279">
        <v>1</v>
      </c>
      <c r="O136" s="279">
        <v>1</v>
      </c>
      <c r="P136" s="279">
        <v>1</v>
      </c>
      <c r="Q136" s="279">
        <v>1</v>
      </c>
      <c r="R136" s="279">
        <v>1</v>
      </c>
      <c r="S136" s="280">
        <v>1</v>
      </c>
      <c r="T136" s="63"/>
      <c r="U136" s="10"/>
      <c r="V136" s="90">
        <v>1251.8</v>
      </c>
      <c r="W136" s="91"/>
      <c r="X136" s="92"/>
    </row>
    <row r="137" spans="1:25">
      <c r="A137" s="2"/>
      <c r="B137" s="87">
        <f t="shared" ref="B137" si="31">B136+1</f>
        <v>2</v>
      </c>
      <c r="C137" s="295">
        <v>45852</v>
      </c>
      <c r="D137" s="323" t="s">
        <v>1444</v>
      </c>
      <c r="E137" s="10" t="s">
        <v>1443</v>
      </c>
      <c r="F137" s="62">
        <v>2861</v>
      </c>
      <c r="G137" s="62">
        <f>39.7</f>
        <v>39.700000000000003</v>
      </c>
      <c r="H137" s="62"/>
      <c r="I137" s="89">
        <f t="shared" si="30"/>
        <v>2821.3</v>
      </c>
      <c r="J137" s="63" t="s">
        <v>156</v>
      </c>
      <c r="K137" s="63">
        <v>1</v>
      </c>
      <c r="L137" s="63">
        <v>1</v>
      </c>
      <c r="M137" s="63">
        <v>1</v>
      </c>
      <c r="N137" s="63">
        <v>1</v>
      </c>
      <c r="O137" s="63">
        <v>1</v>
      </c>
      <c r="P137" s="63">
        <v>1</v>
      </c>
      <c r="Q137" s="63">
        <v>1</v>
      </c>
      <c r="R137" s="63">
        <v>1</v>
      </c>
      <c r="S137" s="296">
        <v>1</v>
      </c>
      <c r="T137" s="63"/>
      <c r="U137" s="10"/>
      <c r="V137" s="90">
        <v>3147.1</v>
      </c>
      <c r="W137" s="91"/>
      <c r="X137" s="92"/>
    </row>
    <row r="138" spans="1:25">
      <c r="A138" s="388">
        <v>45853</v>
      </c>
      <c r="B138" s="87">
        <f>B137+1</f>
        <v>3</v>
      </c>
      <c r="C138" s="295">
        <v>45852</v>
      </c>
      <c r="D138" s="323">
        <v>71411</v>
      </c>
      <c r="E138" s="101" t="s">
        <v>1445</v>
      </c>
      <c r="F138" s="62">
        <v>5814</v>
      </c>
      <c r="G138" s="62">
        <f>39.7+(443.56+1805.73)+250</f>
        <v>2538.9899999999998</v>
      </c>
      <c r="H138" s="62"/>
      <c r="I138" s="89">
        <f>F138-G138-H138</f>
        <v>3275.01</v>
      </c>
      <c r="J138" s="63" t="s">
        <v>228</v>
      </c>
      <c r="K138" s="63">
        <v>1</v>
      </c>
      <c r="L138" s="63">
        <v>1</v>
      </c>
      <c r="M138" s="63">
        <v>1</v>
      </c>
      <c r="N138" s="63">
        <v>1</v>
      </c>
      <c r="O138" s="63">
        <v>1</v>
      </c>
      <c r="P138" s="63">
        <v>1</v>
      </c>
      <c r="Q138" s="63">
        <v>1</v>
      </c>
      <c r="R138" s="63">
        <v>1</v>
      </c>
      <c r="S138" s="296">
        <v>1</v>
      </c>
      <c r="T138" s="63"/>
      <c r="U138" s="10" t="s">
        <v>1446</v>
      </c>
      <c r="V138" s="90">
        <f>640+5755.4</f>
        <v>6395.4</v>
      </c>
      <c r="W138" s="91"/>
      <c r="X138" s="92"/>
    </row>
    <row r="139" spans="1:25" ht="13.5" customHeight="1">
      <c r="A139" s="93"/>
      <c r="B139" s="87">
        <f>B138+1</f>
        <v>4</v>
      </c>
      <c r="C139" s="295">
        <v>45852</v>
      </c>
      <c r="D139" s="323">
        <v>71430</v>
      </c>
      <c r="E139" s="94" t="s">
        <v>1447</v>
      </c>
      <c r="F139" s="62">
        <v>616</v>
      </c>
      <c r="G139" s="62"/>
      <c r="H139" s="62"/>
      <c r="I139" s="324">
        <f t="shared" ref="I139" si="32">F139-G139-H139</f>
        <v>616</v>
      </c>
      <c r="J139" s="63" t="s">
        <v>156</v>
      </c>
      <c r="K139" s="63">
        <v>1</v>
      </c>
      <c r="L139" s="63">
        <v>1</v>
      </c>
      <c r="M139" s="63">
        <v>1</v>
      </c>
      <c r="N139" s="63">
        <v>1</v>
      </c>
      <c r="O139" s="63">
        <v>1</v>
      </c>
      <c r="P139" s="63">
        <v>1</v>
      </c>
      <c r="Q139" s="63">
        <v>1</v>
      </c>
      <c r="R139" s="325">
        <v>0</v>
      </c>
      <c r="S139" s="296">
        <v>1</v>
      </c>
      <c r="T139" s="63"/>
      <c r="U139" s="10" t="s">
        <v>1448</v>
      </c>
      <c r="V139" s="90">
        <v>677.6</v>
      </c>
      <c r="W139" s="91"/>
      <c r="X139" s="92"/>
    </row>
    <row r="140" spans="1:25" ht="13.5" customHeight="1">
      <c r="A140" s="2" t="s">
        <v>230</v>
      </c>
      <c r="B140" s="87">
        <f>B139+1</f>
        <v>5</v>
      </c>
      <c r="C140" s="295">
        <v>45852</v>
      </c>
      <c r="D140" s="323">
        <v>71437</v>
      </c>
      <c r="E140" s="10" t="s">
        <v>998</v>
      </c>
      <c r="F140" s="62">
        <v>4651.3999999999996</v>
      </c>
      <c r="G140" s="62">
        <f>39.7+(2253.84)+250</f>
        <v>2543.54</v>
      </c>
      <c r="H140" s="62"/>
      <c r="I140" s="369">
        <f>F140-G140-H140</f>
        <v>2107.8599999999997</v>
      </c>
      <c r="J140" s="63" t="s">
        <v>228</v>
      </c>
      <c r="K140" s="63">
        <v>1</v>
      </c>
      <c r="L140" s="63">
        <v>1</v>
      </c>
      <c r="M140" s="63">
        <v>1</v>
      </c>
      <c r="N140" s="63">
        <v>1</v>
      </c>
      <c r="O140" s="63">
        <v>1</v>
      </c>
      <c r="P140" s="63">
        <v>1</v>
      </c>
      <c r="Q140" s="63">
        <v>1</v>
      </c>
      <c r="R140" s="63">
        <v>1</v>
      </c>
      <c r="S140" s="326">
        <v>0</v>
      </c>
      <c r="T140" s="63"/>
      <c r="U140" s="94" t="s">
        <v>1449</v>
      </c>
      <c r="V140" s="90">
        <f>700+4416.54</f>
        <v>5116.54</v>
      </c>
      <c r="W140" s="91"/>
      <c r="X140" s="92"/>
    </row>
    <row r="141" spans="1:25">
      <c r="A141" s="261" t="s">
        <v>1450</v>
      </c>
      <c r="B141" s="87">
        <f t="shared" ref="B141:B152" si="33">B140+1</f>
        <v>6</v>
      </c>
      <c r="C141" s="282">
        <v>45852</v>
      </c>
      <c r="D141" s="368" t="s">
        <v>1451</v>
      </c>
      <c r="E141" s="319" t="s">
        <v>1443</v>
      </c>
      <c r="F141" s="284">
        <v>12814</v>
      </c>
      <c r="G141" s="284">
        <f>39.7+102.8+(365.02)+1000</f>
        <v>1507.52</v>
      </c>
      <c r="H141" s="284"/>
      <c r="I141" s="285">
        <f>F141-G141-H141</f>
        <v>11306.48</v>
      </c>
      <c r="J141" s="286" t="s">
        <v>228</v>
      </c>
      <c r="K141" s="286">
        <v>1</v>
      </c>
      <c r="L141" s="286">
        <v>1</v>
      </c>
      <c r="M141" s="286">
        <v>1</v>
      </c>
      <c r="N141" s="286">
        <v>1</v>
      </c>
      <c r="O141" s="286">
        <v>1</v>
      </c>
      <c r="P141" s="286">
        <v>1</v>
      </c>
      <c r="Q141" s="286">
        <v>1</v>
      </c>
      <c r="R141" s="286">
        <v>1</v>
      </c>
      <c r="S141" s="287">
        <v>1</v>
      </c>
      <c r="T141" s="63"/>
      <c r="U141" s="94" t="s">
        <v>1452</v>
      </c>
      <c r="V141" s="90">
        <f>1850+4471.48+7773.92</f>
        <v>14095.4</v>
      </c>
      <c r="W141" s="91"/>
      <c r="X141" s="92"/>
      <c r="Y141" s="260"/>
    </row>
    <row r="142" spans="1:25">
      <c r="A142" s="93"/>
      <c r="B142" s="87">
        <f t="shared" si="33"/>
        <v>7</v>
      </c>
      <c r="C142" s="295">
        <v>45853</v>
      </c>
      <c r="D142" s="506" t="s">
        <v>1453</v>
      </c>
      <c r="E142" s="101" t="s">
        <v>604</v>
      </c>
      <c r="F142" s="62">
        <v>1461</v>
      </c>
      <c r="G142" s="62">
        <f>39.7+(80.99)</f>
        <v>120.69</v>
      </c>
      <c r="H142" s="62"/>
      <c r="I142" s="324">
        <f>F142-G142-H142</f>
        <v>1340.31</v>
      </c>
      <c r="J142" s="63" t="s">
        <v>374</v>
      </c>
      <c r="K142" s="63">
        <v>1</v>
      </c>
      <c r="L142" s="63">
        <v>1</v>
      </c>
      <c r="M142" s="63">
        <v>1</v>
      </c>
      <c r="N142" s="63">
        <v>1</v>
      </c>
      <c r="O142" s="63">
        <v>1</v>
      </c>
      <c r="P142" s="325">
        <v>0</v>
      </c>
      <c r="Q142" s="63">
        <v>1</v>
      </c>
      <c r="R142" s="63">
        <v>1</v>
      </c>
      <c r="S142" s="296">
        <v>1</v>
      </c>
      <c r="T142" s="63"/>
      <c r="U142" s="10" t="s">
        <v>1454</v>
      </c>
      <c r="V142" s="90">
        <v>1607.1</v>
      </c>
      <c r="W142" s="91"/>
      <c r="X142" s="92"/>
    </row>
    <row r="143" spans="1:25" s="342" customFormat="1">
      <c r="A143" s="2"/>
      <c r="B143" s="87">
        <f t="shared" si="33"/>
        <v>8</v>
      </c>
      <c r="C143" s="295">
        <v>45853</v>
      </c>
      <c r="D143" s="323" t="s">
        <v>1455</v>
      </c>
      <c r="E143" s="94" t="s">
        <v>604</v>
      </c>
      <c r="F143" s="62">
        <v>681</v>
      </c>
      <c r="G143" s="62"/>
      <c r="H143" s="62"/>
      <c r="I143" s="324">
        <f>F143-G143-H143</f>
        <v>681</v>
      </c>
      <c r="J143" s="63" t="s">
        <v>228</v>
      </c>
      <c r="K143" s="63">
        <v>1</v>
      </c>
      <c r="L143" s="63">
        <v>1</v>
      </c>
      <c r="M143" s="63">
        <v>1</v>
      </c>
      <c r="N143" s="63">
        <v>1</v>
      </c>
      <c r="O143" s="63">
        <v>1</v>
      </c>
      <c r="P143" s="325">
        <v>0</v>
      </c>
      <c r="Q143" s="63">
        <v>1</v>
      </c>
      <c r="R143" s="325">
        <v>0</v>
      </c>
      <c r="S143" s="296">
        <v>1</v>
      </c>
      <c r="T143" s="63"/>
      <c r="U143" s="10" t="s">
        <v>1456</v>
      </c>
      <c r="V143" s="90">
        <f>300+549.1</f>
        <v>849.1</v>
      </c>
      <c r="W143" s="91"/>
      <c r="X143" s="92"/>
      <c r="Y143"/>
    </row>
    <row r="144" spans="1:25">
      <c r="A144" s="2"/>
      <c r="B144" s="87">
        <f t="shared" si="33"/>
        <v>9</v>
      </c>
      <c r="C144" s="295">
        <v>45853</v>
      </c>
      <c r="D144" s="323">
        <v>71427</v>
      </c>
      <c r="E144" s="94" t="s">
        <v>1058</v>
      </c>
      <c r="F144" s="62">
        <v>1199</v>
      </c>
      <c r="G144" s="62">
        <f>39.7</f>
        <v>39.700000000000003</v>
      </c>
      <c r="H144" s="62"/>
      <c r="I144" s="324">
        <f t="shared" si="30"/>
        <v>1159.3</v>
      </c>
      <c r="J144" s="63" t="s">
        <v>156</v>
      </c>
      <c r="K144" s="63">
        <v>1</v>
      </c>
      <c r="L144" s="63">
        <v>1</v>
      </c>
      <c r="M144" s="63">
        <v>1</v>
      </c>
      <c r="N144" s="63">
        <v>1</v>
      </c>
      <c r="O144" s="63">
        <v>1</v>
      </c>
      <c r="P144" s="325">
        <v>0</v>
      </c>
      <c r="Q144" s="63">
        <v>1</v>
      </c>
      <c r="R144" s="325">
        <v>0</v>
      </c>
      <c r="S144" s="296">
        <v>1</v>
      </c>
      <c r="T144" s="63"/>
      <c r="U144" s="10"/>
      <c r="V144" s="90">
        <v>1318.9</v>
      </c>
      <c r="W144" s="91"/>
      <c r="X144" s="92"/>
    </row>
    <row r="145" spans="1:25">
      <c r="A145" s="2"/>
      <c r="B145" s="87">
        <f t="shared" si="33"/>
        <v>10</v>
      </c>
      <c r="C145" s="295">
        <v>45853</v>
      </c>
      <c r="D145" s="323">
        <v>71459</v>
      </c>
      <c r="E145" s="10" t="s">
        <v>1085</v>
      </c>
      <c r="F145" s="62">
        <v>681</v>
      </c>
      <c r="G145" s="62"/>
      <c r="H145" s="62"/>
      <c r="I145" s="369">
        <f t="shared" si="30"/>
        <v>681</v>
      </c>
      <c r="J145" s="63" t="s">
        <v>156</v>
      </c>
      <c r="K145" s="63">
        <v>1</v>
      </c>
      <c r="L145" s="63">
        <v>1</v>
      </c>
      <c r="M145" s="63">
        <v>1</v>
      </c>
      <c r="N145" s="63">
        <v>1</v>
      </c>
      <c r="O145" s="63">
        <v>1</v>
      </c>
      <c r="P145" s="325">
        <v>0</v>
      </c>
      <c r="Q145" s="63">
        <v>1</v>
      </c>
      <c r="R145" s="325">
        <v>0</v>
      </c>
      <c r="S145" s="287">
        <v>1</v>
      </c>
      <c r="T145" s="63"/>
      <c r="U145" s="10" t="s">
        <v>1457</v>
      </c>
      <c r="V145" s="90">
        <v>749.1</v>
      </c>
      <c r="W145" s="91"/>
      <c r="X145" s="92"/>
    </row>
    <row r="146" spans="1:25">
      <c r="A146" s="2"/>
      <c r="B146" s="87">
        <f t="shared" si="33"/>
        <v>11</v>
      </c>
      <c r="C146" s="274">
        <v>45854</v>
      </c>
      <c r="D146" s="327">
        <v>71432</v>
      </c>
      <c r="E146" s="276" t="s">
        <v>1260</v>
      </c>
      <c r="F146" s="277">
        <v>2261</v>
      </c>
      <c r="G146" s="277">
        <f>39.7</f>
        <v>39.700000000000003</v>
      </c>
      <c r="H146" s="297"/>
      <c r="I146" s="278">
        <f t="shared" si="30"/>
        <v>2221.3000000000002</v>
      </c>
      <c r="J146" s="279" t="s">
        <v>156</v>
      </c>
      <c r="K146" s="279">
        <v>1</v>
      </c>
      <c r="L146" s="279">
        <v>1</v>
      </c>
      <c r="M146" s="279">
        <v>1</v>
      </c>
      <c r="N146" s="279">
        <v>1</v>
      </c>
      <c r="O146" s="279">
        <v>1</v>
      </c>
      <c r="P146" s="279">
        <v>1</v>
      </c>
      <c r="Q146" s="279">
        <v>1</v>
      </c>
      <c r="R146" s="279">
        <v>1</v>
      </c>
      <c r="S146" s="280">
        <v>1</v>
      </c>
      <c r="T146" s="63"/>
      <c r="U146" s="10"/>
      <c r="V146" s="90">
        <f>300+2187.1</f>
        <v>2487.1</v>
      </c>
      <c r="W146" s="91"/>
      <c r="X146" s="92"/>
    </row>
    <row r="147" spans="1:25">
      <c r="A147" s="2"/>
      <c r="B147" s="87">
        <f t="shared" si="33"/>
        <v>12</v>
      </c>
      <c r="C147" s="295">
        <v>45854</v>
      </c>
      <c r="D147" s="323">
        <v>71489</v>
      </c>
      <c r="E147" s="10" t="s">
        <v>1458</v>
      </c>
      <c r="F147" s="62">
        <v>1261</v>
      </c>
      <c r="G147" s="62">
        <f>39.7</f>
        <v>39.700000000000003</v>
      </c>
      <c r="H147" s="88"/>
      <c r="I147" s="324">
        <f t="shared" si="30"/>
        <v>1221.3</v>
      </c>
      <c r="J147" s="63" t="s">
        <v>156</v>
      </c>
      <c r="K147" s="63">
        <v>1</v>
      </c>
      <c r="L147" s="63">
        <v>1</v>
      </c>
      <c r="M147" s="63">
        <v>1</v>
      </c>
      <c r="N147" s="63">
        <v>1</v>
      </c>
      <c r="O147" s="63">
        <v>1</v>
      </c>
      <c r="P147" s="325">
        <v>0</v>
      </c>
      <c r="Q147" s="63">
        <v>1</v>
      </c>
      <c r="R147" s="325">
        <v>0</v>
      </c>
      <c r="S147" s="296">
        <v>1</v>
      </c>
      <c r="T147" s="63"/>
      <c r="U147" s="10"/>
      <c r="V147" s="90">
        <v>1387.1</v>
      </c>
      <c r="W147" s="91"/>
      <c r="X147" s="92"/>
    </row>
    <row r="148" spans="1:25">
      <c r="A148" s="2" t="s">
        <v>1459</v>
      </c>
      <c r="B148" s="87">
        <f t="shared" si="33"/>
        <v>13</v>
      </c>
      <c r="C148" s="295">
        <v>45854</v>
      </c>
      <c r="D148" s="323" t="s">
        <v>1460</v>
      </c>
      <c r="E148" s="10" t="s">
        <v>1458</v>
      </c>
      <c r="F148" s="62">
        <v>4052.17</v>
      </c>
      <c r="G148" s="62">
        <f>39.7+(1260.81)+250</f>
        <v>1550.51</v>
      </c>
      <c r="H148" s="62"/>
      <c r="I148" s="324">
        <f>F148-G148-H148</f>
        <v>2501.66</v>
      </c>
      <c r="J148" s="63" t="s">
        <v>156</v>
      </c>
      <c r="K148" s="63">
        <v>1</v>
      </c>
      <c r="L148" s="63">
        <v>1</v>
      </c>
      <c r="M148" s="63">
        <v>1</v>
      </c>
      <c r="N148" s="63">
        <v>1</v>
      </c>
      <c r="O148" s="63">
        <v>1</v>
      </c>
      <c r="P148" s="325">
        <v>0</v>
      </c>
      <c r="Q148" s="63">
        <v>1</v>
      </c>
      <c r="R148" s="63">
        <v>1</v>
      </c>
      <c r="S148" s="296">
        <v>1</v>
      </c>
      <c r="T148" s="63"/>
      <c r="U148" s="94" t="s">
        <v>1461</v>
      </c>
      <c r="V148" s="90">
        <f>500+3957.39</f>
        <v>4457.3899999999994</v>
      </c>
      <c r="W148" s="91"/>
      <c r="X148" s="92"/>
    </row>
    <row r="149" spans="1:25">
      <c r="A149" s="2"/>
      <c r="B149" s="87">
        <f t="shared" si="33"/>
        <v>14</v>
      </c>
      <c r="C149" s="282">
        <v>45854</v>
      </c>
      <c r="D149" s="368">
        <v>71480</v>
      </c>
      <c r="E149" s="283" t="s">
        <v>1136</v>
      </c>
      <c r="F149" s="284">
        <f>1223-85</f>
        <v>1138</v>
      </c>
      <c r="G149" s="284">
        <f>39.7+200</f>
        <v>239.7</v>
      </c>
      <c r="H149" s="315"/>
      <c r="I149" s="300">
        <f t="shared" si="30"/>
        <v>898.3</v>
      </c>
      <c r="J149" s="286" t="s">
        <v>156</v>
      </c>
      <c r="K149" s="286">
        <v>1</v>
      </c>
      <c r="L149" s="332">
        <v>0</v>
      </c>
      <c r="M149" s="286">
        <v>1</v>
      </c>
      <c r="N149" s="286">
        <v>1</v>
      </c>
      <c r="O149" s="286">
        <v>1</v>
      </c>
      <c r="P149" s="332">
        <v>0</v>
      </c>
      <c r="Q149" s="286">
        <v>1</v>
      </c>
      <c r="R149" s="286">
        <v>1</v>
      </c>
      <c r="S149" s="287">
        <v>1</v>
      </c>
      <c r="T149" s="63"/>
      <c r="U149" s="10" t="s">
        <v>1462</v>
      </c>
      <c r="V149" s="90">
        <f>93.5+1345.3</f>
        <v>1438.8</v>
      </c>
      <c r="W149" s="91"/>
      <c r="X149" s="92"/>
    </row>
    <row r="150" spans="1:25">
      <c r="A150" s="2"/>
      <c r="B150" s="87">
        <f t="shared" si="33"/>
        <v>15</v>
      </c>
      <c r="C150" s="295">
        <v>45855</v>
      </c>
      <c r="D150" s="323">
        <v>71494</v>
      </c>
      <c r="E150" s="10" t="s">
        <v>1080</v>
      </c>
      <c r="F150" s="62">
        <v>1681</v>
      </c>
      <c r="G150" s="62">
        <f>39.7</f>
        <v>39.700000000000003</v>
      </c>
      <c r="H150" s="88"/>
      <c r="I150" s="369">
        <f t="shared" si="30"/>
        <v>1641.3</v>
      </c>
      <c r="J150" s="63" t="s">
        <v>156</v>
      </c>
      <c r="K150" s="63">
        <v>1</v>
      </c>
      <c r="L150" s="63">
        <v>1</v>
      </c>
      <c r="M150" s="63">
        <v>1</v>
      </c>
      <c r="N150" s="325">
        <v>0</v>
      </c>
      <c r="O150" s="325">
        <v>0</v>
      </c>
      <c r="P150" s="325">
        <v>0</v>
      </c>
      <c r="Q150" s="325">
        <v>0</v>
      </c>
      <c r="R150" s="325">
        <v>0</v>
      </c>
      <c r="S150" s="326">
        <v>0</v>
      </c>
      <c r="T150" s="63"/>
      <c r="U150" s="10"/>
      <c r="V150" s="90">
        <v>1849.1</v>
      </c>
      <c r="W150" s="91"/>
      <c r="X150" s="92"/>
    </row>
    <row r="151" spans="1:25">
      <c r="A151" s="2"/>
      <c r="B151" s="87">
        <f t="shared" si="33"/>
        <v>16</v>
      </c>
      <c r="C151" s="274">
        <v>45856</v>
      </c>
      <c r="D151" s="327">
        <v>71541</v>
      </c>
      <c r="E151" s="276" t="s">
        <v>1284</v>
      </c>
      <c r="F151" s="277">
        <v>681</v>
      </c>
      <c r="G151" s="277"/>
      <c r="H151" s="297"/>
      <c r="I151" s="321">
        <f t="shared" si="30"/>
        <v>681</v>
      </c>
      <c r="J151" s="279" t="s">
        <v>156</v>
      </c>
      <c r="K151" s="279">
        <v>1</v>
      </c>
      <c r="L151" s="279">
        <v>1</v>
      </c>
      <c r="M151" s="279">
        <v>1</v>
      </c>
      <c r="N151" s="279">
        <v>1</v>
      </c>
      <c r="O151" s="279">
        <v>1</v>
      </c>
      <c r="P151" s="322">
        <v>0</v>
      </c>
      <c r="Q151" s="279">
        <v>1</v>
      </c>
      <c r="R151" s="279">
        <v>1</v>
      </c>
      <c r="S151" s="280">
        <v>1</v>
      </c>
      <c r="T151" s="63"/>
      <c r="U151" s="10"/>
      <c r="V151" s="90">
        <v>749.1</v>
      </c>
      <c r="W151" s="91"/>
      <c r="X151" s="92"/>
    </row>
    <row r="152" spans="1:25">
      <c r="A152" s="2"/>
      <c r="B152" s="87">
        <f t="shared" si="33"/>
        <v>17</v>
      </c>
      <c r="C152" s="282">
        <v>45856</v>
      </c>
      <c r="D152" s="368" t="s">
        <v>1463</v>
      </c>
      <c r="E152" s="283" t="s">
        <v>1284</v>
      </c>
      <c r="F152" s="423">
        <v>781</v>
      </c>
      <c r="G152" s="284">
        <f>39.7</f>
        <v>39.700000000000003</v>
      </c>
      <c r="H152" s="284"/>
      <c r="I152" s="300">
        <f t="shared" si="30"/>
        <v>741.3</v>
      </c>
      <c r="J152" s="286" t="s">
        <v>156</v>
      </c>
      <c r="K152" s="286">
        <v>1</v>
      </c>
      <c r="L152" s="286">
        <v>1</v>
      </c>
      <c r="M152" s="286">
        <v>1</v>
      </c>
      <c r="N152" s="286">
        <v>1</v>
      </c>
      <c r="O152" s="286">
        <v>1</v>
      </c>
      <c r="P152" s="332">
        <v>0</v>
      </c>
      <c r="Q152" s="286">
        <v>1</v>
      </c>
      <c r="R152" s="286">
        <v>1</v>
      </c>
      <c r="S152" s="287">
        <v>1</v>
      </c>
      <c r="T152" s="63"/>
      <c r="U152" s="10"/>
      <c r="V152" s="90">
        <v>859.1</v>
      </c>
      <c r="W152" s="91"/>
      <c r="X152" s="92"/>
    </row>
    <row r="153" spans="1:25">
      <c r="A153" s="2"/>
      <c r="B153" s="87"/>
      <c r="C153" s="36"/>
      <c r="D153" s="10"/>
      <c r="E153" s="10"/>
      <c r="F153" s="97">
        <f>SUM(F136:F152)</f>
        <v>43771.57</v>
      </c>
      <c r="G153" s="97">
        <f>SUM(G136:G152)</f>
        <v>8778.8500000000022</v>
      </c>
      <c r="H153" s="97">
        <f>SUM(H136:H152)</f>
        <v>0</v>
      </c>
      <c r="I153" s="98">
        <f>SUM(I136:I152)</f>
        <v>34992.720000000001</v>
      </c>
      <c r="J153" s="63"/>
      <c r="K153" s="63">
        <f t="shared" ref="K153:S153" si="34">COUNT(K136:K152)</f>
        <v>17</v>
      </c>
      <c r="L153" s="63">
        <f t="shared" si="34"/>
        <v>17</v>
      </c>
      <c r="M153" s="63">
        <f t="shared" si="34"/>
        <v>17</v>
      </c>
      <c r="N153" s="63">
        <f t="shared" si="34"/>
        <v>17</v>
      </c>
      <c r="O153" s="63">
        <f t="shared" si="34"/>
        <v>17</v>
      </c>
      <c r="P153" s="63">
        <f t="shared" si="34"/>
        <v>17</v>
      </c>
      <c r="Q153" s="63">
        <f t="shared" si="34"/>
        <v>17</v>
      </c>
      <c r="R153" s="63">
        <f t="shared" si="34"/>
        <v>17</v>
      </c>
      <c r="S153" s="63">
        <f t="shared" si="34"/>
        <v>17</v>
      </c>
      <c r="T153" s="63"/>
      <c r="U153" s="10"/>
      <c r="V153" s="90"/>
      <c r="W153" s="91"/>
      <c r="X153" s="92"/>
    </row>
    <row r="154" spans="1:25">
      <c r="A154" s="2"/>
      <c r="B154" s="87"/>
      <c r="C154" s="36"/>
      <c r="D154" s="10"/>
      <c r="E154" s="10"/>
      <c r="F154" s="88"/>
      <c r="G154" s="88"/>
      <c r="H154" s="88"/>
      <c r="I154" s="99"/>
      <c r="J154" s="63"/>
      <c r="K154" s="21">
        <f t="shared" ref="K154:S154" si="35">SUM(K136:K152)</f>
        <v>17</v>
      </c>
      <c r="L154" s="21">
        <f t="shared" si="35"/>
        <v>16</v>
      </c>
      <c r="M154" s="21">
        <f t="shared" si="35"/>
        <v>17</v>
      </c>
      <c r="N154" s="21">
        <f t="shared" si="35"/>
        <v>16</v>
      </c>
      <c r="O154" s="21">
        <f t="shared" si="35"/>
        <v>16</v>
      </c>
      <c r="P154" s="21">
        <f t="shared" si="35"/>
        <v>7</v>
      </c>
      <c r="Q154" s="21">
        <f t="shared" si="35"/>
        <v>16</v>
      </c>
      <c r="R154" s="21">
        <f t="shared" si="35"/>
        <v>11</v>
      </c>
      <c r="S154" s="21">
        <f t="shared" si="35"/>
        <v>15</v>
      </c>
      <c r="T154" s="63"/>
      <c r="U154" s="10"/>
      <c r="V154" s="90"/>
      <c r="W154" s="91"/>
      <c r="X154" s="92"/>
    </row>
    <row r="155" spans="1:25">
      <c r="A155" s="2"/>
      <c r="B155" s="11"/>
      <c r="C155" s="36"/>
      <c r="D155" s="10"/>
      <c r="E155" s="10"/>
      <c r="F155" s="88"/>
      <c r="G155" s="88"/>
      <c r="H155" s="88"/>
      <c r="I155" s="99"/>
      <c r="J155" s="63"/>
      <c r="K155" s="21"/>
      <c r="L155" s="21"/>
      <c r="M155" s="21"/>
      <c r="N155" s="21"/>
      <c r="O155" s="21"/>
      <c r="P155" s="21"/>
      <c r="Q155" s="21"/>
      <c r="R155" s="21"/>
      <c r="S155" s="21"/>
      <c r="T155" s="63"/>
      <c r="U155" s="10"/>
      <c r="V155" s="90"/>
      <c r="W155" s="91"/>
      <c r="X155" s="92"/>
    </row>
    <row r="156" spans="1:25">
      <c r="A156" s="2"/>
      <c r="B156" s="100" t="s">
        <v>67</v>
      </c>
      <c r="C156" s="36"/>
      <c r="D156" s="10"/>
      <c r="E156" s="10"/>
      <c r="F156" s="88"/>
      <c r="G156" s="62"/>
      <c r="H156" s="88"/>
      <c r="I156" s="99"/>
      <c r="J156" s="63"/>
      <c r="K156" s="2"/>
      <c r="L156" s="2"/>
      <c r="M156" s="2"/>
      <c r="N156" s="2"/>
      <c r="O156" s="2"/>
      <c r="P156" s="2"/>
      <c r="Q156" s="2"/>
      <c r="R156" s="2"/>
      <c r="S156" s="2"/>
      <c r="T156" s="63"/>
      <c r="U156" s="94"/>
      <c r="V156" s="90"/>
      <c r="W156" s="91"/>
      <c r="X156" s="92"/>
    </row>
    <row r="157" spans="1:25">
      <c r="A157" s="31" t="s">
        <v>1450</v>
      </c>
      <c r="B157" s="87">
        <v>1</v>
      </c>
      <c r="C157" s="262">
        <v>45849</v>
      </c>
      <c r="D157" s="263" t="s">
        <v>1429</v>
      </c>
      <c r="E157" s="271" t="s">
        <v>1045</v>
      </c>
      <c r="F157" s="265">
        <f>2946-85-177.9-5</f>
        <v>2678.1</v>
      </c>
      <c r="G157" s="265">
        <v>39.700000000000003</v>
      </c>
      <c r="H157" s="265"/>
      <c r="I157" s="266">
        <f>F157-G157-H157</f>
        <v>2638.4</v>
      </c>
      <c r="J157" s="267" t="s">
        <v>374</v>
      </c>
      <c r="K157" s="267">
        <v>1</v>
      </c>
      <c r="L157" s="267">
        <v>1</v>
      </c>
      <c r="M157" s="267">
        <v>1</v>
      </c>
      <c r="N157" s="267">
        <v>1</v>
      </c>
      <c r="O157" s="267">
        <v>1</v>
      </c>
      <c r="P157" s="314">
        <v>0</v>
      </c>
      <c r="Q157" s="267">
        <v>1</v>
      </c>
      <c r="R157" s="267">
        <v>1</v>
      </c>
      <c r="S157" s="269">
        <v>1</v>
      </c>
      <c r="T157" s="63"/>
      <c r="U157" s="10" t="s">
        <v>1464</v>
      </c>
      <c r="V157" s="90"/>
      <c r="W157" s="91"/>
      <c r="X157" s="92"/>
      <c r="Y157" s="434"/>
    </row>
    <row r="158" spans="1:25">
      <c r="A158" s="31" t="s">
        <v>1465</v>
      </c>
      <c r="B158" s="87">
        <f>B157+1</f>
        <v>2</v>
      </c>
      <c r="C158" s="274">
        <v>45848</v>
      </c>
      <c r="D158" s="327" t="s">
        <v>1431</v>
      </c>
      <c r="E158" s="276" t="s">
        <v>149</v>
      </c>
      <c r="F158" s="277">
        <v>14592.6</v>
      </c>
      <c r="G158" s="277">
        <f>39.7+306+291+(15.93+73.45+284.68+149.24-76.96-19.24)+(254.83+63.18-45.67)+1000</f>
        <v>2336.14</v>
      </c>
      <c r="H158" s="277"/>
      <c r="I158" s="321">
        <f>F158-G158-H158</f>
        <v>12256.460000000001</v>
      </c>
      <c r="J158" s="279" t="s">
        <v>228</v>
      </c>
      <c r="K158" s="279">
        <v>1</v>
      </c>
      <c r="L158" s="279">
        <v>1</v>
      </c>
      <c r="M158" s="279">
        <v>1</v>
      </c>
      <c r="N158" s="279">
        <v>1</v>
      </c>
      <c r="O158" s="279">
        <v>1</v>
      </c>
      <c r="P158" s="322">
        <v>0</v>
      </c>
      <c r="Q158" s="322">
        <v>0</v>
      </c>
      <c r="R158" s="322">
        <v>0</v>
      </c>
      <c r="S158" s="328">
        <v>0</v>
      </c>
      <c r="T158" s="63"/>
      <c r="U158" s="10" t="s">
        <v>1466</v>
      </c>
      <c r="V158" s="90">
        <f>12451.86</f>
        <v>12451.86</v>
      </c>
      <c r="W158" s="136"/>
      <c r="X158" s="137"/>
      <c r="Y158" s="434"/>
    </row>
    <row r="159" spans="1:25" s="381" customFormat="1">
      <c r="A159" s="448" t="s">
        <v>1467</v>
      </c>
      <c r="B159" s="372">
        <f>B158+1</f>
        <v>3</v>
      </c>
      <c r="C159" s="373">
        <v>45849</v>
      </c>
      <c r="D159" s="263" t="s">
        <v>1433</v>
      </c>
      <c r="E159" s="391" t="s">
        <v>1045</v>
      </c>
      <c r="F159" s="375">
        <f>18161-18161</f>
        <v>0</v>
      </c>
      <c r="G159" s="375">
        <f>39.7+1500-1539.7</f>
        <v>0</v>
      </c>
      <c r="H159" s="375"/>
      <c r="I159" s="504">
        <f>F159-G159-H159</f>
        <v>0</v>
      </c>
      <c r="J159" s="314"/>
      <c r="K159" s="314">
        <v>1</v>
      </c>
      <c r="L159" s="314"/>
      <c r="M159" s="314"/>
      <c r="N159" s="314">
        <v>1</v>
      </c>
      <c r="O159" s="314">
        <v>1</v>
      </c>
      <c r="P159" s="314">
        <v>1</v>
      </c>
      <c r="Q159" s="314"/>
      <c r="R159" s="314"/>
      <c r="S159" s="366"/>
      <c r="T159" s="325"/>
      <c r="U159" s="42" t="s">
        <v>1434</v>
      </c>
      <c r="V159" s="377"/>
      <c r="W159" s="378"/>
      <c r="X159" s="393"/>
      <c r="Y159" s="503"/>
    </row>
    <row r="160" spans="1:25">
      <c r="A160" s="31" t="s">
        <v>1468</v>
      </c>
      <c r="B160" s="87">
        <f>B159+1</f>
        <v>4</v>
      </c>
      <c r="C160" s="282">
        <v>45849</v>
      </c>
      <c r="D160" s="368">
        <v>71276</v>
      </c>
      <c r="E160" s="283" t="s">
        <v>218</v>
      </c>
      <c r="F160" s="284">
        <v>2681</v>
      </c>
      <c r="G160" s="284">
        <f>39.7+200</f>
        <v>239.7</v>
      </c>
      <c r="H160" s="284"/>
      <c r="I160" s="285">
        <f>F160-G160-H160</f>
        <v>2441.3000000000002</v>
      </c>
      <c r="J160" s="286" t="s">
        <v>156</v>
      </c>
      <c r="K160" s="286">
        <v>1</v>
      </c>
      <c r="L160" s="286">
        <v>1</v>
      </c>
      <c r="M160" s="286">
        <v>1</v>
      </c>
      <c r="N160" s="286">
        <v>1</v>
      </c>
      <c r="O160" s="286">
        <v>1</v>
      </c>
      <c r="P160" s="286">
        <v>1</v>
      </c>
      <c r="Q160" s="286">
        <v>1</v>
      </c>
      <c r="R160" s="286">
        <v>1</v>
      </c>
      <c r="S160" s="287">
        <v>1</v>
      </c>
      <c r="T160" s="63"/>
      <c r="U160" s="94" t="s">
        <v>1469</v>
      </c>
      <c r="V160" s="90">
        <f>2659.1</f>
        <v>2659.1</v>
      </c>
      <c r="W160" s="136"/>
      <c r="X160" s="137"/>
      <c r="Y160" s="434"/>
    </row>
    <row r="161" spans="1:24">
      <c r="A161" s="2"/>
      <c r="B161" s="11"/>
      <c r="C161" s="36"/>
      <c r="D161" s="10"/>
      <c r="E161" s="10"/>
      <c r="F161" s="97">
        <f>SUM(F157:F160)</f>
        <v>19951.7</v>
      </c>
      <c r="G161" s="97">
        <f>SUM(G157:G160)</f>
        <v>2615.5399999999995</v>
      </c>
      <c r="H161" s="97">
        <f>SUM(H157:H160)</f>
        <v>0</v>
      </c>
      <c r="I161" s="98">
        <f>SUM(I157:I160)</f>
        <v>17336.16</v>
      </c>
      <c r="J161" s="63"/>
      <c r="K161" s="21"/>
      <c r="L161" s="21"/>
      <c r="M161" s="21"/>
      <c r="N161" s="21"/>
      <c r="O161" s="21"/>
      <c r="P161" s="21"/>
      <c r="Q161" s="21"/>
      <c r="R161" s="21"/>
      <c r="S161" s="21"/>
      <c r="T161" s="63"/>
      <c r="U161" s="94"/>
      <c r="V161" s="90"/>
      <c r="W161" s="91"/>
      <c r="X161" s="92"/>
    </row>
    <row r="162" spans="1:24">
      <c r="A162" s="2"/>
      <c r="B162" s="11"/>
      <c r="C162" s="36"/>
      <c r="D162" s="10"/>
      <c r="E162" s="10"/>
      <c r="F162" s="88"/>
      <c r="G162" s="88"/>
      <c r="H162" s="88"/>
      <c r="I162" s="99"/>
      <c r="J162" s="63"/>
      <c r="K162" s="21"/>
      <c r="L162" s="21"/>
      <c r="M162" s="21"/>
      <c r="N162" s="21"/>
      <c r="O162" s="21"/>
      <c r="P162" s="21"/>
      <c r="Q162" s="21"/>
      <c r="R162" s="21"/>
      <c r="S162" s="21"/>
      <c r="T162" s="63"/>
      <c r="U162" s="94"/>
      <c r="V162" s="90"/>
      <c r="W162" s="91"/>
      <c r="X162" s="92"/>
    </row>
    <row r="163" spans="1:24">
      <c r="A163" s="128"/>
      <c r="B163" s="121" t="s">
        <v>68</v>
      </c>
      <c r="C163" s="122"/>
      <c r="D163" s="123"/>
      <c r="E163" s="123"/>
      <c r="F163" s="124"/>
      <c r="G163" s="125"/>
      <c r="H163" s="124"/>
      <c r="I163" s="126"/>
      <c r="J163" s="127"/>
      <c r="K163" s="128"/>
      <c r="L163" s="128"/>
      <c r="M163" s="128"/>
      <c r="N163" s="128"/>
      <c r="O163" s="128"/>
      <c r="P163" s="128"/>
      <c r="Q163" s="128"/>
      <c r="R163" s="128"/>
      <c r="S163" s="128"/>
      <c r="T163" s="127"/>
      <c r="U163" s="123"/>
      <c r="V163" s="129"/>
      <c r="W163" s="130"/>
      <c r="X163" s="131"/>
    </row>
    <row r="164" spans="1:24" s="342" customFormat="1">
      <c r="A164" s="356" t="s">
        <v>1470</v>
      </c>
      <c r="B164" s="333">
        <v>1</v>
      </c>
      <c r="C164" s="350">
        <v>45855</v>
      </c>
      <c r="D164" s="263">
        <v>71488</v>
      </c>
      <c r="E164" s="351" t="s">
        <v>218</v>
      </c>
      <c r="F164" s="352">
        <v>2034.9</v>
      </c>
      <c r="G164" s="352">
        <f>39.7+(412.27)</f>
        <v>451.96999999999997</v>
      </c>
      <c r="H164" s="352"/>
      <c r="I164" s="353">
        <f t="shared" ref="I164" si="36">F164-G164-H164</f>
        <v>1582.93</v>
      </c>
      <c r="J164" s="354" t="s">
        <v>156</v>
      </c>
      <c r="K164" s="354">
        <v>1</v>
      </c>
      <c r="L164" s="354">
        <v>1</v>
      </c>
      <c r="M164" s="354">
        <v>1</v>
      </c>
      <c r="N164" s="314">
        <v>0</v>
      </c>
      <c r="O164" s="314">
        <v>0</v>
      </c>
      <c r="P164" s="314">
        <v>0</v>
      </c>
      <c r="Q164" s="354">
        <v>1</v>
      </c>
      <c r="R164" s="354">
        <v>1</v>
      </c>
      <c r="S164" s="366">
        <v>0</v>
      </c>
      <c r="T164" s="127"/>
      <c r="U164" s="123" t="s">
        <v>1471</v>
      </c>
      <c r="V164" s="129">
        <f>200</f>
        <v>200</v>
      </c>
      <c r="W164" s="130"/>
      <c r="X164" s="131"/>
    </row>
    <row r="165" spans="1:24">
      <c r="A165" s="128"/>
      <c r="B165" s="132"/>
      <c r="C165" s="122"/>
      <c r="D165" s="123"/>
      <c r="E165" s="123"/>
      <c r="F165" s="134">
        <f>SUM(F164)</f>
        <v>2034.9</v>
      </c>
      <c r="G165" s="134">
        <f t="shared" ref="G165:I165" si="37">SUM(G164)</f>
        <v>451.96999999999997</v>
      </c>
      <c r="H165" s="134">
        <f t="shared" si="37"/>
        <v>0</v>
      </c>
      <c r="I165" s="134">
        <f t="shared" si="37"/>
        <v>1582.93</v>
      </c>
      <c r="J165" s="127"/>
      <c r="K165" s="64"/>
      <c r="L165" s="64"/>
      <c r="M165" s="64"/>
      <c r="N165" s="64"/>
      <c r="O165" s="64"/>
      <c r="P165" s="64"/>
      <c r="Q165" s="64"/>
      <c r="R165" s="64"/>
      <c r="S165" s="64"/>
      <c r="T165" s="127"/>
      <c r="U165" s="123"/>
      <c r="V165" s="129"/>
      <c r="W165" s="130"/>
      <c r="X165" s="131"/>
    </row>
    <row r="166" spans="1:24">
      <c r="A166" s="2"/>
      <c r="B166" s="11"/>
      <c r="C166" s="36"/>
      <c r="D166" s="10"/>
      <c r="E166" s="10"/>
      <c r="F166" s="88"/>
      <c r="G166" s="88"/>
      <c r="H166" s="88"/>
      <c r="I166" s="99"/>
      <c r="J166" s="63"/>
      <c r="K166" s="21"/>
      <c r="L166" s="21"/>
      <c r="M166" s="21"/>
      <c r="N166" s="21"/>
      <c r="O166" s="21"/>
      <c r="P166" s="21"/>
      <c r="Q166" s="21"/>
      <c r="R166" s="21"/>
      <c r="S166" s="21"/>
      <c r="T166" s="63"/>
      <c r="U166" s="10"/>
      <c r="V166" s="90"/>
      <c r="W166" s="91"/>
      <c r="X166" s="92"/>
    </row>
    <row r="167" spans="1:24">
      <c r="A167" s="2"/>
      <c r="B167" s="11"/>
      <c r="C167" s="36"/>
      <c r="D167" s="10"/>
      <c r="E167" s="10"/>
      <c r="F167" s="88"/>
      <c r="G167" s="88"/>
      <c r="H167" s="88"/>
      <c r="I167" s="99"/>
      <c r="J167" s="63"/>
      <c r="K167" s="21"/>
      <c r="L167" s="21"/>
      <c r="M167" s="21"/>
      <c r="N167" s="21"/>
      <c r="O167" s="21"/>
      <c r="P167" s="21"/>
      <c r="Q167" s="21"/>
      <c r="R167" s="21"/>
      <c r="S167" s="21"/>
      <c r="T167" s="63"/>
      <c r="U167" s="94"/>
      <c r="V167" s="90"/>
      <c r="W167" s="91"/>
      <c r="X167" s="92"/>
    </row>
    <row r="168" spans="1:24" s="434" customFormat="1" ht="13.5">
      <c r="A168" s="10"/>
      <c r="B168" s="100" t="s">
        <v>152</v>
      </c>
      <c r="C168" s="36"/>
      <c r="D168" s="10"/>
      <c r="E168" s="10"/>
      <c r="F168" s="88"/>
      <c r="G168" s="62"/>
      <c r="H168" s="88"/>
      <c r="I168" s="99"/>
      <c r="J168" s="63"/>
      <c r="K168" s="10"/>
      <c r="L168" s="10"/>
      <c r="M168" s="10"/>
      <c r="N168" s="10"/>
      <c r="O168" s="10"/>
      <c r="P168" s="123"/>
      <c r="Q168" s="10"/>
      <c r="R168" s="10"/>
      <c r="S168" s="10"/>
      <c r="T168" s="63"/>
      <c r="U168" s="10"/>
      <c r="V168" s="90"/>
      <c r="W168" s="91"/>
      <c r="X168" s="92"/>
    </row>
    <row r="169" spans="1:24" s="434" customFormat="1" ht="13.5">
      <c r="A169" s="31">
        <v>0.05</v>
      </c>
      <c r="B169" s="87">
        <v>1</v>
      </c>
      <c r="C169" s="274">
        <v>45847</v>
      </c>
      <c r="D169" s="320" t="s">
        <v>1472</v>
      </c>
      <c r="E169" s="276" t="s">
        <v>1419</v>
      </c>
      <c r="F169" s="277">
        <v>17023</v>
      </c>
      <c r="G169" s="277">
        <f>39.7+107.63+330+(289.11+195.23)+(37.74)+1500</f>
        <v>2499.41</v>
      </c>
      <c r="H169" s="277">
        <f>F169*0.2</f>
        <v>3404.6000000000004</v>
      </c>
      <c r="I169" s="321">
        <f>F169-G169-H169</f>
        <v>11118.99</v>
      </c>
      <c r="J169" s="279" t="s">
        <v>313</v>
      </c>
      <c r="K169" s="279">
        <v>1</v>
      </c>
      <c r="L169" s="279">
        <v>1</v>
      </c>
      <c r="M169" s="279"/>
      <c r="N169" s="279">
        <v>1</v>
      </c>
      <c r="O169" s="279">
        <v>1</v>
      </c>
      <c r="P169" s="322">
        <v>0</v>
      </c>
      <c r="Q169" s="279">
        <v>1</v>
      </c>
      <c r="R169" s="279">
        <v>1</v>
      </c>
      <c r="S169" s="280">
        <v>1</v>
      </c>
      <c r="T169" s="63"/>
      <c r="U169" s="94" t="s">
        <v>1473</v>
      </c>
      <c r="V169" s="90"/>
      <c r="W169" s="136"/>
      <c r="X169" s="137"/>
    </row>
    <row r="170" spans="1:24" s="434" customFormat="1" ht="13.5">
      <c r="A170" s="31">
        <v>0.05</v>
      </c>
      <c r="B170" s="87">
        <f>B169+1</f>
        <v>2</v>
      </c>
      <c r="C170" s="262">
        <v>45848</v>
      </c>
      <c r="D170" s="263">
        <v>71373</v>
      </c>
      <c r="E170" s="264" t="s">
        <v>1338</v>
      </c>
      <c r="F170" s="265">
        <v>2681</v>
      </c>
      <c r="G170" s="265">
        <f>39.7</f>
        <v>39.700000000000003</v>
      </c>
      <c r="H170" s="265"/>
      <c r="I170" s="266">
        <f>F170-G170-H170</f>
        <v>2641.3</v>
      </c>
      <c r="J170" s="267" t="s">
        <v>156</v>
      </c>
      <c r="K170" s="267">
        <v>1</v>
      </c>
      <c r="L170" s="267">
        <v>1</v>
      </c>
      <c r="M170" s="267">
        <v>1</v>
      </c>
      <c r="N170" s="267">
        <v>1</v>
      </c>
      <c r="O170" s="267">
        <v>1</v>
      </c>
      <c r="P170" s="314">
        <v>0</v>
      </c>
      <c r="Q170" s="314">
        <v>0</v>
      </c>
      <c r="R170" s="314">
        <v>0</v>
      </c>
      <c r="S170" s="366">
        <v>0</v>
      </c>
      <c r="T170" s="63"/>
      <c r="U170" s="10"/>
      <c r="V170" s="90"/>
      <c r="W170" s="91"/>
      <c r="X170" s="92"/>
    </row>
    <row r="171" spans="1:24" s="434" customFormat="1" ht="13.5">
      <c r="A171" s="10"/>
      <c r="B171" s="11"/>
      <c r="C171" s="36"/>
      <c r="D171" s="10"/>
      <c r="E171" s="10"/>
      <c r="F171" s="98">
        <f>SUM(F169:F170)</f>
        <v>19704</v>
      </c>
      <c r="G171" s="98">
        <f>SUM(G169:G170)</f>
        <v>2539.1099999999997</v>
      </c>
      <c r="H171" s="98">
        <f>SUM(H169:H170)</f>
        <v>3404.6000000000004</v>
      </c>
      <c r="I171" s="98">
        <f>SUM(I169:I170)</f>
        <v>13760.29</v>
      </c>
      <c r="J171" s="63"/>
      <c r="K171" s="21"/>
      <c r="L171" s="21"/>
      <c r="M171" s="21"/>
      <c r="N171" s="21"/>
      <c r="O171" s="21"/>
      <c r="P171" s="21"/>
      <c r="Q171" s="21"/>
      <c r="R171" s="21"/>
      <c r="S171" s="21"/>
      <c r="T171" s="63"/>
      <c r="U171" s="10"/>
      <c r="V171" s="90"/>
      <c r="W171" s="91"/>
      <c r="X171" s="92"/>
    </row>
    <row r="172" spans="1:24" s="434" customFormat="1" ht="13.5">
      <c r="A172" s="10"/>
      <c r="B172" s="11"/>
      <c r="C172" s="36"/>
      <c r="D172" s="10"/>
      <c r="E172" s="10"/>
      <c r="F172" s="88"/>
      <c r="G172" s="88"/>
      <c r="H172" s="88"/>
      <c r="I172" s="99"/>
      <c r="J172" s="63"/>
      <c r="K172" s="21"/>
      <c r="L172" s="21"/>
      <c r="M172" s="21"/>
      <c r="N172" s="21"/>
      <c r="O172" s="21"/>
      <c r="P172" s="21"/>
      <c r="Q172" s="21"/>
      <c r="R172" s="21"/>
      <c r="S172" s="21"/>
      <c r="T172" s="63"/>
      <c r="U172" s="10"/>
      <c r="V172" s="90"/>
      <c r="W172" s="91"/>
      <c r="X172" s="92"/>
    </row>
    <row r="173" spans="1:24">
      <c r="A173" s="2"/>
      <c r="B173" s="100" t="s">
        <v>72</v>
      </c>
      <c r="C173" s="36"/>
      <c r="D173" s="10"/>
      <c r="E173" s="10"/>
      <c r="F173" s="88"/>
      <c r="G173" s="88"/>
      <c r="H173" s="88"/>
      <c r="I173" s="99"/>
      <c r="J173" s="63"/>
      <c r="K173" s="63"/>
      <c r="L173" s="63"/>
      <c r="M173" s="63"/>
      <c r="N173" s="63"/>
      <c r="O173" s="63"/>
      <c r="P173" s="63"/>
      <c r="Q173" s="63"/>
      <c r="R173" s="63"/>
      <c r="S173" s="63"/>
      <c r="T173" s="63"/>
      <c r="U173" s="10"/>
      <c r="V173" s="90"/>
      <c r="W173" s="91"/>
      <c r="X173" s="92"/>
    </row>
    <row r="174" spans="1:24">
      <c r="A174" s="2"/>
      <c r="B174" s="87">
        <v>1</v>
      </c>
      <c r="C174" s="274">
        <v>45852</v>
      </c>
      <c r="D174" s="276" t="s">
        <v>1474</v>
      </c>
      <c r="E174" s="276" t="s">
        <v>1088</v>
      </c>
      <c r="F174" s="277">
        <v>681</v>
      </c>
      <c r="G174" s="277"/>
      <c r="H174" s="277"/>
      <c r="I174" s="278">
        <f t="shared" ref="I174:I191" si="38">F174-G174-H174</f>
        <v>681</v>
      </c>
      <c r="J174" s="279" t="s">
        <v>205</v>
      </c>
      <c r="K174" s="279">
        <v>1</v>
      </c>
      <c r="L174" s="279"/>
      <c r="M174" s="279"/>
      <c r="N174" s="279">
        <v>1</v>
      </c>
      <c r="O174" s="279"/>
      <c r="P174" s="279"/>
      <c r="Q174" s="279">
        <v>1</v>
      </c>
      <c r="R174" s="279">
        <v>1</v>
      </c>
      <c r="S174" s="280">
        <v>1</v>
      </c>
      <c r="T174" s="63"/>
      <c r="U174" s="3"/>
      <c r="V174" s="90"/>
      <c r="W174" s="91"/>
      <c r="X174" s="92"/>
    </row>
    <row r="175" spans="1:24">
      <c r="A175" s="2"/>
      <c r="B175" s="87">
        <f t="shared" ref="B175:B190" si="39">B174+1</f>
        <v>2</v>
      </c>
      <c r="C175" s="295">
        <v>45852</v>
      </c>
      <c r="D175" s="10" t="s">
        <v>1475</v>
      </c>
      <c r="E175" s="10" t="s">
        <v>1088</v>
      </c>
      <c r="F175" s="62">
        <v>1281</v>
      </c>
      <c r="G175" s="62">
        <f t="shared" ref="G175:G180" si="40">39.7</f>
        <v>39.700000000000003</v>
      </c>
      <c r="H175" s="62"/>
      <c r="I175" s="89">
        <f t="shared" si="38"/>
        <v>1241.3</v>
      </c>
      <c r="J175" s="63" t="s">
        <v>205</v>
      </c>
      <c r="K175" s="63">
        <v>1</v>
      </c>
      <c r="L175" s="63"/>
      <c r="M175" s="63"/>
      <c r="N175" s="63">
        <v>1</v>
      </c>
      <c r="O175" s="63"/>
      <c r="P175" s="63"/>
      <c r="Q175" s="63">
        <v>1</v>
      </c>
      <c r="R175" s="63">
        <v>1</v>
      </c>
      <c r="S175" s="296">
        <v>1</v>
      </c>
      <c r="T175" s="63"/>
      <c r="U175" s="10"/>
      <c r="V175" s="90"/>
      <c r="W175" s="136"/>
      <c r="X175" s="137"/>
    </row>
    <row r="176" spans="1:24">
      <c r="A176" s="2"/>
      <c r="B176" s="87">
        <f t="shared" si="39"/>
        <v>3</v>
      </c>
      <c r="C176" s="274">
        <v>45853</v>
      </c>
      <c r="D176" s="276">
        <v>71466</v>
      </c>
      <c r="E176" s="276" t="s">
        <v>1058</v>
      </c>
      <c r="F176" s="277">
        <v>14219</v>
      </c>
      <c r="G176" s="277">
        <f t="shared" si="40"/>
        <v>39.700000000000003</v>
      </c>
      <c r="H176" s="277"/>
      <c r="I176" s="278">
        <f t="shared" si="38"/>
        <v>14179.3</v>
      </c>
      <c r="J176" s="279" t="s">
        <v>205</v>
      </c>
      <c r="K176" s="279"/>
      <c r="L176" s="279"/>
      <c r="M176" s="279"/>
      <c r="N176" s="279">
        <v>1</v>
      </c>
      <c r="O176" s="279"/>
      <c r="P176" s="279"/>
      <c r="Q176" s="279"/>
      <c r="R176" s="279"/>
      <c r="S176" s="280"/>
      <c r="T176" s="63"/>
      <c r="U176" s="10"/>
      <c r="V176" s="90"/>
      <c r="W176" s="136"/>
      <c r="X176" s="137"/>
    </row>
    <row r="177" spans="1:24">
      <c r="A177" s="2"/>
      <c r="B177" s="87">
        <f t="shared" si="39"/>
        <v>4</v>
      </c>
      <c r="C177" s="295">
        <v>45853</v>
      </c>
      <c r="D177" s="10">
        <v>71419</v>
      </c>
      <c r="E177" s="10" t="s">
        <v>1058</v>
      </c>
      <c r="F177" s="62">
        <v>2861</v>
      </c>
      <c r="G177" s="62">
        <f t="shared" si="40"/>
        <v>39.700000000000003</v>
      </c>
      <c r="H177" s="62"/>
      <c r="I177" s="89">
        <f t="shared" si="38"/>
        <v>2821.3</v>
      </c>
      <c r="J177" s="63" t="s">
        <v>205</v>
      </c>
      <c r="K177" s="63">
        <v>1</v>
      </c>
      <c r="L177" s="63"/>
      <c r="M177" s="63"/>
      <c r="N177" s="63">
        <v>1</v>
      </c>
      <c r="O177" s="63"/>
      <c r="P177" s="63"/>
      <c r="Q177" s="63"/>
      <c r="R177" s="63"/>
      <c r="S177" s="296"/>
      <c r="T177" s="63"/>
      <c r="U177" s="10"/>
      <c r="V177" s="90"/>
      <c r="W177" s="136"/>
      <c r="X177" s="137"/>
    </row>
    <row r="178" spans="1:24">
      <c r="A178" s="2"/>
      <c r="B178" s="87">
        <f t="shared" si="39"/>
        <v>5</v>
      </c>
      <c r="C178" s="274">
        <v>45854</v>
      </c>
      <c r="D178" s="276">
        <v>71476</v>
      </c>
      <c r="E178" s="276" t="s">
        <v>1445</v>
      </c>
      <c r="F178" s="277">
        <v>902.3</v>
      </c>
      <c r="G178" s="277">
        <f t="shared" si="40"/>
        <v>39.700000000000003</v>
      </c>
      <c r="H178" s="277"/>
      <c r="I178" s="278">
        <f t="shared" si="38"/>
        <v>862.59999999999991</v>
      </c>
      <c r="J178" s="279" t="s">
        <v>205</v>
      </c>
      <c r="K178" s="279">
        <v>1</v>
      </c>
      <c r="L178" s="279"/>
      <c r="M178" s="279"/>
      <c r="N178" s="279">
        <v>1</v>
      </c>
      <c r="O178" s="279"/>
      <c r="P178" s="279"/>
      <c r="Q178" s="279">
        <v>1</v>
      </c>
      <c r="R178" s="279">
        <v>1</v>
      </c>
      <c r="S178" s="280">
        <v>1</v>
      </c>
      <c r="T178" s="63"/>
      <c r="U178" s="10"/>
      <c r="V178" s="90"/>
      <c r="W178" s="136"/>
      <c r="X178" s="137"/>
    </row>
    <row r="179" spans="1:24">
      <c r="A179" s="2"/>
      <c r="B179" s="87">
        <f t="shared" si="39"/>
        <v>6</v>
      </c>
      <c r="C179" s="295">
        <v>45854</v>
      </c>
      <c r="D179" s="10">
        <v>71484</v>
      </c>
      <c r="E179" s="101" t="s">
        <v>604</v>
      </c>
      <c r="F179" s="62">
        <v>7752.6</v>
      </c>
      <c r="G179" s="62">
        <f t="shared" si="40"/>
        <v>39.700000000000003</v>
      </c>
      <c r="H179" s="62"/>
      <c r="I179" s="89">
        <f t="shared" si="38"/>
        <v>7712.9000000000005</v>
      </c>
      <c r="J179" s="63" t="s">
        <v>205</v>
      </c>
      <c r="K179" s="63">
        <v>1</v>
      </c>
      <c r="L179" s="63"/>
      <c r="M179" s="63"/>
      <c r="N179" s="63">
        <v>1</v>
      </c>
      <c r="O179" s="63"/>
      <c r="P179" s="63"/>
      <c r="Q179" s="63"/>
      <c r="R179" s="63"/>
      <c r="S179" s="296"/>
      <c r="T179" s="63"/>
      <c r="U179" s="10"/>
      <c r="V179" s="90"/>
      <c r="W179" s="136"/>
      <c r="X179" s="137"/>
    </row>
    <row r="180" spans="1:24">
      <c r="A180" s="2"/>
      <c r="B180" s="87">
        <f t="shared" si="39"/>
        <v>7</v>
      </c>
      <c r="C180" s="274">
        <v>45855</v>
      </c>
      <c r="D180" s="276">
        <v>71528</v>
      </c>
      <c r="E180" s="281" t="s">
        <v>1034</v>
      </c>
      <c r="F180" s="277">
        <v>1216</v>
      </c>
      <c r="G180" s="277">
        <f t="shared" si="40"/>
        <v>39.700000000000003</v>
      </c>
      <c r="H180" s="277"/>
      <c r="I180" s="278">
        <f t="shared" si="38"/>
        <v>1176.3</v>
      </c>
      <c r="J180" s="279" t="s">
        <v>205</v>
      </c>
      <c r="K180" s="279">
        <v>1</v>
      </c>
      <c r="L180" s="279"/>
      <c r="M180" s="279"/>
      <c r="N180" s="279">
        <v>1</v>
      </c>
      <c r="O180" s="279"/>
      <c r="P180" s="279"/>
      <c r="Q180" s="279">
        <v>1</v>
      </c>
      <c r="R180" s="279">
        <v>1</v>
      </c>
      <c r="S180" s="280">
        <v>1</v>
      </c>
      <c r="T180" s="63"/>
      <c r="U180" s="10"/>
      <c r="V180" s="90"/>
      <c r="W180" s="136"/>
      <c r="X180" s="137"/>
    </row>
    <row r="181" spans="1:24">
      <c r="A181" s="2"/>
      <c r="B181" s="87">
        <f t="shared" si="39"/>
        <v>8</v>
      </c>
      <c r="C181" s="295">
        <v>45855</v>
      </c>
      <c r="D181" s="10">
        <v>71507</v>
      </c>
      <c r="E181" s="101" t="s">
        <v>1476</v>
      </c>
      <c r="F181" s="62">
        <v>1038</v>
      </c>
      <c r="G181" s="62">
        <v>39.700000000000003</v>
      </c>
      <c r="H181" s="62"/>
      <c r="I181" s="89">
        <f t="shared" si="38"/>
        <v>998.3</v>
      </c>
      <c r="J181" s="63" t="s">
        <v>219</v>
      </c>
      <c r="K181" s="63"/>
      <c r="L181" s="63"/>
      <c r="M181" s="63"/>
      <c r="N181" s="63">
        <v>1</v>
      </c>
      <c r="O181" s="63"/>
      <c r="P181" s="63">
        <v>1</v>
      </c>
      <c r="Q181" s="63"/>
      <c r="R181" s="63"/>
      <c r="S181" s="296"/>
      <c r="T181" s="63"/>
      <c r="U181" s="10" t="s">
        <v>1477</v>
      </c>
      <c r="V181" s="90"/>
      <c r="W181" s="136"/>
      <c r="X181" s="137"/>
    </row>
    <row r="182" spans="1:24">
      <c r="A182" s="2"/>
      <c r="B182" s="87">
        <f t="shared" si="39"/>
        <v>9</v>
      </c>
      <c r="C182" s="295">
        <v>45855</v>
      </c>
      <c r="D182" s="10">
        <v>71540</v>
      </c>
      <c r="E182" s="101" t="s">
        <v>149</v>
      </c>
      <c r="F182" s="62">
        <v>681</v>
      </c>
      <c r="G182" s="62"/>
      <c r="H182" s="62"/>
      <c r="I182" s="89">
        <f t="shared" si="38"/>
        <v>681</v>
      </c>
      <c r="J182" s="63" t="s">
        <v>205</v>
      </c>
      <c r="K182" s="63">
        <v>1</v>
      </c>
      <c r="L182" s="63"/>
      <c r="M182" s="63"/>
      <c r="N182" s="63">
        <v>1</v>
      </c>
      <c r="O182" s="63"/>
      <c r="P182" s="63"/>
      <c r="Q182" s="63"/>
      <c r="R182" s="63"/>
      <c r="S182" s="296"/>
      <c r="T182" s="63"/>
      <c r="U182" s="10"/>
      <c r="V182" s="90"/>
      <c r="W182" s="136"/>
      <c r="X182" s="137"/>
    </row>
    <row r="183" spans="1:24">
      <c r="A183" s="2"/>
      <c r="B183" s="87">
        <f t="shared" si="39"/>
        <v>10</v>
      </c>
      <c r="C183" s="295">
        <v>45855</v>
      </c>
      <c r="D183" s="10">
        <v>71421</v>
      </c>
      <c r="E183" s="101" t="s">
        <v>1256</v>
      </c>
      <c r="F183" s="62">
        <v>2604</v>
      </c>
      <c r="G183" s="62">
        <v>39.700000000000003</v>
      </c>
      <c r="H183" s="62"/>
      <c r="I183" s="89">
        <f t="shared" si="38"/>
        <v>2564.3000000000002</v>
      </c>
      <c r="J183" s="63" t="s">
        <v>205</v>
      </c>
      <c r="K183" s="63">
        <v>1</v>
      </c>
      <c r="L183" s="63"/>
      <c r="M183" s="63"/>
      <c r="N183" s="63">
        <v>1</v>
      </c>
      <c r="O183" s="63"/>
      <c r="P183" s="63"/>
      <c r="Q183" s="63"/>
      <c r="R183" s="63"/>
      <c r="S183" s="296"/>
      <c r="T183" s="63"/>
      <c r="U183" s="10"/>
      <c r="V183" s="90"/>
      <c r="W183" s="136"/>
      <c r="X183" s="137"/>
    </row>
    <row r="184" spans="1:24">
      <c r="A184" s="2"/>
      <c r="B184" s="87">
        <f t="shared" si="39"/>
        <v>11</v>
      </c>
      <c r="C184" s="295">
        <v>45855</v>
      </c>
      <c r="D184" s="10" t="s">
        <v>1478</v>
      </c>
      <c r="E184" s="101" t="s">
        <v>1256</v>
      </c>
      <c r="F184" s="62">
        <v>616</v>
      </c>
      <c r="G184" s="62"/>
      <c r="H184" s="62"/>
      <c r="I184" s="89">
        <f t="shared" si="38"/>
        <v>616</v>
      </c>
      <c r="J184" s="63" t="s">
        <v>205</v>
      </c>
      <c r="K184" s="63">
        <v>1</v>
      </c>
      <c r="L184" s="63"/>
      <c r="M184" s="63"/>
      <c r="N184" s="63">
        <v>1</v>
      </c>
      <c r="O184" s="63"/>
      <c r="P184" s="63"/>
      <c r="Q184" s="63">
        <v>1</v>
      </c>
      <c r="R184" s="63">
        <v>1</v>
      </c>
      <c r="S184" s="296">
        <v>1</v>
      </c>
      <c r="T184" s="63"/>
      <c r="U184" s="10"/>
      <c r="V184" s="90"/>
      <c r="W184" s="136"/>
      <c r="X184" s="137"/>
    </row>
    <row r="185" spans="1:24">
      <c r="A185" s="2"/>
      <c r="B185" s="87">
        <f t="shared" si="39"/>
        <v>12</v>
      </c>
      <c r="C185" s="295">
        <v>45855</v>
      </c>
      <c r="D185" s="10" t="s">
        <v>1479</v>
      </c>
      <c r="E185" s="101" t="s">
        <v>1256</v>
      </c>
      <c r="F185" s="62">
        <v>621</v>
      </c>
      <c r="G185" s="62"/>
      <c r="H185" s="62"/>
      <c r="I185" s="89">
        <f t="shared" si="38"/>
        <v>621</v>
      </c>
      <c r="J185" s="63" t="s">
        <v>205</v>
      </c>
      <c r="K185" s="63">
        <v>1</v>
      </c>
      <c r="L185" s="63"/>
      <c r="M185" s="63"/>
      <c r="N185" s="63">
        <v>1</v>
      </c>
      <c r="O185" s="63"/>
      <c r="P185" s="63"/>
      <c r="Q185" s="63">
        <v>1</v>
      </c>
      <c r="R185" s="63">
        <v>1</v>
      </c>
      <c r="S185" s="296">
        <v>1</v>
      </c>
      <c r="T185" s="63"/>
      <c r="U185" s="10"/>
      <c r="V185" s="90"/>
      <c r="W185" s="136"/>
      <c r="X185" s="137"/>
    </row>
    <row r="186" spans="1:24">
      <c r="A186" s="2"/>
      <c r="B186" s="87">
        <f t="shared" si="39"/>
        <v>13</v>
      </c>
      <c r="C186" s="295">
        <v>45855</v>
      </c>
      <c r="D186" s="10" t="s">
        <v>1480</v>
      </c>
      <c r="E186" s="101" t="s">
        <v>1256</v>
      </c>
      <c r="F186" s="62">
        <v>1264</v>
      </c>
      <c r="G186" s="62">
        <v>39.700000000000003</v>
      </c>
      <c r="H186" s="62"/>
      <c r="I186" s="89">
        <f t="shared" si="38"/>
        <v>1224.3</v>
      </c>
      <c r="J186" s="63" t="s">
        <v>205</v>
      </c>
      <c r="K186" s="63">
        <v>1</v>
      </c>
      <c r="L186" s="63"/>
      <c r="M186" s="63"/>
      <c r="N186" s="63">
        <v>1</v>
      </c>
      <c r="O186" s="63"/>
      <c r="P186" s="63"/>
      <c r="Q186" s="63">
        <v>1</v>
      </c>
      <c r="R186" s="63">
        <v>1</v>
      </c>
      <c r="S186" s="296">
        <v>1</v>
      </c>
      <c r="T186" s="63"/>
      <c r="U186" s="10"/>
      <c r="V186" s="90"/>
      <c r="W186" s="136"/>
      <c r="X186" s="137"/>
    </row>
    <row r="187" spans="1:24">
      <c r="A187" s="2"/>
      <c r="B187" s="87">
        <f t="shared" si="39"/>
        <v>14</v>
      </c>
      <c r="C187" s="295">
        <v>45855</v>
      </c>
      <c r="D187" s="10" t="s">
        <v>1481</v>
      </c>
      <c r="E187" s="101" t="s">
        <v>1256</v>
      </c>
      <c r="F187" s="62">
        <v>1281</v>
      </c>
      <c r="G187" s="62">
        <v>39.700000000000003</v>
      </c>
      <c r="H187" s="62"/>
      <c r="I187" s="89">
        <f t="shared" si="38"/>
        <v>1241.3</v>
      </c>
      <c r="J187" s="63" t="s">
        <v>205</v>
      </c>
      <c r="K187" s="63">
        <v>1</v>
      </c>
      <c r="L187" s="63"/>
      <c r="M187" s="63"/>
      <c r="N187" s="63">
        <v>1</v>
      </c>
      <c r="O187" s="63"/>
      <c r="P187" s="63"/>
      <c r="Q187" s="63">
        <v>1</v>
      </c>
      <c r="R187" s="63">
        <v>1</v>
      </c>
      <c r="S187" s="296">
        <v>1</v>
      </c>
      <c r="T187" s="63"/>
      <c r="U187" s="10"/>
      <c r="V187" s="90"/>
      <c r="W187" s="136"/>
      <c r="X187" s="137"/>
    </row>
    <row r="188" spans="1:24">
      <c r="A188" s="2"/>
      <c r="B188" s="87">
        <f t="shared" si="39"/>
        <v>15</v>
      </c>
      <c r="C188" s="295">
        <v>45855</v>
      </c>
      <c r="D188" s="10">
        <v>71508</v>
      </c>
      <c r="E188" s="10" t="s">
        <v>1319</v>
      </c>
      <c r="F188" s="62">
        <v>596</v>
      </c>
      <c r="G188" s="62"/>
      <c r="H188" s="62"/>
      <c r="I188" s="89">
        <f t="shared" si="38"/>
        <v>596</v>
      </c>
      <c r="J188" s="63" t="s">
        <v>205</v>
      </c>
      <c r="K188" s="63">
        <v>1</v>
      </c>
      <c r="L188" s="63"/>
      <c r="M188" s="63"/>
      <c r="N188" s="63">
        <v>1</v>
      </c>
      <c r="O188" s="63"/>
      <c r="P188" s="63"/>
      <c r="Q188" s="63"/>
      <c r="R188" s="63"/>
      <c r="S188" s="296"/>
      <c r="T188" s="63"/>
      <c r="U188" s="10"/>
      <c r="V188" s="90"/>
      <c r="W188" s="136"/>
      <c r="X188" s="137"/>
    </row>
    <row r="189" spans="1:24">
      <c r="A189" s="2"/>
      <c r="B189" s="87">
        <f t="shared" si="39"/>
        <v>16</v>
      </c>
      <c r="C189" s="274">
        <v>45856</v>
      </c>
      <c r="D189" s="276">
        <v>71557</v>
      </c>
      <c r="E189" s="281" t="s">
        <v>1283</v>
      </c>
      <c r="F189" s="277">
        <v>0</v>
      </c>
      <c r="G189" s="277">
        <v>0</v>
      </c>
      <c r="H189" s="277"/>
      <c r="I189" s="278">
        <f t="shared" si="38"/>
        <v>0</v>
      </c>
      <c r="J189" s="279" t="s">
        <v>205</v>
      </c>
      <c r="K189" s="279">
        <v>1</v>
      </c>
      <c r="L189" s="279"/>
      <c r="M189" s="279"/>
      <c r="N189" s="279"/>
      <c r="O189" s="279"/>
      <c r="P189" s="279"/>
      <c r="Q189" s="279">
        <v>1</v>
      </c>
      <c r="R189" s="279">
        <v>1</v>
      </c>
      <c r="S189" s="280">
        <v>1</v>
      </c>
      <c r="T189" s="63"/>
      <c r="U189" s="10"/>
      <c r="V189" s="90"/>
      <c r="W189" s="136"/>
      <c r="X189" s="137"/>
    </row>
    <row r="190" spans="1:24">
      <c r="A190" s="2"/>
      <c r="B190" s="87">
        <f t="shared" si="39"/>
        <v>17</v>
      </c>
      <c r="C190" s="295">
        <v>45856</v>
      </c>
      <c r="D190" s="10">
        <v>71552</v>
      </c>
      <c r="E190" s="10" t="s">
        <v>149</v>
      </c>
      <c r="F190" s="62">
        <v>2681</v>
      </c>
      <c r="G190" s="62">
        <v>39.700000000000003</v>
      </c>
      <c r="H190" s="62"/>
      <c r="I190" s="89">
        <f t="shared" si="38"/>
        <v>2641.3</v>
      </c>
      <c r="J190" s="63" t="s">
        <v>205</v>
      </c>
      <c r="K190" s="63">
        <v>1</v>
      </c>
      <c r="L190" s="63"/>
      <c r="M190" s="63"/>
      <c r="N190" s="63">
        <v>1</v>
      </c>
      <c r="O190" s="63"/>
      <c r="P190" s="63"/>
      <c r="Q190" s="63">
        <v>1</v>
      </c>
      <c r="R190" s="63">
        <v>1</v>
      </c>
      <c r="S190" s="296"/>
      <c r="T190" s="63"/>
      <c r="U190" s="10"/>
      <c r="V190" s="90"/>
      <c r="W190" s="136"/>
      <c r="X190" s="137"/>
    </row>
    <row r="191" spans="1:24">
      <c r="A191" s="2"/>
      <c r="B191" s="87">
        <f>B190+1</f>
        <v>18</v>
      </c>
      <c r="C191" s="282">
        <v>45856</v>
      </c>
      <c r="D191" s="283">
        <v>71570</v>
      </c>
      <c r="E191" s="283" t="s">
        <v>1080</v>
      </c>
      <c r="F191" s="284">
        <v>8214</v>
      </c>
      <c r="G191" s="284">
        <v>39.700000000000003</v>
      </c>
      <c r="H191" s="284"/>
      <c r="I191" s="285">
        <f t="shared" si="38"/>
        <v>8174.3</v>
      </c>
      <c r="J191" s="286" t="s">
        <v>156</v>
      </c>
      <c r="K191" s="286">
        <v>1</v>
      </c>
      <c r="L191" s="286"/>
      <c r="M191" s="286">
        <v>1</v>
      </c>
      <c r="N191" s="286">
        <v>1</v>
      </c>
      <c r="O191" s="286"/>
      <c r="P191" s="286"/>
      <c r="Q191" s="286"/>
      <c r="R191" s="286"/>
      <c r="S191" s="287"/>
      <c r="T191" s="63"/>
      <c r="U191" s="10"/>
      <c r="V191" s="90">
        <v>93.5</v>
      </c>
      <c r="W191" s="136"/>
      <c r="X191" s="137"/>
    </row>
    <row r="192" spans="1:24">
      <c r="A192" s="2"/>
      <c r="B192" s="11"/>
      <c r="C192" s="36"/>
      <c r="D192" s="10"/>
      <c r="E192" s="10"/>
      <c r="F192" s="97">
        <f>SUM(F174:F191)</f>
        <v>48508.9</v>
      </c>
      <c r="G192" s="97">
        <f>SUM(G174:G191)</f>
        <v>476.39999999999992</v>
      </c>
      <c r="H192" s="97">
        <f>SUM(H174:H191)</f>
        <v>0</v>
      </c>
      <c r="I192" s="98">
        <f>SUM(I174:I191)</f>
        <v>48032.500000000007</v>
      </c>
      <c r="J192" s="10"/>
      <c r="K192" s="10"/>
      <c r="L192" s="10"/>
      <c r="M192" s="10"/>
      <c r="N192" s="10"/>
      <c r="O192" s="10"/>
      <c r="P192" s="10"/>
      <c r="Q192" s="10"/>
      <c r="R192" s="10"/>
      <c r="S192" s="10"/>
      <c r="T192" s="63"/>
      <c r="U192" s="10"/>
      <c r="V192" s="138"/>
      <c r="W192" s="136"/>
      <c r="X192" s="137"/>
    </row>
    <row r="193" spans="1:24">
      <c r="A193" s="2"/>
      <c r="B193" s="11"/>
      <c r="C193" s="36"/>
      <c r="D193" s="10"/>
      <c r="E193" s="10"/>
      <c r="F193" s="88"/>
      <c r="G193" s="88"/>
      <c r="H193" s="88"/>
      <c r="I193" s="99"/>
      <c r="J193" s="10"/>
      <c r="K193" s="10"/>
      <c r="L193" s="10"/>
      <c r="M193" s="10"/>
      <c r="N193" s="10"/>
      <c r="O193" s="10"/>
      <c r="P193" s="10"/>
      <c r="Q193" s="10"/>
      <c r="R193" s="10"/>
      <c r="S193" s="10"/>
      <c r="T193" s="63"/>
      <c r="U193" s="10"/>
      <c r="V193" s="138"/>
      <c r="W193" s="136"/>
      <c r="X193" s="137"/>
    </row>
    <row r="194" spans="1:24">
      <c r="A194" s="2"/>
      <c r="B194" s="100" t="s">
        <v>73</v>
      </c>
      <c r="C194" s="36"/>
      <c r="D194" s="10"/>
      <c r="E194" s="10"/>
      <c r="F194" s="88"/>
      <c r="G194" s="88"/>
      <c r="H194" s="88"/>
      <c r="I194" s="99"/>
      <c r="J194" s="63"/>
      <c r="K194" s="63"/>
      <c r="L194" s="63"/>
      <c r="M194" s="63"/>
      <c r="N194" s="63"/>
      <c r="O194" s="63"/>
      <c r="P194" s="63"/>
      <c r="Q194" s="63"/>
      <c r="R194" s="63"/>
      <c r="S194" s="63"/>
      <c r="T194" s="63"/>
      <c r="U194" s="94"/>
      <c r="V194" s="90"/>
      <c r="W194" s="91"/>
      <c r="X194" s="92"/>
    </row>
    <row r="195" spans="1:24">
      <c r="A195" s="2"/>
      <c r="B195" s="87">
        <v>1</v>
      </c>
      <c r="C195" s="274">
        <v>45857</v>
      </c>
      <c r="D195" s="276">
        <v>71554</v>
      </c>
      <c r="E195" s="276" t="s">
        <v>213</v>
      </c>
      <c r="F195" s="277">
        <f>1946-85</f>
        <v>1861</v>
      </c>
      <c r="G195" s="277">
        <f>39.7+330</f>
        <v>369.7</v>
      </c>
      <c r="H195" s="277"/>
      <c r="I195" s="278">
        <f>F195-G195-H195</f>
        <v>1491.3</v>
      </c>
      <c r="J195" s="279" t="s">
        <v>156</v>
      </c>
      <c r="K195" s="279">
        <v>1</v>
      </c>
      <c r="L195" s="279"/>
      <c r="M195" s="279">
        <v>1</v>
      </c>
      <c r="N195" s="279">
        <v>1</v>
      </c>
      <c r="O195" s="279">
        <v>1</v>
      </c>
      <c r="P195" s="279"/>
      <c r="Q195" s="279">
        <v>1</v>
      </c>
      <c r="R195" s="279"/>
      <c r="S195" s="280">
        <v>1</v>
      </c>
      <c r="T195" s="63"/>
      <c r="U195" s="94" t="s">
        <v>1482</v>
      </c>
      <c r="V195" s="90">
        <f>93.5+200</f>
        <v>293.5</v>
      </c>
      <c r="W195" s="91"/>
      <c r="X195" s="92"/>
    </row>
    <row r="196" spans="1:24">
      <c r="A196" s="2"/>
      <c r="B196" s="87">
        <f>B195+1</f>
        <v>2</v>
      </c>
      <c r="C196" s="295">
        <v>45857</v>
      </c>
      <c r="D196" s="10">
        <v>71548</v>
      </c>
      <c r="E196" s="10" t="s">
        <v>509</v>
      </c>
      <c r="F196" s="62">
        <v>2261</v>
      </c>
      <c r="G196" s="62">
        <v>39.700000000000003</v>
      </c>
      <c r="H196" s="62"/>
      <c r="I196" s="89">
        <f t="shared" ref="I196" si="41">F196-G196-H196</f>
        <v>2221.3000000000002</v>
      </c>
      <c r="J196" s="63"/>
      <c r="K196" s="63">
        <v>1</v>
      </c>
      <c r="L196" s="63"/>
      <c r="M196" s="63"/>
      <c r="N196" s="63">
        <v>1</v>
      </c>
      <c r="O196" s="63"/>
      <c r="P196" s="63"/>
      <c r="Q196" s="63"/>
      <c r="R196" s="63"/>
      <c r="S196" s="296"/>
      <c r="T196" s="63"/>
      <c r="U196" s="94"/>
      <c r="V196" s="90"/>
      <c r="W196" s="136"/>
      <c r="X196" s="137"/>
    </row>
    <row r="197" spans="1:24">
      <c r="A197" s="2"/>
      <c r="B197" s="87">
        <f>B196+1</f>
        <v>3</v>
      </c>
      <c r="C197" s="282">
        <v>45857</v>
      </c>
      <c r="D197" s="283">
        <v>71556</v>
      </c>
      <c r="E197" s="283" t="s">
        <v>1443</v>
      </c>
      <c r="F197" s="284">
        <v>5814</v>
      </c>
      <c r="G197" s="284">
        <v>39.700000000000003</v>
      </c>
      <c r="H197" s="284"/>
      <c r="I197" s="285">
        <f>F197-G197-H197</f>
        <v>5774.3</v>
      </c>
      <c r="J197" s="286" t="s">
        <v>205</v>
      </c>
      <c r="K197" s="286">
        <v>1</v>
      </c>
      <c r="L197" s="286"/>
      <c r="M197" s="286"/>
      <c r="N197" s="286">
        <v>1</v>
      </c>
      <c r="O197" s="286"/>
      <c r="P197" s="286"/>
      <c r="Q197" s="286"/>
      <c r="R197" s="286"/>
      <c r="S197" s="287"/>
      <c r="T197" s="63"/>
      <c r="U197" s="94"/>
      <c r="V197" s="90"/>
      <c r="W197" s="136"/>
      <c r="X197" s="137"/>
    </row>
    <row r="198" spans="1:24">
      <c r="A198" s="2"/>
      <c r="B198" s="11"/>
      <c r="C198" s="36"/>
      <c r="D198" s="10"/>
      <c r="E198" s="10"/>
      <c r="F198" s="97">
        <f>SUM(F195:F197)</f>
        <v>9936</v>
      </c>
      <c r="G198" s="97">
        <f>SUM(G195:G197)</f>
        <v>449.09999999999997</v>
      </c>
      <c r="H198" s="97">
        <f>SUM(H195:H197)</f>
        <v>0</v>
      </c>
      <c r="I198" s="98">
        <f>SUM(I195:I197)</f>
        <v>9486.9000000000015</v>
      </c>
      <c r="J198" s="10"/>
      <c r="K198" s="10"/>
      <c r="L198" s="10"/>
      <c r="M198" s="10"/>
      <c r="N198" s="10"/>
      <c r="O198" s="10"/>
      <c r="P198" s="10"/>
      <c r="Q198" s="10"/>
      <c r="R198" s="10"/>
      <c r="S198" s="10"/>
      <c r="T198" s="63"/>
      <c r="U198" s="94"/>
      <c r="V198" s="90"/>
      <c r="W198" s="91"/>
      <c r="X198" s="92"/>
    </row>
    <row r="199" spans="1:24">
      <c r="A199" s="2"/>
      <c r="B199" s="26"/>
      <c r="C199" s="140"/>
      <c r="D199" s="141"/>
      <c r="E199" s="141"/>
      <c r="F199" s="141"/>
      <c r="G199" s="141"/>
      <c r="H199" s="141"/>
      <c r="I199" s="141"/>
      <c r="J199" s="141"/>
      <c r="K199" s="142"/>
      <c r="L199" s="142"/>
      <c r="M199" s="142"/>
      <c r="N199" s="142"/>
      <c r="O199" s="142"/>
      <c r="P199" s="142"/>
      <c r="Q199" s="142"/>
      <c r="R199" s="142"/>
      <c r="S199" s="142"/>
      <c r="T199" s="143">
        <f>SUM(T135:T198)</f>
        <v>0</v>
      </c>
      <c r="U199" s="141"/>
      <c r="V199" s="144">
        <f>SUM(V135:V198)</f>
        <v>64133.689999999988</v>
      </c>
      <c r="W199" s="144">
        <f>SUM(W135:W198)</f>
        <v>0</v>
      </c>
      <c r="X199" s="144">
        <f>SUM(X135:X198)</f>
        <v>0</v>
      </c>
    </row>
    <row r="202" spans="1:24">
      <c r="A202" s="3"/>
      <c r="B202" s="4" t="s">
        <v>1</v>
      </c>
      <c r="C202" s="5"/>
      <c r="D202" s="6"/>
      <c r="E202" s="6"/>
      <c r="F202" s="7" t="s">
        <v>2</v>
      </c>
      <c r="G202" s="8">
        <v>45865</v>
      </c>
      <c r="H202" s="7"/>
      <c r="I202" s="6"/>
      <c r="J202" s="6"/>
      <c r="K202" s="6"/>
      <c r="L202" s="6"/>
      <c r="M202" s="6"/>
      <c r="N202" s="6"/>
      <c r="O202" s="6"/>
      <c r="P202" s="6"/>
      <c r="Q202" s="6"/>
      <c r="R202" s="6"/>
      <c r="S202" s="6"/>
      <c r="T202" s="6"/>
      <c r="U202" s="9"/>
      <c r="V202" s="10"/>
      <c r="W202" s="10"/>
      <c r="X202" s="10"/>
    </row>
    <row r="203" spans="1:24">
      <c r="A203" s="2"/>
      <c r="B203" s="11"/>
      <c r="C203" s="10"/>
      <c r="D203" s="10"/>
      <c r="E203" s="10"/>
      <c r="F203" s="10"/>
      <c r="G203" s="7"/>
      <c r="H203" s="12"/>
      <c r="I203" s="10"/>
      <c r="J203" s="10"/>
      <c r="K203" s="13" t="s">
        <v>3</v>
      </c>
      <c r="L203" s="14"/>
      <c r="M203" s="15"/>
      <c r="N203" s="13" t="s">
        <v>4</v>
      </c>
      <c r="O203" s="14"/>
      <c r="P203" s="15"/>
      <c r="Q203" s="13" t="s">
        <v>5</v>
      </c>
      <c r="R203" s="14"/>
      <c r="S203" s="15"/>
      <c r="T203" s="16"/>
      <c r="U203" s="17"/>
      <c r="V203" s="10"/>
      <c r="W203" s="10"/>
      <c r="X203" s="10"/>
    </row>
    <row r="204" spans="1:24">
      <c r="A204" s="2"/>
      <c r="B204" s="18" t="s">
        <v>6</v>
      </c>
      <c r="C204" s="19">
        <f>C205+C206</f>
        <v>37</v>
      </c>
      <c r="D204" s="10"/>
      <c r="E204" s="18" t="s">
        <v>7</v>
      </c>
      <c r="F204" s="6"/>
      <c r="G204" s="9"/>
      <c r="H204" s="10"/>
      <c r="I204" s="10"/>
      <c r="J204" s="10"/>
      <c r="K204" s="20" t="s">
        <v>8</v>
      </c>
      <c r="L204" s="21" t="s">
        <v>9</v>
      </c>
      <c r="M204" s="21" t="s">
        <v>10</v>
      </c>
      <c r="N204" s="20" t="s">
        <v>11</v>
      </c>
      <c r="O204" s="21" t="s">
        <v>12</v>
      </c>
      <c r="P204" s="22" t="s">
        <v>13</v>
      </c>
      <c r="Q204" s="21" t="s">
        <v>11</v>
      </c>
      <c r="R204" s="21" t="s">
        <v>12</v>
      </c>
      <c r="S204" s="22" t="s">
        <v>13</v>
      </c>
      <c r="T204" s="23" t="s">
        <v>14</v>
      </c>
      <c r="U204" s="17"/>
      <c r="V204" s="10"/>
      <c r="W204" s="10"/>
      <c r="X204" s="10"/>
    </row>
    <row r="205" spans="1:24">
      <c r="A205" s="2"/>
      <c r="B205" s="24" t="s">
        <v>15</v>
      </c>
      <c r="C205" s="25">
        <f>P212</f>
        <v>12</v>
      </c>
      <c r="D205" s="10"/>
      <c r="E205" s="26" t="s">
        <v>16</v>
      </c>
      <c r="F205" s="27">
        <v>0.05</v>
      </c>
      <c r="G205" s="28"/>
      <c r="H205" s="10"/>
      <c r="I205" s="10"/>
      <c r="J205" s="18" t="s">
        <v>17</v>
      </c>
      <c r="K205" s="29">
        <f>K240</f>
        <v>9</v>
      </c>
      <c r="L205" s="29">
        <f t="shared" ref="L205:S205" si="42">L240</f>
        <v>8</v>
      </c>
      <c r="M205" s="29">
        <f t="shared" si="42"/>
        <v>8</v>
      </c>
      <c r="N205" s="29">
        <f t="shared" si="42"/>
        <v>9</v>
      </c>
      <c r="O205" s="29">
        <f t="shared" si="42"/>
        <v>9</v>
      </c>
      <c r="P205" s="29">
        <f t="shared" si="42"/>
        <v>3</v>
      </c>
      <c r="Q205" s="29">
        <f t="shared" si="42"/>
        <v>5</v>
      </c>
      <c r="R205" s="29">
        <f t="shared" si="42"/>
        <v>5</v>
      </c>
      <c r="S205" s="29">
        <f t="shared" si="42"/>
        <v>4</v>
      </c>
      <c r="T205" s="30">
        <f>T284</f>
        <v>0</v>
      </c>
      <c r="U205" s="17"/>
      <c r="V205" s="10"/>
      <c r="W205" s="10"/>
      <c r="X205" s="10"/>
    </row>
    <row r="206" spans="1:24">
      <c r="A206" s="2"/>
      <c r="B206" s="24" t="s">
        <v>18</v>
      </c>
      <c r="C206" s="25">
        <f>P213</f>
        <v>25</v>
      </c>
      <c r="D206" s="10"/>
      <c r="E206" s="10"/>
      <c r="F206" s="10"/>
      <c r="G206" s="31"/>
      <c r="H206" s="10"/>
      <c r="I206" s="10"/>
      <c r="J206" s="32" t="s">
        <v>19</v>
      </c>
      <c r="K206" s="33">
        <f>K240/K239</f>
        <v>1</v>
      </c>
      <c r="L206" s="33">
        <f t="shared" ref="L206:S206" si="43">L240/L239</f>
        <v>0.88888888888888884</v>
      </c>
      <c r="M206" s="33">
        <f t="shared" si="43"/>
        <v>0.88888888888888884</v>
      </c>
      <c r="N206" s="33">
        <f t="shared" si="43"/>
        <v>1</v>
      </c>
      <c r="O206" s="33">
        <f t="shared" si="43"/>
        <v>1</v>
      </c>
      <c r="P206" s="33">
        <f t="shared" si="43"/>
        <v>0.33333333333333331</v>
      </c>
      <c r="Q206" s="33">
        <f t="shared" si="43"/>
        <v>0.55555555555555558</v>
      </c>
      <c r="R206" s="33">
        <f t="shared" si="43"/>
        <v>0.55555555555555558</v>
      </c>
      <c r="S206" s="33">
        <f t="shared" si="43"/>
        <v>0.44444444444444442</v>
      </c>
      <c r="T206" s="23"/>
      <c r="U206" s="17" t="s">
        <v>20</v>
      </c>
      <c r="V206" s="10"/>
      <c r="W206" s="10"/>
      <c r="X206" s="10"/>
    </row>
    <row r="207" spans="1:24">
      <c r="A207" s="2"/>
      <c r="B207" s="24" t="s">
        <v>21</v>
      </c>
      <c r="C207" s="34">
        <f>P214</f>
        <v>0.32432432432432434</v>
      </c>
      <c r="D207" s="10"/>
      <c r="E207" s="10"/>
      <c r="F207" s="10"/>
      <c r="G207" s="10"/>
      <c r="H207" s="10"/>
      <c r="I207" s="10"/>
      <c r="J207" s="10"/>
      <c r="K207" s="10"/>
      <c r="L207" s="10"/>
      <c r="M207" s="10"/>
      <c r="N207" s="10"/>
      <c r="O207" s="10"/>
      <c r="P207" s="10"/>
      <c r="Q207" s="10"/>
      <c r="R207" s="10"/>
      <c r="S207" s="10"/>
      <c r="T207" s="10"/>
      <c r="U207" s="17"/>
      <c r="V207" s="10"/>
      <c r="W207" s="10"/>
      <c r="X207" s="10"/>
    </row>
    <row r="208" spans="1:24">
      <c r="A208" s="2"/>
      <c r="B208" s="24"/>
      <c r="C208" s="25"/>
      <c r="D208" s="10"/>
      <c r="E208" s="10"/>
      <c r="F208" s="18" t="s">
        <v>22</v>
      </c>
      <c r="G208" s="19" t="s">
        <v>23</v>
      </c>
      <c r="H208" s="35" t="s">
        <v>24</v>
      </c>
      <c r="I208" s="10"/>
      <c r="J208" s="10"/>
      <c r="K208" s="36"/>
      <c r="L208" s="36"/>
      <c r="M208" s="36"/>
      <c r="N208" s="36"/>
      <c r="O208" s="36"/>
      <c r="P208" s="36"/>
      <c r="Q208" s="36"/>
      <c r="R208" s="10"/>
      <c r="S208" s="10"/>
      <c r="T208" s="10"/>
      <c r="U208" s="17"/>
      <c r="V208" s="10"/>
      <c r="W208" s="10"/>
      <c r="X208" s="10"/>
    </row>
    <row r="209" spans="1:24">
      <c r="A209" s="2"/>
      <c r="B209" s="32" t="s">
        <v>25</v>
      </c>
      <c r="C209" s="37">
        <f>P215</f>
        <v>2882.4825000000001</v>
      </c>
      <c r="D209" s="10"/>
      <c r="E209" s="18" t="s">
        <v>26</v>
      </c>
      <c r="F209" s="38">
        <f>P211</f>
        <v>34589.79</v>
      </c>
      <c r="G209" s="39">
        <f>I239+I244+I249</f>
        <v>34589.789999999994</v>
      </c>
      <c r="H209" s="40"/>
      <c r="I209" s="41"/>
      <c r="J209" s="42"/>
      <c r="K209" s="43" t="s">
        <v>27</v>
      </c>
      <c r="L209" s="44"/>
      <c r="M209" s="44"/>
      <c r="N209" s="44"/>
      <c r="O209" s="44"/>
      <c r="P209" s="44"/>
      <c r="Q209" s="45"/>
      <c r="R209" s="46" t="s">
        <v>28</v>
      </c>
      <c r="S209" s="47" t="s">
        <v>29</v>
      </c>
      <c r="T209" s="10"/>
      <c r="U209" s="17"/>
      <c r="V209" s="10"/>
      <c r="W209" s="10"/>
      <c r="X209" s="10"/>
    </row>
    <row r="210" spans="1:24">
      <c r="A210" s="2"/>
      <c r="B210" s="11"/>
      <c r="C210" s="10"/>
      <c r="D210" s="10"/>
      <c r="E210" s="24" t="s">
        <v>30</v>
      </c>
      <c r="F210" s="48">
        <f>F205</f>
        <v>0.05</v>
      </c>
      <c r="G210" s="17"/>
      <c r="H210" s="40"/>
      <c r="I210" s="41"/>
      <c r="J210" s="42"/>
      <c r="K210" s="20" t="s">
        <v>31</v>
      </c>
      <c r="L210" s="21" t="s">
        <v>32</v>
      </c>
      <c r="M210" s="21" t="s">
        <v>33</v>
      </c>
      <c r="N210" s="21" t="s">
        <v>34</v>
      </c>
      <c r="O210" s="21" t="s">
        <v>35</v>
      </c>
      <c r="P210" s="21" t="s">
        <v>36</v>
      </c>
      <c r="Q210" s="49" t="s">
        <v>37</v>
      </c>
      <c r="R210" s="50" t="s">
        <v>38</v>
      </c>
      <c r="S210" s="50" t="s">
        <v>38</v>
      </c>
      <c r="T210" s="10"/>
      <c r="U210" s="17"/>
      <c r="V210" s="10"/>
      <c r="W210" s="10"/>
      <c r="X210" s="10"/>
    </row>
    <row r="211" spans="1:24">
      <c r="A211" s="2"/>
      <c r="B211" s="11"/>
      <c r="C211" s="10"/>
      <c r="D211" s="10"/>
      <c r="E211" s="51" t="s">
        <v>39</v>
      </c>
      <c r="F211" s="52">
        <f>(F209+F218+F219+F220+F221+F222+F223+F224-I243-I247-I248)*F210</f>
        <v>669.78450000000021</v>
      </c>
      <c r="G211" s="53" t="s">
        <v>40</v>
      </c>
      <c r="H211" s="54">
        <f>F211/1.12</f>
        <v>598.02187500000014</v>
      </c>
      <c r="I211" s="55"/>
      <c r="J211" s="42"/>
      <c r="K211" s="56">
        <f>I230+I231+I232</f>
        <v>2953.6</v>
      </c>
      <c r="L211" s="57">
        <f>I233+I234+I247</f>
        <v>17343.09</v>
      </c>
      <c r="M211" s="57">
        <f>I235</f>
        <v>681</v>
      </c>
      <c r="N211" s="57">
        <f>I236</f>
        <v>1621.3</v>
      </c>
      <c r="O211" s="57">
        <f>I237+I238+I243+I248</f>
        <v>11990.800000000001</v>
      </c>
      <c r="P211" s="57">
        <f>SUM(K211:O211)</f>
        <v>34589.79</v>
      </c>
      <c r="Q211" s="58">
        <v>0</v>
      </c>
      <c r="R211" s="59">
        <f>I244+I249</f>
        <v>20735.2</v>
      </c>
      <c r="S211" s="59">
        <v>0</v>
      </c>
      <c r="T211" s="10"/>
      <c r="U211" s="17"/>
      <c r="V211" s="10"/>
      <c r="W211" s="10"/>
      <c r="X211" s="10"/>
    </row>
    <row r="212" spans="1:24">
      <c r="A212" s="2"/>
      <c r="B212" s="11"/>
      <c r="C212" s="10"/>
      <c r="D212" s="10"/>
      <c r="E212" s="24" t="s">
        <v>41</v>
      </c>
      <c r="F212" s="60">
        <f>Q211</f>
        <v>0</v>
      </c>
      <c r="G212" s="61" t="s">
        <v>40</v>
      </c>
      <c r="H212" s="62"/>
      <c r="I212" s="62"/>
      <c r="J212" s="10" t="s">
        <v>42</v>
      </c>
      <c r="K212" s="63">
        <v>3</v>
      </c>
      <c r="L212" s="63">
        <v>3</v>
      </c>
      <c r="M212" s="63">
        <v>1</v>
      </c>
      <c r="N212" s="63">
        <v>1</v>
      </c>
      <c r="O212" s="63">
        <v>4</v>
      </c>
      <c r="P212" s="21">
        <f>SUM(K212:O212)</f>
        <v>12</v>
      </c>
      <c r="Q212" s="64"/>
      <c r="R212" s="63"/>
      <c r="S212" s="10"/>
      <c r="T212" s="10"/>
      <c r="U212" s="17"/>
      <c r="V212" s="10"/>
      <c r="W212" s="10"/>
      <c r="X212" s="10"/>
    </row>
    <row r="213" spans="1:24">
      <c r="A213" s="2"/>
      <c r="B213" s="11"/>
      <c r="C213" s="10"/>
      <c r="D213" s="10"/>
      <c r="E213" s="51" t="s">
        <v>43</v>
      </c>
      <c r="F213" s="52">
        <f>F212*0.25</f>
        <v>0</v>
      </c>
      <c r="G213" s="53" t="s">
        <v>40</v>
      </c>
      <c r="H213" s="54">
        <f>F213/1.12</f>
        <v>0</v>
      </c>
      <c r="I213" s="10"/>
      <c r="J213" s="10" t="s">
        <v>44</v>
      </c>
      <c r="K213" s="63">
        <v>6</v>
      </c>
      <c r="L213" s="63">
        <v>3</v>
      </c>
      <c r="M213" s="63">
        <v>7</v>
      </c>
      <c r="N213" s="63">
        <v>6</v>
      </c>
      <c r="O213" s="63">
        <v>3</v>
      </c>
      <c r="P213" s="21">
        <f>SUM(K213:O213)</f>
        <v>25</v>
      </c>
      <c r="Q213" s="64"/>
      <c r="R213" s="63"/>
      <c r="S213" s="10"/>
      <c r="T213" s="10"/>
      <c r="U213" s="17"/>
      <c r="V213" s="10"/>
      <c r="W213" s="10"/>
      <c r="X213" s="10"/>
    </row>
    <row r="214" spans="1:24">
      <c r="A214" s="2"/>
      <c r="B214" s="11"/>
      <c r="C214" s="10"/>
      <c r="D214" s="10"/>
      <c r="E214" s="24" t="s">
        <v>45</v>
      </c>
      <c r="F214" s="60"/>
      <c r="G214" s="61" t="s">
        <v>40</v>
      </c>
      <c r="H214" s="62"/>
      <c r="I214" s="10"/>
      <c r="J214" s="10" t="s">
        <v>46</v>
      </c>
      <c r="K214" s="31">
        <f t="shared" ref="K214:Q214" si="44">K212/(K212+K213)</f>
        <v>0.33333333333333331</v>
      </c>
      <c r="L214" s="31">
        <f t="shared" si="44"/>
        <v>0.5</v>
      </c>
      <c r="M214" s="31">
        <f t="shared" si="44"/>
        <v>0.125</v>
      </c>
      <c r="N214" s="31">
        <f t="shared" si="44"/>
        <v>0.14285714285714285</v>
      </c>
      <c r="O214" s="31">
        <f t="shared" si="44"/>
        <v>0.5714285714285714</v>
      </c>
      <c r="P214" s="31">
        <f t="shared" si="44"/>
        <v>0.32432432432432434</v>
      </c>
      <c r="Q214" s="31" t="e">
        <f t="shared" si="44"/>
        <v>#DIV/0!</v>
      </c>
      <c r="R214" s="63"/>
      <c r="S214" s="10"/>
      <c r="T214" s="10"/>
      <c r="U214" s="17"/>
      <c r="V214" s="10"/>
      <c r="W214" s="10"/>
      <c r="X214" s="10"/>
    </row>
    <row r="215" spans="1:24">
      <c r="A215" s="2"/>
      <c r="B215" s="11"/>
      <c r="C215" s="10"/>
      <c r="D215" s="10"/>
      <c r="E215" s="51" t="s">
        <v>47</v>
      </c>
      <c r="F215" s="52">
        <f>F214*0.05</f>
        <v>0</v>
      </c>
      <c r="G215" s="65" t="s">
        <v>40</v>
      </c>
      <c r="H215" s="54">
        <f>F215/1.12</f>
        <v>0</v>
      </c>
      <c r="I215" s="42"/>
      <c r="J215" s="10" t="s">
        <v>48</v>
      </c>
      <c r="K215" s="66">
        <f>K211/K212</f>
        <v>984.5333333333333</v>
      </c>
      <c r="L215" s="66">
        <f t="shared" ref="L215:Q215" si="45">L211/L212</f>
        <v>5781.03</v>
      </c>
      <c r="M215" s="66">
        <f t="shared" si="45"/>
        <v>681</v>
      </c>
      <c r="N215" s="66">
        <f t="shared" si="45"/>
        <v>1621.3</v>
      </c>
      <c r="O215" s="66">
        <f t="shared" si="45"/>
        <v>2997.7000000000003</v>
      </c>
      <c r="P215" s="66">
        <f t="shared" si="45"/>
        <v>2882.4825000000001</v>
      </c>
      <c r="Q215" s="66" t="e">
        <f t="shared" si="45"/>
        <v>#DIV/0!</v>
      </c>
      <c r="R215" s="63"/>
      <c r="S215" s="10"/>
      <c r="T215" s="10"/>
      <c r="U215" s="17"/>
      <c r="V215" s="10"/>
      <c r="W215" s="10"/>
      <c r="X215" s="10"/>
    </row>
    <row r="216" spans="1:24">
      <c r="A216" s="2"/>
      <c r="B216" s="11"/>
      <c r="C216" s="10"/>
      <c r="D216" s="10"/>
      <c r="E216" s="67" t="s">
        <v>14</v>
      </c>
      <c r="F216" s="68"/>
      <c r="G216" s="10"/>
      <c r="H216" s="54">
        <f>F216/1.12</f>
        <v>0</v>
      </c>
      <c r="I216" s="10"/>
      <c r="J216" s="10"/>
      <c r="K216" s="10"/>
      <c r="L216" s="10"/>
      <c r="M216" s="10"/>
      <c r="N216" s="10"/>
      <c r="O216" s="10"/>
      <c r="P216" s="10"/>
      <c r="Q216" s="10"/>
      <c r="R216" s="10"/>
      <c r="S216" s="10"/>
      <c r="T216" s="10"/>
      <c r="U216" s="17"/>
      <c r="V216" s="10"/>
      <c r="W216" s="10"/>
      <c r="X216" s="10"/>
    </row>
    <row r="217" spans="1:24">
      <c r="A217" s="2"/>
      <c r="B217" s="11"/>
      <c r="C217" s="10"/>
      <c r="D217" s="10"/>
      <c r="E217" s="67" t="s">
        <v>49</v>
      </c>
      <c r="F217" s="69">
        <f>T206</f>
        <v>0</v>
      </c>
      <c r="G217" s="10"/>
      <c r="H217" s="54"/>
      <c r="I217" s="55"/>
      <c r="J217" s="42"/>
      <c r="K217" s="764" t="s">
        <v>50</v>
      </c>
      <c r="L217" s="765"/>
      <c r="M217" s="765"/>
      <c r="N217" s="765"/>
      <c r="O217" s="765"/>
      <c r="P217" s="765"/>
      <c r="Q217" s="766"/>
      <c r="R217" s="70" t="s">
        <v>28</v>
      </c>
      <c r="S217" s="71" t="s">
        <v>29</v>
      </c>
      <c r="T217" s="10"/>
      <c r="U217" s="17"/>
      <c r="V217" s="10"/>
      <c r="W217" s="10"/>
      <c r="X217" s="10"/>
    </row>
    <row r="218" spans="1:24">
      <c r="A218" s="2"/>
      <c r="B218" s="11"/>
      <c r="C218" s="10"/>
      <c r="D218" s="10"/>
      <c r="E218" s="72" t="s">
        <v>1483</v>
      </c>
      <c r="F218" s="73">
        <v>-94.84</v>
      </c>
      <c r="G218" s="10"/>
      <c r="H218" s="10"/>
      <c r="I218" s="10"/>
      <c r="J218" s="42"/>
      <c r="K218" s="20" t="s">
        <v>31</v>
      </c>
      <c r="L218" s="21" t="s">
        <v>32</v>
      </c>
      <c r="M218" s="21" t="s">
        <v>33</v>
      </c>
      <c r="N218" s="21" t="s">
        <v>34</v>
      </c>
      <c r="O218" s="21" t="s">
        <v>35</v>
      </c>
      <c r="P218" s="21" t="s">
        <v>36</v>
      </c>
      <c r="Q218" s="49" t="s">
        <v>37</v>
      </c>
      <c r="R218" s="50" t="s">
        <v>38</v>
      </c>
      <c r="S218" s="50" t="s">
        <v>38</v>
      </c>
      <c r="T218" s="10"/>
      <c r="U218" s="17"/>
      <c r="V218" s="10"/>
      <c r="W218" s="10"/>
      <c r="X218" s="10"/>
    </row>
    <row r="219" spans="1:24">
      <c r="A219" s="2"/>
      <c r="B219" s="11"/>
      <c r="C219" s="10"/>
      <c r="D219" s="10"/>
      <c r="E219" s="72" t="s">
        <v>1484</v>
      </c>
      <c r="F219" s="73">
        <v>-16.649999999999999</v>
      </c>
      <c r="G219" s="10"/>
      <c r="H219" s="10"/>
      <c r="I219" s="10"/>
      <c r="J219" s="42"/>
      <c r="K219" s="56">
        <f>F230+F231+F232</f>
        <v>3083</v>
      </c>
      <c r="L219" s="57">
        <f>F233+F234+F247</f>
        <v>19235</v>
      </c>
      <c r="M219" s="57">
        <f>F235</f>
        <v>681</v>
      </c>
      <c r="N219" s="57">
        <f>F236</f>
        <v>1661</v>
      </c>
      <c r="O219" s="57">
        <f>F237+F238+F243+F248</f>
        <v>13099.6</v>
      </c>
      <c r="P219" s="57">
        <f>SUM(K219:O219)</f>
        <v>37759.599999999999</v>
      </c>
      <c r="Q219" s="58">
        <v>0</v>
      </c>
      <c r="R219" s="59">
        <f>F244+F249</f>
        <v>22927.599999999999</v>
      </c>
      <c r="S219" s="59">
        <v>0</v>
      </c>
      <c r="T219" s="10"/>
      <c r="U219" s="17"/>
      <c r="V219" s="10"/>
      <c r="W219" s="10"/>
      <c r="X219" s="10"/>
    </row>
    <row r="220" spans="1:24">
      <c r="A220" s="2"/>
      <c r="B220" s="11"/>
      <c r="C220" s="10"/>
      <c r="D220" s="10"/>
      <c r="E220" s="72" t="s">
        <v>1485</v>
      </c>
      <c r="F220" s="73">
        <f>-386.36</f>
        <v>-386.36</v>
      </c>
      <c r="G220" s="10"/>
      <c r="H220" s="10"/>
      <c r="I220" s="10"/>
      <c r="J220" s="10" t="s">
        <v>42</v>
      </c>
      <c r="K220" s="63">
        <f>K212</f>
        <v>3</v>
      </c>
      <c r="L220" s="63">
        <f t="shared" ref="L220:Q221" si="46">L212</f>
        <v>3</v>
      </c>
      <c r="M220" s="63">
        <f t="shared" si="46"/>
        <v>1</v>
      </c>
      <c r="N220" s="63">
        <f t="shared" si="46"/>
        <v>1</v>
      </c>
      <c r="O220" s="63">
        <f t="shared" si="46"/>
        <v>4</v>
      </c>
      <c r="P220" s="63">
        <f t="shared" si="46"/>
        <v>12</v>
      </c>
      <c r="Q220" s="63">
        <f t="shared" si="46"/>
        <v>0</v>
      </c>
      <c r="R220" s="63"/>
      <c r="S220" s="10"/>
      <c r="T220" s="10"/>
      <c r="U220" s="17"/>
      <c r="V220" s="10"/>
      <c r="W220" s="10"/>
      <c r="X220" s="10"/>
    </row>
    <row r="221" spans="1:24">
      <c r="A221" s="2"/>
      <c r="B221" s="11"/>
      <c r="C221" s="10"/>
      <c r="D221" s="10"/>
      <c r="E221" s="72" t="s">
        <v>1486</v>
      </c>
      <c r="F221" s="73">
        <v>-33.25</v>
      </c>
      <c r="G221" s="10"/>
      <c r="H221" s="10"/>
      <c r="I221" s="10"/>
      <c r="J221" s="10" t="s">
        <v>44</v>
      </c>
      <c r="K221" s="63">
        <f>K213</f>
        <v>6</v>
      </c>
      <c r="L221" s="63">
        <f t="shared" si="46"/>
        <v>3</v>
      </c>
      <c r="M221" s="63">
        <f t="shared" si="46"/>
        <v>7</v>
      </c>
      <c r="N221" s="63">
        <f t="shared" si="46"/>
        <v>6</v>
      </c>
      <c r="O221" s="63">
        <f t="shared" si="46"/>
        <v>3</v>
      </c>
      <c r="P221" s="63">
        <f t="shared" si="46"/>
        <v>25</v>
      </c>
      <c r="Q221" s="63">
        <f t="shared" si="46"/>
        <v>0</v>
      </c>
      <c r="R221" s="63"/>
      <c r="S221" s="10"/>
      <c r="T221" s="10"/>
      <c r="U221" s="17"/>
      <c r="V221" s="10"/>
      <c r="W221" s="10"/>
      <c r="X221" s="10"/>
    </row>
    <row r="222" spans="1:24">
      <c r="A222" s="2"/>
      <c r="B222" s="11"/>
      <c r="C222" s="10"/>
      <c r="D222" s="10"/>
      <c r="E222" s="72" t="s">
        <v>1487</v>
      </c>
      <c r="F222" s="73">
        <v>124.08</v>
      </c>
      <c r="G222" s="10"/>
      <c r="H222" s="10"/>
      <c r="I222" s="10"/>
      <c r="J222" s="10" t="s">
        <v>46</v>
      </c>
      <c r="K222" s="31">
        <f t="shared" ref="K222:Q222" si="47">K220/(K220+K221)</f>
        <v>0.33333333333333331</v>
      </c>
      <c r="L222" s="31">
        <f t="shared" si="47"/>
        <v>0.5</v>
      </c>
      <c r="M222" s="31">
        <f t="shared" si="47"/>
        <v>0.125</v>
      </c>
      <c r="N222" s="31">
        <f t="shared" si="47"/>
        <v>0.14285714285714285</v>
      </c>
      <c r="O222" s="31">
        <f t="shared" si="47"/>
        <v>0.5714285714285714</v>
      </c>
      <c r="P222" s="31">
        <f t="shared" si="47"/>
        <v>0.32432432432432434</v>
      </c>
      <c r="Q222" s="31" t="e">
        <f t="shared" si="47"/>
        <v>#DIV/0!</v>
      </c>
      <c r="R222" s="63"/>
      <c r="S222" s="10"/>
      <c r="T222" s="10"/>
      <c r="U222" s="17"/>
      <c r="V222" s="10"/>
      <c r="W222" s="10"/>
      <c r="X222" s="10"/>
    </row>
    <row r="223" spans="1:24">
      <c r="A223" s="2"/>
      <c r="B223" s="11"/>
      <c r="C223" s="10"/>
      <c r="D223" s="10"/>
      <c r="E223" s="72" t="s">
        <v>1488</v>
      </c>
      <c r="F223" s="73">
        <v>-28.88</v>
      </c>
      <c r="G223" s="10"/>
      <c r="H223" s="10"/>
      <c r="I223" s="10"/>
      <c r="J223" s="10" t="s">
        <v>48</v>
      </c>
      <c r="K223" s="66">
        <f t="shared" ref="K223:Q223" si="48">K219/K220</f>
        <v>1027.6666666666667</v>
      </c>
      <c r="L223" s="66">
        <f t="shared" si="48"/>
        <v>6411.666666666667</v>
      </c>
      <c r="M223" s="66">
        <f t="shared" si="48"/>
        <v>681</v>
      </c>
      <c r="N223" s="66">
        <f t="shared" si="48"/>
        <v>1661</v>
      </c>
      <c r="O223" s="66">
        <f t="shared" si="48"/>
        <v>3274.9</v>
      </c>
      <c r="P223" s="66">
        <f t="shared" si="48"/>
        <v>3146.6333333333332</v>
      </c>
      <c r="Q223" s="66" t="e">
        <f t="shared" si="48"/>
        <v>#DIV/0!</v>
      </c>
      <c r="R223" s="63"/>
      <c r="S223" s="10"/>
      <c r="T223" s="10"/>
      <c r="U223" s="17"/>
      <c r="V223" s="10"/>
      <c r="W223" s="10"/>
      <c r="X223" s="10"/>
    </row>
    <row r="224" spans="1:24">
      <c r="A224" s="2"/>
      <c r="B224" s="11"/>
      <c r="C224" s="10"/>
      <c r="D224" s="10"/>
      <c r="E224" s="74" t="s">
        <v>1489</v>
      </c>
      <c r="F224" s="75">
        <v>-23</v>
      </c>
      <c r="G224" s="10"/>
      <c r="H224" s="10"/>
      <c r="I224" s="10"/>
      <c r="J224" s="10"/>
      <c r="K224" s="10"/>
      <c r="L224" s="10"/>
      <c r="M224" s="10"/>
      <c r="N224" s="10"/>
      <c r="O224" s="10"/>
      <c r="P224" s="10"/>
      <c r="Q224" s="10"/>
      <c r="R224" s="10"/>
      <c r="S224" s="10"/>
      <c r="T224" s="10"/>
      <c r="U224" s="17"/>
      <c r="V224" s="10"/>
      <c r="W224" s="10"/>
      <c r="X224" s="10"/>
    </row>
    <row r="225" spans="1:24">
      <c r="A225" s="2"/>
      <c r="B225" s="11"/>
      <c r="C225" s="10"/>
      <c r="D225" s="10"/>
      <c r="E225" s="12"/>
      <c r="F225" s="76"/>
      <c r="G225" s="10"/>
      <c r="H225" s="10"/>
      <c r="I225" s="10"/>
      <c r="J225" s="10"/>
      <c r="K225" s="10"/>
      <c r="L225" s="10"/>
      <c r="M225" s="10"/>
      <c r="N225" s="10"/>
      <c r="O225" s="10"/>
      <c r="P225" s="10"/>
      <c r="Q225" s="10"/>
      <c r="R225" s="10"/>
      <c r="S225" s="10"/>
      <c r="T225" s="10"/>
      <c r="U225" s="17"/>
      <c r="V225" s="10"/>
      <c r="W225" s="10"/>
      <c r="X225" s="10"/>
    </row>
    <row r="226" spans="1:24">
      <c r="A226" s="2"/>
      <c r="B226" s="11"/>
      <c r="C226" s="10"/>
      <c r="D226" s="10"/>
      <c r="E226" s="10"/>
      <c r="F226" s="10"/>
      <c r="G226" s="10"/>
      <c r="H226" s="10"/>
      <c r="I226" s="10"/>
      <c r="J226" s="10"/>
      <c r="K226" s="10"/>
      <c r="L226" s="10"/>
      <c r="M226" s="10"/>
      <c r="N226" s="10"/>
      <c r="O226" s="10"/>
      <c r="P226" s="10"/>
      <c r="Q226" s="10"/>
      <c r="R226" s="10"/>
      <c r="S226" s="10"/>
      <c r="T226" s="10"/>
      <c r="U226" s="17"/>
      <c r="V226" s="10"/>
      <c r="W226" s="10"/>
      <c r="X226" s="10"/>
    </row>
    <row r="227" spans="1:24">
      <c r="A227" s="2"/>
      <c r="B227" s="18" t="s">
        <v>51</v>
      </c>
      <c r="C227" s="14"/>
      <c r="D227" s="14"/>
      <c r="E227" s="14"/>
      <c r="F227" s="13" t="s">
        <v>52</v>
      </c>
      <c r="G227" s="14"/>
      <c r="H227" s="14"/>
      <c r="I227" s="14"/>
      <c r="J227" s="14"/>
      <c r="K227" s="13" t="s">
        <v>3</v>
      </c>
      <c r="L227" s="14"/>
      <c r="M227" s="14"/>
      <c r="N227" s="13" t="s">
        <v>4</v>
      </c>
      <c r="O227" s="14"/>
      <c r="P227" s="14"/>
      <c r="Q227" s="13" t="s">
        <v>5</v>
      </c>
      <c r="R227" s="14"/>
      <c r="S227" s="14"/>
      <c r="T227" s="18"/>
      <c r="U227" s="16" t="s">
        <v>53</v>
      </c>
      <c r="V227" s="77"/>
      <c r="W227" s="77"/>
      <c r="X227" s="77"/>
    </row>
    <row r="228" spans="1:24">
      <c r="A228" s="2"/>
      <c r="B228" s="24" t="s">
        <v>54</v>
      </c>
      <c r="C228" s="21" t="s">
        <v>55</v>
      </c>
      <c r="D228" s="21" t="s">
        <v>56</v>
      </c>
      <c r="E228" s="21" t="s">
        <v>57</v>
      </c>
      <c r="F228" s="20" t="s">
        <v>58</v>
      </c>
      <c r="G228" s="21" t="s">
        <v>59</v>
      </c>
      <c r="H228" s="21" t="s">
        <v>60</v>
      </c>
      <c r="I228" s="21" t="s">
        <v>26</v>
      </c>
      <c r="J228" s="22" t="s">
        <v>61</v>
      </c>
      <c r="K228" s="21" t="s">
        <v>8</v>
      </c>
      <c r="L228" s="21" t="s">
        <v>9</v>
      </c>
      <c r="M228" s="21" t="s">
        <v>10</v>
      </c>
      <c r="N228" s="20" t="s">
        <v>11</v>
      </c>
      <c r="O228" s="21" t="s">
        <v>12</v>
      </c>
      <c r="P228" s="22" t="s">
        <v>13</v>
      </c>
      <c r="Q228" s="21" t="s">
        <v>11</v>
      </c>
      <c r="R228" s="21" t="s">
        <v>12</v>
      </c>
      <c r="S228" s="21" t="s">
        <v>13</v>
      </c>
      <c r="T228" s="78" t="s">
        <v>14</v>
      </c>
      <c r="U228" s="30"/>
      <c r="V228" s="79" t="s">
        <v>62</v>
      </c>
      <c r="W228" s="80" t="s">
        <v>63</v>
      </c>
      <c r="X228" s="81" t="s">
        <v>64</v>
      </c>
    </row>
    <row r="229" spans="1:24">
      <c r="A229" s="2"/>
      <c r="B229" s="4" t="s">
        <v>65</v>
      </c>
      <c r="C229" s="6"/>
      <c r="D229" s="6"/>
      <c r="E229" s="6"/>
      <c r="F229" s="6"/>
      <c r="G229" s="6"/>
      <c r="H229" s="6"/>
      <c r="I229" s="82"/>
      <c r="J229" s="6"/>
      <c r="K229" s="6"/>
      <c r="L229" s="6"/>
      <c r="M229" s="6"/>
      <c r="N229" s="6"/>
      <c r="O229" s="6"/>
      <c r="P229" s="6"/>
      <c r="Q229" s="6"/>
      <c r="R229" s="6"/>
      <c r="S229" s="6"/>
      <c r="T229" s="83"/>
      <c r="U229" s="6"/>
      <c r="V229" s="84"/>
      <c r="W229" s="85"/>
      <c r="X229" s="86"/>
    </row>
    <row r="230" spans="1:24">
      <c r="A230" s="2"/>
      <c r="B230" s="87">
        <v>1</v>
      </c>
      <c r="C230" s="274">
        <v>45859</v>
      </c>
      <c r="D230" s="327">
        <v>71585</v>
      </c>
      <c r="E230" s="276" t="s">
        <v>1088</v>
      </c>
      <c r="F230" s="277">
        <v>681</v>
      </c>
      <c r="G230" s="277">
        <f>50</f>
        <v>50</v>
      </c>
      <c r="H230" s="297"/>
      <c r="I230" s="321">
        <f t="shared" ref="I230" si="49">F230-G230-H230</f>
        <v>631</v>
      </c>
      <c r="J230" s="279" t="s">
        <v>156</v>
      </c>
      <c r="K230" s="279">
        <v>1</v>
      </c>
      <c r="L230" s="279">
        <v>1</v>
      </c>
      <c r="M230" s="322">
        <v>0</v>
      </c>
      <c r="N230" s="279">
        <v>1</v>
      </c>
      <c r="O230" s="279">
        <v>1</v>
      </c>
      <c r="P230" s="322">
        <v>0</v>
      </c>
      <c r="Q230" s="322">
        <v>0</v>
      </c>
      <c r="R230" s="322">
        <v>0</v>
      </c>
      <c r="S230" s="328">
        <v>0</v>
      </c>
      <c r="T230" s="63"/>
      <c r="U230" s="10"/>
      <c r="V230" s="90">
        <v>749.1</v>
      </c>
      <c r="W230" s="91"/>
      <c r="X230" s="92"/>
    </row>
    <row r="231" spans="1:24">
      <c r="A231" s="2"/>
      <c r="B231" s="87">
        <f t="shared" ref="B231:B238" si="50">B230+1</f>
        <v>2</v>
      </c>
      <c r="C231" s="295">
        <v>45859</v>
      </c>
      <c r="D231" s="323">
        <v>71605</v>
      </c>
      <c r="E231" s="10" t="s">
        <v>1058</v>
      </c>
      <c r="F231" s="62">
        <v>1264</v>
      </c>
      <c r="G231" s="62">
        <f>39.7</f>
        <v>39.700000000000003</v>
      </c>
      <c r="H231" s="62"/>
      <c r="I231" s="324">
        <f t="shared" ref="I231:I238" si="51">F231-G231-H231</f>
        <v>1224.3</v>
      </c>
      <c r="J231" s="63" t="s">
        <v>156</v>
      </c>
      <c r="K231" s="63">
        <v>1</v>
      </c>
      <c r="L231" s="63">
        <v>1</v>
      </c>
      <c r="M231" s="63">
        <v>1</v>
      </c>
      <c r="N231" s="63">
        <v>1</v>
      </c>
      <c r="O231" s="63">
        <v>1</v>
      </c>
      <c r="P231" s="325">
        <v>0</v>
      </c>
      <c r="Q231" s="63">
        <v>1</v>
      </c>
      <c r="R231" s="63">
        <v>1</v>
      </c>
      <c r="S231" s="296">
        <v>1</v>
      </c>
      <c r="T231" s="63"/>
      <c r="U231" s="10"/>
      <c r="V231" s="90">
        <v>1390.4</v>
      </c>
      <c r="W231" s="91"/>
      <c r="X231" s="92"/>
    </row>
    <row r="232" spans="1:24">
      <c r="A232" s="93"/>
      <c r="B232" s="87">
        <f t="shared" si="50"/>
        <v>3</v>
      </c>
      <c r="C232" s="295">
        <v>45859</v>
      </c>
      <c r="D232" s="323">
        <v>71614</v>
      </c>
      <c r="E232" s="10" t="s">
        <v>382</v>
      </c>
      <c r="F232" s="62">
        <v>1138</v>
      </c>
      <c r="G232" s="62">
        <f>39.7</f>
        <v>39.700000000000003</v>
      </c>
      <c r="H232" s="62"/>
      <c r="I232" s="324">
        <f t="shared" si="51"/>
        <v>1098.3</v>
      </c>
      <c r="J232" s="63" t="s">
        <v>156</v>
      </c>
      <c r="K232" s="63">
        <v>1</v>
      </c>
      <c r="L232" s="325">
        <v>0</v>
      </c>
      <c r="M232" s="63">
        <v>1</v>
      </c>
      <c r="N232" s="63">
        <v>1</v>
      </c>
      <c r="O232" s="63">
        <v>1</v>
      </c>
      <c r="P232" s="325">
        <v>0</v>
      </c>
      <c r="Q232" s="325">
        <v>0</v>
      </c>
      <c r="R232" s="325">
        <v>0</v>
      </c>
      <c r="S232" s="326">
        <v>0</v>
      </c>
      <c r="T232" s="63"/>
      <c r="U232" s="10" t="s">
        <v>1490</v>
      </c>
      <c r="V232" s="90">
        <v>1251.8</v>
      </c>
      <c r="W232" s="91"/>
      <c r="X232" s="92"/>
    </row>
    <row r="233" spans="1:24">
      <c r="A233" s="2"/>
      <c r="B233" s="87">
        <f t="shared" si="50"/>
        <v>4</v>
      </c>
      <c r="C233" s="274">
        <v>45860</v>
      </c>
      <c r="D233" s="327">
        <v>71608</v>
      </c>
      <c r="E233" s="404" t="s">
        <v>1167</v>
      </c>
      <c r="F233" s="277">
        <v>2604</v>
      </c>
      <c r="G233" s="277">
        <f>39.7+(249.51)+200</f>
        <v>489.21</v>
      </c>
      <c r="H233" s="277"/>
      <c r="I233" s="321">
        <f t="shared" si="51"/>
        <v>2114.79</v>
      </c>
      <c r="J233" s="279" t="s">
        <v>156</v>
      </c>
      <c r="K233" s="279">
        <v>1</v>
      </c>
      <c r="L233" s="279">
        <v>1</v>
      </c>
      <c r="M233" s="279">
        <v>1</v>
      </c>
      <c r="N233" s="279">
        <v>1</v>
      </c>
      <c r="O233" s="279">
        <v>1</v>
      </c>
      <c r="P233" s="322">
        <v>0</v>
      </c>
      <c r="Q233" s="322">
        <v>0</v>
      </c>
      <c r="R233" s="322">
        <v>0</v>
      </c>
      <c r="S233" s="328">
        <v>0</v>
      </c>
      <c r="T233" s="63"/>
      <c r="U233" s="10" t="s">
        <v>1491</v>
      </c>
      <c r="V233" s="90">
        <f>286.44+2577.96</f>
        <v>2864.4</v>
      </c>
      <c r="W233" s="91"/>
      <c r="X233" s="92"/>
    </row>
    <row r="234" spans="1:24">
      <c r="A234" s="2"/>
      <c r="B234" s="87">
        <f t="shared" si="50"/>
        <v>5</v>
      </c>
      <c r="C234" s="295">
        <v>45860</v>
      </c>
      <c r="D234" s="323" t="s">
        <v>1492</v>
      </c>
      <c r="E234" s="10" t="s">
        <v>1256</v>
      </c>
      <c r="F234" s="62">
        <v>2861</v>
      </c>
      <c r="G234" s="62">
        <f>39.7</f>
        <v>39.700000000000003</v>
      </c>
      <c r="H234" s="62"/>
      <c r="I234" s="324">
        <f t="shared" si="51"/>
        <v>2821.3</v>
      </c>
      <c r="J234" s="63" t="s">
        <v>156</v>
      </c>
      <c r="K234" s="63">
        <v>1</v>
      </c>
      <c r="L234" s="63">
        <v>1</v>
      </c>
      <c r="M234" s="63">
        <v>1</v>
      </c>
      <c r="N234" s="63">
        <v>1</v>
      </c>
      <c r="O234" s="63">
        <v>1</v>
      </c>
      <c r="P234" s="325">
        <v>0</v>
      </c>
      <c r="Q234" s="325">
        <v>0</v>
      </c>
      <c r="R234" s="325">
        <v>0</v>
      </c>
      <c r="S234" s="326">
        <v>0</v>
      </c>
      <c r="T234" s="63"/>
      <c r="U234" s="10"/>
      <c r="V234" s="90">
        <f>350+2797.1</f>
        <v>3147.1</v>
      </c>
      <c r="W234" s="91"/>
      <c r="X234" s="92"/>
    </row>
    <row r="235" spans="1:24">
      <c r="A235" s="2"/>
      <c r="B235" s="87">
        <f t="shared" si="50"/>
        <v>6</v>
      </c>
      <c r="C235" s="274">
        <v>45861</v>
      </c>
      <c r="D235" s="327">
        <v>71654</v>
      </c>
      <c r="E235" s="276" t="s">
        <v>1088</v>
      </c>
      <c r="F235" s="277">
        <v>681</v>
      </c>
      <c r="G235" s="277"/>
      <c r="H235" s="297"/>
      <c r="I235" s="278">
        <f t="shared" si="51"/>
        <v>681</v>
      </c>
      <c r="J235" s="279" t="s">
        <v>156</v>
      </c>
      <c r="K235" s="279">
        <v>1</v>
      </c>
      <c r="L235" s="279">
        <v>1</v>
      </c>
      <c r="M235" s="279">
        <v>1</v>
      </c>
      <c r="N235" s="279">
        <v>1</v>
      </c>
      <c r="O235" s="279">
        <v>1</v>
      </c>
      <c r="P235" s="279">
        <v>1</v>
      </c>
      <c r="Q235" s="279">
        <v>1</v>
      </c>
      <c r="R235" s="279">
        <v>1</v>
      </c>
      <c r="S235" s="280">
        <v>1</v>
      </c>
      <c r="T235" s="63"/>
      <c r="U235" s="10" t="s">
        <v>1493</v>
      </c>
      <c r="V235" s="90">
        <v>749.1</v>
      </c>
      <c r="W235" s="91"/>
      <c r="X235" s="92"/>
    </row>
    <row r="236" spans="1:24">
      <c r="A236" s="2"/>
      <c r="B236" s="87">
        <f t="shared" si="50"/>
        <v>7</v>
      </c>
      <c r="C236" s="274">
        <v>45862</v>
      </c>
      <c r="D236" s="327">
        <v>71718</v>
      </c>
      <c r="E236" s="276" t="s">
        <v>1494</v>
      </c>
      <c r="F236" s="277">
        <v>1661</v>
      </c>
      <c r="G236" s="277">
        <f>39.7</f>
        <v>39.700000000000003</v>
      </c>
      <c r="H236" s="297"/>
      <c r="I236" s="278">
        <f t="shared" si="51"/>
        <v>1621.3</v>
      </c>
      <c r="J236" s="279" t="s">
        <v>156</v>
      </c>
      <c r="K236" s="279">
        <v>1</v>
      </c>
      <c r="L236" s="279">
        <v>1</v>
      </c>
      <c r="M236" s="279">
        <v>1</v>
      </c>
      <c r="N236" s="279">
        <v>1</v>
      </c>
      <c r="O236" s="279">
        <v>1</v>
      </c>
      <c r="P236" s="279">
        <v>1</v>
      </c>
      <c r="Q236" s="279">
        <v>1</v>
      </c>
      <c r="R236" s="279">
        <v>1</v>
      </c>
      <c r="S236" s="280">
        <v>1</v>
      </c>
      <c r="T236" s="63"/>
      <c r="U236" s="10"/>
      <c r="V236" s="90">
        <v>1827.1</v>
      </c>
      <c r="W236" s="91"/>
      <c r="X236" s="92"/>
    </row>
    <row r="237" spans="1:24">
      <c r="A237" s="2"/>
      <c r="B237" s="87">
        <f t="shared" si="50"/>
        <v>8</v>
      </c>
      <c r="C237" s="274">
        <v>45863</v>
      </c>
      <c r="D237" s="327">
        <v>71744</v>
      </c>
      <c r="E237" s="276" t="s">
        <v>1495</v>
      </c>
      <c r="F237" s="277">
        <v>2261</v>
      </c>
      <c r="G237" s="277">
        <f>39.7</f>
        <v>39.700000000000003</v>
      </c>
      <c r="H237" s="297"/>
      <c r="I237" s="278">
        <f t="shared" si="51"/>
        <v>2221.3000000000002</v>
      </c>
      <c r="J237" s="279" t="s">
        <v>156</v>
      </c>
      <c r="K237" s="279">
        <v>1</v>
      </c>
      <c r="L237" s="279">
        <v>1</v>
      </c>
      <c r="M237" s="279">
        <v>1</v>
      </c>
      <c r="N237" s="279">
        <v>1</v>
      </c>
      <c r="O237" s="279">
        <v>1</v>
      </c>
      <c r="P237" s="322">
        <v>0</v>
      </c>
      <c r="Q237" s="279">
        <v>1</v>
      </c>
      <c r="R237" s="279">
        <v>1</v>
      </c>
      <c r="S237" s="328">
        <v>0</v>
      </c>
      <c r="T237" s="63"/>
      <c r="U237" s="10"/>
      <c r="V237" s="90">
        <v>2487.1</v>
      </c>
      <c r="W237" s="91"/>
      <c r="X237" s="92"/>
    </row>
    <row r="238" spans="1:24">
      <c r="A238" s="2"/>
      <c r="B238" s="87">
        <f t="shared" si="50"/>
        <v>9</v>
      </c>
      <c r="C238" s="282">
        <v>45863</v>
      </c>
      <c r="D238" s="368">
        <v>71726</v>
      </c>
      <c r="E238" s="283" t="s">
        <v>1058</v>
      </c>
      <c r="F238" s="284">
        <v>1681</v>
      </c>
      <c r="G238" s="284">
        <f>39.7+200</f>
        <v>239.7</v>
      </c>
      <c r="H238" s="315"/>
      <c r="I238" s="285">
        <f t="shared" si="51"/>
        <v>1441.3</v>
      </c>
      <c r="J238" s="286" t="s">
        <v>156</v>
      </c>
      <c r="K238" s="286">
        <v>1</v>
      </c>
      <c r="L238" s="286">
        <v>1</v>
      </c>
      <c r="M238" s="286">
        <v>1</v>
      </c>
      <c r="N238" s="286">
        <v>1</v>
      </c>
      <c r="O238" s="286">
        <v>1</v>
      </c>
      <c r="P238" s="286">
        <v>1</v>
      </c>
      <c r="Q238" s="286">
        <v>1</v>
      </c>
      <c r="R238" s="286">
        <v>1</v>
      </c>
      <c r="S238" s="287">
        <v>1</v>
      </c>
      <c r="T238" s="63"/>
      <c r="U238" s="10" t="s">
        <v>1496</v>
      </c>
      <c r="V238" s="90">
        <v>1849.1</v>
      </c>
      <c r="W238" s="91"/>
      <c r="X238" s="92"/>
    </row>
    <row r="239" spans="1:24">
      <c r="A239" s="2"/>
      <c r="B239" s="87"/>
      <c r="C239" s="36"/>
      <c r="D239" s="10"/>
      <c r="E239" s="10"/>
      <c r="F239" s="97">
        <f>SUM(F230:F238)</f>
        <v>14832</v>
      </c>
      <c r="G239" s="97">
        <f>SUM(G230:G238)</f>
        <v>977.41000000000008</v>
      </c>
      <c r="H239" s="97">
        <f>SUM(H230:H238)</f>
        <v>0</v>
      </c>
      <c r="I239" s="98">
        <f>SUM(I230:I238)</f>
        <v>13854.589999999997</v>
      </c>
      <c r="J239" s="63"/>
      <c r="K239" s="63">
        <f t="shared" ref="K239:S239" si="52">COUNT(K230:K238)</f>
        <v>9</v>
      </c>
      <c r="L239" s="63">
        <f t="shared" si="52"/>
        <v>9</v>
      </c>
      <c r="M239" s="63">
        <f t="shared" si="52"/>
        <v>9</v>
      </c>
      <c r="N239" s="63">
        <f t="shared" si="52"/>
        <v>9</v>
      </c>
      <c r="O239" s="63">
        <f t="shared" si="52"/>
        <v>9</v>
      </c>
      <c r="P239" s="63">
        <f t="shared" si="52"/>
        <v>9</v>
      </c>
      <c r="Q239" s="63">
        <f t="shared" si="52"/>
        <v>9</v>
      </c>
      <c r="R239" s="63">
        <f t="shared" si="52"/>
        <v>9</v>
      </c>
      <c r="S239" s="63">
        <f t="shared" si="52"/>
        <v>9</v>
      </c>
      <c r="T239" s="63"/>
      <c r="U239" s="10"/>
      <c r="V239" s="90"/>
      <c r="W239" s="91"/>
      <c r="X239" s="92"/>
    </row>
    <row r="240" spans="1:24">
      <c r="A240" s="2"/>
      <c r="B240" s="87"/>
      <c r="C240" s="36"/>
      <c r="D240" s="10"/>
      <c r="E240" s="10"/>
      <c r="F240" s="88"/>
      <c r="G240" s="88"/>
      <c r="H240" s="88"/>
      <c r="I240" s="99"/>
      <c r="J240" s="63"/>
      <c r="K240" s="21">
        <f t="shared" ref="K240:S240" si="53">SUM(K230:K238)</f>
        <v>9</v>
      </c>
      <c r="L240" s="21">
        <f t="shared" si="53"/>
        <v>8</v>
      </c>
      <c r="M240" s="21">
        <f t="shared" si="53"/>
        <v>8</v>
      </c>
      <c r="N240" s="21">
        <f t="shared" si="53"/>
        <v>9</v>
      </c>
      <c r="O240" s="21">
        <f t="shared" si="53"/>
        <v>9</v>
      </c>
      <c r="P240" s="21">
        <f t="shared" si="53"/>
        <v>3</v>
      </c>
      <c r="Q240" s="21">
        <f t="shared" si="53"/>
        <v>5</v>
      </c>
      <c r="R240" s="21">
        <f t="shared" si="53"/>
        <v>5</v>
      </c>
      <c r="S240" s="21">
        <f t="shared" si="53"/>
        <v>4</v>
      </c>
      <c r="T240" s="63"/>
      <c r="U240" s="10"/>
      <c r="V240" s="90"/>
      <c r="W240" s="91"/>
      <c r="X240" s="92"/>
    </row>
    <row r="241" spans="1:24">
      <c r="A241" s="2"/>
      <c r="B241" s="11"/>
      <c r="C241" s="36"/>
      <c r="D241" s="10"/>
      <c r="E241" s="10"/>
      <c r="F241" s="88"/>
      <c r="G241" s="88"/>
      <c r="H241" s="88"/>
      <c r="I241" s="99"/>
      <c r="J241" s="63"/>
      <c r="K241" s="21"/>
      <c r="L241" s="21"/>
      <c r="M241" s="21"/>
      <c r="N241" s="21"/>
      <c r="O241" s="21"/>
      <c r="P241" s="21"/>
      <c r="Q241" s="21"/>
      <c r="R241" s="21"/>
      <c r="S241" s="21"/>
      <c r="T241" s="63"/>
      <c r="U241" s="94"/>
      <c r="V241" s="90"/>
      <c r="W241" s="91"/>
      <c r="X241" s="92"/>
    </row>
    <row r="242" spans="1:24">
      <c r="A242" s="128"/>
      <c r="B242" s="121" t="s">
        <v>68</v>
      </c>
      <c r="C242" s="122"/>
      <c r="D242" s="123"/>
      <c r="E242" s="123"/>
      <c r="F242" s="124"/>
      <c r="G242" s="125"/>
      <c r="H242" s="124"/>
      <c r="I242" s="126"/>
      <c r="J242" s="127"/>
      <c r="K242" s="128"/>
      <c r="L242" s="128"/>
      <c r="M242" s="128"/>
      <c r="N242" s="128"/>
      <c r="O242" s="128"/>
      <c r="P242" s="128"/>
      <c r="Q242" s="128"/>
      <c r="R242" s="128"/>
      <c r="S242" s="128"/>
      <c r="T242" s="127"/>
      <c r="U242" s="123"/>
      <c r="V242" s="129"/>
      <c r="W242" s="130"/>
      <c r="X242" s="131"/>
    </row>
    <row r="243" spans="1:24" s="342" customFormat="1">
      <c r="A243" s="356">
        <v>0.05</v>
      </c>
      <c r="B243" s="333">
        <v>1</v>
      </c>
      <c r="C243" s="350">
        <v>45863</v>
      </c>
      <c r="D243" s="263" t="s">
        <v>1497</v>
      </c>
      <c r="E243" s="358" t="s">
        <v>1117</v>
      </c>
      <c r="F243" s="352">
        <v>1138</v>
      </c>
      <c r="G243" s="352">
        <f>39.7</f>
        <v>39.700000000000003</v>
      </c>
      <c r="H243" s="486"/>
      <c r="I243" s="353">
        <f>F243-G243-H243</f>
        <v>1098.3</v>
      </c>
      <c r="J243" s="354"/>
      <c r="K243" s="354">
        <v>1</v>
      </c>
      <c r="L243" s="354">
        <v>1</v>
      </c>
      <c r="M243" s="354"/>
      <c r="N243" s="354">
        <v>1</v>
      </c>
      <c r="O243" s="354">
        <v>1</v>
      </c>
      <c r="P243" s="354">
        <v>1</v>
      </c>
      <c r="Q243" s="314">
        <v>0</v>
      </c>
      <c r="R243" s="314">
        <v>0</v>
      </c>
      <c r="S243" s="366">
        <v>0</v>
      </c>
      <c r="T243" s="127"/>
      <c r="U243" s="123"/>
      <c r="V243" s="129"/>
      <c r="W243" s="130"/>
      <c r="X243" s="131"/>
    </row>
    <row r="244" spans="1:24" s="342" customFormat="1">
      <c r="A244" s="128"/>
      <c r="B244" s="132"/>
      <c r="C244" s="122"/>
      <c r="D244" s="123"/>
      <c r="E244" s="123"/>
      <c r="F244" s="133">
        <f>SUM(F243:F243)</f>
        <v>1138</v>
      </c>
      <c r="G244" s="133">
        <f>SUM(G243:G243)</f>
        <v>39.700000000000003</v>
      </c>
      <c r="H244" s="133">
        <f>SUM(H243:H243)</f>
        <v>0</v>
      </c>
      <c r="I244" s="134">
        <f>SUM(I243:I243)</f>
        <v>1098.3</v>
      </c>
      <c r="J244" s="127"/>
      <c r="K244" s="64"/>
      <c r="L244" s="64"/>
      <c r="M244" s="64"/>
      <c r="N244" s="64"/>
      <c r="O244" s="64"/>
      <c r="P244" s="64"/>
      <c r="Q244" s="64"/>
      <c r="R244" s="64"/>
      <c r="S244" s="64"/>
      <c r="T244" s="127"/>
      <c r="U244" s="123"/>
      <c r="V244" s="129"/>
      <c r="W244" s="130"/>
      <c r="X244" s="131"/>
    </row>
    <row r="245" spans="1:24" s="342" customFormat="1">
      <c r="A245" s="128"/>
      <c r="B245" s="132"/>
      <c r="C245" s="122"/>
      <c r="D245" s="123"/>
      <c r="E245" s="123"/>
      <c r="F245" s="124"/>
      <c r="G245" s="124"/>
      <c r="H245" s="124"/>
      <c r="I245" s="126"/>
      <c r="J245" s="127"/>
      <c r="K245" s="64"/>
      <c r="L245" s="64"/>
      <c r="M245" s="64"/>
      <c r="N245" s="64"/>
      <c r="O245" s="64"/>
      <c r="P245" s="64"/>
      <c r="Q245" s="64"/>
      <c r="R245" s="64"/>
      <c r="S245" s="64"/>
      <c r="T245" s="127"/>
      <c r="U245" s="135"/>
      <c r="V245" s="129"/>
      <c r="W245" s="130"/>
      <c r="X245" s="131"/>
    </row>
    <row r="246" spans="1:24" s="342" customFormat="1">
      <c r="A246" s="128"/>
      <c r="B246" s="121" t="s">
        <v>70</v>
      </c>
      <c r="C246" s="122"/>
      <c r="D246" s="123"/>
      <c r="E246" s="128"/>
      <c r="F246" s="124"/>
      <c r="G246" s="124"/>
      <c r="H246" s="124"/>
      <c r="I246" s="126"/>
      <c r="J246" s="127"/>
      <c r="K246" s="64"/>
      <c r="L246" s="64"/>
      <c r="M246" s="64"/>
      <c r="N246" s="64"/>
      <c r="O246" s="64"/>
      <c r="P246" s="64"/>
      <c r="Q246" s="64"/>
      <c r="R246" s="64"/>
      <c r="S246" s="64"/>
      <c r="T246" s="127"/>
      <c r="U246" s="135"/>
      <c r="V246" s="129"/>
      <c r="W246" s="130"/>
      <c r="X246" s="131"/>
    </row>
    <row r="247" spans="1:24" s="342" customFormat="1">
      <c r="A247" s="356" t="s">
        <v>1498</v>
      </c>
      <c r="B247" s="333">
        <v>1</v>
      </c>
      <c r="C247" s="334">
        <v>45860</v>
      </c>
      <c r="D247" s="327" t="s">
        <v>1499</v>
      </c>
      <c r="E247" s="335" t="s">
        <v>1256</v>
      </c>
      <c r="F247" s="336">
        <v>13770</v>
      </c>
      <c r="G247" s="336">
        <f>39.7+(7.88+328.49-9.15-0.86-0.98-2.08)+1000</f>
        <v>1363</v>
      </c>
      <c r="H247" s="502"/>
      <c r="I247" s="337">
        <f>F247-G247-H247</f>
        <v>12407</v>
      </c>
      <c r="J247" s="338" t="s">
        <v>156</v>
      </c>
      <c r="K247" s="338">
        <v>1</v>
      </c>
      <c r="L247" s="338"/>
      <c r="M247" s="338">
        <v>1</v>
      </c>
      <c r="N247" s="338">
        <v>1</v>
      </c>
      <c r="O247" s="322">
        <v>0</v>
      </c>
      <c r="P247" s="338">
        <v>1</v>
      </c>
      <c r="Q247" s="338"/>
      <c r="R247" s="338"/>
      <c r="S247" s="339"/>
      <c r="T247" s="127"/>
      <c r="U247" s="135" t="s">
        <v>1500</v>
      </c>
      <c r="V247" s="129">
        <v>1514.7</v>
      </c>
      <c r="W247" s="340"/>
      <c r="X247" s="341"/>
    </row>
    <row r="248" spans="1:24" s="342" customFormat="1">
      <c r="A248" s="356">
        <v>0.05</v>
      </c>
      <c r="B248" s="333">
        <f t="shared" ref="B248" si="54">B247+1</f>
        <v>2</v>
      </c>
      <c r="C248" s="350">
        <v>45863</v>
      </c>
      <c r="D248" s="263">
        <v>71760</v>
      </c>
      <c r="E248" s="358" t="s">
        <v>1495</v>
      </c>
      <c r="F248" s="352">
        <v>8019.6</v>
      </c>
      <c r="G248" s="352">
        <f>39.7+750</f>
        <v>789.7</v>
      </c>
      <c r="H248" s="352"/>
      <c r="I248" s="353">
        <f>F248-G248-H248</f>
        <v>7229.9000000000005</v>
      </c>
      <c r="J248" s="354" t="s">
        <v>156</v>
      </c>
      <c r="K248" s="354">
        <v>1</v>
      </c>
      <c r="L248" s="354"/>
      <c r="M248" s="354">
        <v>1</v>
      </c>
      <c r="N248" s="354">
        <v>1</v>
      </c>
      <c r="O248" s="354">
        <v>1</v>
      </c>
      <c r="P248" s="314">
        <v>0</v>
      </c>
      <c r="Q248" s="354"/>
      <c r="R248" s="354"/>
      <c r="S248" s="355"/>
      <c r="T248" s="127"/>
      <c r="U248" s="135" t="s">
        <v>1501</v>
      </c>
      <c r="V248" s="129">
        <f>880</f>
        <v>880</v>
      </c>
      <c r="W248" s="340"/>
      <c r="X248" s="341"/>
    </row>
    <row r="249" spans="1:24" s="342" customFormat="1">
      <c r="A249" s="128"/>
      <c r="B249" s="132"/>
      <c r="C249" s="122"/>
      <c r="D249" s="123"/>
      <c r="E249" s="123"/>
      <c r="F249" s="133">
        <f>SUM(F247:F248)</f>
        <v>21789.599999999999</v>
      </c>
      <c r="G249" s="133">
        <f>SUM(G247:G248)</f>
        <v>2152.6999999999998</v>
      </c>
      <c r="H249" s="133">
        <f>SUM(H247:H248)</f>
        <v>0</v>
      </c>
      <c r="I249" s="134">
        <f>SUM(I247:I248)</f>
        <v>19636.900000000001</v>
      </c>
      <c r="J249" s="127"/>
      <c r="K249" s="64"/>
      <c r="L249" s="64"/>
      <c r="M249" s="64"/>
      <c r="N249" s="64"/>
      <c r="O249" s="64"/>
      <c r="P249" s="64"/>
      <c r="Q249" s="64"/>
      <c r="R249" s="64"/>
      <c r="S249" s="64"/>
      <c r="T249" s="127"/>
      <c r="U249" s="135"/>
      <c r="V249" s="129"/>
      <c r="W249" s="130"/>
      <c r="X249" s="131"/>
    </row>
    <row r="250" spans="1:24">
      <c r="A250" s="2"/>
      <c r="B250" s="11"/>
      <c r="C250" s="36"/>
      <c r="D250" s="10"/>
      <c r="E250" s="10"/>
      <c r="F250" s="88"/>
      <c r="G250" s="88"/>
      <c r="H250" s="88"/>
      <c r="I250" s="99"/>
      <c r="J250" s="63"/>
      <c r="K250" s="21"/>
      <c r="L250" s="21"/>
      <c r="M250" s="21"/>
      <c r="N250" s="21"/>
      <c r="O250" s="21"/>
      <c r="P250" s="21"/>
      <c r="Q250" s="21"/>
      <c r="R250" s="21"/>
      <c r="S250" s="21"/>
      <c r="T250" s="63"/>
      <c r="U250" s="94"/>
      <c r="V250" s="90"/>
      <c r="W250" s="91"/>
      <c r="X250" s="92"/>
    </row>
    <row r="251" spans="1:24" s="434" customFormat="1" ht="13.5">
      <c r="A251" s="10"/>
      <c r="B251" s="100" t="s">
        <v>152</v>
      </c>
      <c r="C251" s="36"/>
      <c r="D251" s="10"/>
      <c r="E251" s="10"/>
      <c r="F251" s="88"/>
      <c r="G251" s="62"/>
      <c r="H251" s="88"/>
      <c r="I251" s="99"/>
      <c r="J251" s="63"/>
      <c r="K251" s="10"/>
      <c r="L251" s="10"/>
      <c r="M251" s="10"/>
      <c r="N251" s="10"/>
      <c r="O251" s="10"/>
      <c r="P251" s="123"/>
      <c r="Q251" s="10"/>
      <c r="R251" s="10"/>
      <c r="S251" s="10"/>
      <c r="T251" s="63"/>
      <c r="U251" s="10"/>
      <c r="V251" s="90"/>
      <c r="W251" s="91"/>
      <c r="X251" s="92"/>
    </row>
    <row r="252" spans="1:24" s="434" customFormat="1" ht="13.5">
      <c r="A252" s="31">
        <v>0.05</v>
      </c>
      <c r="B252" s="87">
        <v>1</v>
      </c>
      <c r="C252" s="274">
        <v>45847</v>
      </c>
      <c r="D252" s="320" t="s">
        <v>1472</v>
      </c>
      <c r="E252" s="276" t="s">
        <v>1419</v>
      </c>
      <c r="F252" s="277">
        <v>17023</v>
      </c>
      <c r="G252" s="277">
        <f>39.7+107.63+330+(289.11+195.23)+(37.74)+1500</f>
        <v>2499.41</v>
      </c>
      <c r="H252" s="277">
        <f>F252*0.2</f>
        <v>3404.6000000000004</v>
      </c>
      <c r="I252" s="321">
        <f>F252-G252-H252</f>
        <v>11118.99</v>
      </c>
      <c r="J252" s="279" t="s">
        <v>313</v>
      </c>
      <c r="K252" s="279">
        <v>1</v>
      </c>
      <c r="L252" s="279">
        <v>1</v>
      </c>
      <c r="M252" s="279"/>
      <c r="N252" s="279">
        <v>1</v>
      </c>
      <c r="O252" s="279">
        <v>1</v>
      </c>
      <c r="P252" s="322">
        <v>0</v>
      </c>
      <c r="Q252" s="279">
        <v>1</v>
      </c>
      <c r="R252" s="279">
        <v>1</v>
      </c>
      <c r="S252" s="280">
        <v>1</v>
      </c>
      <c r="T252" s="63"/>
      <c r="U252" s="94" t="s">
        <v>1473</v>
      </c>
      <c r="V252" s="90"/>
      <c r="W252" s="136"/>
      <c r="X252" s="137"/>
    </row>
    <row r="253" spans="1:24" s="434" customFormat="1" ht="13.5">
      <c r="A253" s="31">
        <v>0.05</v>
      </c>
      <c r="B253" s="87">
        <f>B252+1</f>
        <v>2</v>
      </c>
      <c r="C253" s="262">
        <v>45848</v>
      </c>
      <c r="D253" s="263">
        <v>71373</v>
      </c>
      <c r="E253" s="264" t="s">
        <v>1338</v>
      </c>
      <c r="F253" s="265">
        <v>2681</v>
      </c>
      <c r="G253" s="265">
        <f>39.7</f>
        <v>39.700000000000003</v>
      </c>
      <c r="H253" s="265"/>
      <c r="I253" s="266">
        <f>F253-G253-H253</f>
        <v>2641.3</v>
      </c>
      <c r="J253" s="267" t="s">
        <v>156</v>
      </c>
      <c r="K253" s="267">
        <v>1</v>
      </c>
      <c r="L253" s="267">
        <v>1</v>
      </c>
      <c r="M253" s="267">
        <v>1</v>
      </c>
      <c r="N253" s="267">
        <v>1</v>
      </c>
      <c r="O253" s="267">
        <v>1</v>
      </c>
      <c r="P253" s="314">
        <v>0</v>
      </c>
      <c r="Q253" s="314">
        <v>0</v>
      </c>
      <c r="R253" s="314">
        <v>0</v>
      </c>
      <c r="S253" s="366">
        <v>0</v>
      </c>
      <c r="T253" s="63"/>
      <c r="U253" s="10"/>
      <c r="V253" s="90"/>
      <c r="W253" s="91"/>
      <c r="X253" s="92"/>
    </row>
    <row r="254" spans="1:24" s="260" customFormat="1">
      <c r="A254" s="261">
        <v>0.05</v>
      </c>
      <c r="B254" s="87">
        <f>B253+1</f>
        <v>3</v>
      </c>
      <c r="C254" s="262">
        <v>45855</v>
      </c>
      <c r="D254" s="263">
        <v>71488</v>
      </c>
      <c r="E254" s="264" t="s">
        <v>218</v>
      </c>
      <c r="F254" s="265">
        <v>2034.9</v>
      </c>
      <c r="G254" s="265">
        <f>39.7+(412.27)</f>
        <v>451.96999999999997</v>
      </c>
      <c r="H254" s="265"/>
      <c r="I254" s="272">
        <f>F254-G254-H254</f>
        <v>1582.93</v>
      </c>
      <c r="J254" s="267" t="s">
        <v>156</v>
      </c>
      <c r="K254" s="267">
        <v>1</v>
      </c>
      <c r="L254" s="267">
        <v>1</v>
      </c>
      <c r="M254" s="267">
        <v>1</v>
      </c>
      <c r="N254" s="267">
        <v>0</v>
      </c>
      <c r="O254" s="267">
        <v>0</v>
      </c>
      <c r="P254" s="267">
        <v>0</v>
      </c>
      <c r="Q254" s="267">
        <v>1</v>
      </c>
      <c r="R254" s="267">
        <v>1</v>
      </c>
      <c r="S254" s="269">
        <v>0</v>
      </c>
      <c r="T254" s="63"/>
      <c r="U254" s="10" t="s">
        <v>1502</v>
      </c>
      <c r="V254" s="90"/>
      <c r="W254" s="91"/>
      <c r="X254" s="92"/>
    </row>
    <row r="255" spans="1:24" s="434" customFormat="1" ht="13.5">
      <c r="A255" s="10"/>
      <c r="B255" s="11"/>
      <c r="C255" s="36"/>
      <c r="D255" s="10"/>
      <c r="E255" s="10"/>
      <c r="F255" s="98">
        <f>SUM(F252:F254)</f>
        <v>21738.9</v>
      </c>
      <c r="G255" s="98">
        <f>SUM(G252:G254)</f>
        <v>2991.0799999999995</v>
      </c>
      <c r="H255" s="98">
        <f>SUM(H252:H254)</f>
        <v>3404.6000000000004</v>
      </c>
      <c r="I255" s="98">
        <f>SUM(I252:I254)</f>
        <v>15343.220000000001</v>
      </c>
      <c r="J255" s="63"/>
      <c r="K255" s="21"/>
      <c r="L255" s="21"/>
      <c r="M255" s="21"/>
      <c r="N255" s="21"/>
      <c r="O255" s="21"/>
      <c r="P255" s="21"/>
      <c r="Q255" s="21"/>
      <c r="R255" s="21"/>
      <c r="S255" s="21"/>
      <c r="T255" s="63"/>
      <c r="U255" s="10"/>
      <c r="V255" s="90"/>
      <c r="W255" s="91"/>
      <c r="X255" s="92"/>
    </row>
    <row r="256" spans="1:24" s="434" customFormat="1" ht="13.5">
      <c r="A256" s="10"/>
      <c r="B256" s="11"/>
      <c r="C256" s="36"/>
      <c r="D256" s="10"/>
      <c r="E256" s="10"/>
      <c r="F256" s="88"/>
      <c r="G256" s="88"/>
      <c r="H256" s="88"/>
      <c r="I256" s="99"/>
      <c r="J256" s="63"/>
      <c r="K256" s="21"/>
      <c r="L256" s="21"/>
      <c r="M256" s="21"/>
      <c r="N256" s="21"/>
      <c r="O256" s="21"/>
      <c r="P256" s="21"/>
      <c r="Q256" s="21"/>
      <c r="R256" s="21"/>
      <c r="S256" s="21"/>
      <c r="T256" s="63"/>
      <c r="U256" s="10"/>
      <c r="V256" s="90"/>
      <c r="W256" s="91"/>
      <c r="X256" s="92"/>
    </row>
    <row r="257" spans="1:24">
      <c r="A257" s="2"/>
      <c r="B257" s="100" t="s">
        <v>72</v>
      </c>
      <c r="C257" s="36"/>
      <c r="D257" s="10"/>
      <c r="E257" s="10"/>
      <c r="F257" s="88"/>
      <c r="G257" s="88"/>
      <c r="H257" s="88"/>
      <c r="I257" s="99"/>
      <c r="J257" s="63"/>
      <c r="K257" s="63"/>
      <c r="L257" s="63"/>
      <c r="M257" s="63"/>
      <c r="N257" s="63"/>
      <c r="O257" s="63"/>
      <c r="P257" s="63"/>
      <c r="Q257" s="63"/>
      <c r="R257" s="63"/>
      <c r="S257" s="63"/>
      <c r="T257" s="63"/>
      <c r="U257" s="10"/>
      <c r="V257" s="90"/>
      <c r="W257" s="91"/>
      <c r="X257" s="92"/>
    </row>
    <row r="258" spans="1:24">
      <c r="A258" s="2"/>
      <c r="B258" s="87">
        <v>1</v>
      </c>
      <c r="C258" s="274">
        <v>45859</v>
      </c>
      <c r="D258" s="276">
        <v>71595</v>
      </c>
      <c r="E258" s="276" t="s">
        <v>149</v>
      </c>
      <c r="F258" s="277">
        <v>2736</v>
      </c>
      <c r="G258" s="277">
        <v>39.700000000000003</v>
      </c>
      <c r="H258" s="277"/>
      <c r="I258" s="278">
        <f>F258-G258-H258</f>
        <v>2696.3</v>
      </c>
      <c r="J258" s="279" t="s">
        <v>205</v>
      </c>
      <c r="K258" s="279">
        <v>1</v>
      </c>
      <c r="L258" s="279"/>
      <c r="M258" s="279"/>
      <c r="N258" s="279">
        <v>1</v>
      </c>
      <c r="O258" s="279"/>
      <c r="P258" s="279"/>
      <c r="Q258" s="279">
        <v>1</v>
      </c>
      <c r="R258" s="279"/>
      <c r="S258" s="280">
        <v>1</v>
      </c>
      <c r="T258" s="63"/>
      <c r="U258" s="3"/>
      <c r="V258" s="90"/>
      <c r="W258" s="91"/>
      <c r="X258" s="92"/>
    </row>
    <row r="259" spans="1:24">
      <c r="A259" s="2"/>
      <c r="B259" s="87">
        <f>B258+1</f>
        <v>2</v>
      </c>
      <c r="C259" s="295">
        <v>45859</v>
      </c>
      <c r="D259" s="10">
        <v>71594</v>
      </c>
      <c r="E259" s="10" t="s">
        <v>604</v>
      </c>
      <c r="F259" s="62">
        <v>0</v>
      </c>
      <c r="G259" s="62"/>
      <c r="H259" s="62"/>
      <c r="I259" s="89">
        <f>F259-G259-H259</f>
        <v>0</v>
      </c>
      <c r="J259" s="63" t="s">
        <v>205</v>
      </c>
      <c r="K259" s="63"/>
      <c r="L259" s="63"/>
      <c r="M259" s="63"/>
      <c r="N259" s="63"/>
      <c r="O259" s="63"/>
      <c r="P259" s="63"/>
      <c r="Q259" s="63"/>
      <c r="R259" s="63"/>
      <c r="S259" s="296"/>
      <c r="T259" s="63"/>
      <c r="U259" s="10"/>
      <c r="V259" s="90"/>
      <c r="W259" s="136"/>
      <c r="X259" s="137"/>
    </row>
    <row r="260" spans="1:24">
      <c r="A260" s="2"/>
      <c r="B260" s="87">
        <f>B259+1</f>
        <v>3</v>
      </c>
      <c r="C260" s="295">
        <v>45859</v>
      </c>
      <c r="D260" s="10">
        <v>71598</v>
      </c>
      <c r="E260" s="10" t="s">
        <v>778</v>
      </c>
      <c r="F260" s="62">
        <v>0</v>
      </c>
      <c r="G260" s="62"/>
      <c r="H260" s="62"/>
      <c r="I260" s="89">
        <f>F260-G260-H260</f>
        <v>0</v>
      </c>
      <c r="J260" s="63" t="s">
        <v>205</v>
      </c>
      <c r="K260" s="63"/>
      <c r="L260" s="63"/>
      <c r="M260" s="63"/>
      <c r="N260" s="63"/>
      <c r="O260" s="63"/>
      <c r="P260" s="63"/>
      <c r="Q260" s="63"/>
      <c r="R260" s="63"/>
      <c r="S260" s="296"/>
      <c r="T260" s="63"/>
      <c r="U260" s="10"/>
      <c r="V260" s="90"/>
      <c r="W260" s="136"/>
      <c r="X260" s="137"/>
    </row>
    <row r="261" spans="1:24">
      <c r="A261" s="2"/>
      <c r="B261" s="87">
        <f t="shared" ref="B261:B273" si="55">B260+1</f>
        <v>4</v>
      </c>
      <c r="C261" s="295">
        <v>45859</v>
      </c>
      <c r="D261" s="10">
        <v>71576</v>
      </c>
      <c r="E261" s="10" t="s">
        <v>305</v>
      </c>
      <c r="F261" s="62">
        <v>2562</v>
      </c>
      <c r="G261" s="62">
        <v>39.700000000000003</v>
      </c>
      <c r="H261" s="62"/>
      <c r="I261" s="89">
        <f>F261-G261-H261</f>
        <v>2522.3000000000002</v>
      </c>
      <c r="J261" s="63" t="s">
        <v>156</v>
      </c>
      <c r="K261" s="63">
        <v>1</v>
      </c>
      <c r="L261" s="63"/>
      <c r="M261" s="63">
        <v>1</v>
      </c>
      <c r="N261" s="63">
        <v>1</v>
      </c>
      <c r="O261" s="63"/>
      <c r="P261" s="63"/>
      <c r="Q261" s="63"/>
      <c r="R261" s="63"/>
      <c r="S261" s="296"/>
      <c r="T261" s="63"/>
      <c r="U261" s="10"/>
      <c r="V261" s="90">
        <v>93.5</v>
      </c>
      <c r="W261" s="136"/>
      <c r="X261" s="137"/>
    </row>
    <row r="262" spans="1:24">
      <c r="A262" s="2"/>
      <c r="B262" s="87">
        <f t="shared" si="55"/>
        <v>5</v>
      </c>
      <c r="C262" s="295">
        <v>45859</v>
      </c>
      <c r="D262" s="3">
        <v>71640</v>
      </c>
      <c r="E262" s="10" t="s">
        <v>382</v>
      </c>
      <c r="F262" s="62">
        <v>0</v>
      </c>
      <c r="G262" s="62"/>
      <c r="H262" s="62"/>
      <c r="I262" s="89">
        <f>F262-G262-H262</f>
        <v>0</v>
      </c>
      <c r="J262" s="63" t="s">
        <v>205</v>
      </c>
      <c r="K262" s="63"/>
      <c r="L262" s="63"/>
      <c r="M262" s="63"/>
      <c r="N262" s="63"/>
      <c r="O262" s="63"/>
      <c r="P262" s="63"/>
      <c r="Q262" s="63"/>
      <c r="R262" s="63"/>
      <c r="S262" s="296"/>
      <c r="V262" s="90"/>
      <c r="W262" s="136"/>
      <c r="X262" s="137"/>
    </row>
    <row r="263" spans="1:24">
      <c r="A263" s="2"/>
      <c r="B263" s="87">
        <f t="shared" si="55"/>
        <v>6</v>
      </c>
      <c r="C263" s="295">
        <v>45859</v>
      </c>
      <c r="D263" s="10">
        <v>71619</v>
      </c>
      <c r="E263" s="10" t="s">
        <v>751</v>
      </c>
      <c r="F263" s="62">
        <v>1861</v>
      </c>
      <c r="G263" s="62">
        <v>39.700000000000003</v>
      </c>
      <c r="H263" s="62"/>
      <c r="I263" s="89">
        <f>F263-G263-H263</f>
        <v>1821.3</v>
      </c>
      <c r="J263" s="63" t="s">
        <v>205</v>
      </c>
      <c r="K263" s="63">
        <v>1</v>
      </c>
      <c r="L263" s="63"/>
      <c r="M263" s="63"/>
      <c r="N263" s="63">
        <v>1</v>
      </c>
      <c r="O263" s="63"/>
      <c r="P263" s="63"/>
      <c r="Q263" s="63">
        <v>1</v>
      </c>
      <c r="R263" s="63">
        <v>1</v>
      </c>
      <c r="S263" s="296"/>
      <c r="T263" s="63"/>
      <c r="U263" s="10"/>
      <c r="V263" s="90"/>
      <c r="W263" s="136"/>
      <c r="X263" s="137"/>
    </row>
    <row r="264" spans="1:24">
      <c r="A264" s="2"/>
      <c r="B264" s="87">
        <f>B263+1</f>
        <v>7</v>
      </c>
      <c r="C264" s="274">
        <v>45860</v>
      </c>
      <c r="D264" s="276">
        <v>71620</v>
      </c>
      <c r="E264" s="281" t="s">
        <v>1055</v>
      </c>
      <c r="F264" s="277">
        <v>1861</v>
      </c>
      <c r="G264" s="277">
        <v>39.700000000000003</v>
      </c>
      <c r="H264" s="277"/>
      <c r="I264" s="278">
        <f>F264-G264-H264</f>
        <v>1821.3</v>
      </c>
      <c r="J264" s="279" t="s">
        <v>205</v>
      </c>
      <c r="K264" s="279"/>
      <c r="L264" s="279"/>
      <c r="M264" s="279"/>
      <c r="N264" s="279">
        <v>1</v>
      </c>
      <c r="O264" s="279"/>
      <c r="P264" s="279"/>
      <c r="Q264" s="279">
        <v>1</v>
      </c>
      <c r="R264" s="279">
        <v>1</v>
      </c>
      <c r="S264" s="280">
        <v>1</v>
      </c>
      <c r="T264" s="63"/>
      <c r="U264" s="10"/>
      <c r="V264" s="90"/>
      <c r="W264" s="136"/>
      <c r="X264" s="137"/>
    </row>
    <row r="265" spans="1:24">
      <c r="A265" s="2"/>
      <c r="B265" s="87">
        <f t="shared" si="55"/>
        <v>8</v>
      </c>
      <c r="C265" s="295">
        <v>45860</v>
      </c>
      <c r="D265" s="10">
        <v>71631</v>
      </c>
      <c r="E265" s="101" t="s">
        <v>1503</v>
      </c>
      <c r="F265" s="62">
        <v>2496</v>
      </c>
      <c r="G265" s="62">
        <v>39.700000000000003</v>
      </c>
      <c r="H265" s="62"/>
      <c r="I265" s="89">
        <f>F265-G265-H265</f>
        <v>2456.3000000000002</v>
      </c>
      <c r="J265" s="63" t="s">
        <v>205</v>
      </c>
      <c r="K265" s="63">
        <v>1</v>
      </c>
      <c r="L265" s="63"/>
      <c r="M265" s="63"/>
      <c r="N265" s="63">
        <v>1</v>
      </c>
      <c r="O265" s="63"/>
      <c r="P265" s="63"/>
      <c r="Q265" s="63">
        <v>1</v>
      </c>
      <c r="R265" s="63">
        <v>1</v>
      </c>
      <c r="S265" s="296">
        <v>1</v>
      </c>
      <c r="T265" s="63"/>
      <c r="U265" s="10"/>
      <c r="V265" s="90"/>
      <c r="W265" s="136"/>
      <c r="X265" s="137"/>
    </row>
    <row r="266" spans="1:24">
      <c r="A266" s="2"/>
      <c r="B266" s="87">
        <f t="shared" si="55"/>
        <v>9</v>
      </c>
      <c r="C266" s="295">
        <v>45860</v>
      </c>
      <c r="D266" s="10">
        <v>71659</v>
      </c>
      <c r="E266" s="101" t="s">
        <v>1072</v>
      </c>
      <c r="F266" s="62">
        <v>0</v>
      </c>
      <c r="G266" s="62">
        <v>0</v>
      </c>
      <c r="H266" s="62"/>
      <c r="I266" s="89">
        <f>F266-G266-H266</f>
        <v>0</v>
      </c>
      <c r="J266" s="63" t="s">
        <v>219</v>
      </c>
      <c r="K266" s="63"/>
      <c r="L266" s="63"/>
      <c r="M266" s="63"/>
      <c r="N266" s="63"/>
      <c r="O266" s="63"/>
      <c r="P266" s="63"/>
      <c r="Q266" s="63"/>
      <c r="R266" s="63"/>
      <c r="S266" s="296"/>
      <c r="T266" s="63"/>
      <c r="U266" s="10"/>
      <c r="V266" s="90"/>
      <c r="W266" s="136"/>
      <c r="X266" s="137"/>
    </row>
    <row r="267" spans="1:24">
      <c r="A267" s="2"/>
      <c r="B267" s="87">
        <f t="shared" si="55"/>
        <v>10</v>
      </c>
      <c r="C267" s="274">
        <v>45861</v>
      </c>
      <c r="D267" s="276">
        <v>71666</v>
      </c>
      <c r="E267" s="281" t="s">
        <v>1447</v>
      </c>
      <c r="F267" s="277">
        <v>861</v>
      </c>
      <c r="G267" s="277">
        <v>39.700000000000003</v>
      </c>
      <c r="H267" s="277"/>
      <c r="I267" s="278">
        <f>F267-G267-H267</f>
        <v>821.3</v>
      </c>
      <c r="J267" s="279" t="s">
        <v>205</v>
      </c>
      <c r="K267" s="279">
        <v>1</v>
      </c>
      <c r="L267" s="279"/>
      <c r="M267" s="279"/>
      <c r="N267" s="279">
        <v>1</v>
      </c>
      <c r="O267" s="279"/>
      <c r="P267" s="279"/>
      <c r="Q267" s="279">
        <v>1</v>
      </c>
      <c r="R267" s="279">
        <v>1</v>
      </c>
      <c r="S267" s="280">
        <v>1</v>
      </c>
      <c r="T267" s="63"/>
      <c r="U267" s="10"/>
      <c r="V267" s="90"/>
      <c r="W267" s="136"/>
      <c r="X267" s="137"/>
    </row>
    <row r="268" spans="1:24">
      <c r="A268" s="2"/>
      <c r="B268" s="87">
        <f t="shared" si="55"/>
        <v>11</v>
      </c>
      <c r="C268" s="295">
        <v>45861</v>
      </c>
      <c r="D268" s="10">
        <v>71638</v>
      </c>
      <c r="E268" s="101" t="s">
        <v>447</v>
      </c>
      <c r="F268" s="62">
        <v>2361</v>
      </c>
      <c r="G268" s="62">
        <v>39.700000000000003</v>
      </c>
      <c r="H268" s="62"/>
      <c r="I268" s="89">
        <f>F268-G268-H268</f>
        <v>2321.3000000000002</v>
      </c>
      <c r="J268" s="63" t="s">
        <v>205</v>
      </c>
      <c r="K268" s="63">
        <v>1</v>
      </c>
      <c r="L268" s="63"/>
      <c r="M268" s="63"/>
      <c r="N268" s="63">
        <v>1</v>
      </c>
      <c r="O268" s="63"/>
      <c r="P268" s="63"/>
      <c r="Q268" s="63"/>
      <c r="R268" s="63"/>
      <c r="S268" s="296"/>
      <c r="T268" s="63"/>
      <c r="U268" s="10"/>
      <c r="V268" s="90"/>
      <c r="W268" s="136"/>
      <c r="X268" s="137"/>
    </row>
    <row r="269" spans="1:24">
      <c r="A269" s="2"/>
      <c r="B269" s="87">
        <f t="shared" si="55"/>
        <v>12</v>
      </c>
      <c r="C269" s="295">
        <v>45861</v>
      </c>
      <c r="D269" s="10">
        <v>71586</v>
      </c>
      <c r="E269" s="101" t="s">
        <v>1256</v>
      </c>
      <c r="F269" s="62">
        <v>681</v>
      </c>
      <c r="G269" s="62"/>
      <c r="H269" s="62"/>
      <c r="I269" s="89">
        <f>F269-G269-H269</f>
        <v>681</v>
      </c>
      <c r="J269" s="63" t="s">
        <v>205</v>
      </c>
      <c r="K269" s="63">
        <v>1</v>
      </c>
      <c r="L269" s="63">
        <v>1</v>
      </c>
      <c r="M269" s="63"/>
      <c r="N269" s="63">
        <v>1</v>
      </c>
      <c r="O269" s="63">
        <v>1</v>
      </c>
      <c r="P269" s="63">
        <v>1</v>
      </c>
      <c r="Q269" s="63"/>
      <c r="R269" s="63"/>
      <c r="S269" s="296"/>
      <c r="T269" s="63"/>
      <c r="U269" s="10"/>
      <c r="V269" s="90"/>
      <c r="W269" s="136"/>
      <c r="X269" s="137"/>
    </row>
    <row r="270" spans="1:24">
      <c r="A270" s="2"/>
      <c r="B270" s="87">
        <f t="shared" si="55"/>
        <v>13</v>
      </c>
      <c r="C270" s="295">
        <v>45861</v>
      </c>
      <c r="D270" s="77" t="s">
        <v>1504</v>
      </c>
      <c r="E270" s="101" t="s">
        <v>1256</v>
      </c>
      <c r="F270" s="62">
        <v>0</v>
      </c>
      <c r="G270" s="62"/>
      <c r="H270" s="62"/>
      <c r="I270" s="89">
        <f>F270-G270-H270</f>
        <v>0</v>
      </c>
      <c r="J270" s="63" t="s">
        <v>219</v>
      </c>
      <c r="K270" s="63"/>
      <c r="L270" s="63"/>
      <c r="M270" s="63"/>
      <c r="N270" s="63"/>
      <c r="O270" s="63"/>
      <c r="P270" s="63"/>
      <c r="Q270" s="63"/>
      <c r="R270" s="63"/>
      <c r="S270" s="296"/>
      <c r="T270" s="63"/>
      <c r="U270" s="10"/>
      <c r="V270" s="90"/>
      <c r="W270" s="136"/>
      <c r="X270" s="137"/>
    </row>
    <row r="271" spans="1:24">
      <c r="A271" s="2"/>
      <c r="B271" s="87">
        <f t="shared" si="55"/>
        <v>14</v>
      </c>
      <c r="C271" s="295">
        <v>45861</v>
      </c>
      <c r="D271" s="10" t="s">
        <v>1505</v>
      </c>
      <c r="E271" s="101" t="s">
        <v>1256</v>
      </c>
      <c r="F271" s="62">
        <v>22156.2</v>
      </c>
      <c r="G271" s="62">
        <v>39.700000000000003</v>
      </c>
      <c r="H271" s="62"/>
      <c r="I271" s="89">
        <f>F271-G271-H271</f>
        <v>22116.5</v>
      </c>
      <c r="J271" s="63" t="s">
        <v>205</v>
      </c>
      <c r="K271" s="63"/>
      <c r="L271" s="63"/>
      <c r="M271" s="63"/>
      <c r="N271" s="63">
        <v>1</v>
      </c>
      <c r="O271" s="63"/>
      <c r="P271" s="63"/>
      <c r="Q271" s="63"/>
      <c r="R271" s="63"/>
      <c r="S271" s="296"/>
      <c r="T271" s="63"/>
      <c r="U271" s="10"/>
      <c r="V271" s="90"/>
      <c r="W271" s="136"/>
      <c r="X271" s="137"/>
    </row>
    <row r="272" spans="1:24">
      <c r="A272" s="2"/>
      <c r="B272" s="87">
        <f t="shared" si="55"/>
        <v>15</v>
      </c>
      <c r="C272" s="295">
        <v>45861</v>
      </c>
      <c r="D272" s="10" t="s">
        <v>1506</v>
      </c>
      <c r="E272" s="10" t="s">
        <v>1494</v>
      </c>
      <c r="F272" s="62">
        <v>681</v>
      </c>
      <c r="G272" s="62"/>
      <c r="H272" s="62"/>
      <c r="I272" s="89">
        <f>F272-G272-H272</f>
        <v>681</v>
      </c>
      <c r="J272" s="63" t="s">
        <v>205</v>
      </c>
      <c r="K272" s="63">
        <v>1</v>
      </c>
      <c r="L272" s="63"/>
      <c r="M272" s="63"/>
      <c r="N272" s="63">
        <v>1</v>
      </c>
      <c r="O272" s="63"/>
      <c r="P272" s="63"/>
      <c r="Q272" s="63"/>
      <c r="R272" s="63"/>
      <c r="S272" s="296"/>
      <c r="T272" s="63"/>
      <c r="U272" s="10"/>
      <c r="V272" s="90"/>
      <c r="W272" s="136"/>
      <c r="X272" s="137"/>
    </row>
    <row r="273" spans="1:24">
      <c r="A273" s="2"/>
      <c r="B273" s="87">
        <f t="shared" si="55"/>
        <v>16</v>
      </c>
      <c r="C273" s="295">
        <v>45861</v>
      </c>
      <c r="D273" s="10" t="s">
        <v>1507</v>
      </c>
      <c r="E273" s="10" t="s">
        <v>1494</v>
      </c>
      <c r="F273" s="62">
        <v>8614</v>
      </c>
      <c r="G273" s="62">
        <v>39.700000000000003</v>
      </c>
      <c r="H273" s="62"/>
      <c r="I273" s="89">
        <f>F273-G273-H273</f>
        <v>8574.2999999999993</v>
      </c>
      <c r="J273" s="63" t="s">
        <v>205</v>
      </c>
      <c r="K273" s="63">
        <v>1</v>
      </c>
      <c r="L273" s="63"/>
      <c r="M273" s="63"/>
      <c r="N273" s="63">
        <v>1</v>
      </c>
      <c r="O273" s="63"/>
      <c r="P273" s="63"/>
      <c r="Q273" s="63"/>
      <c r="R273" s="63"/>
      <c r="S273" s="296"/>
      <c r="T273" s="63"/>
      <c r="U273" s="10"/>
      <c r="V273" s="90"/>
      <c r="W273" s="136"/>
      <c r="X273" s="137"/>
    </row>
    <row r="274" spans="1:24">
      <c r="A274" s="2"/>
      <c r="B274" s="87">
        <f t="shared" ref="B274:B280" si="56">B273+1</f>
        <v>17</v>
      </c>
      <c r="C274" s="274">
        <v>45862</v>
      </c>
      <c r="D274" s="276">
        <v>71683</v>
      </c>
      <c r="E274" s="276" t="s">
        <v>1169</v>
      </c>
      <c r="F274" s="277">
        <v>5814</v>
      </c>
      <c r="G274" s="277">
        <v>39.700000000000003</v>
      </c>
      <c r="H274" s="277"/>
      <c r="I274" s="278">
        <f>F274-G274-H274</f>
        <v>5774.3</v>
      </c>
      <c r="J274" s="279" t="s">
        <v>205</v>
      </c>
      <c r="K274" s="279">
        <v>1</v>
      </c>
      <c r="L274" s="279"/>
      <c r="M274" s="279"/>
      <c r="N274" s="279">
        <v>1</v>
      </c>
      <c r="O274" s="279"/>
      <c r="P274" s="279"/>
      <c r="Q274" s="279">
        <v>1</v>
      </c>
      <c r="R274" s="279">
        <v>1</v>
      </c>
      <c r="S274" s="280">
        <v>1</v>
      </c>
      <c r="T274" s="63"/>
      <c r="U274" s="10"/>
      <c r="V274" s="90"/>
      <c r="W274" s="136"/>
      <c r="X274" s="137"/>
    </row>
    <row r="275" spans="1:24">
      <c r="A275" s="2"/>
      <c r="B275" s="87">
        <f t="shared" si="56"/>
        <v>18</v>
      </c>
      <c r="C275" s="295">
        <v>45862</v>
      </c>
      <c r="D275" s="10">
        <v>71733</v>
      </c>
      <c r="E275" s="10" t="s">
        <v>1494</v>
      </c>
      <c r="F275" s="62">
        <v>1138</v>
      </c>
      <c r="G275" s="62">
        <v>39.700000000000003</v>
      </c>
      <c r="H275" s="62"/>
      <c r="I275" s="89">
        <f>F275-G275-H275</f>
        <v>1098.3</v>
      </c>
      <c r="J275" s="63" t="s">
        <v>205</v>
      </c>
      <c r="K275" s="63">
        <v>1</v>
      </c>
      <c r="L275" s="63"/>
      <c r="M275" s="63"/>
      <c r="N275" s="63">
        <v>1</v>
      </c>
      <c r="O275" s="63"/>
      <c r="P275" s="63"/>
      <c r="Q275" s="63">
        <v>1</v>
      </c>
      <c r="R275" s="63">
        <v>1</v>
      </c>
      <c r="S275" s="296">
        <v>1</v>
      </c>
      <c r="T275" s="63"/>
      <c r="U275" s="10"/>
      <c r="V275" s="90"/>
      <c r="W275" s="136"/>
      <c r="X275" s="137"/>
    </row>
    <row r="276" spans="1:24">
      <c r="A276" s="2"/>
      <c r="B276" s="87">
        <f t="shared" si="56"/>
        <v>19</v>
      </c>
      <c r="C276" s="295">
        <v>45862</v>
      </c>
      <c r="D276" s="10">
        <v>71634</v>
      </c>
      <c r="E276" s="10" t="s">
        <v>1508</v>
      </c>
      <c r="F276" s="62">
        <v>1861</v>
      </c>
      <c r="G276" s="62">
        <v>39.700000000000003</v>
      </c>
      <c r="H276" s="62"/>
      <c r="I276" s="89">
        <f>F276-G276-H276</f>
        <v>1821.3</v>
      </c>
      <c r="J276" s="63" t="s">
        <v>205</v>
      </c>
      <c r="K276" s="63">
        <v>1</v>
      </c>
      <c r="L276" s="63"/>
      <c r="M276" s="63"/>
      <c r="N276" s="63">
        <v>1</v>
      </c>
      <c r="O276" s="63"/>
      <c r="P276" s="63"/>
      <c r="Q276" s="63">
        <v>1</v>
      </c>
      <c r="R276" s="63">
        <v>1</v>
      </c>
      <c r="S276" s="296">
        <v>1</v>
      </c>
      <c r="T276" s="63"/>
      <c r="U276" s="10"/>
      <c r="V276" s="90"/>
      <c r="W276" s="136"/>
      <c r="X276" s="137"/>
    </row>
    <row r="277" spans="1:24">
      <c r="A277" s="2"/>
      <c r="B277" s="87">
        <f t="shared" si="56"/>
        <v>20</v>
      </c>
      <c r="C277" s="295">
        <v>45862</v>
      </c>
      <c r="D277" s="10">
        <v>71756</v>
      </c>
      <c r="E277" s="10" t="s">
        <v>1509</v>
      </c>
      <c r="F277" s="62">
        <v>0</v>
      </c>
      <c r="G277" s="62"/>
      <c r="H277" s="62"/>
      <c r="I277" s="89">
        <f>F277-G277-H277</f>
        <v>0</v>
      </c>
      <c r="J277" s="63" t="s">
        <v>156</v>
      </c>
      <c r="K277" s="63">
        <v>1</v>
      </c>
      <c r="L277" s="63"/>
      <c r="M277" s="63">
        <v>1</v>
      </c>
      <c r="N277" s="63"/>
      <c r="O277" s="63"/>
      <c r="P277" s="63"/>
      <c r="Q277" s="63"/>
      <c r="R277" s="63"/>
      <c r="S277" s="296"/>
      <c r="T277" s="63"/>
      <c r="U277" s="10"/>
      <c r="V277" s="90">
        <v>203.5</v>
      </c>
      <c r="W277" s="136"/>
      <c r="X277" s="137"/>
    </row>
    <row r="278" spans="1:24">
      <c r="A278" s="2"/>
      <c r="B278" s="87">
        <f t="shared" si="56"/>
        <v>21</v>
      </c>
      <c r="C278" s="295">
        <v>45862</v>
      </c>
      <c r="D278" s="10">
        <v>71741</v>
      </c>
      <c r="E278" s="10" t="s">
        <v>746</v>
      </c>
      <c r="F278" s="62">
        <v>1261</v>
      </c>
      <c r="G278" s="62">
        <v>39.700000000000003</v>
      </c>
      <c r="H278" s="62"/>
      <c r="I278" s="89">
        <f>F278-G278-H278</f>
        <v>1221.3</v>
      </c>
      <c r="J278" s="63" t="s">
        <v>205</v>
      </c>
      <c r="K278" s="63">
        <v>1</v>
      </c>
      <c r="L278" s="63"/>
      <c r="M278" s="63"/>
      <c r="N278" s="63">
        <v>1</v>
      </c>
      <c r="O278" s="63"/>
      <c r="P278" s="63"/>
      <c r="Q278" s="63">
        <v>1</v>
      </c>
      <c r="R278" s="63">
        <v>1</v>
      </c>
      <c r="S278" s="296">
        <v>1</v>
      </c>
      <c r="T278" s="63"/>
      <c r="U278" s="10"/>
      <c r="V278" s="90"/>
      <c r="W278" s="136"/>
      <c r="X278" s="137"/>
    </row>
    <row r="279" spans="1:24">
      <c r="A279" s="2"/>
      <c r="B279" s="87">
        <f t="shared" si="56"/>
        <v>22</v>
      </c>
      <c r="C279" s="295">
        <v>45862</v>
      </c>
      <c r="D279" s="10">
        <v>71745</v>
      </c>
      <c r="E279" s="10" t="s">
        <v>317</v>
      </c>
      <c r="F279" s="62">
        <v>4861</v>
      </c>
      <c r="G279" s="62">
        <v>39.700000000000003</v>
      </c>
      <c r="H279" s="62"/>
      <c r="I279" s="89">
        <f>F279-G279-H279</f>
        <v>4821.3</v>
      </c>
      <c r="J279" s="63" t="s">
        <v>205</v>
      </c>
      <c r="K279" s="63">
        <v>1</v>
      </c>
      <c r="L279" s="63"/>
      <c r="M279" s="63"/>
      <c r="N279" s="63">
        <v>1</v>
      </c>
      <c r="O279" s="63"/>
      <c r="P279" s="63"/>
      <c r="Q279" s="63">
        <v>1</v>
      </c>
      <c r="R279" s="63">
        <v>1</v>
      </c>
      <c r="S279" s="296">
        <v>1</v>
      </c>
      <c r="T279" s="63"/>
      <c r="U279" s="10"/>
      <c r="V279" s="90"/>
      <c r="W279" s="136"/>
      <c r="X279" s="137"/>
    </row>
    <row r="280" spans="1:24">
      <c r="A280" s="2"/>
      <c r="B280" s="87">
        <f t="shared" si="56"/>
        <v>23</v>
      </c>
      <c r="C280" s="274">
        <v>45863</v>
      </c>
      <c r="D280" s="276">
        <v>71534</v>
      </c>
      <c r="E280" s="276" t="s">
        <v>1088</v>
      </c>
      <c r="F280" s="277">
        <v>1681</v>
      </c>
      <c r="G280" s="277">
        <f>39.7</f>
        <v>39.700000000000003</v>
      </c>
      <c r="H280" s="277"/>
      <c r="I280" s="278">
        <f>F280-G280-H280</f>
        <v>1641.3</v>
      </c>
      <c r="J280" s="279" t="s">
        <v>205</v>
      </c>
      <c r="K280" s="279">
        <v>1</v>
      </c>
      <c r="L280" s="279"/>
      <c r="M280" s="279"/>
      <c r="N280" s="279">
        <v>1</v>
      </c>
      <c r="O280" s="279"/>
      <c r="P280" s="279"/>
      <c r="Q280" s="279">
        <v>1</v>
      </c>
      <c r="R280" s="279">
        <v>1</v>
      </c>
      <c r="S280" s="280"/>
      <c r="T280" s="63"/>
      <c r="U280" s="10"/>
      <c r="V280" s="90"/>
      <c r="W280" s="136"/>
      <c r="X280" s="137"/>
    </row>
    <row r="281" spans="1:24">
      <c r="A281" s="2"/>
      <c r="B281" s="87">
        <f>B280+1</f>
        <v>24</v>
      </c>
      <c r="C281" s="295">
        <v>45863</v>
      </c>
      <c r="D281" s="10" t="s">
        <v>1510</v>
      </c>
      <c r="E281" s="10" t="s">
        <v>1117</v>
      </c>
      <c r="F281" s="62">
        <v>18161</v>
      </c>
      <c r="G281" s="62">
        <v>39.700000000000003</v>
      </c>
      <c r="H281" s="62"/>
      <c r="I281" s="89">
        <f>F281-G281-H281</f>
        <v>18121.3</v>
      </c>
      <c r="J281" s="63" t="s">
        <v>205</v>
      </c>
      <c r="K281" s="63">
        <v>1</v>
      </c>
      <c r="L281" s="63"/>
      <c r="M281" s="63"/>
      <c r="N281" s="63">
        <v>1</v>
      </c>
      <c r="O281" s="63"/>
      <c r="P281" s="63"/>
      <c r="Q281" s="63"/>
      <c r="R281" s="63"/>
      <c r="S281" s="296"/>
      <c r="T281" s="63"/>
      <c r="U281" s="10"/>
      <c r="V281" s="90"/>
      <c r="W281" s="136"/>
      <c r="X281" s="137"/>
    </row>
    <row r="282" spans="1:24">
      <c r="A282" s="2"/>
      <c r="B282" s="87">
        <f>B281+1</f>
        <v>25</v>
      </c>
      <c r="C282" s="282">
        <v>45863</v>
      </c>
      <c r="D282" s="283">
        <v>71729</v>
      </c>
      <c r="E282" s="283" t="s">
        <v>1169</v>
      </c>
      <c r="F282" s="284">
        <v>5814</v>
      </c>
      <c r="G282" s="284">
        <v>39.700000000000003</v>
      </c>
      <c r="H282" s="284"/>
      <c r="I282" s="285">
        <f>F282-G282-H282</f>
        <v>5774.3</v>
      </c>
      <c r="J282" s="286" t="s">
        <v>205</v>
      </c>
      <c r="K282" s="286">
        <v>1</v>
      </c>
      <c r="L282" s="286"/>
      <c r="M282" s="286"/>
      <c r="N282" s="286">
        <v>1</v>
      </c>
      <c r="O282" s="286"/>
      <c r="P282" s="286"/>
      <c r="Q282" s="286">
        <v>1</v>
      </c>
      <c r="R282" s="286">
        <v>1</v>
      </c>
      <c r="S282" s="287">
        <v>1</v>
      </c>
      <c r="T282" s="63"/>
      <c r="U282" s="10"/>
      <c r="V282" s="90"/>
      <c r="W282" s="136"/>
      <c r="X282" s="137"/>
    </row>
    <row r="283" spans="1:24">
      <c r="A283" s="2"/>
      <c r="B283" s="11"/>
      <c r="C283" s="36"/>
      <c r="D283" s="10"/>
      <c r="E283" s="10"/>
      <c r="F283" s="97">
        <f>SUM(F258:F282)</f>
        <v>87461.2</v>
      </c>
      <c r="G283" s="97">
        <f>SUM(G258:G282)</f>
        <v>674.90000000000009</v>
      </c>
      <c r="H283" s="97">
        <f>SUM(H258:H282)</f>
        <v>0</v>
      </c>
      <c r="I283" s="98">
        <f>SUM(I258:I282)</f>
        <v>86786.300000000017</v>
      </c>
      <c r="J283" s="10"/>
      <c r="K283" s="10"/>
      <c r="L283" s="10"/>
      <c r="M283" s="10"/>
      <c r="N283" s="10"/>
      <c r="O283" s="10"/>
      <c r="P283" s="10"/>
      <c r="Q283" s="10"/>
      <c r="R283" s="10"/>
      <c r="S283" s="10"/>
      <c r="T283" s="63"/>
      <c r="U283" s="10"/>
      <c r="V283" s="138"/>
      <c r="W283" s="136"/>
      <c r="X283" s="137"/>
    </row>
    <row r="284" spans="1:24">
      <c r="A284" s="2"/>
      <c r="B284" s="26"/>
      <c r="C284" s="140"/>
      <c r="D284" s="141"/>
      <c r="E284" s="141"/>
      <c r="F284" s="141"/>
      <c r="G284" s="141"/>
      <c r="H284" s="141"/>
      <c r="I284" s="141"/>
      <c r="J284" s="141"/>
      <c r="K284" s="142"/>
      <c r="L284" s="142"/>
      <c r="M284" s="142"/>
      <c r="N284" s="142"/>
      <c r="O284" s="142"/>
      <c r="P284" s="142"/>
      <c r="Q284" s="142"/>
      <c r="R284" s="142"/>
      <c r="S284" s="142"/>
      <c r="T284" s="143">
        <f>SUM(T229:T282)</f>
        <v>0</v>
      </c>
      <c r="U284" s="141"/>
      <c r="V284" s="144">
        <f>SUM(V229:V283)</f>
        <v>19006.900000000001</v>
      </c>
      <c r="W284" s="144">
        <f>SUM(W229:W283)</f>
        <v>0</v>
      </c>
      <c r="X284" s="144">
        <f>SUM(X229:X283)</f>
        <v>0</v>
      </c>
    </row>
    <row r="287" spans="1:24">
      <c r="B287" s="4" t="s">
        <v>1</v>
      </c>
      <c r="C287" s="5"/>
      <c r="D287" s="6"/>
      <c r="E287" s="6"/>
      <c r="F287" s="7" t="s">
        <v>2</v>
      </c>
      <c r="G287" s="8">
        <v>45872</v>
      </c>
      <c r="H287" s="7"/>
      <c r="I287" s="6"/>
      <c r="J287" s="6"/>
      <c r="K287" s="6"/>
      <c r="L287" s="6"/>
      <c r="M287" s="6"/>
      <c r="N287" s="6"/>
      <c r="O287" s="6"/>
      <c r="P287" s="6"/>
      <c r="Q287" s="6"/>
      <c r="R287" s="6"/>
      <c r="S287" s="6"/>
      <c r="T287" s="6"/>
      <c r="U287" s="9"/>
      <c r="V287" s="10"/>
      <c r="W287" s="10"/>
      <c r="X287" s="10"/>
    </row>
    <row r="288" spans="1:24">
      <c r="B288" s="11"/>
      <c r="C288" s="10"/>
      <c r="D288" s="10"/>
      <c r="E288" s="10"/>
      <c r="F288" s="10"/>
      <c r="G288" s="7"/>
      <c r="H288" s="12"/>
      <c r="I288" s="10"/>
      <c r="J288" s="10"/>
      <c r="K288" s="13" t="s">
        <v>3</v>
      </c>
      <c r="L288" s="14"/>
      <c r="M288" s="15"/>
      <c r="N288" s="13" t="s">
        <v>4</v>
      </c>
      <c r="O288" s="14"/>
      <c r="P288" s="15"/>
      <c r="Q288" s="13" t="s">
        <v>5</v>
      </c>
      <c r="R288" s="14"/>
      <c r="S288" s="15"/>
      <c r="T288" s="16"/>
      <c r="U288" s="17"/>
      <c r="V288" s="10"/>
      <c r="W288" s="10"/>
      <c r="X288" s="10"/>
    </row>
    <row r="289" spans="2:24">
      <c r="B289" s="18" t="s">
        <v>6</v>
      </c>
      <c r="C289" s="19">
        <f>C290+C291</f>
        <v>27</v>
      </c>
      <c r="D289" s="10"/>
      <c r="E289" s="18" t="s">
        <v>7</v>
      </c>
      <c r="F289" s="6"/>
      <c r="G289" s="9"/>
      <c r="H289" s="10"/>
      <c r="I289" s="10"/>
      <c r="J289" s="10"/>
      <c r="K289" s="20" t="s">
        <v>8</v>
      </c>
      <c r="L289" s="21" t="s">
        <v>9</v>
      </c>
      <c r="M289" s="21" t="s">
        <v>10</v>
      </c>
      <c r="N289" s="20" t="s">
        <v>11</v>
      </c>
      <c r="O289" s="21" t="s">
        <v>12</v>
      </c>
      <c r="P289" s="22" t="s">
        <v>13</v>
      </c>
      <c r="Q289" s="21" t="s">
        <v>11</v>
      </c>
      <c r="R289" s="21" t="s">
        <v>12</v>
      </c>
      <c r="S289" s="22" t="s">
        <v>13</v>
      </c>
      <c r="T289" s="23" t="s">
        <v>14</v>
      </c>
      <c r="U289" s="17"/>
      <c r="V289" s="10"/>
      <c r="W289" s="10"/>
      <c r="X289" s="10"/>
    </row>
    <row r="290" spans="2:24">
      <c r="B290" s="24" t="s">
        <v>15</v>
      </c>
      <c r="C290" s="25">
        <f>P297</f>
        <v>12</v>
      </c>
      <c r="D290" s="10"/>
      <c r="E290" s="26" t="s">
        <v>16</v>
      </c>
      <c r="F290" s="27">
        <v>0.05</v>
      </c>
      <c r="G290" s="28"/>
      <c r="H290" s="10"/>
      <c r="I290" s="10"/>
      <c r="J290" s="18" t="s">
        <v>17</v>
      </c>
      <c r="K290" s="29">
        <f>K327</f>
        <v>12</v>
      </c>
      <c r="L290" s="29">
        <f>L327</f>
        <v>12</v>
      </c>
      <c r="M290" s="29">
        <f>M327</f>
        <v>12</v>
      </c>
      <c r="N290" s="29">
        <f>N327</f>
        <v>12</v>
      </c>
      <c r="O290" s="29">
        <f>O327</f>
        <v>12</v>
      </c>
      <c r="P290" s="29">
        <f>P327</f>
        <v>12</v>
      </c>
      <c r="Q290" s="29">
        <f>Q327</f>
        <v>11</v>
      </c>
      <c r="R290" s="29">
        <f>R327</f>
        <v>9</v>
      </c>
      <c r="S290" s="29">
        <f>S327</f>
        <v>11</v>
      </c>
      <c r="T290" s="30">
        <f>T361</f>
        <v>0</v>
      </c>
      <c r="U290" s="17"/>
      <c r="V290" s="10"/>
      <c r="W290" s="10"/>
      <c r="X290" s="10"/>
    </row>
    <row r="291" spans="2:24">
      <c r="B291" s="24" t="s">
        <v>18</v>
      </c>
      <c r="C291" s="25">
        <f>P298</f>
        <v>15</v>
      </c>
      <c r="D291" s="10"/>
      <c r="E291" s="10"/>
      <c r="F291" s="10"/>
      <c r="G291" s="31"/>
      <c r="H291" s="10"/>
      <c r="I291" s="10"/>
      <c r="J291" s="32" t="s">
        <v>19</v>
      </c>
      <c r="K291" s="33">
        <f>K327/K326</f>
        <v>1</v>
      </c>
      <c r="L291" s="33">
        <f>L327/L326</f>
        <v>1</v>
      </c>
      <c r="M291" s="33">
        <f>M327/M326</f>
        <v>1</v>
      </c>
      <c r="N291" s="33">
        <f>N327/N326</f>
        <v>1</v>
      </c>
      <c r="O291" s="33">
        <f>O327/O326</f>
        <v>1</v>
      </c>
      <c r="P291" s="33">
        <f>P327/P326</f>
        <v>1</v>
      </c>
      <c r="Q291" s="33">
        <f>Q327/Q326</f>
        <v>0.91666666666666663</v>
      </c>
      <c r="R291" s="33">
        <f>R327/R326</f>
        <v>0.75</v>
      </c>
      <c r="S291" s="33">
        <f>S327/S326</f>
        <v>0.91666666666666663</v>
      </c>
      <c r="T291" s="23">
        <v>1</v>
      </c>
      <c r="U291" s="17" t="s">
        <v>20</v>
      </c>
      <c r="V291" s="10"/>
      <c r="W291" s="10"/>
      <c r="X291" s="10"/>
    </row>
    <row r="292" spans="2:24">
      <c r="B292" s="24" t="s">
        <v>21</v>
      </c>
      <c r="C292" s="34">
        <f>P299</f>
        <v>0.44444444444444442</v>
      </c>
      <c r="D292" s="10"/>
      <c r="E292" s="10"/>
      <c r="F292" s="10"/>
      <c r="G292" s="10"/>
      <c r="H292" s="10"/>
      <c r="I292" s="10"/>
      <c r="J292" s="10"/>
      <c r="K292" s="10"/>
      <c r="L292" s="10"/>
      <c r="M292" s="10"/>
      <c r="N292" s="10"/>
      <c r="O292" s="10"/>
      <c r="P292" s="10"/>
      <c r="Q292" s="10"/>
      <c r="R292" s="10"/>
      <c r="S292" s="10"/>
      <c r="T292" s="10"/>
      <c r="U292" s="17"/>
      <c r="V292" s="10"/>
      <c r="W292" s="10"/>
      <c r="X292" s="10"/>
    </row>
    <row r="293" spans="2:24">
      <c r="B293" s="24"/>
      <c r="C293" s="25"/>
      <c r="D293" s="10"/>
      <c r="E293" s="10"/>
      <c r="F293" s="18" t="s">
        <v>22</v>
      </c>
      <c r="G293" s="19" t="s">
        <v>23</v>
      </c>
      <c r="H293" s="35" t="s">
        <v>24</v>
      </c>
      <c r="I293" s="10"/>
      <c r="J293" s="10"/>
      <c r="K293" s="36"/>
      <c r="L293" s="36"/>
      <c r="M293" s="36"/>
      <c r="N293" s="36"/>
      <c r="O293" s="36"/>
      <c r="P293" s="36"/>
      <c r="Q293" s="36"/>
      <c r="R293" s="10"/>
      <c r="S293" s="10"/>
      <c r="T293" s="10"/>
      <c r="U293" s="17"/>
      <c r="V293" s="10"/>
      <c r="W293" s="10"/>
      <c r="X293" s="10"/>
    </row>
    <row r="294" spans="2:24">
      <c r="B294" s="32" t="s">
        <v>25</v>
      </c>
      <c r="C294" s="37">
        <f>P300</f>
        <v>2956.0333333333333</v>
      </c>
      <c r="D294" s="10"/>
      <c r="E294" s="18" t="s">
        <v>26</v>
      </c>
      <c r="F294" s="38">
        <f>P296</f>
        <v>35472.400000000001</v>
      </c>
      <c r="G294" s="39">
        <f>I326</f>
        <v>35472.400000000001</v>
      </c>
      <c r="H294" s="40"/>
      <c r="I294" s="41"/>
      <c r="J294" s="42"/>
      <c r="K294" s="43" t="s">
        <v>27</v>
      </c>
      <c r="L294" s="44"/>
      <c r="M294" s="44"/>
      <c r="N294" s="44"/>
      <c r="O294" s="44"/>
      <c r="P294" s="44"/>
      <c r="Q294" s="45"/>
      <c r="R294" s="46" t="s">
        <v>28</v>
      </c>
      <c r="S294" s="47" t="s">
        <v>29</v>
      </c>
      <c r="T294" s="10"/>
      <c r="U294" s="17"/>
      <c r="V294" s="10"/>
      <c r="W294" s="10"/>
      <c r="X294" s="10"/>
    </row>
    <row r="295" spans="2:24">
      <c r="B295" s="11"/>
      <c r="C295" s="10"/>
      <c r="D295" s="10"/>
      <c r="E295" s="24" t="s">
        <v>30</v>
      </c>
      <c r="F295" s="48">
        <f>F290</f>
        <v>0.05</v>
      </c>
      <c r="G295" s="17"/>
      <c r="H295" s="40"/>
      <c r="I295" s="41"/>
      <c r="J295" s="42"/>
      <c r="K295" s="20" t="s">
        <v>31</v>
      </c>
      <c r="L295" s="21" t="s">
        <v>32</v>
      </c>
      <c r="M295" s="21" t="s">
        <v>33</v>
      </c>
      <c r="N295" s="21" t="s">
        <v>34</v>
      </c>
      <c r="O295" s="21" t="s">
        <v>35</v>
      </c>
      <c r="P295" s="21" t="s">
        <v>36</v>
      </c>
      <c r="Q295" s="49" t="s">
        <v>37</v>
      </c>
      <c r="R295" s="50" t="s">
        <v>38</v>
      </c>
      <c r="S295" s="50" t="s">
        <v>38</v>
      </c>
      <c r="T295" s="10"/>
      <c r="U295" s="17"/>
      <c r="V295" s="10"/>
      <c r="W295" s="10"/>
      <c r="X295" s="10"/>
    </row>
    <row r="296" spans="2:24">
      <c r="B296" s="11"/>
      <c r="C296" s="10"/>
      <c r="D296" s="10"/>
      <c r="E296" s="51" t="s">
        <v>39</v>
      </c>
      <c r="F296" s="52">
        <f>F294*F295</f>
        <v>1773.6200000000001</v>
      </c>
      <c r="G296" s="53" t="s">
        <v>40</v>
      </c>
      <c r="H296" s="54">
        <f>F296/1.12</f>
        <v>1583.5892857142858</v>
      </c>
      <c r="I296" s="55"/>
      <c r="J296" s="42"/>
      <c r="K296" s="56">
        <v>0</v>
      </c>
      <c r="L296" s="57">
        <f>I314+I315+I316+I317</f>
        <v>6441.68</v>
      </c>
      <c r="M296" s="57">
        <f>I318+I319+I320+I321</f>
        <v>13948.609999999999</v>
      </c>
      <c r="N296" s="57">
        <f>I322</f>
        <v>5774.3</v>
      </c>
      <c r="O296" s="57">
        <f>I323+I324+I325</f>
        <v>9307.81</v>
      </c>
      <c r="P296" s="57">
        <f>SUM(K296:O296)</f>
        <v>35472.400000000001</v>
      </c>
      <c r="Q296" s="58">
        <v>0</v>
      </c>
      <c r="R296" s="59">
        <v>0</v>
      </c>
      <c r="S296" s="59">
        <v>0</v>
      </c>
      <c r="T296" s="10"/>
      <c r="U296" s="17"/>
      <c r="V296" s="10"/>
      <c r="W296" s="10"/>
      <c r="X296" s="10"/>
    </row>
    <row r="297" spans="2:24">
      <c r="B297" s="11"/>
      <c r="C297" s="10"/>
      <c r="D297" s="10"/>
      <c r="E297" s="24" t="s">
        <v>41</v>
      </c>
      <c r="F297" s="60">
        <f>Q296</f>
        <v>0</v>
      </c>
      <c r="G297" s="61" t="s">
        <v>40</v>
      </c>
      <c r="H297" s="62"/>
      <c r="I297" s="62"/>
      <c r="J297" s="10" t="s">
        <v>42</v>
      </c>
      <c r="K297" s="63">
        <v>0</v>
      </c>
      <c r="L297" s="63">
        <v>4</v>
      </c>
      <c r="M297" s="63">
        <v>4</v>
      </c>
      <c r="N297" s="63">
        <v>1</v>
      </c>
      <c r="O297" s="63">
        <v>3</v>
      </c>
      <c r="P297" s="21">
        <f>SUM(K297:O297)</f>
        <v>12</v>
      </c>
      <c r="Q297" s="64"/>
      <c r="R297" s="63"/>
      <c r="S297" s="10"/>
      <c r="T297" s="10"/>
      <c r="U297" s="17"/>
      <c r="V297" s="10"/>
      <c r="W297" s="10"/>
      <c r="X297" s="10"/>
    </row>
    <row r="298" spans="2:24">
      <c r="B298" s="11"/>
      <c r="C298" s="10"/>
      <c r="D298" s="10"/>
      <c r="E298" s="51" t="s">
        <v>43</v>
      </c>
      <c r="F298" s="52">
        <f>F297*0.25</f>
        <v>0</v>
      </c>
      <c r="G298" s="53" t="s">
        <v>40</v>
      </c>
      <c r="H298" s="54">
        <f>F298/1.12</f>
        <v>0</v>
      </c>
      <c r="I298" s="10"/>
      <c r="J298" s="10" t="s">
        <v>44</v>
      </c>
      <c r="K298" s="63">
        <v>0</v>
      </c>
      <c r="L298" s="63">
        <v>3</v>
      </c>
      <c r="M298" s="63">
        <v>3</v>
      </c>
      <c r="N298" s="63">
        <v>4</v>
      </c>
      <c r="O298" s="63">
        <v>5</v>
      </c>
      <c r="P298" s="21">
        <f>SUM(K298:O298)</f>
        <v>15</v>
      </c>
      <c r="Q298" s="64"/>
      <c r="R298" s="63"/>
      <c r="S298" s="10"/>
      <c r="T298" s="10"/>
      <c r="U298" s="17"/>
      <c r="V298" s="10"/>
      <c r="W298" s="10"/>
      <c r="X298" s="10"/>
    </row>
    <row r="299" spans="2:24">
      <c r="B299" s="11"/>
      <c r="C299" s="10"/>
      <c r="D299" s="10"/>
      <c r="E299" s="24" t="s">
        <v>45</v>
      </c>
      <c r="F299" s="60">
        <f>I332</f>
        <v>18319.440000000002</v>
      </c>
      <c r="G299" s="61" t="s">
        <v>40</v>
      </c>
      <c r="H299" s="62"/>
      <c r="I299" s="10"/>
      <c r="J299" s="10" t="s">
        <v>46</v>
      </c>
      <c r="K299" s="31" t="e">
        <f>K297/(K297+K298)</f>
        <v>#DIV/0!</v>
      </c>
      <c r="L299" s="31">
        <f>L297/(L297+L298)</f>
        <v>0.5714285714285714</v>
      </c>
      <c r="M299" s="31">
        <f>M297/(M297+M298)</f>
        <v>0.5714285714285714</v>
      </c>
      <c r="N299" s="31">
        <f>N297/(N297+N298)</f>
        <v>0.2</v>
      </c>
      <c r="O299" s="31">
        <f>O297/(O297+O298)</f>
        <v>0.375</v>
      </c>
      <c r="P299" s="31">
        <f>P297/(P297+P298)</f>
        <v>0.44444444444444442</v>
      </c>
      <c r="Q299" s="31" t="e">
        <f>Q297/(Q297+Q298)</f>
        <v>#DIV/0!</v>
      </c>
      <c r="R299" s="63"/>
      <c r="S299" s="10"/>
      <c r="T299" s="10"/>
      <c r="U299" s="17"/>
      <c r="V299" s="10"/>
      <c r="W299" s="10"/>
      <c r="X299" s="10"/>
    </row>
    <row r="300" spans="2:24">
      <c r="B300" s="11"/>
      <c r="C300" s="10"/>
      <c r="D300" s="10"/>
      <c r="E300" s="51" t="s">
        <v>47</v>
      </c>
      <c r="F300" s="52">
        <f>(F299+F303)*0.05</f>
        <v>912.06100000000015</v>
      </c>
      <c r="G300" s="65" t="s">
        <v>40</v>
      </c>
      <c r="H300" s="54">
        <f>F300/1.12</f>
        <v>814.34017857142862</v>
      </c>
      <c r="I300" s="42"/>
      <c r="J300" s="10" t="s">
        <v>48</v>
      </c>
      <c r="K300" s="66" t="e">
        <f>K296/K297</f>
        <v>#DIV/0!</v>
      </c>
      <c r="L300" s="66">
        <f>L296/L297</f>
        <v>1610.42</v>
      </c>
      <c r="M300" s="66">
        <f>M296/M297</f>
        <v>3487.1524999999997</v>
      </c>
      <c r="N300" s="66">
        <f>N296/N297</f>
        <v>5774.3</v>
      </c>
      <c r="O300" s="66">
        <f>O296/O297</f>
        <v>3102.603333333333</v>
      </c>
      <c r="P300" s="66">
        <f>P296/P297</f>
        <v>2956.0333333333333</v>
      </c>
      <c r="Q300" s="66" t="e">
        <f>Q296/Q297</f>
        <v>#DIV/0!</v>
      </c>
      <c r="R300" s="63"/>
      <c r="S300" s="10"/>
      <c r="T300" s="10"/>
      <c r="U300" s="17"/>
      <c r="V300" s="10"/>
      <c r="W300" s="10"/>
      <c r="X300" s="10"/>
    </row>
    <row r="301" spans="2:24">
      <c r="B301" s="11"/>
      <c r="C301" s="10"/>
      <c r="D301" s="10"/>
      <c r="E301" s="67" t="s">
        <v>14</v>
      </c>
      <c r="F301" s="68"/>
      <c r="G301" s="10"/>
      <c r="H301" s="54">
        <f>F301/1.12</f>
        <v>0</v>
      </c>
      <c r="I301" s="10"/>
      <c r="J301" s="10"/>
      <c r="K301" s="10"/>
      <c r="L301" s="10"/>
      <c r="M301" s="10"/>
      <c r="N301" s="10"/>
      <c r="O301" s="10"/>
      <c r="P301" s="10"/>
      <c r="Q301" s="10"/>
      <c r="R301" s="10"/>
      <c r="S301" s="10"/>
      <c r="T301" s="10"/>
      <c r="U301" s="17"/>
      <c r="V301" s="10"/>
      <c r="W301" s="10"/>
      <c r="X301" s="10"/>
    </row>
    <row r="302" spans="2:24">
      <c r="B302" s="11"/>
      <c r="C302" s="10"/>
      <c r="D302" s="10"/>
      <c r="E302" s="67" t="s">
        <v>49</v>
      </c>
      <c r="F302" s="69">
        <f>T291</f>
        <v>1</v>
      </c>
      <c r="G302" s="10"/>
      <c r="H302" s="54"/>
      <c r="I302" s="55"/>
      <c r="J302" s="42"/>
      <c r="K302" s="764" t="s">
        <v>50</v>
      </c>
      <c r="L302" s="765"/>
      <c r="M302" s="765"/>
      <c r="N302" s="765"/>
      <c r="O302" s="765"/>
      <c r="P302" s="765"/>
      <c r="Q302" s="766"/>
      <c r="R302" s="70" t="s">
        <v>28</v>
      </c>
      <c r="S302" s="71" t="s">
        <v>29</v>
      </c>
      <c r="T302" s="10"/>
      <c r="U302" s="17"/>
      <c r="V302" s="10"/>
      <c r="W302" s="10"/>
      <c r="X302" s="10"/>
    </row>
    <row r="303" spans="2:24">
      <c r="B303" s="11"/>
      <c r="C303" s="10"/>
      <c r="D303" s="10"/>
      <c r="E303" s="74" t="s">
        <v>1511</v>
      </c>
      <c r="F303" s="75">
        <v>-78.22</v>
      </c>
      <c r="G303" s="10"/>
      <c r="H303" s="10"/>
      <c r="I303" s="10"/>
      <c r="J303" s="42"/>
      <c r="K303" s="20" t="s">
        <v>31</v>
      </c>
      <c r="L303" s="21" t="s">
        <v>32</v>
      </c>
      <c r="M303" s="21" t="s">
        <v>33</v>
      </c>
      <c r="N303" s="21" t="s">
        <v>34</v>
      </c>
      <c r="O303" s="21" t="s">
        <v>35</v>
      </c>
      <c r="P303" s="21" t="s">
        <v>36</v>
      </c>
      <c r="Q303" s="49" t="s">
        <v>37</v>
      </c>
      <c r="R303" s="50" t="s">
        <v>38</v>
      </c>
      <c r="S303" s="50" t="s">
        <v>38</v>
      </c>
      <c r="T303" s="10"/>
      <c r="U303" s="17"/>
      <c r="V303" s="10"/>
      <c r="W303" s="10"/>
      <c r="X303" s="10"/>
    </row>
    <row r="304" spans="2:24">
      <c r="B304" s="11"/>
      <c r="C304" s="10"/>
      <c r="D304" s="10"/>
      <c r="E304" s="12"/>
      <c r="F304" s="76"/>
      <c r="G304" s="10"/>
      <c r="H304" s="10"/>
      <c r="I304" s="10"/>
      <c r="J304" s="42"/>
      <c r="K304" s="56">
        <v>0</v>
      </c>
      <c r="L304" s="57">
        <f>F314+F315+F316+F317</f>
        <v>6897</v>
      </c>
      <c r="M304" s="57">
        <f>F318+F319+F320+F321</f>
        <v>15258.17</v>
      </c>
      <c r="N304" s="57">
        <f>F322</f>
        <v>5814</v>
      </c>
      <c r="O304" s="57">
        <f>F323+F324+F325</f>
        <v>10176</v>
      </c>
      <c r="P304" s="57">
        <f>SUM(K304:O304)</f>
        <v>38145.17</v>
      </c>
      <c r="Q304" s="58">
        <v>0</v>
      </c>
      <c r="R304" s="59">
        <v>0</v>
      </c>
      <c r="S304" s="59">
        <v>0</v>
      </c>
      <c r="T304" s="10"/>
      <c r="U304" s="17"/>
      <c r="V304" s="10"/>
      <c r="W304" s="10"/>
      <c r="X304" s="10"/>
    </row>
    <row r="305" spans="1:24">
      <c r="B305" s="11"/>
      <c r="C305" s="10"/>
      <c r="D305" s="10"/>
      <c r="E305" s="10"/>
      <c r="F305" s="10"/>
      <c r="G305" s="10"/>
      <c r="H305" s="10"/>
      <c r="I305" s="10"/>
      <c r="J305" s="10" t="s">
        <v>42</v>
      </c>
      <c r="K305" s="63">
        <f>K297</f>
        <v>0</v>
      </c>
      <c r="L305" s="63">
        <f>L297</f>
        <v>4</v>
      </c>
      <c r="M305" s="63">
        <f>M297</f>
        <v>4</v>
      </c>
      <c r="N305" s="63">
        <f>N297</f>
        <v>1</v>
      </c>
      <c r="O305" s="63">
        <f>O297</f>
        <v>3</v>
      </c>
      <c r="P305" s="63">
        <f>P297</f>
        <v>12</v>
      </c>
      <c r="Q305" s="63">
        <f>Q297</f>
        <v>0</v>
      </c>
      <c r="R305" s="63"/>
      <c r="S305" s="10"/>
      <c r="T305" s="10"/>
      <c r="U305" s="17"/>
      <c r="V305" s="10"/>
      <c r="W305" s="10"/>
      <c r="X305" s="10"/>
    </row>
    <row r="306" spans="1:24">
      <c r="B306" s="11"/>
      <c r="C306" s="10"/>
      <c r="D306" s="10"/>
      <c r="E306" s="10"/>
      <c r="F306" s="10"/>
      <c r="G306" s="10"/>
      <c r="H306" s="10"/>
      <c r="I306" s="10"/>
      <c r="J306" s="10" t="s">
        <v>44</v>
      </c>
      <c r="K306" s="63">
        <f>K298</f>
        <v>0</v>
      </c>
      <c r="L306" s="63">
        <f>L298</f>
        <v>3</v>
      </c>
      <c r="M306" s="63">
        <f>M298</f>
        <v>3</v>
      </c>
      <c r="N306" s="63">
        <f>N298</f>
        <v>4</v>
      </c>
      <c r="O306" s="63">
        <f>O298</f>
        <v>5</v>
      </c>
      <c r="P306" s="63">
        <f>P298</f>
        <v>15</v>
      </c>
      <c r="Q306" s="63">
        <f>Q298</f>
        <v>0</v>
      </c>
      <c r="R306" s="63"/>
      <c r="S306" s="10"/>
      <c r="T306" s="10"/>
      <c r="U306" s="17"/>
      <c r="V306" s="10"/>
      <c r="W306" s="10"/>
      <c r="X306" s="10"/>
    </row>
    <row r="307" spans="1:24">
      <c r="B307" s="11"/>
      <c r="C307" s="10"/>
      <c r="D307" s="10"/>
      <c r="E307" s="12"/>
      <c r="F307" s="76"/>
      <c r="G307" s="10"/>
      <c r="H307" s="10"/>
      <c r="I307" s="10"/>
      <c r="J307" s="10" t="s">
        <v>46</v>
      </c>
      <c r="K307" s="31" t="e">
        <f>K305/(K305+K306)</f>
        <v>#DIV/0!</v>
      </c>
      <c r="L307" s="31">
        <f>L305/(L305+L306)</f>
        <v>0.5714285714285714</v>
      </c>
      <c r="M307" s="31">
        <f>M305/(M305+M306)</f>
        <v>0.5714285714285714</v>
      </c>
      <c r="N307" s="31">
        <f>N305/(N305+N306)</f>
        <v>0.2</v>
      </c>
      <c r="O307" s="31">
        <f>O305/(O305+O306)</f>
        <v>0.375</v>
      </c>
      <c r="P307" s="31">
        <f>P305/(P305+P306)</f>
        <v>0.44444444444444442</v>
      </c>
      <c r="Q307" s="31" t="e">
        <f>Q305/(Q305+Q306)</f>
        <v>#DIV/0!</v>
      </c>
      <c r="R307" s="63"/>
      <c r="S307" s="10"/>
      <c r="T307" s="10"/>
      <c r="U307" s="17"/>
      <c r="V307" s="10"/>
      <c r="W307" s="10"/>
      <c r="X307" s="10"/>
    </row>
    <row r="308" spans="1:24">
      <c r="B308" s="11"/>
      <c r="C308" s="10"/>
      <c r="D308" s="10"/>
      <c r="E308" s="10"/>
      <c r="F308" s="10"/>
      <c r="G308" s="10"/>
      <c r="H308" s="10"/>
      <c r="I308" s="10"/>
      <c r="J308" s="10" t="s">
        <v>48</v>
      </c>
      <c r="K308" s="66" t="e">
        <f>K304/K305</f>
        <v>#DIV/0!</v>
      </c>
      <c r="L308" s="66">
        <f>L304/L305</f>
        <v>1724.25</v>
      </c>
      <c r="M308" s="66">
        <f>M304/M305</f>
        <v>3814.5425</v>
      </c>
      <c r="N308" s="66">
        <f>N304/N305</f>
        <v>5814</v>
      </c>
      <c r="O308" s="66">
        <f>O304/O305</f>
        <v>3392</v>
      </c>
      <c r="P308" s="66">
        <f>P304/P305</f>
        <v>3178.7641666666664</v>
      </c>
      <c r="Q308" s="66" t="e">
        <f>Q304/Q305</f>
        <v>#DIV/0!</v>
      </c>
      <c r="R308" s="63"/>
      <c r="S308" s="10"/>
      <c r="T308" s="10"/>
      <c r="U308" s="17"/>
      <c r="V308" s="10"/>
      <c r="W308" s="10"/>
      <c r="X308" s="10"/>
    </row>
    <row r="309" spans="1:24">
      <c r="B309" s="11"/>
      <c r="C309" s="10"/>
      <c r="D309" s="10"/>
      <c r="E309" s="10"/>
      <c r="F309" s="10"/>
      <c r="G309" s="10"/>
      <c r="H309" s="10"/>
      <c r="I309" s="10"/>
      <c r="J309" s="10"/>
      <c r="K309" s="10"/>
      <c r="L309" s="10"/>
      <c r="M309" s="10"/>
      <c r="N309" s="10"/>
      <c r="O309" s="10"/>
      <c r="P309" s="10"/>
      <c r="Q309" s="10"/>
      <c r="R309" s="10"/>
      <c r="S309" s="10"/>
      <c r="T309" s="10"/>
      <c r="U309" s="17"/>
      <c r="V309" s="10"/>
      <c r="W309" s="10"/>
      <c r="X309" s="10"/>
    </row>
    <row r="310" spans="1:24">
      <c r="B310" s="11"/>
      <c r="C310" s="10"/>
      <c r="D310" s="10"/>
      <c r="E310" s="10"/>
      <c r="F310" s="10"/>
      <c r="G310" s="10"/>
      <c r="H310" s="10"/>
      <c r="I310" s="10"/>
      <c r="J310" s="10"/>
      <c r="K310" s="10"/>
      <c r="L310" s="10"/>
      <c r="M310" s="10"/>
      <c r="N310" s="10"/>
      <c r="O310" s="10"/>
      <c r="P310" s="10"/>
      <c r="Q310" s="10"/>
      <c r="R310" s="10"/>
      <c r="S310" s="10"/>
      <c r="T310" s="10"/>
      <c r="U310" s="17"/>
      <c r="V310" s="10"/>
      <c r="W310" s="10"/>
      <c r="X310" s="10"/>
    </row>
    <row r="311" spans="1:24">
      <c r="B311" s="18" t="s">
        <v>51</v>
      </c>
      <c r="C311" s="14"/>
      <c r="D311" s="14"/>
      <c r="E311" s="14"/>
      <c r="F311" s="13" t="s">
        <v>52</v>
      </c>
      <c r="G311" s="14"/>
      <c r="H311" s="14"/>
      <c r="I311" s="14"/>
      <c r="J311" s="14"/>
      <c r="K311" s="13" t="s">
        <v>3</v>
      </c>
      <c r="L311" s="14"/>
      <c r="M311" s="14"/>
      <c r="N311" s="13" t="s">
        <v>4</v>
      </c>
      <c r="O311" s="14"/>
      <c r="P311" s="14"/>
      <c r="Q311" s="13" t="s">
        <v>5</v>
      </c>
      <c r="R311" s="14"/>
      <c r="S311" s="14"/>
      <c r="T311" s="18"/>
      <c r="U311" s="16" t="s">
        <v>53</v>
      </c>
      <c r="V311" s="77"/>
      <c r="W311" s="77"/>
      <c r="X311" s="77"/>
    </row>
    <row r="312" spans="1:24">
      <c r="B312" s="24" t="s">
        <v>54</v>
      </c>
      <c r="C312" s="21" t="s">
        <v>55</v>
      </c>
      <c r="D312" s="21" t="s">
        <v>56</v>
      </c>
      <c r="E312" s="21" t="s">
        <v>57</v>
      </c>
      <c r="F312" s="20" t="s">
        <v>58</v>
      </c>
      <c r="G312" s="21" t="s">
        <v>59</v>
      </c>
      <c r="H312" s="21" t="s">
        <v>60</v>
      </c>
      <c r="I312" s="21" t="s">
        <v>26</v>
      </c>
      <c r="J312" s="22" t="s">
        <v>61</v>
      </c>
      <c r="K312" s="21" t="s">
        <v>8</v>
      </c>
      <c r="L312" s="21" t="s">
        <v>9</v>
      </c>
      <c r="M312" s="21" t="s">
        <v>10</v>
      </c>
      <c r="N312" s="20" t="s">
        <v>11</v>
      </c>
      <c r="O312" s="21" t="s">
        <v>12</v>
      </c>
      <c r="P312" s="22" t="s">
        <v>13</v>
      </c>
      <c r="Q312" s="21" t="s">
        <v>11</v>
      </c>
      <c r="R312" s="21" t="s">
        <v>12</v>
      </c>
      <c r="S312" s="21" t="s">
        <v>13</v>
      </c>
      <c r="T312" s="78" t="s">
        <v>14</v>
      </c>
      <c r="U312" s="30"/>
      <c r="V312" s="79" t="s">
        <v>62</v>
      </c>
      <c r="W312" s="80" t="s">
        <v>63</v>
      </c>
      <c r="X312" s="81" t="s">
        <v>64</v>
      </c>
    </row>
    <row r="313" spans="1:24">
      <c r="B313" s="4" t="s">
        <v>65</v>
      </c>
      <c r="C313" s="6"/>
      <c r="D313" s="6"/>
      <c r="E313" s="6"/>
      <c r="F313" s="6"/>
      <c r="G313" s="6"/>
      <c r="H313" s="6"/>
      <c r="I313" s="82"/>
      <c r="J313" s="6"/>
      <c r="K313" s="6"/>
      <c r="L313" s="6"/>
      <c r="M313" s="6"/>
      <c r="N313" s="6"/>
      <c r="O313" s="6"/>
      <c r="P313" s="6"/>
      <c r="Q313" s="6"/>
      <c r="R313" s="6"/>
      <c r="S313" s="6"/>
      <c r="T313" s="83"/>
      <c r="U313" s="6"/>
      <c r="V313" s="84"/>
      <c r="W313" s="85"/>
      <c r="X313" s="86"/>
    </row>
    <row r="314" spans="1:24">
      <c r="B314" s="87">
        <v>1</v>
      </c>
      <c r="C314" s="274">
        <v>45867</v>
      </c>
      <c r="D314" s="327">
        <v>71822</v>
      </c>
      <c r="E314" s="276" t="s">
        <v>172</v>
      </c>
      <c r="F314" s="277">
        <v>1138</v>
      </c>
      <c r="G314" s="277">
        <f>39.7</f>
        <v>39.700000000000003</v>
      </c>
      <c r="H314" s="297"/>
      <c r="I314" s="278">
        <f>F314-G314-H314</f>
        <v>1098.3</v>
      </c>
      <c r="J314" s="279" t="s">
        <v>156</v>
      </c>
      <c r="K314" s="279">
        <v>1</v>
      </c>
      <c r="L314" s="279">
        <v>1</v>
      </c>
      <c r="M314" s="279">
        <v>1</v>
      </c>
      <c r="N314" s="279">
        <v>1</v>
      </c>
      <c r="O314" s="279">
        <v>1</v>
      </c>
      <c r="P314" s="279">
        <v>1</v>
      </c>
      <c r="Q314" s="279">
        <v>1</v>
      </c>
      <c r="R314" s="279">
        <v>1</v>
      </c>
      <c r="S314" s="280">
        <v>1</v>
      </c>
      <c r="T314" s="63"/>
      <c r="U314" s="10"/>
      <c r="V314" s="90">
        <v>1251.8</v>
      </c>
      <c r="W314" s="91"/>
      <c r="X314" s="92"/>
    </row>
    <row r="315" spans="1:24">
      <c r="B315" s="87">
        <f t="shared" ref="B315:B323" si="57">B314+1</f>
        <v>2</v>
      </c>
      <c r="C315" s="295">
        <v>45867</v>
      </c>
      <c r="D315" s="323">
        <v>71809</v>
      </c>
      <c r="E315" s="10" t="s">
        <v>798</v>
      </c>
      <c r="F315" s="62">
        <v>1264</v>
      </c>
      <c r="G315" s="62">
        <f>39.7</f>
        <v>39.700000000000003</v>
      </c>
      <c r="H315" s="62"/>
      <c r="I315" s="89">
        <f>F315-G315-H315</f>
        <v>1224.3</v>
      </c>
      <c r="J315" s="63" t="s">
        <v>156</v>
      </c>
      <c r="K315" s="63">
        <v>1</v>
      </c>
      <c r="L315" s="63">
        <v>1</v>
      </c>
      <c r="M315" s="63">
        <v>1</v>
      </c>
      <c r="N315" s="63">
        <v>1</v>
      </c>
      <c r="O315" s="63">
        <v>1</v>
      </c>
      <c r="P315" s="63">
        <v>1</v>
      </c>
      <c r="Q315" s="63">
        <v>1</v>
      </c>
      <c r="R315" s="63">
        <v>1</v>
      </c>
      <c r="S315" s="296">
        <v>1</v>
      </c>
      <c r="T315" s="63"/>
      <c r="U315" s="10"/>
      <c r="V315" s="90">
        <v>1390.4</v>
      </c>
      <c r="W315" s="91"/>
      <c r="X315" s="92"/>
    </row>
    <row r="316" spans="1:24">
      <c r="B316" s="87">
        <f t="shared" si="57"/>
        <v>3</v>
      </c>
      <c r="C316" s="295">
        <v>45867</v>
      </c>
      <c r="D316" s="323">
        <v>71857</v>
      </c>
      <c r="E316" s="10" t="s">
        <v>294</v>
      </c>
      <c r="F316" s="62">
        <v>2814</v>
      </c>
      <c r="G316" s="62">
        <f>39.7+(102.83+193.69)</f>
        <v>336.21999999999997</v>
      </c>
      <c r="H316" s="62"/>
      <c r="I316" s="89">
        <f>F316-G316-H316</f>
        <v>2477.7800000000002</v>
      </c>
      <c r="J316" s="63" t="s">
        <v>156</v>
      </c>
      <c r="K316" s="63">
        <v>1</v>
      </c>
      <c r="L316" s="63">
        <v>1</v>
      </c>
      <c r="M316" s="63">
        <v>1</v>
      </c>
      <c r="N316" s="63">
        <v>1</v>
      </c>
      <c r="O316" s="63">
        <v>1</v>
      </c>
      <c r="P316" s="63">
        <v>1</v>
      </c>
      <c r="Q316" s="63">
        <v>1</v>
      </c>
      <c r="R316" s="63">
        <v>1</v>
      </c>
      <c r="S316" s="296">
        <v>1</v>
      </c>
      <c r="T316" s="63"/>
      <c r="U316" s="10"/>
      <c r="V316" s="90">
        <f>300+2795.4</f>
        <v>3095.4</v>
      </c>
      <c r="W316" s="91"/>
      <c r="X316" s="92"/>
    </row>
    <row r="317" spans="1:24">
      <c r="A317" s="464">
        <v>45868</v>
      </c>
      <c r="B317" s="87">
        <f t="shared" si="57"/>
        <v>4</v>
      </c>
      <c r="C317" s="295">
        <v>45867</v>
      </c>
      <c r="D317" s="323">
        <v>71859</v>
      </c>
      <c r="E317" s="10" t="s">
        <v>1085</v>
      </c>
      <c r="F317" s="62">
        <v>1681</v>
      </c>
      <c r="G317" s="62">
        <f>39.7</f>
        <v>39.700000000000003</v>
      </c>
      <c r="H317" s="62"/>
      <c r="I317" s="89">
        <f>F317-G317-H317</f>
        <v>1641.3</v>
      </c>
      <c r="J317" s="63" t="s">
        <v>156</v>
      </c>
      <c r="K317" s="63">
        <v>1</v>
      </c>
      <c r="L317" s="63">
        <v>1</v>
      </c>
      <c r="M317" s="63">
        <v>1</v>
      </c>
      <c r="N317" s="63">
        <v>1</v>
      </c>
      <c r="O317" s="63">
        <v>1</v>
      </c>
      <c r="P317" s="63">
        <v>1</v>
      </c>
      <c r="Q317" s="63">
        <v>1</v>
      </c>
      <c r="R317" s="325">
        <v>0</v>
      </c>
      <c r="S317" s="296">
        <v>1</v>
      </c>
      <c r="T317" s="63"/>
      <c r="U317" s="94" t="s">
        <v>1512</v>
      </c>
      <c r="V317" s="90">
        <f>180+1669.1</f>
        <v>1849.1</v>
      </c>
      <c r="W317" s="91"/>
      <c r="X317" s="92"/>
    </row>
    <row r="318" spans="1:24">
      <c r="B318" s="87">
        <f t="shared" si="57"/>
        <v>5</v>
      </c>
      <c r="C318" s="274">
        <v>45868</v>
      </c>
      <c r="D318" s="327">
        <v>71870</v>
      </c>
      <c r="E318" s="276" t="s">
        <v>1085</v>
      </c>
      <c r="F318" s="277">
        <v>10955.97</v>
      </c>
      <c r="G318" s="277">
        <f>39.7+(33.79)+1000</f>
        <v>1073.49</v>
      </c>
      <c r="H318" s="277"/>
      <c r="I318" s="321">
        <f>F318-G318-H318</f>
        <v>9882.48</v>
      </c>
      <c r="J318" s="279" t="s">
        <v>156</v>
      </c>
      <c r="K318" s="279">
        <v>1</v>
      </c>
      <c r="L318" s="279">
        <v>1</v>
      </c>
      <c r="M318" s="279">
        <v>1</v>
      </c>
      <c r="N318" s="279">
        <v>1</v>
      </c>
      <c r="O318" s="279">
        <v>1</v>
      </c>
      <c r="P318" s="279">
        <v>1</v>
      </c>
      <c r="Q318" s="322">
        <v>0</v>
      </c>
      <c r="R318" s="322">
        <v>0</v>
      </c>
      <c r="S318" s="328">
        <v>0</v>
      </c>
      <c r="T318" s="63"/>
      <c r="U318" s="94" t="s">
        <v>1513</v>
      </c>
      <c r="V318" s="90">
        <f>1400+10651.57</f>
        <v>12051.57</v>
      </c>
      <c r="W318" s="91"/>
      <c r="X318" s="92"/>
    </row>
    <row r="319" spans="1:24">
      <c r="B319" s="87">
        <f t="shared" si="57"/>
        <v>6</v>
      </c>
      <c r="C319" s="295">
        <v>45868</v>
      </c>
      <c r="D319" s="323">
        <v>71815</v>
      </c>
      <c r="E319" s="10" t="s">
        <v>317</v>
      </c>
      <c r="F319" s="62">
        <v>1264</v>
      </c>
      <c r="G319" s="62">
        <f>39.7</f>
        <v>39.700000000000003</v>
      </c>
      <c r="H319" s="88"/>
      <c r="I319" s="89">
        <f>F319-G319-H319</f>
        <v>1224.3</v>
      </c>
      <c r="J319" s="63" t="s">
        <v>156</v>
      </c>
      <c r="K319" s="63">
        <v>1</v>
      </c>
      <c r="L319" s="63">
        <v>1</v>
      </c>
      <c r="M319" s="63">
        <v>1</v>
      </c>
      <c r="N319" s="63">
        <v>1</v>
      </c>
      <c r="O319" s="63">
        <v>1</v>
      </c>
      <c r="P319" s="63">
        <v>1</v>
      </c>
      <c r="Q319" s="63">
        <v>1</v>
      </c>
      <c r="R319" s="63">
        <v>1</v>
      </c>
      <c r="S319" s="296">
        <v>1</v>
      </c>
      <c r="T319" s="94" t="s">
        <v>1514</v>
      </c>
      <c r="U319" s="10"/>
      <c r="V319" s="90">
        <v>1390.4</v>
      </c>
      <c r="W319" s="91"/>
      <c r="X319" s="92"/>
    </row>
    <row r="320" spans="1:24">
      <c r="B320" s="87">
        <f t="shared" si="57"/>
        <v>7</v>
      </c>
      <c r="C320" s="295">
        <v>45868</v>
      </c>
      <c r="D320" s="323">
        <v>71893</v>
      </c>
      <c r="E320" s="10" t="s">
        <v>998</v>
      </c>
      <c r="F320" s="62">
        <f>1649-85</f>
        <v>1564</v>
      </c>
      <c r="G320" s="62">
        <f>39.7</f>
        <v>39.700000000000003</v>
      </c>
      <c r="H320" s="88"/>
      <c r="I320" s="89">
        <f>F320-G320-H320</f>
        <v>1524.3</v>
      </c>
      <c r="J320" s="63" t="s">
        <v>156</v>
      </c>
      <c r="K320" s="63">
        <v>1</v>
      </c>
      <c r="L320" s="63">
        <v>1</v>
      </c>
      <c r="M320" s="63">
        <v>1</v>
      </c>
      <c r="N320" s="63">
        <v>1</v>
      </c>
      <c r="O320" s="63">
        <v>1</v>
      </c>
      <c r="P320" s="63">
        <v>1</v>
      </c>
      <c r="Q320" s="63">
        <v>1</v>
      </c>
      <c r="R320" s="63">
        <v>1</v>
      </c>
      <c r="S320" s="296">
        <v>1</v>
      </c>
      <c r="T320" s="63"/>
      <c r="U320" s="10"/>
      <c r="V320" s="90">
        <f>93.5+1720.4</f>
        <v>1813.9</v>
      </c>
      <c r="W320" s="91"/>
      <c r="X320" s="92"/>
    </row>
    <row r="321" spans="1:25">
      <c r="A321" s="464">
        <v>45898</v>
      </c>
      <c r="B321" s="87">
        <f t="shared" si="57"/>
        <v>8</v>
      </c>
      <c r="C321" s="295">
        <v>45868</v>
      </c>
      <c r="D321" s="323">
        <v>71865</v>
      </c>
      <c r="E321" s="10" t="s">
        <v>746</v>
      </c>
      <c r="F321" s="62">
        <v>1474.2</v>
      </c>
      <c r="G321" s="62">
        <f>39.7+(116.97)</f>
        <v>156.67000000000002</v>
      </c>
      <c r="H321" s="88"/>
      <c r="I321" s="324">
        <f>F321-G321-H321</f>
        <v>1317.53</v>
      </c>
      <c r="J321" s="63" t="s">
        <v>156</v>
      </c>
      <c r="K321" s="63">
        <v>1</v>
      </c>
      <c r="L321" s="63">
        <v>1</v>
      </c>
      <c r="M321" s="63">
        <v>1</v>
      </c>
      <c r="N321" s="63">
        <v>1</v>
      </c>
      <c r="O321" s="63">
        <v>1</v>
      </c>
      <c r="P321" s="63">
        <v>1</v>
      </c>
      <c r="Q321" s="63">
        <v>1</v>
      </c>
      <c r="R321" s="325">
        <v>0</v>
      </c>
      <c r="S321" s="296">
        <v>1</v>
      </c>
      <c r="T321" s="63"/>
      <c r="U321" s="10" t="s">
        <v>1515</v>
      </c>
      <c r="V321" s="90">
        <f>180+1441.62</f>
        <v>1621.62</v>
      </c>
      <c r="W321" s="91"/>
      <c r="X321" s="92"/>
    </row>
    <row r="322" spans="1:25">
      <c r="B322" s="87">
        <f t="shared" si="57"/>
        <v>9</v>
      </c>
      <c r="C322" s="274">
        <v>45869</v>
      </c>
      <c r="D322" s="327">
        <v>71843</v>
      </c>
      <c r="E322" s="276" t="s">
        <v>728</v>
      </c>
      <c r="F322" s="277">
        <v>5814</v>
      </c>
      <c r="G322" s="277">
        <v>39.700000000000003</v>
      </c>
      <c r="H322" s="297"/>
      <c r="I322" s="278">
        <f>F322-G322-H322</f>
        <v>5774.3</v>
      </c>
      <c r="J322" s="279" t="s">
        <v>156</v>
      </c>
      <c r="K322" s="279">
        <v>1</v>
      </c>
      <c r="L322" s="279">
        <v>1</v>
      </c>
      <c r="M322" s="279">
        <v>1</v>
      </c>
      <c r="N322" s="279">
        <v>1</v>
      </c>
      <c r="O322" s="279">
        <v>1</v>
      </c>
      <c r="P322" s="279">
        <v>1</v>
      </c>
      <c r="Q322" s="279">
        <v>1</v>
      </c>
      <c r="R322" s="279">
        <v>1</v>
      </c>
      <c r="S322" s="280">
        <v>1</v>
      </c>
      <c r="T322" s="63"/>
      <c r="U322" s="10"/>
      <c r="V322" s="90">
        <f>600+5795.4</f>
        <v>6395.4</v>
      </c>
      <c r="W322" s="91"/>
      <c r="X322" s="92"/>
    </row>
    <row r="323" spans="1:25">
      <c r="B323" s="87">
        <f t="shared" si="57"/>
        <v>10</v>
      </c>
      <c r="C323" s="274">
        <v>45870</v>
      </c>
      <c r="D323" s="327">
        <v>71953</v>
      </c>
      <c r="E323" s="276" t="s">
        <v>306</v>
      </c>
      <c r="F323" s="277">
        <v>1681</v>
      </c>
      <c r="G323" s="277">
        <v>39.700000000000003</v>
      </c>
      <c r="H323" s="297"/>
      <c r="I323" s="278">
        <f>F323-G323-H323</f>
        <v>1641.3</v>
      </c>
      <c r="J323" s="279" t="s">
        <v>156</v>
      </c>
      <c r="K323" s="279">
        <v>1</v>
      </c>
      <c r="L323" s="279">
        <v>1</v>
      </c>
      <c r="M323" s="279">
        <v>1</v>
      </c>
      <c r="N323" s="279">
        <v>1</v>
      </c>
      <c r="O323" s="279">
        <v>1</v>
      </c>
      <c r="P323" s="279">
        <v>1</v>
      </c>
      <c r="Q323" s="279">
        <v>1</v>
      </c>
      <c r="R323" s="279">
        <v>1</v>
      </c>
      <c r="S323" s="280">
        <v>1</v>
      </c>
      <c r="T323" s="63"/>
      <c r="U323" s="10"/>
      <c r="V323" s="90">
        <v>1849.1</v>
      </c>
      <c r="W323" s="91"/>
      <c r="X323" s="92"/>
    </row>
    <row r="324" spans="1:25" s="260" customFormat="1">
      <c r="B324" s="87">
        <f>B323+1</f>
        <v>11</v>
      </c>
      <c r="C324" s="295">
        <v>45870</v>
      </c>
      <c r="D324" s="346" t="s">
        <v>1516</v>
      </c>
      <c r="E324" s="10" t="s">
        <v>306</v>
      </c>
      <c r="F324" s="95">
        <v>6214</v>
      </c>
      <c r="G324" s="62">
        <f>39.7+(49.09)+500</f>
        <v>588.79</v>
      </c>
      <c r="H324" s="62"/>
      <c r="I324" s="89">
        <f>F324-G324-H324</f>
        <v>5625.21</v>
      </c>
      <c r="J324" s="63" t="s">
        <v>228</v>
      </c>
      <c r="K324" s="63">
        <v>1</v>
      </c>
      <c r="L324" s="63">
        <v>1</v>
      </c>
      <c r="M324" s="63">
        <v>1</v>
      </c>
      <c r="N324" s="63">
        <v>1</v>
      </c>
      <c r="O324" s="63">
        <v>1</v>
      </c>
      <c r="P324" s="63">
        <v>1</v>
      </c>
      <c r="Q324" s="63">
        <v>1</v>
      </c>
      <c r="R324" s="63">
        <v>1</v>
      </c>
      <c r="S324" s="296">
        <v>1</v>
      </c>
      <c r="T324" s="63"/>
      <c r="U324" s="10" t="s">
        <v>1517</v>
      </c>
      <c r="V324" s="90">
        <f>700+6135.4</f>
        <v>6835.4</v>
      </c>
      <c r="W324" s="91"/>
      <c r="X324" s="92"/>
    </row>
    <row r="325" spans="1:25" s="260" customFormat="1">
      <c r="B325" s="87">
        <f>B324+1</f>
        <v>12</v>
      </c>
      <c r="C325" s="282">
        <v>45870</v>
      </c>
      <c r="D325" s="368">
        <v>71973</v>
      </c>
      <c r="E325" s="319" t="s">
        <v>213</v>
      </c>
      <c r="F325" s="284">
        <f>2366-85</f>
        <v>2281</v>
      </c>
      <c r="G325" s="284">
        <f>39.7+200</f>
        <v>239.7</v>
      </c>
      <c r="H325" s="284"/>
      <c r="I325" s="285">
        <f>F325-G325-H325</f>
        <v>2041.3</v>
      </c>
      <c r="J325" s="286" t="s">
        <v>228</v>
      </c>
      <c r="K325" s="286">
        <v>1</v>
      </c>
      <c r="L325" s="286">
        <v>1</v>
      </c>
      <c r="M325" s="286">
        <v>1</v>
      </c>
      <c r="N325" s="286">
        <v>1</v>
      </c>
      <c r="O325" s="286">
        <v>1</v>
      </c>
      <c r="P325" s="286">
        <v>1</v>
      </c>
      <c r="Q325" s="286">
        <v>1</v>
      </c>
      <c r="R325" s="286">
        <v>1</v>
      </c>
      <c r="S325" s="287">
        <v>1</v>
      </c>
      <c r="T325" s="63"/>
      <c r="U325" s="10" t="s">
        <v>1518</v>
      </c>
      <c r="V325" s="90">
        <f>93.5+2509.1</f>
        <v>2602.6</v>
      </c>
      <c r="W325" s="91"/>
      <c r="X325" s="92"/>
    </row>
    <row r="326" spans="1:25">
      <c r="B326" s="87"/>
      <c r="C326" s="36"/>
      <c r="D326" s="10"/>
      <c r="E326" s="10"/>
      <c r="F326" s="98">
        <f>SUM(F314:F325)</f>
        <v>38145.17</v>
      </c>
      <c r="G326" s="98">
        <f>SUM(G314:G325)</f>
        <v>2672.77</v>
      </c>
      <c r="H326" s="98">
        <f>SUM(H314:H325)</f>
        <v>0</v>
      </c>
      <c r="I326" s="98">
        <f>SUM(I314:I325)</f>
        <v>35472.400000000001</v>
      </c>
      <c r="J326" s="63"/>
      <c r="K326" s="63">
        <f>COUNT(K314:K325)</f>
        <v>12</v>
      </c>
      <c r="L326" s="63">
        <f>COUNT(L314:L325)</f>
        <v>12</v>
      </c>
      <c r="M326" s="63">
        <f>COUNT(M314:M325)</f>
        <v>12</v>
      </c>
      <c r="N326" s="63">
        <f>COUNT(N314:N325)</f>
        <v>12</v>
      </c>
      <c r="O326" s="63">
        <f>COUNT(O314:O325)</f>
        <v>12</v>
      </c>
      <c r="P326" s="63">
        <f>COUNT(P314:P325)</f>
        <v>12</v>
      </c>
      <c r="Q326" s="63">
        <f>COUNT(Q314:Q325)</f>
        <v>12</v>
      </c>
      <c r="R326" s="63">
        <f>COUNT(R314:R325)</f>
        <v>12</v>
      </c>
      <c r="S326" s="63">
        <f>COUNT(S314:S325)</f>
        <v>12</v>
      </c>
      <c r="T326" s="63"/>
      <c r="U326" s="10"/>
      <c r="V326" s="90"/>
      <c r="W326" s="91"/>
      <c r="X326" s="92"/>
    </row>
    <row r="327" spans="1:25">
      <c r="B327" s="87"/>
      <c r="C327" s="36"/>
      <c r="D327" s="10"/>
      <c r="E327" s="10"/>
      <c r="F327" s="88"/>
      <c r="G327" s="88"/>
      <c r="H327" s="88"/>
      <c r="I327" s="99"/>
      <c r="J327" s="63"/>
      <c r="K327" s="21">
        <f>SUM(K314:K325)</f>
        <v>12</v>
      </c>
      <c r="L327" s="21">
        <f>SUM(L314:L325)</f>
        <v>12</v>
      </c>
      <c r="M327" s="21">
        <f>SUM(M314:M325)</f>
        <v>12</v>
      </c>
      <c r="N327" s="21">
        <f>SUM(N314:N325)</f>
        <v>12</v>
      </c>
      <c r="O327" s="21">
        <f>SUM(O314:O325)</f>
        <v>12</v>
      </c>
      <c r="P327" s="21">
        <f>SUM(P314:P325)</f>
        <v>12</v>
      </c>
      <c r="Q327" s="21">
        <f>SUM(Q314:Q325)</f>
        <v>11</v>
      </c>
      <c r="R327" s="21">
        <f>SUM(R314:R325)</f>
        <v>9</v>
      </c>
      <c r="S327" s="21">
        <f>SUM(S314:S325)</f>
        <v>11</v>
      </c>
      <c r="T327" s="63"/>
      <c r="U327" s="10"/>
      <c r="V327" s="90"/>
      <c r="W327" s="91"/>
      <c r="X327" s="92"/>
    </row>
    <row r="328" spans="1:25">
      <c r="B328" s="87"/>
      <c r="C328" s="36"/>
      <c r="D328" s="10"/>
      <c r="E328" s="10"/>
      <c r="F328" s="88"/>
      <c r="G328" s="88"/>
      <c r="H328" s="88"/>
      <c r="I328" s="99"/>
      <c r="J328" s="63"/>
      <c r="K328" s="21"/>
      <c r="L328" s="21"/>
      <c r="M328" s="21"/>
      <c r="N328" s="21"/>
      <c r="O328" s="21"/>
      <c r="P328" s="21"/>
      <c r="Q328" s="21"/>
      <c r="R328" s="21"/>
      <c r="S328" s="21"/>
      <c r="T328" s="63"/>
      <c r="U328" s="10"/>
      <c r="V328" s="90"/>
      <c r="W328" s="91"/>
      <c r="X328" s="92"/>
    </row>
    <row r="329" spans="1:25" s="2" customFormat="1">
      <c r="B329" s="100" t="s">
        <v>67</v>
      </c>
      <c r="C329" s="36"/>
      <c r="D329" s="10"/>
      <c r="E329" s="10"/>
      <c r="F329" s="88"/>
      <c r="G329" s="62"/>
      <c r="H329" s="88"/>
      <c r="I329" s="99"/>
      <c r="J329" s="63"/>
      <c r="T329" s="63"/>
      <c r="U329" s="94"/>
      <c r="V329" s="90"/>
      <c r="W329" s="91"/>
      <c r="X329" s="92"/>
    </row>
    <row r="330" spans="1:25" s="2" customFormat="1">
      <c r="A330" s="261" t="s">
        <v>1519</v>
      </c>
      <c r="B330" s="87">
        <v>1</v>
      </c>
      <c r="C330" s="274">
        <v>45863</v>
      </c>
      <c r="D330" s="327">
        <v>71760</v>
      </c>
      <c r="E330" s="276" t="s">
        <v>1495</v>
      </c>
      <c r="F330" s="277">
        <v>8019.6</v>
      </c>
      <c r="G330" s="277">
        <f>39.7+(29.45)+750</f>
        <v>819.15</v>
      </c>
      <c r="H330" s="277"/>
      <c r="I330" s="321">
        <f>F330-G330-H330</f>
        <v>7200.4500000000007</v>
      </c>
      <c r="J330" s="279" t="s">
        <v>156</v>
      </c>
      <c r="K330" s="279">
        <v>1</v>
      </c>
      <c r="L330" s="279">
        <v>1</v>
      </c>
      <c r="M330" s="279">
        <v>1</v>
      </c>
      <c r="N330" s="279">
        <v>1</v>
      </c>
      <c r="O330" s="279">
        <v>1</v>
      </c>
      <c r="P330" s="322">
        <v>0</v>
      </c>
      <c r="Q330" s="322">
        <v>0</v>
      </c>
      <c r="R330" s="322">
        <v>0</v>
      </c>
      <c r="S330" s="328">
        <v>0</v>
      </c>
      <c r="T330" s="63"/>
      <c r="U330" s="94" t="s">
        <v>1520</v>
      </c>
      <c r="V330" s="90">
        <f>880+7941.56</f>
        <v>8821.5600000000013</v>
      </c>
      <c r="W330" s="136"/>
      <c r="X330" s="137"/>
      <c r="Y330" s="260"/>
    </row>
    <row r="331" spans="1:25" s="2" customFormat="1">
      <c r="A331" s="31" t="s">
        <v>402</v>
      </c>
      <c r="B331" s="87">
        <f>B330+1</f>
        <v>2</v>
      </c>
      <c r="C331" s="262">
        <v>45847</v>
      </c>
      <c r="D331" s="357" t="s">
        <v>1472</v>
      </c>
      <c r="E331" s="271" t="s">
        <v>1419</v>
      </c>
      <c r="F331" s="265">
        <v>17023</v>
      </c>
      <c r="G331" s="265">
        <f>39.7+107.63+330+(289.11+195.23)+(37.74)+1500</f>
        <v>2499.41</v>
      </c>
      <c r="H331" s="265">
        <f>F331*0.2</f>
        <v>3404.6000000000004</v>
      </c>
      <c r="I331" s="266">
        <f>F331-G331-H331</f>
        <v>11118.99</v>
      </c>
      <c r="J331" s="267" t="s">
        <v>313</v>
      </c>
      <c r="K331" s="267">
        <v>1</v>
      </c>
      <c r="L331" s="267">
        <v>1</v>
      </c>
      <c r="M331" s="267"/>
      <c r="N331" s="267">
        <v>1</v>
      </c>
      <c r="O331" s="267">
        <v>1</v>
      </c>
      <c r="P331" s="314">
        <v>0</v>
      </c>
      <c r="Q331" s="267">
        <v>1</v>
      </c>
      <c r="R331" s="267">
        <v>1</v>
      </c>
      <c r="S331" s="269">
        <v>1</v>
      </c>
      <c r="T331" s="63"/>
      <c r="U331" s="94" t="s">
        <v>1473</v>
      </c>
      <c r="V331" s="90"/>
      <c r="W331" s="136"/>
      <c r="X331" s="137">
        <f>15604.12</f>
        <v>15604.12</v>
      </c>
      <c r="Y331" s="434"/>
    </row>
    <row r="332" spans="1:25" s="2" customFormat="1">
      <c r="B332" s="11"/>
      <c r="C332" s="36"/>
      <c r="D332" s="10"/>
      <c r="E332" s="10"/>
      <c r="F332" s="97">
        <f>SUM(F330:F331)</f>
        <v>25042.6</v>
      </c>
      <c r="G332" s="97">
        <f>SUM(G330:G331)</f>
        <v>3318.56</v>
      </c>
      <c r="H332" s="97">
        <f>SUM(H330:H331)</f>
        <v>3404.6000000000004</v>
      </c>
      <c r="I332" s="98">
        <f>SUM(I330:I331)</f>
        <v>18319.440000000002</v>
      </c>
      <c r="J332" s="63"/>
      <c r="K332" s="21"/>
      <c r="L332" s="21"/>
      <c r="M332" s="21"/>
      <c r="N332" s="21"/>
      <c r="O332" s="21"/>
      <c r="P332" s="21"/>
      <c r="Q332" s="21"/>
      <c r="R332" s="21"/>
      <c r="S332" s="21"/>
      <c r="T332" s="63"/>
      <c r="U332" s="94"/>
      <c r="V332" s="90"/>
      <c r="W332" s="91"/>
      <c r="X332" s="92"/>
    </row>
    <row r="333" spans="1:25" s="2" customFormat="1">
      <c r="B333" s="11"/>
      <c r="C333" s="36"/>
      <c r="D333" s="10"/>
      <c r="E333" s="10"/>
      <c r="F333" s="88"/>
      <c r="G333" s="88"/>
      <c r="H333" s="88"/>
      <c r="I333" s="99"/>
      <c r="J333" s="63"/>
      <c r="K333" s="21"/>
      <c r="L333" s="21"/>
      <c r="M333" s="21"/>
      <c r="N333" s="21"/>
      <c r="O333" s="21"/>
      <c r="P333" s="21"/>
      <c r="Q333" s="21"/>
      <c r="R333" s="21"/>
      <c r="S333" s="21"/>
      <c r="T333" s="63"/>
      <c r="U333" s="94"/>
      <c r="V333" s="90"/>
      <c r="W333" s="91"/>
      <c r="X333" s="92"/>
    </row>
    <row r="334" spans="1:25" s="434" customFormat="1" ht="13.5">
      <c r="A334" s="10"/>
      <c r="B334" s="100" t="s">
        <v>152</v>
      </c>
      <c r="C334" s="36"/>
      <c r="D334" s="10"/>
      <c r="E334" s="10"/>
      <c r="F334" s="88"/>
      <c r="G334" s="62"/>
      <c r="H334" s="88"/>
      <c r="I334" s="99"/>
      <c r="J334" s="63"/>
      <c r="K334" s="10"/>
      <c r="L334" s="10"/>
      <c r="M334" s="10"/>
      <c r="N334" s="10"/>
      <c r="O334" s="10"/>
      <c r="P334" s="123"/>
      <c r="Q334" s="10"/>
      <c r="R334" s="10"/>
      <c r="S334" s="10"/>
      <c r="T334" s="63"/>
      <c r="U334" s="10"/>
      <c r="V334" s="90"/>
      <c r="W334" s="91"/>
      <c r="X334" s="92"/>
    </row>
    <row r="335" spans="1:25" s="434" customFormat="1" ht="13.5">
      <c r="A335" s="31">
        <v>0.05</v>
      </c>
      <c r="B335" s="87">
        <v>1</v>
      </c>
      <c r="C335" s="262">
        <v>45848</v>
      </c>
      <c r="D335" s="263">
        <v>71373</v>
      </c>
      <c r="E335" s="264" t="s">
        <v>1338</v>
      </c>
      <c r="F335" s="265">
        <v>2681</v>
      </c>
      <c r="G335" s="265">
        <f>39.7</f>
        <v>39.700000000000003</v>
      </c>
      <c r="H335" s="265"/>
      <c r="I335" s="266">
        <f>F335-G335-H335</f>
        <v>2641.3</v>
      </c>
      <c r="J335" s="267" t="s">
        <v>156</v>
      </c>
      <c r="K335" s="267">
        <v>1</v>
      </c>
      <c r="L335" s="267">
        <v>1</v>
      </c>
      <c r="M335" s="267">
        <v>1</v>
      </c>
      <c r="N335" s="267">
        <v>1</v>
      </c>
      <c r="O335" s="267">
        <v>1</v>
      </c>
      <c r="P335" s="314">
        <v>0</v>
      </c>
      <c r="Q335" s="314">
        <v>0</v>
      </c>
      <c r="R335" s="314">
        <v>0</v>
      </c>
      <c r="S335" s="366">
        <v>0</v>
      </c>
      <c r="T335" s="63"/>
      <c r="U335" s="10"/>
      <c r="V335" s="90"/>
      <c r="W335" s="91"/>
      <c r="X335" s="92"/>
    </row>
    <row r="336" spans="1:25" s="260" customFormat="1">
      <c r="A336" s="261">
        <v>0.05</v>
      </c>
      <c r="B336" s="87">
        <f>B335+1</f>
        <v>2</v>
      </c>
      <c r="C336" s="262">
        <v>45855</v>
      </c>
      <c r="D336" s="263">
        <v>71488</v>
      </c>
      <c r="E336" s="264" t="s">
        <v>218</v>
      </c>
      <c r="F336" s="265">
        <v>2034.9</v>
      </c>
      <c r="G336" s="265">
        <f>39.7+(412.27)</f>
        <v>451.96999999999997</v>
      </c>
      <c r="H336" s="265"/>
      <c r="I336" s="266">
        <f>F336-G336-H336</f>
        <v>1582.93</v>
      </c>
      <c r="J336" s="267" t="s">
        <v>156</v>
      </c>
      <c r="K336" s="267">
        <v>1</v>
      </c>
      <c r="L336" s="267">
        <v>1</v>
      </c>
      <c r="M336" s="267">
        <v>1</v>
      </c>
      <c r="N336" s="267">
        <v>0</v>
      </c>
      <c r="O336" s="267">
        <v>0</v>
      </c>
      <c r="P336" s="267">
        <v>0</v>
      </c>
      <c r="Q336" s="267">
        <v>1</v>
      </c>
      <c r="R336" s="267">
        <v>1</v>
      </c>
      <c r="S336" s="269">
        <v>0</v>
      </c>
      <c r="T336" s="63"/>
      <c r="U336" s="10" t="s">
        <v>1502</v>
      </c>
      <c r="V336" s="90"/>
      <c r="W336" s="91"/>
      <c r="X336" s="92"/>
    </row>
    <row r="337" spans="1:24" s="260" customFormat="1">
      <c r="A337" s="261">
        <v>0.05</v>
      </c>
      <c r="B337" s="87">
        <f>B336+1</f>
        <v>3</v>
      </c>
      <c r="C337" s="262">
        <v>45863</v>
      </c>
      <c r="D337" s="263" t="s">
        <v>1497</v>
      </c>
      <c r="E337" s="271" t="s">
        <v>1117</v>
      </c>
      <c r="F337" s="265">
        <v>1138</v>
      </c>
      <c r="G337" s="265">
        <f>39.7</f>
        <v>39.700000000000003</v>
      </c>
      <c r="H337" s="365"/>
      <c r="I337" s="266">
        <f>F337-G337-H337</f>
        <v>1098.3</v>
      </c>
      <c r="J337" s="267"/>
      <c r="K337" s="267">
        <v>1</v>
      </c>
      <c r="L337" s="267">
        <v>1</v>
      </c>
      <c r="M337" s="267"/>
      <c r="N337" s="267">
        <v>1</v>
      </c>
      <c r="O337" s="267">
        <v>1</v>
      </c>
      <c r="P337" s="267">
        <v>1</v>
      </c>
      <c r="Q337" s="267">
        <v>0</v>
      </c>
      <c r="R337" s="267">
        <v>0</v>
      </c>
      <c r="S337" s="269">
        <v>0</v>
      </c>
      <c r="T337" s="63"/>
      <c r="U337" s="10"/>
      <c r="V337" s="90"/>
      <c r="W337" s="91"/>
      <c r="X337" s="92"/>
    </row>
    <row r="338" spans="1:24" s="434" customFormat="1" ht="13.5">
      <c r="A338" s="10"/>
      <c r="B338" s="11"/>
      <c r="C338" s="36"/>
      <c r="D338" s="10"/>
      <c r="E338" s="10"/>
      <c r="F338" s="98">
        <f>SUM(F335:F337)</f>
        <v>5853.9</v>
      </c>
      <c r="G338" s="98">
        <f>SUM(G335:G337)</f>
        <v>531.37</v>
      </c>
      <c r="H338" s="98">
        <f>SUM(H335:H337)</f>
        <v>0</v>
      </c>
      <c r="I338" s="98">
        <f>SUM(I335:I337)</f>
        <v>5322.5300000000007</v>
      </c>
      <c r="J338" s="63"/>
      <c r="K338" s="21"/>
      <c r="L338" s="21"/>
      <c r="M338" s="21"/>
      <c r="N338" s="21"/>
      <c r="O338" s="21"/>
      <c r="P338" s="21"/>
      <c r="Q338" s="21"/>
      <c r="R338" s="21"/>
      <c r="S338" s="21"/>
      <c r="T338" s="63"/>
      <c r="U338" s="10"/>
      <c r="V338" s="90"/>
      <c r="W338" s="91"/>
      <c r="X338" s="92"/>
    </row>
    <row r="339" spans="1:24" s="434" customFormat="1" ht="13.5">
      <c r="A339" s="10"/>
      <c r="B339" s="11"/>
      <c r="C339" s="36"/>
      <c r="D339" s="10"/>
      <c r="E339" s="10"/>
      <c r="F339" s="88"/>
      <c r="G339" s="88"/>
      <c r="H339" s="88"/>
      <c r="I339" s="99"/>
      <c r="J339" s="63"/>
      <c r="K339" s="21"/>
      <c r="L339" s="21"/>
      <c r="M339" s="21"/>
      <c r="N339" s="21"/>
      <c r="O339" s="21"/>
      <c r="P339" s="21"/>
      <c r="Q339" s="21"/>
      <c r="R339" s="21"/>
      <c r="S339" s="21"/>
      <c r="T339" s="63"/>
      <c r="U339" s="10"/>
      <c r="V339" s="90"/>
      <c r="W339" s="91"/>
      <c r="X339" s="92"/>
    </row>
    <row r="340" spans="1:24" s="260" customFormat="1">
      <c r="A340" s="181"/>
      <c r="B340" s="100" t="s">
        <v>1521</v>
      </c>
      <c r="C340" s="36"/>
      <c r="D340" s="10"/>
      <c r="E340" s="181"/>
      <c r="F340" s="88"/>
      <c r="G340" s="88"/>
      <c r="H340" s="88"/>
      <c r="I340" s="99"/>
      <c r="J340" s="63"/>
      <c r="K340" s="21"/>
      <c r="L340" s="21"/>
      <c r="M340" s="21"/>
      <c r="N340" s="21"/>
      <c r="O340" s="21"/>
      <c r="P340" s="21"/>
      <c r="Q340" s="21"/>
      <c r="R340" s="21"/>
      <c r="S340" s="21"/>
      <c r="T340" s="63"/>
      <c r="U340" s="94"/>
      <c r="V340" s="90"/>
      <c r="W340" s="91"/>
      <c r="X340" s="92"/>
    </row>
    <row r="341" spans="1:24" s="260" customFormat="1">
      <c r="A341" s="261">
        <v>0.05</v>
      </c>
      <c r="B341" s="87">
        <v>1</v>
      </c>
      <c r="C341" s="262">
        <v>45860</v>
      </c>
      <c r="D341" s="263" t="s">
        <v>1522</v>
      </c>
      <c r="E341" s="271" t="s">
        <v>1256</v>
      </c>
      <c r="F341" s="265">
        <v>13770</v>
      </c>
      <c r="G341" s="265">
        <f>39.7+(7.88+328.49-9.15-0.86-0.98-2.08)+1000</f>
        <v>1363</v>
      </c>
      <c r="H341" s="365"/>
      <c r="I341" s="266">
        <f>F341-G341-H341</f>
        <v>12407</v>
      </c>
      <c r="J341" s="267" t="s">
        <v>156</v>
      </c>
      <c r="K341" s="267">
        <v>1</v>
      </c>
      <c r="L341" s="267"/>
      <c r="M341" s="267">
        <v>1</v>
      </c>
      <c r="N341" s="267">
        <v>1</v>
      </c>
      <c r="O341" s="314">
        <v>0</v>
      </c>
      <c r="P341" s="267">
        <v>1</v>
      </c>
      <c r="Q341" s="267"/>
      <c r="R341" s="267"/>
      <c r="S341" s="269"/>
      <c r="T341" s="63"/>
      <c r="U341" s="94" t="s">
        <v>1523</v>
      </c>
      <c r="V341" s="90"/>
      <c r="W341" s="136"/>
      <c r="X341" s="137"/>
    </row>
    <row r="342" spans="1:24" s="260" customFormat="1">
      <c r="A342" s="181"/>
      <c r="B342" s="11"/>
      <c r="C342" s="36"/>
      <c r="D342" s="10"/>
      <c r="E342" s="10"/>
      <c r="F342" s="97">
        <f>SUM(F341:F341)</f>
        <v>13770</v>
      </c>
      <c r="G342" s="97">
        <f>SUM(G341:G341)</f>
        <v>1363</v>
      </c>
      <c r="H342" s="97">
        <f>SUM(H341:H341)</f>
        <v>0</v>
      </c>
      <c r="I342" s="98">
        <f>SUM(I341:I341)</f>
        <v>12407</v>
      </c>
      <c r="J342" s="63"/>
      <c r="K342" s="21"/>
      <c r="L342" s="21"/>
      <c r="M342" s="21"/>
      <c r="N342" s="21"/>
      <c r="O342" s="21"/>
      <c r="P342" s="21"/>
      <c r="Q342" s="21"/>
      <c r="R342" s="21"/>
      <c r="S342" s="21"/>
      <c r="T342" s="63"/>
      <c r="U342" s="94"/>
      <c r="V342" s="90"/>
      <c r="W342" s="91"/>
      <c r="X342" s="92"/>
    </row>
    <row r="343" spans="1:24" s="260" customFormat="1">
      <c r="A343" s="181"/>
      <c r="B343" s="11"/>
      <c r="C343" s="36"/>
      <c r="D343" s="10"/>
      <c r="E343" s="10"/>
      <c r="F343" s="88"/>
      <c r="G343" s="88"/>
      <c r="H343" s="88"/>
      <c r="I343" s="99"/>
      <c r="J343" s="63"/>
      <c r="K343" s="21"/>
      <c r="L343" s="21"/>
      <c r="M343" s="21"/>
      <c r="N343" s="21"/>
      <c r="O343" s="21"/>
      <c r="P343" s="21"/>
      <c r="Q343" s="21"/>
      <c r="R343" s="21"/>
      <c r="S343" s="21"/>
      <c r="T343" s="63"/>
      <c r="U343" s="94"/>
      <c r="V343" s="90"/>
      <c r="W343" s="91"/>
      <c r="X343" s="92"/>
    </row>
    <row r="344" spans="1:24">
      <c r="B344" s="100" t="s">
        <v>72</v>
      </c>
      <c r="C344" s="36"/>
      <c r="D344" s="10"/>
      <c r="E344" s="10"/>
      <c r="F344" s="88"/>
      <c r="G344" s="88"/>
      <c r="H344" s="88"/>
      <c r="I344" s="99"/>
      <c r="J344" s="63"/>
      <c r="K344" s="63"/>
      <c r="L344" s="63"/>
      <c r="M344" s="63"/>
      <c r="N344" s="63"/>
      <c r="O344" s="63"/>
      <c r="P344" s="63"/>
      <c r="Q344" s="63"/>
      <c r="R344" s="63"/>
      <c r="S344" s="63"/>
      <c r="T344" s="63"/>
      <c r="U344" s="10"/>
      <c r="V344" s="90"/>
      <c r="W344" s="91"/>
      <c r="X344" s="92"/>
    </row>
    <row r="345" spans="1:24">
      <c r="B345" s="87">
        <v>1</v>
      </c>
      <c r="C345" s="274">
        <v>45867</v>
      </c>
      <c r="D345" s="276">
        <v>71836</v>
      </c>
      <c r="E345" s="276" t="s">
        <v>172</v>
      </c>
      <c r="F345" s="277">
        <v>20352.599999999999</v>
      </c>
      <c r="G345" s="277">
        <f>39.7</f>
        <v>39.700000000000003</v>
      </c>
      <c r="H345" s="277"/>
      <c r="I345" s="278">
        <f>F345-G345-H345</f>
        <v>20312.899999999998</v>
      </c>
      <c r="J345" s="279" t="s">
        <v>205</v>
      </c>
      <c r="K345" s="279"/>
      <c r="L345" s="279"/>
      <c r="M345" s="279"/>
      <c r="N345" s="279">
        <v>1</v>
      </c>
      <c r="O345" s="279"/>
      <c r="P345" s="279"/>
      <c r="Q345" s="279"/>
      <c r="R345" s="279"/>
      <c r="S345" s="280"/>
      <c r="T345" s="63"/>
      <c r="U345" s="3"/>
      <c r="V345" s="90"/>
      <c r="W345" s="91"/>
      <c r="X345" s="92"/>
    </row>
    <row r="346" spans="1:24">
      <c r="B346" s="87">
        <f t="shared" ref="B346:B359" si="58">B345+1</f>
        <v>2</v>
      </c>
      <c r="C346" s="295">
        <v>45867</v>
      </c>
      <c r="D346" s="10">
        <v>71846</v>
      </c>
      <c r="E346" s="10" t="s">
        <v>811</v>
      </c>
      <c r="F346" s="62">
        <v>1261</v>
      </c>
      <c r="G346" s="62">
        <f>39.7</f>
        <v>39.700000000000003</v>
      </c>
      <c r="H346" s="62"/>
      <c r="I346" s="89">
        <f>F346-G346-H346</f>
        <v>1221.3</v>
      </c>
      <c r="J346" s="63" t="s">
        <v>205</v>
      </c>
      <c r="K346" s="63">
        <v>1</v>
      </c>
      <c r="L346" s="63"/>
      <c r="M346" s="63"/>
      <c r="N346" s="63">
        <v>1</v>
      </c>
      <c r="O346" s="63"/>
      <c r="P346" s="63"/>
      <c r="Q346" s="63">
        <v>1</v>
      </c>
      <c r="R346" s="63">
        <v>1</v>
      </c>
      <c r="S346" s="296">
        <v>1</v>
      </c>
      <c r="T346" s="63"/>
      <c r="U346" s="10"/>
      <c r="V346" s="90"/>
      <c r="W346" s="136"/>
      <c r="X346" s="137"/>
    </row>
    <row r="347" spans="1:24">
      <c r="B347" s="87">
        <f t="shared" si="58"/>
        <v>3</v>
      </c>
      <c r="C347" s="295">
        <v>45867</v>
      </c>
      <c r="D347" s="10">
        <v>71828</v>
      </c>
      <c r="E347" s="10" t="s">
        <v>1173</v>
      </c>
      <c r="F347" s="62">
        <v>861</v>
      </c>
      <c r="G347" s="62">
        <f>39.7</f>
        <v>39.700000000000003</v>
      </c>
      <c r="H347" s="62"/>
      <c r="I347" s="89">
        <f>F347-G347-H347</f>
        <v>821.3</v>
      </c>
      <c r="J347" s="63" t="s">
        <v>205</v>
      </c>
      <c r="K347" s="63">
        <v>1</v>
      </c>
      <c r="L347" s="63"/>
      <c r="M347" s="63"/>
      <c r="N347" s="63">
        <v>1</v>
      </c>
      <c r="O347" s="63"/>
      <c r="P347" s="63"/>
      <c r="Q347" s="63">
        <v>1</v>
      </c>
      <c r="R347" s="63">
        <v>1</v>
      </c>
      <c r="S347" s="296">
        <v>1</v>
      </c>
      <c r="T347" s="63"/>
      <c r="U347" s="10"/>
      <c r="V347" s="90"/>
      <c r="W347" s="136"/>
      <c r="X347" s="137"/>
    </row>
    <row r="348" spans="1:24">
      <c r="B348" s="87">
        <f t="shared" si="58"/>
        <v>4</v>
      </c>
      <c r="C348" s="274">
        <v>45868</v>
      </c>
      <c r="D348" s="276">
        <v>71853</v>
      </c>
      <c r="E348" s="276" t="s">
        <v>739</v>
      </c>
      <c r="F348" s="277">
        <v>5232.6000000000004</v>
      </c>
      <c r="G348" s="277">
        <f>39.7</f>
        <v>39.700000000000003</v>
      </c>
      <c r="H348" s="277"/>
      <c r="I348" s="278">
        <f>F348-G348-H348</f>
        <v>5192.9000000000005</v>
      </c>
      <c r="J348" s="279" t="s">
        <v>205</v>
      </c>
      <c r="K348" s="279">
        <v>1</v>
      </c>
      <c r="L348" s="279"/>
      <c r="M348" s="279"/>
      <c r="N348" s="279">
        <v>1</v>
      </c>
      <c r="O348" s="279"/>
      <c r="P348" s="279"/>
      <c r="Q348" s="279">
        <v>1</v>
      </c>
      <c r="R348" s="279">
        <v>1</v>
      </c>
      <c r="S348" s="280">
        <v>1</v>
      </c>
      <c r="T348" s="63"/>
      <c r="U348" s="10"/>
      <c r="V348" s="90"/>
      <c r="W348" s="136"/>
      <c r="X348" s="137"/>
    </row>
    <row r="349" spans="1:24">
      <c r="B349" s="87">
        <f t="shared" si="58"/>
        <v>5</v>
      </c>
      <c r="C349" s="295">
        <v>45868</v>
      </c>
      <c r="D349" s="10">
        <v>71888</v>
      </c>
      <c r="E349" s="10" t="s">
        <v>305</v>
      </c>
      <c r="F349" s="62">
        <v>2861</v>
      </c>
      <c r="G349" s="62">
        <f>39.7</f>
        <v>39.700000000000003</v>
      </c>
      <c r="H349" s="62"/>
      <c r="I349" s="89">
        <f>F349-G349-H349</f>
        <v>2821.3</v>
      </c>
      <c r="J349" s="63" t="s">
        <v>205</v>
      </c>
      <c r="K349" s="63">
        <v>1</v>
      </c>
      <c r="L349" s="63"/>
      <c r="M349" s="63"/>
      <c r="N349" s="63">
        <v>1</v>
      </c>
      <c r="O349" s="63"/>
      <c r="P349" s="63"/>
      <c r="Q349" s="63">
        <v>1</v>
      </c>
      <c r="R349" s="63">
        <v>1</v>
      </c>
      <c r="S349" s="296">
        <v>1</v>
      </c>
      <c r="T349" s="63"/>
      <c r="U349" s="10"/>
      <c r="V349" s="90"/>
      <c r="W349" s="136"/>
      <c r="X349" s="137"/>
    </row>
    <row r="350" spans="1:24">
      <c r="B350" s="87">
        <f t="shared" si="58"/>
        <v>6</v>
      </c>
      <c r="C350" s="295">
        <v>45868</v>
      </c>
      <c r="D350" s="10">
        <v>71871</v>
      </c>
      <c r="E350" s="101" t="s">
        <v>211</v>
      </c>
      <c r="F350" s="62">
        <v>1776</v>
      </c>
      <c r="G350" s="62">
        <v>39.700000000000003</v>
      </c>
      <c r="H350" s="62"/>
      <c r="I350" s="89">
        <f>F350-G350-H350</f>
        <v>1736.3</v>
      </c>
      <c r="J350" s="63" t="s">
        <v>205</v>
      </c>
      <c r="K350" s="63">
        <v>1</v>
      </c>
      <c r="L350" s="63"/>
      <c r="M350" s="63"/>
      <c r="N350" s="63">
        <v>1</v>
      </c>
      <c r="O350" s="63"/>
      <c r="P350" s="63"/>
      <c r="Q350" s="63"/>
      <c r="R350" s="63"/>
      <c r="S350" s="296"/>
      <c r="T350" s="63"/>
      <c r="U350" s="10" t="s">
        <v>1524</v>
      </c>
      <c r="V350" s="90"/>
      <c r="W350" s="136"/>
      <c r="X350" s="137"/>
    </row>
    <row r="351" spans="1:24">
      <c r="B351" s="87">
        <f t="shared" si="58"/>
        <v>7</v>
      </c>
      <c r="C351" s="274">
        <v>45869</v>
      </c>
      <c r="D351" s="276">
        <v>71915</v>
      </c>
      <c r="E351" s="281" t="s">
        <v>1525</v>
      </c>
      <c r="F351" s="277">
        <v>781</v>
      </c>
      <c r="G351" s="277">
        <v>39.700000000000003</v>
      </c>
      <c r="H351" s="277"/>
      <c r="I351" s="278">
        <f>F351-G351-H351</f>
        <v>741.3</v>
      </c>
      <c r="J351" s="279" t="s">
        <v>156</v>
      </c>
      <c r="K351" s="279">
        <v>1</v>
      </c>
      <c r="L351" s="279"/>
      <c r="M351" s="279">
        <v>1</v>
      </c>
      <c r="N351" s="279">
        <v>1</v>
      </c>
      <c r="O351" s="279"/>
      <c r="P351" s="279"/>
      <c r="Q351" s="279">
        <v>1</v>
      </c>
      <c r="R351" s="279">
        <v>1</v>
      </c>
      <c r="S351" s="280"/>
      <c r="T351" s="63"/>
      <c r="U351" s="10"/>
      <c r="V351" s="90">
        <v>93.5</v>
      </c>
      <c r="W351" s="136"/>
      <c r="X351" s="137"/>
    </row>
    <row r="352" spans="1:24">
      <c r="B352" s="87">
        <f t="shared" si="58"/>
        <v>8</v>
      </c>
      <c r="C352" s="295">
        <v>45869</v>
      </c>
      <c r="D352" s="10">
        <v>71919</v>
      </c>
      <c r="E352" s="101" t="s">
        <v>1173</v>
      </c>
      <c r="F352" s="62">
        <v>1596</v>
      </c>
      <c r="G352" s="62">
        <v>39.700000000000003</v>
      </c>
      <c r="H352" s="62"/>
      <c r="I352" s="89">
        <f>F352-G352-H352</f>
        <v>1556.3</v>
      </c>
      <c r="J352" s="63" t="s">
        <v>205</v>
      </c>
      <c r="K352" s="63">
        <v>1</v>
      </c>
      <c r="L352" s="63"/>
      <c r="M352" s="63"/>
      <c r="N352" s="63">
        <v>1</v>
      </c>
      <c r="O352" s="63"/>
      <c r="P352" s="63"/>
      <c r="Q352" s="63">
        <v>1</v>
      </c>
      <c r="R352" s="63">
        <v>1</v>
      </c>
      <c r="S352" s="296">
        <v>1</v>
      </c>
      <c r="T352" s="63"/>
      <c r="U352" s="10"/>
      <c r="V352" s="90"/>
      <c r="W352" s="136"/>
      <c r="X352" s="137"/>
    </row>
    <row r="353" spans="1:24">
      <c r="B353" s="87">
        <f t="shared" si="58"/>
        <v>9</v>
      </c>
      <c r="C353" s="295">
        <v>45869</v>
      </c>
      <c r="D353" s="10" t="s">
        <v>1526</v>
      </c>
      <c r="E353" s="101" t="s">
        <v>681</v>
      </c>
      <c r="F353" s="62">
        <v>2528</v>
      </c>
      <c r="G353" s="62">
        <v>39.700000000000003</v>
      </c>
      <c r="H353" s="62"/>
      <c r="I353" s="89">
        <f>F353-G353-H353</f>
        <v>2488.3000000000002</v>
      </c>
      <c r="J353" s="63" t="s">
        <v>205</v>
      </c>
      <c r="K353" s="63">
        <v>1</v>
      </c>
      <c r="L353" s="63"/>
      <c r="M353" s="63"/>
      <c r="N353" s="63">
        <v>1</v>
      </c>
      <c r="O353" s="63"/>
      <c r="P353" s="63"/>
      <c r="Q353" s="63">
        <v>1</v>
      </c>
      <c r="R353" s="63">
        <v>1</v>
      </c>
      <c r="S353" s="296">
        <v>1</v>
      </c>
      <c r="T353" s="63"/>
      <c r="U353" s="10"/>
      <c r="V353" s="90"/>
      <c r="W353" s="136"/>
      <c r="X353" s="137"/>
    </row>
    <row r="354" spans="1:24">
      <c r="B354" s="87">
        <f t="shared" si="58"/>
        <v>10</v>
      </c>
      <c r="C354" s="295">
        <v>45869</v>
      </c>
      <c r="D354" s="10" t="s">
        <v>1527</v>
      </c>
      <c r="E354" s="101" t="s">
        <v>681</v>
      </c>
      <c r="F354" s="62">
        <v>839</v>
      </c>
      <c r="G354" s="62">
        <v>39.700000000000003</v>
      </c>
      <c r="H354" s="62"/>
      <c r="I354" s="89">
        <f>F354-G354-H354</f>
        <v>799.3</v>
      </c>
      <c r="J354" s="63" t="s">
        <v>205</v>
      </c>
      <c r="K354" s="63">
        <v>1</v>
      </c>
      <c r="L354" s="63"/>
      <c r="M354" s="63"/>
      <c r="N354" s="63">
        <v>1</v>
      </c>
      <c r="O354" s="63"/>
      <c r="P354" s="63"/>
      <c r="Q354" s="63">
        <v>1</v>
      </c>
      <c r="R354" s="63">
        <v>1</v>
      </c>
      <c r="S354" s="296">
        <v>1</v>
      </c>
      <c r="T354" s="63"/>
      <c r="U354" s="10"/>
      <c r="V354" s="90"/>
      <c r="W354" s="136"/>
      <c r="X354" s="137"/>
    </row>
    <row r="355" spans="1:24">
      <c r="B355" s="87">
        <f t="shared" si="58"/>
        <v>11</v>
      </c>
      <c r="C355" s="274">
        <v>45870</v>
      </c>
      <c r="D355" s="276">
        <v>71940</v>
      </c>
      <c r="E355" s="281" t="s">
        <v>1525</v>
      </c>
      <c r="F355" s="277">
        <v>939.2</v>
      </c>
      <c r="G355" s="277">
        <v>39.700000000000003</v>
      </c>
      <c r="H355" s="277"/>
      <c r="I355" s="278">
        <f>F355-G355-H355</f>
        <v>899.5</v>
      </c>
      <c r="J355" s="279" t="s">
        <v>205</v>
      </c>
      <c r="K355" s="279">
        <v>1</v>
      </c>
      <c r="L355" s="279"/>
      <c r="M355" s="279"/>
      <c r="N355" s="279">
        <v>1</v>
      </c>
      <c r="O355" s="279"/>
      <c r="P355" s="279"/>
      <c r="Q355" s="279"/>
      <c r="R355" s="279"/>
      <c r="S355" s="280"/>
      <c r="T355" s="63"/>
      <c r="U355" s="10"/>
      <c r="V355" s="90"/>
      <c r="W355" s="136"/>
      <c r="X355" s="137"/>
    </row>
    <row r="356" spans="1:24">
      <c r="B356" s="87">
        <f t="shared" si="58"/>
        <v>12</v>
      </c>
      <c r="C356" s="295">
        <v>45870</v>
      </c>
      <c r="D356" s="10" t="s">
        <v>1528</v>
      </c>
      <c r="E356" s="101" t="s">
        <v>746</v>
      </c>
      <c r="F356" s="62">
        <v>681</v>
      </c>
      <c r="G356" s="62"/>
      <c r="H356" s="62"/>
      <c r="I356" s="89">
        <f>F356-G356-H356</f>
        <v>681</v>
      </c>
      <c r="J356" s="63" t="s">
        <v>205</v>
      </c>
      <c r="K356" s="63">
        <v>1</v>
      </c>
      <c r="L356" s="63"/>
      <c r="M356" s="63"/>
      <c r="N356" s="63">
        <v>1</v>
      </c>
      <c r="O356" s="63"/>
      <c r="P356" s="63"/>
      <c r="Q356" s="63"/>
      <c r="R356" s="63"/>
      <c r="S356" s="296"/>
      <c r="T356" s="63"/>
      <c r="U356" s="10"/>
      <c r="V356" s="90"/>
      <c r="W356" s="136"/>
      <c r="X356" s="137"/>
    </row>
    <row r="357" spans="1:24">
      <c r="B357" s="87">
        <f t="shared" si="58"/>
        <v>13</v>
      </c>
      <c r="C357" s="295">
        <v>45870</v>
      </c>
      <c r="D357" s="10" t="s">
        <v>1529</v>
      </c>
      <c r="E357" s="101" t="s">
        <v>746</v>
      </c>
      <c r="F357" s="62">
        <v>8614</v>
      </c>
      <c r="G357" s="62">
        <v>39.700000000000003</v>
      </c>
      <c r="H357" s="62"/>
      <c r="I357" s="89">
        <f>F357-G357-H357</f>
        <v>8574.2999999999993</v>
      </c>
      <c r="J357" s="63" t="s">
        <v>205</v>
      </c>
      <c r="K357" s="63">
        <v>1</v>
      </c>
      <c r="L357" s="63"/>
      <c r="M357" s="63"/>
      <c r="N357" s="63">
        <v>1</v>
      </c>
      <c r="O357" s="63"/>
      <c r="P357" s="63"/>
      <c r="Q357" s="63"/>
      <c r="R357" s="63"/>
      <c r="S357" s="296"/>
      <c r="T357" s="63"/>
      <c r="U357" s="10"/>
      <c r="V357" s="90"/>
      <c r="W357" s="136"/>
      <c r="X357" s="137"/>
    </row>
    <row r="358" spans="1:24">
      <c r="B358" s="87">
        <f t="shared" si="58"/>
        <v>14</v>
      </c>
      <c r="C358" s="295">
        <v>45870</v>
      </c>
      <c r="D358" s="10">
        <v>71959</v>
      </c>
      <c r="E358" s="10" t="s">
        <v>213</v>
      </c>
      <c r="F358" s="62">
        <v>1376</v>
      </c>
      <c r="G358" s="62">
        <v>39.700000000000003</v>
      </c>
      <c r="H358" s="62"/>
      <c r="I358" s="89">
        <f>F358-G358-H358</f>
        <v>1336.3</v>
      </c>
      <c r="J358" s="63" t="s">
        <v>205</v>
      </c>
      <c r="K358" s="63">
        <v>1</v>
      </c>
      <c r="L358" s="63"/>
      <c r="M358" s="63"/>
      <c r="N358" s="63">
        <v>1</v>
      </c>
      <c r="O358" s="63"/>
      <c r="P358" s="63"/>
      <c r="Q358" s="63"/>
      <c r="R358" s="63"/>
      <c r="S358" s="296"/>
      <c r="T358" s="63"/>
      <c r="U358" s="10"/>
      <c r="V358" s="90"/>
      <c r="W358" s="136"/>
      <c r="X358" s="137"/>
    </row>
    <row r="359" spans="1:24">
      <c r="B359" s="87">
        <f t="shared" si="58"/>
        <v>15</v>
      </c>
      <c r="C359" s="282">
        <v>45870</v>
      </c>
      <c r="D359" s="283">
        <v>71974</v>
      </c>
      <c r="E359" s="283" t="s">
        <v>1530</v>
      </c>
      <c r="F359" s="284">
        <v>581</v>
      </c>
      <c r="G359" s="284"/>
      <c r="H359" s="284"/>
      <c r="I359" s="285">
        <f>F359-G359-H359</f>
        <v>581</v>
      </c>
      <c r="J359" s="286" t="s">
        <v>205</v>
      </c>
      <c r="K359" s="286">
        <v>1</v>
      </c>
      <c r="L359" s="286"/>
      <c r="M359" s="286"/>
      <c r="N359" s="286">
        <v>1</v>
      </c>
      <c r="O359" s="286"/>
      <c r="P359" s="286"/>
      <c r="Q359" s="286"/>
      <c r="R359" s="286"/>
      <c r="S359" s="287"/>
      <c r="T359" s="63"/>
      <c r="U359" s="10"/>
      <c r="V359" s="90"/>
      <c r="W359" s="136"/>
      <c r="X359" s="137"/>
    </row>
    <row r="360" spans="1:24">
      <c r="B360" s="11"/>
      <c r="C360" s="36"/>
      <c r="D360" s="10"/>
      <c r="E360" s="10"/>
      <c r="F360" s="97">
        <f>SUM(F345:F359)</f>
        <v>50279.399999999994</v>
      </c>
      <c r="G360" s="97">
        <f>SUM(G345:G359)</f>
        <v>516.09999999999991</v>
      </c>
      <c r="H360" s="97">
        <f>SUM(H345:H359)</f>
        <v>0</v>
      </c>
      <c r="I360" s="98">
        <f>SUM(I345:I359)</f>
        <v>49763.3</v>
      </c>
      <c r="J360" s="10"/>
      <c r="K360" s="10"/>
      <c r="L360" s="10"/>
      <c r="M360" s="10"/>
      <c r="N360" s="10"/>
      <c r="O360" s="10"/>
      <c r="P360" s="10"/>
      <c r="Q360" s="10"/>
      <c r="R360" s="10"/>
      <c r="S360" s="10"/>
      <c r="T360" s="63"/>
      <c r="U360" s="10"/>
      <c r="V360" s="138"/>
      <c r="W360" s="136"/>
      <c r="X360" s="137"/>
    </row>
    <row r="361" spans="1:24">
      <c r="B361" s="26"/>
      <c r="C361" s="140"/>
      <c r="D361" s="141"/>
      <c r="E361" s="141"/>
      <c r="F361" s="141"/>
      <c r="G361" s="141"/>
      <c r="H361" s="141"/>
      <c r="I361" s="141"/>
      <c r="J361" s="141"/>
      <c r="K361" s="142"/>
      <c r="L361" s="142"/>
      <c r="M361" s="142"/>
      <c r="N361" s="142"/>
      <c r="O361" s="142"/>
      <c r="P361" s="142"/>
      <c r="Q361" s="142"/>
      <c r="R361" s="142"/>
      <c r="S361" s="142"/>
      <c r="T361" s="143">
        <f>SUM(T313:T360)</f>
        <v>0</v>
      </c>
      <c r="U361" s="141"/>
      <c r="V361" s="144">
        <f>SUM(V313:V360)</f>
        <v>51061.75</v>
      </c>
      <c r="W361" s="145">
        <f>SUM(W313:W360)</f>
        <v>0</v>
      </c>
      <c r="X361" s="146">
        <f>SUM(X313:X360)</f>
        <v>15604.12</v>
      </c>
    </row>
    <row r="364" spans="1:24">
      <c r="A364" s="3"/>
      <c r="B364" s="4" t="s">
        <v>1</v>
      </c>
      <c r="C364" s="5"/>
      <c r="D364" s="6"/>
      <c r="E364" s="6"/>
      <c r="F364" s="7" t="s">
        <v>2</v>
      </c>
      <c r="G364" s="8">
        <v>45879</v>
      </c>
      <c r="H364" s="7"/>
      <c r="I364" s="6"/>
      <c r="J364" s="6"/>
      <c r="K364" s="6"/>
      <c r="L364" s="6"/>
      <c r="M364" s="6"/>
      <c r="N364" s="6"/>
      <c r="O364" s="6"/>
      <c r="P364" s="6"/>
      <c r="Q364" s="6"/>
      <c r="R364" s="6"/>
      <c r="S364" s="6"/>
      <c r="T364" s="6"/>
      <c r="U364" s="9"/>
      <c r="V364" s="10"/>
      <c r="W364" s="10"/>
      <c r="X364" s="10"/>
    </row>
    <row r="365" spans="1:24">
      <c r="A365" s="2"/>
      <c r="B365" s="11"/>
      <c r="C365" s="10"/>
      <c r="D365" s="10"/>
      <c r="E365" s="10"/>
      <c r="F365" s="10"/>
      <c r="G365" s="7"/>
      <c r="H365" s="12"/>
      <c r="I365" s="10"/>
      <c r="J365" s="10"/>
      <c r="K365" s="13" t="s">
        <v>3</v>
      </c>
      <c r="L365" s="14"/>
      <c r="M365" s="15"/>
      <c r="N365" s="13" t="s">
        <v>4</v>
      </c>
      <c r="O365" s="14"/>
      <c r="P365" s="15"/>
      <c r="Q365" s="13" t="s">
        <v>5</v>
      </c>
      <c r="R365" s="14"/>
      <c r="S365" s="15"/>
      <c r="T365" s="16"/>
      <c r="U365" s="17"/>
      <c r="V365" s="10"/>
      <c r="W365" s="10"/>
      <c r="X365" s="10"/>
    </row>
    <row r="366" spans="1:24">
      <c r="A366" s="2"/>
      <c r="B366" s="18" t="s">
        <v>6</v>
      </c>
      <c r="C366" s="19">
        <f>C367+C368</f>
        <v>25</v>
      </c>
      <c r="D366" s="10"/>
      <c r="E366" s="18" t="s">
        <v>7</v>
      </c>
      <c r="F366" s="6"/>
      <c r="G366" s="9"/>
      <c r="H366" s="10"/>
      <c r="I366" s="10"/>
      <c r="J366" s="10"/>
      <c r="K366" s="20" t="s">
        <v>8</v>
      </c>
      <c r="L366" s="21" t="s">
        <v>9</v>
      </c>
      <c r="M366" s="21" t="s">
        <v>10</v>
      </c>
      <c r="N366" s="20" t="s">
        <v>11</v>
      </c>
      <c r="O366" s="21" t="s">
        <v>12</v>
      </c>
      <c r="P366" s="22" t="s">
        <v>13</v>
      </c>
      <c r="Q366" s="21" t="s">
        <v>11</v>
      </c>
      <c r="R366" s="21" t="s">
        <v>12</v>
      </c>
      <c r="S366" s="22" t="s">
        <v>13</v>
      </c>
      <c r="T366" s="23" t="s">
        <v>14</v>
      </c>
      <c r="U366" s="17"/>
      <c r="V366" s="10"/>
      <c r="W366" s="10"/>
      <c r="X366" s="10"/>
    </row>
    <row r="367" spans="1:24">
      <c r="A367" s="2"/>
      <c r="B367" s="24" t="s">
        <v>15</v>
      </c>
      <c r="C367" s="25">
        <f>P374</f>
        <v>17</v>
      </c>
      <c r="D367" s="10"/>
      <c r="E367" s="26" t="s">
        <v>16</v>
      </c>
      <c r="F367" s="27">
        <v>0.05</v>
      </c>
      <c r="G367" s="28"/>
      <c r="H367" s="10"/>
      <c r="I367" s="10"/>
      <c r="J367" s="18" t="s">
        <v>17</v>
      </c>
      <c r="K367" s="29">
        <f>K401</f>
        <v>9</v>
      </c>
      <c r="L367" s="29">
        <f>L401</f>
        <v>7</v>
      </c>
      <c r="M367" s="29">
        <f>M401</f>
        <v>9</v>
      </c>
      <c r="N367" s="29">
        <f>N401</f>
        <v>9</v>
      </c>
      <c r="O367" s="29">
        <f>O401</f>
        <v>9</v>
      </c>
      <c r="P367" s="29">
        <f>P401</f>
        <v>9</v>
      </c>
      <c r="Q367" s="29">
        <f>Q401</f>
        <v>8</v>
      </c>
      <c r="R367" s="29">
        <f>R401</f>
        <v>7</v>
      </c>
      <c r="S367" s="29">
        <f>S401</f>
        <v>7</v>
      </c>
      <c r="T367" s="30">
        <f>T437</f>
        <v>0</v>
      </c>
      <c r="U367" s="17"/>
      <c r="V367" s="10"/>
      <c r="W367" s="10"/>
      <c r="X367" s="10"/>
    </row>
    <row r="368" spans="1:24">
      <c r="A368" s="2"/>
      <c r="B368" s="24" t="s">
        <v>18</v>
      </c>
      <c r="C368" s="25">
        <f>P375</f>
        <v>8</v>
      </c>
      <c r="D368" s="10"/>
      <c r="E368" s="10"/>
      <c r="F368" s="10"/>
      <c r="G368" s="31"/>
      <c r="H368" s="10"/>
      <c r="I368" s="10"/>
      <c r="J368" s="32" t="s">
        <v>19</v>
      </c>
      <c r="K368" s="33">
        <f>K401/K400</f>
        <v>1</v>
      </c>
      <c r="L368" s="33">
        <f>L401/L400</f>
        <v>0.77777777777777779</v>
      </c>
      <c r="M368" s="33">
        <f>M401/M400</f>
        <v>1</v>
      </c>
      <c r="N368" s="33">
        <f>N401/N400</f>
        <v>1</v>
      </c>
      <c r="O368" s="33">
        <f>O401/O400</f>
        <v>1</v>
      </c>
      <c r="P368" s="33">
        <f>P401/P400</f>
        <v>1</v>
      </c>
      <c r="Q368" s="33">
        <f>Q401/Q400</f>
        <v>0.88888888888888884</v>
      </c>
      <c r="R368" s="33">
        <f>R401/R400</f>
        <v>0.77777777777777779</v>
      </c>
      <c r="S368" s="33">
        <f>S401/S400</f>
        <v>0.77777777777777779</v>
      </c>
      <c r="T368" s="23"/>
      <c r="U368" s="17" t="s">
        <v>20</v>
      </c>
      <c r="V368" s="10"/>
      <c r="W368" s="10"/>
      <c r="X368" s="10"/>
    </row>
    <row r="369" spans="1:24">
      <c r="A369" s="2"/>
      <c r="B369" s="24" t="s">
        <v>21</v>
      </c>
      <c r="C369" s="34">
        <f>P376</f>
        <v>0.68</v>
      </c>
      <c r="D369" s="10"/>
      <c r="E369" s="10"/>
      <c r="F369" s="10"/>
      <c r="G369" s="10"/>
      <c r="H369" s="10"/>
      <c r="I369" s="10"/>
      <c r="J369" s="10"/>
      <c r="K369" s="10"/>
      <c r="L369" s="10"/>
      <c r="M369" s="10"/>
      <c r="N369" s="10"/>
      <c r="O369" s="10"/>
      <c r="P369" s="10"/>
      <c r="Q369" s="10"/>
      <c r="R369" s="10"/>
      <c r="S369" s="10"/>
      <c r="T369" s="10"/>
      <c r="U369" s="17"/>
      <c r="V369" s="10"/>
      <c r="W369" s="10"/>
      <c r="X369" s="10"/>
    </row>
    <row r="370" spans="1:24">
      <c r="A370" s="2"/>
      <c r="B370" s="24"/>
      <c r="C370" s="25"/>
      <c r="D370" s="10"/>
      <c r="E370" s="10"/>
      <c r="F370" s="18" t="s">
        <v>22</v>
      </c>
      <c r="G370" s="19" t="s">
        <v>23</v>
      </c>
      <c r="H370" s="35" t="s">
        <v>24</v>
      </c>
      <c r="I370" s="10"/>
      <c r="J370" s="10"/>
      <c r="K370" s="36"/>
      <c r="L370" s="36"/>
      <c r="M370" s="36"/>
      <c r="N370" s="36"/>
      <c r="O370" s="36"/>
      <c r="P370" s="36"/>
      <c r="Q370" s="36"/>
      <c r="R370" s="10"/>
      <c r="S370" s="10"/>
      <c r="T370" s="10"/>
      <c r="U370" s="17"/>
      <c r="V370" s="10"/>
      <c r="W370" s="10"/>
      <c r="X370" s="10"/>
    </row>
    <row r="371" spans="1:24">
      <c r="A371" s="2"/>
      <c r="B371" s="32" t="s">
        <v>25</v>
      </c>
      <c r="C371" s="37">
        <f>P377</f>
        <v>6500.6476470588232</v>
      </c>
      <c r="D371" s="10"/>
      <c r="E371" s="18" t="s">
        <v>26</v>
      </c>
      <c r="F371" s="38">
        <f>P373</f>
        <v>110511.01</v>
      </c>
      <c r="G371" s="39">
        <f>I400+I407+I415</f>
        <v>110511.01000000001</v>
      </c>
      <c r="H371" s="767" t="s">
        <v>415</v>
      </c>
      <c r="I371" s="767"/>
      <c r="J371" s="767"/>
      <c r="K371" s="43" t="s">
        <v>27</v>
      </c>
      <c r="L371" s="44"/>
      <c r="M371" s="44"/>
      <c r="N371" s="44"/>
      <c r="O371" s="44"/>
      <c r="P371" s="44"/>
      <c r="Q371" s="45"/>
      <c r="R371" s="46" t="s">
        <v>28</v>
      </c>
      <c r="S371" s="47" t="s">
        <v>29</v>
      </c>
      <c r="T371" s="10"/>
      <c r="U371" s="17"/>
      <c r="V371" s="10"/>
      <c r="W371" s="10"/>
      <c r="X371" s="10"/>
    </row>
    <row r="372" spans="1:24">
      <c r="A372" s="2"/>
      <c r="B372" s="11"/>
      <c r="C372" s="10"/>
      <c r="D372" s="10"/>
      <c r="E372" s="24" t="s">
        <v>30</v>
      </c>
      <c r="F372" s="48">
        <f>F367</f>
        <v>0.05</v>
      </c>
      <c r="G372" s="17"/>
      <c r="H372" s="767"/>
      <c r="I372" s="767"/>
      <c r="J372" s="767"/>
      <c r="K372" s="20" t="s">
        <v>31</v>
      </c>
      <c r="L372" s="21" t="s">
        <v>32</v>
      </c>
      <c r="M372" s="21" t="s">
        <v>33</v>
      </c>
      <c r="N372" s="21" t="s">
        <v>34</v>
      </c>
      <c r="O372" s="21" t="s">
        <v>35</v>
      </c>
      <c r="P372" s="21" t="s">
        <v>36</v>
      </c>
      <c r="Q372" s="49" t="s">
        <v>37</v>
      </c>
      <c r="R372" s="50" t="s">
        <v>38</v>
      </c>
      <c r="S372" s="50" t="s">
        <v>38</v>
      </c>
      <c r="T372" s="10"/>
      <c r="U372" s="17"/>
      <c r="V372" s="10"/>
      <c r="W372" s="10"/>
      <c r="X372" s="10"/>
    </row>
    <row r="373" spans="1:24">
      <c r="A373" s="2"/>
      <c r="B373" s="11"/>
      <c r="C373" s="10"/>
      <c r="D373" s="10"/>
      <c r="E373" s="51" t="s">
        <v>39</v>
      </c>
      <c r="F373" s="52">
        <f>(F371-I395-I404-I405-I406-I410-I411-I412-I413-I414)*F372</f>
        <v>1158.7609999999986</v>
      </c>
      <c r="G373" s="53" t="s">
        <v>40</v>
      </c>
      <c r="H373" s="54">
        <f>F373/1.12</f>
        <v>1034.6080357142844</v>
      </c>
      <c r="I373" s="570" t="s">
        <v>1531</v>
      </c>
      <c r="J373" s="42"/>
      <c r="K373" s="56">
        <f>I391+I392+I410</f>
        <v>13455.720000000001</v>
      </c>
      <c r="L373" s="57">
        <f>I393+I404</f>
        <v>2319.6</v>
      </c>
      <c r="M373" s="57">
        <f>I394+I395+I411+I412+I405+I406</f>
        <v>40718.719999999994</v>
      </c>
      <c r="N373" s="57">
        <f>I396+I399+I398+I397+I413</f>
        <v>21042.420000000002</v>
      </c>
      <c r="O373" s="57">
        <f>I414</f>
        <v>32974.550000000003</v>
      </c>
      <c r="P373" s="57">
        <f>SUM(K373:O373)</f>
        <v>110511.01</v>
      </c>
      <c r="Q373" s="58">
        <v>0</v>
      </c>
      <c r="R373" s="59">
        <f>I407+I415</f>
        <v>86237.49</v>
      </c>
      <c r="S373" s="59">
        <v>0</v>
      </c>
      <c r="T373" s="10"/>
      <c r="U373" s="17"/>
      <c r="V373" s="10"/>
      <c r="W373" s="10"/>
      <c r="X373" s="10"/>
    </row>
    <row r="374" spans="1:24">
      <c r="A374" s="2"/>
      <c r="B374" s="11"/>
      <c r="C374" s="10"/>
      <c r="D374" s="10"/>
      <c r="E374" s="24" t="s">
        <v>41</v>
      </c>
      <c r="F374" s="60">
        <f>Q373</f>
        <v>0</v>
      </c>
      <c r="G374" s="61" t="s">
        <v>40</v>
      </c>
      <c r="H374" s="62"/>
      <c r="I374" s="62"/>
      <c r="J374" s="10" t="s">
        <v>42</v>
      </c>
      <c r="K374" s="63">
        <v>3</v>
      </c>
      <c r="L374" s="63">
        <v>2</v>
      </c>
      <c r="M374" s="63">
        <v>6</v>
      </c>
      <c r="N374" s="63">
        <v>5</v>
      </c>
      <c r="O374" s="63">
        <v>1</v>
      </c>
      <c r="P374" s="21">
        <f>SUM(K374:O374)</f>
        <v>17</v>
      </c>
      <c r="Q374" s="64"/>
      <c r="R374" s="63"/>
      <c r="S374" s="10"/>
      <c r="T374" s="10"/>
      <c r="U374" s="17"/>
      <c r="V374" s="10"/>
      <c r="W374" s="10"/>
      <c r="X374" s="10"/>
    </row>
    <row r="375" spans="1:24">
      <c r="A375" s="2"/>
      <c r="B375" s="11"/>
      <c r="C375" s="10"/>
      <c r="D375" s="10"/>
      <c r="E375" s="51" t="s">
        <v>43</v>
      </c>
      <c r="F375" s="52">
        <f>F374*0.25</f>
        <v>0</v>
      </c>
      <c r="G375" s="53" t="s">
        <v>40</v>
      </c>
      <c r="H375" s="54">
        <f>F375/1.12</f>
        <v>0</v>
      </c>
      <c r="I375" s="10"/>
      <c r="J375" s="10" t="s">
        <v>44</v>
      </c>
      <c r="K375" s="63">
        <v>0</v>
      </c>
      <c r="L375" s="63">
        <v>5</v>
      </c>
      <c r="M375" s="63">
        <v>1</v>
      </c>
      <c r="N375" s="63">
        <v>2</v>
      </c>
      <c r="O375" s="63">
        <v>0</v>
      </c>
      <c r="P375" s="21">
        <f>SUM(K375:O375)</f>
        <v>8</v>
      </c>
      <c r="Q375" s="64"/>
      <c r="R375" s="63"/>
      <c r="S375" s="10"/>
      <c r="T375" s="10"/>
      <c r="U375" s="17"/>
      <c r="V375" s="10"/>
      <c r="W375" s="10"/>
      <c r="X375" s="10"/>
    </row>
    <row r="376" spans="1:24">
      <c r="A376" s="2"/>
      <c r="B376" s="11"/>
      <c r="C376" s="10"/>
      <c r="D376" s="10"/>
      <c r="E376" s="24" t="s">
        <v>45</v>
      </c>
      <c r="F376" s="60"/>
      <c r="G376" s="61" t="s">
        <v>40</v>
      </c>
      <c r="H376" s="62"/>
      <c r="I376" s="10"/>
      <c r="J376" s="10" t="s">
        <v>46</v>
      </c>
      <c r="K376" s="31">
        <f>K374/(K374+K375)</f>
        <v>1</v>
      </c>
      <c r="L376" s="31">
        <f>L374/(L374+L375)</f>
        <v>0.2857142857142857</v>
      </c>
      <c r="M376" s="31">
        <f>M374/(M374+M375)</f>
        <v>0.8571428571428571</v>
      </c>
      <c r="N376" s="31">
        <f>N374/(N374+N375)</f>
        <v>0.7142857142857143</v>
      </c>
      <c r="O376" s="31">
        <f>O374/(O374+O375)</f>
        <v>1</v>
      </c>
      <c r="P376" s="31">
        <f>P374/(P374+P375)</f>
        <v>0.68</v>
      </c>
      <c r="Q376" s="31" t="e">
        <f>Q374/(Q374+Q375)</f>
        <v>#DIV/0!</v>
      </c>
      <c r="R376" s="63"/>
      <c r="S376" s="10"/>
      <c r="T376" s="10"/>
      <c r="U376" s="17"/>
      <c r="V376" s="10"/>
      <c r="W376" s="10"/>
      <c r="X376" s="10"/>
    </row>
    <row r="377" spans="1:24">
      <c r="A377" s="2"/>
      <c r="B377" s="11"/>
      <c r="C377" s="10"/>
      <c r="D377" s="10"/>
      <c r="E377" s="51" t="s">
        <v>47</v>
      </c>
      <c r="F377" s="52">
        <f>F376*0.05</f>
        <v>0</v>
      </c>
      <c r="G377" s="65" t="s">
        <v>40</v>
      </c>
      <c r="H377" s="54">
        <f>F377/1.12</f>
        <v>0</v>
      </c>
      <c r="I377" s="42"/>
      <c r="J377" s="10" t="s">
        <v>48</v>
      </c>
      <c r="K377" s="66">
        <f>K373/K374</f>
        <v>4485.2400000000007</v>
      </c>
      <c r="L377" s="66">
        <f>L373/L374</f>
        <v>1159.8</v>
      </c>
      <c r="M377" s="66">
        <f>M373/M374</f>
        <v>6786.453333333332</v>
      </c>
      <c r="N377" s="66">
        <f>N373/N374</f>
        <v>4208.4840000000004</v>
      </c>
      <c r="O377" s="66">
        <f>O373/O374</f>
        <v>32974.550000000003</v>
      </c>
      <c r="P377" s="66">
        <f>P373/P374</f>
        <v>6500.6476470588232</v>
      </c>
      <c r="Q377" s="66" t="e">
        <f>Q373/Q374</f>
        <v>#DIV/0!</v>
      </c>
      <c r="R377" s="63"/>
      <c r="S377" s="10"/>
      <c r="T377" s="10"/>
      <c r="U377" s="17"/>
      <c r="V377" s="10"/>
      <c r="W377" s="10"/>
      <c r="X377" s="10"/>
    </row>
    <row r="378" spans="1:24">
      <c r="A378" s="2"/>
      <c r="B378" s="11"/>
      <c r="C378" s="10"/>
      <c r="D378" s="10"/>
      <c r="E378" s="67" t="s">
        <v>14</v>
      </c>
      <c r="F378" s="68"/>
      <c r="G378" s="10"/>
      <c r="H378" s="54">
        <f>F378/1.12</f>
        <v>0</v>
      </c>
      <c r="I378" s="10"/>
      <c r="J378" s="10"/>
      <c r="K378" s="10"/>
      <c r="L378" s="10"/>
      <c r="M378" s="10"/>
      <c r="N378" s="10"/>
      <c r="O378" s="10"/>
      <c r="P378" s="10"/>
      <c r="Q378" s="10"/>
      <c r="R378" s="10"/>
      <c r="S378" s="10"/>
      <c r="T378" s="10"/>
      <c r="U378" s="17"/>
      <c r="V378" s="10"/>
      <c r="W378" s="10"/>
      <c r="X378" s="10"/>
    </row>
    <row r="379" spans="1:24">
      <c r="A379" s="2"/>
      <c r="B379" s="11"/>
      <c r="C379" s="10"/>
      <c r="D379" s="10"/>
      <c r="E379" s="155" t="s">
        <v>49</v>
      </c>
      <c r="F379" s="364">
        <f>T368</f>
        <v>0</v>
      </c>
      <c r="G379" s="10"/>
      <c r="H379" s="54"/>
      <c r="I379" s="55"/>
      <c r="J379" s="42"/>
      <c r="K379" s="764" t="s">
        <v>50</v>
      </c>
      <c r="L379" s="765"/>
      <c r="M379" s="765"/>
      <c r="N379" s="765"/>
      <c r="O379" s="765"/>
      <c r="P379" s="765"/>
      <c r="Q379" s="766"/>
      <c r="R379" s="70" t="s">
        <v>28</v>
      </c>
      <c r="S379" s="71" t="s">
        <v>29</v>
      </c>
      <c r="T379" s="10"/>
      <c r="U379" s="17"/>
      <c r="V379" s="10"/>
      <c r="W379" s="10"/>
      <c r="X379" s="10"/>
    </row>
    <row r="380" spans="1:24">
      <c r="A380" s="2"/>
      <c r="B380" s="11"/>
      <c r="C380" s="10"/>
      <c r="D380" s="10"/>
      <c r="E380" s="12"/>
      <c r="F380" s="76"/>
      <c r="G380" s="10"/>
      <c r="H380" s="10"/>
      <c r="I380" s="10"/>
      <c r="J380" s="42"/>
      <c r="K380" s="20" t="s">
        <v>31</v>
      </c>
      <c r="L380" s="21" t="s">
        <v>32</v>
      </c>
      <c r="M380" s="21" t="s">
        <v>33</v>
      </c>
      <c r="N380" s="21" t="s">
        <v>34</v>
      </c>
      <c r="O380" s="21" t="s">
        <v>35</v>
      </c>
      <c r="P380" s="21" t="s">
        <v>36</v>
      </c>
      <c r="Q380" s="49" t="s">
        <v>37</v>
      </c>
      <c r="R380" s="50" t="s">
        <v>38</v>
      </c>
      <c r="S380" s="50" t="s">
        <v>38</v>
      </c>
      <c r="T380" s="10"/>
      <c r="U380" s="17"/>
      <c r="V380" s="10"/>
      <c r="W380" s="10"/>
      <c r="X380" s="10"/>
    </row>
    <row r="381" spans="1:24">
      <c r="A381" s="2"/>
      <c r="B381" s="11"/>
      <c r="C381" s="10"/>
      <c r="D381" s="10"/>
      <c r="E381" s="12"/>
      <c r="F381" s="76"/>
      <c r="G381" s="10"/>
      <c r="H381" s="10"/>
      <c r="I381" s="10"/>
      <c r="J381" s="42"/>
      <c r="K381" s="56">
        <f>F391+F392+F410</f>
        <v>17406.599999999999</v>
      </c>
      <c r="L381" s="57">
        <f>F393+F404</f>
        <v>2399</v>
      </c>
      <c r="M381" s="57">
        <f>F394+F395+F411+F412+F405+F406</f>
        <v>50367.6</v>
      </c>
      <c r="N381" s="57">
        <f>F396+F399+F398+F397+F413</f>
        <v>22590</v>
      </c>
      <c r="O381" s="57">
        <f>F414</f>
        <v>44619</v>
      </c>
      <c r="P381" s="57">
        <f>SUM(K381:O381)</f>
        <v>137382.20000000001</v>
      </c>
      <c r="Q381" s="58">
        <v>0</v>
      </c>
      <c r="R381" s="59">
        <f>F407+F415</f>
        <v>109476.6</v>
      </c>
      <c r="S381" s="59">
        <v>0</v>
      </c>
      <c r="T381" s="10"/>
      <c r="U381" s="17"/>
      <c r="V381" s="10"/>
      <c r="W381" s="10"/>
      <c r="X381" s="10"/>
    </row>
    <row r="382" spans="1:24">
      <c r="A382" s="2"/>
      <c r="B382" s="11"/>
      <c r="C382" s="10"/>
      <c r="D382" s="10"/>
      <c r="E382" s="10"/>
      <c r="F382" s="10"/>
      <c r="G382" s="10"/>
      <c r="H382" s="10"/>
      <c r="I382" s="10"/>
      <c r="J382" s="10" t="s">
        <v>42</v>
      </c>
      <c r="K382" s="63">
        <f>K374</f>
        <v>3</v>
      </c>
      <c r="L382" s="63">
        <f>L374</f>
        <v>2</v>
      </c>
      <c r="M382" s="63">
        <f>M374</f>
        <v>6</v>
      </c>
      <c r="N382" s="63">
        <f>N374</f>
        <v>5</v>
      </c>
      <c r="O382" s="63">
        <f>O374</f>
        <v>1</v>
      </c>
      <c r="P382" s="63">
        <f>P374</f>
        <v>17</v>
      </c>
      <c r="Q382" s="63">
        <f>Q374</f>
        <v>0</v>
      </c>
      <c r="R382" s="63"/>
      <c r="S382" s="10"/>
      <c r="T382" s="10"/>
      <c r="U382" s="17"/>
      <c r="V382" s="10"/>
      <c r="W382" s="10"/>
      <c r="X382" s="10"/>
    </row>
    <row r="383" spans="1:24">
      <c r="A383" s="2"/>
      <c r="B383" s="11"/>
      <c r="C383" s="10"/>
      <c r="D383" s="10"/>
      <c r="E383" s="10"/>
      <c r="F383" s="10"/>
      <c r="G383" s="10"/>
      <c r="H383" s="10"/>
      <c r="I383" s="10"/>
      <c r="J383" s="10" t="s">
        <v>44</v>
      </c>
      <c r="K383" s="63">
        <f>K375</f>
        <v>0</v>
      </c>
      <c r="L383" s="63">
        <f>L375</f>
        <v>5</v>
      </c>
      <c r="M383" s="63">
        <f>M375</f>
        <v>1</v>
      </c>
      <c r="N383" s="63">
        <f>N375</f>
        <v>2</v>
      </c>
      <c r="O383" s="63">
        <f>O375</f>
        <v>0</v>
      </c>
      <c r="P383" s="63">
        <f>P375</f>
        <v>8</v>
      </c>
      <c r="Q383" s="63">
        <f>Q375</f>
        <v>0</v>
      </c>
      <c r="R383" s="63"/>
      <c r="S383" s="10"/>
      <c r="T383" s="10"/>
      <c r="U383" s="17"/>
      <c r="V383" s="10"/>
      <c r="W383" s="10"/>
      <c r="X383" s="10"/>
    </row>
    <row r="384" spans="1:24">
      <c r="A384" s="2"/>
      <c r="B384" s="11"/>
      <c r="C384" s="10"/>
      <c r="D384" s="10"/>
      <c r="E384" s="12"/>
      <c r="F384" s="76"/>
      <c r="G384" s="10"/>
      <c r="H384" s="10"/>
      <c r="I384" s="10"/>
      <c r="J384" s="10" t="s">
        <v>46</v>
      </c>
      <c r="K384" s="31">
        <f>K382/(K382+K383)</f>
        <v>1</v>
      </c>
      <c r="L384" s="31">
        <f>L382/(L382+L383)</f>
        <v>0.2857142857142857</v>
      </c>
      <c r="M384" s="31">
        <f>M382/(M382+M383)</f>
        <v>0.8571428571428571</v>
      </c>
      <c r="N384" s="31">
        <f>N382/(N382+N383)</f>
        <v>0.7142857142857143</v>
      </c>
      <c r="O384" s="31">
        <f>O382/(O382+O383)</f>
        <v>1</v>
      </c>
      <c r="P384" s="31">
        <f>P382/(P382+P383)</f>
        <v>0.68</v>
      </c>
      <c r="Q384" s="31" t="e">
        <f>Q382/(Q382+Q383)</f>
        <v>#DIV/0!</v>
      </c>
      <c r="R384" s="63"/>
      <c r="S384" s="10"/>
      <c r="T384" s="10"/>
      <c r="U384" s="17"/>
      <c r="V384" s="10"/>
      <c r="W384" s="10"/>
      <c r="X384" s="10"/>
    </row>
    <row r="385" spans="1:24">
      <c r="A385" s="2"/>
      <c r="B385" s="11"/>
      <c r="C385" s="10"/>
      <c r="D385" s="10"/>
      <c r="E385" s="10"/>
      <c r="F385" s="10"/>
      <c r="G385" s="10"/>
      <c r="H385" s="10"/>
      <c r="I385" s="10"/>
      <c r="J385" s="10" t="s">
        <v>48</v>
      </c>
      <c r="K385" s="66">
        <f>K381/K382</f>
        <v>5802.2</v>
      </c>
      <c r="L385" s="66">
        <f>L381/L382</f>
        <v>1199.5</v>
      </c>
      <c r="M385" s="66">
        <f>M381/M382</f>
        <v>8394.6</v>
      </c>
      <c r="N385" s="66">
        <f>N381/N382</f>
        <v>4518</v>
      </c>
      <c r="O385" s="66">
        <f>O381/O382</f>
        <v>44619</v>
      </c>
      <c r="P385" s="66">
        <f>P381/P382</f>
        <v>8081.3058823529418</v>
      </c>
      <c r="Q385" s="66" t="e">
        <f>Q381/Q382</f>
        <v>#DIV/0!</v>
      </c>
      <c r="R385" s="63"/>
      <c r="S385" s="10"/>
      <c r="T385" s="10"/>
      <c r="U385" s="17"/>
      <c r="V385" s="10"/>
      <c r="W385" s="10"/>
      <c r="X385" s="10"/>
    </row>
    <row r="386" spans="1:24">
      <c r="A386" s="2"/>
      <c r="B386" s="11"/>
      <c r="C386" s="10"/>
      <c r="D386" s="10"/>
      <c r="E386" s="10"/>
      <c r="F386" s="10"/>
      <c r="G386" s="10"/>
      <c r="H386" s="10"/>
      <c r="I386" s="10"/>
      <c r="J386" s="10"/>
      <c r="K386" s="10"/>
      <c r="L386" s="10"/>
      <c r="M386" s="10"/>
      <c r="N386" s="10"/>
      <c r="O386" s="10"/>
      <c r="P386" s="10"/>
      <c r="Q386" s="10"/>
      <c r="R386" s="10"/>
      <c r="S386" s="10"/>
      <c r="T386" s="10"/>
      <c r="U386" s="17"/>
      <c r="V386" s="10"/>
      <c r="W386" s="10"/>
      <c r="X386" s="10"/>
    </row>
    <row r="387" spans="1:24">
      <c r="A387" s="2"/>
      <c r="B387" s="11"/>
      <c r="C387" s="10"/>
      <c r="D387" s="10"/>
      <c r="E387" s="10"/>
      <c r="F387" s="10"/>
      <c r="G387" s="10"/>
      <c r="H387" s="10"/>
      <c r="I387" s="10"/>
      <c r="J387" s="10"/>
      <c r="K387" s="10"/>
      <c r="L387" s="10"/>
      <c r="M387" s="10"/>
      <c r="N387" s="10"/>
      <c r="O387" s="10"/>
      <c r="P387" s="10"/>
      <c r="Q387" s="10"/>
      <c r="R387" s="10"/>
      <c r="S387" s="10"/>
      <c r="T387" s="10"/>
      <c r="U387" s="17"/>
      <c r="V387" s="10"/>
      <c r="W387" s="10"/>
      <c r="X387" s="10"/>
    </row>
    <row r="388" spans="1:24">
      <c r="A388" s="2"/>
      <c r="B388" s="18" t="s">
        <v>51</v>
      </c>
      <c r="C388" s="14"/>
      <c r="D388" s="14"/>
      <c r="E388" s="14"/>
      <c r="F388" s="13" t="s">
        <v>52</v>
      </c>
      <c r="G388" s="14"/>
      <c r="H388" s="14"/>
      <c r="I388" s="14"/>
      <c r="J388" s="14"/>
      <c r="K388" s="13" t="s">
        <v>3</v>
      </c>
      <c r="L388" s="14"/>
      <c r="M388" s="14"/>
      <c r="N388" s="13" t="s">
        <v>4</v>
      </c>
      <c r="O388" s="14"/>
      <c r="P388" s="14"/>
      <c r="Q388" s="13" t="s">
        <v>5</v>
      </c>
      <c r="R388" s="14"/>
      <c r="S388" s="14"/>
      <c r="T388" s="18"/>
      <c r="U388" s="16" t="s">
        <v>53</v>
      </c>
      <c r="V388" s="77"/>
      <c r="W388" s="77"/>
      <c r="X388" s="77"/>
    </row>
    <row r="389" spans="1:24">
      <c r="A389" s="2"/>
      <c r="B389" s="24" t="s">
        <v>54</v>
      </c>
      <c r="C389" s="21" t="s">
        <v>55</v>
      </c>
      <c r="D389" s="21" t="s">
        <v>56</v>
      </c>
      <c r="E389" s="21" t="s">
        <v>57</v>
      </c>
      <c r="F389" s="20" t="s">
        <v>58</v>
      </c>
      <c r="G389" s="21" t="s">
        <v>59</v>
      </c>
      <c r="H389" s="21" t="s">
        <v>60</v>
      </c>
      <c r="I389" s="21" t="s">
        <v>26</v>
      </c>
      <c r="J389" s="22" t="s">
        <v>61</v>
      </c>
      <c r="K389" s="21" t="s">
        <v>8</v>
      </c>
      <c r="L389" s="21" t="s">
        <v>9</v>
      </c>
      <c r="M389" s="21" t="s">
        <v>10</v>
      </c>
      <c r="N389" s="20" t="s">
        <v>11</v>
      </c>
      <c r="O389" s="21" t="s">
        <v>12</v>
      </c>
      <c r="P389" s="22" t="s">
        <v>13</v>
      </c>
      <c r="Q389" s="21" t="s">
        <v>11</v>
      </c>
      <c r="R389" s="21" t="s">
        <v>12</v>
      </c>
      <c r="S389" s="21" t="s">
        <v>13</v>
      </c>
      <c r="T389" s="78" t="s">
        <v>14</v>
      </c>
      <c r="U389" s="30"/>
      <c r="V389" s="79" t="s">
        <v>62</v>
      </c>
      <c r="W389" s="80" t="s">
        <v>63</v>
      </c>
      <c r="X389" s="81" t="s">
        <v>64</v>
      </c>
    </row>
    <row r="390" spans="1:24">
      <c r="A390" s="2"/>
      <c r="B390" s="4" t="s">
        <v>65</v>
      </c>
      <c r="C390" s="6"/>
      <c r="D390" s="6"/>
      <c r="E390" s="6"/>
      <c r="F390" s="6"/>
      <c r="G390" s="6"/>
      <c r="H390" s="6"/>
      <c r="I390" s="82"/>
      <c r="J390" s="6"/>
      <c r="K390" s="6"/>
      <c r="L390" s="6"/>
      <c r="M390" s="6"/>
      <c r="N390" s="6"/>
      <c r="O390" s="6"/>
      <c r="P390" s="6"/>
      <c r="Q390" s="6"/>
      <c r="R390" s="6"/>
      <c r="S390" s="6"/>
      <c r="T390" s="83"/>
      <c r="U390" s="6"/>
      <c r="V390" s="84"/>
      <c r="W390" s="85"/>
      <c r="X390" s="86"/>
    </row>
    <row r="391" spans="1:24">
      <c r="A391" s="2"/>
      <c r="B391" s="87">
        <v>1</v>
      </c>
      <c r="C391" s="274">
        <v>45873</v>
      </c>
      <c r="D391" s="327">
        <v>71986</v>
      </c>
      <c r="E391" s="276" t="s">
        <v>169</v>
      </c>
      <c r="F391" s="277">
        <v>681</v>
      </c>
      <c r="G391" s="277"/>
      <c r="H391" s="297"/>
      <c r="I391" s="278">
        <f>F391-G391-H391</f>
        <v>681</v>
      </c>
      <c r="J391" s="279" t="s">
        <v>156</v>
      </c>
      <c r="K391" s="279">
        <v>1</v>
      </c>
      <c r="L391" s="279">
        <v>1</v>
      </c>
      <c r="M391" s="279">
        <v>1</v>
      </c>
      <c r="N391" s="279">
        <v>1</v>
      </c>
      <c r="O391" s="279">
        <v>1</v>
      </c>
      <c r="P391" s="279">
        <v>1</v>
      </c>
      <c r="Q391" s="279">
        <v>1</v>
      </c>
      <c r="R391" s="279">
        <v>1</v>
      </c>
      <c r="S391" s="280">
        <v>1</v>
      </c>
      <c r="T391" s="63"/>
      <c r="U391" s="10"/>
      <c r="V391" s="90">
        <v>749.1</v>
      </c>
      <c r="W391" s="91"/>
      <c r="X391" s="92"/>
    </row>
    <row r="392" spans="1:24">
      <c r="A392" s="2"/>
      <c r="B392" s="87">
        <f>B391+1</f>
        <v>2</v>
      </c>
      <c r="C392" s="282">
        <v>45873</v>
      </c>
      <c r="D392" s="368" t="s">
        <v>1532</v>
      </c>
      <c r="E392" s="283" t="s">
        <v>169</v>
      </c>
      <c r="F392" s="284">
        <v>13911.6</v>
      </c>
      <c r="G392" s="284">
        <f>39.7+860.2+(35.71+935.92+522.35)+1000</f>
        <v>3393.88</v>
      </c>
      <c r="H392" s="284"/>
      <c r="I392" s="300">
        <f>F392-G392-H392</f>
        <v>10517.720000000001</v>
      </c>
      <c r="J392" s="286" t="s">
        <v>228</v>
      </c>
      <c r="K392" s="286">
        <v>1</v>
      </c>
      <c r="L392" s="286">
        <v>1</v>
      </c>
      <c r="M392" s="286">
        <v>1</v>
      </c>
      <c r="N392" s="286">
        <v>1</v>
      </c>
      <c r="O392" s="286">
        <v>1</v>
      </c>
      <c r="P392" s="286">
        <v>1</v>
      </c>
      <c r="Q392" s="286">
        <v>1</v>
      </c>
      <c r="R392" s="332">
        <v>0</v>
      </c>
      <c r="S392" s="287">
        <v>1</v>
      </c>
      <c r="T392" s="63"/>
      <c r="U392" s="94" t="s">
        <v>1533</v>
      </c>
      <c r="V392" s="90">
        <f>1500+13802.76</f>
        <v>15302.76</v>
      </c>
      <c r="W392" s="91"/>
      <c r="X392" s="92"/>
    </row>
    <row r="393" spans="1:24">
      <c r="A393" s="2"/>
      <c r="B393" s="87">
        <f>B392+1</f>
        <v>3</v>
      </c>
      <c r="C393" s="295">
        <v>45874</v>
      </c>
      <c r="D393" s="323">
        <v>72051</v>
      </c>
      <c r="E393" s="10" t="s">
        <v>464</v>
      </c>
      <c r="F393" s="62">
        <v>1261</v>
      </c>
      <c r="G393" s="62">
        <v>39.700000000000003</v>
      </c>
      <c r="H393" s="62"/>
      <c r="I393" s="89">
        <f>F393-G393-H393</f>
        <v>1221.3</v>
      </c>
      <c r="J393" s="63" t="s">
        <v>156</v>
      </c>
      <c r="K393" s="63">
        <v>1</v>
      </c>
      <c r="L393" s="63">
        <v>1</v>
      </c>
      <c r="M393" s="63">
        <v>1</v>
      </c>
      <c r="N393" s="63">
        <v>1</v>
      </c>
      <c r="O393" s="63">
        <v>1</v>
      </c>
      <c r="P393" s="63">
        <v>1</v>
      </c>
      <c r="Q393" s="63">
        <v>1</v>
      </c>
      <c r="R393" s="63">
        <v>1</v>
      </c>
      <c r="S393" s="296">
        <v>1</v>
      </c>
      <c r="T393" s="63"/>
      <c r="U393" s="10"/>
      <c r="V393" s="90">
        <f>130+1257.1</f>
        <v>1387.1</v>
      </c>
      <c r="W393" s="91"/>
      <c r="X393" s="92"/>
    </row>
    <row r="394" spans="1:24">
      <c r="A394" s="93" t="s">
        <v>1534</v>
      </c>
      <c r="B394" s="87">
        <f t="shared" ref="B394:B396" si="59">B393+1</f>
        <v>4</v>
      </c>
      <c r="C394" s="274">
        <v>45875</v>
      </c>
      <c r="D394" s="320" t="s">
        <v>1535</v>
      </c>
      <c r="E394" s="404" t="s">
        <v>1227</v>
      </c>
      <c r="F394" s="277">
        <v>1138</v>
      </c>
      <c r="G394" s="277">
        <v>39.700000000000003</v>
      </c>
      <c r="H394" s="277"/>
      <c r="I394" s="321">
        <f>F394-G394-H394</f>
        <v>1098.3</v>
      </c>
      <c r="J394" s="279" t="s">
        <v>156</v>
      </c>
      <c r="K394" s="279">
        <v>1</v>
      </c>
      <c r="L394" s="279">
        <v>1</v>
      </c>
      <c r="M394" s="279">
        <v>1</v>
      </c>
      <c r="N394" s="279">
        <v>1</v>
      </c>
      <c r="O394" s="279">
        <v>1</v>
      </c>
      <c r="P394" s="279">
        <v>1</v>
      </c>
      <c r="Q394" s="279">
        <v>1</v>
      </c>
      <c r="R394" s="279">
        <v>1</v>
      </c>
      <c r="S394" s="328">
        <v>0</v>
      </c>
      <c r="T394" s="63"/>
      <c r="U394" s="10" t="s">
        <v>1536</v>
      </c>
      <c r="V394" s="90">
        <v>1251.8</v>
      </c>
      <c r="W394" s="91"/>
      <c r="X394" s="92"/>
    </row>
    <row r="395" spans="1:24">
      <c r="A395" s="2"/>
      <c r="B395" s="87">
        <f t="shared" si="59"/>
        <v>5</v>
      </c>
      <c r="C395" s="295">
        <v>45875</v>
      </c>
      <c r="D395" s="323">
        <v>72068</v>
      </c>
      <c r="E395" s="10" t="s">
        <v>1042</v>
      </c>
      <c r="F395" s="62">
        <v>1138</v>
      </c>
      <c r="G395" s="62">
        <v>39.700000000000003</v>
      </c>
      <c r="H395" s="62"/>
      <c r="I395" s="369">
        <f>F395-G395-H395</f>
        <v>1098.3</v>
      </c>
      <c r="J395" s="63" t="s">
        <v>156</v>
      </c>
      <c r="K395" s="63">
        <v>1</v>
      </c>
      <c r="L395" s="63">
        <v>1</v>
      </c>
      <c r="M395" s="63">
        <v>1</v>
      </c>
      <c r="N395" s="63">
        <v>1</v>
      </c>
      <c r="O395" s="63">
        <v>1</v>
      </c>
      <c r="P395" s="63">
        <v>1</v>
      </c>
      <c r="Q395" s="63">
        <v>1</v>
      </c>
      <c r="R395" s="63">
        <v>1</v>
      </c>
      <c r="S395" s="296">
        <v>1</v>
      </c>
      <c r="T395" s="63"/>
      <c r="U395" s="10" t="s">
        <v>1537</v>
      </c>
      <c r="V395" s="90">
        <v>1251.8</v>
      </c>
      <c r="W395" s="91"/>
      <c r="X395" s="92"/>
    </row>
    <row r="396" spans="1:24">
      <c r="A396" s="2"/>
      <c r="B396" s="87">
        <f t="shared" si="59"/>
        <v>6</v>
      </c>
      <c r="C396" s="274">
        <v>45876</v>
      </c>
      <c r="D396" s="327">
        <v>72121</v>
      </c>
      <c r="E396" s="276" t="s">
        <v>1538</v>
      </c>
      <c r="F396" s="277">
        <v>681</v>
      </c>
      <c r="G396" s="277"/>
      <c r="H396" s="297"/>
      <c r="I396" s="278">
        <f>F396-G396-H396</f>
        <v>681</v>
      </c>
      <c r="J396" s="279" t="s">
        <v>156</v>
      </c>
      <c r="K396" s="279">
        <v>1</v>
      </c>
      <c r="L396" s="279">
        <v>1</v>
      </c>
      <c r="M396" s="279">
        <v>1</v>
      </c>
      <c r="N396" s="279">
        <v>1</v>
      </c>
      <c r="O396" s="279">
        <v>1</v>
      </c>
      <c r="P396" s="279">
        <v>1</v>
      </c>
      <c r="Q396" s="279">
        <v>1</v>
      </c>
      <c r="R396" s="279">
        <v>1</v>
      </c>
      <c r="S396" s="280">
        <v>1</v>
      </c>
      <c r="T396" s="63"/>
      <c r="U396" s="10"/>
      <c r="V396" s="90">
        <v>749.1</v>
      </c>
      <c r="W396" s="91"/>
      <c r="X396" s="92"/>
    </row>
    <row r="397" spans="1:24">
      <c r="A397" s="2"/>
      <c r="B397" s="87">
        <f>B396+1</f>
        <v>7</v>
      </c>
      <c r="C397" s="295">
        <v>45876</v>
      </c>
      <c r="D397" s="323">
        <v>72123</v>
      </c>
      <c r="E397" s="10" t="s">
        <v>1284</v>
      </c>
      <c r="F397" s="62">
        <v>5419</v>
      </c>
      <c r="G397" s="62">
        <f>39.7</f>
        <v>39.700000000000003</v>
      </c>
      <c r="H397" s="62"/>
      <c r="I397" s="324">
        <f>F397-G397-H397</f>
        <v>5379.3</v>
      </c>
      <c r="J397" s="63" t="s">
        <v>228</v>
      </c>
      <c r="K397" s="63">
        <v>1</v>
      </c>
      <c r="L397" s="325">
        <v>0</v>
      </c>
      <c r="M397" s="63">
        <v>1</v>
      </c>
      <c r="N397" s="63">
        <v>1</v>
      </c>
      <c r="O397" s="63">
        <v>1</v>
      </c>
      <c r="P397" s="63">
        <v>1</v>
      </c>
      <c r="Q397" s="325">
        <v>0</v>
      </c>
      <c r="R397" s="325">
        <v>0</v>
      </c>
      <c r="S397" s="326">
        <v>0</v>
      </c>
      <c r="T397" s="63"/>
      <c r="U397" s="94"/>
      <c r="V397" s="90">
        <f>500+5460.9</f>
        <v>5960.9</v>
      </c>
      <c r="W397" s="91"/>
      <c r="X397" s="92"/>
    </row>
    <row r="398" spans="1:24" s="260" customFormat="1">
      <c r="A398" s="181"/>
      <c r="B398" s="87">
        <f>B397+1</f>
        <v>8</v>
      </c>
      <c r="C398" s="295">
        <v>45876</v>
      </c>
      <c r="D398" s="323">
        <v>72169</v>
      </c>
      <c r="E398" s="101" t="s">
        <v>1284</v>
      </c>
      <c r="F398" s="62">
        <v>2538</v>
      </c>
      <c r="G398" s="62">
        <f>39.7</f>
        <v>39.700000000000003</v>
      </c>
      <c r="H398" s="62"/>
      <c r="I398" s="89">
        <f>F398-G398-H398</f>
        <v>2498.3000000000002</v>
      </c>
      <c r="J398" s="63" t="s">
        <v>228</v>
      </c>
      <c r="K398" s="63">
        <v>1</v>
      </c>
      <c r="L398" s="63">
        <v>1</v>
      </c>
      <c r="M398" s="63">
        <v>1</v>
      </c>
      <c r="N398" s="63">
        <v>1</v>
      </c>
      <c r="O398" s="63">
        <v>1</v>
      </c>
      <c r="P398" s="63">
        <v>1</v>
      </c>
      <c r="Q398" s="63">
        <v>1</v>
      </c>
      <c r="R398" s="63">
        <v>1</v>
      </c>
      <c r="S398" s="296">
        <v>1</v>
      </c>
      <c r="T398" s="63"/>
      <c r="U398" s="10"/>
      <c r="V398" s="90">
        <f>250+2541.8</f>
        <v>2791.8</v>
      </c>
      <c r="W398" s="91"/>
      <c r="X398" s="92"/>
    </row>
    <row r="399" spans="1:24">
      <c r="A399" s="2"/>
      <c r="B399" s="87">
        <f>B398+1</f>
        <v>9</v>
      </c>
      <c r="C399" s="282">
        <v>45876</v>
      </c>
      <c r="D399" s="368">
        <v>72120</v>
      </c>
      <c r="E399" s="283" t="s">
        <v>1072</v>
      </c>
      <c r="F399" s="284">
        <v>1138</v>
      </c>
      <c r="G399" s="284">
        <f>39.7</f>
        <v>39.700000000000003</v>
      </c>
      <c r="H399" s="315"/>
      <c r="I399" s="300">
        <f>F399-G399-H399</f>
        <v>1098.3</v>
      </c>
      <c r="J399" s="286" t="s">
        <v>156</v>
      </c>
      <c r="K399" s="286">
        <v>1</v>
      </c>
      <c r="L399" s="332">
        <v>0</v>
      </c>
      <c r="M399" s="286">
        <v>1</v>
      </c>
      <c r="N399" s="286">
        <v>1</v>
      </c>
      <c r="O399" s="286">
        <v>1</v>
      </c>
      <c r="P399" s="286">
        <v>1</v>
      </c>
      <c r="Q399" s="286">
        <v>1</v>
      </c>
      <c r="R399" s="286">
        <v>1</v>
      </c>
      <c r="S399" s="287">
        <v>1</v>
      </c>
      <c r="T399" s="63"/>
      <c r="U399" s="10" t="s">
        <v>1539</v>
      </c>
      <c r="V399" s="90">
        <v>1251.8</v>
      </c>
      <c r="W399" s="91"/>
      <c r="X399" s="92"/>
    </row>
    <row r="400" spans="1:24">
      <c r="A400" s="2"/>
      <c r="B400" s="87"/>
      <c r="C400" s="36"/>
      <c r="D400" s="10"/>
      <c r="E400" s="10"/>
      <c r="F400" s="97">
        <f>SUM(F391:F399)</f>
        <v>27905.599999999999</v>
      </c>
      <c r="G400" s="97">
        <f>SUM(G391:G399)</f>
        <v>3632.079999999999</v>
      </c>
      <c r="H400" s="97">
        <f>SUM(H391:H399)</f>
        <v>0</v>
      </c>
      <c r="I400" s="98">
        <f>SUM(I391:I399)</f>
        <v>24273.519999999997</v>
      </c>
      <c r="J400" s="63"/>
      <c r="K400" s="63">
        <f>COUNT(K391:K399)</f>
        <v>9</v>
      </c>
      <c r="L400" s="63">
        <f>COUNT(L391:L399)</f>
        <v>9</v>
      </c>
      <c r="M400" s="63">
        <f>COUNT(M391:M399)</f>
        <v>9</v>
      </c>
      <c r="N400" s="63">
        <f>COUNT(N391:N399)</f>
        <v>9</v>
      </c>
      <c r="O400" s="63">
        <f>COUNT(O391:O399)</f>
        <v>9</v>
      </c>
      <c r="P400" s="63">
        <f>COUNT(P391:P399)</f>
        <v>9</v>
      </c>
      <c r="Q400" s="63">
        <f>COUNT(Q391:Q399)</f>
        <v>9</v>
      </c>
      <c r="R400" s="63">
        <f>COUNT(R391:R399)</f>
        <v>9</v>
      </c>
      <c r="S400" s="63">
        <f>COUNT(S391:S399)</f>
        <v>9</v>
      </c>
      <c r="T400" s="63"/>
      <c r="U400" s="10"/>
      <c r="V400" s="90"/>
      <c r="W400" s="91"/>
      <c r="X400" s="92"/>
    </row>
    <row r="401" spans="1:24">
      <c r="A401" s="2"/>
      <c r="B401" s="87"/>
      <c r="C401" s="36"/>
      <c r="D401" s="10"/>
      <c r="E401" s="10"/>
      <c r="F401" s="88"/>
      <c r="G401" s="88"/>
      <c r="H401" s="88"/>
      <c r="I401" s="99"/>
      <c r="J401" s="63"/>
      <c r="K401" s="21">
        <f>SUM(K391:K399)</f>
        <v>9</v>
      </c>
      <c r="L401" s="21">
        <f>SUM(L391:L399)</f>
        <v>7</v>
      </c>
      <c r="M401" s="21">
        <f>SUM(M391:M399)</f>
        <v>9</v>
      </c>
      <c r="N401" s="21">
        <f>SUM(N391:N399)</f>
        <v>9</v>
      </c>
      <c r="O401" s="21">
        <f>SUM(O391:O399)</f>
        <v>9</v>
      </c>
      <c r="P401" s="21">
        <f>SUM(P391:P399)</f>
        <v>9</v>
      </c>
      <c r="Q401" s="21">
        <f>SUM(Q391:Q399)</f>
        <v>8</v>
      </c>
      <c r="R401" s="21">
        <f>SUM(R391:R399)</f>
        <v>7</v>
      </c>
      <c r="S401" s="21">
        <f>SUM(S391:S399)</f>
        <v>7</v>
      </c>
      <c r="T401" s="63"/>
      <c r="U401" s="10"/>
      <c r="V401" s="90"/>
      <c r="W401" s="91"/>
      <c r="X401" s="92"/>
    </row>
    <row r="402" spans="1:24">
      <c r="A402" s="2"/>
      <c r="B402" s="11"/>
      <c r="C402" s="36"/>
      <c r="D402" s="10"/>
      <c r="E402" s="10"/>
      <c r="F402" s="88"/>
      <c r="G402" s="88"/>
      <c r="H402" s="88"/>
      <c r="I402" s="99"/>
      <c r="J402" s="63"/>
      <c r="K402" s="21"/>
      <c r="L402" s="21"/>
      <c r="M402" s="21"/>
      <c r="N402" s="21"/>
      <c r="O402" s="21"/>
      <c r="P402" s="21"/>
      <c r="Q402" s="21"/>
      <c r="R402" s="21"/>
      <c r="S402" s="21"/>
      <c r="T402" s="63"/>
      <c r="U402" s="94"/>
      <c r="V402" s="90"/>
      <c r="W402" s="91"/>
      <c r="X402" s="92"/>
    </row>
    <row r="403" spans="1:24">
      <c r="A403" s="128"/>
      <c r="B403" s="121" t="s">
        <v>68</v>
      </c>
      <c r="C403" s="122"/>
      <c r="D403" s="123"/>
      <c r="E403" s="123"/>
      <c r="F403" s="124"/>
      <c r="G403" s="125"/>
      <c r="H403" s="124"/>
      <c r="I403" s="126"/>
      <c r="J403" s="127"/>
      <c r="K403" s="128"/>
      <c r="L403" s="128"/>
      <c r="M403" s="128"/>
      <c r="N403" s="128"/>
      <c r="O403" s="128"/>
      <c r="P403" s="128"/>
      <c r="Q403" s="128"/>
      <c r="R403" s="128"/>
      <c r="S403" s="128"/>
      <c r="T403" s="127"/>
      <c r="U403" s="123"/>
      <c r="V403" s="129"/>
      <c r="W403" s="130"/>
      <c r="X403" s="131"/>
    </row>
    <row r="404" spans="1:24" s="342" customFormat="1">
      <c r="A404" s="356">
        <v>0.05</v>
      </c>
      <c r="B404" s="333">
        <v>1</v>
      </c>
      <c r="C404" s="334">
        <v>45874</v>
      </c>
      <c r="D404" s="327">
        <v>72064</v>
      </c>
      <c r="E404" s="335" t="s">
        <v>998</v>
      </c>
      <c r="F404" s="336">
        <v>1138</v>
      </c>
      <c r="G404" s="336">
        <v>39.700000000000003</v>
      </c>
      <c r="H404" s="336"/>
      <c r="I404" s="337">
        <f>F404-G404-H404</f>
        <v>1098.3</v>
      </c>
      <c r="J404" s="338"/>
      <c r="K404" s="338">
        <v>1</v>
      </c>
      <c r="L404" s="338">
        <v>1</v>
      </c>
      <c r="M404" s="338"/>
      <c r="N404" s="338">
        <v>1</v>
      </c>
      <c r="O404" s="338">
        <v>1</v>
      </c>
      <c r="P404" s="338">
        <v>1</v>
      </c>
      <c r="Q404" s="322">
        <v>0</v>
      </c>
      <c r="R404" s="322">
        <v>0</v>
      </c>
      <c r="S404" s="328">
        <v>0</v>
      </c>
      <c r="T404" s="127"/>
      <c r="U404" s="135" t="s">
        <v>1540</v>
      </c>
      <c r="V404" s="129"/>
      <c r="W404" s="130"/>
      <c r="X404" s="131"/>
    </row>
    <row r="405" spans="1:24" s="342" customFormat="1">
      <c r="A405" s="356">
        <v>0.05</v>
      </c>
      <c r="B405" s="333">
        <f>B404+1</f>
        <v>2</v>
      </c>
      <c r="C405" s="334">
        <v>45875</v>
      </c>
      <c r="D405" s="327" t="s">
        <v>1541</v>
      </c>
      <c r="E405" s="335" t="s">
        <v>1073</v>
      </c>
      <c r="F405" s="336">
        <v>732.6</v>
      </c>
      <c r="G405" s="336"/>
      <c r="H405" s="336"/>
      <c r="I405" s="337">
        <f>F405-G405-H405</f>
        <v>732.6</v>
      </c>
      <c r="J405" s="338"/>
      <c r="K405" s="338">
        <v>1</v>
      </c>
      <c r="L405" s="338"/>
      <c r="M405" s="338"/>
      <c r="N405" s="338">
        <v>1</v>
      </c>
      <c r="O405" s="338">
        <v>1</v>
      </c>
      <c r="P405" s="338">
        <v>1</v>
      </c>
      <c r="Q405" s="322">
        <v>0</v>
      </c>
      <c r="R405" s="322">
        <v>0</v>
      </c>
      <c r="S405" s="328">
        <v>0</v>
      </c>
      <c r="T405" s="127"/>
      <c r="U405" s="135" t="s">
        <v>1542</v>
      </c>
      <c r="V405" s="129"/>
      <c r="W405" s="340"/>
      <c r="X405" s="341"/>
    </row>
    <row r="406" spans="1:24" s="342" customFormat="1">
      <c r="A406" s="356">
        <v>0.05</v>
      </c>
      <c r="B406" s="333">
        <f>B405+1</f>
        <v>3</v>
      </c>
      <c r="C406" s="395">
        <v>45875</v>
      </c>
      <c r="D406" s="368" t="s">
        <v>1543</v>
      </c>
      <c r="E406" s="396" t="s">
        <v>1073</v>
      </c>
      <c r="F406" s="397">
        <v>581</v>
      </c>
      <c r="G406" s="397">
        <f>200</f>
        <v>200</v>
      </c>
      <c r="H406" s="397"/>
      <c r="I406" s="398">
        <f>F406-G406-H406</f>
        <v>381</v>
      </c>
      <c r="J406" s="399" t="s">
        <v>150</v>
      </c>
      <c r="K406" s="399">
        <v>1</v>
      </c>
      <c r="L406" s="399"/>
      <c r="M406" s="399">
        <v>1</v>
      </c>
      <c r="N406" s="399">
        <v>1</v>
      </c>
      <c r="O406" s="399">
        <v>1</v>
      </c>
      <c r="P406" s="399">
        <v>1</v>
      </c>
      <c r="Q406" s="332">
        <v>0</v>
      </c>
      <c r="R406" s="332">
        <v>0</v>
      </c>
      <c r="S406" s="370">
        <v>0</v>
      </c>
      <c r="T406" s="127"/>
      <c r="U406" s="135" t="s">
        <v>1544</v>
      </c>
      <c r="V406" s="129"/>
      <c r="W406" s="382">
        <v>150</v>
      </c>
      <c r="X406" s="341"/>
    </row>
    <row r="407" spans="1:24">
      <c r="A407" s="128"/>
      <c r="B407" s="132"/>
      <c r="C407" s="122"/>
      <c r="D407" s="123"/>
      <c r="E407" s="123"/>
      <c r="F407" s="134">
        <f>SUM(F404:F406)</f>
        <v>2451.6</v>
      </c>
      <c r="G407" s="134">
        <f>SUM(G404:G406)</f>
        <v>239.7</v>
      </c>
      <c r="H407" s="134">
        <f>SUM(H404:H406)</f>
        <v>0</v>
      </c>
      <c r="I407" s="134">
        <f>SUM(I404:I406)</f>
        <v>2211.9</v>
      </c>
      <c r="J407" s="127"/>
      <c r="K407" s="64"/>
      <c r="L407" s="64"/>
      <c r="M407" s="64"/>
      <c r="N407" s="64"/>
      <c r="O407" s="64"/>
      <c r="P407" s="64"/>
      <c r="Q407" s="64"/>
      <c r="R407" s="64"/>
      <c r="S407" s="64"/>
      <c r="T407" s="127"/>
      <c r="U407" s="123"/>
      <c r="V407" s="129"/>
      <c r="W407" s="130"/>
      <c r="X407" s="131"/>
    </row>
    <row r="408" spans="1:24">
      <c r="A408" s="2"/>
      <c r="B408" s="11"/>
      <c r="C408" s="36"/>
      <c r="D408" s="10"/>
      <c r="E408" s="10"/>
      <c r="F408" s="88"/>
      <c r="G408" s="88"/>
      <c r="H408" s="88"/>
      <c r="I408" s="99"/>
      <c r="J408" s="63"/>
      <c r="K408" s="21"/>
      <c r="L408" s="21"/>
      <c r="M408" s="21"/>
      <c r="N408" s="21"/>
      <c r="O408" s="21"/>
      <c r="P408" s="21"/>
      <c r="Q408" s="21"/>
      <c r="R408" s="21"/>
      <c r="S408" s="21"/>
      <c r="T408" s="63"/>
      <c r="U408" s="94"/>
      <c r="V408" s="90"/>
      <c r="W408" s="91"/>
      <c r="X408" s="92"/>
    </row>
    <row r="409" spans="1:24">
      <c r="A409" s="128"/>
      <c r="B409" s="121" t="s">
        <v>70</v>
      </c>
      <c r="C409" s="122"/>
      <c r="D409" s="123"/>
      <c r="E409" s="128"/>
      <c r="F409" s="124"/>
      <c r="G409" s="124"/>
      <c r="H409" s="124"/>
      <c r="I409" s="126"/>
      <c r="J409" s="127"/>
      <c r="K409" s="64"/>
      <c r="L409" s="64"/>
      <c r="M409" s="64"/>
      <c r="N409" s="64"/>
      <c r="O409" s="64"/>
      <c r="P409" s="64"/>
      <c r="Q409" s="64"/>
      <c r="R409" s="64"/>
      <c r="S409" s="64"/>
      <c r="T409" s="127"/>
      <c r="U409" s="135"/>
      <c r="V409" s="129"/>
      <c r="W409" s="130"/>
      <c r="X409" s="131"/>
    </row>
    <row r="410" spans="1:24" s="381" customFormat="1">
      <c r="A410" s="371" t="s">
        <v>249</v>
      </c>
      <c r="B410" s="372">
        <v>1</v>
      </c>
      <c r="C410" s="442">
        <v>45873</v>
      </c>
      <c r="D410" s="327">
        <v>70913</v>
      </c>
      <c r="E410" s="444" t="s">
        <v>659</v>
      </c>
      <c r="F410" s="445">
        <v>2814</v>
      </c>
      <c r="G410" s="445">
        <f>39.7+(32.41+284.89)+200</f>
        <v>557</v>
      </c>
      <c r="H410" s="445"/>
      <c r="I410" s="329">
        <f>F410-G410-H410</f>
        <v>2257</v>
      </c>
      <c r="J410" s="322" t="s">
        <v>1545</v>
      </c>
      <c r="K410" s="322">
        <v>1</v>
      </c>
      <c r="L410" s="322"/>
      <c r="M410" s="322">
        <v>1</v>
      </c>
      <c r="N410" s="322">
        <v>1</v>
      </c>
      <c r="O410" s="322">
        <v>1</v>
      </c>
      <c r="P410" s="322">
        <v>1</v>
      </c>
      <c r="Q410" s="322"/>
      <c r="R410" s="322"/>
      <c r="S410" s="328"/>
      <c r="T410" s="325"/>
      <c r="U410" s="430" t="s">
        <v>1546</v>
      </c>
      <c r="V410" s="377">
        <f>300+200</f>
        <v>500</v>
      </c>
      <c r="W410" s="392"/>
      <c r="X410" s="379"/>
    </row>
    <row r="411" spans="1:24" s="342" customFormat="1">
      <c r="A411" s="356">
        <v>0.05</v>
      </c>
      <c r="B411" s="333">
        <f>B410+1</f>
        <v>2</v>
      </c>
      <c r="C411" s="334">
        <v>45875</v>
      </c>
      <c r="D411" s="320" t="s">
        <v>1547</v>
      </c>
      <c r="E411" s="550" t="s">
        <v>1227</v>
      </c>
      <c r="F411" s="336">
        <v>28614</v>
      </c>
      <c r="G411" s="336">
        <f>39.7+330+(150.22)+(24.41+131.95)+(F411*0.25)</f>
        <v>7829.78</v>
      </c>
      <c r="H411" s="336"/>
      <c r="I411" s="337">
        <f>F411-G411-H411</f>
        <v>20784.22</v>
      </c>
      <c r="J411" s="338" t="s">
        <v>156</v>
      </c>
      <c r="K411" s="338">
        <v>1</v>
      </c>
      <c r="L411" s="338"/>
      <c r="M411" s="338">
        <v>1</v>
      </c>
      <c r="N411" s="338">
        <v>1</v>
      </c>
      <c r="O411" s="338">
        <v>1</v>
      </c>
      <c r="P411" s="338">
        <v>1</v>
      </c>
      <c r="Q411" s="338"/>
      <c r="R411" s="338"/>
      <c r="S411" s="339"/>
      <c r="T411" s="127"/>
      <c r="U411" s="123" t="s">
        <v>1548</v>
      </c>
      <c r="V411" s="129">
        <f>3000+20000</f>
        <v>23000</v>
      </c>
      <c r="W411" s="340"/>
      <c r="X411" s="341"/>
    </row>
    <row r="412" spans="1:24" s="342" customFormat="1">
      <c r="A412" s="128" t="s">
        <v>619</v>
      </c>
      <c r="B412" s="333">
        <f t="shared" ref="B412" si="60">B411+1</f>
        <v>3</v>
      </c>
      <c r="C412" s="345">
        <v>45875</v>
      </c>
      <c r="D412" s="346" t="s">
        <v>1549</v>
      </c>
      <c r="E412" s="123" t="s">
        <v>1042</v>
      </c>
      <c r="F412" s="125">
        <v>18164</v>
      </c>
      <c r="G412" s="125">
        <f>39.7+1500</f>
        <v>1539.7</v>
      </c>
      <c r="H412" s="125"/>
      <c r="I412" s="347">
        <f>F412-G412-H412</f>
        <v>16624.3</v>
      </c>
      <c r="J412" s="127" t="s">
        <v>156</v>
      </c>
      <c r="K412" s="127">
        <v>1</v>
      </c>
      <c r="L412" s="127"/>
      <c r="M412" s="127">
        <v>1</v>
      </c>
      <c r="N412" s="127">
        <v>1</v>
      </c>
      <c r="O412" s="127">
        <v>1</v>
      </c>
      <c r="P412" s="127">
        <v>1</v>
      </c>
      <c r="Q412" s="127"/>
      <c r="R412" s="127"/>
      <c r="S412" s="349"/>
      <c r="T412" s="127"/>
      <c r="U412" s="123" t="s">
        <v>1550</v>
      </c>
      <c r="V412" s="129">
        <v>1900</v>
      </c>
      <c r="W412" s="340"/>
      <c r="X412" s="341"/>
    </row>
    <row r="413" spans="1:24" s="342" customFormat="1">
      <c r="A413" s="356">
        <v>0.05</v>
      </c>
      <c r="B413" s="333">
        <f>B406+1</f>
        <v>4</v>
      </c>
      <c r="C413" s="350">
        <v>45876</v>
      </c>
      <c r="D413" s="263">
        <v>72172</v>
      </c>
      <c r="E413" s="358" t="s">
        <v>1072</v>
      </c>
      <c r="F413" s="352">
        <v>12814</v>
      </c>
      <c r="G413" s="352">
        <f>1000+(52.1+49.56)+(326.82)</f>
        <v>1428.48</v>
      </c>
      <c r="H413" s="352"/>
      <c r="I413" s="353">
        <f>F413-G413-H413</f>
        <v>11385.52</v>
      </c>
      <c r="J413" s="354" t="s">
        <v>156</v>
      </c>
      <c r="K413" s="354">
        <v>1</v>
      </c>
      <c r="L413" s="354"/>
      <c r="M413" s="354">
        <v>1</v>
      </c>
      <c r="N413" s="354">
        <v>1</v>
      </c>
      <c r="O413" s="354">
        <v>1</v>
      </c>
      <c r="P413" s="354">
        <v>1</v>
      </c>
      <c r="Q413" s="354"/>
      <c r="R413" s="354"/>
      <c r="S413" s="355"/>
      <c r="T413" s="127"/>
      <c r="U413" s="135" t="s">
        <v>1551</v>
      </c>
      <c r="V413" s="129">
        <f>1400</f>
        <v>1400</v>
      </c>
      <c r="W413" s="91"/>
      <c r="X413" s="341"/>
    </row>
    <row r="414" spans="1:24" s="342" customFormat="1">
      <c r="A414" s="356">
        <v>0.05</v>
      </c>
      <c r="B414" s="333">
        <f>B413+1</f>
        <v>5</v>
      </c>
      <c r="C414" s="350">
        <v>45877</v>
      </c>
      <c r="D414" s="263">
        <v>72150</v>
      </c>
      <c r="E414" s="358" t="s">
        <v>769</v>
      </c>
      <c r="F414" s="352">
        <v>44619</v>
      </c>
      <c r="G414" s="352">
        <f>39.7+(F414*0.25)+(3*150)</f>
        <v>11644.45</v>
      </c>
      <c r="H414" s="352"/>
      <c r="I414" s="353">
        <f>F414-G414-H414</f>
        <v>32974.550000000003</v>
      </c>
      <c r="J414" s="354" t="s">
        <v>156</v>
      </c>
      <c r="K414" s="354">
        <v>1</v>
      </c>
      <c r="L414" s="354"/>
      <c r="M414" s="354">
        <v>1</v>
      </c>
      <c r="N414" s="354">
        <v>1</v>
      </c>
      <c r="O414" s="354">
        <v>1</v>
      </c>
      <c r="P414" s="354">
        <v>1</v>
      </c>
      <c r="Q414" s="354"/>
      <c r="R414" s="354"/>
      <c r="S414" s="355"/>
      <c r="T414" s="127"/>
      <c r="U414" s="135" t="s">
        <v>1552</v>
      </c>
      <c r="V414" s="129">
        <f>5000</f>
        <v>5000</v>
      </c>
      <c r="W414" s="130"/>
      <c r="X414" s="341"/>
    </row>
    <row r="415" spans="1:24">
      <c r="A415" s="128"/>
      <c r="B415" s="132"/>
      <c r="C415" s="122"/>
      <c r="D415" s="123"/>
      <c r="E415" s="123"/>
      <c r="F415" s="134">
        <f>SUM(F410:F414)</f>
        <v>107025</v>
      </c>
      <c r="G415" s="134">
        <f>SUM(G410:G414)</f>
        <v>22999.41</v>
      </c>
      <c r="H415" s="134">
        <f>SUM(H410:H414)</f>
        <v>0</v>
      </c>
      <c r="I415" s="134">
        <f>SUM(I410:I414)</f>
        <v>84025.590000000011</v>
      </c>
      <c r="J415" s="127"/>
      <c r="K415" s="64"/>
      <c r="L415" s="64"/>
      <c r="M415" s="64"/>
      <c r="N415" s="64"/>
      <c r="O415" s="64"/>
      <c r="P415" s="64"/>
      <c r="Q415" s="64"/>
      <c r="R415" s="64"/>
      <c r="S415" s="64"/>
      <c r="T415" s="127"/>
      <c r="U415" s="135"/>
      <c r="V415" s="129"/>
      <c r="W415" s="340"/>
      <c r="X415" s="131"/>
    </row>
    <row r="416" spans="1:24">
      <c r="A416" s="2"/>
      <c r="B416" s="11"/>
      <c r="C416" s="36"/>
      <c r="D416" s="10"/>
      <c r="E416" s="10"/>
      <c r="F416" s="88"/>
      <c r="G416" s="88"/>
      <c r="H416" s="88"/>
      <c r="I416" s="99"/>
      <c r="J416" s="63"/>
      <c r="K416" s="21"/>
      <c r="L416" s="21"/>
      <c r="M416" s="21"/>
      <c r="N416" s="21"/>
      <c r="O416" s="21"/>
      <c r="P416" s="21"/>
      <c r="Q416" s="21"/>
      <c r="R416" s="21"/>
      <c r="S416" s="21"/>
      <c r="T416" s="63"/>
      <c r="U416" s="94"/>
      <c r="V416" s="90"/>
      <c r="W416" s="91"/>
      <c r="X416" s="92"/>
    </row>
    <row r="417" spans="1:24" s="434" customFormat="1" ht="13.5">
      <c r="A417" s="10"/>
      <c r="B417" s="100" t="s">
        <v>152</v>
      </c>
      <c r="C417" s="36"/>
      <c r="D417" s="10"/>
      <c r="E417" s="10"/>
      <c r="F417" s="88"/>
      <c r="G417" s="62"/>
      <c r="H417" s="88"/>
      <c r="I417" s="99"/>
      <c r="J417" s="63"/>
      <c r="K417" s="10"/>
      <c r="L417" s="10"/>
      <c r="M417" s="10"/>
      <c r="N417" s="10"/>
      <c r="O417" s="10"/>
      <c r="P417" s="123"/>
      <c r="Q417" s="10"/>
      <c r="R417" s="10"/>
      <c r="S417" s="10"/>
      <c r="T417" s="63"/>
      <c r="U417" s="10"/>
      <c r="V417" s="90"/>
      <c r="W417" s="91"/>
      <c r="X417" s="92"/>
    </row>
    <row r="418" spans="1:24" s="434" customFormat="1" ht="13.5">
      <c r="A418" s="31">
        <v>0.05</v>
      </c>
      <c r="B418" s="87">
        <v>1</v>
      </c>
      <c r="C418" s="262">
        <v>45848</v>
      </c>
      <c r="D418" s="263">
        <v>71373</v>
      </c>
      <c r="E418" s="264" t="s">
        <v>1338</v>
      </c>
      <c r="F418" s="265">
        <v>2681</v>
      </c>
      <c r="G418" s="265">
        <f>39.7</f>
        <v>39.700000000000003</v>
      </c>
      <c r="H418" s="265"/>
      <c r="I418" s="266">
        <f>F418-G418-H418</f>
        <v>2641.3</v>
      </c>
      <c r="J418" s="267" t="s">
        <v>156</v>
      </c>
      <c r="K418" s="267">
        <v>1</v>
      </c>
      <c r="L418" s="267">
        <v>1</v>
      </c>
      <c r="M418" s="267">
        <v>1</v>
      </c>
      <c r="N418" s="267">
        <v>1</v>
      </c>
      <c r="O418" s="267">
        <v>1</v>
      </c>
      <c r="P418" s="314">
        <v>0</v>
      </c>
      <c r="Q418" s="314">
        <v>0</v>
      </c>
      <c r="R418" s="314">
        <v>0</v>
      </c>
      <c r="S418" s="366">
        <v>0</v>
      </c>
      <c r="T418" s="63"/>
      <c r="U418" s="10"/>
      <c r="V418" s="90"/>
      <c r="W418" s="91"/>
      <c r="X418" s="92"/>
    </row>
    <row r="419" spans="1:24" s="260" customFormat="1">
      <c r="A419" s="261">
        <v>0.05</v>
      </c>
      <c r="B419" s="87">
        <f>B418+1</f>
        <v>2</v>
      </c>
      <c r="C419" s="262">
        <v>45855</v>
      </c>
      <c r="D419" s="263">
        <v>71488</v>
      </c>
      <c r="E419" s="264" t="s">
        <v>218</v>
      </c>
      <c r="F419" s="265">
        <v>2034.9</v>
      </c>
      <c r="G419" s="265">
        <f>39.7+(412.27)</f>
        <v>451.96999999999997</v>
      </c>
      <c r="H419" s="265"/>
      <c r="I419" s="266">
        <f>F419-G419-H419</f>
        <v>1582.93</v>
      </c>
      <c r="J419" s="267" t="s">
        <v>156</v>
      </c>
      <c r="K419" s="267">
        <v>1</v>
      </c>
      <c r="L419" s="267">
        <v>1</v>
      </c>
      <c r="M419" s="267">
        <v>1</v>
      </c>
      <c r="N419" s="267">
        <v>0</v>
      </c>
      <c r="O419" s="267">
        <v>0</v>
      </c>
      <c r="P419" s="267">
        <v>0</v>
      </c>
      <c r="Q419" s="267">
        <v>1</v>
      </c>
      <c r="R419" s="267">
        <v>1</v>
      </c>
      <c r="S419" s="269">
        <v>0</v>
      </c>
      <c r="T419" s="63"/>
      <c r="U419" s="10" t="s">
        <v>1502</v>
      </c>
      <c r="V419" s="90"/>
      <c r="W419" s="91"/>
      <c r="X419" s="92"/>
    </row>
    <row r="420" spans="1:24" s="260" customFormat="1">
      <c r="A420" s="261">
        <v>0.05</v>
      </c>
      <c r="B420" s="87">
        <f>B419+1</f>
        <v>3</v>
      </c>
      <c r="C420" s="262">
        <v>45863</v>
      </c>
      <c r="D420" s="263" t="s">
        <v>1497</v>
      </c>
      <c r="E420" s="271" t="s">
        <v>1117</v>
      </c>
      <c r="F420" s="265">
        <v>1138</v>
      </c>
      <c r="G420" s="265">
        <f>39.7</f>
        <v>39.700000000000003</v>
      </c>
      <c r="H420" s="365"/>
      <c r="I420" s="266">
        <f>F420-G420-H420</f>
        <v>1098.3</v>
      </c>
      <c r="J420" s="267"/>
      <c r="K420" s="267">
        <v>1</v>
      </c>
      <c r="L420" s="267">
        <v>1</v>
      </c>
      <c r="M420" s="267"/>
      <c r="N420" s="267">
        <v>1</v>
      </c>
      <c r="O420" s="267">
        <v>1</v>
      </c>
      <c r="P420" s="267">
        <v>1</v>
      </c>
      <c r="Q420" s="267">
        <v>0</v>
      </c>
      <c r="R420" s="267">
        <v>0</v>
      </c>
      <c r="S420" s="269">
        <v>0</v>
      </c>
      <c r="T420" s="63"/>
      <c r="U420" s="10"/>
      <c r="V420" s="90"/>
      <c r="W420" s="91"/>
      <c r="X420" s="92"/>
    </row>
    <row r="421" spans="1:24" s="434" customFormat="1" ht="13.5">
      <c r="A421" s="10"/>
      <c r="B421" s="11"/>
      <c r="C421" s="36"/>
      <c r="D421" s="10"/>
      <c r="E421" s="10"/>
      <c r="F421" s="98">
        <f>SUM(F418:F420)</f>
        <v>5853.9</v>
      </c>
      <c r="G421" s="98">
        <f>SUM(G418:G420)</f>
        <v>531.37</v>
      </c>
      <c r="H421" s="98">
        <f>SUM(H418:H420)</f>
        <v>0</v>
      </c>
      <c r="I421" s="98">
        <f>SUM(I418:I420)</f>
        <v>5322.5300000000007</v>
      </c>
      <c r="J421" s="63"/>
      <c r="K421" s="21"/>
      <c r="L421" s="21"/>
      <c r="M421" s="21"/>
      <c r="N421" s="21"/>
      <c r="O421" s="21"/>
      <c r="P421" s="21"/>
      <c r="Q421" s="21"/>
      <c r="R421" s="21"/>
      <c r="S421" s="21"/>
      <c r="T421" s="63"/>
      <c r="U421" s="10"/>
      <c r="V421" s="90"/>
      <c r="W421" s="91"/>
      <c r="X421" s="92"/>
    </row>
    <row r="422" spans="1:24" s="434" customFormat="1" ht="13.5">
      <c r="A422" s="10"/>
      <c r="B422" s="11"/>
      <c r="C422" s="36"/>
      <c r="D422" s="10"/>
      <c r="E422" s="10"/>
      <c r="F422" s="88"/>
      <c r="G422" s="88"/>
      <c r="H422" s="88"/>
      <c r="I422" s="99"/>
      <c r="J422" s="63"/>
      <c r="K422" s="21"/>
      <c r="L422" s="21"/>
      <c r="M422" s="21"/>
      <c r="N422" s="21"/>
      <c r="O422" s="21"/>
      <c r="P422" s="21"/>
      <c r="Q422" s="21"/>
      <c r="R422" s="21"/>
      <c r="S422" s="21"/>
      <c r="T422" s="63"/>
      <c r="U422" s="10"/>
      <c r="V422" s="90"/>
      <c r="W422" s="91"/>
      <c r="X422" s="92"/>
    </row>
    <row r="423" spans="1:24" s="260" customFormat="1">
      <c r="A423" s="181"/>
      <c r="B423" s="100" t="s">
        <v>1521</v>
      </c>
      <c r="C423" s="36"/>
      <c r="D423" s="10"/>
      <c r="E423" s="181"/>
      <c r="F423" s="88"/>
      <c r="G423" s="88"/>
      <c r="H423" s="88"/>
      <c r="I423" s="99"/>
      <c r="J423" s="63"/>
      <c r="K423" s="21"/>
      <c r="L423" s="21"/>
      <c r="M423" s="21"/>
      <c r="N423" s="21"/>
      <c r="O423" s="21"/>
      <c r="P423" s="21"/>
      <c r="Q423" s="21"/>
      <c r="R423" s="21"/>
      <c r="S423" s="21"/>
      <c r="T423" s="63"/>
      <c r="U423" s="94"/>
      <c r="V423" s="90"/>
      <c r="W423" s="91"/>
      <c r="X423" s="92"/>
    </row>
    <row r="424" spans="1:24" s="260" customFormat="1">
      <c r="A424" s="261">
        <v>0.05</v>
      </c>
      <c r="B424" s="87">
        <v>1</v>
      </c>
      <c r="C424" s="262">
        <v>45860</v>
      </c>
      <c r="D424" s="263" t="s">
        <v>1522</v>
      </c>
      <c r="E424" s="271" t="s">
        <v>1256</v>
      </c>
      <c r="F424" s="265">
        <v>13770</v>
      </c>
      <c r="G424" s="265">
        <f>39.7+271.4+(7.88+328.49-9.15-0.86-0.98-2.08-46.07+30.69+267.21)+1000</f>
        <v>1886.23</v>
      </c>
      <c r="H424" s="365"/>
      <c r="I424" s="266">
        <f>F424-G424-H424</f>
        <v>11883.77</v>
      </c>
      <c r="J424" s="267" t="s">
        <v>156</v>
      </c>
      <c r="K424" s="267">
        <v>1</v>
      </c>
      <c r="L424" s="267"/>
      <c r="M424" s="267">
        <v>1</v>
      </c>
      <c r="N424" s="267">
        <v>1</v>
      </c>
      <c r="O424" s="314">
        <v>0</v>
      </c>
      <c r="P424" s="267">
        <v>1</v>
      </c>
      <c r="Q424" s="267"/>
      <c r="R424" s="267"/>
      <c r="S424" s="269"/>
      <c r="T424" s="63"/>
      <c r="U424" s="94" t="s">
        <v>1553</v>
      </c>
      <c r="V424" s="90"/>
      <c r="W424" s="136"/>
      <c r="X424" s="137"/>
    </row>
    <row r="425" spans="1:24" s="260" customFormat="1">
      <c r="A425" s="181"/>
      <c r="B425" s="11"/>
      <c r="C425" s="36"/>
      <c r="D425" s="10"/>
      <c r="E425" s="10"/>
      <c r="F425" s="97">
        <f>SUM(F424:F424)</f>
        <v>13770</v>
      </c>
      <c r="G425" s="97">
        <f>SUM(G424:G424)</f>
        <v>1886.23</v>
      </c>
      <c r="H425" s="97">
        <f>SUM(H424:H424)</f>
        <v>0</v>
      </c>
      <c r="I425" s="98">
        <f>SUM(I424:I424)</f>
        <v>11883.77</v>
      </c>
      <c r="J425" s="63"/>
      <c r="K425" s="21"/>
      <c r="L425" s="21"/>
      <c r="M425" s="21"/>
      <c r="N425" s="21"/>
      <c r="O425" s="21"/>
      <c r="P425" s="21"/>
      <c r="Q425" s="21"/>
      <c r="R425" s="21"/>
      <c r="S425" s="21"/>
      <c r="T425" s="63"/>
      <c r="U425" s="94"/>
      <c r="V425" s="90"/>
      <c r="W425" s="91"/>
      <c r="X425" s="92"/>
    </row>
    <row r="426" spans="1:24" s="260" customFormat="1">
      <c r="A426" s="181"/>
      <c r="B426" s="11"/>
      <c r="C426" s="36"/>
      <c r="D426" s="10"/>
      <c r="E426" s="10"/>
      <c r="F426" s="88"/>
      <c r="G426" s="88"/>
      <c r="H426" s="88"/>
      <c r="I426" s="99"/>
      <c r="J426" s="63"/>
      <c r="K426" s="21"/>
      <c r="L426" s="21"/>
      <c r="M426" s="21"/>
      <c r="N426" s="21"/>
      <c r="O426" s="21"/>
      <c r="P426" s="21"/>
      <c r="Q426" s="21"/>
      <c r="R426" s="21"/>
      <c r="S426" s="21"/>
      <c r="T426" s="63"/>
      <c r="U426" s="94"/>
      <c r="V426" s="90"/>
      <c r="W426" s="91"/>
      <c r="X426" s="92"/>
    </row>
    <row r="427" spans="1:24">
      <c r="A427" s="2"/>
      <c r="B427" s="100" t="s">
        <v>72</v>
      </c>
      <c r="C427" s="36"/>
      <c r="D427" s="10"/>
      <c r="E427" s="10"/>
      <c r="F427" s="88"/>
      <c r="G427" s="88"/>
      <c r="H427" s="88"/>
      <c r="I427" s="99"/>
      <c r="J427" s="63"/>
      <c r="K427" s="63"/>
      <c r="L427" s="63"/>
      <c r="M427" s="63"/>
      <c r="N427" s="63"/>
      <c r="O427" s="63"/>
      <c r="P427" s="63"/>
      <c r="Q427" s="63"/>
      <c r="R427" s="63"/>
      <c r="S427" s="63"/>
      <c r="T427" s="63"/>
      <c r="U427" s="10"/>
      <c r="V427" s="90"/>
      <c r="W427" s="91"/>
      <c r="X427" s="92"/>
    </row>
    <row r="428" spans="1:24">
      <c r="A428" s="2"/>
      <c r="B428" s="87">
        <v>1</v>
      </c>
      <c r="C428" s="274">
        <v>45874</v>
      </c>
      <c r="D428" s="276" t="s">
        <v>1554</v>
      </c>
      <c r="E428" s="276" t="s">
        <v>464</v>
      </c>
      <c r="F428" s="277">
        <v>681</v>
      </c>
      <c r="G428" s="277"/>
      <c r="H428" s="277"/>
      <c r="I428" s="278">
        <f>F428-G428-H428</f>
        <v>681</v>
      </c>
      <c r="J428" s="279" t="s">
        <v>205</v>
      </c>
      <c r="K428" s="279">
        <v>1</v>
      </c>
      <c r="L428" s="279"/>
      <c r="M428" s="279"/>
      <c r="N428" s="279">
        <v>1</v>
      </c>
      <c r="O428" s="279"/>
      <c r="P428" s="279"/>
      <c r="Q428" s="279"/>
      <c r="R428" s="279"/>
      <c r="S428" s="280"/>
      <c r="T428" s="63"/>
      <c r="U428" s="3"/>
      <c r="V428" s="90"/>
      <c r="W428" s="91"/>
      <c r="X428" s="92"/>
    </row>
    <row r="429" spans="1:24">
      <c r="A429" s="2"/>
      <c r="B429" s="87">
        <f t="shared" ref="B429:B435" si="61">B428+1</f>
        <v>2</v>
      </c>
      <c r="C429" s="295">
        <v>45874</v>
      </c>
      <c r="D429" s="10" t="s">
        <v>1555</v>
      </c>
      <c r="E429" s="10" t="s">
        <v>464</v>
      </c>
      <c r="F429" s="62">
        <v>1138</v>
      </c>
      <c r="G429" s="62">
        <v>39.700000000000003</v>
      </c>
      <c r="H429" s="62"/>
      <c r="I429" s="89">
        <f>F429-G429-H429</f>
        <v>1098.3</v>
      </c>
      <c r="J429" s="63" t="s">
        <v>205</v>
      </c>
      <c r="K429" s="63">
        <v>1</v>
      </c>
      <c r="L429" s="63"/>
      <c r="M429" s="63"/>
      <c r="N429" s="63">
        <v>1</v>
      </c>
      <c r="O429" s="63"/>
      <c r="P429" s="63"/>
      <c r="Q429" s="63"/>
      <c r="R429" s="63"/>
      <c r="S429" s="296"/>
      <c r="T429" s="63"/>
      <c r="U429" s="10"/>
      <c r="V429" s="90"/>
      <c r="W429" s="136"/>
      <c r="X429" s="137"/>
    </row>
    <row r="430" spans="1:24">
      <c r="A430" s="2"/>
      <c r="B430" s="87">
        <f t="shared" si="61"/>
        <v>3</v>
      </c>
      <c r="C430" s="295">
        <v>45874</v>
      </c>
      <c r="D430" s="10" t="s">
        <v>1556</v>
      </c>
      <c r="E430" s="10" t="s">
        <v>464</v>
      </c>
      <c r="F430" s="62">
        <v>2814</v>
      </c>
      <c r="G430" s="62">
        <v>39.700000000000003</v>
      </c>
      <c r="H430" s="62"/>
      <c r="I430" s="89">
        <f>F430-G430-H430</f>
        <v>2774.3</v>
      </c>
      <c r="J430" s="63" t="s">
        <v>205</v>
      </c>
      <c r="K430" s="63">
        <v>1</v>
      </c>
      <c r="L430" s="63"/>
      <c r="M430" s="63"/>
      <c r="N430" s="63">
        <v>1</v>
      </c>
      <c r="O430" s="63"/>
      <c r="P430" s="63"/>
      <c r="Q430" s="63"/>
      <c r="R430" s="63"/>
      <c r="S430" s="296"/>
      <c r="T430" s="63"/>
      <c r="U430" s="10"/>
      <c r="V430" s="90"/>
      <c r="W430" s="136"/>
      <c r="X430" s="137"/>
    </row>
    <row r="431" spans="1:24">
      <c r="A431" s="2"/>
      <c r="B431" s="87">
        <f t="shared" si="61"/>
        <v>4</v>
      </c>
      <c r="C431" s="295">
        <v>45874</v>
      </c>
      <c r="D431" s="539" t="s">
        <v>1557</v>
      </c>
      <c r="E431" s="10" t="s">
        <v>464</v>
      </c>
      <c r="F431" s="62">
        <v>6814</v>
      </c>
      <c r="G431" s="62">
        <v>39.700000000000003</v>
      </c>
      <c r="H431" s="62"/>
      <c r="I431" s="89">
        <f>F431-G431-H431</f>
        <v>6774.3</v>
      </c>
      <c r="J431" s="63" t="s">
        <v>205</v>
      </c>
      <c r="K431" s="63">
        <v>1</v>
      </c>
      <c r="L431" s="63"/>
      <c r="M431" s="63"/>
      <c r="N431" s="63">
        <v>1</v>
      </c>
      <c r="O431" s="63"/>
      <c r="P431" s="63"/>
      <c r="Q431" s="63">
        <v>1</v>
      </c>
      <c r="R431" s="63">
        <v>1</v>
      </c>
      <c r="S431" s="296">
        <v>1</v>
      </c>
      <c r="T431" s="63"/>
      <c r="U431" s="10"/>
      <c r="V431" s="90"/>
      <c r="W431" s="136"/>
      <c r="X431" s="137"/>
    </row>
    <row r="432" spans="1:24">
      <c r="A432" s="2" t="s">
        <v>1558</v>
      </c>
      <c r="B432" s="87">
        <f t="shared" si="61"/>
        <v>5</v>
      </c>
      <c r="C432" s="295">
        <v>45874</v>
      </c>
      <c r="D432" s="77" t="s">
        <v>1559</v>
      </c>
      <c r="E432" s="10" t="s">
        <v>998</v>
      </c>
      <c r="F432" s="62">
        <v>1821.4</v>
      </c>
      <c r="G432" s="62">
        <f>39.7+(26.13+202.35)</f>
        <v>268.18</v>
      </c>
      <c r="H432" s="62"/>
      <c r="I432" s="89">
        <f>F432-G432-H432</f>
        <v>1553.22</v>
      </c>
      <c r="J432" s="63" t="s">
        <v>156</v>
      </c>
      <c r="K432" s="63">
        <v>1</v>
      </c>
      <c r="L432" s="63"/>
      <c r="M432" s="63">
        <v>1</v>
      </c>
      <c r="N432" s="63">
        <v>1</v>
      </c>
      <c r="O432" s="63">
        <v>1</v>
      </c>
      <c r="P432" s="63">
        <v>1</v>
      </c>
      <c r="Q432" s="63"/>
      <c r="R432" s="63"/>
      <c r="S432" s="296"/>
      <c r="T432" s="63"/>
      <c r="U432" s="94" t="s">
        <v>1560</v>
      </c>
      <c r="V432" s="90">
        <v>2003.54</v>
      </c>
      <c r="W432" s="136"/>
      <c r="X432" s="137"/>
    </row>
    <row r="433" spans="1:24">
      <c r="A433" s="2"/>
      <c r="B433" s="87">
        <f t="shared" si="61"/>
        <v>6</v>
      </c>
      <c r="C433" s="274">
        <v>45875</v>
      </c>
      <c r="D433" s="276">
        <v>71537</v>
      </c>
      <c r="E433" s="276" t="s">
        <v>1030</v>
      </c>
      <c r="F433" s="277">
        <v>4419</v>
      </c>
      <c r="G433" s="277">
        <v>39.700000000000003</v>
      </c>
      <c r="H433" s="277"/>
      <c r="I433" s="278">
        <f>F433-G433-H433</f>
        <v>4379.3</v>
      </c>
      <c r="J433" s="279" t="s">
        <v>205</v>
      </c>
      <c r="K433" s="279">
        <v>1</v>
      </c>
      <c r="L433" s="279"/>
      <c r="M433" s="279"/>
      <c r="N433" s="279">
        <v>1</v>
      </c>
      <c r="O433" s="279"/>
      <c r="P433" s="279"/>
      <c r="Q433" s="279"/>
      <c r="R433" s="279"/>
      <c r="S433" s="280"/>
      <c r="T433" s="63"/>
      <c r="U433" s="10"/>
      <c r="V433" s="90"/>
      <c r="W433" s="136"/>
      <c r="X433" s="137"/>
    </row>
    <row r="434" spans="1:24">
      <c r="A434" s="2"/>
      <c r="B434" s="87">
        <f t="shared" si="61"/>
        <v>7</v>
      </c>
      <c r="C434" s="274">
        <v>45876</v>
      </c>
      <c r="D434" s="276">
        <v>72082</v>
      </c>
      <c r="E434" s="281" t="s">
        <v>1561</v>
      </c>
      <c r="F434" s="277">
        <v>0</v>
      </c>
      <c r="G434" s="277">
        <v>0</v>
      </c>
      <c r="H434" s="277"/>
      <c r="I434" s="278">
        <f>F434-G434-H434</f>
        <v>0</v>
      </c>
      <c r="J434" s="279" t="s">
        <v>205</v>
      </c>
      <c r="K434" s="279"/>
      <c r="L434" s="279"/>
      <c r="M434" s="279"/>
      <c r="N434" s="279"/>
      <c r="O434" s="279"/>
      <c r="P434" s="279"/>
      <c r="Q434" s="279"/>
      <c r="R434" s="279"/>
      <c r="S434" s="280"/>
      <c r="T434" s="63"/>
      <c r="U434" s="10"/>
      <c r="V434" s="90"/>
      <c r="W434" s="136"/>
      <c r="X434" s="137"/>
    </row>
    <row r="435" spans="1:24">
      <c r="A435" s="2"/>
      <c r="B435" s="87">
        <f t="shared" si="61"/>
        <v>8</v>
      </c>
      <c r="C435" s="282">
        <v>45876</v>
      </c>
      <c r="D435" s="283">
        <v>72148</v>
      </c>
      <c r="E435" s="319" t="s">
        <v>1047</v>
      </c>
      <c r="F435" s="284">
        <v>1338</v>
      </c>
      <c r="G435" s="284">
        <v>0</v>
      </c>
      <c r="H435" s="284"/>
      <c r="I435" s="285">
        <f>F435-G435-H435</f>
        <v>1338</v>
      </c>
      <c r="J435" s="286" t="s">
        <v>205</v>
      </c>
      <c r="K435" s="286">
        <v>1</v>
      </c>
      <c r="L435" s="286"/>
      <c r="M435" s="286"/>
      <c r="N435" s="286">
        <v>1</v>
      </c>
      <c r="O435" s="286"/>
      <c r="P435" s="286"/>
      <c r="Q435" s="286">
        <v>1</v>
      </c>
      <c r="R435" s="286">
        <v>1</v>
      </c>
      <c r="S435" s="287">
        <v>1</v>
      </c>
      <c r="T435" s="63"/>
      <c r="U435" s="10"/>
      <c r="V435" s="90"/>
      <c r="W435" s="136"/>
      <c r="X435" s="137"/>
    </row>
    <row r="436" spans="1:24">
      <c r="A436" s="2"/>
      <c r="B436" s="11"/>
      <c r="C436" s="36"/>
      <c r="D436" s="10"/>
      <c r="E436" s="10"/>
      <c r="F436" s="97">
        <f>SUM(F428:F435)</f>
        <v>19025.400000000001</v>
      </c>
      <c r="G436" s="97">
        <f>SUM(G428:G435)</f>
        <v>426.98</v>
      </c>
      <c r="H436" s="97">
        <f>SUM(H428:H435)</f>
        <v>0</v>
      </c>
      <c r="I436" s="98">
        <f>SUM(I428:I435)</f>
        <v>18598.420000000002</v>
      </c>
      <c r="J436" s="10"/>
      <c r="K436" s="10"/>
      <c r="L436" s="10"/>
      <c r="M436" s="10"/>
      <c r="N436" s="10"/>
      <c r="O436" s="10"/>
      <c r="P436" s="10"/>
      <c r="Q436" s="10"/>
      <c r="R436" s="10"/>
      <c r="S436" s="10"/>
      <c r="T436" s="63"/>
      <c r="U436" s="10"/>
      <c r="V436" s="138"/>
      <c r="W436" s="136"/>
      <c r="X436" s="137"/>
    </row>
    <row r="437" spans="1:24">
      <c r="A437" s="2"/>
      <c r="B437" s="26"/>
      <c r="C437" s="140"/>
      <c r="D437" s="141"/>
      <c r="E437" s="141"/>
      <c r="F437" s="141"/>
      <c r="G437" s="141"/>
      <c r="H437" s="141"/>
      <c r="I437" s="141"/>
      <c r="J437" s="141"/>
      <c r="K437" s="142"/>
      <c r="L437" s="142"/>
      <c r="M437" s="142"/>
      <c r="N437" s="142"/>
      <c r="O437" s="142"/>
      <c r="P437" s="142"/>
      <c r="Q437" s="142"/>
      <c r="R437" s="142"/>
      <c r="S437" s="142"/>
      <c r="T437" s="143">
        <f>SUM(T391:T436)</f>
        <v>0</v>
      </c>
      <c r="U437" s="141"/>
      <c r="V437" s="144">
        <f>SUM(V391:V436)</f>
        <v>64499.7</v>
      </c>
      <c r="W437" s="145">
        <f>SUM(W391:W436)</f>
        <v>150</v>
      </c>
      <c r="X437" s="146">
        <f>SUM(X391:X436)</f>
        <v>0</v>
      </c>
    </row>
    <row r="440" spans="1:24">
      <c r="A440" s="3"/>
      <c r="B440" s="4" t="s">
        <v>1</v>
      </c>
      <c r="C440" s="5"/>
      <c r="D440" s="6"/>
      <c r="E440" s="6"/>
      <c r="F440" s="7" t="s">
        <v>2</v>
      </c>
      <c r="G440" s="8">
        <v>45886</v>
      </c>
      <c r="H440" s="7"/>
      <c r="I440" s="6"/>
      <c r="J440" s="6"/>
      <c r="K440" s="6"/>
      <c r="L440" s="6"/>
      <c r="M440" s="6"/>
      <c r="N440" s="6"/>
      <c r="O440" s="6"/>
      <c r="P440" s="6"/>
      <c r="Q440" s="6"/>
      <c r="R440" s="6"/>
      <c r="S440" s="6"/>
      <c r="T440" s="6"/>
      <c r="U440" s="9"/>
      <c r="V440" s="10"/>
      <c r="W440" s="10"/>
      <c r="X440" s="10"/>
    </row>
    <row r="441" spans="1:24">
      <c r="A441" s="2"/>
      <c r="B441" s="11"/>
      <c r="C441" s="10"/>
      <c r="D441" s="10"/>
      <c r="E441" s="10"/>
      <c r="F441" s="10"/>
      <c r="G441" s="7"/>
      <c r="H441" s="12"/>
      <c r="I441" s="10"/>
      <c r="J441" s="10"/>
      <c r="K441" s="13" t="s">
        <v>3</v>
      </c>
      <c r="L441" s="14"/>
      <c r="M441" s="15"/>
      <c r="N441" s="13" t="s">
        <v>4</v>
      </c>
      <c r="O441" s="14"/>
      <c r="P441" s="15"/>
      <c r="Q441" s="13" t="s">
        <v>5</v>
      </c>
      <c r="R441" s="14"/>
      <c r="S441" s="15"/>
      <c r="T441" s="16"/>
      <c r="U441" s="17"/>
      <c r="V441" s="10"/>
      <c r="W441" s="10"/>
      <c r="X441" s="10"/>
    </row>
    <row r="442" spans="1:24">
      <c r="A442" s="2"/>
      <c r="B442" s="18" t="s">
        <v>6</v>
      </c>
      <c r="C442" s="19">
        <f>C443+C444</f>
        <v>29</v>
      </c>
      <c r="D442" s="10"/>
      <c r="E442" s="18" t="s">
        <v>7</v>
      </c>
      <c r="F442" s="6"/>
      <c r="G442" s="9"/>
      <c r="H442" s="10"/>
      <c r="I442" s="10"/>
      <c r="J442" s="10"/>
      <c r="K442" s="20" t="s">
        <v>8</v>
      </c>
      <c r="L442" s="21" t="s">
        <v>9</v>
      </c>
      <c r="M442" s="21" t="s">
        <v>10</v>
      </c>
      <c r="N442" s="20" t="s">
        <v>11</v>
      </c>
      <c r="O442" s="21" t="s">
        <v>12</v>
      </c>
      <c r="P442" s="22" t="s">
        <v>13</v>
      </c>
      <c r="Q442" s="21" t="s">
        <v>11</v>
      </c>
      <c r="R442" s="21" t="s">
        <v>12</v>
      </c>
      <c r="S442" s="22" t="s">
        <v>13</v>
      </c>
      <c r="T442" s="23" t="s">
        <v>14</v>
      </c>
      <c r="U442" s="17"/>
      <c r="V442" s="10"/>
      <c r="W442" s="10"/>
      <c r="X442" s="10"/>
    </row>
    <row r="443" spans="1:24">
      <c r="A443" s="2"/>
      <c r="B443" s="24" t="s">
        <v>15</v>
      </c>
      <c r="C443" s="25">
        <f>P450</f>
        <v>10</v>
      </c>
      <c r="D443" s="10"/>
      <c r="E443" s="26" t="s">
        <v>16</v>
      </c>
      <c r="F443" s="27">
        <v>0.05</v>
      </c>
      <c r="G443" s="28"/>
      <c r="H443" s="10"/>
      <c r="I443" s="10"/>
      <c r="J443" s="18" t="s">
        <v>17</v>
      </c>
      <c r="K443" s="29">
        <f>K476</f>
        <v>8</v>
      </c>
      <c r="L443" s="29">
        <f>L476</f>
        <v>6</v>
      </c>
      <c r="M443" s="29">
        <f>M476</f>
        <v>8</v>
      </c>
      <c r="N443" s="29">
        <f>N476</f>
        <v>8</v>
      </c>
      <c r="O443" s="29">
        <f>O476</f>
        <v>8</v>
      </c>
      <c r="P443" s="29">
        <f>P476</f>
        <v>8</v>
      </c>
      <c r="Q443" s="29">
        <f>Q476</f>
        <v>7</v>
      </c>
      <c r="R443" s="29">
        <f>R476</f>
        <v>7</v>
      </c>
      <c r="S443" s="29">
        <f>S476</f>
        <v>5</v>
      </c>
      <c r="T443" s="30">
        <f>T524</f>
        <v>4</v>
      </c>
      <c r="U443" s="17" t="s">
        <v>1562</v>
      </c>
      <c r="V443" s="10"/>
      <c r="W443" s="10"/>
      <c r="X443" s="10"/>
    </row>
    <row r="444" spans="1:24">
      <c r="A444" s="2"/>
      <c r="B444" s="24" t="s">
        <v>18</v>
      </c>
      <c r="C444" s="25">
        <f>P451</f>
        <v>19</v>
      </c>
      <c r="D444" s="10"/>
      <c r="E444" s="10"/>
      <c r="F444" s="10"/>
      <c r="G444" s="31"/>
      <c r="H444" s="10"/>
      <c r="I444" s="10"/>
      <c r="J444" s="32" t="s">
        <v>19</v>
      </c>
      <c r="K444" s="33">
        <f>K476/K475</f>
        <v>1</v>
      </c>
      <c r="L444" s="33">
        <f>L476/L475</f>
        <v>0.75</v>
      </c>
      <c r="M444" s="33">
        <f>M476/M475</f>
        <v>1</v>
      </c>
      <c r="N444" s="33">
        <f>N476/N475</f>
        <v>1</v>
      </c>
      <c r="O444" s="33">
        <f>O476/O475</f>
        <v>1</v>
      </c>
      <c r="P444" s="33">
        <f>P476/P475</f>
        <v>1</v>
      </c>
      <c r="Q444" s="33">
        <f>Q476/Q475</f>
        <v>0.875</v>
      </c>
      <c r="R444" s="33">
        <f>R476/R475</f>
        <v>0.875</v>
      </c>
      <c r="S444" s="33">
        <f>S476/S475</f>
        <v>0.625</v>
      </c>
      <c r="T444" s="23"/>
      <c r="U444" s="17" t="s">
        <v>20</v>
      </c>
      <c r="V444" s="10"/>
      <c r="W444" s="10"/>
      <c r="X444" s="10"/>
    </row>
    <row r="445" spans="1:24">
      <c r="A445" s="2"/>
      <c r="B445" s="24" t="s">
        <v>21</v>
      </c>
      <c r="C445" s="34">
        <f>P452</f>
        <v>0.34482758620689657</v>
      </c>
      <c r="D445" s="10"/>
      <c r="E445" s="10"/>
      <c r="F445" s="10"/>
      <c r="G445" s="10"/>
      <c r="H445" s="10"/>
      <c r="I445" s="10"/>
      <c r="J445" s="10"/>
      <c r="K445" s="10"/>
      <c r="L445" s="10"/>
      <c r="M445" s="10"/>
      <c r="N445" s="10"/>
      <c r="O445" s="10"/>
      <c r="P445" s="10"/>
      <c r="Q445" s="10"/>
      <c r="R445" s="10"/>
      <c r="S445" s="10"/>
      <c r="T445" s="10"/>
      <c r="U445" s="17"/>
      <c r="V445" s="10"/>
      <c r="W445" s="10"/>
      <c r="X445" s="10"/>
    </row>
    <row r="446" spans="1:24">
      <c r="A446" s="2"/>
      <c r="B446" s="24"/>
      <c r="C446" s="25"/>
      <c r="D446" s="10"/>
      <c r="E446" s="10"/>
      <c r="F446" s="18" t="s">
        <v>22</v>
      </c>
      <c r="G446" s="19" t="s">
        <v>23</v>
      </c>
      <c r="H446" s="35" t="s">
        <v>24</v>
      </c>
      <c r="I446" s="10"/>
      <c r="J446" s="10"/>
      <c r="K446" s="36"/>
      <c r="L446" s="36"/>
      <c r="M446" s="36"/>
      <c r="N446" s="36"/>
      <c r="O446" s="36"/>
      <c r="P446" s="36"/>
      <c r="Q446" s="36"/>
      <c r="R446" s="10"/>
      <c r="S446" s="10"/>
      <c r="T446" s="10"/>
      <c r="U446" s="17"/>
      <c r="V446" s="10"/>
      <c r="W446" s="10"/>
      <c r="X446" s="10"/>
    </row>
    <row r="447" spans="1:24" ht="13.5" customHeight="1">
      <c r="A447" s="2"/>
      <c r="B447" s="32" t="s">
        <v>25</v>
      </c>
      <c r="C447" s="37">
        <f>P453</f>
        <v>4154.2610000000004</v>
      </c>
      <c r="D447" s="10"/>
      <c r="E447" s="18" t="s">
        <v>26</v>
      </c>
      <c r="F447" s="38">
        <f>P449</f>
        <v>41542.61</v>
      </c>
      <c r="G447" s="39">
        <f>I475+I485</f>
        <v>41542.61</v>
      </c>
      <c r="H447" s="767" t="s">
        <v>467</v>
      </c>
      <c r="I447" s="767"/>
      <c r="J447" s="767"/>
      <c r="K447" s="43" t="s">
        <v>27</v>
      </c>
      <c r="L447" s="44"/>
      <c r="M447" s="44"/>
      <c r="N447" s="44"/>
      <c r="O447" s="44"/>
      <c r="P447" s="44"/>
      <c r="Q447" s="45"/>
      <c r="R447" s="46" t="s">
        <v>28</v>
      </c>
      <c r="S447" s="47" t="s">
        <v>29</v>
      </c>
      <c r="T447" s="10"/>
      <c r="U447" s="17"/>
      <c r="V447" s="10"/>
      <c r="W447" s="10"/>
      <c r="X447" s="10"/>
    </row>
    <row r="448" spans="1:24">
      <c r="A448" s="2"/>
      <c r="B448" s="11"/>
      <c r="C448" s="10"/>
      <c r="D448" s="10"/>
      <c r="E448" s="24" t="s">
        <v>30</v>
      </c>
      <c r="F448" s="48">
        <f>F443</f>
        <v>0.05</v>
      </c>
      <c r="G448" s="17"/>
      <c r="H448" s="767"/>
      <c r="I448" s="767"/>
      <c r="J448" s="767"/>
      <c r="K448" s="20" t="s">
        <v>31</v>
      </c>
      <c r="L448" s="21" t="s">
        <v>32</v>
      </c>
      <c r="M448" s="21" t="s">
        <v>33</v>
      </c>
      <c r="N448" s="21" t="s">
        <v>34</v>
      </c>
      <c r="O448" s="21" t="s">
        <v>35</v>
      </c>
      <c r="P448" s="21" t="s">
        <v>36</v>
      </c>
      <c r="Q448" s="49" t="s">
        <v>37</v>
      </c>
      <c r="R448" s="50" t="s">
        <v>38</v>
      </c>
      <c r="S448" s="50" t="s">
        <v>38</v>
      </c>
      <c r="T448" s="10"/>
      <c r="U448" s="17"/>
      <c r="V448" s="10"/>
      <c r="W448" s="10"/>
      <c r="X448" s="10"/>
    </row>
    <row r="449" spans="1:24">
      <c r="A449" s="2"/>
      <c r="B449" s="11"/>
      <c r="C449" s="10"/>
      <c r="D449" s="10"/>
      <c r="E449" s="51" t="s">
        <v>39</v>
      </c>
      <c r="F449" s="52">
        <f>(F447+F456-I468-I469-I470-I473-I474-I483-I484)*F448</f>
        <v>230.7139999999994</v>
      </c>
      <c r="G449" s="53" t="s">
        <v>40</v>
      </c>
      <c r="H449" s="54">
        <f>F449/1.12</f>
        <v>205.99464285714231</v>
      </c>
      <c r="I449" s="570" t="s">
        <v>416</v>
      </c>
      <c r="J449" s="42"/>
      <c r="K449" s="56">
        <f>I468+I467+I483</f>
        <v>22925.809999999998</v>
      </c>
      <c r="L449" s="57">
        <f>I469+I470</f>
        <v>1527.6</v>
      </c>
      <c r="M449" s="57">
        <f>I471+I472+I484</f>
        <v>15066.9</v>
      </c>
      <c r="N449" s="57">
        <f>I473+I474</f>
        <v>2022.3</v>
      </c>
      <c r="O449" s="57"/>
      <c r="P449" s="57">
        <f>SUM(K449:O449)</f>
        <v>41542.61</v>
      </c>
      <c r="Q449" s="58">
        <v>0</v>
      </c>
      <c r="R449" s="59">
        <f>+I485</f>
        <v>32095.51</v>
      </c>
      <c r="S449" s="59">
        <v>0</v>
      </c>
      <c r="T449" s="10"/>
      <c r="U449" s="17"/>
      <c r="V449" s="10"/>
      <c r="W449" s="10"/>
      <c r="X449" s="10"/>
    </row>
    <row r="450" spans="1:24">
      <c r="A450" s="2"/>
      <c r="B450" s="11"/>
      <c r="C450" s="10"/>
      <c r="D450" s="10"/>
      <c r="E450" s="24" t="s">
        <v>41</v>
      </c>
      <c r="F450" s="60">
        <f>Q449</f>
        <v>0</v>
      </c>
      <c r="G450" s="61" t="s">
        <v>40</v>
      </c>
      <c r="H450" s="62"/>
      <c r="I450" s="62"/>
      <c r="J450" s="10" t="s">
        <v>42</v>
      </c>
      <c r="K450" s="63">
        <v>3</v>
      </c>
      <c r="L450" s="63">
        <v>2</v>
      </c>
      <c r="M450" s="63">
        <v>3</v>
      </c>
      <c r="N450" s="63">
        <v>2</v>
      </c>
      <c r="O450" s="63">
        <v>0</v>
      </c>
      <c r="P450" s="21">
        <f>SUM(K450:O450)</f>
        <v>10</v>
      </c>
      <c r="Q450" s="64"/>
      <c r="R450" s="63"/>
      <c r="S450" s="10"/>
      <c r="T450" s="10"/>
      <c r="U450" s="17"/>
      <c r="V450" s="10"/>
      <c r="W450" s="10"/>
      <c r="X450" s="10"/>
    </row>
    <row r="451" spans="1:24">
      <c r="A451" s="2"/>
      <c r="B451" s="11"/>
      <c r="C451" s="10"/>
      <c r="D451" s="10"/>
      <c r="E451" s="51" t="s">
        <v>43</v>
      </c>
      <c r="F451" s="52">
        <f>F450*0.25</f>
        <v>0</v>
      </c>
      <c r="G451" s="53" t="s">
        <v>40</v>
      </c>
      <c r="H451" s="54">
        <f>F451/1.12</f>
        <v>0</v>
      </c>
      <c r="I451" s="10"/>
      <c r="J451" s="10" t="s">
        <v>44</v>
      </c>
      <c r="K451" s="63">
        <v>2</v>
      </c>
      <c r="L451" s="63">
        <v>5</v>
      </c>
      <c r="M451" s="63">
        <v>7</v>
      </c>
      <c r="N451" s="63">
        <v>2</v>
      </c>
      <c r="O451" s="63">
        <v>3</v>
      </c>
      <c r="P451" s="21">
        <f>SUM(K451:O451)</f>
        <v>19</v>
      </c>
      <c r="Q451" s="64"/>
      <c r="R451" s="63"/>
      <c r="S451" s="10"/>
      <c r="T451" s="10"/>
      <c r="U451" s="17"/>
      <c r="V451" s="10"/>
      <c r="W451" s="10"/>
      <c r="X451" s="10"/>
    </row>
    <row r="452" spans="1:24">
      <c r="A452" s="2"/>
      <c r="B452" s="11"/>
      <c r="C452" s="10"/>
      <c r="D452" s="10"/>
      <c r="E452" s="24" t="s">
        <v>45</v>
      </c>
      <c r="F452" s="60">
        <f>I480</f>
        <v>187.56999999999994</v>
      </c>
      <c r="G452" s="61" t="s">
        <v>40</v>
      </c>
      <c r="H452" s="62"/>
      <c r="I452" s="10"/>
      <c r="J452" s="10" t="s">
        <v>46</v>
      </c>
      <c r="K452" s="31">
        <f>K450/(K450+K451)</f>
        <v>0.6</v>
      </c>
      <c r="L452" s="31">
        <f>L450/(L450+L451)</f>
        <v>0.2857142857142857</v>
      </c>
      <c r="M452" s="31">
        <f>M450/(M450+M451)</f>
        <v>0.3</v>
      </c>
      <c r="N452" s="31">
        <f>N450/(N450+N451)</f>
        <v>0.5</v>
      </c>
      <c r="O452" s="31">
        <f>O450/(O450+O451)</f>
        <v>0</v>
      </c>
      <c r="P452" s="31">
        <f>P450/(P450+P451)</f>
        <v>0.34482758620689657</v>
      </c>
      <c r="Q452" s="31" t="e">
        <f>Q450/(Q450+Q451)</f>
        <v>#DIV/0!</v>
      </c>
      <c r="R452" s="63"/>
      <c r="S452" s="10"/>
      <c r="T452" s="10"/>
      <c r="U452" s="17"/>
      <c r="V452" s="10"/>
      <c r="W452" s="10"/>
      <c r="X452" s="10"/>
    </row>
    <row r="453" spans="1:24">
      <c r="A453" s="2"/>
      <c r="B453" s="11"/>
      <c r="C453" s="10"/>
      <c r="D453" s="10"/>
      <c r="E453" s="51" t="s">
        <v>47</v>
      </c>
      <c r="F453" s="52">
        <f>(F452-I479)*0.05</f>
        <v>0</v>
      </c>
      <c r="G453" s="65" t="s">
        <v>40</v>
      </c>
      <c r="H453" s="54">
        <f>F453/1.12</f>
        <v>0</v>
      </c>
      <c r="I453" s="42"/>
      <c r="J453" s="10" t="s">
        <v>48</v>
      </c>
      <c r="K453" s="66">
        <f>K449/K450</f>
        <v>7641.9366666666656</v>
      </c>
      <c r="L453" s="66">
        <f>L449/L450</f>
        <v>763.8</v>
      </c>
      <c r="M453" s="66">
        <f>M449/M450</f>
        <v>5022.3</v>
      </c>
      <c r="N453" s="66">
        <f>N449/N450</f>
        <v>1011.15</v>
      </c>
      <c r="O453" s="66" t="e">
        <f>O449/O450</f>
        <v>#DIV/0!</v>
      </c>
      <c r="P453" s="66">
        <f>P449/P450</f>
        <v>4154.2610000000004</v>
      </c>
      <c r="Q453" s="66" t="e">
        <f>Q449/Q450</f>
        <v>#DIV/0!</v>
      </c>
      <c r="R453" s="63"/>
      <c r="S453" s="10"/>
      <c r="T453" s="10"/>
      <c r="U453" s="17"/>
      <c r="V453" s="10"/>
      <c r="W453" s="10"/>
      <c r="X453" s="10"/>
    </row>
    <row r="454" spans="1:24">
      <c r="A454" s="2"/>
      <c r="B454" s="11"/>
      <c r="C454" s="10"/>
      <c r="D454" s="10"/>
      <c r="E454" s="67" t="s">
        <v>14</v>
      </c>
      <c r="F454" s="68">
        <f>4*50/2</f>
        <v>100</v>
      </c>
      <c r="G454" s="10"/>
      <c r="H454" s="54">
        <f>F454/1.12</f>
        <v>89.285714285714278</v>
      </c>
      <c r="I454" s="10"/>
      <c r="J454" s="10"/>
      <c r="K454" s="10"/>
      <c r="L454" s="10"/>
      <c r="M454" s="10"/>
      <c r="N454" s="10"/>
      <c r="O454" s="10"/>
      <c r="P454" s="10"/>
      <c r="Q454" s="10"/>
      <c r="R454" s="10"/>
      <c r="S454" s="10"/>
      <c r="T454" s="10"/>
      <c r="U454" s="17"/>
      <c r="V454" s="10"/>
      <c r="W454" s="10"/>
      <c r="X454" s="10"/>
    </row>
    <row r="455" spans="1:24">
      <c r="A455" s="2"/>
      <c r="B455" s="11"/>
      <c r="C455" s="10"/>
      <c r="D455" s="10"/>
      <c r="E455" s="67" t="s">
        <v>49</v>
      </c>
      <c r="F455" s="69">
        <f>T444</f>
        <v>0</v>
      </c>
      <c r="G455" s="10"/>
      <c r="H455" s="54"/>
      <c r="I455" s="55"/>
      <c r="J455" s="42"/>
      <c r="K455" s="764" t="s">
        <v>50</v>
      </c>
      <c r="L455" s="765"/>
      <c r="M455" s="765"/>
      <c r="N455" s="765"/>
      <c r="O455" s="765"/>
      <c r="P455" s="765"/>
      <c r="Q455" s="766"/>
      <c r="R455" s="70" t="s">
        <v>28</v>
      </c>
      <c r="S455" s="71" t="s">
        <v>29</v>
      </c>
      <c r="T455" s="10"/>
      <c r="U455" s="17"/>
      <c r="V455" s="10"/>
      <c r="W455" s="10"/>
      <c r="X455" s="10"/>
    </row>
    <row r="456" spans="1:24">
      <c r="A456" s="2"/>
      <c r="B456" s="11"/>
      <c r="C456" s="10"/>
      <c r="D456" s="10"/>
      <c r="E456" s="74" t="s">
        <v>1563</v>
      </c>
      <c r="F456" s="75">
        <v>-184.62</v>
      </c>
      <c r="G456" s="10"/>
      <c r="H456" s="10"/>
      <c r="I456" s="10"/>
      <c r="J456" s="42"/>
      <c r="K456" s="20" t="s">
        <v>31</v>
      </c>
      <c r="L456" s="21" t="s">
        <v>32</v>
      </c>
      <c r="M456" s="21" t="s">
        <v>33</v>
      </c>
      <c r="N456" s="21" t="s">
        <v>34</v>
      </c>
      <c r="O456" s="21" t="s">
        <v>35</v>
      </c>
      <c r="P456" s="21" t="s">
        <v>36</v>
      </c>
      <c r="Q456" s="49" t="s">
        <v>37</v>
      </c>
      <c r="R456" s="50" t="s">
        <v>38</v>
      </c>
      <c r="S456" s="50" t="s">
        <v>38</v>
      </c>
      <c r="T456" s="10"/>
      <c r="U456" s="17"/>
      <c r="V456" s="10"/>
      <c r="W456" s="10"/>
      <c r="X456" s="10"/>
    </row>
    <row r="457" spans="1:24">
      <c r="A457" s="2"/>
      <c r="B457" s="11"/>
      <c r="C457" s="10"/>
      <c r="D457" s="10"/>
      <c r="E457" s="12"/>
      <c r="F457" s="76"/>
      <c r="G457" s="10"/>
      <c r="H457" s="10"/>
      <c r="I457" s="10"/>
      <c r="J457" s="42"/>
      <c r="K457" s="56">
        <f>F468+F467+F483</f>
        <v>31548</v>
      </c>
      <c r="L457" s="57">
        <f>F469+F470</f>
        <v>2402</v>
      </c>
      <c r="M457" s="57">
        <f>F471+F472+F484</f>
        <v>16186</v>
      </c>
      <c r="N457" s="57">
        <f>F473+F474</f>
        <v>2262</v>
      </c>
      <c r="O457" s="57"/>
      <c r="P457" s="57">
        <f>SUM(K457:O457)</f>
        <v>52398</v>
      </c>
      <c r="Q457" s="58">
        <v>0</v>
      </c>
      <c r="R457" s="59">
        <f>+F485</f>
        <v>41228</v>
      </c>
      <c r="S457" s="59">
        <v>0</v>
      </c>
      <c r="T457" s="10"/>
      <c r="U457" s="17"/>
      <c r="V457" s="10"/>
      <c r="W457" s="10"/>
      <c r="X457" s="10"/>
    </row>
    <row r="458" spans="1:24">
      <c r="A458" s="2"/>
      <c r="B458" s="11"/>
      <c r="C458" s="10"/>
      <c r="D458" s="10"/>
      <c r="E458" s="10"/>
      <c r="F458" s="10"/>
      <c r="G458" s="10"/>
      <c r="H458" s="10"/>
      <c r="I458" s="10"/>
      <c r="J458" s="10" t="s">
        <v>42</v>
      </c>
      <c r="K458" s="63">
        <f>K450</f>
        <v>3</v>
      </c>
      <c r="L458" s="63">
        <f>L450</f>
        <v>2</v>
      </c>
      <c r="M458" s="63">
        <f>M450</f>
        <v>3</v>
      </c>
      <c r="N458" s="63">
        <f>N450</f>
        <v>2</v>
      </c>
      <c r="O458" s="63">
        <f>O450</f>
        <v>0</v>
      </c>
      <c r="P458" s="63">
        <f>P450</f>
        <v>10</v>
      </c>
      <c r="Q458" s="63">
        <f>Q450</f>
        <v>0</v>
      </c>
      <c r="R458" s="63"/>
      <c r="S458" s="10"/>
      <c r="T458" s="10"/>
      <c r="U458" s="17"/>
      <c r="V458" s="10"/>
      <c r="W458" s="10"/>
      <c r="X458" s="10"/>
    </row>
    <row r="459" spans="1:24">
      <c r="A459" s="2"/>
      <c r="B459" s="11"/>
      <c r="C459" s="10"/>
      <c r="D459" s="10"/>
      <c r="E459" s="10"/>
      <c r="F459" s="10"/>
      <c r="G459" s="10"/>
      <c r="H459" s="10"/>
      <c r="I459" s="10"/>
      <c r="J459" s="10" t="s">
        <v>44</v>
      </c>
      <c r="K459" s="63">
        <f>K451</f>
        <v>2</v>
      </c>
      <c r="L459" s="63">
        <f>L451</f>
        <v>5</v>
      </c>
      <c r="M459" s="63">
        <f>M451</f>
        <v>7</v>
      </c>
      <c r="N459" s="63">
        <f>N451</f>
        <v>2</v>
      </c>
      <c r="O459" s="63">
        <f>O451</f>
        <v>3</v>
      </c>
      <c r="P459" s="63">
        <f>P451</f>
        <v>19</v>
      </c>
      <c r="Q459" s="63">
        <f>Q451</f>
        <v>0</v>
      </c>
      <c r="R459" s="63"/>
      <c r="S459" s="10"/>
      <c r="T459" s="10"/>
      <c r="U459" s="17"/>
      <c r="V459" s="10"/>
      <c r="W459" s="10"/>
      <c r="X459" s="10"/>
    </row>
    <row r="460" spans="1:24">
      <c r="A460" s="2"/>
      <c r="B460" s="11"/>
      <c r="C460" s="10"/>
      <c r="D460" s="10"/>
      <c r="E460" s="10"/>
      <c r="F460" s="10"/>
      <c r="G460" s="10"/>
      <c r="H460" s="10"/>
      <c r="I460" s="10"/>
      <c r="J460" s="10" t="s">
        <v>46</v>
      </c>
      <c r="K460" s="31">
        <f>K458/(K458+K459)</f>
        <v>0.6</v>
      </c>
      <c r="L460" s="31">
        <f>L458/(L458+L459)</f>
        <v>0.2857142857142857</v>
      </c>
      <c r="M460" s="31">
        <f>M458/(M458+M459)</f>
        <v>0.3</v>
      </c>
      <c r="N460" s="31">
        <f>N458/(N458+N459)</f>
        <v>0.5</v>
      </c>
      <c r="O460" s="31">
        <f>O458/(O458+O459)</f>
        <v>0</v>
      </c>
      <c r="P460" s="31">
        <f>P458/(P458+P459)</f>
        <v>0.34482758620689657</v>
      </c>
      <c r="Q460" s="31" t="e">
        <f>Q458/(Q458+Q459)</f>
        <v>#DIV/0!</v>
      </c>
      <c r="R460" s="63"/>
      <c r="S460" s="10"/>
      <c r="T460" s="10"/>
      <c r="U460" s="17"/>
      <c r="V460" s="10"/>
      <c r="W460" s="10"/>
      <c r="X460" s="10"/>
    </row>
    <row r="461" spans="1:24">
      <c r="A461" s="2"/>
      <c r="B461" s="11"/>
      <c r="C461" s="10"/>
      <c r="D461" s="10"/>
      <c r="E461" s="10"/>
      <c r="F461" s="10"/>
      <c r="G461" s="10"/>
      <c r="H461" s="10"/>
      <c r="I461" s="10"/>
      <c r="J461" s="10" t="s">
        <v>48</v>
      </c>
      <c r="K461" s="66">
        <f>K457/K458</f>
        <v>10516</v>
      </c>
      <c r="L461" s="66">
        <f>L457/L458</f>
        <v>1201</v>
      </c>
      <c r="M461" s="66">
        <f>M457/M458</f>
        <v>5395.333333333333</v>
      </c>
      <c r="N461" s="66">
        <f>N457/N458</f>
        <v>1131</v>
      </c>
      <c r="O461" s="66" t="e">
        <f>O457/O458</f>
        <v>#DIV/0!</v>
      </c>
      <c r="P461" s="66">
        <f>P457/P458</f>
        <v>5239.8</v>
      </c>
      <c r="Q461" s="66" t="e">
        <f>Q457/Q458</f>
        <v>#DIV/0!</v>
      </c>
      <c r="R461" s="63"/>
      <c r="S461" s="10"/>
      <c r="T461" s="10"/>
      <c r="U461" s="17"/>
      <c r="V461" s="10"/>
      <c r="W461" s="10"/>
      <c r="X461" s="10"/>
    </row>
    <row r="462" spans="1:24">
      <c r="A462" s="2"/>
      <c r="B462" s="11"/>
      <c r="C462" s="10"/>
      <c r="D462" s="10"/>
      <c r="E462" s="10"/>
      <c r="F462" s="10"/>
      <c r="G462" s="10"/>
      <c r="H462" s="10"/>
      <c r="I462" s="10"/>
      <c r="J462" s="10"/>
      <c r="K462" s="10"/>
      <c r="L462" s="10"/>
      <c r="M462" s="10"/>
      <c r="N462" s="10"/>
      <c r="O462" s="10"/>
      <c r="P462" s="10"/>
      <c r="Q462" s="10"/>
      <c r="R462" s="10"/>
      <c r="S462" s="10"/>
      <c r="T462" s="10"/>
      <c r="U462" s="17"/>
      <c r="V462" s="10"/>
      <c r="W462" s="10"/>
      <c r="X462" s="10"/>
    </row>
    <row r="463" spans="1:24">
      <c r="A463" s="2"/>
      <c r="B463" s="11"/>
      <c r="C463" s="10"/>
      <c r="D463" s="10"/>
      <c r="E463" s="10"/>
      <c r="F463" s="10"/>
      <c r="G463" s="10"/>
      <c r="H463" s="10"/>
      <c r="I463" s="10"/>
      <c r="J463" s="10"/>
      <c r="K463" s="10"/>
      <c r="L463" s="10"/>
      <c r="M463" s="10"/>
      <c r="N463" s="10"/>
      <c r="O463" s="10"/>
      <c r="P463" s="10"/>
      <c r="Q463" s="10"/>
      <c r="R463" s="10"/>
      <c r="S463" s="10"/>
      <c r="T463" s="10"/>
      <c r="U463" s="17"/>
      <c r="V463" s="10"/>
      <c r="W463" s="10"/>
      <c r="X463" s="10"/>
    </row>
    <row r="464" spans="1:24">
      <c r="A464" s="2"/>
      <c r="B464" s="18" t="s">
        <v>51</v>
      </c>
      <c r="C464" s="14"/>
      <c r="D464" s="14"/>
      <c r="E464" s="14"/>
      <c r="F464" s="13" t="s">
        <v>52</v>
      </c>
      <c r="G464" s="14"/>
      <c r="H464" s="14"/>
      <c r="I464" s="14"/>
      <c r="J464" s="14"/>
      <c r="K464" s="13" t="s">
        <v>3</v>
      </c>
      <c r="L464" s="14"/>
      <c r="M464" s="14"/>
      <c r="N464" s="13" t="s">
        <v>4</v>
      </c>
      <c r="O464" s="14"/>
      <c r="P464" s="14"/>
      <c r="Q464" s="13" t="s">
        <v>5</v>
      </c>
      <c r="R464" s="14"/>
      <c r="S464" s="14"/>
      <c r="T464" s="18"/>
      <c r="U464" s="16" t="s">
        <v>53</v>
      </c>
      <c r="V464" s="77"/>
      <c r="W464" s="77"/>
      <c r="X464" s="77"/>
    </row>
    <row r="465" spans="1:24">
      <c r="A465" s="2"/>
      <c r="B465" s="24" t="s">
        <v>54</v>
      </c>
      <c r="C465" s="21" t="s">
        <v>55</v>
      </c>
      <c r="D465" s="21" t="s">
        <v>56</v>
      </c>
      <c r="E465" s="21" t="s">
        <v>57</v>
      </c>
      <c r="F465" s="20" t="s">
        <v>58</v>
      </c>
      <c r="G465" s="21" t="s">
        <v>59</v>
      </c>
      <c r="H465" s="21" t="s">
        <v>60</v>
      </c>
      <c r="I465" s="21" t="s">
        <v>26</v>
      </c>
      <c r="J465" s="22" t="s">
        <v>61</v>
      </c>
      <c r="K465" s="21" t="s">
        <v>8</v>
      </c>
      <c r="L465" s="21" t="s">
        <v>9</v>
      </c>
      <c r="M465" s="21" t="s">
        <v>10</v>
      </c>
      <c r="N465" s="20" t="s">
        <v>11</v>
      </c>
      <c r="O465" s="21" t="s">
        <v>12</v>
      </c>
      <c r="P465" s="22" t="s">
        <v>13</v>
      </c>
      <c r="Q465" s="21" t="s">
        <v>11</v>
      </c>
      <c r="R465" s="21" t="s">
        <v>12</v>
      </c>
      <c r="S465" s="21" t="s">
        <v>13</v>
      </c>
      <c r="T465" s="78" t="s">
        <v>14</v>
      </c>
      <c r="U465" s="30"/>
      <c r="V465" s="79" t="s">
        <v>62</v>
      </c>
      <c r="W465" s="80" t="s">
        <v>63</v>
      </c>
      <c r="X465" s="81" t="s">
        <v>64</v>
      </c>
    </row>
    <row r="466" spans="1:24">
      <c r="A466" s="2"/>
      <c r="B466" s="4" t="s">
        <v>65</v>
      </c>
      <c r="C466" s="6"/>
      <c r="D466" s="6"/>
      <c r="E466" s="6"/>
      <c r="F466" s="6"/>
      <c r="G466" s="6"/>
      <c r="H466" s="6"/>
      <c r="I466" s="82"/>
      <c r="J466" s="6"/>
      <c r="K466" s="6"/>
      <c r="L466" s="6"/>
      <c r="M466" s="6"/>
      <c r="N466" s="6"/>
      <c r="O466" s="6"/>
      <c r="P466" s="6"/>
      <c r="Q466" s="6"/>
      <c r="R466" s="6"/>
      <c r="S466" s="6"/>
      <c r="T466" s="83"/>
      <c r="U466" s="6"/>
      <c r="V466" s="84"/>
      <c r="W466" s="85"/>
      <c r="X466" s="86"/>
    </row>
    <row r="467" spans="1:24">
      <c r="A467" s="388">
        <v>45884</v>
      </c>
      <c r="B467" s="87">
        <v>1</v>
      </c>
      <c r="C467" s="574">
        <v>45880</v>
      </c>
      <c r="D467" s="327">
        <v>72228</v>
      </c>
      <c r="E467" s="509" t="s">
        <v>1143</v>
      </c>
      <c r="F467" s="575">
        <v>1796</v>
      </c>
      <c r="G467" s="575">
        <f>39.7+450</f>
        <v>489.7</v>
      </c>
      <c r="H467" s="575"/>
      <c r="I467" s="588">
        <f>F467-G467-H467</f>
        <v>1306.3</v>
      </c>
      <c r="J467" s="576" t="s">
        <v>228</v>
      </c>
      <c r="K467" s="576">
        <v>1</v>
      </c>
      <c r="L467" s="322">
        <v>0</v>
      </c>
      <c r="M467" s="576">
        <v>1</v>
      </c>
      <c r="N467" s="576">
        <v>1</v>
      </c>
      <c r="O467" s="576">
        <v>1</v>
      </c>
      <c r="P467" s="576">
        <v>1</v>
      </c>
      <c r="Q467" s="576">
        <v>1</v>
      </c>
      <c r="R467" s="576">
        <v>1</v>
      </c>
      <c r="S467" s="328">
        <v>0</v>
      </c>
      <c r="T467" s="537"/>
      <c r="U467" s="164" t="s">
        <v>1564</v>
      </c>
      <c r="V467" s="551">
        <f>200+1775.6</f>
        <v>1975.6</v>
      </c>
      <c r="W467" s="578"/>
      <c r="X467" s="579"/>
    </row>
    <row r="468" spans="1:24">
      <c r="A468" s="388">
        <v>45882</v>
      </c>
      <c r="B468" s="87">
        <f>B467+1</f>
        <v>2</v>
      </c>
      <c r="C468" s="282">
        <v>45880</v>
      </c>
      <c r="D468" s="368" t="s">
        <v>1565</v>
      </c>
      <c r="E468" s="283" t="s">
        <v>798</v>
      </c>
      <c r="F468" s="284">
        <v>1138</v>
      </c>
      <c r="G468" s="284">
        <f>39.7</f>
        <v>39.700000000000003</v>
      </c>
      <c r="H468" s="315"/>
      <c r="I468" s="331">
        <f>F468-G468-H468</f>
        <v>1098.3</v>
      </c>
      <c r="J468" s="286" t="s">
        <v>156</v>
      </c>
      <c r="K468" s="286">
        <v>1</v>
      </c>
      <c r="L468" s="286">
        <v>1</v>
      </c>
      <c r="M468" s="286">
        <v>1</v>
      </c>
      <c r="N468" s="286">
        <v>1</v>
      </c>
      <c r="O468" s="286">
        <v>1</v>
      </c>
      <c r="P468" s="286">
        <v>1</v>
      </c>
      <c r="Q468" s="332">
        <v>0</v>
      </c>
      <c r="R468" s="332">
        <v>0</v>
      </c>
      <c r="S468" s="370">
        <v>0</v>
      </c>
      <c r="T468" s="63"/>
      <c r="U468" s="10" t="s">
        <v>1566</v>
      </c>
      <c r="V468" s="90">
        <v>1251.8</v>
      </c>
      <c r="W468" s="91"/>
      <c r="X468" s="92"/>
    </row>
    <row r="469" spans="1:24">
      <c r="A469" s="2" t="s">
        <v>1567</v>
      </c>
      <c r="B469" s="87">
        <f>B468+1</f>
        <v>3</v>
      </c>
      <c r="C469" s="295">
        <v>45881</v>
      </c>
      <c r="D469" s="323">
        <v>72165</v>
      </c>
      <c r="E469" s="10" t="s">
        <v>317</v>
      </c>
      <c r="F469" s="62">
        <v>1264</v>
      </c>
      <c r="G469" s="62">
        <f>39.7+200+200</f>
        <v>439.7</v>
      </c>
      <c r="H469" s="62"/>
      <c r="I469" s="369">
        <f>F469-G469-H469</f>
        <v>824.3</v>
      </c>
      <c r="J469" s="63" t="s">
        <v>156</v>
      </c>
      <c r="K469" s="63">
        <v>1</v>
      </c>
      <c r="L469" s="63">
        <v>1</v>
      </c>
      <c r="M469" s="63">
        <v>1</v>
      </c>
      <c r="N469" s="63">
        <v>1</v>
      </c>
      <c r="O469" s="63">
        <v>1</v>
      </c>
      <c r="P469" s="63">
        <v>1</v>
      </c>
      <c r="Q469" s="63">
        <v>1</v>
      </c>
      <c r="R469" s="63">
        <v>1</v>
      </c>
      <c r="S469" s="296">
        <v>1</v>
      </c>
      <c r="T469" s="63"/>
      <c r="U469" s="10" t="s">
        <v>1568</v>
      </c>
      <c r="V469" s="90">
        <v>1390.4</v>
      </c>
      <c r="W469" s="91"/>
      <c r="X469" s="92"/>
    </row>
    <row r="470" spans="1:24">
      <c r="A470" s="93" t="s">
        <v>230</v>
      </c>
      <c r="B470" s="87">
        <f t="shared" ref="B469:B473" si="62">B469+1</f>
        <v>4</v>
      </c>
      <c r="C470" s="295">
        <v>45881</v>
      </c>
      <c r="D470" s="323">
        <v>72261</v>
      </c>
      <c r="E470" s="10" t="s">
        <v>294</v>
      </c>
      <c r="F470" s="62">
        <v>1138</v>
      </c>
      <c r="G470" s="62">
        <f>39.7+395</f>
        <v>434.7</v>
      </c>
      <c r="H470" s="62"/>
      <c r="I470" s="369">
        <f>F470-G470-H470</f>
        <v>703.3</v>
      </c>
      <c r="J470" s="63" t="s">
        <v>156</v>
      </c>
      <c r="K470" s="63">
        <v>1</v>
      </c>
      <c r="L470" s="63">
        <v>1</v>
      </c>
      <c r="M470" s="63">
        <v>1</v>
      </c>
      <c r="N470" s="63">
        <v>1</v>
      </c>
      <c r="O470" s="63">
        <v>1</v>
      </c>
      <c r="P470" s="63">
        <v>1</v>
      </c>
      <c r="Q470" s="63">
        <v>1</v>
      </c>
      <c r="R470" s="63">
        <v>1</v>
      </c>
      <c r="S470" s="296">
        <v>1</v>
      </c>
      <c r="T470" s="63"/>
      <c r="U470" s="10"/>
      <c r="V470" s="90">
        <v>1251.8</v>
      </c>
      <c r="W470" s="91"/>
      <c r="X470" s="92"/>
    </row>
    <row r="471" spans="1:24">
      <c r="A471" s="2"/>
      <c r="B471" s="87">
        <f t="shared" si="62"/>
        <v>5</v>
      </c>
      <c r="C471" s="274">
        <v>45882</v>
      </c>
      <c r="D471" s="327">
        <v>72296</v>
      </c>
      <c r="E471" s="404" t="s">
        <v>271</v>
      </c>
      <c r="F471" s="277">
        <f>1296</f>
        <v>1296</v>
      </c>
      <c r="G471" s="277">
        <f>39.7</f>
        <v>39.700000000000003</v>
      </c>
      <c r="H471" s="277"/>
      <c r="I471" s="321">
        <f>F471-G471-H471</f>
        <v>1256.3</v>
      </c>
      <c r="J471" s="279" t="s">
        <v>156</v>
      </c>
      <c r="K471" s="279">
        <v>1</v>
      </c>
      <c r="L471" s="279">
        <v>1</v>
      </c>
      <c r="M471" s="279">
        <v>1</v>
      </c>
      <c r="N471" s="279">
        <v>1</v>
      </c>
      <c r="O471" s="279">
        <v>1</v>
      </c>
      <c r="P471" s="279">
        <v>1</v>
      </c>
      <c r="Q471" s="279">
        <v>1</v>
      </c>
      <c r="R471" s="279">
        <v>1</v>
      </c>
      <c r="S471" s="328">
        <v>0</v>
      </c>
      <c r="T471" s="63"/>
      <c r="U471" s="10"/>
      <c r="V471" s="90">
        <f>1425.6</f>
        <v>1425.6</v>
      </c>
      <c r="W471" s="91"/>
      <c r="X471" s="92"/>
    </row>
    <row r="472" spans="1:24">
      <c r="A472" s="2"/>
      <c r="B472" s="87">
        <f t="shared" si="62"/>
        <v>6</v>
      </c>
      <c r="C472" s="295">
        <v>45882</v>
      </c>
      <c r="D472" s="323">
        <v>72314</v>
      </c>
      <c r="E472" s="10" t="s">
        <v>327</v>
      </c>
      <c r="F472" s="62">
        <v>2276</v>
      </c>
      <c r="G472" s="62">
        <v>39.700000000000003</v>
      </c>
      <c r="H472" s="62"/>
      <c r="I472" s="89">
        <f>F472-G472-H472</f>
        <v>2236.3000000000002</v>
      </c>
      <c r="J472" s="63" t="s">
        <v>156</v>
      </c>
      <c r="K472" s="63">
        <v>1</v>
      </c>
      <c r="L472" s="63">
        <v>1</v>
      </c>
      <c r="M472" s="63">
        <v>1</v>
      </c>
      <c r="N472" s="63">
        <v>1</v>
      </c>
      <c r="O472" s="63">
        <v>1</v>
      </c>
      <c r="P472" s="63">
        <v>1</v>
      </c>
      <c r="Q472" s="63">
        <v>1</v>
      </c>
      <c r="R472" s="63">
        <v>1</v>
      </c>
      <c r="S472" s="296">
        <v>1</v>
      </c>
      <c r="T472" s="63"/>
      <c r="U472" s="10" t="s">
        <v>1569</v>
      </c>
      <c r="V472" s="90">
        <f>2503.6</f>
        <v>2503.6</v>
      </c>
      <c r="W472" s="91"/>
      <c r="X472" s="92"/>
    </row>
    <row r="473" spans="1:24">
      <c r="A473" s="2" t="s">
        <v>1570</v>
      </c>
      <c r="B473" s="87">
        <f t="shared" si="62"/>
        <v>7</v>
      </c>
      <c r="C473" s="274">
        <v>45883</v>
      </c>
      <c r="D473" s="320" t="s">
        <v>1571</v>
      </c>
      <c r="E473" s="276" t="s">
        <v>317</v>
      </c>
      <c r="F473" s="277">
        <v>1681</v>
      </c>
      <c r="G473" s="277">
        <f>39.7+200</f>
        <v>239.7</v>
      </c>
      <c r="H473" s="297"/>
      <c r="I473" s="329">
        <f>F473-G473-H473</f>
        <v>1441.3</v>
      </c>
      <c r="J473" s="279" t="s">
        <v>374</v>
      </c>
      <c r="K473" s="279">
        <v>1</v>
      </c>
      <c r="L473" s="279">
        <v>1</v>
      </c>
      <c r="M473" s="279">
        <v>1</v>
      </c>
      <c r="N473" s="279">
        <v>1</v>
      </c>
      <c r="O473" s="279">
        <v>1</v>
      </c>
      <c r="P473" s="279">
        <v>1</v>
      </c>
      <c r="Q473" s="279">
        <v>1</v>
      </c>
      <c r="R473" s="279">
        <v>1</v>
      </c>
      <c r="S473" s="280">
        <v>1</v>
      </c>
      <c r="T473" s="21">
        <v>1</v>
      </c>
      <c r="U473" s="10" t="s">
        <v>1572</v>
      </c>
      <c r="V473" s="90">
        <f>1849.1</f>
        <v>1849.1</v>
      </c>
      <c r="W473" s="91"/>
      <c r="X473" s="92"/>
    </row>
    <row r="474" spans="1:24">
      <c r="A474" s="2"/>
      <c r="B474" s="577">
        <f>B473+1</f>
        <v>8</v>
      </c>
      <c r="C474" s="554">
        <v>45883</v>
      </c>
      <c r="D474" s="368">
        <v>72298</v>
      </c>
      <c r="E474" s="555" t="s">
        <v>681</v>
      </c>
      <c r="F474" s="556">
        <v>581</v>
      </c>
      <c r="G474" s="556"/>
      <c r="H474" s="556"/>
      <c r="I474" s="562">
        <f>F474-G474-H474</f>
        <v>581</v>
      </c>
      <c r="J474" s="558" t="s">
        <v>228</v>
      </c>
      <c r="K474" s="558">
        <v>1</v>
      </c>
      <c r="L474" s="332">
        <v>0</v>
      </c>
      <c r="M474" s="558">
        <v>1</v>
      </c>
      <c r="N474" s="558">
        <v>1</v>
      </c>
      <c r="O474" s="558">
        <v>1</v>
      </c>
      <c r="P474" s="558">
        <v>1</v>
      </c>
      <c r="Q474" s="558">
        <v>1</v>
      </c>
      <c r="R474" s="558">
        <v>1</v>
      </c>
      <c r="S474" s="559">
        <v>1</v>
      </c>
      <c r="T474" s="580">
        <v>1</v>
      </c>
      <c r="U474" s="164" t="s">
        <v>1573</v>
      </c>
      <c r="V474" s="551">
        <f>100+539.1</f>
        <v>639.1</v>
      </c>
      <c r="W474" s="581"/>
      <c r="X474" s="582"/>
    </row>
    <row r="475" spans="1:24">
      <c r="A475" s="2"/>
      <c r="B475" s="87"/>
      <c r="C475" s="36"/>
      <c r="D475" s="10"/>
      <c r="E475" s="10"/>
      <c r="F475" s="98">
        <f>SUM(F467:F474)</f>
        <v>11170</v>
      </c>
      <c r="G475" s="98">
        <f>SUM(G467:G474)</f>
        <v>1722.9</v>
      </c>
      <c r="H475" s="98">
        <f>SUM(H467:H474)</f>
        <v>0</v>
      </c>
      <c r="I475" s="98">
        <f>SUM(I467:I474)</f>
        <v>9447.1</v>
      </c>
      <c r="J475" s="63"/>
      <c r="K475" s="63">
        <f>COUNT(K467:K474)</f>
        <v>8</v>
      </c>
      <c r="L475" s="63">
        <f>COUNT(L467:L474)</f>
        <v>8</v>
      </c>
      <c r="M475" s="63">
        <f>COUNT(M467:M474)</f>
        <v>8</v>
      </c>
      <c r="N475" s="63">
        <f>COUNT(N467:N474)</f>
        <v>8</v>
      </c>
      <c r="O475" s="63">
        <f>COUNT(O467:O474)</f>
        <v>8</v>
      </c>
      <c r="P475" s="63">
        <f>COUNT(P467:P474)</f>
        <v>8</v>
      </c>
      <c r="Q475" s="63">
        <f>COUNT(Q467:Q474)</f>
        <v>8</v>
      </c>
      <c r="R475" s="63">
        <f>COUNT(R467:R474)</f>
        <v>8</v>
      </c>
      <c r="S475" s="63">
        <f>COUNT(S467:S474)</f>
        <v>8</v>
      </c>
      <c r="T475" s="63"/>
      <c r="U475" s="10"/>
      <c r="V475" s="90"/>
      <c r="W475" s="91"/>
      <c r="X475" s="92"/>
    </row>
    <row r="476" spans="1:24">
      <c r="A476" s="2"/>
      <c r="B476" s="87"/>
      <c r="C476" s="36"/>
      <c r="D476" s="10"/>
      <c r="E476" s="10"/>
      <c r="F476" s="88"/>
      <c r="G476" s="88"/>
      <c r="H476" s="88"/>
      <c r="I476" s="99"/>
      <c r="J476" s="63"/>
      <c r="K476" s="21">
        <f>SUM(K467:K474)</f>
        <v>8</v>
      </c>
      <c r="L476" s="21">
        <f>SUM(L467:L474)</f>
        <v>6</v>
      </c>
      <c r="M476" s="21">
        <f>SUM(M467:M474)</f>
        <v>8</v>
      </c>
      <c r="N476" s="21">
        <f>SUM(N467:N474)</f>
        <v>8</v>
      </c>
      <c r="O476" s="21">
        <f>SUM(O467:O474)</f>
        <v>8</v>
      </c>
      <c r="P476" s="21">
        <f>SUM(P467:P474)</f>
        <v>8</v>
      </c>
      <c r="Q476" s="21">
        <f>SUM(Q467:Q474)</f>
        <v>7</v>
      </c>
      <c r="R476" s="21">
        <f>SUM(R467:R474)</f>
        <v>7</v>
      </c>
      <c r="S476" s="21">
        <f>SUM(S467:S474)</f>
        <v>5</v>
      </c>
      <c r="T476" s="63"/>
      <c r="U476" s="10"/>
      <c r="V476" s="90"/>
      <c r="W476" s="91"/>
      <c r="X476" s="92"/>
    </row>
    <row r="477" spans="1:24">
      <c r="A477" s="2"/>
      <c r="B477" s="11"/>
      <c r="C477" s="36"/>
      <c r="D477" s="10"/>
      <c r="E477" s="10"/>
      <c r="F477" s="88"/>
      <c r="G477" s="88"/>
      <c r="H477" s="88"/>
      <c r="I477" s="99"/>
      <c r="J477" s="63"/>
      <c r="K477" s="21"/>
      <c r="L477" s="21"/>
      <c r="M477" s="21"/>
      <c r="N477" s="21"/>
      <c r="O477" s="21"/>
      <c r="P477" s="21"/>
      <c r="Q477" s="21"/>
      <c r="R477" s="21"/>
      <c r="S477" s="21"/>
      <c r="T477" s="63"/>
      <c r="U477" s="94"/>
      <c r="V477" s="90"/>
      <c r="W477" s="91"/>
      <c r="X477" s="92"/>
    </row>
    <row r="478" spans="1:24">
      <c r="A478" s="2"/>
      <c r="B478" s="100" t="s">
        <v>67</v>
      </c>
      <c r="C478" s="36"/>
      <c r="D478" s="10"/>
      <c r="E478" s="10"/>
      <c r="F478" s="88"/>
      <c r="G478" s="62"/>
      <c r="H478" s="88"/>
      <c r="I478" s="99"/>
      <c r="J478" s="63"/>
      <c r="K478" s="2"/>
      <c r="L478" s="2"/>
      <c r="M478" s="2"/>
      <c r="N478" s="2"/>
      <c r="O478" s="2"/>
      <c r="P478" s="2"/>
      <c r="Q478" s="2"/>
      <c r="R478" s="2"/>
      <c r="S478" s="2"/>
      <c r="T478" s="63"/>
      <c r="U478" s="94"/>
      <c r="V478" s="90"/>
      <c r="W478" s="91"/>
      <c r="X478" s="92"/>
    </row>
    <row r="479" spans="1:24" s="381" customFormat="1">
      <c r="A479" s="380" t="s">
        <v>1574</v>
      </c>
      <c r="B479" s="372">
        <v>1</v>
      </c>
      <c r="C479" s="373">
        <v>45875</v>
      </c>
      <c r="D479" s="357" t="s">
        <v>1549</v>
      </c>
      <c r="E479" s="391" t="s">
        <v>1042</v>
      </c>
      <c r="F479" s="375">
        <v>1727.27</v>
      </c>
      <c r="G479" s="375">
        <f>39.7+1500</f>
        <v>1539.7</v>
      </c>
      <c r="H479" s="375"/>
      <c r="I479" s="376">
        <f>F479-G479-H479</f>
        <v>187.56999999999994</v>
      </c>
      <c r="J479" s="314" t="s">
        <v>156</v>
      </c>
      <c r="K479" s="314">
        <v>1</v>
      </c>
      <c r="L479" s="314"/>
      <c r="M479" s="314">
        <v>1</v>
      </c>
      <c r="N479" s="314">
        <v>1</v>
      </c>
      <c r="O479" s="314">
        <v>1</v>
      </c>
      <c r="P479" s="314">
        <v>1</v>
      </c>
      <c r="Q479" s="314"/>
      <c r="R479" s="314"/>
      <c r="S479" s="366"/>
      <c r="T479" s="325"/>
      <c r="U479" s="42" t="s">
        <v>1550</v>
      </c>
      <c r="V479" s="377"/>
      <c r="W479" s="392"/>
      <c r="X479" s="379"/>
    </row>
    <row r="480" spans="1:24">
      <c r="A480" s="2"/>
      <c r="B480" s="11"/>
      <c r="C480" s="36"/>
      <c r="D480" s="10"/>
      <c r="E480" s="10"/>
      <c r="F480" s="97">
        <f>SUM(F479:F479)</f>
        <v>1727.27</v>
      </c>
      <c r="G480" s="97">
        <f>SUM(G479:G479)</f>
        <v>1539.7</v>
      </c>
      <c r="H480" s="97">
        <f>SUM(H479:H479)</f>
        <v>0</v>
      </c>
      <c r="I480" s="98">
        <f>SUM(I479:I479)</f>
        <v>187.56999999999994</v>
      </c>
      <c r="J480" s="63"/>
      <c r="K480" s="21"/>
      <c r="L480" s="21"/>
      <c r="M480" s="21"/>
      <c r="N480" s="21"/>
      <c r="O480" s="21"/>
      <c r="P480" s="21"/>
      <c r="Q480" s="21"/>
      <c r="R480" s="21"/>
      <c r="S480" s="21"/>
      <c r="T480" s="63"/>
      <c r="U480" s="94"/>
      <c r="V480" s="90"/>
      <c r="W480" s="91"/>
      <c r="X480" s="92"/>
    </row>
    <row r="481" spans="1:24" s="342" customFormat="1">
      <c r="A481" s="128"/>
      <c r="B481" s="132"/>
      <c r="C481" s="122"/>
      <c r="D481" s="123"/>
      <c r="E481" s="123"/>
      <c r="F481" s="124"/>
      <c r="G481" s="124"/>
      <c r="H481" s="124"/>
      <c r="I481" s="126"/>
      <c r="J481" s="127"/>
      <c r="K481" s="64"/>
      <c r="L481" s="64"/>
      <c r="M481" s="64"/>
      <c r="N481" s="64"/>
      <c r="O481" s="64"/>
      <c r="P481" s="64"/>
      <c r="Q481" s="64"/>
      <c r="R481" s="64"/>
      <c r="S481" s="64"/>
      <c r="T481" s="127"/>
      <c r="U481" s="135"/>
      <c r="V481" s="129"/>
      <c r="W481" s="130"/>
      <c r="X481" s="131"/>
    </row>
    <row r="482" spans="1:24" s="342" customFormat="1">
      <c r="A482" s="128"/>
      <c r="B482" s="121" t="s">
        <v>70</v>
      </c>
      <c r="C482" s="122"/>
      <c r="D482" s="123"/>
      <c r="E482" s="128"/>
      <c r="F482" s="124"/>
      <c r="G482" s="124"/>
      <c r="H482" s="124"/>
      <c r="I482" s="126"/>
      <c r="J482" s="127"/>
      <c r="K482" s="64"/>
      <c r="L482" s="64"/>
      <c r="M482" s="64"/>
      <c r="N482" s="64"/>
      <c r="O482" s="64"/>
      <c r="P482" s="64"/>
      <c r="Q482" s="64"/>
      <c r="R482" s="64"/>
      <c r="S482" s="64"/>
      <c r="T482" s="127"/>
      <c r="U482" s="135"/>
      <c r="V482" s="129"/>
      <c r="W482" s="130"/>
      <c r="X482" s="131"/>
    </row>
    <row r="483" spans="1:24" s="342" customFormat="1">
      <c r="A483" s="356">
        <v>0.05</v>
      </c>
      <c r="B483" s="333">
        <v>1</v>
      </c>
      <c r="C483" s="334">
        <v>45880</v>
      </c>
      <c r="D483" s="327" t="s">
        <v>1575</v>
      </c>
      <c r="E483" s="335" t="s">
        <v>798</v>
      </c>
      <c r="F483" s="336">
        <v>28614</v>
      </c>
      <c r="G483" s="336">
        <f>39.7+87+(88.79+147.25+67.07+175.66)+(287.36+46.46)+(F483*0.25)</f>
        <v>8092.79</v>
      </c>
      <c r="H483" s="336"/>
      <c r="I483" s="337">
        <f>F483-G483-H483</f>
        <v>20521.21</v>
      </c>
      <c r="J483" s="338" t="s">
        <v>156</v>
      </c>
      <c r="K483" s="338">
        <v>1</v>
      </c>
      <c r="L483" s="338"/>
      <c r="M483" s="338">
        <v>1</v>
      </c>
      <c r="N483" s="322">
        <v>0</v>
      </c>
      <c r="O483" s="322">
        <v>0</v>
      </c>
      <c r="P483" s="322">
        <v>0</v>
      </c>
      <c r="Q483" s="338"/>
      <c r="R483" s="338"/>
      <c r="S483" s="339"/>
      <c r="T483" s="127"/>
      <c r="U483" s="135" t="s">
        <v>1576</v>
      </c>
      <c r="V483" s="129">
        <f>2900+5000+6000</f>
        <v>13900</v>
      </c>
      <c r="W483" s="340"/>
      <c r="X483" s="341"/>
    </row>
    <row r="484" spans="1:24" s="342" customFormat="1">
      <c r="A484" s="356">
        <v>0.05</v>
      </c>
      <c r="B484" s="333">
        <f t="shared" ref="B484" si="63">B483+1</f>
        <v>2</v>
      </c>
      <c r="C484" s="350">
        <v>45882</v>
      </c>
      <c r="D484" s="263">
        <v>72282</v>
      </c>
      <c r="E484" s="358" t="s">
        <v>384</v>
      </c>
      <c r="F484" s="352">
        <v>12614</v>
      </c>
      <c r="G484" s="352">
        <f>39.7+1000</f>
        <v>1039.7</v>
      </c>
      <c r="H484" s="352"/>
      <c r="I484" s="353">
        <f>F484-G484-H484</f>
        <v>11574.3</v>
      </c>
      <c r="J484" s="354" t="s">
        <v>156</v>
      </c>
      <c r="K484" s="354">
        <v>1</v>
      </c>
      <c r="L484" s="354"/>
      <c r="M484" s="354">
        <v>1</v>
      </c>
      <c r="N484" s="354">
        <v>1</v>
      </c>
      <c r="O484" s="354">
        <v>1</v>
      </c>
      <c r="P484" s="354">
        <v>1</v>
      </c>
      <c r="Q484" s="354"/>
      <c r="R484" s="354"/>
      <c r="S484" s="355"/>
      <c r="T484" s="127"/>
      <c r="U484" s="135" t="s">
        <v>1577</v>
      </c>
      <c r="V484" s="129">
        <f>1400</f>
        <v>1400</v>
      </c>
      <c r="W484" s="340"/>
      <c r="X484" s="341"/>
    </row>
    <row r="485" spans="1:24" s="342" customFormat="1">
      <c r="A485" s="128"/>
      <c r="B485" s="132"/>
      <c r="C485" s="122"/>
      <c r="D485" s="123"/>
      <c r="E485" s="123"/>
      <c r="F485" s="133">
        <f>SUM(F483:F484)</f>
        <v>41228</v>
      </c>
      <c r="G485" s="133">
        <f>SUM(G483:G484)</f>
        <v>9132.49</v>
      </c>
      <c r="H485" s="133">
        <f>SUM(H483:H484)</f>
        <v>0</v>
      </c>
      <c r="I485" s="133">
        <f>SUM(I483:I484)</f>
        <v>32095.51</v>
      </c>
      <c r="J485" s="127"/>
      <c r="K485" s="64"/>
      <c r="L485" s="64"/>
      <c r="M485" s="64"/>
      <c r="N485" s="64"/>
      <c r="O485" s="64"/>
      <c r="P485" s="64"/>
      <c r="Q485" s="64"/>
      <c r="R485" s="64"/>
      <c r="S485" s="64"/>
      <c r="T485" s="127"/>
      <c r="U485" s="135"/>
      <c r="V485" s="129"/>
      <c r="W485" s="130"/>
      <c r="X485" s="131"/>
    </row>
    <row r="486" spans="1:24">
      <c r="A486" s="2"/>
      <c r="B486" s="11"/>
      <c r="C486" s="36"/>
      <c r="D486" s="10"/>
      <c r="E486" s="10"/>
      <c r="F486" s="88"/>
      <c r="G486" s="88"/>
      <c r="H486" s="88"/>
      <c r="I486" s="99"/>
      <c r="J486" s="10"/>
      <c r="K486" s="63"/>
      <c r="L486" s="63"/>
      <c r="M486" s="63"/>
      <c r="N486" s="63"/>
      <c r="O486" s="63"/>
      <c r="P486" s="63"/>
      <c r="Q486" s="63"/>
      <c r="R486" s="63"/>
      <c r="S486" s="63"/>
      <c r="T486" s="63"/>
      <c r="U486" s="94"/>
      <c r="V486" s="90"/>
      <c r="W486" s="91"/>
      <c r="X486" s="92"/>
    </row>
    <row r="487" spans="1:24" s="434" customFormat="1" ht="13.5">
      <c r="A487" s="10"/>
      <c r="B487" s="100" t="s">
        <v>152</v>
      </c>
      <c r="C487" s="36"/>
      <c r="D487" s="10"/>
      <c r="E487" s="10"/>
      <c r="F487" s="88"/>
      <c r="G487" s="62"/>
      <c r="H487" s="88"/>
      <c r="I487" s="99"/>
      <c r="J487" s="63"/>
      <c r="K487" s="10"/>
      <c r="L487" s="10"/>
      <c r="M487" s="10"/>
      <c r="N487" s="10"/>
      <c r="O487" s="10"/>
      <c r="P487" s="123"/>
      <c r="Q487" s="10"/>
      <c r="R487" s="10"/>
      <c r="S487" s="10"/>
      <c r="T487" s="63"/>
      <c r="U487" s="10"/>
      <c r="V487" s="90"/>
      <c r="W487" s="91"/>
      <c r="X487" s="92"/>
    </row>
    <row r="488" spans="1:24" s="434" customFormat="1" ht="13.5">
      <c r="A488" s="31">
        <v>0.05</v>
      </c>
      <c r="B488" s="87">
        <v>1</v>
      </c>
      <c r="C488" s="262">
        <v>45848</v>
      </c>
      <c r="D488" s="263">
        <v>71373</v>
      </c>
      <c r="E488" s="264" t="s">
        <v>1338</v>
      </c>
      <c r="F488" s="265">
        <v>2681</v>
      </c>
      <c r="G488" s="265">
        <f>39.7</f>
        <v>39.700000000000003</v>
      </c>
      <c r="H488" s="265"/>
      <c r="I488" s="266">
        <f>F488-G488-H488</f>
        <v>2641.3</v>
      </c>
      <c r="J488" s="267" t="s">
        <v>156</v>
      </c>
      <c r="K488" s="267">
        <v>1</v>
      </c>
      <c r="L488" s="267">
        <v>1</v>
      </c>
      <c r="M488" s="267">
        <v>1</v>
      </c>
      <c r="N488" s="267">
        <v>1</v>
      </c>
      <c r="O488" s="267">
        <v>1</v>
      </c>
      <c r="P488" s="314">
        <v>0</v>
      </c>
      <c r="Q488" s="314">
        <v>0</v>
      </c>
      <c r="R488" s="314">
        <v>0</v>
      </c>
      <c r="S488" s="366">
        <v>0</v>
      </c>
      <c r="T488" s="63"/>
      <c r="U488" s="10"/>
      <c r="V488" s="90"/>
      <c r="W488" s="91"/>
      <c r="X488" s="92"/>
    </row>
    <row r="489" spans="1:24" s="260" customFormat="1">
      <c r="A489" s="261">
        <v>0.05</v>
      </c>
      <c r="B489" s="87">
        <f>B488+1</f>
        <v>2</v>
      </c>
      <c r="C489" s="262">
        <v>45855</v>
      </c>
      <c r="D489" s="263">
        <v>71488</v>
      </c>
      <c r="E489" s="264" t="s">
        <v>218</v>
      </c>
      <c r="F489" s="265">
        <v>2034.9</v>
      </c>
      <c r="G489" s="265">
        <f>39.7+(412.27)</f>
        <v>451.96999999999997</v>
      </c>
      <c r="H489" s="265"/>
      <c r="I489" s="266">
        <f>F489-G489-H489</f>
        <v>1582.93</v>
      </c>
      <c r="J489" s="267" t="s">
        <v>156</v>
      </c>
      <c r="K489" s="267">
        <v>1</v>
      </c>
      <c r="L489" s="267">
        <v>1</v>
      </c>
      <c r="M489" s="267">
        <v>1</v>
      </c>
      <c r="N489" s="314">
        <v>0</v>
      </c>
      <c r="O489" s="314">
        <v>0</v>
      </c>
      <c r="P489" s="314">
        <v>0</v>
      </c>
      <c r="Q489" s="267">
        <v>1</v>
      </c>
      <c r="R489" s="267">
        <v>1</v>
      </c>
      <c r="S489" s="366">
        <v>0</v>
      </c>
      <c r="T489" s="63"/>
      <c r="U489" s="10" t="s">
        <v>1502</v>
      </c>
      <c r="V489" s="90"/>
      <c r="W489" s="91"/>
      <c r="X489" s="92"/>
    </row>
    <row r="490" spans="1:24" s="260" customFormat="1">
      <c r="A490" s="261">
        <v>0.05</v>
      </c>
      <c r="B490" s="87">
        <f>B489+1</f>
        <v>3</v>
      </c>
      <c r="C490" s="262">
        <v>45863</v>
      </c>
      <c r="D490" s="263" t="s">
        <v>1497</v>
      </c>
      <c r="E490" s="271" t="s">
        <v>1117</v>
      </c>
      <c r="F490" s="265">
        <v>1138</v>
      </c>
      <c r="G490" s="265">
        <f>39.7</f>
        <v>39.700000000000003</v>
      </c>
      <c r="H490" s="365"/>
      <c r="I490" s="266">
        <f>F490-G490-H490</f>
        <v>1098.3</v>
      </c>
      <c r="J490" s="267"/>
      <c r="K490" s="267">
        <v>1</v>
      </c>
      <c r="L490" s="267">
        <v>1</v>
      </c>
      <c r="M490" s="267"/>
      <c r="N490" s="267">
        <v>1</v>
      </c>
      <c r="O490" s="267">
        <v>1</v>
      </c>
      <c r="P490" s="267">
        <v>1</v>
      </c>
      <c r="Q490" s="314">
        <v>0</v>
      </c>
      <c r="R490" s="314">
        <v>0</v>
      </c>
      <c r="S490" s="366">
        <v>0</v>
      </c>
      <c r="T490" s="63"/>
      <c r="U490" s="10"/>
      <c r="V490" s="90"/>
      <c r="W490" s="91"/>
      <c r="X490" s="92"/>
    </row>
    <row r="491" spans="1:24" s="260" customFormat="1">
      <c r="A491" s="261">
        <v>0.05</v>
      </c>
      <c r="B491" s="87">
        <f t="shared" ref="B491:B495" si="64">B490+1</f>
        <v>4</v>
      </c>
      <c r="C491" s="274">
        <v>45874</v>
      </c>
      <c r="D491" s="327">
        <v>72064</v>
      </c>
      <c r="E491" s="276" t="s">
        <v>998</v>
      </c>
      <c r="F491" s="277">
        <v>1138</v>
      </c>
      <c r="G491" s="277">
        <v>39.700000000000003</v>
      </c>
      <c r="H491" s="277"/>
      <c r="I491" s="321">
        <f>F491-G491-H491</f>
        <v>1098.3</v>
      </c>
      <c r="J491" s="279"/>
      <c r="K491" s="279">
        <v>1</v>
      </c>
      <c r="L491" s="279">
        <v>1</v>
      </c>
      <c r="M491" s="279"/>
      <c r="N491" s="279">
        <v>1</v>
      </c>
      <c r="O491" s="279">
        <v>1</v>
      </c>
      <c r="P491" s="279">
        <v>1</v>
      </c>
      <c r="Q491" s="322">
        <v>0</v>
      </c>
      <c r="R491" s="322">
        <v>0</v>
      </c>
      <c r="S491" s="328">
        <v>0</v>
      </c>
      <c r="T491" s="63"/>
      <c r="U491" s="94" t="s">
        <v>1540</v>
      </c>
      <c r="V491" s="90"/>
      <c r="W491" s="91"/>
      <c r="X491" s="92"/>
    </row>
    <row r="492" spans="1:24" s="260" customFormat="1">
      <c r="A492" s="261">
        <v>0.05</v>
      </c>
      <c r="B492" s="87">
        <f t="shared" si="64"/>
        <v>5</v>
      </c>
      <c r="C492" s="274">
        <v>45875</v>
      </c>
      <c r="D492" s="327" t="s">
        <v>1541</v>
      </c>
      <c r="E492" s="276" t="s">
        <v>1073</v>
      </c>
      <c r="F492" s="277">
        <v>732.6</v>
      </c>
      <c r="G492" s="277"/>
      <c r="H492" s="277"/>
      <c r="I492" s="321">
        <f>F492-G492-H492</f>
        <v>732.6</v>
      </c>
      <c r="J492" s="279"/>
      <c r="K492" s="279">
        <v>1</v>
      </c>
      <c r="L492" s="279"/>
      <c r="M492" s="279"/>
      <c r="N492" s="279">
        <v>1</v>
      </c>
      <c r="O492" s="279">
        <v>1</v>
      </c>
      <c r="P492" s="279">
        <v>1</v>
      </c>
      <c r="Q492" s="322">
        <v>0</v>
      </c>
      <c r="R492" s="322">
        <v>0</v>
      </c>
      <c r="S492" s="328">
        <v>0</v>
      </c>
      <c r="T492" s="63"/>
      <c r="U492" s="94" t="s">
        <v>1542</v>
      </c>
      <c r="V492" s="90"/>
      <c r="W492" s="136"/>
      <c r="X492" s="137"/>
    </row>
    <row r="493" spans="1:24" s="260" customFormat="1">
      <c r="A493" s="261">
        <v>0.05</v>
      </c>
      <c r="B493" s="87">
        <f t="shared" si="64"/>
        <v>6</v>
      </c>
      <c r="C493" s="282">
        <v>45875</v>
      </c>
      <c r="D493" s="368" t="s">
        <v>1543</v>
      </c>
      <c r="E493" s="283" t="s">
        <v>1073</v>
      </c>
      <c r="F493" s="284">
        <v>581</v>
      </c>
      <c r="G493" s="284">
        <f>200</f>
        <v>200</v>
      </c>
      <c r="H493" s="284"/>
      <c r="I493" s="300">
        <f>F493-G493-H493</f>
        <v>381</v>
      </c>
      <c r="J493" s="286" t="s">
        <v>150</v>
      </c>
      <c r="K493" s="286">
        <v>1</v>
      </c>
      <c r="L493" s="286">
        <v>1</v>
      </c>
      <c r="M493" s="286">
        <v>1</v>
      </c>
      <c r="N493" s="286">
        <v>1</v>
      </c>
      <c r="O493" s="286">
        <v>1</v>
      </c>
      <c r="P493" s="286">
        <v>1</v>
      </c>
      <c r="Q493" s="332">
        <v>0</v>
      </c>
      <c r="R493" s="332">
        <v>0</v>
      </c>
      <c r="S493" s="370">
        <v>0</v>
      </c>
      <c r="T493" s="63"/>
      <c r="U493" s="94" t="s">
        <v>1578</v>
      </c>
      <c r="V493" s="90"/>
      <c r="W493" s="136"/>
      <c r="X493" s="137"/>
    </row>
    <row r="494" spans="1:24" s="260" customFormat="1">
      <c r="A494" s="261">
        <v>0.05</v>
      </c>
      <c r="B494" s="87">
        <f t="shared" si="64"/>
        <v>7</v>
      </c>
      <c r="C494" s="262">
        <v>45860</v>
      </c>
      <c r="D494" s="263" t="s">
        <v>1522</v>
      </c>
      <c r="E494" s="271" t="s">
        <v>1256</v>
      </c>
      <c r="F494" s="265">
        <v>13770</v>
      </c>
      <c r="G494" s="265">
        <f>39.7+271.4+(133.8)+(7.88+328.49-9.15-0.86-0.98-2.08-46.07+30.69+267.21)+1000</f>
        <v>2020.03</v>
      </c>
      <c r="H494" s="365"/>
      <c r="I494" s="266">
        <f>F494-G494-H494</f>
        <v>11749.97</v>
      </c>
      <c r="J494" s="267" t="s">
        <v>156</v>
      </c>
      <c r="K494" s="267">
        <v>1</v>
      </c>
      <c r="L494" s="267">
        <v>1</v>
      </c>
      <c r="M494" s="267">
        <v>1</v>
      </c>
      <c r="N494" s="267">
        <v>1</v>
      </c>
      <c r="O494" s="314">
        <v>0</v>
      </c>
      <c r="P494" s="267">
        <v>1</v>
      </c>
      <c r="Q494" s="267">
        <v>0</v>
      </c>
      <c r="R494" s="267">
        <v>0</v>
      </c>
      <c r="S494" s="269">
        <v>0</v>
      </c>
      <c r="T494" s="63"/>
      <c r="U494" s="94" t="s">
        <v>1579</v>
      </c>
      <c r="V494" s="90"/>
      <c r="W494" s="136"/>
      <c r="X494" s="137"/>
    </row>
    <row r="495" spans="1:24" s="260" customFormat="1">
      <c r="A495" s="261" t="s">
        <v>619</v>
      </c>
      <c r="B495" s="87">
        <f t="shared" si="64"/>
        <v>8</v>
      </c>
      <c r="C495" s="262">
        <v>45877</v>
      </c>
      <c r="D495" s="263">
        <v>72150</v>
      </c>
      <c r="E495" s="271" t="s">
        <v>769</v>
      </c>
      <c r="F495" s="265">
        <v>44619</v>
      </c>
      <c r="G495" s="265">
        <f>39.7+8800+352+(F495*0.25)+(3*150)</f>
        <v>20796.45</v>
      </c>
      <c r="H495" s="265"/>
      <c r="I495" s="272">
        <f>F495-G495-H495</f>
        <v>23822.55</v>
      </c>
      <c r="J495" s="267" t="s">
        <v>156</v>
      </c>
      <c r="K495" s="267">
        <v>1</v>
      </c>
      <c r="L495" s="267">
        <v>1</v>
      </c>
      <c r="M495" s="267">
        <v>1</v>
      </c>
      <c r="N495" s="267">
        <v>1</v>
      </c>
      <c r="O495" s="267">
        <v>1</v>
      </c>
      <c r="P495" s="267">
        <v>1</v>
      </c>
      <c r="Q495" s="267">
        <v>1</v>
      </c>
      <c r="R495" s="267">
        <v>1</v>
      </c>
      <c r="S495" s="269">
        <v>1</v>
      </c>
      <c r="T495" s="63"/>
      <c r="U495" s="94" t="s">
        <v>1580</v>
      </c>
      <c r="V495" s="90"/>
      <c r="W495" s="91"/>
      <c r="X495" s="137"/>
    </row>
    <row r="496" spans="1:24" s="434" customFormat="1" ht="13.5">
      <c r="A496" s="10"/>
      <c r="B496" s="11"/>
      <c r="C496" s="36"/>
      <c r="D496" s="10"/>
      <c r="E496" s="10"/>
      <c r="F496" s="98">
        <f>SUM(F488:F495)</f>
        <v>66694.5</v>
      </c>
      <c r="G496" s="98">
        <f>SUM(G488:G495)</f>
        <v>23587.55</v>
      </c>
      <c r="H496" s="98">
        <f>SUM(H488:H495)</f>
        <v>0</v>
      </c>
      <c r="I496" s="98">
        <f>SUM(I488:I495)</f>
        <v>43106.95</v>
      </c>
      <c r="J496" s="63"/>
      <c r="K496" s="21"/>
      <c r="L496" s="21"/>
      <c r="M496" s="21"/>
      <c r="N496" s="21"/>
      <c r="O496" s="21"/>
      <c r="P496" s="21"/>
      <c r="Q496" s="21"/>
      <c r="R496" s="21"/>
      <c r="S496" s="21"/>
      <c r="T496" s="63"/>
      <c r="U496" s="10"/>
      <c r="V496" s="90"/>
      <c r="W496" s="91"/>
      <c r="X496" s="92"/>
    </row>
    <row r="497" spans="1:24" s="434" customFormat="1" ht="13.5">
      <c r="A497" s="10"/>
      <c r="B497" s="11"/>
      <c r="C497" s="36"/>
      <c r="D497" s="10"/>
      <c r="E497" s="10"/>
      <c r="F497" s="88"/>
      <c r="G497" s="88"/>
      <c r="H497" s="88"/>
      <c r="I497" s="99"/>
      <c r="J497" s="63"/>
      <c r="K497" s="21"/>
      <c r="L497" s="21"/>
      <c r="M497" s="21"/>
      <c r="N497" s="21"/>
      <c r="O497" s="21"/>
      <c r="P497" s="21"/>
      <c r="Q497" s="21"/>
      <c r="R497" s="21"/>
      <c r="S497" s="21"/>
      <c r="T497" s="63"/>
      <c r="U497" s="10"/>
      <c r="V497" s="90"/>
      <c r="W497" s="91"/>
      <c r="X497" s="92"/>
    </row>
    <row r="498" spans="1:24" s="260" customFormat="1">
      <c r="A498" s="181"/>
      <c r="B498" s="100" t="s">
        <v>1521</v>
      </c>
      <c r="C498" s="36"/>
      <c r="D498" s="10"/>
      <c r="E498" s="181"/>
      <c r="F498" s="88"/>
      <c r="G498" s="88"/>
      <c r="H498" s="88"/>
      <c r="I498" s="99"/>
      <c r="J498" s="63"/>
      <c r="K498" s="21"/>
      <c r="L498" s="21"/>
      <c r="M498" s="21"/>
      <c r="N498" s="21"/>
      <c r="O498" s="21"/>
      <c r="P498" s="21"/>
      <c r="Q498" s="21"/>
      <c r="R498" s="21"/>
      <c r="S498" s="21"/>
      <c r="T498" s="63"/>
      <c r="U498" s="94"/>
      <c r="V498" s="90"/>
      <c r="W498" s="91"/>
      <c r="X498" s="92"/>
    </row>
    <row r="499" spans="1:24" s="260" customFormat="1">
      <c r="A499" s="261">
        <v>0.05</v>
      </c>
      <c r="B499" s="87">
        <v>1</v>
      </c>
      <c r="C499" s="274">
        <v>45875</v>
      </c>
      <c r="D499" s="320" t="s">
        <v>1547</v>
      </c>
      <c r="E499" s="404" t="s">
        <v>1227</v>
      </c>
      <c r="F499" s="277">
        <v>28614</v>
      </c>
      <c r="G499" s="277">
        <f>39.7+330+(150.22+40.82)+(24.41+131.95+160.95+37.24)+(F499*0.25)</f>
        <v>8068.79</v>
      </c>
      <c r="H499" s="277"/>
      <c r="I499" s="278">
        <f>F499-G499-H499</f>
        <v>20545.21</v>
      </c>
      <c r="J499" s="279" t="s">
        <v>156</v>
      </c>
      <c r="K499" s="279">
        <v>1</v>
      </c>
      <c r="L499" s="279"/>
      <c r="M499" s="279">
        <v>1</v>
      </c>
      <c r="N499" s="279">
        <v>1</v>
      </c>
      <c r="O499" s="279">
        <v>1</v>
      </c>
      <c r="P499" s="279">
        <v>1</v>
      </c>
      <c r="Q499" s="279"/>
      <c r="R499" s="279"/>
      <c r="S499" s="280"/>
      <c r="T499" s="63"/>
      <c r="U499" s="10" t="s">
        <v>1581</v>
      </c>
      <c r="V499" s="90"/>
      <c r="W499" s="136"/>
      <c r="X499" s="137"/>
    </row>
    <row r="500" spans="1:24" s="260" customFormat="1">
      <c r="A500" s="261">
        <v>0.05</v>
      </c>
      <c r="B500" s="87">
        <f>B499+1</f>
        <v>2</v>
      </c>
      <c r="C500" s="262">
        <v>45876</v>
      </c>
      <c r="D500" s="263">
        <v>72172</v>
      </c>
      <c r="E500" s="271" t="s">
        <v>1072</v>
      </c>
      <c r="F500" s="265">
        <v>12814</v>
      </c>
      <c r="G500" s="265">
        <f>+(52.1+49.56+110.02+38.45)+(326.82+110.02)+1000</f>
        <v>1686.97</v>
      </c>
      <c r="H500" s="265"/>
      <c r="I500" s="272">
        <f>F500-G500-H500</f>
        <v>11127.03</v>
      </c>
      <c r="J500" s="267" t="s">
        <v>156</v>
      </c>
      <c r="K500" s="267">
        <v>1</v>
      </c>
      <c r="L500" s="267"/>
      <c r="M500" s="267">
        <v>1</v>
      </c>
      <c r="N500" s="267">
        <v>1</v>
      </c>
      <c r="O500" s="267">
        <v>1</v>
      </c>
      <c r="P500" s="267">
        <v>1</v>
      </c>
      <c r="Q500" s="267"/>
      <c r="R500" s="267"/>
      <c r="S500" s="269"/>
      <c r="T500" s="63"/>
      <c r="U500" s="94" t="s">
        <v>1582</v>
      </c>
      <c r="V500" s="90"/>
      <c r="W500" s="91"/>
      <c r="X500" s="137"/>
    </row>
    <row r="501" spans="1:24" s="260" customFormat="1">
      <c r="A501" s="181"/>
      <c r="B501" s="11"/>
      <c r="C501" s="36"/>
      <c r="D501" s="10"/>
      <c r="E501" s="10"/>
      <c r="F501" s="97">
        <f>SUM(F499:F500)</f>
        <v>41428</v>
      </c>
      <c r="G501" s="97">
        <f>SUM(G499:G500)</f>
        <v>9755.76</v>
      </c>
      <c r="H501" s="97">
        <f>SUM(H499:H500)</f>
        <v>0</v>
      </c>
      <c r="I501" s="97">
        <f>SUM(I499:I500)</f>
        <v>31672.239999999998</v>
      </c>
      <c r="J501" s="63"/>
      <c r="K501" s="21"/>
      <c r="L501" s="21"/>
      <c r="M501" s="21"/>
      <c r="N501" s="21"/>
      <c r="O501" s="21"/>
      <c r="P501" s="21"/>
      <c r="Q501" s="21"/>
      <c r="R501" s="21"/>
      <c r="S501" s="21"/>
      <c r="T501" s="63"/>
      <c r="U501" s="94"/>
      <c r="V501" s="90"/>
      <c r="W501" s="91"/>
      <c r="X501" s="92"/>
    </row>
    <row r="502" spans="1:24" s="260" customFormat="1">
      <c r="A502" s="181"/>
      <c r="B502" s="11"/>
      <c r="C502" s="36"/>
      <c r="D502" s="10"/>
      <c r="E502" s="10"/>
      <c r="F502" s="88"/>
      <c r="G502" s="88"/>
      <c r="H502" s="88"/>
      <c r="I502" s="99"/>
      <c r="J502" s="63"/>
      <c r="K502" s="21"/>
      <c r="L502" s="21"/>
      <c r="M502" s="21"/>
      <c r="N502" s="21"/>
      <c r="O502" s="21"/>
      <c r="P502" s="21"/>
      <c r="Q502" s="21"/>
      <c r="R502" s="21"/>
      <c r="S502" s="21"/>
      <c r="T502" s="63"/>
      <c r="U502" s="94"/>
      <c r="V502" s="90"/>
      <c r="W502" s="91"/>
      <c r="X502" s="92"/>
    </row>
    <row r="503" spans="1:24">
      <c r="A503" s="2"/>
      <c r="B503" s="100" t="s">
        <v>72</v>
      </c>
      <c r="C503" s="36"/>
      <c r="D503" s="10"/>
      <c r="E503" s="10"/>
      <c r="F503" s="88"/>
      <c r="G503" s="88"/>
      <c r="H503" s="88"/>
      <c r="I503" s="99"/>
      <c r="J503" s="63"/>
      <c r="K503" s="63"/>
      <c r="L503" s="63"/>
      <c r="M503" s="63"/>
      <c r="N503" s="63"/>
      <c r="O503" s="63"/>
      <c r="P503" s="63"/>
      <c r="Q503" s="63"/>
      <c r="R503" s="63"/>
      <c r="S503" s="63"/>
      <c r="T503" s="63"/>
      <c r="U503" s="10"/>
      <c r="V503" s="90"/>
      <c r="W503" s="91"/>
      <c r="X503" s="92"/>
    </row>
    <row r="504" spans="1:24">
      <c r="A504" s="2"/>
      <c r="B504" s="87">
        <v>1</v>
      </c>
      <c r="C504" s="274">
        <v>45880</v>
      </c>
      <c r="D504" s="276">
        <v>72205</v>
      </c>
      <c r="E504" s="276" t="s">
        <v>1012</v>
      </c>
      <c r="F504" s="277">
        <v>1138</v>
      </c>
      <c r="G504" s="277">
        <f>39.7</f>
        <v>39.700000000000003</v>
      </c>
      <c r="H504" s="277"/>
      <c r="I504" s="278">
        <f>F504-G504-H504</f>
        <v>1098.3</v>
      </c>
      <c r="J504" s="279" t="s">
        <v>205</v>
      </c>
      <c r="K504" s="279">
        <v>1</v>
      </c>
      <c r="L504" s="279"/>
      <c r="M504" s="279"/>
      <c r="N504" s="279">
        <v>1</v>
      </c>
      <c r="O504" s="279"/>
      <c r="P504" s="279">
        <v>1</v>
      </c>
      <c r="Q504" s="279"/>
      <c r="R504" s="279"/>
      <c r="S504" s="280"/>
      <c r="T504" s="63"/>
      <c r="U504" s="3"/>
      <c r="V504" s="90"/>
      <c r="W504" s="91"/>
      <c r="X504" s="92"/>
    </row>
    <row r="505" spans="1:24">
      <c r="A505" s="2"/>
      <c r="B505" s="87">
        <f t="shared" ref="B505:B522" si="65">B504+1</f>
        <v>2</v>
      </c>
      <c r="C505" s="295">
        <v>45880</v>
      </c>
      <c r="D505" s="10">
        <v>72235</v>
      </c>
      <c r="E505" s="10" t="s">
        <v>1583</v>
      </c>
      <c r="F505" s="62">
        <v>681</v>
      </c>
      <c r="G505" s="62"/>
      <c r="H505" s="62"/>
      <c r="I505" s="89">
        <f>F505-G505-H505</f>
        <v>681</v>
      </c>
      <c r="J505" s="63" t="s">
        <v>205</v>
      </c>
      <c r="K505" s="63">
        <v>1</v>
      </c>
      <c r="L505" s="63"/>
      <c r="M505" s="63"/>
      <c r="N505" s="63">
        <v>1</v>
      </c>
      <c r="O505" s="63"/>
      <c r="P505" s="63"/>
      <c r="Q505" s="63">
        <v>1</v>
      </c>
      <c r="R505" s="63">
        <v>1</v>
      </c>
      <c r="S505" s="296">
        <v>1</v>
      </c>
      <c r="T505" s="63"/>
      <c r="U505" s="10"/>
      <c r="V505" s="90"/>
      <c r="W505" s="136"/>
      <c r="X505" s="137"/>
    </row>
    <row r="506" spans="1:24">
      <c r="A506" s="2"/>
      <c r="B506" s="87">
        <f t="shared" si="65"/>
        <v>3</v>
      </c>
      <c r="C506" s="274">
        <v>45881</v>
      </c>
      <c r="D506" s="276">
        <v>72254</v>
      </c>
      <c r="E506" s="276" t="s">
        <v>1584</v>
      </c>
      <c r="F506" s="277">
        <v>0</v>
      </c>
      <c r="G506" s="277"/>
      <c r="H506" s="277"/>
      <c r="I506" s="278">
        <f>F506-G506-H506</f>
        <v>0</v>
      </c>
      <c r="J506" s="279" t="s">
        <v>205</v>
      </c>
      <c r="K506" s="279">
        <v>1</v>
      </c>
      <c r="L506" s="279"/>
      <c r="M506" s="279"/>
      <c r="N506" s="279"/>
      <c r="O506" s="279"/>
      <c r="P506" s="279"/>
      <c r="Q506" s="279"/>
      <c r="R506" s="279"/>
      <c r="S506" s="280"/>
      <c r="T506" s="21">
        <v>1</v>
      </c>
      <c r="U506" s="10"/>
      <c r="V506" s="90"/>
      <c r="W506" s="136"/>
      <c r="X506" s="137"/>
    </row>
    <row r="507" spans="1:24">
      <c r="A507" s="2"/>
      <c r="B507" s="87">
        <f t="shared" si="65"/>
        <v>4</v>
      </c>
      <c r="C507" s="295">
        <v>45881</v>
      </c>
      <c r="D507" s="10">
        <v>72255</v>
      </c>
      <c r="E507" s="10" t="s">
        <v>317</v>
      </c>
      <c r="F507" s="62">
        <v>681</v>
      </c>
      <c r="G507" s="62"/>
      <c r="H507" s="62"/>
      <c r="I507" s="89">
        <f>F507-G507-H507</f>
        <v>681</v>
      </c>
      <c r="J507" s="63" t="s">
        <v>205</v>
      </c>
      <c r="K507" s="63">
        <v>1</v>
      </c>
      <c r="L507" s="63"/>
      <c r="M507" s="63"/>
      <c r="N507" s="63">
        <v>1</v>
      </c>
      <c r="O507" s="63"/>
      <c r="P507" s="63"/>
      <c r="Q507" s="63"/>
      <c r="R507" s="63"/>
      <c r="S507" s="296"/>
      <c r="T507" s="63"/>
      <c r="U507" s="10"/>
      <c r="V507" s="90"/>
      <c r="W507" s="136"/>
      <c r="X507" s="137"/>
    </row>
    <row r="508" spans="1:24">
      <c r="A508" s="2"/>
      <c r="B508" s="87">
        <f t="shared" si="65"/>
        <v>5</v>
      </c>
      <c r="C508" s="295">
        <v>45881</v>
      </c>
      <c r="D508" s="10" t="s">
        <v>1585</v>
      </c>
      <c r="E508" s="10" t="s">
        <v>294</v>
      </c>
      <c r="F508" s="62">
        <v>67076</v>
      </c>
      <c r="G508" s="62">
        <v>39.700000000000003</v>
      </c>
      <c r="H508" s="62"/>
      <c r="I508" s="89">
        <f>F508-G508-H508</f>
        <v>67036.3</v>
      </c>
      <c r="J508" s="63" t="s">
        <v>205</v>
      </c>
      <c r="K508" s="63">
        <v>1</v>
      </c>
      <c r="L508" s="63"/>
      <c r="M508" s="63"/>
      <c r="N508" s="63">
        <v>1</v>
      </c>
      <c r="O508" s="63"/>
      <c r="P508" s="63"/>
      <c r="Q508" s="63"/>
      <c r="R508" s="63"/>
      <c r="S508" s="296"/>
      <c r="T508" s="63"/>
      <c r="U508" s="10"/>
      <c r="V508" s="90"/>
      <c r="W508" s="136"/>
      <c r="X508" s="137"/>
    </row>
    <row r="509" spans="1:24">
      <c r="A509" s="388">
        <v>45891</v>
      </c>
      <c r="B509" s="87">
        <f t="shared" si="65"/>
        <v>6</v>
      </c>
      <c r="C509" s="295">
        <v>45881</v>
      </c>
      <c r="D509" s="10">
        <v>72241</v>
      </c>
      <c r="E509" s="101" t="s">
        <v>159</v>
      </c>
      <c r="F509" s="62">
        <v>4461</v>
      </c>
      <c r="G509" s="62">
        <v>39.700000000000003</v>
      </c>
      <c r="H509" s="62"/>
      <c r="I509" s="89">
        <f>F509-G509-H509</f>
        <v>4421.3</v>
      </c>
      <c r="J509" s="63" t="s">
        <v>156</v>
      </c>
      <c r="K509" s="63">
        <v>1</v>
      </c>
      <c r="L509" s="63"/>
      <c r="M509" s="63">
        <v>1</v>
      </c>
      <c r="N509" s="63">
        <v>1</v>
      </c>
      <c r="O509" s="63"/>
      <c r="P509" s="63"/>
      <c r="Q509" s="63">
        <v>1</v>
      </c>
      <c r="R509" s="63">
        <v>1</v>
      </c>
      <c r="S509" s="296">
        <v>1</v>
      </c>
      <c r="T509" s="63"/>
      <c r="U509" s="10" t="s">
        <v>1586</v>
      </c>
      <c r="V509" s="90">
        <v>93.5</v>
      </c>
      <c r="W509" s="136"/>
      <c r="X509" s="137"/>
    </row>
    <row r="510" spans="1:24">
      <c r="A510" s="2"/>
      <c r="B510" s="87">
        <f t="shared" si="65"/>
        <v>7</v>
      </c>
      <c r="C510" s="295">
        <v>45881</v>
      </c>
      <c r="D510" s="10">
        <v>72271</v>
      </c>
      <c r="E510" s="101" t="s">
        <v>728</v>
      </c>
      <c r="F510" s="62">
        <v>781</v>
      </c>
      <c r="G510" s="62">
        <v>39.700000000000003</v>
      </c>
      <c r="H510" s="62"/>
      <c r="I510" s="89">
        <f>F510-G510-H510</f>
        <v>741.3</v>
      </c>
      <c r="J510" s="63" t="s">
        <v>205</v>
      </c>
      <c r="K510" s="63">
        <v>1</v>
      </c>
      <c r="L510" s="63"/>
      <c r="M510" s="63"/>
      <c r="N510" s="63">
        <v>1</v>
      </c>
      <c r="O510" s="63"/>
      <c r="P510" s="63"/>
      <c r="Q510" s="63"/>
      <c r="R510" s="63"/>
      <c r="S510" s="296"/>
      <c r="T510" s="63"/>
      <c r="U510" s="10"/>
      <c r="V510" s="90"/>
      <c r="W510" s="136"/>
      <c r="X510" s="137"/>
    </row>
    <row r="511" spans="1:24">
      <c r="A511" s="2"/>
      <c r="B511" s="87">
        <f t="shared" si="65"/>
        <v>8</v>
      </c>
      <c r="C511" s="274">
        <v>45882</v>
      </c>
      <c r="D511" s="276">
        <v>72257</v>
      </c>
      <c r="E511" s="281" t="s">
        <v>1587</v>
      </c>
      <c r="F511" s="277">
        <v>6756</v>
      </c>
      <c r="G511" s="277">
        <f>39.7</f>
        <v>39.700000000000003</v>
      </c>
      <c r="H511" s="277"/>
      <c r="I511" s="278">
        <f>F511-G511-H511</f>
        <v>6716.3</v>
      </c>
      <c r="J511" s="279" t="s">
        <v>205</v>
      </c>
      <c r="K511" s="279">
        <v>1</v>
      </c>
      <c r="L511" s="279"/>
      <c r="M511" s="279"/>
      <c r="N511" s="279">
        <v>1</v>
      </c>
      <c r="O511" s="279"/>
      <c r="P511" s="279"/>
      <c r="Q511" s="279">
        <v>1</v>
      </c>
      <c r="R511" s="279">
        <v>1</v>
      </c>
      <c r="S511" s="280">
        <v>1</v>
      </c>
      <c r="T511" s="63"/>
      <c r="U511" s="10"/>
      <c r="V511" s="90"/>
      <c r="W511" s="136"/>
      <c r="X511" s="137"/>
    </row>
    <row r="512" spans="1:24">
      <c r="A512" s="2"/>
      <c r="B512" s="87">
        <f t="shared" si="65"/>
        <v>9</v>
      </c>
      <c r="C512" s="295">
        <v>45882</v>
      </c>
      <c r="D512" s="10" t="s">
        <v>1588</v>
      </c>
      <c r="E512" s="101" t="s">
        <v>329</v>
      </c>
      <c r="F512" s="62">
        <v>1496.2</v>
      </c>
      <c r="G512" s="62">
        <v>39.700000000000003</v>
      </c>
      <c r="H512" s="62"/>
      <c r="I512" s="89">
        <f>F512-G512-H512</f>
        <v>1456.5</v>
      </c>
      <c r="J512" s="63" t="s">
        <v>205</v>
      </c>
      <c r="K512" s="63">
        <v>1</v>
      </c>
      <c r="L512" s="63"/>
      <c r="M512" s="63"/>
      <c r="N512" s="63">
        <v>1</v>
      </c>
      <c r="O512" s="63"/>
      <c r="P512" s="63"/>
      <c r="Q512" s="63">
        <v>1</v>
      </c>
      <c r="R512" s="63">
        <v>1</v>
      </c>
      <c r="S512" s="296">
        <v>1</v>
      </c>
      <c r="T512" s="63"/>
      <c r="U512" s="10"/>
      <c r="V512" s="90"/>
      <c r="W512" s="136"/>
      <c r="X512" s="137"/>
    </row>
    <row r="513" spans="1:24">
      <c r="A513" s="2"/>
      <c r="B513" s="87">
        <f t="shared" si="65"/>
        <v>10</v>
      </c>
      <c r="C513" s="295">
        <v>45882</v>
      </c>
      <c r="D513" s="10" t="s">
        <v>1589</v>
      </c>
      <c r="E513" s="101" t="s">
        <v>329</v>
      </c>
      <c r="F513" s="62">
        <v>861</v>
      </c>
      <c r="G513" s="62">
        <v>39.700000000000003</v>
      </c>
      <c r="H513" s="62"/>
      <c r="I513" s="89">
        <f>F513-G513-H513</f>
        <v>821.3</v>
      </c>
      <c r="J513" s="63" t="s">
        <v>205</v>
      </c>
      <c r="K513" s="63">
        <v>1</v>
      </c>
      <c r="L513" s="63"/>
      <c r="M513" s="63"/>
      <c r="N513" s="63">
        <v>1</v>
      </c>
      <c r="O513" s="63"/>
      <c r="P513" s="63"/>
      <c r="Q513" s="63">
        <v>1</v>
      </c>
      <c r="R513" s="63">
        <v>1</v>
      </c>
      <c r="S513" s="296">
        <v>1</v>
      </c>
      <c r="T513" s="63"/>
      <c r="U513" s="10"/>
      <c r="V513" s="90"/>
      <c r="W513" s="136"/>
      <c r="X513" s="137"/>
    </row>
    <row r="514" spans="1:24">
      <c r="A514" s="2"/>
      <c r="B514" s="87">
        <f t="shared" si="65"/>
        <v>11</v>
      </c>
      <c r="C514" s="295">
        <v>45882</v>
      </c>
      <c r="D514" s="10">
        <v>72267</v>
      </c>
      <c r="E514" s="101" t="s">
        <v>401</v>
      </c>
      <c r="F514" s="62">
        <v>2596</v>
      </c>
      <c r="G514" s="62">
        <v>39.700000000000003</v>
      </c>
      <c r="H514" s="62"/>
      <c r="I514" s="89">
        <f>F514-G514-H514</f>
        <v>2556.3000000000002</v>
      </c>
      <c r="J514" s="63" t="s">
        <v>205</v>
      </c>
      <c r="K514" s="63">
        <v>1</v>
      </c>
      <c r="L514" s="63"/>
      <c r="M514" s="63"/>
      <c r="N514" s="63">
        <v>1</v>
      </c>
      <c r="O514" s="63"/>
      <c r="P514" s="63"/>
      <c r="Q514" s="63">
        <v>1</v>
      </c>
      <c r="R514" s="63">
        <v>1</v>
      </c>
      <c r="S514" s="296">
        <v>1</v>
      </c>
      <c r="T514" s="63"/>
      <c r="U514" s="10"/>
      <c r="V514" s="90"/>
      <c r="W514" s="136"/>
      <c r="X514" s="137"/>
    </row>
    <row r="515" spans="1:24">
      <c r="A515" s="2"/>
      <c r="B515" s="87">
        <f t="shared" si="65"/>
        <v>12</v>
      </c>
      <c r="C515" s="295">
        <v>45882</v>
      </c>
      <c r="D515" s="10">
        <v>72287</v>
      </c>
      <c r="E515" s="101" t="s">
        <v>398</v>
      </c>
      <c r="F515" s="62">
        <v>0</v>
      </c>
      <c r="G515" s="62"/>
      <c r="H515" s="62"/>
      <c r="I515" s="89">
        <f>F515-G515-H515</f>
        <v>0</v>
      </c>
      <c r="J515" s="63" t="s">
        <v>205</v>
      </c>
      <c r="K515" s="63">
        <v>1</v>
      </c>
      <c r="L515" s="63"/>
      <c r="M515" s="63"/>
      <c r="N515" s="63"/>
      <c r="O515" s="63"/>
      <c r="P515" s="63"/>
      <c r="Q515" s="63">
        <v>1</v>
      </c>
      <c r="R515" s="63">
        <v>1</v>
      </c>
      <c r="S515" s="296">
        <v>1</v>
      </c>
      <c r="T515" s="63"/>
      <c r="U515" s="10"/>
      <c r="V515" s="90"/>
      <c r="W515" s="136"/>
      <c r="X515" s="137"/>
    </row>
    <row r="516" spans="1:24">
      <c r="A516" s="2"/>
      <c r="B516" s="87">
        <f t="shared" si="65"/>
        <v>13</v>
      </c>
      <c r="C516" s="295">
        <v>45882</v>
      </c>
      <c r="D516" s="10">
        <v>72313</v>
      </c>
      <c r="E516" s="101" t="s">
        <v>330</v>
      </c>
      <c r="F516" s="62">
        <v>1512.9</v>
      </c>
      <c r="G516" s="62">
        <v>39.700000000000003</v>
      </c>
      <c r="H516" s="62"/>
      <c r="I516" s="89">
        <f>F516-G516-H516</f>
        <v>1473.2</v>
      </c>
      <c r="J516" s="63" t="s">
        <v>205</v>
      </c>
      <c r="K516" s="63">
        <v>1</v>
      </c>
      <c r="L516" s="63"/>
      <c r="M516" s="63"/>
      <c r="N516" s="63">
        <v>1</v>
      </c>
      <c r="O516" s="63"/>
      <c r="P516" s="63"/>
      <c r="Q516" s="63"/>
      <c r="R516" s="63"/>
      <c r="S516" s="296"/>
      <c r="T516" s="63"/>
      <c r="U516" s="10"/>
      <c r="V516" s="90"/>
      <c r="W516" s="136"/>
      <c r="X516" s="137"/>
    </row>
    <row r="517" spans="1:24">
      <c r="A517" s="2"/>
      <c r="B517" s="87">
        <f t="shared" si="65"/>
        <v>14</v>
      </c>
      <c r="C517" s="295">
        <v>45882</v>
      </c>
      <c r="D517" s="10">
        <v>72316</v>
      </c>
      <c r="E517" s="10" t="s">
        <v>294</v>
      </c>
      <c r="F517" s="62">
        <v>1316</v>
      </c>
      <c r="G517" s="62">
        <v>39.700000000000003</v>
      </c>
      <c r="H517" s="62"/>
      <c r="I517" s="89">
        <f>F517-G517-H517</f>
        <v>1276.3</v>
      </c>
      <c r="J517" s="63" t="s">
        <v>205</v>
      </c>
      <c r="K517" s="63">
        <v>1</v>
      </c>
      <c r="L517" s="63"/>
      <c r="M517" s="63"/>
      <c r="N517" s="63">
        <v>1</v>
      </c>
      <c r="O517" s="63"/>
      <c r="P517" s="63"/>
      <c r="Q517" s="63">
        <v>1</v>
      </c>
      <c r="R517" s="63">
        <v>1</v>
      </c>
      <c r="S517" s="296">
        <v>1</v>
      </c>
      <c r="T517" s="63"/>
      <c r="U517" s="10"/>
      <c r="V517" s="90"/>
      <c r="W517" s="136"/>
      <c r="X517" s="137"/>
    </row>
    <row r="518" spans="1:24">
      <c r="A518" s="2"/>
      <c r="B518" s="87">
        <f t="shared" si="65"/>
        <v>15</v>
      </c>
      <c r="C518" s="274">
        <v>45883</v>
      </c>
      <c r="D518" s="276">
        <v>72329</v>
      </c>
      <c r="E518" s="276" t="s">
        <v>216</v>
      </c>
      <c r="F518" s="277">
        <v>1053</v>
      </c>
      <c r="G518" s="277">
        <f>39.7</f>
        <v>39.700000000000003</v>
      </c>
      <c r="H518" s="277"/>
      <c r="I518" s="278">
        <f>F518-G518-H518</f>
        <v>1013.3</v>
      </c>
      <c r="J518" s="279" t="s">
        <v>205</v>
      </c>
      <c r="K518" s="279">
        <v>1</v>
      </c>
      <c r="L518" s="279"/>
      <c r="M518" s="279"/>
      <c r="N518" s="279">
        <v>1</v>
      </c>
      <c r="O518" s="279"/>
      <c r="P518" s="279"/>
      <c r="Q518" s="279">
        <v>1</v>
      </c>
      <c r="R518" s="279">
        <v>1</v>
      </c>
      <c r="S518" s="280">
        <v>1</v>
      </c>
      <c r="T518" s="63"/>
      <c r="U518" s="10"/>
      <c r="V518" s="90"/>
      <c r="W518" s="136"/>
      <c r="X518" s="137"/>
    </row>
    <row r="519" spans="1:24">
      <c r="A519" s="2"/>
      <c r="B519" s="87">
        <f t="shared" si="65"/>
        <v>16</v>
      </c>
      <c r="C519" s="295">
        <v>45883</v>
      </c>
      <c r="D519" s="10">
        <v>72327</v>
      </c>
      <c r="E519" s="10" t="s">
        <v>169</v>
      </c>
      <c r="F519" s="62">
        <v>0</v>
      </c>
      <c r="G519" s="62"/>
      <c r="H519" s="62"/>
      <c r="I519" s="89">
        <f>F519-G519-H519</f>
        <v>0</v>
      </c>
      <c r="J519" s="63" t="s">
        <v>205</v>
      </c>
      <c r="K519" s="63">
        <v>1</v>
      </c>
      <c r="L519" s="63"/>
      <c r="M519" s="63"/>
      <c r="N519" s="63"/>
      <c r="O519" s="63"/>
      <c r="P519" s="63"/>
      <c r="Q519" s="63"/>
      <c r="R519" s="63"/>
      <c r="S519" s="296"/>
      <c r="T519" s="21">
        <v>1</v>
      </c>
      <c r="U519" s="10"/>
      <c r="V519" s="90"/>
      <c r="W519" s="136"/>
      <c r="X519" s="137"/>
    </row>
    <row r="520" spans="1:24">
      <c r="A520" s="2"/>
      <c r="B520" s="87">
        <f t="shared" si="65"/>
        <v>17</v>
      </c>
      <c r="C520" s="274">
        <v>45884</v>
      </c>
      <c r="D520" s="276">
        <v>72348</v>
      </c>
      <c r="E520" s="276" t="s">
        <v>216</v>
      </c>
      <c r="F520" s="277">
        <v>2814</v>
      </c>
      <c r="G520" s="277">
        <v>39.700000000000003</v>
      </c>
      <c r="H520" s="277"/>
      <c r="I520" s="278">
        <f>F520-G520-H520</f>
        <v>2774.3</v>
      </c>
      <c r="J520" s="279" t="s">
        <v>205</v>
      </c>
      <c r="K520" s="279">
        <v>1</v>
      </c>
      <c r="L520" s="279"/>
      <c r="M520" s="279"/>
      <c r="N520" s="279">
        <v>1</v>
      </c>
      <c r="O520" s="279"/>
      <c r="P520" s="279"/>
      <c r="Q520" s="279">
        <v>1</v>
      </c>
      <c r="R520" s="279">
        <v>1</v>
      </c>
      <c r="S520" s="280">
        <v>1</v>
      </c>
      <c r="T520" s="63"/>
      <c r="U520" s="10"/>
      <c r="V520" s="90"/>
      <c r="W520" s="136"/>
      <c r="X520" s="137"/>
    </row>
    <row r="521" spans="1:24">
      <c r="A521" s="2"/>
      <c r="B521" s="87">
        <f t="shared" si="65"/>
        <v>18</v>
      </c>
      <c r="C521" s="295">
        <v>45884</v>
      </c>
      <c r="D521" s="10">
        <v>72333</v>
      </c>
      <c r="E521" s="10" t="s">
        <v>1590</v>
      </c>
      <c r="F521" s="62">
        <v>861</v>
      </c>
      <c r="G521" s="62">
        <v>39.700000000000003</v>
      </c>
      <c r="H521" s="62"/>
      <c r="I521" s="89">
        <f>F521-G521-H521</f>
        <v>821.3</v>
      </c>
      <c r="J521" s="63" t="s">
        <v>205</v>
      </c>
      <c r="K521" s="63">
        <v>1</v>
      </c>
      <c r="L521" s="63"/>
      <c r="M521" s="63"/>
      <c r="N521" s="63">
        <v>1</v>
      </c>
      <c r="O521" s="63"/>
      <c r="P521" s="63"/>
      <c r="Q521" s="63"/>
      <c r="R521" s="63"/>
      <c r="S521" s="296"/>
      <c r="T521" s="63"/>
      <c r="U521" s="10"/>
      <c r="V521" s="90"/>
      <c r="W521" s="136"/>
      <c r="X521" s="137"/>
    </row>
    <row r="522" spans="1:24">
      <c r="A522" s="2"/>
      <c r="B522" s="87">
        <f t="shared" si="65"/>
        <v>19</v>
      </c>
      <c r="C522" s="282">
        <v>45884</v>
      </c>
      <c r="D522" s="283">
        <v>72347</v>
      </c>
      <c r="E522" s="283" t="s">
        <v>1225</v>
      </c>
      <c r="F522" s="284">
        <v>2776</v>
      </c>
      <c r="G522" s="284">
        <v>39.700000000000003</v>
      </c>
      <c r="H522" s="284"/>
      <c r="I522" s="285">
        <f>F522-G522-H522</f>
        <v>2736.3</v>
      </c>
      <c r="J522" s="286" t="s">
        <v>205</v>
      </c>
      <c r="K522" s="286">
        <v>1</v>
      </c>
      <c r="L522" s="286"/>
      <c r="M522" s="286"/>
      <c r="N522" s="286">
        <v>1</v>
      </c>
      <c r="O522" s="286"/>
      <c r="P522" s="286"/>
      <c r="Q522" s="286"/>
      <c r="R522" s="286"/>
      <c r="S522" s="287"/>
      <c r="T522" s="63"/>
      <c r="U522" s="10"/>
      <c r="V522" s="138"/>
      <c r="W522" s="136"/>
      <c r="X522" s="137"/>
    </row>
    <row r="523" spans="1:24">
      <c r="A523" s="2"/>
      <c r="B523" s="11"/>
      <c r="C523" s="36"/>
      <c r="D523" s="10"/>
      <c r="E523" s="10"/>
      <c r="F523" s="98">
        <f>SUM(F504:F522)</f>
        <v>96860.099999999991</v>
      </c>
      <c r="G523" s="98">
        <f>SUM(G504:G522)</f>
        <v>555.79999999999995</v>
      </c>
      <c r="H523" s="98">
        <f>SUM(H504:H522)</f>
        <v>0</v>
      </c>
      <c r="I523" s="98">
        <f>SUM(I504:I522)</f>
        <v>96304.300000000032</v>
      </c>
      <c r="J523" s="10"/>
      <c r="K523" s="10"/>
      <c r="L523" s="10"/>
      <c r="M523" s="10"/>
      <c r="N523" s="10"/>
      <c r="O523" s="10"/>
      <c r="P523" s="10"/>
      <c r="Q523" s="10"/>
      <c r="R523" s="10"/>
      <c r="S523" s="10"/>
      <c r="T523" s="63"/>
      <c r="U523" s="10"/>
      <c r="V523" s="138"/>
      <c r="W523" s="136"/>
      <c r="X523" s="137"/>
    </row>
    <row r="524" spans="1:24">
      <c r="A524" s="2"/>
      <c r="B524" s="26"/>
      <c r="C524" s="140"/>
      <c r="D524" s="141"/>
      <c r="E524" s="141"/>
      <c r="F524" s="141"/>
      <c r="G524" s="141"/>
      <c r="H524" s="141"/>
      <c r="I524" s="141"/>
      <c r="J524" s="141"/>
      <c r="K524" s="142"/>
      <c r="L524" s="142"/>
      <c r="M524" s="142"/>
      <c r="N524" s="142"/>
      <c r="O524" s="142"/>
      <c r="P524" s="142"/>
      <c r="Q524" s="142"/>
      <c r="R524" s="142"/>
      <c r="S524" s="142"/>
      <c r="T524" s="143">
        <f>SUM(T466:T523)</f>
        <v>4</v>
      </c>
      <c r="U524" s="141"/>
      <c r="V524" s="144">
        <f>SUM(V466:V523)</f>
        <v>27680.5</v>
      </c>
      <c r="W524" s="145">
        <f>SUM(W466:W523)</f>
        <v>0</v>
      </c>
      <c r="X524" s="146">
        <f>SUM(X466:X523)</f>
        <v>0</v>
      </c>
    </row>
    <row r="527" spans="1:24">
      <c r="A527" s="3"/>
      <c r="B527" s="4" t="s">
        <v>1</v>
      </c>
      <c r="C527" s="5"/>
      <c r="D527" s="6"/>
      <c r="E527" s="6"/>
      <c r="F527" s="7" t="s">
        <v>2</v>
      </c>
      <c r="G527" s="8">
        <v>45893</v>
      </c>
      <c r="H527" s="7"/>
      <c r="I527" s="6"/>
      <c r="J527" s="6"/>
      <c r="K527" s="6"/>
      <c r="L527" s="6"/>
      <c r="M527" s="6"/>
      <c r="N527" s="6"/>
      <c r="O527" s="6"/>
      <c r="P527" s="6"/>
      <c r="Q527" s="6"/>
      <c r="R527" s="6"/>
      <c r="S527" s="6"/>
      <c r="T527" s="6"/>
      <c r="U527" s="9"/>
      <c r="V527" s="10"/>
      <c r="W527" s="10"/>
      <c r="X527" s="10"/>
    </row>
    <row r="528" spans="1:24">
      <c r="A528" s="2"/>
      <c r="B528" s="11"/>
      <c r="C528" s="10"/>
      <c r="D528" s="10"/>
      <c r="E528" s="10"/>
      <c r="F528" s="10"/>
      <c r="G528" s="7"/>
      <c r="H528" s="12"/>
      <c r="I528" s="10"/>
      <c r="J528" s="10"/>
      <c r="K528" s="13" t="s">
        <v>3</v>
      </c>
      <c r="L528" s="14"/>
      <c r="M528" s="15"/>
      <c r="N528" s="13" t="s">
        <v>4</v>
      </c>
      <c r="O528" s="14"/>
      <c r="P528" s="15"/>
      <c r="Q528" s="13" t="s">
        <v>5</v>
      </c>
      <c r="R528" s="14"/>
      <c r="S528" s="15"/>
      <c r="T528" s="16"/>
      <c r="U528" s="17"/>
      <c r="V528" s="10"/>
      <c r="W528" s="10"/>
      <c r="X528" s="10"/>
    </row>
    <row r="529" spans="1:24">
      <c r="A529" s="2"/>
      <c r="B529" s="18" t="s">
        <v>6</v>
      </c>
      <c r="C529" s="19">
        <f>C530+C531</f>
        <v>26</v>
      </c>
      <c r="D529" s="10"/>
      <c r="E529" s="18" t="s">
        <v>7</v>
      </c>
      <c r="F529" s="6"/>
      <c r="G529" s="9"/>
      <c r="H529" s="10"/>
      <c r="I529" s="10"/>
      <c r="J529" s="10"/>
      <c r="K529" s="20" t="s">
        <v>8</v>
      </c>
      <c r="L529" s="21" t="s">
        <v>9</v>
      </c>
      <c r="M529" s="21" t="s">
        <v>10</v>
      </c>
      <c r="N529" s="20" t="s">
        <v>11</v>
      </c>
      <c r="O529" s="21" t="s">
        <v>12</v>
      </c>
      <c r="P529" s="22" t="s">
        <v>13</v>
      </c>
      <c r="Q529" s="21" t="s">
        <v>11</v>
      </c>
      <c r="R529" s="21" t="s">
        <v>12</v>
      </c>
      <c r="S529" s="22" t="s">
        <v>13</v>
      </c>
      <c r="T529" s="23" t="s">
        <v>14</v>
      </c>
      <c r="U529" s="17"/>
      <c r="V529" s="10"/>
      <c r="W529" s="10"/>
      <c r="X529" s="10"/>
    </row>
    <row r="530" spans="1:24">
      <c r="A530" s="2"/>
      <c r="B530" s="24" t="s">
        <v>15</v>
      </c>
      <c r="C530" s="25">
        <f>P537</f>
        <v>12</v>
      </c>
      <c r="D530" s="10"/>
      <c r="E530" s="26" t="s">
        <v>16</v>
      </c>
      <c r="F530" s="27">
        <v>0.05</v>
      </c>
      <c r="G530" s="28"/>
      <c r="H530" s="10"/>
      <c r="I530" s="10"/>
      <c r="J530" s="18" t="s">
        <v>17</v>
      </c>
      <c r="K530" s="29">
        <f>K563</f>
        <v>7</v>
      </c>
      <c r="L530" s="29">
        <f>L563</f>
        <v>7</v>
      </c>
      <c r="M530" s="29">
        <f>M563</f>
        <v>7</v>
      </c>
      <c r="N530" s="29">
        <f>N563</f>
        <v>8</v>
      </c>
      <c r="O530" s="29">
        <f>O563</f>
        <v>8</v>
      </c>
      <c r="P530" s="29">
        <f>P563</f>
        <v>8</v>
      </c>
      <c r="Q530" s="29">
        <f>Q563</f>
        <v>8</v>
      </c>
      <c r="R530" s="29">
        <f>R563</f>
        <v>8</v>
      </c>
      <c r="S530" s="29">
        <f>S563</f>
        <v>5</v>
      </c>
      <c r="T530" s="30">
        <f>T613</f>
        <v>2</v>
      </c>
      <c r="U530" s="17"/>
      <c r="V530" s="10"/>
      <c r="W530" s="10"/>
      <c r="X530" s="10"/>
    </row>
    <row r="531" spans="1:24">
      <c r="A531" s="2"/>
      <c r="B531" s="24" t="s">
        <v>18</v>
      </c>
      <c r="C531" s="25">
        <f>P538</f>
        <v>14</v>
      </c>
      <c r="D531" s="10"/>
      <c r="E531" s="10"/>
      <c r="F531" s="10"/>
      <c r="G531" s="31"/>
      <c r="H531" s="10"/>
      <c r="I531" s="10"/>
      <c r="J531" s="32" t="s">
        <v>19</v>
      </c>
      <c r="K531" s="33">
        <f>K563/K562</f>
        <v>0.875</v>
      </c>
      <c r="L531" s="33">
        <f>L563/L562</f>
        <v>0.875</v>
      </c>
      <c r="M531" s="33">
        <f>M563/M562</f>
        <v>0.875</v>
      </c>
      <c r="N531" s="33">
        <f>N563/N562</f>
        <v>1</v>
      </c>
      <c r="O531" s="33">
        <f>O563/O562</f>
        <v>1</v>
      </c>
      <c r="P531" s="33">
        <f>P563/P562</f>
        <v>1</v>
      </c>
      <c r="Q531" s="33">
        <f>Q563/Q562</f>
        <v>1</v>
      </c>
      <c r="R531" s="33">
        <f>R563/R562</f>
        <v>1</v>
      </c>
      <c r="S531" s="33">
        <f>S563/S562</f>
        <v>0.625</v>
      </c>
      <c r="T531" s="23"/>
      <c r="U531" s="17" t="s">
        <v>20</v>
      </c>
      <c r="V531" s="10"/>
      <c r="W531" s="10"/>
      <c r="X531" s="10"/>
    </row>
    <row r="532" spans="1:24">
      <c r="A532" s="2"/>
      <c r="B532" s="24" t="s">
        <v>21</v>
      </c>
      <c r="C532" s="34">
        <f>P539</f>
        <v>0.46153846153846156</v>
      </c>
      <c r="D532" s="10"/>
      <c r="E532" s="10"/>
      <c r="F532" s="10"/>
      <c r="G532" s="10"/>
      <c r="H532" s="10"/>
      <c r="I532" s="10"/>
      <c r="J532" s="10"/>
      <c r="K532" s="10"/>
      <c r="L532" s="10"/>
      <c r="M532" s="10"/>
      <c r="N532" s="10"/>
      <c r="O532" s="10"/>
      <c r="P532" s="10"/>
      <c r="Q532" s="10"/>
      <c r="R532" s="10"/>
      <c r="S532" s="10"/>
      <c r="T532" s="10"/>
      <c r="U532" s="17"/>
      <c r="V532" s="10"/>
      <c r="W532" s="10"/>
      <c r="X532" s="10"/>
    </row>
    <row r="533" spans="1:24">
      <c r="A533" s="2"/>
      <c r="B533" s="24"/>
      <c r="C533" s="25"/>
      <c r="D533" s="10"/>
      <c r="E533" s="10"/>
      <c r="F533" s="18" t="s">
        <v>22</v>
      </c>
      <c r="G533" s="19" t="s">
        <v>23</v>
      </c>
      <c r="H533" s="35" t="s">
        <v>24</v>
      </c>
      <c r="I533" s="10"/>
      <c r="J533" s="10"/>
      <c r="K533" s="36"/>
      <c r="L533" s="36"/>
      <c r="M533" s="36"/>
      <c r="N533" s="36"/>
      <c r="O533" s="36"/>
      <c r="P533" s="36"/>
      <c r="Q533" s="36"/>
      <c r="R533" s="10"/>
      <c r="S533" s="10"/>
      <c r="T533" s="10"/>
      <c r="U533" s="17"/>
      <c r="V533" s="10"/>
      <c r="W533" s="10"/>
      <c r="X533" s="10"/>
    </row>
    <row r="534" spans="1:24" ht="16.5" customHeight="1">
      <c r="A534" s="2"/>
      <c r="B534" s="32" t="s">
        <v>25</v>
      </c>
      <c r="C534" s="37">
        <f>P540</f>
        <v>4605.6766666666663</v>
      </c>
      <c r="D534" s="10"/>
      <c r="E534" s="18" t="s">
        <v>26</v>
      </c>
      <c r="F534" s="38">
        <f>P536</f>
        <v>55268.119999999995</v>
      </c>
      <c r="G534" s="39">
        <f>I562+I578+I571</f>
        <v>55268.119999999995</v>
      </c>
      <c r="H534" s="767" t="s">
        <v>493</v>
      </c>
      <c r="I534" s="767"/>
      <c r="J534" s="767"/>
      <c r="K534" s="43" t="s">
        <v>27</v>
      </c>
      <c r="L534" s="44"/>
      <c r="M534" s="44"/>
      <c r="N534" s="44"/>
      <c r="O534" s="44"/>
      <c r="P534" s="44"/>
      <c r="Q534" s="45"/>
      <c r="R534" s="46" t="s">
        <v>28</v>
      </c>
      <c r="S534" s="47" t="s">
        <v>29</v>
      </c>
      <c r="T534" s="10"/>
      <c r="U534" s="17"/>
      <c r="V534" s="10"/>
      <c r="W534" s="10"/>
      <c r="X534" s="10"/>
    </row>
    <row r="535" spans="1:24">
      <c r="A535" s="2"/>
      <c r="B535" s="11"/>
      <c r="C535" s="10"/>
      <c r="D535" s="10"/>
      <c r="E535" s="24" t="s">
        <v>30</v>
      </c>
      <c r="F535" s="48">
        <f>F530</f>
        <v>0.05</v>
      </c>
      <c r="G535" s="17"/>
      <c r="H535" s="767"/>
      <c r="I535" s="767"/>
      <c r="J535" s="767"/>
      <c r="K535" s="20" t="s">
        <v>31</v>
      </c>
      <c r="L535" s="21" t="s">
        <v>32</v>
      </c>
      <c r="M535" s="21" t="s">
        <v>33</v>
      </c>
      <c r="N535" s="21" t="s">
        <v>34</v>
      </c>
      <c r="O535" s="21" t="s">
        <v>35</v>
      </c>
      <c r="P535" s="21" t="s">
        <v>36</v>
      </c>
      <c r="Q535" s="49" t="s">
        <v>37</v>
      </c>
      <c r="R535" s="50" t="s">
        <v>38</v>
      </c>
      <c r="S535" s="50" t="s">
        <v>38</v>
      </c>
      <c r="T535" s="10"/>
      <c r="U535" s="17"/>
      <c r="V535" s="10"/>
      <c r="W535" s="10"/>
      <c r="X535" s="10"/>
    </row>
    <row r="536" spans="1:24">
      <c r="A536" s="2"/>
      <c r="B536" s="11"/>
      <c r="C536" s="10"/>
      <c r="D536" s="10"/>
      <c r="E536" s="51" t="s">
        <v>39</v>
      </c>
      <c r="F536" s="52">
        <f>(F534-I555-I556-I571-I575-I576-I577)*F535</f>
        <v>379.33249999999936</v>
      </c>
      <c r="G536" s="53" t="s">
        <v>40</v>
      </c>
      <c r="H536" s="484">
        <f>F536/1.12</f>
        <v>338.68973214285654</v>
      </c>
      <c r="I536" s="570" t="s">
        <v>1591</v>
      </c>
      <c r="J536" s="42"/>
      <c r="K536" s="56">
        <f>I554+I555+I571</f>
        <v>8289.74</v>
      </c>
      <c r="L536" s="57">
        <f>I556+I575</f>
        <v>2595.6</v>
      </c>
      <c r="M536" s="57">
        <f>I557+I576+I577</f>
        <v>39535.729999999996</v>
      </c>
      <c r="N536" s="57">
        <f>I558+I559</f>
        <v>2237.3000000000002</v>
      </c>
      <c r="O536" s="57">
        <f>I560+I561</f>
        <v>2609.75</v>
      </c>
      <c r="P536" s="57">
        <f>SUM(K536:O536)</f>
        <v>55268.119999999995</v>
      </c>
      <c r="Q536" s="58">
        <v>0</v>
      </c>
      <c r="R536" s="59">
        <f>I578</f>
        <v>39808.729999999996</v>
      </c>
      <c r="S536" s="59">
        <v>0</v>
      </c>
      <c r="T536" s="10"/>
      <c r="U536" s="17"/>
      <c r="V536" s="10"/>
      <c r="W536" s="10"/>
      <c r="X536" s="10"/>
    </row>
    <row r="537" spans="1:24">
      <c r="A537" s="2"/>
      <c r="B537" s="11"/>
      <c r="C537" s="10"/>
      <c r="D537" s="10"/>
      <c r="E537" s="24" t="s">
        <v>41</v>
      </c>
      <c r="F537" s="60">
        <f>Q536</f>
        <v>0</v>
      </c>
      <c r="G537" s="61" t="s">
        <v>40</v>
      </c>
      <c r="H537" s="62"/>
      <c r="I537" s="62"/>
      <c r="J537" s="10" t="s">
        <v>42</v>
      </c>
      <c r="K537" s="63">
        <v>3</v>
      </c>
      <c r="L537" s="63">
        <v>2</v>
      </c>
      <c r="M537" s="63">
        <v>3</v>
      </c>
      <c r="N537" s="63">
        <v>2</v>
      </c>
      <c r="O537" s="63">
        <v>2</v>
      </c>
      <c r="P537" s="21">
        <f>SUM(K537:O537)</f>
        <v>12</v>
      </c>
      <c r="Q537" s="64"/>
      <c r="R537" s="63"/>
      <c r="S537" s="10"/>
      <c r="T537" s="10"/>
      <c r="U537" s="17"/>
      <c r="V537" s="10"/>
      <c r="W537" s="10"/>
      <c r="X537" s="10"/>
    </row>
    <row r="538" spans="1:24">
      <c r="A538" s="2"/>
      <c r="B538" s="11"/>
      <c r="C538" s="10"/>
      <c r="D538" s="10"/>
      <c r="E538" s="51" t="s">
        <v>43</v>
      </c>
      <c r="F538" s="52">
        <f>F537*0.25</f>
        <v>0</v>
      </c>
      <c r="G538" s="53" t="s">
        <v>40</v>
      </c>
      <c r="H538" s="54">
        <f>F538/1.12</f>
        <v>0</v>
      </c>
      <c r="I538" s="10"/>
      <c r="J538" s="10" t="s">
        <v>44</v>
      </c>
      <c r="K538" s="63">
        <v>5</v>
      </c>
      <c r="L538" s="63">
        <v>3</v>
      </c>
      <c r="M538" s="63">
        <v>0</v>
      </c>
      <c r="N538" s="63">
        <v>5</v>
      </c>
      <c r="O538" s="63">
        <v>1</v>
      </c>
      <c r="P538" s="21">
        <f>SUM(K538:O538)</f>
        <v>14</v>
      </c>
      <c r="Q538" s="64"/>
      <c r="R538" s="63"/>
      <c r="S538" s="10"/>
      <c r="T538" s="10"/>
      <c r="U538" s="17"/>
      <c r="V538" s="10"/>
      <c r="W538" s="10"/>
      <c r="X538" s="10"/>
    </row>
    <row r="539" spans="1:24">
      <c r="A539" s="2"/>
      <c r="B539" s="11"/>
      <c r="C539" s="10"/>
      <c r="D539" s="10"/>
      <c r="E539" s="24" t="s">
        <v>45</v>
      </c>
      <c r="F539" s="60">
        <f>I568</f>
        <v>1113.5999999999999</v>
      </c>
      <c r="G539" s="61" t="s">
        <v>40</v>
      </c>
      <c r="H539" s="62"/>
      <c r="I539" s="10"/>
      <c r="J539" s="10" t="s">
        <v>46</v>
      </c>
      <c r="K539" s="31">
        <f>K537/(K537+K538)</f>
        <v>0.375</v>
      </c>
      <c r="L539" s="31">
        <f>L537/(L537+L538)</f>
        <v>0.4</v>
      </c>
      <c r="M539" s="31">
        <f>M537/(M537+M538)</f>
        <v>1</v>
      </c>
      <c r="N539" s="31">
        <f>N537/(N537+N538)</f>
        <v>0.2857142857142857</v>
      </c>
      <c r="O539" s="31">
        <f>O537/(O537+O538)</f>
        <v>0.66666666666666663</v>
      </c>
      <c r="P539" s="31">
        <f>P537/(P537+P538)</f>
        <v>0.46153846153846156</v>
      </c>
      <c r="Q539" s="31" t="e">
        <f>Q537/(Q537+Q538)</f>
        <v>#DIV/0!</v>
      </c>
      <c r="R539" s="63"/>
      <c r="S539" s="10"/>
      <c r="T539" s="10"/>
      <c r="U539" s="17"/>
      <c r="V539" s="10"/>
      <c r="W539" s="10"/>
      <c r="X539" s="10"/>
    </row>
    <row r="540" spans="1:24">
      <c r="A540" s="2"/>
      <c r="B540" s="11"/>
      <c r="C540" s="10"/>
      <c r="D540" s="10"/>
      <c r="E540" s="51" t="s">
        <v>47</v>
      </c>
      <c r="F540" s="52">
        <f>(F539-I566-I567)*0.05</f>
        <v>-5.6843418860808018E-15</v>
      </c>
      <c r="G540" s="65" t="s">
        <v>40</v>
      </c>
      <c r="H540" s="54">
        <f>F540/1.12</f>
        <v>-5.0753052554292872E-15</v>
      </c>
      <c r="I540" s="42"/>
      <c r="J540" s="10" t="s">
        <v>48</v>
      </c>
      <c r="K540" s="66">
        <f>K536/K537</f>
        <v>2763.2466666666664</v>
      </c>
      <c r="L540" s="66">
        <f>L536/L537</f>
        <v>1297.8</v>
      </c>
      <c r="M540" s="66">
        <f>M536/M537</f>
        <v>13178.576666666666</v>
      </c>
      <c r="N540" s="66">
        <f>N536/N537</f>
        <v>1118.6500000000001</v>
      </c>
      <c r="O540" s="66">
        <f>O536/O537</f>
        <v>1304.875</v>
      </c>
      <c r="P540" s="66">
        <f>P536/P537</f>
        <v>4605.6766666666663</v>
      </c>
      <c r="Q540" s="66" t="e">
        <f>Q536/Q537</f>
        <v>#DIV/0!</v>
      </c>
      <c r="R540" s="63"/>
      <c r="S540" s="10"/>
      <c r="T540" s="10"/>
      <c r="U540" s="17"/>
      <c r="V540" s="10"/>
      <c r="W540" s="10"/>
      <c r="X540" s="10"/>
    </row>
    <row r="541" spans="1:24">
      <c r="A541" s="2"/>
      <c r="B541" s="11"/>
      <c r="C541" s="10"/>
      <c r="D541" s="10"/>
      <c r="E541" s="67" t="s">
        <v>14</v>
      </c>
      <c r="F541" s="68">
        <f>2*50</f>
        <v>100</v>
      </c>
      <c r="G541" s="10"/>
      <c r="H541" s="54">
        <f>F541/1.12</f>
        <v>89.285714285714278</v>
      </c>
      <c r="I541" s="10"/>
      <c r="J541" s="10"/>
      <c r="K541" s="10"/>
      <c r="L541" s="10"/>
      <c r="M541" s="10"/>
      <c r="N541" s="10"/>
      <c r="O541" s="10"/>
      <c r="P541" s="10"/>
      <c r="Q541" s="10"/>
      <c r="R541" s="10"/>
      <c r="S541" s="10"/>
      <c r="T541" s="10"/>
      <c r="U541" s="17"/>
      <c r="V541" s="10"/>
      <c r="W541" s="10"/>
      <c r="X541" s="10"/>
    </row>
    <row r="542" spans="1:24">
      <c r="A542" s="2"/>
      <c r="B542" s="11"/>
      <c r="C542" s="10"/>
      <c r="D542" s="10"/>
      <c r="E542" s="155" t="s">
        <v>49</v>
      </c>
      <c r="F542" s="364">
        <f>T531</f>
        <v>0</v>
      </c>
      <c r="G542" s="10"/>
      <c r="H542" s="54"/>
      <c r="I542" s="55"/>
      <c r="J542" s="42"/>
      <c r="K542" s="764" t="s">
        <v>50</v>
      </c>
      <c r="L542" s="765"/>
      <c r="M542" s="765"/>
      <c r="N542" s="765"/>
      <c r="O542" s="765"/>
      <c r="P542" s="765"/>
      <c r="Q542" s="766"/>
      <c r="R542" s="70" t="s">
        <v>28</v>
      </c>
      <c r="S542" s="71" t="s">
        <v>29</v>
      </c>
      <c r="T542" s="10"/>
      <c r="U542" s="17"/>
      <c r="V542" s="10"/>
      <c r="W542" s="10"/>
      <c r="X542" s="10"/>
    </row>
    <row r="543" spans="1:24">
      <c r="A543" s="2"/>
      <c r="B543" s="11"/>
      <c r="C543" s="10"/>
      <c r="D543" s="10"/>
      <c r="F543" s="76"/>
      <c r="G543" s="10"/>
      <c r="H543" s="10"/>
      <c r="I543" s="10"/>
      <c r="J543" s="42"/>
      <c r="K543" s="20" t="s">
        <v>31</v>
      </c>
      <c r="L543" s="21" t="s">
        <v>32</v>
      </c>
      <c r="M543" s="21" t="s">
        <v>33</v>
      </c>
      <c r="N543" s="21" t="s">
        <v>34</v>
      </c>
      <c r="O543" s="21" t="s">
        <v>35</v>
      </c>
      <c r="P543" s="21" t="s">
        <v>36</v>
      </c>
      <c r="Q543" s="49" t="s">
        <v>37</v>
      </c>
      <c r="R543" s="50" t="s">
        <v>38</v>
      </c>
      <c r="S543" s="50" t="s">
        <v>38</v>
      </c>
      <c r="T543" s="10"/>
      <c r="U543" s="17"/>
      <c r="V543" s="10"/>
      <c r="W543" s="10"/>
      <c r="X543" s="10"/>
    </row>
    <row r="544" spans="1:24">
      <c r="A544" s="2"/>
      <c r="B544" s="11"/>
      <c r="C544" s="10"/>
      <c r="D544" s="10"/>
      <c r="E544" s="12"/>
      <c r="F544" s="10"/>
      <c r="G544" s="10"/>
      <c r="H544" s="10"/>
      <c r="I544" s="10"/>
      <c r="J544" s="42"/>
      <c r="K544" s="56">
        <f>F554+F555+F571</f>
        <v>9033</v>
      </c>
      <c r="L544" s="57">
        <f>F556+F575</f>
        <v>3125</v>
      </c>
      <c r="M544" s="57">
        <f>F557+F576+F577</f>
        <v>44108.6</v>
      </c>
      <c r="N544" s="57">
        <f>F558+F559</f>
        <v>2277</v>
      </c>
      <c r="O544" s="57">
        <f>F560+F561</f>
        <v>3091</v>
      </c>
      <c r="P544" s="57">
        <f>SUM(K544:O544)</f>
        <v>61634.6</v>
      </c>
      <c r="Q544" s="58">
        <v>0</v>
      </c>
      <c r="R544" s="59">
        <f>F578</f>
        <v>44831.6</v>
      </c>
      <c r="S544" s="59">
        <v>0</v>
      </c>
      <c r="T544" s="10"/>
      <c r="U544" s="17"/>
      <c r="V544" s="10"/>
      <c r="W544" s="10"/>
      <c r="X544" s="10"/>
    </row>
    <row r="545" spans="1:24">
      <c r="A545" s="2"/>
      <c r="B545" s="11"/>
      <c r="C545" s="10"/>
      <c r="D545" s="10"/>
      <c r="F545" s="76"/>
      <c r="G545" s="10"/>
      <c r="H545" s="10"/>
      <c r="I545" s="10"/>
      <c r="J545" s="10" t="s">
        <v>42</v>
      </c>
      <c r="K545" s="63">
        <f>K537</f>
        <v>3</v>
      </c>
      <c r="L545" s="63">
        <f>L537</f>
        <v>2</v>
      </c>
      <c r="M545" s="63">
        <f>M537</f>
        <v>3</v>
      </c>
      <c r="N545" s="63">
        <f>N537</f>
        <v>2</v>
      </c>
      <c r="O545" s="63">
        <f>O537</f>
        <v>2</v>
      </c>
      <c r="P545" s="63">
        <f>P537</f>
        <v>12</v>
      </c>
      <c r="Q545" s="63">
        <f>Q537</f>
        <v>0</v>
      </c>
      <c r="R545" s="63"/>
      <c r="S545" s="10"/>
      <c r="T545" s="10"/>
      <c r="U545" s="17"/>
      <c r="V545" s="10"/>
      <c r="W545" s="10"/>
      <c r="X545" s="10"/>
    </row>
    <row r="546" spans="1:24">
      <c r="A546" s="2"/>
      <c r="B546" s="11"/>
      <c r="C546" s="10"/>
      <c r="D546" s="10"/>
      <c r="E546" s="12"/>
      <c r="F546" s="10"/>
      <c r="G546" s="10"/>
      <c r="H546" s="10"/>
      <c r="I546" s="10"/>
      <c r="J546" s="10" t="s">
        <v>44</v>
      </c>
      <c r="K546" s="63">
        <f>K538</f>
        <v>5</v>
      </c>
      <c r="L546" s="63">
        <f>L538</f>
        <v>3</v>
      </c>
      <c r="M546" s="63">
        <f>M538</f>
        <v>0</v>
      </c>
      <c r="N546" s="63">
        <f>N538</f>
        <v>5</v>
      </c>
      <c r="O546" s="63">
        <f>O538</f>
        <v>1</v>
      </c>
      <c r="P546" s="63">
        <f>P538</f>
        <v>14</v>
      </c>
      <c r="Q546" s="63">
        <f>Q538</f>
        <v>0</v>
      </c>
      <c r="R546" s="63"/>
      <c r="S546" s="10"/>
      <c r="T546" s="10"/>
      <c r="U546" s="17"/>
      <c r="V546" s="10"/>
      <c r="W546" s="10"/>
      <c r="X546" s="10"/>
    </row>
    <row r="547" spans="1:24">
      <c r="A547" s="2"/>
      <c r="B547" s="11"/>
      <c r="C547" s="10"/>
      <c r="D547" s="10"/>
      <c r="E547" s="10"/>
      <c r="F547" s="10"/>
      <c r="G547" s="10"/>
      <c r="H547" s="10"/>
      <c r="I547" s="10"/>
      <c r="J547" s="10" t="s">
        <v>46</v>
      </c>
      <c r="K547" s="31">
        <f>K545/(K545+K546)</f>
        <v>0.375</v>
      </c>
      <c r="L547" s="31">
        <f>L545/(L545+L546)</f>
        <v>0.4</v>
      </c>
      <c r="M547" s="31">
        <f>M545/(M545+M546)</f>
        <v>1</v>
      </c>
      <c r="N547" s="31">
        <f>N545/(N545+N546)</f>
        <v>0.2857142857142857</v>
      </c>
      <c r="O547" s="31">
        <f>O545/(O545+O546)</f>
        <v>0.66666666666666663</v>
      </c>
      <c r="P547" s="31">
        <f>P545/(P545+P546)</f>
        <v>0.46153846153846156</v>
      </c>
      <c r="Q547" s="31" t="e">
        <f>Q545/(Q545+Q546)</f>
        <v>#DIV/0!</v>
      </c>
      <c r="R547" s="63"/>
      <c r="S547" s="10"/>
      <c r="T547" s="10"/>
      <c r="U547" s="17"/>
      <c r="V547" s="10"/>
      <c r="W547" s="10"/>
      <c r="X547" s="10"/>
    </row>
    <row r="548" spans="1:24">
      <c r="A548" s="2"/>
      <c r="B548" s="11"/>
      <c r="C548" s="10"/>
      <c r="D548" s="10"/>
      <c r="F548" s="76"/>
      <c r="G548" s="10"/>
      <c r="H548" s="10"/>
      <c r="I548" s="10"/>
      <c r="J548" s="10" t="s">
        <v>48</v>
      </c>
      <c r="K548" s="66">
        <f>K544/K545</f>
        <v>3011</v>
      </c>
      <c r="L548" s="66">
        <f>L544/L545</f>
        <v>1562.5</v>
      </c>
      <c r="M548" s="66">
        <f>M544/M545</f>
        <v>14702.866666666667</v>
      </c>
      <c r="N548" s="66">
        <f>N544/N545</f>
        <v>1138.5</v>
      </c>
      <c r="O548" s="66">
        <f>O544/O545</f>
        <v>1545.5</v>
      </c>
      <c r="P548" s="66">
        <f>P544/P545</f>
        <v>5136.2166666666662</v>
      </c>
      <c r="Q548" s="66" t="e">
        <f>Q544/Q545</f>
        <v>#DIV/0!</v>
      </c>
      <c r="R548" s="63"/>
      <c r="S548" s="10"/>
      <c r="T548" s="10"/>
      <c r="U548" s="17"/>
      <c r="V548" s="10"/>
      <c r="W548" s="10"/>
      <c r="X548" s="10"/>
    </row>
    <row r="549" spans="1:24">
      <c r="A549" s="2"/>
      <c r="B549" s="11"/>
      <c r="C549" s="10"/>
      <c r="D549" s="10"/>
      <c r="E549" s="12"/>
      <c r="F549" s="10"/>
      <c r="G549" s="10"/>
      <c r="H549" s="10"/>
      <c r="I549" s="10"/>
      <c r="J549" s="10"/>
      <c r="K549" s="10"/>
      <c r="L549" s="10"/>
      <c r="M549" s="10"/>
      <c r="N549" s="10"/>
      <c r="O549" s="10"/>
      <c r="P549" s="10"/>
      <c r="Q549" s="10"/>
      <c r="R549" s="10"/>
      <c r="S549" s="10"/>
      <c r="T549" s="10"/>
      <c r="U549" s="17"/>
      <c r="V549" s="10"/>
      <c r="W549" s="10"/>
      <c r="X549" s="10"/>
    </row>
    <row r="550" spans="1:24">
      <c r="A550" s="2"/>
      <c r="B550" s="11"/>
      <c r="C550" s="10"/>
      <c r="D550" s="10"/>
      <c r="E550" s="10"/>
      <c r="F550" s="10"/>
      <c r="G550" s="10"/>
      <c r="H550" s="10"/>
      <c r="I550" s="10"/>
      <c r="J550" s="10"/>
      <c r="K550" s="10"/>
      <c r="L550" s="10"/>
      <c r="M550" s="10"/>
      <c r="N550" s="10"/>
      <c r="O550" s="10"/>
      <c r="P550" s="10"/>
      <c r="Q550" s="10"/>
      <c r="R550" s="10"/>
      <c r="S550" s="10"/>
      <c r="T550" s="10"/>
      <c r="U550" s="17"/>
      <c r="V550" s="10"/>
      <c r="W550" s="10"/>
      <c r="X550" s="10"/>
    </row>
    <row r="551" spans="1:24">
      <c r="A551" s="2"/>
      <c r="B551" s="18" t="s">
        <v>51</v>
      </c>
      <c r="C551" s="14"/>
      <c r="D551" s="14"/>
      <c r="E551" s="14"/>
      <c r="F551" s="13" t="s">
        <v>52</v>
      </c>
      <c r="G551" s="14"/>
      <c r="H551" s="14"/>
      <c r="I551" s="14"/>
      <c r="J551" s="14"/>
      <c r="K551" s="13" t="s">
        <v>3</v>
      </c>
      <c r="L551" s="14"/>
      <c r="M551" s="14"/>
      <c r="N551" s="13" t="s">
        <v>4</v>
      </c>
      <c r="O551" s="14"/>
      <c r="P551" s="14"/>
      <c r="Q551" s="13" t="s">
        <v>5</v>
      </c>
      <c r="R551" s="14"/>
      <c r="S551" s="14"/>
      <c r="T551" s="18"/>
      <c r="U551" s="16" t="s">
        <v>53</v>
      </c>
      <c r="V551" s="77"/>
      <c r="W551" s="77"/>
      <c r="X551" s="77"/>
    </row>
    <row r="552" spans="1:24">
      <c r="A552" s="2"/>
      <c r="B552" s="24" t="s">
        <v>54</v>
      </c>
      <c r="C552" s="21" t="s">
        <v>55</v>
      </c>
      <c r="D552" s="21" t="s">
        <v>56</v>
      </c>
      <c r="E552" s="21" t="s">
        <v>57</v>
      </c>
      <c r="F552" s="20" t="s">
        <v>58</v>
      </c>
      <c r="G552" s="21" t="s">
        <v>59</v>
      </c>
      <c r="H552" s="21" t="s">
        <v>60</v>
      </c>
      <c r="I552" s="21" t="s">
        <v>26</v>
      </c>
      <c r="J552" s="22" t="s">
        <v>61</v>
      </c>
      <c r="K552" s="21" t="s">
        <v>8</v>
      </c>
      <c r="L552" s="21" t="s">
        <v>9</v>
      </c>
      <c r="M552" s="21" t="s">
        <v>10</v>
      </c>
      <c r="N552" s="20" t="s">
        <v>11</v>
      </c>
      <c r="O552" s="21" t="s">
        <v>12</v>
      </c>
      <c r="P552" s="22" t="s">
        <v>13</v>
      </c>
      <c r="Q552" s="21" t="s">
        <v>11</v>
      </c>
      <c r="R552" s="21" t="s">
        <v>12</v>
      </c>
      <c r="S552" s="21" t="s">
        <v>13</v>
      </c>
      <c r="T552" s="78" t="s">
        <v>14</v>
      </c>
      <c r="U552" s="30"/>
      <c r="V552" s="79" t="s">
        <v>62</v>
      </c>
      <c r="W552" s="80" t="s">
        <v>63</v>
      </c>
      <c r="X552" s="81" t="s">
        <v>64</v>
      </c>
    </row>
    <row r="553" spans="1:24">
      <c r="A553" s="2"/>
      <c r="B553" s="4" t="s">
        <v>65</v>
      </c>
      <c r="C553" s="6"/>
      <c r="D553" s="6"/>
      <c r="E553" s="6"/>
      <c r="F553" s="6"/>
      <c r="G553" s="6"/>
      <c r="H553" s="6"/>
      <c r="I553" s="82"/>
      <c r="J553" s="6"/>
      <c r="K553" s="6"/>
      <c r="L553" s="6"/>
      <c r="M553" s="6"/>
      <c r="N553" s="6"/>
      <c r="O553" s="6"/>
      <c r="P553" s="6"/>
      <c r="Q553" s="6"/>
      <c r="R553" s="6"/>
      <c r="S553" s="6"/>
      <c r="T553" s="83"/>
      <c r="U553" s="6"/>
      <c r="V553" s="84"/>
      <c r="W553" s="85"/>
      <c r="X553" s="86"/>
    </row>
    <row r="554" spans="1:24">
      <c r="A554" s="2"/>
      <c r="B554" s="87">
        <v>1</v>
      </c>
      <c r="C554" s="274">
        <v>45887</v>
      </c>
      <c r="D554" s="327">
        <v>72393</v>
      </c>
      <c r="E554" s="276" t="s">
        <v>739</v>
      </c>
      <c r="F554" s="277">
        <v>1681</v>
      </c>
      <c r="G554" s="277">
        <f>39.7</f>
        <v>39.700000000000003</v>
      </c>
      <c r="H554" s="297"/>
      <c r="I554" s="321">
        <f>F554-G554-H554</f>
        <v>1641.3</v>
      </c>
      <c r="J554" s="279" t="s">
        <v>156</v>
      </c>
      <c r="K554" s="322">
        <v>0</v>
      </c>
      <c r="L554" s="279">
        <v>1</v>
      </c>
      <c r="M554" s="279">
        <v>1</v>
      </c>
      <c r="N554" s="279">
        <v>1</v>
      </c>
      <c r="O554" s="279">
        <v>1</v>
      </c>
      <c r="P554" s="279">
        <v>1</v>
      </c>
      <c r="Q554" s="279">
        <v>1</v>
      </c>
      <c r="R554" s="279">
        <v>1</v>
      </c>
      <c r="S554" s="328">
        <v>0</v>
      </c>
      <c r="T554" s="63"/>
      <c r="U554" s="10"/>
      <c r="V554" s="90">
        <v>1849.1</v>
      </c>
      <c r="W554" s="91"/>
      <c r="X554" s="92"/>
    </row>
    <row r="555" spans="1:24">
      <c r="A555" s="2" t="s">
        <v>1592</v>
      </c>
      <c r="B555" s="87">
        <f t="shared" ref="B555:B561" si="66">B554+1</f>
        <v>2</v>
      </c>
      <c r="C555" s="295">
        <v>45887</v>
      </c>
      <c r="D555" s="323">
        <v>72376</v>
      </c>
      <c r="E555" s="10" t="s">
        <v>728</v>
      </c>
      <c r="F555" s="62">
        <v>1138</v>
      </c>
      <c r="G555" s="62">
        <f>39.7</f>
        <v>39.700000000000003</v>
      </c>
      <c r="H555" s="62"/>
      <c r="I555" s="369">
        <f>F555-G555-H555</f>
        <v>1098.3</v>
      </c>
      <c r="J555" s="63" t="s">
        <v>156</v>
      </c>
      <c r="K555" s="63">
        <v>1</v>
      </c>
      <c r="L555" s="63">
        <v>1</v>
      </c>
      <c r="M555" s="63">
        <v>1</v>
      </c>
      <c r="N555" s="63">
        <v>1</v>
      </c>
      <c r="O555" s="63">
        <v>1</v>
      </c>
      <c r="P555" s="63">
        <v>1</v>
      </c>
      <c r="Q555" s="63">
        <v>1</v>
      </c>
      <c r="R555" s="63">
        <v>1</v>
      </c>
      <c r="S555" s="326">
        <v>0</v>
      </c>
      <c r="T555" s="63"/>
      <c r="U555" s="10" t="s">
        <v>1593</v>
      </c>
      <c r="V555" s="90">
        <v>1251.8</v>
      </c>
      <c r="W555" s="91"/>
      <c r="X555" s="92"/>
    </row>
    <row r="556" spans="1:24">
      <c r="A556" s="93"/>
      <c r="B556" s="87">
        <f t="shared" si="66"/>
        <v>3</v>
      </c>
      <c r="C556" s="274">
        <v>45888</v>
      </c>
      <c r="D556" s="327">
        <v>72399</v>
      </c>
      <c r="E556" s="276" t="s">
        <v>464</v>
      </c>
      <c r="F556" s="277">
        <v>1264</v>
      </c>
      <c r="G556" s="277">
        <f>39.7</f>
        <v>39.700000000000003</v>
      </c>
      <c r="H556" s="277"/>
      <c r="I556" s="329">
        <f>F556-G556-H556</f>
        <v>1224.3</v>
      </c>
      <c r="J556" s="279" t="s">
        <v>156</v>
      </c>
      <c r="K556" s="279">
        <v>1</v>
      </c>
      <c r="L556" s="279">
        <v>1</v>
      </c>
      <c r="M556" s="279">
        <v>1</v>
      </c>
      <c r="N556" s="279">
        <v>1</v>
      </c>
      <c r="O556" s="279">
        <v>1</v>
      </c>
      <c r="P556" s="279">
        <v>1</v>
      </c>
      <c r="Q556" s="279">
        <v>1</v>
      </c>
      <c r="R556" s="279">
        <v>1</v>
      </c>
      <c r="S556" s="280">
        <v>1</v>
      </c>
      <c r="T556" s="63"/>
      <c r="U556" s="10" t="s">
        <v>1594</v>
      </c>
      <c r="V556" s="90">
        <v>1390.4</v>
      </c>
      <c r="W556" s="91"/>
      <c r="X556" s="92"/>
    </row>
    <row r="557" spans="1:24">
      <c r="A557" s="2"/>
      <c r="B557" s="87">
        <f t="shared" si="66"/>
        <v>4</v>
      </c>
      <c r="C557" s="274">
        <v>45889</v>
      </c>
      <c r="D557" s="327">
        <v>72455</v>
      </c>
      <c r="E557" s="404" t="s">
        <v>769</v>
      </c>
      <c r="F557" s="277">
        <v>1138</v>
      </c>
      <c r="G557" s="277">
        <f>39.7</f>
        <v>39.700000000000003</v>
      </c>
      <c r="H557" s="277"/>
      <c r="I557" s="321">
        <f>F557-G557-H557</f>
        <v>1098.3</v>
      </c>
      <c r="J557" s="279" t="s">
        <v>156</v>
      </c>
      <c r="K557" s="279">
        <v>1</v>
      </c>
      <c r="L557" s="279">
        <v>1</v>
      </c>
      <c r="M557" s="322">
        <v>0</v>
      </c>
      <c r="N557" s="279">
        <v>1</v>
      </c>
      <c r="O557" s="279">
        <v>1</v>
      </c>
      <c r="P557" s="279">
        <v>1</v>
      </c>
      <c r="Q557" s="279">
        <v>1</v>
      </c>
      <c r="R557" s="279">
        <v>1</v>
      </c>
      <c r="S557" s="280">
        <v>1</v>
      </c>
      <c r="T557" s="63"/>
      <c r="U557" s="10" t="s">
        <v>1595</v>
      </c>
      <c r="V557" s="90">
        <v>1251.8</v>
      </c>
      <c r="W557" s="91"/>
      <c r="X557" s="92"/>
    </row>
    <row r="558" spans="1:24">
      <c r="A558" s="2"/>
      <c r="B558" s="87">
        <f t="shared" si="66"/>
        <v>5</v>
      </c>
      <c r="C558" s="274">
        <v>45890</v>
      </c>
      <c r="D558" s="327">
        <v>72456</v>
      </c>
      <c r="E558" s="276" t="s">
        <v>278</v>
      </c>
      <c r="F558" s="277">
        <v>596</v>
      </c>
      <c r="G558" s="277"/>
      <c r="H558" s="277"/>
      <c r="I558" s="278">
        <f>F558-G558-H558</f>
        <v>596</v>
      </c>
      <c r="J558" s="279" t="s">
        <v>156</v>
      </c>
      <c r="K558" s="279">
        <v>1</v>
      </c>
      <c r="L558" s="279">
        <v>1</v>
      </c>
      <c r="M558" s="279">
        <v>1</v>
      </c>
      <c r="N558" s="279">
        <v>1</v>
      </c>
      <c r="O558" s="279">
        <v>1</v>
      </c>
      <c r="P558" s="279">
        <v>1</v>
      </c>
      <c r="Q558" s="279">
        <v>1</v>
      </c>
      <c r="R558" s="279">
        <v>1</v>
      </c>
      <c r="S558" s="280">
        <v>1</v>
      </c>
      <c r="T558" s="63"/>
      <c r="U558" s="10"/>
      <c r="V558" s="90">
        <f>655.6</f>
        <v>655.6</v>
      </c>
      <c r="W558" s="91"/>
      <c r="X558" s="92"/>
    </row>
    <row r="559" spans="1:24">
      <c r="A559" s="2"/>
      <c r="B559" s="87">
        <f t="shared" si="66"/>
        <v>6</v>
      </c>
      <c r="C559" s="295">
        <v>45890</v>
      </c>
      <c r="D559" s="323">
        <v>72514</v>
      </c>
      <c r="E559" s="10" t="s">
        <v>1175</v>
      </c>
      <c r="F559" s="62">
        <v>1681</v>
      </c>
      <c r="G559" s="62">
        <f>39.7</f>
        <v>39.700000000000003</v>
      </c>
      <c r="H559" s="88"/>
      <c r="I559" s="324">
        <f>F559-G559-H559</f>
        <v>1641.3</v>
      </c>
      <c r="J559" s="63" t="s">
        <v>156</v>
      </c>
      <c r="K559" s="63">
        <v>1</v>
      </c>
      <c r="L559" s="325">
        <v>0</v>
      </c>
      <c r="M559" s="63">
        <v>1</v>
      </c>
      <c r="N559" s="63">
        <v>1</v>
      </c>
      <c r="O559" s="63">
        <v>1</v>
      </c>
      <c r="P559" s="63">
        <v>1</v>
      </c>
      <c r="Q559" s="63">
        <v>1</v>
      </c>
      <c r="R559" s="63">
        <v>1</v>
      </c>
      <c r="S559" s="296">
        <v>1</v>
      </c>
      <c r="T559" s="21">
        <v>1</v>
      </c>
      <c r="U559" s="10"/>
      <c r="V559" s="90">
        <f>1849.1</f>
        <v>1849.1</v>
      </c>
      <c r="W559" s="91"/>
      <c r="X559" s="92"/>
    </row>
    <row r="560" spans="1:24">
      <c r="A560" s="2"/>
      <c r="B560" s="87">
        <f t="shared" si="66"/>
        <v>7</v>
      </c>
      <c r="C560" s="274">
        <v>45891</v>
      </c>
      <c r="D560" s="327">
        <v>72480</v>
      </c>
      <c r="E560" s="276" t="s">
        <v>752</v>
      </c>
      <c r="F560" s="277">
        <v>1638</v>
      </c>
      <c r="G560" s="277">
        <f>39.7+(401.85)</f>
        <v>441.55</v>
      </c>
      <c r="H560" s="297"/>
      <c r="I560" s="278">
        <f>F560-G560-H560</f>
        <v>1196.45</v>
      </c>
      <c r="J560" s="279" t="s">
        <v>156</v>
      </c>
      <c r="K560" s="279">
        <v>1</v>
      </c>
      <c r="L560" s="279">
        <v>1</v>
      </c>
      <c r="M560" s="279">
        <v>1</v>
      </c>
      <c r="N560" s="279">
        <v>1</v>
      </c>
      <c r="O560" s="279">
        <v>1</v>
      </c>
      <c r="P560" s="279">
        <v>1</v>
      </c>
      <c r="Q560" s="279">
        <v>1</v>
      </c>
      <c r="R560" s="279">
        <v>1</v>
      </c>
      <c r="S560" s="280">
        <v>1</v>
      </c>
      <c r="T560" s="21">
        <v>1</v>
      </c>
      <c r="U560" s="10"/>
      <c r="V560" s="90">
        <f>180+1621.8</f>
        <v>1801.8</v>
      </c>
      <c r="W560" s="91"/>
      <c r="X560" s="92"/>
    </row>
    <row r="561" spans="1:24">
      <c r="A561" s="2"/>
      <c r="B561" s="87">
        <f t="shared" si="66"/>
        <v>8</v>
      </c>
      <c r="C561" s="282">
        <v>45891</v>
      </c>
      <c r="D561" s="368">
        <v>72541</v>
      </c>
      <c r="E561" s="283" t="s">
        <v>739</v>
      </c>
      <c r="F561" s="284">
        <f>1623-85-85</f>
        <v>1453</v>
      </c>
      <c r="G561" s="284">
        <v>39.700000000000003</v>
      </c>
      <c r="H561" s="315"/>
      <c r="I561" s="300">
        <f>F561-G561-H561</f>
        <v>1413.3</v>
      </c>
      <c r="J561" s="286" t="s">
        <v>156</v>
      </c>
      <c r="K561" s="286">
        <v>1</v>
      </c>
      <c r="L561" s="286">
        <v>1</v>
      </c>
      <c r="M561" s="286">
        <v>1</v>
      </c>
      <c r="N561" s="286">
        <v>1</v>
      </c>
      <c r="O561" s="286">
        <v>1</v>
      </c>
      <c r="P561" s="286">
        <v>1</v>
      </c>
      <c r="Q561" s="286">
        <v>1</v>
      </c>
      <c r="R561" s="286">
        <v>1</v>
      </c>
      <c r="S561" s="370">
        <v>0</v>
      </c>
      <c r="T561" s="63"/>
      <c r="U561" s="10" t="s">
        <v>1596</v>
      </c>
      <c r="V561" s="90">
        <f>85+1691.8</f>
        <v>1776.8</v>
      </c>
      <c r="W561" s="91"/>
      <c r="X561" s="92"/>
    </row>
    <row r="562" spans="1:24">
      <c r="A562" s="2"/>
      <c r="B562" s="87"/>
      <c r="C562" s="36"/>
      <c r="D562" s="10"/>
      <c r="E562" s="10"/>
      <c r="F562" s="97">
        <f>SUM(F554:F561)</f>
        <v>10589</v>
      </c>
      <c r="G562" s="97">
        <f>SUM(G554:G561)</f>
        <v>679.75</v>
      </c>
      <c r="H562" s="97">
        <f>SUM(H554:H561)</f>
        <v>0</v>
      </c>
      <c r="I562" s="98">
        <f>SUM(I554:I561)</f>
        <v>9909.25</v>
      </c>
      <c r="J562" s="63"/>
      <c r="K562" s="63">
        <f>COUNT(K554:K561)</f>
        <v>8</v>
      </c>
      <c r="L562" s="63">
        <f>COUNT(L554:L561)</f>
        <v>8</v>
      </c>
      <c r="M562" s="63">
        <f>COUNT(M554:M561)</f>
        <v>8</v>
      </c>
      <c r="N562" s="63">
        <f>COUNT(N554:N561)</f>
        <v>8</v>
      </c>
      <c r="O562" s="63">
        <f>COUNT(O554:O561)</f>
        <v>8</v>
      </c>
      <c r="P562" s="63">
        <f>COUNT(P554:P561)</f>
        <v>8</v>
      </c>
      <c r="Q562" s="63">
        <f>COUNT(Q554:Q561)</f>
        <v>8</v>
      </c>
      <c r="R562" s="63">
        <f>COUNT(R554:R561)</f>
        <v>8</v>
      </c>
      <c r="S562" s="63">
        <f>COUNT(S554:S561)</f>
        <v>8</v>
      </c>
      <c r="T562" s="63"/>
      <c r="U562" s="10"/>
      <c r="V562" s="90"/>
      <c r="W562" s="91"/>
      <c r="X562" s="92"/>
    </row>
    <row r="563" spans="1:24">
      <c r="A563" s="2"/>
      <c r="B563" s="87"/>
      <c r="C563" s="36"/>
      <c r="D563" s="10"/>
      <c r="E563" s="10"/>
      <c r="F563" s="88"/>
      <c r="G563" s="88"/>
      <c r="H563" s="88"/>
      <c r="I563" s="99"/>
      <c r="J563" s="63"/>
      <c r="K563" s="21">
        <f>SUM(K554:K561)</f>
        <v>7</v>
      </c>
      <c r="L563" s="21">
        <f>SUM(L554:L561)</f>
        <v>7</v>
      </c>
      <c r="M563" s="21">
        <f>SUM(M554:M561)</f>
        <v>7</v>
      </c>
      <c r="N563" s="21">
        <f>SUM(N554:N561)</f>
        <v>8</v>
      </c>
      <c r="O563" s="21">
        <f>SUM(O554:O561)</f>
        <v>8</v>
      </c>
      <c r="P563" s="21">
        <f>SUM(P554:P561)</f>
        <v>8</v>
      </c>
      <c r="Q563" s="21">
        <f>SUM(Q554:Q561)</f>
        <v>8</v>
      </c>
      <c r="R563" s="21">
        <f>SUM(R554:R561)</f>
        <v>8</v>
      </c>
      <c r="S563" s="21">
        <f>SUM(S554:S561)</f>
        <v>5</v>
      </c>
      <c r="T563" s="63"/>
      <c r="U563" s="10"/>
      <c r="V563" s="90"/>
      <c r="W563" s="91"/>
      <c r="X563" s="92"/>
    </row>
    <row r="564" spans="1:24">
      <c r="A564" s="2"/>
      <c r="B564" s="11"/>
      <c r="C564" s="36"/>
      <c r="D564" s="10"/>
      <c r="E564" s="10"/>
      <c r="F564" s="88"/>
      <c r="G564" s="88"/>
      <c r="H564" s="88"/>
      <c r="I564" s="99"/>
      <c r="J564" s="63"/>
      <c r="K564" s="21"/>
      <c r="L564" s="21"/>
      <c r="M564" s="21"/>
      <c r="N564" s="21"/>
      <c r="O564" s="21"/>
      <c r="P564" s="21"/>
      <c r="Q564" s="21"/>
      <c r="R564" s="21"/>
      <c r="S564" s="21"/>
      <c r="T564" s="63"/>
      <c r="U564" s="10"/>
      <c r="V564" s="90"/>
      <c r="W564" s="91"/>
      <c r="X564" s="92"/>
    </row>
    <row r="565" spans="1:24">
      <c r="A565" s="2"/>
      <c r="B565" s="100" t="s">
        <v>67</v>
      </c>
      <c r="C565" s="36"/>
      <c r="D565" s="10"/>
      <c r="E565" s="10"/>
      <c r="F565" s="88"/>
      <c r="G565" s="62"/>
      <c r="H565" s="88"/>
      <c r="I565" s="99"/>
      <c r="J565" s="63"/>
      <c r="K565" s="2"/>
      <c r="L565" s="2"/>
      <c r="M565" s="2"/>
      <c r="N565" s="2"/>
      <c r="O565" s="2"/>
      <c r="P565" s="2"/>
      <c r="Q565" s="2"/>
      <c r="R565" s="2"/>
      <c r="S565" s="2"/>
      <c r="T565" s="63"/>
      <c r="U565" s="94"/>
      <c r="V565" s="90"/>
      <c r="W565" s="91"/>
      <c r="X565" s="92"/>
    </row>
    <row r="566" spans="1:24" s="381" customFormat="1">
      <c r="A566" s="371" t="s">
        <v>249</v>
      </c>
      <c r="B566" s="372">
        <v>1</v>
      </c>
      <c r="C566" s="442">
        <v>45875</v>
      </c>
      <c r="D566" s="327" t="s">
        <v>1541</v>
      </c>
      <c r="E566" s="444" t="s">
        <v>1073</v>
      </c>
      <c r="F566" s="445">
        <v>732.6</v>
      </c>
      <c r="G566" s="445"/>
      <c r="H566" s="445"/>
      <c r="I566" s="329">
        <f>F566-G566-H566</f>
        <v>732.6</v>
      </c>
      <c r="J566" s="322"/>
      <c r="K566" s="322">
        <v>1</v>
      </c>
      <c r="L566" s="322">
        <v>1</v>
      </c>
      <c r="M566" s="322"/>
      <c r="N566" s="322">
        <v>1</v>
      </c>
      <c r="O566" s="322">
        <v>1</v>
      </c>
      <c r="P566" s="322">
        <v>1</v>
      </c>
      <c r="Q566" s="322">
        <v>0</v>
      </c>
      <c r="R566" s="322">
        <v>0</v>
      </c>
      <c r="S566" s="328">
        <v>0</v>
      </c>
      <c r="T566" s="325"/>
      <c r="U566" s="430" t="s">
        <v>1542</v>
      </c>
      <c r="V566" s="377"/>
      <c r="W566" s="392"/>
      <c r="X566" s="379"/>
    </row>
    <row r="567" spans="1:24" s="381" customFormat="1">
      <c r="A567" s="371" t="s">
        <v>249</v>
      </c>
      <c r="B567" s="372">
        <f>B566+1</f>
        <v>2</v>
      </c>
      <c r="C567" s="453">
        <v>45875</v>
      </c>
      <c r="D567" s="368" t="s">
        <v>1543</v>
      </c>
      <c r="E567" s="427" t="s">
        <v>1073</v>
      </c>
      <c r="F567" s="428">
        <v>581</v>
      </c>
      <c r="G567" s="428">
        <f>200</f>
        <v>200</v>
      </c>
      <c r="H567" s="428"/>
      <c r="I567" s="331">
        <f>F567-G567-H567</f>
        <v>381</v>
      </c>
      <c r="J567" s="332" t="s">
        <v>150</v>
      </c>
      <c r="K567" s="332">
        <v>1</v>
      </c>
      <c r="L567" s="332">
        <v>1</v>
      </c>
      <c r="M567" s="332">
        <v>1</v>
      </c>
      <c r="N567" s="332">
        <v>1</v>
      </c>
      <c r="O567" s="332">
        <v>1</v>
      </c>
      <c r="P567" s="332">
        <v>1</v>
      </c>
      <c r="Q567" s="332">
        <v>0</v>
      </c>
      <c r="R567" s="332">
        <v>0</v>
      </c>
      <c r="S567" s="370">
        <v>0</v>
      </c>
      <c r="T567" s="325"/>
      <c r="U567" s="430" t="s">
        <v>1597</v>
      </c>
      <c r="V567" s="377"/>
      <c r="W567" s="392"/>
      <c r="X567" s="379"/>
    </row>
    <row r="568" spans="1:24">
      <c r="A568" s="2"/>
      <c r="B568" s="11"/>
      <c r="C568" s="36"/>
      <c r="D568" s="10"/>
      <c r="E568" s="10"/>
      <c r="F568" s="97">
        <f>SUM(F566:F567)</f>
        <v>1313.6</v>
      </c>
      <c r="G568" s="97">
        <f>SUM(G566:G567)</f>
        <v>200</v>
      </c>
      <c r="H568" s="97">
        <f>SUM(H566:H567)</f>
        <v>0</v>
      </c>
      <c r="I568" s="98">
        <f>SUM(I566:I567)</f>
        <v>1113.5999999999999</v>
      </c>
      <c r="J568" s="63"/>
      <c r="K568" s="21"/>
      <c r="L568" s="21"/>
      <c r="M568" s="21"/>
      <c r="N568" s="21"/>
      <c r="O568" s="21"/>
      <c r="P568" s="21"/>
      <c r="Q568" s="21"/>
      <c r="R568" s="21"/>
      <c r="S568" s="21"/>
      <c r="T568" s="63"/>
      <c r="U568" s="94"/>
      <c r="V568" s="90"/>
      <c r="W568" s="91"/>
      <c r="X568" s="92"/>
    </row>
    <row r="569" spans="1:24">
      <c r="A569" s="2"/>
      <c r="B569" s="11"/>
      <c r="C569" s="36"/>
      <c r="D569" s="10"/>
      <c r="E569" s="10"/>
      <c r="F569" s="88"/>
      <c r="G569" s="88"/>
      <c r="H569" s="88"/>
      <c r="I569" s="99"/>
      <c r="J569" s="63"/>
      <c r="K569" s="21"/>
      <c r="L569" s="21"/>
      <c r="M569" s="21"/>
      <c r="N569" s="21"/>
      <c r="O569" s="21"/>
      <c r="P569" s="21"/>
      <c r="Q569" s="21"/>
      <c r="R569" s="21"/>
      <c r="S569" s="21"/>
      <c r="T569" s="63"/>
      <c r="U569" s="94"/>
      <c r="V569" s="90"/>
      <c r="W569" s="91"/>
      <c r="X569" s="92"/>
    </row>
    <row r="570" spans="1:24">
      <c r="A570" s="2"/>
      <c r="B570" s="121" t="s">
        <v>68</v>
      </c>
      <c r="C570" s="122"/>
      <c r="D570" s="123"/>
      <c r="E570" s="123"/>
      <c r="F570" s="124"/>
      <c r="G570" s="125"/>
      <c r="H570" s="124"/>
      <c r="I570" s="126"/>
      <c r="J570" s="127"/>
      <c r="K570" s="128"/>
      <c r="L570" s="128"/>
      <c r="M570" s="128"/>
      <c r="N570" s="128"/>
      <c r="O570" s="128"/>
      <c r="P570" s="128"/>
      <c r="Q570" s="128"/>
      <c r="R570" s="128"/>
      <c r="S570" s="128"/>
      <c r="T570" s="127"/>
      <c r="U570" s="123"/>
      <c r="V570" s="129"/>
      <c r="W570" s="130"/>
      <c r="X570" s="131"/>
    </row>
    <row r="571" spans="1:24" s="342" customFormat="1">
      <c r="A571" s="356">
        <v>0.05</v>
      </c>
      <c r="B571" s="333">
        <v>1</v>
      </c>
      <c r="C571" s="350">
        <v>45887</v>
      </c>
      <c r="D571" s="263">
        <v>72369</v>
      </c>
      <c r="E571" s="358" t="s">
        <v>213</v>
      </c>
      <c r="F571" s="352">
        <v>6214</v>
      </c>
      <c r="G571" s="352">
        <f>39.7+(58.65)+(88.06+177.45)+300</f>
        <v>663.86</v>
      </c>
      <c r="H571" s="352"/>
      <c r="I571" s="353">
        <f>F571-G571-H571</f>
        <v>5550.14</v>
      </c>
      <c r="J571" s="354" t="s">
        <v>228</v>
      </c>
      <c r="K571" s="354">
        <v>1</v>
      </c>
      <c r="L571" s="354">
        <v>1</v>
      </c>
      <c r="M571" s="354">
        <v>1</v>
      </c>
      <c r="N571" s="354">
        <v>1</v>
      </c>
      <c r="O571" s="354">
        <v>1</v>
      </c>
      <c r="P571" s="354">
        <v>1</v>
      </c>
      <c r="Q571" s="354">
        <v>1</v>
      </c>
      <c r="R571" s="314">
        <v>0</v>
      </c>
      <c r="S571" s="366">
        <v>0</v>
      </c>
      <c r="T571" s="127"/>
      <c r="U571" s="135" t="s">
        <v>1598</v>
      </c>
      <c r="V571" s="129">
        <f>700+2000</f>
        <v>2700</v>
      </c>
      <c r="W571" s="340"/>
      <c r="X571" s="341"/>
    </row>
    <row r="572" spans="1:24">
      <c r="A572" s="2"/>
      <c r="B572" s="11"/>
      <c r="C572" s="36"/>
      <c r="D572" s="10"/>
      <c r="E572" s="10"/>
      <c r="F572" s="134">
        <f>SUM(F571:F571)</f>
        <v>6214</v>
      </c>
      <c r="G572" s="134">
        <f>SUM(G571:G571)</f>
        <v>663.86</v>
      </c>
      <c r="H572" s="134">
        <f>SUM(H571:H571)</f>
        <v>0</v>
      </c>
      <c r="I572" s="134">
        <f>SUM(I571:I571)</f>
        <v>5550.14</v>
      </c>
      <c r="J572" s="63"/>
      <c r="K572" s="21"/>
      <c r="L572" s="21"/>
      <c r="M572" s="21"/>
      <c r="N572" s="21"/>
      <c r="O572" s="21"/>
      <c r="P572" s="21"/>
      <c r="Q572" s="21"/>
      <c r="R572" s="21"/>
      <c r="S572" s="21"/>
      <c r="T572" s="63"/>
      <c r="U572" s="94"/>
      <c r="V572" s="90"/>
      <c r="W572" s="91"/>
      <c r="X572" s="92"/>
    </row>
    <row r="573" spans="1:24">
      <c r="A573" s="2"/>
      <c r="B573" s="11"/>
      <c r="C573" s="36"/>
      <c r="D573" s="10"/>
      <c r="E573" s="10"/>
      <c r="F573" s="88"/>
      <c r="G573" s="88"/>
      <c r="H573" s="88"/>
      <c r="I573" s="99"/>
      <c r="J573" s="63"/>
      <c r="K573" s="21"/>
      <c r="L573" s="21"/>
      <c r="M573" s="21"/>
      <c r="N573" s="21"/>
      <c r="O573" s="21"/>
      <c r="P573" s="21"/>
      <c r="Q573" s="21"/>
      <c r="R573" s="21"/>
      <c r="S573" s="21"/>
      <c r="T573" s="63"/>
      <c r="U573" s="94"/>
      <c r="V573" s="90"/>
      <c r="W573" s="91"/>
      <c r="X573" s="92"/>
    </row>
    <row r="574" spans="1:24">
      <c r="A574" s="128"/>
      <c r="B574" s="121" t="s">
        <v>70</v>
      </c>
      <c r="C574" s="122"/>
      <c r="D574" s="123"/>
      <c r="E574" s="128"/>
      <c r="F574" s="124"/>
      <c r="G574" s="124"/>
      <c r="H574" s="124"/>
      <c r="I574" s="126"/>
      <c r="J574" s="127"/>
      <c r="K574" s="64"/>
      <c r="L574" s="64"/>
      <c r="M574" s="64"/>
      <c r="N574" s="64"/>
      <c r="O574" s="64"/>
      <c r="P574" s="64"/>
      <c r="Q574" s="64"/>
      <c r="R574" s="64"/>
      <c r="S574" s="64"/>
      <c r="T574" s="127"/>
      <c r="U574" s="135"/>
      <c r="V574" s="129"/>
      <c r="W574" s="130"/>
      <c r="X574" s="131"/>
    </row>
    <row r="575" spans="1:24" s="342" customFormat="1">
      <c r="A575" s="356">
        <v>0.05</v>
      </c>
      <c r="B575" s="333">
        <v>1</v>
      </c>
      <c r="C575" s="334">
        <v>45888</v>
      </c>
      <c r="D575" s="327">
        <v>72392</v>
      </c>
      <c r="E575" s="335" t="s">
        <v>382</v>
      </c>
      <c r="F575" s="336">
        <v>1861</v>
      </c>
      <c r="G575" s="336">
        <f>39.7+450</f>
        <v>489.7</v>
      </c>
      <c r="H575" s="336"/>
      <c r="I575" s="337">
        <f>F575-G575-H575</f>
        <v>1371.3</v>
      </c>
      <c r="J575" s="338" t="s">
        <v>156</v>
      </c>
      <c r="K575" s="338">
        <v>1</v>
      </c>
      <c r="L575" s="338"/>
      <c r="M575" s="338">
        <v>1</v>
      </c>
      <c r="N575" s="338">
        <v>1</v>
      </c>
      <c r="O575" s="338">
        <v>1</v>
      </c>
      <c r="P575" s="338">
        <v>1</v>
      </c>
      <c r="Q575" s="338"/>
      <c r="R575" s="338"/>
      <c r="S575" s="339"/>
      <c r="T575" s="127"/>
      <c r="U575" s="135"/>
      <c r="V575" s="129">
        <f>300</f>
        <v>300</v>
      </c>
      <c r="W575" s="340"/>
      <c r="X575" s="341"/>
    </row>
    <row r="576" spans="1:24" s="342" customFormat="1">
      <c r="A576" s="356">
        <v>0.05</v>
      </c>
      <c r="B576" s="333">
        <f t="shared" ref="B576:B577" si="67">B575+1</f>
        <v>2</v>
      </c>
      <c r="C576" s="334">
        <v>45889</v>
      </c>
      <c r="D576" s="327">
        <v>72473</v>
      </c>
      <c r="E576" s="335" t="s">
        <v>384</v>
      </c>
      <c r="F576" s="336">
        <v>20352.599999999999</v>
      </c>
      <c r="G576" s="336">
        <f>39.7+(131.46)+(199.57)+2000</f>
        <v>2370.73</v>
      </c>
      <c r="H576" s="336"/>
      <c r="I576" s="337">
        <f>F576-G576-H576</f>
        <v>17981.87</v>
      </c>
      <c r="J576" s="338" t="s">
        <v>156</v>
      </c>
      <c r="K576" s="338">
        <v>1</v>
      </c>
      <c r="L576" s="338"/>
      <c r="M576" s="338">
        <v>1</v>
      </c>
      <c r="N576" s="338">
        <v>1</v>
      </c>
      <c r="O576" s="338">
        <v>1</v>
      </c>
      <c r="P576" s="338">
        <v>1</v>
      </c>
      <c r="Q576" s="338"/>
      <c r="R576" s="338"/>
      <c r="S576" s="339"/>
      <c r="T576" s="127"/>
      <c r="U576" s="135" t="s">
        <v>1599</v>
      </c>
      <c r="V576" s="129">
        <f>2200+1000</f>
        <v>3200</v>
      </c>
      <c r="W576" s="340"/>
      <c r="X576" s="341"/>
    </row>
    <row r="577" spans="1:25" s="342" customFormat="1">
      <c r="A577" s="356">
        <v>0.05</v>
      </c>
      <c r="B577" s="333">
        <f t="shared" si="67"/>
        <v>3</v>
      </c>
      <c r="C577" s="395">
        <v>45889</v>
      </c>
      <c r="D577" s="368">
        <v>72498</v>
      </c>
      <c r="E577" s="396" t="s">
        <v>769</v>
      </c>
      <c r="F577" s="397">
        <v>22618</v>
      </c>
      <c r="G577" s="397">
        <f>39.7+(94.29+28.45)+2000</f>
        <v>2162.44</v>
      </c>
      <c r="H577" s="397"/>
      <c r="I577" s="398">
        <f>F577-G577-H577</f>
        <v>20455.560000000001</v>
      </c>
      <c r="J577" s="399" t="s">
        <v>228</v>
      </c>
      <c r="K577" s="399">
        <v>1</v>
      </c>
      <c r="L577" s="399"/>
      <c r="M577" s="399">
        <v>1</v>
      </c>
      <c r="N577" s="399">
        <v>1</v>
      </c>
      <c r="O577" s="399">
        <v>1</v>
      </c>
      <c r="P577" s="399">
        <v>1</v>
      </c>
      <c r="Q577" s="399"/>
      <c r="R577" s="399"/>
      <c r="S577" s="400"/>
      <c r="T577" s="127"/>
      <c r="U577" s="135" t="s">
        <v>1600</v>
      </c>
      <c r="V577" s="129">
        <f>2500+5000</f>
        <v>7500</v>
      </c>
      <c r="W577" s="340"/>
      <c r="X577" s="341"/>
    </row>
    <row r="578" spans="1:25">
      <c r="A578" s="128"/>
      <c r="B578" s="132"/>
      <c r="C578" s="122"/>
      <c r="D578" s="123"/>
      <c r="E578" s="123"/>
      <c r="F578" s="133">
        <f>SUM(F575:F577)</f>
        <v>44831.6</v>
      </c>
      <c r="G578" s="133">
        <f>SUM(G575:G577)</f>
        <v>5022.87</v>
      </c>
      <c r="H578" s="133">
        <f>SUM(H575:H577)</f>
        <v>0</v>
      </c>
      <c r="I578" s="133">
        <f>SUM(I575:I577)</f>
        <v>39808.729999999996</v>
      </c>
      <c r="J578" s="127"/>
      <c r="K578" s="64"/>
      <c r="L578" s="64"/>
      <c r="M578" s="64"/>
      <c r="N578" s="64"/>
      <c r="O578" s="64"/>
      <c r="P578" s="64"/>
      <c r="Q578" s="64"/>
      <c r="R578" s="64"/>
      <c r="S578" s="64"/>
      <c r="T578" s="127"/>
      <c r="U578" s="135"/>
      <c r="V578" s="129"/>
      <c r="W578" s="130"/>
      <c r="X578" s="131"/>
    </row>
    <row r="579" spans="1:25">
      <c r="A579" s="2"/>
      <c r="B579" s="11"/>
      <c r="C579" s="36"/>
      <c r="D579" s="10"/>
      <c r="E579" s="10"/>
      <c r="F579" s="88"/>
      <c r="G579" s="88"/>
      <c r="H579" s="88"/>
      <c r="I579" s="99"/>
      <c r="J579" s="63"/>
      <c r="K579" s="21"/>
      <c r="L579" s="21"/>
      <c r="M579" s="21"/>
      <c r="N579" s="21"/>
      <c r="O579" s="21"/>
      <c r="P579" s="21"/>
      <c r="Q579" s="21"/>
      <c r="R579" s="21"/>
      <c r="S579" s="21"/>
      <c r="T579" s="63"/>
      <c r="U579" s="94"/>
      <c r="V579" s="90"/>
      <c r="W579" s="91"/>
      <c r="X579" s="92"/>
    </row>
    <row r="580" spans="1:25" s="434" customFormat="1" ht="13.5">
      <c r="A580" s="10"/>
      <c r="B580" s="100" t="s">
        <v>152</v>
      </c>
      <c r="C580" s="36"/>
      <c r="D580" s="10"/>
      <c r="E580" s="10"/>
      <c r="F580" s="88"/>
      <c r="G580" s="62"/>
      <c r="H580" s="88"/>
      <c r="I580" s="99"/>
      <c r="J580" s="63"/>
      <c r="K580" s="10"/>
      <c r="L580" s="10"/>
      <c r="M580" s="10"/>
      <c r="N580" s="10"/>
      <c r="O580" s="10"/>
      <c r="P580" s="123"/>
      <c r="Q580" s="10"/>
      <c r="R580" s="10"/>
      <c r="S580" s="10"/>
      <c r="T580" s="63"/>
      <c r="U580" s="10"/>
      <c r="V580" s="90"/>
      <c r="W580" s="91"/>
      <c r="X580" s="92"/>
    </row>
    <row r="581" spans="1:25" s="434" customFormat="1" ht="13.5">
      <c r="A581" s="31">
        <v>0.05</v>
      </c>
      <c r="B581" s="87">
        <v>1</v>
      </c>
      <c r="C581" s="262">
        <v>45848</v>
      </c>
      <c r="D581" s="263">
        <v>71373</v>
      </c>
      <c r="E581" s="264" t="s">
        <v>1338</v>
      </c>
      <c r="F581" s="265">
        <v>2681</v>
      </c>
      <c r="G581" s="265">
        <f>39.7</f>
        <v>39.700000000000003</v>
      </c>
      <c r="H581" s="265"/>
      <c r="I581" s="266">
        <f>F581-G581-H581</f>
        <v>2641.3</v>
      </c>
      <c r="J581" s="267" t="s">
        <v>156</v>
      </c>
      <c r="K581" s="267">
        <v>1</v>
      </c>
      <c r="L581" s="267">
        <v>1</v>
      </c>
      <c r="M581" s="267">
        <v>1</v>
      </c>
      <c r="N581" s="267">
        <v>1</v>
      </c>
      <c r="O581" s="267">
        <v>1</v>
      </c>
      <c r="P581" s="314">
        <v>0</v>
      </c>
      <c r="Q581" s="314">
        <v>0</v>
      </c>
      <c r="R581" s="314">
        <v>0</v>
      </c>
      <c r="S581" s="366">
        <v>0</v>
      </c>
      <c r="T581" s="63"/>
      <c r="U581" s="10"/>
      <c r="V581" s="90"/>
      <c r="W581" s="91"/>
      <c r="X581" s="92"/>
    </row>
    <row r="582" spans="1:25" s="260" customFormat="1">
      <c r="A582" s="261">
        <v>0.05</v>
      </c>
      <c r="B582" s="87">
        <f>B581+1</f>
        <v>2</v>
      </c>
      <c r="C582" s="262">
        <v>45855</v>
      </c>
      <c r="D582" s="263">
        <v>71488</v>
      </c>
      <c r="E582" s="264" t="s">
        <v>218</v>
      </c>
      <c r="F582" s="265">
        <v>2034.9</v>
      </c>
      <c r="G582" s="265">
        <f>39.7+(412.27)</f>
        <v>451.96999999999997</v>
      </c>
      <c r="H582" s="265"/>
      <c r="I582" s="266">
        <f>F582-G582-H582</f>
        <v>1582.93</v>
      </c>
      <c r="J582" s="267" t="s">
        <v>156</v>
      </c>
      <c r="K582" s="267">
        <v>1</v>
      </c>
      <c r="L582" s="267">
        <v>1</v>
      </c>
      <c r="M582" s="267">
        <v>1</v>
      </c>
      <c r="N582" s="314">
        <v>0</v>
      </c>
      <c r="O582" s="314">
        <v>0</v>
      </c>
      <c r="P582" s="314">
        <v>0</v>
      </c>
      <c r="Q582" s="267">
        <v>1</v>
      </c>
      <c r="R582" s="267">
        <v>1</v>
      </c>
      <c r="S582" s="366">
        <v>0</v>
      </c>
      <c r="T582" s="63"/>
      <c r="U582" s="10" t="s">
        <v>1502</v>
      </c>
      <c r="V582" s="90"/>
      <c r="W582" s="91"/>
      <c r="X582" s="92"/>
    </row>
    <row r="583" spans="1:25" s="260" customFormat="1">
      <c r="A583" s="261">
        <v>0.05</v>
      </c>
      <c r="B583" s="87">
        <f>B582+1</f>
        <v>3</v>
      </c>
      <c r="C583" s="262">
        <v>45863</v>
      </c>
      <c r="D583" s="263" t="s">
        <v>1497</v>
      </c>
      <c r="E583" s="271" t="s">
        <v>1117</v>
      </c>
      <c r="F583" s="265">
        <v>1138</v>
      </c>
      <c r="G583" s="265">
        <f>39.7</f>
        <v>39.700000000000003</v>
      </c>
      <c r="H583" s="365"/>
      <c r="I583" s="266">
        <f>F583-G583-H583</f>
        <v>1098.3</v>
      </c>
      <c r="J583" s="267"/>
      <c r="K583" s="267">
        <v>1</v>
      </c>
      <c r="L583" s="267">
        <v>1</v>
      </c>
      <c r="M583" s="267"/>
      <c r="N583" s="267">
        <v>1</v>
      </c>
      <c r="O583" s="267">
        <v>1</v>
      </c>
      <c r="P583" s="267">
        <v>1</v>
      </c>
      <c r="Q583" s="314">
        <v>0</v>
      </c>
      <c r="R583" s="314">
        <v>0</v>
      </c>
      <c r="S583" s="366">
        <v>0</v>
      </c>
      <c r="T583" s="63"/>
      <c r="U583" s="10"/>
      <c r="V583" s="90"/>
      <c r="W583" s="91"/>
      <c r="X583" s="92"/>
    </row>
    <row r="584" spans="1:25" s="260" customFormat="1">
      <c r="A584" s="261">
        <v>0.05</v>
      </c>
      <c r="B584" s="87">
        <f t="shared" ref="B584:B587" si="68">B583+1</f>
        <v>4</v>
      </c>
      <c r="C584" s="274">
        <v>45874</v>
      </c>
      <c r="D584" s="327">
        <v>72064</v>
      </c>
      <c r="E584" s="276" t="s">
        <v>998</v>
      </c>
      <c r="F584" s="277">
        <v>1138</v>
      </c>
      <c r="G584" s="277">
        <v>39.700000000000003</v>
      </c>
      <c r="H584" s="277"/>
      <c r="I584" s="321">
        <f>F584-G584-H584</f>
        <v>1098.3</v>
      </c>
      <c r="J584" s="279"/>
      <c r="K584" s="279">
        <v>1</v>
      </c>
      <c r="L584" s="279">
        <v>1</v>
      </c>
      <c r="M584" s="279"/>
      <c r="N584" s="279">
        <v>1</v>
      </c>
      <c r="O584" s="279">
        <v>1</v>
      </c>
      <c r="P584" s="279">
        <v>1</v>
      </c>
      <c r="Q584" s="322">
        <v>0</v>
      </c>
      <c r="R584" s="322">
        <v>0</v>
      </c>
      <c r="S584" s="328">
        <v>0</v>
      </c>
      <c r="T584" s="63"/>
      <c r="U584" s="94" t="s">
        <v>1540</v>
      </c>
      <c r="V584" s="90"/>
      <c r="W584" s="91"/>
      <c r="X584" s="92"/>
    </row>
    <row r="585" spans="1:25" s="260" customFormat="1">
      <c r="A585" s="261">
        <v>0.05</v>
      </c>
      <c r="B585" s="87">
        <f>B584+1</f>
        <v>5</v>
      </c>
      <c r="C585" s="262">
        <v>45860</v>
      </c>
      <c r="D585" s="263" t="s">
        <v>1522</v>
      </c>
      <c r="E585" s="271" t="s">
        <v>1256</v>
      </c>
      <c r="F585" s="265">
        <v>13770</v>
      </c>
      <c r="G585" s="265">
        <f>39.7+271.4+(133.8)+(7.88+328.49-9.15-0.86-0.98-2.08-46.07+30.69+267.21)+1000</f>
        <v>2020.03</v>
      </c>
      <c r="H585" s="365"/>
      <c r="I585" s="266">
        <f>F585-G585-H585</f>
        <v>11749.97</v>
      </c>
      <c r="J585" s="267" t="s">
        <v>156</v>
      </c>
      <c r="K585" s="267">
        <v>1</v>
      </c>
      <c r="L585" s="267">
        <v>1</v>
      </c>
      <c r="M585" s="267">
        <v>1</v>
      </c>
      <c r="N585" s="267">
        <v>1</v>
      </c>
      <c r="O585" s="314">
        <v>0</v>
      </c>
      <c r="P585" s="267">
        <v>1</v>
      </c>
      <c r="Q585" s="314">
        <v>0</v>
      </c>
      <c r="R585" s="314">
        <v>0</v>
      </c>
      <c r="S585" s="366">
        <v>0</v>
      </c>
      <c r="T585" s="63"/>
      <c r="U585" s="94" t="s">
        <v>1579</v>
      </c>
      <c r="V585" s="90"/>
      <c r="W585" s="136"/>
      <c r="X585" s="137"/>
    </row>
    <row r="586" spans="1:25" s="260" customFormat="1">
      <c r="A586" s="261" t="s">
        <v>619</v>
      </c>
      <c r="B586" s="87">
        <f>B585+1</f>
        <v>6</v>
      </c>
      <c r="C586" s="262">
        <v>45877</v>
      </c>
      <c r="D586" s="263">
        <v>72150</v>
      </c>
      <c r="E586" s="271" t="s">
        <v>769</v>
      </c>
      <c r="F586" s="265">
        <v>44619</v>
      </c>
      <c r="G586" s="265">
        <f>39.7+8800+352+(F586*0.25)+(3*150)</f>
        <v>20796.45</v>
      </c>
      <c r="H586" s="265"/>
      <c r="I586" s="272">
        <f>F586-G586-H586</f>
        <v>23822.55</v>
      </c>
      <c r="J586" s="267" t="s">
        <v>156</v>
      </c>
      <c r="K586" s="267">
        <v>1</v>
      </c>
      <c r="L586" s="267">
        <v>1</v>
      </c>
      <c r="M586" s="267">
        <v>1</v>
      </c>
      <c r="N586" s="267">
        <v>1</v>
      </c>
      <c r="O586" s="267">
        <v>1</v>
      </c>
      <c r="P586" s="267">
        <v>1</v>
      </c>
      <c r="Q586" s="267">
        <v>1</v>
      </c>
      <c r="R586" s="267">
        <v>1</v>
      </c>
      <c r="S586" s="269">
        <v>1</v>
      </c>
      <c r="T586" s="63"/>
      <c r="U586" s="94" t="s">
        <v>1580</v>
      </c>
      <c r="V586" s="90"/>
      <c r="W586" s="91"/>
      <c r="X586" s="137"/>
    </row>
    <row r="587" spans="1:25" s="260" customFormat="1">
      <c r="A587" s="261">
        <v>0.05</v>
      </c>
      <c r="B587" s="87">
        <f>B586+1</f>
        <v>7</v>
      </c>
      <c r="C587" s="262">
        <v>45882</v>
      </c>
      <c r="D587" s="263">
        <v>72282</v>
      </c>
      <c r="E587" s="271" t="s">
        <v>384</v>
      </c>
      <c r="F587" s="265">
        <v>12614</v>
      </c>
      <c r="G587" s="265">
        <f>39.7+(60.58)+1000</f>
        <v>1100.28</v>
      </c>
      <c r="H587" s="265"/>
      <c r="I587" s="266">
        <f>F587-G587-H587</f>
        <v>11513.72</v>
      </c>
      <c r="J587" s="267" t="s">
        <v>156</v>
      </c>
      <c r="K587" s="267">
        <v>1</v>
      </c>
      <c r="L587" s="267">
        <v>1</v>
      </c>
      <c r="M587" s="267">
        <v>1</v>
      </c>
      <c r="N587" s="267">
        <v>1</v>
      </c>
      <c r="O587" s="267">
        <v>1</v>
      </c>
      <c r="P587" s="267">
        <v>1</v>
      </c>
      <c r="Q587" s="314">
        <v>0</v>
      </c>
      <c r="R587" s="314">
        <v>0</v>
      </c>
      <c r="S587" s="366">
        <v>0</v>
      </c>
      <c r="T587" s="63"/>
      <c r="U587" s="94" t="s">
        <v>1601</v>
      </c>
      <c r="V587" s="90"/>
      <c r="W587" s="136"/>
      <c r="X587" s="137"/>
    </row>
    <row r="588" spans="1:25" s="260" customFormat="1">
      <c r="A588" s="261">
        <v>0.05</v>
      </c>
      <c r="B588" s="87">
        <f>B587+1</f>
        <v>8</v>
      </c>
      <c r="C588" s="262">
        <v>45876</v>
      </c>
      <c r="D588" s="263">
        <v>72172</v>
      </c>
      <c r="E588" s="271" t="s">
        <v>1072</v>
      </c>
      <c r="F588" s="265">
        <v>12814</v>
      </c>
      <c r="G588" s="265">
        <f>+(52.1+49.56+110.02+38.45+18.7)+(326.82+110.02)+1000</f>
        <v>1705.67</v>
      </c>
      <c r="H588" s="265"/>
      <c r="I588" s="266">
        <f>F588-G588-H588</f>
        <v>11108.33</v>
      </c>
      <c r="J588" s="267" t="s">
        <v>228</v>
      </c>
      <c r="K588" s="267">
        <v>1</v>
      </c>
      <c r="L588" s="267">
        <v>1</v>
      </c>
      <c r="M588" s="267">
        <v>1</v>
      </c>
      <c r="N588" s="267">
        <v>1</v>
      </c>
      <c r="O588" s="267">
        <v>1</v>
      </c>
      <c r="P588" s="267">
        <v>1</v>
      </c>
      <c r="Q588" s="314">
        <v>0</v>
      </c>
      <c r="R588" s="314">
        <v>0</v>
      </c>
      <c r="S588" s="366">
        <v>0</v>
      </c>
      <c r="T588" s="63"/>
      <c r="U588" s="94" t="s">
        <v>1602</v>
      </c>
      <c r="V588" s="90"/>
      <c r="W588" s="91"/>
      <c r="X588" s="137"/>
    </row>
    <row r="589" spans="1:25" s="342" customFormat="1">
      <c r="A589" s="261" t="s">
        <v>1183</v>
      </c>
      <c r="B589" s="87">
        <f>B588+1</f>
        <v>9</v>
      </c>
      <c r="C589" s="262">
        <v>45880</v>
      </c>
      <c r="D589" s="263" t="s">
        <v>1575</v>
      </c>
      <c r="E589" s="271" t="s">
        <v>798</v>
      </c>
      <c r="F589" s="265">
        <v>28614</v>
      </c>
      <c r="G589" s="265">
        <f>39.7+87+2114.68+(88.79+147.25+67.07+175.66+38+31.51+60)+(287.36+46.46+263.98-60+165.31)+(F589*0.2)</f>
        <v>9275.57</v>
      </c>
      <c r="H589" s="265"/>
      <c r="I589" s="266">
        <f>F589-G589-H589</f>
        <v>19338.43</v>
      </c>
      <c r="J589" s="267" t="s">
        <v>156</v>
      </c>
      <c r="K589" s="267">
        <v>1</v>
      </c>
      <c r="L589" s="267">
        <v>1</v>
      </c>
      <c r="M589" s="267">
        <v>1</v>
      </c>
      <c r="N589" s="314">
        <v>0</v>
      </c>
      <c r="O589" s="314">
        <v>0</v>
      </c>
      <c r="P589" s="314">
        <v>0</v>
      </c>
      <c r="Q589" s="267">
        <v>1</v>
      </c>
      <c r="R589" s="267">
        <v>1</v>
      </c>
      <c r="S589" s="269">
        <v>1</v>
      </c>
      <c r="T589" s="63"/>
      <c r="U589" s="94" t="s">
        <v>1603</v>
      </c>
      <c r="V589" s="90">
        <f>17575.4</f>
        <v>17575.400000000001</v>
      </c>
      <c r="W589" s="91"/>
      <c r="X589" s="137"/>
      <c r="Y589" s="260"/>
    </row>
    <row r="590" spans="1:25" s="434" customFormat="1" ht="13.5">
      <c r="A590" s="10"/>
      <c r="B590" s="11"/>
      <c r="C590" s="36"/>
      <c r="D590" s="10"/>
      <c r="E590" s="10"/>
      <c r="F590" s="98">
        <f>SUM(F581:F589)</f>
        <v>119422.9</v>
      </c>
      <c r="G590" s="98">
        <f>SUM(G581:G589)</f>
        <v>35469.07</v>
      </c>
      <c r="H590" s="98">
        <f>SUM(H581:H589)</f>
        <v>0</v>
      </c>
      <c r="I590" s="98">
        <f>SUM(I581:I589)</f>
        <v>83953.83</v>
      </c>
      <c r="J590" s="63"/>
      <c r="K590" s="21"/>
      <c r="L590" s="21"/>
      <c r="M590" s="21"/>
      <c r="N590" s="21"/>
      <c r="O590" s="21"/>
      <c r="P590" s="21"/>
      <c r="Q590" s="21"/>
      <c r="R590" s="21"/>
      <c r="S590" s="21"/>
      <c r="T590" s="63"/>
      <c r="U590" s="10"/>
      <c r="V590" s="90"/>
      <c r="W590" s="91"/>
      <c r="X590" s="92"/>
    </row>
    <row r="591" spans="1:25" s="434" customFormat="1" ht="13.5">
      <c r="A591" s="10"/>
      <c r="B591" s="11"/>
      <c r="C591" s="36"/>
      <c r="D591" s="10"/>
      <c r="E591" s="10"/>
      <c r="F591" s="88"/>
      <c r="G591" s="88"/>
      <c r="H591" s="88"/>
      <c r="I591" s="99"/>
      <c r="J591" s="63"/>
      <c r="K591" s="21"/>
      <c r="L591" s="21"/>
      <c r="M591" s="21"/>
      <c r="N591" s="21"/>
      <c r="O591" s="21"/>
      <c r="P591" s="21"/>
      <c r="Q591" s="21"/>
      <c r="R591" s="21"/>
      <c r="S591" s="21"/>
      <c r="T591" s="63"/>
      <c r="U591" s="10"/>
      <c r="V591" s="90"/>
      <c r="W591" s="91"/>
      <c r="X591" s="92"/>
    </row>
    <row r="592" spans="1:25" s="260" customFormat="1">
      <c r="A592" s="181"/>
      <c r="B592" s="100" t="s">
        <v>1521</v>
      </c>
      <c r="C592" s="36"/>
      <c r="D592" s="10"/>
      <c r="E592" s="181"/>
      <c r="F592" s="88"/>
      <c r="G592" s="88"/>
      <c r="H592" s="88"/>
      <c r="I592" s="99"/>
      <c r="J592" s="63"/>
      <c r="K592" s="21"/>
      <c r="L592" s="21"/>
      <c r="M592" s="21"/>
      <c r="N592" s="21"/>
      <c r="O592" s="21"/>
      <c r="P592" s="21"/>
      <c r="Q592" s="21"/>
      <c r="R592" s="21"/>
      <c r="S592" s="21"/>
      <c r="T592" s="63"/>
      <c r="U592" s="94"/>
      <c r="V592" s="90"/>
      <c r="W592" s="91"/>
      <c r="X592" s="92"/>
    </row>
    <row r="593" spans="1:24" s="260" customFormat="1">
      <c r="A593" s="261">
        <v>0.05</v>
      </c>
      <c r="B593" s="87">
        <v>1</v>
      </c>
      <c r="C593" s="262">
        <v>45875</v>
      </c>
      <c r="D593" s="357" t="s">
        <v>1547</v>
      </c>
      <c r="E593" s="309" t="s">
        <v>1227</v>
      </c>
      <c r="F593" s="265">
        <v>28614</v>
      </c>
      <c r="G593" s="265">
        <f>39.7+330+1870.2+139+(150.22+40.82+251.5+107.28+319.99+69.54+39.12+237.5)+(24.41+131.95+160.95+37.24)+(F593*0.25)</f>
        <v>11102.92</v>
      </c>
      <c r="H593" s="265"/>
      <c r="I593" s="272">
        <f>F593-G593-H593</f>
        <v>17511.080000000002</v>
      </c>
      <c r="J593" s="267" t="s">
        <v>156</v>
      </c>
      <c r="K593" s="267">
        <v>1</v>
      </c>
      <c r="L593" s="267"/>
      <c r="M593" s="267">
        <v>1</v>
      </c>
      <c r="N593" s="267">
        <v>1</v>
      </c>
      <c r="O593" s="267">
        <v>1</v>
      </c>
      <c r="P593" s="267">
        <v>1</v>
      </c>
      <c r="Q593" s="267"/>
      <c r="R593" s="267"/>
      <c r="S593" s="269"/>
      <c r="T593" s="63"/>
      <c r="U593" s="10" t="s">
        <v>1604</v>
      </c>
      <c r="V593" s="90"/>
      <c r="W593" s="136"/>
      <c r="X593" s="137"/>
    </row>
    <row r="594" spans="1:24" s="260" customFormat="1">
      <c r="A594" s="181"/>
      <c r="B594" s="11"/>
      <c r="C594" s="36"/>
      <c r="D594" s="10"/>
      <c r="E594" s="10"/>
      <c r="F594" s="97">
        <f>SUM(F593:F593)</f>
        <v>28614</v>
      </c>
      <c r="G594" s="97">
        <f>SUM(G593:G593)</f>
        <v>11102.92</v>
      </c>
      <c r="H594" s="97">
        <f>SUM(H593:H593)</f>
        <v>0</v>
      </c>
      <c r="I594" s="97">
        <f>SUM(I593:I593)</f>
        <v>17511.080000000002</v>
      </c>
      <c r="J594" s="63"/>
      <c r="K594" s="21"/>
      <c r="L594" s="21"/>
      <c r="M594" s="21"/>
      <c r="N594" s="21"/>
      <c r="O594" s="21"/>
      <c r="P594" s="21"/>
      <c r="Q594" s="21"/>
      <c r="R594" s="21"/>
      <c r="S594" s="21"/>
      <c r="T594" s="63"/>
      <c r="U594" s="94"/>
      <c r="V594" s="90"/>
      <c r="W594" s="91"/>
      <c r="X594" s="92"/>
    </row>
    <row r="595" spans="1:24" s="260" customFormat="1">
      <c r="A595" s="181"/>
      <c r="B595" s="11"/>
      <c r="C595" s="36"/>
      <c r="D595" s="10"/>
      <c r="E595" s="10"/>
      <c r="F595" s="88"/>
      <c r="G595" s="88"/>
      <c r="H595" s="88"/>
      <c r="I595" s="99"/>
      <c r="J595" s="63"/>
      <c r="K595" s="21"/>
      <c r="L595" s="21"/>
      <c r="M595" s="21"/>
      <c r="N595" s="21"/>
      <c r="O595" s="21"/>
      <c r="P595" s="21"/>
      <c r="Q595" s="21"/>
      <c r="R595" s="21"/>
      <c r="S595" s="21"/>
      <c r="T595" s="63"/>
      <c r="U595" s="94"/>
      <c r="V595" s="90"/>
      <c r="W595" s="91"/>
      <c r="X595" s="92"/>
    </row>
    <row r="596" spans="1:24">
      <c r="A596" s="2"/>
      <c r="B596" s="100" t="s">
        <v>72</v>
      </c>
      <c r="C596" s="36"/>
      <c r="D596" s="10"/>
      <c r="E596" s="10"/>
      <c r="F596" s="88"/>
      <c r="G596" s="88"/>
      <c r="H596" s="88"/>
      <c r="I596" s="99"/>
      <c r="J596" s="63"/>
      <c r="K596" s="63"/>
      <c r="L596" s="63"/>
      <c r="M596" s="63"/>
      <c r="N596" s="63"/>
      <c r="O596" s="63"/>
      <c r="P596" s="63"/>
      <c r="Q596" s="63"/>
      <c r="R596" s="63"/>
      <c r="S596" s="63"/>
      <c r="T596" s="63"/>
      <c r="U596" s="10"/>
      <c r="V596" s="90"/>
      <c r="W596" s="91"/>
      <c r="X596" s="92"/>
    </row>
    <row r="597" spans="1:24">
      <c r="A597" s="2"/>
      <c r="B597" s="87">
        <v>1</v>
      </c>
      <c r="C597" s="274">
        <v>45887</v>
      </c>
      <c r="D597" s="276">
        <v>72328</v>
      </c>
      <c r="E597" s="276" t="s">
        <v>172</v>
      </c>
      <c r="F597" s="277">
        <v>681</v>
      </c>
      <c r="G597" s="277"/>
      <c r="H597" s="277"/>
      <c r="I597" s="278">
        <f>F597-G597-H597</f>
        <v>681</v>
      </c>
      <c r="J597" s="279" t="s">
        <v>205</v>
      </c>
      <c r="K597" s="279">
        <v>1</v>
      </c>
      <c r="L597" s="279"/>
      <c r="M597" s="279"/>
      <c r="N597" s="279">
        <v>1</v>
      </c>
      <c r="O597" s="279"/>
      <c r="P597" s="279">
        <v>1</v>
      </c>
      <c r="Q597" s="279"/>
      <c r="R597" s="279"/>
      <c r="S597" s="280"/>
      <c r="T597" s="63"/>
      <c r="U597" s="3"/>
      <c r="V597" s="90"/>
      <c r="W597" s="91"/>
      <c r="X597" s="92"/>
    </row>
    <row r="598" spans="1:24">
      <c r="A598" s="2"/>
      <c r="B598" s="87">
        <f t="shared" ref="B598:B609" si="69">B597+1</f>
        <v>2</v>
      </c>
      <c r="C598" s="295">
        <v>45887</v>
      </c>
      <c r="D598" s="10">
        <v>72315</v>
      </c>
      <c r="E598" s="10" t="s">
        <v>317</v>
      </c>
      <c r="F598" s="62">
        <v>1443</v>
      </c>
      <c r="G598" s="62">
        <f>39.7</f>
        <v>39.700000000000003</v>
      </c>
      <c r="H598" s="62"/>
      <c r="I598" s="89">
        <f>F598-G598-H598</f>
        <v>1403.3</v>
      </c>
      <c r="J598" s="63" t="s">
        <v>205</v>
      </c>
      <c r="K598" s="63">
        <v>1</v>
      </c>
      <c r="L598" s="63"/>
      <c r="M598" s="63"/>
      <c r="N598" s="63"/>
      <c r="O598" s="63"/>
      <c r="P598" s="63"/>
      <c r="Q598" s="63">
        <v>1</v>
      </c>
      <c r="R598" s="63">
        <v>1</v>
      </c>
      <c r="S598" s="296">
        <v>1</v>
      </c>
      <c r="T598" s="63"/>
      <c r="U598" s="10"/>
      <c r="V598" s="90"/>
      <c r="W598" s="136"/>
      <c r="X598" s="137"/>
    </row>
    <row r="599" spans="1:24">
      <c r="A599" s="2"/>
      <c r="B599" s="87">
        <f t="shared" si="69"/>
        <v>3</v>
      </c>
      <c r="C599" s="295">
        <v>45887</v>
      </c>
      <c r="D599" s="10">
        <v>72402</v>
      </c>
      <c r="E599" s="10" t="s">
        <v>728</v>
      </c>
      <c r="F599" s="62">
        <v>18161</v>
      </c>
      <c r="G599" s="62">
        <v>39.700000000000003</v>
      </c>
      <c r="H599" s="62"/>
      <c r="I599" s="89">
        <f>F599-G599-H599</f>
        <v>18121.3</v>
      </c>
      <c r="J599" s="63" t="s">
        <v>205</v>
      </c>
      <c r="K599" s="63"/>
      <c r="L599" s="63"/>
      <c r="M599" s="63"/>
      <c r="N599" s="63">
        <v>1</v>
      </c>
      <c r="O599" s="63"/>
      <c r="P599" s="63"/>
      <c r="Q599" s="63"/>
      <c r="R599" s="63"/>
      <c r="S599" s="296"/>
      <c r="T599" s="63"/>
      <c r="U599" s="10"/>
      <c r="V599" s="90"/>
      <c r="W599" s="136"/>
      <c r="X599" s="137"/>
    </row>
    <row r="600" spans="1:24">
      <c r="A600" s="2"/>
      <c r="B600" s="87">
        <f t="shared" si="69"/>
        <v>4</v>
      </c>
      <c r="C600" s="295">
        <v>45887</v>
      </c>
      <c r="D600" s="10">
        <v>72391</v>
      </c>
      <c r="E600" s="10" t="s">
        <v>1227</v>
      </c>
      <c r="F600" s="62">
        <v>1138</v>
      </c>
      <c r="G600" s="62">
        <f>39.7</f>
        <v>39.700000000000003</v>
      </c>
      <c r="H600" s="62"/>
      <c r="I600" s="89">
        <f>F600-G600-H600</f>
        <v>1098.3</v>
      </c>
      <c r="J600" s="63" t="s">
        <v>205</v>
      </c>
      <c r="K600" s="63">
        <v>1</v>
      </c>
      <c r="L600" s="63"/>
      <c r="M600" s="63"/>
      <c r="N600" s="63">
        <v>1</v>
      </c>
      <c r="O600" s="63"/>
      <c r="P600" s="63"/>
      <c r="Q600" s="63">
        <v>1</v>
      </c>
      <c r="R600" s="63">
        <v>1</v>
      </c>
      <c r="S600" s="296">
        <v>1</v>
      </c>
      <c r="T600" s="63"/>
      <c r="U600" s="10"/>
      <c r="V600" s="90"/>
      <c r="W600" s="136"/>
      <c r="X600" s="137"/>
    </row>
    <row r="601" spans="1:24">
      <c r="A601" s="2"/>
      <c r="B601" s="87">
        <f t="shared" si="69"/>
        <v>5</v>
      </c>
      <c r="C601" s="295">
        <v>45887</v>
      </c>
      <c r="D601" s="10">
        <v>72396</v>
      </c>
      <c r="E601" s="10" t="s">
        <v>746</v>
      </c>
      <c r="F601" s="62">
        <v>1316</v>
      </c>
      <c r="G601" s="62">
        <v>39.700000000000003</v>
      </c>
      <c r="H601" s="62"/>
      <c r="I601" s="89">
        <f>F601-G601-H601</f>
        <v>1276.3</v>
      </c>
      <c r="J601" s="63" t="s">
        <v>205</v>
      </c>
      <c r="K601" s="63">
        <v>1</v>
      </c>
      <c r="L601" s="63"/>
      <c r="M601" s="63"/>
      <c r="N601" s="63">
        <v>1</v>
      </c>
      <c r="O601" s="63"/>
      <c r="P601" s="63"/>
      <c r="Q601" s="63">
        <v>1</v>
      </c>
      <c r="R601" s="63">
        <v>1</v>
      </c>
      <c r="S601" s="296">
        <v>1</v>
      </c>
      <c r="T601" s="63"/>
      <c r="U601" s="10"/>
      <c r="V601" s="90"/>
      <c r="W601" s="136"/>
      <c r="X601" s="137"/>
    </row>
    <row r="602" spans="1:24">
      <c r="A602" s="2"/>
      <c r="B602" s="87">
        <f t="shared" si="69"/>
        <v>6</v>
      </c>
      <c r="C602" s="274">
        <v>45888</v>
      </c>
      <c r="D602" s="276">
        <v>72406</v>
      </c>
      <c r="E602" s="281" t="s">
        <v>278</v>
      </c>
      <c r="F602" s="277">
        <v>776</v>
      </c>
      <c r="G602" s="277">
        <v>39.700000000000003</v>
      </c>
      <c r="H602" s="277"/>
      <c r="I602" s="278">
        <f>F602-G602-H602</f>
        <v>736.3</v>
      </c>
      <c r="J602" s="279" t="s">
        <v>205</v>
      </c>
      <c r="K602" s="279">
        <v>1</v>
      </c>
      <c r="L602" s="279"/>
      <c r="M602" s="279"/>
      <c r="N602" s="279">
        <v>1</v>
      </c>
      <c r="O602" s="279"/>
      <c r="P602" s="279"/>
      <c r="Q602" s="279">
        <v>1</v>
      </c>
      <c r="R602" s="279">
        <v>1</v>
      </c>
      <c r="S602" s="280">
        <v>1</v>
      </c>
      <c r="T602" s="63"/>
      <c r="U602" s="10"/>
      <c r="V602" s="90"/>
      <c r="W602" s="136"/>
      <c r="X602" s="137"/>
    </row>
    <row r="603" spans="1:24">
      <c r="A603" s="2"/>
      <c r="B603" s="87">
        <f t="shared" si="69"/>
        <v>7</v>
      </c>
      <c r="C603" s="295">
        <v>45888</v>
      </c>
      <c r="D603" s="10">
        <v>72442</v>
      </c>
      <c r="E603" s="101" t="s">
        <v>159</v>
      </c>
      <c r="F603" s="62">
        <v>781</v>
      </c>
      <c r="G603" s="62">
        <v>39.700000000000003</v>
      </c>
      <c r="H603" s="62"/>
      <c r="I603" s="89">
        <f>F603-G603-H603</f>
        <v>741.3</v>
      </c>
      <c r="J603" s="63" t="s">
        <v>205</v>
      </c>
      <c r="K603" s="63">
        <v>1</v>
      </c>
      <c r="L603" s="63"/>
      <c r="M603" s="63"/>
      <c r="N603" s="63">
        <v>1</v>
      </c>
      <c r="O603" s="63"/>
      <c r="P603" s="63"/>
      <c r="Q603" s="63">
        <v>1</v>
      </c>
      <c r="R603" s="63">
        <v>1</v>
      </c>
      <c r="S603" s="296">
        <v>1</v>
      </c>
      <c r="T603" s="63"/>
      <c r="U603" s="10"/>
      <c r="V603" s="90"/>
      <c r="W603" s="136"/>
      <c r="X603" s="137"/>
    </row>
    <row r="604" spans="1:24">
      <c r="A604" s="2"/>
      <c r="B604" s="87">
        <f t="shared" si="69"/>
        <v>8</v>
      </c>
      <c r="C604" s="295">
        <v>45888</v>
      </c>
      <c r="D604" s="10">
        <v>72422</v>
      </c>
      <c r="E604" s="101" t="s">
        <v>1605</v>
      </c>
      <c r="F604" s="62">
        <v>1467.9</v>
      </c>
      <c r="G604" s="62">
        <v>39.700000000000003</v>
      </c>
      <c r="H604" s="62"/>
      <c r="I604" s="89">
        <f>F604-G604-H604</f>
        <v>1428.2</v>
      </c>
      <c r="J604" s="63" t="s">
        <v>205</v>
      </c>
      <c r="K604" s="63">
        <v>1</v>
      </c>
      <c r="L604" s="63"/>
      <c r="M604" s="63"/>
      <c r="N604" s="63">
        <v>1</v>
      </c>
      <c r="O604" s="63"/>
      <c r="P604" s="63">
        <v>1</v>
      </c>
      <c r="Q604" s="63">
        <v>1</v>
      </c>
      <c r="R604" s="63">
        <v>1</v>
      </c>
      <c r="S604" s="296"/>
      <c r="T604" s="63"/>
      <c r="U604" s="10"/>
      <c r="V604" s="90"/>
      <c r="W604" s="136"/>
      <c r="X604" s="137"/>
    </row>
    <row r="605" spans="1:24">
      <c r="A605" s="2"/>
      <c r="B605" s="87">
        <f t="shared" si="69"/>
        <v>9</v>
      </c>
      <c r="C605" s="274">
        <v>45890</v>
      </c>
      <c r="D605" s="275" t="s">
        <v>1606</v>
      </c>
      <c r="E605" s="281" t="s">
        <v>811</v>
      </c>
      <c r="F605" s="277">
        <v>3861</v>
      </c>
      <c r="G605" s="277">
        <v>39.700000000000003</v>
      </c>
      <c r="H605" s="277"/>
      <c r="I605" s="278">
        <f>F605-G605-H605</f>
        <v>3821.3</v>
      </c>
      <c r="J605" s="279" t="s">
        <v>205</v>
      </c>
      <c r="K605" s="279">
        <v>1</v>
      </c>
      <c r="L605" s="279"/>
      <c r="M605" s="279"/>
      <c r="N605" s="279">
        <v>1</v>
      </c>
      <c r="O605" s="279"/>
      <c r="P605" s="279"/>
      <c r="Q605" s="279">
        <v>1</v>
      </c>
      <c r="R605" s="279">
        <v>1</v>
      </c>
      <c r="S605" s="280">
        <v>1</v>
      </c>
      <c r="T605" s="63"/>
      <c r="U605" s="10"/>
      <c r="V605" s="90"/>
      <c r="W605" s="136"/>
      <c r="X605" s="137"/>
    </row>
    <row r="606" spans="1:24">
      <c r="A606" s="2"/>
      <c r="B606" s="87">
        <f t="shared" si="69"/>
        <v>10</v>
      </c>
      <c r="C606" s="295">
        <v>45890</v>
      </c>
      <c r="D606" s="77" t="s">
        <v>1607</v>
      </c>
      <c r="E606" s="101" t="s">
        <v>811</v>
      </c>
      <c r="F606" s="62">
        <v>2614</v>
      </c>
      <c r="G606" s="62">
        <v>39.700000000000003</v>
      </c>
      <c r="H606" s="62"/>
      <c r="I606" s="89">
        <f>F606-G606-H606</f>
        <v>2574.3000000000002</v>
      </c>
      <c r="J606" s="63" t="s">
        <v>205</v>
      </c>
      <c r="K606" s="63">
        <v>1</v>
      </c>
      <c r="L606" s="63"/>
      <c r="M606" s="63"/>
      <c r="N606" s="63">
        <v>1</v>
      </c>
      <c r="O606" s="63"/>
      <c r="P606" s="63"/>
      <c r="Q606" s="63">
        <v>1</v>
      </c>
      <c r="R606" s="63">
        <v>1</v>
      </c>
      <c r="S606" s="296">
        <v>1</v>
      </c>
      <c r="T606" s="63"/>
      <c r="U606" s="10"/>
      <c r="V606" s="90"/>
      <c r="W606" s="136"/>
      <c r="X606" s="137"/>
    </row>
    <row r="607" spans="1:24">
      <c r="A607" s="2"/>
      <c r="B607" s="87">
        <f t="shared" si="69"/>
        <v>11</v>
      </c>
      <c r="C607" s="295">
        <v>45890</v>
      </c>
      <c r="D607" s="10">
        <v>72524</v>
      </c>
      <c r="E607" s="101" t="s">
        <v>317</v>
      </c>
      <c r="F607" s="62">
        <v>2412.9</v>
      </c>
      <c r="G607" s="62">
        <f>39.7</f>
        <v>39.700000000000003</v>
      </c>
      <c r="H607" s="62"/>
      <c r="I607" s="89">
        <f>F607-G607-H607</f>
        <v>2373.2000000000003</v>
      </c>
      <c r="J607" s="63" t="s">
        <v>205</v>
      </c>
      <c r="K607" s="63">
        <v>1</v>
      </c>
      <c r="L607" s="63"/>
      <c r="M607" s="63"/>
      <c r="N607" s="63">
        <v>1</v>
      </c>
      <c r="O607" s="63"/>
      <c r="P607" s="63">
        <v>1</v>
      </c>
      <c r="Q607" s="63"/>
      <c r="R607" s="63"/>
      <c r="S607" s="296"/>
      <c r="T607" s="63"/>
      <c r="U607" s="10"/>
      <c r="V607" s="90"/>
      <c r="W607" s="136"/>
      <c r="X607" s="137"/>
    </row>
    <row r="608" spans="1:24">
      <c r="A608" s="2"/>
      <c r="B608" s="87">
        <f t="shared" si="69"/>
        <v>12</v>
      </c>
      <c r="C608" s="295">
        <v>45890</v>
      </c>
      <c r="D608" s="10" t="s">
        <v>1608</v>
      </c>
      <c r="E608" s="101" t="s">
        <v>169</v>
      </c>
      <c r="F608" s="62">
        <v>681</v>
      </c>
      <c r="G608" s="62"/>
      <c r="H608" s="62"/>
      <c r="I608" s="89">
        <f>F608-G608-H608</f>
        <v>681</v>
      </c>
      <c r="J608" s="63" t="s">
        <v>205</v>
      </c>
      <c r="K608" s="63">
        <v>1</v>
      </c>
      <c r="L608" s="63"/>
      <c r="M608" s="63"/>
      <c r="N608" s="63">
        <v>1</v>
      </c>
      <c r="O608" s="63"/>
      <c r="P608" s="63"/>
      <c r="Q608" s="63"/>
      <c r="R608" s="63"/>
      <c r="S608" s="296"/>
      <c r="T608" s="63"/>
      <c r="U608" s="10"/>
      <c r="V608" s="90"/>
      <c r="W608" s="136"/>
      <c r="X608" s="137"/>
    </row>
    <row r="609" spans="1:24">
      <c r="A609" s="2"/>
      <c r="B609" s="87">
        <f>B608+1</f>
        <v>13</v>
      </c>
      <c r="C609" s="295">
        <v>45890</v>
      </c>
      <c r="D609" s="10" t="s">
        <v>1609</v>
      </c>
      <c r="E609" s="101" t="s">
        <v>169</v>
      </c>
      <c r="F609" s="62">
        <v>5814</v>
      </c>
      <c r="G609" s="62">
        <v>39.700000000000003</v>
      </c>
      <c r="H609" s="62"/>
      <c r="I609" s="89">
        <f>F609-G609-H609</f>
        <v>5774.3</v>
      </c>
      <c r="J609" s="63" t="s">
        <v>205</v>
      </c>
      <c r="K609" s="63">
        <v>1</v>
      </c>
      <c r="L609" s="63"/>
      <c r="M609" s="63"/>
      <c r="N609" s="63">
        <v>1</v>
      </c>
      <c r="O609" s="63"/>
      <c r="P609" s="63"/>
      <c r="Q609" s="63"/>
      <c r="R609" s="63"/>
      <c r="S609" s="296"/>
      <c r="T609" s="63"/>
      <c r="U609" s="10"/>
      <c r="V609" s="90"/>
      <c r="W609" s="136"/>
      <c r="X609" s="137"/>
    </row>
    <row r="610" spans="1:24" s="260" customFormat="1">
      <c r="A610" s="181" t="s">
        <v>1610</v>
      </c>
      <c r="B610" s="87">
        <f>B609+1</f>
        <v>14</v>
      </c>
      <c r="C610" s="282">
        <v>45890</v>
      </c>
      <c r="D610" s="283">
        <v>72535</v>
      </c>
      <c r="E610" s="283" t="s">
        <v>1611</v>
      </c>
      <c r="F610" s="284">
        <v>1861</v>
      </c>
      <c r="G610" s="284">
        <f>39.7</f>
        <v>39.700000000000003</v>
      </c>
      <c r="H610" s="284"/>
      <c r="I610" s="285">
        <f>F610-G610-H610</f>
        <v>1821.3</v>
      </c>
      <c r="J610" s="286" t="s">
        <v>156</v>
      </c>
      <c r="K610" s="286">
        <v>1</v>
      </c>
      <c r="L610" s="286"/>
      <c r="M610" s="286">
        <v>1</v>
      </c>
      <c r="N610" s="286">
        <v>1</v>
      </c>
      <c r="O610" s="286">
        <v>1</v>
      </c>
      <c r="P610" s="286">
        <v>1</v>
      </c>
      <c r="Q610" s="286"/>
      <c r="R610" s="286"/>
      <c r="S610" s="287"/>
      <c r="T610" s="63"/>
      <c r="U610" s="94" t="s">
        <v>1612</v>
      </c>
      <c r="V610" s="90">
        <f>250</f>
        <v>250</v>
      </c>
      <c r="W610" s="136"/>
      <c r="X610" s="137"/>
    </row>
    <row r="611" spans="1:24">
      <c r="A611" s="2"/>
      <c r="B611" s="87">
        <f>B610+1</f>
        <v>15</v>
      </c>
      <c r="C611" s="282">
        <v>45891</v>
      </c>
      <c r="D611" s="283">
        <v>72530</v>
      </c>
      <c r="E611" s="283" t="s">
        <v>169</v>
      </c>
      <c r="F611" s="284">
        <v>7752.6</v>
      </c>
      <c r="G611" s="284">
        <v>39.700000000000003</v>
      </c>
      <c r="H611" s="284"/>
      <c r="I611" s="285">
        <f>F611-G611-H611</f>
        <v>7712.9000000000005</v>
      </c>
      <c r="J611" s="286" t="s">
        <v>205</v>
      </c>
      <c r="K611" s="286">
        <v>1</v>
      </c>
      <c r="L611" s="286"/>
      <c r="M611" s="286"/>
      <c r="N611" s="286">
        <v>1</v>
      </c>
      <c r="O611" s="286"/>
      <c r="P611" s="286"/>
      <c r="Q611" s="286">
        <v>1</v>
      </c>
      <c r="R611" s="286">
        <v>1</v>
      </c>
      <c r="S611" s="287">
        <v>1</v>
      </c>
      <c r="T611" s="63"/>
      <c r="U611" s="10"/>
      <c r="V611" s="90"/>
      <c r="W611" s="136"/>
      <c r="X611" s="137"/>
    </row>
    <row r="612" spans="1:24">
      <c r="A612" s="2"/>
      <c r="B612" s="11"/>
      <c r="C612" s="36"/>
      <c r="D612" s="10"/>
      <c r="E612" s="10"/>
      <c r="F612" s="97">
        <f>SUM(F597:F611)</f>
        <v>50760.4</v>
      </c>
      <c r="G612" s="97">
        <f>SUM(G597:G611)</f>
        <v>516.09999999999991</v>
      </c>
      <c r="H612" s="97">
        <f>SUM(H597:H611)</f>
        <v>0</v>
      </c>
      <c r="I612" s="98">
        <f>SUM(I597:I611)</f>
        <v>50244.3</v>
      </c>
      <c r="J612" s="10"/>
      <c r="K612" s="10"/>
      <c r="L612" s="10"/>
      <c r="M612" s="10"/>
      <c r="N612" s="10"/>
      <c r="O612" s="10"/>
      <c r="P612" s="10"/>
      <c r="Q612" s="10"/>
      <c r="R612" s="10"/>
      <c r="S612" s="10"/>
      <c r="T612" s="63"/>
      <c r="U612" s="10"/>
      <c r="V612" s="138"/>
      <c r="W612" s="136"/>
      <c r="X612" s="137"/>
    </row>
    <row r="613" spans="1:24">
      <c r="A613" s="2"/>
      <c r="B613" s="26"/>
      <c r="C613" s="140"/>
      <c r="D613" s="141"/>
      <c r="E613" s="141"/>
      <c r="F613" s="141"/>
      <c r="G613" s="141"/>
      <c r="H613" s="141"/>
      <c r="I613" s="141"/>
      <c r="J613" s="141"/>
      <c r="K613" s="142"/>
      <c r="L613" s="142"/>
      <c r="M613" s="142"/>
      <c r="N613" s="142"/>
      <c r="O613" s="142"/>
      <c r="P613" s="142"/>
      <c r="Q613" s="142"/>
      <c r="R613" s="142"/>
      <c r="S613" s="142"/>
      <c r="T613" s="143">
        <f>SUM(T554:T612)</f>
        <v>2</v>
      </c>
      <c r="U613" s="141"/>
      <c r="V613" s="144">
        <f>SUM(V554:V612)</f>
        <v>43351.8</v>
      </c>
      <c r="W613" s="145">
        <f>SUM(W554:W612)</f>
        <v>0</v>
      </c>
      <c r="X613" s="146">
        <f>SUM(X554:X612)</f>
        <v>0</v>
      </c>
    </row>
    <row r="616" spans="1:24">
      <c r="A616" s="3"/>
      <c r="B616" s="4" t="s">
        <v>1</v>
      </c>
      <c r="C616" s="5"/>
      <c r="D616" s="6"/>
      <c r="E616" s="6"/>
      <c r="F616" s="7" t="s">
        <v>2</v>
      </c>
      <c r="G616" s="590">
        <v>45900</v>
      </c>
      <c r="H616" s="7"/>
      <c r="I616" s="6"/>
      <c r="J616" s="6"/>
      <c r="K616" s="6"/>
      <c r="L616" s="6"/>
      <c r="M616" s="6"/>
      <c r="N616" s="6"/>
      <c r="O616" s="6"/>
      <c r="P616" s="6"/>
      <c r="Q616" s="6"/>
      <c r="R616" s="6"/>
      <c r="S616" s="6"/>
      <c r="T616" s="6"/>
      <c r="U616" s="9"/>
      <c r="V616" s="10"/>
      <c r="W616" s="10"/>
      <c r="X616" s="10"/>
    </row>
    <row r="617" spans="1:24">
      <c r="A617" s="2"/>
      <c r="B617" s="11"/>
      <c r="C617" s="10"/>
      <c r="D617" s="10"/>
      <c r="E617" s="10"/>
      <c r="F617" s="10"/>
      <c r="G617" s="7"/>
      <c r="H617" s="12"/>
      <c r="I617" s="10"/>
      <c r="J617" s="10"/>
      <c r="K617" s="13" t="s">
        <v>3</v>
      </c>
      <c r="L617" s="14"/>
      <c r="M617" s="15"/>
      <c r="N617" s="13" t="s">
        <v>4</v>
      </c>
      <c r="O617" s="14"/>
      <c r="P617" s="15"/>
      <c r="Q617" s="13" t="s">
        <v>5</v>
      </c>
      <c r="R617" s="14"/>
      <c r="S617" s="15"/>
      <c r="T617" s="16"/>
      <c r="U617" s="17"/>
      <c r="V617" s="10"/>
      <c r="W617" s="10"/>
      <c r="X617" s="10"/>
    </row>
    <row r="618" spans="1:24">
      <c r="A618" s="2"/>
      <c r="B618" s="18" t="s">
        <v>6</v>
      </c>
      <c r="C618" s="19">
        <f>C619+C620</f>
        <v>33</v>
      </c>
      <c r="D618" s="10"/>
      <c r="E618" s="18" t="s">
        <v>7</v>
      </c>
      <c r="F618" s="6"/>
      <c r="G618" s="9"/>
      <c r="H618" s="10"/>
      <c r="I618" s="10"/>
      <c r="J618" s="10"/>
      <c r="K618" s="20" t="s">
        <v>8</v>
      </c>
      <c r="L618" s="21" t="s">
        <v>9</v>
      </c>
      <c r="M618" s="21" t="s">
        <v>10</v>
      </c>
      <c r="N618" s="20" t="s">
        <v>11</v>
      </c>
      <c r="O618" s="21" t="s">
        <v>12</v>
      </c>
      <c r="P618" s="22" t="s">
        <v>13</v>
      </c>
      <c r="Q618" s="21" t="s">
        <v>11</v>
      </c>
      <c r="R618" s="21" t="s">
        <v>12</v>
      </c>
      <c r="S618" s="22" t="s">
        <v>13</v>
      </c>
      <c r="T618" s="23" t="s">
        <v>14</v>
      </c>
      <c r="U618" s="17"/>
      <c r="V618" s="10"/>
      <c r="W618" s="10"/>
      <c r="X618" s="10"/>
    </row>
    <row r="619" spans="1:24">
      <c r="A619" s="2"/>
      <c r="B619" s="24" t="s">
        <v>15</v>
      </c>
      <c r="C619" s="25">
        <f>P626</f>
        <v>14</v>
      </c>
      <c r="D619" s="10"/>
      <c r="E619" s="26" t="s">
        <v>16</v>
      </c>
      <c r="F619" s="27">
        <v>0.05</v>
      </c>
      <c r="G619" s="28"/>
      <c r="H619" s="10"/>
      <c r="I619" s="10"/>
      <c r="J619" s="18" t="s">
        <v>17</v>
      </c>
      <c r="K619" s="29">
        <f>K658</f>
        <v>11</v>
      </c>
      <c r="L619" s="29">
        <f>L658</f>
        <v>10</v>
      </c>
      <c r="M619" s="29">
        <f>M658</f>
        <v>9</v>
      </c>
      <c r="N619" s="29">
        <f>N658</f>
        <v>11</v>
      </c>
      <c r="O619" s="29">
        <f>O658</f>
        <v>11</v>
      </c>
      <c r="P619" s="29">
        <f>P658</f>
        <v>11</v>
      </c>
      <c r="Q619" s="29">
        <f>Q658</f>
        <v>10</v>
      </c>
      <c r="R619" s="29">
        <f>R658</f>
        <v>8</v>
      </c>
      <c r="S619" s="29">
        <f>S658</f>
        <v>5</v>
      </c>
      <c r="T619" s="30">
        <f>T710</f>
        <v>5</v>
      </c>
      <c r="U619" s="17"/>
      <c r="V619" s="10"/>
      <c r="W619" s="10"/>
      <c r="X619" s="10"/>
    </row>
    <row r="620" spans="1:24">
      <c r="A620" s="2"/>
      <c r="B620" s="24" t="s">
        <v>18</v>
      </c>
      <c r="C620" s="25">
        <f>P627</f>
        <v>19</v>
      </c>
      <c r="D620" s="10"/>
      <c r="E620" s="10"/>
      <c r="F620" s="10"/>
      <c r="G620" s="31"/>
      <c r="H620" s="10"/>
      <c r="I620" s="10"/>
      <c r="J620" s="32" t="s">
        <v>19</v>
      </c>
      <c r="K620" s="33">
        <f>K658/K657</f>
        <v>1</v>
      </c>
      <c r="L620" s="33">
        <f>L658/L657</f>
        <v>0.90909090909090906</v>
      </c>
      <c r="M620" s="33">
        <f>M658/M657</f>
        <v>0.81818181818181823</v>
      </c>
      <c r="N620" s="33">
        <f>N658/N657</f>
        <v>1</v>
      </c>
      <c r="O620" s="33">
        <f>O658/O657</f>
        <v>1</v>
      </c>
      <c r="P620" s="33">
        <f>P658/P657</f>
        <v>1</v>
      </c>
      <c r="Q620" s="33">
        <f>Q658/Q657</f>
        <v>0.90909090909090906</v>
      </c>
      <c r="R620" s="33">
        <f>R658/R657</f>
        <v>0.72727272727272729</v>
      </c>
      <c r="S620" s="33">
        <f>S658/S657</f>
        <v>0.45454545454545453</v>
      </c>
      <c r="T620" s="23"/>
      <c r="U620" s="17" t="s">
        <v>20</v>
      </c>
      <c r="V620" s="10"/>
      <c r="W620" s="10"/>
      <c r="X620" s="10"/>
    </row>
    <row r="621" spans="1:24">
      <c r="A621" s="2"/>
      <c r="B621" s="24" t="s">
        <v>21</v>
      </c>
      <c r="C621" s="34">
        <f>P628</f>
        <v>0.42424242424242425</v>
      </c>
      <c r="D621" s="10"/>
      <c r="E621" s="10"/>
      <c r="F621" s="10"/>
      <c r="G621" s="10"/>
      <c r="H621" s="10"/>
      <c r="I621" s="10"/>
      <c r="J621" s="10"/>
      <c r="K621" s="10"/>
      <c r="L621" s="10"/>
      <c r="M621" s="10"/>
      <c r="N621" s="10"/>
      <c r="O621" s="10"/>
      <c r="P621" s="10"/>
      <c r="Q621" s="10"/>
      <c r="R621" s="10"/>
      <c r="S621" s="10"/>
      <c r="T621" s="10"/>
      <c r="U621" s="17"/>
      <c r="V621" s="10"/>
      <c r="W621" s="10"/>
      <c r="X621" s="10"/>
    </row>
    <row r="622" spans="1:24">
      <c r="A622" s="2"/>
      <c r="B622" s="24"/>
      <c r="C622" s="25"/>
      <c r="D622" s="10"/>
      <c r="E622" s="10"/>
      <c r="F622" s="18" t="s">
        <v>22</v>
      </c>
      <c r="G622" s="19" t="s">
        <v>23</v>
      </c>
      <c r="H622" s="35" t="s">
        <v>24</v>
      </c>
      <c r="I622" s="10"/>
      <c r="J622" s="10"/>
      <c r="K622" s="36"/>
      <c r="L622" s="36"/>
      <c r="M622" s="36"/>
      <c r="N622" s="36"/>
      <c r="O622" s="36"/>
      <c r="P622" s="36"/>
      <c r="Q622" s="36"/>
      <c r="R622" s="10"/>
      <c r="S622" s="10"/>
      <c r="T622" s="10"/>
      <c r="U622" s="17"/>
      <c r="V622" s="10"/>
      <c r="W622" s="10"/>
      <c r="X622" s="10"/>
    </row>
    <row r="623" spans="1:24">
      <c r="A623" s="2"/>
      <c r="B623" s="32" t="s">
        <v>25</v>
      </c>
      <c r="C623" s="37">
        <f>P629</f>
        <v>1904.0457142857142</v>
      </c>
      <c r="D623" s="10"/>
      <c r="E623" s="18" t="s">
        <v>26</v>
      </c>
      <c r="F623" s="38">
        <f>P625</f>
        <v>26656.639999999999</v>
      </c>
      <c r="G623" s="39">
        <f>I657+I662+I667</f>
        <v>26656.639999999999</v>
      </c>
      <c r="H623" s="40"/>
      <c r="I623" s="41"/>
      <c r="J623" s="42"/>
      <c r="K623" s="43" t="s">
        <v>27</v>
      </c>
      <c r="L623" s="44"/>
      <c r="M623" s="44"/>
      <c r="N623" s="44"/>
      <c r="O623" s="44"/>
      <c r="P623" s="44"/>
      <c r="Q623" s="45"/>
      <c r="R623" s="46" t="s">
        <v>28</v>
      </c>
      <c r="S623" s="47" t="s">
        <v>29</v>
      </c>
      <c r="T623" s="10"/>
      <c r="U623" s="17"/>
      <c r="V623" s="10"/>
      <c r="W623" s="10"/>
      <c r="X623" s="10"/>
    </row>
    <row r="624" spans="1:24">
      <c r="A624" s="2"/>
      <c r="B624" s="11"/>
      <c r="C624" s="10"/>
      <c r="D624" s="10"/>
      <c r="E624" s="24" t="s">
        <v>30</v>
      </c>
      <c r="F624" s="48">
        <f>F619</f>
        <v>0.05</v>
      </c>
      <c r="G624" s="17"/>
      <c r="H624" s="40"/>
      <c r="I624" s="41"/>
      <c r="J624" s="42"/>
      <c r="K624" s="20" t="s">
        <v>31</v>
      </c>
      <c r="L624" s="21" t="s">
        <v>32</v>
      </c>
      <c r="M624" s="21" t="s">
        <v>33</v>
      </c>
      <c r="N624" s="21" t="s">
        <v>34</v>
      </c>
      <c r="O624" s="21" t="s">
        <v>35</v>
      </c>
      <c r="P624" s="21" t="s">
        <v>36</v>
      </c>
      <c r="Q624" s="49" t="s">
        <v>37</v>
      </c>
      <c r="R624" s="50" t="s">
        <v>38</v>
      </c>
      <c r="S624" s="50" t="s">
        <v>38</v>
      </c>
      <c r="T624" s="10"/>
      <c r="U624" s="17"/>
      <c r="V624" s="10"/>
      <c r="W624" s="10"/>
      <c r="X624" s="10"/>
    </row>
    <row r="625" spans="1:24">
      <c r="A625" s="2"/>
      <c r="B625" s="11"/>
      <c r="C625" s="10"/>
      <c r="D625" s="10"/>
      <c r="E625" s="51" t="s">
        <v>39</v>
      </c>
      <c r="F625" s="52">
        <f>(F623-I647-I652-I653-I661-I665-I666)*F624</f>
        <v>686.63800000000003</v>
      </c>
      <c r="G625" s="53" t="s">
        <v>40</v>
      </c>
      <c r="H625" s="54">
        <f>F625/1.12</f>
        <v>613.06964285714287</v>
      </c>
      <c r="I625" s="55"/>
      <c r="J625" s="42"/>
      <c r="K625" s="56">
        <f>I646+I647+I661</f>
        <v>5750.89</v>
      </c>
      <c r="L625" s="57">
        <f>I648+I665</f>
        <v>7447.84</v>
      </c>
      <c r="M625" s="57">
        <f>I649+I650+I651</f>
        <v>3758.62</v>
      </c>
      <c r="N625" s="57">
        <f>I652+I653+I654+I655+I656</f>
        <v>4951.4800000000005</v>
      </c>
      <c r="O625" s="57">
        <f>I666</f>
        <v>4747.8099999999995</v>
      </c>
      <c r="P625" s="57">
        <f>SUM(K625:O625)</f>
        <v>26656.639999999999</v>
      </c>
      <c r="Q625" s="58">
        <v>0</v>
      </c>
      <c r="R625" s="59">
        <f>+I662+I667</f>
        <v>10314.700000000001</v>
      </c>
      <c r="S625" s="59">
        <v>0</v>
      </c>
      <c r="T625" s="10"/>
      <c r="U625" s="17"/>
      <c r="V625" s="10"/>
      <c r="W625" s="10"/>
      <c r="X625" s="10"/>
    </row>
    <row r="626" spans="1:24">
      <c r="A626" s="2"/>
      <c r="B626" s="11"/>
      <c r="C626" s="10"/>
      <c r="D626" s="10"/>
      <c r="E626" s="24" t="s">
        <v>41</v>
      </c>
      <c r="F626" s="60">
        <f>Q625</f>
        <v>0</v>
      </c>
      <c r="G626" s="61" t="s">
        <v>40</v>
      </c>
      <c r="H626" s="62"/>
      <c r="I626" s="62"/>
      <c r="J626" s="10" t="s">
        <v>42</v>
      </c>
      <c r="K626" s="63">
        <v>3</v>
      </c>
      <c r="L626" s="63">
        <v>2</v>
      </c>
      <c r="M626" s="63">
        <v>3</v>
      </c>
      <c r="N626" s="63">
        <v>5</v>
      </c>
      <c r="O626" s="63">
        <v>1</v>
      </c>
      <c r="P626" s="21">
        <f>SUM(K626:O626)</f>
        <v>14</v>
      </c>
      <c r="Q626" s="64"/>
      <c r="R626" s="63"/>
      <c r="S626" s="10"/>
      <c r="T626" s="10"/>
      <c r="U626" s="17"/>
      <c r="V626" s="10"/>
      <c r="W626" s="10"/>
      <c r="X626" s="10"/>
    </row>
    <row r="627" spans="1:24">
      <c r="A627" s="2"/>
      <c r="B627" s="11"/>
      <c r="C627" s="10"/>
      <c r="D627" s="10"/>
      <c r="E627" s="51" t="s">
        <v>43</v>
      </c>
      <c r="F627" s="52">
        <f>F626*0.25</f>
        <v>0</v>
      </c>
      <c r="G627" s="53" t="s">
        <v>40</v>
      </c>
      <c r="H627" s="54">
        <f>F627/1.12</f>
        <v>0</v>
      </c>
      <c r="I627" s="10"/>
      <c r="J627" s="10" t="s">
        <v>44</v>
      </c>
      <c r="K627" s="63">
        <v>3</v>
      </c>
      <c r="L627" s="63">
        <v>3</v>
      </c>
      <c r="M627" s="63">
        <v>6</v>
      </c>
      <c r="N627" s="63">
        <v>2</v>
      </c>
      <c r="O627" s="63">
        <v>5</v>
      </c>
      <c r="P627" s="21">
        <f>SUM(K627:O627)</f>
        <v>19</v>
      </c>
      <c r="Q627" s="64"/>
      <c r="R627" s="63"/>
      <c r="S627" s="10"/>
      <c r="T627" s="10"/>
      <c r="U627" s="17"/>
      <c r="V627" s="10"/>
      <c r="W627" s="10"/>
      <c r="X627" s="10"/>
    </row>
    <row r="628" spans="1:24">
      <c r="A628" s="2"/>
      <c r="B628" s="11"/>
      <c r="C628" s="10"/>
      <c r="D628" s="10"/>
      <c r="E628" s="24" t="s">
        <v>45</v>
      </c>
      <c r="F628" s="60"/>
      <c r="G628" s="61" t="s">
        <v>40</v>
      </c>
      <c r="H628" s="62"/>
      <c r="I628" s="10"/>
      <c r="J628" s="10" t="s">
        <v>46</v>
      </c>
      <c r="K628" s="31">
        <f>K626/(K626+K627)</f>
        <v>0.5</v>
      </c>
      <c r="L628" s="31">
        <f>L626/(L626+L627)</f>
        <v>0.4</v>
      </c>
      <c r="M628" s="31">
        <f>M626/(M626+M627)</f>
        <v>0.33333333333333331</v>
      </c>
      <c r="N628" s="31">
        <f>N626/(N626+N627)</f>
        <v>0.7142857142857143</v>
      </c>
      <c r="O628" s="31">
        <f>O626/(O626+O627)</f>
        <v>0.16666666666666666</v>
      </c>
      <c r="P628" s="31">
        <f>P626/(P626+P627)</f>
        <v>0.42424242424242425</v>
      </c>
      <c r="Q628" s="31" t="e">
        <f>Q626/(Q626+Q627)</f>
        <v>#DIV/0!</v>
      </c>
      <c r="R628" s="63"/>
      <c r="S628" s="10"/>
      <c r="T628" s="10"/>
      <c r="U628" s="17"/>
      <c r="V628" s="10"/>
      <c r="W628" s="10"/>
      <c r="X628" s="10"/>
    </row>
    <row r="629" spans="1:24">
      <c r="A629" s="2"/>
      <c r="B629" s="11"/>
      <c r="C629" s="10"/>
      <c r="D629" s="10"/>
      <c r="E629" s="51" t="s">
        <v>47</v>
      </c>
      <c r="F629" s="52">
        <f>F628*0.05</f>
        <v>0</v>
      </c>
      <c r="G629" s="65" t="s">
        <v>40</v>
      </c>
      <c r="H629" s="54">
        <f>F629/1.12</f>
        <v>0</v>
      </c>
      <c r="I629" s="42"/>
      <c r="J629" s="10" t="s">
        <v>48</v>
      </c>
      <c r="K629" s="66">
        <f>K625/K626</f>
        <v>1916.9633333333334</v>
      </c>
      <c r="L629" s="66">
        <f>L625/L626</f>
        <v>3723.92</v>
      </c>
      <c r="M629" s="66">
        <f>M625/M626</f>
        <v>1252.8733333333332</v>
      </c>
      <c r="N629" s="66">
        <f>N625/N626</f>
        <v>990.29600000000005</v>
      </c>
      <c r="O629" s="66">
        <f>O625/O626</f>
        <v>4747.8099999999995</v>
      </c>
      <c r="P629" s="66">
        <f>P625/P626</f>
        <v>1904.0457142857142</v>
      </c>
      <c r="Q629" s="66" t="e">
        <f>Q625/Q626</f>
        <v>#DIV/0!</v>
      </c>
      <c r="R629" s="63"/>
      <c r="S629" s="10"/>
      <c r="T629" s="10"/>
      <c r="U629" s="17"/>
      <c r="V629" s="10"/>
      <c r="W629" s="10"/>
      <c r="X629" s="10"/>
    </row>
    <row r="630" spans="1:24">
      <c r="A630" s="2"/>
      <c r="B630" s="11"/>
      <c r="C630" s="10"/>
      <c r="D630" s="10"/>
      <c r="E630" s="67" t="s">
        <v>14</v>
      </c>
      <c r="F630" s="68">
        <f>4*50</f>
        <v>200</v>
      </c>
      <c r="G630" s="10"/>
      <c r="H630" s="54">
        <f>F630/1.12</f>
        <v>178.57142857142856</v>
      </c>
      <c r="I630" s="10"/>
      <c r="J630" s="10"/>
      <c r="K630" s="10"/>
      <c r="L630" s="10"/>
      <c r="M630" s="10"/>
      <c r="N630" s="10"/>
      <c r="O630" s="10"/>
      <c r="P630" s="10"/>
      <c r="Q630" s="10"/>
      <c r="R630" s="10"/>
      <c r="S630" s="10"/>
      <c r="T630" s="10"/>
      <c r="U630" s="17"/>
      <c r="V630" s="10"/>
      <c r="W630" s="10"/>
      <c r="X630" s="10"/>
    </row>
    <row r="631" spans="1:24">
      <c r="A631" s="2"/>
      <c r="B631" s="11"/>
      <c r="C631" s="10"/>
      <c r="D631" s="10"/>
      <c r="E631" s="67" t="s">
        <v>49</v>
      </c>
      <c r="F631" s="69">
        <f>T620</f>
        <v>0</v>
      </c>
      <c r="G631" s="10"/>
      <c r="H631" s="54"/>
      <c r="I631" s="55"/>
      <c r="J631" s="42"/>
      <c r="K631" s="764" t="s">
        <v>50</v>
      </c>
      <c r="L631" s="765"/>
      <c r="M631" s="765"/>
      <c r="N631" s="765"/>
      <c r="O631" s="765"/>
      <c r="P631" s="765"/>
      <c r="Q631" s="766"/>
      <c r="R631" s="70" t="s">
        <v>28</v>
      </c>
      <c r="S631" s="71" t="s">
        <v>29</v>
      </c>
      <c r="T631" s="10"/>
      <c r="U631" s="17"/>
      <c r="V631" s="10"/>
      <c r="W631" s="10"/>
      <c r="X631" s="10"/>
    </row>
    <row r="632" spans="1:24">
      <c r="A632" s="2"/>
      <c r="B632" s="11"/>
      <c r="C632" s="10"/>
      <c r="D632" s="10"/>
      <c r="E632" s="155" t="s">
        <v>533</v>
      </c>
      <c r="F632" s="156">
        <f>$F$373</f>
        <v>1158.7609999999986</v>
      </c>
      <c r="G632" s="123"/>
      <c r="H632" s="54">
        <f>F632/1.12</f>
        <v>1034.6080357142844</v>
      </c>
      <c r="I632" s="10"/>
      <c r="J632" s="42"/>
      <c r="K632" s="20" t="s">
        <v>31</v>
      </c>
      <c r="L632" s="21" t="s">
        <v>32</v>
      </c>
      <c r="M632" s="21" t="s">
        <v>33</v>
      </c>
      <c r="N632" s="21" t="s">
        <v>34</v>
      </c>
      <c r="O632" s="21" t="s">
        <v>35</v>
      </c>
      <c r="P632" s="21" t="s">
        <v>36</v>
      </c>
      <c r="Q632" s="49" t="s">
        <v>37</v>
      </c>
      <c r="R632" s="50" t="s">
        <v>38</v>
      </c>
      <c r="S632" s="50" t="s">
        <v>38</v>
      </c>
      <c r="T632" s="10"/>
      <c r="U632" s="17"/>
      <c r="V632" s="10"/>
      <c r="W632" s="10"/>
      <c r="X632" s="10"/>
    </row>
    <row r="633" spans="1:24">
      <c r="A633" s="2"/>
      <c r="B633" s="11"/>
      <c r="C633" s="10"/>
      <c r="D633" s="10"/>
      <c r="E633" s="10"/>
      <c r="F633" s="10"/>
      <c r="G633" s="10"/>
      <c r="H633" s="10"/>
      <c r="I633" s="10"/>
      <c r="J633" s="42"/>
      <c r="K633" s="56">
        <f>F646+F647+F661</f>
        <v>7374</v>
      </c>
      <c r="L633" s="57">
        <f>F648+F665</f>
        <v>10075</v>
      </c>
      <c r="M633" s="57">
        <f>F649+F650+F651</f>
        <v>4491</v>
      </c>
      <c r="N633" s="57">
        <f>F652+F653+F654+F655+F656</f>
        <v>5663.09</v>
      </c>
      <c r="O633" s="57">
        <f>F666</f>
        <v>6814</v>
      </c>
      <c r="P633" s="57">
        <f>SUM(K633:O633)</f>
        <v>34417.089999999997</v>
      </c>
      <c r="Q633" s="58">
        <v>0</v>
      </c>
      <c r="R633" s="59">
        <f>+F667</f>
        <v>8675</v>
      </c>
      <c r="S633" s="59">
        <v>0</v>
      </c>
      <c r="T633" s="10"/>
      <c r="U633" s="17"/>
      <c r="V633" s="10"/>
      <c r="W633" s="10"/>
      <c r="X633" s="10"/>
    </row>
    <row r="634" spans="1:24">
      <c r="A634" s="2"/>
      <c r="B634" s="11"/>
      <c r="C634" s="10"/>
      <c r="D634" s="10"/>
      <c r="E634" s="10"/>
      <c r="F634" s="10"/>
      <c r="G634" s="10"/>
      <c r="H634" s="10"/>
      <c r="I634" s="10"/>
      <c r="J634" s="10" t="s">
        <v>42</v>
      </c>
      <c r="K634" s="63">
        <f>K626</f>
        <v>3</v>
      </c>
      <c r="L634" s="63">
        <f>L626</f>
        <v>2</v>
      </c>
      <c r="M634" s="63">
        <f>M626</f>
        <v>3</v>
      </c>
      <c r="N634" s="63">
        <f>N626</f>
        <v>5</v>
      </c>
      <c r="O634" s="63">
        <f>O626</f>
        <v>1</v>
      </c>
      <c r="P634" s="63">
        <f>P626</f>
        <v>14</v>
      </c>
      <c r="Q634" s="63">
        <f>Q626</f>
        <v>0</v>
      </c>
      <c r="R634" s="63"/>
      <c r="S634" s="10"/>
      <c r="T634" s="10"/>
      <c r="U634" s="17"/>
      <c r="V634" s="10"/>
      <c r="W634" s="10"/>
      <c r="X634" s="10"/>
    </row>
    <row r="635" spans="1:24">
      <c r="A635" s="2"/>
      <c r="B635" s="11"/>
      <c r="C635" s="10"/>
      <c r="D635" s="10"/>
      <c r="E635" s="10"/>
      <c r="F635" s="10"/>
      <c r="G635" s="10"/>
      <c r="H635" s="10"/>
      <c r="I635" s="10"/>
      <c r="J635" s="10" t="s">
        <v>44</v>
      </c>
      <c r="K635" s="63">
        <f>K627</f>
        <v>3</v>
      </c>
      <c r="L635" s="63">
        <f>L627</f>
        <v>3</v>
      </c>
      <c r="M635" s="63">
        <f>M627</f>
        <v>6</v>
      </c>
      <c r="N635" s="63">
        <f>N627</f>
        <v>2</v>
      </c>
      <c r="O635" s="63">
        <f>O627</f>
        <v>5</v>
      </c>
      <c r="P635" s="63">
        <f>P627</f>
        <v>19</v>
      </c>
      <c r="Q635" s="63">
        <f>Q627</f>
        <v>0</v>
      </c>
      <c r="R635" s="63"/>
      <c r="S635" s="10"/>
      <c r="T635" s="10"/>
      <c r="U635" s="17"/>
      <c r="V635" s="10"/>
      <c r="W635" s="10"/>
      <c r="X635" s="10"/>
    </row>
    <row r="636" spans="1:24">
      <c r="A636" s="2"/>
      <c r="B636" s="11"/>
      <c r="C636" s="10"/>
      <c r="D636" s="10"/>
      <c r="E636" s="10"/>
      <c r="F636" s="10"/>
      <c r="G636" s="10"/>
      <c r="H636" s="10"/>
      <c r="I636" s="10"/>
      <c r="J636" s="10" t="s">
        <v>46</v>
      </c>
      <c r="K636" s="31">
        <f>K634/(K634+K635)</f>
        <v>0.5</v>
      </c>
      <c r="L636" s="31">
        <f>L634/(L634+L635)</f>
        <v>0.4</v>
      </c>
      <c r="M636" s="31">
        <f>M634/(M634+M635)</f>
        <v>0.33333333333333331</v>
      </c>
      <c r="N636" s="31">
        <f>N634/(N634+N635)</f>
        <v>0.7142857142857143</v>
      </c>
      <c r="O636" s="31">
        <f>O634/(O634+O635)</f>
        <v>0.16666666666666666</v>
      </c>
      <c r="P636" s="31">
        <f>P634/(P634+P635)</f>
        <v>0.42424242424242425</v>
      </c>
      <c r="Q636" s="31" t="e">
        <f>Q634/(Q634+Q635)</f>
        <v>#DIV/0!</v>
      </c>
      <c r="R636" s="63"/>
      <c r="S636" s="10"/>
      <c r="T636" s="10"/>
      <c r="U636" s="17"/>
      <c r="V636" s="10"/>
      <c r="W636" s="10"/>
      <c r="X636" s="10"/>
    </row>
    <row r="637" spans="1:24">
      <c r="A637" s="2"/>
      <c r="B637" s="11"/>
      <c r="C637" s="10"/>
      <c r="D637" s="10"/>
      <c r="E637" s="10"/>
      <c r="F637" s="10"/>
      <c r="G637" s="10"/>
      <c r="H637" s="10"/>
      <c r="I637" s="10"/>
      <c r="J637" s="10" t="s">
        <v>48</v>
      </c>
      <c r="K637" s="66">
        <f>K633/K634</f>
        <v>2458</v>
      </c>
      <c r="L637" s="66">
        <f>L633/L634</f>
        <v>5037.5</v>
      </c>
      <c r="M637" s="66">
        <f>M633/M634</f>
        <v>1497</v>
      </c>
      <c r="N637" s="66">
        <f>N633/N634</f>
        <v>1132.6179999999999</v>
      </c>
      <c r="O637" s="66">
        <f>O633/O634</f>
        <v>6814</v>
      </c>
      <c r="P637" s="66">
        <f>P633/P634</f>
        <v>2458.363571428571</v>
      </c>
      <c r="Q637" s="66" t="e">
        <f>Q633/Q634</f>
        <v>#DIV/0!</v>
      </c>
      <c r="R637" s="63"/>
      <c r="S637" s="10"/>
      <c r="T637" s="10"/>
      <c r="U637" s="17"/>
      <c r="V637" s="10"/>
      <c r="W637" s="10"/>
      <c r="X637" s="10"/>
    </row>
    <row r="638" spans="1:24">
      <c r="A638" s="2"/>
      <c r="B638" s="11"/>
      <c r="C638" s="10"/>
      <c r="D638" s="10"/>
      <c r="E638" s="10"/>
      <c r="F638" s="10"/>
      <c r="G638" s="10"/>
      <c r="H638" s="10"/>
      <c r="I638" s="10"/>
      <c r="J638" s="10"/>
      <c r="K638" s="66"/>
      <c r="L638" s="66"/>
      <c r="M638" s="66"/>
      <c r="N638" s="66"/>
      <c r="O638" s="66"/>
      <c r="P638" s="66"/>
      <c r="Q638" s="66"/>
      <c r="R638" s="63"/>
      <c r="S638" s="10"/>
      <c r="T638" s="10"/>
      <c r="U638" s="17"/>
      <c r="V638" s="10"/>
      <c r="W638" s="10"/>
      <c r="X638" s="10"/>
    </row>
    <row r="639" spans="1:24">
      <c r="A639" s="2"/>
      <c r="B639" s="11"/>
      <c r="C639" s="10"/>
      <c r="D639" s="10"/>
      <c r="E639" s="10"/>
      <c r="F639" s="10"/>
      <c r="G639" s="10"/>
      <c r="H639" s="10"/>
      <c r="I639" s="10"/>
      <c r="J639" s="10"/>
      <c r="K639" s="66"/>
      <c r="L639" s="66"/>
      <c r="M639" s="66"/>
      <c r="N639" s="66"/>
      <c r="O639" s="66"/>
      <c r="P639" s="66"/>
      <c r="Q639" s="66"/>
      <c r="R639" s="63"/>
      <c r="S639" s="10"/>
      <c r="T639" s="10"/>
      <c r="U639" s="17"/>
      <c r="V639" s="10"/>
      <c r="W639" s="10"/>
      <c r="X639" s="10"/>
    </row>
    <row r="640" spans="1:24">
      <c r="A640" s="2"/>
      <c r="B640" s="11"/>
      <c r="C640" s="10"/>
      <c r="D640" s="10"/>
      <c r="E640" s="10"/>
      <c r="F640" s="10"/>
      <c r="G640" s="10"/>
      <c r="H640" s="10"/>
      <c r="I640" s="10"/>
      <c r="J640" s="10"/>
      <c r="K640" s="10"/>
      <c r="L640" s="10"/>
      <c r="M640" s="10"/>
      <c r="N640" s="10"/>
      <c r="O640" s="10"/>
      <c r="P640" s="10"/>
      <c r="Q640" s="10"/>
      <c r="R640" s="10"/>
      <c r="S640" s="10"/>
      <c r="T640" s="10"/>
      <c r="U640" s="17"/>
      <c r="V640" s="10"/>
      <c r="W640" s="10"/>
      <c r="X640" s="10"/>
    </row>
    <row r="641" spans="1:24">
      <c r="A641" s="2"/>
      <c r="B641" s="11"/>
      <c r="C641" s="10"/>
      <c r="D641" s="10"/>
      <c r="E641" s="10"/>
      <c r="F641" s="10"/>
      <c r="G641" s="10"/>
      <c r="H641" s="10"/>
      <c r="I641" s="10"/>
      <c r="J641" s="10"/>
      <c r="K641" s="10"/>
      <c r="L641" s="10"/>
      <c r="M641" s="10"/>
      <c r="N641" s="10"/>
      <c r="O641" s="10"/>
      <c r="P641" s="10"/>
      <c r="Q641" s="10"/>
      <c r="R641" s="10"/>
      <c r="S641" s="10"/>
      <c r="T641" s="10"/>
      <c r="U641" s="17"/>
      <c r="V641" s="10"/>
      <c r="W641" s="10"/>
      <c r="X641" s="10"/>
    </row>
    <row r="642" spans="1:24">
      <c r="A642" s="2"/>
      <c r="B642" s="11"/>
      <c r="C642" s="10"/>
      <c r="D642" s="10"/>
      <c r="E642" s="10"/>
      <c r="F642" s="10"/>
      <c r="G642" s="10"/>
      <c r="H642" s="10"/>
      <c r="I642" s="10"/>
      <c r="J642" s="10"/>
      <c r="K642" s="10"/>
      <c r="L642" s="10"/>
      <c r="M642" s="10"/>
      <c r="N642" s="10"/>
      <c r="O642" s="10"/>
      <c r="P642" s="10"/>
      <c r="Q642" s="10"/>
      <c r="R642" s="10"/>
      <c r="S642" s="10"/>
      <c r="T642" s="10"/>
      <c r="U642" s="17"/>
      <c r="V642" s="10"/>
      <c r="W642" s="10"/>
      <c r="X642" s="10"/>
    </row>
    <row r="643" spans="1:24">
      <c r="A643" s="2"/>
      <c r="B643" s="18" t="s">
        <v>51</v>
      </c>
      <c r="C643" s="14"/>
      <c r="D643" s="14"/>
      <c r="E643" s="14"/>
      <c r="F643" s="13" t="s">
        <v>52</v>
      </c>
      <c r="G643" s="14"/>
      <c r="H643" s="14"/>
      <c r="I643" s="14"/>
      <c r="J643" s="14"/>
      <c r="K643" s="13" t="s">
        <v>3</v>
      </c>
      <c r="L643" s="14"/>
      <c r="M643" s="14"/>
      <c r="N643" s="13" t="s">
        <v>4</v>
      </c>
      <c r="O643" s="14"/>
      <c r="P643" s="14"/>
      <c r="Q643" s="13" t="s">
        <v>5</v>
      </c>
      <c r="R643" s="14"/>
      <c r="S643" s="14"/>
      <c r="T643" s="18"/>
      <c r="U643" s="16" t="s">
        <v>53</v>
      </c>
      <c r="V643" s="77"/>
      <c r="W643" s="77"/>
      <c r="X643" s="77"/>
    </row>
    <row r="644" spans="1:24">
      <c r="A644" s="2"/>
      <c r="B644" s="24" t="s">
        <v>54</v>
      </c>
      <c r="C644" s="21" t="s">
        <v>55</v>
      </c>
      <c r="D644" s="21" t="s">
        <v>56</v>
      </c>
      <c r="E644" s="21" t="s">
        <v>57</v>
      </c>
      <c r="F644" s="20" t="s">
        <v>58</v>
      </c>
      <c r="G644" s="21" t="s">
        <v>59</v>
      </c>
      <c r="H644" s="21" t="s">
        <v>60</v>
      </c>
      <c r="I644" s="21" t="s">
        <v>26</v>
      </c>
      <c r="J644" s="22" t="s">
        <v>61</v>
      </c>
      <c r="K644" s="21" t="s">
        <v>8</v>
      </c>
      <c r="L644" s="21" t="s">
        <v>9</v>
      </c>
      <c r="M644" s="21" t="s">
        <v>10</v>
      </c>
      <c r="N644" s="20" t="s">
        <v>11</v>
      </c>
      <c r="O644" s="21" t="s">
        <v>12</v>
      </c>
      <c r="P644" s="22" t="s">
        <v>13</v>
      </c>
      <c r="Q644" s="21" t="s">
        <v>11</v>
      </c>
      <c r="R644" s="21" t="s">
        <v>12</v>
      </c>
      <c r="S644" s="21" t="s">
        <v>13</v>
      </c>
      <c r="T644" s="78" t="s">
        <v>14</v>
      </c>
      <c r="U644" s="30"/>
      <c r="V644" s="79" t="s">
        <v>62</v>
      </c>
      <c r="W644" s="80" t="s">
        <v>63</v>
      </c>
      <c r="X644" s="81" t="s">
        <v>64</v>
      </c>
    </row>
    <row r="645" spans="1:24">
      <c r="A645" s="2"/>
      <c r="B645" s="4" t="s">
        <v>65</v>
      </c>
      <c r="C645" s="6"/>
      <c r="D645" s="6"/>
      <c r="E645" s="6"/>
      <c r="F645" s="6"/>
      <c r="G645" s="6"/>
      <c r="H645" s="6"/>
      <c r="I645" s="82"/>
      <c r="J645" s="6"/>
      <c r="K645" s="6"/>
      <c r="L645" s="6"/>
      <c r="M645" s="6"/>
      <c r="N645" s="6"/>
      <c r="O645" s="6"/>
      <c r="P645" s="6"/>
      <c r="Q645" s="6"/>
      <c r="R645" s="6"/>
      <c r="S645" s="6"/>
      <c r="T645" s="83"/>
      <c r="U645" s="6"/>
      <c r="V645" s="84"/>
      <c r="W645" s="85"/>
      <c r="X645" s="86"/>
    </row>
    <row r="646" spans="1:24">
      <c r="A646" s="2"/>
      <c r="B646" s="87">
        <v>1</v>
      </c>
      <c r="C646" s="274">
        <v>45894</v>
      </c>
      <c r="D646" s="327">
        <v>72574</v>
      </c>
      <c r="E646" s="276" t="s">
        <v>377</v>
      </c>
      <c r="F646" s="277">
        <v>681</v>
      </c>
      <c r="G646" s="277"/>
      <c r="H646" s="297"/>
      <c r="I646" s="321">
        <f>F646-G646-H646</f>
        <v>681</v>
      </c>
      <c r="J646" s="279" t="s">
        <v>156</v>
      </c>
      <c r="K646" s="279">
        <v>1</v>
      </c>
      <c r="L646" s="279">
        <v>1</v>
      </c>
      <c r="M646" s="279">
        <v>1</v>
      </c>
      <c r="N646" s="279">
        <v>1</v>
      </c>
      <c r="O646" s="279">
        <v>1</v>
      </c>
      <c r="P646" s="279">
        <v>1</v>
      </c>
      <c r="Q646" s="279">
        <v>1</v>
      </c>
      <c r="R646" s="322">
        <v>0</v>
      </c>
      <c r="S646" s="328">
        <v>0</v>
      </c>
      <c r="T646" s="21">
        <v>1</v>
      </c>
      <c r="U646" s="10"/>
      <c r="V646" s="90">
        <v>749.1</v>
      </c>
      <c r="W646" s="91"/>
      <c r="X646" s="92"/>
    </row>
    <row r="647" spans="1:24">
      <c r="A647" s="388">
        <v>45898</v>
      </c>
      <c r="B647" s="87">
        <f t="shared" ref="B647:B656" si="70">B646+1</f>
        <v>2</v>
      </c>
      <c r="C647" s="295">
        <v>45894</v>
      </c>
      <c r="D647" s="323">
        <v>72585</v>
      </c>
      <c r="E647" s="10" t="s">
        <v>659</v>
      </c>
      <c r="F647" s="62">
        <f>1179-300</f>
        <v>879</v>
      </c>
      <c r="G647" s="62">
        <v>39.700000000000003</v>
      </c>
      <c r="H647" s="62"/>
      <c r="I647" s="369">
        <f>F647-G647-H647</f>
        <v>839.3</v>
      </c>
      <c r="J647" s="63" t="s">
        <v>156</v>
      </c>
      <c r="K647" s="63">
        <v>1</v>
      </c>
      <c r="L647" s="63">
        <v>1</v>
      </c>
      <c r="M647" s="63">
        <v>1</v>
      </c>
      <c r="N647" s="63">
        <v>1</v>
      </c>
      <c r="O647" s="63">
        <v>1</v>
      </c>
      <c r="P647" s="63">
        <v>1</v>
      </c>
      <c r="Q647" s="63">
        <v>1</v>
      </c>
      <c r="R647" s="63">
        <v>1</v>
      </c>
      <c r="S647" s="296">
        <v>1</v>
      </c>
      <c r="T647" s="21">
        <v>1</v>
      </c>
      <c r="U647" s="10" t="s">
        <v>1613</v>
      </c>
      <c r="V647" s="90">
        <v>1296.9000000000001</v>
      </c>
      <c r="W647" s="91"/>
      <c r="X647" s="92"/>
    </row>
    <row r="648" spans="1:24">
      <c r="A648" s="93"/>
      <c r="B648" s="87">
        <f t="shared" si="70"/>
        <v>3</v>
      </c>
      <c r="C648" s="274">
        <v>45895</v>
      </c>
      <c r="D648" s="327">
        <v>72616</v>
      </c>
      <c r="E648" s="276" t="s">
        <v>213</v>
      </c>
      <c r="F648" s="277">
        <v>8214</v>
      </c>
      <c r="G648" s="277">
        <f>39.7+(1812.76)+250</f>
        <v>2102.46</v>
      </c>
      <c r="H648" s="277"/>
      <c r="I648" s="321">
        <f>F648-G648-H648</f>
        <v>6111.54</v>
      </c>
      <c r="J648" s="279" t="s">
        <v>156</v>
      </c>
      <c r="K648" s="279">
        <v>1</v>
      </c>
      <c r="L648" s="322">
        <v>0</v>
      </c>
      <c r="M648" s="279">
        <v>1</v>
      </c>
      <c r="N648" s="279">
        <v>1</v>
      </c>
      <c r="O648" s="279">
        <v>1</v>
      </c>
      <c r="P648" s="279">
        <v>1</v>
      </c>
      <c r="Q648" s="322">
        <v>0</v>
      </c>
      <c r="R648" s="322">
        <v>0</v>
      </c>
      <c r="S648" s="328">
        <v>0</v>
      </c>
      <c r="T648" s="63"/>
      <c r="U648" s="94" t="s">
        <v>1614</v>
      </c>
      <c r="V648" s="90">
        <f>900+5000+2000+1135.4</f>
        <v>9035.4</v>
      </c>
      <c r="W648" s="136"/>
      <c r="X648" s="92"/>
    </row>
    <row r="649" spans="1:24">
      <c r="A649" s="2"/>
      <c r="B649" s="87">
        <f t="shared" si="70"/>
        <v>4</v>
      </c>
      <c r="C649" s="274">
        <v>45896</v>
      </c>
      <c r="D649" s="327">
        <v>72673</v>
      </c>
      <c r="E649" s="404" t="s">
        <v>1080</v>
      </c>
      <c r="F649" s="277">
        <v>1196</v>
      </c>
      <c r="G649" s="277">
        <f>39.7</f>
        <v>39.700000000000003</v>
      </c>
      <c r="H649" s="277"/>
      <c r="I649" s="278">
        <f>F649-G649-H649</f>
        <v>1156.3</v>
      </c>
      <c r="J649" s="279" t="s">
        <v>156</v>
      </c>
      <c r="K649" s="279">
        <v>1</v>
      </c>
      <c r="L649" s="279">
        <v>1</v>
      </c>
      <c r="M649" s="279">
        <v>1</v>
      </c>
      <c r="N649" s="279">
        <v>1</v>
      </c>
      <c r="O649" s="279">
        <v>1</v>
      </c>
      <c r="P649" s="279">
        <v>1</v>
      </c>
      <c r="Q649" s="279">
        <v>1</v>
      </c>
      <c r="R649" s="279">
        <v>1</v>
      </c>
      <c r="S649" s="280">
        <v>1</v>
      </c>
      <c r="T649" s="63"/>
      <c r="U649" s="10"/>
      <c r="V649" s="90">
        <v>1315.6</v>
      </c>
      <c r="W649" s="91"/>
      <c r="X649" s="92"/>
    </row>
    <row r="650" spans="1:24">
      <c r="A650" s="2"/>
      <c r="B650" s="87">
        <f t="shared" si="70"/>
        <v>5</v>
      </c>
      <c r="C650" s="295">
        <v>45896</v>
      </c>
      <c r="D650" s="323">
        <v>72675</v>
      </c>
      <c r="E650" s="94" t="s">
        <v>1080</v>
      </c>
      <c r="F650" s="62">
        <v>681</v>
      </c>
      <c r="G650" s="62"/>
      <c r="H650" s="62"/>
      <c r="I650" s="324">
        <f>F650-G650-H650</f>
        <v>681</v>
      </c>
      <c r="J650" s="63" t="s">
        <v>156</v>
      </c>
      <c r="K650" s="63">
        <v>1</v>
      </c>
      <c r="L650" s="63">
        <v>1</v>
      </c>
      <c r="M650" s="63">
        <v>1</v>
      </c>
      <c r="N650" s="63">
        <v>1</v>
      </c>
      <c r="O650" s="63">
        <v>1</v>
      </c>
      <c r="P650" s="63">
        <v>1</v>
      </c>
      <c r="Q650" s="63">
        <v>1</v>
      </c>
      <c r="R650" s="63">
        <v>1</v>
      </c>
      <c r="S650" s="326">
        <v>0</v>
      </c>
      <c r="T650" s="63"/>
      <c r="U650" s="10"/>
      <c r="V650" s="90">
        <v>749.1</v>
      </c>
      <c r="W650" s="91"/>
      <c r="X650" s="92"/>
    </row>
    <row r="651" spans="1:24">
      <c r="A651" s="2"/>
      <c r="B651" s="87">
        <f>B650+1</f>
        <v>6</v>
      </c>
      <c r="C651" s="282">
        <v>45896</v>
      </c>
      <c r="D651" s="368">
        <v>72694</v>
      </c>
      <c r="E651" s="283" t="s">
        <v>169</v>
      </c>
      <c r="F651" s="284">
        <v>2614</v>
      </c>
      <c r="G651" s="284">
        <f>39.7+(73.94+11.26+267.78)+300</f>
        <v>692.68</v>
      </c>
      <c r="H651" s="284"/>
      <c r="I651" s="285">
        <f>F651-G651-H651</f>
        <v>1921.3200000000002</v>
      </c>
      <c r="J651" s="286" t="s">
        <v>228</v>
      </c>
      <c r="K651" s="286">
        <v>1</v>
      </c>
      <c r="L651" s="286">
        <v>1</v>
      </c>
      <c r="M651" s="286">
        <v>1</v>
      </c>
      <c r="N651" s="286">
        <v>1</v>
      </c>
      <c r="O651" s="286">
        <v>1</v>
      </c>
      <c r="P651" s="286">
        <v>1</v>
      </c>
      <c r="Q651" s="286">
        <v>1</v>
      </c>
      <c r="R651" s="286">
        <v>1</v>
      </c>
      <c r="S651" s="287">
        <v>1</v>
      </c>
      <c r="T651" s="63"/>
      <c r="U651" s="94" t="s">
        <v>1615</v>
      </c>
      <c r="V651" s="90">
        <f>290+2585.4</f>
        <v>2875.4</v>
      </c>
      <c r="W651" s="91"/>
      <c r="X651" s="92"/>
    </row>
    <row r="652" spans="1:24">
      <c r="A652" s="388">
        <v>45905</v>
      </c>
      <c r="B652" s="87">
        <f>B651+1</f>
        <v>7</v>
      </c>
      <c r="C652" s="295">
        <v>45897</v>
      </c>
      <c r="D652" s="323">
        <v>72706</v>
      </c>
      <c r="E652" s="101" t="s">
        <v>159</v>
      </c>
      <c r="F652" s="62">
        <f>681-74.91</f>
        <v>606.09</v>
      </c>
      <c r="G652" s="62"/>
      <c r="H652" s="62"/>
      <c r="I652" s="369">
        <f>F652-G652-H652</f>
        <v>606.09</v>
      </c>
      <c r="J652" s="63" t="s">
        <v>156</v>
      </c>
      <c r="K652" s="63">
        <v>1</v>
      </c>
      <c r="L652" s="63">
        <v>1</v>
      </c>
      <c r="M652" s="325">
        <v>0</v>
      </c>
      <c r="N652" s="63">
        <v>1</v>
      </c>
      <c r="O652" s="63">
        <v>1</v>
      </c>
      <c r="P652" s="63">
        <v>1</v>
      </c>
      <c r="Q652" s="63">
        <v>1</v>
      </c>
      <c r="R652" s="63">
        <v>1</v>
      </c>
      <c r="S652" s="326">
        <v>0</v>
      </c>
      <c r="T652" s="21">
        <v>1</v>
      </c>
      <c r="U652" s="10" t="s">
        <v>1616</v>
      </c>
      <c r="V652" s="90">
        <v>749.1</v>
      </c>
      <c r="W652" s="91"/>
      <c r="X652" s="92"/>
    </row>
    <row r="653" spans="1:24">
      <c r="A653" s="2" t="s">
        <v>1617</v>
      </c>
      <c r="B653" s="87">
        <f t="shared" si="70"/>
        <v>8</v>
      </c>
      <c r="C653" s="295">
        <v>45897</v>
      </c>
      <c r="D653" s="346" t="s">
        <v>1618</v>
      </c>
      <c r="E653" s="10" t="s">
        <v>1085</v>
      </c>
      <c r="F653" s="62">
        <v>1796</v>
      </c>
      <c r="G653" s="62">
        <f>39.7+(4.79+74.09+313.63)+200</f>
        <v>632.21</v>
      </c>
      <c r="H653" s="88"/>
      <c r="I653" s="369">
        <f>F653-G653-H653</f>
        <v>1163.79</v>
      </c>
      <c r="J653" s="63" t="s">
        <v>156</v>
      </c>
      <c r="K653" s="63">
        <v>1</v>
      </c>
      <c r="L653" s="63">
        <v>1</v>
      </c>
      <c r="M653" s="325">
        <v>0</v>
      </c>
      <c r="N653" s="63">
        <v>1</v>
      </c>
      <c r="O653" s="63">
        <v>1</v>
      </c>
      <c r="P653" s="63">
        <v>1</v>
      </c>
      <c r="Q653" s="63">
        <v>1</v>
      </c>
      <c r="R653" s="63">
        <v>1</v>
      </c>
      <c r="S653" s="296">
        <v>1</v>
      </c>
      <c r="T653" s="63"/>
      <c r="U653" s="10" t="s">
        <v>1619</v>
      </c>
      <c r="V653" s="90">
        <f>200+1775.6</f>
        <v>1975.6</v>
      </c>
      <c r="W653" s="91"/>
      <c r="X653" s="92"/>
    </row>
    <row r="654" spans="1:24">
      <c r="A654" s="2"/>
      <c r="B654" s="87">
        <f t="shared" si="70"/>
        <v>9</v>
      </c>
      <c r="C654" s="295">
        <v>45897</v>
      </c>
      <c r="D654" s="323">
        <v>72740</v>
      </c>
      <c r="E654" s="10" t="s">
        <v>211</v>
      </c>
      <c r="F654" s="62">
        <v>1364</v>
      </c>
      <c r="G654" s="62">
        <f>39.7</f>
        <v>39.700000000000003</v>
      </c>
      <c r="H654" s="88"/>
      <c r="I654" s="324">
        <f>F654-G654-H654</f>
        <v>1324.3</v>
      </c>
      <c r="J654" s="63" t="s">
        <v>156</v>
      </c>
      <c r="K654" s="63">
        <v>1</v>
      </c>
      <c r="L654" s="63">
        <v>1</v>
      </c>
      <c r="M654" s="63">
        <v>1</v>
      </c>
      <c r="N654" s="63">
        <v>1</v>
      </c>
      <c r="O654" s="63">
        <v>1</v>
      </c>
      <c r="P654" s="63">
        <v>1</v>
      </c>
      <c r="Q654" s="63">
        <v>1</v>
      </c>
      <c r="R654" s="325">
        <v>0</v>
      </c>
      <c r="S654" s="326">
        <v>0</v>
      </c>
      <c r="T654" s="21">
        <v>1</v>
      </c>
      <c r="U654" s="10"/>
      <c r="V654" s="90">
        <f>205.5+1294.9</f>
        <v>1500.4</v>
      </c>
      <c r="W654" s="91"/>
      <c r="X654" s="92"/>
    </row>
    <row r="655" spans="1:24">
      <c r="A655" s="2" t="s">
        <v>1620</v>
      </c>
      <c r="B655" s="87">
        <f t="shared" si="70"/>
        <v>10</v>
      </c>
      <c r="C655" s="295">
        <v>45897</v>
      </c>
      <c r="D655" s="323">
        <v>72750</v>
      </c>
      <c r="E655" s="10" t="s">
        <v>752</v>
      </c>
      <c r="F655" s="62">
        <v>1216</v>
      </c>
      <c r="G655" s="62">
        <f>39.7</f>
        <v>39.700000000000003</v>
      </c>
      <c r="H655" s="88"/>
      <c r="I655" s="324">
        <f>F655-G655-H655</f>
        <v>1176.3</v>
      </c>
      <c r="J655" s="63" t="s">
        <v>156</v>
      </c>
      <c r="K655" s="63">
        <v>1</v>
      </c>
      <c r="L655" s="63">
        <v>1</v>
      </c>
      <c r="M655" s="63">
        <v>1</v>
      </c>
      <c r="N655" s="63">
        <v>1</v>
      </c>
      <c r="O655" s="63">
        <v>1</v>
      </c>
      <c r="P655" s="63">
        <v>1</v>
      </c>
      <c r="Q655" s="63">
        <v>1</v>
      </c>
      <c r="R655" s="63">
        <v>1</v>
      </c>
      <c r="S655" s="326">
        <v>0</v>
      </c>
      <c r="T655" s="63"/>
      <c r="U655" s="10" t="s">
        <v>1621</v>
      </c>
      <c r="V655" s="90">
        <v>1337.6</v>
      </c>
      <c r="W655" s="91"/>
      <c r="X655" s="92"/>
    </row>
    <row r="656" spans="1:24">
      <c r="A656" s="2"/>
      <c r="B656" s="87">
        <f t="shared" si="70"/>
        <v>11</v>
      </c>
      <c r="C656" s="282">
        <v>45897</v>
      </c>
      <c r="D656" s="368">
        <v>72755</v>
      </c>
      <c r="E656" s="283" t="s">
        <v>1085</v>
      </c>
      <c r="F656" s="284">
        <v>681</v>
      </c>
      <c r="G656" s="284"/>
      <c r="H656" s="315"/>
      <c r="I656" s="285">
        <f>F656-G656-H656</f>
        <v>681</v>
      </c>
      <c r="J656" s="286" t="s">
        <v>156</v>
      </c>
      <c r="K656" s="286">
        <v>1</v>
      </c>
      <c r="L656" s="286">
        <v>1</v>
      </c>
      <c r="M656" s="286">
        <v>1</v>
      </c>
      <c r="N656" s="286">
        <v>1</v>
      </c>
      <c r="O656" s="286">
        <v>1</v>
      </c>
      <c r="P656" s="286">
        <v>1</v>
      </c>
      <c r="Q656" s="286">
        <v>1</v>
      </c>
      <c r="R656" s="286">
        <v>1</v>
      </c>
      <c r="S656" s="287">
        <v>1</v>
      </c>
      <c r="T656" s="63"/>
      <c r="U656" s="10" t="s">
        <v>1622</v>
      </c>
      <c r="V656" s="90">
        <v>749.1</v>
      </c>
      <c r="W656" s="91"/>
      <c r="X656" s="92"/>
    </row>
    <row r="657" spans="1:25">
      <c r="A657" s="2"/>
      <c r="B657" s="87"/>
      <c r="C657" s="36"/>
      <c r="D657" s="10"/>
      <c r="E657" s="10"/>
      <c r="F657" s="97">
        <f>SUM(F646:F656)</f>
        <v>19928.09</v>
      </c>
      <c r="G657" s="97">
        <f>SUM(G646:G656)</f>
        <v>3586.1499999999992</v>
      </c>
      <c r="H657" s="97">
        <f>SUM(H646:H656)</f>
        <v>0</v>
      </c>
      <c r="I657" s="98">
        <f>SUM(I646:I656)</f>
        <v>16341.939999999999</v>
      </c>
      <c r="J657" s="63"/>
      <c r="K657" s="63">
        <f>COUNT(K646:K656)</f>
        <v>11</v>
      </c>
      <c r="L657" s="63">
        <f>COUNT(L646:L656)</f>
        <v>11</v>
      </c>
      <c r="M657" s="63">
        <f>COUNT(M646:M656)</f>
        <v>11</v>
      </c>
      <c r="N657" s="63">
        <f>COUNT(N646:N656)</f>
        <v>11</v>
      </c>
      <c r="O657" s="63">
        <f>COUNT(O646:O656)</f>
        <v>11</v>
      </c>
      <c r="P657" s="63">
        <f>COUNT(P646:P656)</f>
        <v>11</v>
      </c>
      <c r="Q657" s="63">
        <f>COUNT(Q646:Q656)</f>
        <v>11</v>
      </c>
      <c r="R657" s="63">
        <f>COUNT(R646:R656)</f>
        <v>11</v>
      </c>
      <c r="S657" s="63">
        <f>COUNT(S646:S656)</f>
        <v>11</v>
      </c>
      <c r="T657" s="63"/>
      <c r="U657" s="10"/>
      <c r="V657" s="90"/>
      <c r="W657" s="91"/>
      <c r="X657" s="92"/>
    </row>
    <row r="658" spans="1:25">
      <c r="A658" s="2"/>
      <c r="B658" s="87"/>
      <c r="C658" s="36"/>
      <c r="D658" s="10"/>
      <c r="E658" s="10"/>
      <c r="F658" s="88"/>
      <c r="G658" s="88"/>
      <c r="H658" s="88"/>
      <c r="I658" s="99"/>
      <c r="J658" s="63"/>
      <c r="K658" s="21">
        <f>SUM(K646:K656)</f>
        <v>11</v>
      </c>
      <c r="L658" s="21">
        <f>SUM(L646:L656)</f>
        <v>10</v>
      </c>
      <c r="M658" s="21">
        <f>SUM(M646:M656)</f>
        <v>9</v>
      </c>
      <c r="N658" s="21">
        <f>SUM(N646:N656)</f>
        <v>11</v>
      </c>
      <c r="O658" s="21">
        <f>SUM(O646:O656)</f>
        <v>11</v>
      </c>
      <c r="P658" s="21">
        <f>SUM(P646:P656)</f>
        <v>11</v>
      </c>
      <c r="Q658" s="21">
        <f>SUM(Q646:Q656)</f>
        <v>10</v>
      </c>
      <c r="R658" s="21">
        <f>SUM(R646:R656)</f>
        <v>8</v>
      </c>
      <c r="S658" s="21">
        <f>SUM(S646:S656)</f>
        <v>5</v>
      </c>
      <c r="T658" s="63"/>
      <c r="U658" s="10"/>
      <c r="V658" s="90"/>
      <c r="W658" s="91"/>
      <c r="X658" s="92"/>
    </row>
    <row r="659" spans="1:25">
      <c r="A659" s="2"/>
      <c r="B659" s="11"/>
      <c r="C659" s="36"/>
      <c r="D659" s="10"/>
      <c r="E659" s="10"/>
      <c r="F659" s="88"/>
      <c r="G659" s="88"/>
      <c r="H659" s="88"/>
      <c r="I659" s="99"/>
      <c r="J659" s="63"/>
      <c r="K659" s="21"/>
      <c r="L659" s="21"/>
      <c r="M659" s="21"/>
      <c r="N659" s="21"/>
      <c r="O659" s="21"/>
      <c r="P659" s="21"/>
      <c r="Q659" s="21"/>
      <c r="R659" s="21"/>
      <c r="S659" s="21"/>
      <c r="T659" s="63"/>
      <c r="U659" s="94"/>
      <c r="V659" s="90"/>
      <c r="W659" s="91"/>
      <c r="X659" s="92"/>
    </row>
    <row r="660" spans="1:25" s="128" customFormat="1">
      <c r="A660" s="615"/>
      <c r="B660" s="121" t="s">
        <v>68</v>
      </c>
      <c r="C660" s="611"/>
      <c r="D660" s="123"/>
      <c r="E660" s="123"/>
      <c r="F660" s="124"/>
      <c r="G660" s="125"/>
      <c r="H660" s="124"/>
      <c r="I660" s="126"/>
      <c r="J660" s="127"/>
      <c r="T660" s="127"/>
      <c r="U660" s="123"/>
      <c r="V660" s="129"/>
      <c r="W660" s="130"/>
      <c r="X660" s="131"/>
    </row>
    <row r="661" spans="1:25" s="2" customFormat="1">
      <c r="A661" s="356">
        <v>0.05</v>
      </c>
      <c r="B661" s="333">
        <v>1</v>
      </c>
      <c r="C661" s="350">
        <v>45894</v>
      </c>
      <c r="D661" s="263">
        <v>72581</v>
      </c>
      <c r="E661" s="358" t="s">
        <v>1623</v>
      </c>
      <c r="F661" s="352">
        <v>5814</v>
      </c>
      <c r="G661" s="352">
        <f>39.7+446.6+(847.11)+250</f>
        <v>1583.41</v>
      </c>
      <c r="H661" s="352"/>
      <c r="I661" s="353">
        <f>F661-G661-H661</f>
        <v>4230.59</v>
      </c>
      <c r="J661" s="354" t="s">
        <v>228</v>
      </c>
      <c r="K661" s="354">
        <v>1</v>
      </c>
      <c r="L661" s="354"/>
      <c r="M661" s="354">
        <v>1</v>
      </c>
      <c r="N661" s="354">
        <v>1</v>
      </c>
      <c r="O661" s="354">
        <v>1</v>
      </c>
      <c r="P661" s="354">
        <v>1</v>
      </c>
      <c r="Q661" s="354"/>
      <c r="R661" s="354"/>
      <c r="S661" s="355"/>
      <c r="T661" s="127"/>
      <c r="U661" s="135" t="s">
        <v>1624</v>
      </c>
      <c r="V661" s="129">
        <f>650+4600</f>
        <v>5250</v>
      </c>
      <c r="W661" s="340"/>
      <c r="X661" s="341"/>
      <c r="Y661" s="342"/>
    </row>
    <row r="662" spans="1:25" s="128" customFormat="1">
      <c r="A662" s="615"/>
      <c r="B662" s="132"/>
      <c r="C662" s="611"/>
      <c r="D662" s="123"/>
      <c r="E662" s="123"/>
      <c r="F662" s="133">
        <f>SUM(F661:F661)</f>
        <v>5814</v>
      </c>
      <c r="G662" s="133">
        <f>SUM(G661:G661)</f>
        <v>1583.41</v>
      </c>
      <c r="H662" s="133">
        <f>SUM(H661:H661)</f>
        <v>0</v>
      </c>
      <c r="I662" s="134">
        <f>SUM(I661:I661)</f>
        <v>4230.59</v>
      </c>
      <c r="J662" s="127"/>
      <c r="K662" s="64"/>
      <c r="L662" s="64"/>
      <c r="M662" s="64"/>
      <c r="N662" s="64"/>
      <c r="O662" s="64"/>
      <c r="P662" s="64"/>
      <c r="Q662" s="64"/>
      <c r="R662" s="64"/>
      <c r="S662" s="64"/>
      <c r="T662" s="127"/>
      <c r="U662" s="123"/>
      <c r="V662" s="129"/>
      <c r="W662" s="130"/>
      <c r="X662" s="131"/>
    </row>
    <row r="663" spans="1:25" s="2" customFormat="1">
      <c r="A663" s="614"/>
      <c r="B663" s="11"/>
      <c r="C663" s="609"/>
      <c r="D663" s="10"/>
      <c r="E663" s="10"/>
      <c r="F663" s="88"/>
      <c r="G663" s="88"/>
      <c r="H663" s="88"/>
      <c r="I663" s="99"/>
      <c r="J663" s="63"/>
      <c r="K663" s="21"/>
      <c r="L663" s="21"/>
      <c r="M663" s="21"/>
      <c r="N663" s="21"/>
      <c r="O663" s="21"/>
      <c r="P663" s="21"/>
      <c r="Q663" s="21"/>
      <c r="R663" s="21"/>
      <c r="S663" s="21"/>
      <c r="T663" s="63"/>
      <c r="U663" s="10"/>
      <c r="V663" s="90"/>
      <c r="W663" s="91"/>
      <c r="X663" s="92"/>
    </row>
    <row r="664" spans="1:25" s="342" customFormat="1">
      <c r="A664" s="128"/>
      <c r="B664" s="121" t="s">
        <v>70</v>
      </c>
      <c r="C664" s="122"/>
      <c r="D664" s="123"/>
      <c r="E664" s="128"/>
      <c r="F664" s="124"/>
      <c r="G664" s="124"/>
      <c r="H664" s="124"/>
      <c r="I664" s="126"/>
      <c r="J664" s="127"/>
      <c r="K664" s="64"/>
      <c r="L664" s="64"/>
      <c r="M664" s="64"/>
      <c r="N664" s="64"/>
      <c r="O664" s="64"/>
      <c r="P664" s="64"/>
      <c r="Q664" s="64"/>
      <c r="R664" s="64"/>
      <c r="S664" s="64"/>
      <c r="T664" s="127"/>
      <c r="U664" s="135"/>
      <c r="V664" s="129"/>
      <c r="W664" s="130"/>
      <c r="X664" s="131"/>
    </row>
    <row r="665" spans="1:25" s="342" customFormat="1">
      <c r="A665" s="356">
        <v>0.05</v>
      </c>
      <c r="B665" s="333">
        <v>1</v>
      </c>
      <c r="C665" s="334">
        <v>45895</v>
      </c>
      <c r="D665" s="327">
        <v>72566</v>
      </c>
      <c r="E665" s="335" t="s">
        <v>833</v>
      </c>
      <c r="F665" s="336">
        <v>1861</v>
      </c>
      <c r="G665" s="336">
        <f>39.7+485</f>
        <v>524.70000000000005</v>
      </c>
      <c r="H665" s="336"/>
      <c r="I665" s="337">
        <f>F665-G665-H665</f>
        <v>1336.3</v>
      </c>
      <c r="J665" s="338" t="s">
        <v>156</v>
      </c>
      <c r="K665" s="338">
        <v>1</v>
      </c>
      <c r="L665" s="338"/>
      <c r="M665" s="338">
        <v>1</v>
      </c>
      <c r="N665" s="338">
        <v>1</v>
      </c>
      <c r="O665" s="338">
        <v>1</v>
      </c>
      <c r="P665" s="338">
        <v>1</v>
      </c>
      <c r="Q665" s="338"/>
      <c r="R665" s="338"/>
      <c r="S665" s="339"/>
      <c r="T665" s="127"/>
      <c r="U665" s="135" t="s">
        <v>1625</v>
      </c>
      <c r="V665" s="129">
        <v>250</v>
      </c>
      <c r="W665" s="340"/>
      <c r="X665" s="341"/>
    </row>
    <row r="666" spans="1:25" s="342" customFormat="1">
      <c r="A666" s="356" t="s">
        <v>1626</v>
      </c>
      <c r="B666" s="333">
        <f>B665+1</f>
        <v>2</v>
      </c>
      <c r="C666" s="350">
        <v>45898</v>
      </c>
      <c r="D666" s="263">
        <v>72801</v>
      </c>
      <c r="E666" s="358" t="s">
        <v>382</v>
      </c>
      <c r="F666" s="352">
        <v>6814</v>
      </c>
      <c r="G666" s="352">
        <f>39.7+(78.93+1697.56)+250</f>
        <v>2066.19</v>
      </c>
      <c r="H666" s="352"/>
      <c r="I666" s="353">
        <f>F666-G666-H666</f>
        <v>4747.8099999999995</v>
      </c>
      <c r="J666" s="354" t="s">
        <v>228</v>
      </c>
      <c r="K666" s="354">
        <v>1</v>
      </c>
      <c r="L666" s="354"/>
      <c r="M666" s="354">
        <v>1</v>
      </c>
      <c r="N666" s="354">
        <v>1</v>
      </c>
      <c r="O666" s="354">
        <v>1</v>
      </c>
      <c r="P666" s="354">
        <v>1</v>
      </c>
      <c r="Q666" s="354"/>
      <c r="R666" s="354"/>
      <c r="S666" s="355"/>
      <c r="T666" s="64"/>
      <c r="U666" s="135" t="s">
        <v>1627</v>
      </c>
      <c r="V666" s="129">
        <f>650</f>
        <v>650</v>
      </c>
      <c r="W666" s="340"/>
      <c r="X666" s="341"/>
    </row>
    <row r="667" spans="1:25">
      <c r="A667" s="128"/>
      <c r="B667" s="132"/>
      <c r="C667" s="122"/>
      <c r="D667" s="123"/>
      <c r="E667" s="123"/>
      <c r="F667" s="133">
        <f>SUM(F665:F666)</f>
        <v>8675</v>
      </c>
      <c r="G667" s="133">
        <f>SUM(G665:G666)</f>
        <v>2590.8900000000003</v>
      </c>
      <c r="H667" s="133">
        <f>SUM(H665:H666)</f>
        <v>0</v>
      </c>
      <c r="I667" s="133">
        <f>SUM(I665:I666)</f>
        <v>6084.11</v>
      </c>
      <c r="J667" s="127"/>
      <c r="K667" s="64"/>
      <c r="L667" s="64"/>
      <c r="M667" s="64"/>
      <c r="N667" s="64"/>
      <c r="O667" s="64"/>
      <c r="P667" s="64"/>
      <c r="Q667" s="64"/>
      <c r="R667" s="64"/>
      <c r="S667" s="64"/>
      <c r="T667" s="127"/>
      <c r="U667" s="135"/>
      <c r="V667" s="129"/>
      <c r="W667" s="130"/>
      <c r="X667" s="131"/>
    </row>
    <row r="668" spans="1:25">
      <c r="A668" s="2"/>
      <c r="B668" s="11"/>
      <c r="C668" s="36"/>
      <c r="D668" s="10"/>
      <c r="E668" s="10"/>
      <c r="F668" s="88"/>
      <c r="G668" s="88"/>
      <c r="H668" s="88"/>
      <c r="I668" s="99"/>
      <c r="J668" s="63"/>
      <c r="K668" s="21"/>
      <c r="L668" s="21"/>
      <c r="M668" s="21"/>
      <c r="N668" s="21"/>
      <c r="O668" s="21"/>
      <c r="P668" s="21"/>
      <c r="Q668" s="21"/>
      <c r="R668" s="21"/>
      <c r="S668" s="21"/>
      <c r="T668" s="63"/>
      <c r="U668" s="94"/>
      <c r="V668" s="90"/>
      <c r="W668" s="91"/>
      <c r="X668" s="92"/>
    </row>
    <row r="669" spans="1:25" s="434" customFormat="1" ht="13.5">
      <c r="A669" s="10"/>
      <c r="B669" s="100" t="s">
        <v>152</v>
      </c>
      <c r="C669" s="36"/>
      <c r="D669" s="10"/>
      <c r="E669" s="10"/>
      <c r="F669" s="88"/>
      <c r="G669" s="62"/>
      <c r="H669" s="88"/>
      <c r="I669" s="99"/>
      <c r="J669" s="63"/>
      <c r="K669" s="10"/>
      <c r="L669" s="10"/>
      <c r="M669" s="10"/>
      <c r="N669" s="10"/>
      <c r="O669" s="10"/>
      <c r="P669" s="123"/>
      <c r="Q669" s="10"/>
      <c r="R669" s="10"/>
      <c r="S669" s="10"/>
      <c r="T669" s="63"/>
      <c r="U669" s="10"/>
      <c r="V669" s="90"/>
      <c r="W669" s="91"/>
      <c r="X669" s="92"/>
    </row>
    <row r="670" spans="1:25" s="434" customFormat="1" ht="13.5">
      <c r="A670" s="31">
        <v>0.05</v>
      </c>
      <c r="B670" s="87">
        <v>1</v>
      </c>
      <c r="C670" s="262">
        <v>45848</v>
      </c>
      <c r="D670" s="263">
        <v>71373</v>
      </c>
      <c r="E670" s="264" t="s">
        <v>1338</v>
      </c>
      <c r="F670" s="265">
        <v>2681</v>
      </c>
      <c r="G670" s="265">
        <f>39.7</f>
        <v>39.700000000000003</v>
      </c>
      <c r="H670" s="265"/>
      <c r="I670" s="266">
        <f>F670-G670-H670</f>
        <v>2641.3</v>
      </c>
      <c r="J670" s="267" t="s">
        <v>156</v>
      </c>
      <c r="K670" s="267">
        <v>1</v>
      </c>
      <c r="L670" s="267">
        <v>1</v>
      </c>
      <c r="M670" s="267">
        <v>1</v>
      </c>
      <c r="N670" s="267">
        <v>1</v>
      </c>
      <c r="O670" s="267">
        <v>1</v>
      </c>
      <c r="P670" s="314">
        <v>0</v>
      </c>
      <c r="Q670" s="314">
        <v>0</v>
      </c>
      <c r="R670" s="314">
        <v>0</v>
      </c>
      <c r="S670" s="366">
        <v>0</v>
      </c>
      <c r="T670" s="63"/>
      <c r="U670" s="10"/>
      <c r="V670" s="90"/>
      <c r="W670" s="91"/>
      <c r="X670" s="92"/>
    </row>
    <row r="671" spans="1:25" s="260" customFormat="1">
      <c r="A671" s="261">
        <v>0.05</v>
      </c>
      <c r="B671" s="87">
        <f>B670+1</f>
        <v>2</v>
      </c>
      <c r="C671" s="262">
        <v>45855</v>
      </c>
      <c r="D671" s="263">
        <v>71488</v>
      </c>
      <c r="E671" s="264" t="s">
        <v>218</v>
      </c>
      <c r="F671" s="265">
        <v>2034.9</v>
      </c>
      <c r="G671" s="265">
        <f>39.7+(412.27)</f>
        <v>451.96999999999997</v>
      </c>
      <c r="H671" s="265"/>
      <c r="I671" s="266">
        <f>F671-G671-H671</f>
        <v>1582.93</v>
      </c>
      <c r="J671" s="267" t="s">
        <v>156</v>
      </c>
      <c r="K671" s="267">
        <v>1</v>
      </c>
      <c r="L671" s="267">
        <v>1</v>
      </c>
      <c r="M671" s="267">
        <v>1</v>
      </c>
      <c r="N671" s="314">
        <v>0</v>
      </c>
      <c r="O671" s="314">
        <v>0</v>
      </c>
      <c r="P671" s="314">
        <v>0</v>
      </c>
      <c r="Q671" s="267">
        <v>1</v>
      </c>
      <c r="R671" s="267">
        <v>1</v>
      </c>
      <c r="S671" s="366">
        <v>0</v>
      </c>
      <c r="T671" s="63"/>
      <c r="U671" s="10" t="s">
        <v>1502</v>
      </c>
      <c r="V671" s="90"/>
      <c r="W671" s="91"/>
      <c r="X671" s="92"/>
    </row>
    <row r="672" spans="1:25" s="260" customFormat="1">
      <c r="A672" s="261">
        <v>0.05</v>
      </c>
      <c r="B672" s="87">
        <f>B671+1</f>
        <v>3</v>
      </c>
      <c r="C672" s="262">
        <v>45863</v>
      </c>
      <c r="D672" s="263" t="s">
        <v>1497</v>
      </c>
      <c r="E672" s="271" t="s">
        <v>1117</v>
      </c>
      <c r="F672" s="265">
        <v>1138</v>
      </c>
      <c r="G672" s="265">
        <f>39.7</f>
        <v>39.700000000000003</v>
      </c>
      <c r="H672" s="365"/>
      <c r="I672" s="266">
        <f>F672-G672-H672</f>
        <v>1098.3</v>
      </c>
      <c r="J672" s="267"/>
      <c r="K672" s="267">
        <v>1</v>
      </c>
      <c r="L672" s="267">
        <v>1</v>
      </c>
      <c r="M672" s="267"/>
      <c r="N672" s="267">
        <v>1</v>
      </c>
      <c r="O672" s="267">
        <v>1</v>
      </c>
      <c r="P672" s="267">
        <v>1</v>
      </c>
      <c r="Q672" s="314">
        <v>0</v>
      </c>
      <c r="R672" s="314">
        <v>0</v>
      </c>
      <c r="S672" s="366">
        <v>0</v>
      </c>
      <c r="T672" s="63"/>
      <c r="U672" s="10" t="s">
        <v>1628</v>
      </c>
      <c r="V672" s="90"/>
      <c r="W672" s="91"/>
      <c r="X672" s="92"/>
    </row>
    <row r="673" spans="1:25" s="260" customFormat="1">
      <c r="A673" s="261">
        <v>0.05</v>
      </c>
      <c r="B673" s="87">
        <f>B672+1</f>
        <v>4</v>
      </c>
      <c r="C673" s="274">
        <v>45874</v>
      </c>
      <c r="D673" s="327">
        <v>72064</v>
      </c>
      <c r="E673" s="276" t="s">
        <v>998</v>
      </c>
      <c r="F673" s="277">
        <v>1138</v>
      </c>
      <c r="G673" s="277">
        <v>39.700000000000003</v>
      </c>
      <c r="H673" s="277"/>
      <c r="I673" s="321">
        <f>F673-G673-H673</f>
        <v>1098.3</v>
      </c>
      <c r="J673" s="279"/>
      <c r="K673" s="279">
        <v>1</v>
      </c>
      <c r="L673" s="279">
        <v>1</v>
      </c>
      <c r="M673" s="279"/>
      <c r="N673" s="279">
        <v>1</v>
      </c>
      <c r="O673" s="279">
        <v>1</v>
      </c>
      <c r="P673" s="279">
        <v>1</v>
      </c>
      <c r="Q673" s="322">
        <v>0</v>
      </c>
      <c r="R673" s="322">
        <v>0</v>
      </c>
      <c r="S673" s="328">
        <v>0</v>
      </c>
      <c r="T673" s="63"/>
      <c r="U673" s="94" t="s">
        <v>1540</v>
      </c>
      <c r="V673" s="90"/>
      <c r="W673" s="91"/>
      <c r="X673" s="92"/>
    </row>
    <row r="674" spans="1:25" s="260" customFormat="1">
      <c r="A674" s="261">
        <v>0.05</v>
      </c>
      <c r="B674" s="87">
        <f>B673+1</f>
        <v>5</v>
      </c>
      <c r="C674" s="262">
        <v>45860</v>
      </c>
      <c r="D674" s="263" t="s">
        <v>1522</v>
      </c>
      <c r="E674" s="271" t="s">
        <v>1256</v>
      </c>
      <c r="F674" s="265">
        <v>13770</v>
      </c>
      <c r="G674" s="265">
        <f>39.7+271.4+(133.8)+(7.88+328.49-9.15-0.86-0.98-2.08-46.07+30.69+267.21)+1000</f>
        <v>2020.03</v>
      </c>
      <c r="H674" s="365"/>
      <c r="I674" s="266">
        <f>F674-G674-H674</f>
        <v>11749.97</v>
      </c>
      <c r="J674" s="267" t="s">
        <v>156</v>
      </c>
      <c r="K674" s="267">
        <v>1</v>
      </c>
      <c r="L674" s="267">
        <v>1</v>
      </c>
      <c r="M674" s="267">
        <v>1</v>
      </c>
      <c r="N674" s="267">
        <v>1</v>
      </c>
      <c r="O674" s="314">
        <v>0</v>
      </c>
      <c r="P674" s="267">
        <v>1</v>
      </c>
      <c r="Q674" s="314">
        <v>0</v>
      </c>
      <c r="R674" s="314">
        <v>0</v>
      </c>
      <c r="S674" s="366">
        <v>0</v>
      </c>
      <c r="T674" s="63"/>
      <c r="U674" s="94" t="s">
        <v>1579</v>
      </c>
      <c r="V674" s="90"/>
      <c r="W674" s="136"/>
      <c r="X674" s="137"/>
    </row>
    <row r="675" spans="1:25" s="260" customFormat="1">
      <c r="A675" s="261" t="s">
        <v>619</v>
      </c>
      <c r="B675" s="87">
        <f>B674+1</f>
        <v>6</v>
      </c>
      <c r="C675" s="262">
        <v>45877</v>
      </c>
      <c r="D675" s="263">
        <v>72150</v>
      </c>
      <c r="E675" s="271" t="s">
        <v>769</v>
      </c>
      <c r="F675" s="265">
        <v>44619</v>
      </c>
      <c r="G675" s="265">
        <f>39.7+8800+352+(F675*0.25)+(3*150)</f>
        <v>20796.45</v>
      </c>
      <c r="H675" s="265"/>
      <c r="I675" s="272">
        <f>F675-G675-H675</f>
        <v>23822.55</v>
      </c>
      <c r="J675" s="267" t="s">
        <v>156</v>
      </c>
      <c r="K675" s="267">
        <v>1</v>
      </c>
      <c r="L675" s="267">
        <v>1</v>
      </c>
      <c r="M675" s="267">
        <v>1</v>
      </c>
      <c r="N675" s="267">
        <v>1</v>
      </c>
      <c r="O675" s="267">
        <v>1</v>
      </c>
      <c r="P675" s="267">
        <v>1</v>
      </c>
      <c r="Q675" s="267">
        <v>1</v>
      </c>
      <c r="R675" s="267">
        <v>1</v>
      </c>
      <c r="S675" s="269">
        <v>1</v>
      </c>
      <c r="T675" s="63"/>
      <c r="U675" s="94" t="s">
        <v>1580</v>
      </c>
      <c r="V675" s="90"/>
      <c r="W675" s="91"/>
      <c r="X675" s="137"/>
    </row>
    <row r="676" spans="1:25" s="260" customFormat="1">
      <c r="A676" s="261">
        <v>0.05</v>
      </c>
      <c r="B676" s="87">
        <f>B675+1</f>
        <v>7</v>
      </c>
      <c r="C676" s="262">
        <v>45882</v>
      </c>
      <c r="D676" s="263">
        <v>72282</v>
      </c>
      <c r="E676" s="271" t="s">
        <v>384</v>
      </c>
      <c r="F676" s="265">
        <v>12614</v>
      </c>
      <c r="G676" s="265">
        <f>39.7+(166)+(60.58)+1000</f>
        <v>1266.28</v>
      </c>
      <c r="H676" s="265"/>
      <c r="I676" s="266">
        <f>F676-G676-H676</f>
        <v>11347.72</v>
      </c>
      <c r="J676" s="267" t="s">
        <v>156</v>
      </c>
      <c r="K676" s="267">
        <v>1</v>
      </c>
      <c r="L676" s="267">
        <v>1</v>
      </c>
      <c r="M676" s="267">
        <v>1</v>
      </c>
      <c r="N676" s="267">
        <v>1</v>
      </c>
      <c r="O676" s="267">
        <v>1</v>
      </c>
      <c r="P676" s="267">
        <v>1</v>
      </c>
      <c r="Q676" s="314">
        <v>0</v>
      </c>
      <c r="R676" s="314">
        <v>0</v>
      </c>
      <c r="S676" s="366">
        <v>0</v>
      </c>
      <c r="T676" s="63"/>
      <c r="U676" s="94" t="s">
        <v>1629</v>
      </c>
      <c r="V676" s="90"/>
      <c r="W676" s="136"/>
      <c r="X676" s="137"/>
    </row>
    <row r="677" spans="1:25" s="260" customFormat="1">
      <c r="A677" s="261" t="s">
        <v>1630</v>
      </c>
      <c r="B677" s="87">
        <f>B676+1</f>
        <v>8</v>
      </c>
      <c r="C677" s="262">
        <v>45876</v>
      </c>
      <c r="D677" s="263">
        <v>72172</v>
      </c>
      <c r="E677" s="271" t="s">
        <v>1072</v>
      </c>
      <c r="F677" s="265">
        <v>12814</v>
      </c>
      <c r="G677" s="265">
        <f>+(52.1+49.56+110.02+38.45+18.7)+(326.82+110.02)+1000</f>
        <v>1705.67</v>
      </c>
      <c r="H677" s="265"/>
      <c r="I677" s="266">
        <f>F677-G677-H677</f>
        <v>11108.33</v>
      </c>
      <c r="J677" s="267" t="s">
        <v>228</v>
      </c>
      <c r="K677" s="267">
        <v>1</v>
      </c>
      <c r="L677" s="267">
        <v>1</v>
      </c>
      <c r="M677" s="267">
        <v>1</v>
      </c>
      <c r="N677" s="267">
        <v>1</v>
      </c>
      <c r="O677" s="267">
        <v>1</v>
      </c>
      <c r="P677" s="267">
        <v>1</v>
      </c>
      <c r="Q677" s="314">
        <v>0</v>
      </c>
      <c r="R677" s="314">
        <v>0</v>
      </c>
      <c r="S677" s="366">
        <v>0</v>
      </c>
      <c r="T677" s="63"/>
      <c r="U677" s="94" t="s">
        <v>1631</v>
      </c>
      <c r="V677" s="90">
        <f>1500</f>
        <v>1500</v>
      </c>
      <c r="W677" s="91"/>
      <c r="X677" s="137"/>
    </row>
    <row r="678" spans="1:25" s="342" customFormat="1">
      <c r="A678" s="261" t="s">
        <v>1183</v>
      </c>
      <c r="B678" s="87">
        <f>B677+1</f>
        <v>9</v>
      </c>
      <c r="C678" s="262">
        <v>45880</v>
      </c>
      <c r="D678" s="263" t="s">
        <v>1575</v>
      </c>
      <c r="E678" s="271" t="s">
        <v>798</v>
      </c>
      <c r="F678" s="265">
        <v>28614</v>
      </c>
      <c r="G678" s="265">
        <f>39.7+87+2114.68+(88.79+147.25+67.07+175.66+38+31.51+60)+(287.36+46.46+263.98-60+165.31)+(F678*0.2)</f>
        <v>9275.57</v>
      </c>
      <c r="H678" s="265"/>
      <c r="I678" s="266">
        <f>F678-G678-H678</f>
        <v>19338.43</v>
      </c>
      <c r="J678" s="267" t="s">
        <v>156</v>
      </c>
      <c r="K678" s="267">
        <v>1</v>
      </c>
      <c r="L678" s="267">
        <v>1</v>
      </c>
      <c r="M678" s="267">
        <v>1</v>
      </c>
      <c r="N678" s="314">
        <v>0</v>
      </c>
      <c r="O678" s="314">
        <v>0</v>
      </c>
      <c r="P678" s="314">
        <v>0</v>
      </c>
      <c r="Q678" s="267">
        <v>1</v>
      </c>
      <c r="R678" s="267">
        <v>1</v>
      </c>
      <c r="S678" s="269">
        <v>1</v>
      </c>
      <c r="T678" s="63"/>
      <c r="U678" s="94" t="s">
        <v>1603</v>
      </c>
      <c r="V678" s="90"/>
      <c r="W678" s="91"/>
      <c r="X678" s="137"/>
      <c r="Y678" s="260"/>
    </row>
    <row r="679" spans="1:25" s="260" customFormat="1">
      <c r="A679" s="261" t="s">
        <v>551</v>
      </c>
      <c r="B679" s="87">
        <f>B678+1</f>
        <v>10</v>
      </c>
      <c r="C679" s="262">
        <v>45887</v>
      </c>
      <c r="D679" s="263">
        <v>72369</v>
      </c>
      <c r="E679" s="271" t="s">
        <v>213</v>
      </c>
      <c r="F679" s="265">
        <v>6214</v>
      </c>
      <c r="G679" s="265">
        <f>39.7+(58.65)+(88.06+177.45)+300</f>
        <v>663.86</v>
      </c>
      <c r="H679" s="265"/>
      <c r="I679" s="266">
        <f>F679-G679-H679</f>
        <v>5550.14</v>
      </c>
      <c r="J679" s="267" t="s">
        <v>228</v>
      </c>
      <c r="K679" s="267">
        <v>1</v>
      </c>
      <c r="L679" s="267">
        <v>1</v>
      </c>
      <c r="M679" s="267">
        <v>1</v>
      </c>
      <c r="N679" s="267">
        <v>1</v>
      </c>
      <c r="O679" s="267">
        <v>1</v>
      </c>
      <c r="P679" s="267">
        <v>1</v>
      </c>
      <c r="Q679" s="267">
        <v>1</v>
      </c>
      <c r="R679" s="314">
        <v>0</v>
      </c>
      <c r="S679" s="366">
        <v>0</v>
      </c>
      <c r="T679" s="63"/>
      <c r="U679" s="94" t="s">
        <v>1598</v>
      </c>
      <c r="V679" s="90">
        <f>4135.4</f>
        <v>4135.3999999999996</v>
      </c>
      <c r="W679" s="136"/>
      <c r="X679" s="137"/>
    </row>
    <row r="680" spans="1:25" s="260" customFormat="1">
      <c r="A680" s="261" t="s">
        <v>551</v>
      </c>
      <c r="B680" s="87">
        <f t="shared" ref="B680:B682" si="71">B679+1</f>
        <v>11</v>
      </c>
      <c r="C680" s="274">
        <v>45875</v>
      </c>
      <c r="D680" s="320" t="s">
        <v>1547</v>
      </c>
      <c r="E680" s="404" t="s">
        <v>1227</v>
      </c>
      <c r="F680" s="277">
        <f>28614-0.4</f>
        <v>28613.599999999999</v>
      </c>
      <c r="G680" s="277">
        <f>39.7+330+1870.2+139+109.4+54+2770+(150.22+40.82+251.5+107.28+319.99+69.54+39.12+237.5)+(24.41+131.95+160.95+37.24+160.67+12.45+31.55)+(F680*0.2)</f>
        <v>12810.210000000001</v>
      </c>
      <c r="H680" s="277"/>
      <c r="I680" s="321">
        <f>F680-G680-H680</f>
        <v>15803.389999999998</v>
      </c>
      <c r="J680" s="279" t="s">
        <v>156</v>
      </c>
      <c r="K680" s="279">
        <v>1</v>
      </c>
      <c r="L680" s="279">
        <v>1</v>
      </c>
      <c r="M680" s="279">
        <v>1</v>
      </c>
      <c r="N680" s="279">
        <v>1</v>
      </c>
      <c r="O680" s="279">
        <v>1</v>
      </c>
      <c r="P680" s="279">
        <v>1</v>
      </c>
      <c r="Q680" s="322">
        <v>0</v>
      </c>
      <c r="R680" s="322">
        <v>0</v>
      </c>
      <c r="S680" s="328">
        <v>0</v>
      </c>
      <c r="T680" s="63"/>
      <c r="U680" s="10" t="s">
        <v>1632</v>
      </c>
      <c r="V680" s="90">
        <f>8475</f>
        <v>8475</v>
      </c>
      <c r="W680" s="136"/>
      <c r="X680" s="137"/>
    </row>
    <row r="681" spans="1:25" s="260" customFormat="1">
      <c r="A681" s="261" t="s">
        <v>1633</v>
      </c>
      <c r="B681" s="87">
        <f t="shared" si="71"/>
        <v>12</v>
      </c>
      <c r="C681" s="262">
        <v>45888</v>
      </c>
      <c r="D681" s="263">
        <v>72392</v>
      </c>
      <c r="E681" s="271" t="s">
        <v>382</v>
      </c>
      <c r="F681" s="265">
        <v>1861</v>
      </c>
      <c r="G681" s="265">
        <f>39.7+398</f>
        <v>437.7</v>
      </c>
      <c r="H681" s="265"/>
      <c r="I681" s="272">
        <f>F681-G681-H681</f>
        <v>1423.3</v>
      </c>
      <c r="J681" s="267" t="s">
        <v>156</v>
      </c>
      <c r="K681" s="267">
        <v>1</v>
      </c>
      <c r="L681" s="267">
        <v>1</v>
      </c>
      <c r="M681" s="267">
        <v>1</v>
      </c>
      <c r="N681" s="267">
        <v>1</v>
      </c>
      <c r="O681" s="267">
        <v>1</v>
      </c>
      <c r="P681" s="267">
        <v>1</v>
      </c>
      <c r="Q681" s="267">
        <v>1</v>
      </c>
      <c r="R681" s="267">
        <v>1</v>
      </c>
      <c r="S681" s="269">
        <v>1</v>
      </c>
      <c r="T681" s="63"/>
      <c r="U681" s="94" t="s">
        <v>1634</v>
      </c>
      <c r="V681" s="90">
        <f>1747.1</f>
        <v>1747.1</v>
      </c>
      <c r="W681" s="136"/>
      <c r="X681" s="137"/>
    </row>
    <row r="682" spans="1:25" s="260" customFormat="1">
      <c r="A682" s="261" t="s">
        <v>619</v>
      </c>
      <c r="B682" s="87">
        <f t="shared" si="71"/>
        <v>13</v>
      </c>
      <c r="C682" s="282">
        <v>45889</v>
      </c>
      <c r="D682" s="368">
        <v>72498</v>
      </c>
      <c r="E682" s="283" t="s">
        <v>769</v>
      </c>
      <c r="F682" s="284">
        <v>22618</v>
      </c>
      <c r="G682" s="284">
        <f>39.7+830.8+(94.29+28.45)+2000</f>
        <v>2993.24</v>
      </c>
      <c r="H682" s="284"/>
      <c r="I682" s="285">
        <f>F682-G682-H682</f>
        <v>19624.760000000002</v>
      </c>
      <c r="J682" s="286" t="s">
        <v>228</v>
      </c>
      <c r="K682" s="286">
        <v>1</v>
      </c>
      <c r="L682" s="286"/>
      <c r="M682" s="286">
        <v>1</v>
      </c>
      <c r="N682" s="286">
        <v>1</v>
      </c>
      <c r="O682" s="286">
        <v>1</v>
      </c>
      <c r="P682" s="286">
        <v>1</v>
      </c>
      <c r="Q682" s="286"/>
      <c r="R682" s="286"/>
      <c r="S682" s="287"/>
      <c r="T682" s="63"/>
      <c r="U682" s="94" t="s">
        <v>1635</v>
      </c>
      <c r="V682" s="90"/>
      <c r="W682" s="136"/>
      <c r="X682" s="137"/>
    </row>
    <row r="683" spans="1:25" s="434" customFormat="1" ht="13.5">
      <c r="A683" s="10"/>
      <c r="B683" s="11"/>
      <c r="C683" s="36"/>
      <c r="D683" s="10"/>
      <c r="E683" s="10"/>
      <c r="F683" s="98">
        <f>SUM(F670:F682)</f>
        <v>178729.5</v>
      </c>
      <c r="G683" s="98">
        <f>SUM(G670:G682)</f>
        <v>52540.079999999994</v>
      </c>
      <c r="H683" s="98">
        <f>SUM(H670:H682)</f>
        <v>0</v>
      </c>
      <c r="I683" s="98">
        <f>SUM(I670:I682)</f>
        <v>126189.42000000001</v>
      </c>
      <c r="J683" s="63"/>
      <c r="K683" s="21"/>
      <c r="L683" s="21"/>
      <c r="M683" s="21"/>
      <c r="N683" s="21"/>
      <c r="O683" s="21"/>
      <c r="P683" s="21"/>
      <c r="Q683" s="21"/>
      <c r="R683" s="21"/>
      <c r="S683" s="21"/>
      <c r="T683" s="63"/>
      <c r="U683" s="10"/>
      <c r="V683" s="90"/>
      <c r="W683" s="91"/>
      <c r="X683" s="92"/>
    </row>
    <row r="684" spans="1:25" s="434" customFormat="1" ht="13.5">
      <c r="A684" s="10"/>
      <c r="B684" s="11"/>
      <c r="C684" s="36"/>
      <c r="D684" s="10"/>
      <c r="E684" s="10"/>
      <c r="F684" s="88"/>
      <c r="G684" s="88"/>
      <c r="H684" s="88"/>
      <c r="I684" s="99"/>
      <c r="J684" s="63"/>
      <c r="K684" s="21"/>
      <c r="L684" s="21"/>
      <c r="M684" s="21"/>
      <c r="N684" s="21"/>
      <c r="O684" s="21"/>
      <c r="P684" s="21"/>
      <c r="Q684" s="21"/>
      <c r="R684" s="21"/>
      <c r="S684" s="21"/>
      <c r="T684" s="63"/>
      <c r="U684" s="10"/>
      <c r="V684" s="90"/>
      <c r="W684" s="91"/>
      <c r="X684" s="92"/>
    </row>
    <row r="685" spans="1:25" s="260" customFormat="1">
      <c r="A685" s="181"/>
      <c r="B685" s="100" t="s">
        <v>1521</v>
      </c>
      <c r="C685" s="36"/>
      <c r="D685" s="10"/>
      <c r="E685" s="181"/>
      <c r="F685" s="88"/>
      <c r="G685" s="88"/>
      <c r="H685" s="88"/>
      <c r="I685" s="99"/>
      <c r="J685" s="63"/>
      <c r="K685" s="21"/>
      <c r="L685" s="21"/>
      <c r="M685" s="21"/>
      <c r="N685" s="21"/>
      <c r="O685" s="21"/>
      <c r="P685" s="21"/>
      <c r="Q685" s="21"/>
      <c r="R685" s="21"/>
      <c r="S685" s="21"/>
      <c r="T685" s="63"/>
      <c r="U685" s="94"/>
      <c r="V685" s="90"/>
      <c r="W685" s="91"/>
      <c r="X685" s="92"/>
    </row>
    <row r="686" spans="1:25" s="260" customFormat="1">
      <c r="A686" s="261">
        <v>0.05</v>
      </c>
      <c r="B686" s="87">
        <v>1</v>
      </c>
      <c r="C686" s="262">
        <v>45889</v>
      </c>
      <c r="D686" s="263">
        <v>72473</v>
      </c>
      <c r="E686" s="271" t="s">
        <v>384</v>
      </c>
      <c r="F686" s="265">
        <v>20352.599999999999</v>
      </c>
      <c r="G686" s="265">
        <f>39.7+1158.5+330+1074.8+(131.46+39.56+458.93+229.4+124.76-77.28)+(199.57)+2000</f>
        <v>5709.4</v>
      </c>
      <c r="H686" s="265"/>
      <c r="I686" s="272">
        <f>F686-G686-H686</f>
        <v>14643.199999999999</v>
      </c>
      <c r="J686" s="267" t="s">
        <v>156</v>
      </c>
      <c r="K686" s="267">
        <v>1</v>
      </c>
      <c r="L686" s="267"/>
      <c r="M686" s="267">
        <v>1</v>
      </c>
      <c r="N686" s="267">
        <v>1</v>
      </c>
      <c r="O686" s="267">
        <v>1</v>
      </c>
      <c r="P686" s="267">
        <v>1</v>
      </c>
      <c r="Q686" s="267"/>
      <c r="R686" s="267"/>
      <c r="S686" s="269"/>
      <c r="T686" s="63"/>
      <c r="U686" s="94" t="s">
        <v>1636</v>
      </c>
      <c r="V686" s="90"/>
      <c r="W686" s="136"/>
      <c r="X686" s="137"/>
    </row>
    <row r="687" spans="1:25" s="260" customFormat="1">
      <c r="A687" s="181"/>
      <c r="B687" s="11"/>
      <c r="C687" s="36"/>
      <c r="D687" s="10"/>
      <c r="E687" s="10"/>
      <c r="F687" s="97">
        <f>SUM(F686:F686)</f>
        <v>20352.599999999999</v>
      </c>
      <c r="G687" s="97">
        <f>SUM(G686:G686)</f>
        <v>5709.4</v>
      </c>
      <c r="H687" s="97">
        <f>SUM(H686:H686)</f>
        <v>0</v>
      </c>
      <c r="I687" s="97">
        <f>SUM(I686:I686)</f>
        <v>14643.199999999999</v>
      </c>
      <c r="J687" s="63"/>
      <c r="K687" s="21"/>
      <c r="L687" s="21"/>
      <c r="M687" s="21"/>
      <c r="N687" s="21"/>
      <c r="O687" s="21"/>
      <c r="P687" s="21"/>
      <c r="Q687" s="21"/>
      <c r="R687" s="21"/>
      <c r="S687" s="21"/>
      <c r="T687" s="63"/>
      <c r="U687" s="94"/>
      <c r="V687" s="90"/>
      <c r="W687" s="91"/>
      <c r="X687" s="92"/>
    </row>
    <row r="688" spans="1:25" s="260" customFormat="1">
      <c r="A688" s="181"/>
      <c r="B688" s="11"/>
      <c r="C688" s="36"/>
      <c r="D688" s="10"/>
      <c r="E688" s="10"/>
      <c r="F688" s="88"/>
      <c r="G688" s="88"/>
      <c r="H688" s="88"/>
      <c r="I688" s="99"/>
      <c r="J688" s="63"/>
      <c r="K688" s="21"/>
      <c r="L688" s="21"/>
      <c r="M688" s="21"/>
      <c r="N688" s="21"/>
      <c r="O688" s="21"/>
      <c r="P688" s="21"/>
      <c r="Q688" s="21"/>
      <c r="R688" s="21"/>
      <c r="S688" s="21"/>
      <c r="T688" s="63"/>
      <c r="U688" s="94"/>
      <c r="V688" s="90"/>
      <c r="W688" s="91"/>
      <c r="X688" s="92"/>
    </row>
    <row r="689" spans="1:24">
      <c r="A689" s="2"/>
      <c r="B689" s="100" t="s">
        <v>72</v>
      </c>
      <c r="C689" s="36"/>
      <c r="D689" s="10"/>
      <c r="E689" s="10"/>
      <c r="F689" s="88"/>
      <c r="G689" s="88"/>
      <c r="H689" s="88"/>
      <c r="I689" s="99"/>
      <c r="J689" s="63"/>
      <c r="K689" s="63"/>
      <c r="L689" s="63"/>
      <c r="M689" s="63"/>
      <c r="N689" s="63"/>
      <c r="O689" s="63"/>
      <c r="P689" s="63"/>
      <c r="Q689" s="63"/>
      <c r="R689" s="63"/>
      <c r="S689" s="63"/>
      <c r="T689" s="63"/>
      <c r="U689" s="10"/>
      <c r="V689" s="90"/>
      <c r="W689" s="91"/>
      <c r="X689" s="92"/>
    </row>
    <row r="690" spans="1:24">
      <c r="A690" s="2"/>
      <c r="B690" s="87">
        <v>1</v>
      </c>
      <c r="C690" s="274">
        <v>45894</v>
      </c>
      <c r="D690" s="276">
        <v>72603</v>
      </c>
      <c r="E690" s="276" t="s">
        <v>681</v>
      </c>
      <c r="F690" s="277">
        <v>1179</v>
      </c>
      <c r="G690" s="277">
        <v>39.700000000000003</v>
      </c>
      <c r="H690" s="277"/>
      <c r="I690" s="278">
        <f>F690-G690-H690</f>
        <v>1139.3</v>
      </c>
      <c r="J690" s="279" t="s">
        <v>205</v>
      </c>
      <c r="K690" s="279">
        <v>1</v>
      </c>
      <c r="L690" s="279"/>
      <c r="M690" s="279"/>
      <c r="N690" s="279">
        <v>1</v>
      </c>
      <c r="O690" s="279"/>
      <c r="P690" s="279"/>
      <c r="Q690" s="279">
        <v>1</v>
      </c>
      <c r="R690" s="279">
        <v>1</v>
      </c>
      <c r="S690" s="280">
        <v>1</v>
      </c>
      <c r="T690" s="63"/>
      <c r="U690" s="3"/>
      <c r="V690" s="90"/>
      <c r="W690" s="91"/>
      <c r="X690" s="92"/>
    </row>
    <row r="691" spans="1:24">
      <c r="A691" s="2"/>
      <c r="B691" s="87">
        <f t="shared" ref="B691:B708" si="72">B690+1</f>
        <v>2</v>
      </c>
      <c r="C691" s="295">
        <v>45894</v>
      </c>
      <c r="D691" s="10">
        <v>72618</v>
      </c>
      <c r="E691" s="10" t="s">
        <v>751</v>
      </c>
      <c r="F691" s="62">
        <v>1138</v>
      </c>
      <c r="G691" s="62">
        <v>39.700000000000003</v>
      </c>
      <c r="H691" s="62"/>
      <c r="I691" s="89">
        <f>F691-G691-H691</f>
        <v>1098.3</v>
      </c>
      <c r="J691" s="63" t="s">
        <v>205</v>
      </c>
      <c r="K691" s="63">
        <v>1</v>
      </c>
      <c r="L691" s="63"/>
      <c r="M691" s="63"/>
      <c r="N691" s="63">
        <v>1</v>
      </c>
      <c r="O691" s="63"/>
      <c r="P691" s="63"/>
      <c r="Q691" s="63">
        <v>1</v>
      </c>
      <c r="R691" s="63">
        <v>1</v>
      </c>
      <c r="S691" s="296">
        <v>1</v>
      </c>
      <c r="T691" s="63"/>
      <c r="U691" s="10"/>
      <c r="V691" s="90"/>
      <c r="W691" s="136"/>
      <c r="X691" s="137"/>
    </row>
    <row r="692" spans="1:24">
      <c r="A692" s="388">
        <v>45898</v>
      </c>
      <c r="B692" s="87">
        <f t="shared" si="72"/>
        <v>3</v>
      </c>
      <c r="C692" s="295">
        <v>45894</v>
      </c>
      <c r="D692" s="10">
        <v>72592</v>
      </c>
      <c r="E692" s="10" t="s">
        <v>512</v>
      </c>
      <c r="F692" s="62">
        <v>5814</v>
      </c>
      <c r="G692" s="62">
        <v>39.700000000000003</v>
      </c>
      <c r="H692" s="62"/>
      <c r="I692" s="89">
        <f>F692-G692-H692</f>
        <v>5774.3</v>
      </c>
      <c r="J692" s="63" t="s">
        <v>156</v>
      </c>
      <c r="K692" s="63">
        <v>1</v>
      </c>
      <c r="L692" s="63"/>
      <c r="M692" s="63">
        <v>1</v>
      </c>
      <c r="N692" s="63">
        <v>1</v>
      </c>
      <c r="O692" s="63">
        <v>1</v>
      </c>
      <c r="P692" s="63">
        <v>1</v>
      </c>
      <c r="Q692" s="63"/>
      <c r="R692" s="63"/>
      <c r="S692" s="296"/>
      <c r="T692" s="63"/>
      <c r="U692" s="94" t="s">
        <v>1637</v>
      </c>
      <c r="V692" s="90">
        <f>600</f>
        <v>600</v>
      </c>
      <c r="W692" s="136"/>
      <c r="X692" s="137"/>
    </row>
    <row r="693" spans="1:24">
      <c r="A693" s="2"/>
      <c r="B693" s="87">
        <f t="shared" si="72"/>
        <v>4</v>
      </c>
      <c r="C693" s="274">
        <v>45895</v>
      </c>
      <c r="D693" s="276">
        <v>71912</v>
      </c>
      <c r="E693" s="276" t="s">
        <v>294</v>
      </c>
      <c r="F693" s="277">
        <v>2931</v>
      </c>
      <c r="G693" s="277">
        <v>39.700000000000003</v>
      </c>
      <c r="H693" s="277"/>
      <c r="I693" s="278">
        <f>F693-G693-H693</f>
        <v>2891.3</v>
      </c>
      <c r="J693" s="279" t="s">
        <v>205</v>
      </c>
      <c r="K693" s="279">
        <v>1</v>
      </c>
      <c r="L693" s="279"/>
      <c r="M693" s="279"/>
      <c r="N693" s="279">
        <v>1</v>
      </c>
      <c r="O693" s="279"/>
      <c r="P693" s="279"/>
      <c r="Q693" s="279">
        <v>1</v>
      </c>
      <c r="R693" s="279">
        <v>1</v>
      </c>
      <c r="S693" s="280">
        <v>1</v>
      </c>
      <c r="T693" s="63"/>
      <c r="U693" s="10"/>
      <c r="V693" s="90"/>
      <c r="W693" s="136"/>
      <c r="X693" s="137"/>
    </row>
    <row r="694" spans="1:24">
      <c r="A694" s="2"/>
      <c r="B694" s="87">
        <f t="shared" si="72"/>
        <v>5</v>
      </c>
      <c r="C694" s="295">
        <v>45895</v>
      </c>
      <c r="D694" s="10">
        <v>72649</v>
      </c>
      <c r="E694" s="10" t="s">
        <v>1605</v>
      </c>
      <c r="F694" s="62">
        <v>681</v>
      </c>
      <c r="G694" s="62"/>
      <c r="H694" s="62"/>
      <c r="I694" s="89">
        <f>F694-G694-H694</f>
        <v>681</v>
      </c>
      <c r="J694" s="63" t="s">
        <v>205</v>
      </c>
      <c r="K694" s="63">
        <v>1</v>
      </c>
      <c r="L694" s="63"/>
      <c r="M694" s="63"/>
      <c r="N694" s="63">
        <v>1</v>
      </c>
      <c r="O694" s="63"/>
      <c r="P694" s="63"/>
      <c r="Q694" s="63">
        <v>1</v>
      </c>
      <c r="R694" s="63">
        <v>1</v>
      </c>
      <c r="S694" s="296">
        <v>1</v>
      </c>
      <c r="T694" s="63"/>
      <c r="U694" s="10"/>
      <c r="V694" s="90"/>
      <c r="W694" s="136"/>
      <c r="X694" s="137"/>
    </row>
    <row r="695" spans="1:24">
      <c r="A695" s="2"/>
      <c r="B695" s="87">
        <f t="shared" si="72"/>
        <v>6</v>
      </c>
      <c r="C695" s="295">
        <v>45895</v>
      </c>
      <c r="D695" s="10">
        <v>72619</v>
      </c>
      <c r="E695" s="101" t="s">
        <v>811</v>
      </c>
      <c r="F695" s="62">
        <v>0</v>
      </c>
      <c r="G695" s="62">
        <v>0</v>
      </c>
      <c r="H695" s="62"/>
      <c r="I695" s="89">
        <f>F695-G695-H695</f>
        <v>0</v>
      </c>
      <c r="J695" s="63" t="s">
        <v>205</v>
      </c>
      <c r="K695" s="63"/>
      <c r="L695" s="63"/>
      <c r="M695" s="63"/>
      <c r="N695" s="63"/>
      <c r="O695" s="63"/>
      <c r="P695" s="63"/>
      <c r="Q695" s="63">
        <v>1</v>
      </c>
      <c r="R695" s="63">
        <v>1</v>
      </c>
      <c r="S695" s="296"/>
      <c r="T695" s="63"/>
      <c r="U695" s="10"/>
      <c r="V695" s="90"/>
      <c r="W695" s="136"/>
      <c r="X695" s="137"/>
    </row>
    <row r="696" spans="1:24">
      <c r="A696" s="2"/>
      <c r="B696" s="87">
        <f t="shared" si="72"/>
        <v>7</v>
      </c>
      <c r="C696" s="274">
        <v>45896</v>
      </c>
      <c r="D696" s="276" t="s">
        <v>1638</v>
      </c>
      <c r="E696" s="281" t="s">
        <v>1079</v>
      </c>
      <c r="F696" s="277">
        <v>1281</v>
      </c>
      <c r="G696" s="277">
        <v>39.700000000000003</v>
      </c>
      <c r="H696" s="277"/>
      <c r="I696" s="278">
        <f>F696-G696-H696</f>
        <v>1241.3</v>
      </c>
      <c r="J696" s="279" t="s">
        <v>205</v>
      </c>
      <c r="K696" s="279">
        <v>1</v>
      </c>
      <c r="L696" s="279"/>
      <c r="M696" s="279"/>
      <c r="N696" s="279">
        <v>1</v>
      </c>
      <c r="O696" s="279"/>
      <c r="P696" s="279"/>
      <c r="Q696" s="279">
        <v>1</v>
      </c>
      <c r="R696" s="279">
        <v>1</v>
      </c>
      <c r="S696" s="280">
        <v>1</v>
      </c>
      <c r="T696" s="63"/>
      <c r="U696" s="10"/>
      <c r="V696" s="90"/>
      <c r="W696" s="136"/>
      <c r="X696" s="137"/>
    </row>
    <row r="697" spans="1:24">
      <c r="A697" s="2"/>
      <c r="B697" s="87">
        <f t="shared" si="72"/>
        <v>8</v>
      </c>
      <c r="C697" s="295">
        <v>45896</v>
      </c>
      <c r="D697" s="10" t="s">
        <v>1639</v>
      </c>
      <c r="E697" s="101" t="s">
        <v>1079</v>
      </c>
      <c r="F697" s="62">
        <v>621</v>
      </c>
      <c r="G697" s="62"/>
      <c r="H697" s="62"/>
      <c r="I697" s="89">
        <f>F697-G697-H697</f>
        <v>621</v>
      </c>
      <c r="J697" s="63" t="s">
        <v>205</v>
      </c>
      <c r="K697" s="63">
        <v>1</v>
      </c>
      <c r="L697" s="63"/>
      <c r="M697" s="63"/>
      <c r="N697" s="63">
        <v>1</v>
      </c>
      <c r="O697" s="63"/>
      <c r="P697" s="63"/>
      <c r="Q697" s="63">
        <v>1</v>
      </c>
      <c r="R697" s="63">
        <v>1</v>
      </c>
      <c r="S697" s="296">
        <v>1</v>
      </c>
      <c r="T697" s="63"/>
      <c r="U697" s="10"/>
      <c r="V697" s="90"/>
      <c r="W697" s="136"/>
      <c r="X697" s="137"/>
    </row>
    <row r="698" spans="1:24">
      <c r="A698" s="2"/>
      <c r="B698" s="87">
        <f t="shared" si="72"/>
        <v>9</v>
      </c>
      <c r="C698" s="295">
        <v>45896</v>
      </c>
      <c r="D698" s="10" t="s">
        <v>1640</v>
      </c>
      <c r="E698" s="101" t="s">
        <v>1201</v>
      </c>
      <c r="F698" s="62">
        <v>681</v>
      </c>
      <c r="G698" s="62"/>
      <c r="H698" s="62"/>
      <c r="I698" s="89">
        <f>F698-G698-H698</f>
        <v>681</v>
      </c>
      <c r="J698" s="63" t="s">
        <v>205</v>
      </c>
      <c r="K698" s="63">
        <v>1</v>
      </c>
      <c r="L698" s="63"/>
      <c r="M698" s="63"/>
      <c r="N698" s="63">
        <v>1</v>
      </c>
      <c r="O698" s="63"/>
      <c r="P698" s="63"/>
      <c r="Q698" s="63">
        <v>1</v>
      </c>
      <c r="R698" s="63">
        <v>1</v>
      </c>
      <c r="S698" s="296"/>
      <c r="T698" s="63"/>
      <c r="U698" s="10"/>
      <c r="V698" s="90"/>
      <c r="W698" s="136"/>
      <c r="X698" s="137"/>
    </row>
    <row r="699" spans="1:24">
      <c r="A699" s="2"/>
      <c r="B699" s="87">
        <f t="shared" si="72"/>
        <v>10</v>
      </c>
      <c r="C699" s="295">
        <v>45896</v>
      </c>
      <c r="D699" s="10" t="s">
        <v>1641</v>
      </c>
      <c r="E699" s="101" t="s">
        <v>1201</v>
      </c>
      <c r="F699" s="62">
        <v>4681</v>
      </c>
      <c r="G699" s="62">
        <v>39.700000000000003</v>
      </c>
      <c r="H699" s="62"/>
      <c r="I699" s="89">
        <f>F699-G699-H699</f>
        <v>4641.3</v>
      </c>
      <c r="J699" s="63" t="s">
        <v>205</v>
      </c>
      <c r="K699" s="63">
        <v>1</v>
      </c>
      <c r="L699" s="63"/>
      <c r="M699" s="63"/>
      <c r="N699" s="63">
        <v>1</v>
      </c>
      <c r="O699" s="63"/>
      <c r="P699" s="63"/>
      <c r="Q699" s="63">
        <v>1</v>
      </c>
      <c r="R699" s="63">
        <v>1</v>
      </c>
      <c r="S699" s="296"/>
      <c r="T699" s="63"/>
      <c r="U699" s="10"/>
      <c r="V699" s="90"/>
      <c r="W699" s="136"/>
      <c r="X699" s="137"/>
    </row>
    <row r="700" spans="1:24">
      <c r="A700" s="2"/>
      <c r="B700" s="87">
        <f t="shared" si="72"/>
        <v>11</v>
      </c>
      <c r="C700" s="295">
        <v>45896</v>
      </c>
      <c r="D700" s="10">
        <v>72487</v>
      </c>
      <c r="E700" s="101" t="s">
        <v>681</v>
      </c>
      <c r="F700" s="62">
        <v>2492</v>
      </c>
      <c r="G700" s="62">
        <v>39.700000000000003</v>
      </c>
      <c r="H700" s="62"/>
      <c r="I700" s="89">
        <f>F700-G700-H700</f>
        <v>2452.3000000000002</v>
      </c>
      <c r="J700" s="63" t="s">
        <v>205</v>
      </c>
      <c r="K700" s="63">
        <v>1</v>
      </c>
      <c r="L700" s="63"/>
      <c r="M700" s="63"/>
      <c r="N700" s="63">
        <v>1</v>
      </c>
      <c r="O700" s="63"/>
      <c r="P700" s="63"/>
      <c r="Q700" s="63">
        <v>1</v>
      </c>
      <c r="R700" s="63">
        <v>1</v>
      </c>
      <c r="S700" s="296">
        <v>1</v>
      </c>
      <c r="T700" s="63"/>
      <c r="U700" s="10"/>
      <c r="V700" s="90"/>
      <c r="W700" s="136"/>
      <c r="X700" s="137"/>
    </row>
    <row r="701" spans="1:24">
      <c r="A701" s="2"/>
      <c r="B701" s="87">
        <f t="shared" si="72"/>
        <v>12</v>
      </c>
      <c r="C701" s="295">
        <v>45896</v>
      </c>
      <c r="D701" s="10">
        <v>72701</v>
      </c>
      <c r="E701" s="101" t="s">
        <v>382</v>
      </c>
      <c r="F701" s="62">
        <v>861</v>
      </c>
      <c r="G701" s="62">
        <v>39.700000000000003</v>
      </c>
      <c r="H701" s="62"/>
      <c r="I701" s="89">
        <f>F701-G701-H701</f>
        <v>821.3</v>
      </c>
      <c r="J701" s="63" t="s">
        <v>205</v>
      </c>
      <c r="K701" s="63">
        <v>1</v>
      </c>
      <c r="L701" s="63"/>
      <c r="M701" s="63"/>
      <c r="N701" s="63">
        <v>1</v>
      </c>
      <c r="O701" s="63"/>
      <c r="P701" s="63"/>
      <c r="Q701" s="63">
        <v>1</v>
      </c>
      <c r="R701" s="63">
        <v>1</v>
      </c>
      <c r="S701" s="296">
        <v>1</v>
      </c>
      <c r="T701" s="63"/>
      <c r="U701" s="10"/>
      <c r="V701" s="90"/>
      <c r="W701" s="136"/>
      <c r="X701" s="137"/>
    </row>
    <row r="702" spans="1:24">
      <c r="A702" s="2"/>
      <c r="B702" s="87">
        <f t="shared" si="72"/>
        <v>13</v>
      </c>
      <c r="C702" s="274">
        <v>45897</v>
      </c>
      <c r="D702" s="276">
        <v>72723</v>
      </c>
      <c r="E702" s="281" t="s">
        <v>739</v>
      </c>
      <c r="F702" s="277">
        <v>1281</v>
      </c>
      <c r="G702" s="277">
        <v>39.700000000000003</v>
      </c>
      <c r="H702" s="277"/>
      <c r="I702" s="278">
        <f>F702-G702-H702</f>
        <v>1241.3</v>
      </c>
      <c r="J702" s="279" t="s">
        <v>205</v>
      </c>
      <c r="K702" s="279">
        <v>1</v>
      </c>
      <c r="L702" s="279"/>
      <c r="M702" s="279"/>
      <c r="N702" s="279">
        <v>1</v>
      </c>
      <c r="O702" s="279"/>
      <c r="P702" s="279"/>
      <c r="Q702" s="279">
        <v>1</v>
      </c>
      <c r="R702" s="279">
        <v>1</v>
      </c>
      <c r="S702" s="280">
        <v>1</v>
      </c>
      <c r="T702" s="63"/>
      <c r="U702" s="10"/>
      <c r="V702" s="90"/>
      <c r="W702" s="136"/>
      <c r="X702" s="137"/>
    </row>
    <row r="703" spans="1:24">
      <c r="A703" s="2"/>
      <c r="B703" s="87">
        <f t="shared" si="72"/>
        <v>14</v>
      </c>
      <c r="C703" s="295">
        <v>45897</v>
      </c>
      <c r="D703" s="10">
        <v>72762</v>
      </c>
      <c r="E703" s="10" t="s">
        <v>1173</v>
      </c>
      <c r="F703" s="62">
        <v>796</v>
      </c>
      <c r="G703" s="62">
        <v>39.700000000000003</v>
      </c>
      <c r="H703" s="62"/>
      <c r="I703" s="89">
        <f>F703-G703-H703</f>
        <v>756.3</v>
      </c>
      <c r="J703" s="63" t="s">
        <v>205</v>
      </c>
      <c r="K703" s="63">
        <v>1</v>
      </c>
      <c r="L703" s="63"/>
      <c r="M703" s="63"/>
      <c r="N703" s="63">
        <v>1</v>
      </c>
      <c r="O703" s="63"/>
      <c r="P703" s="63"/>
      <c r="Q703" s="63">
        <v>1</v>
      </c>
      <c r="R703" s="63">
        <v>1</v>
      </c>
      <c r="S703" s="296">
        <v>1</v>
      </c>
      <c r="T703" s="63"/>
      <c r="U703" s="10"/>
      <c r="V703" s="90"/>
      <c r="W703" s="136"/>
      <c r="X703" s="137"/>
    </row>
    <row r="704" spans="1:24">
      <c r="A704" s="2"/>
      <c r="B704" s="87">
        <f t="shared" si="72"/>
        <v>15</v>
      </c>
      <c r="C704" s="274">
        <v>45898</v>
      </c>
      <c r="D704" s="276">
        <v>72757</v>
      </c>
      <c r="E704" s="276" t="s">
        <v>294</v>
      </c>
      <c r="F704" s="277">
        <v>0</v>
      </c>
      <c r="G704" s="277">
        <v>0</v>
      </c>
      <c r="H704" s="277"/>
      <c r="I704" s="278">
        <f>F704-G704-H704</f>
        <v>0</v>
      </c>
      <c r="J704" s="279" t="s">
        <v>205</v>
      </c>
      <c r="K704" s="279">
        <v>1</v>
      </c>
      <c r="L704" s="279"/>
      <c r="M704" s="279"/>
      <c r="N704" s="279"/>
      <c r="O704" s="279"/>
      <c r="P704" s="279"/>
      <c r="Q704" s="279">
        <v>1</v>
      </c>
      <c r="R704" s="279">
        <v>1</v>
      </c>
      <c r="S704" s="280">
        <v>1</v>
      </c>
      <c r="T704" s="63"/>
      <c r="U704" s="10"/>
      <c r="V704" s="90"/>
      <c r="W704" s="136"/>
      <c r="X704" s="137"/>
    </row>
    <row r="705" spans="1:24">
      <c r="A705" s="2"/>
      <c r="B705" s="87">
        <f>B704+1</f>
        <v>16</v>
      </c>
      <c r="C705" s="295">
        <v>45898</v>
      </c>
      <c r="D705" s="10">
        <v>72704</v>
      </c>
      <c r="E705" s="10" t="s">
        <v>278</v>
      </c>
      <c r="F705" s="62">
        <v>0</v>
      </c>
      <c r="G705" s="62">
        <v>0</v>
      </c>
      <c r="H705" s="62"/>
      <c r="I705" s="89">
        <f>F705-G705-H705</f>
        <v>0</v>
      </c>
      <c r="J705" s="63" t="s">
        <v>205</v>
      </c>
      <c r="K705" s="63">
        <v>1</v>
      </c>
      <c r="L705" s="63"/>
      <c r="M705" s="63"/>
      <c r="N705" s="63"/>
      <c r="O705" s="63"/>
      <c r="P705" s="63"/>
      <c r="Q705" s="63">
        <v>1</v>
      </c>
      <c r="R705" s="63">
        <v>1</v>
      </c>
      <c r="S705" s="296">
        <v>1</v>
      </c>
      <c r="T705" s="63"/>
      <c r="U705" s="10"/>
      <c r="V705" s="90"/>
      <c r="W705" s="136"/>
      <c r="X705" s="137"/>
    </row>
    <row r="706" spans="1:24">
      <c r="A706" s="2"/>
      <c r="B706" s="87">
        <f>B705+1</f>
        <v>17</v>
      </c>
      <c r="C706" s="295">
        <v>45898</v>
      </c>
      <c r="D706" s="10">
        <v>72790</v>
      </c>
      <c r="E706" s="10" t="s">
        <v>659</v>
      </c>
      <c r="F706" s="62">
        <v>5729</v>
      </c>
      <c r="G706" s="62">
        <v>39.700000000000003</v>
      </c>
      <c r="H706" s="62"/>
      <c r="I706" s="89">
        <f>F706-G706-H706</f>
        <v>5689.3</v>
      </c>
      <c r="J706" s="63" t="s">
        <v>205</v>
      </c>
      <c r="K706" s="63">
        <v>1</v>
      </c>
      <c r="L706" s="63"/>
      <c r="M706" s="63"/>
      <c r="N706" s="63">
        <v>1</v>
      </c>
      <c r="O706" s="63"/>
      <c r="P706" s="63"/>
      <c r="Q706" s="63">
        <v>1</v>
      </c>
      <c r="R706" s="63">
        <v>1</v>
      </c>
      <c r="S706" s="296">
        <v>1</v>
      </c>
      <c r="T706" s="63"/>
      <c r="U706" s="10"/>
      <c r="V706" s="90"/>
      <c r="W706" s="136"/>
      <c r="X706" s="137"/>
    </row>
    <row r="707" spans="1:24">
      <c r="A707" s="2"/>
      <c r="B707" s="87">
        <f t="shared" si="72"/>
        <v>18</v>
      </c>
      <c r="C707" s="295">
        <v>45898</v>
      </c>
      <c r="D707" s="10">
        <v>72765</v>
      </c>
      <c r="E707" s="10" t="s">
        <v>1079</v>
      </c>
      <c r="F707" s="62">
        <v>0</v>
      </c>
      <c r="G707" s="62">
        <v>0</v>
      </c>
      <c r="H707" s="62"/>
      <c r="I707" s="89">
        <f>F707-G707-H707</f>
        <v>0</v>
      </c>
      <c r="J707" s="63" t="s">
        <v>205</v>
      </c>
      <c r="K707" s="63"/>
      <c r="L707" s="63"/>
      <c r="M707" s="63"/>
      <c r="N707" s="63"/>
      <c r="O707" s="63"/>
      <c r="P707" s="63"/>
      <c r="Q707" s="63">
        <v>1</v>
      </c>
      <c r="R707" s="63">
        <v>1</v>
      </c>
      <c r="S707" s="296"/>
      <c r="T707" s="21">
        <v>1</v>
      </c>
      <c r="U707" s="10"/>
      <c r="V707" s="90"/>
      <c r="W707" s="136"/>
      <c r="X707" s="137"/>
    </row>
    <row r="708" spans="1:24">
      <c r="A708" s="2"/>
      <c r="B708" s="87">
        <f t="shared" si="72"/>
        <v>19</v>
      </c>
      <c r="C708" s="282">
        <v>45898</v>
      </c>
      <c r="D708" s="283">
        <v>72772</v>
      </c>
      <c r="E708" s="283" t="s">
        <v>1173</v>
      </c>
      <c r="F708" s="284">
        <v>1053</v>
      </c>
      <c r="G708" s="284">
        <v>39.700000000000003</v>
      </c>
      <c r="H708" s="284"/>
      <c r="I708" s="285">
        <f>F708-G708-H708</f>
        <v>1013.3</v>
      </c>
      <c r="J708" s="286" t="s">
        <v>205</v>
      </c>
      <c r="K708" s="286">
        <v>1</v>
      </c>
      <c r="L708" s="286"/>
      <c r="M708" s="286"/>
      <c r="N708" s="286">
        <v>1</v>
      </c>
      <c r="O708" s="286"/>
      <c r="P708" s="286"/>
      <c r="Q708" s="286">
        <v>1</v>
      </c>
      <c r="R708" s="286">
        <v>1</v>
      </c>
      <c r="S708" s="287">
        <v>1</v>
      </c>
      <c r="T708" s="63"/>
      <c r="U708" s="10"/>
      <c r="V708" s="90"/>
      <c r="W708" s="136"/>
      <c r="X708" s="137"/>
    </row>
    <row r="709" spans="1:24">
      <c r="A709" s="2"/>
      <c r="B709" s="11"/>
      <c r="C709" s="36"/>
      <c r="D709" s="10"/>
      <c r="E709" s="10"/>
      <c r="F709" s="97">
        <f>SUM(F690:F708)</f>
        <v>31219</v>
      </c>
      <c r="G709" s="97">
        <f>SUM(G690:G708)</f>
        <v>476.39999999999992</v>
      </c>
      <c r="H709" s="97">
        <f>SUM(H690:H708)</f>
        <v>0</v>
      </c>
      <c r="I709" s="98">
        <f>SUM(I690:I708)</f>
        <v>30742.599999999995</v>
      </c>
      <c r="J709" s="10"/>
      <c r="K709" s="10"/>
      <c r="L709" s="10"/>
      <c r="M709" s="10"/>
      <c r="N709" s="10"/>
      <c r="O709" s="10"/>
      <c r="P709" s="10"/>
      <c r="Q709" s="10"/>
      <c r="R709" s="10"/>
      <c r="S709" s="10"/>
      <c r="T709" s="63"/>
      <c r="U709" s="10"/>
      <c r="V709" s="138"/>
      <c r="W709" s="136"/>
      <c r="X709" s="137"/>
    </row>
    <row r="710" spans="1:24">
      <c r="A710" s="2"/>
      <c r="B710" s="26"/>
      <c r="C710" s="140"/>
      <c r="D710" s="141"/>
      <c r="E710" s="141"/>
      <c r="F710" s="141"/>
      <c r="G710" s="141"/>
      <c r="H710" s="141"/>
      <c r="I710" s="141"/>
      <c r="J710" s="141"/>
      <c r="K710" s="142"/>
      <c r="L710" s="142"/>
      <c r="M710" s="142"/>
      <c r="N710" s="142"/>
      <c r="O710" s="142"/>
      <c r="P710" s="142"/>
      <c r="Q710" s="142"/>
      <c r="R710" s="142"/>
      <c r="S710" s="142"/>
      <c r="T710" s="143">
        <f>SUM(T645:T709)</f>
        <v>5</v>
      </c>
      <c r="U710" s="141"/>
      <c r="V710" s="144">
        <f>SUM(V645:V709)</f>
        <v>44940.799999999996</v>
      </c>
      <c r="W710" s="144">
        <f t="shared" ref="W710:X710" si="73">SUM(W645:W709)</f>
        <v>0</v>
      </c>
      <c r="X710" s="144">
        <f t="shared" si="73"/>
        <v>0</v>
      </c>
    </row>
    <row r="713" spans="1:24">
      <c r="B713" s="4" t="s">
        <v>1</v>
      </c>
      <c r="C713" s="5"/>
      <c r="D713" s="6"/>
      <c r="E713" s="6"/>
      <c r="F713" s="7" t="s">
        <v>2</v>
      </c>
      <c r="G713" s="618">
        <v>45907</v>
      </c>
      <c r="H713" s="7"/>
      <c r="I713" s="6"/>
      <c r="J713" s="6"/>
      <c r="K713" s="6"/>
      <c r="L713" s="6"/>
      <c r="M713" s="6"/>
      <c r="N713" s="6"/>
      <c r="O713" s="6"/>
      <c r="P713" s="6"/>
      <c r="Q713" s="6"/>
      <c r="R713" s="6"/>
      <c r="S713" s="6"/>
      <c r="T713" s="6"/>
      <c r="U713" s="9"/>
      <c r="V713" s="10"/>
      <c r="W713" s="10"/>
      <c r="X713" s="10"/>
    </row>
    <row r="714" spans="1:24">
      <c r="B714" s="11"/>
      <c r="C714" s="10"/>
      <c r="D714" s="10"/>
      <c r="E714" s="10"/>
      <c r="F714" s="10"/>
      <c r="G714" s="7"/>
      <c r="H714" s="12"/>
      <c r="I714" s="10"/>
      <c r="J714" s="10"/>
      <c r="K714" s="13" t="s">
        <v>3</v>
      </c>
      <c r="L714" s="14"/>
      <c r="M714" s="15"/>
      <c r="N714" s="13" t="s">
        <v>4</v>
      </c>
      <c r="O714" s="14"/>
      <c r="P714" s="15"/>
      <c r="Q714" s="13" t="s">
        <v>5</v>
      </c>
      <c r="R714" s="14"/>
      <c r="S714" s="15"/>
      <c r="T714" s="16"/>
      <c r="U714" s="17"/>
      <c r="V714" s="10"/>
      <c r="W714" s="10"/>
      <c r="X714" s="10"/>
    </row>
    <row r="715" spans="1:24">
      <c r="B715" s="18" t="s">
        <v>6</v>
      </c>
      <c r="C715" s="19">
        <f>C716+C717</f>
        <v>28</v>
      </c>
      <c r="D715" s="10"/>
      <c r="E715" s="18" t="s">
        <v>7</v>
      </c>
      <c r="F715" s="6"/>
      <c r="G715" s="9"/>
      <c r="H715" s="10"/>
      <c r="I715" s="10"/>
      <c r="J715" s="10"/>
      <c r="K715" s="20" t="s">
        <v>8</v>
      </c>
      <c r="L715" s="21" t="s">
        <v>9</v>
      </c>
      <c r="M715" s="21" t="s">
        <v>10</v>
      </c>
      <c r="N715" s="20" t="s">
        <v>11</v>
      </c>
      <c r="O715" s="21" t="s">
        <v>12</v>
      </c>
      <c r="P715" s="22" t="s">
        <v>13</v>
      </c>
      <c r="Q715" s="21" t="s">
        <v>11</v>
      </c>
      <c r="R715" s="21" t="s">
        <v>12</v>
      </c>
      <c r="S715" s="22" t="s">
        <v>13</v>
      </c>
      <c r="T715" s="23" t="s">
        <v>14</v>
      </c>
      <c r="U715" s="17"/>
      <c r="V715" s="10"/>
      <c r="W715" s="10"/>
      <c r="X715" s="10"/>
    </row>
    <row r="716" spans="1:24">
      <c r="B716" s="24" t="s">
        <v>15</v>
      </c>
      <c r="C716" s="25">
        <f>P723</f>
        <v>17</v>
      </c>
      <c r="D716" s="10"/>
      <c r="E716" s="26" t="s">
        <v>16</v>
      </c>
      <c r="F716" s="27">
        <v>0.05</v>
      </c>
      <c r="G716" s="28"/>
      <c r="H716" s="10"/>
      <c r="I716" s="10"/>
      <c r="J716" s="18" t="s">
        <v>17</v>
      </c>
      <c r="K716" s="29">
        <f>K753</f>
        <v>12</v>
      </c>
      <c r="L716" s="29">
        <f>L753</f>
        <v>12</v>
      </c>
      <c r="M716" s="29">
        <f>M753</f>
        <v>11</v>
      </c>
      <c r="N716" s="29">
        <f>N753</f>
        <v>11</v>
      </c>
      <c r="O716" s="29">
        <f>O753</f>
        <v>11</v>
      </c>
      <c r="P716" s="29">
        <f>P753</f>
        <v>6</v>
      </c>
      <c r="Q716" s="29">
        <f>Q753</f>
        <v>11</v>
      </c>
      <c r="R716" s="29">
        <f>R753</f>
        <v>11</v>
      </c>
      <c r="S716" s="29">
        <f>S753</f>
        <v>5</v>
      </c>
      <c r="T716" s="30">
        <f>T805</f>
        <v>7</v>
      </c>
      <c r="U716" s="17"/>
      <c r="V716" s="10"/>
      <c r="W716" s="10"/>
      <c r="X716" s="10"/>
    </row>
    <row r="717" spans="1:24">
      <c r="B717" s="24" t="s">
        <v>18</v>
      </c>
      <c r="C717" s="25">
        <f>P724</f>
        <v>11</v>
      </c>
      <c r="D717" s="10"/>
      <c r="E717" s="10"/>
      <c r="F717" s="10"/>
      <c r="G717" s="31"/>
      <c r="H717" s="10"/>
      <c r="I717" s="10"/>
      <c r="J717" s="32" t="s">
        <v>19</v>
      </c>
      <c r="K717" s="33">
        <f>K753/K752</f>
        <v>1</v>
      </c>
      <c r="L717" s="33">
        <f>L753/L752</f>
        <v>1</v>
      </c>
      <c r="M717" s="33">
        <f>M753/M752</f>
        <v>0.91666666666666663</v>
      </c>
      <c r="N717" s="33">
        <f>N753/N752</f>
        <v>0.91666666666666663</v>
      </c>
      <c r="O717" s="33">
        <f>O753/O752</f>
        <v>0.91666666666666663</v>
      </c>
      <c r="P717" s="33">
        <f>P753/P752</f>
        <v>0.5</v>
      </c>
      <c r="Q717" s="33">
        <f>Q753/Q752</f>
        <v>0.91666666666666663</v>
      </c>
      <c r="R717" s="33">
        <f>R753/R752</f>
        <v>0.91666666666666663</v>
      </c>
      <c r="S717" s="33">
        <f>S753/S752</f>
        <v>0.41666666666666669</v>
      </c>
      <c r="T717" s="23"/>
      <c r="U717" s="17" t="s">
        <v>20</v>
      </c>
      <c r="V717" s="10"/>
      <c r="W717" s="10"/>
      <c r="X717" s="10"/>
    </row>
    <row r="718" spans="1:24">
      <c r="B718" s="24" t="s">
        <v>21</v>
      </c>
      <c r="C718" s="34">
        <f>P725</f>
        <v>0.6071428571428571</v>
      </c>
      <c r="D718" s="10"/>
      <c r="E718" s="10"/>
      <c r="F718" s="10"/>
      <c r="G718" s="10"/>
      <c r="H718" s="10"/>
      <c r="I718" s="10"/>
      <c r="J718" s="10"/>
      <c r="K718" s="10"/>
      <c r="L718" s="10"/>
      <c r="M718" s="10"/>
      <c r="N718" s="10"/>
      <c r="O718" s="10"/>
      <c r="P718" s="10"/>
      <c r="Q718" s="10"/>
      <c r="R718" s="10"/>
      <c r="S718" s="10"/>
      <c r="T718" s="10"/>
      <c r="U718" s="17"/>
      <c r="V718" s="10"/>
      <c r="W718" s="10"/>
      <c r="X718" s="10"/>
    </row>
    <row r="719" spans="1:24">
      <c r="B719" s="24"/>
      <c r="C719" s="25"/>
      <c r="D719" s="10"/>
      <c r="E719" s="10"/>
      <c r="F719" s="18" t="s">
        <v>22</v>
      </c>
      <c r="G719" s="19" t="s">
        <v>23</v>
      </c>
      <c r="H719" s="35" t="s">
        <v>24</v>
      </c>
      <c r="I719" s="10"/>
      <c r="J719" s="10"/>
      <c r="K719" s="36"/>
      <c r="L719" s="36"/>
      <c r="M719" s="36"/>
      <c r="N719" s="36"/>
      <c r="O719" s="36"/>
      <c r="P719" s="36"/>
      <c r="Q719" s="36"/>
      <c r="R719" s="10"/>
      <c r="S719" s="10"/>
      <c r="T719" s="10"/>
      <c r="U719" s="17"/>
      <c r="V719" s="10"/>
      <c r="W719" s="10"/>
      <c r="X719" s="10"/>
    </row>
    <row r="720" spans="1:24">
      <c r="B720" s="32" t="s">
        <v>25</v>
      </c>
      <c r="C720" s="37">
        <f>P726</f>
        <v>2064.1123529411761</v>
      </c>
      <c r="D720" s="10"/>
      <c r="E720" s="18" t="s">
        <v>26</v>
      </c>
      <c r="F720" s="38">
        <f>P722</f>
        <v>35089.909999999996</v>
      </c>
      <c r="G720" s="39">
        <f>I752+I763+I770</f>
        <v>35089.909999999996</v>
      </c>
      <c r="H720" s="40"/>
      <c r="I720" s="41"/>
      <c r="J720" s="42"/>
      <c r="K720" s="43" t="s">
        <v>27</v>
      </c>
      <c r="L720" s="44"/>
      <c r="M720" s="44"/>
      <c r="N720" s="44"/>
      <c r="O720" s="44"/>
      <c r="P720" s="44"/>
      <c r="Q720" s="45"/>
      <c r="R720" s="46" t="s">
        <v>28</v>
      </c>
      <c r="S720" s="47" t="s">
        <v>29</v>
      </c>
      <c r="T720" s="10"/>
      <c r="U720" s="17"/>
      <c r="V720" s="10"/>
      <c r="W720" s="10"/>
      <c r="X720" s="10"/>
    </row>
    <row r="721" spans="2:24">
      <c r="B721" s="11"/>
      <c r="C721" s="10"/>
      <c r="D721" s="10"/>
      <c r="E721" s="24" t="s">
        <v>30</v>
      </c>
      <c r="F721" s="48">
        <f>F716</f>
        <v>0.05</v>
      </c>
      <c r="G721" s="17"/>
      <c r="H721" s="40"/>
      <c r="I721" s="41"/>
      <c r="J721" s="42"/>
      <c r="K721" s="20" t="s">
        <v>31</v>
      </c>
      <c r="L721" s="21" t="s">
        <v>32</v>
      </c>
      <c r="M721" s="21" t="s">
        <v>33</v>
      </c>
      <c r="N721" s="21" t="s">
        <v>34</v>
      </c>
      <c r="O721" s="21" t="s">
        <v>35</v>
      </c>
      <c r="P721" s="21" t="s">
        <v>36</v>
      </c>
      <c r="Q721" s="49" t="s">
        <v>37</v>
      </c>
      <c r="R721" s="50" t="s">
        <v>38</v>
      </c>
      <c r="S721" s="50" t="s">
        <v>38</v>
      </c>
      <c r="T721" s="10"/>
      <c r="U721" s="17"/>
      <c r="V721" s="10"/>
      <c r="W721" s="10"/>
      <c r="X721" s="10"/>
    </row>
    <row r="722" spans="2:24">
      <c r="B722" s="11"/>
      <c r="C722" s="10"/>
      <c r="D722" s="10"/>
      <c r="E722" s="51" t="s">
        <v>39</v>
      </c>
      <c r="F722" s="52">
        <f>(F720-I743-I762-I766-I767-I768-I769)*F721</f>
        <v>1223.5825</v>
      </c>
      <c r="G722" s="53" t="s">
        <v>40</v>
      </c>
      <c r="H722" s="54">
        <f>F722/1.12</f>
        <v>1092.4843749999998</v>
      </c>
      <c r="I722" s="55"/>
      <c r="J722" s="42"/>
      <c r="K722" s="56">
        <f>I740+I742+I743+I741</f>
        <v>8003.0599999999995</v>
      </c>
      <c r="L722" s="57">
        <f>I744+I745</f>
        <v>2749.6499999999996</v>
      </c>
      <c r="M722" s="57">
        <f>I746+I747+I748+I749+I766</f>
        <v>13843.939999999999</v>
      </c>
      <c r="N722" s="57">
        <f>I750+I751</f>
        <v>1779.3</v>
      </c>
      <c r="O722" s="57">
        <f>I762+I769+I767+I768</f>
        <v>8713.9599999999991</v>
      </c>
      <c r="P722" s="57">
        <f>SUM(K722:O722)</f>
        <v>35089.909999999996</v>
      </c>
      <c r="Q722" s="58">
        <v>0</v>
      </c>
      <c r="R722" s="59">
        <f>I763+I770</f>
        <v>9937.2599999999984</v>
      </c>
      <c r="S722" s="59">
        <v>0</v>
      </c>
      <c r="T722" s="10"/>
      <c r="U722" s="17"/>
      <c r="V722" s="10"/>
      <c r="W722" s="10"/>
      <c r="X722" s="10"/>
    </row>
    <row r="723" spans="2:24">
      <c r="B723" s="11"/>
      <c r="C723" s="10"/>
      <c r="D723" s="10"/>
      <c r="E723" s="24" t="s">
        <v>41</v>
      </c>
      <c r="F723" s="60">
        <f>Q722</f>
        <v>0</v>
      </c>
      <c r="G723" s="61" t="s">
        <v>40</v>
      </c>
      <c r="H723" s="62"/>
      <c r="I723" s="62"/>
      <c r="J723" s="10" t="s">
        <v>42</v>
      </c>
      <c r="K723" s="63">
        <v>4</v>
      </c>
      <c r="L723" s="63">
        <v>2</v>
      </c>
      <c r="M723" s="63">
        <v>5</v>
      </c>
      <c r="N723" s="63">
        <v>2</v>
      </c>
      <c r="O723" s="63">
        <v>4</v>
      </c>
      <c r="P723" s="21">
        <f>SUM(K723:O723)</f>
        <v>17</v>
      </c>
      <c r="Q723" s="64"/>
      <c r="R723" s="63"/>
      <c r="S723" s="10"/>
      <c r="T723" s="10"/>
      <c r="U723" s="17"/>
      <c r="V723" s="10"/>
      <c r="W723" s="10"/>
      <c r="X723" s="10"/>
    </row>
    <row r="724" spans="2:24">
      <c r="B724" s="11"/>
      <c r="C724" s="10"/>
      <c r="D724" s="10"/>
      <c r="E724" s="51" t="s">
        <v>43</v>
      </c>
      <c r="F724" s="52">
        <f>F723*0.25</f>
        <v>0</v>
      </c>
      <c r="G724" s="53" t="s">
        <v>40</v>
      </c>
      <c r="H724" s="54">
        <f>F724/1.12</f>
        <v>0</v>
      </c>
      <c r="I724" s="10"/>
      <c r="J724" s="10" t="s">
        <v>44</v>
      </c>
      <c r="K724" s="63">
        <v>3</v>
      </c>
      <c r="L724" s="63">
        <v>2</v>
      </c>
      <c r="M724" s="63">
        <v>1</v>
      </c>
      <c r="N724" s="63">
        <v>4</v>
      </c>
      <c r="O724" s="63">
        <v>1</v>
      </c>
      <c r="P724" s="21">
        <f>SUM(K724:O724)</f>
        <v>11</v>
      </c>
      <c r="Q724" s="64"/>
      <c r="R724" s="63"/>
      <c r="S724" s="10"/>
      <c r="T724" s="10"/>
      <c r="U724" s="17"/>
      <c r="V724" s="10"/>
      <c r="W724" s="10"/>
      <c r="X724" s="10"/>
    </row>
    <row r="725" spans="2:24">
      <c r="B725" s="11"/>
      <c r="C725" s="10"/>
      <c r="D725" s="10"/>
      <c r="E725" s="24" t="s">
        <v>45</v>
      </c>
      <c r="F725" s="60">
        <f>I759</f>
        <v>32343.14</v>
      </c>
      <c r="G725" s="61" t="s">
        <v>40</v>
      </c>
      <c r="H725" s="62"/>
      <c r="I725" s="10"/>
      <c r="J725" s="10" t="s">
        <v>46</v>
      </c>
      <c r="K725" s="31">
        <f>K723/(K723+K724)</f>
        <v>0.5714285714285714</v>
      </c>
      <c r="L725" s="31">
        <f>L723/(L723+L724)</f>
        <v>0.5</v>
      </c>
      <c r="M725" s="31">
        <f>M723/(M723+M724)</f>
        <v>0.83333333333333337</v>
      </c>
      <c r="N725" s="31">
        <f>N723/(N723+N724)</f>
        <v>0.33333333333333331</v>
      </c>
      <c r="O725" s="31">
        <f>O723/(O723+O724)</f>
        <v>0.8</v>
      </c>
      <c r="P725" s="31">
        <f>P723/(P723+P724)</f>
        <v>0.6071428571428571</v>
      </c>
      <c r="Q725" s="31" t="e">
        <f>Q723/(Q723+Q724)</f>
        <v>#DIV/0!</v>
      </c>
      <c r="R725" s="63"/>
      <c r="S725" s="10"/>
      <c r="T725" s="10"/>
      <c r="U725" s="17"/>
      <c r="V725" s="10"/>
      <c r="W725" s="10"/>
      <c r="X725" s="10"/>
    </row>
    <row r="726" spans="2:24">
      <c r="B726" s="11"/>
      <c r="C726" s="10"/>
      <c r="D726" s="10"/>
      <c r="E726" s="51" t="s">
        <v>47</v>
      </c>
      <c r="F726" s="52">
        <f>(F725+F730)*0.05</f>
        <v>1582.1115</v>
      </c>
      <c r="G726" s="65" t="s">
        <v>40</v>
      </c>
      <c r="H726" s="54">
        <f>F726/1.12</f>
        <v>1412.5995535714285</v>
      </c>
      <c r="I726" s="42"/>
      <c r="J726" s="10" t="s">
        <v>48</v>
      </c>
      <c r="K726" s="66">
        <f>K722/K723</f>
        <v>2000.7649999999999</v>
      </c>
      <c r="L726" s="66">
        <f>L722/L723</f>
        <v>1374.8249999999998</v>
      </c>
      <c r="M726" s="66">
        <f>M722/M723</f>
        <v>2768.7879999999996</v>
      </c>
      <c r="N726" s="66">
        <f>N722/N723</f>
        <v>889.65</v>
      </c>
      <c r="O726" s="66">
        <f>O722/O723</f>
        <v>2178.4899999999998</v>
      </c>
      <c r="P726" s="66">
        <f>P722/P723</f>
        <v>2064.1123529411761</v>
      </c>
      <c r="Q726" s="66" t="e">
        <f>Q722/Q723</f>
        <v>#DIV/0!</v>
      </c>
      <c r="R726" s="63"/>
      <c r="S726" s="10"/>
      <c r="T726" s="10"/>
      <c r="U726" s="17"/>
      <c r="V726" s="10"/>
      <c r="W726" s="10"/>
      <c r="X726" s="10"/>
    </row>
    <row r="727" spans="2:24">
      <c r="B727" s="11"/>
      <c r="C727" s="10"/>
      <c r="D727" s="10"/>
      <c r="E727" s="67" t="s">
        <v>14</v>
      </c>
      <c r="F727" s="68">
        <f>7*50</f>
        <v>350</v>
      </c>
      <c r="G727" s="10"/>
      <c r="H727" s="54">
        <f>F727/1.12</f>
        <v>312.49999999999994</v>
      </c>
      <c r="I727" s="10"/>
      <c r="J727" s="10"/>
      <c r="K727" s="10"/>
      <c r="L727" s="10"/>
      <c r="M727" s="10"/>
      <c r="N727" s="10"/>
      <c r="O727" s="10"/>
      <c r="P727" s="10"/>
      <c r="Q727" s="10"/>
      <c r="R727" s="10"/>
      <c r="S727" s="10"/>
      <c r="T727" s="10"/>
      <c r="U727" s="17"/>
      <c r="V727" s="10"/>
      <c r="W727" s="10"/>
      <c r="X727" s="10"/>
    </row>
    <row r="728" spans="2:24">
      <c r="B728" s="11"/>
      <c r="C728" s="10"/>
      <c r="D728" s="10"/>
      <c r="E728" s="67" t="s">
        <v>49</v>
      </c>
      <c r="F728" s="69">
        <f>T717</f>
        <v>0</v>
      </c>
      <c r="G728" s="10"/>
      <c r="H728" s="54"/>
      <c r="I728" s="55"/>
      <c r="J728" s="42"/>
      <c r="K728" s="764" t="s">
        <v>50</v>
      </c>
      <c r="L728" s="765"/>
      <c r="M728" s="765"/>
      <c r="N728" s="765"/>
      <c r="O728" s="765"/>
      <c r="P728" s="765"/>
      <c r="Q728" s="766"/>
      <c r="R728" s="70" t="s">
        <v>28</v>
      </c>
      <c r="S728" s="71" t="s">
        <v>29</v>
      </c>
      <c r="T728" s="10"/>
      <c r="U728" s="17"/>
      <c r="V728" s="10"/>
      <c r="W728" s="10"/>
      <c r="X728" s="10"/>
    </row>
    <row r="729" spans="2:24">
      <c r="B729" s="11"/>
      <c r="C729" s="10"/>
      <c r="D729" s="10"/>
      <c r="E729" s="67" t="s">
        <v>534</v>
      </c>
      <c r="F729" s="68">
        <f>$F$449</f>
        <v>230.7139999999994</v>
      </c>
      <c r="G729" s="123"/>
      <c r="H729" s="54">
        <f>F729/1.12</f>
        <v>205.99464285714231</v>
      </c>
      <c r="I729" s="10"/>
      <c r="J729" s="42"/>
      <c r="K729" s="20" t="s">
        <v>31</v>
      </c>
      <c r="L729" s="21" t="s">
        <v>32</v>
      </c>
      <c r="M729" s="21" t="s">
        <v>33</v>
      </c>
      <c r="N729" s="21" t="s">
        <v>34</v>
      </c>
      <c r="O729" s="21" t="s">
        <v>35</v>
      </c>
      <c r="P729" s="21" t="s">
        <v>36</v>
      </c>
      <c r="Q729" s="49" t="s">
        <v>37</v>
      </c>
      <c r="R729" s="50" t="s">
        <v>38</v>
      </c>
      <c r="S729" s="50" t="s">
        <v>38</v>
      </c>
      <c r="T729" s="10"/>
      <c r="U729" s="17"/>
      <c r="V729" s="10"/>
      <c r="W729" s="10"/>
      <c r="X729" s="10"/>
    </row>
    <row r="730" spans="2:24">
      <c r="B730" s="11"/>
      <c r="C730" s="10"/>
      <c r="D730" s="10"/>
      <c r="E730" s="74" t="s">
        <v>1642</v>
      </c>
      <c r="F730" s="75">
        <v>-700.91</v>
      </c>
      <c r="G730" s="10"/>
      <c r="H730" s="10"/>
      <c r="I730" s="10"/>
      <c r="J730" s="42"/>
      <c r="K730" s="56">
        <f>F740+F742+F743+F741</f>
        <v>9528</v>
      </c>
      <c r="L730" s="57">
        <f>F744+F745</f>
        <v>2922</v>
      </c>
      <c r="M730" s="57">
        <f>F746+F747+F748+F749+F766</f>
        <v>16009.5</v>
      </c>
      <c r="N730" s="57">
        <f>F750+F751</f>
        <v>1819</v>
      </c>
      <c r="O730" s="57">
        <f>F762+F767+F768+F769</f>
        <v>12517</v>
      </c>
      <c r="P730" s="57">
        <f>SUM(K730:O730)</f>
        <v>42795.5</v>
      </c>
      <c r="Q730" s="58">
        <v>0</v>
      </c>
      <c r="R730" s="59">
        <f>F763+F770</f>
        <v>14378</v>
      </c>
      <c r="S730" s="59">
        <v>0</v>
      </c>
      <c r="T730" s="10"/>
      <c r="U730" s="17"/>
      <c r="V730" s="10"/>
      <c r="W730" s="10"/>
      <c r="X730" s="10"/>
    </row>
    <row r="731" spans="2:24">
      <c r="B731" s="11"/>
      <c r="C731" s="10"/>
      <c r="D731" s="10"/>
      <c r="E731" s="10"/>
      <c r="F731" s="10"/>
      <c r="G731" s="10"/>
      <c r="H731" s="10"/>
      <c r="I731" s="10"/>
      <c r="J731" s="10" t="s">
        <v>42</v>
      </c>
      <c r="K731" s="63">
        <f>K723</f>
        <v>4</v>
      </c>
      <c r="L731" s="63">
        <f>L723</f>
        <v>2</v>
      </c>
      <c r="M731" s="63">
        <f>M723</f>
        <v>5</v>
      </c>
      <c r="N731" s="63">
        <f>N723</f>
        <v>2</v>
      </c>
      <c r="O731" s="63">
        <f>O723</f>
        <v>4</v>
      </c>
      <c r="P731" s="63">
        <f>P723</f>
        <v>17</v>
      </c>
      <c r="Q731" s="63">
        <f>Q723</f>
        <v>0</v>
      </c>
      <c r="R731" s="63"/>
      <c r="S731" s="10"/>
      <c r="T731" s="10"/>
      <c r="U731" s="17"/>
      <c r="V731" s="10"/>
      <c r="W731" s="10"/>
      <c r="X731" s="10"/>
    </row>
    <row r="732" spans="2:24">
      <c r="B732" s="11"/>
      <c r="C732" s="10"/>
      <c r="D732" s="10"/>
      <c r="E732" s="10"/>
      <c r="F732" s="10"/>
      <c r="G732" s="10"/>
      <c r="H732" s="10"/>
      <c r="I732" s="10"/>
      <c r="J732" s="10" t="s">
        <v>44</v>
      </c>
      <c r="K732" s="63">
        <f>K724</f>
        <v>3</v>
      </c>
      <c r="L732" s="63">
        <f>L724</f>
        <v>2</v>
      </c>
      <c r="M732" s="63">
        <f>M724</f>
        <v>1</v>
      </c>
      <c r="N732" s="63">
        <f>N724</f>
        <v>4</v>
      </c>
      <c r="O732" s="63">
        <f>O724</f>
        <v>1</v>
      </c>
      <c r="P732" s="63">
        <f>P724</f>
        <v>11</v>
      </c>
      <c r="Q732" s="63">
        <f>Q724</f>
        <v>0</v>
      </c>
      <c r="R732" s="63"/>
      <c r="S732" s="10"/>
      <c r="T732" s="10"/>
      <c r="U732" s="17"/>
      <c r="V732" s="10"/>
      <c r="W732" s="10"/>
      <c r="X732" s="10"/>
    </row>
    <row r="733" spans="2:24">
      <c r="B733" s="11"/>
      <c r="C733" s="10"/>
      <c r="D733" s="10"/>
      <c r="E733" s="10"/>
      <c r="F733" s="10"/>
      <c r="G733" s="10"/>
      <c r="H733" s="10"/>
      <c r="I733" s="10"/>
      <c r="J733" s="10" t="s">
        <v>46</v>
      </c>
      <c r="K733" s="31">
        <f>K731/(K731+K732)</f>
        <v>0.5714285714285714</v>
      </c>
      <c r="L733" s="31">
        <f>L731/(L731+L732)</f>
        <v>0.5</v>
      </c>
      <c r="M733" s="31">
        <f>M731/(M731+M732)</f>
        <v>0.83333333333333337</v>
      </c>
      <c r="N733" s="31">
        <f>N731/(N731+N732)</f>
        <v>0.33333333333333331</v>
      </c>
      <c r="O733" s="31">
        <f>O731/(O731+O732)</f>
        <v>0.8</v>
      </c>
      <c r="P733" s="31">
        <f>P731/(P731+P732)</f>
        <v>0.6071428571428571</v>
      </c>
      <c r="Q733" s="31" t="e">
        <f>Q731/(Q731+Q732)</f>
        <v>#DIV/0!</v>
      </c>
      <c r="R733" s="63"/>
      <c r="S733" s="10"/>
      <c r="T733" s="10"/>
      <c r="U733" s="17"/>
      <c r="V733" s="10"/>
      <c r="W733" s="10"/>
      <c r="X733" s="10"/>
    </row>
    <row r="734" spans="2:24">
      <c r="B734" s="11"/>
      <c r="C734" s="10"/>
      <c r="D734" s="10"/>
      <c r="E734" s="10"/>
      <c r="F734" s="10"/>
      <c r="G734" s="10"/>
      <c r="H734" s="10"/>
      <c r="I734" s="10"/>
      <c r="J734" s="10" t="s">
        <v>48</v>
      </c>
      <c r="K734" s="66">
        <f>K730/K731</f>
        <v>2382</v>
      </c>
      <c r="L734" s="66">
        <f>L730/L731</f>
        <v>1461</v>
      </c>
      <c r="M734" s="66">
        <f>M730/M731</f>
        <v>3201.9</v>
      </c>
      <c r="N734" s="66">
        <f>N730/N731</f>
        <v>909.5</v>
      </c>
      <c r="O734" s="66">
        <f>O730/O731</f>
        <v>3129.25</v>
      </c>
      <c r="P734" s="66">
        <f>P730/P731</f>
        <v>2517.3823529411766</v>
      </c>
      <c r="Q734" s="66" t="e">
        <f>Q730/Q731</f>
        <v>#DIV/0!</v>
      </c>
      <c r="R734" s="63"/>
      <c r="S734" s="10"/>
      <c r="T734" s="10"/>
      <c r="U734" s="17"/>
      <c r="V734" s="10"/>
      <c r="W734" s="10"/>
      <c r="X734" s="10"/>
    </row>
    <row r="735" spans="2:24">
      <c r="B735" s="11"/>
      <c r="C735" s="10"/>
      <c r="D735" s="10"/>
      <c r="E735" s="10"/>
      <c r="F735" s="10"/>
      <c r="G735" s="10"/>
      <c r="H735" s="10"/>
      <c r="I735" s="10"/>
      <c r="J735" s="10"/>
      <c r="K735" s="10"/>
      <c r="L735" s="10"/>
      <c r="M735" s="10"/>
      <c r="N735" s="10"/>
      <c r="O735" s="10"/>
      <c r="P735" s="10"/>
      <c r="Q735" s="10"/>
      <c r="R735" s="10"/>
      <c r="S735" s="10"/>
      <c r="T735" s="10"/>
      <c r="U735" s="17"/>
      <c r="V735" s="10"/>
      <c r="W735" s="10"/>
      <c r="X735" s="10"/>
    </row>
    <row r="736" spans="2:24">
      <c r="B736" s="11"/>
      <c r="C736" s="10"/>
      <c r="D736" s="10"/>
      <c r="E736" s="10"/>
      <c r="F736" s="10"/>
      <c r="G736" s="10"/>
      <c r="H736" s="10"/>
      <c r="I736" s="10"/>
      <c r="J736" s="10"/>
      <c r="K736" s="10"/>
      <c r="L736" s="10"/>
      <c r="M736" s="10"/>
      <c r="N736" s="10"/>
      <c r="O736" s="10"/>
      <c r="P736" s="10"/>
      <c r="Q736" s="10"/>
      <c r="R736" s="10"/>
      <c r="S736" s="10"/>
      <c r="T736" s="10"/>
      <c r="U736" s="17"/>
      <c r="V736" s="10"/>
      <c r="W736" s="10"/>
      <c r="X736" s="10"/>
    </row>
    <row r="737" spans="1:24">
      <c r="B737" s="18" t="s">
        <v>51</v>
      </c>
      <c r="C737" s="14"/>
      <c r="D737" s="14"/>
      <c r="E737" s="14"/>
      <c r="F737" s="13" t="s">
        <v>52</v>
      </c>
      <c r="G737" s="14"/>
      <c r="H737" s="14"/>
      <c r="I737" s="14"/>
      <c r="J737" s="14"/>
      <c r="K737" s="13" t="s">
        <v>3</v>
      </c>
      <c r="L737" s="14"/>
      <c r="M737" s="14"/>
      <c r="N737" s="13" t="s">
        <v>4</v>
      </c>
      <c r="O737" s="14"/>
      <c r="P737" s="14"/>
      <c r="Q737" s="13" t="s">
        <v>5</v>
      </c>
      <c r="R737" s="14"/>
      <c r="S737" s="14"/>
      <c r="T737" s="18"/>
      <c r="U737" s="16" t="s">
        <v>53</v>
      </c>
      <c r="V737" s="77"/>
      <c r="W737" s="77"/>
      <c r="X737" s="77"/>
    </row>
    <row r="738" spans="1:24">
      <c r="B738" s="24" t="s">
        <v>54</v>
      </c>
      <c r="C738" s="21" t="s">
        <v>55</v>
      </c>
      <c r="D738" s="21" t="s">
        <v>56</v>
      </c>
      <c r="E738" s="21" t="s">
        <v>57</v>
      </c>
      <c r="F738" s="20" t="s">
        <v>58</v>
      </c>
      <c r="G738" s="21" t="s">
        <v>59</v>
      </c>
      <c r="H738" s="21" t="s">
        <v>60</v>
      </c>
      <c r="I738" s="21" t="s">
        <v>26</v>
      </c>
      <c r="J738" s="22" t="s">
        <v>61</v>
      </c>
      <c r="K738" s="21" t="s">
        <v>8</v>
      </c>
      <c r="L738" s="21" t="s">
        <v>9</v>
      </c>
      <c r="M738" s="21" t="s">
        <v>10</v>
      </c>
      <c r="N738" s="20" t="s">
        <v>11</v>
      </c>
      <c r="O738" s="21" t="s">
        <v>12</v>
      </c>
      <c r="P738" s="22" t="s">
        <v>13</v>
      </c>
      <c r="Q738" s="21" t="s">
        <v>11</v>
      </c>
      <c r="R738" s="21" t="s">
        <v>12</v>
      </c>
      <c r="S738" s="21" t="s">
        <v>13</v>
      </c>
      <c r="T738" s="78" t="s">
        <v>14</v>
      </c>
      <c r="U738" s="30"/>
      <c r="V738" s="79" t="s">
        <v>62</v>
      </c>
      <c r="W738" s="80" t="s">
        <v>63</v>
      </c>
      <c r="X738" s="81" t="s">
        <v>64</v>
      </c>
    </row>
    <row r="739" spans="1:24">
      <c r="B739" s="4" t="s">
        <v>65</v>
      </c>
      <c r="C739" s="6"/>
      <c r="D739" s="6"/>
      <c r="E739" s="6"/>
      <c r="F739" s="6"/>
      <c r="G739" s="6"/>
      <c r="H739" s="6"/>
      <c r="I739" s="82"/>
      <c r="J739" s="6"/>
      <c r="K739" s="6"/>
      <c r="L739" s="6"/>
      <c r="M739" s="6"/>
      <c r="N739" s="6"/>
      <c r="O739" s="6"/>
      <c r="P739" s="6"/>
      <c r="Q739" s="6"/>
      <c r="R739" s="6"/>
      <c r="S739" s="6"/>
      <c r="T739" s="83"/>
      <c r="U739" s="6"/>
      <c r="V739" s="84"/>
      <c r="W739" s="85"/>
      <c r="X739" s="86"/>
    </row>
    <row r="740" spans="1:24">
      <c r="A740" t="s">
        <v>1643</v>
      </c>
      <c r="B740" s="87">
        <v>1</v>
      </c>
      <c r="C740" s="638">
        <v>45901</v>
      </c>
      <c r="D740" s="327">
        <v>72839</v>
      </c>
      <c r="E740" s="276" t="s">
        <v>306</v>
      </c>
      <c r="F740" s="277">
        <v>914</v>
      </c>
      <c r="G740" s="277">
        <f>39.7+(98.39)</f>
        <v>138.09</v>
      </c>
      <c r="H740" s="297"/>
      <c r="I740" s="321">
        <f>F740-G740-H740</f>
        <v>775.91</v>
      </c>
      <c r="J740" s="279" t="s">
        <v>156</v>
      </c>
      <c r="K740" s="279">
        <v>1</v>
      </c>
      <c r="L740" s="279">
        <v>1</v>
      </c>
      <c r="M740" s="279">
        <v>1</v>
      </c>
      <c r="N740" s="279">
        <v>1</v>
      </c>
      <c r="O740" s="279">
        <v>1</v>
      </c>
      <c r="P740" s="279">
        <v>1</v>
      </c>
      <c r="Q740" s="279">
        <v>1</v>
      </c>
      <c r="R740" s="279">
        <v>1</v>
      </c>
      <c r="S740" s="328">
        <v>0</v>
      </c>
      <c r="T740" s="21">
        <v>1</v>
      </c>
      <c r="U740" s="10" t="s">
        <v>1644</v>
      </c>
      <c r="V740" s="90">
        <v>1005.4</v>
      </c>
      <c r="W740" s="91"/>
      <c r="X740" s="92"/>
    </row>
    <row r="741" spans="1:24">
      <c r="B741" s="87">
        <f>B740+1</f>
        <v>2</v>
      </c>
      <c r="C741" s="639">
        <v>45901</v>
      </c>
      <c r="D741" s="323" t="s">
        <v>1645</v>
      </c>
      <c r="E741" s="101" t="s">
        <v>1080</v>
      </c>
      <c r="F741" s="62">
        <f>681-681</f>
        <v>0</v>
      </c>
      <c r="G741" s="62">
        <v>0</v>
      </c>
      <c r="H741" s="62"/>
      <c r="I741" s="89">
        <f>F741-G741-H741</f>
        <v>0</v>
      </c>
      <c r="J741" s="63" t="s">
        <v>465</v>
      </c>
      <c r="K741" s="63">
        <v>1</v>
      </c>
      <c r="L741" s="63">
        <v>1</v>
      </c>
      <c r="M741" s="325">
        <v>0</v>
      </c>
      <c r="N741" s="325">
        <v>0</v>
      </c>
      <c r="O741" s="325">
        <v>0</v>
      </c>
      <c r="P741" s="325">
        <v>0</v>
      </c>
      <c r="Q741" s="325">
        <v>0</v>
      </c>
      <c r="R741" s="325">
        <v>0</v>
      </c>
      <c r="S741" s="326">
        <v>0</v>
      </c>
      <c r="T741" s="21"/>
      <c r="U741" s="94" t="s">
        <v>1646</v>
      </c>
      <c r="V741" s="90">
        <v>0</v>
      </c>
      <c r="W741" s="136"/>
      <c r="X741" s="92"/>
    </row>
    <row r="742" spans="1:24">
      <c r="B742" s="87">
        <f>B741+1</f>
        <v>3</v>
      </c>
      <c r="C742" s="639">
        <v>45901</v>
      </c>
      <c r="D742" s="323" t="s">
        <v>1647</v>
      </c>
      <c r="E742" s="101" t="s">
        <v>1080</v>
      </c>
      <c r="F742" s="62">
        <v>7933</v>
      </c>
      <c r="G742" s="62">
        <f>39.7+(1097.15)+250</f>
        <v>1386.8500000000001</v>
      </c>
      <c r="H742" s="62"/>
      <c r="I742" s="89">
        <f>F742-G742-H742</f>
        <v>6546.15</v>
      </c>
      <c r="J742" s="63" t="s">
        <v>156</v>
      </c>
      <c r="K742" s="63">
        <v>1</v>
      </c>
      <c r="L742" s="63">
        <v>1</v>
      </c>
      <c r="M742" s="63">
        <v>1</v>
      </c>
      <c r="N742" s="63">
        <v>1</v>
      </c>
      <c r="O742" s="63">
        <v>1</v>
      </c>
      <c r="P742" s="63">
        <v>1</v>
      </c>
      <c r="Q742" s="63">
        <v>1</v>
      </c>
      <c r="R742" s="63">
        <v>1</v>
      </c>
      <c r="S742" s="296">
        <v>1</v>
      </c>
      <c r="T742" s="21">
        <v>1</v>
      </c>
      <c r="U742" s="10" t="s">
        <v>1648</v>
      </c>
      <c r="V742" s="90">
        <f>681+800+7245.3</f>
        <v>8726.2999999999993</v>
      </c>
      <c r="W742" s="136"/>
      <c r="X742" s="92"/>
    </row>
    <row r="743" spans="1:24">
      <c r="B743" s="87">
        <f>B742+1</f>
        <v>4</v>
      </c>
      <c r="C743" s="640">
        <v>45901</v>
      </c>
      <c r="D743" s="368">
        <v>72858</v>
      </c>
      <c r="E743" s="283" t="s">
        <v>211</v>
      </c>
      <c r="F743" s="284">
        <v>681</v>
      </c>
      <c r="G743" s="284"/>
      <c r="H743" s="284"/>
      <c r="I743" s="331">
        <f>F743-G743-H743</f>
        <v>681</v>
      </c>
      <c r="J743" s="286" t="s">
        <v>156</v>
      </c>
      <c r="K743" s="286">
        <v>1</v>
      </c>
      <c r="L743" s="286">
        <v>1</v>
      </c>
      <c r="M743" s="286">
        <v>1</v>
      </c>
      <c r="N743" s="286">
        <v>1</v>
      </c>
      <c r="O743" s="286">
        <v>1</v>
      </c>
      <c r="P743" s="332">
        <v>0</v>
      </c>
      <c r="Q743" s="286">
        <v>1</v>
      </c>
      <c r="R743" s="286">
        <v>1</v>
      </c>
      <c r="S743" s="370">
        <v>0</v>
      </c>
      <c r="T743" s="63"/>
      <c r="U743" s="10" t="s">
        <v>782</v>
      </c>
      <c r="V743" s="90">
        <v>749.1</v>
      </c>
      <c r="W743" s="91"/>
      <c r="X743" s="92"/>
    </row>
    <row r="744" spans="1:24">
      <c r="B744" s="87">
        <f t="shared" ref="B744:B751" si="74">B743+1</f>
        <v>5</v>
      </c>
      <c r="C744" s="639">
        <v>45902</v>
      </c>
      <c r="D744" s="323" t="s">
        <v>1649</v>
      </c>
      <c r="E744" s="101" t="s">
        <v>278</v>
      </c>
      <c r="F744" s="62">
        <v>1461</v>
      </c>
      <c r="G744" s="62">
        <f>39.7</f>
        <v>39.700000000000003</v>
      </c>
      <c r="H744" s="62"/>
      <c r="I744" s="324">
        <f>F744-G744-H744</f>
        <v>1421.3</v>
      </c>
      <c r="J744" s="63" t="s">
        <v>374</v>
      </c>
      <c r="K744" s="63">
        <v>1</v>
      </c>
      <c r="L744" s="63">
        <v>1</v>
      </c>
      <c r="M744" s="63">
        <v>1</v>
      </c>
      <c r="N744" s="63">
        <v>1</v>
      </c>
      <c r="O744" s="63">
        <v>1</v>
      </c>
      <c r="P744" s="325">
        <v>0</v>
      </c>
      <c r="Q744" s="63">
        <v>1</v>
      </c>
      <c r="R744" s="63">
        <v>1</v>
      </c>
      <c r="S744" s="326">
        <v>0</v>
      </c>
      <c r="T744" s="63"/>
      <c r="U744" s="10"/>
      <c r="V744" s="90">
        <v>1607.1</v>
      </c>
      <c r="W744" s="91"/>
      <c r="X744" s="92"/>
    </row>
    <row r="745" spans="1:24">
      <c r="B745" s="87">
        <f t="shared" si="74"/>
        <v>6</v>
      </c>
      <c r="C745" s="639">
        <v>45902</v>
      </c>
      <c r="D745" s="323" t="s">
        <v>1650</v>
      </c>
      <c r="E745" s="101" t="s">
        <v>278</v>
      </c>
      <c r="F745" s="62">
        <v>1461</v>
      </c>
      <c r="G745" s="62">
        <f>39.7+(92.95)</f>
        <v>132.65</v>
      </c>
      <c r="H745" s="62"/>
      <c r="I745" s="324">
        <f>F745-G745-H745</f>
        <v>1328.35</v>
      </c>
      <c r="J745" s="63" t="s">
        <v>374</v>
      </c>
      <c r="K745" s="63">
        <v>1</v>
      </c>
      <c r="L745" s="63">
        <v>1</v>
      </c>
      <c r="M745" s="63">
        <v>1</v>
      </c>
      <c r="N745" s="63">
        <v>1</v>
      </c>
      <c r="O745" s="63">
        <v>1</v>
      </c>
      <c r="P745" s="325">
        <v>0</v>
      </c>
      <c r="Q745" s="63">
        <v>1</v>
      </c>
      <c r="R745" s="63">
        <v>1</v>
      </c>
      <c r="S745" s="326">
        <v>0</v>
      </c>
      <c r="T745" s="63"/>
      <c r="U745" s="10" t="s">
        <v>1651</v>
      </c>
      <c r="V745" s="90">
        <v>1607.1</v>
      </c>
      <c r="W745" s="91"/>
      <c r="X745" s="92"/>
    </row>
    <row r="746" spans="1:24">
      <c r="B746" s="87">
        <f t="shared" si="74"/>
        <v>7</v>
      </c>
      <c r="C746" s="638">
        <v>45903</v>
      </c>
      <c r="D746" s="327">
        <v>72908</v>
      </c>
      <c r="E746" s="276" t="s">
        <v>751</v>
      </c>
      <c r="F746" s="277">
        <v>1681</v>
      </c>
      <c r="G746" s="277">
        <f>39.7</f>
        <v>39.700000000000003</v>
      </c>
      <c r="H746" s="277"/>
      <c r="I746" s="321">
        <f>F746-G746-H746</f>
        <v>1641.3</v>
      </c>
      <c r="J746" s="279" t="s">
        <v>156</v>
      </c>
      <c r="K746" s="279">
        <v>1</v>
      </c>
      <c r="L746" s="279">
        <v>1</v>
      </c>
      <c r="M746" s="279">
        <v>1</v>
      </c>
      <c r="N746" s="279">
        <v>1</v>
      </c>
      <c r="O746" s="279">
        <v>1</v>
      </c>
      <c r="P746" s="322">
        <v>0</v>
      </c>
      <c r="Q746" s="279">
        <v>1</v>
      </c>
      <c r="R746" s="279">
        <v>1</v>
      </c>
      <c r="S746" s="328">
        <v>0</v>
      </c>
      <c r="T746" s="21">
        <v>1</v>
      </c>
      <c r="U746" s="10"/>
      <c r="V746" s="90">
        <v>1849.1</v>
      </c>
      <c r="W746" s="91"/>
      <c r="X746" s="92"/>
    </row>
    <row r="747" spans="1:24">
      <c r="B747" s="87">
        <f t="shared" si="74"/>
        <v>8</v>
      </c>
      <c r="C747" s="639">
        <v>45903</v>
      </c>
      <c r="D747" s="323">
        <v>72911</v>
      </c>
      <c r="E747" s="10" t="s">
        <v>751</v>
      </c>
      <c r="F747" s="62">
        <v>4261</v>
      </c>
      <c r="G747" s="62">
        <f>39.7</f>
        <v>39.700000000000003</v>
      </c>
      <c r="H747" s="88"/>
      <c r="I747" s="324">
        <f>F747-G747-H747</f>
        <v>4221.3</v>
      </c>
      <c r="J747" s="63" t="s">
        <v>156</v>
      </c>
      <c r="K747" s="63">
        <v>1</v>
      </c>
      <c r="L747" s="63">
        <v>1</v>
      </c>
      <c r="M747" s="63">
        <v>1</v>
      </c>
      <c r="N747" s="63">
        <v>1</v>
      </c>
      <c r="O747" s="63">
        <v>1</v>
      </c>
      <c r="P747" s="325">
        <v>0</v>
      </c>
      <c r="Q747" s="63">
        <v>1</v>
      </c>
      <c r="R747" s="63">
        <v>1</v>
      </c>
      <c r="S747" s="326">
        <v>0</v>
      </c>
      <c r="T747" s="21">
        <v>1</v>
      </c>
      <c r="U747" s="10"/>
      <c r="V747" s="90">
        <f>468.71+4218.39</f>
        <v>4687.1000000000004</v>
      </c>
      <c r="W747" s="91"/>
      <c r="X747" s="92"/>
    </row>
    <row r="748" spans="1:24" s="260" customFormat="1">
      <c r="A748" s="494"/>
      <c r="B748" s="87">
        <f t="shared" si="74"/>
        <v>9</v>
      </c>
      <c r="C748" s="639">
        <v>45903</v>
      </c>
      <c r="D748" s="323">
        <v>72939</v>
      </c>
      <c r="E748" s="10" t="s">
        <v>728</v>
      </c>
      <c r="F748" s="62">
        <f>1866-185-203.5</f>
        <v>1477.5</v>
      </c>
      <c r="G748" s="62">
        <f>39.7</f>
        <v>39.700000000000003</v>
      </c>
      <c r="H748" s="88"/>
      <c r="I748" s="89">
        <f>F748-G748-H748</f>
        <v>1437.8</v>
      </c>
      <c r="J748" s="63" t="s">
        <v>156</v>
      </c>
      <c r="K748" s="63">
        <v>1</v>
      </c>
      <c r="L748" s="63">
        <v>1</v>
      </c>
      <c r="M748" s="63">
        <v>1</v>
      </c>
      <c r="N748" s="63">
        <v>1</v>
      </c>
      <c r="O748" s="63">
        <v>1</v>
      </c>
      <c r="P748" s="63">
        <v>1</v>
      </c>
      <c r="Q748" s="63">
        <v>1</v>
      </c>
      <c r="R748" s="63">
        <v>1</v>
      </c>
      <c r="S748" s="296">
        <v>1</v>
      </c>
      <c r="T748" s="21">
        <v>1</v>
      </c>
      <c r="U748" s="10" t="s">
        <v>1652</v>
      </c>
      <c r="V748" s="90">
        <f>203.5+170+1307.5</f>
        <v>1681</v>
      </c>
      <c r="W748" s="91"/>
      <c r="X748" s="92"/>
    </row>
    <row r="749" spans="1:24">
      <c r="B749" s="87">
        <f t="shared" si="74"/>
        <v>10</v>
      </c>
      <c r="C749" s="640">
        <v>45903</v>
      </c>
      <c r="D749" s="368">
        <v>72950</v>
      </c>
      <c r="E749" s="283" t="s">
        <v>752</v>
      </c>
      <c r="F749" s="284">
        <v>6729</v>
      </c>
      <c r="G749" s="284">
        <f>39.7+(32.14)+(862.14+224.78)+250</f>
        <v>1408.76</v>
      </c>
      <c r="H749" s="284"/>
      <c r="I749" s="285">
        <f>F749-G749-H749</f>
        <v>5320.24</v>
      </c>
      <c r="J749" s="286" t="s">
        <v>228</v>
      </c>
      <c r="K749" s="286">
        <v>1</v>
      </c>
      <c r="L749" s="286">
        <v>1</v>
      </c>
      <c r="M749" s="286">
        <v>1</v>
      </c>
      <c r="N749" s="286">
        <v>1</v>
      </c>
      <c r="O749" s="286">
        <v>1</v>
      </c>
      <c r="P749" s="286">
        <v>1</v>
      </c>
      <c r="Q749" s="286">
        <v>1</v>
      </c>
      <c r="R749" s="286">
        <v>1</v>
      </c>
      <c r="S749" s="287">
        <v>1</v>
      </c>
      <c r="T749" s="21">
        <v>1</v>
      </c>
      <c r="U749" s="94" t="s">
        <v>1653</v>
      </c>
      <c r="V749" s="90">
        <f>800+6601.9</f>
        <v>7401.9</v>
      </c>
      <c r="W749" s="91"/>
      <c r="X749" s="92"/>
    </row>
    <row r="750" spans="1:24">
      <c r="B750" s="87">
        <f t="shared" si="74"/>
        <v>11</v>
      </c>
      <c r="C750" s="639">
        <v>45904</v>
      </c>
      <c r="D750" s="323">
        <v>72968</v>
      </c>
      <c r="E750" s="10" t="s">
        <v>1155</v>
      </c>
      <c r="F750" s="62">
        <v>681</v>
      </c>
      <c r="G750" s="62"/>
      <c r="H750" s="88"/>
      <c r="I750" s="89">
        <f>F750-G750-H750</f>
        <v>681</v>
      </c>
      <c r="J750" s="63" t="s">
        <v>156</v>
      </c>
      <c r="K750" s="63">
        <v>1</v>
      </c>
      <c r="L750" s="63">
        <v>1</v>
      </c>
      <c r="M750" s="63">
        <v>1</v>
      </c>
      <c r="N750" s="63">
        <v>1</v>
      </c>
      <c r="O750" s="63">
        <v>1</v>
      </c>
      <c r="P750" s="63">
        <v>1</v>
      </c>
      <c r="Q750" s="63">
        <v>1</v>
      </c>
      <c r="R750" s="63">
        <v>1</v>
      </c>
      <c r="S750" s="296">
        <v>1</v>
      </c>
      <c r="T750" s="21">
        <v>1</v>
      </c>
      <c r="U750" s="10"/>
      <c r="V750" s="90">
        <v>749.1</v>
      </c>
      <c r="W750" s="91"/>
      <c r="X750" s="92"/>
    </row>
    <row r="751" spans="1:24">
      <c r="B751" s="87">
        <f t="shared" si="74"/>
        <v>12</v>
      </c>
      <c r="C751" s="640">
        <v>45904</v>
      </c>
      <c r="D751" s="368">
        <v>72989</v>
      </c>
      <c r="E751" s="283" t="s">
        <v>1159</v>
      </c>
      <c r="F751" s="284">
        <v>1138</v>
      </c>
      <c r="G751" s="284">
        <v>39.700000000000003</v>
      </c>
      <c r="H751" s="315"/>
      <c r="I751" s="285">
        <f>F751-G751-H751</f>
        <v>1098.3</v>
      </c>
      <c r="J751" s="286" t="s">
        <v>156</v>
      </c>
      <c r="K751" s="286">
        <v>1</v>
      </c>
      <c r="L751" s="286">
        <v>1</v>
      </c>
      <c r="M751" s="286">
        <v>1</v>
      </c>
      <c r="N751" s="286">
        <v>1</v>
      </c>
      <c r="O751" s="286">
        <v>1</v>
      </c>
      <c r="P751" s="286">
        <v>1</v>
      </c>
      <c r="Q751" s="286">
        <v>1</v>
      </c>
      <c r="R751" s="286">
        <v>1</v>
      </c>
      <c r="S751" s="287">
        <v>1</v>
      </c>
      <c r="T751" s="63"/>
      <c r="U751" s="10"/>
      <c r="V751" s="90">
        <v>1251.8</v>
      </c>
      <c r="W751" s="91"/>
      <c r="X751" s="92"/>
    </row>
    <row r="752" spans="1:24">
      <c r="B752" s="87"/>
      <c r="C752" s="621"/>
      <c r="D752" s="10"/>
      <c r="E752" s="10"/>
      <c r="F752" s="97">
        <f>SUM(F740:F751)</f>
        <v>28417.5</v>
      </c>
      <c r="G752" s="97">
        <f>SUM(G740:G751)</f>
        <v>3264.8500000000004</v>
      </c>
      <c r="H752" s="97">
        <f>SUM(H740:H751)</f>
        <v>0</v>
      </c>
      <c r="I752" s="98">
        <f>SUM(I740:I751)</f>
        <v>25152.649999999998</v>
      </c>
      <c r="J752" s="63"/>
      <c r="K752" s="63">
        <f>COUNT(K740:K751)</f>
        <v>12</v>
      </c>
      <c r="L752" s="63">
        <f>COUNT(L740:L751)</f>
        <v>12</v>
      </c>
      <c r="M752" s="63">
        <f>COUNT(M740:M751)</f>
        <v>12</v>
      </c>
      <c r="N752" s="63">
        <f>COUNT(N740:N751)</f>
        <v>12</v>
      </c>
      <c r="O752" s="63">
        <f>COUNT(O740:O751)</f>
        <v>12</v>
      </c>
      <c r="P752" s="63">
        <f>COUNT(P740:P751)</f>
        <v>12</v>
      </c>
      <c r="Q752" s="63">
        <f>COUNT(Q740:Q751)</f>
        <v>12</v>
      </c>
      <c r="R752" s="63">
        <f>COUNT(R740:R751)</f>
        <v>12</v>
      </c>
      <c r="S752" s="63">
        <f>COUNT(S740:S751)</f>
        <v>12</v>
      </c>
      <c r="T752" s="63"/>
      <c r="U752" s="10"/>
      <c r="V752" s="90"/>
      <c r="W752" s="91"/>
      <c r="X752" s="92"/>
    </row>
    <row r="753" spans="1:25">
      <c r="B753" s="87"/>
      <c r="C753" s="621"/>
      <c r="D753" s="10"/>
      <c r="E753" s="10"/>
      <c r="F753" s="88"/>
      <c r="G753" s="88"/>
      <c r="H753" s="88"/>
      <c r="I753" s="99"/>
      <c r="J753" s="63"/>
      <c r="K753" s="21">
        <f>SUM(K740:K751)</f>
        <v>12</v>
      </c>
      <c r="L753" s="21">
        <f>SUM(L740:L751)</f>
        <v>12</v>
      </c>
      <c r="M753" s="21">
        <f>SUM(M740:M751)</f>
        <v>11</v>
      </c>
      <c r="N753" s="21">
        <f>SUM(N740:N751)</f>
        <v>11</v>
      </c>
      <c r="O753" s="21">
        <f>SUM(O740:O751)</f>
        <v>11</v>
      </c>
      <c r="P753" s="21">
        <f>SUM(P740:P751)</f>
        <v>6</v>
      </c>
      <c r="Q753" s="21">
        <f>SUM(Q740:Q751)</f>
        <v>11</v>
      </c>
      <c r="R753" s="21">
        <f>SUM(R740:R751)</f>
        <v>11</v>
      </c>
      <c r="S753" s="21">
        <f>SUM(S740:S751)</f>
        <v>5</v>
      </c>
      <c r="T753" s="63"/>
      <c r="U753" s="10"/>
      <c r="V753" s="90"/>
      <c r="W753" s="91"/>
      <c r="X753" s="92"/>
    </row>
    <row r="754" spans="1:25">
      <c r="B754" s="11"/>
      <c r="C754" s="621"/>
      <c r="D754" s="10"/>
      <c r="E754" s="10"/>
      <c r="F754" s="88"/>
      <c r="G754" s="88"/>
      <c r="H754" s="88"/>
      <c r="I754" s="99"/>
      <c r="J754" s="63"/>
      <c r="K754" s="21"/>
      <c r="L754" s="21"/>
      <c r="M754" s="21"/>
      <c r="N754" s="21"/>
      <c r="O754" s="21"/>
      <c r="P754" s="21"/>
      <c r="Q754" s="21"/>
      <c r="R754" s="21"/>
      <c r="S754" s="21"/>
      <c r="T754" s="63"/>
      <c r="U754" s="94"/>
      <c r="V754" s="90"/>
      <c r="W754" s="91"/>
      <c r="X754" s="92"/>
    </row>
    <row r="755" spans="1:25">
      <c r="B755" s="100" t="s">
        <v>67</v>
      </c>
      <c r="C755" s="621"/>
      <c r="D755" s="10"/>
      <c r="E755" s="10"/>
      <c r="F755" s="88"/>
      <c r="G755" s="62"/>
      <c r="H755" s="88"/>
      <c r="I755" s="99"/>
      <c r="J755" s="63"/>
      <c r="K755" s="2"/>
      <c r="L755" s="2"/>
      <c r="M755" s="2"/>
      <c r="N755" s="2"/>
      <c r="O755" s="2"/>
      <c r="P755" s="2"/>
      <c r="Q755" s="2"/>
      <c r="R755" s="2"/>
      <c r="S755" s="2"/>
      <c r="T755" s="63"/>
      <c r="U755" s="94"/>
      <c r="V755" s="90"/>
      <c r="W755" s="91"/>
      <c r="X755" s="92"/>
    </row>
    <row r="756" spans="1:25">
      <c r="A756" s="261" t="s">
        <v>1630</v>
      </c>
      <c r="B756" s="87">
        <v>1</v>
      </c>
      <c r="C756" s="262">
        <v>45876</v>
      </c>
      <c r="D756" s="263">
        <v>72172</v>
      </c>
      <c r="E756" s="271" t="s">
        <v>1072</v>
      </c>
      <c r="F756" s="265">
        <v>12814</v>
      </c>
      <c r="G756" s="265">
        <f>+(52.1+49.56+110.02+38.45+18.7)+(326.82+110.02)+1000</f>
        <v>1705.67</v>
      </c>
      <c r="H756" s="265"/>
      <c r="I756" s="266">
        <f>F756-G756-H756</f>
        <v>11108.33</v>
      </c>
      <c r="J756" s="267" t="s">
        <v>228</v>
      </c>
      <c r="K756" s="267">
        <v>1</v>
      </c>
      <c r="L756" s="267">
        <v>1</v>
      </c>
      <c r="M756" s="267">
        <v>1</v>
      </c>
      <c r="N756" s="267">
        <v>1</v>
      </c>
      <c r="O756" s="267">
        <v>1</v>
      </c>
      <c r="P756" s="267">
        <v>1</v>
      </c>
      <c r="Q756" s="314">
        <v>0</v>
      </c>
      <c r="R756" s="314">
        <v>0</v>
      </c>
      <c r="S756" s="366">
        <v>0</v>
      </c>
      <c r="T756" s="63"/>
      <c r="U756" s="94" t="s">
        <v>1631</v>
      </c>
      <c r="V756" s="90"/>
      <c r="W756" s="91"/>
      <c r="X756" s="137"/>
      <c r="Y756" s="260"/>
    </row>
    <row r="757" spans="1:25">
      <c r="A757" s="261" t="s">
        <v>551</v>
      </c>
      <c r="B757" s="87">
        <f>B756+1</f>
        <v>2</v>
      </c>
      <c r="C757" s="274">
        <v>45887</v>
      </c>
      <c r="D757" s="327">
        <v>72369</v>
      </c>
      <c r="E757" s="276" t="s">
        <v>213</v>
      </c>
      <c r="F757" s="277">
        <v>6214</v>
      </c>
      <c r="G757" s="277">
        <f>39.7+(58.65)+(88.06+177.45)+300</f>
        <v>663.86</v>
      </c>
      <c r="H757" s="277"/>
      <c r="I757" s="321">
        <f>F757-G757-H757</f>
        <v>5550.14</v>
      </c>
      <c r="J757" s="279" t="s">
        <v>228</v>
      </c>
      <c r="K757" s="279">
        <v>1</v>
      </c>
      <c r="L757" s="279">
        <v>1</v>
      </c>
      <c r="M757" s="279">
        <v>1</v>
      </c>
      <c r="N757" s="279">
        <v>1</v>
      </c>
      <c r="O757" s="279">
        <v>1</v>
      </c>
      <c r="P757" s="279">
        <v>1</v>
      </c>
      <c r="Q757" s="279">
        <v>1</v>
      </c>
      <c r="R757" s="322">
        <v>0</v>
      </c>
      <c r="S757" s="328">
        <v>0</v>
      </c>
      <c r="T757" s="63"/>
      <c r="U757" s="94" t="s">
        <v>1598</v>
      </c>
      <c r="V757" s="90"/>
      <c r="W757" s="136"/>
      <c r="X757" s="137"/>
      <c r="Y757" s="260"/>
    </row>
    <row r="758" spans="1:25">
      <c r="A758" s="261" t="s">
        <v>551</v>
      </c>
      <c r="B758" s="87">
        <f>B757+1</f>
        <v>3</v>
      </c>
      <c r="C758" s="262">
        <v>45875</v>
      </c>
      <c r="D758" s="357" t="s">
        <v>1547</v>
      </c>
      <c r="E758" s="309" t="s">
        <v>1227</v>
      </c>
      <c r="F758" s="265">
        <f>28614-0.4</f>
        <v>28613.599999999999</v>
      </c>
      <c r="G758" s="265">
        <f>39.7+330+1870.2+139+109.4+54+2770+118.72+(150.22+40.82+251.5+107.28+319.99+69.54+39.12+237.5)+(24.41+131.95+160.95+37.24+160.67+12.45+31.55)+(F758*0.2)</f>
        <v>12928.93</v>
      </c>
      <c r="H758" s="265"/>
      <c r="I758" s="266">
        <f>F758-G758-H758</f>
        <v>15684.669999999998</v>
      </c>
      <c r="J758" s="267" t="s">
        <v>156</v>
      </c>
      <c r="K758" s="267">
        <v>1</v>
      </c>
      <c r="L758" s="267">
        <v>1</v>
      </c>
      <c r="M758" s="267">
        <v>1</v>
      </c>
      <c r="N758" s="267">
        <v>1</v>
      </c>
      <c r="O758" s="267">
        <v>1</v>
      </c>
      <c r="P758" s="267">
        <v>1</v>
      </c>
      <c r="Q758" s="314">
        <v>0</v>
      </c>
      <c r="R758" s="314">
        <v>0</v>
      </c>
      <c r="S758" s="366">
        <v>0</v>
      </c>
      <c r="T758" s="63"/>
      <c r="U758" s="10" t="s">
        <v>1632</v>
      </c>
      <c r="V758" s="90"/>
      <c r="W758" s="136"/>
      <c r="X758" s="137"/>
      <c r="Y758" s="260"/>
    </row>
    <row r="759" spans="1:25">
      <c r="B759" s="11"/>
      <c r="C759" s="621"/>
      <c r="D759" s="10"/>
      <c r="E759" s="10"/>
      <c r="F759" s="97">
        <f>SUM(F756:F758)</f>
        <v>47641.599999999999</v>
      </c>
      <c r="G759" s="97">
        <f>SUM(G756:G758)</f>
        <v>15298.460000000001</v>
      </c>
      <c r="H759" s="97">
        <f>SUM(H756:H758)</f>
        <v>0</v>
      </c>
      <c r="I759" s="98">
        <f>SUM(I756:I758)</f>
        <v>32343.14</v>
      </c>
      <c r="J759" s="63"/>
      <c r="K759" s="21"/>
      <c r="L759" s="21"/>
      <c r="M759" s="21"/>
      <c r="N759" s="21"/>
      <c r="O759" s="21"/>
      <c r="P759" s="21"/>
      <c r="Q759" s="21"/>
      <c r="R759" s="21"/>
      <c r="S759" s="21"/>
      <c r="T759" s="63"/>
      <c r="U759" s="94"/>
      <c r="V759" s="90"/>
      <c r="W759" s="91"/>
      <c r="X759" s="92"/>
    </row>
    <row r="760" spans="1:25">
      <c r="B760" s="11"/>
      <c r="C760" s="621"/>
      <c r="D760" s="10"/>
      <c r="E760" s="10"/>
      <c r="F760" s="88"/>
      <c r="G760" s="88"/>
      <c r="H760" s="88"/>
      <c r="I760" s="99"/>
      <c r="J760" s="63"/>
      <c r="K760" s="21"/>
      <c r="L760" s="21"/>
      <c r="M760" s="21"/>
      <c r="N760" s="21"/>
      <c r="O760" s="21"/>
      <c r="P760" s="21"/>
      <c r="Q760" s="21"/>
      <c r="R760" s="21"/>
      <c r="S760" s="21"/>
      <c r="T760" s="63"/>
      <c r="U760" s="94"/>
      <c r="V760" s="90"/>
      <c r="W760" s="91"/>
      <c r="X760" s="92"/>
    </row>
    <row r="761" spans="1:25" s="381" customFormat="1">
      <c r="B761" s="690" t="s">
        <v>68</v>
      </c>
      <c r="C761" s="691"/>
      <c r="D761" s="42"/>
      <c r="E761" s="42"/>
      <c r="F761" s="76"/>
      <c r="G761" s="451"/>
      <c r="H761" s="76"/>
      <c r="I761" s="692"/>
      <c r="J761" s="325"/>
      <c r="K761" s="380"/>
      <c r="L761" s="380"/>
      <c r="M761" s="380"/>
      <c r="N761" s="380"/>
      <c r="O761" s="380"/>
      <c r="P761" s="380"/>
      <c r="Q761" s="380"/>
      <c r="R761" s="380"/>
      <c r="S761" s="380"/>
      <c r="T761" s="325"/>
      <c r="U761" s="42"/>
      <c r="V761" s="377"/>
      <c r="W761" s="378"/>
      <c r="X761" s="393"/>
    </row>
    <row r="762" spans="1:25" s="381" customFormat="1">
      <c r="A762" s="493" t="s">
        <v>249</v>
      </c>
      <c r="B762" s="372">
        <v>1</v>
      </c>
      <c r="C762" s="693">
        <v>45905</v>
      </c>
      <c r="D762" s="263">
        <v>73036</v>
      </c>
      <c r="E762" s="374" t="s">
        <v>998</v>
      </c>
      <c r="F762" s="375">
        <v>681</v>
      </c>
      <c r="G762" s="375"/>
      <c r="H762" s="375"/>
      <c r="I762" s="376">
        <f>F762-G762-H762</f>
        <v>681</v>
      </c>
      <c r="J762" s="314" t="s">
        <v>313</v>
      </c>
      <c r="K762" s="314">
        <v>1</v>
      </c>
      <c r="L762" s="314">
        <v>1</v>
      </c>
      <c r="M762" s="314">
        <v>0</v>
      </c>
      <c r="N762" s="314">
        <v>1</v>
      </c>
      <c r="O762" s="314">
        <v>1</v>
      </c>
      <c r="P762" s="314">
        <v>1</v>
      </c>
      <c r="Q762" s="314">
        <v>0</v>
      </c>
      <c r="R762" s="314">
        <v>0</v>
      </c>
      <c r="S762" s="366">
        <v>0</v>
      </c>
      <c r="T762" s="325"/>
      <c r="U762" s="42" t="s">
        <v>1654</v>
      </c>
      <c r="V762" s="377"/>
      <c r="W762" s="378"/>
      <c r="X762" s="393"/>
    </row>
    <row r="763" spans="1:25" s="381" customFormat="1">
      <c r="B763" s="694"/>
      <c r="C763" s="691"/>
      <c r="D763" s="42"/>
      <c r="E763" s="42"/>
      <c r="F763" s="695">
        <f>SUM(F762)</f>
        <v>681</v>
      </c>
      <c r="G763" s="695">
        <f t="shared" ref="G763:I763" si="75">SUM(G762)</f>
        <v>0</v>
      </c>
      <c r="H763" s="695">
        <f t="shared" si="75"/>
        <v>0</v>
      </c>
      <c r="I763" s="695">
        <f t="shared" si="75"/>
        <v>681</v>
      </c>
      <c r="J763" s="325"/>
      <c r="K763" s="696"/>
      <c r="L763" s="696"/>
      <c r="M763" s="696"/>
      <c r="N763" s="696"/>
      <c r="O763" s="696"/>
      <c r="P763" s="696"/>
      <c r="Q763" s="696"/>
      <c r="R763" s="696"/>
      <c r="S763" s="696"/>
      <c r="T763" s="325"/>
      <c r="U763" s="42"/>
      <c r="V763" s="377"/>
      <c r="W763" s="378"/>
      <c r="X763" s="393"/>
    </row>
    <row r="764" spans="1:25" s="342" customFormat="1">
      <c r="B764" s="132"/>
      <c r="C764" s="625"/>
      <c r="D764" s="123"/>
      <c r="E764" s="123"/>
      <c r="F764" s="124"/>
      <c r="G764" s="124"/>
      <c r="H764" s="124"/>
      <c r="I764" s="126"/>
      <c r="J764" s="127"/>
      <c r="K764" s="64"/>
      <c r="L764" s="64"/>
      <c r="M764" s="64"/>
      <c r="N764" s="64"/>
      <c r="O764" s="64"/>
      <c r="P764" s="64"/>
      <c r="Q764" s="64"/>
      <c r="R764" s="64"/>
      <c r="S764" s="64"/>
      <c r="T764" s="127"/>
      <c r="U764" s="135"/>
      <c r="V764" s="129"/>
      <c r="W764" s="130"/>
      <c r="X764" s="131"/>
    </row>
    <row r="765" spans="1:25" s="342" customFormat="1">
      <c r="B765" s="121" t="s">
        <v>70</v>
      </c>
      <c r="C765" s="625"/>
      <c r="D765" s="123"/>
      <c r="E765" s="128"/>
      <c r="F765" s="124"/>
      <c r="G765" s="124"/>
      <c r="H765" s="124"/>
      <c r="I765" s="126"/>
      <c r="J765" s="127"/>
      <c r="K765" s="64"/>
      <c r="L765" s="64"/>
      <c r="M765" s="64"/>
      <c r="N765" s="64"/>
      <c r="O765" s="64"/>
      <c r="P765" s="64"/>
      <c r="Q765" s="64"/>
      <c r="R765" s="64"/>
      <c r="S765" s="64"/>
      <c r="T765" s="127"/>
      <c r="U765" s="135"/>
      <c r="V765" s="129"/>
      <c r="W765" s="130"/>
      <c r="X765" s="131"/>
    </row>
    <row r="766" spans="1:25" s="342" customFormat="1">
      <c r="A766" s="492">
        <v>0.05</v>
      </c>
      <c r="B766" s="333">
        <v>1</v>
      </c>
      <c r="C766" s="653">
        <v>45903</v>
      </c>
      <c r="D766" s="327">
        <v>72949</v>
      </c>
      <c r="E766" s="335" t="s">
        <v>512</v>
      </c>
      <c r="F766" s="336">
        <v>1861</v>
      </c>
      <c r="G766" s="336">
        <f>39.7+398+200</f>
        <v>637.70000000000005</v>
      </c>
      <c r="H766" s="336"/>
      <c r="I766" s="337">
        <f>F766-G766-H766</f>
        <v>1223.3</v>
      </c>
      <c r="J766" s="338" t="s">
        <v>156</v>
      </c>
      <c r="K766" s="338">
        <v>1</v>
      </c>
      <c r="L766" s="338"/>
      <c r="M766" s="338">
        <v>1</v>
      </c>
      <c r="N766" s="338">
        <v>1</v>
      </c>
      <c r="O766" s="338">
        <v>1</v>
      </c>
      <c r="P766" s="338">
        <v>1</v>
      </c>
      <c r="Q766" s="338"/>
      <c r="R766" s="338"/>
      <c r="S766" s="339"/>
      <c r="T766" s="127"/>
      <c r="U766" s="135" t="s">
        <v>1655</v>
      </c>
      <c r="V766" s="129">
        <f>250</f>
        <v>250</v>
      </c>
      <c r="W766" s="340"/>
      <c r="X766" s="341"/>
    </row>
    <row r="767" spans="1:25" s="342" customFormat="1">
      <c r="A767" s="492">
        <v>0.05</v>
      </c>
      <c r="B767" s="333">
        <f>B766+1</f>
        <v>2</v>
      </c>
      <c r="C767" s="653">
        <v>45905</v>
      </c>
      <c r="D767" s="327">
        <v>73018</v>
      </c>
      <c r="E767" s="335" t="s">
        <v>973</v>
      </c>
      <c r="F767" s="336">
        <v>1861</v>
      </c>
      <c r="G767" s="336">
        <f>39.7+398</f>
        <v>437.7</v>
      </c>
      <c r="H767" s="336"/>
      <c r="I767" s="337">
        <f>F767-G767-H767</f>
        <v>1423.3</v>
      </c>
      <c r="J767" s="338" t="s">
        <v>156</v>
      </c>
      <c r="K767" s="338">
        <v>1</v>
      </c>
      <c r="L767" s="338"/>
      <c r="M767" s="338">
        <v>1</v>
      </c>
      <c r="N767" s="338">
        <v>1</v>
      </c>
      <c r="O767" s="338">
        <v>1</v>
      </c>
      <c r="P767" s="338">
        <v>1</v>
      </c>
      <c r="Q767" s="338"/>
      <c r="R767" s="338"/>
      <c r="S767" s="339"/>
      <c r="T767" s="127"/>
      <c r="U767" s="135"/>
      <c r="V767" s="129">
        <f>250</f>
        <v>250</v>
      </c>
      <c r="W767" s="340"/>
      <c r="X767" s="341"/>
    </row>
    <row r="768" spans="1:25" s="342" customFormat="1">
      <c r="A768" s="492">
        <v>0.05</v>
      </c>
      <c r="B768" s="333">
        <f>B767+1</f>
        <v>3</v>
      </c>
      <c r="C768" s="654">
        <v>45905</v>
      </c>
      <c r="D768" s="323">
        <v>73035</v>
      </c>
      <c r="E768" s="123" t="s">
        <v>973</v>
      </c>
      <c r="F768" s="125">
        <v>1361</v>
      </c>
      <c r="G768" s="125">
        <f>39.7</f>
        <v>39.700000000000003</v>
      </c>
      <c r="H768" s="125"/>
      <c r="I768" s="347">
        <f t="shared" ref="I768" si="76">F768-G768-H768</f>
        <v>1321.3</v>
      </c>
      <c r="J768" s="127" t="s">
        <v>156</v>
      </c>
      <c r="K768" s="127"/>
      <c r="L768" s="127"/>
      <c r="M768" s="127">
        <v>1</v>
      </c>
      <c r="N768" s="127">
        <v>1</v>
      </c>
      <c r="O768" s="127">
        <v>1</v>
      </c>
      <c r="P768" s="127">
        <v>1</v>
      </c>
      <c r="Q768" s="127"/>
      <c r="R768" s="127"/>
      <c r="S768" s="349"/>
      <c r="T768" s="127"/>
      <c r="U768" s="135" t="s">
        <v>1656</v>
      </c>
      <c r="V768" s="129">
        <f>160</f>
        <v>160</v>
      </c>
      <c r="W768" s="340"/>
      <c r="X768" s="341"/>
    </row>
    <row r="769" spans="1:25" s="342" customFormat="1">
      <c r="A769" s="492">
        <v>0.05</v>
      </c>
      <c r="B769" s="333">
        <f>B768+1</f>
        <v>4</v>
      </c>
      <c r="C769" s="655">
        <v>45905</v>
      </c>
      <c r="D769" s="330" t="s">
        <v>1657</v>
      </c>
      <c r="E769" s="454" t="s">
        <v>998</v>
      </c>
      <c r="F769" s="397">
        <v>8614</v>
      </c>
      <c r="G769" s="397">
        <f>39.7+(1313.14)+250</f>
        <v>1602.8400000000001</v>
      </c>
      <c r="H769" s="397">
        <f>F769*0.2</f>
        <v>1722.8000000000002</v>
      </c>
      <c r="I769" s="398">
        <f>F769-G769-H769</f>
        <v>5288.36</v>
      </c>
      <c r="J769" s="399" t="s">
        <v>185</v>
      </c>
      <c r="K769" s="399">
        <v>1</v>
      </c>
      <c r="L769" s="399">
        <v>1</v>
      </c>
      <c r="M769" s="399">
        <v>1</v>
      </c>
      <c r="N769" s="399">
        <v>1</v>
      </c>
      <c r="O769" s="399">
        <v>1</v>
      </c>
      <c r="P769" s="399">
        <v>1</v>
      </c>
      <c r="Q769" s="399">
        <v>1</v>
      </c>
      <c r="R769" s="399">
        <v>1</v>
      </c>
      <c r="S769" s="400">
        <v>1</v>
      </c>
      <c r="T769" s="127"/>
      <c r="U769" s="123" t="s">
        <v>1658</v>
      </c>
      <c r="V769" s="129">
        <f>950</f>
        <v>950</v>
      </c>
      <c r="W769" s="340"/>
      <c r="X769" s="341"/>
    </row>
    <row r="770" spans="1:25">
      <c r="B770" s="132"/>
      <c r="C770" s="625"/>
      <c r="D770" s="123"/>
      <c r="E770" s="123"/>
      <c r="F770" s="134">
        <f t="shared" ref="F770:H770" si="77">SUM(F766:F769)</f>
        <v>13697</v>
      </c>
      <c r="G770" s="134">
        <f t="shared" si="77"/>
        <v>2717.9400000000005</v>
      </c>
      <c r="H770" s="134">
        <f t="shared" si="77"/>
        <v>1722.8000000000002</v>
      </c>
      <c r="I770" s="134">
        <f>SUM(I766:I769)</f>
        <v>9256.2599999999984</v>
      </c>
      <c r="J770" s="127"/>
      <c r="K770" s="64"/>
      <c r="L770" s="64"/>
      <c r="M770" s="64"/>
      <c r="N770" s="64"/>
      <c r="O770" s="64"/>
      <c r="P770" s="64"/>
      <c r="Q770" s="64"/>
      <c r="R770" s="64"/>
      <c r="S770" s="64"/>
      <c r="T770" s="127"/>
      <c r="U770" s="135"/>
      <c r="V770" s="129"/>
      <c r="W770" s="130"/>
      <c r="X770" s="131"/>
    </row>
    <row r="771" spans="1:25">
      <c r="B771" s="11"/>
      <c r="C771" s="621"/>
      <c r="D771" s="10"/>
      <c r="E771" s="10"/>
      <c r="F771" s="88"/>
      <c r="G771" s="88"/>
      <c r="H771" s="88"/>
      <c r="I771" s="99"/>
      <c r="J771" s="63"/>
      <c r="K771" s="21"/>
      <c r="L771" s="21"/>
      <c r="M771" s="21"/>
      <c r="N771" s="21"/>
      <c r="O771" s="21"/>
      <c r="P771" s="21"/>
      <c r="Q771" s="21"/>
      <c r="R771" s="21"/>
      <c r="S771" s="21"/>
      <c r="T771" s="63"/>
      <c r="U771" s="94"/>
      <c r="V771" s="90"/>
      <c r="W771" s="91"/>
      <c r="X771" s="92"/>
    </row>
    <row r="772" spans="1:25" s="434" customFormat="1" ht="13.5">
      <c r="A772" s="10"/>
      <c r="B772" s="100" t="s">
        <v>152</v>
      </c>
      <c r="C772" s="36"/>
      <c r="D772" s="10"/>
      <c r="E772" s="10"/>
      <c r="F772" s="88"/>
      <c r="G772" s="62"/>
      <c r="H772" s="88"/>
      <c r="I772" s="99"/>
      <c r="J772" s="63"/>
      <c r="K772" s="10"/>
      <c r="L772" s="10"/>
      <c r="M772" s="10"/>
      <c r="N772" s="10"/>
      <c r="O772" s="10"/>
      <c r="P772" s="123"/>
      <c r="Q772" s="10"/>
      <c r="R772" s="10"/>
      <c r="S772" s="10"/>
      <c r="T772" s="63"/>
      <c r="U772" s="10"/>
      <c r="V772" s="90"/>
      <c r="W772" s="91"/>
      <c r="X772" s="92"/>
    </row>
    <row r="773" spans="1:25" s="434" customFormat="1" ht="13.5">
      <c r="A773" s="31">
        <v>0.05</v>
      </c>
      <c r="B773" s="87">
        <v>1</v>
      </c>
      <c r="C773" s="262">
        <v>45848</v>
      </c>
      <c r="D773" s="263">
        <v>71373</v>
      </c>
      <c r="E773" s="264" t="s">
        <v>1338</v>
      </c>
      <c r="F773" s="265">
        <v>2681</v>
      </c>
      <c r="G773" s="265">
        <f>39.7</f>
        <v>39.700000000000003</v>
      </c>
      <c r="H773" s="265"/>
      <c r="I773" s="266">
        <f>F773-G773-H773</f>
        <v>2641.3</v>
      </c>
      <c r="J773" s="267" t="s">
        <v>156</v>
      </c>
      <c r="K773" s="267">
        <v>1</v>
      </c>
      <c r="L773" s="267">
        <v>1</v>
      </c>
      <c r="M773" s="267">
        <v>1</v>
      </c>
      <c r="N773" s="267">
        <v>1</v>
      </c>
      <c r="O773" s="267">
        <v>1</v>
      </c>
      <c r="P773" s="314">
        <v>0</v>
      </c>
      <c r="Q773" s="314">
        <v>0</v>
      </c>
      <c r="R773" s="314">
        <v>0</v>
      </c>
      <c r="S773" s="366">
        <v>0</v>
      </c>
      <c r="T773" s="63"/>
      <c r="U773" s="10"/>
      <c r="V773" s="90"/>
      <c r="W773" s="91"/>
      <c r="X773" s="92"/>
    </row>
    <row r="774" spans="1:25" s="260" customFormat="1">
      <c r="A774" s="261">
        <v>0.05</v>
      </c>
      <c r="B774" s="87">
        <f>B773+1</f>
        <v>2</v>
      </c>
      <c r="C774" s="262">
        <v>45855</v>
      </c>
      <c r="D774" s="263">
        <v>71488</v>
      </c>
      <c r="E774" s="264" t="s">
        <v>218</v>
      </c>
      <c r="F774" s="265">
        <v>2034.9</v>
      </c>
      <c r="G774" s="265">
        <f>39.7+(412.27)</f>
        <v>451.96999999999997</v>
      </c>
      <c r="H774" s="265"/>
      <c r="I774" s="266">
        <f>F774-G774-H774</f>
        <v>1582.93</v>
      </c>
      <c r="J774" s="267" t="s">
        <v>156</v>
      </c>
      <c r="K774" s="267">
        <v>1</v>
      </c>
      <c r="L774" s="267">
        <v>1</v>
      </c>
      <c r="M774" s="267">
        <v>1</v>
      </c>
      <c r="N774" s="314">
        <v>0</v>
      </c>
      <c r="O774" s="314">
        <v>0</v>
      </c>
      <c r="P774" s="314">
        <v>0</v>
      </c>
      <c r="Q774" s="267">
        <v>1</v>
      </c>
      <c r="R774" s="267">
        <v>1</v>
      </c>
      <c r="S774" s="366">
        <v>0</v>
      </c>
      <c r="T774" s="63"/>
      <c r="U774" s="10" t="s">
        <v>1659</v>
      </c>
      <c r="V774" s="90"/>
      <c r="W774" s="91"/>
      <c r="X774" s="92"/>
    </row>
    <row r="775" spans="1:25" s="260" customFormat="1">
      <c r="A775" s="261">
        <v>0.05</v>
      </c>
      <c r="B775" s="87">
        <f>B774+1</f>
        <v>3</v>
      </c>
      <c r="C775" s="262">
        <v>45863</v>
      </c>
      <c r="D775" s="263" t="s">
        <v>1497</v>
      </c>
      <c r="E775" s="271" t="s">
        <v>1117</v>
      </c>
      <c r="F775" s="265">
        <v>1138</v>
      </c>
      <c r="G775" s="265">
        <f>39.7</f>
        <v>39.700000000000003</v>
      </c>
      <c r="H775" s="365"/>
      <c r="I775" s="266">
        <f>F775-G775-H775</f>
        <v>1098.3</v>
      </c>
      <c r="J775" s="267"/>
      <c r="K775" s="267">
        <v>1</v>
      </c>
      <c r="L775" s="267">
        <v>1</v>
      </c>
      <c r="M775" s="267"/>
      <c r="N775" s="267">
        <v>1</v>
      </c>
      <c r="O775" s="267">
        <v>1</v>
      </c>
      <c r="P775" s="267">
        <v>1</v>
      </c>
      <c r="Q775" s="314">
        <v>0</v>
      </c>
      <c r="R775" s="314">
        <v>0</v>
      </c>
      <c r="S775" s="366">
        <v>0</v>
      </c>
      <c r="T775" s="63"/>
      <c r="U775" s="10" t="s">
        <v>1628</v>
      </c>
      <c r="V775" s="90"/>
      <c r="W775" s="91"/>
      <c r="X775" s="92"/>
    </row>
    <row r="776" spans="1:25" s="260" customFormat="1">
      <c r="A776" s="261">
        <v>0.05</v>
      </c>
      <c r="B776" s="87">
        <f>B775+1</f>
        <v>4</v>
      </c>
      <c r="C776" s="274">
        <v>45874</v>
      </c>
      <c r="D776" s="327">
        <v>72064</v>
      </c>
      <c r="E776" s="276" t="s">
        <v>998</v>
      </c>
      <c r="F776" s="277">
        <v>1138</v>
      </c>
      <c r="G776" s="277">
        <v>39.700000000000003</v>
      </c>
      <c r="H776" s="277"/>
      <c r="I776" s="321">
        <f>F776-G776-H776</f>
        <v>1098.3</v>
      </c>
      <c r="J776" s="279"/>
      <c r="K776" s="279">
        <v>1</v>
      </c>
      <c r="L776" s="279">
        <v>1</v>
      </c>
      <c r="M776" s="279"/>
      <c r="N776" s="279">
        <v>1</v>
      </c>
      <c r="O776" s="279">
        <v>1</v>
      </c>
      <c r="P776" s="279">
        <v>1</v>
      </c>
      <c r="Q776" s="322">
        <v>0</v>
      </c>
      <c r="R776" s="322">
        <v>0</v>
      </c>
      <c r="S776" s="328">
        <v>0</v>
      </c>
      <c r="T776" s="63"/>
      <c r="U776" s="94" t="s">
        <v>1540</v>
      </c>
      <c r="V776" s="90"/>
      <c r="W776" s="91"/>
      <c r="X776" s="92"/>
    </row>
    <row r="777" spans="1:25" s="260" customFormat="1">
      <c r="A777" s="261">
        <v>0.05</v>
      </c>
      <c r="B777" s="87">
        <f>B776+1</f>
        <v>5</v>
      </c>
      <c r="C777" s="262">
        <v>45860</v>
      </c>
      <c r="D777" s="263" t="s">
        <v>1522</v>
      </c>
      <c r="E777" s="271" t="s">
        <v>1256</v>
      </c>
      <c r="F777" s="265">
        <v>13770</v>
      </c>
      <c r="G777" s="265">
        <f>39.7+271.4+(133.8)+(7.88+328.49-9.15-0.86-0.98-2.08-46.07+30.69+267.21)+1000</f>
        <v>2020.03</v>
      </c>
      <c r="H777" s="365"/>
      <c r="I777" s="266">
        <f>F777-G777-H777</f>
        <v>11749.97</v>
      </c>
      <c r="J777" s="267" t="s">
        <v>156</v>
      </c>
      <c r="K777" s="267">
        <v>1</v>
      </c>
      <c r="L777" s="267">
        <v>1</v>
      </c>
      <c r="M777" s="267">
        <v>1</v>
      </c>
      <c r="N777" s="267">
        <v>1</v>
      </c>
      <c r="O777" s="314">
        <v>0</v>
      </c>
      <c r="P777" s="267">
        <v>1</v>
      </c>
      <c r="Q777" s="314">
        <v>0</v>
      </c>
      <c r="R777" s="314">
        <v>0</v>
      </c>
      <c r="S777" s="366">
        <v>0</v>
      </c>
      <c r="T777" s="63"/>
      <c r="U777" s="94" t="s">
        <v>1579</v>
      </c>
      <c r="V777" s="90"/>
      <c r="W777" s="136"/>
      <c r="X777" s="137"/>
    </row>
    <row r="778" spans="1:25" s="260" customFormat="1">
      <c r="A778" s="261" t="s">
        <v>619</v>
      </c>
      <c r="B778" s="87">
        <f>B777+1</f>
        <v>6</v>
      </c>
      <c r="C778" s="262">
        <v>45877</v>
      </c>
      <c r="D778" s="263">
        <v>72150</v>
      </c>
      <c r="E778" s="271" t="s">
        <v>769</v>
      </c>
      <c r="F778" s="265">
        <v>44619</v>
      </c>
      <c r="G778" s="265">
        <f>39.7+8800+352+(F778*0.25)+(3*150)</f>
        <v>20796.45</v>
      </c>
      <c r="H778" s="265"/>
      <c r="I778" s="272">
        <f>F778-G778-H778</f>
        <v>23822.55</v>
      </c>
      <c r="J778" s="267" t="s">
        <v>156</v>
      </c>
      <c r="K778" s="267">
        <v>1</v>
      </c>
      <c r="L778" s="267">
        <v>1</v>
      </c>
      <c r="M778" s="267">
        <v>1</v>
      </c>
      <c r="N778" s="267">
        <v>1</v>
      </c>
      <c r="O778" s="267">
        <v>1</v>
      </c>
      <c r="P778" s="267">
        <v>1</v>
      </c>
      <c r="Q778" s="267">
        <v>1</v>
      </c>
      <c r="R778" s="267">
        <v>1</v>
      </c>
      <c r="S778" s="269">
        <v>1</v>
      </c>
      <c r="T778" s="63"/>
      <c r="U778" s="94" t="s">
        <v>1580</v>
      </c>
      <c r="V778" s="90"/>
      <c r="W778" s="91"/>
      <c r="X778" s="137"/>
    </row>
    <row r="779" spans="1:25" s="260" customFormat="1">
      <c r="A779" s="261">
        <v>0.05</v>
      </c>
      <c r="B779" s="87">
        <f>B778+1</f>
        <v>7</v>
      </c>
      <c r="C779" s="262">
        <v>45882</v>
      </c>
      <c r="D779" s="263">
        <v>72282</v>
      </c>
      <c r="E779" s="271" t="s">
        <v>384</v>
      </c>
      <c r="F779" s="265">
        <v>12614</v>
      </c>
      <c r="G779" s="265">
        <f>39.7+(166)+(60.58)+1000</f>
        <v>1266.28</v>
      </c>
      <c r="H779" s="265"/>
      <c r="I779" s="266">
        <f>F779-G779-H779</f>
        <v>11347.72</v>
      </c>
      <c r="J779" s="267" t="s">
        <v>156</v>
      </c>
      <c r="K779" s="267">
        <v>1</v>
      </c>
      <c r="L779" s="267">
        <v>1</v>
      </c>
      <c r="M779" s="267">
        <v>1</v>
      </c>
      <c r="N779" s="267">
        <v>1</v>
      </c>
      <c r="O779" s="267">
        <v>1</v>
      </c>
      <c r="P779" s="267">
        <v>1</v>
      </c>
      <c r="Q779" s="314">
        <v>0</v>
      </c>
      <c r="R779" s="314">
        <v>0</v>
      </c>
      <c r="S779" s="366">
        <v>0</v>
      </c>
      <c r="T779" s="63"/>
      <c r="U779" s="94" t="s">
        <v>1629</v>
      </c>
      <c r="V779" s="90"/>
      <c r="W779" s="136"/>
      <c r="X779" s="137"/>
    </row>
    <row r="780" spans="1:25" s="342" customFormat="1">
      <c r="A780" s="261" t="s">
        <v>1183</v>
      </c>
      <c r="B780" s="87">
        <f t="shared" ref="B780:B784" si="78">B779+1</f>
        <v>8</v>
      </c>
      <c r="C780" s="262">
        <v>45880</v>
      </c>
      <c r="D780" s="263" t="s">
        <v>1575</v>
      </c>
      <c r="E780" s="271" t="s">
        <v>798</v>
      </c>
      <c r="F780" s="265">
        <v>28614</v>
      </c>
      <c r="G780" s="265">
        <f>39.7+87+2114.68+(88.79+147.25+67.07+175.66+38+31.51+60)+(287.36+46.46+263.98-60+165.31)+(F780*0.2)</f>
        <v>9275.57</v>
      </c>
      <c r="H780" s="265"/>
      <c r="I780" s="266">
        <f>F780-G780-H780</f>
        <v>19338.43</v>
      </c>
      <c r="J780" s="267" t="s">
        <v>156</v>
      </c>
      <c r="K780" s="267">
        <v>1</v>
      </c>
      <c r="L780" s="267">
        <v>1</v>
      </c>
      <c r="M780" s="267">
        <v>1</v>
      </c>
      <c r="N780" s="314">
        <v>0</v>
      </c>
      <c r="O780" s="314">
        <v>0</v>
      </c>
      <c r="P780" s="314">
        <v>0</v>
      </c>
      <c r="Q780" s="267">
        <v>1</v>
      </c>
      <c r="R780" s="267">
        <v>1</v>
      </c>
      <c r="S780" s="269">
        <v>1</v>
      </c>
      <c r="T780" s="63"/>
      <c r="U780" s="94" t="s">
        <v>1603</v>
      </c>
      <c r="V780" s="90"/>
      <c r="W780" s="91"/>
      <c r="X780" s="137"/>
      <c r="Y780" s="260"/>
    </row>
    <row r="781" spans="1:25" s="260" customFormat="1">
      <c r="A781" s="261" t="s">
        <v>1633</v>
      </c>
      <c r="B781" s="87">
        <f t="shared" si="78"/>
        <v>9</v>
      </c>
      <c r="C781" s="262">
        <v>45888</v>
      </c>
      <c r="D781" s="263">
        <v>72392</v>
      </c>
      <c r="E781" s="271" t="s">
        <v>382</v>
      </c>
      <c r="F781" s="265">
        <v>1861</v>
      </c>
      <c r="G781" s="265">
        <f>39.7+398</f>
        <v>437.7</v>
      </c>
      <c r="H781" s="265"/>
      <c r="I781" s="272">
        <f>F781-G781-H781</f>
        <v>1423.3</v>
      </c>
      <c r="J781" s="267" t="s">
        <v>156</v>
      </c>
      <c r="K781" s="267">
        <v>1</v>
      </c>
      <c r="L781" s="267">
        <v>1</v>
      </c>
      <c r="M781" s="267">
        <v>1</v>
      </c>
      <c r="N781" s="267">
        <v>1</v>
      </c>
      <c r="O781" s="267">
        <v>1</v>
      </c>
      <c r="P781" s="267">
        <v>1</v>
      </c>
      <c r="Q781" s="267">
        <v>1</v>
      </c>
      <c r="R781" s="267">
        <v>1</v>
      </c>
      <c r="S781" s="269">
        <v>1</v>
      </c>
      <c r="T781" s="63"/>
      <c r="U781" s="94" t="s">
        <v>1634</v>
      </c>
      <c r="V781" s="90"/>
      <c r="W781" s="136"/>
      <c r="X781" s="137"/>
    </row>
    <row r="782" spans="1:25" s="260" customFormat="1">
      <c r="A782" s="261" t="s">
        <v>619</v>
      </c>
      <c r="B782" s="87">
        <f t="shared" si="78"/>
        <v>10</v>
      </c>
      <c r="C782" s="282">
        <v>45889</v>
      </c>
      <c r="D782" s="368">
        <v>72498</v>
      </c>
      <c r="E782" s="283" t="s">
        <v>769</v>
      </c>
      <c r="F782" s="284">
        <v>22618</v>
      </c>
      <c r="G782" s="284">
        <f>39.7+830.8+(94.29+28.45)+2000</f>
        <v>2993.24</v>
      </c>
      <c r="H782" s="284"/>
      <c r="I782" s="285">
        <f>F782-G782-H782</f>
        <v>19624.760000000002</v>
      </c>
      <c r="J782" s="286" t="s">
        <v>228</v>
      </c>
      <c r="K782" s="286">
        <v>1</v>
      </c>
      <c r="L782" s="286">
        <v>1</v>
      </c>
      <c r="M782" s="286">
        <v>1</v>
      </c>
      <c r="N782" s="286">
        <v>1</v>
      </c>
      <c r="O782" s="286">
        <v>1</v>
      </c>
      <c r="P782" s="286">
        <v>1</v>
      </c>
      <c r="Q782" s="286">
        <v>1</v>
      </c>
      <c r="R782" s="286">
        <v>1</v>
      </c>
      <c r="S782" s="287">
        <v>1</v>
      </c>
      <c r="T782" s="63"/>
      <c r="U782" s="94" t="s">
        <v>1635</v>
      </c>
      <c r="V782" s="90"/>
      <c r="W782" s="136"/>
      <c r="X782" s="137"/>
    </row>
    <row r="783" spans="1:25" s="181" customFormat="1">
      <c r="A783" s="261">
        <v>0.05</v>
      </c>
      <c r="B783" s="87">
        <f t="shared" si="78"/>
        <v>11</v>
      </c>
      <c r="C783" s="262">
        <v>45894</v>
      </c>
      <c r="D783" s="263">
        <v>72581</v>
      </c>
      <c r="E783" s="271" t="s">
        <v>1623</v>
      </c>
      <c r="F783" s="265">
        <v>5814</v>
      </c>
      <c r="G783" s="265">
        <f>39.7+446.6+(847.11)+250</f>
        <v>1583.41</v>
      </c>
      <c r="H783" s="265"/>
      <c r="I783" s="272">
        <f>F783-G783-H783</f>
        <v>4230.59</v>
      </c>
      <c r="J783" s="267" t="s">
        <v>228</v>
      </c>
      <c r="K783" s="267">
        <v>1</v>
      </c>
      <c r="L783" s="267">
        <v>1</v>
      </c>
      <c r="M783" s="267">
        <v>1</v>
      </c>
      <c r="N783" s="267">
        <v>1</v>
      </c>
      <c r="O783" s="267">
        <v>1</v>
      </c>
      <c r="P783" s="267">
        <v>1</v>
      </c>
      <c r="Q783" s="267">
        <v>1</v>
      </c>
      <c r="R783" s="267">
        <v>1</v>
      </c>
      <c r="S783" s="269">
        <v>1</v>
      </c>
      <c r="T783" s="63"/>
      <c r="U783" s="94" t="s">
        <v>1624</v>
      </c>
      <c r="V783" s="90"/>
      <c r="W783" s="136"/>
      <c r="X783" s="137"/>
      <c r="Y783" s="260"/>
    </row>
    <row r="784" spans="1:25" s="260" customFormat="1">
      <c r="A784" s="261" t="s">
        <v>554</v>
      </c>
      <c r="B784" s="87">
        <f t="shared" si="78"/>
        <v>12</v>
      </c>
      <c r="C784" s="262">
        <v>45898</v>
      </c>
      <c r="D784" s="263">
        <v>72801</v>
      </c>
      <c r="E784" s="271" t="s">
        <v>382</v>
      </c>
      <c r="F784" s="265">
        <v>6814</v>
      </c>
      <c r="G784" s="265">
        <f>39.7+(101.52+26.99+62.07+39.98)+(78.93+1697.56+54.37+39.71-3.33)+250</f>
        <v>2387.5</v>
      </c>
      <c r="H784" s="265"/>
      <c r="I784" s="272">
        <f>F784-G784-H784</f>
        <v>4426.5</v>
      </c>
      <c r="J784" s="267" t="s">
        <v>228</v>
      </c>
      <c r="K784" s="267">
        <v>1</v>
      </c>
      <c r="L784" s="267">
        <v>1</v>
      </c>
      <c r="M784" s="267">
        <v>1</v>
      </c>
      <c r="N784" s="267">
        <v>1</v>
      </c>
      <c r="O784" s="267">
        <v>1</v>
      </c>
      <c r="P784" s="267">
        <v>1</v>
      </c>
      <c r="Q784" s="267">
        <v>1</v>
      </c>
      <c r="R784" s="267">
        <v>1</v>
      </c>
      <c r="S784" s="269">
        <v>1</v>
      </c>
      <c r="T784" s="21"/>
      <c r="U784" s="94" t="s">
        <v>1660</v>
      </c>
      <c r="V784" s="90">
        <f>6645.4+200</f>
        <v>6845.4</v>
      </c>
      <c r="W784" s="136"/>
      <c r="X784" s="137"/>
    </row>
    <row r="785" spans="1:24" s="434" customFormat="1" ht="13.5">
      <c r="A785" s="10"/>
      <c r="B785" s="11"/>
      <c r="C785" s="36"/>
      <c r="D785" s="10"/>
      <c r="E785" s="10"/>
      <c r="F785" s="98">
        <f>SUM(F773:F783)</f>
        <v>136901.9</v>
      </c>
      <c r="G785" s="98">
        <f>SUM(G773:G783)</f>
        <v>38943.749999999993</v>
      </c>
      <c r="H785" s="98">
        <f>SUM(H773:H783)</f>
        <v>0</v>
      </c>
      <c r="I785" s="98">
        <f>SUM(I773:I783)</f>
        <v>97958.15</v>
      </c>
      <c r="J785" s="63"/>
      <c r="K785" s="21"/>
      <c r="L785" s="21"/>
      <c r="M785" s="21"/>
      <c r="N785" s="21"/>
      <c r="O785" s="21"/>
      <c r="P785" s="21"/>
      <c r="Q785" s="21"/>
      <c r="R785" s="21"/>
      <c r="S785" s="21"/>
      <c r="T785" s="63"/>
      <c r="U785" s="10"/>
      <c r="V785" s="90"/>
      <c r="W785" s="91"/>
      <c r="X785" s="92"/>
    </row>
    <row r="786" spans="1:24" s="434" customFormat="1" ht="13.5">
      <c r="A786" s="10"/>
      <c r="B786" s="11"/>
      <c r="C786" s="36"/>
      <c r="D786" s="10"/>
      <c r="E786" s="10"/>
      <c r="F786" s="88"/>
      <c r="G786" s="88"/>
      <c r="H786" s="88"/>
      <c r="I786" s="99"/>
      <c r="J786" s="63"/>
      <c r="K786" s="21"/>
      <c r="L786" s="21"/>
      <c r="M786" s="21"/>
      <c r="N786" s="21"/>
      <c r="O786" s="21"/>
      <c r="P786" s="21"/>
      <c r="Q786" s="21"/>
      <c r="R786" s="21"/>
      <c r="S786" s="21"/>
      <c r="T786" s="63"/>
      <c r="U786" s="10"/>
      <c r="V786" s="90"/>
      <c r="W786" s="91"/>
      <c r="X786" s="92"/>
    </row>
    <row r="787" spans="1:24" s="260" customFormat="1">
      <c r="A787" s="181"/>
      <c r="B787" s="100" t="s">
        <v>1521</v>
      </c>
      <c r="C787" s="36"/>
      <c r="D787" s="10"/>
      <c r="E787" s="181"/>
      <c r="F787" s="88"/>
      <c r="G787" s="88"/>
      <c r="H787" s="88"/>
      <c r="I787" s="99"/>
      <c r="J787" s="63"/>
      <c r="K787" s="21"/>
      <c r="L787" s="21"/>
      <c r="M787" s="21"/>
      <c r="N787" s="21"/>
      <c r="O787" s="21"/>
      <c r="P787" s="21"/>
      <c r="Q787" s="21"/>
      <c r="R787" s="21"/>
      <c r="S787" s="21"/>
      <c r="T787" s="63"/>
      <c r="U787" s="94"/>
      <c r="V787" s="90"/>
      <c r="W787" s="91"/>
      <c r="X787" s="92"/>
    </row>
    <row r="788" spans="1:24" s="260" customFormat="1">
      <c r="A788" s="261">
        <v>0.05</v>
      </c>
      <c r="B788" s="87">
        <v>1</v>
      </c>
      <c r="C788" s="274">
        <v>45889</v>
      </c>
      <c r="D788" s="327">
        <v>72473</v>
      </c>
      <c r="E788" s="276" t="s">
        <v>384</v>
      </c>
      <c r="F788" s="277">
        <v>20352.599999999999</v>
      </c>
      <c r="G788" s="277">
        <f>39.7+1158.5+330+698.2+1074.8+910.2+(131.46+39.56+458.93+229.4+124.76-77.28+55.97)+(199.57+15.62)+2000</f>
        <v>7389.3899999999994</v>
      </c>
      <c r="H788" s="277"/>
      <c r="I788" s="278">
        <f>F788-G788-H788</f>
        <v>12963.21</v>
      </c>
      <c r="J788" s="279" t="s">
        <v>156</v>
      </c>
      <c r="K788" s="279">
        <v>1</v>
      </c>
      <c r="L788" s="279"/>
      <c r="M788" s="279">
        <v>1</v>
      </c>
      <c r="N788" s="279">
        <v>1</v>
      </c>
      <c r="O788" s="279">
        <v>1</v>
      </c>
      <c r="P788" s="279">
        <v>1</v>
      </c>
      <c r="Q788" s="279"/>
      <c r="R788" s="279"/>
      <c r="S788" s="280"/>
      <c r="T788" s="63"/>
      <c r="U788" s="94" t="s">
        <v>1661</v>
      </c>
      <c r="V788" s="90"/>
      <c r="W788" s="136"/>
      <c r="X788" s="137"/>
    </row>
    <row r="789" spans="1:24" s="260" customFormat="1">
      <c r="A789" s="261">
        <v>0.05</v>
      </c>
      <c r="B789" s="87">
        <f>B788+1</f>
        <v>2</v>
      </c>
      <c r="C789" s="262">
        <v>45895</v>
      </c>
      <c r="D789" s="263">
        <v>72566</v>
      </c>
      <c r="E789" s="271" t="s">
        <v>833</v>
      </c>
      <c r="F789" s="265">
        <v>1861</v>
      </c>
      <c r="G789" s="265">
        <f>39.7+485</f>
        <v>524.70000000000005</v>
      </c>
      <c r="H789" s="265"/>
      <c r="I789" s="272">
        <f>F789-G789-H789</f>
        <v>1336.3</v>
      </c>
      <c r="J789" s="267" t="s">
        <v>156</v>
      </c>
      <c r="K789" s="267">
        <v>1</v>
      </c>
      <c r="L789" s="267"/>
      <c r="M789" s="267">
        <v>1</v>
      </c>
      <c r="N789" s="267">
        <v>1</v>
      </c>
      <c r="O789" s="267">
        <v>1</v>
      </c>
      <c r="P789" s="267">
        <v>1</v>
      </c>
      <c r="Q789" s="267"/>
      <c r="R789" s="267"/>
      <c r="S789" s="269"/>
      <c r="T789" s="63"/>
      <c r="U789" s="94" t="s">
        <v>1625</v>
      </c>
      <c r="V789" s="90"/>
      <c r="W789" s="136"/>
      <c r="X789" s="137"/>
    </row>
    <row r="790" spans="1:24" s="260" customFormat="1">
      <c r="A790" s="181"/>
      <c r="B790" s="11"/>
      <c r="C790" s="36"/>
      <c r="D790" s="10"/>
      <c r="E790" s="10"/>
      <c r="F790" s="97">
        <f>SUM(F788:F789)</f>
        <v>22213.599999999999</v>
      </c>
      <c r="G790" s="97">
        <f>SUM(G788:G789)</f>
        <v>7914.0899999999992</v>
      </c>
      <c r="H790" s="97">
        <f>SUM(H788:H789)</f>
        <v>0</v>
      </c>
      <c r="I790" s="97">
        <f>SUM(I788:I789)</f>
        <v>14299.509999999998</v>
      </c>
      <c r="J790" s="63"/>
      <c r="K790" s="21"/>
      <c r="L790" s="21"/>
      <c r="M790" s="21"/>
      <c r="N790" s="21"/>
      <c r="O790" s="21"/>
      <c r="P790" s="21"/>
      <c r="Q790" s="21"/>
      <c r="R790" s="21"/>
      <c r="S790" s="21"/>
      <c r="T790" s="63"/>
      <c r="U790" s="94"/>
      <c r="V790" s="90"/>
      <c r="W790" s="91"/>
      <c r="X790" s="92"/>
    </row>
    <row r="791" spans="1:24" s="260" customFormat="1">
      <c r="A791" s="181"/>
      <c r="B791" s="11"/>
      <c r="C791" s="36"/>
      <c r="D791" s="10"/>
      <c r="E791" s="10"/>
      <c r="F791" s="88"/>
      <c r="G791" s="88"/>
      <c r="H791" s="88"/>
      <c r="I791" s="99"/>
      <c r="J791" s="63"/>
      <c r="K791" s="21"/>
      <c r="L791" s="21"/>
      <c r="M791" s="21"/>
      <c r="N791" s="21"/>
      <c r="O791" s="21"/>
      <c r="P791" s="21"/>
      <c r="Q791" s="21"/>
      <c r="R791" s="21"/>
      <c r="S791" s="21"/>
      <c r="T791" s="63"/>
      <c r="U791" s="94"/>
      <c r="V791" s="90"/>
      <c r="W791" s="91"/>
      <c r="X791" s="92"/>
    </row>
    <row r="792" spans="1:24">
      <c r="B792" s="100" t="s">
        <v>72</v>
      </c>
      <c r="C792" s="621"/>
      <c r="D792" s="10"/>
      <c r="E792" s="10"/>
      <c r="F792" s="88"/>
      <c r="G792" s="88"/>
      <c r="H792" s="88"/>
      <c r="I792" s="99"/>
      <c r="J792" s="63"/>
      <c r="K792" s="63"/>
      <c r="L792" s="63"/>
      <c r="M792" s="63"/>
      <c r="N792" s="63"/>
      <c r="O792" s="63"/>
      <c r="P792" s="63"/>
      <c r="Q792" s="63"/>
      <c r="R792" s="63"/>
      <c r="S792" s="63"/>
      <c r="T792" s="63"/>
      <c r="U792" s="10"/>
      <c r="V792" s="90"/>
      <c r="W792" s="91"/>
      <c r="X792" s="92"/>
    </row>
    <row r="793" spans="1:24">
      <c r="B793" s="87">
        <v>1</v>
      </c>
      <c r="C793" s="638">
        <v>45901</v>
      </c>
      <c r="D793" s="276">
        <v>72854</v>
      </c>
      <c r="E793" s="276" t="s">
        <v>1091</v>
      </c>
      <c r="F793" s="277">
        <v>0</v>
      </c>
      <c r="G793" s="277">
        <v>0</v>
      </c>
      <c r="H793" s="277"/>
      <c r="I793" s="278">
        <f>F793-G793-H793</f>
        <v>0</v>
      </c>
      <c r="J793" s="279" t="s">
        <v>205</v>
      </c>
      <c r="K793" s="279"/>
      <c r="L793" s="279"/>
      <c r="M793" s="279"/>
      <c r="N793" s="279"/>
      <c r="O793" s="279"/>
      <c r="P793" s="279"/>
      <c r="Q793" s="279"/>
      <c r="R793" s="279"/>
      <c r="S793" s="280"/>
      <c r="T793" s="63"/>
      <c r="U793" s="3"/>
      <c r="V793" s="90"/>
      <c r="W793" s="91"/>
      <c r="X793" s="92"/>
    </row>
    <row r="794" spans="1:24">
      <c r="A794" s="464">
        <v>45905</v>
      </c>
      <c r="B794" s="87">
        <f>B793+1</f>
        <v>2</v>
      </c>
      <c r="C794" s="639">
        <v>45901</v>
      </c>
      <c r="D794" s="10">
        <v>72831</v>
      </c>
      <c r="E794" s="10" t="s">
        <v>1043</v>
      </c>
      <c r="F794" s="62">
        <v>4461</v>
      </c>
      <c r="G794" s="62">
        <f>39.7</f>
        <v>39.700000000000003</v>
      </c>
      <c r="H794" s="62"/>
      <c r="I794" s="89">
        <f>F794-G794-H794</f>
        <v>4421.3</v>
      </c>
      <c r="J794" s="63" t="s">
        <v>156</v>
      </c>
      <c r="K794" s="63">
        <v>1</v>
      </c>
      <c r="L794" s="63"/>
      <c r="M794" s="63">
        <v>1</v>
      </c>
      <c r="N794" s="63">
        <v>1</v>
      </c>
      <c r="O794" s="63">
        <v>1</v>
      </c>
      <c r="P794" s="63">
        <v>1</v>
      </c>
      <c r="Q794" s="63"/>
      <c r="R794" s="63"/>
      <c r="S794" s="296"/>
      <c r="T794" s="63"/>
      <c r="U794" s="94" t="s">
        <v>1662</v>
      </c>
      <c r="V794" s="90">
        <f>500</f>
        <v>500</v>
      </c>
      <c r="W794" s="136"/>
      <c r="X794" s="137"/>
    </row>
    <row r="795" spans="1:24">
      <c r="B795" s="87">
        <f>B794+1</f>
        <v>3</v>
      </c>
      <c r="C795" s="639">
        <v>45901</v>
      </c>
      <c r="D795" s="77" t="s">
        <v>1663</v>
      </c>
      <c r="E795" s="10" t="s">
        <v>211</v>
      </c>
      <c r="F795" s="62">
        <v>5592.6</v>
      </c>
      <c r="G795" s="62">
        <v>39.700000000000003</v>
      </c>
      <c r="H795" s="62"/>
      <c r="I795" s="89">
        <f>F795-G795-H795</f>
        <v>5552.9000000000005</v>
      </c>
      <c r="J795" s="63" t="s">
        <v>156</v>
      </c>
      <c r="K795" s="63">
        <v>1</v>
      </c>
      <c r="L795" s="63"/>
      <c r="M795" s="63">
        <v>1</v>
      </c>
      <c r="N795" s="63">
        <v>1</v>
      </c>
      <c r="O795" s="63"/>
      <c r="P795" s="63"/>
      <c r="Q795" s="63">
        <v>1</v>
      </c>
      <c r="R795" s="63">
        <v>1</v>
      </c>
      <c r="S795" s="296">
        <v>1</v>
      </c>
      <c r="T795" s="63"/>
      <c r="U795" s="10" t="s">
        <v>1664</v>
      </c>
      <c r="V795" s="90">
        <v>2158</v>
      </c>
      <c r="W795" s="136"/>
      <c r="X795" s="137"/>
    </row>
    <row r="796" spans="1:24">
      <c r="B796" s="87">
        <f t="shared" ref="B796:B803" si="79">B795+1</f>
        <v>4</v>
      </c>
      <c r="C796" s="638">
        <v>45902</v>
      </c>
      <c r="D796" s="276">
        <v>72885</v>
      </c>
      <c r="E796" s="276" t="s">
        <v>464</v>
      </c>
      <c r="F796" s="277">
        <v>1138</v>
      </c>
      <c r="G796" s="277">
        <v>39.700000000000003</v>
      </c>
      <c r="H796" s="277"/>
      <c r="I796" s="278">
        <f>F796-G796-H796</f>
        <v>1098.3</v>
      </c>
      <c r="J796" s="279" t="s">
        <v>205</v>
      </c>
      <c r="K796" s="279">
        <v>1</v>
      </c>
      <c r="L796" s="279"/>
      <c r="M796" s="279"/>
      <c r="N796" s="279">
        <v>1</v>
      </c>
      <c r="O796" s="279"/>
      <c r="P796" s="279"/>
      <c r="Q796" s="279">
        <v>1</v>
      </c>
      <c r="R796" s="279">
        <v>1</v>
      </c>
      <c r="S796" s="280">
        <v>1</v>
      </c>
      <c r="T796" s="63"/>
      <c r="U796" s="10"/>
      <c r="V796" s="90"/>
      <c r="W796" s="136"/>
      <c r="X796" s="137"/>
    </row>
    <row r="797" spans="1:24">
      <c r="B797" s="87">
        <f t="shared" si="79"/>
        <v>5</v>
      </c>
      <c r="C797" s="639">
        <v>45902</v>
      </c>
      <c r="D797" s="10">
        <v>72884</v>
      </c>
      <c r="E797" s="10" t="s">
        <v>1584</v>
      </c>
      <c r="F797" s="62">
        <v>2729</v>
      </c>
      <c r="G797" s="62">
        <v>39.700000000000003</v>
      </c>
      <c r="H797" s="62"/>
      <c r="I797" s="89">
        <f>F797-G797-H797</f>
        <v>2689.3</v>
      </c>
      <c r="J797" s="63" t="s">
        <v>205</v>
      </c>
      <c r="K797" s="63">
        <v>1</v>
      </c>
      <c r="L797" s="63"/>
      <c r="M797" s="63"/>
      <c r="N797" s="63">
        <v>1</v>
      </c>
      <c r="O797" s="63"/>
      <c r="P797" s="63"/>
      <c r="Q797" s="63">
        <v>1</v>
      </c>
      <c r="R797" s="63">
        <v>1</v>
      </c>
      <c r="S797" s="296"/>
      <c r="T797" s="63"/>
      <c r="U797" s="10"/>
      <c r="V797" s="90"/>
      <c r="W797" s="136"/>
      <c r="X797" s="137"/>
    </row>
    <row r="798" spans="1:24">
      <c r="B798" s="87">
        <f>B797+1</f>
        <v>6</v>
      </c>
      <c r="C798" s="638">
        <v>45903</v>
      </c>
      <c r="D798" s="276">
        <v>72916</v>
      </c>
      <c r="E798" s="281" t="s">
        <v>833</v>
      </c>
      <c r="F798" s="277">
        <v>1476</v>
      </c>
      <c r="G798" s="277">
        <v>39.700000000000003</v>
      </c>
      <c r="H798" s="277"/>
      <c r="I798" s="278">
        <f>F798-G798-H798</f>
        <v>1436.3</v>
      </c>
      <c r="J798" s="279" t="s">
        <v>205</v>
      </c>
      <c r="K798" s="279">
        <v>1</v>
      </c>
      <c r="L798" s="279"/>
      <c r="M798" s="279"/>
      <c r="N798" s="279">
        <v>1</v>
      </c>
      <c r="O798" s="279"/>
      <c r="P798" s="279"/>
      <c r="Q798" s="279">
        <v>1</v>
      </c>
      <c r="R798" s="279">
        <v>1</v>
      </c>
      <c r="S798" s="280">
        <v>1</v>
      </c>
      <c r="T798" s="63"/>
      <c r="U798" s="10"/>
      <c r="V798" s="90"/>
      <c r="W798" s="136"/>
      <c r="X798" s="137"/>
    </row>
    <row r="799" spans="1:24">
      <c r="B799" s="87">
        <f>B798+1</f>
        <v>7</v>
      </c>
      <c r="C799" s="638">
        <v>45904</v>
      </c>
      <c r="D799" s="276" t="s">
        <v>1665</v>
      </c>
      <c r="E799" s="281" t="s">
        <v>1666</v>
      </c>
      <c r="F799" s="277">
        <v>2214</v>
      </c>
      <c r="G799" s="277">
        <v>39.700000000000003</v>
      </c>
      <c r="H799" s="277"/>
      <c r="I799" s="278">
        <f>F799-G799-H799</f>
        <v>2174.3000000000002</v>
      </c>
      <c r="J799" s="279" t="s">
        <v>205</v>
      </c>
      <c r="K799" s="279">
        <v>1</v>
      </c>
      <c r="L799" s="279"/>
      <c r="M799" s="279"/>
      <c r="N799" s="279">
        <v>1</v>
      </c>
      <c r="O799" s="279"/>
      <c r="P799" s="279"/>
      <c r="Q799" s="279">
        <v>1</v>
      </c>
      <c r="R799" s="279">
        <v>1</v>
      </c>
      <c r="S799" s="280">
        <v>1</v>
      </c>
      <c r="T799" s="63"/>
      <c r="U799" s="10"/>
      <c r="V799" s="90"/>
      <c r="W799" s="136"/>
      <c r="X799" s="137"/>
    </row>
    <row r="800" spans="1:24">
      <c r="B800" s="87">
        <f t="shared" si="79"/>
        <v>8</v>
      </c>
      <c r="C800" s="639">
        <v>45904</v>
      </c>
      <c r="D800" s="10" t="s">
        <v>1667</v>
      </c>
      <c r="E800" s="101" t="s">
        <v>1666</v>
      </c>
      <c r="F800" s="62">
        <v>861</v>
      </c>
      <c r="G800" s="62">
        <v>39.700000000000003</v>
      </c>
      <c r="H800" s="62"/>
      <c r="I800" s="89">
        <f>F800-G800-H800</f>
        <v>821.3</v>
      </c>
      <c r="J800" s="63" t="s">
        <v>205</v>
      </c>
      <c r="K800" s="63">
        <v>1</v>
      </c>
      <c r="L800" s="63"/>
      <c r="M800" s="63"/>
      <c r="N800" s="63">
        <v>1</v>
      </c>
      <c r="O800" s="63"/>
      <c r="P800" s="63"/>
      <c r="Q800" s="63">
        <v>1</v>
      </c>
      <c r="R800" s="63">
        <v>1</v>
      </c>
      <c r="S800" s="296">
        <v>1</v>
      </c>
      <c r="T800" s="63"/>
      <c r="U800" s="10"/>
      <c r="V800" s="90"/>
      <c r="W800" s="136"/>
      <c r="X800" s="137"/>
    </row>
    <row r="801" spans="1:24">
      <c r="B801" s="87">
        <f>B800+1</f>
        <v>9</v>
      </c>
      <c r="C801" s="639">
        <v>45904</v>
      </c>
      <c r="D801" s="10">
        <v>72933</v>
      </c>
      <c r="E801" s="10" t="s">
        <v>1668</v>
      </c>
      <c r="F801" s="62">
        <v>0</v>
      </c>
      <c r="G801" s="62">
        <v>0</v>
      </c>
      <c r="H801" s="62"/>
      <c r="I801" s="89">
        <f>F801-G801-H801</f>
        <v>0</v>
      </c>
      <c r="J801" s="63" t="s">
        <v>205</v>
      </c>
      <c r="K801" s="63">
        <v>1</v>
      </c>
      <c r="L801" s="63"/>
      <c r="M801" s="63"/>
      <c r="N801" s="63"/>
      <c r="O801" s="63"/>
      <c r="P801" s="63"/>
      <c r="Q801" s="63">
        <v>1</v>
      </c>
      <c r="R801" s="63">
        <v>1</v>
      </c>
      <c r="S801" s="296">
        <v>1</v>
      </c>
      <c r="T801" s="63"/>
      <c r="U801" s="10"/>
      <c r="V801" s="90"/>
      <c r="W801" s="136"/>
      <c r="X801" s="137"/>
    </row>
    <row r="802" spans="1:24">
      <c r="B802" s="87">
        <f t="shared" si="79"/>
        <v>10</v>
      </c>
      <c r="C802" s="639">
        <v>45904</v>
      </c>
      <c r="D802" s="10">
        <v>73002</v>
      </c>
      <c r="E802" s="10" t="s">
        <v>1159</v>
      </c>
      <c r="F802" s="62">
        <f>16214-14577.64</f>
        <v>1636.3600000000006</v>
      </c>
      <c r="G802" s="62">
        <f>39.7+(121.67)</f>
        <v>161.37</v>
      </c>
      <c r="H802" s="62"/>
      <c r="I802" s="89">
        <f>F802-G802-H802</f>
        <v>1474.9900000000007</v>
      </c>
      <c r="J802" s="63" t="s">
        <v>228</v>
      </c>
      <c r="K802" s="63">
        <v>1</v>
      </c>
      <c r="L802" s="63"/>
      <c r="M802" s="63">
        <v>1</v>
      </c>
      <c r="N802" s="63">
        <v>1</v>
      </c>
      <c r="O802" s="63">
        <v>1</v>
      </c>
      <c r="P802" s="63">
        <v>1</v>
      </c>
      <c r="Q802" s="63"/>
      <c r="R802" s="63"/>
      <c r="S802" s="296"/>
      <c r="T802" s="63"/>
      <c r="U802" s="94" t="s">
        <v>1669</v>
      </c>
      <c r="V802" s="90">
        <f>1800+5350.4</f>
        <v>7150.4</v>
      </c>
      <c r="W802" s="136"/>
      <c r="X802" s="137"/>
    </row>
    <row r="803" spans="1:24">
      <c r="B803" s="87">
        <f t="shared" si="79"/>
        <v>11</v>
      </c>
      <c r="C803" s="641">
        <v>45905</v>
      </c>
      <c r="D803" s="271">
        <v>73025</v>
      </c>
      <c r="E803" s="264" t="s">
        <v>1217</v>
      </c>
      <c r="F803" s="265">
        <v>6132.6</v>
      </c>
      <c r="G803" s="265">
        <v>39.700000000000003</v>
      </c>
      <c r="H803" s="265"/>
      <c r="I803" s="272">
        <f>F803-G803-H803</f>
        <v>6092.9000000000005</v>
      </c>
      <c r="J803" s="267" t="s">
        <v>205</v>
      </c>
      <c r="K803" s="267">
        <v>1</v>
      </c>
      <c r="L803" s="267"/>
      <c r="M803" s="267"/>
      <c r="N803" s="267">
        <v>1</v>
      </c>
      <c r="O803" s="267"/>
      <c r="P803" s="267">
        <v>1</v>
      </c>
      <c r="Q803" s="267">
        <v>1</v>
      </c>
      <c r="R803" s="267">
        <v>1</v>
      </c>
      <c r="S803" s="269"/>
      <c r="T803" s="63"/>
      <c r="U803" s="10"/>
      <c r="V803" s="90"/>
      <c r="W803" s="136"/>
      <c r="X803" s="137"/>
    </row>
    <row r="804" spans="1:24">
      <c r="B804" s="11"/>
      <c r="C804" s="621"/>
      <c r="D804" s="10"/>
      <c r="E804" s="10"/>
      <c r="F804" s="97">
        <f>SUM(F793:F803)</f>
        <v>26240.559999999998</v>
      </c>
      <c r="G804" s="97">
        <f>SUM(G793:G803)</f>
        <v>478.96999999999997</v>
      </c>
      <c r="H804" s="97">
        <f>SUM(H793:H803)</f>
        <v>0</v>
      </c>
      <c r="I804" s="98">
        <f>SUM(I793:I803)</f>
        <v>25761.59</v>
      </c>
      <c r="J804" s="10"/>
      <c r="K804" s="10"/>
      <c r="L804" s="10"/>
      <c r="M804" s="10"/>
      <c r="N804" s="10"/>
      <c r="O804" s="10"/>
      <c r="P804" s="10"/>
      <c r="Q804" s="10"/>
      <c r="R804" s="10"/>
      <c r="S804" s="10"/>
      <c r="T804" s="63"/>
      <c r="U804" s="10"/>
      <c r="V804" s="138"/>
      <c r="W804" s="136"/>
      <c r="X804" s="137"/>
    </row>
    <row r="805" spans="1:24">
      <c r="B805" s="26"/>
      <c r="C805" s="626"/>
      <c r="D805" s="141"/>
      <c r="E805" s="141"/>
      <c r="F805" s="141"/>
      <c r="G805" s="141"/>
      <c r="H805" s="141"/>
      <c r="I805" s="141"/>
      <c r="J805" s="141"/>
      <c r="K805" s="142"/>
      <c r="L805" s="142"/>
      <c r="M805" s="142"/>
      <c r="N805" s="142"/>
      <c r="O805" s="142"/>
      <c r="P805" s="142"/>
      <c r="Q805" s="142"/>
      <c r="R805" s="142"/>
      <c r="S805" s="142"/>
      <c r="T805" s="143">
        <f>SUM(T739:T804)</f>
        <v>7</v>
      </c>
      <c r="U805" s="141"/>
      <c r="V805" s="144">
        <f>SUM(V739:V804)</f>
        <v>49578.8</v>
      </c>
      <c r="W805" s="144">
        <f>SUM(W739:W804)</f>
        <v>0</v>
      </c>
      <c r="X805" s="144">
        <f>SUM(X739:X804)</f>
        <v>0</v>
      </c>
    </row>
    <row r="806" spans="1:24">
      <c r="B806" s="10"/>
      <c r="C806" s="36"/>
      <c r="D806" s="10"/>
      <c r="E806" s="10"/>
      <c r="F806" s="10"/>
      <c r="G806" s="10"/>
      <c r="H806" s="10"/>
      <c r="I806" s="10"/>
      <c r="J806" s="10"/>
      <c r="K806" s="147"/>
      <c r="L806" s="147"/>
      <c r="M806" s="147"/>
      <c r="N806" s="147"/>
      <c r="O806" s="147"/>
      <c r="P806" s="147"/>
      <c r="Q806" s="147"/>
      <c r="R806" s="147"/>
      <c r="S806" s="147"/>
      <c r="T806" s="21"/>
      <c r="U806" s="10"/>
      <c r="V806" s="99"/>
      <c r="W806" s="99"/>
      <c r="X806" s="99"/>
    </row>
    <row r="808" spans="1:24" s="2" customFormat="1">
      <c r="A808" s="616" t="s">
        <v>74</v>
      </c>
      <c r="B808" s="4" t="s">
        <v>1</v>
      </c>
      <c r="C808" s="5"/>
      <c r="D808" s="83"/>
      <c r="E808" s="6"/>
      <c r="F808" s="7" t="s">
        <v>2</v>
      </c>
      <c r="G808" s="608">
        <v>45914</v>
      </c>
      <c r="H808" s="7"/>
      <c r="I808" s="6"/>
      <c r="J808" s="6"/>
      <c r="K808" s="6"/>
      <c r="L808" s="6"/>
      <c r="M808" s="6"/>
      <c r="N808" s="6"/>
      <c r="O808" s="6"/>
      <c r="P808" s="6"/>
      <c r="Q808" s="6"/>
      <c r="R808" s="6"/>
      <c r="S808" s="6"/>
      <c r="T808" s="6"/>
      <c r="U808" s="149"/>
      <c r="V808" s="77"/>
      <c r="W808" s="77"/>
      <c r="X808" s="77"/>
    </row>
    <row r="809" spans="1:24" s="2" customFormat="1">
      <c r="A809" s="617" t="s">
        <v>75</v>
      </c>
      <c r="B809" s="11"/>
      <c r="C809" s="10"/>
      <c r="D809" s="63"/>
      <c r="E809" s="10"/>
      <c r="F809" s="10"/>
      <c r="G809" s="7"/>
      <c r="H809" s="12"/>
      <c r="I809" s="10"/>
      <c r="J809" s="10"/>
      <c r="K809" s="13" t="s">
        <v>3</v>
      </c>
      <c r="L809" s="14"/>
      <c r="M809" s="15"/>
      <c r="N809" s="13" t="s">
        <v>4</v>
      </c>
      <c r="O809" s="14"/>
      <c r="P809" s="15"/>
      <c r="Q809" s="13" t="s">
        <v>5</v>
      </c>
      <c r="R809" s="14"/>
      <c r="S809" s="15"/>
      <c r="T809" s="16"/>
      <c r="U809" s="151"/>
      <c r="V809" s="77"/>
      <c r="W809" s="77"/>
      <c r="X809" s="77"/>
    </row>
    <row r="810" spans="1:24" s="2" customFormat="1">
      <c r="A810" s="616" t="s">
        <v>76</v>
      </c>
      <c r="B810" s="18" t="s">
        <v>6</v>
      </c>
      <c r="C810" s="19">
        <f>C811+C812</f>
        <v>22</v>
      </c>
      <c r="D810" s="63"/>
      <c r="E810" s="18" t="s">
        <v>7</v>
      </c>
      <c r="F810" s="6"/>
      <c r="G810" s="9"/>
      <c r="H810" s="10"/>
      <c r="I810" s="10"/>
      <c r="J810" s="10"/>
      <c r="K810" s="20" t="s">
        <v>8</v>
      </c>
      <c r="L810" s="21" t="s">
        <v>9</v>
      </c>
      <c r="M810" s="21" t="s">
        <v>10</v>
      </c>
      <c r="N810" s="20" t="s">
        <v>11</v>
      </c>
      <c r="O810" s="21" t="s">
        <v>12</v>
      </c>
      <c r="P810" s="22" t="s">
        <v>13</v>
      </c>
      <c r="Q810" s="21" t="s">
        <v>11</v>
      </c>
      <c r="R810" s="21" t="s">
        <v>12</v>
      </c>
      <c r="S810" s="22" t="s">
        <v>13</v>
      </c>
      <c r="T810" s="23" t="s">
        <v>14</v>
      </c>
      <c r="U810" s="151"/>
      <c r="V810" s="77"/>
      <c r="W810" s="77"/>
      <c r="X810" s="77"/>
    </row>
    <row r="811" spans="1:24" s="2" customFormat="1">
      <c r="A811" s="652" t="s">
        <v>77</v>
      </c>
      <c r="B811" s="24" t="s">
        <v>15</v>
      </c>
      <c r="C811" s="25">
        <f>P818</f>
        <v>13</v>
      </c>
      <c r="D811" s="63"/>
      <c r="E811" s="11" t="s">
        <v>16</v>
      </c>
      <c r="F811" s="10" t="s">
        <v>78</v>
      </c>
      <c r="G811" s="153">
        <v>0.05</v>
      </c>
      <c r="H811" s="10"/>
      <c r="I811" s="10"/>
      <c r="J811" s="18" t="s">
        <v>17</v>
      </c>
      <c r="K811" s="29">
        <f>K848</f>
        <v>11</v>
      </c>
      <c r="L811" s="29">
        <f t="shared" ref="L811:S811" si="80">L848</f>
        <v>10</v>
      </c>
      <c r="M811" s="29">
        <f t="shared" si="80"/>
        <v>10</v>
      </c>
      <c r="N811" s="29">
        <f t="shared" si="80"/>
        <v>11</v>
      </c>
      <c r="O811" s="29">
        <f t="shared" si="80"/>
        <v>11</v>
      </c>
      <c r="P811" s="29">
        <f t="shared" si="80"/>
        <v>11</v>
      </c>
      <c r="Q811" s="29">
        <f t="shared" si="80"/>
        <v>10</v>
      </c>
      <c r="R811" s="29">
        <f t="shared" si="80"/>
        <v>10</v>
      </c>
      <c r="S811" s="29">
        <f t="shared" si="80"/>
        <v>9</v>
      </c>
      <c r="T811" s="30">
        <f>T896</f>
        <v>7</v>
      </c>
      <c r="U811" s="151" t="s">
        <v>1670</v>
      </c>
      <c r="V811" s="77"/>
      <c r="W811" s="77"/>
      <c r="X811" s="77"/>
    </row>
    <row r="812" spans="1:24" s="2" customFormat="1">
      <c r="A812" s="652" t="s">
        <v>79</v>
      </c>
      <c r="B812" s="24" t="s">
        <v>18</v>
      </c>
      <c r="C812" s="25">
        <f>P819</f>
        <v>9</v>
      </c>
      <c r="D812" s="63"/>
      <c r="E812" s="26" t="s">
        <v>80</v>
      </c>
      <c r="F812" s="141" t="s">
        <v>81</v>
      </c>
      <c r="G812" s="154">
        <v>0.1</v>
      </c>
      <c r="H812" s="10"/>
      <c r="I812" s="10"/>
      <c r="J812" s="32" t="s">
        <v>19</v>
      </c>
      <c r="K812" s="33">
        <f>K848/K847</f>
        <v>1</v>
      </c>
      <c r="L812" s="33">
        <f t="shared" ref="L812:S812" si="81">L848/L847</f>
        <v>0.90909090909090906</v>
      </c>
      <c r="M812" s="33">
        <f t="shared" si="81"/>
        <v>0.90909090909090906</v>
      </c>
      <c r="N812" s="33">
        <f t="shared" si="81"/>
        <v>1</v>
      </c>
      <c r="O812" s="33">
        <f t="shared" si="81"/>
        <v>1</v>
      </c>
      <c r="P812" s="33">
        <f t="shared" si="81"/>
        <v>1</v>
      </c>
      <c r="Q812" s="33">
        <f t="shared" si="81"/>
        <v>0.90909090909090906</v>
      </c>
      <c r="R812" s="33">
        <f t="shared" si="81"/>
        <v>0.90909090909090906</v>
      </c>
      <c r="S812" s="33">
        <f t="shared" si="81"/>
        <v>0.81818181818181823</v>
      </c>
      <c r="T812" s="23"/>
      <c r="U812" s="151" t="s">
        <v>20</v>
      </c>
      <c r="V812" s="77"/>
      <c r="W812" s="77"/>
      <c r="X812" s="77"/>
    </row>
    <row r="813" spans="1:24" s="2" customFormat="1">
      <c r="A813" s="614"/>
      <c r="B813" s="24" t="s">
        <v>21</v>
      </c>
      <c r="C813" s="34">
        <f>P820</f>
        <v>0.59090909090909094</v>
      </c>
      <c r="D813" s="63"/>
      <c r="E813" s="10"/>
      <c r="F813" s="10"/>
      <c r="G813" s="10"/>
      <c r="H813" s="10"/>
      <c r="I813" s="10"/>
      <c r="J813" s="10"/>
      <c r="K813" s="10"/>
      <c r="L813" s="10"/>
      <c r="M813" s="10"/>
      <c r="N813" s="10"/>
      <c r="O813" s="10"/>
      <c r="P813" s="10"/>
      <c r="Q813" s="10"/>
      <c r="R813" s="10"/>
      <c r="S813" s="10"/>
      <c r="T813" s="10"/>
      <c r="U813" s="151"/>
      <c r="V813" s="77"/>
      <c r="W813" s="77"/>
      <c r="X813" s="77"/>
    </row>
    <row r="814" spans="1:24" s="2" customFormat="1">
      <c r="A814" s="614"/>
      <c r="B814" s="24"/>
      <c r="C814" s="25"/>
      <c r="D814" s="63"/>
      <c r="E814" s="10"/>
      <c r="F814" s="18" t="s">
        <v>22</v>
      </c>
      <c r="G814" s="19" t="s">
        <v>23</v>
      </c>
      <c r="H814" s="35" t="s">
        <v>24</v>
      </c>
      <c r="I814" s="10"/>
      <c r="J814" s="10"/>
      <c r="K814" s="36"/>
      <c r="L814" s="36"/>
      <c r="M814" s="36"/>
      <c r="N814" s="36"/>
      <c r="O814" s="36"/>
      <c r="P814" s="36"/>
      <c r="Q814" s="36"/>
      <c r="R814" s="10"/>
      <c r="S814" s="10"/>
      <c r="T814" s="10"/>
      <c r="U814" s="151"/>
      <c r="V814" s="77"/>
      <c r="W814" s="77"/>
      <c r="X814" s="77"/>
    </row>
    <row r="815" spans="1:24" s="2" customFormat="1" ht="17.25" customHeight="1">
      <c r="A815" s="614"/>
      <c r="B815" s="32" t="s">
        <v>25</v>
      </c>
      <c r="C815" s="37">
        <f>P821</f>
        <v>2546.1284615384616</v>
      </c>
      <c r="D815" s="63"/>
      <c r="E815" s="18" t="s">
        <v>26</v>
      </c>
      <c r="F815" s="38">
        <f>P817</f>
        <v>33099.67</v>
      </c>
      <c r="G815" s="39">
        <f>I847+I862+I866</f>
        <v>33099.670000000006</v>
      </c>
      <c r="H815" s="40"/>
      <c r="I815" s="41"/>
      <c r="J815" s="42"/>
      <c r="K815" s="43" t="s">
        <v>27</v>
      </c>
      <c r="L815" s="44"/>
      <c r="M815" s="44"/>
      <c r="N815" s="44"/>
      <c r="O815" s="44"/>
      <c r="P815" s="44"/>
      <c r="Q815" s="45"/>
      <c r="R815" s="46" t="s">
        <v>28</v>
      </c>
      <c r="S815" s="47" t="s">
        <v>29</v>
      </c>
      <c r="T815" s="10"/>
      <c r="U815" s="151"/>
      <c r="V815" s="77"/>
      <c r="W815" s="77"/>
      <c r="X815" s="77"/>
    </row>
    <row r="816" spans="1:24" s="2" customFormat="1" ht="15.75" customHeight="1">
      <c r="A816" s="614"/>
      <c r="B816" s="11"/>
      <c r="C816" s="10"/>
      <c r="D816" s="63"/>
      <c r="E816" s="24" t="s">
        <v>30</v>
      </c>
      <c r="F816" s="48">
        <f>IF(F815&gt;=25000,10%,5%)</f>
        <v>0.1</v>
      </c>
      <c r="G816" s="17"/>
      <c r="H816" s="40"/>
      <c r="I816" s="41"/>
      <c r="J816" s="42"/>
      <c r="K816" s="20" t="s">
        <v>31</v>
      </c>
      <c r="L816" s="21" t="s">
        <v>32</v>
      </c>
      <c r="M816" s="21" t="s">
        <v>33</v>
      </c>
      <c r="N816" s="21" t="s">
        <v>34</v>
      </c>
      <c r="O816" s="21" t="s">
        <v>35</v>
      </c>
      <c r="P816" s="21" t="s">
        <v>36</v>
      </c>
      <c r="Q816" s="49" t="s">
        <v>37</v>
      </c>
      <c r="R816" s="50" t="s">
        <v>38</v>
      </c>
      <c r="S816" s="50" t="s">
        <v>38</v>
      </c>
      <c r="T816" s="10"/>
      <c r="U816" s="151"/>
      <c r="V816" s="77"/>
      <c r="W816" s="77"/>
      <c r="X816" s="77"/>
    </row>
    <row r="817" spans="1:24" s="2" customFormat="1">
      <c r="A817" s="614"/>
      <c r="B817" s="11"/>
      <c r="C817" s="10"/>
      <c r="D817" s="63"/>
      <c r="E817" s="51" t="s">
        <v>39</v>
      </c>
      <c r="F817" s="52">
        <f>(F815-I845-I861-I865)*F816</f>
        <v>2750.2080000000001</v>
      </c>
      <c r="G817" s="53" t="s">
        <v>40</v>
      </c>
      <c r="H817" s="54">
        <f>F817/1.12</f>
        <v>2455.542857142857</v>
      </c>
      <c r="I817" s="124"/>
      <c r="J817" s="42"/>
      <c r="K817" s="56">
        <f>I836+I861</f>
        <v>3237.4700000000003</v>
      </c>
      <c r="L817" s="57">
        <f>I838+I865+I837+I839+I840</f>
        <v>20715.75</v>
      </c>
      <c r="M817" s="57">
        <f>I841+I842</f>
        <v>1868.8999999999999</v>
      </c>
      <c r="N817" s="57">
        <f>I843+I845+I846+I844</f>
        <v>7277.5499999999993</v>
      </c>
      <c r="O817" s="57">
        <v>0</v>
      </c>
      <c r="P817" s="57">
        <f>SUM(K817:O817)</f>
        <v>33099.67</v>
      </c>
      <c r="Q817" s="58">
        <v>0</v>
      </c>
      <c r="R817" s="59">
        <f>I862+I866</f>
        <v>4861.2900000000009</v>
      </c>
      <c r="S817" s="59">
        <v>0</v>
      </c>
      <c r="T817" s="10"/>
      <c r="U817" s="151"/>
      <c r="V817" s="77"/>
      <c r="W817" s="77"/>
      <c r="X817" s="77"/>
    </row>
    <row r="818" spans="1:24" s="2" customFormat="1">
      <c r="A818" s="614"/>
      <c r="B818" s="11"/>
      <c r="C818" s="10"/>
      <c r="D818" s="63"/>
      <c r="E818" s="24" t="s">
        <v>41</v>
      </c>
      <c r="F818" s="60">
        <f>Q817</f>
        <v>0</v>
      </c>
      <c r="G818" s="61" t="s">
        <v>40</v>
      </c>
      <c r="H818" s="62"/>
      <c r="I818" s="62"/>
      <c r="J818" s="10" t="s">
        <v>42</v>
      </c>
      <c r="K818" s="63">
        <v>2</v>
      </c>
      <c r="L818" s="63">
        <v>5</v>
      </c>
      <c r="M818" s="63">
        <v>2</v>
      </c>
      <c r="N818" s="63">
        <v>4</v>
      </c>
      <c r="O818" s="63">
        <v>0</v>
      </c>
      <c r="P818" s="21">
        <f>SUM(K818:O818)</f>
        <v>13</v>
      </c>
      <c r="Q818" s="64"/>
      <c r="R818" s="63"/>
      <c r="S818" s="10"/>
      <c r="T818" s="10"/>
      <c r="U818" s="151"/>
      <c r="V818" s="77"/>
      <c r="W818" s="77"/>
      <c r="X818" s="77"/>
    </row>
    <row r="819" spans="1:24" s="2" customFormat="1">
      <c r="A819" s="614"/>
      <c r="B819" s="11"/>
      <c r="C819" s="10"/>
      <c r="D819" s="63"/>
      <c r="E819" s="51" t="s">
        <v>43</v>
      </c>
      <c r="F819" s="52">
        <f>F818*0.25</f>
        <v>0</v>
      </c>
      <c r="G819" s="53" t="s">
        <v>40</v>
      </c>
      <c r="H819" s="54">
        <f>F819/1.12</f>
        <v>0</v>
      </c>
      <c r="I819" s="10"/>
      <c r="J819" s="10" t="s">
        <v>44</v>
      </c>
      <c r="K819" s="63">
        <v>2</v>
      </c>
      <c r="L819" s="63">
        <v>0</v>
      </c>
      <c r="M819" s="63">
        <v>0</v>
      </c>
      <c r="N819" s="63">
        <v>3</v>
      </c>
      <c r="O819" s="63">
        <v>4</v>
      </c>
      <c r="P819" s="21">
        <f>SUM(K819:O819)</f>
        <v>9</v>
      </c>
      <c r="Q819" s="64"/>
      <c r="R819" s="63"/>
      <c r="S819" s="10"/>
      <c r="T819" s="10"/>
      <c r="U819" s="151"/>
      <c r="V819" s="77"/>
      <c r="W819" s="77"/>
      <c r="X819" s="77"/>
    </row>
    <row r="820" spans="1:24" s="2" customFormat="1">
      <c r="A820" s="614"/>
      <c r="B820" s="11"/>
      <c r="C820" s="10"/>
      <c r="D820" s="63"/>
      <c r="E820" s="24" t="s">
        <v>45</v>
      </c>
      <c r="F820" s="60">
        <f>I858</f>
        <v>17389.939999999999</v>
      </c>
      <c r="G820" s="61" t="s">
        <v>40</v>
      </c>
      <c r="H820" s="62"/>
      <c r="I820" s="10"/>
      <c r="J820" s="10" t="s">
        <v>46</v>
      </c>
      <c r="K820" s="31">
        <f t="shared" ref="K820:Q820" si="82">K818/(K818+K819)</f>
        <v>0.5</v>
      </c>
      <c r="L820" s="31">
        <f t="shared" si="82"/>
        <v>1</v>
      </c>
      <c r="M820" s="31">
        <f t="shared" si="82"/>
        <v>1</v>
      </c>
      <c r="N820" s="31">
        <f t="shared" si="82"/>
        <v>0.5714285714285714</v>
      </c>
      <c r="O820" s="31">
        <f t="shared" si="82"/>
        <v>0</v>
      </c>
      <c r="P820" s="31">
        <f t="shared" si="82"/>
        <v>0.59090909090909094</v>
      </c>
      <c r="Q820" s="31" t="e">
        <f t="shared" si="82"/>
        <v>#DIV/0!</v>
      </c>
      <c r="R820" s="63"/>
      <c r="S820" s="10"/>
      <c r="T820" s="10"/>
      <c r="U820" s="151"/>
      <c r="V820" s="77"/>
      <c r="W820" s="77"/>
      <c r="X820" s="77"/>
    </row>
    <row r="821" spans="1:24" s="2" customFormat="1">
      <c r="A821" s="614"/>
      <c r="B821" s="11"/>
      <c r="C821" s="10"/>
      <c r="D821" s="63"/>
      <c r="E821" s="51" t="s">
        <v>47</v>
      </c>
      <c r="F821" s="52">
        <f>(F820+F826+F827+F828-I857)*0.05</f>
        <v>762.74500000000012</v>
      </c>
      <c r="G821" s="65" t="s">
        <v>40</v>
      </c>
      <c r="H821" s="54">
        <f>F821/1.12</f>
        <v>681.02232142857144</v>
      </c>
      <c r="I821" s="42"/>
      <c r="J821" s="10" t="s">
        <v>48</v>
      </c>
      <c r="K821" s="66">
        <f>K817/K818</f>
        <v>1618.7350000000001</v>
      </c>
      <c r="L821" s="66">
        <f t="shared" ref="L821:Q821" si="83">L817/L818</f>
        <v>4143.1499999999996</v>
      </c>
      <c r="M821" s="66">
        <f t="shared" si="83"/>
        <v>934.44999999999993</v>
      </c>
      <c r="N821" s="66">
        <f t="shared" si="83"/>
        <v>1819.3874999999998</v>
      </c>
      <c r="O821" s="66" t="e">
        <f t="shared" si="83"/>
        <v>#DIV/0!</v>
      </c>
      <c r="P821" s="66">
        <f t="shared" si="83"/>
        <v>2546.1284615384616</v>
      </c>
      <c r="Q821" s="66" t="e">
        <f t="shared" si="83"/>
        <v>#DIV/0!</v>
      </c>
      <c r="R821" s="63"/>
      <c r="S821" s="10"/>
      <c r="T821" s="10"/>
      <c r="U821" s="151"/>
      <c r="V821" s="77"/>
      <c r="W821" s="77"/>
      <c r="X821" s="77"/>
    </row>
    <row r="822" spans="1:24" s="128" customFormat="1">
      <c r="A822" s="615"/>
      <c r="B822" s="132"/>
      <c r="C822" s="123"/>
      <c r="D822" s="127"/>
      <c r="E822" s="155" t="s">
        <v>14</v>
      </c>
      <c r="F822" s="156">
        <f>5*50</f>
        <v>250</v>
      </c>
      <c r="G822" s="123"/>
      <c r="H822" s="54">
        <f>F822/1.12</f>
        <v>223.21428571428569</v>
      </c>
      <c r="I822" s="123"/>
      <c r="J822" s="123"/>
      <c r="K822" s="123"/>
      <c r="L822" s="123"/>
      <c r="M822" s="123"/>
      <c r="N822" s="123"/>
      <c r="O822" s="123"/>
      <c r="P822" s="123"/>
      <c r="Q822" s="123"/>
      <c r="R822" s="123"/>
      <c r="S822" s="123"/>
      <c r="T822" s="123"/>
      <c r="U822" s="157"/>
      <c r="V822" s="123"/>
      <c r="W822" s="123"/>
      <c r="X822" s="123"/>
    </row>
    <row r="823" spans="1:24" s="128" customFormat="1">
      <c r="A823" s="615"/>
      <c r="B823" s="132"/>
      <c r="C823" s="123"/>
      <c r="D823" s="127"/>
      <c r="E823" s="158" t="s">
        <v>49</v>
      </c>
      <c r="F823" s="159">
        <f>T812</f>
        <v>0</v>
      </c>
      <c r="G823" s="123"/>
      <c r="H823" s="54"/>
      <c r="I823" s="123"/>
      <c r="J823" s="42"/>
      <c r="K823" s="764" t="s">
        <v>50</v>
      </c>
      <c r="L823" s="765"/>
      <c r="M823" s="765"/>
      <c r="N823" s="765"/>
      <c r="O823" s="765"/>
      <c r="P823" s="765"/>
      <c r="Q823" s="766"/>
      <c r="R823" s="70" t="s">
        <v>28</v>
      </c>
      <c r="S823" s="71" t="s">
        <v>29</v>
      </c>
      <c r="T823" s="123"/>
      <c r="U823" s="157"/>
      <c r="V823" s="123"/>
      <c r="W823" s="123"/>
      <c r="X823" s="123"/>
    </row>
    <row r="824" spans="1:24" s="128" customFormat="1">
      <c r="A824" s="615"/>
      <c r="B824" s="132"/>
      <c r="C824" s="123"/>
      <c r="D824" s="127"/>
      <c r="E824" s="155" t="s">
        <v>285</v>
      </c>
      <c r="F824" s="156">
        <f>180</f>
        <v>180</v>
      </c>
      <c r="G824" s="123"/>
      <c r="H824" s="54"/>
      <c r="I824" s="123"/>
      <c r="J824" s="42"/>
      <c r="K824" s="20" t="s">
        <v>31</v>
      </c>
      <c r="L824" s="21" t="s">
        <v>32</v>
      </c>
      <c r="M824" s="21" t="s">
        <v>33</v>
      </c>
      <c r="N824" s="21" t="s">
        <v>34</v>
      </c>
      <c r="O824" s="21" t="s">
        <v>35</v>
      </c>
      <c r="P824" s="21" t="s">
        <v>36</v>
      </c>
      <c r="Q824" s="49" t="s">
        <v>37</v>
      </c>
      <c r="R824" s="50" t="s">
        <v>38</v>
      </c>
      <c r="S824" s="50" t="s">
        <v>38</v>
      </c>
      <c r="T824" s="123"/>
      <c r="U824" s="157"/>
      <c r="V824" s="123"/>
      <c r="W824" s="123"/>
      <c r="X824" s="123"/>
    </row>
    <row r="825" spans="1:24" s="128" customFormat="1">
      <c r="A825" s="615"/>
      <c r="B825" s="132"/>
      <c r="C825" s="123"/>
      <c r="D825" s="127"/>
      <c r="E825" s="155" t="s">
        <v>561</v>
      </c>
      <c r="F825" s="156">
        <f>$F$536</f>
        <v>379.33249999999936</v>
      </c>
      <c r="G825" s="123"/>
      <c r="H825" s="54">
        <f>F825/1.12</f>
        <v>338.68973214285654</v>
      </c>
      <c r="I825" s="123"/>
      <c r="J825" s="42"/>
      <c r="K825" s="56">
        <f>F836+F861</f>
        <v>4495</v>
      </c>
      <c r="L825" s="57">
        <f>F838+F865+F837+F839+F840</f>
        <v>30827</v>
      </c>
      <c r="M825" s="57">
        <f>F841+F842</f>
        <v>1908.6</v>
      </c>
      <c r="N825" s="57">
        <f>F843+F845+F846+F844</f>
        <v>8952</v>
      </c>
      <c r="O825" s="57">
        <v>0</v>
      </c>
      <c r="P825" s="57">
        <f>SUM(K825:O825)</f>
        <v>46182.6</v>
      </c>
      <c r="Q825" s="58">
        <v>0</v>
      </c>
      <c r="R825" s="59">
        <f>F862+F866</f>
        <v>9628</v>
      </c>
      <c r="S825" s="59">
        <v>0</v>
      </c>
      <c r="T825" s="123"/>
      <c r="U825" s="157"/>
      <c r="V825" s="123"/>
      <c r="W825" s="123"/>
      <c r="X825" s="123"/>
    </row>
    <row r="826" spans="1:24" s="128" customFormat="1">
      <c r="A826" s="615"/>
      <c r="B826" s="132"/>
      <c r="C826" s="123"/>
      <c r="D826" s="127"/>
      <c r="E826" s="72" t="s">
        <v>1671</v>
      </c>
      <c r="F826" s="73">
        <v>-118.87</v>
      </c>
      <c r="G826" s="123"/>
      <c r="H826" s="54"/>
      <c r="I826" s="123"/>
      <c r="J826" s="10" t="s">
        <v>42</v>
      </c>
      <c r="K826" s="63">
        <f t="shared" ref="K826:Q827" si="84">K818</f>
        <v>2</v>
      </c>
      <c r="L826" s="63">
        <f t="shared" si="84"/>
        <v>5</v>
      </c>
      <c r="M826" s="63">
        <f t="shared" si="84"/>
        <v>2</v>
      </c>
      <c r="N826" s="63">
        <f t="shared" si="84"/>
        <v>4</v>
      </c>
      <c r="O826" s="63">
        <f t="shared" si="84"/>
        <v>0</v>
      </c>
      <c r="P826" s="63">
        <f t="shared" si="84"/>
        <v>13</v>
      </c>
      <c r="Q826" s="63">
        <f t="shared" si="84"/>
        <v>0</v>
      </c>
      <c r="R826" s="63"/>
      <c r="S826" s="10"/>
      <c r="T826" s="123"/>
      <c r="U826" s="157"/>
      <c r="V826" s="123"/>
      <c r="W826" s="123"/>
      <c r="X826" s="123"/>
    </row>
    <row r="827" spans="1:24" s="128" customFormat="1">
      <c r="A827" s="615"/>
      <c r="B827" s="132"/>
      <c r="C827" s="123"/>
      <c r="D827" s="127"/>
      <c r="E827" s="74" t="s">
        <v>1672</v>
      </c>
      <c r="F827" s="75">
        <v>-172.37</v>
      </c>
      <c r="G827" s="123"/>
      <c r="H827" s="54"/>
      <c r="I827" s="123"/>
      <c r="J827" s="10" t="s">
        <v>44</v>
      </c>
      <c r="K827" s="63">
        <f t="shared" si="84"/>
        <v>2</v>
      </c>
      <c r="L827" s="63">
        <f t="shared" si="84"/>
        <v>0</v>
      </c>
      <c r="M827" s="63">
        <f t="shared" si="84"/>
        <v>0</v>
      </c>
      <c r="N827" s="63">
        <f t="shared" si="84"/>
        <v>3</v>
      </c>
      <c r="O827" s="63">
        <f t="shared" si="84"/>
        <v>4</v>
      </c>
      <c r="P827" s="63">
        <f t="shared" si="84"/>
        <v>9</v>
      </c>
      <c r="Q827" s="63">
        <f t="shared" si="84"/>
        <v>0</v>
      </c>
      <c r="R827" s="63"/>
      <c r="S827" s="10"/>
      <c r="T827" s="123"/>
      <c r="U827" s="157"/>
      <c r="V827" s="123"/>
      <c r="W827" s="123"/>
      <c r="X827" s="123"/>
    </row>
    <row r="828" spans="1:24" s="128" customFormat="1">
      <c r="A828" s="615"/>
      <c r="B828" s="132"/>
      <c r="C828" s="123"/>
      <c r="D828" s="127"/>
      <c r="E828" s="74" t="s">
        <v>1673</v>
      </c>
      <c r="F828" s="75">
        <f>-522.5</f>
        <v>-522.5</v>
      </c>
      <c r="G828" s="123"/>
      <c r="H828" s="54"/>
      <c r="I828" s="123"/>
      <c r="J828" s="10" t="s">
        <v>46</v>
      </c>
      <c r="K828" s="31">
        <f t="shared" ref="K828:Q828" si="85">K826/(K826+K827)</f>
        <v>0.5</v>
      </c>
      <c r="L828" s="31">
        <f t="shared" si="85"/>
        <v>1</v>
      </c>
      <c r="M828" s="31">
        <f t="shared" si="85"/>
        <v>1</v>
      </c>
      <c r="N828" s="31">
        <f t="shared" si="85"/>
        <v>0.5714285714285714</v>
      </c>
      <c r="O828" s="31">
        <f t="shared" si="85"/>
        <v>0</v>
      </c>
      <c r="P828" s="31">
        <f t="shared" si="85"/>
        <v>0.59090909090909094</v>
      </c>
      <c r="Q828" s="31" t="e">
        <f t="shared" si="85"/>
        <v>#DIV/0!</v>
      </c>
      <c r="R828" s="63"/>
      <c r="S828" s="10"/>
      <c r="T828" s="123"/>
      <c r="U828" s="157"/>
      <c r="V828" s="123"/>
      <c r="W828" s="123"/>
      <c r="X828" s="123"/>
    </row>
    <row r="829" spans="1:24" s="128" customFormat="1">
      <c r="A829" s="615"/>
      <c r="B829" s="132"/>
      <c r="C829" s="123"/>
      <c r="D829" s="127"/>
      <c r="E829" s="12"/>
      <c r="F829" s="160"/>
      <c r="G829" s="123"/>
      <c r="H829" s="54"/>
      <c r="I829" s="123"/>
      <c r="J829" s="10" t="s">
        <v>48</v>
      </c>
      <c r="K829" s="66">
        <f t="shared" ref="K829:Q829" si="86">K825/K826</f>
        <v>2247.5</v>
      </c>
      <c r="L829" s="66">
        <f t="shared" si="86"/>
        <v>6165.4</v>
      </c>
      <c r="M829" s="66">
        <f t="shared" si="86"/>
        <v>954.3</v>
      </c>
      <c r="N829" s="66">
        <f t="shared" si="86"/>
        <v>2238</v>
      </c>
      <c r="O829" s="66" t="e">
        <f t="shared" si="86"/>
        <v>#DIV/0!</v>
      </c>
      <c r="P829" s="66">
        <f t="shared" si="86"/>
        <v>3552.5076923076922</v>
      </c>
      <c r="Q829" s="66" t="e">
        <f t="shared" si="86"/>
        <v>#DIV/0!</v>
      </c>
      <c r="R829" s="63"/>
      <c r="S829" s="10"/>
      <c r="T829" s="123"/>
      <c r="U829" s="157"/>
      <c r="V829" s="123"/>
      <c r="W829" s="123"/>
      <c r="X829" s="123"/>
    </row>
    <row r="830" spans="1:24" s="128" customFormat="1">
      <c r="A830" s="615"/>
      <c r="B830" s="132"/>
      <c r="C830" s="123"/>
      <c r="D830" s="127"/>
      <c r="E830" s="12"/>
      <c r="F830" s="160"/>
      <c r="G830" s="123"/>
      <c r="H830" s="54"/>
      <c r="I830" s="123"/>
      <c r="J830" s="123"/>
      <c r="K830" s="123"/>
      <c r="L830" s="123"/>
      <c r="M830" s="123"/>
      <c r="N830" s="123"/>
      <c r="O830" s="123"/>
      <c r="P830" s="123"/>
      <c r="Q830" s="123"/>
      <c r="R830" s="123"/>
      <c r="S830" s="123"/>
      <c r="T830" s="123"/>
      <c r="U830" s="157"/>
      <c r="V830" s="123"/>
      <c r="W830" s="123"/>
      <c r="X830" s="123"/>
    </row>
    <row r="831" spans="1:24" s="2" customFormat="1">
      <c r="A831" s="614"/>
      <c r="B831" s="11"/>
      <c r="C831" s="10"/>
      <c r="D831" s="63"/>
      <c r="E831" s="12"/>
      <c r="F831" s="12"/>
      <c r="G831" s="10"/>
      <c r="H831" s="10"/>
      <c r="I831" s="10"/>
      <c r="J831" s="10"/>
      <c r="K831" s="10"/>
      <c r="L831" s="10"/>
      <c r="M831" s="10"/>
      <c r="N831" s="10"/>
      <c r="O831" s="10"/>
      <c r="P831" s="10"/>
      <c r="Q831" s="10"/>
      <c r="R831" s="10"/>
      <c r="S831" s="10"/>
      <c r="T831" s="10"/>
      <c r="U831" s="151"/>
      <c r="V831" s="77"/>
      <c r="W831" s="77"/>
      <c r="X831" s="77"/>
    </row>
    <row r="832" spans="1:24" s="2" customFormat="1">
      <c r="A832" s="614"/>
      <c r="B832" s="11"/>
      <c r="C832" s="10"/>
      <c r="D832" s="63"/>
      <c r="E832" s="10"/>
      <c r="F832" s="10"/>
      <c r="G832" s="10"/>
      <c r="H832" s="10"/>
      <c r="I832" s="10"/>
      <c r="J832" s="10"/>
      <c r="K832" s="10"/>
      <c r="L832" s="10"/>
      <c r="M832" s="10"/>
      <c r="N832" s="10"/>
      <c r="O832" s="10"/>
      <c r="P832" s="10"/>
      <c r="Q832" s="10"/>
      <c r="R832" s="10"/>
      <c r="S832" s="10"/>
      <c r="T832" s="10"/>
      <c r="U832" s="151"/>
      <c r="V832" s="77"/>
      <c r="W832" s="77"/>
      <c r="X832" s="77"/>
    </row>
    <row r="833" spans="1:24" s="2" customFormat="1">
      <c r="A833" s="614"/>
      <c r="B833" s="18" t="s">
        <v>51</v>
      </c>
      <c r="C833" s="14"/>
      <c r="D833" s="14"/>
      <c r="E833" s="14"/>
      <c r="F833" s="13" t="s">
        <v>52</v>
      </c>
      <c r="G833" s="14"/>
      <c r="H833" s="14"/>
      <c r="I833" s="14"/>
      <c r="J833" s="14"/>
      <c r="K833" s="13" t="s">
        <v>3</v>
      </c>
      <c r="L833" s="14"/>
      <c r="M833" s="14"/>
      <c r="N833" s="13" t="s">
        <v>4</v>
      </c>
      <c r="O833" s="14"/>
      <c r="P833" s="14"/>
      <c r="Q833" s="13" t="s">
        <v>5</v>
      </c>
      <c r="R833" s="14"/>
      <c r="S833" s="14"/>
      <c r="T833" s="18"/>
      <c r="U833" s="161" t="s">
        <v>53</v>
      </c>
      <c r="V833" s="77"/>
      <c r="W833" s="77"/>
      <c r="X833" s="77"/>
    </row>
    <row r="834" spans="1:24" s="2" customFormat="1">
      <c r="A834" s="614"/>
      <c r="B834" s="24" t="s">
        <v>54</v>
      </c>
      <c r="C834" s="21" t="s">
        <v>55</v>
      </c>
      <c r="D834" s="21" t="s">
        <v>56</v>
      </c>
      <c r="E834" s="21" t="s">
        <v>57</v>
      </c>
      <c r="F834" s="20" t="s">
        <v>58</v>
      </c>
      <c r="G834" s="21" t="s">
        <v>59</v>
      </c>
      <c r="H834" s="21" t="s">
        <v>60</v>
      </c>
      <c r="I834" s="21" t="s">
        <v>26</v>
      </c>
      <c r="J834" s="22" t="s">
        <v>61</v>
      </c>
      <c r="K834" s="21" t="s">
        <v>8</v>
      </c>
      <c r="L834" s="21" t="s">
        <v>9</v>
      </c>
      <c r="M834" s="21" t="s">
        <v>10</v>
      </c>
      <c r="N834" s="20" t="s">
        <v>11</v>
      </c>
      <c r="O834" s="21" t="s">
        <v>12</v>
      </c>
      <c r="P834" s="22" t="s">
        <v>13</v>
      </c>
      <c r="Q834" s="21" t="s">
        <v>11</v>
      </c>
      <c r="R834" s="21" t="s">
        <v>12</v>
      </c>
      <c r="S834" s="21" t="s">
        <v>13</v>
      </c>
      <c r="T834" s="78" t="s">
        <v>14</v>
      </c>
      <c r="U834" s="162"/>
      <c r="V834" s="79" t="s">
        <v>62</v>
      </c>
      <c r="W834" s="80" t="s">
        <v>63</v>
      </c>
      <c r="X834" s="81" t="s">
        <v>64</v>
      </c>
    </row>
    <row r="835" spans="1:24" s="2" customFormat="1">
      <c r="A835" s="614"/>
      <c r="B835" s="4" t="s">
        <v>65</v>
      </c>
      <c r="C835" s="6"/>
      <c r="D835" s="6"/>
      <c r="E835" s="6"/>
      <c r="F835" s="6"/>
      <c r="G835" s="6"/>
      <c r="H835" s="6"/>
      <c r="I835" s="82"/>
      <c r="J835" s="6"/>
      <c r="K835" s="6"/>
      <c r="L835" s="6"/>
      <c r="M835" s="6"/>
      <c r="N835" s="6"/>
      <c r="O835" s="6"/>
      <c r="P835" s="6"/>
      <c r="Q835" s="6"/>
      <c r="R835" s="6"/>
      <c r="S835" s="6"/>
      <c r="T835" s="83"/>
      <c r="U835" s="163"/>
      <c r="V835" s="84"/>
      <c r="W835" s="85"/>
      <c r="X835" s="86"/>
    </row>
    <row r="836" spans="1:24" s="2" customFormat="1">
      <c r="A836" s="614"/>
      <c r="B836" s="87">
        <v>1</v>
      </c>
      <c r="C836" s="638">
        <v>45908</v>
      </c>
      <c r="D836" s="327">
        <v>73049</v>
      </c>
      <c r="E836" s="276" t="s">
        <v>508</v>
      </c>
      <c r="F836" s="277">
        <v>681</v>
      </c>
      <c r="G836" s="277"/>
      <c r="H836" s="297"/>
      <c r="I836" s="278">
        <f>F836-G836-H836</f>
        <v>681</v>
      </c>
      <c r="J836" s="279" t="s">
        <v>156</v>
      </c>
      <c r="K836" s="279">
        <v>1</v>
      </c>
      <c r="L836" s="279">
        <v>1</v>
      </c>
      <c r="M836" s="279">
        <v>1</v>
      </c>
      <c r="N836" s="279">
        <v>1</v>
      </c>
      <c r="O836" s="279">
        <v>1</v>
      </c>
      <c r="P836" s="279">
        <v>1</v>
      </c>
      <c r="Q836" s="279">
        <v>1</v>
      </c>
      <c r="R836" s="279">
        <v>1</v>
      </c>
      <c r="S836" s="280">
        <v>1</v>
      </c>
      <c r="T836" s="63"/>
      <c r="U836" s="94"/>
      <c r="V836" s="90">
        <v>749.1</v>
      </c>
      <c r="W836" s="91"/>
      <c r="X836" s="92"/>
    </row>
    <row r="837" spans="1:24" s="128" customFormat="1">
      <c r="A837" s="615"/>
      <c r="B837" s="87">
        <f>B836+1</f>
        <v>2</v>
      </c>
      <c r="C837" s="638">
        <v>45909</v>
      </c>
      <c r="D837" s="327" t="s">
        <v>1674</v>
      </c>
      <c r="E837" s="276" t="s">
        <v>973</v>
      </c>
      <c r="F837" s="277">
        <v>14680.4</v>
      </c>
      <c r="G837" s="277">
        <f>39.7+(34.89)+(142.5+71.65+861.31+226.2)+1000</f>
        <v>2376.25</v>
      </c>
      <c r="H837" s="277">
        <f>1600.66</f>
        <v>1600.66</v>
      </c>
      <c r="I837" s="321">
        <f>F837-G837-H837</f>
        <v>10703.49</v>
      </c>
      <c r="J837" s="279" t="s">
        <v>185</v>
      </c>
      <c r="K837" s="279">
        <v>1</v>
      </c>
      <c r="L837" s="322">
        <v>0</v>
      </c>
      <c r="M837" s="279">
        <v>1</v>
      </c>
      <c r="N837" s="279">
        <v>1</v>
      </c>
      <c r="O837" s="279">
        <v>1</v>
      </c>
      <c r="P837" s="279">
        <v>1</v>
      </c>
      <c r="Q837" s="322">
        <v>0</v>
      </c>
      <c r="R837" s="322">
        <v>0</v>
      </c>
      <c r="S837" s="328">
        <v>0</v>
      </c>
      <c r="T837" s="63"/>
      <c r="U837" s="94" t="s">
        <v>1675</v>
      </c>
      <c r="V837" s="90">
        <f>1600</f>
        <v>1600</v>
      </c>
      <c r="W837" s="136"/>
      <c r="X837" s="137">
        <f>1600.66+12947.78</f>
        <v>14548.44</v>
      </c>
    </row>
    <row r="838" spans="1:24" s="2" customFormat="1">
      <c r="A838" s="614"/>
      <c r="B838" s="87">
        <f t="shared" ref="B838:B846" si="87">B837+1</f>
        <v>3</v>
      </c>
      <c r="C838" s="639">
        <v>45909</v>
      </c>
      <c r="D838" s="323">
        <v>72883</v>
      </c>
      <c r="E838" s="10" t="s">
        <v>1062</v>
      </c>
      <c r="F838" s="62">
        <v>681</v>
      </c>
      <c r="G838" s="62"/>
      <c r="H838" s="62"/>
      <c r="I838" s="89">
        <f t="shared" ref="I838:I845" si="88">F838-G838-H838</f>
        <v>681</v>
      </c>
      <c r="J838" s="63" t="s">
        <v>156</v>
      </c>
      <c r="K838" s="63">
        <v>1</v>
      </c>
      <c r="L838" s="63">
        <v>1</v>
      </c>
      <c r="M838" s="63">
        <v>1</v>
      </c>
      <c r="N838" s="63">
        <v>1</v>
      </c>
      <c r="O838" s="63">
        <v>1</v>
      </c>
      <c r="P838" s="63">
        <v>1</v>
      </c>
      <c r="Q838" s="63">
        <v>1</v>
      </c>
      <c r="R838" s="63">
        <v>1</v>
      </c>
      <c r="S838" s="296">
        <v>1</v>
      </c>
      <c r="T838" s="63"/>
      <c r="U838" s="94"/>
      <c r="V838" s="90">
        <v>749.1</v>
      </c>
      <c r="W838" s="91"/>
      <c r="X838" s="92"/>
    </row>
    <row r="839" spans="1:24" s="2" customFormat="1">
      <c r="A839" s="614" t="s">
        <v>824</v>
      </c>
      <c r="B839" s="87">
        <f t="shared" si="87"/>
        <v>4</v>
      </c>
      <c r="C839" s="639">
        <v>45909</v>
      </c>
      <c r="D839" s="346" t="s">
        <v>1676</v>
      </c>
      <c r="E839" s="10" t="s">
        <v>306</v>
      </c>
      <c r="F839" s="62">
        <v>4419</v>
      </c>
      <c r="G839" s="62">
        <f>39.7+28.68+280.5+(70.33-58.46)+(231.66)+300</f>
        <v>892.41</v>
      </c>
      <c r="H839" s="62"/>
      <c r="I839" s="89">
        <f>F839-G839-H839</f>
        <v>3526.59</v>
      </c>
      <c r="J839" s="63" t="s">
        <v>156</v>
      </c>
      <c r="K839" s="63">
        <v>1</v>
      </c>
      <c r="L839" s="63">
        <v>1</v>
      </c>
      <c r="M839" s="63">
        <v>1</v>
      </c>
      <c r="N839" s="63">
        <v>1</v>
      </c>
      <c r="O839" s="63">
        <v>1</v>
      </c>
      <c r="P839" s="63">
        <v>1</v>
      </c>
      <c r="Q839" s="63">
        <v>1</v>
      </c>
      <c r="R839" s="63">
        <v>1</v>
      </c>
      <c r="S839" s="296">
        <v>1</v>
      </c>
      <c r="T839" s="63"/>
      <c r="U839" s="94" t="s">
        <v>1677</v>
      </c>
      <c r="V839" s="90">
        <f>500+4360.9</f>
        <v>4860.8999999999996</v>
      </c>
      <c r="W839" s="91"/>
      <c r="X839" s="92"/>
    </row>
    <row r="840" spans="1:24" s="2" customFormat="1">
      <c r="A840" s="614"/>
      <c r="B840" s="87">
        <f t="shared" si="87"/>
        <v>5</v>
      </c>
      <c r="C840" s="640">
        <v>45909</v>
      </c>
      <c r="D840" s="368">
        <v>73129</v>
      </c>
      <c r="E840" s="283" t="s">
        <v>1678</v>
      </c>
      <c r="F840" s="284">
        <v>5232.6000000000004</v>
      </c>
      <c r="G840" s="284">
        <f>39.7+(98.92+1344.13)+250</f>
        <v>1732.7500000000002</v>
      </c>
      <c r="H840" s="284"/>
      <c r="I840" s="285">
        <f>F840-G840-H840</f>
        <v>3499.8500000000004</v>
      </c>
      <c r="J840" s="286" t="s">
        <v>228</v>
      </c>
      <c r="K840" s="286">
        <v>1</v>
      </c>
      <c r="L840" s="286">
        <v>1</v>
      </c>
      <c r="M840" s="286">
        <v>1</v>
      </c>
      <c r="N840" s="286">
        <v>1</v>
      </c>
      <c r="O840" s="286">
        <v>1</v>
      </c>
      <c r="P840" s="286">
        <v>1</v>
      </c>
      <c r="Q840" s="286">
        <v>1</v>
      </c>
      <c r="R840" s="286">
        <v>1</v>
      </c>
      <c r="S840" s="287">
        <v>1</v>
      </c>
      <c r="T840" s="21">
        <v>1</v>
      </c>
      <c r="U840" s="94" t="s">
        <v>1679</v>
      </c>
      <c r="V840" s="90">
        <f>550+5205.86</f>
        <v>5755.86</v>
      </c>
      <c r="W840" s="91"/>
      <c r="X840" s="92"/>
    </row>
    <row r="841" spans="1:24" s="2" customFormat="1">
      <c r="A841" s="613"/>
      <c r="B841" s="87">
        <f t="shared" si="87"/>
        <v>6</v>
      </c>
      <c r="C841" s="639">
        <v>45910</v>
      </c>
      <c r="D841" s="323">
        <v>73146</v>
      </c>
      <c r="E841" s="10" t="s">
        <v>1175</v>
      </c>
      <c r="F841" s="62">
        <f>766-85</f>
        <v>681</v>
      </c>
      <c r="G841" s="62"/>
      <c r="H841" s="62"/>
      <c r="I841" s="89">
        <f t="shared" si="88"/>
        <v>681</v>
      </c>
      <c r="J841" s="63" t="s">
        <v>156</v>
      </c>
      <c r="K841" s="63">
        <v>1</v>
      </c>
      <c r="L841" s="63">
        <v>1</v>
      </c>
      <c r="M841" s="63">
        <v>1</v>
      </c>
      <c r="N841" s="63">
        <v>1</v>
      </c>
      <c r="O841" s="63">
        <v>1</v>
      </c>
      <c r="P841" s="63">
        <v>1</v>
      </c>
      <c r="Q841" s="63">
        <v>1</v>
      </c>
      <c r="R841" s="63">
        <v>1</v>
      </c>
      <c r="S841" s="296">
        <v>1</v>
      </c>
      <c r="T841" s="21">
        <v>2</v>
      </c>
      <c r="U841" s="94"/>
      <c r="V841" s="90">
        <f>93.5+749.1</f>
        <v>842.6</v>
      </c>
      <c r="W841" s="91"/>
      <c r="X841" s="92"/>
    </row>
    <row r="842" spans="1:24" s="2" customFormat="1">
      <c r="A842" s="614"/>
      <c r="B842" s="87">
        <f t="shared" si="87"/>
        <v>7</v>
      </c>
      <c r="C842" s="639">
        <v>45910</v>
      </c>
      <c r="D842" s="323">
        <v>73187</v>
      </c>
      <c r="E842" s="94" t="s">
        <v>572</v>
      </c>
      <c r="F842" s="62">
        <v>1227.5999999999999</v>
      </c>
      <c r="G842" s="62">
        <f>39.7</f>
        <v>39.700000000000003</v>
      </c>
      <c r="H842" s="62"/>
      <c r="I842" s="324">
        <f t="shared" si="88"/>
        <v>1187.8999999999999</v>
      </c>
      <c r="J842" s="63" t="s">
        <v>156</v>
      </c>
      <c r="K842" s="63">
        <v>1</v>
      </c>
      <c r="L842" s="63">
        <v>1</v>
      </c>
      <c r="M842" s="325">
        <v>0</v>
      </c>
      <c r="N842" s="63">
        <v>1</v>
      </c>
      <c r="O842" s="63">
        <v>1</v>
      </c>
      <c r="P842" s="63">
        <v>1</v>
      </c>
      <c r="Q842" s="63">
        <v>1</v>
      </c>
      <c r="R842" s="63">
        <v>1</v>
      </c>
      <c r="S842" s="296">
        <v>1</v>
      </c>
      <c r="T842" s="21">
        <v>1</v>
      </c>
      <c r="U842" s="94"/>
      <c r="V842" s="90">
        <v>1350.36</v>
      </c>
      <c r="W842" s="91"/>
      <c r="X842" s="92"/>
    </row>
    <row r="843" spans="1:24" s="2" customFormat="1">
      <c r="A843" s="614"/>
      <c r="B843" s="87">
        <f t="shared" si="87"/>
        <v>8</v>
      </c>
      <c r="C843" s="638">
        <v>45911</v>
      </c>
      <c r="D843" s="327">
        <v>73191</v>
      </c>
      <c r="E843" s="276" t="s">
        <v>746</v>
      </c>
      <c r="F843" s="277">
        <v>681</v>
      </c>
      <c r="G843" s="277"/>
      <c r="H843" s="277"/>
      <c r="I843" s="278">
        <f t="shared" si="88"/>
        <v>681</v>
      </c>
      <c r="J843" s="279" t="s">
        <v>156</v>
      </c>
      <c r="K843" s="279">
        <v>1</v>
      </c>
      <c r="L843" s="279">
        <v>1</v>
      </c>
      <c r="M843" s="279">
        <v>1</v>
      </c>
      <c r="N843" s="279">
        <v>1</v>
      </c>
      <c r="O843" s="279">
        <v>1</v>
      </c>
      <c r="P843" s="279">
        <v>1</v>
      </c>
      <c r="Q843" s="279">
        <v>1</v>
      </c>
      <c r="R843" s="279">
        <v>1</v>
      </c>
      <c r="S843" s="280">
        <v>1</v>
      </c>
      <c r="T843" s="63"/>
      <c r="U843" s="94"/>
      <c r="V843" s="90">
        <v>749.1</v>
      </c>
      <c r="W843" s="91"/>
      <c r="X843" s="92"/>
    </row>
    <row r="844" spans="1:24" s="2" customFormat="1">
      <c r="A844" s="614"/>
      <c r="B844" s="87">
        <f t="shared" si="87"/>
        <v>9</v>
      </c>
      <c r="C844" s="639">
        <v>45911</v>
      </c>
      <c r="D844" s="323" t="s">
        <v>1680</v>
      </c>
      <c r="E844" s="10" t="s">
        <v>746</v>
      </c>
      <c r="F844" s="62">
        <v>5814</v>
      </c>
      <c r="G844" s="62">
        <f>39.7+(1305.35)+250</f>
        <v>1595.05</v>
      </c>
      <c r="H844" s="62"/>
      <c r="I844" s="324">
        <f>F844-G844-H844</f>
        <v>4218.95</v>
      </c>
      <c r="J844" s="63" t="s">
        <v>228</v>
      </c>
      <c r="K844" s="63">
        <v>1</v>
      </c>
      <c r="L844" s="63">
        <v>1</v>
      </c>
      <c r="M844" s="63">
        <v>1</v>
      </c>
      <c r="N844" s="63">
        <v>1</v>
      </c>
      <c r="O844" s="63">
        <v>1</v>
      </c>
      <c r="P844" s="63">
        <v>1</v>
      </c>
      <c r="Q844" s="63">
        <v>1</v>
      </c>
      <c r="R844" s="63">
        <v>1</v>
      </c>
      <c r="S844" s="326">
        <v>0</v>
      </c>
      <c r="T844" s="21">
        <v>1</v>
      </c>
      <c r="U844" s="94" t="s">
        <v>1681</v>
      </c>
      <c r="V844" s="90">
        <f>639.54+5755.86</f>
        <v>6395.4</v>
      </c>
      <c r="W844" s="91"/>
      <c r="X844" s="92"/>
    </row>
    <row r="845" spans="1:24" s="2" customFormat="1">
      <c r="A845" s="614" t="s">
        <v>230</v>
      </c>
      <c r="B845" s="87">
        <f t="shared" si="87"/>
        <v>10</v>
      </c>
      <c r="C845" s="639">
        <v>45911</v>
      </c>
      <c r="D845" s="323">
        <v>73240</v>
      </c>
      <c r="E845" s="10" t="s">
        <v>216</v>
      </c>
      <c r="F845" s="62">
        <v>776</v>
      </c>
      <c r="G845" s="62">
        <f>39.7</f>
        <v>39.700000000000003</v>
      </c>
      <c r="H845" s="88"/>
      <c r="I845" s="369">
        <f t="shared" si="88"/>
        <v>736.3</v>
      </c>
      <c r="J845" s="63" t="s">
        <v>156</v>
      </c>
      <c r="K845" s="63">
        <v>1</v>
      </c>
      <c r="L845" s="63">
        <v>1</v>
      </c>
      <c r="M845" s="63">
        <v>1</v>
      </c>
      <c r="N845" s="63">
        <v>1</v>
      </c>
      <c r="O845" s="63">
        <v>1</v>
      </c>
      <c r="P845" s="63">
        <v>1</v>
      </c>
      <c r="Q845" s="63">
        <v>1</v>
      </c>
      <c r="R845" s="63">
        <v>1</v>
      </c>
      <c r="S845" s="296">
        <v>1</v>
      </c>
      <c r="T845" s="63"/>
      <c r="U845" s="94"/>
      <c r="V845" s="90">
        <v>853.6</v>
      </c>
      <c r="W845" s="91"/>
      <c r="X845" s="92"/>
    </row>
    <row r="846" spans="1:24" s="2" customFormat="1">
      <c r="A846" s="614"/>
      <c r="B846" s="87">
        <f t="shared" si="87"/>
        <v>11</v>
      </c>
      <c r="C846" s="640">
        <v>45911</v>
      </c>
      <c r="D846" s="368">
        <v>73238</v>
      </c>
      <c r="E846" s="283" t="s">
        <v>1143</v>
      </c>
      <c r="F846" s="284">
        <v>1681</v>
      </c>
      <c r="G846" s="284">
        <f>39.7</f>
        <v>39.700000000000003</v>
      </c>
      <c r="H846" s="315"/>
      <c r="I846" s="285">
        <f>F846-G846-H846</f>
        <v>1641.3</v>
      </c>
      <c r="J846" s="286" t="s">
        <v>156</v>
      </c>
      <c r="K846" s="286">
        <v>1</v>
      </c>
      <c r="L846" s="286">
        <v>1</v>
      </c>
      <c r="M846" s="286">
        <v>1</v>
      </c>
      <c r="N846" s="286">
        <v>1</v>
      </c>
      <c r="O846" s="286">
        <v>1</v>
      </c>
      <c r="P846" s="286">
        <v>1</v>
      </c>
      <c r="Q846" s="286">
        <v>1</v>
      </c>
      <c r="R846" s="286">
        <v>1</v>
      </c>
      <c r="S846" s="287">
        <v>1</v>
      </c>
      <c r="T846" s="63"/>
      <c r="U846" s="94"/>
      <c r="V846" s="90">
        <v>1849.1</v>
      </c>
      <c r="W846" s="91"/>
      <c r="X846" s="92"/>
    </row>
    <row r="847" spans="1:24" s="2" customFormat="1">
      <c r="A847" s="614"/>
      <c r="B847" s="87"/>
      <c r="C847" s="621"/>
      <c r="D847" s="10"/>
      <c r="E847" s="10"/>
      <c r="F847" s="97">
        <f>SUM(F836:F846)</f>
        <v>36554.6</v>
      </c>
      <c r="G847" s="97">
        <f>SUM(G836:G846)</f>
        <v>6715.5599999999995</v>
      </c>
      <c r="H847" s="97">
        <f>SUM(H836:H846)</f>
        <v>1600.66</v>
      </c>
      <c r="I847" s="98">
        <f>SUM(I836:I846)</f>
        <v>28238.38</v>
      </c>
      <c r="J847" s="63"/>
      <c r="K847" s="63">
        <f>COUNT(K836:K846)</f>
        <v>11</v>
      </c>
      <c r="L847" s="63">
        <f>COUNT(L836:L846)</f>
        <v>11</v>
      </c>
      <c r="M847" s="63">
        <f>COUNT(M836:M846)</f>
        <v>11</v>
      </c>
      <c r="N847" s="63">
        <f>COUNT(N836:N846)</f>
        <v>11</v>
      </c>
      <c r="O847" s="63">
        <f>COUNT(O836:O846)</f>
        <v>11</v>
      </c>
      <c r="P847" s="63">
        <f>COUNT(P836:P846)</f>
        <v>11</v>
      </c>
      <c r="Q847" s="63">
        <f>COUNT(Q836:Q846)</f>
        <v>11</v>
      </c>
      <c r="R847" s="63">
        <f>COUNT(R836:R846)</f>
        <v>11</v>
      </c>
      <c r="S847" s="63">
        <f>COUNT(S836:S846)</f>
        <v>11</v>
      </c>
      <c r="T847" s="63"/>
      <c r="U847" s="94"/>
      <c r="V847" s="90"/>
      <c r="W847" s="91"/>
      <c r="X847" s="92"/>
    </row>
    <row r="848" spans="1:24" s="2" customFormat="1">
      <c r="A848" s="614"/>
      <c r="B848" s="87"/>
      <c r="C848" s="621"/>
      <c r="D848" s="10"/>
      <c r="E848" s="10"/>
      <c r="F848" s="88"/>
      <c r="G848" s="88"/>
      <c r="H848" s="88"/>
      <c r="I848" s="99"/>
      <c r="J848" s="63"/>
      <c r="K848" s="21">
        <f>SUM(K836:K846)</f>
        <v>11</v>
      </c>
      <c r="L848" s="21">
        <f>SUM(L836:L846)</f>
        <v>10</v>
      </c>
      <c r="M848" s="21">
        <f>SUM(M836:M846)</f>
        <v>10</v>
      </c>
      <c r="N848" s="21">
        <f>SUM(N836:N846)</f>
        <v>11</v>
      </c>
      <c r="O848" s="21">
        <f>SUM(O836:O846)</f>
        <v>11</v>
      </c>
      <c r="P848" s="21">
        <f>SUM(P836:P846)</f>
        <v>11</v>
      </c>
      <c r="Q848" s="21">
        <f>SUM(Q836:Q846)</f>
        <v>10</v>
      </c>
      <c r="R848" s="21">
        <f>SUM(R836:R846)</f>
        <v>10</v>
      </c>
      <c r="S848" s="21">
        <f>SUM(S836:S846)</f>
        <v>9</v>
      </c>
      <c r="T848" s="63"/>
      <c r="U848" s="94"/>
      <c r="V848" s="90"/>
      <c r="W848" s="91"/>
      <c r="X848" s="92"/>
    </row>
    <row r="849" spans="1:25" s="2" customFormat="1">
      <c r="A849" s="614"/>
      <c r="B849" s="11"/>
      <c r="C849" s="621"/>
      <c r="D849" s="10"/>
      <c r="E849" s="10"/>
      <c r="F849" s="88"/>
      <c r="G849" s="88"/>
      <c r="H849" s="88"/>
      <c r="I849" s="99"/>
      <c r="J849" s="63"/>
      <c r="K849" s="21"/>
      <c r="L849" s="21"/>
      <c r="M849" s="21"/>
      <c r="N849" s="21"/>
      <c r="O849" s="21"/>
      <c r="P849" s="21"/>
      <c r="Q849" s="21"/>
      <c r="R849" s="21"/>
      <c r="S849" s="21"/>
      <c r="T849" s="63"/>
      <c r="U849" s="94"/>
      <c r="V849" s="90"/>
      <c r="W849" s="91"/>
      <c r="X849" s="92"/>
    </row>
    <row r="850" spans="1:25" s="2" customFormat="1">
      <c r="A850" s="614"/>
      <c r="B850" s="100" t="s">
        <v>67</v>
      </c>
      <c r="C850" s="621"/>
      <c r="D850" s="10"/>
      <c r="E850" s="10"/>
      <c r="F850" s="88"/>
      <c r="G850" s="62"/>
      <c r="H850" s="88"/>
      <c r="I850" s="99"/>
      <c r="J850" s="63"/>
      <c r="T850" s="63"/>
      <c r="U850" s="94"/>
      <c r="V850" s="90"/>
      <c r="W850" s="91"/>
      <c r="X850" s="92"/>
    </row>
    <row r="851" spans="1:25" s="2" customFormat="1">
      <c r="A851" s="261" t="s">
        <v>1682</v>
      </c>
      <c r="B851" s="87">
        <v>1</v>
      </c>
      <c r="C851" s="262">
        <v>45855</v>
      </c>
      <c r="D851" s="263">
        <v>71488</v>
      </c>
      <c r="E851" s="264" t="s">
        <v>218</v>
      </c>
      <c r="F851" s="265">
        <v>2034.9</v>
      </c>
      <c r="G851" s="265">
        <f>39.7+(412.27)</f>
        <v>451.96999999999997</v>
      </c>
      <c r="H851" s="265"/>
      <c r="I851" s="266">
        <f>F851-G851-H851</f>
        <v>1582.93</v>
      </c>
      <c r="J851" s="267" t="s">
        <v>156</v>
      </c>
      <c r="K851" s="267">
        <v>1</v>
      </c>
      <c r="L851" s="267">
        <v>1</v>
      </c>
      <c r="M851" s="267">
        <v>1</v>
      </c>
      <c r="N851" s="314">
        <v>0</v>
      </c>
      <c r="O851" s="314">
        <v>0</v>
      </c>
      <c r="P851" s="314">
        <v>0</v>
      </c>
      <c r="Q851" s="267">
        <v>1</v>
      </c>
      <c r="R851" s="267">
        <v>1</v>
      </c>
      <c r="S851" s="366">
        <v>0</v>
      </c>
      <c r="T851" s="63"/>
      <c r="U851" s="10" t="s">
        <v>1683</v>
      </c>
      <c r="V851" s="90">
        <f>1926.47</f>
        <v>1926.47</v>
      </c>
      <c r="W851" s="91"/>
      <c r="X851" s="92"/>
      <c r="Y851" s="260"/>
    </row>
    <row r="852" spans="1:25" s="2" customFormat="1">
      <c r="A852" s="261" t="s">
        <v>1633</v>
      </c>
      <c r="B852" s="87">
        <f>B851+1</f>
        <v>2</v>
      </c>
      <c r="C852" s="262">
        <v>45888</v>
      </c>
      <c r="D852" s="263">
        <v>72392</v>
      </c>
      <c r="E852" s="271" t="s">
        <v>382</v>
      </c>
      <c r="F852" s="265">
        <v>1861</v>
      </c>
      <c r="G852" s="265">
        <f>39.7+398</f>
        <v>437.7</v>
      </c>
      <c r="H852" s="265"/>
      <c r="I852" s="272">
        <f>F852-G852-H852</f>
        <v>1423.3</v>
      </c>
      <c r="J852" s="267" t="s">
        <v>156</v>
      </c>
      <c r="K852" s="267">
        <v>1</v>
      </c>
      <c r="L852" s="267">
        <v>1</v>
      </c>
      <c r="M852" s="267">
        <v>1</v>
      </c>
      <c r="N852" s="267">
        <v>1</v>
      </c>
      <c r="O852" s="267">
        <v>1</v>
      </c>
      <c r="P852" s="267">
        <v>1</v>
      </c>
      <c r="Q852" s="267">
        <v>1</v>
      </c>
      <c r="R852" s="267">
        <v>1</v>
      </c>
      <c r="S852" s="269">
        <v>1</v>
      </c>
      <c r="T852" s="63"/>
      <c r="U852" s="94" t="s">
        <v>1634</v>
      </c>
      <c r="V852" s="90"/>
      <c r="W852" s="136"/>
      <c r="X852" s="137"/>
      <c r="Y852" s="260"/>
    </row>
    <row r="853" spans="1:25" s="2" customFormat="1">
      <c r="A853" s="261" t="s">
        <v>554</v>
      </c>
      <c r="B853" s="87">
        <f>B852+1</f>
        <v>3</v>
      </c>
      <c r="C853" s="262">
        <v>45898</v>
      </c>
      <c r="D853" s="263">
        <v>72801</v>
      </c>
      <c r="E853" s="271" t="s">
        <v>382</v>
      </c>
      <c r="F853" s="265">
        <v>6814</v>
      </c>
      <c r="G853" s="265">
        <f>39.7+(101.52+26.99+62.07+39.98)+(78.93+1697.56+54.37+39.71-3.33)+250</f>
        <v>2387.5</v>
      </c>
      <c r="H853" s="265"/>
      <c r="I853" s="272">
        <f>F853-G853-H853</f>
        <v>4426.5</v>
      </c>
      <c r="J853" s="267" t="s">
        <v>228</v>
      </c>
      <c r="K853" s="267">
        <v>1</v>
      </c>
      <c r="L853" s="267">
        <v>1</v>
      </c>
      <c r="M853" s="267">
        <v>1</v>
      </c>
      <c r="N853" s="267">
        <v>1</v>
      </c>
      <c r="O853" s="267">
        <v>1</v>
      </c>
      <c r="P853" s="267">
        <v>1</v>
      </c>
      <c r="Q853" s="267">
        <v>1</v>
      </c>
      <c r="R853" s="267">
        <v>1</v>
      </c>
      <c r="S853" s="269">
        <v>1</v>
      </c>
      <c r="T853" s="21"/>
      <c r="U853" s="94" t="s">
        <v>1660</v>
      </c>
      <c r="V853" s="90"/>
      <c r="W853" s="136"/>
      <c r="X853" s="137"/>
      <c r="Y853" s="260"/>
    </row>
    <row r="854" spans="1:25" s="2" customFormat="1">
      <c r="A854" s="494" t="s">
        <v>548</v>
      </c>
      <c r="B854" s="87">
        <f t="shared" ref="B854:B857" si="89">B853+1</f>
        <v>4</v>
      </c>
      <c r="C854" s="640">
        <v>45905</v>
      </c>
      <c r="D854" s="330" t="s">
        <v>1657</v>
      </c>
      <c r="E854" s="319" t="s">
        <v>998</v>
      </c>
      <c r="F854" s="284">
        <v>8614</v>
      </c>
      <c r="G854" s="284">
        <f>39.7+(1313.14+40.04)+250</f>
        <v>1642.88</v>
      </c>
      <c r="H854" s="284">
        <f>855.72</f>
        <v>855.72</v>
      </c>
      <c r="I854" s="285">
        <f>F854-G854-H854</f>
        <v>6115.4</v>
      </c>
      <c r="J854" s="286" t="s">
        <v>185</v>
      </c>
      <c r="K854" s="286">
        <v>1</v>
      </c>
      <c r="L854" s="286">
        <v>1</v>
      </c>
      <c r="M854" s="286">
        <v>1</v>
      </c>
      <c r="N854" s="286">
        <v>1</v>
      </c>
      <c r="O854" s="286">
        <v>1</v>
      </c>
      <c r="P854" s="286">
        <v>1</v>
      </c>
      <c r="Q854" s="286">
        <v>1</v>
      </c>
      <c r="R854" s="286">
        <v>1</v>
      </c>
      <c r="S854" s="287">
        <v>1</v>
      </c>
      <c r="T854" s="63"/>
      <c r="U854" s="10" t="s">
        <v>1684</v>
      </c>
      <c r="V854" s="90"/>
      <c r="W854" s="136"/>
      <c r="X854" s="137">
        <v>6920.58</v>
      </c>
      <c r="Y854" s="260"/>
    </row>
    <row r="855" spans="1:25" s="2" customFormat="1">
      <c r="A855" s="494" t="s">
        <v>1092</v>
      </c>
      <c r="B855" s="87">
        <f t="shared" si="89"/>
        <v>5</v>
      </c>
      <c r="C855" s="638">
        <v>45903</v>
      </c>
      <c r="D855" s="327">
        <v>72949</v>
      </c>
      <c r="E855" s="276" t="s">
        <v>512</v>
      </c>
      <c r="F855" s="277">
        <v>1861</v>
      </c>
      <c r="G855" s="277">
        <f>39.7+398+200</f>
        <v>637.70000000000005</v>
      </c>
      <c r="H855" s="277"/>
      <c r="I855" s="278">
        <f>F855-G855-H855</f>
        <v>1223.3</v>
      </c>
      <c r="J855" s="279" t="s">
        <v>156</v>
      </c>
      <c r="K855" s="279">
        <v>1</v>
      </c>
      <c r="L855" s="279"/>
      <c r="M855" s="279">
        <v>1</v>
      </c>
      <c r="N855" s="279">
        <v>1</v>
      </c>
      <c r="O855" s="279">
        <v>1</v>
      </c>
      <c r="P855" s="279">
        <v>1</v>
      </c>
      <c r="Q855" s="279">
        <v>1</v>
      </c>
      <c r="R855" s="279">
        <v>1</v>
      </c>
      <c r="S855" s="280">
        <v>1</v>
      </c>
      <c r="T855" s="63"/>
      <c r="U855" s="94" t="s">
        <v>1655</v>
      </c>
      <c r="V855" s="90">
        <f>1797.1</f>
        <v>1797.1</v>
      </c>
      <c r="W855" s="136"/>
      <c r="X855" s="137"/>
      <c r="Y855" s="260"/>
    </row>
    <row r="856" spans="1:25" s="2" customFormat="1">
      <c r="A856" s="494" t="s">
        <v>548</v>
      </c>
      <c r="B856" s="87">
        <f t="shared" si="89"/>
        <v>6</v>
      </c>
      <c r="C856" s="638">
        <v>45905</v>
      </c>
      <c r="D856" s="327">
        <v>73018</v>
      </c>
      <c r="E856" s="276" t="s">
        <v>973</v>
      </c>
      <c r="F856" s="277">
        <v>1861</v>
      </c>
      <c r="G856" s="277">
        <f>39.7+398+(126.09)</f>
        <v>563.79</v>
      </c>
      <c r="H856" s="277"/>
      <c r="I856" s="278">
        <f>F856-G856-H856</f>
        <v>1297.21</v>
      </c>
      <c r="J856" s="279" t="s">
        <v>156</v>
      </c>
      <c r="K856" s="279">
        <v>1</v>
      </c>
      <c r="L856" s="279">
        <v>1</v>
      </c>
      <c r="M856" s="279">
        <v>1</v>
      </c>
      <c r="N856" s="279">
        <v>1</v>
      </c>
      <c r="O856" s="279">
        <v>1</v>
      </c>
      <c r="P856" s="279">
        <v>1</v>
      </c>
      <c r="Q856" s="279">
        <v>1</v>
      </c>
      <c r="R856" s="279">
        <v>1</v>
      </c>
      <c r="S856" s="280">
        <v>1</v>
      </c>
      <c r="T856" s="63"/>
      <c r="U856" s="94" t="s">
        <v>1685</v>
      </c>
      <c r="V856" s="90">
        <f>1797.1</f>
        <v>1797.1</v>
      </c>
      <c r="W856" s="136"/>
      <c r="X856" s="137"/>
      <c r="Y856" s="260"/>
    </row>
    <row r="857" spans="1:25" s="380" customFormat="1">
      <c r="A857" s="493" t="s">
        <v>249</v>
      </c>
      <c r="B857" s="372">
        <f t="shared" si="89"/>
        <v>7</v>
      </c>
      <c r="C857" s="707">
        <v>45905</v>
      </c>
      <c r="D857" s="368">
        <v>73035</v>
      </c>
      <c r="E857" s="427" t="s">
        <v>973</v>
      </c>
      <c r="F857" s="428">
        <v>1361</v>
      </c>
      <c r="G857" s="428">
        <f>39.7</f>
        <v>39.700000000000003</v>
      </c>
      <c r="H857" s="428"/>
      <c r="I857" s="331">
        <f t="shared" ref="I857" si="90">F857-G857-H857</f>
        <v>1321.3</v>
      </c>
      <c r="J857" s="332" t="s">
        <v>156</v>
      </c>
      <c r="K857" s="332">
        <v>0</v>
      </c>
      <c r="L857" s="332">
        <v>0</v>
      </c>
      <c r="M857" s="332">
        <v>1</v>
      </c>
      <c r="N857" s="332">
        <v>1</v>
      </c>
      <c r="O857" s="332">
        <v>1</v>
      </c>
      <c r="P857" s="332">
        <v>1</v>
      </c>
      <c r="Q857" s="332">
        <v>1</v>
      </c>
      <c r="R857" s="332">
        <v>1</v>
      </c>
      <c r="S857" s="370">
        <v>1</v>
      </c>
      <c r="T857" s="325"/>
      <c r="U857" s="430" t="s">
        <v>1686</v>
      </c>
      <c r="V857" s="377">
        <f>1337.1</f>
        <v>1337.1</v>
      </c>
      <c r="W857" s="392"/>
      <c r="X857" s="379"/>
      <c r="Y857" s="381"/>
    </row>
    <row r="858" spans="1:25" s="2" customFormat="1">
      <c r="A858" s="614"/>
      <c r="B858" s="11"/>
      <c r="C858" s="621"/>
      <c r="D858" s="10"/>
      <c r="E858" s="10"/>
      <c r="F858" s="97">
        <f>SUM(F851:F857)</f>
        <v>24406.9</v>
      </c>
      <c r="G858" s="97">
        <f>SUM(G851:G857)</f>
        <v>6161.24</v>
      </c>
      <c r="H858" s="97">
        <f>SUM(H851:H857)</f>
        <v>855.72</v>
      </c>
      <c r="I858" s="98">
        <f>SUM(I851:I857)</f>
        <v>17389.939999999999</v>
      </c>
      <c r="J858" s="63"/>
      <c r="K858" s="21"/>
      <c r="L858" s="21"/>
      <c r="M858" s="21"/>
      <c r="N858" s="21"/>
      <c r="O858" s="21"/>
      <c r="P858" s="21"/>
      <c r="Q858" s="21"/>
      <c r="R858" s="21"/>
      <c r="S858" s="21"/>
      <c r="T858" s="63"/>
      <c r="U858" s="94"/>
      <c r="V858" s="90"/>
      <c r="W858" s="91"/>
      <c r="X858" s="92"/>
    </row>
    <row r="859" spans="1:25" s="2" customFormat="1">
      <c r="A859" s="614"/>
      <c r="B859" s="11"/>
      <c r="C859" s="621"/>
      <c r="D859" s="10"/>
      <c r="E859" s="10"/>
      <c r="F859" s="88"/>
      <c r="G859" s="88"/>
      <c r="H859" s="88"/>
      <c r="I859" s="99"/>
      <c r="J859" s="63"/>
      <c r="K859" s="21"/>
      <c r="L859" s="21"/>
      <c r="M859" s="21"/>
      <c r="N859" s="21"/>
      <c r="O859" s="21"/>
      <c r="P859" s="21"/>
      <c r="Q859" s="21"/>
      <c r="R859" s="21"/>
      <c r="S859" s="21"/>
      <c r="T859" s="63"/>
      <c r="U859" s="94"/>
      <c r="V859" s="90"/>
      <c r="W859" s="91"/>
      <c r="X859" s="92"/>
    </row>
    <row r="860" spans="1:25" s="128" customFormat="1">
      <c r="A860" s="615"/>
      <c r="B860" s="121" t="s">
        <v>68</v>
      </c>
      <c r="C860" s="621"/>
      <c r="D860" s="123"/>
      <c r="E860" s="123"/>
      <c r="F860" s="124"/>
      <c r="G860" s="125"/>
      <c r="H860" s="124"/>
      <c r="I860" s="126"/>
      <c r="J860" s="127"/>
      <c r="T860" s="127"/>
      <c r="U860" s="135"/>
      <c r="V860" s="129"/>
      <c r="W860" s="130"/>
      <c r="X860" s="131"/>
    </row>
    <row r="861" spans="1:25" s="128" customFormat="1">
      <c r="A861" s="615" t="s">
        <v>1687</v>
      </c>
      <c r="B861" s="333">
        <v>1</v>
      </c>
      <c r="C861" s="703">
        <v>45908</v>
      </c>
      <c r="D861" s="263">
        <v>73046</v>
      </c>
      <c r="E861" s="358" t="s">
        <v>317</v>
      </c>
      <c r="F861" s="352">
        <v>3814</v>
      </c>
      <c r="G861" s="352">
        <f>39.7+(12.18+108.87+796.78)+300</f>
        <v>1257.53</v>
      </c>
      <c r="H861" s="352"/>
      <c r="I861" s="353">
        <f>F861-G861-H861</f>
        <v>2556.4700000000003</v>
      </c>
      <c r="J861" s="354" t="s">
        <v>156</v>
      </c>
      <c r="K861" s="354">
        <v>1</v>
      </c>
      <c r="L861" s="354">
        <v>1</v>
      </c>
      <c r="M861" s="354">
        <v>1</v>
      </c>
      <c r="N861" s="354">
        <v>1</v>
      </c>
      <c r="O861" s="354">
        <v>1</v>
      </c>
      <c r="P861" s="354">
        <v>1</v>
      </c>
      <c r="Q861" s="354">
        <v>1</v>
      </c>
      <c r="R861" s="314">
        <v>0</v>
      </c>
      <c r="S861" s="355">
        <v>1</v>
      </c>
      <c r="T861" s="64">
        <v>1</v>
      </c>
      <c r="U861" s="135" t="s">
        <v>1688</v>
      </c>
      <c r="V861" s="129">
        <f>450</f>
        <v>450</v>
      </c>
      <c r="W861" s="130"/>
      <c r="X861" s="131"/>
    </row>
    <row r="862" spans="1:25" s="128" customFormat="1">
      <c r="A862" s="615"/>
      <c r="B862" s="132"/>
      <c r="C862" s="621"/>
      <c r="D862" s="123"/>
      <c r="E862" s="123"/>
      <c r="F862" s="133">
        <f>SUM(F861:F861)</f>
        <v>3814</v>
      </c>
      <c r="G862" s="133">
        <f>SUM(G861:G861)</f>
        <v>1257.53</v>
      </c>
      <c r="H862" s="133">
        <f>SUM(H861:H861)</f>
        <v>0</v>
      </c>
      <c r="I862" s="134">
        <f>SUM(I861:I861)</f>
        <v>2556.4700000000003</v>
      </c>
      <c r="J862" s="127"/>
      <c r="K862" s="64"/>
      <c r="L862" s="64"/>
      <c r="M862" s="64"/>
      <c r="N862" s="64"/>
      <c r="O862" s="64"/>
      <c r="P862" s="64"/>
      <c r="Q862" s="64"/>
      <c r="R862" s="64"/>
      <c r="S862" s="64"/>
      <c r="T862" s="127"/>
      <c r="U862" s="135"/>
      <c r="V862" s="129"/>
      <c r="W862" s="130"/>
      <c r="X862" s="131"/>
    </row>
    <row r="863" spans="1:25" s="2" customFormat="1">
      <c r="A863" s="614"/>
      <c r="B863" s="11"/>
      <c r="C863" s="621"/>
      <c r="D863" s="10"/>
      <c r="E863" s="10"/>
      <c r="F863" s="88"/>
      <c r="G863" s="88"/>
      <c r="H863" s="88"/>
      <c r="I863" s="99"/>
      <c r="J863" s="63"/>
      <c r="K863" s="21"/>
      <c r="L863" s="21"/>
      <c r="M863" s="21"/>
      <c r="N863" s="21"/>
      <c r="O863" s="21"/>
      <c r="P863" s="21"/>
      <c r="Q863" s="21"/>
      <c r="R863" s="21"/>
      <c r="S863" s="21"/>
      <c r="T863" s="63"/>
      <c r="U863" s="94"/>
      <c r="V863" s="90"/>
      <c r="W863" s="91"/>
      <c r="X863" s="92"/>
    </row>
    <row r="864" spans="1:25" s="128" customFormat="1">
      <c r="A864" s="615"/>
      <c r="B864" s="121" t="s">
        <v>70</v>
      </c>
      <c r="C864" s="621"/>
      <c r="D864" s="123"/>
      <c r="F864" s="124"/>
      <c r="G864" s="124"/>
      <c r="H864" s="124"/>
      <c r="I864" s="126"/>
      <c r="J864" s="127"/>
      <c r="K864" s="64"/>
      <c r="L864" s="64"/>
      <c r="M864" s="64"/>
      <c r="N864" s="64"/>
      <c r="O864" s="64"/>
      <c r="P864" s="64"/>
      <c r="Q864" s="64"/>
      <c r="R864" s="64"/>
      <c r="S864" s="64"/>
      <c r="T864" s="127"/>
      <c r="U864" s="135"/>
      <c r="V864" s="129"/>
      <c r="W864" s="130"/>
      <c r="X864" s="131"/>
    </row>
    <row r="865" spans="1:25" s="128" customFormat="1">
      <c r="A865" s="356">
        <v>0.1</v>
      </c>
      <c r="B865" s="333">
        <v>1</v>
      </c>
      <c r="C865" s="703">
        <v>45909</v>
      </c>
      <c r="D865" s="263">
        <v>73119</v>
      </c>
      <c r="E865" s="358" t="s">
        <v>973</v>
      </c>
      <c r="F865" s="352">
        <v>5814</v>
      </c>
      <c r="G865" s="352">
        <f>39.7+(2001.79+54.89)+250</f>
        <v>2346.3799999999997</v>
      </c>
      <c r="H865" s="352">
        <f>F865*0.2</f>
        <v>1162.8</v>
      </c>
      <c r="I865" s="353">
        <f t="shared" ref="I865" si="91">F865-G865-H865</f>
        <v>2304.8200000000006</v>
      </c>
      <c r="J865" s="354" t="s">
        <v>185</v>
      </c>
      <c r="K865" s="354">
        <v>1</v>
      </c>
      <c r="L865" s="354"/>
      <c r="M865" s="354">
        <v>1</v>
      </c>
      <c r="N865" s="354">
        <v>1</v>
      </c>
      <c r="O865" s="354">
        <v>1</v>
      </c>
      <c r="P865" s="354">
        <v>1</v>
      </c>
      <c r="Q865" s="354"/>
      <c r="R865" s="354"/>
      <c r="S865" s="355"/>
      <c r="T865" s="127"/>
      <c r="U865" s="135" t="s">
        <v>1689</v>
      </c>
      <c r="V865" s="129">
        <f>650</f>
        <v>650</v>
      </c>
      <c r="W865" s="340"/>
      <c r="X865" s="341"/>
    </row>
    <row r="866" spans="1:25" s="128" customFormat="1">
      <c r="A866" s="615"/>
      <c r="B866" s="132"/>
      <c r="C866" s="621"/>
      <c r="D866" s="123"/>
      <c r="E866" s="123"/>
      <c r="F866" s="133">
        <f>SUM(F865:F865)</f>
        <v>5814</v>
      </c>
      <c r="G866" s="133">
        <f>SUM(G865:G865)</f>
        <v>2346.3799999999997</v>
      </c>
      <c r="H866" s="133">
        <f>SUM(H865:H865)</f>
        <v>1162.8</v>
      </c>
      <c r="I866" s="134">
        <f>SUM(I865:I865)</f>
        <v>2304.8200000000006</v>
      </c>
      <c r="J866" s="127"/>
      <c r="K866" s="64"/>
      <c r="L866" s="64"/>
      <c r="M866" s="64"/>
      <c r="N866" s="64"/>
      <c r="O866" s="64"/>
      <c r="P866" s="64"/>
      <c r="Q866" s="64"/>
      <c r="R866" s="64"/>
      <c r="S866" s="64"/>
      <c r="T866" s="127"/>
      <c r="U866" s="135"/>
      <c r="V866" s="129"/>
      <c r="W866" s="130"/>
      <c r="X866" s="131"/>
    </row>
    <row r="867" spans="1:25" s="2" customFormat="1">
      <c r="A867" s="614"/>
      <c r="B867" s="11"/>
      <c r="C867" s="609"/>
      <c r="D867" s="10"/>
      <c r="E867" s="10"/>
      <c r="F867" s="88"/>
      <c r="G867" s="88"/>
      <c r="H867" s="88"/>
      <c r="I867" s="99"/>
      <c r="J867" s="63"/>
      <c r="K867" s="21"/>
      <c r="L867" s="21"/>
      <c r="M867" s="21"/>
      <c r="N867" s="21"/>
      <c r="O867" s="21"/>
      <c r="P867" s="21"/>
      <c r="Q867" s="21"/>
      <c r="R867" s="21"/>
      <c r="S867" s="21"/>
      <c r="T867" s="63"/>
      <c r="U867" s="94"/>
      <c r="V867" s="90"/>
      <c r="W867" s="91"/>
      <c r="X867" s="92"/>
    </row>
    <row r="868" spans="1:25" s="434" customFormat="1" ht="13.5">
      <c r="A868" s="10"/>
      <c r="B868" s="100" t="s">
        <v>152</v>
      </c>
      <c r="C868" s="36"/>
      <c r="D868" s="10"/>
      <c r="E868" s="10"/>
      <c r="F868" s="88"/>
      <c r="G868" s="62"/>
      <c r="H868" s="88"/>
      <c r="I868" s="99"/>
      <c r="J868" s="63"/>
      <c r="K868" s="10"/>
      <c r="L868" s="10"/>
      <c r="M868" s="10"/>
      <c r="N868" s="10"/>
      <c r="O868" s="10"/>
      <c r="P868" s="123"/>
      <c r="Q868" s="10"/>
      <c r="R868" s="10"/>
      <c r="S868" s="10"/>
      <c r="T868" s="63"/>
      <c r="U868" s="10"/>
      <c r="V868" s="90"/>
      <c r="W868" s="91"/>
      <c r="X868" s="92"/>
    </row>
    <row r="869" spans="1:25" s="434" customFormat="1" ht="13.5">
      <c r="A869" s="31">
        <v>0.05</v>
      </c>
      <c r="B869" s="87">
        <v>1</v>
      </c>
      <c r="C869" s="262">
        <v>45848</v>
      </c>
      <c r="D869" s="263">
        <v>71373</v>
      </c>
      <c r="E869" s="264" t="s">
        <v>1338</v>
      </c>
      <c r="F869" s="265">
        <v>2681</v>
      </c>
      <c r="G869" s="265">
        <f>39.7</f>
        <v>39.700000000000003</v>
      </c>
      <c r="H869" s="265"/>
      <c r="I869" s="266">
        <f>F869-G869-H869</f>
        <v>2641.3</v>
      </c>
      <c r="J869" s="267" t="s">
        <v>156</v>
      </c>
      <c r="K869" s="267">
        <v>1</v>
      </c>
      <c r="L869" s="267">
        <v>1</v>
      </c>
      <c r="M869" s="267">
        <v>1</v>
      </c>
      <c r="N869" s="267">
        <v>1</v>
      </c>
      <c r="O869" s="267">
        <v>1</v>
      </c>
      <c r="P869" s="314">
        <v>0</v>
      </c>
      <c r="Q869" s="314">
        <v>0</v>
      </c>
      <c r="R869" s="314">
        <v>0</v>
      </c>
      <c r="S869" s="366">
        <v>0</v>
      </c>
      <c r="T869" s="63"/>
      <c r="U869" s="10"/>
      <c r="V869" s="90"/>
      <c r="W869" s="91"/>
      <c r="X869" s="92"/>
    </row>
    <row r="870" spans="1:25" s="260" customFormat="1">
      <c r="A870" s="261">
        <v>0.05</v>
      </c>
      <c r="B870" s="87">
        <f>B869+1</f>
        <v>2</v>
      </c>
      <c r="C870" s="262">
        <v>45863</v>
      </c>
      <c r="D870" s="263" t="s">
        <v>1497</v>
      </c>
      <c r="E870" s="271" t="s">
        <v>1117</v>
      </c>
      <c r="F870" s="265">
        <v>1138</v>
      </c>
      <c r="G870" s="265">
        <f>39.7</f>
        <v>39.700000000000003</v>
      </c>
      <c r="H870" s="365"/>
      <c r="I870" s="266">
        <f>F870-G870-H870</f>
        <v>1098.3</v>
      </c>
      <c r="J870" s="267"/>
      <c r="K870" s="267">
        <v>1</v>
      </c>
      <c r="L870" s="267">
        <v>1</v>
      </c>
      <c r="M870" s="267"/>
      <c r="N870" s="267">
        <v>1</v>
      </c>
      <c r="O870" s="267">
        <v>1</v>
      </c>
      <c r="P870" s="267">
        <v>1</v>
      </c>
      <c r="Q870" s="314">
        <v>0</v>
      </c>
      <c r="R870" s="314">
        <v>0</v>
      </c>
      <c r="S870" s="366">
        <v>0</v>
      </c>
      <c r="T870" s="63"/>
      <c r="U870" s="10" t="s">
        <v>1628</v>
      </c>
      <c r="V870" s="90"/>
      <c r="W870" s="91"/>
      <c r="X870" s="92"/>
    </row>
    <row r="871" spans="1:25" s="260" customFormat="1">
      <c r="A871" s="261">
        <v>0.05</v>
      </c>
      <c r="B871" s="87">
        <f t="shared" ref="B871:B877" si="92">B870+1</f>
        <v>3</v>
      </c>
      <c r="C871" s="274">
        <v>45874</v>
      </c>
      <c r="D871" s="327">
        <v>72064</v>
      </c>
      <c r="E871" s="276" t="s">
        <v>998</v>
      </c>
      <c r="F871" s="277">
        <v>1138</v>
      </c>
      <c r="G871" s="277">
        <v>39.700000000000003</v>
      </c>
      <c r="H871" s="277"/>
      <c r="I871" s="321">
        <f>F871-G871-H871</f>
        <v>1098.3</v>
      </c>
      <c r="J871" s="279"/>
      <c r="K871" s="279">
        <v>1</v>
      </c>
      <c r="L871" s="279">
        <v>1</v>
      </c>
      <c r="M871" s="279"/>
      <c r="N871" s="279">
        <v>1</v>
      </c>
      <c r="O871" s="279">
        <v>1</v>
      </c>
      <c r="P871" s="279">
        <v>1</v>
      </c>
      <c r="Q871" s="322">
        <v>0</v>
      </c>
      <c r="R871" s="322">
        <v>0</v>
      </c>
      <c r="S871" s="328">
        <v>0</v>
      </c>
      <c r="T871" s="63"/>
      <c r="U871" s="94" t="s">
        <v>1540</v>
      </c>
      <c r="V871" s="90"/>
      <c r="W871" s="91"/>
      <c r="X871" s="92"/>
    </row>
    <row r="872" spans="1:25" s="260" customFormat="1">
      <c r="A872" s="261">
        <v>0.05</v>
      </c>
      <c r="B872" s="87">
        <f t="shared" si="92"/>
        <v>4</v>
      </c>
      <c r="C872" s="262">
        <v>45860</v>
      </c>
      <c r="D872" s="263" t="s">
        <v>1522</v>
      </c>
      <c r="E872" s="271" t="s">
        <v>1256</v>
      </c>
      <c r="F872" s="265">
        <v>13770</v>
      </c>
      <c r="G872" s="265">
        <f>39.7+271.4+(133.8)+(7.88+328.49-9.15-0.86-0.98-2.08-46.07+30.69+267.21)+1000</f>
        <v>2020.03</v>
      </c>
      <c r="H872" s="365"/>
      <c r="I872" s="266">
        <f>F872-G872-H872</f>
        <v>11749.97</v>
      </c>
      <c r="J872" s="267" t="s">
        <v>156</v>
      </c>
      <c r="K872" s="267">
        <v>1</v>
      </c>
      <c r="L872" s="267">
        <v>1</v>
      </c>
      <c r="M872" s="267">
        <v>1</v>
      </c>
      <c r="N872" s="267">
        <v>1</v>
      </c>
      <c r="O872" s="314">
        <v>0</v>
      </c>
      <c r="P872" s="267">
        <v>1</v>
      </c>
      <c r="Q872" s="314">
        <v>0</v>
      </c>
      <c r="R872" s="314">
        <v>0</v>
      </c>
      <c r="S872" s="366">
        <v>0</v>
      </c>
      <c r="T872" s="63"/>
      <c r="U872" s="94" t="s">
        <v>1579</v>
      </c>
      <c r="V872" s="90"/>
      <c r="W872" s="136"/>
      <c r="X872" s="137"/>
    </row>
    <row r="873" spans="1:25" s="260" customFormat="1">
      <c r="A873" s="261" t="s">
        <v>619</v>
      </c>
      <c r="B873" s="87">
        <f t="shared" si="92"/>
        <v>5</v>
      </c>
      <c r="C873" s="262">
        <v>45877</v>
      </c>
      <c r="D873" s="263">
        <v>72150</v>
      </c>
      <c r="E873" s="271" t="s">
        <v>769</v>
      </c>
      <c r="F873" s="265">
        <v>44619</v>
      </c>
      <c r="G873" s="265">
        <f>39.7+8800+352+(F873*0.25)+(3*150)</f>
        <v>20796.45</v>
      </c>
      <c r="H873" s="265"/>
      <c r="I873" s="272">
        <f>F873-G873-H873</f>
        <v>23822.55</v>
      </c>
      <c r="J873" s="267" t="s">
        <v>156</v>
      </c>
      <c r="K873" s="267">
        <v>1</v>
      </c>
      <c r="L873" s="267">
        <v>1</v>
      </c>
      <c r="M873" s="267">
        <v>1</v>
      </c>
      <c r="N873" s="267">
        <v>1</v>
      </c>
      <c r="O873" s="267">
        <v>1</v>
      </c>
      <c r="P873" s="267">
        <v>1</v>
      </c>
      <c r="Q873" s="267">
        <v>1</v>
      </c>
      <c r="R873" s="267">
        <v>1</v>
      </c>
      <c r="S873" s="269">
        <v>1</v>
      </c>
      <c r="T873" s="63"/>
      <c r="U873" s="94" t="s">
        <v>1580</v>
      </c>
      <c r="V873" s="90"/>
      <c r="W873" s="91"/>
      <c r="X873" s="137"/>
    </row>
    <row r="874" spans="1:25" s="260" customFormat="1">
      <c r="A874" s="261">
        <v>0.05</v>
      </c>
      <c r="B874" s="87">
        <f t="shared" si="92"/>
        <v>6</v>
      </c>
      <c r="C874" s="262">
        <v>45882</v>
      </c>
      <c r="D874" s="263">
        <v>72282</v>
      </c>
      <c r="E874" s="271" t="s">
        <v>384</v>
      </c>
      <c r="F874" s="265">
        <v>12614</v>
      </c>
      <c r="G874" s="265">
        <f>39.7+(166)+(60.58)+1000</f>
        <v>1266.28</v>
      </c>
      <c r="H874" s="265"/>
      <c r="I874" s="266">
        <f>F874-G874-H874</f>
        <v>11347.72</v>
      </c>
      <c r="J874" s="267" t="s">
        <v>156</v>
      </c>
      <c r="K874" s="267">
        <v>1</v>
      </c>
      <c r="L874" s="267">
        <v>1</v>
      </c>
      <c r="M874" s="267">
        <v>1</v>
      </c>
      <c r="N874" s="267">
        <v>1</v>
      </c>
      <c r="O874" s="267">
        <v>1</v>
      </c>
      <c r="P874" s="267">
        <v>1</v>
      </c>
      <c r="Q874" s="314">
        <v>0</v>
      </c>
      <c r="R874" s="314">
        <v>0</v>
      </c>
      <c r="S874" s="366">
        <v>0</v>
      </c>
      <c r="T874" s="63"/>
      <c r="U874" s="94" t="s">
        <v>1629</v>
      </c>
      <c r="V874" s="90"/>
      <c r="W874" s="136"/>
      <c r="X874" s="137"/>
    </row>
    <row r="875" spans="1:25" s="342" customFormat="1">
      <c r="A875" s="261" t="s">
        <v>1183</v>
      </c>
      <c r="B875" s="87">
        <f t="shared" si="92"/>
        <v>7</v>
      </c>
      <c r="C875" s="262">
        <v>45880</v>
      </c>
      <c r="D875" s="263" t="s">
        <v>1575</v>
      </c>
      <c r="E875" s="271" t="s">
        <v>798</v>
      </c>
      <c r="F875" s="265">
        <v>28614</v>
      </c>
      <c r="G875" s="265">
        <f>39.7+87+2114.68+(88.79+147.25+67.07+175.66+38+31.51+60)+(287.36+46.46+263.98-60+165.31)+(F875*0.2)</f>
        <v>9275.57</v>
      </c>
      <c r="H875" s="265"/>
      <c r="I875" s="266">
        <f>F875-G875-H875</f>
        <v>19338.43</v>
      </c>
      <c r="J875" s="267" t="s">
        <v>156</v>
      </c>
      <c r="K875" s="267">
        <v>1</v>
      </c>
      <c r="L875" s="267">
        <v>1</v>
      </c>
      <c r="M875" s="267">
        <v>1</v>
      </c>
      <c r="N875" s="314">
        <v>0</v>
      </c>
      <c r="O875" s="314">
        <v>0</v>
      </c>
      <c r="P875" s="314">
        <v>0</v>
      </c>
      <c r="Q875" s="267">
        <v>1</v>
      </c>
      <c r="R875" s="267">
        <v>1</v>
      </c>
      <c r="S875" s="269">
        <v>1</v>
      </c>
      <c r="T875" s="63"/>
      <c r="U875" s="94" t="s">
        <v>1603</v>
      </c>
      <c r="V875" s="90"/>
      <c r="W875" s="91"/>
      <c r="X875" s="137"/>
      <c r="Y875" s="260"/>
    </row>
    <row r="876" spans="1:25" s="260" customFormat="1">
      <c r="A876" s="261" t="s">
        <v>619</v>
      </c>
      <c r="B876" s="87">
        <f t="shared" si="92"/>
        <v>8</v>
      </c>
      <c r="C876" s="282">
        <v>45889</v>
      </c>
      <c r="D876" s="368">
        <v>72498</v>
      </c>
      <c r="E876" s="283" t="s">
        <v>769</v>
      </c>
      <c r="F876" s="284">
        <v>22618</v>
      </c>
      <c r="G876" s="284">
        <f>39.7+830.8+(94.29+28.45)+2000</f>
        <v>2993.24</v>
      </c>
      <c r="H876" s="284"/>
      <c r="I876" s="285">
        <f>F876-G876-H876</f>
        <v>19624.760000000002</v>
      </c>
      <c r="J876" s="286" t="s">
        <v>228</v>
      </c>
      <c r="K876" s="286">
        <v>1</v>
      </c>
      <c r="L876" s="286">
        <v>1</v>
      </c>
      <c r="M876" s="286">
        <v>1</v>
      </c>
      <c r="N876" s="286">
        <v>1</v>
      </c>
      <c r="O876" s="286">
        <v>1</v>
      </c>
      <c r="P876" s="286">
        <v>1</v>
      </c>
      <c r="Q876" s="286">
        <v>1</v>
      </c>
      <c r="R876" s="286">
        <v>1</v>
      </c>
      <c r="S876" s="287">
        <v>1</v>
      </c>
      <c r="T876" s="63"/>
      <c r="U876" s="94" t="s">
        <v>1635</v>
      </c>
      <c r="V876" s="90"/>
      <c r="W876" s="136"/>
      <c r="X876" s="137"/>
    </row>
    <row r="877" spans="1:25" s="181" customFormat="1">
      <c r="A877" s="261">
        <v>0.05</v>
      </c>
      <c r="B877" s="87">
        <f t="shared" si="92"/>
        <v>9</v>
      </c>
      <c r="C877" s="262">
        <v>45894</v>
      </c>
      <c r="D877" s="263">
        <v>72581</v>
      </c>
      <c r="E877" s="271" t="s">
        <v>1623</v>
      </c>
      <c r="F877" s="265">
        <v>5814</v>
      </c>
      <c r="G877" s="265">
        <f>39.7+446.6+(847.11)+250</f>
        <v>1583.41</v>
      </c>
      <c r="H877" s="265"/>
      <c r="I877" s="272">
        <f>F877-G877-H877</f>
        <v>4230.59</v>
      </c>
      <c r="J877" s="267" t="s">
        <v>228</v>
      </c>
      <c r="K877" s="267">
        <v>1</v>
      </c>
      <c r="L877" s="267">
        <v>1</v>
      </c>
      <c r="M877" s="267">
        <v>1</v>
      </c>
      <c r="N877" s="267">
        <v>1</v>
      </c>
      <c r="O877" s="267">
        <v>1</v>
      </c>
      <c r="P877" s="267">
        <v>1</v>
      </c>
      <c r="Q877" s="267">
        <v>1</v>
      </c>
      <c r="R877" s="267">
        <v>1</v>
      </c>
      <c r="S877" s="269">
        <v>1</v>
      </c>
      <c r="T877" s="63"/>
      <c r="U877" s="94" t="s">
        <v>1624</v>
      </c>
      <c r="V877" s="90"/>
      <c r="W877" s="136"/>
      <c r="X877" s="137"/>
      <c r="Y877" s="260"/>
    </row>
    <row r="878" spans="1:25" s="434" customFormat="1" ht="13.5">
      <c r="A878" s="10"/>
      <c r="B878" s="11"/>
      <c r="C878" s="36"/>
      <c r="D878" s="10"/>
      <c r="E878" s="10"/>
      <c r="F878" s="98">
        <f>SUM(F869:F877)</f>
        <v>133006</v>
      </c>
      <c r="G878" s="98">
        <f>SUM(G869:G877)</f>
        <v>38054.080000000002</v>
      </c>
      <c r="H878" s="98">
        <f>SUM(H869:H877)</f>
        <v>0</v>
      </c>
      <c r="I878" s="98">
        <f>SUM(I869:I877)</f>
        <v>94951.920000000013</v>
      </c>
      <c r="J878" s="63"/>
      <c r="K878" s="21"/>
      <c r="L878" s="21"/>
      <c r="M878" s="21"/>
      <c r="N878" s="21"/>
      <c r="O878" s="21"/>
      <c r="P878" s="21"/>
      <c r="Q878" s="21"/>
      <c r="R878" s="21"/>
      <c r="S878" s="21"/>
      <c r="T878" s="63"/>
      <c r="U878" s="10"/>
      <c r="V878" s="90"/>
      <c r="W878" s="91"/>
      <c r="X878" s="92"/>
    </row>
    <row r="879" spans="1:25" s="434" customFormat="1" ht="13.5">
      <c r="A879" s="10"/>
      <c r="B879" s="11"/>
      <c r="C879" s="36"/>
      <c r="D879" s="10"/>
      <c r="E879" s="10"/>
      <c r="F879" s="88"/>
      <c r="G879" s="88"/>
      <c r="H879" s="88"/>
      <c r="I879" s="99"/>
      <c r="J879" s="63"/>
      <c r="K879" s="21"/>
      <c r="L879" s="21"/>
      <c r="M879" s="21"/>
      <c r="N879" s="21"/>
      <c r="O879" s="21"/>
      <c r="P879" s="21"/>
      <c r="Q879" s="21"/>
      <c r="R879" s="21"/>
      <c r="S879" s="21"/>
      <c r="T879" s="63"/>
      <c r="U879" s="10"/>
      <c r="V879" s="90"/>
      <c r="W879" s="91"/>
      <c r="X879" s="92"/>
    </row>
    <row r="880" spans="1:25" s="260" customFormat="1">
      <c r="A880" s="181"/>
      <c r="B880" s="100" t="s">
        <v>1521</v>
      </c>
      <c r="C880" s="36"/>
      <c r="D880" s="10"/>
      <c r="E880" s="181"/>
      <c r="F880" s="88"/>
      <c r="G880" s="88"/>
      <c r="H880" s="88"/>
      <c r="I880" s="99"/>
      <c r="J880" s="63"/>
      <c r="K880" s="21"/>
      <c r="L880" s="21"/>
      <c r="M880" s="21"/>
      <c r="N880" s="21"/>
      <c r="O880" s="21"/>
      <c r="P880" s="21"/>
      <c r="Q880" s="21"/>
      <c r="R880" s="21"/>
      <c r="S880" s="21"/>
      <c r="T880" s="63"/>
      <c r="U880" s="94"/>
      <c r="V880" s="90"/>
      <c r="W880" s="91"/>
      <c r="X880" s="92"/>
    </row>
    <row r="881" spans="1:24" s="260" customFormat="1">
      <c r="A881" s="261">
        <v>0.05</v>
      </c>
      <c r="B881" s="87">
        <v>1</v>
      </c>
      <c r="C881" s="274">
        <v>45889</v>
      </c>
      <c r="D881" s="327">
        <v>72473</v>
      </c>
      <c r="E881" s="276" t="s">
        <v>384</v>
      </c>
      <c r="F881" s="277">
        <v>20352.599999999999</v>
      </c>
      <c r="G881" s="277">
        <f>39.7+1158.5+330+698.2+1074.8+910.2+(131.46+39.56+458.93+229.4+124.76-77.28+55.97)+(199.57+15.62)+2000</f>
        <v>7389.3899999999994</v>
      </c>
      <c r="H881" s="277"/>
      <c r="I881" s="278">
        <f>F881-G881-H881</f>
        <v>12963.21</v>
      </c>
      <c r="J881" s="279" t="s">
        <v>228</v>
      </c>
      <c r="K881" s="279">
        <v>1</v>
      </c>
      <c r="L881" s="279"/>
      <c r="M881" s="279">
        <v>1</v>
      </c>
      <c r="N881" s="279">
        <v>1</v>
      </c>
      <c r="O881" s="279">
        <v>1</v>
      </c>
      <c r="P881" s="279">
        <v>1</v>
      </c>
      <c r="Q881" s="279"/>
      <c r="R881" s="279"/>
      <c r="S881" s="280"/>
      <c r="T881" s="63"/>
      <c r="U881" s="94" t="s">
        <v>1690</v>
      </c>
      <c r="V881" s="90">
        <f>14187.86</f>
        <v>14187.86</v>
      </c>
      <c r="W881" s="136"/>
      <c r="X881" s="137"/>
    </row>
    <row r="882" spans="1:24" s="260" customFormat="1">
      <c r="A882" s="261" t="s">
        <v>548</v>
      </c>
      <c r="B882" s="87">
        <f>B881+1</f>
        <v>2</v>
      </c>
      <c r="C882" s="262">
        <v>45895</v>
      </c>
      <c r="D882" s="263">
        <v>72566</v>
      </c>
      <c r="E882" s="271" t="s">
        <v>833</v>
      </c>
      <c r="F882" s="265">
        <v>1861</v>
      </c>
      <c r="G882" s="265">
        <f>39.7+485</f>
        <v>524.70000000000005</v>
      </c>
      <c r="H882" s="265"/>
      <c r="I882" s="272">
        <f>F882-G882-H882</f>
        <v>1336.3</v>
      </c>
      <c r="J882" s="267" t="s">
        <v>156</v>
      </c>
      <c r="K882" s="267">
        <v>1</v>
      </c>
      <c r="L882" s="267"/>
      <c r="M882" s="267">
        <v>1</v>
      </c>
      <c r="N882" s="267">
        <v>1</v>
      </c>
      <c r="O882" s="267">
        <v>1</v>
      </c>
      <c r="P882" s="267">
        <v>1</v>
      </c>
      <c r="Q882" s="267"/>
      <c r="R882" s="267"/>
      <c r="S882" s="269"/>
      <c r="T882" s="63"/>
      <c r="U882" s="94" t="s">
        <v>1691</v>
      </c>
      <c r="V882" s="90"/>
      <c r="W882" s="136"/>
      <c r="X882" s="137"/>
    </row>
    <row r="883" spans="1:24" s="260" customFormat="1">
      <c r="A883" s="181"/>
      <c r="B883" s="11"/>
      <c r="C883" s="36"/>
      <c r="D883" s="10"/>
      <c r="E883" s="10"/>
      <c r="F883" s="97">
        <f>SUM(F881:F882)</f>
        <v>22213.599999999999</v>
      </c>
      <c r="G883" s="97">
        <f t="shared" ref="G883:I883" si="93">SUM(G881:G882)</f>
        <v>7914.0899999999992</v>
      </c>
      <c r="H883" s="97">
        <f t="shared" si="93"/>
        <v>0</v>
      </c>
      <c r="I883" s="97">
        <f t="shared" si="93"/>
        <v>14299.509999999998</v>
      </c>
      <c r="J883" s="63"/>
      <c r="K883" s="21"/>
      <c r="L883" s="21"/>
      <c r="M883" s="21"/>
      <c r="N883" s="21"/>
      <c r="O883" s="21"/>
      <c r="P883" s="21"/>
      <c r="Q883" s="21"/>
      <c r="R883" s="21"/>
      <c r="S883" s="21"/>
      <c r="T883" s="63"/>
      <c r="U883" s="94"/>
      <c r="V883" s="90"/>
      <c r="W883" s="91"/>
      <c r="X883" s="92"/>
    </row>
    <row r="884" spans="1:24" s="260" customFormat="1">
      <c r="A884" s="181"/>
      <c r="B884" s="11"/>
      <c r="C884" s="36"/>
      <c r="D884" s="10"/>
      <c r="E884" s="10"/>
      <c r="F884" s="88"/>
      <c r="G884" s="88"/>
      <c r="H884" s="88"/>
      <c r="I884" s="99"/>
      <c r="J884" s="63"/>
      <c r="K884" s="21"/>
      <c r="L884" s="21"/>
      <c r="M884" s="21"/>
      <c r="N884" s="21"/>
      <c r="O884" s="21"/>
      <c r="P884" s="21"/>
      <c r="Q884" s="21"/>
      <c r="R884" s="21"/>
      <c r="S884" s="21"/>
      <c r="T884" s="63"/>
      <c r="U884" s="94"/>
      <c r="V884" s="90"/>
      <c r="W884" s="91"/>
      <c r="X884" s="92"/>
    </row>
    <row r="885" spans="1:24" s="2" customFormat="1">
      <c r="A885" s="614"/>
      <c r="B885" s="100" t="s">
        <v>72</v>
      </c>
      <c r="C885" s="609"/>
      <c r="D885" s="10"/>
      <c r="E885" s="10"/>
      <c r="F885" s="88"/>
      <c r="G885" s="88"/>
      <c r="H885" s="88"/>
      <c r="I885" s="99"/>
      <c r="J885" s="63"/>
      <c r="K885" s="63"/>
      <c r="L885" s="63"/>
      <c r="M885" s="63"/>
      <c r="N885" s="63"/>
      <c r="O885" s="63"/>
      <c r="P885" s="63"/>
      <c r="Q885" s="63"/>
      <c r="R885" s="63"/>
      <c r="S885" s="63"/>
      <c r="T885" s="63"/>
      <c r="U885" s="94"/>
      <c r="V885" s="90"/>
      <c r="W885" s="91"/>
      <c r="X885" s="92"/>
    </row>
    <row r="886" spans="1:24" s="2" customFormat="1">
      <c r="A886" s="614"/>
      <c r="B886" s="87">
        <v>1</v>
      </c>
      <c r="C886" s="638">
        <v>45908</v>
      </c>
      <c r="D886" s="276">
        <v>73081</v>
      </c>
      <c r="E886" s="276" t="s">
        <v>512</v>
      </c>
      <c r="F886" s="277">
        <v>0</v>
      </c>
      <c r="G886" s="277">
        <v>0</v>
      </c>
      <c r="H886" s="277"/>
      <c r="I886" s="278">
        <f>F886-G886-H886</f>
        <v>0</v>
      </c>
      <c r="J886" s="279" t="s">
        <v>205</v>
      </c>
      <c r="K886" s="279"/>
      <c r="L886" s="279"/>
      <c r="M886" s="279"/>
      <c r="N886" s="279"/>
      <c r="O886" s="279"/>
      <c r="P886" s="279"/>
      <c r="Q886" s="279"/>
      <c r="R886" s="279"/>
      <c r="S886" s="280"/>
      <c r="T886" s="63"/>
      <c r="U886" s="164"/>
      <c r="V886" s="90"/>
      <c r="W886" s="91"/>
      <c r="X886" s="92"/>
    </row>
    <row r="887" spans="1:24" s="2" customFormat="1">
      <c r="A887" s="614"/>
      <c r="B887" s="87">
        <f>B886+1</f>
        <v>2</v>
      </c>
      <c r="C887" s="639">
        <v>45908</v>
      </c>
      <c r="D887" s="10" t="s">
        <v>1692</v>
      </c>
      <c r="E887" s="10" t="s">
        <v>370</v>
      </c>
      <c r="F887" s="62">
        <v>16214</v>
      </c>
      <c r="G887" s="62">
        <f>39.7</f>
        <v>39.700000000000003</v>
      </c>
      <c r="H887" s="62"/>
      <c r="I887" s="89">
        <f>F887-G887-H887</f>
        <v>16174.3</v>
      </c>
      <c r="J887" s="63" t="s">
        <v>156</v>
      </c>
      <c r="K887" s="63">
        <v>1</v>
      </c>
      <c r="L887" s="63"/>
      <c r="M887" s="63">
        <v>1</v>
      </c>
      <c r="N887" s="63">
        <v>1</v>
      </c>
      <c r="O887" s="63">
        <v>1</v>
      </c>
      <c r="P887" s="63">
        <v>1</v>
      </c>
      <c r="Q887" s="63"/>
      <c r="R887" s="63"/>
      <c r="S887" s="296"/>
      <c r="T887" s="63"/>
      <c r="U887" s="94" t="s">
        <v>1693</v>
      </c>
      <c r="V887" s="90">
        <f>1800</f>
        <v>1800</v>
      </c>
      <c r="W887" s="136"/>
      <c r="X887" s="137"/>
    </row>
    <row r="888" spans="1:24" s="2" customFormat="1">
      <c r="A888" s="614"/>
      <c r="B888" s="87">
        <f t="shared" ref="B888:B894" si="94">B887+1</f>
        <v>3</v>
      </c>
      <c r="C888" s="638">
        <v>45911</v>
      </c>
      <c r="D888" s="276" t="s">
        <v>1694</v>
      </c>
      <c r="E888" s="276" t="s">
        <v>746</v>
      </c>
      <c r="F888" s="277">
        <v>1681</v>
      </c>
      <c r="G888" s="277">
        <v>39.700000000000003</v>
      </c>
      <c r="H888" s="277"/>
      <c r="I888" s="278">
        <f t="shared" ref="I888:I894" si="95">F888-G888-H888</f>
        <v>1641.3</v>
      </c>
      <c r="J888" s="279" t="s">
        <v>205</v>
      </c>
      <c r="K888" s="279">
        <v>1</v>
      </c>
      <c r="L888" s="279"/>
      <c r="M888" s="279"/>
      <c r="N888" s="279">
        <v>1</v>
      </c>
      <c r="O888" s="279"/>
      <c r="P888" s="279"/>
      <c r="Q888" s="279"/>
      <c r="R888" s="279"/>
      <c r="S888" s="280"/>
      <c r="T888" s="63"/>
      <c r="U888" s="164"/>
      <c r="V888" s="90"/>
      <c r="W888" s="136"/>
      <c r="X888" s="137"/>
    </row>
    <row r="889" spans="1:24" s="2" customFormat="1">
      <c r="A889" s="614"/>
      <c r="B889" s="87">
        <f t="shared" si="94"/>
        <v>4</v>
      </c>
      <c r="C889" s="639">
        <v>45911</v>
      </c>
      <c r="D889" s="10">
        <v>73245</v>
      </c>
      <c r="E889" s="10" t="s">
        <v>464</v>
      </c>
      <c r="F889" s="62">
        <v>2261</v>
      </c>
      <c r="G889" s="62">
        <v>39.700000000000003</v>
      </c>
      <c r="H889" s="62"/>
      <c r="I889" s="89">
        <f t="shared" si="95"/>
        <v>2221.3000000000002</v>
      </c>
      <c r="J889" s="63" t="s">
        <v>205</v>
      </c>
      <c r="K889" s="63">
        <v>1</v>
      </c>
      <c r="L889" s="63"/>
      <c r="M889" s="63"/>
      <c r="N889" s="63">
        <v>1</v>
      </c>
      <c r="O889" s="63"/>
      <c r="P889" s="63"/>
      <c r="Q889" s="63">
        <v>1</v>
      </c>
      <c r="R889" s="63">
        <v>1</v>
      </c>
      <c r="S889" s="296">
        <v>1</v>
      </c>
      <c r="T889" s="63"/>
      <c r="U889" s="94"/>
      <c r="V889" s="90"/>
      <c r="W889" s="136"/>
      <c r="X889" s="137"/>
    </row>
    <row r="890" spans="1:24" s="2" customFormat="1">
      <c r="A890" s="614"/>
      <c r="B890" s="87">
        <f t="shared" si="94"/>
        <v>5</v>
      </c>
      <c r="C890" s="639">
        <v>45911</v>
      </c>
      <c r="D890" s="10">
        <v>73220</v>
      </c>
      <c r="E890" s="101" t="s">
        <v>596</v>
      </c>
      <c r="F890" s="62">
        <v>681</v>
      </c>
      <c r="G890" s="62"/>
      <c r="H890" s="62"/>
      <c r="I890" s="89">
        <f t="shared" si="95"/>
        <v>681</v>
      </c>
      <c r="J890" s="63" t="s">
        <v>205</v>
      </c>
      <c r="K890" s="63"/>
      <c r="L890" s="63"/>
      <c r="M890" s="63"/>
      <c r="N890" s="63">
        <v>1</v>
      </c>
      <c r="O890" s="63"/>
      <c r="P890" s="63"/>
      <c r="Q890" s="63">
        <v>1</v>
      </c>
      <c r="R890" s="63">
        <v>1</v>
      </c>
      <c r="S890" s="296"/>
      <c r="T890" s="63"/>
      <c r="U890" s="94"/>
      <c r="V890" s="90"/>
      <c r="W890" s="136"/>
      <c r="X890" s="137"/>
    </row>
    <row r="891" spans="1:24" s="2" customFormat="1">
      <c r="A891" s="614"/>
      <c r="B891" s="87">
        <f t="shared" si="94"/>
        <v>6</v>
      </c>
      <c r="C891" s="638">
        <v>45912</v>
      </c>
      <c r="D891" s="276">
        <v>73271</v>
      </c>
      <c r="E891" s="281" t="s">
        <v>218</v>
      </c>
      <c r="F891" s="277">
        <v>1261</v>
      </c>
      <c r="G891" s="277">
        <v>39.700000000000003</v>
      </c>
      <c r="H891" s="277"/>
      <c r="I891" s="278">
        <f t="shared" si="95"/>
        <v>1221.3</v>
      </c>
      <c r="J891" s="279" t="s">
        <v>205</v>
      </c>
      <c r="K891" s="279">
        <v>1</v>
      </c>
      <c r="L891" s="279"/>
      <c r="M891" s="279"/>
      <c r="N891" s="279">
        <v>1</v>
      </c>
      <c r="O891" s="279"/>
      <c r="P891" s="279"/>
      <c r="Q891" s="279">
        <v>1</v>
      </c>
      <c r="R891" s="279">
        <v>1</v>
      </c>
      <c r="S891" s="280"/>
      <c r="T891" s="63"/>
      <c r="U891" s="94"/>
      <c r="V891" s="90"/>
      <c r="W891" s="136"/>
      <c r="X891" s="137"/>
    </row>
    <row r="892" spans="1:24" s="2" customFormat="1">
      <c r="A892" s="614"/>
      <c r="B892" s="87">
        <f t="shared" si="94"/>
        <v>7</v>
      </c>
      <c r="C892" s="639">
        <v>45912</v>
      </c>
      <c r="D892" s="10">
        <v>73263</v>
      </c>
      <c r="E892" s="101" t="s">
        <v>604</v>
      </c>
      <c r="F892" s="62">
        <v>0</v>
      </c>
      <c r="G892" s="62">
        <v>0</v>
      </c>
      <c r="H892" s="62"/>
      <c r="I892" s="89">
        <f t="shared" si="95"/>
        <v>0</v>
      </c>
      <c r="J892" s="63" t="s">
        <v>219</v>
      </c>
      <c r="K892" s="63">
        <v>1</v>
      </c>
      <c r="L892" s="63"/>
      <c r="M892" s="63"/>
      <c r="N892" s="63"/>
      <c r="O892" s="63"/>
      <c r="P892" s="63"/>
      <c r="Q892" s="63"/>
      <c r="R892" s="63"/>
      <c r="S892" s="296"/>
      <c r="U892" s="94"/>
      <c r="V892" s="90"/>
      <c r="W892" s="136"/>
      <c r="X892" s="137"/>
    </row>
    <row r="893" spans="1:24" s="2" customFormat="1">
      <c r="A893" s="614"/>
      <c r="B893" s="87">
        <f t="shared" si="94"/>
        <v>8</v>
      </c>
      <c r="C893" s="639">
        <v>45912</v>
      </c>
      <c r="D893" s="10">
        <v>73276</v>
      </c>
      <c r="E893" s="101" t="s">
        <v>191</v>
      </c>
      <c r="F893" s="62">
        <v>3312.9</v>
      </c>
      <c r="G893" s="62">
        <v>39.700000000000003</v>
      </c>
      <c r="H893" s="62"/>
      <c r="I893" s="89">
        <f t="shared" si="95"/>
        <v>3273.2000000000003</v>
      </c>
      <c r="J893" s="63" t="s">
        <v>205</v>
      </c>
      <c r="K893" s="63">
        <v>1</v>
      </c>
      <c r="L893" s="63"/>
      <c r="M893" s="63"/>
      <c r="N893" s="63">
        <v>1</v>
      </c>
      <c r="O893" s="63"/>
      <c r="P893" s="63"/>
      <c r="Q893" s="63">
        <v>1</v>
      </c>
      <c r="R893" s="63">
        <v>1</v>
      </c>
      <c r="S893" s="296"/>
      <c r="T893" s="21">
        <v>1</v>
      </c>
      <c r="U893" s="94"/>
      <c r="V893" s="90"/>
      <c r="W893" s="136"/>
      <c r="X893" s="137"/>
    </row>
    <row r="894" spans="1:24" s="2" customFormat="1">
      <c r="A894" s="614"/>
      <c r="B894" s="87">
        <f t="shared" si="94"/>
        <v>9</v>
      </c>
      <c r="C894" s="640">
        <v>45912</v>
      </c>
      <c r="D894" s="283">
        <v>73230</v>
      </c>
      <c r="E894" s="319" t="s">
        <v>1695</v>
      </c>
      <c r="F894" s="284">
        <v>5232.6000000000004</v>
      </c>
      <c r="G894" s="284">
        <v>39.700000000000003</v>
      </c>
      <c r="H894" s="284"/>
      <c r="I894" s="285">
        <f t="shared" si="95"/>
        <v>5192.9000000000005</v>
      </c>
      <c r="J894" s="286" t="s">
        <v>205</v>
      </c>
      <c r="K894" s="286">
        <v>1</v>
      </c>
      <c r="L894" s="286"/>
      <c r="M894" s="286"/>
      <c r="N894" s="286">
        <v>1</v>
      </c>
      <c r="O894" s="286"/>
      <c r="P894" s="286"/>
      <c r="Q894" s="286">
        <v>1</v>
      </c>
      <c r="R894" s="286">
        <v>1</v>
      </c>
      <c r="S894" s="287"/>
      <c r="T894" s="63"/>
      <c r="U894" s="94"/>
      <c r="V894" s="90"/>
      <c r="W894" s="136"/>
      <c r="X894" s="137"/>
    </row>
    <row r="895" spans="1:24" s="2" customFormat="1">
      <c r="A895" s="614"/>
      <c r="B895" s="11"/>
      <c r="C895" s="621"/>
      <c r="D895" s="10"/>
      <c r="E895" s="10"/>
      <c r="F895" s="97">
        <f>SUM(F886:F894)</f>
        <v>30643.5</v>
      </c>
      <c r="G895" s="97">
        <f>SUM(G886:G894)</f>
        <v>238.2</v>
      </c>
      <c r="H895" s="97">
        <f>SUM(H886:H894)</f>
        <v>0</v>
      </c>
      <c r="I895" s="98">
        <f>SUM(I886:I894)</f>
        <v>30405.3</v>
      </c>
      <c r="J895" s="10"/>
      <c r="K895" s="10"/>
      <c r="L895" s="10"/>
      <c r="M895" s="10"/>
      <c r="N895" s="10"/>
      <c r="O895" s="10"/>
      <c r="P895" s="10"/>
      <c r="Q895" s="10"/>
      <c r="R895" s="10"/>
      <c r="S895" s="10"/>
      <c r="T895" s="63"/>
      <c r="U895" s="94"/>
      <c r="V895" s="90"/>
      <c r="W895" s="91"/>
      <c r="X895" s="92"/>
    </row>
    <row r="896" spans="1:24" s="2" customFormat="1">
      <c r="A896" s="614"/>
      <c r="B896" s="26"/>
      <c r="C896" s="612"/>
      <c r="D896" s="141"/>
      <c r="E896" s="141"/>
      <c r="F896" s="141"/>
      <c r="G896" s="141"/>
      <c r="H896" s="141"/>
      <c r="I896" s="141"/>
      <c r="J896" s="141"/>
      <c r="K896" s="142"/>
      <c r="L896" s="142"/>
      <c r="M896" s="142"/>
      <c r="N896" s="142"/>
      <c r="O896" s="142"/>
      <c r="P896" s="142"/>
      <c r="Q896" s="142"/>
      <c r="R896" s="142"/>
      <c r="S896" s="142"/>
      <c r="T896" s="143">
        <f>SUM(T835:T895)</f>
        <v>7</v>
      </c>
      <c r="U896" s="168"/>
      <c r="V896" s="144">
        <f>SUM(V835:V895)</f>
        <v>49700.749999999993</v>
      </c>
      <c r="W896" s="145">
        <f>SUM(W835:W895)</f>
        <v>0</v>
      </c>
      <c r="X896" s="146">
        <f>SUM(X835:X895)</f>
        <v>21469.02</v>
      </c>
    </row>
    <row r="899" spans="1:25">
      <c r="A899" s="616" t="s">
        <v>74</v>
      </c>
      <c r="B899" s="4" t="s">
        <v>1</v>
      </c>
      <c r="C899" s="5"/>
      <c r="D899" s="83"/>
      <c r="E899" s="6"/>
      <c r="F899" s="7" t="s">
        <v>2</v>
      </c>
      <c r="G899" s="608">
        <v>45921</v>
      </c>
      <c r="H899" s="7"/>
      <c r="I899" s="6"/>
      <c r="J899" s="6"/>
      <c r="K899" s="6"/>
      <c r="L899" s="6"/>
      <c r="M899" s="6"/>
      <c r="N899" s="6"/>
      <c r="O899" s="6"/>
      <c r="P899" s="6"/>
      <c r="Q899" s="6"/>
      <c r="R899" s="6"/>
      <c r="S899" s="6"/>
      <c r="T899" s="6"/>
      <c r="U899" s="149"/>
      <c r="V899" s="77"/>
      <c r="W899" s="77"/>
      <c r="X899" s="77"/>
      <c r="Y899" s="2"/>
    </row>
    <row r="900" spans="1:25">
      <c r="A900" s="617" t="s">
        <v>75</v>
      </c>
      <c r="B900" s="11"/>
      <c r="C900" s="10"/>
      <c r="D900" s="63"/>
      <c r="E900" s="10"/>
      <c r="F900" s="10"/>
      <c r="G900" s="7"/>
      <c r="H900" s="12"/>
      <c r="I900" s="10"/>
      <c r="J900" s="10"/>
      <c r="K900" s="13" t="s">
        <v>3</v>
      </c>
      <c r="L900" s="14"/>
      <c r="M900" s="15"/>
      <c r="N900" s="13" t="s">
        <v>4</v>
      </c>
      <c r="O900" s="14"/>
      <c r="P900" s="15"/>
      <c r="Q900" s="13" t="s">
        <v>5</v>
      </c>
      <c r="R900" s="14"/>
      <c r="S900" s="15"/>
      <c r="T900" s="16"/>
      <c r="U900" s="151"/>
      <c r="V900" s="77"/>
      <c r="W900" s="77"/>
      <c r="X900" s="77"/>
      <c r="Y900" s="2"/>
    </row>
    <row r="901" spans="1:25">
      <c r="A901" s="616" t="s">
        <v>76</v>
      </c>
      <c r="B901" s="18" t="s">
        <v>6</v>
      </c>
      <c r="C901" s="19">
        <f>C902+C903</f>
        <v>30</v>
      </c>
      <c r="D901" s="63"/>
      <c r="E901" s="18" t="s">
        <v>7</v>
      </c>
      <c r="F901" s="6"/>
      <c r="G901" s="9"/>
      <c r="H901" s="10"/>
      <c r="I901" s="10"/>
      <c r="J901" s="10"/>
      <c r="K901" s="20" t="s">
        <v>8</v>
      </c>
      <c r="L901" s="21" t="s">
        <v>9</v>
      </c>
      <c r="M901" s="21" t="s">
        <v>10</v>
      </c>
      <c r="N901" s="20" t="s">
        <v>11</v>
      </c>
      <c r="O901" s="21" t="s">
        <v>12</v>
      </c>
      <c r="P901" s="22" t="s">
        <v>13</v>
      </c>
      <c r="Q901" s="21" t="s">
        <v>11</v>
      </c>
      <c r="R901" s="21" t="s">
        <v>12</v>
      </c>
      <c r="S901" s="22" t="s">
        <v>13</v>
      </c>
      <c r="T901" s="23" t="s">
        <v>14</v>
      </c>
      <c r="U901" s="151"/>
      <c r="V901" s="77"/>
      <c r="W901" s="77"/>
      <c r="X901" s="77"/>
      <c r="Y901" s="2"/>
    </row>
    <row r="902" spans="1:25">
      <c r="A902" s="652" t="s">
        <v>77</v>
      </c>
      <c r="B902" s="24" t="s">
        <v>15</v>
      </c>
      <c r="C902" s="25">
        <f>P909</f>
        <v>14</v>
      </c>
      <c r="D902" s="63"/>
      <c r="E902" s="11" t="s">
        <v>16</v>
      </c>
      <c r="F902" s="10" t="s">
        <v>78</v>
      </c>
      <c r="G902" s="153">
        <v>0.05</v>
      </c>
      <c r="H902" s="10"/>
      <c r="I902" s="10"/>
      <c r="J902" s="18" t="s">
        <v>17</v>
      </c>
      <c r="K902" s="29">
        <f>K939</f>
        <v>11</v>
      </c>
      <c r="L902" s="29">
        <f t="shared" ref="L902:S902" si="96">L939</f>
        <v>10</v>
      </c>
      <c r="M902" s="29">
        <f t="shared" si="96"/>
        <v>10</v>
      </c>
      <c r="N902" s="29">
        <f t="shared" si="96"/>
        <v>11</v>
      </c>
      <c r="O902" s="29">
        <f t="shared" si="96"/>
        <v>11</v>
      </c>
      <c r="P902" s="29">
        <f t="shared" si="96"/>
        <v>10</v>
      </c>
      <c r="Q902" s="29">
        <f t="shared" si="96"/>
        <v>10</v>
      </c>
      <c r="R902" s="29">
        <f t="shared" si="96"/>
        <v>10</v>
      </c>
      <c r="S902" s="29">
        <f t="shared" si="96"/>
        <v>7</v>
      </c>
      <c r="T902" s="30">
        <f>T987</f>
        <v>5</v>
      </c>
      <c r="U902" s="151"/>
      <c r="V902" s="77"/>
      <c r="W902" s="77"/>
      <c r="X902" s="77"/>
      <c r="Y902" s="2"/>
    </row>
    <row r="903" spans="1:25">
      <c r="A903" s="652" t="s">
        <v>79</v>
      </c>
      <c r="B903" s="24" t="s">
        <v>18</v>
      </c>
      <c r="C903" s="25">
        <f>P910</f>
        <v>16</v>
      </c>
      <c r="D903" s="63"/>
      <c r="E903" s="26" t="s">
        <v>80</v>
      </c>
      <c r="F903" s="141" t="s">
        <v>81</v>
      </c>
      <c r="G903" s="154">
        <v>0.1</v>
      </c>
      <c r="H903" s="10"/>
      <c r="I903" s="10"/>
      <c r="J903" s="32" t="s">
        <v>19</v>
      </c>
      <c r="K903" s="33">
        <f>K939/K938</f>
        <v>1</v>
      </c>
      <c r="L903" s="33">
        <f t="shared" ref="L903:S903" si="97">L939/L938</f>
        <v>0.90909090909090906</v>
      </c>
      <c r="M903" s="33">
        <f t="shared" si="97"/>
        <v>0.90909090909090906</v>
      </c>
      <c r="N903" s="33">
        <f t="shared" si="97"/>
        <v>1</v>
      </c>
      <c r="O903" s="33">
        <f t="shared" si="97"/>
        <v>1</v>
      </c>
      <c r="P903" s="33">
        <f t="shared" si="97"/>
        <v>0.90909090909090906</v>
      </c>
      <c r="Q903" s="33">
        <f t="shared" si="97"/>
        <v>0.90909090909090906</v>
      </c>
      <c r="R903" s="33">
        <f t="shared" si="97"/>
        <v>0.90909090909090906</v>
      </c>
      <c r="S903" s="33">
        <f t="shared" si="97"/>
        <v>0.63636363636363635</v>
      </c>
      <c r="T903" s="23"/>
      <c r="U903" s="151" t="s">
        <v>20</v>
      </c>
      <c r="V903" s="77"/>
      <c r="W903" s="77"/>
      <c r="X903" s="77"/>
      <c r="Y903" s="2"/>
    </row>
    <row r="904" spans="1:25">
      <c r="A904" s="614"/>
      <c r="B904" s="24" t="s">
        <v>21</v>
      </c>
      <c r="C904" s="34">
        <f>P911</f>
        <v>0.46666666666666667</v>
      </c>
      <c r="D904" s="63"/>
      <c r="E904" s="10"/>
      <c r="F904" s="10"/>
      <c r="G904" s="10"/>
      <c r="H904" s="10"/>
      <c r="I904" s="10"/>
      <c r="J904" s="10"/>
      <c r="K904" s="10"/>
      <c r="L904" s="10"/>
      <c r="M904" s="10"/>
      <c r="N904" s="10"/>
      <c r="O904" s="10"/>
      <c r="P904" s="10"/>
      <c r="Q904" s="10"/>
      <c r="R904" s="10"/>
      <c r="S904" s="10"/>
      <c r="T904" s="10"/>
      <c r="U904" s="151"/>
      <c r="V904" s="77"/>
      <c r="W904" s="77"/>
      <c r="X904" s="77"/>
      <c r="Y904" s="2"/>
    </row>
    <row r="905" spans="1:25">
      <c r="A905" s="614"/>
      <c r="B905" s="24"/>
      <c r="C905" s="25"/>
      <c r="D905" s="63"/>
      <c r="E905" s="10"/>
      <c r="F905" s="18" t="s">
        <v>22</v>
      </c>
      <c r="G905" s="19" t="s">
        <v>23</v>
      </c>
      <c r="H905" s="35" t="s">
        <v>24</v>
      </c>
      <c r="I905" s="10"/>
      <c r="J905" s="10"/>
      <c r="K905" s="36"/>
      <c r="L905" s="36"/>
      <c r="M905" s="36"/>
      <c r="N905" s="36"/>
      <c r="O905" s="36"/>
      <c r="P905" s="36"/>
      <c r="Q905" s="36"/>
      <c r="R905" s="10"/>
      <c r="S905" s="10"/>
      <c r="T905" s="10"/>
      <c r="U905" s="151"/>
      <c r="V905" s="77"/>
      <c r="W905" s="77"/>
      <c r="X905" s="77"/>
      <c r="Y905" s="2"/>
    </row>
    <row r="906" spans="1:25">
      <c r="A906" s="614"/>
      <c r="B906" s="32" t="s">
        <v>25</v>
      </c>
      <c r="C906" s="37">
        <f>P912</f>
        <v>1678.6314285714286</v>
      </c>
      <c r="D906" s="63"/>
      <c r="E906" s="18" t="s">
        <v>26</v>
      </c>
      <c r="F906" s="38">
        <f>P908</f>
        <v>23500.84</v>
      </c>
      <c r="G906" s="39">
        <f>I938+I944+I948</f>
        <v>23500.839999999997</v>
      </c>
      <c r="H906" s="40"/>
      <c r="I906" s="41"/>
      <c r="J906" s="42"/>
      <c r="K906" s="43" t="s">
        <v>27</v>
      </c>
      <c r="L906" s="44"/>
      <c r="M906" s="44"/>
      <c r="N906" s="44"/>
      <c r="O906" s="44"/>
      <c r="P906" s="44"/>
      <c r="Q906" s="45"/>
      <c r="R906" s="46" t="s">
        <v>28</v>
      </c>
      <c r="S906" s="47" t="s">
        <v>29</v>
      </c>
      <c r="T906" s="10"/>
      <c r="U906" s="151"/>
      <c r="V906" s="77"/>
      <c r="W906" s="77"/>
      <c r="X906" s="77"/>
      <c r="Y906" s="2"/>
    </row>
    <row r="907" spans="1:25">
      <c r="A907" s="614"/>
      <c r="B907" s="11"/>
      <c r="C907" s="10"/>
      <c r="D907" s="63"/>
      <c r="E907" s="24" t="s">
        <v>30</v>
      </c>
      <c r="F907" s="48">
        <f>IF(F906&gt;=25000,10%,5%)</f>
        <v>0.05</v>
      </c>
      <c r="G907" s="17"/>
      <c r="H907" s="40"/>
      <c r="I907" s="41"/>
      <c r="J907" s="42"/>
      <c r="K907" s="20" t="s">
        <v>31</v>
      </c>
      <c r="L907" s="21" t="s">
        <v>32</v>
      </c>
      <c r="M907" s="21" t="s">
        <v>33</v>
      </c>
      <c r="N907" s="21" t="s">
        <v>34</v>
      </c>
      <c r="O907" s="21" t="s">
        <v>35</v>
      </c>
      <c r="P907" s="21" t="s">
        <v>36</v>
      </c>
      <c r="Q907" s="49" t="s">
        <v>37</v>
      </c>
      <c r="R907" s="50" t="s">
        <v>38</v>
      </c>
      <c r="S907" s="50" t="s">
        <v>38</v>
      </c>
      <c r="T907" s="10"/>
      <c r="U907" s="151"/>
      <c r="V907" s="77"/>
      <c r="W907" s="77"/>
      <c r="X907" s="77"/>
      <c r="Y907" s="2"/>
    </row>
    <row r="908" spans="1:25">
      <c r="A908" s="614"/>
      <c r="B908" s="11"/>
      <c r="C908" s="10"/>
      <c r="D908" s="63"/>
      <c r="E908" s="51" t="s">
        <v>39</v>
      </c>
      <c r="F908" s="52">
        <f>(F906+F915-I942-I943-I947)*F907</f>
        <v>675.5920000000001</v>
      </c>
      <c r="G908" s="53" t="s">
        <v>40</v>
      </c>
      <c r="H908" s="54">
        <f>F908/1.12</f>
        <v>603.20714285714291</v>
      </c>
      <c r="I908" s="55"/>
      <c r="J908" s="42"/>
      <c r="K908" s="56">
        <f>I927+I928</f>
        <v>1888.83</v>
      </c>
      <c r="L908" s="57">
        <f>I930+I929</f>
        <v>5342.33</v>
      </c>
      <c r="M908" s="57">
        <f>I931+I932+I933+I942</f>
        <v>6828.67</v>
      </c>
      <c r="N908" s="57">
        <f>I934+I935+I943</f>
        <v>2600.6</v>
      </c>
      <c r="O908" s="57">
        <f>I936+I937+I947</f>
        <v>6840.41</v>
      </c>
      <c r="P908" s="57">
        <f>SUM(K908:O908)</f>
        <v>23500.84</v>
      </c>
      <c r="Q908" s="58">
        <v>0</v>
      </c>
      <c r="R908" s="59">
        <f>I944+I948</f>
        <v>9884.5999999999985</v>
      </c>
      <c r="S908" s="59">
        <v>0</v>
      </c>
      <c r="T908" s="10"/>
      <c r="U908" s="151"/>
      <c r="V908" s="77"/>
      <c r="W908" s="77"/>
      <c r="X908" s="77"/>
      <c r="Y908" s="2"/>
    </row>
    <row r="909" spans="1:25">
      <c r="A909" s="614"/>
      <c r="B909" s="11"/>
      <c r="C909" s="10"/>
      <c r="D909" s="63"/>
      <c r="E909" s="24" t="s">
        <v>41</v>
      </c>
      <c r="F909" s="60">
        <f>Q908</f>
        <v>0</v>
      </c>
      <c r="G909" s="61" t="s">
        <v>40</v>
      </c>
      <c r="H909" s="62"/>
      <c r="I909" s="62"/>
      <c r="J909" s="10" t="s">
        <v>42</v>
      </c>
      <c r="K909" s="63">
        <v>2</v>
      </c>
      <c r="L909" s="63">
        <v>2</v>
      </c>
      <c r="M909" s="63">
        <v>4</v>
      </c>
      <c r="N909" s="63">
        <v>3</v>
      </c>
      <c r="O909" s="63">
        <v>3</v>
      </c>
      <c r="P909" s="21">
        <f>SUM(K909:O909)</f>
        <v>14</v>
      </c>
      <c r="Q909" s="64"/>
      <c r="R909" s="63"/>
      <c r="S909" s="10"/>
      <c r="T909" s="10"/>
      <c r="U909" s="151"/>
      <c r="V909" s="77"/>
      <c r="W909" s="77"/>
      <c r="X909" s="77"/>
      <c r="Y909" s="2"/>
    </row>
    <row r="910" spans="1:25">
      <c r="A910" s="614"/>
      <c r="B910" s="11"/>
      <c r="C910" s="10"/>
      <c r="D910" s="63"/>
      <c r="E910" s="51" t="s">
        <v>43</v>
      </c>
      <c r="F910" s="52">
        <f>F909*0.25</f>
        <v>0</v>
      </c>
      <c r="G910" s="53" t="s">
        <v>40</v>
      </c>
      <c r="H910" s="54">
        <f>F910/1.12</f>
        <v>0</v>
      </c>
      <c r="I910" s="10"/>
      <c r="J910" s="10" t="s">
        <v>44</v>
      </c>
      <c r="K910" s="63">
        <v>4</v>
      </c>
      <c r="L910" s="63">
        <v>3</v>
      </c>
      <c r="M910" s="63">
        <v>3</v>
      </c>
      <c r="N910" s="63">
        <v>3</v>
      </c>
      <c r="O910" s="63">
        <v>3</v>
      </c>
      <c r="P910" s="21">
        <f>SUM(K910:O910)</f>
        <v>16</v>
      </c>
      <c r="Q910" s="64"/>
      <c r="R910" s="63"/>
      <c r="S910" s="10"/>
      <c r="T910" s="10"/>
      <c r="U910" s="151"/>
      <c r="V910" s="77"/>
      <c r="W910" s="77"/>
      <c r="X910" s="77"/>
      <c r="Y910" s="2"/>
    </row>
    <row r="911" spans="1:25">
      <c r="A911" s="614"/>
      <c r="B911" s="11"/>
      <c r="C911" s="10"/>
      <c r="D911" s="63"/>
      <c r="E911" s="24" t="s">
        <v>45</v>
      </c>
      <c r="F911" s="60">
        <v>0</v>
      </c>
      <c r="G911" s="61" t="s">
        <v>40</v>
      </c>
      <c r="H911" s="62"/>
      <c r="I911" s="10"/>
      <c r="J911" s="10" t="s">
        <v>46</v>
      </c>
      <c r="K911" s="31">
        <f t="shared" ref="K911:Q911" si="98">K909/(K909+K910)</f>
        <v>0.33333333333333331</v>
      </c>
      <c r="L911" s="31">
        <f t="shared" si="98"/>
        <v>0.4</v>
      </c>
      <c r="M911" s="31">
        <f t="shared" si="98"/>
        <v>0.5714285714285714</v>
      </c>
      <c r="N911" s="31">
        <f t="shared" si="98"/>
        <v>0.5</v>
      </c>
      <c r="O911" s="31">
        <f t="shared" si="98"/>
        <v>0.5</v>
      </c>
      <c r="P911" s="31">
        <f t="shared" si="98"/>
        <v>0.46666666666666667</v>
      </c>
      <c r="Q911" s="31" t="e">
        <f t="shared" si="98"/>
        <v>#DIV/0!</v>
      </c>
      <c r="R911" s="63"/>
      <c r="S911" s="10"/>
      <c r="T911" s="10"/>
      <c r="U911" s="151"/>
      <c r="V911" s="77"/>
      <c r="W911" s="77"/>
      <c r="X911" s="77"/>
      <c r="Y911" s="2"/>
    </row>
    <row r="912" spans="1:25">
      <c r="A912" s="614"/>
      <c r="B912" s="11"/>
      <c r="C912" s="10"/>
      <c r="D912" s="63"/>
      <c r="E912" s="51" t="s">
        <v>47</v>
      </c>
      <c r="F912" s="52">
        <f>F911*0.05</f>
        <v>0</v>
      </c>
      <c r="G912" s="65" t="s">
        <v>40</v>
      </c>
      <c r="H912" s="54">
        <f>F912/1.12</f>
        <v>0</v>
      </c>
      <c r="I912" s="42"/>
      <c r="J912" s="10" t="s">
        <v>48</v>
      </c>
      <c r="K912" s="66">
        <f>K908/K909</f>
        <v>944.41499999999996</v>
      </c>
      <c r="L912" s="66">
        <f t="shared" ref="L912:Q912" si="99">L908/L909</f>
        <v>2671.165</v>
      </c>
      <c r="M912" s="66">
        <f t="shared" si="99"/>
        <v>1707.1675</v>
      </c>
      <c r="N912" s="66">
        <f t="shared" si="99"/>
        <v>866.86666666666667</v>
      </c>
      <c r="O912" s="66">
        <f t="shared" si="99"/>
        <v>2280.1366666666668</v>
      </c>
      <c r="P912" s="66">
        <f t="shared" si="99"/>
        <v>1678.6314285714286</v>
      </c>
      <c r="Q912" s="66" t="e">
        <f t="shared" si="99"/>
        <v>#DIV/0!</v>
      </c>
      <c r="R912" s="63"/>
      <c r="S912" s="10"/>
      <c r="T912" s="10"/>
      <c r="U912" s="151"/>
      <c r="V912" s="77"/>
      <c r="W912" s="77"/>
      <c r="X912" s="77"/>
      <c r="Y912" s="2"/>
    </row>
    <row r="913" spans="1:25">
      <c r="A913" s="615"/>
      <c r="B913" s="132"/>
      <c r="C913" s="123"/>
      <c r="D913" s="127"/>
      <c r="E913" s="155" t="s">
        <v>14</v>
      </c>
      <c r="F913" s="156">
        <f>4*50</f>
        <v>200</v>
      </c>
      <c r="G913" s="123"/>
      <c r="H913" s="54">
        <f>F913/1.12</f>
        <v>178.57142857142856</v>
      </c>
      <c r="I913" s="123"/>
      <c r="J913" s="123"/>
      <c r="K913" s="123"/>
      <c r="L913" s="123"/>
      <c r="M913" s="123"/>
      <c r="N913" s="123"/>
      <c r="O913" s="123"/>
      <c r="P913" s="123"/>
      <c r="Q913" s="123"/>
      <c r="R913" s="123"/>
      <c r="S913" s="123"/>
      <c r="T913" s="123"/>
      <c r="U913" s="157"/>
      <c r="V913" s="123"/>
      <c r="W913" s="123"/>
      <c r="X913" s="123"/>
      <c r="Y913" s="128"/>
    </row>
    <row r="914" spans="1:25">
      <c r="A914" s="615"/>
      <c r="B914" s="132"/>
      <c r="C914" s="123"/>
      <c r="D914" s="127"/>
      <c r="E914" s="568" t="s">
        <v>49</v>
      </c>
      <c r="F914" s="569">
        <f>T903</f>
        <v>0</v>
      </c>
      <c r="G914" s="123"/>
      <c r="H914" s="54"/>
      <c r="I914" s="123"/>
      <c r="J914" s="42"/>
      <c r="K914" s="764" t="s">
        <v>50</v>
      </c>
      <c r="L914" s="765"/>
      <c r="M914" s="765"/>
      <c r="N914" s="765"/>
      <c r="O914" s="765"/>
      <c r="P914" s="765"/>
      <c r="Q914" s="766"/>
      <c r="R914" s="70" t="s">
        <v>28</v>
      </c>
      <c r="S914" s="71" t="s">
        <v>29</v>
      </c>
      <c r="T914" s="123"/>
      <c r="U914" s="157"/>
      <c r="V914" s="123"/>
      <c r="W914" s="123"/>
      <c r="X914" s="123"/>
      <c r="Y914" s="128"/>
    </row>
    <row r="915" spans="1:25">
      <c r="A915" s="615"/>
      <c r="B915" s="132"/>
      <c r="C915" s="123"/>
      <c r="D915" s="127"/>
      <c r="E915" s="74" t="s">
        <v>1696</v>
      </c>
      <c r="F915" s="75">
        <v>-104.4</v>
      </c>
      <c r="G915" s="123"/>
      <c r="H915" s="54"/>
      <c r="I915" s="123"/>
      <c r="J915" s="42"/>
      <c r="K915" s="20" t="s">
        <v>31</v>
      </c>
      <c r="L915" s="21" t="s">
        <v>32</v>
      </c>
      <c r="M915" s="21" t="s">
        <v>33</v>
      </c>
      <c r="N915" s="21" t="s">
        <v>34</v>
      </c>
      <c r="O915" s="21" t="s">
        <v>35</v>
      </c>
      <c r="P915" s="21" t="s">
        <v>36</v>
      </c>
      <c r="Q915" s="49" t="s">
        <v>37</v>
      </c>
      <c r="R915" s="50" t="s">
        <v>38</v>
      </c>
      <c r="S915" s="50" t="s">
        <v>38</v>
      </c>
      <c r="T915" s="123"/>
      <c r="U915" s="157"/>
      <c r="V915" s="123"/>
      <c r="W915" s="123"/>
      <c r="X915" s="123"/>
      <c r="Y915" s="128"/>
    </row>
    <row r="916" spans="1:25">
      <c r="A916" s="615"/>
      <c r="B916" s="132"/>
      <c r="C916" s="123"/>
      <c r="D916" s="127"/>
      <c r="E916" s="12"/>
      <c r="F916" s="160"/>
      <c r="G916" s="123"/>
      <c r="H916" s="54"/>
      <c r="I916" s="123"/>
      <c r="J916" s="42"/>
      <c r="K916" s="56">
        <f>F927+F928</f>
        <v>2109</v>
      </c>
      <c r="L916" s="57">
        <f>F930+F929</f>
        <v>7190</v>
      </c>
      <c r="M916" s="57">
        <f>F931+F932+F933+F942</f>
        <v>7715.0499999999993</v>
      </c>
      <c r="N916" s="57">
        <f>F934+F935+F943</f>
        <v>2680</v>
      </c>
      <c r="O916" s="57">
        <f>F936+F937+F947</f>
        <v>8662.9</v>
      </c>
      <c r="P916" s="57">
        <f>SUM(K916:O916)</f>
        <v>28356.949999999997</v>
      </c>
      <c r="Q916" s="58">
        <v>0</v>
      </c>
      <c r="R916" s="59">
        <f>F944+F948</f>
        <v>12503.2</v>
      </c>
      <c r="S916" s="59">
        <v>0</v>
      </c>
      <c r="T916" s="123"/>
      <c r="U916" s="157"/>
      <c r="V916" s="123"/>
      <c r="W916" s="123"/>
      <c r="X916" s="123"/>
      <c r="Y916" s="128"/>
    </row>
    <row r="917" spans="1:25">
      <c r="A917" s="615"/>
      <c r="B917" s="132"/>
      <c r="C917" s="123"/>
      <c r="D917" s="127"/>
      <c r="E917" s="12"/>
      <c r="F917" s="160"/>
      <c r="G917" s="123"/>
      <c r="H917" s="54"/>
      <c r="I917" s="123"/>
      <c r="J917" s="10" t="s">
        <v>42</v>
      </c>
      <c r="K917" s="63">
        <f t="shared" ref="K917:Q918" si="100">K909</f>
        <v>2</v>
      </c>
      <c r="L917" s="63">
        <f t="shared" si="100"/>
        <v>2</v>
      </c>
      <c r="M917" s="63">
        <f t="shared" si="100"/>
        <v>4</v>
      </c>
      <c r="N917" s="63">
        <f t="shared" si="100"/>
        <v>3</v>
      </c>
      <c r="O917" s="63">
        <f t="shared" si="100"/>
        <v>3</v>
      </c>
      <c r="P917" s="63">
        <f t="shared" si="100"/>
        <v>14</v>
      </c>
      <c r="Q917" s="63">
        <f t="shared" si="100"/>
        <v>0</v>
      </c>
      <c r="R917" s="63"/>
      <c r="S917" s="10"/>
      <c r="T917" s="123"/>
      <c r="U917" s="157"/>
      <c r="V917" s="123"/>
      <c r="W917" s="123"/>
      <c r="X917" s="123"/>
      <c r="Y917" s="128"/>
    </row>
    <row r="918" spans="1:25">
      <c r="A918" s="615"/>
      <c r="B918" s="132"/>
      <c r="C918" s="123"/>
      <c r="D918" s="127"/>
      <c r="E918" s="12"/>
      <c r="F918" s="160"/>
      <c r="G918" s="123"/>
      <c r="H918" s="54"/>
      <c r="I918" s="123"/>
      <c r="J918" s="10" t="s">
        <v>44</v>
      </c>
      <c r="K918" s="63">
        <f t="shared" si="100"/>
        <v>4</v>
      </c>
      <c r="L918" s="63">
        <f t="shared" si="100"/>
        <v>3</v>
      </c>
      <c r="M918" s="63">
        <f t="shared" si="100"/>
        <v>3</v>
      </c>
      <c r="N918" s="63">
        <f t="shared" si="100"/>
        <v>3</v>
      </c>
      <c r="O918" s="63">
        <f t="shared" si="100"/>
        <v>3</v>
      </c>
      <c r="P918" s="63">
        <f t="shared" si="100"/>
        <v>16</v>
      </c>
      <c r="Q918" s="63">
        <f t="shared" si="100"/>
        <v>0</v>
      </c>
      <c r="R918" s="63"/>
      <c r="S918" s="10"/>
      <c r="T918" s="123"/>
      <c r="U918" s="157"/>
      <c r="V918" s="123"/>
      <c r="W918" s="123"/>
      <c r="X918" s="123"/>
      <c r="Y918" s="128"/>
    </row>
    <row r="919" spans="1:25">
      <c r="A919" s="615"/>
      <c r="B919" s="132"/>
      <c r="C919" s="123"/>
      <c r="D919" s="127"/>
      <c r="E919" s="12"/>
      <c r="F919" s="160"/>
      <c r="G919" s="123"/>
      <c r="H919" s="54"/>
      <c r="I919" s="123"/>
      <c r="J919" s="10" t="s">
        <v>46</v>
      </c>
      <c r="K919" s="31">
        <f t="shared" ref="K919:Q919" si="101">K917/(K917+K918)</f>
        <v>0.33333333333333331</v>
      </c>
      <c r="L919" s="31">
        <f t="shared" si="101"/>
        <v>0.4</v>
      </c>
      <c r="M919" s="31">
        <f t="shared" si="101"/>
        <v>0.5714285714285714</v>
      </c>
      <c r="N919" s="31">
        <f t="shared" si="101"/>
        <v>0.5</v>
      </c>
      <c r="O919" s="31">
        <f t="shared" si="101"/>
        <v>0.5</v>
      </c>
      <c r="P919" s="31">
        <f t="shared" si="101"/>
        <v>0.46666666666666667</v>
      </c>
      <c r="Q919" s="31" t="e">
        <f t="shared" si="101"/>
        <v>#DIV/0!</v>
      </c>
      <c r="R919" s="63"/>
      <c r="S919" s="10"/>
      <c r="T919" s="123"/>
      <c r="U919" s="157"/>
      <c r="V919" s="123"/>
      <c r="W919" s="123"/>
      <c r="X919" s="123"/>
      <c r="Y919" s="128"/>
    </row>
    <row r="920" spans="1:25">
      <c r="A920" s="615"/>
      <c r="B920" s="132"/>
      <c r="C920" s="123"/>
      <c r="D920" s="127"/>
      <c r="E920" s="12"/>
      <c r="F920" s="160"/>
      <c r="G920" s="123"/>
      <c r="H920" s="54"/>
      <c r="I920" s="123"/>
      <c r="J920" s="10" t="s">
        <v>48</v>
      </c>
      <c r="K920" s="66">
        <f t="shared" ref="K920:Q920" si="102">K916/K917</f>
        <v>1054.5</v>
      </c>
      <c r="L920" s="66">
        <f t="shared" si="102"/>
        <v>3595</v>
      </c>
      <c r="M920" s="66">
        <f t="shared" si="102"/>
        <v>1928.7624999999998</v>
      </c>
      <c r="N920" s="66">
        <f t="shared" si="102"/>
        <v>893.33333333333337</v>
      </c>
      <c r="O920" s="66">
        <f t="shared" si="102"/>
        <v>2887.6333333333332</v>
      </c>
      <c r="P920" s="66">
        <f t="shared" si="102"/>
        <v>2025.4964285714284</v>
      </c>
      <c r="Q920" s="66" t="e">
        <f t="shared" si="102"/>
        <v>#DIV/0!</v>
      </c>
      <c r="R920" s="63"/>
      <c r="S920" s="10"/>
      <c r="T920" s="123"/>
      <c r="U920" s="157"/>
      <c r="V920" s="123"/>
      <c r="W920" s="123"/>
      <c r="X920" s="123"/>
      <c r="Y920" s="128"/>
    </row>
    <row r="921" spans="1:25">
      <c r="A921" s="615"/>
      <c r="B921" s="132"/>
      <c r="C921" s="123"/>
      <c r="D921" s="127"/>
      <c r="E921" s="12"/>
      <c r="F921" s="160"/>
      <c r="G921" s="123"/>
      <c r="H921" s="54"/>
      <c r="I921" s="123"/>
      <c r="J921" s="123"/>
      <c r="K921" s="123"/>
      <c r="L921" s="123"/>
      <c r="M921" s="123"/>
      <c r="N921" s="123"/>
      <c r="O921" s="123"/>
      <c r="P921" s="123"/>
      <c r="Q921" s="123"/>
      <c r="R921" s="123"/>
      <c r="S921" s="123"/>
      <c r="T921" s="123"/>
      <c r="U921" s="157"/>
      <c r="V921" s="123"/>
      <c r="W921" s="123"/>
      <c r="X921" s="123"/>
      <c r="Y921" s="128"/>
    </row>
    <row r="922" spans="1:25">
      <c r="A922" s="614"/>
      <c r="B922" s="11"/>
      <c r="C922" s="10"/>
      <c r="D922" s="63"/>
      <c r="E922" s="12"/>
      <c r="F922" s="12"/>
      <c r="G922" s="10"/>
      <c r="H922" s="10"/>
      <c r="I922" s="10"/>
      <c r="J922" s="10"/>
      <c r="K922" s="10"/>
      <c r="L922" s="10"/>
      <c r="M922" s="10"/>
      <c r="N922" s="10"/>
      <c r="O922" s="10"/>
      <c r="P922" s="10"/>
      <c r="Q922" s="10"/>
      <c r="R922" s="10"/>
      <c r="S922" s="10"/>
      <c r="T922" s="10"/>
      <c r="U922" s="151"/>
      <c r="V922" s="77"/>
      <c r="W922" s="77"/>
      <c r="X922" s="77"/>
      <c r="Y922" s="2"/>
    </row>
    <row r="923" spans="1:25">
      <c r="A923" s="614"/>
      <c r="B923" s="11"/>
      <c r="C923" s="10"/>
      <c r="D923" s="63"/>
      <c r="E923" s="10"/>
      <c r="F923" s="10"/>
      <c r="G923" s="10"/>
      <c r="H923" s="10"/>
      <c r="I923" s="10"/>
      <c r="J923" s="10"/>
      <c r="K923" s="10"/>
      <c r="L923" s="10"/>
      <c r="M923" s="10"/>
      <c r="N923" s="10"/>
      <c r="O923" s="10"/>
      <c r="P923" s="10"/>
      <c r="Q923" s="10"/>
      <c r="R923" s="10"/>
      <c r="S923" s="10"/>
      <c r="T923" s="10"/>
      <c r="U923" s="151"/>
      <c r="V923" s="77"/>
      <c r="W923" s="77"/>
      <c r="X923" s="77"/>
      <c r="Y923" s="2"/>
    </row>
    <row r="924" spans="1:25">
      <c r="A924" s="614"/>
      <c r="B924" s="18" t="s">
        <v>51</v>
      </c>
      <c r="C924" s="14"/>
      <c r="D924" s="14"/>
      <c r="E924" s="14"/>
      <c r="F924" s="13" t="s">
        <v>52</v>
      </c>
      <c r="G924" s="14"/>
      <c r="H924" s="14"/>
      <c r="I924" s="14"/>
      <c r="J924" s="14"/>
      <c r="K924" s="13" t="s">
        <v>3</v>
      </c>
      <c r="L924" s="14"/>
      <c r="M924" s="14"/>
      <c r="N924" s="13" t="s">
        <v>4</v>
      </c>
      <c r="O924" s="14"/>
      <c r="P924" s="14"/>
      <c r="Q924" s="13" t="s">
        <v>5</v>
      </c>
      <c r="R924" s="14"/>
      <c r="S924" s="14"/>
      <c r="T924" s="18"/>
      <c r="U924" s="161" t="s">
        <v>53</v>
      </c>
      <c r="V924" s="77"/>
      <c r="W924" s="77"/>
      <c r="X924" s="77"/>
      <c r="Y924" s="2"/>
    </row>
    <row r="925" spans="1:25">
      <c r="A925" s="614"/>
      <c r="B925" s="24" t="s">
        <v>54</v>
      </c>
      <c r="C925" s="21" t="s">
        <v>55</v>
      </c>
      <c r="D925" s="21" t="s">
        <v>56</v>
      </c>
      <c r="E925" s="21" t="s">
        <v>57</v>
      </c>
      <c r="F925" s="20" t="s">
        <v>58</v>
      </c>
      <c r="G925" s="21" t="s">
        <v>59</v>
      </c>
      <c r="H925" s="21" t="s">
        <v>60</v>
      </c>
      <c r="I925" s="21" t="s">
        <v>26</v>
      </c>
      <c r="J925" s="22" t="s">
        <v>61</v>
      </c>
      <c r="K925" s="21" t="s">
        <v>8</v>
      </c>
      <c r="L925" s="21" t="s">
        <v>9</v>
      </c>
      <c r="M925" s="21" t="s">
        <v>10</v>
      </c>
      <c r="N925" s="20" t="s">
        <v>11</v>
      </c>
      <c r="O925" s="21" t="s">
        <v>12</v>
      </c>
      <c r="P925" s="22" t="s">
        <v>13</v>
      </c>
      <c r="Q925" s="21" t="s">
        <v>11</v>
      </c>
      <c r="R925" s="21" t="s">
        <v>12</v>
      </c>
      <c r="S925" s="21" t="s">
        <v>13</v>
      </c>
      <c r="T925" s="78" t="s">
        <v>14</v>
      </c>
      <c r="U925" s="162"/>
      <c r="V925" s="79" t="s">
        <v>62</v>
      </c>
      <c r="W925" s="80" t="s">
        <v>63</v>
      </c>
      <c r="X925" s="81" t="s">
        <v>64</v>
      </c>
      <c r="Y925" s="2"/>
    </row>
    <row r="926" spans="1:25">
      <c r="A926" s="614"/>
      <c r="B926" s="4" t="s">
        <v>65</v>
      </c>
      <c r="C926" s="6"/>
      <c r="D926" s="6"/>
      <c r="E926" s="6"/>
      <c r="F926" s="6"/>
      <c r="G926" s="6"/>
      <c r="H926" s="6"/>
      <c r="I926" s="82"/>
      <c r="J926" s="6"/>
      <c r="K926" s="6"/>
      <c r="L926" s="6"/>
      <c r="M926" s="6"/>
      <c r="N926" s="6"/>
      <c r="O926" s="6"/>
      <c r="P926" s="6"/>
      <c r="Q926" s="6"/>
      <c r="R926" s="6"/>
      <c r="S926" s="6"/>
      <c r="T926" s="83"/>
      <c r="U926" s="163"/>
      <c r="V926" s="84"/>
      <c r="W926" s="85"/>
      <c r="X926" s="86"/>
      <c r="Y926" s="2"/>
    </row>
    <row r="927" spans="1:25">
      <c r="A927" s="614"/>
      <c r="B927" s="87">
        <v>1</v>
      </c>
      <c r="C927" s="274">
        <v>45915</v>
      </c>
      <c r="D927" s="327">
        <v>73263</v>
      </c>
      <c r="E927" s="281" t="s">
        <v>604</v>
      </c>
      <c r="F927" s="277">
        <v>681</v>
      </c>
      <c r="G927" s="277"/>
      <c r="H927" s="297"/>
      <c r="I927" s="321">
        <f>F927-G927-H927</f>
        <v>681</v>
      </c>
      <c r="J927" s="279" t="s">
        <v>156</v>
      </c>
      <c r="K927" s="279">
        <v>1</v>
      </c>
      <c r="L927" s="279">
        <v>1</v>
      </c>
      <c r="M927" s="279">
        <v>1</v>
      </c>
      <c r="N927" s="279">
        <v>1</v>
      </c>
      <c r="O927" s="279">
        <v>1</v>
      </c>
      <c r="P927" s="279">
        <v>1</v>
      </c>
      <c r="Q927" s="279">
        <v>1</v>
      </c>
      <c r="R927" s="279">
        <v>1</v>
      </c>
      <c r="S927" s="328">
        <v>0</v>
      </c>
      <c r="T927" s="63"/>
      <c r="U927" s="94"/>
      <c r="V927" s="90">
        <v>749.1</v>
      </c>
      <c r="W927" s="91"/>
      <c r="X927" s="92"/>
      <c r="Y927" s="2"/>
    </row>
    <row r="928" spans="1:25">
      <c r="A928" s="614"/>
      <c r="B928" s="87">
        <f t="shared" ref="B928:B937" si="103">B927+1</f>
        <v>2</v>
      </c>
      <c r="C928" s="295">
        <v>45915</v>
      </c>
      <c r="D928" s="323" t="s">
        <v>1697</v>
      </c>
      <c r="E928" s="10" t="s">
        <v>604</v>
      </c>
      <c r="F928" s="62">
        <v>1428</v>
      </c>
      <c r="G928" s="62">
        <f>39.7+(180.47)</f>
        <v>220.17000000000002</v>
      </c>
      <c r="H928" s="62"/>
      <c r="I928" s="89">
        <f t="shared" ref="I928:I937" si="104">F928-G928-H928</f>
        <v>1207.83</v>
      </c>
      <c r="J928" s="63" t="s">
        <v>156</v>
      </c>
      <c r="K928" s="63">
        <v>1</v>
      </c>
      <c r="L928" s="63">
        <v>1</v>
      </c>
      <c r="M928" s="63">
        <v>1</v>
      </c>
      <c r="N928" s="63">
        <v>1</v>
      </c>
      <c r="O928" s="63">
        <v>1</v>
      </c>
      <c r="P928" s="63">
        <v>1</v>
      </c>
      <c r="Q928" s="63">
        <v>1</v>
      </c>
      <c r="R928" s="63">
        <v>1</v>
      </c>
      <c r="S928" s="296">
        <v>1</v>
      </c>
      <c r="T928" s="63"/>
      <c r="U928" s="94"/>
      <c r="V928" s="90">
        <f>160+1410.8</f>
        <v>1570.8</v>
      </c>
      <c r="W928" s="91"/>
      <c r="X928" s="92"/>
      <c r="Y928" s="2"/>
    </row>
    <row r="929" spans="1:25">
      <c r="A929" s="614">
        <v>45918</v>
      </c>
      <c r="B929" s="87">
        <f>B928+1</f>
        <v>3</v>
      </c>
      <c r="C929" s="274">
        <v>45916</v>
      </c>
      <c r="D929" s="327">
        <v>73297</v>
      </c>
      <c r="E929" s="276" t="s">
        <v>761</v>
      </c>
      <c r="F929" s="277">
        <v>5814</v>
      </c>
      <c r="G929" s="277">
        <f>39.7+(1336.59)+300</f>
        <v>1676.29</v>
      </c>
      <c r="H929" s="277"/>
      <c r="I929" s="321">
        <f>F929-G929-H929</f>
        <v>4137.71</v>
      </c>
      <c r="J929" s="279" t="s">
        <v>156</v>
      </c>
      <c r="K929" s="279">
        <v>1</v>
      </c>
      <c r="L929" s="279">
        <v>1</v>
      </c>
      <c r="M929" s="279">
        <v>1</v>
      </c>
      <c r="N929" s="279">
        <v>1</v>
      </c>
      <c r="O929" s="279">
        <v>1</v>
      </c>
      <c r="P929" s="279">
        <v>1</v>
      </c>
      <c r="Q929" s="322">
        <v>0</v>
      </c>
      <c r="R929" s="322">
        <v>0</v>
      </c>
      <c r="S929" s="328">
        <v>0</v>
      </c>
      <c r="T929" s="63"/>
      <c r="U929" s="94" t="s">
        <v>1698</v>
      </c>
      <c r="V929" s="90">
        <f>650+5745.4</f>
        <v>6395.4</v>
      </c>
      <c r="W929" s="136"/>
      <c r="X929" s="92"/>
      <c r="Y929" s="2"/>
    </row>
    <row r="930" spans="1:25">
      <c r="A930" s="613" t="s">
        <v>824</v>
      </c>
      <c r="B930" s="87">
        <f>B929+1</f>
        <v>4</v>
      </c>
      <c r="C930" s="282">
        <v>45916</v>
      </c>
      <c r="D930" s="330" t="s">
        <v>1699</v>
      </c>
      <c r="E930" s="283" t="s">
        <v>1012</v>
      </c>
      <c r="F930" s="284">
        <v>1376</v>
      </c>
      <c r="G930" s="284">
        <f>39.7+(131.68)</f>
        <v>171.38</v>
      </c>
      <c r="H930" s="284"/>
      <c r="I930" s="300">
        <f t="shared" si="104"/>
        <v>1204.6199999999999</v>
      </c>
      <c r="J930" s="286" t="s">
        <v>156</v>
      </c>
      <c r="K930" s="286">
        <v>1</v>
      </c>
      <c r="L930" s="332">
        <v>0</v>
      </c>
      <c r="M930" s="286">
        <v>1</v>
      </c>
      <c r="N930" s="286">
        <v>1</v>
      </c>
      <c r="O930" s="286">
        <v>1</v>
      </c>
      <c r="P930" s="286">
        <v>1</v>
      </c>
      <c r="Q930" s="286">
        <v>1</v>
      </c>
      <c r="R930" s="286">
        <v>1</v>
      </c>
      <c r="S930" s="287">
        <v>1</v>
      </c>
      <c r="T930" s="63"/>
      <c r="U930" s="94" t="s">
        <v>1700</v>
      </c>
      <c r="V930" s="90">
        <v>1513.6</v>
      </c>
      <c r="W930" s="91"/>
      <c r="X930" s="92"/>
      <c r="Y930" s="2"/>
    </row>
    <row r="931" spans="1:25">
      <c r="A931" s="614"/>
      <c r="B931" s="87">
        <f t="shared" si="103"/>
        <v>5</v>
      </c>
      <c r="C931" s="295">
        <v>45917</v>
      </c>
      <c r="D931" s="323">
        <v>73363</v>
      </c>
      <c r="E931" s="94" t="s">
        <v>746</v>
      </c>
      <c r="F931" s="62">
        <v>1134</v>
      </c>
      <c r="G931" s="62">
        <f>39.7</f>
        <v>39.700000000000003</v>
      </c>
      <c r="H931" s="62"/>
      <c r="I931" s="324">
        <f t="shared" si="104"/>
        <v>1094.3</v>
      </c>
      <c r="J931" s="63" t="s">
        <v>150</v>
      </c>
      <c r="K931" s="63">
        <v>1</v>
      </c>
      <c r="L931" s="63">
        <v>1</v>
      </c>
      <c r="M931" s="63">
        <v>1</v>
      </c>
      <c r="N931" s="63">
        <v>1</v>
      </c>
      <c r="O931" s="63">
        <v>1</v>
      </c>
      <c r="P931" s="325">
        <v>0</v>
      </c>
      <c r="Q931" s="63">
        <v>1</v>
      </c>
      <c r="R931" s="63">
        <v>1</v>
      </c>
      <c r="S931" s="326">
        <v>0</v>
      </c>
      <c r="T931" s="63"/>
      <c r="U931" s="94"/>
      <c r="V931" s="90">
        <v>0</v>
      </c>
      <c r="W931" s="367">
        <v>1250</v>
      </c>
      <c r="X931" s="92"/>
      <c r="Y931" s="2"/>
    </row>
    <row r="932" spans="1:25">
      <c r="A932" s="614"/>
      <c r="B932" s="87">
        <f t="shared" si="103"/>
        <v>6</v>
      </c>
      <c r="C932" s="295">
        <v>45917</v>
      </c>
      <c r="D932" s="323">
        <v>73366</v>
      </c>
      <c r="E932" s="10" t="s">
        <v>1231</v>
      </c>
      <c r="F932" s="62">
        <v>616</v>
      </c>
      <c r="G932" s="62"/>
      <c r="H932" s="62"/>
      <c r="I932" s="89">
        <f t="shared" si="104"/>
        <v>616</v>
      </c>
      <c r="J932" s="63" t="s">
        <v>156</v>
      </c>
      <c r="K932" s="63">
        <v>1</v>
      </c>
      <c r="L932" s="63">
        <v>1</v>
      </c>
      <c r="M932" s="63">
        <v>1</v>
      </c>
      <c r="N932" s="63">
        <v>1</v>
      </c>
      <c r="O932" s="63">
        <v>1</v>
      </c>
      <c r="P932" s="63">
        <v>1</v>
      </c>
      <c r="Q932" s="63">
        <v>1</v>
      </c>
      <c r="R932" s="63">
        <v>1</v>
      </c>
      <c r="S932" s="296">
        <v>1</v>
      </c>
      <c r="T932" s="21">
        <v>1</v>
      </c>
      <c r="U932" s="94"/>
      <c r="V932" s="90">
        <v>677.6</v>
      </c>
      <c r="W932" s="91"/>
      <c r="X932" s="92"/>
      <c r="Y932" s="2"/>
    </row>
    <row r="933" spans="1:25">
      <c r="A933" s="614"/>
      <c r="B933" s="87">
        <f t="shared" si="103"/>
        <v>7</v>
      </c>
      <c r="C933" s="295">
        <v>45917</v>
      </c>
      <c r="D933" s="323">
        <v>73386</v>
      </c>
      <c r="E933" s="10" t="s">
        <v>1082</v>
      </c>
      <c r="F933" s="62">
        <v>513.85</v>
      </c>
      <c r="G933" s="62"/>
      <c r="H933" s="88"/>
      <c r="I933" s="89">
        <f t="shared" si="104"/>
        <v>513.85</v>
      </c>
      <c r="J933" s="63" t="s">
        <v>156</v>
      </c>
      <c r="K933" s="63">
        <v>1</v>
      </c>
      <c r="L933" s="63">
        <v>1</v>
      </c>
      <c r="M933" s="63">
        <v>1</v>
      </c>
      <c r="N933" s="63">
        <v>1</v>
      </c>
      <c r="O933" s="63">
        <v>1</v>
      </c>
      <c r="P933" s="63">
        <v>1</v>
      </c>
      <c r="Q933" s="63">
        <v>1</v>
      </c>
      <c r="R933" s="63">
        <v>1</v>
      </c>
      <c r="S933" s="296">
        <v>1</v>
      </c>
      <c r="T933" s="63"/>
      <c r="U933" s="94"/>
      <c r="V933" s="90">
        <v>565.24</v>
      </c>
      <c r="W933" s="91"/>
      <c r="X933" s="92"/>
      <c r="Y933" s="2"/>
    </row>
    <row r="934" spans="1:25">
      <c r="A934" s="614"/>
      <c r="B934" s="87">
        <f t="shared" si="103"/>
        <v>8</v>
      </c>
      <c r="C934" s="274">
        <v>45918</v>
      </c>
      <c r="D934" s="327">
        <v>73340</v>
      </c>
      <c r="E934" s="276" t="s">
        <v>1231</v>
      </c>
      <c r="F934" s="277">
        <v>861</v>
      </c>
      <c r="G934" s="277">
        <f>39.7</f>
        <v>39.700000000000003</v>
      </c>
      <c r="H934" s="297"/>
      <c r="I934" s="278">
        <f>F934-G934-H934</f>
        <v>821.3</v>
      </c>
      <c r="J934" s="279" t="s">
        <v>150</v>
      </c>
      <c r="K934" s="279">
        <v>1</v>
      </c>
      <c r="L934" s="279">
        <v>1</v>
      </c>
      <c r="M934" s="279">
        <v>1</v>
      </c>
      <c r="N934" s="279">
        <v>1</v>
      </c>
      <c r="O934" s="279">
        <v>1</v>
      </c>
      <c r="P934" s="279">
        <v>1</v>
      </c>
      <c r="Q934" s="279">
        <v>1</v>
      </c>
      <c r="R934" s="279">
        <v>1</v>
      </c>
      <c r="S934" s="280">
        <v>1</v>
      </c>
      <c r="T934" s="63"/>
      <c r="U934" s="94"/>
      <c r="V934" s="90">
        <v>0</v>
      </c>
      <c r="W934" s="367">
        <v>950</v>
      </c>
      <c r="X934" s="92"/>
      <c r="Y934" s="2"/>
    </row>
    <row r="935" spans="1:25">
      <c r="A935" s="614"/>
      <c r="B935" s="87">
        <f t="shared" si="103"/>
        <v>9</v>
      </c>
      <c r="C935" s="295">
        <v>45918</v>
      </c>
      <c r="D935" s="323">
        <v>73429</v>
      </c>
      <c r="E935" s="10" t="s">
        <v>1217</v>
      </c>
      <c r="F935" s="62">
        <v>681</v>
      </c>
      <c r="G935" s="62"/>
      <c r="H935" s="88"/>
      <c r="I935" s="324">
        <f>F935-G935-H935</f>
        <v>681</v>
      </c>
      <c r="J935" s="63" t="s">
        <v>156</v>
      </c>
      <c r="K935" s="63">
        <v>1</v>
      </c>
      <c r="L935" s="63">
        <v>1</v>
      </c>
      <c r="M935" s="325">
        <v>0</v>
      </c>
      <c r="N935" s="63">
        <v>1</v>
      </c>
      <c r="O935" s="63">
        <v>1</v>
      </c>
      <c r="P935" s="63">
        <v>1</v>
      </c>
      <c r="Q935" s="63">
        <v>1</v>
      </c>
      <c r="R935" s="63">
        <v>1</v>
      </c>
      <c r="S935" s="296">
        <v>1</v>
      </c>
      <c r="T935" s="21">
        <v>1</v>
      </c>
      <c r="U935" s="94"/>
      <c r="V935" s="90">
        <v>749.1</v>
      </c>
      <c r="W935" s="91"/>
      <c r="X935" s="92"/>
      <c r="Y935" s="2"/>
    </row>
    <row r="936" spans="1:25">
      <c r="A936" s="614" t="s">
        <v>1701</v>
      </c>
      <c r="B936" s="87">
        <f>B935+1</f>
        <v>10</v>
      </c>
      <c r="C936" s="274">
        <v>45919</v>
      </c>
      <c r="D936" s="327" t="s">
        <v>1702</v>
      </c>
      <c r="E936" s="276" t="s">
        <v>1046</v>
      </c>
      <c r="F936" s="277">
        <v>1049</v>
      </c>
      <c r="G936" s="277">
        <f>39.7</f>
        <v>39.700000000000003</v>
      </c>
      <c r="H936" s="297"/>
      <c r="I936" s="278">
        <f>F936-G936-H936</f>
        <v>1009.3</v>
      </c>
      <c r="J936" s="279" t="s">
        <v>156</v>
      </c>
      <c r="K936" s="279">
        <v>1</v>
      </c>
      <c r="L936" s="279">
        <v>1</v>
      </c>
      <c r="M936" s="279">
        <v>1</v>
      </c>
      <c r="N936" s="279">
        <v>1</v>
      </c>
      <c r="O936" s="279">
        <v>1</v>
      </c>
      <c r="P936" s="279">
        <v>1</v>
      </c>
      <c r="Q936" s="279">
        <v>1</v>
      </c>
      <c r="R936" s="279">
        <v>1</v>
      </c>
      <c r="S936" s="280">
        <v>1</v>
      </c>
      <c r="T936" s="21">
        <v>2</v>
      </c>
      <c r="U936" s="94" t="s">
        <v>1703</v>
      </c>
      <c r="V936" s="90">
        <v>1153.9000000000001</v>
      </c>
      <c r="W936" s="91"/>
      <c r="X936" s="92"/>
      <c r="Y936" s="2"/>
    </row>
    <row r="937" spans="1:25">
      <c r="A937" s="614"/>
      <c r="B937" s="87">
        <f t="shared" si="103"/>
        <v>11</v>
      </c>
      <c r="C937" s="282">
        <v>45919</v>
      </c>
      <c r="D937" s="368">
        <v>73451</v>
      </c>
      <c r="E937" s="283" t="s">
        <v>604</v>
      </c>
      <c r="F937" s="423">
        <v>1699.9</v>
      </c>
      <c r="G937" s="284">
        <f>39.7+(10.87)</f>
        <v>50.57</v>
      </c>
      <c r="H937" s="284"/>
      <c r="I937" s="300">
        <f t="shared" si="104"/>
        <v>1649.3300000000002</v>
      </c>
      <c r="J937" s="286" t="s">
        <v>156</v>
      </c>
      <c r="K937" s="286">
        <v>1</v>
      </c>
      <c r="L937" s="286">
        <v>1</v>
      </c>
      <c r="M937" s="286">
        <v>1</v>
      </c>
      <c r="N937" s="286">
        <v>1</v>
      </c>
      <c r="O937" s="286">
        <v>1</v>
      </c>
      <c r="P937" s="286">
        <v>1</v>
      </c>
      <c r="Q937" s="286">
        <v>1</v>
      </c>
      <c r="R937" s="286">
        <v>1</v>
      </c>
      <c r="S937" s="370">
        <v>0</v>
      </c>
      <c r="T937" s="63"/>
      <c r="U937" s="94"/>
      <c r="V937" s="90">
        <f>180+1689.89</f>
        <v>1869.89</v>
      </c>
      <c r="W937" s="91"/>
      <c r="X937" s="92"/>
      <c r="Y937" s="2"/>
    </row>
    <row r="938" spans="1:25">
      <c r="A938" s="614"/>
      <c r="B938" s="87"/>
      <c r="C938" s="36"/>
      <c r="D938" s="10"/>
      <c r="E938" s="10"/>
      <c r="F938" s="97">
        <f>SUM(F927:F937)</f>
        <v>15853.75</v>
      </c>
      <c r="G938" s="97">
        <f>SUM(G927:G937)</f>
        <v>2237.5099999999998</v>
      </c>
      <c r="H938" s="97">
        <f>SUM(H927:H937)</f>
        <v>0</v>
      </c>
      <c r="I938" s="98">
        <f>SUM(I927:I937)</f>
        <v>13616.239999999998</v>
      </c>
      <c r="J938" s="63"/>
      <c r="K938" s="63">
        <f>COUNT(K927:K937)</f>
        <v>11</v>
      </c>
      <c r="L938" s="63">
        <f>COUNT(L927:L937)</f>
        <v>11</v>
      </c>
      <c r="M938" s="63">
        <f>COUNT(M927:M937)</f>
        <v>11</v>
      </c>
      <c r="N938" s="63">
        <f>COUNT(N927:N937)</f>
        <v>11</v>
      </c>
      <c r="O938" s="63">
        <f>COUNT(O927:O937)</f>
        <v>11</v>
      </c>
      <c r="P938" s="63">
        <f>COUNT(P927:P937)</f>
        <v>11</v>
      </c>
      <c r="Q938" s="63">
        <f>COUNT(Q927:Q937)</f>
        <v>11</v>
      </c>
      <c r="R938" s="63">
        <f>COUNT(R927:R937)</f>
        <v>11</v>
      </c>
      <c r="S938" s="63">
        <f>COUNT(S927:S937)</f>
        <v>11</v>
      </c>
      <c r="T938" s="63"/>
      <c r="U938" s="94"/>
      <c r="V938" s="90"/>
      <c r="W938" s="91"/>
      <c r="X938" s="92"/>
      <c r="Y938" s="2"/>
    </row>
    <row r="939" spans="1:25">
      <c r="A939" s="614"/>
      <c r="B939" s="87"/>
      <c r="C939" s="36"/>
      <c r="D939" s="10"/>
      <c r="E939" s="10"/>
      <c r="F939" s="88"/>
      <c r="G939" s="88"/>
      <c r="H939" s="88"/>
      <c r="I939" s="99"/>
      <c r="J939" s="63"/>
      <c r="K939" s="21">
        <f>SUM(K927:K937)</f>
        <v>11</v>
      </c>
      <c r="L939" s="21">
        <f>SUM(L927:L937)</f>
        <v>10</v>
      </c>
      <c r="M939" s="21">
        <f>SUM(M927:M937)</f>
        <v>10</v>
      </c>
      <c r="N939" s="21">
        <f>SUM(N927:N937)</f>
        <v>11</v>
      </c>
      <c r="O939" s="21">
        <f>SUM(O927:O937)</f>
        <v>11</v>
      </c>
      <c r="P939" s="21">
        <f>SUM(P927:P937)</f>
        <v>10</v>
      </c>
      <c r="Q939" s="21">
        <f>SUM(Q927:Q937)</f>
        <v>10</v>
      </c>
      <c r="R939" s="21">
        <f>SUM(R927:R937)</f>
        <v>10</v>
      </c>
      <c r="S939" s="21">
        <f>SUM(S927:S937)</f>
        <v>7</v>
      </c>
      <c r="T939" s="63"/>
      <c r="U939" s="94"/>
      <c r="V939" s="90"/>
      <c r="W939" s="91"/>
      <c r="X939" s="92"/>
      <c r="Y939" s="2"/>
    </row>
    <row r="940" spans="1:25">
      <c r="A940" s="614"/>
      <c r="B940" s="11"/>
      <c r="C940" s="36"/>
      <c r="D940" s="10"/>
      <c r="E940" s="10"/>
      <c r="F940" s="88"/>
      <c r="G940" s="88"/>
      <c r="H940" s="88"/>
      <c r="I940" s="99"/>
      <c r="J940" s="63"/>
      <c r="K940" s="21"/>
      <c r="L940" s="21"/>
      <c r="M940" s="21"/>
      <c r="N940" s="21"/>
      <c r="O940" s="21"/>
      <c r="P940" s="21"/>
      <c r="Q940" s="21"/>
      <c r="R940" s="21"/>
      <c r="S940" s="21"/>
      <c r="T940" s="63"/>
      <c r="U940" s="94"/>
      <c r="V940" s="90"/>
      <c r="W940" s="91"/>
      <c r="X940" s="92"/>
      <c r="Y940" s="2"/>
    </row>
    <row r="941" spans="1:25">
      <c r="A941" s="615"/>
      <c r="B941" s="121" t="s">
        <v>68</v>
      </c>
      <c r="C941" s="36"/>
      <c r="D941" s="123"/>
      <c r="E941" s="123"/>
      <c r="F941" s="124"/>
      <c r="G941" s="125"/>
      <c r="H941" s="124"/>
      <c r="I941" s="126"/>
      <c r="J941" s="127"/>
      <c r="K941" s="128"/>
      <c r="L941" s="128"/>
      <c r="M941" s="128"/>
      <c r="N941" s="128"/>
      <c r="O941" s="128"/>
      <c r="P941" s="128"/>
      <c r="Q941" s="128"/>
      <c r="R941" s="128"/>
      <c r="S941" s="128"/>
      <c r="T941" s="127"/>
      <c r="U941" s="135"/>
      <c r="V941" s="129"/>
      <c r="W941" s="130"/>
      <c r="X941" s="131"/>
      <c r="Y941" s="128"/>
    </row>
    <row r="942" spans="1:25">
      <c r="A942" s="356">
        <v>0.05</v>
      </c>
      <c r="B942" s="333">
        <v>1</v>
      </c>
      <c r="C942" s="334">
        <v>45917</v>
      </c>
      <c r="D942" s="327" t="s">
        <v>1704</v>
      </c>
      <c r="E942" s="335" t="s">
        <v>746</v>
      </c>
      <c r="F942" s="336">
        <v>5451.2</v>
      </c>
      <c r="G942" s="336">
        <f>39.7+424.6+(82.38)+300</f>
        <v>846.68000000000006</v>
      </c>
      <c r="H942" s="336"/>
      <c r="I942" s="337">
        <f t="shared" ref="I942" si="105">F942-G942-H942</f>
        <v>4604.5199999999995</v>
      </c>
      <c r="J942" s="338" t="s">
        <v>150</v>
      </c>
      <c r="K942" s="338">
        <v>1</v>
      </c>
      <c r="L942" s="338">
        <v>1</v>
      </c>
      <c r="M942" s="338">
        <v>1</v>
      </c>
      <c r="N942" s="338">
        <v>1</v>
      </c>
      <c r="O942" s="338">
        <v>1</v>
      </c>
      <c r="P942" s="338">
        <v>1</v>
      </c>
      <c r="Q942" s="338">
        <v>1</v>
      </c>
      <c r="R942" s="338">
        <v>1</v>
      </c>
      <c r="S942" s="339">
        <v>1</v>
      </c>
      <c r="T942" s="127"/>
      <c r="U942" s="135" t="s">
        <v>1705</v>
      </c>
      <c r="V942" s="129">
        <v>0</v>
      </c>
      <c r="W942" s="382">
        <f>850</f>
        <v>850</v>
      </c>
      <c r="X942" s="131"/>
      <c r="Y942" s="128"/>
    </row>
    <row r="943" spans="1:25" s="342" customFormat="1">
      <c r="A943" s="356">
        <v>0.05</v>
      </c>
      <c r="B943" s="333">
        <f>B942+1</f>
        <v>2</v>
      </c>
      <c r="C943" s="350">
        <v>45918</v>
      </c>
      <c r="D943" s="263">
        <v>73435</v>
      </c>
      <c r="E943" s="351" t="s">
        <v>1102</v>
      </c>
      <c r="F943" s="352">
        <f>1223-85</f>
        <v>1138</v>
      </c>
      <c r="G943" s="352">
        <f>39.7</f>
        <v>39.700000000000003</v>
      </c>
      <c r="H943" s="352"/>
      <c r="I943" s="353">
        <f>F943-G943-H943</f>
        <v>1098.3</v>
      </c>
      <c r="J943" s="354" t="s">
        <v>156</v>
      </c>
      <c r="K943" s="354">
        <v>1</v>
      </c>
      <c r="L943" s="354">
        <v>1</v>
      </c>
      <c r="M943" s="354">
        <v>1</v>
      </c>
      <c r="N943" s="354">
        <v>1</v>
      </c>
      <c r="O943" s="354">
        <v>1</v>
      </c>
      <c r="P943" s="354">
        <v>1</v>
      </c>
      <c r="Q943" s="354">
        <v>1</v>
      </c>
      <c r="R943" s="354">
        <v>1</v>
      </c>
      <c r="S943" s="366">
        <v>0</v>
      </c>
      <c r="T943" s="127"/>
      <c r="U943" s="135"/>
      <c r="V943" s="129">
        <f>93.5</f>
        <v>93.5</v>
      </c>
      <c r="W943" s="130"/>
      <c r="X943" s="131"/>
      <c r="Y943" s="128"/>
    </row>
    <row r="944" spans="1:25">
      <c r="A944" s="615"/>
      <c r="B944" s="132"/>
      <c r="C944" s="36"/>
      <c r="D944" s="123"/>
      <c r="E944" s="123"/>
      <c r="F944" s="134">
        <f>SUM(F942:F943)</f>
        <v>6589.2</v>
      </c>
      <c r="G944" s="134">
        <f>SUM(G942:G943)</f>
        <v>886.38000000000011</v>
      </c>
      <c r="H944" s="134">
        <f>SUM(H942:H943)</f>
        <v>0</v>
      </c>
      <c r="I944" s="134">
        <f>SUM(I942:I943)</f>
        <v>5702.82</v>
      </c>
      <c r="J944" s="127"/>
      <c r="K944" s="64"/>
      <c r="L944" s="64"/>
      <c r="M944" s="64"/>
      <c r="N944" s="64"/>
      <c r="O944" s="64"/>
      <c r="P944" s="64"/>
      <c r="Q944" s="64"/>
      <c r="R944" s="64"/>
      <c r="S944" s="64"/>
      <c r="T944" s="127"/>
      <c r="U944" s="135"/>
      <c r="V944" s="129"/>
      <c r="W944" s="130"/>
      <c r="X944" s="131"/>
      <c r="Y944" s="128"/>
    </row>
    <row r="945" spans="1:25">
      <c r="A945" s="614"/>
      <c r="B945" s="11"/>
      <c r="C945" s="36"/>
      <c r="D945" s="10"/>
      <c r="E945" s="10"/>
      <c r="F945" s="88"/>
      <c r="G945" s="88"/>
      <c r="H945" s="88"/>
      <c r="I945" s="99"/>
      <c r="J945" s="63"/>
      <c r="K945" s="21"/>
      <c r="L945" s="21"/>
      <c r="M945" s="21"/>
      <c r="N945" s="21"/>
      <c r="O945" s="21"/>
      <c r="P945" s="21"/>
      <c r="Q945" s="21"/>
      <c r="R945" s="21"/>
      <c r="S945" s="21"/>
      <c r="T945" s="63"/>
      <c r="U945" s="94"/>
      <c r="V945" s="90"/>
      <c r="W945" s="91"/>
      <c r="X945" s="92"/>
      <c r="Y945" s="2"/>
    </row>
    <row r="946" spans="1:25">
      <c r="A946" s="615"/>
      <c r="B946" s="121" t="s">
        <v>70</v>
      </c>
      <c r="C946" s="36"/>
      <c r="D946" s="123"/>
      <c r="E946" s="128"/>
      <c r="F946" s="124"/>
      <c r="G946" s="124"/>
      <c r="H946" s="124"/>
      <c r="I946" s="126"/>
      <c r="J946" s="127"/>
      <c r="K946" s="64"/>
      <c r="L946" s="64"/>
      <c r="M946" s="64"/>
      <c r="N946" s="64"/>
      <c r="O946" s="64"/>
      <c r="P946" s="64"/>
      <c r="Q946" s="64"/>
      <c r="R946" s="64"/>
      <c r="S946" s="64"/>
      <c r="T946" s="127"/>
      <c r="U946" s="135"/>
      <c r="V946" s="129"/>
      <c r="W946" s="130"/>
      <c r="X946" s="131"/>
      <c r="Y946" s="128"/>
    </row>
    <row r="947" spans="1:25" s="342" customFormat="1">
      <c r="A947" s="356" t="s">
        <v>1706</v>
      </c>
      <c r="B947" s="333">
        <v>1</v>
      </c>
      <c r="C947" s="350">
        <v>45919</v>
      </c>
      <c r="D947" s="263" t="s">
        <v>1707</v>
      </c>
      <c r="E947" s="358" t="s">
        <v>1046</v>
      </c>
      <c r="F947" s="352">
        <v>5914</v>
      </c>
      <c r="G947" s="352">
        <f>39.7+(28.04+1323.07+91.41)+250</f>
        <v>1732.22</v>
      </c>
      <c r="H947" s="352"/>
      <c r="I947" s="353">
        <f>F947-G947-H947</f>
        <v>4181.78</v>
      </c>
      <c r="J947" s="354" t="s">
        <v>156</v>
      </c>
      <c r="K947" s="354">
        <v>1</v>
      </c>
      <c r="L947" s="354">
        <v>1</v>
      </c>
      <c r="M947" s="354">
        <v>1</v>
      </c>
      <c r="N947" s="354">
        <v>1</v>
      </c>
      <c r="O947" s="354">
        <v>1</v>
      </c>
      <c r="P947" s="354">
        <v>1</v>
      </c>
      <c r="Q947" s="354">
        <v>1</v>
      </c>
      <c r="R947" s="354">
        <v>1</v>
      </c>
      <c r="S947" s="355">
        <v>1</v>
      </c>
      <c r="T947" s="127"/>
      <c r="U947" s="135" t="s">
        <v>1708</v>
      </c>
      <c r="V947" s="129">
        <f>650+5655.4</f>
        <v>6305.4</v>
      </c>
      <c r="W947" s="340"/>
      <c r="X947" s="341"/>
      <c r="Y947" s="128"/>
    </row>
    <row r="948" spans="1:25">
      <c r="A948" s="615"/>
      <c r="B948" s="132"/>
      <c r="C948" s="36"/>
      <c r="D948" s="123"/>
      <c r="E948" s="123"/>
      <c r="F948" s="134">
        <f>SUM(F947)</f>
        <v>5914</v>
      </c>
      <c r="G948" s="134">
        <f>SUM(G947)</f>
        <v>1732.22</v>
      </c>
      <c r="H948" s="134">
        <f>SUM(H947)</f>
        <v>0</v>
      </c>
      <c r="I948" s="134">
        <f>SUM(I947)</f>
        <v>4181.78</v>
      </c>
      <c r="J948" s="127"/>
      <c r="K948" s="64"/>
      <c r="L948" s="64"/>
      <c r="M948" s="64"/>
      <c r="N948" s="64"/>
      <c r="O948" s="64"/>
      <c r="P948" s="64"/>
      <c r="Q948" s="64"/>
      <c r="R948" s="64"/>
      <c r="S948" s="64"/>
      <c r="T948" s="127"/>
      <c r="U948" s="135"/>
      <c r="V948" s="129"/>
      <c r="W948" s="130"/>
      <c r="X948" s="131"/>
      <c r="Y948" s="128"/>
    </row>
    <row r="949" spans="1:25">
      <c r="A949" s="614"/>
      <c r="B949" s="11"/>
      <c r="C949" s="609"/>
      <c r="D949" s="10"/>
      <c r="E949" s="10"/>
      <c r="F949" s="88"/>
      <c r="G949" s="88"/>
      <c r="H949" s="88"/>
      <c r="I949" s="99"/>
      <c r="J949" s="63"/>
      <c r="K949" s="21"/>
      <c r="L949" s="21"/>
      <c r="M949" s="21"/>
      <c r="N949" s="21"/>
      <c r="O949" s="21"/>
      <c r="P949" s="21"/>
      <c r="Q949" s="21"/>
      <c r="R949" s="21"/>
      <c r="S949" s="21"/>
      <c r="T949" s="63"/>
      <c r="U949" s="94"/>
      <c r="V949" s="90"/>
      <c r="W949" s="91"/>
      <c r="X949" s="92"/>
      <c r="Y949" s="2"/>
    </row>
    <row r="950" spans="1:25" s="434" customFormat="1" ht="13.5">
      <c r="A950" s="10"/>
      <c r="B950" s="100" t="s">
        <v>152</v>
      </c>
      <c r="C950" s="36"/>
      <c r="D950" s="10"/>
      <c r="E950" s="10"/>
      <c r="F950" s="88"/>
      <c r="G950" s="62"/>
      <c r="H950" s="88"/>
      <c r="I950" s="99"/>
      <c r="J950" s="63"/>
      <c r="K950" s="10"/>
      <c r="L950" s="10"/>
      <c r="M950" s="10"/>
      <c r="N950" s="10"/>
      <c r="O950" s="10"/>
      <c r="P950" s="123"/>
      <c r="Q950" s="10"/>
      <c r="R950" s="10"/>
      <c r="S950" s="10"/>
      <c r="T950" s="63"/>
      <c r="U950" s="10"/>
      <c r="V950" s="90"/>
      <c r="W950" s="91"/>
      <c r="X950" s="92"/>
    </row>
    <row r="951" spans="1:25" s="434" customFormat="1" ht="13.5">
      <c r="A951" s="31">
        <v>0.05</v>
      </c>
      <c r="B951" s="87">
        <v>1</v>
      </c>
      <c r="C951" s="262">
        <v>45848</v>
      </c>
      <c r="D951" s="263">
        <v>71373</v>
      </c>
      <c r="E951" s="264" t="s">
        <v>1338</v>
      </c>
      <c r="F951" s="265">
        <v>2681</v>
      </c>
      <c r="G951" s="265">
        <f>39.7+(92.99)</f>
        <v>132.69</v>
      </c>
      <c r="H951" s="265"/>
      <c r="I951" s="266">
        <f>F951-G951-H951</f>
        <v>2548.31</v>
      </c>
      <c r="J951" s="267" t="s">
        <v>156</v>
      </c>
      <c r="K951" s="267">
        <v>1</v>
      </c>
      <c r="L951" s="267">
        <v>1</v>
      </c>
      <c r="M951" s="267">
        <v>1</v>
      </c>
      <c r="N951" s="267">
        <v>1</v>
      </c>
      <c r="O951" s="267">
        <v>1</v>
      </c>
      <c r="P951" s="314">
        <v>0</v>
      </c>
      <c r="Q951" s="314">
        <v>0</v>
      </c>
      <c r="R951" s="314">
        <v>0</v>
      </c>
      <c r="S951" s="366">
        <v>0</v>
      </c>
      <c r="T951" s="63"/>
      <c r="U951" s="10" t="s">
        <v>1709</v>
      </c>
      <c r="V951" s="90"/>
      <c r="W951" s="91"/>
      <c r="X951" s="92"/>
    </row>
    <row r="952" spans="1:25" s="260" customFormat="1">
      <c r="A952" s="261">
        <v>0.05</v>
      </c>
      <c r="B952" s="87">
        <f>B951+1</f>
        <v>2</v>
      </c>
      <c r="C952" s="262">
        <v>45863</v>
      </c>
      <c r="D952" s="263" t="s">
        <v>1497</v>
      </c>
      <c r="E952" s="271" t="s">
        <v>1117</v>
      </c>
      <c r="F952" s="265">
        <v>1138</v>
      </c>
      <c r="G952" s="265">
        <f>39.7</f>
        <v>39.700000000000003</v>
      </c>
      <c r="H952" s="365"/>
      <c r="I952" s="266">
        <f>F952-G952-H952</f>
        <v>1098.3</v>
      </c>
      <c r="J952" s="267"/>
      <c r="K952" s="267">
        <v>1</v>
      </c>
      <c r="L952" s="267">
        <v>1</v>
      </c>
      <c r="M952" s="267"/>
      <c r="N952" s="267">
        <v>1</v>
      </c>
      <c r="O952" s="267">
        <v>1</v>
      </c>
      <c r="P952" s="267">
        <v>1</v>
      </c>
      <c r="Q952" s="314">
        <v>0</v>
      </c>
      <c r="R952" s="314">
        <v>0</v>
      </c>
      <c r="S952" s="366">
        <v>0</v>
      </c>
      <c r="T952" s="63"/>
      <c r="U952" s="10" t="s">
        <v>1628</v>
      </c>
      <c r="V952" s="90"/>
      <c r="W952" s="91"/>
      <c r="X952" s="92"/>
    </row>
    <row r="953" spans="1:25" s="260" customFormat="1">
      <c r="A953" s="261">
        <v>0.05</v>
      </c>
      <c r="B953" s="87">
        <f t="shared" ref="B953:B960" si="106">B952+1</f>
        <v>3</v>
      </c>
      <c r="C953" s="274">
        <v>45874</v>
      </c>
      <c r="D953" s="327">
        <v>72064</v>
      </c>
      <c r="E953" s="276" t="s">
        <v>998</v>
      </c>
      <c r="F953" s="277">
        <v>1138</v>
      </c>
      <c r="G953" s="277">
        <v>39.700000000000003</v>
      </c>
      <c r="H953" s="277"/>
      <c r="I953" s="321">
        <f>F953-G953-H953</f>
        <v>1098.3</v>
      </c>
      <c r="J953" s="279"/>
      <c r="K953" s="279">
        <v>1</v>
      </c>
      <c r="L953" s="279">
        <v>1</v>
      </c>
      <c r="M953" s="279"/>
      <c r="N953" s="279">
        <v>1</v>
      </c>
      <c r="O953" s="279">
        <v>1</v>
      </c>
      <c r="P953" s="279">
        <v>1</v>
      </c>
      <c r="Q953" s="322">
        <v>0</v>
      </c>
      <c r="R953" s="322">
        <v>0</v>
      </c>
      <c r="S953" s="328">
        <v>0</v>
      </c>
      <c r="T953" s="63"/>
      <c r="U953" s="94" t="s">
        <v>1540</v>
      </c>
      <c r="V953" s="90"/>
      <c r="W953" s="91"/>
      <c r="X953" s="92"/>
    </row>
    <row r="954" spans="1:25" s="260" customFormat="1">
      <c r="A954" s="261">
        <v>0.05</v>
      </c>
      <c r="B954" s="87">
        <f t="shared" si="106"/>
        <v>4</v>
      </c>
      <c r="C954" s="262">
        <v>45860</v>
      </c>
      <c r="D954" s="263" t="s">
        <v>1522</v>
      </c>
      <c r="E954" s="271" t="s">
        <v>1256</v>
      </c>
      <c r="F954" s="265">
        <v>13770</v>
      </c>
      <c r="G954" s="265">
        <f>39.7+271.4+(133.8)+(7.88+328.49-9.15-0.86-0.98-2.08-46.07+30.69+267.21)+1000</f>
        <v>2020.03</v>
      </c>
      <c r="H954" s="365"/>
      <c r="I954" s="266">
        <f>F954-G954-H954</f>
        <v>11749.97</v>
      </c>
      <c r="J954" s="267" t="s">
        <v>156</v>
      </c>
      <c r="K954" s="267">
        <v>1</v>
      </c>
      <c r="L954" s="267">
        <v>1</v>
      </c>
      <c r="M954" s="267">
        <v>1</v>
      </c>
      <c r="N954" s="267">
        <v>1</v>
      </c>
      <c r="O954" s="314">
        <v>0</v>
      </c>
      <c r="P954" s="267">
        <v>1</v>
      </c>
      <c r="Q954" s="314">
        <v>0</v>
      </c>
      <c r="R954" s="314">
        <v>0</v>
      </c>
      <c r="S954" s="366">
        <v>0</v>
      </c>
      <c r="T954" s="63"/>
      <c r="U954" s="94" t="s">
        <v>1579</v>
      </c>
      <c r="V954" s="90"/>
      <c r="W954" s="136"/>
      <c r="X954" s="137"/>
    </row>
    <row r="955" spans="1:25" s="260" customFormat="1">
      <c r="A955" s="261" t="s">
        <v>619</v>
      </c>
      <c r="B955" s="87">
        <f t="shared" si="106"/>
        <v>5</v>
      </c>
      <c r="C955" s="262">
        <v>45877</v>
      </c>
      <c r="D955" s="263">
        <v>72150</v>
      </c>
      <c r="E955" s="271" t="s">
        <v>769</v>
      </c>
      <c r="F955" s="265">
        <v>44619</v>
      </c>
      <c r="G955" s="265">
        <f>39.7+8800+352+(F955*0.25)+(3*150)</f>
        <v>20796.45</v>
      </c>
      <c r="H955" s="265"/>
      <c r="I955" s="272">
        <f>F955-G955-H955</f>
        <v>23822.55</v>
      </c>
      <c r="J955" s="267" t="s">
        <v>156</v>
      </c>
      <c r="K955" s="267">
        <v>1</v>
      </c>
      <c r="L955" s="267">
        <v>1</v>
      </c>
      <c r="M955" s="267">
        <v>1</v>
      </c>
      <c r="N955" s="267">
        <v>1</v>
      </c>
      <c r="O955" s="267">
        <v>1</v>
      </c>
      <c r="P955" s="267">
        <v>1</v>
      </c>
      <c r="Q955" s="267">
        <v>1</v>
      </c>
      <c r="R955" s="267">
        <v>1</v>
      </c>
      <c r="S955" s="269">
        <v>1</v>
      </c>
      <c r="T955" s="63"/>
      <c r="U955" s="94" t="s">
        <v>1580</v>
      </c>
      <c r="V955" s="90"/>
      <c r="W955" s="91"/>
      <c r="X955" s="137"/>
    </row>
    <row r="956" spans="1:25" s="260" customFormat="1">
      <c r="A956" s="261">
        <v>0.05</v>
      </c>
      <c r="B956" s="87">
        <f t="shared" si="106"/>
        <v>6</v>
      </c>
      <c r="C956" s="262">
        <v>45882</v>
      </c>
      <c r="D956" s="263">
        <v>72282</v>
      </c>
      <c r="E956" s="271" t="s">
        <v>384</v>
      </c>
      <c r="F956" s="265">
        <v>12614</v>
      </c>
      <c r="G956" s="265">
        <f>39.7+(166)+(60.58)+1000</f>
        <v>1266.28</v>
      </c>
      <c r="H956" s="265"/>
      <c r="I956" s="266">
        <f>F956-G956-H956</f>
        <v>11347.72</v>
      </c>
      <c r="J956" s="267" t="s">
        <v>156</v>
      </c>
      <c r="K956" s="267">
        <v>1</v>
      </c>
      <c r="L956" s="267">
        <v>1</v>
      </c>
      <c r="M956" s="267">
        <v>1</v>
      </c>
      <c r="N956" s="267">
        <v>1</v>
      </c>
      <c r="O956" s="267">
        <v>1</v>
      </c>
      <c r="P956" s="267">
        <v>1</v>
      </c>
      <c r="Q956" s="314">
        <v>0</v>
      </c>
      <c r="R956" s="314">
        <v>0</v>
      </c>
      <c r="S956" s="366">
        <v>0</v>
      </c>
      <c r="T956" s="63"/>
      <c r="U956" s="94" t="s">
        <v>1629</v>
      </c>
      <c r="V956" s="90"/>
      <c r="W956" s="136"/>
      <c r="X956" s="137"/>
    </row>
    <row r="957" spans="1:25" s="342" customFormat="1">
      <c r="A957" s="261" t="s">
        <v>1183</v>
      </c>
      <c r="B957" s="87">
        <f t="shared" si="106"/>
        <v>7</v>
      </c>
      <c r="C957" s="262">
        <v>45880</v>
      </c>
      <c r="D957" s="263" t="s">
        <v>1575</v>
      </c>
      <c r="E957" s="271" t="s">
        <v>798</v>
      </c>
      <c r="F957" s="265">
        <v>28614</v>
      </c>
      <c r="G957" s="265">
        <f>39.7+87+2114.68+(88.79+147.25+67.07+175.66+38+31.51+60)+(287.36+46.46+263.98-60+165.31)+(F957*0.2)</f>
        <v>9275.57</v>
      </c>
      <c r="H957" s="265"/>
      <c r="I957" s="266">
        <f>F957-G957-H957</f>
        <v>19338.43</v>
      </c>
      <c r="J957" s="267" t="s">
        <v>156</v>
      </c>
      <c r="K957" s="267">
        <v>1</v>
      </c>
      <c r="L957" s="267">
        <v>1</v>
      </c>
      <c r="M957" s="267">
        <v>1</v>
      </c>
      <c r="N957" s="314">
        <v>0</v>
      </c>
      <c r="O957" s="314">
        <v>0</v>
      </c>
      <c r="P957" s="314">
        <v>0</v>
      </c>
      <c r="Q957" s="267">
        <v>1</v>
      </c>
      <c r="R957" s="267">
        <v>1</v>
      </c>
      <c r="S957" s="269">
        <v>1</v>
      </c>
      <c r="T957" s="63"/>
      <c r="U957" s="94" t="s">
        <v>1603</v>
      </c>
      <c r="V957" s="90"/>
      <c r="W957" s="91"/>
      <c r="X957" s="137"/>
      <c r="Y957" s="260"/>
    </row>
    <row r="958" spans="1:25" s="260" customFormat="1">
      <c r="A958" s="261" t="s">
        <v>619</v>
      </c>
      <c r="B958" s="87">
        <f t="shared" si="106"/>
        <v>8</v>
      </c>
      <c r="C958" s="282">
        <v>45889</v>
      </c>
      <c r="D958" s="368">
        <v>72498</v>
      </c>
      <c r="E958" s="283" t="s">
        <v>769</v>
      </c>
      <c r="F958" s="284">
        <v>22618</v>
      </c>
      <c r="G958" s="284">
        <f>39.7+830.8+(94.29+28.45)+2000</f>
        <v>2993.24</v>
      </c>
      <c r="H958" s="284"/>
      <c r="I958" s="285">
        <f>F958-G958-H958</f>
        <v>19624.760000000002</v>
      </c>
      <c r="J958" s="286" t="s">
        <v>228</v>
      </c>
      <c r="K958" s="286">
        <v>1</v>
      </c>
      <c r="L958" s="286">
        <v>1</v>
      </c>
      <c r="M958" s="286">
        <v>1</v>
      </c>
      <c r="N958" s="286">
        <v>1</v>
      </c>
      <c r="O958" s="286">
        <v>1</v>
      </c>
      <c r="P958" s="286">
        <v>1</v>
      </c>
      <c r="Q958" s="286">
        <v>1</v>
      </c>
      <c r="R958" s="286">
        <v>1</v>
      </c>
      <c r="S958" s="287">
        <v>1</v>
      </c>
      <c r="T958" s="63"/>
      <c r="U958" s="94" t="s">
        <v>1635</v>
      </c>
      <c r="V958" s="90"/>
      <c r="W958" s="136"/>
      <c r="X958" s="137"/>
    </row>
    <row r="959" spans="1:25" s="181" customFormat="1">
      <c r="A959" s="261">
        <v>0.05</v>
      </c>
      <c r="B959" s="87">
        <f t="shared" si="106"/>
        <v>9</v>
      </c>
      <c r="C959" s="262">
        <v>45894</v>
      </c>
      <c r="D959" s="263">
        <v>72581</v>
      </c>
      <c r="E959" s="271" t="s">
        <v>1623</v>
      </c>
      <c r="F959" s="265">
        <v>5814</v>
      </c>
      <c r="G959" s="265">
        <f>39.7+446.6+(847.11)+250</f>
        <v>1583.41</v>
      </c>
      <c r="H959" s="265"/>
      <c r="I959" s="272">
        <f>F959-G959-H959</f>
        <v>4230.59</v>
      </c>
      <c r="J959" s="267" t="s">
        <v>228</v>
      </c>
      <c r="K959" s="267">
        <v>1</v>
      </c>
      <c r="L959" s="267">
        <v>1</v>
      </c>
      <c r="M959" s="267">
        <v>1</v>
      </c>
      <c r="N959" s="267">
        <v>1</v>
      </c>
      <c r="O959" s="267">
        <v>1</v>
      </c>
      <c r="P959" s="267">
        <v>1</v>
      </c>
      <c r="Q959" s="267">
        <v>1</v>
      </c>
      <c r="R959" s="267">
        <v>1</v>
      </c>
      <c r="S959" s="269">
        <v>1</v>
      </c>
      <c r="T959" s="63"/>
      <c r="U959" s="94" t="s">
        <v>1624</v>
      </c>
      <c r="V959" s="90"/>
      <c r="W959" s="136"/>
      <c r="X959" s="137"/>
      <c r="Y959" s="260"/>
    </row>
    <row r="960" spans="1:25" s="181" customFormat="1">
      <c r="A960" s="704" t="s">
        <v>683</v>
      </c>
      <c r="B960" s="87">
        <f t="shared" si="106"/>
        <v>10</v>
      </c>
      <c r="C960" s="641">
        <v>45908</v>
      </c>
      <c r="D960" s="263">
        <v>73046</v>
      </c>
      <c r="E960" s="271" t="s">
        <v>317</v>
      </c>
      <c r="F960" s="265">
        <v>3814</v>
      </c>
      <c r="G960" s="265">
        <f>39.7+(12.18+108.87+796.78)+300</f>
        <v>1257.53</v>
      </c>
      <c r="H960" s="265"/>
      <c r="I960" s="266">
        <f>F960-G960-H960</f>
        <v>2556.4700000000003</v>
      </c>
      <c r="J960" s="267" t="s">
        <v>156</v>
      </c>
      <c r="K960" s="267">
        <v>1</v>
      </c>
      <c r="L960" s="267">
        <v>1</v>
      </c>
      <c r="M960" s="267">
        <v>1</v>
      </c>
      <c r="N960" s="267">
        <v>1</v>
      </c>
      <c r="O960" s="267">
        <v>1</v>
      </c>
      <c r="P960" s="267">
        <v>1</v>
      </c>
      <c r="Q960" s="267">
        <v>1</v>
      </c>
      <c r="R960" s="314">
        <v>0</v>
      </c>
      <c r="S960" s="269">
        <v>1</v>
      </c>
      <c r="T960" s="21">
        <v>1</v>
      </c>
      <c r="U960" s="94" t="s">
        <v>1710</v>
      </c>
      <c r="V960" s="90"/>
      <c r="W960" s="91"/>
      <c r="X960" s="92"/>
    </row>
    <row r="961" spans="1:25" s="434" customFormat="1" ht="13.5">
      <c r="A961" s="10"/>
      <c r="B961" s="11"/>
      <c r="C961" s="36"/>
      <c r="D961" s="10"/>
      <c r="E961" s="10"/>
      <c r="F961" s="98">
        <f>SUM(F951:F960)</f>
        <v>136820</v>
      </c>
      <c r="G961" s="98">
        <f t="shared" ref="G961:I961" si="107">SUM(G951:G960)</f>
        <v>39404.6</v>
      </c>
      <c r="H961" s="98">
        <f t="shared" si="107"/>
        <v>0</v>
      </c>
      <c r="I961" s="98">
        <f t="shared" si="107"/>
        <v>97415.4</v>
      </c>
      <c r="J961" s="63"/>
      <c r="K961" s="21"/>
      <c r="L961" s="21"/>
      <c r="M961" s="21"/>
      <c r="N961" s="21"/>
      <c r="O961" s="21"/>
      <c r="P961" s="21"/>
      <c r="Q961" s="21"/>
      <c r="R961" s="21"/>
      <c r="S961" s="21"/>
      <c r="T961" s="63"/>
      <c r="U961" s="10"/>
      <c r="V961" s="90"/>
      <c r="W961" s="91"/>
      <c r="X961" s="92"/>
    </row>
    <row r="962" spans="1:25" s="434" customFormat="1" ht="13.5">
      <c r="A962" s="10"/>
      <c r="B962" s="11"/>
      <c r="C962" s="36"/>
      <c r="D962" s="10"/>
      <c r="E962" s="10"/>
      <c r="F962" s="88"/>
      <c r="G962" s="88"/>
      <c r="H962" s="88"/>
      <c r="I962" s="99"/>
      <c r="J962" s="63"/>
      <c r="K962" s="21"/>
      <c r="L962" s="21"/>
      <c r="M962" s="21"/>
      <c r="N962" s="21"/>
      <c r="O962" s="21"/>
      <c r="P962" s="21"/>
      <c r="Q962" s="21"/>
      <c r="R962" s="21"/>
      <c r="S962" s="21"/>
      <c r="T962" s="63"/>
      <c r="U962" s="10"/>
      <c r="V962" s="90"/>
      <c r="W962" s="91"/>
      <c r="X962" s="92"/>
    </row>
    <row r="963" spans="1:25" s="260" customFormat="1">
      <c r="A963" s="181"/>
      <c r="B963" s="100" t="s">
        <v>1521</v>
      </c>
      <c r="C963" s="36"/>
      <c r="D963" s="10"/>
      <c r="E963" s="181"/>
      <c r="F963" s="88"/>
      <c r="G963" s="88"/>
      <c r="H963" s="88"/>
      <c r="I963" s="99"/>
      <c r="J963" s="63"/>
      <c r="K963" s="21"/>
      <c r="L963" s="21"/>
      <c r="M963" s="21"/>
      <c r="N963" s="21"/>
      <c r="O963" s="21"/>
      <c r="P963" s="21"/>
      <c r="Q963" s="21"/>
      <c r="R963" s="21"/>
      <c r="S963" s="21"/>
      <c r="T963" s="63"/>
      <c r="U963" s="94"/>
      <c r="V963" s="90"/>
      <c r="W963" s="91"/>
      <c r="X963" s="92"/>
    </row>
    <row r="964" spans="1:25" s="260" customFormat="1">
      <c r="A964" s="261">
        <v>0.05</v>
      </c>
      <c r="B964" s="87">
        <v>1</v>
      </c>
      <c r="C964" s="274">
        <v>45889</v>
      </c>
      <c r="D964" s="327">
        <v>72473</v>
      </c>
      <c r="E964" s="276" t="s">
        <v>384</v>
      </c>
      <c r="F964" s="277">
        <v>20352.599999999999</v>
      </c>
      <c r="G964" s="277">
        <f>39.7+1158.5+330+698.2+1074.8+910.2+(131.46+39.56+458.93+229.4+124.76-77.28+55.97)+(199.57+15.62)+2000</f>
        <v>7389.3899999999994</v>
      </c>
      <c r="H964" s="277"/>
      <c r="I964" s="278">
        <f>F964-G964-H964</f>
        <v>12963.21</v>
      </c>
      <c r="J964" s="279" t="s">
        <v>228</v>
      </c>
      <c r="K964" s="279">
        <v>1</v>
      </c>
      <c r="L964" s="279"/>
      <c r="M964" s="279">
        <v>1</v>
      </c>
      <c r="N964" s="279">
        <v>1</v>
      </c>
      <c r="O964" s="279">
        <v>1</v>
      </c>
      <c r="P964" s="279">
        <v>1</v>
      </c>
      <c r="Q964" s="279"/>
      <c r="R964" s="279"/>
      <c r="S964" s="280"/>
      <c r="T964" s="63"/>
      <c r="U964" s="94" t="s">
        <v>1690</v>
      </c>
      <c r="V964" s="90"/>
      <c r="W964" s="136"/>
      <c r="X964" s="137"/>
    </row>
    <row r="965" spans="1:25" s="260" customFormat="1">
      <c r="A965" s="261" t="s">
        <v>548</v>
      </c>
      <c r="B965" s="87">
        <f>B964+1</f>
        <v>2</v>
      </c>
      <c r="C965" s="262">
        <v>45895</v>
      </c>
      <c r="D965" s="263">
        <v>72566</v>
      </c>
      <c r="E965" s="271" t="s">
        <v>833</v>
      </c>
      <c r="F965" s="265">
        <v>1861</v>
      </c>
      <c r="G965" s="265">
        <f>39.7+485</f>
        <v>524.70000000000005</v>
      </c>
      <c r="H965" s="265"/>
      <c r="I965" s="272">
        <f>F965-G965-H965</f>
        <v>1336.3</v>
      </c>
      <c r="J965" s="267" t="s">
        <v>156</v>
      </c>
      <c r="K965" s="267">
        <v>1</v>
      </c>
      <c r="L965" s="267"/>
      <c r="M965" s="267">
        <v>1</v>
      </c>
      <c r="N965" s="267">
        <v>1</v>
      </c>
      <c r="O965" s="267">
        <v>1</v>
      </c>
      <c r="P965" s="267">
        <v>1</v>
      </c>
      <c r="Q965" s="267"/>
      <c r="R965" s="267"/>
      <c r="S965" s="269"/>
      <c r="T965" s="63"/>
      <c r="U965" s="94" t="s">
        <v>1691</v>
      </c>
      <c r="V965" s="90"/>
      <c r="W965" s="136"/>
      <c r="X965" s="137"/>
    </row>
    <row r="966" spans="1:25" s="181" customFormat="1">
      <c r="A966" s="261">
        <v>0.1</v>
      </c>
      <c r="B966" s="87">
        <f>B965+1</f>
        <v>3</v>
      </c>
      <c r="C966" s="641">
        <v>45909</v>
      </c>
      <c r="D966" s="263">
        <v>73119</v>
      </c>
      <c r="E966" s="271" t="s">
        <v>973</v>
      </c>
      <c r="F966" s="265">
        <v>5814</v>
      </c>
      <c r="G966" s="265">
        <f>39.7+(2001.79+54.89)+250</f>
        <v>2346.3799999999997</v>
      </c>
      <c r="H966" s="265">
        <f>F966*0.2</f>
        <v>1162.8</v>
      </c>
      <c r="I966" s="272">
        <f t="shared" ref="I966" si="108">F966-G966-H966</f>
        <v>2304.8200000000006</v>
      </c>
      <c r="J966" s="267" t="s">
        <v>185</v>
      </c>
      <c r="K966" s="267">
        <v>1</v>
      </c>
      <c r="L966" s="267"/>
      <c r="M966" s="267">
        <v>1</v>
      </c>
      <c r="N966" s="267">
        <v>1</v>
      </c>
      <c r="O966" s="267">
        <v>1</v>
      </c>
      <c r="P966" s="267">
        <v>1</v>
      </c>
      <c r="Q966" s="267"/>
      <c r="R966" s="267"/>
      <c r="S966" s="269"/>
      <c r="T966" s="63"/>
      <c r="U966" s="94" t="s">
        <v>1689</v>
      </c>
      <c r="V966" s="90"/>
      <c r="W966" s="136"/>
      <c r="X966" s="137"/>
    </row>
    <row r="967" spans="1:25" s="260" customFormat="1">
      <c r="A967" s="181"/>
      <c r="B967" s="11"/>
      <c r="C967" s="36"/>
      <c r="D967" s="10"/>
      <c r="E967" s="10"/>
      <c r="F967" s="97">
        <f>SUM(F964:F966)</f>
        <v>28027.599999999999</v>
      </c>
      <c r="G967" s="97">
        <f t="shared" ref="G967:I967" si="109">SUM(G964:G966)</f>
        <v>10260.469999999999</v>
      </c>
      <c r="H967" s="97">
        <f t="shared" si="109"/>
        <v>1162.8</v>
      </c>
      <c r="I967" s="97">
        <f t="shared" si="109"/>
        <v>16604.329999999998</v>
      </c>
      <c r="J967" s="63"/>
      <c r="K967" s="21"/>
      <c r="L967" s="21"/>
      <c r="M967" s="21"/>
      <c r="N967" s="21"/>
      <c r="O967" s="21"/>
      <c r="P967" s="21"/>
      <c r="Q967" s="21"/>
      <c r="R967" s="21"/>
      <c r="S967" s="21"/>
      <c r="T967" s="63"/>
      <c r="U967" s="94"/>
      <c r="V967" s="90"/>
      <c r="W967" s="91"/>
      <c r="X967" s="92"/>
    </row>
    <row r="968" spans="1:25" s="260" customFormat="1">
      <c r="A968" s="181"/>
      <c r="B968" s="11"/>
      <c r="C968" s="36"/>
      <c r="D968" s="10"/>
      <c r="E968" s="10"/>
      <c r="F968" s="88"/>
      <c r="G968" s="88"/>
      <c r="H968" s="88"/>
      <c r="I968" s="99"/>
      <c r="J968" s="63"/>
      <c r="K968" s="21"/>
      <c r="L968" s="21"/>
      <c r="M968" s="21"/>
      <c r="N968" s="21"/>
      <c r="O968" s="21"/>
      <c r="P968" s="21"/>
      <c r="Q968" s="21"/>
      <c r="R968" s="21"/>
      <c r="S968" s="21"/>
      <c r="T968" s="63"/>
      <c r="U968" s="94"/>
      <c r="V968" s="90"/>
      <c r="W968" s="91"/>
      <c r="X968" s="92"/>
    </row>
    <row r="969" spans="1:25">
      <c r="A969" s="614"/>
      <c r="B969" s="100" t="s">
        <v>72</v>
      </c>
      <c r="C969" s="609"/>
      <c r="D969" s="10"/>
      <c r="E969" s="10"/>
      <c r="F969" s="88"/>
      <c r="G969" s="88"/>
      <c r="H969" s="88"/>
      <c r="I969" s="99"/>
      <c r="J969" s="63"/>
      <c r="K969" s="63"/>
      <c r="L969" s="63"/>
      <c r="M969" s="63"/>
      <c r="N969" s="63"/>
      <c r="O969" s="63"/>
      <c r="P969" s="63"/>
      <c r="Q969" s="63"/>
      <c r="R969" s="63"/>
      <c r="S969" s="63"/>
      <c r="T969" s="63"/>
      <c r="U969" s="94"/>
      <c r="V969" s="90"/>
      <c r="W969" s="91"/>
      <c r="X969" s="92"/>
      <c r="Y969" s="2"/>
    </row>
    <row r="970" spans="1:25">
      <c r="A970" s="614"/>
      <c r="B970" s="87">
        <v>1</v>
      </c>
      <c r="C970" s="274">
        <v>45915</v>
      </c>
      <c r="D970" s="276">
        <v>73292</v>
      </c>
      <c r="E970" s="276" t="s">
        <v>811</v>
      </c>
      <c r="F970" s="277">
        <v>6841</v>
      </c>
      <c r="G970" s="277">
        <v>39.700000000000003</v>
      </c>
      <c r="H970" s="277"/>
      <c r="I970" s="278">
        <f>F970-G970-H970</f>
        <v>6801.3</v>
      </c>
      <c r="J970" s="279" t="s">
        <v>205</v>
      </c>
      <c r="K970" s="279">
        <v>1</v>
      </c>
      <c r="L970" s="279"/>
      <c r="M970" s="279"/>
      <c r="N970" s="279">
        <v>1</v>
      </c>
      <c r="O970" s="279"/>
      <c r="P970" s="279"/>
      <c r="Q970" s="279">
        <v>1</v>
      </c>
      <c r="R970" s="279">
        <v>1</v>
      </c>
      <c r="S970" s="280">
        <v>1</v>
      </c>
      <c r="T970" s="63"/>
      <c r="U970" s="164"/>
      <c r="V970" s="90"/>
      <c r="W970" s="91"/>
      <c r="X970" s="92"/>
      <c r="Y970" s="2"/>
    </row>
    <row r="971" spans="1:25">
      <c r="A971" s="614"/>
      <c r="B971" s="87">
        <f>B970+1</f>
        <v>2</v>
      </c>
      <c r="C971" s="295">
        <v>45915</v>
      </c>
      <c r="D971" s="10">
        <v>73300</v>
      </c>
      <c r="E971" s="10" t="s">
        <v>1062</v>
      </c>
      <c r="F971" s="62">
        <v>6214</v>
      </c>
      <c r="G971" s="62">
        <v>39.700000000000003</v>
      </c>
      <c r="H971" s="62"/>
      <c r="I971" s="89">
        <f t="shared" ref="I971:I985" si="110">F971-G971-H971</f>
        <v>6174.3</v>
      </c>
      <c r="J971" s="63" t="s">
        <v>205</v>
      </c>
      <c r="K971" s="63">
        <v>1</v>
      </c>
      <c r="L971" s="63"/>
      <c r="M971" s="63"/>
      <c r="N971" s="63">
        <v>1</v>
      </c>
      <c r="O971" s="63"/>
      <c r="P971" s="63"/>
      <c r="Q971" s="63">
        <v>1</v>
      </c>
      <c r="R971" s="63">
        <v>1</v>
      </c>
      <c r="S971" s="296">
        <v>1</v>
      </c>
      <c r="T971" s="63"/>
      <c r="U971" s="94"/>
      <c r="V971" s="90"/>
      <c r="W971" s="136"/>
      <c r="X971" s="137"/>
      <c r="Y971" s="2"/>
    </row>
    <row r="972" spans="1:25">
      <c r="A972" s="614"/>
      <c r="B972" s="87">
        <f t="shared" ref="B972:B985" si="111">B971+1</f>
        <v>3</v>
      </c>
      <c r="C972" s="295">
        <v>45915</v>
      </c>
      <c r="D972" s="10">
        <v>73306</v>
      </c>
      <c r="E972" s="10" t="s">
        <v>1062</v>
      </c>
      <c r="F972" s="62">
        <v>2813</v>
      </c>
      <c r="G972" s="62">
        <v>39.700000000000003</v>
      </c>
      <c r="H972" s="62"/>
      <c r="I972" s="89">
        <f t="shared" si="110"/>
        <v>2773.3</v>
      </c>
      <c r="J972" s="63" t="s">
        <v>205</v>
      </c>
      <c r="K972" s="63">
        <v>1</v>
      </c>
      <c r="L972" s="63"/>
      <c r="M972" s="63"/>
      <c r="N972" s="63">
        <v>1</v>
      </c>
      <c r="O972" s="63"/>
      <c r="P972" s="63"/>
      <c r="Q972" s="63">
        <v>1</v>
      </c>
      <c r="R972" s="63">
        <v>1</v>
      </c>
      <c r="S972" s="296"/>
      <c r="T972" s="63"/>
      <c r="U972" s="94"/>
      <c r="V972" s="90"/>
      <c r="W972" s="136"/>
      <c r="X972" s="137"/>
      <c r="Y972" s="2"/>
    </row>
    <row r="973" spans="1:25">
      <c r="A973" s="614"/>
      <c r="B973" s="87">
        <f t="shared" si="111"/>
        <v>4</v>
      </c>
      <c r="C973" s="295">
        <v>45915</v>
      </c>
      <c r="D973" s="10">
        <v>73318</v>
      </c>
      <c r="E973" s="10" t="s">
        <v>728</v>
      </c>
      <c r="F973" s="62">
        <v>2275</v>
      </c>
      <c r="G973" s="62">
        <v>39.700000000000003</v>
      </c>
      <c r="H973" s="62"/>
      <c r="I973" s="89">
        <f t="shared" si="110"/>
        <v>2235.3000000000002</v>
      </c>
      <c r="J973" s="63" t="s">
        <v>205</v>
      </c>
      <c r="K973" s="63">
        <v>1</v>
      </c>
      <c r="L973" s="63"/>
      <c r="M973" s="63"/>
      <c r="N973" s="63">
        <v>1</v>
      </c>
      <c r="O973" s="63"/>
      <c r="P973" s="63"/>
      <c r="Q973" s="63">
        <v>1</v>
      </c>
      <c r="R973" s="63">
        <v>1</v>
      </c>
      <c r="S973" s="296">
        <v>1</v>
      </c>
      <c r="T973" s="63"/>
      <c r="U973" s="94"/>
      <c r="V973" s="90"/>
      <c r="W973" s="136"/>
      <c r="X973" s="137"/>
      <c r="Y973" s="2"/>
    </row>
    <row r="974" spans="1:25">
      <c r="A974" s="614"/>
      <c r="B974" s="87">
        <f>B973+1</f>
        <v>5</v>
      </c>
      <c r="C974" s="274">
        <v>45916</v>
      </c>
      <c r="D974" s="276">
        <v>73334</v>
      </c>
      <c r="E974" s="281" t="s">
        <v>1288</v>
      </c>
      <c r="F974" s="277">
        <v>2613</v>
      </c>
      <c r="G974" s="277">
        <v>39.700000000000003</v>
      </c>
      <c r="H974" s="277"/>
      <c r="I974" s="278">
        <f t="shared" si="110"/>
        <v>2573.3000000000002</v>
      </c>
      <c r="J974" s="279" t="s">
        <v>156</v>
      </c>
      <c r="K974" s="279">
        <v>1</v>
      </c>
      <c r="L974" s="279"/>
      <c r="M974" s="279">
        <v>1</v>
      </c>
      <c r="N974" s="279">
        <v>1</v>
      </c>
      <c r="O974" s="279"/>
      <c r="P974" s="279"/>
      <c r="Q974" s="279"/>
      <c r="R974" s="279"/>
      <c r="S974" s="280"/>
      <c r="T974" s="63"/>
      <c r="U974" s="94"/>
      <c r="V974" s="90">
        <v>93.5</v>
      </c>
      <c r="W974" s="136"/>
      <c r="X974" s="137"/>
      <c r="Y974" s="2"/>
    </row>
    <row r="975" spans="1:25">
      <c r="A975" s="614"/>
      <c r="B975" s="87">
        <f t="shared" si="111"/>
        <v>6</v>
      </c>
      <c r="C975" s="295">
        <v>45916</v>
      </c>
      <c r="D975" s="10">
        <v>73322</v>
      </c>
      <c r="E975" s="101" t="s">
        <v>1225</v>
      </c>
      <c r="F975" s="62">
        <v>2813</v>
      </c>
      <c r="G975" s="62">
        <v>39.700000000000003</v>
      </c>
      <c r="H975" s="62"/>
      <c r="I975" s="89">
        <f t="shared" si="110"/>
        <v>2773.3</v>
      </c>
      <c r="J975" s="63" t="s">
        <v>205</v>
      </c>
      <c r="K975" s="63">
        <v>1</v>
      </c>
      <c r="L975" s="63"/>
      <c r="M975" s="63"/>
      <c r="N975" s="63">
        <v>1</v>
      </c>
      <c r="O975" s="63"/>
      <c r="P975" s="63"/>
      <c r="Q975" s="63">
        <v>1</v>
      </c>
      <c r="R975" s="63">
        <v>1</v>
      </c>
      <c r="S975" s="296">
        <v>1</v>
      </c>
      <c r="T975" s="63"/>
      <c r="U975" s="94"/>
      <c r="V975" s="90"/>
      <c r="W975" s="136"/>
      <c r="X975" s="137"/>
      <c r="Y975" s="2"/>
    </row>
    <row r="976" spans="1:25">
      <c r="A976" s="614"/>
      <c r="B976" s="87">
        <f t="shared" si="111"/>
        <v>7</v>
      </c>
      <c r="C976" s="295">
        <v>45916</v>
      </c>
      <c r="D976" s="10">
        <v>73307</v>
      </c>
      <c r="E976" s="101" t="s">
        <v>833</v>
      </c>
      <c r="F976" s="62">
        <v>0</v>
      </c>
      <c r="G976" s="62">
        <v>0</v>
      </c>
      <c r="H976" s="62"/>
      <c r="I976" s="89">
        <f t="shared" si="110"/>
        <v>0</v>
      </c>
      <c r="J976" s="63" t="s">
        <v>205</v>
      </c>
      <c r="K976" s="63">
        <v>1</v>
      </c>
      <c r="L976" s="63"/>
      <c r="M976" s="63"/>
      <c r="N976" s="63">
        <v>1</v>
      </c>
      <c r="O976" s="63"/>
      <c r="P976" s="63"/>
      <c r="Q976" s="63">
        <v>1</v>
      </c>
      <c r="R976" s="63">
        <v>1</v>
      </c>
      <c r="S976" s="296">
        <v>1</v>
      </c>
      <c r="T976" s="63"/>
      <c r="U976" s="94"/>
      <c r="V976" s="90"/>
      <c r="W976" s="136"/>
      <c r="X976" s="137"/>
      <c r="Y976" s="2"/>
    </row>
    <row r="977" spans="1:25">
      <c r="A977" s="614"/>
      <c r="B977" s="87">
        <f t="shared" si="111"/>
        <v>8</v>
      </c>
      <c r="C977" s="274">
        <v>45917</v>
      </c>
      <c r="D977" s="276">
        <v>73289</v>
      </c>
      <c r="E977" s="281" t="s">
        <v>604</v>
      </c>
      <c r="F977" s="277">
        <v>0</v>
      </c>
      <c r="G977" s="277">
        <v>0</v>
      </c>
      <c r="H977" s="277"/>
      <c r="I977" s="278">
        <f t="shared" si="110"/>
        <v>0</v>
      </c>
      <c r="J977" s="279" t="s">
        <v>810</v>
      </c>
      <c r="K977" s="279"/>
      <c r="L977" s="279"/>
      <c r="M977" s="279"/>
      <c r="N977" s="279"/>
      <c r="O977" s="279"/>
      <c r="P977" s="279"/>
      <c r="Q977" s="279"/>
      <c r="R977" s="279"/>
      <c r="S977" s="280"/>
      <c r="T977" s="63"/>
      <c r="U977" s="94"/>
      <c r="V977" s="90"/>
      <c r="W977" s="136"/>
      <c r="X977" s="137"/>
      <c r="Y977" s="2"/>
    </row>
    <row r="978" spans="1:25">
      <c r="A978" s="614"/>
      <c r="B978" s="87">
        <f t="shared" si="111"/>
        <v>9</v>
      </c>
      <c r="C978" s="295">
        <v>45917</v>
      </c>
      <c r="D978" s="10">
        <v>73364</v>
      </c>
      <c r="E978" s="101" t="s">
        <v>1073</v>
      </c>
      <c r="F978" s="62">
        <v>12814</v>
      </c>
      <c r="G978" s="62">
        <v>39.700000000000003</v>
      </c>
      <c r="H978" s="62"/>
      <c r="I978" s="89">
        <f t="shared" si="110"/>
        <v>12774.3</v>
      </c>
      <c r="J978" s="63" t="s">
        <v>205</v>
      </c>
      <c r="K978" s="63">
        <v>1</v>
      </c>
      <c r="L978" s="63"/>
      <c r="M978" s="63"/>
      <c r="N978" s="63">
        <v>1</v>
      </c>
      <c r="O978" s="63"/>
      <c r="P978" s="63"/>
      <c r="Q978" s="63">
        <v>1</v>
      </c>
      <c r="R978" s="63">
        <v>1</v>
      </c>
      <c r="S978" s="296">
        <v>1</v>
      </c>
      <c r="T978" s="63"/>
      <c r="U978" s="94"/>
      <c r="V978" s="90"/>
      <c r="W978" s="136"/>
      <c r="X978" s="137"/>
      <c r="Y978" s="2"/>
    </row>
    <row r="979" spans="1:25">
      <c r="A979" s="614"/>
      <c r="B979" s="87">
        <f t="shared" si="111"/>
        <v>10</v>
      </c>
      <c r="C979" s="295">
        <v>45917</v>
      </c>
      <c r="D979" s="10">
        <v>73254</v>
      </c>
      <c r="E979" s="10" t="s">
        <v>1215</v>
      </c>
      <c r="F979" s="62">
        <v>2814</v>
      </c>
      <c r="G979" s="62">
        <v>39.700000000000003</v>
      </c>
      <c r="H979" s="62"/>
      <c r="I979" s="89">
        <f>F979-G979-H979</f>
        <v>2774.3</v>
      </c>
      <c r="J979" s="63" t="s">
        <v>219</v>
      </c>
      <c r="K979" s="63">
        <v>1</v>
      </c>
      <c r="L979" s="63"/>
      <c r="M979" s="63"/>
      <c r="N979" s="63"/>
      <c r="O979" s="63"/>
      <c r="P979" s="63"/>
      <c r="Q979" s="63"/>
      <c r="R979" s="63"/>
      <c r="S979" s="296"/>
      <c r="T979" s="63"/>
      <c r="U979" s="94"/>
      <c r="V979" s="90"/>
      <c r="W979" s="136"/>
      <c r="X979" s="137"/>
      <c r="Y979" s="2"/>
    </row>
    <row r="980" spans="1:25">
      <c r="A980" s="614"/>
      <c r="B980" s="87">
        <f t="shared" si="111"/>
        <v>11</v>
      </c>
      <c r="C980" s="274">
        <v>45918</v>
      </c>
      <c r="D980" s="276">
        <v>73424</v>
      </c>
      <c r="E980" s="281" t="s">
        <v>973</v>
      </c>
      <c r="F980" s="277">
        <v>38614</v>
      </c>
      <c r="G980" s="277">
        <v>39.700000000000003</v>
      </c>
      <c r="H980" s="277"/>
      <c r="I980" s="278">
        <f t="shared" si="110"/>
        <v>38574.300000000003</v>
      </c>
      <c r="J980" s="279" t="s">
        <v>205</v>
      </c>
      <c r="K980" s="279">
        <v>1</v>
      </c>
      <c r="L980" s="279"/>
      <c r="M980" s="279"/>
      <c r="N980" s="279">
        <v>1</v>
      </c>
      <c r="O980" s="279"/>
      <c r="P980" s="279"/>
      <c r="Q980" s="279"/>
      <c r="R980" s="279"/>
      <c r="S980" s="280"/>
      <c r="T980" s="63"/>
      <c r="U980" s="94"/>
      <c r="V980" s="90"/>
      <c r="W980" s="136"/>
      <c r="X980" s="137"/>
      <c r="Y980" s="2"/>
    </row>
    <row r="981" spans="1:25">
      <c r="A981" s="614"/>
      <c r="B981" s="87">
        <f t="shared" si="111"/>
        <v>12</v>
      </c>
      <c r="C981" s="295">
        <v>45918</v>
      </c>
      <c r="D981" s="10">
        <v>73432</v>
      </c>
      <c r="E981" s="101" t="s">
        <v>1034</v>
      </c>
      <c r="F981" s="62">
        <v>1138</v>
      </c>
      <c r="G981" s="62">
        <v>39.700000000000003</v>
      </c>
      <c r="H981" s="62"/>
      <c r="I981" s="89">
        <f t="shared" si="110"/>
        <v>1098.3</v>
      </c>
      <c r="J981" s="63" t="s">
        <v>205</v>
      </c>
      <c r="K981" s="63">
        <v>1</v>
      </c>
      <c r="L981" s="63"/>
      <c r="M981" s="63"/>
      <c r="N981" s="63">
        <v>1</v>
      </c>
      <c r="O981" s="63"/>
      <c r="P981" s="63"/>
      <c r="Q981" s="63">
        <v>1</v>
      </c>
      <c r="R981" s="63">
        <v>1</v>
      </c>
      <c r="S981" s="296"/>
      <c r="T981" s="63"/>
      <c r="U981" s="94"/>
      <c r="V981" s="90"/>
      <c r="W981" s="136"/>
      <c r="X981" s="137"/>
      <c r="Y981" s="2"/>
    </row>
    <row r="982" spans="1:25">
      <c r="A982" s="614"/>
      <c r="B982" s="87">
        <f t="shared" si="111"/>
        <v>13</v>
      </c>
      <c r="C982" s="295">
        <v>45918</v>
      </c>
      <c r="D982" s="10" t="s">
        <v>1711</v>
      </c>
      <c r="E982" s="10" t="s">
        <v>1102</v>
      </c>
      <c r="F982" s="62">
        <v>12814</v>
      </c>
      <c r="G982" s="62">
        <f>39.7</f>
        <v>39.700000000000003</v>
      </c>
      <c r="H982" s="62"/>
      <c r="I982" s="89">
        <f t="shared" si="110"/>
        <v>12774.3</v>
      </c>
      <c r="J982" s="63" t="s">
        <v>205</v>
      </c>
      <c r="K982" s="63">
        <v>1</v>
      </c>
      <c r="L982" s="63"/>
      <c r="M982" s="63"/>
      <c r="N982" s="63">
        <v>1</v>
      </c>
      <c r="O982" s="63"/>
      <c r="P982" s="63"/>
      <c r="Q982" s="63"/>
      <c r="R982" s="63"/>
      <c r="S982" s="296"/>
      <c r="T982" s="63"/>
      <c r="U982" s="94"/>
      <c r="V982" s="90"/>
      <c r="W982" s="136"/>
      <c r="X982" s="137"/>
      <c r="Y982" s="2"/>
    </row>
    <row r="983" spans="1:25">
      <c r="A983" s="614"/>
      <c r="B983" s="87">
        <f t="shared" si="111"/>
        <v>14</v>
      </c>
      <c r="C983" s="274">
        <v>45919</v>
      </c>
      <c r="D983" s="276">
        <v>73425</v>
      </c>
      <c r="E983" s="276" t="s">
        <v>1031</v>
      </c>
      <c r="F983" s="277">
        <v>1053</v>
      </c>
      <c r="G983" s="277">
        <f>39.7</f>
        <v>39.700000000000003</v>
      </c>
      <c r="H983" s="277"/>
      <c r="I983" s="278">
        <f t="shared" si="110"/>
        <v>1013.3</v>
      </c>
      <c r="J983" s="279" t="s">
        <v>205</v>
      </c>
      <c r="K983" s="279">
        <v>1</v>
      </c>
      <c r="L983" s="279"/>
      <c r="M983" s="279"/>
      <c r="N983" s="279">
        <v>1</v>
      </c>
      <c r="O983" s="279"/>
      <c r="P983" s="279"/>
      <c r="Q983" s="279">
        <v>1</v>
      </c>
      <c r="R983" s="279">
        <v>1</v>
      </c>
      <c r="S983" s="280">
        <v>1</v>
      </c>
      <c r="T983" s="63"/>
      <c r="U983" s="94"/>
      <c r="V983" s="90"/>
      <c r="W983" s="136"/>
      <c r="X983" s="137"/>
      <c r="Y983" s="2"/>
    </row>
    <row r="984" spans="1:25">
      <c r="A984" s="614"/>
      <c r="B984" s="87">
        <f t="shared" si="111"/>
        <v>15</v>
      </c>
      <c r="C984" s="295">
        <v>45919</v>
      </c>
      <c r="D984" s="10" t="s">
        <v>1712</v>
      </c>
      <c r="E984" s="10" t="s">
        <v>1046</v>
      </c>
      <c r="F984" s="62">
        <v>4419</v>
      </c>
      <c r="G984" s="62">
        <v>39.700000000000003</v>
      </c>
      <c r="H984" s="62"/>
      <c r="I984" s="89">
        <f t="shared" si="110"/>
        <v>4379.3</v>
      </c>
      <c r="J984" s="63" t="s">
        <v>205</v>
      </c>
      <c r="K984" s="63">
        <v>1</v>
      </c>
      <c r="L984" s="63"/>
      <c r="M984" s="63"/>
      <c r="N984" s="63">
        <v>1</v>
      </c>
      <c r="O984" s="63"/>
      <c r="P984" s="63"/>
      <c r="Q984" s="63"/>
      <c r="R984" s="63"/>
      <c r="S984" s="296"/>
      <c r="T984" s="63"/>
      <c r="U984" s="94"/>
      <c r="V984" s="90"/>
      <c r="W984" s="136"/>
      <c r="X984" s="137"/>
      <c r="Y984" s="2"/>
    </row>
    <row r="985" spans="1:25">
      <c r="A985" s="614"/>
      <c r="B985" s="87">
        <f t="shared" si="111"/>
        <v>16</v>
      </c>
      <c r="C985" s="282">
        <v>45919</v>
      </c>
      <c r="D985" s="283">
        <v>73454</v>
      </c>
      <c r="E985" s="283" t="s">
        <v>1042</v>
      </c>
      <c r="F985" s="284">
        <v>1809</v>
      </c>
      <c r="G985" s="284">
        <v>39.700000000000003</v>
      </c>
      <c r="H985" s="284"/>
      <c r="I985" s="285">
        <f t="shared" si="110"/>
        <v>1769.3</v>
      </c>
      <c r="J985" s="286" t="s">
        <v>205</v>
      </c>
      <c r="K985" s="286">
        <v>1</v>
      </c>
      <c r="L985" s="286"/>
      <c r="M985" s="286"/>
      <c r="N985" s="286">
        <v>1</v>
      </c>
      <c r="O985" s="286"/>
      <c r="P985" s="286"/>
      <c r="Q985" s="286">
        <v>1</v>
      </c>
      <c r="R985" s="286">
        <v>1</v>
      </c>
      <c r="S985" s="287">
        <v>1</v>
      </c>
      <c r="T985" s="63"/>
      <c r="U985" s="94"/>
      <c r="V985" s="90"/>
      <c r="W985" s="136"/>
      <c r="X985" s="137"/>
      <c r="Y985" s="2"/>
    </row>
    <row r="986" spans="1:25">
      <c r="A986" s="614"/>
      <c r="B986" s="11"/>
      <c r="C986" s="609"/>
      <c r="D986" s="10"/>
      <c r="E986" s="10"/>
      <c r="F986" s="97">
        <f>SUM(F970:F985)</f>
        <v>99044</v>
      </c>
      <c r="G986" s="97">
        <f>SUM(G970:G985)</f>
        <v>555.79999999999995</v>
      </c>
      <c r="H986" s="97">
        <f>SUM(H970:H985)</f>
        <v>0</v>
      </c>
      <c r="I986" s="98">
        <f>SUM(I970:I985)</f>
        <v>98488.200000000026</v>
      </c>
      <c r="J986" s="10"/>
      <c r="K986" s="10"/>
      <c r="L986" s="10"/>
      <c r="M986" s="10"/>
      <c r="N986" s="10"/>
      <c r="O986" s="10"/>
      <c r="P986" s="10"/>
      <c r="Q986" s="10"/>
      <c r="R986" s="10"/>
      <c r="S986" s="10"/>
      <c r="T986" s="63"/>
      <c r="U986" s="94"/>
      <c r="V986" s="90"/>
      <c r="W986" s="91"/>
      <c r="X986" s="92"/>
      <c r="Y986" s="2"/>
    </row>
    <row r="987" spans="1:25">
      <c r="A987" s="614"/>
      <c r="B987" s="26"/>
      <c r="C987" s="612"/>
      <c r="D987" s="141"/>
      <c r="E987" s="141"/>
      <c r="F987" s="141"/>
      <c r="G987" s="141"/>
      <c r="H987" s="141"/>
      <c r="I987" s="141"/>
      <c r="J987" s="141"/>
      <c r="K987" s="142"/>
      <c r="L987" s="142"/>
      <c r="M987" s="142"/>
      <c r="N987" s="142"/>
      <c r="O987" s="142"/>
      <c r="P987" s="142"/>
      <c r="Q987" s="142"/>
      <c r="R987" s="142"/>
      <c r="S987" s="142"/>
      <c r="T987" s="143">
        <f>SUM(T926:T986)</f>
        <v>5</v>
      </c>
      <c r="U987" s="168"/>
      <c r="V987" s="144">
        <f>SUM(V926:V986)</f>
        <v>21737.03</v>
      </c>
      <c r="W987" s="145">
        <f>SUM(W926:W986)</f>
        <v>3050</v>
      </c>
      <c r="X987" s="146">
        <f>SUM(X926:X986)</f>
        <v>0</v>
      </c>
      <c r="Y987" s="2"/>
    </row>
    <row r="990" spans="1:25">
      <c r="B990" s="4" t="s">
        <v>1</v>
      </c>
      <c r="C990" s="5"/>
      <c r="D990" s="83"/>
      <c r="E990" s="6"/>
      <c r="F990" s="7" t="s">
        <v>2</v>
      </c>
      <c r="G990" s="608">
        <v>45928</v>
      </c>
      <c r="H990" s="7"/>
      <c r="I990" s="6"/>
      <c r="J990" s="6"/>
      <c r="K990" s="6"/>
      <c r="L990" s="6"/>
      <c r="M990" s="6"/>
      <c r="N990" s="6"/>
      <c r="O990" s="6"/>
      <c r="P990" s="6"/>
      <c r="Q990" s="6"/>
      <c r="R990" s="6"/>
      <c r="S990" s="6"/>
      <c r="T990" s="6"/>
      <c r="U990" s="149"/>
      <c r="V990" s="77"/>
      <c r="W990" s="77"/>
      <c r="X990" s="77"/>
    </row>
    <row r="991" spans="1:25">
      <c r="B991" s="11"/>
      <c r="C991" s="10"/>
      <c r="D991" s="63"/>
      <c r="E991" s="10"/>
      <c r="F991" s="10"/>
      <c r="G991" s="7"/>
      <c r="H991" s="12"/>
      <c r="I991" s="10"/>
      <c r="J991" s="10"/>
      <c r="K991" s="13" t="s">
        <v>3</v>
      </c>
      <c r="L991" s="14"/>
      <c r="M991" s="15"/>
      <c r="N991" s="13" t="s">
        <v>4</v>
      </c>
      <c r="O991" s="14"/>
      <c r="P991" s="15"/>
      <c r="Q991" s="13" t="s">
        <v>5</v>
      </c>
      <c r="R991" s="14"/>
      <c r="S991" s="15"/>
      <c r="T991" s="16"/>
      <c r="U991" s="151"/>
      <c r="V991" s="77"/>
      <c r="W991" s="77"/>
      <c r="X991" s="77"/>
    </row>
    <row r="992" spans="1:25">
      <c r="B992" s="18" t="s">
        <v>6</v>
      </c>
      <c r="C992" s="19">
        <f>C993+C994</f>
        <v>14</v>
      </c>
      <c r="D992" s="63"/>
      <c r="E992" s="18" t="s">
        <v>7</v>
      </c>
      <c r="F992" s="6"/>
      <c r="G992" s="9"/>
      <c r="H992" s="10"/>
      <c r="I992" s="10"/>
      <c r="J992" s="10"/>
      <c r="K992" s="20" t="s">
        <v>8</v>
      </c>
      <c r="L992" s="21" t="s">
        <v>9</v>
      </c>
      <c r="M992" s="21" t="s">
        <v>10</v>
      </c>
      <c r="N992" s="20" t="s">
        <v>11</v>
      </c>
      <c r="O992" s="21" t="s">
        <v>12</v>
      </c>
      <c r="P992" s="22" t="s">
        <v>13</v>
      </c>
      <c r="Q992" s="21" t="s">
        <v>11</v>
      </c>
      <c r="R992" s="21" t="s">
        <v>12</v>
      </c>
      <c r="S992" s="22" t="s">
        <v>13</v>
      </c>
      <c r="T992" s="23" t="s">
        <v>14</v>
      </c>
      <c r="U992" s="151"/>
      <c r="V992" s="77"/>
      <c r="W992" s="77"/>
      <c r="X992" s="77"/>
    </row>
    <row r="993" spans="2:24">
      <c r="B993" s="24" t="s">
        <v>15</v>
      </c>
      <c r="C993" s="25">
        <f>P1000</f>
        <v>9</v>
      </c>
      <c r="D993" s="63"/>
      <c r="E993" s="11" t="s">
        <v>16</v>
      </c>
      <c r="F993" s="10" t="s">
        <v>78</v>
      </c>
      <c r="G993" s="153">
        <v>0.05</v>
      </c>
      <c r="H993" s="10"/>
      <c r="I993" s="10"/>
      <c r="J993" s="18" t="s">
        <v>17</v>
      </c>
      <c r="K993" s="29">
        <f>K1027</f>
        <v>8</v>
      </c>
      <c r="L993" s="29">
        <f t="shared" ref="L993:S993" si="112">L1027</f>
        <v>7</v>
      </c>
      <c r="M993" s="29">
        <f t="shared" si="112"/>
        <v>7</v>
      </c>
      <c r="N993" s="29">
        <f t="shared" si="112"/>
        <v>8</v>
      </c>
      <c r="O993" s="29">
        <f t="shared" si="112"/>
        <v>8</v>
      </c>
      <c r="P993" s="29">
        <f t="shared" si="112"/>
        <v>7</v>
      </c>
      <c r="Q993" s="29">
        <f t="shared" si="112"/>
        <v>7</v>
      </c>
      <c r="R993" s="29">
        <f t="shared" si="112"/>
        <v>7</v>
      </c>
      <c r="S993" s="29">
        <f t="shared" si="112"/>
        <v>5</v>
      </c>
      <c r="T993" s="30">
        <f>T1062</f>
        <v>3</v>
      </c>
      <c r="U993" s="151"/>
      <c r="V993" s="77"/>
      <c r="W993" s="77"/>
      <c r="X993" s="77"/>
    </row>
    <row r="994" spans="2:24">
      <c r="B994" s="24" t="s">
        <v>18</v>
      </c>
      <c r="C994" s="25">
        <f>P1001</f>
        <v>5</v>
      </c>
      <c r="D994" s="63"/>
      <c r="E994" s="26" t="s">
        <v>80</v>
      </c>
      <c r="F994" s="141" t="s">
        <v>81</v>
      </c>
      <c r="G994" s="154">
        <v>0.1</v>
      </c>
      <c r="H994" s="10"/>
      <c r="I994" s="10"/>
      <c r="J994" s="32" t="s">
        <v>19</v>
      </c>
      <c r="K994" s="33">
        <f>K1027/K1026</f>
        <v>1</v>
      </c>
      <c r="L994" s="33">
        <f t="shared" ref="L994:S994" si="113">L1027/L1026</f>
        <v>0.875</v>
      </c>
      <c r="M994" s="33">
        <f t="shared" si="113"/>
        <v>0.875</v>
      </c>
      <c r="N994" s="33">
        <f t="shared" si="113"/>
        <v>1</v>
      </c>
      <c r="O994" s="33">
        <f t="shared" si="113"/>
        <v>1</v>
      </c>
      <c r="P994" s="33">
        <f t="shared" si="113"/>
        <v>0.875</v>
      </c>
      <c r="Q994" s="33">
        <f t="shared" si="113"/>
        <v>0.875</v>
      </c>
      <c r="R994" s="33">
        <f t="shared" si="113"/>
        <v>0.875</v>
      </c>
      <c r="S994" s="33">
        <f t="shared" si="113"/>
        <v>0.625</v>
      </c>
      <c r="T994" s="23"/>
      <c r="U994" s="151" t="s">
        <v>20</v>
      </c>
      <c r="V994" s="77"/>
      <c r="W994" s="77"/>
      <c r="X994" s="77"/>
    </row>
    <row r="995" spans="2:24">
      <c r="B995" s="24" t="s">
        <v>21</v>
      </c>
      <c r="C995" s="34">
        <f>P1002</f>
        <v>0.6428571428571429</v>
      </c>
      <c r="D995" s="63"/>
      <c r="E995" s="10"/>
      <c r="F995" s="10"/>
      <c r="G995" s="10"/>
      <c r="H995" s="10"/>
      <c r="I995" s="10"/>
      <c r="J995" s="10"/>
      <c r="K995" s="10"/>
      <c r="L995" s="10"/>
      <c r="M995" s="10"/>
      <c r="N995" s="10"/>
      <c r="O995" s="10"/>
      <c r="P995" s="10"/>
      <c r="Q995" s="10"/>
      <c r="R995" s="10"/>
      <c r="S995" s="10"/>
      <c r="T995" s="10"/>
      <c r="U995" s="151"/>
      <c r="V995" s="77"/>
      <c r="W995" s="77"/>
      <c r="X995" s="77"/>
    </row>
    <row r="996" spans="2:24">
      <c r="B996" s="24"/>
      <c r="C996" s="25"/>
      <c r="D996" s="63"/>
      <c r="E996" s="10"/>
      <c r="F996" s="18" t="s">
        <v>22</v>
      </c>
      <c r="G996" s="19" t="s">
        <v>23</v>
      </c>
      <c r="H996" s="35" t="s">
        <v>24</v>
      </c>
      <c r="I996" s="10"/>
      <c r="J996" s="10"/>
      <c r="K996" s="36"/>
      <c r="L996" s="36"/>
      <c r="M996" s="36"/>
      <c r="N996" s="36"/>
      <c r="O996" s="36"/>
      <c r="P996" s="36"/>
      <c r="Q996" s="36"/>
      <c r="R996" s="10"/>
      <c r="S996" s="10"/>
      <c r="T996" s="10"/>
      <c r="U996" s="151"/>
      <c r="V996" s="77"/>
      <c r="W996" s="77"/>
      <c r="X996" s="77"/>
    </row>
    <row r="997" spans="2:24" ht="22.5" customHeight="1">
      <c r="B997" s="32" t="s">
        <v>25</v>
      </c>
      <c r="C997" s="37">
        <f>P1003</f>
        <v>2951.4488888888891</v>
      </c>
      <c r="D997" s="63"/>
      <c r="E997" s="18" t="s">
        <v>26</v>
      </c>
      <c r="F997" s="38">
        <f>P999</f>
        <v>26563.040000000001</v>
      </c>
      <c r="G997" s="39">
        <f>I1026+I1031</f>
        <v>26563.040000000001</v>
      </c>
      <c r="H997" s="767" t="s">
        <v>1713</v>
      </c>
      <c r="I997" s="767"/>
      <c r="J997" s="767"/>
      <c r="K997" s="43" t="s">
        <v>27</v>
      </c>
      <c r="L997" s="44"/>
      <c r="M997" s="44"/>
      <c r="N997" s="44"/>
      <c r="O997" s="44"/>
      <c r="P997" s="44"/>
      <c r="Q997" s="45"/>
      <c r="R997" s="46" t="s">
        <v>28</v>
      </c>
      <c r="S997" s="47" t="s">
        <v>29</v>
      </c>
      <c r="T997" s="10"/>
      <c r="U997" s="151"/>
      <c r="V997" s="77"/>
      <c r="W997" s="77"/>
      <c r="X997" s="77"/>
    </row>
    <row r="998" spans="2:24" ht="19.5" customHeight="1">
      <c r="B998" s="11"/>
      <c r="C998" s="10"/>
      <c r="D998" s="63"/>
      <c r="E998" s="24" t="s">
        <v>30</v>
      </c>
      <c r="F998" s="48">
        <f>IF(F997&gt;=25000,10%,5%)</f>
        <v>0.1</v>
      </c>
      <c r="G998" s="17"/>
      <c r="H998" s="767"/>
      <c r="I998" s="767"/>
      <c r="J998" s="767"/>
      <c r="K998" s="20" t="s">
        <v>31</v>
      </c>
      <c r="L998" s="21" t="s">
        <v>32</v>
      </c>
      <c r="M998" s="21" t="s">
        <v>33</v>
      </c>
      <c r="N998" s="21" t="s">
        <v>34</v>
      </c>
      <c r="O998" s="21" t="s">
        <v>35</v>
      </c>
      <c r="P998" s="21" t="s">
        <v>36</v>
      </c>
      <c r="Q998" s="49" t="s">
        <v>37</v>
      </c>
      <c r="R998" s="50" t="s">
        <v>38</v>
      </c>
      <c r="S998" s="50" t="s">
        <v>38</v>
      </c>
      <c r="T998" s="10"/>
      <c r="U998" s="151"/>
      <c r="V998" s="77"/>
      <c r="W998" s="77"/>
      <c r="X998" s="77"/>
    </row>
    <row r="999" spans="2:24">
      <c r="B999" s="11"/>
      <c r="C999" s="10"/>
      <c r="D999" s="63"/>
      <c r="E999" s="51" t="s">
        <v>39</v>
      </c>
      <c r="F999" s="52">
        <f>(F997+F1006-I1030+I1030)*F998</f>
        <v>2654.58</v>
      </c>
      <c r="G999" s="53" t="s">
        <v>40</v>
      </c>
      <c r="H999" s="54">
        <f>F999/1.12</f>
        <v>2370.1607142857142</v>
      </c>
      <c r="I999" s="570" t="s">
        <v>1714</v>
      </c>
      <c r="J999" s="42"/>
      <c r="K999" s="56">
        <f>I1018+I1019+I1020+I1030</f>
        <v>18425.439999999999</v>
      </c>
      <c r="L999" s="57">
        <f>I1021+I1022+I1023</f>
        <v>5620.34</v>
      </c>
      <c r="M999" s="57">
        <f>I1024+I1025</f>
        <v>2517.2600000000002</v>
      </c>
      <c r="N999" s="57">
        <v>0</v>
      </c>
      <c r="O999" s="57">
        <v>0</v>
      </c>
      <c r="P999" s="57">
        <f>SUM(K999:O999)</f>
        <v>26563.040000000001</v>
      </c>
      <c r="Q999" s="58">
        <v>0</v>
      </c>
      <c r="R999" s="59">
        <f>I1031</f>
        <v>14433.58</v>
      </c>
      <c r="S999" s="59">
        <f>0</f>
        <v>0</v>
      </c>
      <c r="T999" s="10"/>
      <c r="U999" s="151"/>
      <c r="V999" s="77"/>
      <c r="W999" s="77"/>
      <c r="X999" s="77"/>
    </row>
    <row r="1000" spans="2:24">
      <c r="B1000" s="11"/>
      <c r="C1000" s="10"/>
      <c r="D1000" s="63"/>
      <c r="E1000" s="24" t="s">
        <v>41</v>
      </c>
      <c r="F1000" s="60">
        <f>Q999</f>
        <v>0</v>
      </c>
      <c r="G1000" s="61" t="s">
        <v>40</v>
      </c>
      <c r="H1000" s="62"/>
      <c r="I1000" s="62"/>
      <c r="J1000" s="10" t="s">
        <v>42</v>
      </c>
      <c r="K1000" s="63">
        <v>4</v>
      </c>
      <c r="L1000" s="63">
        <v>3</v>
      </c>
      <c r="M1000" s="63">
        <v>2</v>
      </c>
      <c r="N1000" s="63">
        <v>0</v>
      </c>
      <c r="O1000" s="63">
        <v>0</v>
      </c>
      <c r="P1000" s="21">
        <f>SUM(K1000:O1000)</f>
        <v>9</v>
      </c>
      <c r="Q1000" s="64"/>
      <c r="R1000" s="63"/>
      <c r="S1000" s="10"/>
      <c r="T1000" s="10"/>
      <c r="U1000" s="151"/>
      <c r="V1000" s="77"/>
      <c r="W1000" s="77"/>
      <c r="X1000" s="77"/>
    </row>
    <row r="1001" spans="2:24">
      <c r="B1001" s="11"/>
      <c r="C1001" s="10"/>
      <c r="D1001" s="63"/>
      <c r="E1001" s="51" t="s">
        <v>43</v>
      </c>
      <c r="F1001" s="52">
        <f>F1000*0.25</f>
        <v>0</v>
      </c>
      <c r="G1001" s="53" t="s">
        <v>40</v>
      </c>
      <c r="H1001" s="54">
        <f>F1001/1.12</f>
        <v>0</v>
      </c>
      <c r="I1001" s="10"/>
      <c r="J1001" s="10" t="s">
        <v>44</v>
      </c>
      <c r="K1001" s="63">
        <v>2</v>
      </c>
      <c r="L1001" s="63">
        <v>1</v>
      </c>
      <c r="M1001" s="63">
        <v>2</v>
      </c>
      <c r="N1001" s="63">
        <v>0</v>
      </c>
      <c r="O1001" s="63">
        <v>0</v>
      </c>
      <c r="P1001" s="21">
        <f>SUM(K1001:O1001)</f>
        <v>5</v>
      </c>
      <c r="Q1001" s="64"/>
      <c r="R1001" s="63"/>
      <c r="S1001" s="10"/>
      <c r="T1001" s="10"/>
      <c r="U1001" s="151"/>
      <c r="V1001" s="77"/>
      <c r="W1001" s="77"/>
      <c r="X1001" s="77"/>
    </row>
    <row r="1002" spans="2:24">
      <c r="B1002" s="11"/>
      <c r="C1002" s="10"/>
      <c r="D1002" s="63"/>
      <c r="E1002" s="24" t="s">
        <v>45</v>
      </c>
      <c r="F1002" s="60">
        <v>0</v>
      </c>
      <c r="G1002" s="61" t="s">
        <v>40</v>
      </c>
      <c r="H1002" s="62"/>
      <c r="I1002" s="10"/>
      <c r="J1002" s="10" t="s">
        <v>46</v>
      </c>
      <c r="K1002" s="31">
        <f t="shared" ref="K1002:Q1002" si="114">K1000/(K1000+K1001)</f>
        <v>0.66666666666666663</v>
      </c>
      <c r="L1002" s="31">
        <f t="shared" si="114"/>
        <v>0.75</v>
      </c>
      <c r="M1002" s="31">
        <f t="shared" si="114"/>
        <v>0.5</v>
      </c>
      <c r="N1002" s="31" t="e">
        <f t="shared" si="114"/>
        <v>#DIV/0!</v>
      </c>
      <c r="O1002" s="31" t="e">
        <f t="shared" si="114"/>
        <v>#DIV/0!</v>
      </c>
      <c r="P1002" s="31">
        <f t="shared" si="114"/>
        <v>0.6428571428571429</v>
      </c>
      <c r="Q1002" s="31" t="e">
        <f t="shared" si="114"/>
        <v>#DIV/0!</v>
      </c>
      <c r="R1002" s="63"/>
      <c r="S1002" s="10"/>
      <c r="T1002" s="10"/>
      <c r="U1002" s="151"/>
      <c r="V1002" s="77"/>
      <c r="W1002" s="77"/>
      <c r="X1002" s="77"/>
    </row>
    <row r="1003" spans="2:24">
      <c r="B1003" s="11"/>
      <c r="C1003" s="10"/>
      <c r="D1003" s="63"/>
      <c r="E1003" s="51" t="s">
        <v>47</v>
      </c>
      <c r="F1003" s="52">
        <f>F1002*0.05</f>
        <v>0</v>
      </c>
      <c r="G1003" s="65" t="s">
        <v>40</v>
      </c>
      <c r="H1003" s="54">
        <f>F1003/1.12</f>
        <v>0</v>
      </c>
      <c r="I1003" s="42"/>
      <c r="J1003" s="10" t="s">
        <v>48</v>
      </c>
      <c r="K1003" s="66">
        <f>K999/K1000</f>
        <v>4606.3599999999997</v>
      </c>
      <c r="L1003" s="66">
        <f t="shared" ref="L1003:Q1003" si="115">L999/L1000</f>
        <v>1873.4466666666667</v>
      </c>
      <c r="M1003" s="66">
        <f t="shared" si="115"/>
        <v>1258.6300000000001</v>
      </c>
      <c r="N1003" s="66" t="e">
        <f t="shared" si="115"/>
        <v>#DIV/0!</v>
      </c>
      <c r="O1003" s="66" t="e">
        <f t="shared" si="115"/>
        <v>#DIV/0!</v>
      </c>
      <c r="P1003" s="66">
        <f t="shared" si="115"/>
        <v>2951.4488888888891</v>
      </c>
      <c r="Q1003" s="66" t="e">
        <f t="shared" si="115"/>
        <v>#DIV/0!</v>
      </c>
      <c r="R1003" s="63"/>
      <c r="S1003" s="10"/>
      <c r="T1003" s="10"/>
      <c r="U1003" s="151"/>
      <c r="V1003" s="77"/>
      <c r="W1003" s="77"/>
      <c r="X1003" s="77"/>
    </row>
    <row r="1004" spans="2:24">
      <c r="B1004" s="132"/>
      <c r="C1004" s="123"/>
      <c r="D1004" s="127"/>
      <c r="E1004" s="155" t="s">
        <v>14</v>
      </c>
      <c r="F1004" s="156">
        <f>1*50</f>
        <v>50</v>
      </c>
      <c r="G1004" s="123"/>
      <c r="H1004" s="54">
        <f>F1004/1.12</f>
        <v>44.642857142857139</v>
      </c>
      <c r="I1004" s="123"/>
      <c r="J1004" s="123"/>
      <c r="K1004" s="123"/>
      <c r="L1004" s="123"/>
      <c r="M1004" s="123"/>
      <c r="N1004" s="123"/>
      <c r="O1004" s="123"/>
      <c r="P1004" s="123"/>
      <c r="Q1004" s="123"/>
      <c r="R1004" s="123"/>
      <c r="S1004" s="123"/>
      <c r="T1004" s="123"/>
      <c r="U1004" s="157"/>
      <c r="V1004" s="123"/>
      <c r="W1004" s="123"/>
      <c r="X1004" s="123"/>
    </row>
    <row r="1005" spans="2:24">
      <c r="B1005" s="132"/>
      <c r="C1005" s="123"/>
      <c r="D1005" s="127"/>
      <c r="E1005" s="568" t="s">
        <v>49</v>
      </c>
      <c r="F1005" s="569">
        <f>T994</f>
        <v>0</v>
      </c>
      <c r="G1005" s="123"/>
      <c r="H1005" s="54"/>
      <c r="I1005" s="123"/>
      <c r="J1005" s="42"/>
      <c r="K1005" s="764" t="s">
        <v>50</v>
      </c>
      <c r="L1005" s="765"/>
      <c r="M1005" s="765"/>
      <c r="N1005" s="765"/>
      <c r="O1005" s="765"/>
      <c r="P1005" s="765"/>
      <c r="Q1005" s="766"/>
      <c r="R1005" s="70" t="s">
        <v>28</v>
      </c>
      <c r="S1005" s="71" t="s">
        <v>29</v>
      </c>
      <c r="T1005" s="123"/>
      <c r="U1005" s="157"/>
      <c r="V1005" s="123"/>
      <c r="W1005" s="123"/>
      <c r="X1005" s="123"/>
    </row>
    <row r="1006" spans="2:24">
      <c r="B1006" s="132"/>
      <c r="C1006" s="123"/>
      <c r="D1006" s="127"/>
      <c r="E1006" s="74" t="s">
        <v>1715</v>
      </c>
      <c r="F1006" s="75">
        <v>-17.239999999999998</v>
      </c>
      <c r="G1006" s="123"/>
      <c r="H1006" s="54"/>
      <c r="I1006" s="123"/>
      <c r="J1006" s="42"/>
      <c r="K1006" s="20" t="s">
        <v>31</v>
      </c>
      <c r="L1006" s="21" t="s">
        <v>32</v>
      </c>
      <c r="M1006" s="21" t="s">
        <v>33</v>
      </c>
      <c r="N1006" s="21" t="s">
        <v>34</v>
      </c>
      <c r="O1006" s="21" t="s">
        <v>35</v>
      </c>
      <c r="P1006" s="21" t="s">
        <v>36</v>
      </c>
      <c r="Q1006" s="49" t="s">
        <v>37</v>
      </c>
      <c r="R1006" s="50" t="s">
        <v>38</v>
      </c>
      <c r="S1006" s="50" t="s">
        <v>38</v>
      </c>
      <c r="T1006" s="123"/>
      <c r="U1006" s="157"/>
      <c r="V1006" s="123"/>
      <c r="W1006" s="123"/>
      <c r="X1006" s="123"/>
    </row>
    <row r="1007" spans="2:24">
      <c r="B1007" s="132"/>
      <c r="C1007" s="123"/>
      <c r="D1007" s="127"/>
      <c r="E1007" s="12"/>
      <c r="F1007" s="160"/>
      <c r="G1007" s="123"/>
      <c r="H1007" s="54"/>
      <c r="I1007" s="123"/>
      <c r="J1007" s="42"/>
      <c r="K1007" s="56">
        <f>F1018+F1019+F1020+F1030</f>
        <v>20937.599999999999</v>
      </c>
      <c r="L1007" s="57">
        <f>F1021+F1022+F1023</f>
        <v>6376.1</v>
      </c>
      <c r="M1007" s="57">
        <f>F1024+F1025</f>
        <v>3033.6</v>
      </c>
      <c r="N1007" s="57">
        <v>0</v>
      </c>
      <c r="O1007" s="57">
        <v>0</v>
      </c>
      <c r="P1007" s="57">
        <f>SUM(K1007:O1007)</f>
        <v>30347.299999999996</v>
      </c>
      <c r="Q1007" s="58">
        <v>0</v>
      </c>
      <c r="R1007" s="59">
        <f>F1031</f>
        <v>16214</v>
      </c>
      <c r="S1007" s="59">
        <f>0</f>
        <v>0</v>
      </c>
      <c r="T1007" s="123"/>
      <c r="U1007" s="157"/>
      <c r="V1007" s="123"/>
      <c r="W1007" s="123"/>
      <c r="X1007" s="123"/>
    </row>
    <row r="1008" spans="2:24">
      <c r="B1008" s="132"/>
      <c r="C1008" s="123"/>
      <c r="D1008" s="127"/>
      <c r="E1008" s="12"/>
      <c r="F1008" s="160"/>
      <c r="G1008" s="123"/>
      <c r="H1008" s="54"/>
      <c r="I1008" s="123"/>
      <c r="J1008" s="10" t="s">
        <v>42</v>
      </c>
      <c r="K1008" s="63">
        <f t="shared" ref="K1008:Q1009" si="116">K1000</f>
        <v>4</v>
      </c>
      <c r="L1008" s="63">
        <f t="shared" si="116"/>
        <v>3</v>
      </c>
      <c r="M1008" s="63">
        <f t="shared" si="116"/>
        <v>2</v>
      </c>
      <c r="N1008" s="63">
        <f t="shared" si="116"/>
        <v>0</v>
      </c>
      <c r="O1008" s="63">
        <f t="shared" si="116"/>
        <v>0</v>
      </c>
      <c r="P1008" s="63">
        <f t="shared" si="116"/>
        <v>9</v>
      </c>
      <c r="Q1008" s="63">
        <f t="shared" si="116"/>
        <v>0</v>
      </c>
      <c r="R1008" s="63"/>
      <c r="S1008" s="10"/>
      <c r="T1008" s="123"/>
      <c r="U1008" s="157"/>
      <c r="V1008" s="123"/>
      <c r="W1008" s="123"/>
      <c r="X1008" s="123"/>
    </row>
    <row r="1009" spans="2:24">
      <c r="B1009" s="132"/>
      <c r="C1009" s="123"/>
      <c r="D1009" s="127"/>
      <c r="E1009" s="12"/>
      <c r="F1009" s="160"/>
      <c r="G1009" s="123"/>
      <c r="H1009" s="54"/>
      <c r="I1009" s="123"/>
      <c r="J1009" s="10" t="s">
        <v>44</v>
      </c>
      <c r="K1009" s="63">
        <f t="shared" si="116"/>
        <v>2</v>
      </c>
      <c r="L1009" s="63">
        <f t="shared" si="116"/>
        <v>1</v>
      </c>
      <c r="M1009" s="63">
        <f t="shared" si="116"/>
        <v>2</v>
      </c>
      <c r="N1009" s="63">
        <f t="shared" si="116"/>
        <v>0</v>
      </c>
      <c r="O1009" s="63">
        <f t="shared" si="116"/>
        <v>0</v>
      </c>
      <c r="P1009" s="63">
        <f t="shared" si="116"/>
        <v>5</v>
      </c>
      <c r="Q1009" s="63">
        <f t="shared" si="116"/>
        <v>0</v>
      </c>
      <c r="R1009" s="63"/>
      <c r="S1009" s="10"/>
      <c r="T1009" s="123"/>
      <c r="U1009" s="157"/>
      <c r="V1009" s="123"/>
      <c r="W1009" s="123"/>
      <c r="X1009" s="123"/>
    </row>
    <row r="1010" spans="2:24">
      <c r="B1010" s="132"/>
      <c r="C1010" s="123"/>
      <c r="D1010" s="127"/>
      <c r="E1010" s="12"/>
      <c r="F1010" s="160"/>
      <c r="G1010" s="123"/>
      <c r="H1010" s="54"/>
      <c r="I1010" s="123"/>
      <c r="J1010" s="10" t="s">
        <v>46</v>
      </c>
      <c r="K1010" s="31">
        <f t="shared" ref="K1010:Q1010" si="117">K1008/(K1008+K1009)</f>
        <v>0.66666666666666663</v>
      </c>
      <c r="L1010" s="31">
        <f t="shared" si="117"/>
        <v>0.75</v>
      </c>
      <c r="M1010" s="31">
        <f t="shared" si="117"/>
        <v>0.5</v>
      </c>
      <c r="N1010" s="31" t="e">
        <f t="shared" si="117"/>
        <v>#DIV/0!</v>
      </c>
      <c r="O1010" s="31" t="e">
        <f t="shared" si="117"/>
        <v>#DIV/0!</v>
      </c>
      <c r="P1010" s="31">
        <f t="shared" si="117"/>
        <v>0.6428571428571429</v>
      </c>
      <c r="Q1010" s="31" t="e">
        <f t="shared" si="117"/>
        <v>#DIV/0!</v>
      </c>
      <c r="R1010" s="63"/>
      <c r="S1010" s="10"/>
      <c r="T1010" s="123"/>
      <c r="U1010" s="157"/>
      <c r="V1010" s="123"/>
      <c r="W1010" s="123"/>
      <c r="X1010" s="123"/>
    </row>
    <row r="1011" spans="2:24">
      <c r="B1011" s="132"/>
      <c r="C1011" s="123"/>
      <c r="D1011" s="127"/>
      <c r="E1011" s="12"/>
      <c r="F1011" s="160"/>
      <c r="G1011" s="123"/>
      <c r="H1011" s="54"/>
      <c r="I1011" s="123"/>
      <c r="J1011" s="10" t="s">
        <v>48</v>
      </c>
      <c r="K1011" s="66">
        <f t="shared" ref="K1011:Q1011" si="118">K1007/K1008</f>
        <v>5234.3999999999996</v>
      </c>
      <c r="L1011" s="66">
        <f t="shared" si="118"/>
        <v>2125.3666666666668</v>
      </c>
      <c r="M1011" s="66">
        <f t="shared" si="118"/>
        <v>1516.8</v>
      </c>
      <c r="N1011" s="66" t="e">
        <f t="shared" si="118"/>
        <v>#DIV/0!</v>
      </c>
      <c r="O1011" s="66" t="e">
        <f t="shared" si="118"/>
        <v>#DIV/0!</v>
      </c>
      <c r="P1011" s="66">
        <f t="shared" si="118"/>
        <v>3371.9222222222215</v>
      </c>
      <c r="Q1011" s="66" t="e">
        <f t="shared" si="118"/>
        <v>#DIV/0!</v>
      </c>
      <c r="R1011" s="63"/>
      <c r="S1011" s="10"/>
      <c r="T1011" s="123"/>
      <c r="U1011" s="157"/>
      <c r="V1011" s="123"/>
      <c r="W1011" s="123"/>
      <c r="X1011" s="123"/>
    </row>
    <row r="1012" spans="2:24">
      <c r="B1012" s="132"/>
      <c r="C1012" s="123"/>
      <c r="D1012" s="127"/>
      <c r="E1012" s="12"/>
      <c r="F1012" s="160"/>
      <c r="G1012" s="123"/>
      <c r="H1012" s="54"/>
      <c r="I1012" s="123"/>
      <c r="J1012" s="123"/>
      <c r="K1012" s="123"/>
      <c r="L1012" s="123"/>
      <c r="M1012" s="123"/>
      <c r="N1012" s="123"/>
      <c r="O1012" s="123"/>
      <c r="P1012" s="123"/>
      <c r="Q1012" s="123"/>
      <c r="R1012" s="123"/>
      <c r="S1012" s="123"/>
      <c r="T1012" s="123"/>
      <c r="U1012" s="157"/>
      <c r="V1012" s="123"/>
      <c r="W1012" s="123"/>
      <c r="X1012" s="123"/>
    </row>
    <row r="1013" spans="2:24">
      <c r="B1013" s="11"/>
      <c r="C1013" s="10"/>
      <c r="D1013" s="63"/>
      <c r="E1013" s="12"/>
      <c r="F1013" s="12"/>
      <c r="G1013" s="10"/>
      <c r="H1013" s="10"/>
      <c r="I1013" s="10"/>
      <c r="J1013" s="10"/>
      <c r="K1013" s="10"/>
      <c r="L1013" s="10"/>
      <c r="M1013" s="10"/>
      <c r="N1013" s="10"/>
      <c r="O1013" s="10"/>
      <c r="P1013" s="10"/>
      <c r="Q1013" s="10"/>
      <c r="R1013" s="10"/>
      <c r="S1013" s="10"/>
      <c r="T1013" s="10"/>
      <c r="U1013" s="151"/>
      <c r="V1013" s="77"/>
      <c r="W1013" s="77"/>
      <c r="X1013" s="77"/>
    </row>
    <row r="1014" spans="2:24">
      <c r="B1014" s="11"/>
      <c r="C1014" s="10"/>
      <c r="D1014" s="63"/>
      <c r="E1014" s="10"/>
      <c r="F1014" s="10"/>
      <c r="G1014" s="10"/>
      <c r="H1014" s="10"/>
      <c r="I1014" s="10"/>
      <c r="J1014" s="10"/>
      <c r="K1014" s="10"/>
      <c r="L1014" s="10"/>
      <c r="M1014" s="10"/>
      <c r="N1014" s="10"/>
      <c r="O1014" s="10"/>
      <c r="P1014" s="10"/>
      <c r="Q1014" s="10"/>
      <c r="R1014" s="10"/>
      <c r="S1014" s="10"/>
      <c r="T1014" s="10"/>
      <c r="U1014" s="151"/>
      <c r="V1014" s="77"/>
      <c r="W1014" s="77"/>
      <c r="X1014" s="77"/>
    </row>
    <row r="1015" spans="2:24">
      <c r="B1015" s="18" t="s">
        <v>51</v>
      </c>
      <c r="C1015" s="14"/>
      <c r="D1015" s="14"/>
      <c r="E1015" s="14"/>
      <c r="F1015" s="13" t="s">
        <v>52</v>
      </c>
      <c r="G1015" s="14"/>
      <c r="H1015" s="14"/>
      <c r="I1015" s="14"/>
      <c r="J1015" s="14"/>
      <c r="K1015" s="13" t="s">
        <v>3</v>
      </c>
      <c r="L1015" s="14"/>
      <c r="M1015" s="14"/>
      <c r="N1015" s="13" t="s">
        <v>4</v>
      </c>
      <c r="O1015" s="14"/>
      <c r="P1015" s="14"/>
      <c r="Q1015" s="13" t="s">
        <v>5</v>
      </c>
      <c r="R1015" s="14"/>
      <c r="S1015" s="14"/>
      <c r="T1015" s="18"/>
      <c r="U1015" s="161" t="s">
        <v>53</v>
      </c>
      <c r="V1015" s="77"/>
      <c r="W1015" s="77"/>
      <c r="X1015" s="77"/>
    </row>
    <row r="1016" spans="2:24">
      <c r="B1016" s="24" t="s">
        <v>54</v>
      </c>
      <c r="C1016" s="21" t="s">
        <v>55</v>
      </c>
      <c r="D1016" s="21" t="s">
        <v>56</v>
      </c>
      <c r="E1016" s="21" t="s">
        <v>57</v>
      </c>
      <c r="F1016" s="20" t="s">
        <v>58</v>
      </c>
      <c r="G1016" s="21" t="s">
        <v>59</v>
      </c>
      <c r="H1016" s="21" t="s">
        <v>60</v>
      </c>
      <c r="I1016" s="21" t="s">
        <v>26</v>
      </c>
      <c r="J1016" s="22" t="s">
        <v>61</v>
      </c>
      <c r="K1016" s="21" t="s">
        <v>8</v>
      </c>
      <c r="L1016" s="21" t="s">
        <v>9</v>
      </c>
      <c r="M1016" s="21" t="s">
        <v>10</v>
      </c>
      <c r="N1016" s="20" t="s">
        <v>11</v>
      </c>
      <c r="O1016" s="21" t="s">
        <v>12</v>
      </c>
      <c r="P1016" s="22" t="s">
        <v>13</v>
      </c>
      <c r="Q1016" s="21" t="s">
        <v>11</v>
      </c>
      <c r="R1016" s="21" t="s">
        <v>12</v>
      </c>
      <c r="S1016" s="21" t="s">
        <v>13</v>
      </c>
      <c r="T1016" s="78" t="s">
        <v>14</v>
      </c>
      <c r="U1016" s="162"/>
      <c r="V1016" s="79" t="s">
        <v>62</v>
      </c>
      <c r="W1016" s="80" t="s">
        <v>63</v>
      </c>
      <c r="X1016" s="81" t="s">
        <v>64</v>
      </c>
    </row>
    <row r="1017" spans="2:24">
      <c r="B1017" s="4" t="s">
        <v>65</v>
      </c>
      <c r="C1017" s="6"/>
      <c r="D1017" s="6"/>
      <c r="E1017" s="6"/>
      <c r="F1017" s="6"/>
      <c r="G1017" s="6"/>
      <c r="H1017" s="6"/>
      <c r="I1017" s="82"/>
      <c r="J1017" s="6"/>
      <c r="K1017" s="6"/>
      <c r="L1017" s="6"/>
      <c r="M1017" s="6"/>
      <c r="N1017" s="6"/>
      <c r="O1017" s="6"/>
      <c r="P1017" s="6"/>
      <c r="Q1017" s="6"/>
      <c r="R1017" s="6"/>
      <c r="S1017" s="6"/>
      <c r="T1017" s="83"/>
      <c r="U1017" s="163"/>
      <c r="V1017" s="84"/>
      <c r="W1017" s="85"/>
      <c r="X1017" s="86"/>
    </row>
    <row r="1018" spans="2:24">
      <c r="B1018" s="87">
        <v>1</v>
      </c>
      <c r="C1018" s="274">
        <v>45922</v>
      </c>
      <c r="D1018" s="327">
        <v>73505</v>
      </c>
      <c r="E1018" s="276" t="s">
        <v>604</v>
      </c>
      <c r="F1018" s="277">
        <v>1138</v>
      </c>
      <c r="G1018" s="277">
        <f>39.7</f>
        <v>39.700000000000003</v>
      </c>
      <c r="H1018" s="297"/>
      <c r="I1018" s="278">
        <f>F1018-G1018-H1018</f>
        <v>1098.3</v>
      </c>
      <c r="J1018" s="279" t="s">
        <v>156</v>
      </c>
      <c r="K1018" s="279">
        <v>1</v>
      </c>
      <c r="L1018" s="279">
        <v>1</v>
      </c>
      <c r="M1018" s="279">
        <v>1</v>
      </c>
      <c r="N1018" s="279">
        <v>1</v>
      </c>
      <c r="O1018" s="279">
        <v>1</v>
      </c>
      <c r="P1018" s="279">
        <v>1</v>
      </c>
      <c r="Q1018" s="279">
        <v>1</v>
      </c>
      <c r="R1018" s="279">
        <v>1</v>
      </c>
      <c r="S1018" s="280">
        <v>1</v>
      </c>
      <c r="T1018" s="63"/>
      <c r="U1018" s="94"/>
      <c r="V1018" s="90">
        <v>1251.8</v>
      </c>
      <c r="W1018" s="91"/>
      <c r="X1018" s="92"/>
    </row>
    <row r="1019" spans="2:24">
      <c r="B1019" s="87">
        <f t="shared" ref="B1019:B1025" si="119">B1018+1</f>
        <v>2</v>
      </c>
      <c r="C1019" s="295">
        <v>45922</v>
      </c>
      <c r="D1019" s="323">
        <v>73513</v>
      </c>
      <c r="E1019" s="10" t="s">
        <v>218</v>
      </c>
      <c r="F1019" s="62">
        <v>2532.6</v>
      </c>
      <c r="G1019" s="62">
        <f>39.7+(319.35)+200</f>
        <v>559.04999999999995</v>
      </c>
      <c r="H1019" s="62"/>
      <c r="I1019" s="89">
        <f t="shared" ref="I1019:I1022" si="120">F1019-G1019-H1019</f>
        <v>1973.55</v>
      </c>
      <c r="J1019" s="63" t="s">
        <v>156</v>
      </c>
      <c r="K1019" s="63">
        <v>1</v>
      </c>
      <c r="L1019" s="63">
        <v>1</v>
      </c>
      <c r="M1019" s="63">
        <v>1</v>
      </c>
      <c r="N1019" s="63">
        <v>1</v>
      </c>
      <c r="O1019" s="63">
        <v>1</v>
      </c>
      <c r="P1019" s="63">
        <v>1</v>
      </c>
      <c r="Q1019" s="63">
        <v>1</v>
      </c>
      <c r="R1019" s="63">
        <v>1</v>
      </c>
      <c r="S1019" s="296">
        <v>1</v>
      </c>
      <c r="T1019" s="63"/>
      <c r="U1019" s="94" t="s">
        <v>1716</v>
      </c>
      <c r="V1019" s="90">
        <f>270+2515.86</f>
        <v>2785.86</v>
      </c>
      <c r="W1019" s="91"/>
      <c r="X1019" s="92"/>
    </row>
    <row r="1020" spans="2:24">
      <c r="B1020" s="87">
        <f t="shared" si="119"/>
        <v>3</v>
      </c>
      <c r="C1020" s="295">
        <v>45922</v>
      </c>
      <c r="D1020" s="323">
        <v>73526</v>
      </c>
      <c r="E1020" s="10" t="s">
        <v>1439</v>
      </c>
      <c r="F1020" s="62">
        <v>1053</v>
      </c>
      <c r="G1020" s="62">
        <f>39.7+(93.29)</f>
        <v>132.99</v>
      </c>
      <c r="H1020" s="62"/>
      <c r="I1020" s="89">
        <f t="shared" si="120"/>
        <v>920.01</v>
      </c>
      <c r="J1020" s="63" t="s">
        <v>156</v>
      </c>
      <c r="K1020" s="63">
        <v>1</v>
      </c>
      <c r="L1020" s="63">
        <v>1</v>
      </c>
      <c r="M1020" s="63">
        <v>1</v>
      </c>
      <c r="N1020" s="63">
        <v>1</v>
      </c>
      <c r="O1020" s="63">
        <v>1</v>
      </c>
      <c r="P1020" s="63">
        <v>1</v>
      </c>
      <c r="Q1020" s="63">
        <v>1</v>
      </c>
      <c r="R1020" s="63">
        <v>1</v>
      </c>
      <c r="S1020" s="296">
        <v>1</v>
      </c>
      <c r="T1020" s="63"/>
      <c r="U1020" s="94"/>
      <c r="V1020" s="90">
        <v>1158.3</v>
      </c>
      <c r="W1020" s="91"/>
      <c r="X1020" s="92"/>
    </row>
    <row r="1021" spans="2:24">
      <c r="B1021" s="87">
        <f t="shared" si="119"/>
        <v>4</v>
      </c>
      <c r="C1021" s="274">
        <v>45923</v>
      </c>
      <c r="D1021" s="327">
        <v>73555</v>
      </c>
      <c r="E1021" s="404" t="s">
        <v>1175</v>
      </c>
      <c r="F1021" s="277">
        <v>2673.9</v>
      </c>
      <c r="G1021" s="277">
        <f>39.7+(17+219.66)+200</f>
        <v>476.36</v>
      </c>
      <c r="H1021" s="277"/>
      <c r="I1021" s="321">
        <f t="shared" si="120"/>
        <v>2197.54</v>
      </c>
      <c r="J1021" s="279" t="s">
        <v>156</v>
      </c>
      <c r="K1021" s="279">
        <v>1</v>
      </c>
      <c r="L1021" s="279">
        <v>1</v>
      </c>
      <c r="M1021" s="279">
        <v>1</v>
      </c>
      <c r="N1021" s="279">
        <v>1</v>
      </c>
      <c r="O1021" s="279">
        <v>1</v>
      </c>
      <c r="P1021" s="279">
        <v>1</v>
      </c>
      <c r="Q1021" s="322">
        <v>0</v>
      </c>
      <c r="R1021" s="322">
        <v>0</v>
      </c>
      <c r="S1021" s="328">
        <v>0</v>
      </c>
      <c r="T1021" s="63"/>
      <c r="U1021" s="94" t="s">
        <v>1717</v>
      </c>
      <c r="V1021" s="90">
        <f>300+2641.29</f>
        <v>2941.29</v>
      </c>
      <c r="W1021" s="91"/>
      <c r="X1021" s="92"/>
    </row>
    <row r="1022" spans="2:24">
      <c r="B1022" s="87">
        <f t="shared" si="119"/>
        <v>5</v>
      </c>
      <c r="C1022" s="295">
        <v>45923</v>
      </c>
      <c r="D1022" s="323">
        <v>73577</v>
      </c>
      <c r="E1022" s="10" t="s">
        <v>211</v>
      </c>
      <c r="F1022" s="62">
        <v>2374.1999999999998</v>
      </c>
      <c r="G1022" s="62">
        <f>39.7</f>
        <v>39.700000000000003</v>
      </c>
      <c r="H1022" s="62"/>
      <c r="I1022" s="89">
        <f t="shared" si="120"/>
        <v>2334.5</v>
      </c>
      <c r="J1022" s="63" t="s">
        <v>156</v>
      </c>
      <c r="K1022" s="63">
        <v>1</v>
      </c>
      <c r="L1022" s="63">
        <v>1</v>
      </c>
      <c r="M1022" s="63">
        <v>1</v>
      </c>
      <c r="N1022" s="63">
        <v>1</v>
      </c>
      <c r="O1022" s="63">
        <v>1</v>
      </c>
      <c r="P1022" s="63">
        <v>1</v>
      </c>
      <c r="Q1022" s="63">
        <v>1</v>
      </c>
      <c r="R1022" s="63">
        <v>1</v>
      </c>
      <c r="S1022" s="296">
        <v>1</v>
      </c>
      <c r="T1022" s="63"/>
      <c r="U1022" s="94"/>
      <c r="V1022" s="90">
        <f>260+2351.62</f>
        <v>2611.62</v>
      </c>
      <c r="W1022" s="91"/>
      <c r="X1022" s="92"/>
    </row>
    <row r="1023" spans="2:24">
      <c r="B1023" s="87">
        <f t="shared" si="119"/>
        <v>6</v>
      </c>
      <c r="C1023" s="295">
        <v>45923</v>
      </c>
      <c r="D1023" s="323">
        <v>73590</v>
      </c>
      <c r="E1023" s="10" t="s">
        <v>211</v>
      </c>
      <c r="F1023" s="62">
        <v>1328</v>
      </c>
      <c r="G1023" s="62">
        <f>39.7+200</f>
        <v>239.7</v>
      </c>
      <c r="H1023" s="88"/>
      <c r="I1023" s="324">
        <f>F1023-G1023-H1023</f>
        <v>1088.3</v>
      </c>
      <c r="J1023" s="63" t="s">
        <v>156</v>
      </c>
      <c r="K1023" s="63">
        <v>1</v>
      </c>
      <c r="L1023" s="325">
        <v>0</v>
      </c>
      <c r="M1023" s="325">
        <v>0</v>
      </c>
      <c r="N1023" s="63">
        <v>1</v>
      </c>
      <c r="O1023" s="63">
        <v>1</v>
      </c>
      <c r="P1023" s="63">
        <v>1</v>
      </c>
      <c r="Q1023" s="63">
        <v>1</v>
      </c>
      <c r="R1023" s="63">
        <v>1</v>
      </c>
      <c r="S1023" s="326">
        <v>0</v>
      </c>
      <c r="T1023" s="63"/>
      <c r="U1023" s="10" t="s">
        <v>1718</v>
      </c>
      <c r="V1023" s="90">
        <f>150+1310.8</f>
        <v>1460.8</v>
      </c>
      <c r="W1023" s="91"/>
      <c r="X1023" s="92"/>
    </row>
    <row r="1024" spans="2:24">
      <c r="B1024" s="87">
        <f t="shared" si="119"/>
        <v>7</v>
      </c>
      <c r="C1024" s="274">
        <v>45924</v>
      </c>
      <c r="D1024" s="327">
        <v>73509</v>
      </c>
      <c r="E1024" s="276" t="s">
        <v>159</v>
      </c>
      <c r="F1024" s="277">
        <v>681</v>
      </c>
      <c r="G1024" s="277"/>
      <c r="H1024" s="297"/>
      <c r="I1024" s="278">
        <f>F1024-G1024-H1024</f>
        <v>681</v>
      </c>
      <c r="J1024" s="279" t="s">
        <v>156</v>
      </c>
      <c r="K1024" s="279">
        <v>1</v>
      </c>
      <c r="L1024" s="279">
        <v>1</v>
      </c>
      <c r="M1024" s="279">
        <v>1</v>
      </c>
      <c r="N1024" s="279">
        <v>1</v>
      </c>
      <c r="O1024" s="279">
        <v>1</v>
      </c>
      <c r="P1024" s="279">
        <v>1</v>
      </c>
      <c r="Q1024" s="279">
        <v>1</v>
      </c>
      <c r="R1024" s="279">
        <v>1</v>
      </c>
      <c r="S1024" s="280">
        <v>1</v>
      </c>
      <c r="T1024" s="63"/>
      <c r="U1024" s="94"/>
      <c r="V1024" s="90">
        <v>749.1</v>
      </c>
      <c r="W1024" s="91"/>
      <c r="X1024" s="92"/>
    </row>
    <row r="1025" spans="1:25">
      <c r="B1025" s="87">
        <f t="shared" si="119"/>
        <v>8</v>
      </c>
      <c r="C1025" s="282">
        <v>45924</v>
      </c>
      <c r="D1025" s="368">
        <v>73485</v>
      </c>
      <c r="E1025" s="283" t="s">
        <v>178</v>
      </c>
      <c r="F1025" s="284">
        <v>2352.6</v>
      </c>
      <c r="G1025" s="284">
        <f>39.7+(276.64)+200</f>
        <v>516.33999999999992</v>
      </c>
      <c r="H1025" s="315"/>
      <c r="I1025" s="300">
        <f>F1025-G1025-H1025</f>
        <v>1836.26</v>
      </c>
      <c r="J1025" s="286" t="s">
        <v>156</v>
      </c>
      <c r="K1025" s="286">
        <v>1</v>
      </c>
      <c r="L1025" s="286">
        <v>1</v>
      </c>
      <c r="M1025" s="286">
        <v>1</v>
      </c>
      <c r="N1025" s="286">
        <v>1</v>
      </c>
      <c r="O1025" s="286">
        <v>1</v>
      </c>
      <c r="P1025" s="332">
        <v>0</v>
      </c>
      <c r="Q1025" s="286">
        <v>1</v>
      </c>
      <c r="R1025" s="286">
        <v>1</v>
      </c>
      <c r="S1025" s="370">
        <v>0</v>
      </c>
      <c r="T1025" s="21">
        <v>2</v>
      </c>
      <c r="U1025" s="94" t="s">
        <v>1719</v>
      </c>
      <c r="V1025" s="90">
        <f>258.78+2329.08</f>
        <v>2587.8599999999997</v>
      </c>
      <c r="W1025" s="91"/>
      <c r="X1025" s="92"/>
    </row>
    <row r="1026" spans="1:25">
      <c r="B1026" s="87"/>
      <c r="C1026" s="36"/>
      <c r="D1026" s="10"/>
      <c r="E1026" s="10"/>
      <c r="F1026" s="97">
        <f>SUM(F1018:F1025)</f>
        <v>14133.300000000001</v>
      </c>
      <c r="G1026" s="97">
        <f>SUM(G1018:G1025)</f>
        <v>2003.84</v>
      </c>
      <c r="H1026" s="97">
        <f>SUM(H1018:H1025)</f>
        <v>0</v>
      </c>
      <c r="I1026" s="98">
        <f>SUM(I1018:I1025)</f>
        <v>12129.46</v>
      </c>
      <c r="J1026" s="63"/>
      <c r="K1026" s="63">
        <f>COUNT(K1018:K1025)</f>
        <v>8</v>
      </c>
      <c r="L1026" s="63">
        <f>COUNT(L1018:L1025)</f>
        <v>8</v>
      </c>
      <c r="M1026" s="63">
        <f>COUNT(M1018:M1025)</f>
        <v>8</v>
      </c>
      <c r="N1026" s="63">
        <f>COUNT(N1018:N1025)</f>
        <v>8</v>
      </c>
      <c r="O1026" s="63">
        <f>COUNT(O1018:O1025)</f>
        <v>8</v>
      </c>
      <c r="P1026" s="63">
        <f>COUNT(P1018:P1025)</f>
        <v>8</v>
      </c>
      <c r="Q1026" s="63">
        <f>COUNT(Q1018:Q1025)</f>
        <v>8</v>
      </c>
      <c r="R1026" s="63">
        <f>COUNT(R1018:R1025)</f>
        <v>8</v>
      </c>
      <c r="S1026" s="63">
        <f>COUNT(S1018:S1025)</f>
        <v>8</v>
      </c>
      <c r="T1026" s="63"/>
      <c r="U1026" s="94"/>
      <c r="V1026" s="90"/>
      <c r="W1026" s="91"/>
      <c r="X1026" s="92"/>
    </row>
    <row r="1027" spans="1:25">
      <c r="B1027" s="87"/>
      <c r="C1027" s="36"/>
      <c r="D1027" s="10"/>
      <c r="E1027" s="10"/>
      <c r="F1027" s="88"/>
      <c r="G1027" s="88"/>
      <c r="H1027" s="88"/>
      <c r="I1027" s="99"/>
      <c r="J1027" s="63"/>
      <c r="K1027" s="21">
        <f>SUM(K1018:K1025)</f>
        <v>8</v>
      </c>
      <c r="L1027" s="21">
        <f>SUM(L1018:L1025)</f>
        <v>7</v>
      </c>
      <c r="M1027" s="21">
        <f>SUM(M1018:M1025)</f>
        <v>7</v>
      </c>
      <c r="N1027" s="21">
        <f>SUM(N1018:N1025)</f>
        <v>8</v>
      </c>
      <c r="O1027" s="21">
        <f>SUM(O1018:O1025)</f>
        <v>8</v>
      </c>
      <c r="P1027" s="21">
        <f>SUM(P1018:P1025)</f>
        <v>7</v>
      </c>
      <c r="Q1027" s="21">
        <f>SUM(Q1018:Q1025)</f>
        <v>7</v>
      </c>
      <c r="R1027" s="21">
        <f>SUM(R1018:R1025)</f>
        <v>7</v>
      </c>
      <c r="S1027" s="21">
        <f>SUM(S1018:S1025)</f>
        <v>5</v>
      </c>
      <c r="T1027" s="63"/>
      <c r="U1027" s="94"/>
      <c r="V1027" s="90"/>
      <c r="W1027" s="91"/>
      <c r="X1027" s="92"/>
    </row>
    <row r="1028" spans="1:25">
      <c r="B1028" s="11"/>
      <c r="C1028" s="36"/>
      <c r="D1028" s="10"/>
      <c r="E1028" s="10"/>
      <c r="F1028" s="88"/>
      <c r="G1028" s="88"/>
      <c r="H1028" s="88"/>
      <c r="I1028" s="99"/>
      <c r="J1028" s="63"/>
      <c r="K1028" s="21"/>
      <c r="L1028" s="21"/>
      <c r="M1028" s="21"/>
      <c r="N1028" s="21"/>
      <c r="O1028" s="21"/>
      <c r="P1028" s="21"/>
      <c r="Q1028" s="21"/>
      <c r="R1028" s="21"/>
      <c r="S1028" s="21"/>
      <c r="T1028" s="63"/>
      <c r="U1028" s="94"/>
      <c r="V1028" s="90"/>
      <c r="W1028" s="91"/>
      <c r="X1028" s="92"/>
    </row>
    <row r="1029" spans="1:25">
      <c r="B1029" s="121" t="s">
        <v>68</v>
      </c>
      <c r="C1029" s="36"/>
      <c r="D1029" s="123"/>
      <c r="E1029" s="123"/>
      <c r="F1029" s="124"/>
      <c r="G1029" s="125"/>
      <c r="H1029" s="124"/>
      <c r="I1029" s="126"/>
      <c r="J1029" s="127"/>
      <c r="K1029" s="128"/>
      <c r="L1029" s="128"/>
      <c r="M1029" s="128"/>
      <c r="N1029" s="128"/>
      <c r="O1029" s="128"/>
      <c r="P1029" s="128"/>
      <c r="Q1029" s="128"/>
      <c r="R1029" s="128"/>
      <c r="S1029" s="128"/>
      <c r="T1029" s="127"/>
      <c r="U1029" s="135"/>
      <c r="V1029" s="129"/>
      <c r="W1029" s="130"/>
      <c r="X1029" s="131"/>
    </row>
    <row r="1030" spans="1:25" s="260" customFormat="1">
      <c r="A1030" s="530">
        <v>45946</v>
      </c>
      <c r="B1030" s="467">
        <v>1</v>
      </c>
      <c r="C1030" s="478">
        <v>45922</v>
      </c>
      <c r="D1030" s="527">
        <v>73527</v>
      </c>
      <c r="E1030" s="521" t="s">
        <v>604</v>
      </c>
      <c r="F1030" s="480">
        <v>16214</v>
      </c>
      <c r="G1030" s="480">
        <f>39.7+(28.09+27.68)+(184.95)+1500</f>
        <v>1780.42</v>
      </c>
      <c r="H1030" s="480"/>
      <c r="I1030" s="272">
        <f>F1030-G1030-H1030</f>
        <v>14433.58</v>
      </c>
      <c r="J1030" s="481" t="s">
        <v>156</v>
      </c>
      <c r="K1030" s="481">
        <v>1</v>
      </c>
      <c r="L1030" s="481">
        <v>1</v>
      </c>
      <c r="M1030" s="481">
        <v>1</v>
      </c>
      <c r="N1030" s="481">
        <v>1</v>
      </c>
      <c r="O1030" s="481">
        <v>1</v>
      </c>
      <c r="P1030" s="481">
        <v>1</v>
      </c>
      <c r="Q1030" s="726">
        <v>0</v>
      </c>
      <c r="R1030" s="726">
        <v>0</v>
      </c>
      <c r="S1030" s="727">
        <v>0</v>
      </c>
      <c r="T1030" s="474"/>
      <c r="U1030" s="475" t="s">
        <v>1720</v>
      </c>
      <c r="V1030" s="476">
        <f>1800+10000+3017.7+3017.7</f>
        <v>17835.400000000001</v>
      </c>
      <c r="W1030" s="367"/>
      <c r="X1030" s="477"/>
    </row>
    <row r="1031" spans="1:25">
      <c r="B1031" s="132"/>
      <c r="C1031" s="36"/>
      <c r="D1031" s="123"/>
      <c r="E1031" s="123"/>
      <c r="F1031" s="133">
        <f>SUM(F1030:F1030)</f>
        <v>16214</v>
      </c>
      <c r="G1031" s="133">
        <f>SUM(G1030:G1030)</f>
        <v>1780.42</v>
      </c>
      <c r="H1031" s="133">
        <f>SUM(H1030:H1030)</f>
        <v>0</v>
      </c>
      <c r="I1031" s="134">
        <f>SUM(I1030:I1030)</f>
        <v>14433.58</v>
      </c>
      <c r="J1031" s="709"/>
      <c r="K1031" s="64"/>
      <c r="L1031" s="64"/>
      <c r="M1031" s="64"/>
      <c r="N1031" s="64"/>
      <c r="O1031" s="64"/>
      <c r="P1031" s="64"/>
      <c r="Q1031" s="64"/>
      <c r="R1031" s="64"/>
      <c r="S1031" s="64"/>
      <c r="T1031" s="127"/>
      <c r="U1031" s="749"/>
      <c r="V1031" s="129"/>
      <c r="W1031" s="130"/>
      <c r="X1031" s="131"/>
    </row>
    <row r="1032" spans="1:25">
      <c r="B1032" s="132"/>
      <c r="C1032" s="36"/>
      <c r="D1032" s="123"/>
      <c r="E1032" s="123"/>
      <c r="F1032" s="124"/>
      <c r="G1032" s="124"/>
      <c r="H1032" s="124"/>
      <c r="I1032" s="126"/>
      <c r="J1032" s="127"/>
      <c r="K1032" s="64"/>
      <c r="L1032" s="64"/>
      <c r="M1032" s="64"/>
      <c r="N1032" s="64"/>
      <c r="O1032" s="64"/>
      <c r="P1032" s="64"/>
      <c r="Q1032" s="64"/>
      <c r="R1032" s="64"/>
      <c r="S1032" s="64"/>
      <c r="T1032" s="127"/>
      <c r="U1032" s="135"/>
      <c r="V1032" s="129"/>
      <c r="W1032" s="130"/>
      <c r="X1032" s="131"/>
    </row>
    <row r="1033" spans="1:25" s="434" customFormat="1" ht="13.5">
      <c r="A1033" s="10"/>
      <c r="B1033" s="100" t="s">
        <v>152</v>
      </c>
      <c r="C1033" s="36"/>
      <c r="D1033" s="10"/>
      <c r="E1033" s="10"/>
      <c r="F1033" s="88"/>
      <c r="G1033" s="62"/>
      <c r="H1033" s="88"/>
      <c r="I1033" s="99"/>
      <c r="J1033" s="63"/>
      <c r="K1033" s="10"/>
      <c r="L1033" s="10"/>
      <c r="M1033" s="10"/>
      <c r="N1033" s="10"/>
      <c r="O1033" s="10"/>
      <c r="P1033" s="123"/>
      <c r="Q1033" s="10"/>
      <c r="R1033" s="10"/>
      <c r="S1033" s="10"/>
      <c r="T1033" s="63"/>
      <c r="U1033" s="10"/>
      <c r="V1033" s="90"/>
      <c r="W1033" s="91"/>
      <c r="X1033" s="92"/>
    </row>
    <row r="1034" spans="1:25" s="434" customFormat="1" ht="13.5">
      <c r="A1034" s="31" t="s">
        <v>1721</v>
      </c>
      <c r="B1034" s="87">
        <v>1</v>
      </c>
      <c r="C1034" s="262">
        <v>45848</v>
      </c>
      <c r="D1034" s="263">
        <v>71373</v>
      </c>
      <c r="E1034" s="264" t="s">
        <v>1338</v>
      </c>
      <c r="F1034" s="265">
        <v>2681</v>
      </c>
      <c r="G1034" s="265">
        <f>39.7+(92.99)</f>
        <v>132.69</v>
      </c>
      <c r="H1034" s="265"/>
      <c r="I1034" s="266">
        <f>F1034-G1034-H1034</f>
        <v>2548.31</v>
      </c>
      <c r="J1034" s="267" t="s">
        <v>228</v>
      </c>
      <c r="K1034" s="267">
        <v>1</v>
      </c>
      <c r="L1034" s="267">
        <v>1</v>
      </c>
      <c r="M1034" s="267">
        <v>1</v>
      </c>
      <c r="N1034" s="267">
        <v>1</v>
      </c>
      <c r="O1034" s="267">
        <v>1</v>
      </c>
      <c r="P1034" s="314">
        <v>0</v>
      </c>
      <c r="Q1034" s="314">
        <v>0</v>
      </c>
      <c r="R1034" s="314">
        <v>0</v>
      </c>
      <c r="S1034" s="366">
        <v>0</v>
      </c>
      <c r="T1034" s="63"/>
      <c r="U1034" s="10" t="s">
        <v>1709</v>
      </c>
      <c r="V1034" s="90">
        <f>2649.1</f>
        <v>2649.1</v>
      </c>
      <c r="W1034" s="91"/>
      <c r="X1034" s="92"/>
    </row>
    <row r="1035" spans="1:25" s="260" customFormat="1">
      <c r="A1035" s="261">
        <v>0.05</v>
      </c>
      <c r="B1035" s="87">
        <f>B1034+1</f>
        <v>2</v>
      </c>
      <c r="C1035" s="262">
        <v>45863</v>
      </c>
      <c r="D1035" s="263" t="s">
        <v>1497</v>
      </c>
      <c r="E1035" s="271" t="s">
        <v>1117</v>
      </c>
      <c r="F1035" s="265">
        <v>1138</v>
      </c>
      <c r="G1035" s="265">
        <f>39.7</f>
        <v>39.700000000000003</v>
      </c>
      <c r="H1035" s="365"/>
      <c r="I1035" s="266">
        <f>F1035-G1035-H1035</f>
        <v>1098.3</v>
      </c>
      <c r="J1035" s="267"/>
      <c r="K1035" s="267">
        <v>1</v>
      </c>
      <c r="L1035" s="267">
        <v>1</v>
      </c>
      <c r="M1035" s="267"/>
      <c r="N1035" s="267">
        <v>1</v>
      </c>
      <c r="O1035" s="267">
        <v>1</v>
      </c>
      <c r="P1035" s="267">
        <v>1</v>
      </c>
      <c r="Q1035" s="314">
        <v>0</v>
      </c>
      <c r="R1035" s="314">
        <v>0</v>
      </c>
      <c r="S1035" s="366">
        <v>0</v>
      </c>
      <c r="T1035" s="63"/>
      <c r="U1035" s="10" t="s">
        <v>1628</v>
      </c>
      <c r="V1035" s="90"/>
      <c r="W1035" s="91"/>
      <c r="X1035" s="92"/>
    </row>
    <row r="1036" spans="1:25" s="260" customFormat="1">
      <c r="A1036" s="261">
        <v>0.05</v>
      </c>
      <c r="B1036" s="87">
        <f>B1035+1</f>
        <v>3</v>
      </c>
      <c r="C1036" s="274">
        <v>45874</v>
      </c>
      <c r="D1036" s="327">
        <v>72064</v>
      </c>
      <c r="E1036" s="276" t="s">
        <v>998</v>
      </c>
      <c r="F1036" s="277">
        <v>1138</v>
      </c>
      <c r="G1036" s="277">
        <v>39.700000000000003</v>
      </c>
      <c r="H1036" s="277"/>
      <c r="I1036" s="321">
        <f>F1036-G1036-H1036</f>
        <v>1098.3</v>
      </c>
      <c r="J1036" s="279"/>
      <c r="K1036" s="279">
        <v>1</v>
      </c>
      <c r="L1036" s="279">
        <v>1</v>
      </c>
      <c r="M1036" s="279"/>
      <c r="N1036" s="279">
        <v>1</v>
      </c>
      <c r="O1036" s="279">
        <v>1</v>
      </c>
      <c r="P1036" s="279">
        <v>1</v>
      </c>
      <c r="Q1036" s="322">
        <v>0</v>
      </c>
      <c r="R1036" s="322">
        <v>0</v>
      </c>
      <c r="S1036" s="328">
        <v>0</v>
      </c>
      <c r="T1036" s="63"/>
      <c r="U1036" s="94" t="s">
        <v>1540</v>
      </c>
      <c r="V1036" s="90"/>
      <c r="W1036" s="91"/>
      <c r="X1036" s="92"/>
    </row>
    <row r="1037" spans="1:25" s="260" customFormat="1">
      <c r="A1037" s="261">
        <v>0.05</v>
      </c>
      <c r="B1037" s="87">
        <f>B1036+1</f>
        <v>4</v>
      </c>
      <c r="C1037" s="262">
        <v>45860</v>
      </c>
      <c r="D1037" s="263" t="s">
        <v>1522</v>
      </c>
      <c r="E1037" s="271" t="s">
        <v>1256</v>
      </c>
      <c r="F1037" s="265">
        <v>13770</v>
      </c>
      <c r="G1037" s="265">
        <f>39.7+271.4+(133.8)+(7.88+328.49-9.15-0.86-0.98-2.08-46.07+30.69+267.21)+1000</f>
        <v>2020.03</v>
      </c>
      <c r="H1037" s="365"/>
      <c r="I1037" s="266">
        <f>F1037-G1037-H1037</f>
        <v>11749.97</v>
      </c>
      <c r="J1037" s="267" t="s">
        <v>156</v>
      </c>
      <c r="K1037" s="267">
        <v>1</v>
      </c>
      <c r="L1037" s="267">
        <v>1</v>
      </c>
      <c r="M1037" s="267">
        <v>1</v>
      </c>
      <c r="N1037" s="267">
        <v>1</v>
      </c>
      <c r="O1037" s="314">
        <v>0</v>
      </c>
      <c r="P1037" s="267">
        <v>1</v>
      </c>
      <c r="Q1037" s="314">
        <v>0</v>
      </c>
      <c r="R1037" s="314">
        <v>0</v>
      </c>
      <c r="S1037" s="366">
        <v>0</v>
      </c>
      <c r="T1037" s="63"/>
      <c r="U1037" s="94" t="s">
        <v>1579</v>
      </c>
      <c r="V1037" s="90"/>
      <c r="W1037" s="136"/>
      <c r="X1037" s="137"/>
    </row>
    <row r="1038" spans="1:25" s="260" customFormat="1">
      <c r="A1038" s="261" t="s">
        <v>619</v>
      </c>
      <c r="B1038" s="87">
        <f>B1037+1</f>
        <v>5</v>
      </c>
      <c r="C1038" s="262">
        <v>45877</v>
      </c>
      <c r="D1038" s="263">
        <v>72150</v>
      </c>
      <c r="E1038" s="271" t="s">
        <v>769</v>
      </c>
      <c r="F1038" s="265">
        <v>44619</v>
      </c>
      <c r="G1038" s="265">
        <f>39.7+8800+352+(F1038*0.25)+(3*150)</f>
        <v>20796.45</v>
      </c>
      <c r="H1038" s="265"/>
      <c r="I1038" s="272">
        <f>F1038-G1038-H1038</f>
        <v>23822.55</v>
      </c>
      <c r="J1038" s="267" t="s">
        <v>156</v>
      </c>
      <c r="K1038" s="267">
        <v>1</v>
      </c>
      <c r="L1038" s="267">
        <v>1</v>
      </c>
      <c r="M1038" s="267">
        <v>1</v>
      </c>
      <c r="N1038" s="267">
        <v>1</v>
      </c>
      <c r="O1038" s="267">
        <v>1</v>
      </c>
      <c r="P1038" s="267">
        <v>1</v>
      </c>
      <c r="Q1038" s="267">
        <v>1</v>
      </c>
      <c r="R1038" s="267">
        <v>1</v>
      </c>
      <c r="S1038" s="269">
        <v>1</v>
      </c>
      <c r="T1038" s="63"/>
      <c r="U1038" s="94" t="s">
        <v>1580</v>
      </c>
      <c r="V1038" s="90"/>
      <c r="W1038" s="91"/>
      <c r="X1038" s="137"/>
    </row>
    <row r="1039" spans="1:25" s="260" customFormat="1">
      <c r="A1039" s="261">
        <v>0.05</v>
      </c>
      <c r="B1039" s="87">
        <f>B1038+1</f>
        <v>6</v>
      </c>
      <c r="C1039" s="262">
        <v>45882</v>
      </c>
      <c r="D1039" s="263">
        <v>72282</v>
      </c>
      <c r="E1039" s="271" t="s">
        <v>384</v>
      </c>
      <c r="F1039" s="265">
        <v>12614</v>
      </c>
      <c r="G1039" s="265">
        <f>39.7+(166)+(60.58)+1000</f>
        <v>1266.28</v>
      </c>
      <c r="H1039" s="265"/>
      <c r="I1039" s="266">
        <f>F1039-G1039-H1039</f>
        <v>11347.72</v>
      </c>
      <c r="J1039" s="267" t="s">
        <v>156</v>
      </c>
      <c r="K1039" s="267">
        <v>1</v>
      </c>
      <c r="L1039" s="267">
        <v>1</v>
      </c>
      <c r="M1039" s="267">
        <v>1</v>
      </c>
      <c r="N1039" s="267">
        <v>1</v>
      </c>
      <c r="O1039" s="267">
        <v>1</v>
      </c>
      <c r="P1039" s="267">
        <v>1</v>
      </c>
      <c r="Q1039" s="314">
        <v>0</v>
      </c>
      <c r="R1039" s="314">
        <v>0</v>
      </c>
      <c r="S1039" s="366">
        <v>0</v>
      </c>
      <c r="T1039" s="63"/>
      <c r="U1039" s="94" t="s">
        <v>1722</v>
      </c>
      <c r="V1039" s="90"/>
      <c r="W1039" s="136"/>
      <c r="X1039" s="137"/>
    </row>
    <row r="1040" spans="1:25" s="342" customFormat="1">
      <c r="A1040" s="261" t="s">
        <v>1183</v>
      </c>
      <c r="B1040" s="87">
        <f t="shared" ref="B1040:B1047" si="121">B1039+1</f>
        <v>7</v>
      </c>
      <c r="C1040" s="262">
        <v>45880</v>
      </c>
      <c r="D1040" s="263" t="s">
        <v>1575</v>
      </c>
      <c r="E1040" s="271" t="s">
        <v>798</v>
      </c>
      <c r="F1040" s="265">
        <v>28614</v>
      </c>
      <c r="G1040" s="265">
        <f>39.7+87+2114.68+(88.79+147.25+67.07+175.66+38+31.51+60)+(287.36+46.46+263.98-60+165.31)+(F1040*0.2)</f>
        <v>9275.57</v>
      </c>
      <c r="H1040" s="265"/>
      <c r="I1040" s="266">
        <f>F1040-G1040-H1040</f>
        <v>19338.43</v>
      </c>
      <c r="J1040" s="267" t="s">
        <v>156</v>
      </c>
      <c r="K1040" s="267">
        <v>1</v>
      </c>
      <c r="L1040" s="267">
        <v>1</v>
      </c>
      <c r="M1040" s="267">
        <v>1</v>
      </c>
      <c r="N1040" s="314">
        <v>0</v>
      </c>
      <c r="O1040" s="314">
        <v>0</v>
      </c>
      <c r="P1040" s="314">
        <v>0</v>
      </c>
      <c r="Q1040" s="267">
        <v>1</v>
      </c>
      <c r="R1040" s="267">
        <v>1</v>
      </c>
      <c r="S1040" s="269">
        <v>1</v>
      </c>
      <c r="T1040" s="63"/>
      <c r="U1040" s="94" t="s">
        <v>1603</v>
      </c>
      <c r="V1040" s="90"/>
      <c r="W1040" s="91"/>
      <c r="X1040" s="137"/>
      <c r="Y1040" s="260"/>
    </row>
    <row r="1041" spans="1:25" s="260" customFormat="1">
      <c r="A1041" s="261" t="s">
        <v>1723</v>
      </c>
      <c r="B1041" s="87">
        <f t="shared" si="121"/>
        <v>8</v>
      </c>
      <c r="C1041" s="274">
        <v>45889</v>
      </c>
      <c r="D1041" s="327">
        <v>72473</v>
      </c>
      <c r="E1041" s="276" t="s">
        <v>384</v>
      </c>
      <c r="F1041" s="277">
        <v>20352.599999999999</v>
      </c>
      <c r="G1041" s="277">
        <f>39.7+1158.5+330+698.2+1074.8+910.2+283.4+67.5+(131.46+39.56+458.93+229.4+124.76-77.28+55.97+47.5+55.06+259.65)+(199.57+15.62+124.74)+2000</f>
        <v>8227.24</v>
      </c>
      <c r="H1041" s="277"/>
      <c r="I1041" s="321">
        <f>F1041-G1041-H1041</f>
        <v>12125.359999999999</v>
      </c>
      <c r="J1041" s="279" t="s">
        <v>228</v>
      </c>
      <c r="K1041" s="279">
        <v>1</v>
      </c>
      <c r="L1041" s="279">
        <v>1</v>
      </c>
      <c r="M1041" s="279">
        <v>1</v>
      </c>
      <c r="N1041" s="279">
        <v>1</v>
      </c>
      <c r="O1041" s="279">
        <v>1</v>
      </c>
      <c r="P1041" s="279">
        <v>1</v>
      </c>
      <c r="Q1041" s="322">
        <v>0</v>
      </c>
      <c r="R1041" s="322">
        <v>0</v>
      </c>
      <c r="S1041" s="328">
        <v>0</v>
      </c>
      <c r="T1041" s="63"/>
      <c r="U1041" s="94" t="s">
        <v>1724</v>
      </c>
      <c r="V1041" s="90"/>
      <c r="W1041" s="136"/>
      <c r="X1041" s="137"/>
    </row>
    <row r="1042" spans="1:25" s="260" customFormat="1">
      <c r="A1042" s="261" t="s">
        <v>619</v>
      </c>
      <c r="B1042" s="87">
        <f t="shared" si="121"/>
        <v>9</v>
      </c>
      <c r="C1042" s="282">
        <v>45889</v>
      </c>
      <c r="D1042" s="368">
        <v>72498</v>
      </c>
      <c r="E1042" s="283" t="s">
        <v>769</v>
      </c>
      <c r="F1042" s="284">
        <v>22618</v>
      </c>
      <c r="G1042" s="284">
        <f>39.7+830.8+(94.29+28.45)+2000</f>
        <v>2993.24</v>
      </c>
      <c r="H1042" s="284"/>
      <c r="I1042" s="285">
        <f>F1042-G1042-H1042</f>
        <v>19624.760000000002</v>
      </c>
      <c r="J1042" s="286" t="s">
        <v>228</v>
      </c>
      <c r="K1042" s="286">
        <v>1</v>
      </c>
      <c r="L1042" s="286">
        <v>1</v>
      </c>
      <c r="M1042" s="286">
        <v>1</v>
      </c>
      <c r="N1042" s="286">
        <v>1</v>
      </c>
      <c r="O1042" s="286">
        <v>1</v>
      </c>
      <c r="P1042" s="286">
        <v>1</v>
      </c>
      <c r="Q1042" s="286">
        <v>1</v>
      </c>
      <c r="R1042" s="286">
        <v>1</v>
      </c>
      <c r="S1042" s="287">
        <v>1</v>
      </c>
      <c r="T1042" s="63"/>
      <c r="U1042" s="94" t="s">
        <v>1635</v>
      </c>
      <c r="V1042" s="90"/>
      <c r="W1042" s="136"/>
      <c r="X1042" s="137"/>
    </row>
    <row r="1043" spans="1:25" s="181" customFormat="1">
      <c r="A1043" s="261">
        <v>0.05</v>
      </c>
      <c r="B1043" s="87">
        <f t="shared" si="121"/>
        <v>10</v>
      </c>
      <c r="C1043" s="262">
        <v>45894</v>
      </c>
      <c r="D1043" s="263">
        <v>72581</v>
      </c>
      <c r="E1043" s="271" t="s">
        <v>1623</v>
      </c>
      <c r="F1043" s="265">
        <v>5814</v>
      </c>
      <c r="G1043" s="265">
        <f>39.7+446.6+(847.11)+250</f>
        <v>1583.41</v>
      </c>
      <c r="H1043" s="265"/>
      <c r="I1043" s="272">
        <f>F1043-G1043-H1043</f>
        <v>4230.59</v>
      </c>
      <c r="J1043" s="267" t="s">
        <v>228</v>
      </c>
      <c r="K1043" s="267">
        <v>1</v>
      </c>
      <c r="L1043" s="267">
        <v>1</v>
      </c>
      <c r="M1043" s="267">
        <v>1</v>
      </c>
      <c r="N1043" s="267">
        <v>1</v>
      </c>
      <c r="O1043" s="267">
        <v>1</v>
      </c>
      <c r="P1043" s="267">
        <v>1</v>
      </c>
      <c r="Q1043" s="267">
        <v>1</v>
      </c>
      <c r="R1043" s="267">
        <v>1</v>
      </c>
      <c r="S1043" s="269">
        <v>1</v>
      </c>
      <c r="T1043" s="63"/>
      <c r="U1043" s="94" t="s">
        <v>1624</v>
      </c>
      <c r="V1043" s="90"/>
      <c r="W1043" s="136"/>
      <c r="X1043" s="137"/>
      <c r="Y1043" s="260"/>
    </row>
    <row r="1044" spans="1:25" s="181" customFormat="1">
      <c r="A1044" s="704" t="s">
        <v>683</v>
      </c>
      <c r="B1044" s="87">
        <f t="shared" si="121"/>
        <v>11</v>
      </c>
      <c r="C1044" s="641">
        <v>45908</v>
      </c>
      <c r="D1044" s="263">
        <v>73046</v>
      </c>
      <c r="E1044" s="271" t="s">
        <v>317</v>
      </c>
      <c r="F1044" s="265">
        <v>3814</v>
      </c>
      <c r="G1044" s="265">
        <f>39.7+(12.18+108.87+796.78)+300</f>
        <v>1257.53</v>
      </c>
      <c r="H1044" s="265"/>
      <c r="I1044" s="266">
        <f>F1044-G1044-H1044</f>
        <v>2556.4700000000003</v>
      </c>
      <c r="J1044" s="267" t="s">
        <v>156</v>
      </c>
      <c r="K1044" s="267">
        <v>1</v>
      </c>
      <c r="L1044" s="267">
        <v>1</v>
      </c>
      <c r="M1044" s="267">
        <v>1</v>
      </c>
      <c r="N1044" s="267">
        <v>1</v>
      </c>
      <c r="O1044" s="267">
        <v>1</v>
      </c>
      <c r="P1044" s="267">
        <v>1</v>
      </c>
      <c r="Q1044" s="267">
        <v>1</v>
      </c>
      <c r="R1044" s="314">
        <v>0</v>
      </c>
      <c r="S1044" s="269">
        <v>1</v>
      </c>
      <c r="T1044" s="21">
        <v>1</v>
      </c>
      <c r="U1044" s="94" t="s">
        <v>1710</v>
      </c>
      <c r="V1044" s="90"/>
      <c r="W1044" s="91"/>
      <c r="X1044" s="92"/>
    </row>
    <row r="1045" spans="1:25" s="260" customFormat="1">
      <c r="A1045" s="261">
        <v>0.05</v>
      </c>
      <c r="B1045" s="87">
        <f t="shared" si="121"/>
        <v>12</v>
      </c>
      <c r="C1045" s="274">
        <v>45917</v>
      </c>
      <c r="D1045" s="327" t="s">
        <v>1704</v>
      </c>
      <c r="E1045" s="276" t="s">
        <v>746</v>
      </c>
      <c r="F1045" s="277">
        <v>5451.2</v>
      </c>
      <c r="G1045" s="277">
        <f>39.7+424.6+(82.38)+300</f>
        <v>846.68000000000006</v>
      </c>
      <c r="H1045" s="277"/>
      <c r="I1045" s="278">
        <f t="shared" ref="I1045" si="122">F1045-G1045-H1045</f>
        <v>4604.5199999999995</v>
      </c>
      <c r="J1045" s="279" t="s">
        <v>150</v>
      </c>
      <c r="K1045" s="279">
        <v>1</v>
      </c>
      <c r="L1045" s="279">
        <v>1</v>
      </c>
      <c r="M1045" s="279">
        <v>1</v>
      </c>
      <c r="N1045" s="279">
        <v>1</v>
      </c>
      <c r="O1045" s="279">
        <v>1</v>
      </c>
      <c r="P1045" s="279">
        <v>1</v>
      </c>
      <c r="Q1045" s="279">
        <v>1</v>
      </c>
      <c r="R1045" s="279">
        <v>1</v>
      </c>
      <c r="S1045" s="280">
        <v>1</v>
      </c>
      <c r="T1045" s="63"/>
      <c r="U1045" s="94" t="s">
        <v>1705</v>
      </c>
      <c r="V1045" s="90"/>
      <c r="W1045" s="136"/>
      <c r="X1045" s="92"/>
      <c r="Y1045" s="181"/>
    </row>
    <row r="1046" spans="1:25" s="260" customFormat="1">
      <c r="A1046" s="261" t="s">
        <v>1723</v>
      </c>
      <c r="B1046" s="87">
        <f t="shared" si="121"/>
        <v>13</v>
      </c>
      <c r="C1046" s="262">
        <v>45918</v>
      </c>
      <c r="D1046" s="263">
        <v>73435</v>
      </c>
      <c r="E1046" s="264" t="s">
        <v>1102</v>
      </c>
      <c r="F1046" s="265">
        <f>1223-85</f>
        <v>1138</v>
      </c>
      <c r="G1046" s="265">
        <f>39.7</f>
        <v>39.700000000000003</v>
      </c>
      <c r="H1046" s="265"/>
      <c r="I1046" s="266">
        <f>F1046-G1046-H1046</f>
        <v>1098.3</v>
      </c>
      <c r="J1046" s="267" t="s">
        <v>156</v>
      </c>
      <c r="K1046" s="267">
        <v>1</v>
      </c>
      <c r="L1046" s="267">
        <v>1</v>
      </c>
      <c r="M1046" s="267">
        <v>1</v>
      </c>
      <c r="N1046" s="267">
        <v>1</v>
      </c>
      <c r="O1046" s="267">
        <v>1</v>
      </c>
      <c r="P1046" s="267">
        <v>1</v>
      </c>
      <c r="Q1046" s="267">
        <v>1</v>
      </c>
      <c r="R1046" s="267">
        <v>1</v>
      </c>
      <c r="S1046" s="366">
        <v>0</v>
      </c>
      <c r="T1046" s="63"/>
      <c r="U1046" s="94"/>
      <c r="V1046" s="90">
        <f>1158.3</f>
        <v>1158.3</v>
      </c>
      <c r="W1046" s="91"/>
      <c r="X1046" s="92"/>
      <c r="Y1046" s="181"/>
    </row>
    <row r="1047" spans="1:25" s="260" customFormat="1">
      <c r="A1047" s="261" t="s">
        <v>1706</v>
      </c>
      <c r="B1047" s="87">
        <f t="shared" si="121"/>
        <v>14</v>
      </c>
      <c r="C1047" s="262">
        <v>45919</v>
      </c>
      <c r="D1047" s="263" t="s">
        <v>1707</v>
      </c>
      <c r="E1047" s="271" t="s">
        <v>1046</v>
      </c>
      <c r="F1047" s="265">
        <v>5914</v>
      </c>
      <c r="G1047" s="265">
        <f>39.7+(28.04+1323.07+91.41)+250</f>
        <v>1732.22</v>
      </c>
      <c r="H1047" s="265"/>
      <c r="I1047" s="272">
        <f>F1047-G1047-H1047</f>
        <v>4181.78</v>
      </c>
      <c r="J1047" s="267" t="s">
        <v>156</v>
      </c>
      <c r="K1047" s="267">
        <v>1</v>
      </c>
      <c r="L1047" s="267">
        <v>1</v>
      </c>
      <c r="M1047" s="267">
        <v>1</v>
      </c>
      <c r="N1047" s="267">
        <v>1</v>
      </c>
      <c r="O1047" s="267">
        <v>1</v>
      </c>
      <c r="P1047" s="267">
        <v>1</v>
      </c>
      <c r="Q1047" s="267">
        <v>1</v>
      </c>
      <c r="R1047" s="267">
        <v>1</v>
      </c>
      <c r="S1047" s="269">
        <v>1</v>
      </c>
      <c r="T1047" s="63"/>
      <c r="U1047" s="94" t="s">
        <v>1708</v>
      </c>
      <c r="V1047" s="90">
        <f>200</f>
        <v>200</v>
      </c>
      <c r="W1047" s="136"/>
      <c r="X1047" s="137"/>
      <c r="Y1047" s="181"/>
    </row>
    <row r="1048" spans="1:25" s="434" customFormat="1" ht="13.5">
      <c r="A1048" s="10"/>
      <c r="B1048" s="11"/>
      <c r="C1048" s="36"/>
      <c r="D1048" s="10"/>
      <c r="E1048" s="10"/>
      <c r="F1048" s="98">
        <f>SUM(F1034:F1047)</f>
        <v>169675.80000000002</v>
      </c>
      <c r="G1048" s="98">
        <f t="shared" ref="G1048:I1048" si="123">SUM(G1034:G1047)</f>
        <v>50250.439999999995</v>
      </c>
      <c r="H1048" s="98">
        <f t="shared" si="123"/>
        <v>0</v>
      </c>
      <c r="I1048" s="98">
        <f t="shared" si="123"/>
        <v>119425.35999999999</v>
      </c>
      <c r="J1048" s="63"/>
      <c r="K1048" s="21"/>
      <c r="L1048" s="21"/>
      <c r="M1048" s="21"/>
      <c r="N1048" s="21"/>
      <c r="O1048" s="21"/>
      <c r="P1048" s="21"/>
      <c r="Q1048" s="21"/>
      <c r="R1048" s="21"/>
      <c r="S1048" s="21"/>
      <c r="T1048" s="63"/>
      <c r="U1048" s="10"/>
      <c r="V1048" s="90"/>
      <c r="W1048" s="91"/>
      <c r="X1048" s="92"/>
    </row>
    <row r="1049" spans="1:25" s="434" customFormat="1" ht="13.5">
      <c r="A1049" s="10"/>
      <c r="B1049" s="11"/>
      <c r="C1049" s="36"/>
      <c r="D1049" s="10"/>
      <c r="E1049" s="10"/>
      <c r="F1049" s="88"/>
      <c r="G1049" s="88"/>
      <c r="H1049" s="88"/>
      <c r="I1049" s="99"/>
      <c r="J1049" s="63"/>
      <c r="K1049" s="21"/>
      <c r="L1049" s="21"/>
      <c r="M1049" s="21"/>
      <c r="N1049" s="21"/>
      <c r="O1049" s="21"/>
      <c r="P1049" s="21"/>
      <c r="Q1049" s="21"/>
      <c r="R1049" s="21"/>
      <c r="S1049" s="21"/>
      <c r="T1049" s="63"/>
      <c r="U1049" s="10"/>
      <c r="V1049" s="90"/>
      <c r="W1049" s="91"/>
      <c r="X1049" s="92"/>
    </row>
    <row r="1050" spans="1:25" s="260" customFormat="1">
      <c r="A1050" s="181"/>
      <c r="B1050" s="100" t="s">
        <v>1521</v>
      </c>
      <c r="C1050" s="36"/>
      <c r="D1050" s="10"/>
      <c r="E1050" s="181"/>
      <c r="F1050" s="88"/>
      <c r="G1050" s="88"/>
      <c r="H1050" s="88"/>
      <c r="I1050" s="99"/>
      <c r="J1050" s="63"/>
      <c r="K1050" s="21"/>
      <c r="L1050" s="21"/>
      <c r="M1050" s="21"/>
      <c r="N1050" s="21"/>
      <c r="O1050" s="21"/>
      <c r="P1050" s="21"/>
      <c r="Q1050" s="21"/>
      <c r="R1050" s="21"/>
      <c r="S1050" s="21"/>
      <c r="T1050" s="63"/>
      <c r="U1050" s="94"/>
      <c r="V1050" s="90"/>
      <c r="W1050" s="91"/>
      <c r="X1050" s="92"/>
    </row>
    <row r="1051" spans="1:25" s="260" customFormat="1">
      <c r="A1051" s="261" t="s">
        <v>548</v>
      </c>
      <c r="B1051" s="87">
        <v>1</v>
      </c>
      <c r="C1051" s="262">
        <v>45895</v>
      </c>
      <c r="D1051" s="263">
        <v>72566</v>
      </c>
      <c r="E1051" s="271" t="s">
        <v>833</v>
      </c>
      <c r="F1051" s="265">
        <v>1861</v>
      </c>
      <c r="G1051" s="265">
        <f>39.7+485</f>
        <v>524.70000000000005</v>
      </c>
      <c r="H1051" s="265"/>
      <c r="I1051" s="272">
        <f>F1051-G1051-H1051</f>
        <v>1336.3</v>
      </c>
      <c r="J1051" s="267" t="s">
        <v>156</v>
      </c>
      <c r="K1051" s="267">
        <v>1</v>
      </c>
      <c r="L1051" s="267"/>
      <c r="M1051" s="267">
        <v>1</v>
      </c>
      <c r="N1051" s="267">
        <v>1</v>
      </c>
      <c r="O1051" s="267">
        <v>1</v>
      </c>
      <c r="P1051" s="267">
        <v>1</v>
      </c>
      <c r="Q1051" s="267"/>
      <c r="R1051" s="267"/>
      <c r="S1051" s="269"/>
      <c r="T1051" s="63"/>
      <c r="U1051" s="94" t="s">
        <v>1691</v>
      </c>
      <c r="V1051" s="90"/>
      <c r="W1051" s="136"/>
      <c r="X1051" s="137"/>
    </row>
    <row r="1052" spans="1:25" s="181" customFormat="1">
      <c r="A1052" s="261">
        <v>0.1</v>
      </c>
      <c r="B1052" s="87">
        <f>B1051+1</f>
        <v>2</v>
      </c>
      <c r="C1052" s="641">
        <v>45909</v>
      </c>
      <c r="D1052" s="263">
        <v>73119</v>
      </c>
      <c r="E1052" s="271" t="s">
        <v>973</v>
      </c>
      <c r="F1052" s="265">
        <v>5814</v>
      </c>
      <c r="G1052" s="265">
        <f>39.7+(2001.79+54.89)+250</f>
        <v>2346.3799999999997</v>
      </c>
      <c r="H1052" s="265">
        <f>F1052*0.2</f>
        <v>1162.8</v>
      </c>
      <c r="I1052" s="272">
        <f>F1052-G1052-H1052</f>
        <v>2304.8200000000006</v>
      </c>
      <c r="J1052" s="267" t="s">
        <v>185</v>
      </c>
      <c r="K1052" s="267">
        <v>1</v>
      </c>
      <c r="L1052" s="267"/>
      <c r="M1052" s="267">
        <v>1</v>
      </c>
      <c r="N1052" s="267">
        <v>1</v>
      </c>
      <c r="O1052" s="267">
        <v>1</v>
      </c>
      <c r="P1052" s="267">
        <v>1</v>
      </c>
      <c r="Q1052" s="267"/>
      <c r="R1052" s="267"/>
      <c r="S1052" s="269"/>
      <c r="T1052" s="63"/>
      <c r="U1052" s="94" t="s">
        <v>1689</v>
      </c>
      <c r="V1052" s="90"/>
      <c r="W1052" s="136"/>
      <c r="X1052" s="137"/>
    </row>
    <row r="1053" spans="1:25" s="260" customFormat="1">
      <c r="A1053" s="181"/>
      <c r="B1053" s="11"/>
      <c r="C1053" s="36"/>
      <c r="D1053" s="10"/>
      <c r="E1053" s="10"/>
      <c r="F1053" s="97">
        <f>SUM(F1051:F1052)</f>
        <v>7675</v>
      </c>
      <c r="G1053" s="97">
        <f t="shared" ref="G1053:I1053" si="124">SUM(G1051:G1052)</f>
        <v>2871.08</v>
      </c>
      <c r="H1053" s="97">
        <f t="shared" si="124"/>
        <v>1162.8</v>
      </c>
      <c r="I1053" s="97">
        <f t="shared" si="124"/>
        <v>3641.1200000000008</v>
      </c>
      <c r="J1053" s="63"/>
      <c r="K1053" s="21"/>
      <c r="L1053" s="21"/>
      <c r="M1053" s="21"/>
      <c r="N1053" s="21"/>
      <c r="O1053" s="21"/>
      <c r="P1053" s="21"/>
      <c r="Q1053" s="21"/>
      <c r="R1053" s="21"/>
      <c r="S1053" s="21"/>
      <c r="T1053" s="63"/>
      <c r="U1053" s="94"/>
      <c r="V1053" s="90"/>
      <c r="W1053" s="91"/>
      <c r="X1053" s="92"/>
    </row>
    <row r="1054" spans="1:25" s="260" customFormat="1">
      <c r="A1054" s="181"/>
      <c r="B1054" s="11"/>
      <c r="C1054" s="36"/>
      <c r="D1054" s="10"/>
      <c r="E1054" s="10"/>
      <c r="F1054" s="88"/>
      <c r="G1054" s="88"/>
      <c r="H1054" s="88"/>
      <c r="I1054" s="99"/>
      <c r="J1054" s="63"/>
      <c r="K1054" s="21"/>
      <c r="L1054" s="21"/>
      <c r="M1054" s="21"/>
      <c r="N1054" s="21"/>
      <c r="O1054" s="21"/>
      <c r="P1054" s="21"/>
      <c r="Q1054" s="21"/>
      <c r="R1054" s="21"/>
      <c r="S1054" s="21"/>
      <c r="T1054" s="63"/>
      <c r="U1054" s="94"/>
      <c r="V1054" s="90"/>
      <c r="W1054" s="91"/>
      <c r="X1054" s="92"/>
    </row>
    <row r="1055" spans="1:25">
      <c r="B1055" s="100" t="s">
        <v>72</v>
      </c>
      <c r="C1055" s="609"/>
      <c r="D1055" s="10"/>
      <c r="E1055" s="10"/>
      <c r="F1055" s="88"/>
      <c r="G1055" s="88"/>
      <c r="H1055" s="88"/>
      <c r="I1055" s="99"/>
      <c r="J1055" s="63"/>
      <c r="K1055" s="63"/>
      <c r="L1055" s="63"/>
      <c r="M1055" s="63"/>
      <c r="N1055" s="63"/>
      <c r="O1055" s="63"/>
      <c r="P1055" s="63"/>
      <c r="Q1055" s="63"/>
      <c r="R1055" s="63"/>
      <c r="S1055" s="63"/>
      <c r="T1055" s="63"/>
      <c r="U1055" s="94"/>
      <c r="V1055" s="90"/>
      <c r="W1055" s="91"/>
      <c r="X1055" s="92"/>
    </row>
    <row r="1056" spans="1:25">
      <c r="B1056" s="87">
        <v>1</v>
      </c>
      <c r="C1056" s="274">
        <v>45922</v>
      </c>
      <c r="D1056" s="276">
        <v>73470</v>
      </c>
      <c r="E1056" s="276" t="s">
        <v>1047</v>
      </c>
      <c r="F1056" s="277">
        <v>0</v>
      </c>
      <c r="G1056" s="277">
        <v>0</v>
      </c>
      <c r="H1056" s="277"/>
      <c r="I1056" s="278">
        <f>F1056-G1056-H1056</f>
        <v>0</v>
      </c>
      <c r="J1056" s="279" t="s">
        <v>205</v>
      </c>
      <c r="K1056" s="279"/>
      <c r="L1056" s="279"/>
      <c r="M1056" s="279"/>
      <c r="N1056" s="279"/>
      <c r="O1056" s="279"/>
      <c r="P1056" s="279"/>
      <c r="Q1056" s="279">
        <v>1</v>
      </c>
      <c r="R1056" s="279">
        <v>1</v>
      </c>
      <c r="S1056" s="280"/>
      <c r="T1056" s="63"/>
      <c r="U1056" s="164"/>
      <c r="V1056" s="90"/>
      <c r="W1056" s="91"/>
      <c r="X1056" s="92"/>
    </row>
    <row r="1057" spans="1:25">
      <c r="B1057" s="87">
        <f>B1056+1</f>
        <v>2</v>
      </c>
      <c r="C1057" s="295">
        <v>45922</v>
      </c>
      <c r="D1057" s="10">
        <v>73498</v>
      </c>
      <c r="E1057" s="10" t="s">
        <v>1080</v>
      </c>
      <c r="F1057" s="62">
        <v>681</v>
      </c>
      <c r="G1057" s="62"/>
      <c r="H1057" s="62"/>
      <c r="I1057" s="89">
        <f t="shared" ref="I1057:I1060" si="125">F1057-G1057-H1057</f>
        <v>681</v>
      </c>
      <c r="J1057" s="63" t="s">
        <v>205</v>
      </c>
      <c r="K1057" s="63">
        <v>1</v>
      </c>
      <c r="L1057" s="63"/>
      <c r="M1057" s="63"/>
      <c r="N1057" s="63">
        <v>1</v>
      </c>
      <c r="O1057" s="63"/>
      <c r="P1057" s="63"/>
      <c r="Q1057" s="63">
        <v>1</v>
      </c>
      <c r="R1057" s="63">
        <v>1</v>
      </c>
      <c r="S1057" s="296"/>
      <c r="T1057" s="63"/>
      <c r="U1057" s="94"/>
      <c r="V1057" s="90"/>
      <c r="W1057" s="136"/>
      <c r="X1057" s="137"/>
    </row>
    <row r="1058" spans="1:25">
      <c r="B1058" s="87">
        <f t="shared" ref="B1058:B1060" si="126">B1057+1</f>
        <v>3</v>
      </c>
      <c r="C1058" s="274">
        <v>45923</v>
      </c>
      <c r="D1058" s="276">
        <v>73564</v>
      </c>
      <c r="E1058" s="276" t="s">
        <v>798</v>
      </c>
      <c r="F1058" s="277">
        <v>2714</v>
      </c>
      <c r="G1058" s="277">
        <f>39.7</f>
        <v>39.700000000000003</v>
      </c>
      <c r="H1058" s="277"/>
      <c r="I1058" s="278">
        <f t="shared" si="125"/>
        <v>2674.3</v>
      </c>
      <c r="J1058" s="279" t="s">
        <v>156</v>
      </c>
      <c r="K1058" s="279">
        <v>1</v>
      </c>
      <c r="L1058" s="279"/>
      <c r="M1058" s="279">
        <v>1</v>
      </c>
      <c r="N1058" s="279">
        <v>1</v>
      </c>
      <c r="O1058" s="279"/>
      <c r="P1058" s="279"/>
      <c r="Q1058" s="279">
        <v>1</v>
      </c>
      <c r="R1058" s="279">
        <v>1</v>
      </c>
      <c r="S1058" s="280"/>
      <c r="T1058" s="63"/>
      <c r="U1058" s="94"/>
      <c r="V1058" s="90">
        <v>93.5</v>
      </c>
      <c r="W1058" s="136"/>
      <c r="X1058" s="137"/>
    </row>
    <row r="1059" spans="1:25">
      <c r="B1059" s="87">
        <f t="shared" si="126"/>
        <v>4</v>
      </c>
      <c r="C1059" s="274">
        <v>45924</v>
      </c>
      <c r="D1059" s="276" t="s">
        <v>1725</v>
      </c>
      <c r="E1059" s="276" t="s">
        <v>159</v>
      </c>
      <c r="F1059" s="277">
        <v>5064.8999999999996</v>
      </c>
      <c r="G1059" s="277">
        <v>39.700000000000003</v>
      </c>
      <c r="H1059" s="277"/>
      <c r="I1059" s="278">
        <f t="shared" si="125"/>
        <v>5025.2</v>
      </c>
      <c r="J1059" s="279" t="s">
        <v>205</v>
      </c>
      <c r="K1059" s="279">
        <v>1</v>
      </c>
      <c r="L1059" s="279"/>
      <c r="M1059" s="279"/>
      <c r="N1059" s="279">
        <v>1</v>
      </c>
      <c r="O1059" s="279"/>
      <c r="P1059" s="279"/>
      <c r="Q1059" s="279"/>
      <c r="R1059" s="279"/>
      <c r="S1059" s="280"/>
      <c r="T1059" s="63"/>
      <c r="U1059" s="94"/>
      <c r="V1059" s="90"/>
      <c r="W1059" s="136"/>
      <c r="X1059" s="137"/>
    </row>
    <row r="1060" spans="1:25">
      <c r="B1060" s="87">
        <f t="shared" si="126"/>
        <v>5</v>
      </c>
      <c r="C1060" s="282">
        <v>45924</v>
      </c>
      <c r="D1060" s="283">
        <v>73631</v>
      </c>
      <c r="E1060" s="283" t="s">
        <v>211</v>
      </c>
      <c r="F1060" s="284">
        <v>0</v>
      </c>
      <c r="G1060" s="284">
        <v>0</v>
      </c>
      <c r="H1060" s="284"/>
      <c r="I1060" s="285">
        <f t="shared" si="125"/>
        <v>0</v>
      </c>
      <c r="J1060" s="286" t="s">
        <v>205</v>
      </c>
      <c r="K1060" s="286">
        <v>1</v>
      </c>
      <c r="L1060" s="286"/>
      <c r="M1060" s="286"/>
      <c r="N1060" s="286"/>
      <c r="O1060" s="286"/>
      <c r="P1060" s="286"/>
      <c r="Q1060" s="286"/>
      <c r="R1060" s="286"/>
      <c r="S1060" s="287"/>
      <c r="T1060" s="63"/>
      <c r="U1060" s="94"/>
      <c r="V1060" s="90"/>
      <c r="W1060" s="136"/>
      <c r="X1060" s="137"/>
    </row>
    <row r="1061" spans="1:25">
      <c r="B1061" s="11"/>
      <c r="C1061" s="36"/>
      <c r="D1061" s="10"/>
      <c r="E1061" s="10"/>
      <c r="F1061" s="97">
        <f>SUM(F1056:F1060)</f>
        <v>8459.9</v>
      </c>
      <c r="G1061" s="97">
        <f>SUM(G1056:G1060)</f>
        <v>79.400000000000006</v>
      </c>
      <c r="H1061" s="97">
        <f>SUM(H1056:H1060)</f>
        <v>0</v>
      </c>
      <c r="I1061" s="98">
        <f>SUM(I1056:I1060)</f>
        <v>8380.5</v>
      </c>
      <c r="J1061" s="10"/>
      <c r="K1061" s="10"/>
      <c r="L1061" s="10"/>
      <c r="M1061" s="10"/>
      <c r="N1061" s="10"/>
      <c r="O1061" s="10"/>
      <c r="P1061" s="10"/>
      <c r="Q1061" s="10"/>
      <c r="R1061" s="10"/>
      <c r="S1061" s="10"/>
      <c r="T1061" s="63"/>
      <c r="U1061" s="94"/>
      <c r="V1061" s="90"/>
      <c r="W1061" s="91"/>
      <c r="X1061" s="92"/>
    </row>
    <row r="1062" spans="1:25">
      <c r="B1062" s="26"/>
      <c r="C1062" s="612"/>
      <c r="D1062" s="141"/>
      <c r="E1062" s="141"/>
      <c r="F1062" s="141"/>
      <c r="G1062" s="141"/>
      <c r="H1062" s="141"/>
      <c r="I1062" s="141"/>
      <c r="J1062" s="141"/>
      <c r="K1062" s="142"/>
      <c r="L1062" s="142"/>
      <c r="M1062" s="142"/>
      <c r="N1062" s="142"/>
      <c r="O1062" s="142"/>
      <c r="P1062" s="142"/>
      <c r="Q1062" s="142"/>
      <c r="R1062" s="142"/>
      <c r="S1062" s="142"/>
      <c r="T1062" s="143">
        <f>SUM(T1017:T1061)</f>
        <v>3</v>
      </c>
      <c r="U1062" s="168"/>
      <c r="V1062" s="144">
        <f>SUM(V1017:V1061)</f>
        <v>37482.93</v>
      </c>
      <c r="W1062" s="145">
        <f>SUM(W1017:W1061)</f>
        <v>0</v>
      </c>
      <c r="X1062" s="146">
        <f>SUM(X1017:X1061)</f>
        <v>0</v>
      </c>
    </row>
    <row r="1063" spans="1:25">
      <c r="B1063" s="2"/>
      <c r="C1063" s="2"/>
      <c r="D1063" s="2"/>
      <c r="E1063" s="2"/>
      <c r="F1063" s="2"/>
      <c r="G1063" s="2"/>
      <c r="H1063" s="2"/>
      <c r="I1063" s="2"/>
      <c r="J1063" s="2"/>
      <c r="K1063" s="2"/>
      <c r="L1063" s="2"/>
      <c r="M1063" s="2"/>
      <c r="N1063" s="2"/>
      <c r="O1063" s="2"/>
      <c r="P1063" s="2"/>
      <c r="Q1063" s="2"/>
      <c r="R1063" s="2"/>
      <c r="S1063" s="2"/>
      <c r="T1063" s="2"/>
      <c r="U1063" s="2"/>
      <c r="V1063" s="2"/>
      <c r="W1063" s="2"/>
      <c r="X1063" s="2"/>
    </row>
    <row r="1065" spans="1:25">
      <c r="A1065" s="616" t="s">
        <v>74</v>
      </c>
      <c r="B1065" s="4" t="s">
        <v>1</v>
      </c>
      <c r="C1065" s="5"/>
      <c r="D1065" s="83"/>
      <c r="E1065" s="6"/>
      <c r="F1065" s="7" t="s">
        <v>2</v>
      </c>
      <c r="G1065" s="608">
        <v>45935</v>
      </c>
      <c r="H1065" s="7"/>
      <c r="I1065" s="6"/>
      <c r="J1065" s="6"/>
      <c r="K1065" s="6"/>
      <c r="L1065" s="6"/>
      <c r="M1065" s="6"/>
      <c r="N1065" s="6"/>
      <c r="O1065" s="6"/>
      <c r="P1065" s="6"/>
      <c r="Q1065" s="6"/>
      <c r="R1065" s="6"/>
      <c r="S1065" s="6"/>
      <c r="T1065" s="6"/>
      <c r="U1065" s="149"/>
      <c r="V1065" s="77"/>
      <c r="W1065" s="77"/>
      <c r="X1065" s="77"/>
      <c r="Y1065" s="2"/>
    </row>
    <row r="1066" spans="1:25">
      <c r="A1066" s="617" t="s">
        <v>75</v>
      </c>
      <c r="B1066" s="11"/>
      <c r="C1066" s="10"/>
      <c r="D1066" s="63"/>
      <c r="E1066" s="10"/>
      <c r="F1066" s="10"/>
      <c r="G1066" s="7"/>
      <c r="H1066" s="12"/>
      <c r="I1066" s="10"/>
      <c r="J1066" s="10"/>
      <c r="K1066" s="13" t="s">
        <v>3</v>
      </c>
      <c r="L1066" s="14"/>
      <c r="M1066" s="15"/>
      <c r="N1066" s="13" t="s">
        <v>4</v>
      </c>
      <c r="O1066" s="14"/>
      <c r="P1066" s="15"/>
      <c r="Q1066" s="13" t="s">
        <v>5</v>
      </c>
      <c r="R1066" s="14"/>
      <c r="S1066" s="15"/>
      <c r="T1066" s="16"/>
      <c r="U1066" s="151"/>
      <c r="V1066" s="77"/>
      <c r="W1066" s="77"/>
      <c r="X1066" s="77"/>
      <c r="Y1066" s="2"/>
    </row>
    <row r="1067" spans="1:25">
      <c r="A1067" s="616" t="s">
        <v>76</v>
      </c>
      <c r="B1067" s="18" t="s">
        <v>6</v>
      </c>
      <c r="C1067" s="19">
        <f>C1068+C1069</f>
        <v>38</v>
      </c>
      <c r="D1067" s="63"/>
      <c r="E1067" s="18" t="s">
        <v>7</v>
      </c>
      <c r="F1067" s="6"/>
      <c r="G1067" s="9"/>
      <c r="H1067" s="10"/>
      <c r="I1067" s="10"/>
      <c r="J1067" s="10"/>
      <c r="K1067" s="20" t="s">
        <v>8</v>
      </c>
      <c r="L1067" s="21" t="s">
        <v>9</v>
      </c>
      <c r="M1067" s="21" t="s">
        <v>10</v>
      </c>
      <c r="N1067" s="20" t="s">
        <v>11</v>
      </c>
      <c r="O1067" s="21" t="s">
        <v>12</v>
      </c>
      <c r="P1067" s="22" t="s">
        <v>13</v>
      </c>
      <c r="Q1067" s="21" t="s">
        <v>11</v>
      </c>
      <c r="R1067" s="21" t="s">
        <v>12</v>
      </c>
      <c r="S1067" s="22" t="s">
        <v>13</v>
      </c>
      <c r="T1067" s="23" t="s">
        <v>14</v>
      </c>
      <c r="U1067" s="151"/>
      <c r="V1067" s="77"/>
      <c r="W1067" s="77"/>
      <c r="X1067" s="77"/>
      <c r="Y1067" s="2"/>
    </row>
    <row r="1068" spans="1:25">
      <c r="A1068" s="652" t="s">
        <v>77</v>
      </c>
      <c r="B1068" s="24" t="s">
        <v>15</v>
      </c>
      <c r="C1068" s="25">
        <f>P1075</f>
        <v>16</v>
      </c>
      <c r="D1068" s="63"/>
      <c r="E1068" s="11" t="s">
        <v>16</v>
      </c>
      <c r="F1068" s="10" t="s">
        <v>78</v>
      </c>
      <c r="G1068" s="153">
        <v>0.05</v>
      </c>
      <c r="H1068" s="10"/>
      <c r="I1068" s="10"/>
      <c r="J1068" s="18" t="s">
        <v>17</v>
      </c>
      <c r="K1068" s="29">
        <f>K1109</f>
        <v>15</v>
      </c>
      <c r="L1068" s="29">
        <f t="shared" ref="L1068:S1068" si="127">L1109</f>
        <v>15</v>
      </c>
      <c r="M1068" s="29">
        <f t="shared" si="127"/>
        <v>12</v>
      </c>
      <c r="N1068" s="29">
        <f t="shared" si="127"/>
        <v>15</v>
      </c>
      <c r="O1068" s="29">
        <f t="shared" si="127"/>
        <v>14</v>
      </c>
      <c r="P1068" s="29">
        <f t="shared" si="127"/>
        <v>14</v>
      </c>
      <c r="Q1068" s="29">
        <f t="shared" si="127"/>
        <v>14</v>
      </c>
      <c r="R1068" s="29">
        <f t="shared" si="127"/>
        <v>14</v>
      </c>
      <c r="S1068" s="29">
        <f t="shared" si="127"/>
        <v>13</v>
      </c>
      <c r="T1068" s="30">
        <f>T1161</f>
        <v>6</v>
      </c>
      <c r="U1068" s="151"/>
      <c r="V1068" s="77"/>
      <c r="W1068" s="77"/>
      <c r="X1068" s="77"/>
      <c r="Y1068" s="2"/>
    </row>
    <row r="1069" spans="1:25">
      <c r="A1069" s="652" t="s">
        <v>79</v>
      </c>
      <c r="B1069" s="24" t="s">
        <v>18</v>
      </c>
      <c r="C1069" s="25">
        <f>P1076</f>
        <v>22</v>
      </c>
      <c r="D1069" s="63"/>
      <c r="E1069" s="26" t="s">
        <v>80</v>
      </c>
      <c r="F1069" s="141" t="s">
        <v>81</v>
      </c>
      <c r="G1069" s="154">
        <v>0.1</v>
      </c>
      <c r="H1069" s="10"/>
      <c r="I1069" s="10"/>
      <c r="J1069" s="32" t="s">
        <v>19</v>
      </c>
      <c r="K1069" s="33">
        <f>K1109/K1108</f>
        <v>1</v>
      </c>
      <c r="L1069" s="33">
        <f t="shared" ref="L1069:S1069" si="128">L1109/L1108</f>
        <v>1</v>
      </c>
      <c r="M1069" s="33">
        <f t="shared" si="128"/>
        <v>0.8</v>
      </c>
      <c r="N1069" s="33">
        <f t="shared" si="128"/>
        <v>1</v>
      </c>
      <c r="O1069" s="33">
        <f t="shared" si="128"/>
        <v>0.93333333333333335</v>
      </c>
      <c r="P1069" s="33">
        <f t="shared" si="128"/>
        <v>0.93333333333333335</v>
      </c>
      <c r="Q1069" s="33">
        <f t="shared" si="128"/>
        <v>0.93333333333333335</v>
      </c>
      <c r="R1069" s="33">
        <f t="shared" si="128"/>
        <v>0.93333333333333335</v>
      </c>
      <c r="S1069" s="33">
        <f t="shared" si="128"/>
        <v>0.8666666666666667</v>
      </c>
      <c r="T1069" s="23">
        <v>1</v>
      </c>
      <c r="U1069" s="151" t="s">
        <v>20</v>
      </c>
      <c r="V1069" s="77"/>
      <c r="W1069" s="77"/>
      <c r="X1069" s="77"/>
      <c r="Y1069" s="2"/>
    </row>
    <row r="1070" spans="1:25">
      <c r="A1070" s="652" t="s">
        <v>82</v>
      </c>
      <c r="B1070" s="24" t="s">
        <v>21</v>
      </c>
      <c r="C1070" s="34">
        <f>P1077</f>
        <v>0.42105263157894735</v>
      </c>
      <c r="D1070" s="63"/>
      <c r="E1070" s="10"/>
      <c r="F1070" s="10"/>
      <c r="G1070" s="10"/>
      <c r="H1070" s="10"/>
      <c r="I1070" s="10"/>
      <c r="J1070" s="10"/>
      <c r="K1070" s="10"/>
      <c r="L1070" s="10"/>
      <c r="M1070" s="10"/>
      <c r="N1070" s="10"/>
      <c r="O1070" s="10"/>
      <c r="P1070" s="10"/>
      <c r="Q1070" s="10"/>
      <c r="R1070" s="10"/>
      <c r="S1070" s="10"/>
      <c r="T1070" s="10"/>
      <c r="U1070" s="151"/>
      <c r="V1070" s="77"/>
      <c r="W1070" s="77"/>
      <c r="X1070" s="77"/>
      <c r="Y1070" s="2"/>
    </row>
    <row r="1071" spans="1:25">
      <c r="A1071" s="652" t="s">
        <v>83</v>
      </c>
      <c r="B1071" s="24"/>
      <c r="C1071" s="25"/>
      <c r="D1071" s="63"/>
      <c r="E1071" s="10"/>
      <c r="F1071" s="18" t="s">
        <v>22</v>
      </c>
      <c r="G1071" s="19" t="s">
        <v>23</v>
      </c>
      <c r="H1071" s="35" t="s">
        <v>24</v>
      </c>
      <c r="I1071" s="10"/>
      <c r="J1071" s="10"/>
      <c r="K1071" s="36"/>
      <c r="L1071" s="36"/>
      <c r="M1071" s="36"/>
      <c r="N1071" s="36"/>
      <c r="O1071" s="36"/>
      <c r="P1071" s="36"/>
      <c r="Q1071" s="36"/>
      <c r="R1071" s="10"/>
      <c r="S1071" s="10"/>
      <c r="T1071" s="10"/>
      <c r="U1071" s="151"/>
      <c r="V1071" s="77"/>
      <c r="W1071" s="77"/>
      <c r="X1071" s="77"/>
      <c r="Y1071" s="2"/>
    </row>
    <row r="1072" spans="1:25" ht="16.5" customHeight="1">
      <c r="A1072" s="614"/>
      <c r="B1072" s="32" t="s">
        <v>25</v>
      </c>
      <c r="C1072" s="37">
        <f>P1078</f>
        <v>2083.2131249999998</v>
      </c>
      <c r="D1072" s="63"/>
      <c r="E1072" s="18" t="s">
        <v>26</v>
      </c>
      <c r="F1072" s="38">
        <f>P1074</f>
        <v>33331.409999999996</v>
      </c>
      <c r="G1072" s="39">
        <f>I1108+I1113</f>
        <v>33331.409999999996</v>
      </c>
      <c r="H1072" s="771" t="s">
        <v>1726</v>
      </c>
      <c r="I1072" s="771"/>
      <c r="J1072" s="771"/>
      <c r="K1072" s="43" t="s">
        <v>27</v>
      </c>
      <c r="L1072" s="44"/>
      <c r="M1072" s="44"/>
      <c r="N1072" s="44"/>
      <c r="O1072" s="44"/>
      <c r="P1072" s="44"/>
      <c r="Q1072" s="45"/>
      <c r="R1072" s="46" t="s">
        <v>28</v>
      </c>
      <c r="S1072" s="47" t="s">
        <v>29</v>
      </c>
      <c r="T1072" s="10"/>
      <c r="U1072" s="151"/>
      <c r="V1072" s="77"/>
      <c r="W1072" s="77"/>
      <c r="X1072" s="77"/>
      <c r="Y1072" s="2"/>
    </row>
    <row r="1073" spans="1:25">
      <c r="A1073" s="614"/>
      <c r="B1073" s="11"/>
      <c r="C1073" s="10"/>
      <c r="D1073" s="63"/>
      <c r="E1073" s="24" t="s">
        <v>30</v>
      </c>
      <c r="F1073" s="48">
        <f>IF(F1072&gt;=25000,10%,5%)</f>
        <v>0.1</v>
      </c>
      <c r="G1073" s="17"/>
      <c r="H1073" s="771"/>
      <c r="I1073" s="771"/>
      <c r="J1073" s="771"/>
      <c r="K1073" s="20" t="s">
        <v>31</v>
      </c>
      <c r="L1073" s="21" t="s">
        <v>32</v>
      </c>
      <c r="M1073" s="21" t="s">
        <v>33</v>
      </c>
      <c r="N1073" s="21" t="s">
        <v>34</v>
      </c>
      <c r="O1073" s="21" t="s">
        <v>35</v>
      </c>
      <c r="P1073" s="21" t="s">
        <v>36</v>
      </c>
      <c r="Q1073" s="49" t="s">
        <v>37</v>
      </c>
      <c r="R1073" s="50" t="s">
        <v>38</v>
      </c>
      <c r="S1073" s="50" t="s">
        <v>38</v>
      </c>
      <c r="T1073" s="10"/>
      <c r="U1073" s="151"/>
      <c r="V1073" s="77"/>
      <c r="W1073" s="77"/>
      <c r="X1073" s="77"/>
      <c r="Y1073" s="2"/>
    </row>
    <row r="1074" spans="1:25">
      <c r="A1074" s="614"/>
      <c r="B1074" s="11"/>
      <c r="C1074" s="10"/>
      <c r="D1074" s="63"/>
      <c r="E1074" s="51" t="s">
        <v>39</v>
      </c>
      <c r="F1074" s="52">
        <f>(F1072+F1081+F1082-I1101-I1102-I1107-I1112)*F1073</f>
        <v>2552.8240000000005</v>
      </c>
      <c r="G1074" s="53" t="s">
        <v>40</v>
      </c>
      <c r="H1074" s="54">
        <f>F1074/1.12</f>
        <v>2279.3071428571429</v>
      </c>
      <c r="I1074" s="570" t="s">
        <v>1727</v>
      </c>
      <c r="J1074" s="42"/>
      <c r="K1074" s="56">
        <f>I1093+I1094+I1095</f>
        <v>3199.8999999999996</v>
      </c>
      <c r="L1074" s="57">
        <f>I1096+I1097</f>
        <v>13205.07</v>
      </c>
      <c r="M1074" s="57">
        <f>I1098+I1099+I1100</f>
        <v>2460.3000000000002</v>
      </c>
      <c r="N1074" s="57">
        <f>I1101+I1103+I1104+I1102+I1105</f>
        <v>7128.58</v>
      </c>
      <c r="O1074" s="57">
        <f>I1106+I1112+I1107</f>
        <v>7337.56</v>
      </c>
      <c r="P1074" s="57">
        <f>SUM(K1074:O1074)</f>
        <v>33331.409999999996</v>
      </c>
      <c r="Q1074" s="58">
        <v>0</v>
      </c>
      <c r="R1074" s="59">
        <f>+I1113</f>
        <v>716</v>
      </c>
      <c r="S1074" s="59">
        <v>0</v>
      </c>
      <c r="T1074" s="10"/>
      <c r="U1074" s="151"/>
      <c r="V1074" s="77"/>
      <c r="W1074" s="77"/>
      <c r="X1074" s="77"/>
      <c r="Y1074" s="2"/>
    </row>
    <row r="1075" spans="1:25">
      <c r="A1075" s="614"/>
      <c r="B1075" s="11"/>
      <c r="C1075" s="10"/>
      <c r="D1075" s="63"/>
      <c r="E1075" s="24" t="s">
        <v>41</v>
      </c>
      <c r="F1075" s="60">
        <f>Q1074</f>
        <v>0</v>
      </c>
      <c r="G1075" s="61" t="s">
        <v>40</v>
      </c>
      <c r="H1075" s="62"/>
      <c r="I1075" s="62"/>
      <c r="J1075" s="10" t="s">
        <v>42</v>
      </c>
      <c r="K1075" s="63">
        <v>3</v>
      </c>
      <c r="L1075" s="63">
        <v>2</v>
      </c>
      <c r="M1075" s="63">
        <v>3</v>
      </c>
      <c r="N1075" s="63">
        <v>5</v>
      </c>
      <c r="O1075" s="63">
        <v>3</v>
      </c>
      <c r="P1075" s="21">
        <f>SUM(K1075:O1075)</f>
        <v>16</v>
      </c>
      <c r="Q1075" s="64">
        <v>0</v>
      </c>
      <c r="R1075" s="63"/>
      <c r="S1075" s="10"/>
      <c r="T1075" s="10"/>
      <c r="U1075" s="151"/>
      <c r="V1075" s="77"/>
      <c r="W1075" s="77"/>
      <c r="X1075" s="77"/>
      <c r="Y1075" s="2"/>
    </row>
    <row r="1076" spans="1:25">
      <c r="A1076" s="614"/>
      <c r="B1076" s="11"/>
      <c r="C1076" s="10"/>
      <c r="D1076" s="63"/>
      <c r="E1076" s="51" t="s">
        <v>43</v>
      </c>
      <c r="F1076" s="52">
        <f>F1075*0.25</f>
        <v>0</v>
      </c>
      <c r="G1076" s="53" t="s">
        <v>40</v>
      </c>
      <c r="H1076" s="54">
        <f>F1076/1.12</f>
        <v>0</v>
      </c>
      <c r="I1076" s="10"/>
      <c r="J1076" s="10" t="s">
        <v>44</v>
      </c>
      <c r="K1076" s="63">
        <v>7</v>
      </c>
      <c r="L1076" s="63">
        <v>3</v>
      </c>
      <c r="M1076" s="63">
        <v>5</v>
      </c>
      <c r="N1076" s="63">
        <v>4</v>
      </c>
      <c r="O1076" s="63">
        <v>3</v>
      </c>
      <c r="P1076" s="21">
        <f>SUM(K1076:O1076)</f>
        <v>22</v>
      </c>
      <c r="Q1076" s="64">
        <v>0</v>
      </c>
      <c r="R1076" s="63"/>
      <c r="S1076" s="10"/>
      <c r="T1076" s="10"/>
      <c r="U1076" s="151"/>
      <c r="V1076" s="77"/>
      <c r="W1076" s="77"/>
      <c r="X1076" s="77"/>
      <c r="Y1076" s="2"/>
    </row>
    <row r="1077" spans="1:25">
      <c r="A1077" s="614"/>
      <c r="B1077" s="11"/>
      <c r="C1077" s="10"/>
      <c r="D1077" s="63"/>
      <c r="E1077" s="24" t="s">
        <v>45</v>
      </c>
      <c r="F1077" s="60">
        <v>0</v>
      </c>
      <c r="G1077" s="61" t="s">
        <v>40</v>
      </c>
      <c r="H1077" s="62"/>
      <c r="I1077" s="10"/>
      <c r="J1077" s="10" t="s">
        <v>46</v>
      </c>
      <c r="K1077" s="31">
        <f t="shared" ref="K1077:Q1077" si="129">K1075/(K1075+K1076)</f>
        <v>0.3</v>
      </c>
      <c r="L1077" s="31">
        <f t="shared" si="129"/>
        <v>0.4</v>
      </c>
      <c r="M1077" s="31">
        <f t="shared" si="129"/>
        <v>0.375</v>
      </c>
      <c r="N1077" s="31">
        <f t="shared" si="129"/>
        <v>0.55555555555555558</v>
      </c>
      <c r="O1077" s="31">
        <f t="shared" si="129"/>
        <v>0.5</v>
      </c>
      <c r="P1077" s="31">
        <f t="shared" si="129"/>
        <v>0.42105263157894735</v>
      </c>
      <c r="Q1077" s="31" t="e">
        <f t="shared" si="129"/>
        <v>#DIV/0!</v>
      </c>
      <c r="R1077" s="63"/>
      <c r="S1077" s="10"/>
      <c r="T1077" s="10"/>
      <c r="U1077" s="151"/>
      <c r="V1077" s="77"/>
      <c r="W1077" s="77"/>
      <c r="X1077" s="77"/>
      <c r="Y1077" s="2"/>
    </row>
    <row r="1078" spans="1:25">
      <c r="A1078" s="614"/>
      <c r="B1078" s="11"/>
      <c r="C1078" s="10"/>
      <c r="D1078" s="63"/>
      <c r="E1078" s="51" t="s">
        <v>47</v>
      </c>
      <c r="F1078" s="52">
        <f>F1077*0.05</f>
        <v>0</v>
      </c>
      <c r="G1078" s="65" t="s">
        <v>40</v>
      </c>
      <c r="H1078" s="54">
        <f>F1078/1.12</f>
        <v>0</v>
      </c>
      <c r="I1078" s="42"/>
      <c r="J1078" s="10" t="s">
        <v>48</v>
      </c>
      <c r="K1078" s="66">
        <f>K1074/K1075</f>
        <v>1066.6333333333332</v>
      </c>
      <c r="L1078" s="66">
        <f t="shared" ref="L1078:Q1078" si="130">L1074/L1075</f>
        <v>6602.5349999999999</v>
      </c>
      <c r="M1078" s="66">
        <f t="shared" si="130"/>
        <v>820.1</v>
      </c>
      <c r="N1078" s="66">
        <f t="shared" si="130"/>
        <v>1425.7159999999999</v>
      </c>
      <c r="O1078" s="66">
        <f t="shared" si="130"/>
        <v>2445.8533333333335</v>
      </c>
      <c r="P1078" s="66">
        <f t="shared" si="130"/>
        <v>2083.2131249999998</v>
      </c>
      <c r="Q1078" s="66" t="e">
        <f t="shared" si="130"/>
        <v>#DIV/0!</v>
      </c>
      <c r="R1078" s="63"/>
      <c r="S1078" s="10"/>
      <c r="T1078" s="10"/>
      <c r="U1078" s="151"/>
      <c r="V1078" s="77"/>
      <c r="W1078" s="77"/>
      <c r="X1078" s="77"/>
      <c r="Y1078" s="2"/>
    </row>
    <row r="1079" spans="1:25">
      <c r="A1079" s="615"/>
      <c r="B1079" s="132"/>
      <c r="C1079" s="123"/>
      <c r="D1079" s="127"/>
      <c r="E1079" s="155" t="s">
        <v>14</v>
      </c>
      <c r="F1079" s="156">
        <f>2*50</f>
        <v>100</v>
      </c>
      <c r="G1079" s="123"/>
      <c r="H1079" s="54">
        <f>F1079/1.12</f>
        <v>89.285714285714278</v>
      </c>
      <c r="I1079" s="123"/>
      <c r="J1079" s="123"/>
      <c r="K1079" s="123"/>
      <c r="L1079" s="123"/>
      <c r="M1079" s="123"/>
      <c r="N1079" s="123"/>
      <c r="O1079" s="123"/>
      <c r="P1079" s="123"/>
      <c r="Q1079" s="123"/>
      <c r="R1079" s="123"/>
      <c r="S1079" s="123"/>
      <c r="T1079" s="123"/>
      <c r="U1079" s="157"/>
      <c r="V1079" s="123"/>
      <c r="W1079" s="123"/>
      <c r="X1079" s="123"/>
      <c r="Y1079" s="128"/>
    </row>
    <row r="1080" spans="1:25">
      <c r="A1080" s="615"/>
      <c r="B1080" s="132"/>
      <c r="C1080" s="123"/>
      <c r="D1080" s="127"/>
      <c r="E1080" s="158" t="s">
        <v>49</v>
      </c>
      <c r="F1080" s="159">
        <f>T1069</f>
        <v>1</v>
      </c>
      <c r="G1080" s="123"/>
      <c r="H1080" s="54"/>
      <c r="I1080" s="123"/>
      <c r="J1080" s="42"/>
      <c r="K1080" s="764" t="s">
        <v>50</v>
      </c>
      <c r="L1080" s="765"/>
      <c r="M1080" s="765"/>
      <c r="N1080" s="765"/>
      <c r="O1080" s="765"/>
      <c r="P1080" s="765"/>
      <c r="Q1080" s="766"/>
      <c r="R1080" s="70" t="s">
        <v>28</v>
      </c>
      <c r="S1080" s="71" t="s">
        <v>29</v>
      </c>
      <c r="T1080" s="123"/>
      <c r="U1080" s="157"/>
      <c r="V1080" s="123"/>
      <c r="W1080" s="123"/>
      <c r="X1080" s="123"/>
      <c r="Y1080" s="128"/>
    </row>
    <row r="1081" spans="1:25">
      <c r="A1081" s="615"/>
      <c r="B1081" s="132"/>
      <c r="C1081" s="123"/>
      <c r="D1081" s="127"/>
      <c r="E1081" s="72" t="s">
        <v>1728</v>
      </c>
      <c r="F1081" s="73">
        <v>-202.59</v>
      </c>
      <c r="G1081" s="123"/>
      <c r="H1081" s="54"/>
      <c r="I1081" s="123"/>
      <c r="J1081" s="42"/>
      <c r="K1081" s="20" t="s">
        <v>31</v>
      </c>
      <c r="L1081" s="21" t="s">
        <v>32</v>
      </c>
      <c r="M1081" s="21" t="s">
        <v>33</v>
      </c>
      <c r="N1081" s="21" t="s">
        <v>34</v>
      </c>
      <c r="O1081" s="21" t="s">
        <v>35</v>
      </c>
      <c r="P1081" s="21" t="s">
        <v>36</v>
      </c>
      <c r="Q1081" s="49" t="s">
        <v>37</v>
      </c>
      <c r="R1081" s="50" t="s">
        <v>38</v>
      </c>
      <c r="S1081" s="50" t="s">
        <v>38</v>
      </c>
      <c r="T1081" s="123"/>
      <c r="U1081" s="157"/>
      <c r="V1081" s="123"/>
      <c r="W1081" s="123"/>
      <c r="X1081" s="123"/>
      <c r="Y1081" s="128"/>
    </row>
    <row r="1082" spans="1:25">
      <c r="A1082" s="615"/>
      <c r="B1082" s="132"/>
      <c r="C1082" s="123"/>
      <c r="D1082" s="127"/>
      <c r="E1082" s="74" t="s">
        <v>1729</v>
      </c>
      <c r="F1082" s="75">
        <v>-38.450000000000003</v>
      </c>
      <c r="G1082" s="123"/>
      <c r="H1082" s="54"/>
      <c r="I1082" s="123"/>
      <c r="J1082" s="42"/>
      <c r="K1082" s="56">
        <f>F1093+F1094+F1095</f>
        <v>3319</v>
      </c>
      <c r="L1082" s="57">
        <f>F1096+F1097</f>
        <v>14346.6</v>
      </c>
      <c r="M1082" s="57">
        <f>F1098+F1099+F1100</f>
        <v>2500</v>
      </c>
      <c r="N1082" s="57">
        <f>F1101+F1103+F1104+F1102+F1105</f>
        <v>8022</v>
      </c>
      <c r="O1082" s="57">
        <f>F1106+F1112+F1107</f>
        <v>10259.209999999999</v>
      </c>
      <c r="P1082" s="57">
        <f>SUM(K1082:O1082)</f>
        <v>38446.81</v>
      </c>
      <c r="Q1082" s="58">
        <v>0</v>
      </c>
      <c r="R1082" s="59">
        <f>+F1113</f>
        <v>716</v>
      </c>
      <c r="S1082" s="59">
        <v>0</v>
      </c>
      <c r="T1082" s="123"/>
      <c r="U1082" s="157"/>
      <c r="V1082" s="123"/>
      <c r="W1082" s="123"/>
      <c r="X1082" s="123"/>
      <c r="Y1082" s="128"/>
    </row>
    <row r="1083" spans="1:25">
      <c r="A1083" s="615"/>
      <c r="B1083" s="132"/>
      <c r="C1083" s="123"/>
      <c r="D1083" s="127"/>
      <c r="E1083" s="12"/>
      <c r="F1083" s="76"/>
      <c r="G1083" s="123"/>
      <c r="H1083" s="54"/>
      <c r="I1083" s="123"/>
      <c r="J1083" s="10" t="s">
        <v>42</v>
      </c>
      <c r="K1083" s="63">
        <f t="shared" ref="K1083:Q1084" si="131">K1075</f>
        <v>3</v>
      </c>
      <c r="L1083" s="63">
        <f t="shared" si="131"/>
        <v>2</v>
      </c>
      <c r="M1083" s="63">
        <f t="shared" si="131"/>
        <v>3</v>
      </c>
      <c r="N1083" s="63">
        <f t="shared" si="131"/>
        <v>5</v>
      </c>
      <c r="O1083" s="63">
        <f t="shared" si="131"/>
        <v>3</v>
      </c>
      <c r="P1083" s="63">
        <f t="shared" si="131"/>
        <v>16</v>
      </c>
      <c r="Q1083" s="63">
        <f t="shared" si="131"/>
        <v>0</v>
      </c>
      <c r="R1083" s="63"/>
      <c r="S1083" s="10"/>
      <c r="T1083" s="123"/>
      <c r="U1083" s="157"/>
      <c r="V1083" s="123"/>
      <c r="W1083" s="123"/>
      <c r="X1083" s="123"/>
      <c r="Y1083" s="128"/>
    </row>
    <row r="1084" spans="1:25">
      <c r="A1084" s="615"/>
      <c r="B1084" s="132"/>
      <c r="C1084" s="123"/>
      <c r="D1084" s="127"/>
      <c r="E1084" s="12"/>
      <c r="F1084" s="76"/>
      <c r="G1084" s="123"/>
      <c r="H1084" s="54"/>
      <c r="I1084" s="123"/>
      <c r="J1084" s="10" t="s">
        <v>44</v>
      </c>
      <c r="K1084" s="63">
        <f t="shared" si="131"/>
        <v>7</v>
      </c>
      <c r="L1084" s="63">
        <f t="shared" si="131"/>
        <v>3</v>
      </c>
      <c r="M1084" s="63">
        <f t="shared" si="131"/>
        <v>5</v>
      </c>
      <c r="N1084" s="63">
        <f t="shared" si="131"/>
        <v>4</v>
      </c>
      <c r="O1084" s="63">
        <f t="shared" si="131"/>
        <v>3</v>
      </c>
      <c r="P1084" s="63">
        <f t="shared" si="131"/>
        <v>22</v>
      </c>
      <c r="Q1084" s="63">
        <f t="shared" si="131"/>
        <v>0</v>
      </c>
      <c r="R1084" s="63"/>
      <c r="S1084" s="10"/>
      <c r="T1084" s="123"/>
      <c r="U1084" s="157"/>
      <c r="V1084" s="123"/>
      <c r="W1084" s="123"/>
      <c r="X1084" s="123"/>
      <c r="Y1084" s="128"/>
    </row>
    <row r="1085" spans="1:25">
      <c r="A1085" s="615"/>
      <c r="B1085" s="132"/>
      <c r="C1085" s="123"/>
      <c r="D1085" s="127"/>
      <c r="E1085" s="12"/>
      <c r="F1085" s="160"/>
      <c r="G1085" s="123"/>
      <c r="H1085" s="54"/>
      <c r="I1085" s="123"/>
      <c r="J1085" s="10" t="s">
        <v>46</v>
      </c>
      <c r="K1085" s="31">
        <f t="shared" ref="K1085:Q1085" si="132">K1083/(K1083+K1084)</f>
        <v>0.3</v>
      </c>
      <c r="L1085" s="31">
        <f t="shared" si="132"/>
        <v>0.4</v>
      </c>
      <c r="M1085" s="31">
        <f t="shared" si="132"/>
        <v>0.375</v>
      </c>
      <c r="N1085" s="31">
        <f t="shared" si="132"/>
        <v>0.55555555555555558</v>
      </c>
      <c r="O1085" s="31">
        <f t="shared" si="132"/>
        <v>0.5</v>
      </c>
      <c r="P1085" s="31">
        <f t="shared" si="132"/>
        <v>0.42105263157894735</v>
      </c>
      <c r="Q1085" s="31" t="e">
        <f t="shared" si="132"/>
        <v>#DIV/0!</v>
      </c>
      <c r="R1085" s="63"/>
      <c r="S1085" s="10"/>
      <c r="T1085" s="123"/>
      <c r="U1085" s="157"/>
      <c r="V1085" s="123"/>
      <c r="W1085" s="123"/>
      <c r="X1085" s="123"/>
      <c r="Y1085" s="128"/>
    </row>
    <row r="1086" spans="1:25">
      <c r="A1086" s="615"/>
      <c r="B1086" s="132"/>
      <c r="C1086" s="123"/>
      <c r="D1086" s="127"/>
      <c r="E1086" s="12"/>
      <c r="F1086" s="160"/>
      <c r="G1086" s="123"/>
      <c r="H1086" s="54"/>
      <c r="I1086" s="123"/>
      <c r="J1086" s="10" t="s">
        <v>48</v>
      </c>
      <c r="K1086" s="66">
        <f t="shared" ref="K1086:Q1086" si="133">K1082/K1083</f>
        <v>1106.3333333333333</v>
      </c>
      <c r="L1086" s="66">
        <f t="shared" si="133"/>
        <v>7173.3</v>
      </c>
      <c r="M1086" s="66">
        <f t="shared" si="133"/>
        <v>833.33333333333337</v>
      </c>
      <c r="N1086" s="66">
        <f t="shared" si="133"/>
        <v>1604.4</v>
      </c>
      <c r="O1086" s="66">
        <f t="shared" si="133"/>
        <v>3419.7366666666662</v>
      </c>
      <c r="P1086" s="66">
        <f t="shared" si="133"/>
        <v>2402.9256249999999</v>
      </c>
      <c r="Q1086" s="66" t="e">
        <f t="shared" si="133"/>
        <v>#DIV/0!</v>
      </c>
      <c r="R1086" s="63"/>
      <c r="S1086" s="10"/>
      <c r="T1086" s="123"/>
      <c r="U1086" s="157"/>
      <c r="V1086" s="123"/>
      <c r="W1086" s="123"/>
      <c r="X1086" s="123"/>
      <c r="Y1086" s="128"/>
    </row>
    <row r="1087" spans="1:25">
      <c r="A1087" s="615"/>
      <c r="B1087" s="132"/>
      <c r="C1087" s="123"/>
      <c r="D1087" s="127"/>
      <c r="E1087" s="12"/>
      <c r="F1087" s="160"/>
      <c r="G1087" s="123"/>
      <c r="H1087" s="54"/>
      <c r="I1087" s="123"/>
      <c r="J1087" s="123"/>
      <c r="K1087" s="123"/>
      <c r="L1087" s="123"/>
      <c r="M1087" s="123"/>
      <c r="N1087" s="123"/>
      <c r="O1087" s="123"/>
      <c r="P1087" s="123"/>
      <c r="Q1087" s="123"/>
      <c r="R1087" s="123"/>
      <c r="S1087" s="123"/>
      <c r="T1087" s="123"/>
      <c r="U1087" s="157"/>
      <c r="V1087" s="123"/>
      <c r="W1087" s="123"/>
      <c r="X1087" s="123"/>
      <c r="Y1087" s="128"/>
    </row>
    <row r="1088" spans="1:25">
      <c r="A1088" s="614"/>
      <c r="B1088" s="11"/>
      <c r="C1088" s="10"/>
      <c r="D1088" s="63"/>
      <c r="E1088" s="12"/>
      <c r="F1088" s="12"/>
      <c r="G1088" s="10"/>
      <c r="H1088" s="10"/>
      <c r="I1088" s="10"/>
      <c r="J1088" s="10"/>
      <c r="K1088" s="10"/>
      <c r="L1088" s="10"/>
      <c r="M1088" s="10"/>
      <c r="N1088" s="10"/>
      <c r="O1088" s="10"/>
      <c r="P1088" s="10"/>
      <c r="Q1088" s="10"/>
      <c r="R1088" s="10"/>
      <c r="S1088" s="10"/>
      <c r="T1088" s="10"/>
      <c r="U1088" s="151"/>
      <c r="V1088" s="77"/>
      <c r="W1088" s="77"/>
      <c r="X1088" s="77"/>
      <c r="Y1088" s="2"/>
    </row>
    <row r="1089" spans="1:25">
      <c r="A1089" s="614"/>
      <c r="B1089" s="11"/>
      <c r="C1089" s="10"/>
      <c r="D1089" s="63"/>
      <c r="E1089" s="10"/>
      <c r="F1089" s="10"/>
      <c r="G1089" s="10"/>
      <c r="H1089" s="10"/>
      <c r="I1089" s="10"/>
      <c r="J1089" s="10"/>
      <c r="K1089" s="10"/>
      <c r="L1089" s="10"/>
      <c r="M1089" s="10"/>
      <c r="N1089" s="10"/>
      <c r="O1089" s="10"/>
      <c r="P1089" s="10"/>
      <c r="Q1089" s="10"/>
      <c r="R1089" s="10"/>
      <c r="S1089" s="10"/>
      <c r="T1089" s="10"/>
      <c r="U1089" s="151"/>
      <c r="V1089" s="77"/>
      <c r="W1089" s="77"/>
      <c r="X1089" s="77"/>
      <c r="Y1089" s="2"/>
    </row>
    <row r="1090" spans="1:25">
      <c r="A1090" s="614"/>
      <c r="B1090" s="18" t="s">
        <v>51</v>
      </c>
      <c r="C1090" s="14"/>
      <c r="D1090" s="14"/>
      <c r="E1090" s="14"/>
      <c r="F1090" s="13" t="s">
        <v>52</v>
      </c>
      <c r="G1090" s="14"/>
      <c r="H1090" s="14"/>
      <c r="I1090" s="14"/>
      <c r="J1090" s="14"/>
      <c r="K1090" s="13" t="s">
        <v>3</v>
      </c>
      <c r="L1090" s="14"/>
      <c r="M1090" s="14"/>
      <c r="N1090" s="13" t="s">
        <v>4</v>
      </c>
      <c r="O1090" s="14"/>
      <c r="P1090" s="14"/>
      <c r="Q1090" s="13" t="s">
        <v>5</v>
      </c>
      <c r="R1090" s="14"/>
      <c r="S1090" s="14"/>
      <c r="T1090" s="18"/>
      <c r="U1090" s="161" t="s">
        <v>53</v>
      </c>
      <c r="V1090" s="77"/>
      <c r="W1090" s="77"/>
      <c r="X1090" s="77"/>
      <c r="Y1090" s="2"/>
    </row>
    <row r="1091" spans="1:25">
      <c r="A1091" s="614"/>
      <c r="B1091" s="24" t="s">
        <v>54</v>
      </c>
      <c r="C1091" s="21" t="s">
        <v>55</v>
      </c>
      <c r="D1091" s="21" t="s">
        <v>56</v>
      </c>
      <c r="E1091" s="21" t="s">
        <v>57</v>
      </c>
      <c r="F1091" s="20" t="s">
        <v>58</v>
      </c>
      <c r="G1091" s="21" t="s">
        <v>59</v>
      </c>
      <c r="H1091" s="21" t="s">
        <v>60</v>
      </c>
      <c r="I1091" s="21" t="s">
        <v>26</v>
      </c>
      <c r="J1091" s="22" t="s">
        <v>61</v>
      </c>
      <c r="K1091" s="21" t="s">
        <v>8</v>
      </c>
      <c r="L1091" s="21" t="s">
        <v>9</v>
      </c>
      <c r="M1091" s="21" t="s">
        <v>10</v>
      </c>
      <c r="N1091" s="20" t="s">
        <v>11</v>
      </c>
      <c r="O1091" s="21" t="s">
        <v>12</v>
      </c>
      <c r="P1091" s="22" t="s">
        <v>13</v>
      </c>
      <c r="Q1091" s="21" t="s">
        <v>11</v>
      </c>
      <c r="R1091" s="21" t="s">
        <v>12</v>
      </c>
      <c r="S1091" s="21" t="s">
        <v>13</v>
      </c>
      <c r="T1091" s="78" t="s">
        <v>14</v>
      </c>
      <c r="U1091" s="162"/>
      <c r="V1091" s="79" t="s">
        <v>62</v>
      </c>
      <c r="W1091" s="80" t="s">
        <v>63</v>
      </c>
      <c r="X1091" s="81" t="s">
        <v>64</v>
      </c>
      <c r="Y1091" s="2"/>
    </row>
    <row r="1092" spans="1:25">
      <c r="A1092" s="614"/>
      <c r="B1092" s="4" t="s">
        <v>65</v>
      </c>
      <c r="C1092" s="6"/>
      <c r="D1092" s="6"/>
      <c r="E1092" s="6"/>
      <c r="F1092" s="6"/>
      <c r="G1092" s="6"/>
      <c r="H1092" s="6"/>
      <c r="I1092" s="82"/>
      <c r="J1092" s="6"/>
      <c r="K1092" s="6"/>
      <c r="L1092" s="6"/>
      <c r="M1092" s="6"/>
      <c r="N1092" s="6"/>
      <c r="O1092" s="6"/>
      <c r="P1092" s="6"/>
      <c r="Q1092" s="6"/>
      <c r="R1092" s="6"/>
      <c r="S1092" s="6"/>
      <c r="T1092" s="83"/>
      <c r="U1092" s="163"/>
      <c r="V1092" s="84"/>
      <c r="W1092" s="85"/>
      <c r="X1092" s="86"/>
      <c r="Y1092" s="2"/>
    </row>
    <row r="1093" spans="1:25">
      <c r="A1093" s="614"/>
      <c r="B1093" s="87">
        <v>1</v>
      </c>
      <c r="C1093" s="638">
        <v>45929</v>
      </c>
      <c r="D1093" s="327">
        <v>73696</v>
      </c>
      <c r="E1093" s="276" t="s">
        <v>725</v>
      </c>
      <c r="F1093" s="277">
        <v>1500</v>
      </c>
      <c r="G1093" s="277">
        <f>39.7</f>
        <v>39.700000000000003</v>
      </c>
      <c r="H1093" s="297"/>
      <c r="I1093" s="321">
        <f>F1093-G1093-H1093</f>
        <v>1460.3</v>
      </c>
      <c r="J1093" s="279" t="s">
        <v>156</v>
      </c>
      <c r="K1093" s="279">
        <v>1</v>
      </c>
      <c r="L1093" s="279">
        <v>1</v>
      </c>
      <c r="M1093" s="322">
        <v>0</v>
      </c>
      <c r="N1093" s="279">
        <v>1</v>
      </c>
      <c r="O1093" s="279">
        <v>1</v>
      </c>
      <c r="P1093" s="279">
        <v>1</v>
      </c>
      <c r="Q1093" s="279">
        <v>1</v>
      </c>
      <c r="R1093" s="279">
        <v>1</v>
      </c>
      <c r="S1093" s="280">
        <v>1</v>
      </c>
      <c r="T1093" s="63"/>
      <c r="U1093" s="94" t="s">
        <v>1730</v>
      </c>
      <c r="V1093" s="90">
        <f>150+1500</f>
        <v>1650</v>
      </c>
      <c r="W1093" s="91"/>
      <c r="X1093" s="92"/>
      <c r="Y1093" s="2"/>
    </row>
    <row r="1094" spans="1:25">
      <c r="A1094" s="614"/>
      <c r="B1094" s="87">
        <f t="shared" ref="B1094:B1104" si="134">B1093+1</f>
        <v>2</v>
      </c>
      <c r="C1094" s="639">
        <v>45929</v>
      </c>
      <c r="D1094" s="323">
        <v>73726</v>
      </c>
      <c r="E1094" s="10" t="s">
        <v>1731</v>
      </c>
      <c r="F1094" s="62">
        <v>681</v>
      </c>
      <c r="G1094" s="62">
        <f>39.7</f>
        <v>39.700000000000003</v>
      </c>
      <c r="H1094" s="62"/>
      <c r="I1094" s="324">
        <f t="shared" ref="I1094:I1099" si="135">F1094-G1094-H1094</f>
        <v>641.29999999999995</v>
      </c>
      <c r="J1094" s="63" t="s">
        <v>156</v>
      </c>
      <c r="K1094" s="63">
        <v>1</v>
      </c>
      <c r="L1094" s="63">
        <v>1</v>
      </c>
      <c r="M1094" s="325">
        <v>0</v>
      </c>
      <c r="N1094" s="63">
        <v>1</v>
      </c>
      <c r="O1094" s="63">
        <v>1</v>
      </c>
      <c r="P1094" s="63">
        <v>1</v>
      </c>
      <c r="Q1094" s="63">
        <v>1</v>
      </c>
      <c r="R1094" s="63">
        <v>1</v>
      </c>
      <c r="S1094" s="296">
        <v>1</v>
      </c>
      <c r="T1094" s="63"/>
      <c r="U1094" s="94"/>
      <c r="V1094" s="90">
        <v>749.1</v>
      </c>
      <c r="W1094" s="91"/>
      <c r="X1094" s="92"/>
      <c r="Y1094" s="2"/>
    </row>
    <row r="1095" spans="1:25">
      <c r="A1095" s="613"/>
      <c r="B1095" s="87">
        <f t="shared" si="134"/>
        <v>3</v>
      </c>
      <c r="C1095" s="639">
        <v>45929</v>
      </c>
      <c r="D1095" s="323">
        <v>73735</v>
      </c>
      <c r="E1095" s="10" t="s">
        <v>1031</v>
      </c>
      <c r="F1095" s="62">
        <v>1138</v>
      </c>
      <c r="G1095" s="62">
        <f>39.7</f>
        <v>39.700000000000003</v>
      </c>
      <c r="H1095" s="62"/>
      <c r="I1095" s="89">
        <f t="shared" si="135"/>
        <v>1098.3</v>
      </c>
      <c r="J1095" s="63" t="s">
        <v>156</v>
      </c>
      <c r="K1095" s="63">
        <v>1</v>
      </c>
      <c r="L1095" s="63">
        <v>1</v>
      </c>
      <c r="M1095" s="63">
        <v>1</v>
      </c>
      <c r="N1095" s="63">
        <v>1</v>
      </c>
      <c r="O1095" s="63">
        <v>1</v>
      </c>
      <c r="P1095" s="63">
        <v>1</v>
      </c>
      <c r="Q1095" s="63">
        <v>1</v>
      </c>
      <c r="R1095" s="63">
        <v>1</v>
      </c>
      <c r="S1095" s="296">
        <v>1</v>
      </c>
      <c r="T1095" s="63"/>
      <c r="U1095" s="94"/>
      <c r="V1095" s="90">
        <v>1251.8</v>
      </c>
      <c r="W1095" s="91"/>
      <c r="X1095" s="92"/>
      <c r="Y1095" s="2"/>
    </row>
    <row r="1096" spans="1:25">
      <c r="A1096" s="614"/>
      <c r="B1096" s="87">
        <f t="shared" si="134"/>
        <v>4</v>
      </c>
      <c r="C1096" s="638">
        <v>45930</v>
      </c>
      <c r="D1096" s="327">
        <v>73820</v>
      </c>
      <c r="E1096" s="281" t="s">
        <v>1058</v>
      </c>
      <c r="F1096" s="277">
        <v>2814</v>
      </c>
      <c r="G1096" s="277">
        <f>39.7+(35.91)</f>
        <v>75.61</v>
      </c>
      <c r="H1096" s="277"/>
      <c r="I1096" s="278">
        <f>F1096-G1096-H1096</f>
        <v>2738.39</v>
      </c>
      <c r="J1096" s="279" t="s">
        <v>228</v>
      </c>
      <c r="K1096" s="279">
        <v>1</v>
      </c>
      <c r="L1096" s="279">
        <v>1</v>
      </c>
      <c r="M1096" s="279">
        <v>1</v>
      </c>
      <c r="N1096" s="279">
        <v>1</v>
      </c>
      <c r="O1096" s="279">
        <v>1</v>
      </c>
      <c r="P1096" s="279">
        <v>1</v>
      </c>
      <c r="Q1096" s="279">
        <v>1</v>
      </c>
      <c r="R1096" s="279">
        <v>1</v>
      </c>
      <c r="S1096" s="280">
        <v>1</v>
      </c>
      <c r="T1096" s="94" t="s">
        <v>1732</v>
      </c>
      <c r="U1096" s="94"/>
      <c r="V1096" s="90">
        <f>300+2795.4</f>
        <v>3095.4</v>
      </c>
      <c r="W1096" s="91"/>
      <c r="X1096" s="92"/>
      <c r="Y1096" s="2"/>
    </row>
    <row r="1097" spans="1:25">
      <c r="A1097" s="614"/>
      <c r="B1097" s="87">
        <f>B1096+1</f>
        <v>5</v>
      </c>
      <c r="C1097" s="640">
        <v>45930</v>
      </c>
      <c r="D1097" s="368">
        <v>73836</v>
      </c>
      <c r="E1097" s="283" t="s">
        <v>447</v>
      </c>
      <c r="F1097" s="284">
        <v>11532.6</v>
      </c>
      <c r="G1097" s="284">
        <f>39.7+(26.22)+1000</f>
        <v>1065.92</v>
      </c>
      <c r="H1097" s="284"/>
      <c r="I1097" s="300">
        <f>F1097-G1097-H1097</f>
        <v>10466.68</v>
      </c>
      <c r="J1097" s="286" t="s">
        <v>156</v>
      </c>
      <c r="K1097" s="286">
        <v>1</v>
      </c>
      <c r="L1097" s="286">
        <v>1</v>
      </c>
      <c r="M1097" s="286">
        <v>1</v>
      </c>
      <c r="N1097" s="286">
        <v>1</v>
      </c>
      <c r="O1097" s="286">
        <v>1</v>
      </c>
      <c r="P1097" s="286">
        <v>1</v>
      </c>
      <c r="Q1097" s="286">
        <v>1</v>
      </c>
      <c r="R1097" s="286">
        <v>1</v>
      </c>
      <c r="S1097" s="370">
        <v>0</v>
      </c>
      <c r="T1097" s="63"/>
      <c r="U1097" s="94" t="s">
        <v>1733</v>
      </c>
      <c r="V1097" s="90">
        <f>500+12185.86</f>
        <v>12685.86</v>
      </c>
      <c r="W1097" s="91"/>
      <c r="X1097" s="92"/>
      <c r="Y1097" s="2"/>
    </row>
    <row r="1098" spans="1:25">
      <c r="A1098" s="614"/>
      <c r="B1098" s="87">
        <f>B1097+1</f>
        <v>6</v>
      </c>
      <c r="C1098" s="639">
        <v>45931</v>
      </c>
      <c r="D1098" s="323">
        <v>73869</v>
      </c>
      <c r="E1098" s="10" t="s">
        <v>213</v>
      </c>
      <c r="F1098" s="62">
        <v>681</v>
      </c>
      <c r="G1098" s="62"/>
      <c r="H1098" s="62"/>
      <c r="I1098" s="89">
        <f t="shared" si="135"/>
        <v>681</v>
      </c>
      <c r="J1098" s="63" t="s">
        <v>156</v>
      </c>
      <c r="K1098" s="63">
        <v>1</v>
      </c>
      <c r="L1098" s="63">
        <v>1</v>
      </c>
      <c r="M1098" s="63">
        <v>1</v>
      </c>
      <c r="N1098" s="63">
        <v>1</v>
      </c>
      <c r="O1098" s="63">
        <v>1</v>
      </c>
      <c r="P1098" s="63">
        <v>1</v>
      </c>
      <c r="Q1098" s="63">
        <v>1</v>
      </c>
      <c r="R1098" s="63">
        <v>1</v>
      </c>
      <c r="S1098" s="296">
        <v>1</v>
      </c>
      <c r="T1098" s="21">
        <v>1</v>
      </c>
      <c r="U1098" s="94"/>
      <c r="V1098" s="90">
        <v>749.1</v>
      </c>
      <c r="W1098" s="91"/>
      <c r="X1098" s="92"/>
      <c r="Y1098" s="2"/>
    </row>
    <row r="1099" spans="1:25">
      <c r="A1099" s="614"/>
      <c r="B1099" s="87">
        <f t="shared" si="134"/>
        <v>7</v>
      </c>
      <c r="C1099" s="639">
        <v>45931</v>
      </c>
      <c r="D1099" s="323">
        <v>73868</v>
      </c>
      <c r="E1099" s="10" t="s">
        <v>728</v>
      </c>
      <c r="F1099" s="62">
        <v>1138</v>
      </c>
      <c r="G1099" s="62">
        <f>39.7</f>
        <v>39.700000000000003</v>
      </c>
      <c r="H1099" s="88"/>
      <c r="I1099" s="89">
        <f t="shared" si="135"/>
        <v>1098.3</v>
      </c>
      <c r="J1099" s="63" t="s">
        <v>156</v>
      </c>
      <c r="K1099" s="63">
        <v>1</v>
      </c>
      <c r="L1099" s="63">
        <v>1</v>
      </c>
      <c r="M1099" s="63">
        <v>1</v>
      </c>
      <c r="N1099" s="63">
        <v>1</v>
      </c>
      <c r="O1099" s="63">
        <v>1</v>
      </c>
      <c r="P1099" s="63">
        <v>1</v>
      </c>
      <c r="Q1099" s="63">
        <v>1</v>
      </c>
      <c r="R1099" s="63">
        <v>1</v>
      </c>
      <c r="S1099" s="296">
        <v>1</v>
      </c>
      <c r="T1099" s="63"/>
      <c r="U1099" s="94" t="s">
        <v>1734</v>
      </c>
      <c r="V1099" s="90">
        <v>1251.8</v>
      </c>
      <c r="W1099" s="91"/>
      <c r="X1099" s="92"/>
      <c r="Y1099" s="2"/>
    </row>
    <row r="1100" spans="1:25">
      <c r="A1100" s="614"/>
      <c r="B1100" s="87">
        <f t="shared" si="134"/>
        <v>8</v>
      </c>
      <c r="C1100" s="639">
        <v>45931</v>
      </c>
      <c r="D1100" s="323">
        <v>73870</v>
      </c>
      <c r="E1100" s="10" t="s">
        <v>1085</v>
      </c>
      <c r="F1100" s="62">
        <v>681</v>
      </c>
      <c r="G1100" s="62"/>
      <c r="H1100" s="88"/>
      <c r="I1100" s="89">
        <f>F1100-G1100-H1100</f>
        <v>681</v>
      </c>
      <c r="J1100" s="63" t="s">
        <v>156</v>
      </c>
      <c r="K1100" s="63">
        <v>1</v>
      </c>
      <c r="L1100" s="63">
        <v>1</v>
      </c>
      <c r="M1100" s="63">
        <v>1</v>
      </c>
      <c r="N1100" s="63">
        <v>1</v>
      </c>
      <c r="O1100" s="63">
        <v>1</v>
      </c>
      <c r="P1100" s="63">
        <v>1</v>
      </c>
      <c r="Q1100" s="63">
        <v>1</v>
      </c>
      <c r="R1100" s="63">
        <v>1</v>
      </c>
      <c r="S1100" s="296">
        <v>1</v>
      </c>
      <c r="T1100" s="63"/>
      <c r="U1100" s="94" t="s">
        <v>1735</v>
      </c>
      <c r="V1100" s="90">
        <v>749.1</v>
      </c>
      <c r="W1100" s="91"/>
      <c r="X1100" s="92"/>
      <c r="Y1100" s="2"/>
    </row>
    <row r="1101" spans="1:25">
      <c r="A1101" s="614" t="s">
        <v>230</v>
      </c>
      <c r="B1101" s="87">
        <f t="shared" si="134"/>
        <v>9</v>
      </c>
      <c r="C1101" s="638">
        <v>45932</v>
      </c>
      <c r="D1101" s="327">
        <v>73914</v>
      </c>
      <c r="E1101" s="276" t="s">
        <v>211</v>
      </c>
      <c r="F1101" s="277">
        <v>1781</v>
      </c>
      <c r="G1101" s="277">
        <f>39.7</f>
        <v>39.700000000000003</v>
      </c>
      <c r="H1101" s="297"/>
      <c r="I1101" s="329">
        <f>F1101-G1101-H1101</f>
        <v>1741.3</v>
      </c>
      <c r="J1101" s="279" t="s">
        <v>156</v>
      </c>
      <c r="K1101" s="279">
        <v>1</v>
      </c>
      <c r="L1101" s="279">
        <v>1</v>
      </c>
      <c r="M1101" s="279">
        <v>1</v>
      </c>
      <c r="N1101" s="279">
        <v>1</v>
      </c>
      <c r="O1101" s="279">
        <v>1</v>
      </c>
      <c r="P1101" s="279">
        <v>1</v>
      </c>
      <c r="Q1101" s="279">
        <v>1</v>
      </c>
      <c r="R1101" s="279">
        <v>1</v>
      </c>
      <c r="S1101" s="280">
        <v>1</v>
      </c>
      <c r="T1101" s="21">
        <v>2</v>
      </c>
      <c r="U1101" s="94"/>
      <c r="V1101" s="90">
        <v>1959.1</v>
      </c>
      <c r="W1101" s="91"/>
      <c r="X1101" s="92"/>
      <c r="Y1101" s="2"/>
    </row>
    <row r="1102" spans="1:25">
      <c r="A1102" s="614" t="s">
        <v>1736</v>
      </c>
      <c r="B1102" s="87">
        <f>B1101+1</f>
        <v>10</v>
      </c>
      <c r="C1102" s="639">
        <v>45932</v>
      </c>
      <c r="D1102" s="323">
        <v>73907</v>
      </c>
      <c r="E1102" s="10" t="s">
        <v>213</v>
      </c>
      <c r="F1102" s="62">
        <v>781</v>
      </c>
      <c r="G1102" s="62">
        <f>39.7+(7.73)+200</f>
        <v>247.43</v>
      </c>
      <c r="H1102" s="62"/>
      <c r="I1102" s="369">
        <f>F1102-G1102-H1102</f>
        <v>533.56999999999994</v>
      </c>
      <c r="J1102" s="63" t="s">
        <v>156</v>
      </c>
      <c r="K1102" s="63">
        <v>1</v>
      </c>
      <c r="L1102" s="63">
        <v>1</v>
      </c>
      <c r="M1102" s="63">
        <v>1</v>
      </c>
      <c r="N1102" s="63">
        <v>1</v>
      </c>
      <c r="O1102" s="63">
        <v>1</v>
      </c>
      <c r="P1102" s="63">
        <v>1</v>
      </c>
      <c r="Q1102" s="63">
        <v>1</v>
      </c>
      <c r="R1102" s="63">
        <v>1</v>
      </c>
      <c r="S1102" s="296">
        <v>1</v>
      </c>
      <c r="T1102" s="63"/>
      <c r="U1102" s="94" t="s">
        <v>1737</v>
      </c>
      <c r="V1102" s="90">
        <f>90+769.1</f>
        <v>859.1</v>
      </c>
      <c r="W1102" s="91"/>
      <c r="X1102" s="92"/>
      <c r="Y1102" s="2"/>
    </row>
    <row r="1103" spans="1:25">
      <c r="A1103" s="614"/>
      <c r="B1103" s="87">
        <f>B1102+1</f>
        <v>11</v>
      </c>
      <c r="C1103" s="639">
        <v>45932</v>
      </c>
      <c r="D1103" s="323">
        <v>73936</v>
      </c>
      <c r="E1103" s="10" t="s">
        <v>464</v>
      </c>
      <c r="F1103" s="62">
        <v>1461</v>
      </c>
      <c r="G1103" s="62">
        <f>39.7+(16.11+5.94)+200</f>
        <v>261.75</v>
      </c>
      <c r="H1103" s="88"/>
      <c r="I1103" s="324">
        <f>F1103-G1103-H1103</f>
        <v>1199.25</v>
      </c>
      <c r="J1103" s="63" t="s">
        <v>156</v>
      </c>
      <c r="K1103" s="63">
        <v>1</v>
      </c>
      <c r="L1103" s="63">
        <v>1</v>
      </c>
      <c r="M1103" s="325">
        <v>0</v>
      </c>
      <c r="N1103" s="63">
        <v>1</v>
      </c>
      <c r="O1103" s="63">
        <v>1</v>
      </c>
      <c r="P1103" s="63">
        <v>1</v>
      </c>
      <c r="Q1103" s="63">
        <v>1</v>
      </c>
      <c r="R1103" s="63">
        <v>1</v>
      </c>
      <c r="S1103" s="296">
        <v>1</v>
      </c>
      <c r="T1103" s="63"/>
      <c r="U1103" s="94" t="s">
        <v>1738</v>
      </c>
      <c r="V1103" s="90">
        <f>160+1447.1</f>
        <v>1607.1</v>
      </c>
      <c r="W1103" s="91"/>
      <c r="X1103" s="92"/>
      <c r="Y1103" s="2"/>
    </row>
    <row r="1104" spans="1:25">
      <c r="A1104" s="614"/>
      <c r="B1104" s="87">
        <f t="shared" si="134"/>
        <v>12</v>
      </c>
      <c r="C1104" s="639">
        <v>45932</v>
      </c>
      <c r="D1104" s="323">
        <v>73948</v>
      </c>
      <c r="E1104" s="10" t="s">
        <v>1085</v>
      </c>
      <c r="F1104" s="62">
        <v>1138</v>
      </c>
      <c r="G1104" s="62">
        <f>39.7</f>
        <v>39.700000000000003</v>
      </c>
      <c r="H1104" s="88"/>
      <c r="I1104" s="89">
        <f>F1104-G1104-H1104</f>
        <v>1098.3</v>
      </c>
      <c r="J1104" s="63" t="s">
        <v>156</v>
      </c>
      <c r="K1104" s="63">
        <v>1</v>
      </c>
      <c r="L1104" s="63">
        <v>1</v>
      </c>
      <c r="M1104" s="63">
        <v>1</v>
      </c>
      <c r="N1104" s="63">
        <v>1</v>
      </c>
      <c r="O1104" s="63">
        <v>1</v>
      </c>
      <c r="P1104" s="63">
        <v>1</v>
      </c>
      <c r="Q1104" s="63">
        <v>1</v>
      </c>
      <c r="R1104" s="63">
        <v>1</v>
      </c>
      <c r="S1104" s="296">
        <v>1</v>
      </c>
      <c r="T1104" s="63"/>
      <c r="U1104" s="94" t="s">
        <v>1739</v>
      </c>
      <c r="V1104" s="90">
        <v>1251.8</v>
      </c>
      <c r="W1104" s="91"/>
      <c r="X1104" s="92"/>
      <c r="Y1104" s="2"/>
    </row>
    <row r="1105" spans="1:25">
      <c r="A1105" s="614"/>
      <c r="B1105" s="87">
        <f>B1104+1</f>
        <v>13</v>
      </c>
      <c r="C1105" s="639">
        <v>45932</v>
      </c>
      <c r="D1105" s="323">
        <v>73937</v>
      </c>
      <c r="E1105" s="10" t="s">
        <v>798</v>
      </c>
      <c r="F1105" s="62">
        <f>2946-85</f>
        <v>2861</v>
      </c>
      <c r="G1105" s="62">
        <f>39.7+(265.14)</f>
        <v>304.83999999999997</v>
      </c>
      <c r="H1105" s="62"/>
      <c r="I1105" s="324">
        <f>F1105-G1105-H1105</f>
        <v>2556.16</v>
      </c>
      <c r="J1105" s="63" t="s">
        <v>156</v>
      </c>
      <c r="K1105" s="63">
        <v>1</v>
      </c>
      <c r="L1105" s="63">
        <v>1</v>
      </c>
      <c r="M1105" s="63">
        <v>1</v>
      </c>
      <c r="N1105" s="63">
        <v>1</v>
      </c>
      <c r="O1105" s="325">
        <v>0</v>
      </c>
      <c r="P1105" s="325">
        <v>0</v>
      </c>
      <c r="Q1105" s="63">
        <v>1</v>
      </c>
      <c r="R1105" s="63">
        <v>1</v>
      </c>
      <c r="S1105" s="296">
        <v>1</v>
      </c>
      <c r="T1105" s="21">
        <v>2</v>
      </c>
      <c r="U1105" s="94"/>
      <c r="V1105" s="90">
        <f>93.5+314.71+2832.39</f>
        <v>3240.6</v>
      </c>
      <c r="W1105" s="91"/>
      <c r="X1105" s="92"/>
      <c r="Y1105" s="2"/>
    </row>
    <row r="1106" spans="1:25">
      <c r="A1106" s="261"/>
      <c r="B1106" s="87">
        <f>B1105+1</f>
        <v>14</v>
      </c>
      <c r="C1106" s="638">
        <v>45933</v>
      </c>
      <c r="D1106" s="327">
        <v>74008</v>
      </c>
      <c r="E1106" s="276" t="s">
        <v>211</v>
      </c>
      <c r="F1106" s="277">
        <v>2814</v>
      </c>
      <c r="G1106" s="277">
        <f>39.7+(424)+300</f>
        <v>763.7</v>
      </c>
      <c r="H1106" s="277"/>
      <c r="I1106" s="278">
        <f>F1106-G1106-H1106</f>
        <v>2050.3000000000002</v>
      </c>
      <c r="J1106" s="279" t="s">
        <v>228</v>
      </c>
      <c r="K1106" s="279">
        <v>1</v>
      </c>
      <c r="L1106" s="279">
        <v>1</v>
      </c>
      <c r="M1106" s="279">
        <v>1</v>
      </c>
      <c r="N1106" s="279">
        <v>1</v>
      </c>
      <c r="O1106" s="279">
        <v>1</v>
      </c>
      <c r="P1106" s="279">
        <v>1</v>
      </c>
      <c r="Q1106" s="279">
        <v>1</v>
      </c>
      <c r="R1106" s="279">
        <v>1</v>
      </c>
      <c r="S1106" s="280">
        <v>1</v>
      </c>
      <c r="T1106" s="63"/>
      <c r="U1106" s="94" t="s">
        <v>1740</v>
      </c>
      <c r="V1106" s="90">
        <f>300+2795.4</f>
        <v>3095.4</v>
      </c>
      <c r="W1106" s="91"/>
      <c r="X1106" s="92"/>
      <c r="Y1106" s="2"/>
    </row>
    <row r="1107" spans="1:25">
      <c r="A1107" s="704" t="s">
        <v>230</v>
      </c>
      <c r="B1107" s="87">
        <f>B1106+1</f>
        <v>15</v>
      </c>
      <c r="C1107" s="640">
        <v>45933</v>
      </c>
      <c r="D1107" s="368">
        <v>74025</v>
      </c>
      <c r="E1107" s="283" t="s">
        <v>811</v>
      </c>
      <c r="F1107" s="284">
        <f>6841-111.79</f>
        <v>6729.21</v>
      </c>
      <c r="G1107" s="284">
        <f>39.7+(2118.25)</f>
        <v>2157.9499999999998</v>
      </c>
      <c r="H1107" s="284"/>
      <c r="I1107" s="331">
        <f>F1107-G1107-H1107</f>
        <v>4571.26</v>
      </c>
      <c r="J1107" s="286" t="s">
        <v>156</v>
      </c>
      <c r="K1107" s="286">
        <v>1</v>
      </c>
      <c r="L1107" s="286">
        <v>1</v>
      </c>
      <c r="M1107" s="286">
        <v>1</v>
      </c>
      <c r="N1107" s="286">
        <v>1</v>
      </c>
      <c r="O1107" s="286">
        <v>1</v>
      </c>
      <c r="P1107" s="286">
        <v>1</v>
      </c>
      <c r="Q1107" s="332">
        <v>0</v>
      </c>
      <c r="R1107" s="332">
        <v>0</v>
      </c>
      <c r="S1107" s="370">
        <v>0</v>
      </c>
      <c r="T1107" s="63"/>
      <c r="U1107" s="94" t="s">
        <v>1741</v>
      </c>
      <c r="V1107" s="90">
        <f>750+6775.1</f>
        <v>7525.1</v>
      </c>
      <c r="W1107" s="136"/>
      <c r="X1107" s="137"/>
      <c r="Y1107" s="181"/>
    </row>
    <row r="1108" spans="1:25">
      <c r="A1108" s="614"/>
      <c r="B1108" s="87"/>
      <c r="C1108" s="621"/>
      <c r="D1108" s="10"/>
      <c r="E1108" s="10"/>
      <c r="F1108" s="98">
        <f>SUM(F1093:F1107)</f>
        <v>37730.81</v>
      </c>
      <c r="G1108" s="98">
        <f>SUM(G1093:G1107)</f>
        <v>5115.4000000000005</v>
      </c>
      <c r="H1108" s="98">
        <f>SUM(H1093:H1107)</f>
        <v>0</v>
      </c>
      <c r="I1108" s="98">
        <f>SUM(I1093:I1107)</f>
        <v>32615.409999999996</v>
      </c>
      <c r="J1108" s="63"/>
      <c r="K1108" s="63">
        <f>COUNT(K1093:K1107)</f>
        <v>15</v>
      </c>
      <c r="L1108" s="63">
        <f>COUNT(L1093:L1107)</f>
        <v>15</v>
      </c>
      <c r="M1108" s="63">
        <f>COUNT(M1093:M1107)</f>
        <v>15</v>
      </c>
      <c r="N1108" s="63">
        <f>COUNT(N1093:N1107)</f>
        <v>15</v>
      </c>
      <c r="O1108" s="63">
        <f>COUNT(O1093:O1107)</f>
        <v>15</v>
      </c>
      <c r="P1108" s="63">
        <f>COUNT(P1093:P1107)</f>
        <v>15</v>
      </c>
      <c r="Q1108" s="63">
        <f>COUNT(Q1093:Q1107)</f>
        <v>15</v>
      </c>
      <c r="R1108" s="63">
        <f>COUNT(R1093:R1107)</f>
        <v>15</v>
      </c>
      <c r="S1108" s="63">
        <f>COUNT(S1093:S1107)</f>
        <v>15</v>
      </c>
      <c r="T1108" s="63"/>
      <c r="U1108" s="94"/>
      <c r="V1108" s="90"/>
      <c r="W1108" s="91"/>
      <c r="X1108" s="92"/>
      <c r="Y1108" s="2"/>
    </row>
    <row r="1109" spans="1:25">
      <c r="A1109" s="614"/>
      <c r="B1109" s="87"/>
      <c r="C1109" s="621"/>
      <c r="D1109" s="10"/>
      <c r="E1109" s="10"/>
      <c r="F1109" s="88"/>
      <c r="G1109" s="88"/>
      <c r="H1109" s="88"/>
      <c r="I1109" s="99"/>
      <c r="J1109" s="63"/>
      <c r="K1109" s="21">
        <f>SUM(K1093:K1107)</f>
        <v>15</v>
      </c>
      <c r="L1109" s="21">
        <f>SUM(L1093:L1107)</f>
        <v>15</v>
      </c>
      <c r="M1109" s="21">
        <f>SUM(M1093:M1107)</f>
        <v>12</v>
      </c>
      <c r="N1109" s="21">
        <f>SUM(N1093:N1107)</f>
        <v>15</v>
      </c>
      <c r="O1109" s="21">
        <f>SUM(O1093:O1107)</f>
        <v>14</v>
      </c>
      <c r="P1109" s="21">
        <f>SUM(P1093:P1107)</f>
        <v>14</v>
      </c>
      <c r="Q1109" s="21">
        <f>SUM(Q1093:Q1107)</f>
        <v>14</v>
      </c>
      <c r="R1109" s="21">
        <f>SUM(R1093:R1107)</f>
        <v>14</v>
      </c>
      <c r="S1109" s="21">
        <f>SUM(S1093:S1107)</f>
        <v>13</v>
      </c>
      <c r="T1109" s="63"/>
      <c r="U1109" s="94"/>
      <c r="V1109" s="90"/>
      <c r="W1109" s="91"/>
      <c r="X1109" s="92"/>
      <c r="Y1109" s="2"/>
    </row>
    <row r="1110" spans="1:25">
      <c r="A1110" s="614"/>
      <c r="B1110" s="11"/>
      <c r="C1110" s="609"/>
      <c r="D1110" s="10"/>
      <c r="E1110" s="10"/>
      <c r="F1110" s="88"/>
      <c r="G1110" s="88"/>
      <c r="H1110" s="88"/>
      <c r="I1110" s="99"/>
      <c r="J1110" s="63"/>
      <c r="K1110" s="21"/>
      <c r="L1110" s="21"/>
      <c r="M1110" s="21"/>
      <c r="N1110" s="21"/>
      <c r="O1110" s="21"/>
      <c r="P1110" s="21"/>
      <c r="Q1110" s="21"/>
      <c r="R1110" s="21"/>
      <c r="S1110" s="21"/>
      <c r="T1110" s="63"/>
      <c r="U1110" s="94"/>
      <c r="V1110" s="90"/>
      <c r="W1110" s="91"/>
      <c r="X1110" s="92"/>
      <c r="Y1110" s="2"/>
    </row>
    <row r="1111" spans="1:25">
      <c r="A1111" s="615"/>
      <c r="B1111" s="121" t="s">
        <v>1742</v>
      </c>
      <c r="C1111" s="621"/>
      <c r="D1111" s="123"/>
      <c r="E1111" s="128"/>
      <c r="F1111" s="124"/>
      <c r="G1111" s="124"/>
      <c r="H1111" s="124"/>
      <c r="I1111" s="126"/>
      <c r="J1111" s="127"/>
      <c r="K1111" s="64"/>
      <c r="L1111" s="64"/>
      <c r="M1111" s="64"/>
      <c r="N1111" s="64"/>
      <c r="O1111" s="64"/>
      <c r="P1111" s="64"/>
      <c r="Q1111" s="64"/>
      <c r="R1111" s="64"/>
      <c r="S1111" s="64"/>
      <c r="T1111" s="127"/>
      <c r="U1111" s="135"/>
      <c r="V1111" s="129"/>
      <c r="W1111" s="130"/>
      <c r="X1111" s="131"/>
      <c r="Y1111" s="128"/>
    </row>
    <row r="1112" spans="1:25" s="342" customFormat="1">
      <c r="A1112" s="356">
        <v>0.1</v>
      </c>
      <c r="B1112" s="333">
        <v>1</v>
      </c>
      <c r="C1112" s="703">
        <v>45933</v>
      </c>
      <c r="D1112" s="263">
        <v>73856</v>
      </c>
      <c r="E1112" s="358" t="s">
        <v>211</v>
      </c>
      <c r="F1112" s="352">
        <v>716</v>
      </c>
      <c r="G1112" s="352">
        <v>0</v>
      </c>
      <c r="H1112" s="352"/>
      <c r="I1112" s="353">
        <f>F1112-G1112-H1112</f>
        <v>716</v>
      </c>
      <c r="J1112" s="354"/>
      <c r="K1112" s="354">
        <v>1</v>
      </c>
      <c r="L1112" s="354">
        <v>1</v>
      </c>
      <c r="M1112" s="354"/>
      <c r="N1112" s="354">
        <v>1</v>
      </c>
      <c r="O1112" s="354">
        <v>1</v>
      </c>
      <c r="P1112" s="354">
        <v>1</v>
      </c>
      <c r="Q1112" s="354">
        <v>0</v>
      </c>
      <c r="R1112" s="354">
        <v>0</v>
      </c>
      <c r="S1112" s="355">
        <v>0</v>
      </c>
      <c r="T1112" s="127"/>
      <c r="U1112" s="135"/>
      <c r="V1112" s="129"/>
      <c r="W1112" s="340"/>
      <c r="X1112" s="341"/>
      <c r="Y1112" s="128"/>
    </row>
    <row r="1113" spans="1:25">
      <c r="A1113" s="615"/>
      <c r="B1113" s="132"/>
      <c r="C1113" s="621"/>
      <c r="D1113" s="123"/>
      <c r="E1113" s="123"/>
      <c r="F1113" s="134">
        <f>SUM(F1112:F1112)</f>
        <v>716</v>
      </c>
      <c r="G1113" s="134">
        <f>SUM(G1112:G1112)</f>
        <v>0</v>
      </c>
      <c r="H1113" s="134">
        <f>SUM(H1112:H1112)</f>
        <v>0</v>
      </c>
      <c r="I1113" s="134">
        <f>SUM(I1112:I1112)</f>
        <v>716</v>
      </c>
      <c r="J1113" s="127"/>
      <c r="K1113" s="64"/>
      <c r="L1113" s="64"/>
      <c r="M1113" s="64"/>
      <c r="N1113" s="64"/>
      <c r="O1113" s="64"/>
      <c r="P1113" s="64"/>
      <c r="Q1113" s="64"/>
      <c r="R1113" s="64"/>
      <c r="S1113" s="64"/>
      <c r="T1113" s="127"/>
      <c r="U1113" s="135"/>
      <c r="V1113" s="129"/>
      <c r="W1113" s="130"/>
      <c r="X1113" s="131"/>
      <c r="Y1113" s="128"/>
    </row>
    <row r="1114" spans="1:25">
      <c r="A1114" s="614"/>
      <c r="B1114" s="11"/>
      <c r="C1114" s="621"/>
      <c r="D1114" s="10"/>
      <c r="E1114" s="10"/>
      <c r="F1114" s="88"/>
      <c r="G1114" s="88"/>
      <c r="H1114" s="88"/>
      <c r="I1114" s="99"/>
      <c r="J1114" s="10"/>
      <c r="K1114" s="63"/>
      <c r="L1114" s="63"/>
      <c r="M1114" s="63"/>
      <c r="N1114" s="63"/>
      <c r="O1114" s="63"/>
      <c r="P1114" s="63"/>
      <c r="Q1114" s="63"/>
      <c r="R1114" s="63"/>
      <c r="S1114" s="63"/>
      <c r="T1114" s="63"/>
      <c r="U1114" s="94"/>
      <c r="V1114" s="90"/>
      <c r="W1114" s="91"/>
      <c r="X1114" s="92"/>
      <c r="Y1114" s="2"/>
    </row>
    <row r="1115" spans="1:25" s="434" customFormat="1" ht="13.5">
      <c r="A1115" s="10"/>
      <c r="B1115" s="100" t="s">
        <v>152</v>
      </c>
      <c r="C1115" s="36"/>
      <c r="D1115" s="10"/>
      <c r="E1115" s="10"/>
      <c r="F1115" s="88"/>
      <c r="G1115" s="62"/>
      <c r="H1115" s="88"/>
      <c r="I1115" s="99"/>
      <c r="J1115" s="63"/>
      <c r="K1115" s="10"/>
      <c r="L1115" s="10"/>
      <c r="M1115" s="10"/>
      <c r="N1115" s="10"/>
      <c r="O1115" s="10"/>
      <c r="P1115" s="123"/>
      <c r="Q1115" s="10"/>
      <c r="R1115" s="10"/>
      <c r="S1115" s="10"/>
      <c r="T1115" s="63"/>
      <c r="U1115" s="10"/>
      <c r="V1115" s="90"/>
      <c r="W1115" s="91"/>
      <c r="X1115" s="92"/>
    </row>
    <row r="1116" spans="1:25" s="434" customFormat="1" ht="13.5">
      <c r="A1116" s="31" t="s">
        <v>1721</v>
      </c>
      <c r="B1116" s="87">
        <v>1</v>
      </c>
      <c r="C1116" s="262">
        <v>45848</v>
      </c>
      <c r="D1116" s="263">
        <v>71373</v>
      </c>
      <c r="E1116" s="264" t="s">
        <v>1338</v>
      </c>
      <c r="F1116" s="265">
        <v>2681</v>
      </c>
      <c r="G1116" s="265">
        <f>39.7+(92.99)</f>
        <v>132.69</v>
      </c>
      <c r="H1116" s="265"/>
      <c r="I1116" s="266">
        <f>F1116-G1116-H1116</f>
        <v>2548.31</v>
      </c>
      <c r="J1116" s="267" t="s">
        <v>228</v>
      </c>
      <c r="K1116" s="267">
        <v>1</v>
      </c>
      <c r="L1116" s="267">
        <v>1</v>
      </c>
      <c r="M1116" s="267">
        <v>1</v>
      </c>
      <c r="N1116" s="267">
        <v>1</v>
      </c>
      <c r="O1116" s="267">
        <v>1</v>
      </c>
      <c r="P1116" s="314">
        <v>0</v>
      </c>
      <c r="Q1116" s="314">
        <v>0</v>
      </c>
      <c r="R1116" s="314">
        <v>0</v>
      </c>
      <c r="S1116" s="366">
        <v>0</v>
      </c>
      <c r="T1116" s="63"/>
      <c r="U1116" s="10" t="s">
        <v>1709</v>
      </c>
      <c r="V1116" s="90">
        <f>2649.1</f>
        <v>2649.1</v>
      </c>
      <c r="W1116" s="91"/>
      <c r="X1116" s="92"/>
    </row>
    <row r="1117" spans="1:25" s="260" customFormat="1">
      <c r="A1117" s="261">
        <v>0.05</v>
      </c>
      <c r="B1117" s="87">
        <f>B1116+1</f>
        <v>2</v>
      </c>
      <c r="C1117" s="262">
        <v>45863</v>
      </c>
      <c r="D1117" s="263" t="s">
        <v>1497</v>
      </c>
      <c r="E1117" s="271" t="s">
        <v>1117</v>
      </c>
      <c r="F1117" s="265">
        <v>1138</v>
      </c>
      <c r="G1117" s="265">
        <f>39.7</f>
        <v>39.700000000000003</v>
      </c>
      <c r="H1117" s="365"/>
      <c r="I1117" s="266">
        <f>F1117-G1117-H1117</f>
        <v>1098.3</v>
      </c>
      <c r="J1117" s="267"/>
      <c r="K1117" s="267">
        <v>1</v>
      </c>
      <c r="L1117" s="267">
        <v>1</v>
      </c>
      <c r="M1117" s="267"/>
      <c r="N1117" s="267">
        <v>1</v>
      </c>
      <c r="O1117" s="267">
        <v>1</v>
      </c>
      <c r="P1117" s="267">
        <v>1</v>
      </c>
      <c r="Q1117" s="314">
        <v>0</v>
      </c>
      <c r="R1117" s="314">
        <v>0</v>
      </c>
      <c r="S1117" s="366">
        <v>0</v>
      </c>
      <c r="T1117" s="63"/>
      <c r="U1117" s="10" t="s">
        <v>1628</v>
      </c>
      <c r="V1117" s="90"/>
      <c r="W1117" s="91"/>
      <c r="X1117" s="92"/>
    </row>
    <row r="1118" spans="1:25" s="260" customFormat="1">
      <c r="A1118" s="261">
        <v>0.05</v>
      </c>
      <c r="B1118" s="87">
        <f>B1117+1</f>
        <v>3</v>
      </c>
      <c r="C1118" s="274">
        <v>45874</v>
      </c>
      <c r="D1118" s="327">
        <v>72064</v>
      </c>
      <c r="E1118" s="276" t="s">
        <v>998</v>
      </c>
      <c r="F1118" s="277">
        <v>1138</v>
      </c>
      <c r="G1118" s="277">
        <v>39.700000000000003</v>
      </c>
      <c r="H1118" s="277"/>
      <c r="I1118" s="321">
        <f>F1118-G1118-H1118</f>
        <v>1098.3</v>
      </c>
      <c r="J1118" s="279"/>
      <c r="K1118" s="279">
        <v>1</v>
      </c>
      <c r="L1118" s="279">
        <v>1</v>
      </c>
      <c r="M1118" s="279"/>
      <c r="N1118" s="279">
        <v>1</v>
      </c>
      <c r="O1118" s="279">
        <v>1</v>
      </c>
      <c r="P1118" s="279">
        <v>1</v>
      </c>
      <c r="Q1118" s="322">
        <v>0</v>
      </c>
      <c r="R1118" s="322">
        <v>0</v>
      </c>
      <c r="S1118" s="328">
        <v>0</v>
      </c>
      <c r="T1118" s="63"/>
      <c r="U1118" s="94" t="s">
        <v>1540</v>
      </c>
      <c r="V1118" s="90"/>
      <c r="W1118" s="91"/>
      <c r="X1118" s="92"/>
    </row>
    <row r="1119" spans="1:25" s="260" customFormat="1">
      <c r="A1119" s="261">
        <v>0.05</v>
      </c>
      <c r="B1119" s="87">
        <f>B1118+1</f>
        <v>4</v>
      </c>
      <c r="C1119" s="262">
        <v>45860</v>
      </c>
      <c r="D1119" s="263" t="s">
        <v>1522</v>
      </c>
      <c r="E1119" s="271" t="s">
        <v>1256</v>
      </c>
      <c r="F1119" s="265">
        <v>13770</v>
      </c>
      <c r="G1119" s="265">
        <f>39.7+271.4+(133.8)+(7.88+328.49-9.15-0.86-0.98-2.08-46.07+30.69+267.21)+1000</f>
        <v>2020.03</v>
      </c>
      <c r="H1119" s="365"/>
      <c r="I1119" s="266">
        <f>F1119-G1119-H1119</f>
        <v>11749.97</v>
      </c>
      <c r="J1119" s="267" t="s">
        <v>156</v>
      </c>
      <c r="K1119" s="267">
        <v>1</v>
      </c>
      <c r="L1119" s="267">
        <v>1</v>
      </c>
      <c r="M1119" s="267">
        <v>1</v>
      </c>
      <c r="N1119" s="267">
        <v>1</v>
      </c>
      <c r="O1119" s="314">
        <v>0</v>
      </c>
      <c r="P1119" s="267">
        <v>1</v>
      </c>
      <c r="Q1119" s="314">
        <v>0</v>
      </c>
      <c r="R1119" s="314">
        <v>0</v>
      </c>
      <c r="S1119" s="366">
        <v>0</v>
      </c>
      <c r="T1119" s="63"/>
      <c r="U1119" s="94" t="s">
        <v>1743</v>
      </c>
      <c r="V1119" s="90"/>
      <c r="W1119" s="136"/>
      <c r="X1119" s="137"/>
    </row>
    <row r="1120" spans="1:25" s="260" customFormat="1">
      <c r="A1120" s="261" t="s">
        <v>619</v>
      </c>
      <c r="B1120" s="87">
        <f>B1119+1</f>
        <v>5</v>
      </c>
      <c r="C1120" s="262">
        <v>45877</v>
      </c>
      <c r="D1120" s="263">
        <v>72150</v>
      </c>
      <c r="E1120" s="271" t="s">
        <v>769</v>
      </c>
      <c r="F1120" s="265">
        <v>44619</v>
      </c>
      <c r="G1120" s="265">
        <f>39.7+8800+352+(F1120*0.25)+(3*150)</f>
        <v>20796.45</v>
      </c>
      <c r="H1120" s="265"/>
      <c r="I1120" s="272">
        <f>F1120-G1120-H1120</f>
        <v>23822.55</v>
      </c>
      <c r="J1120" s="267" t="s">
        <v>156</v>
      </c>
      <c r="K1120" s="267">
        <v>1</v>
      </c>
      <c r="L1120" s="267">
        <v>1</v>
      </c>
      <c r="M1120" s="267">
        <v>1</v>
      </c>
      <c r="N1120" s="267">
        <v>1</v>
      </c>
      <c r="O1120" s="267">
        <v>1</v>
      </c>
      <c r="P1120" s="267">
        <v>1</v>
      </c>
      <c r="Q1120" s="267">
        <v>1</v>
      </c>
      <c r="R1120" s="267">
        <v>1</v>
      </c>
      <c r="S1120" s="269">
        <v>1</v>
      </c>
      <c r="T1120" s="63"/>
      <c r="U1120" s="94" t="s">
        <v>1580</v>
      </c>
      <c r="V1120" s="90"/>
      <c r="W1120" s="91"/>
      <c r="X1120" s="137"/>
    </row>
    <row r="1121" spans="1:25" s="260" customFormat="1">
      <c r="A1121" s="261" t="s">
        <v>1744</v>
      </c>
      <c r="B1121" s="87">
        <f>B1120+1</f>
        <v>6</v>
      </c>
      <c r="C1121" s="262">
        <v>45882</v>
      </c>
      <c r="D1121" s="263">
        <v>72282</v>
      </c>
      <c r="E1121" s="271" t="s">
        <v>384</v>
      </c>
      <c r="F1121" s="265">
        <f>12614-7159.45</f>
        <v>5454.55</v>
      </c>
      <c r="G1121" s="265">
        <f>39.7+(166)+(60.58)+1000</f>
        <v>1266.28</v>
      </c>
      <c r="H1121" s="265"/>
      <c r="I1121" s="266">
        <f>F1121-G1121-H1121</f>
        <v>4188.2700000000004</v>
      </c>
      <c r="J1121" s="267" t="s">
        <v>156</v>
      </c>
      <c r="K1121" s="267">
        <v>1</v>
      </c>
      <c r="L1121" s="267">
        <v>1</v>
      </c>
      <c r="M1121" s="267">
        <v>1</v>
      </c>
      <c r="N1121" s="267">
        <v>1</v>
      </c>
      <c r="O1121" s="267">
        <v>1</v>
      </c>
      <c r="P1121" s="267">
        <v>1</v>
      </c>
      <c r="Q1121" s="314">
        <v>0</v>
      </c>
      <c r="R1121" s="314">
        <v>0</v>
      </c>
      <c r="S1121" s="366">
        <v>0</v>
      </c>
      <c r="T1121" s="63"/>
      <c r="U1121" s="94" t="s">
        <v>1722</v>
      </c>
      <c r="V1121" s="90">
        <f>6000</f>
        <v>6000</v>
      </c>
      <c r="W1121" s="136"/>
      <c r="X1121" s="137"/>
    </row>
    <row r="1122" spans="1:25" s="342" customFormat="1">
      <c r="A1122" s="261" t="s">
        <v>1183</v>
      </c>
      <c r="B1122" s="87">
        <f t="shared" ref="B1122:B1129" si="136">B1121+1</f>
        <v>7</v>
      </c>
      <c r="C1122" s="262">
        <v>45880</v>
      </c>
      <c r="D1122" s="263" t="s">
        <v>1575</v>
      </c>
      <c r="E1122" s="271" t="s">
        <v>798</v>
      </c>
      <c r="F1122" s="265">
        <v>28614</v>
      </c>
      <c r="G1122" s="265">
        <f>39.7+87+2114.68+(88.79+147.25+67.07+175.66+38+31.51+60)+(287.36+46.46+263.98-60+165.31)+(F1122*0.2)</f>
        <v>9275.57</v>
      </c>
      <c r="H1122" s="265"/>
      <c r="I1122" s="266">
        <f>F1122-G1122-H1122</f>
        <v>19338.43</v>
      </c>
      <c r="J1122" s="267" t="s">
        <v>156</v>
      </c>
      <c r="K1122" s="267">
        <v>1</v>
      </c>
      <c r="L1122" s="267">
        <v>1</v>
      </c>
      <c r="M1122" s="267">
        <v>1</v>
      </c>
      <c r="N1122" s="314">
        <v>0</v>
      </c>
      <c r="O1122" s="314">
        <v>0</v>
      </c>
      <c r="P1122" s="314">
        <v>0</v>
      </c>
      <c r="Q1122" s="267">
        <v>1</v>
      </c>
      <c r="R1122" s="267">
        <v>1</v>
      </c>
      <c r="S1122" s="269">
        <v>1</v>
      </c>
      <c r="T1122" s="63"/>
      <c r="U1122" s="94" t="s">
        <v>1603</v>
      </c>
      <c r="V1122" s="90"/>
      <c r="W1122" s="91"/>
      <c r="X1122" s="137"/>
      <c r="Y1122" s="260"/>
    </row>
    <row r="1123" spans="1:25" s="260" customFormat="1">
      <c r="A1123" s="261" t="s">
        <v>1723</v>
      </c>
      <c r="B1123" s="87">
        <f t="shared" si="136"/>
        <v>8</v>
      </c>
      <c r="C1123" s="274">
        <v>45889</v>
      </c>
      <c r="D1123" s="327">
        <v>72473</v>
      </c>
      <c r="E1123" s="276" t="s">
        <v>384</v>
      </c>
      <c r="F1123" s="277">
        <v>20352.599999999999</v>
      </c>
      <c r="G1123" s="277">
        <f>39.7+1158.5+330+698.2+1074.8+910.2+283.4+67.5+(131.46+39.56+458.93+229.4+124.76-77.28+55.97+47.5+55.06+259.65)+(199.57+15.62+124.74)+2000</f>
        <v>8227.24</v>
      </c>
      <c r="H1123" s="277"/>
      <c r="I1123" s="321">
        <f>F1123-G1123-H1123</f>
        <v>12125.359999999999</v>
      </c>
      <c r="J1123" s="279" t="s">
        <v>228</v>
      </c>
      <c r="K1123" s="279">
        <v>1</v>
      </c>
      <c r="L1123" s="279">
        <v>1</v>
      </c>
      <c r="M1123" s="279">
        <v>1</v>
      </c>
      <c r="N1123" s="279">
        <v>1</v>
      </c>
      <c r="O1123" s="279">
        <v>1</v>
      </c>
      <c r="P1123" s="279">
        <v>1</v>
      </c>
      <c r="Q1123" s="322">
        <v>0</v>
      </c>
      <c r="R1123" s="322">
        <v>0</v>
      </c>
      <c r="S1123" s="328">
        <v>0</v>
      </c>
      <c r="T1123" s="63"/>
      <c r="U1123" s="94" t="s">
        <v>1724</v>
      </c>
      <c r="V1123" s="90"/>
      <c r="W1123" s="136"/>
      <c r="X1123" s="137"/>
    </row>
    <row r="1124" spans="1:25" s="260" customFormat="1">
      <c r="A1124" s="261" t="s">
        <v>619</v>
      </c>
      <c r="B1124" s="87">
        <f t="shared" si="136"/>
        <v>9</v>
      </c>
      <c r="C1124" s="282">
        <v>45889</v>
      </c>
      <c r="D1124" s="368">
        <v>72498</v>
      </c>
      <c r="E1124" s="283" t="s">
        <v>769</v>
      </c>
      <c r="F1124" s="284">
        <v>22618</v>
      </c>
      <c r="G1124" s="284">
        <f>39.7+830.8+(94.29+28.45)+2000</f>
        <v>2993.24</v>
      </c>
      <c r="H1124" s="284"/>
      <c r="I1124" s="285">
        <f>F1124-G1124-H1124</f>
        <v>19624.760000000002</v>
      </c>
      <c r="J1124" s="286" t="s">
        <v>228</v>
      </c>
      <c r="K1124" s="286">
        <v>1</v>
      </c>
      <c r="L1124" s="286">
        <v>1</v>
      </c>
      <c r="M1124" s="286">
        <v>1</v>
      </c>
      <c r="N1124" s="286">
        <v>1</v>
      </c>
      <c r="O1124" s="286">
        <v>1</v>
      </c>
      <c r="P1124" s="286">
        <v>1</v>
      </c>
      <c r="Q1124" s="286">
        <v>1</v>
      </c>
      <c r="R1124" s="286">
        <v>1</v>
      </c>
      <c r="S1124" s="287">
        <v>1</v>
      </c>
      <c r="T1124" s="63"/>
      <c r="U1124" s="94" t="s">
        <v>1635</v>
      </c>
      <c r="V1124" s="90"/>
      <c r="W1124" s="136"/>
      <c r="X1124" s="137"/>
    </row>
    <row r="1125" spans="1:25" s="181" customFormat="1">
      <c r="A1125" s="261">
        <v>0.05</v>
      </c>
      <c r="B1125" s="87">
        <f t="shared" si="136"/>
        <v>10</v>
      </c>
      <c r="C1125" s="262">
        <v>45894</v>
      </c>
      <c r="D1125" s="263">
        <v>72581</v>
      </c>
      <c r="E1125" s="271" t="s">
        <v>1623</v>
      </c>
      <c r="F1125" s="265">
        <v>5814</v>
      </c>
      <c r="G1125" s="265">
        <f>39.7+446.6+(847.11)+250</f>
        <v>1583.41</v>
      </c>
      <c r="H1125" s="265"/>
      <c r="I1125" s="272">
        <f>F1125-G1125-H1125</f>
        <v>4230.59</v>
      </c>
      <c r="J1125" s="267" t="s">
        <v>228</v>
      </c>
      <c r="K1125" s="267">
        <v>1</v>
      </c>
      <c r="L1125" s="267">
        <v>1</v>
      </c>
      <c r="M1125" s="267">
        <v>1</v>
      </c>
      <c r="N1125" s="267">
        <v>1</v>
      </c>
      <c r="O1125" s="267">
        <v>1</v>
      </c>
      <c r="P1125" s="267">
        <v>1</v>
      </c>
      <c r="Q1125" s="267">
        <v>1</v>
      </c>
      <c r="R1125" s="267">
        <v>1</v>
      </c>
      <c r="S1125" s="269">
        <v>1</v>
      </c>
      <c r="T1125" s="63"/>
      <c r="U1125" s="94" t="s">
        <v>1745</v>
      </c>
      <c r="V1125" s="90"/>
      <c r="W1125" s="136"/>
      <c r="X1125" s="137"/>
      <c r="Y1125" s="260"/>
    </row>
    <row r="1126" spans="1:25" s="181" customFormat="1">
      <c r="A1126" s="704" t="s">
        <v>683</v>
      </c>
      <c r="B1126" s="87">
        <f t="shared" si="136"/>
        <v>11</v>
      </c>
      <c r="C1126" s="641">
        <v>45908</v>
      </c>
      <c r="D1126" s="263">
        <v>73046</v>
      </c>
      <c r="E1126" s="271" t="s">
        <v>317</v>
      </c>
      <c r="F1126" s="265">
        <v>3814</v>
      </c>
      <c r="G1126" s="265">
        <f>39.7+(12.18+108.87+796.78+44.67+605.14)+300</f>
        <v>1907.34</v>
      </c>
      <c r="H1126" s="265"/>
      <c r="I1126" s="266">
        <f>F1126-G1126-H1126</f>
        <v>1906.66</v>
      </c>
      <c r="J1126" s="267" t="s">
        <v>156</v>
      </c>
      <c r="K1126" s="267">
        <v>1</v>
      </c>
      <c r="L1126" s="267">
        <v>1</v>
      </c>
      <c r="M1126" s="267">
        <v>1</v>
      </c>
      <c r="N1126" s="267">
        <v>1</v>
      </c>
      <c r="O1126" s="267">
        <v>1</v>
      </c>
      <c r="P1126" s="267">
        <v>1</v>
      </c>
      <c r="Q1126" s="267">
        <v>1</v>
      </c>
      <c r="R1126" s="314">
        <v>0</v>
      </c>
      <c r="S1126" s="269">
        <v>1</v>
      </c>
      <c r="T1126" s="21">
        <v>1</v>
      </c>
      <c r="U1126" s="94" t="s">
        <v>1710</v>
      </c>
      <c r="V1126" s="90"/>
      <c r="W1126" s="91"/>
      <c r="X1126" s="92"/>
    </row>
    <row r="1127" spans="1:25" s="260" customFormat="1">
      <c r="A1127" s="261">
        <v>0.05</v>
      </c>
      <c r="B1127" s="87">
        <f t="shared" si="136"/>
        <v>12</v>
      </c>
      <c r="C1127" s="274">
        <v>45917</v>
      </c>
      <c r="D1127" s="327" t="s">
        <v>1704</v>
      </c>
      <c r="E1127" s="276" t="s">
        <v>746</v>
      </c>
      <c r="F1127" s="277">
        <v>5451.2</v>
      </c>
      <c r="G1127" s="277">
        <f>39.7+424.6+(82.38)+300</f>
        <v>846.68000000000006</v>
      </c>
      <c r="H1127" s="277"/>
      <c r="I1127" s="278">
        <f t="shared" ref="I1127" si="137">F1127-G1127-H1127</f>
        <v>4604.5199999999995</v>
      </c>
      <c r="J1127" s="279" t="s">
        <v>150</v>
      </c>
      <c r="K1127" s="279">
        <v>1</v>
      </c>
      <c r="L1127" s="279">
        <v>1</v>
      </c>
      <c r="M1127" s="279">
        <v>1</v>
      </c>
      <c r="N1127" s="279">
        <v>1</v>
      </c>
      <c r="O1127" s="279">
        <v>1</v>
      </c>
      <c r="P1127" s="279">
        <v>1</v>
      </c>
      <c r="Q1127" s="279">
        <v>1</v>
      </c>
      <c r="R1127" s="279">
        <v>1</v>
      </c>
      <c r="S1127" s="280">
        <v>1</v>
      </c>
      <c r="T1127" s="63"/>
      <c r="U1127" s="94" t="s">
        <v>1705</v>
      </c>
      <c r="V1127" s="90"/>
      <c r="W1127" s="136"/>
      <c r="X1127" s="92"/>
      <c r="Y1127" s="181"/>
    </row>
    <row r="1128" spans="1:25" s="260" customFormat="1">
      <c r="A1128" s="261" t="s">
        <v>1723</v>
      </c>
      <c r="B1128" s="87">
        <f t="shared" si="136"/>
        <v>13</v>
      </c>
      <c r="C1128" s="262">
        <v>45918</v>
      </c>
      <c r="D1128" s="263">
        <v>73435</v>
      </c>
      <c r="E1128" s="264" t="s">
        <v>1102</v>
      </c>
      <c r="F1128" s="265">
        <f>1223-85</f>
        <v>1138</v>
      </c>
      <c r="G1128" s="265">
        <f>39.7</f>
        <v>39.700000000000003</v>
      </c>
      <c r="H1128" s="265"/>
      <c r="I1128" s="266">
        <f>F1128-G1128-H1128</f>
        <v>1098.3</v>
      </c>
      <c r="J1128" s="267" t="s">
        <v>156</v>
      </c>
      <c r="K1128" s="267">
        <v>1</v>
      </c>
      <c r="L1128" s="267">
        <v>1</v>
      </c>
      <c r="M1128" s="267">
        <v>1</v>
      </c>
      <c r="N1128" s="267">
        <v>1</v>
      </c>
      <c r="O1128" s="267">
        <v>1</v>
      </c>
      <c r="P1128" s="267">
        <v>1</v>
      </c>
      <c r="Q1128" s="267">
        <v>1</v>
      </c>
      <c r="R1128" s="267">
        <v>1</v>
      </c>
      <c r="S1128" s="366">
        <v>0</v>
      </c>
      <c r="T1128" s="63"/>
      <c r="U1128" s="94"/>
      <c r="V1128" s="90">
        <f>1158.3</f>
        <v>1158.3</v>
      </c>
      <c r="W1128" s="91"/>
      <c r="X1128" s="92"/>
      <c r="Y1128" s="181"/>
    </row>
    <row r="1129" spans="1:25" s="260" customFormat="1">
      <c r="A1129" s="261" t="s">
        <v>1706</v>
      </c>
      <c r="B1129" s="87">
        <f t="shared" si="136"/>
        <v>14</v>
      </c>
      <c r="C1129" s="262">
        <v>45919</v>
      </c>
      <c r="D1129" s="263" t="s">
        <v>1707</v>
      </c>
      <c r="E1129" s="271" t="s">
        <v>1046</v>
      </c>
      <c r="F1129" s="265">
        <v>5914</v>
      </c>
      <c r="G1129" s="265">
        <f>39.7+(28.04+1323.07+91.41)+250</f>
        <v>1732.22</v>
      </c>
      <c r="H1129" s="265"/>
      <c r="I1129" s="272">
        <f>F1129-G1129-H1129</f>
        <v>4181.78</v>
      </c>
      <c r="J1129" s="267" t="s">
        <v>156</v>
      </c>
      <c r="K1129" s="267">
        <v>1</v>
      </c>
      <c r="L1129" s="267">
        <v>1</v>
      </c>
      <c r="M1129" s="267">
        <v>1</v>
      </c>
      <c r="N1129" s="267">
        <v>1</v>
      </c>
      <c r="O1129" s="267">
        <v>1</v>
      </c>
      <c r="P1129" s="267">
        <v>1</v>
      </c>
      <c r="Q1129" s="267">
        <v>1</v>
      </c>
      <c r="R1129" s="267">
        <v>1</v>
      </c>
      <c r="S1129" s="269">
        <v>1</v>
      </c>
      <c r="T1129" s="63"/>
      <c r="U1129" s="94" t="s">
        <v>1708</v>
      </c>
      <c r="V1129" s="90">
        <f>200</f>
        <v>200</v>
      </c>
      <c r="W1129" s="136"/>
      <c r="X1129" s="137"/>
      <c r="Y1129" s="181"/>
    </row>
    <row r="1130" spans="1:25" s="434" customFormat="1" ht="13.5">
      <c r="A1130" s="10"/>
      <c r="B1130" s="11"/>
      <c r="C1130" s="36"/>
      <c r="D1130" s="10"/>
      <c r="E1130" s="10"/>
      <c r="F1130" s="98">
        <f>SUM(F1116:F1129)</f>
        <v>162516.35</v>
      </c>
      <c r="G1130" s="98">
        <f t="shared" ref="G1130:I1130" si="138">SUM(G1116:G1129)</f>
        <v>50900.249999999993</v>
      </c>
      <c r="H1130" s="98">
        <f t="shared" si="138"/>
        <v>0</v>
      </c>
      <c r="I1130" s="98">
        <f t="shared" si="138"/>
        <v>111616.1</v>
      </c>
      <c r="J1130" s="63"/>
      <c r="K1130" s="21"/>
      <c r="L1130" s="21"/>
      <c r="M1130" s="21"/>
      <c r="N1130" s="21"/>
      <c r="O1130" s="21"/>
      <c r="P1130" s="21"/>
      <c r="Q1130" s="21"/>
      <c r="R1130" s="21"/>
      <c r="S1130" s="21"/>
      <c r="T1130" s="63"/>
      <c r="U1130" s="10"/>
      <c r="V1130" s="90"/>
      <c r="W1130" s="91"/>
      <c r="X1130" s="92"/>
    </row>
    <row r="1131" spans="1:25" s="434" customFormat="1" ht="13.5">
      <c r="A1131" s="10"/>
      <c r="B1131" s="11"/>
      <c r="C1131" s="36"/>
      <c r="D1131" s="10"/>
      <c r="E1131" s="10"/>
      <c r="F1131" s="88"/>
      <c r="G1131" s="88"/>
      <c r="H1131" s="88"/>
      <c r="I1131" s="99"/>
      <c r="J1131" s="63"/>
      <c r="K1131" s="21"/>
      <c r="L1131" s="21"/>
      <c r="M1131" s="21"/>
      <c r="N1131" s="21"/>
      <c r="O1131" s="21"/>
      <c r="P1131" s="21"/>
      <c r="Q1131" s="21"/>
      <c r="R1131" s="21"/>
      <c r="S1131" s="21"/>
      <c r="T1131" s="63"/>
      <c r="U1131" s="10"/>
      <c r="V1131" s="90"/>
      <c r="W1131" s="91"/>
      <c r="X1131" s="92"/>
    </row>
    <row r="1132" spans="1:25" s="260" customFormat="1">
      <c r="A1132" s="181"/>
      <c r="B1132" s="100" t="s">
        <v>1521</v>
      </c>
      <c r="C1132" s="36"/>
      <c r="D1132" s="10"/>
      <c r="E1132" s="181"/>
      <c r="F1132" s="88"/>
      <c r="G1132" s="88"/>
      <c r="H1132" s="88"/>
      <c r="I1132" s="99"/>
      <c r="J1132" s="63"/>
      <c r="K1132" s="21"/>
      <c r="L1132" s="21"/>
      <c r="M1132" s="21"/>
      <c r="N1132" s="21"/>
      <c r="O1132" s="21"/>
      <c r="P1132" s="21"/>
      <c r="Q1132" s="21"/>
      <c r="R1132" s="21"/>
      <c r="S1132" s="21"/>
      <c r="T1132" s="63"/>
      <c r="U1132" s="94"/>
      <c r="V1132" s="90"/>
      <c r="W1132" s="91"/>
      <c r="X1132" s="92"/>
    </row>
    <row r="1133" spans="1:25" s="260" customFormat="1">
      <c r="A1133" s="261" t="s">
        <v>548</v>
      </c>
      <c r="B1133" s="87">
        <v>1</v>
      </c>
      <c r="C1133" s="262">
        <v>45895</v>
      </c>
      <c r="D1133" s="263">
        <v>72566</v>
      </c>
      <c r="E1133" s="271" t="s">
        <v>833</v>
      </c>
      <c r="F1133" s="265">
        <v>1861</v>
      </c>
      <c r="G1133" s="265">
        <f>39.7+485</f>
        <v>524.70000000000005</v>
      </c>
      <c r="H1133" s="265"/>
      <c r="I1133" s="272">
        <f>F1133-G1133-H1133</f>
        <v>1336.3</v>
      </c>
      <c r="J1133" s="267" t="s">
        <v>156</v>
      </c>
      <c r="K1133" s="267">
        <v>1</v>
      </c>
      <c r="L1133" s="267"/>
      <c r="M1133" s="267">
        <v>1</v>
      </c>
      <c r="N1133" s="267">
        <v>1</v>
      </c>
      <c r="O1133" s="267">
        <v>1</v>
      </c>
      <c r="P1133" s="267">
        <v>1</v>
      </c>
      <c r="Q1133" s="267"/>
      <c r="R1133" s="267"/>
      <c r="S1133" s="269"/>
      <c r="T1133" s="63"/>
      <c r="U1133" s="94" t="s">
        <v>1691</v>
      </c>
      <c r="V1133" s="90"/>
      <c r="W1133" s="136"/>
      <c r="X1133" s="137"/>
    </row>
    <row r="1134" spans="1:25" s="181" customFormat="1">
      <c r="A1134" s="261">
        <v>0.1</v>
      </c>
      <c r="B1134" s="87">
        <f>B1133+1</f>
        <v>2</v>
      </c>
      <c r="C1134" s="641">
        <v>45909</v>
      </c>
      <c r="D1134" s="263">
        <v>73119</v>
      </c>
      <c r="E1134" s="271" t="s">
        <v>973</v>
      </c>
      <c r="F1134" s="265">
        <v>5814</v>
      </c>
      <c r="G1134" s="265">
        <f>39.7+(2001.79+54.89)+250</f>
        <v>2346.3799999999997</v>
      </c>
      <c r="H1134" s="265">
        <f>F1134*0.2</f>
        <v>1162.8</v>
      </c>
      <c r="I1134" s="272">
        <f>F1134-G1134-H1134</f>
        <v>2304.8200000000006</v>
      </c>
      <c r="J1134" s="267" t="s">
        <v>185</v>
      </c>
      <c r="K1134" s="267">
        <v>1</v>
      </c>
      <c r="L1134" s="267"/>
      <c r="M1134" s="267">
        <v>1</v>
      </c>
      <c r="N1134" s="267">
        <v>1</v>
      </c>
      <c r="O1134" s="267">
        <v>1</v>
      </c>
      <c r="P1134" s="267">
        <v>1</v>
      </c>
      <c r="Q1134" s="267"/>
      <c r="R1134" s="267"/>
      <c r="S1134" s="269"/>
      <c r="T1134" s="63"/>
      <c r="U1134" s="94" t="s">
        <v>1689</v>
      </c>
      <c r="V1134" s="90"/>
      <c r="W1134" s="136"/>
      <c r="X1134" s="137"/>
    </row>
    <row r="1135" spans="1:25" s="260" customFormat="1">
      <c r="A1135" s="181"/>
      <c r="B1135" s="11"/>
      <c r="C1135" s="36"/>
      <c r="D1135" s="10"/>
      <c r="E1135" s="10"/>
      <c r="F1135" s="97">
        <f>SUM(F1133:F1134)</f>
        <v>7675</v>
      </c>
      <c r="G1135" s="97">
        <f t="shared" ref="G1135" si="139">SUM(G1133:G1134)</f>
        <v>2871.08</v>
      </c>
      <c r="H1135" s="97">
        <f t="shared" ref="H1135" si="140">SUM(H1133:H1134)</f>
        <v>1162.8</v>
      </c>
      <c r="I1135" s="97">
        <f t="shared" ref="I1135" si="141">SUM(I1133:I1134)</f>
        <v>3641.1200000000008</v>
      </c>
      <c r="J1135" s="63"/>
      <c r="K1135" s="21"/>
      <c r="L1135" s="21"/>
      <c r="M1135" s="21"/>
      <c r="N1135" s="21"/>
      <c r="O1135" s="21"/>
      <c r="P1135" s="21"/>
      <c r="Q1135" s="21"/>
      <c r="R1135" s="21"/>
      <c r="S1135" s="21"/>
      <c r="T1135" s="63"/>
      <c r="U1135" s="94"/>
      <c r="V1135" s="90"/>
      <c r="W1135" s="91"/>
      <c r="X1135" s="92"/>
    </row>
    <row r="1136" spans="1:25" s="260" customFormat="1">
      <c r="A1136" s="181"/>
      <c r="B1136" s="11"/>
      <c r="C1136" s="36"/>
      <c r="D1136" s="10"/>
      <c r="E1136" s="10"/>
      <c r="F1136" s="88"/>
      <c r="G1136" s="88"/>
      <c r="H1136" s="88"/>
      <c r="I1136" s="99"/>
      <c r="J1136" s="63"/>
      <c r="K1136" s="21"/>
      <c r="L1136" s="21"/>
      <c r="M1136" s="21"/>
      <c r="N1136" s="21"/>
      <c r="O1136" s="21"/>
      <c r="P1136" s="21"/>
      <c r="Q1136" s="21"/>
      <c r="R1136" s="21"/>
      <c r="S1136" s="21"/>
      <c r="T1136" s="63"/>
      <c r="U1136" s="94"/>
      <c r="V1136" s="90"/>
      <c r="W1136" s="91"/>
      <c r="X1136" s="92"/>
    </row>
    <row r="1137" spans="1:25">
      <c r="A1137" s="614"/>
      <c r="B1137" s="100" t="s">
        <v>72</v>
      </c>
      <c r="C1137" s="609"/>
      <c r="D1137" s="10"/>
      <c r="E1137" s="10"/>
      <c r="F1137" s="88"/>
      <c r="G1137" s="88"/>
      <c r="H1137" s="88"/>
      <c r="I1137" s="99"/>
      <c r="J1137" s="63"/>
      <c r="K1137" s="63"/>
      <c r="L1137" s="63"/>
      <c r="M1137" s="63"/>
      <c r="N1137" s="63"/>
      <c r="O1137" s="63"/>
      <c r="P1137" s="63"/>
      <c r="Q1137" s="63"/>
      <c r="R1137" s="63"/>
      <c r="S1137" s="63"/>
      <c r="T1137" s="63"/>
      <c r="U1137" s="94"/>
      <c r="V1137" s="90"/>
      <c r="W1137" s="91"/>
      <c r="X1137" s="92"/>
      <c r="Y1137" s="2"/>
    </row>
    <row r="1138" spans="1:25">
      <c r="A1138" s="614"/>
      <c r="B1138" s="87">
        <v>1</v>
      </c>
      <c r="C1138" s="638">
        <v>45929</v>
      </c>
      <c r="D1138" s="276">
        <v>73711</v>
      </c>
      <c r="E1138" s="276" t="s">
        <v>715</v>
      </c>
      <c r="F1138" s="277">
        <v>1512.9</v>
      </c>
      <c r="G1138" s="277">
        <f>39.7</f>
        <v>39.700000000000003</v>
      </c>
      <c r="H1138" s="277"/>
      <c r="I1138" s="278">
        <f>F1138-G1138-H1138</f>
        <v>1473.2</v>
      </c>
      <c r="J1138" s="279" t="s">
        <v>205</v>
      </c>
      <c r="K1138" s="279">
        <v>1</v>
      </c>
      <c r="L1138" s="279"/>
      <c r="M1138" s="279"/>
      <c r="N1138" s="279">
        <v>1</v>
      </c>
      <c r="O1138" s="279"/>
      <c r="P1138" s="279"/>
      <c r="Q1138" s="279">
        <v>1</v>
      </c>
      <c r="R1138" s="279">
        <v>1</v>
      </c>
      <c r="S1138" s="280">
        <v>1</v>
      </c>
      <c r="T1138" s="63"/>
      <c r="U1138" s="164"/>
      <c r="V1138" s="90"/>
      <c r="W1138" s="91"/>
      <c r="X1138" s="92"/>
      <c r="Y1138" s="2"/>
    </row>
    <row r="1139" spans="1:25">
      <c r="A1139" s="614"/>
      <c r="B1139" s="87">
        <f>B1138+1</f>
        <v>2</v>
      </c>
      <c r="C1139" s="639">
        <v>45929</v>
      </c>
      <c r="D1139" s="10" t="s">
        <v>1746</v>
      </c>
      <c r="E1139" s="10" t="s">
        <v>1731</v>
      </c>
      <c r="F1139" s="62">
        <v>6814</v>
      </c>
      <c r="G1139" s="62">
        <v>39.700000000000003</v>
      </c>
      <c r="H1139" s="62"/>
      <c r="I1139" s="89">
        <f t="shared" ref="I1139:I1159" si="142">F1139-G1139-H1139</f>
        <v>6774.3</v>
      </c>
      <c r="J1139" s="63" t="s">
        <v>205</v>
      </c>
      <c r="K1139" s="63">
        <v>1</v>
      </c>
      <c r="L1139" s="63"/>
      <c r="M1139" s="63"/>
      <c r="N1139" s="63">
        <v>1</v>
      </c>
      <c r="O1139" s="63"/>
      <c r="P1139" s="63"/>
      <c r="Q1139" s="63"/>
      <c r="R1139" s="63"/>
      <c r="S1139" s="296"/>
      <c r="T1139" s="63"/>
      <c r="U1139" s="94"/>
      <c r="V1139" s="90"/>
      <c r="W1139" s="136"/>
      <c r="X1139" s="137"/>
      <c r="Y1139" s="2"/>
    </row>
    <row r="1140" spans="1:25">
      <c r="A1140" s="614"/>
      <c r="B1140" s="87">
        <f t="shared" ref="B1140:B1152" si="143">B1139+1</f>
        <v>3</v>
      </c>
      <c r="C1140" s="639">
        <v>45929</v>
      </c>
      <c r="D1140" s="10">
        <v>73712</v>
      </c>
      <c r="E1140" s="10" t="s">
        <v>1062</v>
      </c>
      <c r="F1140" s="62">
        <v>3814</v>
      </c>
      <c r="G1140" s="62">
        <v>39.700000000000003</v>
      </c>
      <c r="H1140" s="62"/>
      <c r="I1140" s="89">
        <f t="shared" si="142"/>
        <v>3774.3</v>
      </c>
      <c r="J1140" s="63" t="s">
        <v>205</v>
      </c>
      <c r="K1140" s="63">
        <v>1</v>
      </c>
      <c r="L1140" s="63"/>
      <c r="M1140" s="63"/>
      <c r="N1140" s="63">
        <v>1</v>
      </c>
      <c r="O1140" s="63"/>
      <c r="P1140" s="63"/>
      <c r="Q1140" s="63">
        <v>1</v>
      </c>
      <c r="R1140" s="63">
        <v>1</v>
      </c>
      <c r="S1140" s="296">
        <v>1</v>
      </c>
      <c r="T1140" s="63"/>
      <c r="U1140" s="94"/>
      <c r="V1140" s="90"/>
      <c r="W1140" s="136"/>
      <c r="X1140" s="137"/>
      <c r="Y1140" s="2"/>
    </row>
    <row r="1141" spans="1:25">
      <c r="A1141" s="614"/>
      <c r="B1141" s="87">
        <f t="shared" si="143"/>
        <v>4</v>
      </c>
      <c r="C1141" s="639">
        <v>45929</v>
      </c>
      <c r="D1141" s="10">
        <v>73740</v>
      </c>
      <c r="E1141" s="10" t="s">
        <v>1062</v>
      </c>
      <c r="F1141" s="62">
        <v>964</v>
      </c>
      <c r="G1141" s="62">
        <v>39.700000000000003</v>
      </c>
      <c r="H1141" s="62"/>
      <c r="I1141" s="89">
        <f t="shared" si="142"/>
        <v>924.3</v>
      </c>
      <c r="J1141" s="63" t="s">
        <v>205</v>
      </c>
      <c r="K1141" s="63">
        <v>1</v>
      </c>
      <c r="L1141" s="63"/>
      <c r="M1141" s="63"/>
      <c r="N1141" s="63">
        <v>1</v>
      </c>
      <c r="O1141" s="63"/>
      <c r="P1141" s="63"/>
      <c r="Q1141" s="63">
        <v>1</v>
      </c>
      <c r="R1141" s="63">
        <v>1</v>
      </c>
      <c r="S1141" s="296">
        <v>1</v>
      </c>
      <c r="T1141" s="63"/>
      <c r="U1141" s="94"/>
      <c r="V1141" s="90"/>
      <c r="W1141" s="136"/>
      <c r="X1141" s="137"/>
      <c r="Y1141" s="2"/>
    </row>
    <row r="1142" spans="1:25">
      <c r="A1142" s="614"/>
      <c r="B1142" s="87">
        <f t="shared" si="143"/>
        <v>5</v>
      </c>
      <c r="C1142" s="639">
        <v>45929</v>
      </c>
      <c r="D1142" s="10">
        <v>73745</v>
      </c>
      <c r="E1142" s="10" t="s">
        <v>306</v>
      </c>
      <c r="F1142" s="62">
        <v>549</v>
      </c>
      <c r="G1142" s="62"/>
      <c r="H1142" s="62"/>
      <c r="I1142" s="89">
        <f t="shared" si="142"/>
        <v>549</v>
      </c>
      <c r="J1142" s="63" t="s">
        <v>205</v>
      </c>
      <c r="K1142" s="63">
        <v>1</v>
      </c>
      <c r="L1142" s="63"/>
      <c r="M1142" s="63"/>
      <c r="N1142" s="63">
        <v>1</v>
      </c>
      <c r="O1142" s="63"/>
      <c r="P1142" s="63"/>
      <c r="Q1142" s="63">
        <v>1</v>
      </c>
      <c r="R1142" s="63">
        <v>1</v>
      </c>
      <c r="S1142" s="296">
        <v>1</v>
      </c>
      <c r="T1142" s="63"/>
      <c r="U1142" s="94"/>
      <c r="V1142" s="90"/>
      <c r="W1142" s="136"/>
      <c r="X1142" s="137"/>
      <c r="Y1142" s="2"/>
    </row>
    <row r="1143" spans="1:25">
      <c r="A1143" s="614"/>
      <c r="B1143" s="87">
        <f t="shared" si="143"/>
        <v>6</v>
      </c>
      <c r="C1143" s="639">
        <v>45929</v>
      </c>
      <c r="D1143" s="10">
        <v>73763</v>
      </c>
      <c r="E1143" s="10" t="s">
        <v>306</v>
      </c>
      <c r="F1143" s="62">
        <v>1153</v>
      </c>
      <c r="G1143" s="62">
        <v>39.700000000000003</v>
      </c>
      <c r="H1143" s="62"/>
      <c r="I1143" s="89">
        <f t="shared" si="142"/>
        <v>1113.3</v>
      </c>
      <c r="J1143" s="63" t="s">
        <v>205</v>
      </c>
      <c r="K1143" s="63">
        <v>1</v>
      </c>
      <c r="L1143" s="63"/>
      <c r="M1143" s="63"/>
      <c r="N1143" s="63">
        <v>1</v>
      </c>
      <c r="O1143" s="63"/>
      <c r="P1143" s="63"/>
      <c r="Q1143" s="63">
        <v>1</v>
      </c>
      <c r="R1143" s="63">
        <v>1</v>
      </c>
      <c r="S1143" s="296">
        <v>1</v>
      </c>
      <c r="T1143" s="63"/>
      <c r="U1143" s="94"/>
      <c r="V1143" s="90"/>
      <c r="W1143" s="136"/>
      <c r="X1143" s="137"/>
      <c r="Y1143" s="2"/>
    </row>
    <row r="1144" spans="1:25">
      <c r="A1144" s="614"/>
      <c r="B1144" s="87">
        <f t="shared" si="143"/>
        <v>7</v>
      </c>
      <c r="C1144" s="639">
        <v>45929</v>
      </c>
      <c r="D1144" s="10">
        <v>73781</v>
      </c>
      <c r="E1144" s="10" t="s">
        <v>746</v>
      </c>
      <c r="F1144" s="62">
        <v>0</v>
      </c>
      <c r="G1144" s="62">
        <v>0</v>
      </c>
      <c r="H1144" s="62"/>
      <c r="I1144" s="89">
        <f t="shared" si="142"/>
        <v>0</v>
      </c>
      <c r="J1144" s="63" t="s">
        <v>205</v>
      </c>
      <c r="K1144" s="63"/>
      <c r="L1144" s="63"/>
      <c r="M1144" s="63"/>
      <c r="N1144" s="63"/>
      <c r="O1144" s="63"/>
      <c r="P1144" s="63"/>
      <c r="Q1144" s="63">
        <v>1</v>
      </c>
      <c r="R1144" s="63">
        <v>1</v>
      </c>
      <c r="S1144" s="296">
        <v>1</v>
      </c>
      <c r="T1144" s="63"/>
      <c r="U1144" s="94"/>
      <c r="V1144" s="90"/>
      <c r="W1144" s="136"/>
      <c r="X1144" s="137"/>
      <c r="Y1144" s="2"/>
    </row>
    <row r="1145" spans="1:25">
      <c r="A1145" s="614"/>
      <c r="B1145" s="87">
        <f t="shared" si="143"/>
        <v>8</v>
      </c>
      <c r="C1145" s="638">
        <v>45930</v>
      </c>
      <c r="D1145" s="276">
        <v>73771</v>
      </c>
      <c r="E1145" s="281" t="s">
        <v>1062</v>
      </c>
      <c r="F1145" s="277">
        <v>5232.6000000000004</v>
      </c>
      <c r="G1145" s="277">
        <v>39.700000000000003</v>
      </c>
      <c r="H1145" s="277"/>
      <c r="I1145" s="278">
        <f t="shared" si="142"/>
        <v>5192.9000000000005</v>
      </c>
      <c r="J1145" s="279" t="s">
        <v>205</v>
      </c>
      <c r="K1145" s="279">
        <v>1</v>
      </c>
      <c r="L1145" s="279"/>
      <c r="M1145" s="279"/>
      <c r="N1145" s="279">
        <v>1</v>
      </c>
      <c r="O1145" s="279"/>
      <c r="P1145" s="279"/>
      <c r="Q1145" s="279">
        <v>1</v>
      </c>
      <c r="R1145" s="279">
        <v>1</v>
      </c>
      <c r="S1145" s="280">
        <v>1</v>
      </c>
      <c r="T1145" s="63"/>
      <c r="U1145" s="94"/>
      <c r="V1145" s="90"/>
      <c r="W1145" s="136"/>
      <c r="X1145" s="137"/>
      <c r="Y1145" s="2"/>
    </row>
    <row r="1146" spans="1:25">
      <c r="A1146" s="614"/>
      <c r="B1146" s="87">
        <f t="shared" si="143"/>
        <v>9</v>
      </c>
      <c r="C1146" s="639">
        <v>45930</v>
      </c>
      <c r="D1146" s="10">
        <v>73809</v>
      </c>
      <c r="E1146" s="101" t="s">
        <v>1105</v>
      </c>
      <c r="F1146" s="62">
        <v>2729</v>
      </c>
      <c r="G1146" s="62">
        <v>39.700000000000003</v>
      </c>
      <c r="H1146" s="62"/>
      <c r="I1146" s="89">
        <f t="shared" si="142"/>
        <v>2689.3</v>
      </c>
      <c r="J1146" s="63" t="s">
        <v>205</v>
      </c>
      <c r="K1146" s="63">
        <v>1</v>
      </c>
      <c r="L1146" s="63"/>
      <c r="M1146" s="63"/>
      <c r="N1146" s="63">
        <v>1</v>
      </c>
      <c r="O1146" s="63"/>
      <c r="P1146" s="63"/>
      <c r="Q1146" s="63">
        <v>1</v>
      </c>
      <c r="R1146" s="63">
        <v>1</v>
      </c>
      <c r="S1146" s="296">
        <v>1</v>
      </c>
      <c r="T1146" s="63"/>
      <c r="U1146" s="94"/>
      <c r="V1146" s="90"/>
      <c r="W1146" s="136"/>
      <c r="X1146" s="137"/>
      <c r="Y1146" s="2"/>
    </row>
    <row r="1147" spans="1:25">
      <c r="A1147" s="614"/>
      <c r="B1147" s="87">
        <f t="shared" si="143"/>
        <v>10</v>
      </c>
      <c r="C1147" s="639">
        <v>45930</v>
      </c>
      <c r="D1147" s="10">
        <v>73825</v>
      </c>
      <c r="E1147" s="101" t="s">
        <v>1115</v>
      </c>
      <c r="F1147" s="62">
        <v>461</v>
      </c>
      <c r="G1147" s="62"/>
      <c r="H1147" s="62"/>
      <c r="I1147" s="89">
        <f t="shared" si="142"/>
        <v>461</v>
      </c>
      <c r="J1147" s="63" t="s">
        <v>205</v>
      </c>
      <c r="K1147" s="63">
        <v>1</v>
      </c>
      <c r="L1147" s="63"/>
      <c r="M1147" s="63"/>
      <c r="N1147" s="63">
        <v>1</v>
      </c>
      <c r="O1147" s="63"/>
      <c r="P1147" s="63"/>
      <c r="Q1147" s="63">
        <v>1</v>
      </c>
      <c r="R1147" s="63">
        <v>1</v>
      </c>
      <c r="S1147" s="296">
        <v>1</v>
      </c>
      <c r="T1147" s="63"/>
      <c r="U1147" s="94"/>
      <c r="V1147" s="90"/>
      <c r="W1147" s="136"/>
      <c r="X1147" s="137"/>
      <c r="Y1147" s="2"/>
    </row>
    <row r="1148" spans="1:25">
      <c r="A1148" s="614"/>
      <c r="B1148" s="87">
        <f t="shared" si="143"/>
        <v>11</v>
      </c>
      <c r="C1148" s="638">
        <v>45931</v>
      </c>
      <c r="D1148" s="276">
        <v>73844</v>
      </c>
      <c r="E1148" s="281" t="s">
        <v>317</v>
      </c>
      <c r="F1148" s="277">
        <v>681</v>
      </c>
      <c r="G1148" s="277"/>
      <c r="H1148" s="277"/>
      <c r="I1148" s="278">
        <f t="shared" si="142"/>
        <v>681</v>
      </c>
      <c r="J1148" s="279" t="s">
        <v>205</v>
      </c>
      <c r="K1148" s="279">
        <v>1</v>
      </c>
      <c r="L1148" s="279"/>
      <c r="M1148" s="279"/>
      <c r="N1148" s="279">
        <v>1</v>
      </c>
      <c r="O1148" s="279"/>
      <c r="P1148" s="279"/>
      <c r="Q1148" s="279">
        <v>1</v>
      </c>
      <c r="R1148" s="279">
        <v>1</v>
      </c>
      <c r="S1148" s="280">
        <v>1</v>
      </c>
      <c r="T1148" s="63"/>
      <c r="U1148" s="94"/>
      <c r="V1148" s="90"/>
      <c r="W1148" s="136"/>
      <c r="X1148" s="137"/>
      <c r="Y1148" s="2"/>
    </row>
    <row r="1149" spans="1:25">
      <c r="A1149" s="614"/>
      <c r="B1149" s="87">
        <f t="shared" si="143"/>
        <v>12</v>
      </c>
      <c r="C1149" s="639">
        <v>45931</v>
      </c>
      <c r="D1149" s="77">
        <v>73811</v>
      </c>
      <c r="E1149" s="101" t="s">
        <v>1175</v>
      </c>
      <c r="F1149" s="62">
        <v>1134</v>
      </c>
      <c r="G1149" s="62">
        <v>39.700000000000003</v>
      </c>
      <c r="H1149" s="62"/>
      <c r="I1149" s="89">
        <f>F1149-G1149-H1149</f>
        <v>1094.3</v>
      </c>
      <c r="J1149" s="63" t="s">
        <v>205</v>
      </c>
      <c r="K1149" s="63">
        <v>1</v>
      </c>
      <c r="L1149" s="63"/>
      <c r="M1149" s="63"/>
      <c r="N1149" s="63">
        <v>1</v>
      </c>
      <c r="O1149" s="63"/>
      <c r="P1149" s="63"/>
      <c r="Q1149" s="63">
        <v>1</v>
      </c>
      <c r="R1149" s="63">
        <v>1</v>
      </c>
      <c r="S1149" s="296">
        <v>1</v>
      </c>
      <c r="T1149" s="63"/>
      <c r="U1149" s="94"/>
      <c r="V1149" s="90"/>
      <c r="W1149" s="136"/>
      <c r="X1149" s="137"/>
      <c r="Y1149" s="2"/>
    </row>
    <row r="1150" spans="1:25">
      <c r="A1150" s="614"/>
      <c r="B1150" s="87">
        <f t="shared" si="143"/>
        <v>13</v>
      </c>
      <c r="C1150" s="639">
        <v>45931</v>
      </c>
      <c r="D1150" s="10" t="s">
        <v>1747</v>
      </c>
      <c r="E1150" s="101" t="s">
        <v>728</v>
      </c>
      <c r="F1150" s="62">
        <v>12814</v>
      </c>
      <c r="G1150" s="62">
        <v>39.700000000000003</v>
      </c>
      <c r="H1150" s="62"/>
      <c r="I1150" s="89">
        <f t="shared" si="142"/>
        <v>12774.3</v>
      </c>
      <c r="J1150" s="63" t="s">
        <v>205</v>
      </c>
      <c r="K1150" s="63">
        <v>1</v>
      </c>
      <c r="L1150" s="63"/>
      <c r="M1150" s="63"/>
      <c r="N1150" s="63">
        <v>1</v>
      </c>
      <c r="O1150" s="63"/>
      <c r="P1150" s="63"/>
      <c r="Q1150" s="63"/>
      <c r="R1150" s="63"/>
      <c r="S1150" s="296"/>
      <c r="T1150" s="63"/>
      <c r="U1150" s="94"/>
      <c r="V1150" s="90"/>
      <c r="W1150" s="136"/>
      <c r="X1150" s="137"/>
      <c r="Y1150" s="2"/>
    </row>
    <row r="1151" spans="1:25">
      <c r="A1151" s="614"/>
      <c r="B1151" s="87">
        <f t="shared" si="143"/>
        <v>14</v>
      </c>
      <c r="C1151" s="639">
        <v>45931</v>
      </c>
      <c r="D1151" s="10">
        <v>73867</v>
      </c>
      <c r="E1151" s="10" t="s">
        <v>169</v>
      </c>
      <c r="F1151" s="62">
        <v>12814</v>
      </c>
      <c r="G1151" s="62">
        <v>39.700000000000003</v>
      </c>
      <c r="H1151" s="62"/>
      <c r="I1151" s="89">
        <f t="shared" si="142"/>
        <v>12774.3</v>
      </c>
      <c r="J1151" s="63" t="s">
        <v>205</v>
      </c>
      <c r="K1151" s="63">
        <v>1</v>
      </c>
      <c r="L1151" s="63"/>
      <c r="M1151" s="63"/>
      <c r="N1151" s="63">
        <v>1</v>
      </c>
      <c r="O1151" s="63"/>
      <c r="P1151" s="63"/>
      <c r="Q1151" s="63">
        <v>1</v>
      </c>
      <c r="R1151" s="63">
        <v>1</v>
      </c>
      <c r="S1151" s="296"/>
      <c r="T1151" s="63"/>
      <c r="U1151" s="94"/>
      <c r="V1151" s="90"/>
      <c r="W1151" s="136"/>
      <c r="X1151" s="137"/>
      <c r="Y1151" s="2"/>
    </row>
    <row r="1152" spans="1:25">
      <c r="A1152" s="614"/>
      <c r="B1152" s="87">
        <f t="shared" si="143"/>
        <v>15</v>
      </c>
      <c r="C1152" s="639">
        <v>45931</v>
      </c>
      <c r="D1152" s="10" t="s">
        <v>1748</v>
      </c>
      <c r="E1152" s="10" t="s">
        <v>1085</v>
      </c>
      <c r="F1152" s="62">
        <v>5133</v>
      </c>
      <c r="G1152" s="62">
        <v>39.700000000000003</v>
      </c>
      <c r="H1152" s="62"/>
      <c r="I1152" s="89">
        <f t="shared" si="142"/>
        <v>5093.3</v>
      </c>
      <c r="J1152" s="63" t="s">
        <v>205</v>
      </c>
      <c r="K1152" s="63">
        <v>1</v>
      </c>
      <c r="L1152" s="63"/>
      <c r="M1152" s="63"/>
      <c r="N1152" s="63">
        <v>1</v>
      </c>
      <c r="O1152" s="63"/>
      <c r="P1152" s="63"/>
      <c r="Q1152" s="63"/>
      <c r="R1152" s="63"/>
      <c r="S1152" s="296"/>
      <c r="T1152" s="63"/>
      <c r="U1152" s="94"/>
      <c r="V1152" s="90"/>
      <c r="W1152" s="136"/>
      <c r="X1152" s="137"/>
      <c r="Y1152" s="2"/>
    </row>
    <row r="1153" spans="1:25">
      <c r="A1153" s="614"/>
      <c r="B1153" s="87">
        <f>B1152+1</f>
        <v>16</v>
      </c>
      <c r="C1153" s="638">
        <v>45932</v>
      </c>
      <c r="D1153" s="276">
        <v>73950</v>
      </c>
      <c r="E1153" s="276" t="s">
        <v>216</v>
      </c>
      <c r="F1153" s="277">
        <v>0</v>
      </c>
      <c r="G1153" s="277">
        <v>0</v>
      </c>
      <c r="H1153" s="277"/>
      <c r="I1153" s="278">
        <f t="shared" si="142"/>
        <v>0</v>
      </c>
      <c r="J1153" s="279" t="s">
        <v>156</v>
      </c>
      <c r="K1153" s="279">
        <v>1</v>
      </c>
      <c r="L1153" s="279"/>
      <c r="M1153" s="279">
        <v>1</v>
      </c>
      <c r="N1153" s="279"/>
      <c r="O1153" s="279"/>
      <c r="P1153" s="279"/>
      <c r="Q1153" s="279">
        <v>1</v>
      </c>
      <c r="R1153" s="279">
        <v>1</v>
      </c>
      <c r="S1153" s="280">
        <v>1</v>
      </c>
      <c r="T1153" s="63"/>
      <c r="U1153" s="94"/>
      <c r="V1153" s="90">
        <v>203.5</v>
      </c>
      <c r="W1153" s="136"/>
      <c r="X1153" s="137"/>
      <c r="Y1153" s="2"/>
    </row>
    <row r="1154" spans="1:25">
      <c r="A1154" s="614"/>
      <c r="B1154" s="87">
        <f>B1153+1</f>
        <v>17</v>
      </c>
      <c r="C1154" s="639">
        <v>45932</v>
      </c>
      <c r="D1154" s="10">
        <v>73927</v>
      </c>
      <c r="E1154" s="10" t="s">
        <v>216</v>
      </c>
      <c r="F1154" s="62">
        <v>0</v>
      </c>
      <c r="G1154" s="62">
        <v>0</v>
      </c>
      <c r="H1154" s="62"/>
      <c r="I1154" s="89">
        <f t="shared" si="142"/>
        <v>0</v>
      </c>
      <c r="J1154" s="63" t="s">
        <v>205</v>
      </c>
      <c r="K1154" s="63">
        <v>1</v>
      </c>
      <c r="L1154" s="63"/>
      <c r="M1154" s="63"/>
      <c r="N1154" s="63"/>
      <c r="O1154" s="63"/>
      <c r="P1154" s="63"/>
      <c r="Q1154" s="63"/>
      <c r="R1154" s="63"/>
      <c r="S1154" s="296"/>
      <c r="T1154" s="63"/>
      <c r="U1154" s="94"/>
      <c r="V1154" s="90"/>
      <c r="W1154" s="136"/>
      <c r="X1154" s="137"/>
      <c r="Y1154" s="2"/>
    </row>
    <row r="1155" spans="1:25">
      <c r="A1155" s="614"/>
      <c r="B1155" s="87">
        <f>B1154+1</f>
        <v>18</v>
      </c>
      <c r="C1155" s="639">
        <v>45932</v>
      </c>
      <c r="D1155" s="10" t="s">
        <v>1749</v>
      </c>
      <c r="E1155" s="10" t="s">
        <v>1085</v>
      </c>
      <c r="F1155" s="62">
        <v>4330</v>
      </c>
      <c r="G1155" s="62">
        <v>39.700000000000003</v>
      </c>
      <c r="H1155" s="62"/>
      <c r="I1155" s="89">
        <f t="shared" si="142"/>
        <v>4290.3</v>
      </c>
      <c r="J1155" s="63" t="s">
        <v>205</v>
      </c>
      <c r="K1155" s="63">
        <v>1</v>
      </c>
      <c r="L1155" s="63"/>
      <c r="M1155" s="63"/>
      <c r="N1155" s="63">
        <v>1</v>
      </c>
      <c r="O1155" s="63"/>
      <c r="P1155" s="63"/>
      <c r="Q1155" s="63"/>
      <c r="R1155" s="63"/>
      <c r="S1155" s="296"/>
      <c r="T1155" s="63"/>
      <c r="U1155" s="94"/>
      <c r="V1155" s="90"/>
      <c r="W1155" s="136"/>
      <c r="X1155" s="137"/>
      <c r="Y1155" s="2"/>
    </row>
    <row r="1156" spans="1:25">
      <c r="A1156" s="614"/>
      <c r="B1156" s="87">
        <f>B1155+1</f>
        <v>19</v>
      </c>
      <c r="C1156" s="639">
        <v>45932</v>
      </c>
      <c r="D1156" s="10">
        <v>73964</v>
      </c>
      <c r="E1156" s="10" t="s">
        <v>382</v>
      </c>
      <c r="F1156" s="62">
        <f>2869-55</f>
        <v>2814</v>
      </c>
      <c r="G1156" s="62">
        <f>39.7</f>
        <v>39.700000000000003</v>
      </c>
      <c r="H1156" s="62"/>
      <c r="I1156" s="89">
        <f>F1156-G1156-H1156</f>
        <v>2774.3</v>
      </c>
      <c r="J1156" s="63" t="s">
        <v>156</v>
      </c>
      <c r="K1156" s="63">
        <v>1</v>
      </c>
      <c r="L1156" s="63"/>
      <c r="M1156" s="63">
        <v>1</v>
      </c>
      <c r="N1156" s="63">
        <v>1</v>
      </c>
      <c r="O1156" s="63">
        <v>1</v>
      </c>
      <c r="P1156" s="63">
        <v>1</v>
      </c>
      <c r="Q1156" s="63"/>
      <c r="R1156" s="63"/>
      <c r="S1156" s="296"/>
      <c r="T1156" s="63"/>
      <c r="U1156" s="94" t="s">
        <v>1750</v>
      </c>
      <c r="V1156" s="90">
        <f>300</f>
        <v>300</v>
      </c>
      <c r="W1156" s="136"/>
      <c r="X1156" s="137"/>
      <c r="Y1156" s="2"/>
    </row>
    <row r="1157" spans="1:25">
      <c r="A1157" s="614"/>
      <c r="B1157" s="87">
        <f>B1156+1</f>
        <v>20</v>
      </c>
      <c r="C1157" s="638">
        <v>45933</v>
      </c>
      <c r="D1157" s="276">
        <v>74006</v>
      </c>
      <c r="E1157" s="276" t="s">
        <v>811</v>
      </c>
      <c r="F1157" s="277">
        <v>4461</v>
      </c>
      <c r="G1157" s="277">
        <v>39.700000000000003</v>
      </c>
      <c r="H1157" s="277"/>
      <c r="I1157" s="278">
        <f t="shared" si="142"/>
        <v>4421.3</v>
      </c>
      <c r="J1157" s="279" t="s">
        <v>205</v>
      </c>
      <c r="K1157" s="279">
        <v>1</v>
      </c>
      <c r="L1157" s="279"/>
      <c r="M1157" s="279"/>
      <c r="N1157" s="279">
        <v>1</v>
      </c>
      <c r="O1157" s="279"/>
      <c r="P1157" s="279"/>
      <c r="Q1157" s="279"/>
      <c r="R1157" s="279"/>
      <c r="S1157" s="280"/>
      <c r="T1157" s="63"/>
      <c r="U1157" s="94"/>
      <c r="V1157" s="90"/>
      <c r="W1157" s="136"/>
      <c r="X1157" s="137"/>
      <c r="Y1157" s="2"/>
    </row>
    <row r="1158" spans="1:25">
      <c r="A1158" s="614"/>
      <c r="B1158" s="87">
        <f>B1157+1</f>
        <v>21</v>
      </c>
      <c r="C1158" s="639">
        <v>45933</v>
      </c>
      <c r="D1158" s="10">
        <v>73996</v>
      </c>
      <c r="E1158" s="10" t="s">
        <v>746</v>
      </c>
      <c r="F1158" s="62">
        <v>0</v>
      </c>
      <c r="G1158" s="62">
        <v>0</v>
      </c>
      <c r="H1158" s="62"/>
      <c r="I1158" s="89">
        <f t="shared" si="142"/>
        <v>0</v>
      </c>
      <c r="J1158" s="63" t="s">
        <v>219</v>
      </c>
      <c r="K1158" s="63"/>
      <c r="L1158" s="63"/>
      <c r="M1158" s="63"/>
      <c r="N1158" s="63"/>
      <c r="O1158" s="63"/>
      <c r="P1158" s="63"/>
      <c r="Q1158" s="63"/>
      <c r="R1158" s="63"/>
      <c r="S1158" s="296"/>
      <c r="T1158" s="63"/>
      <c r="U1158" s="94"/>
      <c r="V1158" s="90"/>
      <c r="W1158" s="136"/>
      <c r="X1158" s="137"/>
      <c r="Y1158" s="2"/>
    </row>
    <row r="1159" spans="1:25">
      <c r="A1159" s="614"/>
      <c r="B1159" s="87">
        <f>B1158+1</f>
        <v>22</v>
      </c>
      <c r="C1159" s="640">
        <v>45933</v>
      </c>
      <c r="D1159" s="283">
        <v>74033</v>
      </c>
      <c r="E1159" s="283" t="s">
        <v>833</v>
      </c>
      <c r="F1159" s="284">
        <v>6814</v>
      </c>
      <c r="G1159" s="284">
        <v>39.700000000000003</v>
      </c>
      <c r="H1159" s="284"/>
      <c r="I1159" s="285">
        <f t="shared" si="142"/>
        <v>6774.3</v>
      </c>
      <c r="J1159" s="286" t="s">
        <v>205</v>
      </c>
      <c r="K1159" s="286">
        <v>1</v>
      </c>
      <c r="L1159" s="286"/>
      <c r="M1159" s="286"/>
      <c r="N1159" s="286">
        <v>1</v>
      </c>
      <c r="O1159" s="286"/>
      <c r="P1159" s="286"/>
      <c r="Q1159" s="286">
        <v>1</v>
      </c>
      <c r="R1159" s="286">
        <v>1</v>
      </c>
      <c r="S1159" s="287">
        <v>1</v>
      </c>
      <c r="T1159" s="63"/>
      <c r="U1159" s="94"/>
      <c r="V1159" s="90"/>
      <c r="W1159" s="136"/>
      <c r="X1159" s="137"/>
      <c r="Y1159" s="2"/>
    </row>
    <row r="1160" spans="1:25">
      <c r="A1160" s="614"/>
      <c r="B1160" s="11"/>
      <c r="C1160" s="621"/>
      <c r="D1160" s="10"/>
      <c r="E1160" s="10"/>
      <c r="F1160" s="97">
        <f>SUM(F1138:F1159)</f>
        <v>74224.5</v>
      </c>
      <c r="G1160" s="97">
        <f>SUM(G1138:G1159)</f>
        <v>595.5</v>
      </c>
      <c r="H1160" s="97">
        <f>SUM(H1138:H1159)</f>
        <v>0</v>
      </c>
      <c r="I1160" s="98">
        <f>SUM(I1138:I1159)</f>
        <v>73629.000000000015</v>
      </c>
      <c r="J1160" s="10"/>
      <c r="K1160" s="10"/>
      <c r="L1160" s="10"/>
      <c r="M1160" s="10"/>
      <c r="N1160" s="10"/>
      <c r="O1160" s="10"/>
      <c r="P1160" s="10"/>
      <c r="Q1160" s="10"/>
      <c r="R1160" s="10"/>
      <c r="S1160" s="10"/>
      <c r="T1160" s="63"/>
      <c r="U1160" s="94"/>
      <c r="V1160" s="90"/>
      <c r="W1160" s="91"/>
      <c r="X1160" s="92"/>
      <c r="Y1160" s="2"/>
    </row>
    <row r="1161" spans="1:25">
      <c r="A1161" s="614"/>
      <c r="B1161" s="26"/>
      <c r="C1161" s="612"/>
      <c r="D1161" s="141"/>
      <c r="E1161" s="141"/>
      <c r="F1161" s="141"/>
      <c r="G1161" s="141"/>
      <c r="H1161" s="141"/>
      <c r="I1161" s="141"/>
      <c r="J1161" s="141"/>
      <c r="K1161" s="142"/>
      <c r="L1161" s="142"/>
      <c r="M1161" s="142"/>
      <c r="N1161" s="142"/>
      <c r="O1161" s="142"/>
      <c r="P1161" s="142"/>
      <c r="Q1161" s="142"/>
      <c r="R1161" s="142"/>
      <c r="S1161" s="142"/>
      <c r="T1161" s="143">
        <f>SUM(T1092:T1160)</f>
        <v>6</v>
      </c>
      <c r="U1161" s="168"/>
      <c r="V1161" s="144">
        <f>SUM(V1092:V1160)</f>
        <v>52231.259999999987</v>
      </c>
      <c r="W1161" s="145">
        <f>SUM(W1092:W1160)</f>
        <v>0</v>
      </c>
      <c r="X1161" s="146">
        <f>SUM(X1092:X1160)</f>
        <v>0</v>
      </c>
      <c r="Y1161" s="2"/>
    </row>
    <row r="1164" spans="1:25">
      <c r="B1164" s="4" t="s">
        <v>1</v>
      </c>
      <c r="C1164" s="5"/>
      <c r="D1164" s="83"/>
      <c r="E1164" s="6"/>
      <c r="F1164" s="7" t="s">
        <v>2</v>
      </c>
      <c r="G1164" s="608">
        <v>45942</v>
      </c>
      <c r="H1164" s="7"/>
      <c r="I1164" s="6"/>
      <c r="J1164" s="6"/>
      <c r="K1164" s="6"/>
      <c r="L1164" s="6"/>
      <c r="M1164" s="6"/>
      <c r="N1164" s="6"/>
      <c r="O1164" s="6"/>
      <c r="P1164" s="6"/>
      <c r="Q1164" s="6"/>
      <c r="R1164" s="6"/>
      <c r="S1164" s="6"/>
      <c r="T1164" s="6"/>
      <c r="U1164" s="149"/>
      <c r="V1164" s="77"/>
      <c r="W1164" s="77"/>
      <c r="X1164" s="77"/>
    </row>
    <row r="1165" spans="1:25">
      <c r="B1165" s="11"/>
      <c r="C1165" s="10"/>
      <c r="D1165" s="63"/>
      <c r="E1165" s="10"/>
      <c r="F1165" s="10"/>
      <c r="G1165" s="7"/>
      <c r="H1165" s="12"/>
      <c r="I1165" s="10"/>
      <c r="J1165" s="10"/>
      <c r="K1165" s="13" t="s">
        <v>3</v>
      </c>
      <c r="L1165" s="14"/>
      <c r="M1165" s="15"/>
      <c r="N1165" s="13" t="s">
        <v>4</v>
      </c>
      <c r="O1165" s="14"/>
      <c r="P1165" s="15"/>
      <c r="Q1165" s="13" t="s">
        <v>5</v>
      </c>
      <c r="R1165" s="14"/>
      <c r="S1165" s="15"/>
      <c r="T1165" s="16"/>
      <c r="U1165" s="151"/>
      <c r="V1165" s="77"/>
      <c r="W1165" s="77"/>
      <c r="X1165" s="77"/>
    </row>
    <row r="1166" spans="1:25">
      <c r="B1166" s="18" t="s">
        <v>6</v>
      </c>
      <c r="C1166" s="19">
        <f>C1167+C1168</f>
        <v>28</v>
      </c>
      <c r="D1166" s="63"/>
      <c r="E1166" s="18" t="s">
        <v>7</v>
      </c>
      <c r="F1166" s="6"/>
      <c r="G1166" s="9"/>
      <c r="H1166" s="10"/>
      <c r="I1166" s="10"/>
      <c r="J1166" s="10"/>
      <c r="K1166" s="20" t="s">
        <v>8</v>
      </c>
      <c r="L1166" s="21" t="s">
        <v>9</v>
      </c>
      <c r="M1166" s="21" t="s">
        <v>10</v>
      </c>
      <c r="N1166" s="20" t="s">
        <v>11</v>
      </c>
      <c r="O1166" s="21" t="s">
        <v>12</v>
      </c>
      <c r="P1166" s="22" t="s">
        <v>13</v>
      </c>
      <c r="Q1166" s="21" t="s">
        <v>11</v>
      </c>
      <c r="R1166" s="21" t="s">
        <v>12</v>
      </c>
      <c r="S1166" s="22" t="s">
        <v>13</v>
      </c>
      <c r="T1166" s="23" t="s">
        <v>14</v>
      </c>
      <c r="U1166" s="151"/>
      <c r="V1166" s="77"/>
      <c r="W1166" s="77"/>
      <c r="X1166" s="77"/>
    </row>
    <row r="1167" spans="1:25">
      <c r="B1167" s="24" t="s">
        <v>15</v>
      </c>
      <c r="C1167" s="25">
        <f>P1174</f>
        <v>14</v>
      </c>
      <c r="D1167" s="63"/>
      <c r="E1167" s="11" t="s">
        <v>16</v>
      </c>
      <c r="F1167" s="10" t="s">
        <v>78</v>
      </c>
      <c r="G1167" s="153">
        <v>0.05</v>
      </c>
      <c r="H1167" s="10"/>
      <c r="I1167" s="10"/>
      <c r="J1167" s="18" t="s">
        <v>17</v>
      </c>
      <c r="K1167" s="29">
        <f>K1203</f>
        <v>10</v>
      </c>
      <c r="L1167" s="29">
        <f t="shared" ref="L1167:S1167" si="144">L1203</f>
        <v>9</v>
      </c>
      <c r="M1167" s="29">
        <f t="shared" si="144"/>
        <v>10</v>
      </c>
      <c r="N1167" s="29">
        <f t="shared" si="144"/>
        <v>10</v>
      </c>
      <c r="O1167" s="29">
        <f t="shared" si="144"/>
        <v>10</v>
      </c>
      <c r="P1167" s="29">
        <f t="shared" si="144"/>
        <v>10</v>
      </c>
      <c r="Q1167" s="29">
        <f t="shared" si="144"/>
        <v>9</v>
      </c>
      <c r="R1167" s="29">
        <f t="shared" si="144"/>
        <v>9</v>
      </c>
      <c r="S1167" s="29">
        <f t="shared" si="144"/>
        <v>8</v>
      </c>
      <c r="T1167" s="30">
        <f>T1254</f>
        <v>6</v>
      </c>
      <c r="U1167" s="151" t="s">
        <v>1751</v>
      </c>
      <c r="V1167" s="77"/>
      <c r="W1167" s="77"/>
      <c r="X1167" s="77"/>
    </row>
    <row r="1168" spans="1:25">
      <c r="B1168" s="24" t="s">
        <v>18</v>
      </c>
      <c r="C1168" s="25">
        <f>P1175</f>
        <v>14</v>
      </c>
      <c r="D1168" s="63"/>
      <c r="E1168" s="26" t="s">
        <v>80</v>
      </c>
      <c r="F1168" s="141" t="s">
        <v>81</v>
      </c>
      <c r="G1168" s="154">
        <v>0.1</v>
      </c>
      <c r="H1168" s="10"/>
      <c r="I1168" s="10"/>
      <c r="J1168" s="32" t="s">
        <v>19</v>
      </c>
      <c r="K1168" s="33">
        <f>K1203/K1202</f>
        <v>1</v>
      </c>
      <c r="L1168" s="33">
        <f t="shared" ref="L1168:S1168" si="145">L1203/L1202</f>
        <v>0.9</v>
      </c>
      <c r="M1168" s="33">
        <f t="shared" si="145"/>
        <v>1</v>
      </c>
      <c r="N1168" s="33">
        <f t="shared" si="145"/>
        <v>1</v>
      </c>
      <c r="O1168" s="33">
        <f t="shared" si="145"/>
        <v>1</v>
      </c>
      <c r="P1168" s="33">
        <f t="shared" si="145"/>
        <v>1</v>
      </c>
      <c r="Q1168" s="33">
        <f t="shared" si="145"/>
        <v>0.9</v>
      </c>
      <c r="R1168" s="33">
        <f t="shared" si="145"/>
        <v>0.9</v>
      </c>
      <c r="S1168" s="33">
        <f t="shared" si="145"/>
        <v>0.8</v>
      </c>
      <c r="T1168" s="23"/>
      <c r="U1168" s="151" t="s">
        <v>20</v>
      </c>
      <c r="V1168" s="77"/>
      <c r="W1168" s="77"/>
      <c r="X1168" s="77"/>
    </row>
    <row r="1169" spans="2:24">
      <c r="B1169" s="24" t="s">
        <v>21</v>
      </c>
      <c r="C1169" s="34">
        <f>P1176</f>
        <v>0.5</v>
      </c>
      <c r="D1169" s="63"/>
      <c r="E1169" s="10"/>
      <c r="F1169" s="10"/>
      <c r="G1169" s="10"/>
      <c r="H1169" s="10"/>
      <c r="I1169" s="10"/>
      <c r="J1169" s="10"/>
      <c r="K1169" s="10"/>
      <c r="L1169" s="10"/>
      <c r="M1169" s="10"/>
      <c r="N1169" s="10"/>
      <c r="O1169" s="10"/>
      <c r="P1169" s="10"/>
      <c r="Q1169" s="10"/>
      <c r="R1169" s="10"/>
      <c r="S1169" s="10"/>
      <c r="T1169" s="10"/>
      <c r="U1169" s="151"/>
      <c r="V1169" s="77"/>
      <c r="W1169" s="77"/>
      <c r="X1169" s="77"/>
    </row>
    <row r="1170" spans="2:24">
      <c r="B1170" s="24"/>
      <c r="C1170" s="25"/>
      <c r="D1170" s="63"/>
      <c r="E1170" s="10"/>
      <c r="F1170" s="18" t="s">
        <v>22</v>
      </c>
      <c r="G1170" s="19" t="s">
        <v>23</v>
      </c>
      <c r="H1170" s="35" t="s">
        <v>24</v>
      </c>
      <c r="I1170" s="10"/>
      <c r="J1170" s="10"/>
      <c r="K1170" s="36"/>
      <c r="L1170" s="36"/>
      <c r="M1170" s="36"/>
      <c r="N1170" s="36"/>
      <c r="O1170" s="36"/>
      <c r="P1170" s="36"/>
      <c r="Q1170" s="36"/>
      <c r="R1170" s="10"/>
      <c r="S1170" s="10"/>
      <c r="T1170" s="10"/>
      <c r="U1170" s="151"/>
      <c r="V1170" s="77"/>
      <c r="W1170" s="77"/>
      <c r="X1170" s="77"/>
    </row>
    <row r="1171" spans="2:24" ht="20.25" customHeight="1">
      <c r="B1171" s="32" t="s">
        <v>25</v>
      </c>
      <c r="C1171" s="37">
        <f>P1177</f>
        <v>2751.3407142857145</v>
      </c>
      <c r="D1171" s="63"/>
      <c r="E1171" s="18" t="s">
        <v>26</v>
      </c>
      <c r="F1171" s="38">
        <f>P1173</f>
        <v>38518.770000000004</v>
      </c>
      <c r="G1171" s="39">
        <f>I1202+I1219</f>
        <v>38518.769999999997</v>
      </c>
      <c r="H1171" s="771" t="s">
        <v>1752</v>
      </c>
      <c r="I1171" s="771"/>
      <c r="J1171" s="771"/>
      <c r="K1171" s="43" t="s">
        <v>27</v>
      </c>
      <c r="L1171" s="44"/>
      <c r="M1171" s="44"/>
      <c r="N1171" s="44"/>
      <c r="O1171" s="44"/>
      <c r="P1171" s="44"/>
      <c r="Q1171" s="45"/>
      <c r="R1171" s="46" t="s">
        <v>28</v>
      </c>
      <c r="S1171" s="47" t="s">
        <v>29</v>
      </c>
      <c r="T1171" s="10"/>
      <c r="U1171" s="151"/>
      <c r="V1171" s="77"/>
      <c r="W1171" s="77"/>
      <c r="X1171" s="77"/>
    </row>
    <row r="1172" spans="2:24" ht="21" customHeight="1">
      <c r="B1172" s="11"/>
      <c r="C1172" s="10"/>
      <c r="D1172" s="63"/>
      <c r="E1172" s="24" t="s">
        <v>30</v>
      </c>
      <c r="F1172" s="48">
        <f>IF(F1171&gt;=25000,10%,5%)</f>
        <v>0.1</v>
      </c>
      <c r="G1172" s="17"/>
      <c r="H1172" s="771"/>
      <c r="I1172" s="771"/>
      <c r="J1172" s="771"/>
      <c r="K1172" s="20" t="s">
        <v>31</v>
      </c>
      <c r="L1172" s="21" t="s">
        <v>32</v>
      </c>
      <c r="M1172" s="21" t="s">
        <v>33</v>
      </c>
      <c r="N1172" s="21" t="s">
        <v>34</v>
      </c>
      <c r="O1172" s="21" t="s">
        <v>35</v>
      </c>
      <c r="P1172" s="21" t="s">
        <v>36</v>
      </c>
      <c r="Q1172" s="49" t="s">
        <v>37</v>
      </c>
      <c r="R1172" s="50" t="s">
        <v>38</v>
      </c>
      <c r="S1172" s="50" t="s">
        <v>38</v>
      </c>
      <c r="T1172" s="10"/>
      <c r="U1172" s="151"/>
      <c r="V1172" s="77"/>
      <c r="W1172" s="77"/>
      <c r="X1172" s="77"/>
    </row>
    <row r="1173" spans="2:24">
      <c r="B1173" s="11"/>
      <c r="C1173" s="10"/>
      <c r="D1173" s="63"/>
      <c r="E1173" s="51" t="s">
        <v>39</v>
      </c>
      <c r="F1173" s="52">
        <f>(F1171-I1215-I1216-I1217-I1218)*F1172</f>
        <v>1316.2890000000004</v>
      </c>
      <c r="G1173" s="53" t="s">
        <v>40</v>
      </c>
      <c r="H1173" s="484">
        <f>F1173/1.12</f>
        <v>1175.2580357142861</v>
      </c>
      <c r="I1173" s="55"/>
      <c r="J1173" s="42"/>
      <c r="K1173" s="56">
        <v>0</v>
      </c>
      <c r="L1173" s="57">
        <f>I1192+I1193+I1215+I1194</f>
        <v>8601.1999999999989</v>
      </c>
      <c r="M1173" s="57">
        <f>I1195+I1196</f>
        <v>2363.3000000000002</v>
      </c>
      <c r="N1173" s="57">
        <f>I1198+I1197+I1199</f>
        <v>5433.9000000000005</v>
      </c>
      <c r="O1173" s="57">
        <f>I1200+I1201+I1216+I1217+I1218</f>
        <v>22120.37</v>
      </c>
      <c r="P1173" s="57">
        <f>SUM(K1173:O1173)</f>
        <v>38518.770000000004</v>
      </c>
      <c r="Q1173" s="58">
        <v>0</v>
      </c>
      <c r="R1173" s="59">
        <f>+I1219</f>
        <v>25355.879999999997</v>
      </c>
      <c r="S1173" s="59">
        <v>0</v>
      </c>
      <c r="T1173" s="10"/>
      <c r="U1173" s="151"/>
      <c r="V1173" s="77"/>
      <c r="W1173" s="77"/>
      <c r="X1173" s="77"/>
    </row>
    <row r="1174" spans="2:24">
      <c r="B1174" s="11"/>
      <c r="C1174" s="10"/>
      <c r="D1174" s="63"/>
      <c r="E1174" s="24" t="s">
        <v>41</v>
      </c>
      <c r="F1174" s="60">
        <f>Q1173</f>
        <v>0</v>
      </c>
      <c r="G1174" s="61" t="s">
        <v>40</v>
      </c>
      <c r="H1174" s="62"/>
      <c r="I1174" s="62"/>
      <c r="J1174" s="10" t="s">
        <v>42</v>
      </c>
      <c r="K1174" s="63">
        <v>0</v>
      </c>
      <c r="L1174" s="63">
        <v>4</v>
      </c>
      <c r="M1174" s="63">
        <v>2</v>
      </c>
      <c r="N1174" s="63">
        <v>3</v>
      </c>
      <c r="O1174" s="63">
        <v>5</v>
      </c>
      <c r="P1174" s="21">
        <f>SUM(K1174:O1174)</f>
        <v>14</v>
      </c>
      <c r="Q1174" s="64"/>
      <c r="R1174" s="63"/>
      <c r="S1174" s="10"/>
      <c r="T1174" s="10"/>
      <c r="U1174" s="151"/>
      <c r="V1174" s="77"/>
      <c r="W1174" s="77"/>
      <c r="X1174" s="77"/>
    </row>
    <row r="1175" spans="2:24">
      <c r="B1175" s="11"/>
      <c r="C1175" s="10"/>
      <c r="D1175" s="63"/>
      <c r="E1175" s="51" t="s">
        <v>43</v>
      </c>
      <c r="F1175" s="52">
        <f>F1174*0.25</f>
        <v>0</v>
      </c>
      <c r="G1175" s="53" t="s">
        <v>40</v>
      </c>
      <c r="H1175" s="54">
        <f>F1175/1.12</f>
        <v>0</v>
      </c>
      <c r="I1175" s="10"/>
      <c r="J1175" s="10" t="s">
        <v>44</v>
      </c>
      <c r="K1175" s="63">
        <v>0</v>
      </c>
      <c r="L1175" s="63">
        <v>4</v>
      </c>
      <c r="M1175" s="63">
        <v>1</v>
      </c>
      <c r="N1175" s="63">
        <v>6</v>
      </c>
      <c r="O1175" s="63">
        <v>3</v>
      </c>
      <c r="P1175" s="21">
        <f>SUM(K1175:O1175)</f>
        <v>14</v>
      </c>
      <c r="Q1175" s="64"/>
      <c r="R1175" s="63"/>
      <c r="S1175" s="10"/>
      <c r="T1175" s="10"/>
      <c r="U1175" s="151"/>
      <c r="V1175" s="77"/>
      <c r="W1175" s="77"/>
      <c r="X1175" s="77"/>
    </row>
    <row r="1176" spans="2:24">
      <c r="B1176" s="11"/>
      <c r="C1176" s="10"/>
      <c r="D1176" s="63"/>
      <c r="E1176" s="24" t="s">
        <v>45</v>
      </c>
      <c r="F1176" s="60">
        <f>I1212</f>
        <v>39612.764000000003</v>
      </c>
      <c r="G1176" s="61" t="s">
        <v>40</v>
      </c>
      <c r="H1176" s="62"/>
      <c r="I1176" s="10"/>
      <c r="J1176" s="10" t="s">
        <v>46</v>
      </c>
      <c r="K1176" s="31" t="e">
        <f t="shared" ref="K1176:Q1176" si="146">K1174/(K1174+K1175)</f>
        <v>#DIV/0!</v>
      </c>
      <c r="L1176" s="31">
        <f t="shared" si="146"/>
        <v>0.5</v>
      </c>
      <c r="M1176" s="31">
        <f t="shared" si="146"/>
        <v>0.66666666666666663</v>
      </c>
      <c r="N1176" s="31">
        <f t="shared" si="146"/>
        <v>0.33333333333333331</v>
      </c>
      <c r="O1176" s="31">
        <f t="shared" si="146"/>
        <v>0.625</v>
      </c>
      <c r="P1176" s="31">
        <f t="shared" si="146"/>
        <v>0.5</v>
      </c>
      <c r="Q1176" s="31" t="e">
        <f t="shared" si="146"/>
        <v>#DIV/0!</v>
      </c>
      <c r="R1176" s="63"/>
      <c r="S1176" s="10"/>
      <c r="T1176" s="10"/>
      <c r="U1176" s="151"/>
      <c r="V1176" s="77"/>
      <c r="W1176" s="77"/>
      <c r="X1176" s="77"/>
    </row>
    <row r="1177" spans="2:24">
      <c r="B1177" s="11"/>
      <c r="C1177" s="10"/>
      <c r="D1177" s="63"/>
      <c r="E1177" s="51" t="s">
        <v>47</v>
      </c>
      <c r="F1177" s="52">
        <f>(F1176*0.05)+F1181+F1182+F1183</f>
        <v>1952.5592000000004</v>
      </c>
      <c r="G1177" s="65" t="s">
        <v>40</v>
      </c>
      <c r="H1177" s="54">
        <f>F1177/1.12</f>
        <v>1743.3564285714288</v>
      </c>
      <c r="I1177" s="42"/>
      <c r="J1177" s="10" t="s">
        <v>48</v>
      </c>
      <c r="K1177" s="66" t="e">
        <f>K1173/K1174</f>
        <v>#DIV/0!</v>
      </c>
      <c r="L1177" s="66">
        <f t="shared" ref="L1177:Q1177" si="147">L1173/L1174</f>
        <v>2150.2999999999997</v>
      </c>
      <c r="M1177" s="66">
        <f t="shared" si="147"/>
        <v>1181.6500000000001</v>
      </c>
      <c r="N1177" s="66">
        <f t="shared" si="147"/>
        <v>1811.3000000000002</v>
      </c>
      <c r="O1177" s="66">
        <f t="shared" si="147"/>
        <v>4424.0739999999996</v>
      </c>
      <c r="P1177" s="66">
        <f t="shared" si="147"/>
        <v>2751.3407142857145</v>
      </c>
      <c r="Q1177" s="66" t="e">
        <f t="shared" si="147"/>
        <v>#DIV/0!</v>
      </c>
      <c r="R1177" s="63"/>
      <c r="S1177" s="10"/>
      <c r="T1177" s="10"/>
      <c r="U1177" s="151"/>
      <c r="V1177" s="77"/>
      <c r="W1177" s="77"/>
      <c r="X1177" s="77"/>
    </row>
    <row r="1178" spans="2:24">
      <c r="B1178" s="132"/>
      <c r="C1178" s="123"/>
      <c r="D1178" s="127"/>
      <c r="E1178" s="155" t="s">
        <v>14</v>
      </c>
      <c r="F1178" s="156">
        <f>3*50</f>
        <v>150</v>
      </c>
      <c r="G1178" s="123"/>
      <c r="H1178" s="54">
        <f>F1178/1.12</f>
        <v>133.92857142857142</v>
      </c>
      <c r="I1178" s="123"/>
      <c r="J1178" s="123"/>
      <c r="K1178" s="123"/>
      <c r="L1178" s="123"/>
      <c r="M1178" s="123"/>
      <c r="N1178" s="123"/>
      <c r="O1178" s="123"/>
      <c r="P1178" s="123"/>
      <c r="Q1178" s="123"/>
      <c r="R1178" s="123"/>
      <c r="S1178" s="123"/>
      <c r="T1178" s="123"/>
      <c r="U1178" s="157"/>
      <c r="V1178" s="123"/>
      <c r="W1178" s="123"/>
      <c r="X1178" s="123"/>
    </row>
    <row r="1179" spans="2:24">
      <c r="B1179" s="132"/>
      <c r="C1179" s="123"/>
      <c r="D1179" s="127"/>
      <c r="E1179" s="158" t="s">
        <v>49</v>
      </c>
      <c r="F1179" s="159">
        <f>T1168</f>
        <v>0</v>
      </c>
      <c r="G1179" s="123"/>
      <c r="H1179" s="54"/>
      <c r="I1179" s="123"/>
      <c r="J1179" s="42"/>
      <c r="K1179" s="764" t="s">
        <v>50</v>
      </c>
      <c r="L1179" s="765"/>
      <c r="M1179" s="765"/>
      <c r="N1179" s="765"/>
      <c r="O1179" s="765"/>
      <c r="P1179" s="765"/>
      <c r="Q1179" s="766"/>
      <c r="R1179" s="70" t="s">
        <v>28</v>
      </c>
      <c r="S1179" s="71" t="s">
        <v>29</v>
      </c>
      <c r="T1179" s="123"/>
      <c r="U1179" s="157"/>
      <c r="V1179" s="123"/>
      <c r="W1179" s="123"/>
      <c r="X1179" s="123"/>
    </row>
    <row r="1180" spans="2:24">
      <c r="B1180" s="132"/>
      <c r="C1180" s="123"/>
      <c r="D1180" s="127"/>
      <c r="E1180" s="67" t="s">
        <v>649</v>
      </c>
      <c r="F1180" s="68">
        <f>$F$1074</f>
        <v>2552.8240000000005</v>
      </c>
      <c r="G1180" s="123"/>
      <c r="H1180" s="54">
        <f>F1180/1.12</f>
        <v>2279.3071428571429</v>
      </c>
      <c r="I1180" s="123"/>
      <c r="J1180" s="42"/>
      <c r="K1180" s="20" t="s">
        <v>31</v>
      </c>
      <c r="L1180" s="21" t="s">
        <v>32</v>
      </c>
      <c r="M1180" s="21" t="s">
        <v>33</v>
      </c>
      <c r="N1180" s="21" t="s">
        <v>34</v>
      </c>
      <c r="O1180" s="21" t="s">
        <v>35</v>
      </c>
      <c r="P1180" s="21" t="s">
        <v>36</v>
      </c>
      <c r="Q1180" s="49" t="s">
        <v>37</v>
      </c>
      <c r="R1180" s="50" t="s">
        <v>38</v>
      </c>
      <c r="S1180" s="50" t="s">
        <v>38</v>
      </c>
      <c r="T1180" s="123"/>
      <c r="U1180" s="157"/>
      <c r="V1180" s="123"/>
      <c r="W1180" s="123"/>
      <c r="X1180" s="123"/>
    </row>
    <row r="1181" spans="2:24">
      <c r="B1181" s="132"/>
      <c r="C1181" s="123"/>
      <c r="D1181" s="127"/>
      <c r="E1181" s="72" t="s">
        <v>1753</v>
      </c>
      <c r="F1181" s="73">
        <f>+-172.24*0.1</f>
        <v>-17.224</v>
      </c>
      <c r="G1181" s="123"/>
      <c r="H1181" s="54"/>
      <c r="I1181" s="123"/>
      <c r="J1181" s="42"/>
      <c r="K1181" s="56">
        <v>0</v>
      </c>
      <c r="L1181" s="57">
        <f>F1192+F1193+F1215+F1194</f>
        <v>11260</v>
      </c>
      <c r="M1181" s="57">
        <f>F1195+F1196</f>
        <v>2403</v>
      </c>
      <c r="N1181" s="57">
        <f>F1198+F1197+F1199</f>
        <v>5553</v>
      </c>
      <c r="O1181" s="57">
        <f>F1200+F1201+F1216+F1217+F1218</f>
        <v>26387.55</v>
      </c>
      <c r="P1181" s="57">
        <f>SUM(K1181:O1181)</f>
        <v>45603.55</v>
      </c>
      <c r="Q1181" s="58">
        <v>0</v>
      </c>
      <c r="R1181" s="59">
        <f>+F1219</f>
        <v>31959.55</v>
      </c>
      <c r="S1181" s="59">
        <v>0</v>
      </c>
      <c r="T1181" s="123"/>
      <c r="U1181" s="157"/>
      <c r="V1181" s="123"/>
      <c r="W1181" s="123"/>
      <c r="X1181" s="123"/>
    </row>
    <row r="1182" spans="2:24">
      <c r="B1182" s="132"/>
      <c r="C1182" s="123"/>
      <c r="D1182" s="127"/>
      <c r="E1182" s="74" t="s">
        <v>1754</v>
      </c>
      <c r="F1182" s="75">
        <f>+-29.46*0.1</f>
        <v>-2.9460000000000002</v>
      </c>
      <c r="G1182" s="123"/>
      <c r="H1182" s="54"/>
      <c r="I1182" s="123"/>
      <c r="J1182" s="10" t="s">
        <v>42</v>
      </c>
      <c r="K1182" s="63">
        <f t="shared" ref="K1182:Q1183" si="148">K1174</f>
        <v>0</v>
      </c>
      <c r="L1182" s="63">
        <f t="shared" si="148"/>
        <v>4</v>
      </c>
      <c r="M1182" s="63">
        <f t="shared" si="148"/>
        <v>2</v>
      </c>
      <c r="N1182" s="63">
        <f t="shared" si="148"/>
        <v>3</v>
      </c>
      <c r="O1182" s="63">
        <f t="shared" si="148"/>
        <v>5</v>
      </c>
      <c r="P1182" s="63">
        <f t="shared" si="148"/>
        <v>14</v>
      </c>
      <c r="Q1182" s="63">
        <f t="shared" si="148"/>
        <v>0</v>
      </c>
      <c r="R1182" s="63"/>
      <c r="S1182" s="10"/>
      <c r="T1182" s="123"/>
      <c r="U1182" s="157"/>
      <c r="V1182" s="123"/>
      <c r="W1182" s="123"/>
      <c r="X1182" s="123"/>
    </row>
    <row r="1183" spans="2:24">
      <c r="B1183" s="132"/>
      <c r="C1183" s="123"/>
      <c r="D1183" s="127"/>
      <c r="E1183" s="74" t="s">
        <v>1755</v>
      </c>
      <c r="F1183" s="75">
        <f>+-79.09*0.1</f>
        <v>-7.9090000000000007</v>
      </c>
      <c r="G1183" s="123"/>
      <c r="H1183" s="54"/>
      <c r="I1183" s="123"/>
      <c r="J1183" s="10" t="s">
        <v>44</v>
      </c>
      <c r="K1183" s="63">
        <f t="shared" si="148"/>
        <v>0</v>
      </c>
      <c r="L1183" s="63">
        <f t="shared" si="148"/>
        <v>4</v>
      </c>
      <c r="M1183" s="63">
        <f t="shared" si="148"/>
        <v>1</v>
      </c>
      <c r="N1183" s="63">
        <f t="shared" si="148"/>
        <v>6</v>
      </c>
      <c r="O1183" s="63">
        <f t="shared" si="148"/>
        <v>3</v>
      </c>
      <c r="P1183" s="63">
        <f t="shared" si="148"/>
        <v>14</v>
      </c>
      <c r="Q1183" s="63">
        <f t="shared" si="148"/>
        <v>0</v>
      </c>
      <c r="R1183" s="63"/>
      <c r="S1183" s="10"/>
      <c r="T1183" s="123"/>
      <c r="U1183" s="157"/>
      <c r="V1183" s="123"/>
      <c r="W1183" s="123"/>
      <c r="X1183" s="123"/>
    </row>
    <row r="1184" spans="2:24">
      <c r="B1184" s="132"/>
      <c r="C1184" s="123"/>
      <c r="D1184" s="127"/>
      <c r="E1184" s="12"/>
      <c r="F1184" s="160"/>
      <c r="G1184" s="123"/>
      <c r="H1184" s="54"/>
      <c r="I1184" s="123"/>
      <c r="J1184" s="10" t="s">
        <v>46</v>
      </c>
      <c r="K1184" s="31" t="e">
        <f t="shared" ref="K1184:Q1184" si="149">K1182/(K1182+K1183)</f>
        <v>#DIV/0!</v>
      </c>
      <c r="L1184" s="31">
        <f t="shared" si="149"/>
        <v>0.5</v>
      </c>
      <c r="M1184" s="31">
        <f t="shared" si="149"/>
        <v>0.66666666666666663</v>
      </c>
      <c r="N1184" s="31">
        <f t="shared" si="149"/>
        <v>0.33333333333333331</v>
      </c>
      <c r="O1184" s="31">
        <f t="shared" si="149"/>
        <v>0.625</v>
      </c>
      <c r="P1184" s="31">
        <f t="shared" si="149"/>
        <v>0.5</v>
      </c>
      <c r="Q1184" s="31" t="e">
        <f t="shared" si="149"/>
        <v>#DIV/0!</v>
      </c>
      <c r="R1184" s="63"/>
      <c r="S1184" s="10"/>
      <c r="T1184" s="123"/>
      <c r="U1184" s="157"/>
      <c r="V1184" s="123"/>
      <c r="W1184" s="123"/>
      <c r="X1184" s="123"/>
    </row>
    <row r="1185" spans="1:24">
      <c r="B1185" s="132"/>
      <c r="C1185" s="123"/>
      <c r="D1185" s="127"/>
      <c r="E1185" s="12"/>
      <c r="F1185" s="160"/>
      <c r="G1185" s="123"/>
      <c r="H1185" s="54"/>
      <c r="I1185" s="123"/>
      <c r="J1185" s="10" t="s">
        <v>48</v>
      </c>
      <c r="K1185" s="66" t="e">
        <f t="shared" ref="K1185:Q1185" si="150">K1181/K1182</f>
        <v>#DIV/0!</v>
      </c>
      <c r="L1185" s="66">
        <f t="shared" si="150"/>
        <v>2815</v>
      </c>
      <c r="M1185" s="66">
        <f t="shared" si="150"/>
        <v>1201.5</v>
      </c>
      <c r="N1185" s="66">
        <f t="shared" si="150"/>
        <v>1851</v>
      </c>
      <c r="O1185" s="66">
        <f t="shared" si="150"/>
        <v>5277.51</v>
      </c>
      <c r="P1185" s="66">
        <f t="shared" si="150"/>
        <v>3257.3964285714287</v>
      </c>
      <c r="Q1185" s="66" t="e">
        <f t="shared" si="150"/>
        <v>#DIV/0!</v>
      </c>
      <c r="R1185" s="63"/>
      <c r="S1185" s="10"/>
      <c r="T1185" s="123"/>
      <c r="U1185" s="157"/>
      <c r="V1185" s="123"/>
      <c r="W1185" s="123"/>
      <c r="X1185" s="123"/>
    </row>
    <row r="1186" spans="1:24">
      <c r="B1186" s="132"/>
      <c r="C1186" s="123"/>
      <c r="D1186" s="127"/>
      <c r="E1186" s="12"/>
      <c r="F1186" s="160"/>
      <c r="G1186" s="123"/>
      <c r="H1186" s="54"/>
      <c r="I1186" s="123"/>
      <c r="J1186" s="123"/>
      <c r="K1186" s="123"/>
      <c r="L1186" s="123"/>
      <c r="M1186" s="123"/>
      <c r="N1186" s="123"/>
      <c r="O1186" s="123"/>
      <c r="P1186" s="123"/>
      <c r="Q1186" s="123"/>
      <c r="R1186" s="123"/>
      <c r="S1186" s="123"/>
      <c r="T1186" s="123"/>
      <c r="U1186" s="157"/>
      <c r="V1186" s="123"/>
      <c r="W1186" s="123"/>
      <c r="X1186" s="123"/>
    </row>
    <row r="1187" spans="1:24">
      <c r="B1187" s="11"/>
      <c r="C1187" s="10"/>
      <c r="D1187" s="63"/>
      <c r="E1187" s="12"/>
      <c r="F1187" s="12"/>
      <c r="G1187" s="10"/>
      <c r="H1187" s="10"/>
      <c r="I1187" s="10"/>
      <c r="J1187" s="10"/>
      <c r="K1187" s="10"/>
      <c r="L1187" s="10"/>
      <c r="M1187" s="10"/>
      <c r="N1187" s="10"/>
      <c r="O1187" s="10"/>
      <c r="P1187" s="10"/>
      <c r="Q1187" s="10"/>
      <c r="R1187" s="10"/>
      <c r="S1187" s="10"/>
      <c r="T1187" s="10"/>
      <c r="U1187" s="151"/>
      <c r="V1187" s="77"/>
      <c r="W1187" s="77"/>
      <c r="X1187" s="77"/>
    </row>
    <row r="1188" spans="1:24">
      <c r="B1188" s="11"/>
      <c r="C1188" s="10"/>
      <c r="D1188" s="63"/>
      <c r="E1188" s="10"/>
      <c r="F1188" s="10"/>
      <c r="G1188" s="10"/>
      <c r="H1188" s="10"/>
      <c r="I1188" s="10"/>
      <c r="J1188" s="10"/>
      <c r="K1188" s="10"/>
      <c r="L1188" s="10"/>
      <c r="M1188" s="10"/>
      <c r="N1188" s="10"/>
      <c r="O1188" s="10"/>
      <c r="P1188" s="10"/>
      <c r="Q1188" s="10"/>
      <c r="R1188" s="10"/>
      <c r="S1188" s="10"/>
      <c r="T1188" s="10"/>
      <c r="U1188" s="151"/>
      <c r="V1188" s="77"/>
      <c r="W1188" s="77"/>
      <c r="X1188" s="77"/>
    </row>
    <row r="1189" spans="1:24">
      <c r="B1189" s="18" t="s">
        <v>51</v>
      </c>
      <c r="C1189" s="14"/>
      <c r="D1189" s="14"/>
      <c r="E1189" s="14"/>
      <c r="F1189" s="13" t="s">
        <v>52</v>
      </c>
      <c r="G1189" s="14"/>
      <c r="H1189" s="14"/>
      <c r="I1189" s="14"/>
      <c r="J1189" s="14"/>
      <c r="K1189" s="13" t="s">
        <v>3</v>
      </c>
      <c r="L1189" s="14"/>
      <c r="M1189" s="14"/>
      <c r="N1189" s="13" t="s">
        <v>4</v>
      </c>
      <c r="O1189" s="14"/>
      <c r="P1189" s="14"/>
      <c r="Q1189" s="13" t="s">
        <v>5</v>
      </c>
      <c r="R1189" s="14"/>
      <c r="S1189" s="14"/>
      <c r="T1189" s="18"/>
      <c r="U1189" s="161" t="s">
        <v>53</v>
      </c>
      <c r="V1189" s="77"/>
      <c r="W1189" s="77"/>
      <c r="X1189" s="77"/>
    </row>
    <row r="1190" spans="1:24">
      <c r="B1190" s="24" t="s">
        <v>54</v>
      </c>
      <c r="C1190" s="21" t="s">
        <v>55</v>
      </c>
      <c r="D1190" s="21" t="s">
        <v>56</v>
      </c>
      <c r="E1190" s="21" t="s">
        <v>57</v>
      </c>
      <c r="F1190" s="20" t="s">
        <v>58</v>
      </c>
      <c r="G1190" s="21" t="s">
        <v>59</v>
      </c>
      <c r="H1190" s="21" t="s">
        <v>60</v>
      </c>
      <c r="I1190" s="21" t="s">
        <v>26</v>
      </c>
      <c r="J1190" s="22" t="s">
        <v>61</v>
      </c>
      <c r="K1190" s="21" t="s">
        <v>8</v>
      </c>
      <c r="L1190" s="21" t="s">
        <v>9</v>
      </c>
      <c r="M1190" s="21" t="s">
        <v>10</v>
      </c>
      <c r="N1190" s="20" t="s">
        <v>11</v>
      </c>
      <c r="O1190" s="21" t="s">
        <v>12</v>
      </c>
      <c r="P1190" s="22" t="s">
        <v>13</v>
      </c>
      <c r="Q1190" s="21" t="s">
        <v>11</v>
      </c>
      <c r="R1190" s="21" t="s">
        <v>12</v>
      </c>
      <c r="S1190" s="21" t="s">
        <v>13</v>
      </c>
      <c r="T1190" s="78" t="s">
        <v>14</v>
      </c>
      <c r="U1190" s="162"/>
      <c r="V1190" s="79" t="s">
        <v>62</v>
      </c>
      <c r="W1190" s="80" t="s">
        <v>63</v>
      </c>
      <c r="X1190" s="81" t="s">
        <v>64</v>
      </c>
    </row>
    <row r="1191" spans="1:24">
      <c r="B1191" s="4" t="s">
        <v>65</v>
      </c>
      <c r="C1191" s="6"/>
      <c r="D1191" s="6"/>
      <c r="E1191" s="6"/>
      <c r="F1191" s="6"/>
      <c r="G1191" s="6"/>
      <c r="H1191" s="6"/>
      <c r="I1191" s="82"/>
      <c r="J1191" s="6"/>
      <c r="K1191" s="6"/>
      <c r="L1191" s="6"/>
      <c r="M1191" s="6"/>
      <c r="N1191" s="6"/>
      <c r="O1191" s="6"/>
      <c r="P1191" s="6"/>
      <c r="Q1191" s="6"/>
      <c r="R1191" s="6"/>
      <c r="S1191" s="6"/>
      <c r="T1191" s="83"/>
      <c r="U1191" s="163"/>
      <c r="V1191" s="84"/>
      <c r="W1191" s="85"/>
      <c r="X1191" s="86"/>
    </row>
    <row r="1192" spans="1:24">
      <c r="B1192" s="87">
        <v>1</v>
      </c>
      <c r="C1192" s="638">
        <v>45937</v>
      </c>
      <c r="D1192" s="276">
        <v>74056</v>
      </c>
      <c r="E1192" s="276" t="s">
        <v>739</v>
      </c>
      <c r="F1192" s="277">
        <v>1261</v>
      </c>
      <c r="G1192" s="277">
        <f>39.7</f>
        <v>39.700000000000003</v>
      </c>
      <c r="H1192" s="297"/>
      <c r="I1192" s="321">
        <f>F1192-G1192-H1192</f>
        <v>1221.3</v>
      </c>
      <c r="J1192" s="279" t="s">
        <v>156</v>
      </c>
      <c r="K1192" s="279">
        <v>1</v>
      </c>
      <c r="L1192" s="322">
        <v>0</v>
      </c>
      <c r="M1192" s="279">
        <v>1</v>
      </c>
      <c r="N1192" s="279">
        <v>1</v>
      </c>
      <c r="O1192" s="279">
        <v>1</v>
      </c>
      <c r="P1192" s="279">
        <v>1</v>
      </c>
      <c r="Q1192" s="279">
        <v>1</v>
      </c>
      <c r="R1192" s="279">
        <v>1</v>
      </c>
      <c r="S1192" s="280">
        <v>1</v>
      </c>
      <c r="T1192" s="63"/>
      <c r="U1192" s="94"/>
      <c r="V1192" s="90">
        <v>1387.1</v>
      </c>
      <c r="W1192" s="91"/>
      <c r="X1192" s="92"/>
    </row>
    <row r="1193" spans="1:24">
      <c r="B1193" s="87">
        <f t="shared" ref="B1193:B1196" si="151">B1192+1</f>
        <v>2</v>
      </c>
      <c r="C1193" s="639">
        <v>45937</v>
      </c>
      <c r="D1193" s="10">
        <v>74127</v>
      </c>
      <c r="E1193" s="10" t="s">
        <v>752</v>
      </c>
      <c r="F1193" s="62">
        <v>821</v>
      </c>
      <c r="G1193" s="62">
        <f>39.7</f>
        <v>39.700000000000003</v>
      </c>
      <c r="H1193" s="62"/>
      <c r="I1193" s="89">
        <f t="shared" ref="I1193:I1198" si="152">F1193-G1193-H1193</f>
        <v>781.3</v>
      </c>
      <c r="J1193" s="63" t="s">
        <v>156</v>
      </c>
      <c r="K1193" s="63">
        <v>1</v>
      </c>
      <c r="L1193" s="63">
        <v>1</v>
      </c>
      <c r="M1193" s="63">
        <v>1</v>
      </c>
      <c r="N1193" s="63">
        <v>1</v>
      </c>
      <c r="O1193" s="63">
        <v>1</v>
      </c>
      <c r="P1193" s="63">
        <v>1</v>
      </c>
      <c r="Q1193" s="63">
        <v>1</v>
      </c>
      <c r="R1193" s="63">
        <v>1</v>
      </c>
      <c r="S1193" s="296">
        <v>1</v>
      </c>
      <c r="T1193" s="63"/>
      <c r="U1193" s="94"/>
      <c r="V1193" s="90">
        <f>90+813.1</f>
        <v>903.1</v>
      </c>
      <c r="W1193" s="91"/>
      <c r="X1193" s="92"/>
    </row>
    <row r="1194" spans="1:24">
      <c r="A1194" s="464">
        <v>45846</v>
      </c>
      <c r="B1194" s="87">
        <f t="shared" si="151"/>
        <v>3</v>
      </c>
      <c r="C1194" s="639">
        <v>45937</v>
      </c>
      <c r="D1194" s="10">
        <v>74165</v>
      </c>
      <c r="E1194" s="10" t="s">
        <v>294</v>
      </c>
      <c r="F1194" s="62">
        <v>1364</v>
      </c>
      <c r="G1194" s="62">
        <f>39.7</f>
        <v>39.700000000000003</v>
      </c>
      <c r="H1194" s="62"/>
      <c r="I1194" s="89">
        <f>F1194-G1194-H1194</f>
        <v>1324.3</v>
      </c>
      <c r="J1194" s="63" t="s">
        <v>156</v>
      </c>
      <c r="K1194" s="63">
        <v>1</v>
      </c>
      <c r="L1194" s="63">
        <v>1</v>
      </c>
      <c r="M1194" s="63">
        <v>1</v>
      </c>
      <c r="N1194" s="63">
        <v>1</v>
      </c>
      <c r="O1194" s="63">
        <v>1</v>
      </c>
      <c r="P1194" s="63">
        <v>1</v>
      </c>
      <c r="Q1194" s="63">
        <v>1</v>
      </c>
      <c r="R1194" s="63">
        <v>1</v>
      </c>
      <c r="S1194" s="296">
        <v>1</v>
      </c>
      <c r="T1194" s="63"/>
      <c r="U1194" s="94" t="s">
        <v>1756</v>
      </c>
      <c r="V1194" s="90">
        <f>150+1350.4</f>
        <v>1500.4</v>
      </c>
      <c r="W1194" s="91"/>
      <c r="X1194" s="92"/>
    </row>
    <row r="1195" spans="1:24">
      <c r="B1195" s="87">
        <f t="shared" si="151"/>
        <v>4</v>
      </c>
      <c r="C1195" s="638">
        <v>45938</v>
      </c>
      <c r="D1195" s="276">
        <v>74087</v>
      </c>
      <c r="E1195" s="404" t="s">
        <v>278</v>
      </c>
      <c r="F1195" s="277">
        <v>1722</v>
      </c>
      <c r="G1195" s="277">
        <f>39.7</f>
        <v>39.700000000000003</v>
      </c>
      <c r="H1195" s="277"/>
      <c r="I1195" s="278">
        <f t="shared" si="152"/>
        <v>1682.3</v>
      </c>
      <c r="J1195" s="279" t="s">
        <v>156</v>
      </c>
      <c r="K1195" s="279">
        <v>1</v>
      </c>
      <c r="L1195" s="279">
        <v>1</v>
      </c>
      <c r="M1195" s="279">
        <v>1</v>
      </c>
      <c r="N1195" s="279">
        <v>1</v>
      </c>
      <c r="O1195" s="279">
        <v>1</v>
      </c>
      <c r="P1195" s="279">
        <v>1</v>
      </c>
      <c r="Q1195" s="279">
        <v>1</v>
      </c>
      <c r="R1195" s="279">
        <v>1</v>
      </c>
      <c r="S1195" s="280">
        <v>1</v>
      </c>
      <c r="T1195" s="21">
        <v>1</v>
      </c>
      <c r="U1195" s="94"/>
      <c r="V1195" s="90">
        <f>180+1714.2</f>
        <v>1894.2</v>
      </c>
      <c r="W1195" s="91"/>
      <c r="X1195" s="92"/>
    </row>
    <row r="1196" spans="1:24">
      <c r="B1196" s="87">
        <f t="shared" si="151"/>
        <v>5</v>
      </c>
      <c r="C1196" s="639">
        <v>45938</v>
      </c>
      <c r="D1196" s="10">
        <v>73929</v>
      </c>
      <c r="E1196" s="10" t="s">
        <v>1757</v>
      </c>
      <c r="F1196" s="62">
        <v>681</v>
      </c>
      <c r="G1196" s="62"/>
      <c r="H1196" s="62"/>
      <c r="I1196" s="89">
        <f t="shared" si="152"/>
        <v>681</v>
      </c>
      <c r="J1196" s="63" t="s">
        <v>156</v>
      </c>
      <c r="K1196" s="63">
        <v>1</v>
      </c>
      <c r="L1196" s="63">
        <v>1</v>
      </c>
      <c r="M1196" s="63">
        <v>1</v>
      </c>
      <c r="N1196" s="63">
        <v>1</v>
      </c>
      <c r="O1196" s="63">
        <v>1</v>
      </c>
      <c r="P1196" s="63">
        <v>1</v>
      </c>
      <c r="Q1196" s="63">
        <v>1</v>
      </c>
      <c r="R1196" s="63">
        <v>1</v>
      </c>
      <c r="S1196" s="296">
        <v>1</v>
      </c>
      <c r="T1196" s="63"/>
      <c r="U1196" s="94"/>
      <c r="V1196" s="90">
        <v>749.1</v>
      </c>
      <c r="W1196" s="91"/>
      <c r="X1196" s="92"/>
    </row>
    <row r="1197" spans="1:24">
      <c r="B1197" s="87">
        <f>B1196+1</f>
        <v>6</v>
      </c>
      <c r="C1197" s="638">
        <v>45939</v>
      </c>
      <c r="D1197" s="276">
        <v>74248</v>
      </c>
      <c r="E1197" s="276" t="s">
        <v>211</v>
      </c>
      <c r="F1197" s="277">
        <f>2181-85</f>
        <v>2096</v>
      </c>
      <c r="G1197" s="277">
        <f>39.7</f>
        <v>39.700000000000003</v>
      </c>
      <c r="H1197" s="297"/>
      <c r="I1197" s="278">
        <f t="shared" ref="I1197" si="153">F1197-G1197-H1197</f>
        <v>2056.3000000000002</v>
      </c>
      <c r="J1197" s="279" t="s">
        <v>228</v>
      </c>
      <c r="K1197" s="279">
        <v>1</v>
      </c>
      <c r="L1197" s="279">
        <v>1</v>
      </c>
      <c r="M1197" s="279">
        <v>1</v>
      </c>
      <c r="N1197" s="279">
        <v>1</v>
      </c>
      <c r="O1197" s="279">
        <v>1</v>
      </c>
      <c r="P1197" s="279">
        <v>1</v>
      </c>
      <c r="Q1197" s="279">
        <v>1</v>
      </c>
      <c r="R1197" s="279">
        <v>1</v>
      </c>
      <c r="S1197" s="280">
        <v>1</v>
      </c>
      <c r="T1197" s="21">
        <v>2</v>
      </c>
      <c r="U1197" s="94"/>
      <c r="V1197" s="90">
        <f>93.5+1600+612.1</f>
        <v>2305.6</v>
      </c>
      <c r="W1197" s="91"/>
      <c r="X1197" s="92"/>
    </row>
    <row r="1198" spans="1:24">
      <c r="B1198" s="87">
        <f>B1197+1</f>
        <v>7</v>
      </c>
      <c r="C1198" s="639">
        <v>45939</v>
      </c>
      <c r="D1198" s="10">
        <v>74274</v>
      </c>
      <c r="E1198" s="10" t="s">
        <v>464</v>
      </c>
      <c r="F1198" s="62">
        <v>1596</v>
      </c>
      <c r="G1198" s="62">
        <f>39.7</f>
        <v>39.700000000000003</v>
      </c>
      <c r="H1198" s="88"/>
      <c r="I1198" s="324">
        <f t="shared" si="152"/>
        <v>1556.3</v>
      </c>
      <c r="J1198" s="63" t="s">
        <v>156</v>
      </c>
      <c r="K1198" s="63">
        <v>1</v>
      </c>
      <c r="L1198" s="63">
        <v>1</v>
      </c>
      <c r="M1198" s="63">
        <v>1</v>
      </c>
      <c r="N1198" s="63">
        <v>1</v>
      </c>
      <c r="O1198" s="63">
        <v>1</v>
      </c>
      <c r="P1198" s="63">
        <v>1</v>
      </c>
      <c r="Q1198" s="325">
        <v>0</v>
      </c>
      <c r="R1198" s="325">
        <v>0</v>
      </c>
      <c r="S1198" s="326">
        <v>0</v>
      </c>
      <c r="T1198" s="63"/>
      <c r="U1198" s="94"/>
      <c r="V1198" s="90">
        <v>1755.6</v>
      </c>
      <c r="W1198" s="91"/>
      <c r="X1198" s="92"/>
    </row>
    <row r="1199" spans="1:24">
      <c r="B1199" s="87">
        <f>B1198+1</f>
        <v>8</v>
      </c>
      <c r="C1199" s="639">
        <v>45939</v>
      </c>
      <c r="D1199" s="10" t="s">
        <v>1758</v>
      </c>
      <c r="E1199" s="10" t="s">
        <v>464</v>
      </c>
      <c r="F1199" s="62">
        <v>1861</v>
      </c>
      <c r="G1199" s="62">
        <f>39.7</f>
        <v>39.700000000000003</v>
      </c>
      <c r="H1199" s="62"/>
      <c r="I1199" s="324">
        <f>F1199-G1199-H1199</f>
        <v>1821.3</v>
      </c>
      <c r="J1199" s="63" t="s">
        <v>156</v>
      </c>
      <c r="K1199" s="63">
        <v>1</v>
      </c>
      <c r="L1199" s="63">
        <v>1</v>
      </c>
      <c r="M1199" s="63">
        <v>1</v>
      </c>
      <c r="N1199" s="63">
        <v>1</v>
      </c>
      <c r="O1199" s="63">
        <v>1</v>
      </c>
      <c r="P1199" s="63">
        <v>1</v>
      </c>
      <c r="Q1199" s="63">
        <v>1</v>
      </c>
      <c r="R1199" s="63">
        <v>1</v>
      </c>
      <c r="S1199" s="326">
        <v>0</v>
      </c>
      <c r="T1199" s="21">
        <v>1</v>
      </c>
      <c r="U1199" s="94"/>
      <c r="V1199" s="90">
        <f>250+1797.1</f>
        <v>2047.1</v>
      </c>
      <c r="W1199" s="91"/>
      <c r="X1199" s="92"/>
    </row>
    <row r="1200" spans="1:24">
      <c r="B1200" s="87">
        <f>B1199+1</f>
        <v>9</v>
      </c>
      <c r="C1200" s="638">
        <v>45940</v>
      </c>
      <c r="D1200" s="276">
        <v>74257</v>
      </c>
      <c r="E1200" s="281" t="s">
        <v>798</v>
      </c>
      <c r="F1200" s="277">
        <v>1381</v>
      </c>
      <c r="G1200" s="277">
        <f>39.7+(123.81)</f>
        <v>163.51</v>
      </c>
      <c r="H1200" s="277"/>
      <c r="I1200" s="278">
        <f t="shared" ref="I1200" si="154">F1200-G1200-H1200</f>
        <v>1217.49</v>
      </c>
      <c r="J1200" s="279" t="s">
        <v>228</v>
      </c>
      <c r="K1200" s="279">
        <v>1</v>
      </c>
      <c r="L1200" s="279">
        <v>1</v>
      </c>
      <c r="M1200" s="279">
        <v>1</v>
      </c>
      <c r="N1200" s="279">
        <v>1</v>
      </c>
      <c r="O1200" s="279">
        <v>1</v>
      </c>
      <c r="P1200" s="279">
        <v>1</v>
      </c>
      <c r="Q1200" s="279">
        <v>1</v>
      </c>
      <c r="R1200" s="279">
        <v>1</v>
      </c>
      <c r="S1200" s="280">
        <v>1</v>
      </c>
      <c r="T1200" s="63"/>
      <c r="U1200" s="94"/>
      <c r="V1200" s="90">
        <f>750+769.1</f>
        <v>1519.1</v>
      </c>
      <c r="W1200" s="91"/>
      <c r="X1200" s="92"/>
    </row>
    <row r="1201" spans="1:26">
      <c r="B1201" s="87">
        <f>B1200+1</f>
        <v>10</v>
      </c>
      <c r="C1201" s="640">
        <v>45940</v>
      </c>
      <c r="D1201" s="283">
        <v>74188</v>
      </c>
      <c r="E1201" s="283" t="s">
        <v>211</v>
      </c>
      <c r="F1201" s="284">
        <v>861</v>
      </c>
      <c r="G1201" s="284">
        <f>39.7</f>
        <v>39.700000000000003</v>
      </c>
      <c r="H1201" s="315"/>
      <c r="I1201" s="285">
        <f>F1201-G1201-H1201</f>
        <v>821.3</v>
      </c>
      <c r="J1201" s="286" t="s">
        <v>156</v>
      </c>
      <c r="K1201" s="286">
        <v>1</v>
      </c>
      <c r="L1201" s="286">
        <v>1</v>
      </c>
      <c r="M1201" s="286">
        <v>1</v>
      </c>
      <c r="N1201" s="286">
        <v>1</v>
      </c>
      <c r="O1201" s="286">
        <v>1</v>
      </c>
      <c r="P1201" s="286">
        <v>1</v>
      </c>
      <c r="Q1201" s="286">
        <v>1</v>
      </c>
      <c r="R1201" s="286">
        <v>1</v>
      </c>
      <c r="S1201" s="287">
        <v>1</v>
      </c>
      <c r="T1201" s="63"/>
      <c r="U1201" s="94"/>
      <c r="V1201" s="90">
        <f>90+857.1</f>
        <v>947.1</v>
      </c>
      <c r="W1201" s="91"/>
      <c r="X1201" s="92"/>
    </row>
    <row r="1202" spans="1:26">
      <c r="B1202" s="87"/>
      <c r="C1202" s="621"/>
      <c r="D1202" s="10"/>
      <c r="E1202" s="10"/>
      <c r="F1202" s="97">
        <f>SUM(F1192:F1201)</f>
        <v>13644</v>
      </c>
      <c r="G1202" s="97">
        <f>SUM(G1192:G1201)</f>
        <v>481.10999999999996</v>
      </c>
      <c r="H1202" s="97">
        <f>SUM(H1192:H1201)</f>
        <v>0</v>
      </c>
      <c r="I1202" s="98">
        <f>SUM(I1192:I1201)</f>
        <v>13162.889999999998</v>
      </c>
      <c r="J1202" s="63"/>
      <c r="K1202" s="63">
        <f>COUNT(K1192:K1201)</f>
        <v>10</v>
      </c>
      <c r="L1202" s="63">
        <f>COUNT(L1192:L1201)</f>
        <v>10</v>
      </c>
      <c r="M1202" s="63">
        <f>COUNT(M1192:M1201)</f>
        <v>10</v>
      </c>
      <c r="N1202" s="63">
        <f>COUNT(N1192:N1201)</f>
        <v>10</v>
      </c>
      <c r="O1202" s="63">
        <f>COUNT(O1192:O1201)</f>
        <v>10</v>
      </c>
      <c r="P1202" s="63">
        <f>COUNT(P1192:P1201)</f>
        <v>10</v>
      </c>
      <c r="Q1202" s="63">
        <f>COUNT(Q1192:Q1201)</f>
        <v>10</v>
      </c>
      <c r="R1202" s="63">
        <f>COUNT(R1192:R1201)</f>
        <v>10</v>
      </c>
      <c r="S1202" s="63">
        <f>COUNT(S1192:S1201)</f>
        <v>10</v>
      </c>
      <c r="T1202" s="63"/>
      <c r="U1202" s="94"/>
      <c r="V1202" s="90"/>
      <c r="W1202" s="91"/>
      <c r="X1202" s="92"/>
    </row>
    <row r="1203" spans="1:26">
      <c r="B1203" s="87"/>
      <c r="C1203" s="621"/>
      <c r="D1203" s="10"/>
      <c r="E1203" s="10"/>
      <c r="F1203" s="88"/>
      <c r="G1203" s="88"/>
      <c r="H1203" s="88"/>
      <c r="I1203" s="99"/>
      <c r="J1203" s="63"/>
      <c r="K1203" s="21">
        <f>SUM(K1192:K1201)</f>
        <v>10</v>
      </c>
      <c r="L1203" s="21">
        <f>SUM(L1192:L1201)</f>
        <v>9</v>
      </c>
      <c r="M1203" s="21">
        <f>SUM(M1192:M1201)</f>
        <v>10</v>
      </c>
      <c r="N1203" s="21">
        <f>SUM(N1192:N1201)</f>
        <v>10</v>
      </c>
      <c r="O1203" s="21">
        <f>SUM(O1192:O1201)</f>
        <v>10</v>
      </c>
      <c r="P1203" s="21">
        <f>SUM(P1192:P1201)</f>
        <v>10</v>
      </c>
      <c r="Q1203" s="21">
        <f>SUM(Q1192:Q1201)</f>
        <v>9</v>
      </c>
      <c r="R1203" s="21">
        <f>SUM(R1192:R1201)</f>
        <v>9</v>
      </c>
      <c r="S1203" s="21">
        <f>SUM(S1192:S1201)</f>
        <v>8</v>
      </c>
      <c r="T1203" s="63"/>
      <c r="U1203" s="94"/>
      <c r="V1203" s="90"/>
      <c r="W1203" s="91"/>
      <c r="X1203" s="92"/>
    </row>
    <row r="1204" spans="1:26">
      <c r="B1204" s="11"/>
      <c r="C1204" s="609"/>
      <c r="D1204" s="10"/>
      <c r="E1204" s="10"/>
      <c r="F1204" s="88"/>
      <c r="G1204" s="88"/>
      <c r="H1204" s="88"/>
      <c r="I1204" s="99"/>
      <c r="J1204" s="63"/>
      <c r="K1204" s="21"/>
      <c r="L1204" s="21"/>
      <c r="M1204" s="21"/>
      <c r="N1204" s="21"/>
      <c r="O1204" s="21"/>
      <c r="P1204" s="21"/>
      <c r="Q1204" s="21"/>
      <c r="R1204" s="21"/>
      <c r="S1204" s="21"/>
      <c r="T1204" s="63"/>
      <c r="U1204" s="94"/>
      <c r="V1204" s="90"/>
      <c r="W1204" s="91"/>
      <c r="X1204" s="92"/>
    </row>
    <row r="1205" spans="1:26">
      <c r="B1205" s="100" t="s">
        <v>67</v>
      </c>
      <c r="C1205" s="609"/>
      <c r="D1205" s="10"/>
      <c r="E1205" s="10"/>
      <c r="F1205" s="88"/>
      <c r="G1205" s="62"/>
      <c r="H1205" s="88"/>
      <c r="I1205" s="99"/>
      <c r="J1205" s="63"/>
      <c r="K1205" s="2"/>
      <c r="L1205" s="2"/>
      <c r="M1205" s="2"/>
      <c r="N1205" s="2"/>
      <c r="O1205" s="2"/>
      <c r="P1205" s="2"/>
      <c r="Q1205" s="2"/>
      <c r="R1205" s="2"/>
      <c r="S1205" s="2"/>
      <c r="T1205" s="63"/>
      <c r="U1205" s="94"/>
      <c r="V1205" s="90"/>
      <c r="W1205" s="91"/>
      <c r="X1205" s="92"/>
    </row>
    <row r="1206" spans="1:26">
      <c r="A1206" s="31" t="s">
        <v>1721</v>
      </c>
      <c r="B1206" s="87">
        <v>1</v>
      </c>
      <c r="C1206" s="262">
        <v>45848</v>
      </c>
      <c r="D1206" s="263">
        <v>71373</v>
      </c>
      <c r="E1206" s="264" t="s">
        <v>1338</v>
      </c>
      <c r="F1206" s="265">
        <v>2681</v>
      </c>
      <c r="G1206" s="265">
        <f>39.7+(92.99)</f>
        <v>132.69</v>
      </c>
      <c r="H1206" s="265"/>
      <c r="I1206" s="266">
        <f>F1206-G1206-H1206</f>
        <v>2548.31</v>
      </c>
      <c r="J1206" s="267" t="s">
        <v>228</v>
      </c>
      <c r="K1206" s="267">
        <v>1</v>
      </c>
      <c r="L1206" s="267">
        <v>1</v>
      </c>
      <c r="M1206" s="267">
        <v>1</v>
      </c>
      <c r="N1206" s="267">
        <v>1</v>
      </c>
      <c r="O1206" s="267">
        <v>1</v>
      </c>
      <c r="P1206" s="314">
        <v>0</v>
      </c>
      <c r="Q1206" s="314">
        <v>0</v>
      </c>
      <c r="R1206" s="314">
        <v>0</v>
      </c>
      <c r="S1206" s="366">
        <v>0</v>
      </c>
      <c r="T1206" s="63"/>
      <c r="U1206" s="10" t="s">
        <v>1709</v>
      </c>
      <c r="V1206" s="90">
        <f>2649.1</f>
        <v>2649.1</v>
      </c>
      <c r="W1206" s="91"/>
      <c r="X1206" s="92"/>
      <c r="Y1206" s="434"/>
    </row>
    <row r="1207" spans="1:26">
      <c r="A1207" s="261" t="s">
        <v>1744</v>
      </c>
      <c r="B1207" s="87">
        <f>B1206+1</f>
        <v>2</v>
      </c>
      <c r="C1207" s="262">
        <v>45882</v>
      </c>
      <c r="D1207" s="263">
        <v>72282</v>
      </c>
      <c r="E1207" s="271" t="s">
        <v>384</v>
      </c>
      <c r="F1207" s="265">
        <f>12614-7159.45</f>
        <v>5454.55</v>
      </c>
      <c r="G1207" s="265">
        <f>39.7+(166)+(60.58)+1000</f>
        <v>1266.28</v>
      </c>
      <c r="H1207" s="265"/>
      <c r="I1207" s="266">
        <f>F1207-G1207-H1207</f>
        <v>4188.2700000000004</v>
      </c>
      <c r="J1207" s="267" t="s">
        <v>156</v>
      </c>
      <c r="K1207" s="267">
        <v>1</v>
      </c>
      <c r="L1207" s="267">
        <v>1</v>
      </c>
      <c r="M1207" s="267">
        <v>1</v>
      </c>
      <c r="N1207" s="267">
        <v>1</v>
      </c>
      <c r="O1207" s="267">
        <v>1</v>
      </c>
      <c r="P1207" s="267">
        <v>1</v>
      </c>
      <c r="Q1207" s="314">
        <v>0</v>
      </c>
      <c r="R1207" s="314">
        <v>0</v>
      </c>
      <c r="S1207" s="366">
        <v>0</v>
      </c>
      <c r="T1207" s="63"/>
      <c r="U1207" s="94" t="s">
        <v>1722</v>
      </c>
      <c r="V1207" s="90">
        <f>6000</f>
        <v>6000</v>
      </c>
      <c r="W1207" s="136"/>
      <c r="X1207" s="137"/>
      <c r="Y1207" s="260"/>
      <c r="Z1207" s="260"/>
    </row>
    <row r="1208" spans="1:26">
      <c r="A1208" s="261" t="s">
        <v>1759</v>
      </c>
      <c r="B1208" s="87">
        <f t="shared" ref="B1208:B1211" si="155">B1207+1</f>
        <v>3</v>
      </c>
      <c r="C1208" s="274">
        <v>45880</v>
      </c>
      <c r="D1208" s="327" t="s">
        <v>1575</v>
      </c>
      <c r="E1208" s="276" t="s">
        <v>798</v>
      </c>
      <c r="F1208" s="277">
        <v>28614</v>
      </c>
      <c r="G1208" s="277">
        <f>39.7+87+2114.68+(88.79+147.25+67.07+175.66+38+31.51+60)+(287.36+46.46+263.98-60+165.31)+(F1208*0.2)</f>
        <v>9275.57</v>
      </c>
      <c r="H1208" s="277"/>
      <c r="I1208" s="321">
        <f>(F1208-G1208-H1208)*0.8</f>
        <v>15470.744000000001</v>
      </c>
      <c r="J1208" s="279" t="s">
        <v>156</v>
      </c>
      <c r="K1208" s="279">
        <v>1</v>
      </c>
      <c r="L1208" s="279">
        <v>1</v>
      </c>
      <c r="M1208" s="279">
        <v>1</v>
      </c>
      <c r="N1208" s="322">
        <v>0</v>
      </c>
      <c r="O1208" s="322">
        <v>0</v>
      </c>
      <c r="P1208" s="322">
        <v>0</v>
      </c>
      <c r="Q1208" s="279">
        <v>1</v>
      </c>
      <c r="R1208" s="279">
        <v>1</v>
      </c>
      <c r="S1208" s="280">
        <v>1</v>
      </c>
      <c r="T1208" s="63"/>
      <c r="U1208" s="94" t="s">
        <v>1603</v>
      </c>
      <c r="V1208" s="90"/>
      <c r="W1208" s="91"/>
      <c r="X1208" s="137"/>
      <c r="Y1208" s="260"/>
      <c r="Z1208" s="342"/>
    </row>
    <row r="1209" spans="1:26">
      <c r="A1209" s="261" t="s">
        <v>1723</v>
      </c>
      <c r="B1209" s="87">
        <f t="shared" si="155"/>
        <v>4</v>
      </c>
      <c r="C1209" s="262">
        <v>45889</v>
      </c>
      <c r="D1209" s="271">
        <v>72473</v>
      </c>
      <c r="E1209" s="271" t="s">
        <v>384</v>
      </c>
      <c r="F1209" s="265">
        <v>20352.599999999999</v>
      </c>
      <c r="G1209" s="265">
        <f>39.7+1158.5+330+698.2+1074.8+910.2+283.4+67.5+(131.46+39.56+458.93+229.4+124.76-77.28+55.97+47.5+55.06+259.65)+(199.57+15.62+124.74)+2000</f>
        <v>8227.24</v>
      </c>
      <c r="H1209" s="265"/>
      <c r="I1209" s="266">
        <f>F1209-G1209-H1209</f>
        <v>12125.359999999999</v>
      </c>
      <c r="J1209" s="267" t="s">
        <v>228</v>
      </c>
      <c r="K1209" s="267">
        <v>1</v>
      </c>
      <c r="L1209" s="267">
        <v>1</v>
      </c>
      <c r="M1209" s="267">
        <v>1</v>
      </c>
      <c r="N1209" s="267">
        <v>1</v>
      </c>
      <c r="O1209" s="267">
        <v>1</v>
      </c>
      <c r="P1209" s="267">
        <v>1</v>
      </c>
      <c r="Q1209" s="314">
        <v>0</v>
      </c>
      <c r="R1209" s="314">
        <v>0</v>
      </c>
      <c r="S1209" s="366">
        <v>0</v>
      </c>
      <c r="T1209" s="63"/>
      <c r="U1209" s="94" t="s">
        <v>1724</v>
      </c>
      <c r="V1209" s="90"/>
      <c r="W1209" s="136"/>
      <c r="X1209" s="137"/>
      <c r="Y1209" s="260"/>
      <c r="Z1209" s="260"/>
    </row>
    <row r="1210" spans="1:26">
      <c r="A1210" s="261" t="s">
        <v>1723</v>
      </c>
      <c r="B1210" s="87">
        <f t="shared" si="155"/>
        <v>5</v>
      </c>
      <c r="C1210" s="262">
        <v>45918</v>
      </c>
      <c r="D1210" s="263">
        <v>73435</v>
      </c>
      <c r="E1210" s="264" t="s">
        <v>1102</v>
      </c>
      <c r="F1210" s="265">
        <f>1223-85</f>
        <v>1138</v>
      </c>
      <c r="G1210" s="265">
        <f>39.7</f>
        <v>39.700000000000003</v>
      </c>
      <c r="H1210" s="265"/>
      <c r="I1210" s="266">
        <f>F1210-G1210-H1210</f>
        <v>1098.3</v>
      </c>
      <c r="J1210" s="267" t="s">
        <v>156</v>
      </c>
      <c r="K1210" s="267">
        <v>1</v>
      </c>
      <c r="L1210" s="267">
        <v>1</v>
      </c>
      <c r="M1210" s="267">
        <v>1</v>
      </c>
      <c r="N1210" s="267">
        <v>1</v>
      </c>
      <c r="O1210" s="267">
        <v>1</v>
      </c>
      <c r="P1210" s="267">
        <v>1</v>
      </c>
      <c r="Q1210" s="267">
        <v>1</v>
      </c>
      <c r="R1210" s="267">
        <v>1</v>
      </c>
      <c r="S1210" s="366">
        <v>0</v>
      </c>
      <c r="T1210" s="63"/>
      <c r="U1210" s="94"/>
      <c r="V1210" s="90">
        <f>1158.3</f>
        <v>1158.3</v>
      </c>
      <c r="W1210" s="91"/>
      <c r="X1210" s="92"/>
      <c r="Y1210" s="181"/>
      <c r="Z1210" s="260"/>
    </row>
    <row r="1211" spans="1:26">
      <c r="A1211" s="261" t="s">
        <v>1706</v>
      </c>
      <c r="B1211" s="87">
        <f t="shared" si="155"/>
        <v>6</v>
      </c>
      <c r="C1211" s="262">
        <v>45919</v>
      </c>
      <c r="D1211" s="263" t="s">
        <v>1707</v>
      </c>
      <c r="E1211" s="271" t="s">
        <v>1046</v>
      </c>
      <c r="F1211" s="265">
        <v>5914</v>
      </c>
      <c r="G1211" s="265">
        <f>39.7+(28.04+1323.07+91.41)+250</f>
        <v>1732.22</v>
      </c>
      <c r="H1211" s="265"/>
      <c r="I1211" s="272">
        <f>F1211-G1211-H1211</f>
        <v>4181.78</v>
      </c>
      <c r="J1211" s="267" t="s">
        <v>156</v>
      </c>
      <c r="K1211" s="267">
        <v>1</v>
      </c>
      <c r="L1211" s="267">
        <v>1</v>
      </c>
      <c r="M1211" s="267">
        <v>1</v>
      </c>
      <c r="N1211" s="267">
        <v>1</v>
      </c>
      <c r="O1211" s="267">
        <v>1</v>
      </c>
      <c r="P1211" s="267">
        <v>1</v>
      </c>
      <c r="Q1211" s="267">
        <v>1</v>
      </c>
      <c r="R1211" s="267">
        <v>1</v>
      </c>
      <c r="S1211" s="269">
        <v>1</v>
      </c>
      <c r="T1211" s="63"/>
      <c r="U1211" s="94" t="s">
        <v>1708</v>
      </c>
      <c r="V1211" s="90">
        <f>200</f>
        <v>200</v>
      </c>
      <c r="W1211" s="136"/>
      <c r="X1211" s="137"/>
      <c r="Y1211" s="181"/>
      <c r="Z1211" s="260"/>
    </row>
    <row r="1212" spans="1:26">
      <c r="B1212" s="11"/>
      <c r="C1212" s="609"/>
      <c r="D1212" s="10"/>
      <c r="E1212" s="10"/>
      <c r="F1212" s="97">
        <f>SUM(F1206:F1211)</f>
        <v>64154.15</v>
      </c>
      <c r="G1212" s="97">
        <f>SUM(G1206:G1211)</f>
        <v>20673.7</v>
      </c>
      <c r="H1212" s="97">
        <f>SUM(H1206:H1211)</f>
        <v>0</v>
      </c>
      <c r="I1212" s="98">
        <f>SUM(I1206:I1211)</f>
        <v>39612.764000000003</v>
      </c>
      <c r="J1212" s="63"/>
      <c r="K1212" s="21"/>
      <c r="L1212" s="21"/>
      <c r="M1212" s="21"/>
      <c r="N1212" s="21"/>
      <c r="O1212" s="21"/>
      <c r="P1212" s="21"/>
      <c r="Q1212" s="21"/>
      <c r="R1212" s="21"/>
      <c r="S1212" s="21"/>
      <c r="T1212" s="63"/>
      <c r="U1212" s="94"/>
      <c r="V1212" s="90"/>
      <c r="W1212" s="91"/>
      <c r="X1212" s="92"/>
    </row>
    <row r="1213" spans="1:26">
      <c r="B1213" s="11"/>
      <c r="C1213" s="621"/>
      <c r="D1213" s="10"/>
      <c r="E1213" s="10"/>
      <c r="F1213" s="88"/>
      <c r="G1213" s="88"/>
      <c r="H1213" s="88"/>
      <c r="I1213" s="99"/>
      <c r="J1213" s="63"/>
      <c r="K1213" s="21"/>
      <c r="L1213" s="21"/>
      <c r="M1213" s="21"/>
      <c r="N1213" s="21"/>
      <c r="O1213" s="21"/>
      <c r="P1213" s="21"/>
      <c r="Q1213" s="21"/>
      <c r="R1213" s="21"/>
      <c r="S1213" s="21"/>
      <c r="T1213" s="63"/>
      <c r="U1213" s="94"/>
      <c r="V1213" s="90"/>
      <c r="W1213" s="91"/>
      <c r="X1213" s="92"/>
    </row>
    <row r="1214" spans="1:26">
      <c r="B1214" s="121" t="s">
        <v>70</v>
      </c>
      <c r="C1214" s="621"/>
      <c r="D1214" s="123"/>
      <c r="E1214" s="128"/>
      <c r="F1214" s="124"/>
      <c r="G1214" s="124"/>
      <c r="H1214" s="124"/>
      <c r="I1214" s="126"/>
      <c r="J1214" s="127"/>
      <c r="K1214" s="64"/>
      <c r="L1214" s="64"/>
      <c r="M1214" s="64"/>
      <c r="N1214" s="64"/>
      <c r="O1214" s="64"/>
      <c r="P1214" s="64"/>
      <c r="Q1214" s="64"/>
      <c r="R1214" s="64"/>
      <c r="S1214" s="64"/>
      <c r="T1214" s="127"/>
      <c r="U1214" s="135"/>
      <c r="V1214" s="129"/>
      <c r="W1214" s="130"/>
      <c r="X1214" s="131"/>
    </row>
    <row r="1215" spans="1:26" s="342" customFormat="1">
      <c r="A1215" s="492">
        <v>0.1</v>
      </c>
      <c r="B1215" s="333">
        <v>1</v>
      </c>
      <c r="C1215" s="653">
        <v>45937</v>
      </c>
      <c r="D1215" s="335" t="s">
        <v>1760</v>
      </c>
      <c r="E1215" s="335" t="s">
        <v>739</v>
      </c>
      <c r="F1215" s="336">
        <v>7814</v>
      </c>
      <c r="G1215" s="336">
        <f>39.7+2500</f>
        <v>2539.6999999999998</v>
      </c>
      <c r="H1215" s="336"/>
      <c r="I1215" s="337">
        <f>F1215-G1215-H1215</f>
        <v>5274.3</v>
      </c>
      <c r="J1215" s="338" t="s">
        <v>156</v>
      </c>
      <c r="K1215" s="338">
        <v>1</v>
      </c>
      <c r="L1215" s="338"/>
      <c r="M1215" s="338">
        <v>1</v>
      </c>
      <c r="N1215" s="338">
        <v>1</v>
      </c>
      <c r="O1215" s="338">
        <v>1</v>
      </c>
      <c r="P1215" s="338">
        <v>1</v>
      </c>
      <c r="Q1215" s="338"/>
      <c r="R1215" s="338"/>
      <c r="S1215" s="339"/>
      <c r="T1215" s="127"/>
      <c r="U1215" s="135" t="s">
        <v>1761</v>
      </c>
      <c r="V1215" s="129">
        <f>850</f>
        <v>850</v>
      </c>
      <c r="W1215" s="340"/>
      <c r="X1215" s="341"/>
    </row>
    <row r="1216" spans="1:26">
      <c r="A1216" t="s">
        <v>1762</v>
      </c>
      <c r="B1216" s="467">
        <f>B1215+1</f>
        <v>2</v>
      </c>
      <c r="C1216" s="737">
        <v>45940</v>
      </c>
      <c r="D1216" s="469">
        <v>74323</v>
      </c>
      <c r="E1216" s="469" t="s">
        <v>464</v>
      </c>
      <c r="F1216" s="471">
        <v>17252.95</v>
      </c>
      <c r="G1216" s="471">
        <f>39.7+1382.2+(15.73+38.64)+(67.07+238.31+9.55+30.32+27.31-117.79)+1500</f>
        <v>3231.04</v>
      </c>
      <c r="H1216" s="471"/>
      <c r="I1216" s="329">
        <f>F1216-G1216-H1216</f>
        <v>14021.91</v>
      </c>
      <c r="J1216" s="472" t="s">
        <v>228</v>
      </c>
      <c r="K1216" s="472">
        <v>1</v>
      </c>
      <c r="L1216" s="472"/>
      <c r="M1216" s="472">
        <v>1</v>
      </c>
      <c r="N1216" s="472">
        <v>1</v>
      </c>
      <c r="O1216" s="472">
        <v>1</v>
      </c>
      <c r="P1216" s="472">
        <v>1</v>
      </c>
      <c r="Q1216" s="472"/>
      <c r="R1216" s="472"/>
      <c r="S1216" s="473"/>
      <c r="T1216" s="738">
        <v>1</v>
      </c>
      <c r="U1216" s="475" t="s">
        <v>1763</v>
      </c>
      <c r="V1216" s="476">
        <f>1850+5000+8000</f>
        <v>14850</v>
      </c>
      <c r="W1216" s="465"/>
      <c r="X1216" s="483"/>
    </row>
    <row r="1217" spans="1:25" s="342" customFormat="1">
      <c r="A1217" s="356">
        <v>0.1</v>
      </c>
      <c r="B1217" s="333">
        <f t="shared" ref="B1217:B1218" si="156">B1216+1</f>
        <v>3</v>
      </c>
      <c r="C1217" s="654">
        <v>45940</v>
      </c>
      <c r="D1217" s="123">
        <v>74277</v>
      </c>
      <c r="E1217" s="123" t="s">
        <v>1584</v>
      </c>
      <c r="F1217" s="125">
        <v>4360</v>
      </c>
      <c r="G1217" s="125">
        <f>39.7+(102.09)+300</f>
        <v>441.79</v>
      </c>
      <c r="H1217" s="125"/>
      <c r="I1217" s="347">
        <f>F1217-G1217-H1217</f>
        <v>3918.21</v>
      </c>
      <c r="J1217" s="127" t="s">
        <v>228</v>
      </c>
      <c r="K1217" s="127">
        <v>1</v>
      </c>
      <c r="L1217" s="127"/>
      <c r="M1217" s="127">
        <v>1</v>
      </c>
      <c r="N1217" s="127">
        <v>1</v>
      </c>
      <c r="O1217" s="127">
        <v>1</v>
      </c>
      <c r="P1217" s="127">
        <v>1</v>
      </c>
      <c r="Q1217" s="127"/>
      <c r="R1217" s="127"/>
      <c r="S1217" s="349"/>
      <c r="T1217" s="127"/>
      <c r="U1217" s="135" t="s">
        <v>1764</v>
      </c>
      <c r="V1217" s="129">
        <f>480+4346</f>
        <v>4826</v>
      </c>
      <c r="W1217" s="340"/>
      <c r="X1217" s="341"/>
    </row>
    <row r="1218" spans="1:25" s="342" customFormat="1">
      <c r="A1218" s="492">
        <v>0.1</v>
      </c>
      <c r="B1218" s="333">
        <f t="shared" si="156"/>
        <v>4</v>
      </c>
      <c r="C1218" s="655">
        <v>45940</v>
      </c>
      <c r="D1218" s="396">
        <v>74299</v>
      </c>
      <c r="E1218" s="396" t="s">
        <v>728</v>
      </c>
      <c r="F1218" s="397">
        <v>2532.6</v>
      </c>
      <c r="G1218" s="397">
        <f>39.7+(351.44)</f>
        <v>391.14</v>
      </c>
      <c r="H1218" s="397"/>
      <c r="I1218" s="398">
        <f>F1218-G1218-H1218</f>
        <v>2141.46</v>
      </c>
      <c r="J1218" s="399" t="s">
        <v>156</v>
      </c>
      <c r="K1218" s="399">
        <v>1</v>
      </c>
      <c r="L1218" s="399"/>
      <c r="M1218" s="399">
        <v>1</v>
      </c>
      <c r="N1218" s="399">
        <v>1</v>
      </c>
      <c r="O1218" s="399">
        <v>1</v>
      </c>
      <c r="P1218" s="399">
        <v>1</v>
      </c>
      <c r="Q1218" s="399"/>
      <c r="R1218" s="399"/>
      <c r="S1218" s="400"/>
      <c r="T1218" s="127"/>
      <c r="U1218" s="135"/>
      <c r="V1218" s="129">
        <f>300</f>
        <v>300</v>
      </c>
      <c r="W1218" s="340"/>
      <c r="X1218" s="341"/>
    </row>
    <row r="1219" spans="1:25">
      <c r="B1219" s="132"/>
      <c r="C1219" s="621"/>
      <c r="D1219" s="123"/>
      <c r="E1219" s="123"/>
      <c r="F1219" s="134">
        <f t="shared" ref="F1219:H1219" si="157">SUM(F1215:F1218)</f>
        <v>31959.55</v>
      </c>
      <c r="G1219" s="134">
        <f t="shared" si="157"/>
        <v>6603.67</v>
      </c>
      <c r="H1219" s="134">
        <f t="shared" si="157"/>
        <v>0</v>
      </c>
      <c r="I1219" s="134">
        <f>SUM(I1215:I1218)</f>
        <v>25355.879999999997</v>
      </c>
      <c r="J1219" s="127"/>
      <c r="K1219" s="64"/>
      <c r="L1219" s="64"/>
      <c r="M1219" s="64"/>
      <c r="N1219" s="64"/>
      <c r="O1219" s="64"/>
      <c r="P1219" s="64"/>
      <c r="Q1219" s="64"/>
      <c r="R1219" s="64"/>
      <c r="S1219" s="64"/>
      <c r="T1219" s="127"/>
      <c r="U1219" s="135"/>
      <c r="V1219" s="129"/>
      <c r="W1219" s="130"/>
      <c r="X1219" s="131"/>
    </row>
    <row r="1220" spans="1:25">
      <c r="B1220" s="11"/>
      <c r="C1220" s="621"/>
      <c r="D1220" s="10"/>
      <c r="E1220" s="10"/>
      <c r="F1220" s="88"/>
      <c r="G1220" s="88"/>
      <c r="H1220" s="88"/>
      <c r="I1220" s="99"/>
      <c r="J1220" s="63"/>
      <c r="K1220" s="21"/>
      <c r="L1220" s="21"/>
      <c r="M1220" s="21"/>
      <c r="N1220" s="21"/>
      <c r="O1220" s="21"/>
      <c r="P1220" s="21"/>
      <c r="Q1220" s="21"/>
      <c r="R1220" s="21"/>
      <c r="S1220" s="21"/>
      <c r="T1220" s="63"/>
      <c r="U1220" s="94"/>
      <c r="V1220" s="90"/>
      <c r="W1220" s="91"/>
      <c r="X1220" s="92"/>
    </row>
    <row r="1221" spans="1:25" s="434" customFormat="1" ht="13.5">
      <c r="A1221" s="10"/>
      <c r="B1221" s="100" t="s">
        <v>152</v>
      </c>
      <c r="C1221" s="36"/>
      <c r="D1221" s="10"/>
      <c r="E1221" s="10"/>
      <c r="F1221" s="88"/>
      <c r="G1221" s="62"/>
      <c r="H1221" s="88"/>
      <c r="I1221" s="99"/>
      <c r="J1221" s="63"/>
      <c r="K1221" s="10"/>
      <c r="L1221" s="10"/>
      <c r="M1221" s="10"/>
      <c r="N1221" s="10"/>
      <c r="O1221" s="10"/>
      <c r="P1221" s="123"/>
      <c r="Q1221" s="10"/>
      <c r="R1221" s="10"/>
      <c r="S1221" s="10"/>
      <c r="T1221" s="63"/>
      <c r="U1221" s="10"/>
      <c r="V1221" s="90"/>
      <c r="W1221" s="91"/>
      <c r="X1221" s="92"/>
    </row>
    <row r="1222" spans="1:25" s="260" customFormat="1">
      <c r="A1222" s="261">
        <v>0.05</v>
      </c>
      <c r="B1222" s="87">
        <v>1</v>
      </c>
      <c r="C1222" s="262">
        <v>45863</v>
      </c>
      <c r="D1222" s="263" t="s">
        <v>1497</v>
      </c>
      <c r="E1222" s="271" t="s">
        <v>1117</v>
      </c>
      <c r="F1222" s="265">
        <v>1138</v>
      </c>
      <c r="G1222" s="265">
        <f>39.7</f>
        <v>39.700000000000003</v>
      </c>
      <c r="H1222" s="365"/>
      <c r="I1222" s="266">
        <f>F1222-G1222-H1222</f>
        <v>1098.3</v>
      </c>
      <c r="J1222" s="267"/>
      <c r="K1222" s="267">
        <v>1</v>
      </c>
      <c r="L1222" s="267">
        <v>1</v>
      </c>
      <c r="M1222" s="267"/>
      <c r="N1222" s="267">
        <v>1</v>
      </c>
      <c r="O1222" s="267">
        <v>1</v>
      </c>
      <c r="P1222" s="267">
        <v>1</v>
      </c>
      <c r="Q1222" s="314">
        <v>0</v>
      </c>
      <c r="R1222" s="314">
        <v>0</v>
      </c>
      <c r="S1222" s="366">
        <v>0</v>
      </c>
      <c r="T1222" s="63"/>
      <c r="U1222" s="10" t="s">
        <v>1628</v>
      </c>
      <c r="V1222" s="90"/>
      <c r="W1222" s="91"/>
      <c r="X1222" s="92"/>
    </row>
    <row r="1223" spans="1:25" s="260" customFormat="1">
      <c r="A1223" s="261">
        <v>0.05</v>
      </c>
      <c r="B1223" s="87">
        <f>B1222+1</f>
        <v>2</v>
      </c>
      <c r="C1223" s="274">
        <v>45874</v>
      </c>
      <c r="D1223" s="327">
        <v>72064</v>
      </c>
      <c r="E1223" s="276" t="s">
        <v>998</v>
      </c>
      <c r="F1223" s="277">
        <v>1138</v>
      </c>
      <c r="G1223" s="277">
        <v>39.700000000000003</v>
      </c>
      <c r="H1223" s="277"/>
      <c r="I1223" s="321">
        <f>F1223-G1223-H1223</f>
        <v>1098.3</v>
      </c>
      <c r="J1223" s="279"/>
      <c r="K1223" s="279">
        <v>1</v>
      </c>
      <c r="L1223" s="279">
        <v>1</v>
      </c>
      <c r="M1223" s="279"/>
      <c r="N1223" s="279">
        <v>1</v>
      </c>
      <c r="O1223" s="279">
        <v>1</v>
      </c>
      <c r="P1223" s="279">
        <v>1</v>
      </c>
      <c r="Q1223" s="322">
        <v>0</v>
      </c>
      <c r="R1223" s="322">
        <v>0</v>
      </c>
      <c r="S1223" s="328">
        <v>0</v>
      </c>
      <c r="T1223" s="63"/>
      <c r="U1223" s="94" t="s">
        <v>1540</v>
      </c>
      <c r="V1223" s="90"/>
      <c r="W1223" s="91"/>
      <c r="X1223" s="92"/>
    </row>
    <row r="1224" spans="1:25" s="260" customFormat="1">
      <c r="A1224" s="261">
        <v>0.05</v>
      </c>
      <c r="B1224" s="87">
        <f>B1223+1</f>
        <v>3</v>
      </c>
      <c r="C1224" s="262">
        <v>45860</v>
      </c>
      <c r="D1224" s="263" t="s">
        <v>1522</v>
      </c>
      <c r="E1224" s="271" t="s">
        <v>1256</v>
      </c>
      <c r="F1224" s="265">
        <v>13770</v>
      </c>
      <c r="G1224" s="265">
        <f>39.7+271.4+(133.8)+(7.88+328.49-9.15-0.86-0.98-2.08-46.07+30.69+267.21)+1000</f>
        <v>2020.03</v>
      </c>
      <c r="H1224" s="365"/>
      <c r="I1224" s="266">
        <f>F1224-G1224-H1224</f>
        <v>11749.97</v>
      </c>
      <c r="J1224" s="267" t="s">
        <v>156</v>
      </c>
      <c r="K1224" s="267">
        <v>1</v>
      </c>
      <c r="L1224" s="267">
        <v>1</v>
      </c>
      <c r="M1224" s="267">
        <v>1</v>
      </c>
      <c r="N1224" s="267">
        <v>1</v>
      </c>
      <c r="O1224" s="314">
        <v>0</v>
      </c>
      <c r="P1224" s="267">
        <v>1</v>
      </c>
      <c r="Q1224" s="314">
        <v>0</v>
      </c>
      <c r="R1224" s="314">
        <v>0</v>
      </c>
      <c r="S1224" s="366">
        <v>0</v>
      </c>
      <c r="T1224" s="63"/>
      <c r="U1224" s="94" t="s">
        <v>1743</v>
      </c>
      <c r="V1224" s="90"/>
      <c r="W1224" s="136"/>
      <c r="X1224" s="137"/>
    </row>
    <row r="1225" spans="1:25" s="260" customFormat="1">
      <c r="A1225" s="261" t="s">
        <v>619</v>
      </c>
      <c r="B1225" s="87">
        <f>B1224+1</f>
        <v>4</v>
      </c>
      <c r="C1225" s="262">
        <v>45877</v>
      </c>
      <c r="D1225" s="263">
        <v>72150</v>
      </c>
      <c r="E1225" s="271" t="s">
        <v>769</v>
      </c>
      <c r="F1225" s="265">
        <v>44619</v>
      </c>
      <c r="G1225" s="265">
        <f>39.7+8800+352+(F1225*0.25)+(3*150)</f>
        <v>20796.45</v>
      </c>
      <c r="H1225" s="265"/>
      <c r="I1225" s="272">
        <f>F1225-G1225-H1225</f>
        <v>23822.55</v>
      </c>
      <c r="J1225" s="267" t="s">
        <v>156</v>
      </c>
      <c r="K1225" s="267">
        <v>1</v>
      </c>
      <c r="L1225" s="267">
        <v>1</v>
      </c>
      <c r="M1225" s="267">
        <v>1</v>
      </c>
      <c r="N1225" s="267">
        <v>1</v>
      </c>
      <c r="O1225" s="267">
        <v>1</v>
      </c>
      <c r="P1225" s="267">
        <v>1</v>
      </c>
      <c r="Q1225" s="267">
        <v>1</v>
      </c>
      <c r="R1225" s="267">
        <v>1</v>
      </c>
      <c r="S1225" s="269">
        <v>1</v>
      </c>
      <c r="T1225" s="63"/>
      <c r="U1225" s="94" t="s">
        <v>1580</v>
      </c>
      <c r="V1225" s="90"/>
      <c r="W1225" s="91"/>
      <c r="X1225" s="137"/>
    </row>
    <row r="1226" spans="1:25" s="260" customFormat="1">
      <c r="A1226" s="261" t="s">
        <v>619</v>
      </c>
      <c r="B1226" s="87">
        <f t="shared" ref="B1226:B1230" si="158">B1225+1</f>
        <v>5</v>
      </c>
      <c r="C1226" s="282">
        <v>45889</v>
      </c>
      <c r="D1226" s="368">
        <v>72498</v>
      </c>
      <c r="E1226" s="283" t="s">
        <v>769</v>
      </c>
      <c r="F1226" s="284">
        <v>22618</v>
      </c>
      <c r="G1226" s="284">
        <f>39.7+830.8+(94.29+28.45)+2000</f>
        <v>2993.24</v>
      </c>
      <c r="H1226" s="284"/>
      <c r="I1226" s="285">
        <f>F1226-G1226-H1226</f>
        <v>19624.760000000002</v>
      </c>
      <c r="J1226" s="286" t="s">
        <v>228</v>
      </c>
      <c r="K1226" s="286">
        <v>1</v>
      </c>
      <c r="L1226" s="286">
        <v>1</v>
      </c>
      <c r="M1226" s="286">
        <v>1</v>
      </c>
      <c r="N1226" s="286">
        <v>1</v>
      </c>
      <c r="O1226" s="286">
        <v>1</v>
      </c>
      <c r="P1226" s="286">
        <v>1</v>
      </c>
      <c r="Q1226" s="286">
        <v>1</v>
      </c>
      <c r="R1226" s="286">
        <v>1</v>
      </c>
      <c r="S1226" s="287">
        <v>1</v>
      </c>
      <c r="T1226" s="63"/>
      <c r="U1226" s="94" t="s">
        <v>1635</v>
      </c>
      <c r="V1226" s="90"/>
      <c r="W1226" s="136"/>
      <c r="X1226" s="137"/>
    </row>
    <row r="1227" spans="1:25" s="181" customFormat="1">
      <c r="A1227" s="261">
        <v>0.05</v>
      </c>
      <c r="B1227" s="87">
        <f t="shared" si="158"/>
        <v>6</v>
      </c>
      <c r="C1227" s="262">
        <v>45894</v>
      </c>
      <c r="D1227" s="263">
        <v>72581</v>
      </c>
      <c r="E1227" s="271" t="s">
        <v>1623</v>
      </c>
      <c r="F1227" s="265">
        <v>5814</v>
      </c>
      <c r="G1227" s="265">
        <f>39.7+446.6+(847.11)+250</f>
        <v>1583.41</v>
      </c>
      <c r="H1227" s="265"/>
      <c r="I1227" s="272">
        <f>F1227-G1227-H1227</f>
        <v>4230.59</v>
      </c>
      <c r="J1227" s="267" t="s">
        <v>228</v>
      </c>
      <c r="K1227" s="267">
        <v>1</v>
      </c>
      <c r="L1227" s="267">
        <v>1</v>
      </c>
      <c r="M1227" s="267">
        <v>1</v>
      </c>
      <c r="N1227" s="267">
        <v>1</v>
      </c>
      <c r="O1227" s="267">
        <v>1</v>
      </c>
      <c r="P1227" s="267">
        <v>1</v>
      </c>
      <c r="Q1227" s="267">
        <v>1</v>
      </c>
      <c r="R1227" s="267">
        <v>1</v>
      </c>
      <c r="S1227" s="269">
        <v>1</v>
      </c>
      <c r="T1227" s="63"/>
      <c r="U1227" s="94" t="s">
        <v>1745</v>
      </c>
      <c r="V1227" s="90"/>
      <c r="W1227" s="136"/>
      <c r="X1227" s="137"/>
      <c r="Y1227" s="260"/>
    </row>
    <row r="1228" spans="1:25" s="181" customFormat="1">
      <c r="A1228" s="704" t="s">
        <v>683</v>
      </c>
      <c r="B1228" s="87">
        <f t="shared" si="158"/>
        <v>7</v>
      </c>
      <c r="C1228" s="641">
        <v>45908</v>
      </c>
      <c r="D1228" s="263">
        <v>73046</v>
      </c>
      <c r="E1228" s="271" t="s">
        <v>317</v>
      </c>
      <c r="F1228" s="265">
        <v>3814</v>
      </c>
      <c r="G1228" s="265">
        <f>39.7+(12.18+108.87+796.78+44.67+605.14)+300</f>
        <v>1907.34</v>
      </c>
      <c r="H1228" s="265"/>
      <c r="I1228" s="266">
        <f>F1228-G1228-H1228</f>
        <v>1906.66</v>
      </c>
      <c r="J1228" s="267" t="s">
        <v>156</v>
      </c>
      <c r="K1228" s="267">
        <v>1</v>
      </c>
      <c r="L1228" s="267">
        <v>1</v>
      </c>
      <c r="M1228" s="267">
        <v>1</v>
      </c>
      <c r="N1228" s="267">
        <v>1</v>
      </c>
      <c r="O1228" s="267">
        <v>1</v>
      </c>
      <c r="P1228" s="267">
        <v>1</v>
      </c>
      <c r="Q1228" s="267">
        <v>1</v>
      </c>
      <c r="R1228" s="314">
        <v>0</v>
      </c>
      <c r="S1228" s="269">
        <v>1</v>
      </c>
      <c r="T1228" s="21">
        <v>1</v>
      </c>
      <c r="U1228" s="94" t="s">
        <v>1710</v>
      </c>
      <c r="V1228" s="90"/>
      <c r="W1228" s="91"/>
      <c r="X1228" s="92"/>
    </row>
    <row r="1229" spans="1:25" s="260" customFormat="1">
      <c r="A1229" s="261">
        <v>0.05</v>
      </c>
      <c r="B1229" s="87">
        <f t="shared" si="158"/>
        <v>8</v>
      </c>
      <c r="C1229" s="274">
        <v>45917</v>
      </c>
      <c r="D1229" s="327" t="s">
        <v>1704</v>
      </c>
      <c r="E1229" s="276" t="s">
        <v>746</v>
      </c>
      <c r="F1229" s="277">
        <v>5451.2</v>
      </c>
      <c r="G1229" s="277">
        <f>39.7+424.6+(82.38)+300</f>
        <v>846.68000000000006</v>
      </c>
      <c r="H1229" s="277"/>
      <c r="I1229" s="278">
        <f t="shared" ref="I1229" si="159">F1229-G1229-H1229</f>
        <v>4604.5199999999995</v>
      </c>
      <c r="J1229" s="279" t="s">
        <v>150</v>
      </c>
      <c r="K1229" s="279">
        <v>1</v>
      </c>
      <c r="L1229" s="279">
        <v>1</v>
      </c>
      <c r="M1229" s="279">
        <v>1</v>
      </c>
      <c r="N1229" s="279">
        <v>1</v>
      </c>
      <c r="O1229" s="279">
        <v>1</v>
      </c>
      <c r="P1229" s="279">
        <v>1</v>
      </c>
      <c r="Q1229" s="279">
        <v>1</v>
      </c>
      <c r="R1229" s="279">
        <v>1</v>
      </c>
      <c r="S1229" s="280">
        <v>1</v>
      </c>
      <c r="T1229" s="63"/>
      <c r="U1229" s="94" t="s">
        <v>1705</v>
      </c>
      <c r="V1229" s="90"/>
      <c r="W1229" s="136"/>
      <c r="X1229" s="92"/>
      <c r="Y1229" s="181"/>
    </row>
    <row r="1230" spans="1:25" s="260" customFormat="1">
      <c r="A1230" s="261">
        <v>0.1</v>
      </c>
      <c r="B1230" s="87">
        <f t="shared" si="158"/>
        <v>9</v>
      </c>
      <c r="C1230" s="641">
        <v>45933</v>
      </c>
      <c r="D1230" s="263">
        <v>73856</v>
      </c>
      <c r="E1230" s="271" t="s">
        <v>211</v>
      </c>
      <c r="F1230" s="265">
        <v>716</v>
      </c>
      <c r="G1230" s="265">
        <v>0</v>
      </c>
      <c r="H1230" s="265"/>
      <c r="I1230" s="266">
        <f>F1230-G1230-H1230</f>
        <v>716</v>
      </c>
      <c r="J1230" s="267"/>
      <c r="K1230" s="267">
        <v>1</v>
      </c>
      <c r="L1230" s="267">
        <v>1</v>
      </c>
      <c r="M1230" s="267"/>
      <c r="N1230" s="267">
        <v>1</v>
      </c>
      <c r="O1230" s="267">
        <v>1</v>
      </c>
      <c r="P1230" s="267">
        <v>1</v>
      </c>
      <c r="Q1230" s="314">
        <v>0</v>
      </c>
      <c r="R1230" s="314">
        <v>0</v>
      </c>
      <c r="S1230" s="366">
        <v>0</v>
      </c>
      <c r="T1230" s="63"/>
      <c r="U1230" s="94"/>
      <c r="V1230" s="90"/>
      <c r="W1230" s="136"/>
      <c r="X1230" s="137"/>
      <c r="Y1230" s="181"/>
    </row>
    <row r="1231" spans="1:25" s="434" customFormat="1" ht="13.5">
      <c r="A1231" s="10"/>
      <c r="B1231" s="11"/>
      <c r="C1231" s="36"/>
      <c r="D1231" s="10"/>
      <c r="E1231" s="10"/>
      <c r="F1231" s="98">
        <f>SUM(F1222:F1230)</f>
        <v>99078.2</v>
      </c>
      <c r="G1231" s="98">
        <f>SUM(G1222:G1230)</f>
        <v>30226.550000000003</v>
      </c>
      <c r="H1231" s="98">
        <f>SUM(H1222:H1230)</f>
        <v>0</v>
      </c>
      <c r="I1231" s="98">
        <f>SUM(I1222:I1230)</f>
        <v>68851.650000000009</v>
      </c>
      <c r="J1231" s="63"/>
      <c r="K1231" s="21"/>
      <c r="L1231" s="21"/>
      <c r="M1231" s="21"/>
      <c r="N1231" s="21"/>
      <c r="O1231" s="21"/>
      <c r="P1231" s="21"/>
      <c r="Q1231" s="21"/>
      <c r="R1231" s="21"/>
      <c r="S1231" s="21"/>
      <c r="T1231" s="63"/>
      <c r="U1231" s="10"/>
      <c r="V1231" s="90"/>
      <c r="W1231" s="91"/>
      <c r="X1231" s="92"/>
    </row>
    <row r="1232" spans="1:25" s="434" customFormat="1" ht="13.5">
      <c r="A1232" s="10"/>
      <c r="B1232" s="11"/>
      <c r="C1232" s="36"/>
      <c r="D1232" s="10"/>
      <c r="E1232" s="10"/>
      <c r="F1232" s="88"/>
      <c r="G1232" s="88"/>
      <c r="H1232" s="88"/>
      <c r="I1232" s="99"/>
      <c r="J1232" s="63"/>
      <c r="K1232" s="21"/>
      <c r="L1232" s="21"/>
      <c r="M1232" s="21"/>
      <c r="N1232" s="21"/>
      <c r="O1232" s="21"/>
      <c r="P1232" s="21"/>
      <c r="Q1232" s="21"/>
      <c r="R1232" s="21"/>
      <c r="S1232" s="21"/>
      <c r="T1232" s="63"/>
      <c r="U1232" s="10"/>
      <c r="V1232" s="90"/>
      <c r="W1232" s="91"/>
      <c r="X1232" s="92"/>
    </row>
    <row r="1233" spans="1:24" s="260" customFormat="1">
      <c r="A1233" s="181"/>
      <c r="B1233" s="100" t="s">
        <v>1521</v>
      </c>
      <c r="C1233" s="36"/>
      <c r="D1233" s="10"/>
      <c r="E1233" s="181"/>
      <c r="F1233" s="88"/>
      <c r="G1233" s="88"/>
      <c r="H1233" s="88"/>
      <c r="I1233" s="99"/>
      <c r="J1233" s="63"/>
      <c r="K1233" s="21"/>
      <c r="L1233" s="21"/>
      <c r="M1233" s="21"/>
      <c r="N1233" s="21"/>
      <c r="O1233" s="21"/>
      <c r="P1233" s="21"/>
      <c r="Q1233" s="21"/>
      <c r="R1233" s="21"/>
      <c r="S1233" s="21"/>
      <c r="T1233" s="63"/>
      <c r="U1233" s="94"/>
      <c r="V1233" s="90"/>
      <c r="W1233" s="91"/>
      <c r="X1233" s="92"/>
    </row>
    <row r="1234" spans="1:24" s="260" customFormat="1">
      <c r="A1234" s="261">
        <v>0.05</v>
      </c>
      <c r="B1234" s="87">
        <v>1</v>
      </c>
      <c r="C1234" s="262">
        <v>45895</v>
      </c>
      <c r="D1234" s="263">
        <v>72566</v>
      </c>
      <c r="E1234" s="271" t="s">
        <v>833</v>
      </c>
      <c r="F1234" s="265">
        <v>1861</v>
      </c>
      <c r="G1234" s="265">
        <f>39.7+485</f>
        <v>524.70000000000005</v>
      </c>
      <c r="H1234" s="265"/>
      <c r="I1234" s="272">
        <f>F1234-G1234-H1234</f>
        <v>1336.3</v>
      </c>
      <c r="J1234" s="267" t="s">
        <v>156</v>
      </c>
      <c r="K1234" s="267">
        <v>1</v>
      </c>
      <c r="L1234" s="267"/>
      <c r="M1234" s="267">
        <v>1</v>
      </c>
      <c r="N1234" s="267">
        <v>1</v>
      </c>
      <c r="O1234" s="267">
        <v>1</v>
      </c>
      <c r="P1234" s="267">
        <v>1</v>
      </c>
      <c r="Q1234" s="267"/>
      <c r="R1234" s="267"/>
      <c r="S1234" s="269"/>
      <c r="T1234" s="63"/>
      <c r="U1234" s="94" t="s">
        <v>1691</v>
      </c>
      <c r="V1234" s="90"/>
      <c r="W1234" s="136"/>
      <c r="X1234" s="137"/>
    </row>
    <row r="1235" spans="1:24" s="181" customFormat="1">
      <c r="A1235" s="261">
        <v>0.1</v>
      </c>
      <c r="B1235" s="87">
        <f>B1234+1</f>
        <v>2</v>
      </c>
      <c r="C1235" s="641">
        <v>45909</v>
      </c>
      <c r="D1235" s="263">
        <v>73119</v>
      </c>
      <c r="E1235" s="271" t="s">
        <v>973</v>
      </c>
      <c r="F1235" s="265">
        <v>5814</v>
      </c>
      <c r="G1235" s="265">
        <f>39.7+(2001.79+54.89)+250</f>
        <v>2346.3799999999997</v>
      </c>
      <c r="H1235" s="265">
        <f>F1235*0.2</f>
        <v>1162.8</v>
      </c>
      <c r="I1235" s="272">
        <f>F1235-G1235-H1235</f>
        <v>2304.8200000000006</v>
      </c>
      <c r="J1235" s="267" t="s">
        <v>185</v>
      </c>
      <c r="K1235" s="267">
        <v>1</v>
      </c>
      <c r="L1235" s="267"/>
      <c r="M1235" s="267">
        <v>1</v>
      </c>
      <c r="N1235" s="267">
        <v>1</v>
      </c>
      <c r="O1235" s="267">
        <v>1</v>
      </c>
      <c r="P1235" s="267">
        <v>1</v>
      </c>
      <c r="Q1235" s="267"/>
      <c r="R1235" s="267"/>
      <c r="S1235" s="269"/>
      <c r="T1235" s="63"/>
      <c r="U1235" s="94" t="s">
        <v>1689</v>
      </c>
      <c r="V1235" s="90"/>
      <c r="W1235" s="136"/>
      <c r="X1235" s="137"/>
    </row>
    <row r="1236" spans="1:24" s="260" customFormat="1">
      <c r="A1236" s="181"/>
      <c r="B1236" s="11"/>
      <c r="C1236" s="36"/>
      <c r="D1236" s="10"/>
      <c r="E1236" s="10"/>
      <c r="F1236" s="97">
        <f>SUM(F1234:F1235)</f>
        <v>7675</v>
      </c>
      <c r="G1236" s="97">
        <f t="shared" ref="G1236:I1236" si="160">SUM(G1234:G1235)</f>
        <v>2871.08</v>
      </c>
      <c r="H1236" s="97">
        <f t="shared" si="160"/>
        <v>1162.8</v>
      </c>
      <c r="I1236" s="97">
        <f t="shared" si="160"/>
        <v>3641.1200000000008</v>
      </c>
      <c r="J1236" s="63"/>
      <c r="K1236" s="21"/>
      <c r="L1236" s="21"/>
      <c r="M1236" s="21"/>
      <c r="N1236" s="21"/>
      <c r="O1236" s="21"/>
      <c r="P1236" s="21"/>
      <c r="Q1236" s="21"/>
      <c r="R1236" s="21"/>
      <c r="S1236" s="21"/>
      <c r="T1236" s="63"/>
      <c r="U1236" s="94"/>
      <c r="V1236" s="90"/>
      <c r="W1236" s="91"/>
      <c r="X1236" s="92"/>
    </row>
    <row r="1237" spans="1:24" s="260" customFormat="1">
      <c r="A1237" s="181"/>
      <c r="B1237" s="11"/>
      <c r="C1237" s="36"/>
      <c r="D1237" s="10"/>
      <c r="E1237" s="10"/>
      <c r="F1237" s="88"/>
      <c r="G1237" s="88"/>
      <c r="H1237" s="88"/>
      <c r="I1237" s="99"/>
      <c r="J1237" s="63"/>
      <c r="K1237" s="21"/>
      <c r="L1237" s="21"/>
      <c r="M1237" s="21"/>
      <c r="N1237" s="21"/>
      <c r="O1237" s="21"/>
      <c r="P1237" s="21"/>
      <c r="Q1237" s="21"/>
      <c r="R1237" s="21"/>
      <c r="S1237" s="21"/>
      <c r="T1237" s="63"/>
      <c r="U1237" s="94"/>
      <c r="V1237" s="90"/>
      <c r="W1237" s="91"/>
      <c r="X1237" s="92"/>
    </row>
    <row r="1238" spans="1:24">
      <c r="B1238" s="100" t="s">
        <v>72</v>
      </c>
      <c r="C1238" s="621"/>
      <c r="D1238" s="10"/>
      <c r="E1238" s="10"/>
      <c r="F1238" s="88"/>
      <c r="G1238" s="88"/>
      <c r="H1238" s="88"/>
      <c r="I1238" s="99"/>
      <c r="J1238" s="63"/>
      <c r="K1238" s="63"/>
      <c r="L1238" s="63"/>
      <c r="M1238" s="63"/>
      <c r="N1238" s="63"/>
      <c r="O1238" s="63"/>
      <c r="P1238" s="63"/>
      <c r="Q1238" s="63"/>
      <c r="R1238" s="63"/>
      <c r="S1238" s="63"/>
      <c r="T1238" s="63"/>
      <c r="U1238" s="94"/>
      <c r="V1238" s="90"/>
      <c r="W1238" s="91"/>
      <c r="X1238" s="92"/>
    </row>
    <row r="1239" spans="1:24">
      <c r="B1239" s="87">
        <v>1</v>
      </c>
      <c r="C1239" s="638">
        <v>45937</v>
      </c>
      <c r="D1239" s="276">
        <v>74092</v>
      </c>
      <c r="E1239" s="276" t="s">
        <v>1085</v>
      </c>
      <c r="F1239" s="277">
        <v>2412.9</v>
      </c>
      <c r="G1239" s="277">
        <f>39.7</f>
        <v>39.700000000000003</v>
      </c>
      <c r="H1239" s="277"/>
      <c r="I1239" s="278">
        <f>F1239-G1239-H1239</f>
        <v>2373.2000000000003</v>
      </c>
      <c r="J1239" s="279" t="s">
        <v>205</v>
      </c>
      <c r="K1239" s="279">
        <v>1</v>
      </c>
      <c r="L1239" s="279"/>
      <c r="M1239" s="279"/>
      <c r="N1239" s="279">
        <v>1</v>
      </c>
      <c r="O1239" s="279"/>
      <c r="P1239" s="279"/>
      <c r="Q1239" s="279">
        <v>1</v>
      </c>
      <c r="R1239" s="279">
        <v>1</v>
      </c>
      <c r="S1239" s="280">
        <v>1</v>
      </c>
      <c r="T1239" s="63"/>
      <c r="U1239" s="164"/>
      <c r="V1239" s="90"/>
      <c r="W1239" s="91"/>
      <c r="X1239" s="92"/>
    </row>
    <row r="1240" spans="1:24">
      <c r="B1240" s="87">
        <f>B1239+1</f>
        <v>2</v>
      </c>
      <c r="C1240" s="639">
        <v>45937</v>
      </c>
      <c r="D1240" s="10">
        <v>74070</v>
      </c>
      <c r="E1240" s="10" t="s">
        <v>216</v>
      </c>
      <c r="F1240" s="62">
        <v>0</v>
      </c>
      <c r="G1240" s="62">
        <v>0</v>
      </c>
      <c r="H1240" s="62"/>
      <c r="I1240" s="89">
        <f t="shared" ref="I1240:I1250" si="161">F1240-G1240-H1240</f>
        <v>0</v>
      </c>
      <c r="J1240" s="63" t="s">
        <v>205</v>
      </c>
      <c r="K1240" s="63"/>
      <c r="L1240" s="63"/>
      <c r="M1240" s="63"/>
      <c r="N1240" s="63"/>
      <c r="O1240" s="63"/>
      <c r="P1240" s="63"/>
      <c r="Q1240" s="63"/>
      <c r="R1240" s="63"/>
      <c r="S1240" s="296"/>
      <c r="T1240" s="63"/>
      <c r="U1240" s="94"/>
      <c r="V1240" s="90"/>
      <c r="W1240" s="136"/>
      <c r="X1240" s="137"/>
    </row>
    <row r="1241" spans="1:24">
      <c r="B1241" s="87">
        <f t="shared" ref="B1241:B1250" si="162">B1240+1</f>
        <v>3</v>
      </c>
      <c r="C1241" s="639">
        <v>45937</v>
      </c>
      <c r="D1241" s="10">
        <v>74150</v>
      </c>
      <c r="E1241" s="10" t="s">
        <v>1757</v>
      </c>
      <c r="F1241" s="62">
        <v>1461</v>
      </c>
      <c r="G1241" s="62">
        <v>39.700000000000003</v>
      </c>
      <c r="H1241" s="62"/>
      <c r="I1241" s="89">
        <f t="shared" si="161"/>
        <v>1421.3</v>
      </c>
      <c r="J1241" s="63" t="s">
        <v>205</v>
      </c>
      <c r="K1241" s="63">
        <v>1</v>
      </c>
      <c r="L1241" s="63"/>
      <c r="M1241" s="63"/>
      <c r="N1241" s="63">
        <v>1</v>
      </c>
      <c r="O1241" s="63"/>
      <c r="P1241" s="63"/>
      <c r="Q1241" s="63">
        <v>1</v>
      </c>
      <c r="R1241" s="63">
        <v>1</v>
      </c>
      <c r="S1241" s="296">
        <v>1</v>
      </c>
      <c r="T1241" s="63"/>
      <c r="U1241" s="94"/>
      <c r="V1241" s="90"/>
      <c r="W1241" s="136"/>
      <c r="X1241" s="137"/>
    </row>
    <row r="1242" spans="1:24">
      <c r="B1242" s="87">
        <f t="shared" si="162"/>
        <v>4</v>
      </c>
      <c r="C1242" s="639">
        <v>45937</v>
      </c>
      <c r="D1242" s="10">
        <v>74158</v>
      </c>
      <c r="E1242" s="10" t="s">
        <v>798</v>
      </c>
      <c r="F1242" s="62">
        <v>2261</v>
      </c>
      <c r="G1242" s="62">
        <v>39.700000000000003</v>
      </c>
      <c r="H1242" s="62"/>
      <c r="I1242" s="89">
        <f t="shared" si="161"/>
        <v>2221.3000000000002</v>
      </c>
      <c r="J1242" s="63" t="s">
        <v>205</v>
      </c>
      <c r="K1242" s="63">
        <v>1</v>
      </c>
      <c r="L1242" s="63"/>
      <c r="M1242" s="63"/>
      <c r="N1242" s="63">
        <v>1</v>
      </c>
      <c r="O1242" s="63"/>
      <c r="P1242" s="63"/>
      <c r="Q1242" s="63">
        <v>1</v>
      </c>
      <c r="R1242" s="63">
        <v>1</v>
      </c>
      <c r="S1242" s="296"/>
      <c r="T1242" s="63"/>
      <c r="U1242" s="94"/>
      <c r="V1242" s="90"/>
      <c r="W1242" s="136"/>
      <c r="X1242" s="137"/>
    </row>
    <row r="1243" spans="1:24">
      <c r="B1243" s="87">
        <f t="shared" si="162"/>
        <v>5</v>
      </c>
      <c r="C1243" s="638">
        <v>45938</v>
      </c>
      <c r="D1243" s="276">
        <v>74218</v>
      </c>
      <c r="E1243" s="276" t="s">
        <v>1757</v>
      </c>
      <c r="F1243" s="277">
        <v>12814</v>
      </c>
      <c r="G1243" s="277">
        <v>39.700000000000003</v>
      </c>
      <c r="H1243" s="277"/>
      <c r="I1243" s="278">
        <f t="shared" si="161"/>
        <v>12774.3</v>
      </c>
      <c r="J1243" s="279" t="s">
        <v>205</v>
      </c>
      <c r="K1243" s="279"/>
      <c r="L1243" s="279"/>
      <c r="M1243" s="279"/>
      <c r="N1243" s="279">
        <v>1</v>
      </c>
      <c r="O1243" s="279"/>
      <c r="P1243" s="279"/>
      <c r="Q1243" s="279"/>
      <c r="R1243" s="279"/>
      <c r="S1243" s="280"/>
      <c r="T1243" s="63"/>
      <c r="U1243" s="94"/>
      <c r="V1243" s="90"/>
      <c r="W1243" s="136"/>
      <c r="X1243" s="137"/>
    </row>
    <row r="1244" spans="1:24">
      <c r="B1244" s="87">
        <f t="shared" si="162"/>
        <v>6</v>
      </c>
      <c r="C1244" s="638">
        <v>45939</v>
      </c>
      <c r="D1244" s="276">
        <v>73754</v>
      </c>
      <c r="E1244" s="281" t="s">
        <v>286</v>
      </c>
      <c r="F1244" s="277">
        <v>0</v>
      </c>
      <c r="G1244" s="277">
        <v>0</v>
      </c>
      <c r="H1244" s="277"/>
      <c r="I1244" s="278">
        <f t="shared" si="161"/>
        <v>0</v>
      </c>
      <c r="J1244" s="279" t="s">
        <v>205</v>
      </c>
      <c r="K1244" s="279">
        <v>1</v>
      </c>
      <c r="L1244" s="279"/>
      <c r="M1244" s="279"/>
      <c r="N1244" s="279"/>
      <c r="O1244" s="279"/>
      <c r="P1244" s="279"/>
      <c r="Q1244" s="279">
        <v>1</v>
      </c>
      <c r="R1244" s="279">
        <v>1</v>
      </c>
      <c r="S1244" s="280">
        <v>1</v>
      </c>
      <c r="T1244" s="63"/>
      <c r="U1244" s="94"/>
      <c r="V1244" s="90"/>
      <c r="W1244" s="136"/>
      <c r="X1244" s="137"/>
    </row>
    <row r="1245" spans="1:24">
      <c r="B1245" s="87">
        <f t="shared" si="162"/>
        <v>7</v>
      </c>
      <c r="C1245" s="639">
        <v>45939</v>
      </c>
      <c r="D1245" s="10">
        <v>74167</v>
      </c>
      <c r="E1245" s="101" t="s">
        <v>172</v>
      </c>
      <c r="F1245" s="62">
        <v>1353</v>
      </c>
      <c r="G1245" s="62">
        <v>39.700000000000003</v>
      </c>
      <c r="H1245" s="62"/>
      <c r="I1245" s="89">
        <f t="shared" si="161"/>
        <v>1313.3</v>
      </c>
      <c r="J1245" s="63" t="s">
        <v>205</v>
      </c>
      <c r="K1245" s="63">
        <v>1</v>
      </c>
      <c r="L1245" s="63"/>
      <c r="M1245" s="63"/>
      <c r="N1245" s="63">
        <v>1</v>
      </c>
      <c r="O1245" s="63"/>
      <c r="P1245" s="63"/>
      <c r="Q1245" s="63">
        <v>1</v>
      </c>
      <c r="R1245" s="63">
        <v>1</v>
      </c>
      <c r="S1245" s="296"/>
      <c r="T1245" s="63"/>
      <c r="U1245" s="94"/>
      <c r="V1245" s="90"/>
      <c r="W1245" s="136"/>
      <c r="X1245" s="137"/>
    </row>
    <row r="1246" spans="1:24">
      <c r="B1246" s="87">
        <f t="shared" si="162"/>
        <v>8</v>
      </c>
      <c r="C1246" s="639">
        <v>45939</v>
      </c>
      <c r="D1246" s="10">
        <v>74240</v>
      </c>
      <c r="E1246" s="101" t="s">
        <v>811</v>
      </c>
      <c r="F1246" s="62">
        <v>1173.9000000000001</v>
      </c>
      <c r="G1246" s="62">
        <v>39.700000000000003</v>
      </c>
      <c r="H1246" s="62"/>
      <c r="I1246" s="89">
        <f t="shared" si="161"/>
        <v>1134.2</v>
      </c>
      <c r="J1246" s="63" t="s">
        <v>205</v>
      </c>
      <c r="K1246" s="63">
        <v>1</v>
      </c>
      <c r="L1246" s="63"/>
      <c r="M1246" s="63"/>
      <c r="N1246" s="63">
        <v>1</v>
      </c>
      <c r="O1246" s="63"/>
      <c r="P1246" s="63"/>
      <c r="Q1246" s="63">
        <v>1</v>
      </c>
      <c r="R1246" s="63">
        <v>1</v>
      </c>
      <c r="S1246" s="296">
        <v>1</v>
      </c>
      <c r="T1246" s="63"/>
      <c r="U1246" s="94"/>
      <c r="V1246" s="90"/>
      <c r="W1246" s="136"/>
      <c r="X1246" s="137"/>
    </row>
    <row r="1247" spans="1:24">
      <c r="B1247" s="87">
        <f>B1246+1</f>
        <v>9</v>
      </c>
      <c r="C1247" s="639">
        <v>45939</v>
      </c>
      <c r="D1247" s="10">
        <v>74251</v>
      </c>
      <c r="E1247" s="101" t="s">
        <v>811</v>
      </c>
      <c r="F1247" s="62">
        <v>1596</v>
      </c>
      <c r="G1247" s="62">
        <v>39.700000000000003</v>
      </c>
      <c r="H1247" s="62"/>
      <c r="I1247" s="89">
        <f t="shared" si="161"/>
        <v>1556.3</v>
      </c>
      <c r="J1247" s="63" t="s">
        <v>205</v>
      </c>
      <c r="K1247" s="63">
        <v>1</v>
      </c>
      <c r="L1247" s="63"/>
      <c r="M1247" s="63"/>
      <c r="N1247" s="63">
        <v>1</v>
      </c>
      <c r="O1247" s="63"/>
      <c r="P1247" s="63"/>
      <c r="Q1247" s="63">
        <v>1</v>
      </c>
      <c r="R1247" s="63">
        <v>1</v>
      </c>
      <c r="S1247" s="296">
        <v>1</v>
      </c>
      <c r="T1247" s="63"/>
      <c r="U1247" s="94"/>
      <c r="V1247" s="90"/>
      <c r="W1247" s="136"/>
      <c r="X1247" s="137"/>
    </row>
    <row r="1248" spans="1:24">
      <c r="B1248" s="87">
        <f t="shared" si="162"/>
        <v>10</v>
      </c>
      <c r="C1248" s="639">
        <v>45939</v>
      </c>
      <c r="D1248" s="10">
        <v>74230</v>
      </c>
      <c r="E1248" s="101" t="s">
        <v>355</v>
      </c>
      <c r="F1248" s="62">
        <v>2352.6</v>
      </c>
      <c r="G1248" s="62">
        <v>39.700000000000003</v>
      </c>
      <c r="H1248" s="62"/>
      <c r="I1248" s="89">
        <f t="shared" si="161"/>
        <v>2312.9</v>
      </c>
      <c r="J1248" s="63" t="s">
        <v>156</v>
      </c>
      <c r="K1248" s="63">
        <v>1</v>
      </c>
      <c r="L1248" s="63"/>
      <c r="M1248" s="63">
        <v>1</v>
      </c>
      <c r="N1248" s="63">
        <v>1</v>
      </c>
      <c r="O1248" s="63"/>
      <c r="P1248" s="63"/>
      <c r="Q1248" s="63"/>
      <c r="R1248" s="63"/>
      <c r="S1248" s="296"/>
      <c r="T1248" s="63"/>
      <c r="U1248" s="94"/>
      <c r="V1248" s="90">
        <v>93.5</v>
      </c>
      <c r="W1248" s="136"/>
      <c r="X1248" s="137"/>
    </row>
    <row r="1249" spans="1:26">
      <c r="B1249" s="87">
        <f t="shared" si="162"/>
        <v>11</v>
      </c>
      <c r="C1249" s="639">
        <v>45939</v>
      </c>
      <c r="D1249" s="10">
        <v>74256</v>
      </c>
      <c r="E1249" s="101" t="s">
        <v>395</v>
      </c>
      <c r="F1249" s="62">
        <v>1238</v>
      </c>
      <c r="G1249" s="62">
        <v>39.700000000000003</v>
      </c>
      <c r="H1249" s="62"/>
      <c r="I1249" s="89">
        <f t="shared" si="161"/>
        <v>1198.3</v>
      </c>
      <c r="J1249" s="63" t="s">
        <v>205</v>
      </c>
      <c r="K1249" s="63">
        <v>1</v>
      </c>
      <c r="L1249" s="63"/>
      <c r="M1249" s="63"/>
      <c r="N1249" s="63">
        <v>1</v>
      </c>
      <c r="O1249" s="63"/>
      <c r="P1249" s="63"/>
      <c r="Q1249" s="63">
        <v>1</v>
      </c>
      <c r="R1249" s="63">
        <v>1</v>
      </c>
      <c r="S1249" s="296">
        <v>1</v>
      </c>
      <c r="T1249" s="63"/>
      <c r="U1249" s="94"/>
      <c r="V1249" s="90"/>
      <c r="W1249" s="136"/>
      <c r="X1249" s="137"/>
    </row>
    <row r="1250" spans="1:26">
      <c r="B1250" s="87">
        <f t="shared" si="162"/>
        <v>12</v>
      </c>
      <c r="C1250" s="638">
        <v>45940</v>
      </c>
      <c r="D1250" s="275">
        <v>73481</v>
      </c>
      <c r="E1250" s="281" t="s">
        <v>317</v>
      </c>
      <c r="F1250" s="277">
        <v>1138</v>
      </c>
      <c r="G1250" s="277">
        <v>39.700000000000003</v>
      </c>
      <c r="H1250" s="277"/>
      <c r="I1250" s="278">
        <f t="shared" si="161"/>
        <v>1098.3</v>
      </c>
      <c r="J1250" s="279" t="s">
        <v>205</v>
      </c>
      <c r="K1250" s="279">
        <v>1</v>
      </c>
      <c r="L1250" s="279"/>
      <c r="M1250" s="279"/>
      <c r="N1250" s="279">
        <v>1</v>
      </c>
      <c r="O1250" s="279"/>
      <c r="P1250" s="279"/>
      <c r="Q1250" s="279">
        <v>1</v>
      </c>
      <c r="R1250" s="279">
        <v>1</v>
      </c>
      <c r="S1250" s="280">
        <v>1</v>
      </c>
      <c r="T1250" s="63"/>
      <c r="U1250" s="94"/>
      <c r="V1250" s="90"/>
      <c r="W1250" s="136"/>
      <c r="X1250" s="137"/>
    </row>
    <row r="1251" spans="1:26">
      <c r="A1251" s="181" t="s">
        <v>383</v>
      </c>
      <c r="B1251" s="87">
        <f>B1250+1</f>
        <v>13</v>
      </c>
      <c r="C1251" s="639">
        <v>45940</v>
      </c>
      <c r="D1251" s="77" t="s">
        <v>1765</v>
      </c>
      <c r="E1251" s="10" t="s">
        <v>1080</v>
      </c>
      <c r="F1251" s="62">
        <v>1381</v>
      </c>
      <c r="G1251" s="62">
        <f>39.7</f>
        <v>39.700000000000003</v>
      </c>
      <c r="H1251" s="62"/>
      <c r="I1251" s="89">
        <f t="shared" ref="I1251:I1252" si="163">F1251-G1251-H1251</f>
        <v>1341.3</v>
      </c>
      <c r="J1251" s="63"/>
      <c r="K1251" s="63">
        <v>1</v>
      </c>
      <c r="L1251" s="63"/>
      <c r="M1251" s="63"/>
      <c r="N1251" s="63">
        <v>1</v>
      </c>
      <c r="O1251" s="63">
        <v>1</v>
      </c>
      <c r="P1251" s="63">
        <v>1</v>
      </c>
      <c r="Q1251" s="63"/>
      <c r="R1251" s="63"/>
      <c r="S1251" s="296"/>
      <c r="T1251" s="63"/>
      <c r="U1251" s="94" t="s">
        <v>1766</v>
      </c>
      <c r="V1251" s="90"/>
      <c r="W1251" s="136"/>
      <c r="X1251" s="137"/>
    </row>
    <row r="1252" spans="1:26">
      <c r="A1252" s="181" t="s">
        <v>383</v>
      </c>
      <c r="B1252" s="87">
        <f>B1251+1</f>
        <v>14</v>
      </c>
      <c r="C1252" s="640">
        <v>45940</v>
      </c>
      <c r="D1252" s="302" t="s">
        <v>1767</v>
      </c>
      <c r="E1252" s="283" t="s">
        <v>1080</v>
      </c>
      <c r="F1252" s="284">
        <v>1053</v>
      </c>
      <c r="G1252" s="284">
        <f>39.7</f>
        <v>39.700000000000003</v>
      </c>
      <c r="H1252" s="284"/>
      <c r="I1252" s="285">
        <f t="shared" si="163"/>
        <v>1013.3</v>
      </c>
      <c r="J1252" s="286" t="s">
        <v>156</v>
      </c>
      <c r="K1252" s="286">
        <v>1</v>
      </c>
      <c r="L1252" s="286"/>
      <c r="M1252" s="286">
        <v>1</v>
      </c>
      <c r="N1252" s="286">
        <v>1</v>
      </c>
      <c r="O1252" s="286">
        <v>1</v>
      </c>
      <c r="P1252" s="286">
        <v>1</v>
      </c>
      <c r="Q1252" s="286"/>
      <c r="R1252" s="286"/>
      <c r="S1252" s="287"/>
      <c r="T1252" s="63"/>
      <c r="U1252" s="94" t="s">
        <v>1766</v>
      </c>
      <c r="V1252" s="90">
        <f>300</f>
        <v>300</v>
      </c>
      <c r="W1252" s="136"/>
      <c r="X1252" s="137"/>
    </row>
    <row r="1253" spans="1:26">
      <c r="B1253" s="11"/>
      <c r="C1253" s="621"/>
      <c r="D1253" s="10"/>
      <c r="E1253" s="10"/>
      <c r="F1253" s="98">
        <f t="shared" ref="F1253:H1253" si="164">SUM(F1239:F1252)</f>
        <v>30234.400000000001</v>
      </c>
      <c r="G1253" s="98">
        <f t="shared" si="164"/>
        <v>476.39999999999992</v>
      </c>
      <c r="H1253" s="98">
        <f t="shared" si="164"/>
        <v>0</v>
      </c>
      <c r="I1253" s="98">
        <f>SUM(I1239:I1252)</f>
        <v>29757.999999999996</v>
      </c>
      <c r="J1253" s="10"/>
      <c r="K1253" s="10"/>
      <c r="L1253" s="10"/>
      <c r="M1253" s="10"/>
      <c r="N1253" s="10"/>
      <c r="O1253" s="10"/>
      <c r="P1253" s="10"/>
      <c r="Q1253" s="10"/>
      <c r="R1253" s="10"/>
      <c r="S1253" s="10"/>
      <c r="T1253" s="63"/>
      <c r="U1253" s="94"/>
      <c r="V1253" s="90"/>
      <c r="W1253" s="91"/>
      <c r="X1253" s="92"/>
    </row>
    <row r="1254" spans="1:26">
      <c r="B1254" s="26"/>
      <c r="C1254" s="612"/>
      <c r="D1254" s="141"/>
      <c r="E1254" s="141"/>
      <c r="F1254" s="141"/>
      <c r="G1254" s="141"/>
      <c r="H1254" s="141"/>
      <c r="I1254" s="141"/>
      <c r="J1254" s="141"/>
      <c r="K1254" s="142"/>
      <c r="L1254" s="142"/>
      <c r="M1254" s="142"/>
      <c r="N1254" s="142"/>
      <c r="O1254" s="142"/>
      <c r="P1254" s="142"/>
      <c r="Q1254" s="142"/>
      <c r="R1254" s="142"/>
      <c r="S1254" s="142"/>
      <c r="T1254" s="143">
        <f>SUM(T1191:T1253)</f>
        <v>6</v>
      </c>
      <c r="U1254" s="168"/>
      <c r="V1254" s="144">
        <f>SUM(V1191:V1253)</f>
        <v>46235.3</v>
      </c>
      <c r="W1254" s="145">
        <f>SUM(W1191:W1253)</f>
        <v>0</v>
      </c>
      <c r="X1254" s="146">
        <f>SUM(X1191:X1253)</f>
        <v>0</v>
      </c>
    </row>
    <row r="1255" spans="1:26">
      <c r="B1255" s="2"/>
      <c r="C1255" s="2"/>
      <c r="D1255" s="2"/>
      <c r="E1255" s="2"/>
      <c r="F1255" s="2"/>
      <c r="G1255" s="2"/>
      <c r="H1255" s="2"/>
      <c r="I1255" s="2"/>
      <c r="J1255" s="2"/>
      <c r="K1255" s="2"/>
      <c r="L1255" s="2"/>
      <c r="M1255" s="2"/>
      <c r="N1255" s="2"/>
      <c r="O1255" s="2"/>
      <c r="P1255" s="2"/>
      <c r="Q1255" s="2"/>
      <c r="R1255" s="2"/>
      <c r="S1255" s="2"/>
      <c r="T1255" s="2"/>
      <c r="U1255" s="2"/>
      <c r="V1255" s="2"/>
      <c r="W1255" s="2"/>
      <c r="X1255" s="2"/>
    </row>
    <row r="1257" spans="1:26">
      <c r="A1257" s="616" t="s">
        <v>74</v>
      </c>
      <c r="B1257" s="4" t="s">
        <v>1</v>
      </c>
      <c r="C1257" s="5"/>
      <c r="D1257" s="83"/>
      <c r="E1257" s="6"/>
      <c r="F1257" s="7" t="s">
        <v>2</v>
      </c>
      <c r="G1257" s="608">
        <v>45949</v>
      </c>
      <c r="H1257" s="7"/>
      <c r="I1257" s="6"/>
      <c r="J1257" s="6"/>
      <c r="K1257" s="6"/>
      <c r="L1257" s="6"/>
      <c r="M1257" s="6"/>
      <c r="N1257" s="6"/>
      <c r="O1257" s="6"/>
      <c r="P1257" s="6"/>
      <c r="Q1257" s="6"/>
      <c r="R1257" s="6"/>
      <c r="S1257" s="6"/>
      <c r="T1257" s="6"/>
      <c r="U1257" s="149"/>
      <c r="V1257" s="77"/>
      <c r="W1257" s="77"/>
      <c r="X1257" s="77"/>
      <c r="Y1257" s="2"/>
      <c r="Z1257" s="2"/>
    </row>
    <row r="1258" spans="1:26">
      <c r="A1258" s="617" t="s">
        <v>75</v>
      </c>
      <c r="B1258" s="11"/>
      <c r="C1258" s="10"/>
      <c r="D1258" s="63"/>
      <c r="E1258" s="10"/>
      <c r="F1258" s="10"/>
      <c r="G1258" s="7"/>
      <c r="H1258" s="12"/>
      <c r="I1258" s="10"/>
      <c r="J1258" s="10"/>
      <c r="K1258" s="13" t="s">
        <v>3</v>
      </c>
      <c r="L1258" s="14"/>
      <c r="M1258" s="15"/>
      <c r="N1258" s="13" t="s">
        <v>4</v>
      </c>
      <c r="O1258" s="14"/>
      <c r="P1258" s="15"/>
      <c r="Q1258" s="13" t="s">
        <v>5</v>
      </c>
      <c r="R1258" s="14"/>
      <c r="S1258" s="15"/>
      <c r="T1258" s="16"/>
      <c r="U1258" s="151"/>
      <c r="V1258" s="77"/>
      <c r="W1258" s="77"/>
      <c r="X1258" s="77"/>
      <c r="Y1258" s="2"/>
      <c r="Z1258" s="2"/>
    </row>
    <row r="1259" spans="1:26">
      <c r="A1259" s="616" t="s">
        <v>76</v>
      </c>
      <c r="B1259" s="18" t="s">
        <v>6</v>
      </c>
      <c r="C1259" s="19">
        <f>C1260+C1261</f>
        <v>32</v>
      </c>
      <c r="D1259" s="63"/>
      <c r="E1259" s="18" t="s">
        <v>7</v>
      </c>
      <c r="F1259" s="6"/>
      <c r="G1259" s="9"/>
      <c r="H1259" s="10"/>
      <c r="I1259" s="10"/>
      <c r="J1259" s="10"/>
      <c r="K1259" s="20" t="s">
        <v>8</v>
      </c>
      <c r="L1259" s="21" t="s">
        <v>9</v>
      </c>
      <c r="M1259" s="21" t="s">
        <v>10</v>
      </c>
      <c r="N1259" s="20" t="s">
        <v>11</v>
      </c>
      <c r="O1259" s="21" t="s">
        <v>12</v>
      </c>
      <c r="P1259" s="22" t="s">
        <v>13</v>
      </c>
      <c r="Q1259" s="21" t="s">
        <v>11</v>
      </c>
      <c r="R1259" s="21" t="s">
        <v>12</v>
      </c>
      <c r="S1259" s="22" t="s">
        <v>13</v>
      </c>
      <c r="T1259" s="23" t="s">
        <v>14</v>
      </c>
      <c r="U1259" s="151"/>
      <c r="V1259" s="77"/>
      <c r="W1259" s="77"/>
      <c r="X1259" s="77"/>
      <c r="Y1259" s="2"/>
      <c r="Z1259" s="2"/>
    </row>
    <row r="1260" spans="1:26">
      <c r="A1260" s="652" t="s">
        <v>77</v>
      </c>
      <c r="B1260" s="24" t="s">
        <v>15</v>
      </c>
      <c r="C1260" s="25">
        <f>P1267</f>
        <v>17</v>
      </c>
      <c r="D1260" s="63"/>
      <c r="E1260" s="11" t="s">
        <v>16</v>
      </c>
      <c r="F1260" s="10" t="s">
        <v>78</v>
      </c>
      <c r="G1260" s="153">
        <v>0.05</v>
      </c>
      <c r="H1260" s="10"/>
      <c r="I1260" s="10"/>
      <c r="J1260" s="18" t="s">
        <v>17</v>
      </c>
      <c r="K1260" s="29">
        <f>K1297</f>
        <v>12</v>
      </c>
      <c r="L1260" s="29">
        <f>L1297</f>
        <v>11</v>
      </c>
      <c r="M1260" s="29">
        <f>M1297</f>
        <v>12</v>
      </c>
      <c r="N1260" s="29">
        <f>N1297</f>
        <v>12</v>
      </c>
      <c r="O1260" s="29">
        <f>O1297</f>
        <v>12</v>
      </c>
      <c r="P1260" s="29">
        <f>P1297</f>
        <v>12</v>
      </c>
      <c r="Q1260" s="29">
        <f>Q1297</f>
        <v>10</v>
      </c>
      <c r="R1260" s="29">
        <f>R1297</f>
        <v>7</v>
      </c>
      <c r="S1260" s="29">
        <f>S1297</f>
        <v>7</v>
      </c>
      <c r="T1260" s="30">
        <f>T1350</f>
        <v>6</v>
      </c>
      <c r="U1260" s="151"/>
      <c r="V1260" s="77"/>
      <c r="W1260" s="77"/>
      <c r="X1260" s="77"/>
      <c r="Y1260" s="2"/>
      <c r="Z1260" s="2"/>
    </row>
    <row r="1261" spans="1:26">
      <c r="A1261" s="652" t="s">
        <v>79</v>
      </c>
      <c r="B1261" s="24" t="s">
        <v>18</v>
      </c>
      <c r="C1261" s="25">
        <f>P1268</f>
        <v>15</v>
      </c>
      <c r="D1261" s="63"/>
      <c r="E1261" s="26" t="s">
        <v>80</v>
      </c>
      <c r="F1261" s="141" t="s">
        <v>81</v>
      </c>
      <c r="G1261" s="154">
        <v>0.1</v>
      </c>
      <c r="H1261" s="10"/>
      <c r="I1261" s="10"/>
      <c r="J1261" s="32" t="s">
        <v>19</v>
      </c>
      <c r="K1261" s="33">
        <f>K1297/K1296</f>
        <v>1</v>
      </c>
      <c r="L1261" s="33">
        <f>L1297/L1296</f>
        <v>0.91666666666666663</v>
      </c>
      <c r="M1261" s="33">
        <f>M1297/M1296</f>
        <v>1</v>
      </c>
      <c r="N1261" s="33">
        <f>N1297/N1296</f>
        <v>1</v>
      </c>
      <c r="O1261" s="33">
        <f>O1297/O1296</f>
        <v>1</v>
      </c>
      <c r="P1261" s="33">
        <f>P1297/P1296</f>
        <v>1</v>
      </c>
      <c r="Q1261" s="33">
        <f>Q1297/Q1296</f>
        <v>0.83333333333333337</v>
      </c>
      <c r="R1261" s="33">
        <f>R1297/R1296</f>
        <v>0.58333333333333337</v>
      </c>
      <c r="S1261" s="33">
        <f>S1297/S1296</f>
        <v>0.58333333333333337</v>
      </c>
      <c r="T1261" s="23"/>
      <c r="U1261" s="151" t="s">
        <v>20</v>
      </c>
      <c r="V1261" s="77"/>
      <c r="W1261" s="77"/>
      <c r="X1261" s="77"/>
      <c r="Y1261" s="2"/>
      <c r="Z1261" s="2"/>
    </row>
    <row r="1262" spans="1:26">
      <c r="A1262" s="652" t="s">
        <v>82</v>
      </c>
      <c r="B1262" s="24" t="s">
        <v>21</v>
      </c>
      <c r="C1262" s="34">
        <f>P1269</f>
        <v>0.53125</v>
      </c>
      <c r="D1262" s="63"/>
      <c r="E1262" s="10"/>
      <c r="F1262" s="10"/>
      <c r="G1262" s="10"/>
      <c r="H1262" s="10"/>
      <c r="I1262" s="10"/>
      <c r="J1262" s="10"/>
      <c r="K1262" s="10"/>
      <c r="L1262" s="10"/>
      <c r="M1262" s="10"/>
      <c r="N1262" s="10"/>
      <c r="O1262" s="10"/>
      <c r="P1262" s="10"/>
      <c r="Q1262" s="10"/>
      <c r="R1262" s="10"/>
      <c r="S1262" s="10"/>
      <c r="T1262" s="10"/>
      <c r="U1262" s="151"/>
      <c r="V1262" s="77"/>
      <c r="W1262" s="77"/>
      <c r="X1262" s="77"/>
      <c r="Y1262" s="2"/>
      <c r="Z1262" s="2"/>
    </row>
    <row r="1263" spans="1:26">
      <c r="A1263" s="652" t="s">
        <v>83</v>
      </c>
      <c r="B1263" s="24"/>
      <c r="C1263" s="25"/>
      <c r="D1263" s="63"/>
      <c r="E1263" s="10"/>
      <c r="F1263" s="18" t="s">
        <v>22</v>
      </c>
      <c r="G1263" s="19" t="s">
        <v>23</v>
      </c>
      <c r="H1263" s="35" t="s">
        <v>24</v>
      </c>
      <c r="I1263" s="10"/>
      <c r="J1263" s="10"/>
      <c r="K1263" s="36"/>
      <c r="L1263" s="36"/>
      <c r="M1263" s="36"/>
      <c r="N1263" s="36"/>
      <c r="O1263" s="36"/>
      <c r="P1263" s="36"/>
      <c r="Q1263" s="36"/>
      <c r="R1263" s="10"/>
      <c r="S1263" s="10"/>
      <c r="T1263" s="10"/>
      <c r="U1263" s="151"/>
      <c r="V1263" s="77"/>
      <c r="W1263" s="77"/>
      <c r="X1263" s="77"/>
      <c r="Y1263" s="2"/>
      <c r="Z1263" s="2"/>
    </row>
    <row r="1264" spans="1:26">
      <c r="A1264" s="652" t="s">
        <v>84</v>
      </c>
      <c r="B1264" s="32" t="s">
        <v>25</v>
      </c>
      <c r="C1264" s="37">
        <f>P1270</f>
        <v>4191.8129411764703</v>
      </c>
      <c r="D1264" s="63"/>
      <c r="E1264" s="18" t="s">
        <v>26</v>
      </c>
      <c r="F1264" s="38">
        <f>P1266</f>
        <v>71260.819999999992</v>
      </c>
      <c r="G1264" s="39">
        <f>I1296+I1307+I1313</f>
        <v>71260.819999999992</v>
      </c>
      <c r="H1264" s="40"/>
      <c r="I1264" s="41"/>
      <c r="J1264" s="42"/>
      <c r="K1264" s="43" t="s">
        <v>27</v>
      </c>
      <c r="L1264" s="44"/>
      <c r="M1264" s="44"/>
      <c r="N1264" s="44"/>
      <c r="O1264" s="44"/>
      <c r="P1264" s="44"/>
      <c r="Q1264" s="45"/>
      <c r="R1264" s="46" t="s">
        <v>28</v>
      </c>
      <c r="S1264" s="47" t="s">
        <v>29</v>
      </c>
      <c r="T1264" s="10"/>
      <c r="U1264" s="151"/>
      <c r="V1264" s="77"/>
      <c r="W1264" s="77"/>
      <c r="X1264" s="77"/>
      <c r="Y1264" s="2"/>
      <c r="Z1264" s="2"/>
    </row>
    <row r="1265" spans="1:26">
      <c r="A1265" s="614"/>
      <c r="B1265" s="11"/>
      <c r="C1265" s="10"/>
      <c r="D1265" s="63"/>
      <c r="E1265" s="24" t="s">
        <v>30</v>
      </c>
      <c r="F1265" s="48">
        <f>IF(F1264&gt;=25000,10%,5%)</f>
        <v>0.1</v>
      </c>
      <c r="G1265" s="17"/>
      <c r="H1265" s="40"/>
      <c r="I1265" s="41"/>
      <c r="J1265" s="42"/>
      <c r="K1265" s="20" t="s">
        <v>31</v>
      </c>
      <c r="L1265" s="21" t="s">
        <v>32</v>
      </c>
      <c r="M1265" s="21" t="s">
        <v>33</v>
      </c>
      <c r="N1265" s="21" t="s">
        <v>34</v>
      </c>
      <c r="O1265" s="21" t="s">
        <v>35</v>
      </c>
      <c r="P1265" s="21" t="s">
        <v>36</v>
      </c>
      <c r="Q1265" s="49" t="s">
        <v>37</v>
      </c>
      <c r="R1265" s="50" t="s">
        <v>38</v>
      </c>
      <c r="S1265" s="50" t="s">
        <v>38</v>
      </c>
      <c r="T1265" s="10"/>
      <c r="U1265" s="151"/>
      <c r="V1265" s="77"/>
      <c r="W1265" s="77"/>
      <c r="X1265" s="77"/>
      <c r="Y1265" s="2"/>
      <c r="Z1265" s="2"/>
    </row>
    <row r="1266" spans="1:26">
      <c r="A1266" s="614"/>
      <c r="B1266" s="11"/>
      <c r="C1266" s="10"/>
      <c r="D1266" s="63"/>
      <c r="E1266" s="51" t="s">
        <v>39</v>
      </c>
      <c r="F1266" s="52">
        <f>(F1264+F1274-I1305-I1306-I1310-I1311-I1312)*F1265</f>
        <v>3322.74</v>
      </c>
      <c r="G1266" s="53" t="s">
        <v>40</v>
      </c>
      <c r="H1266" s="54">
        <f>F1266/1.12</f>
        <v>2966.7321428571422</v>
      </c>
      <c r="I1266" s="55"/>
      <c r="J1266" s="42"/>
      <c r="K1266" s="56">
        <f>I1286+I1284+I1310+I1285+I1305</f>
        <v>25225.49</v>
      </c>
      <c r="L1266" s="57">
        <f>I1287+I1288+I1306+I1311</f>
        <v>11562.11</v>
      </c>
      <c r="M1266" s="57">
        <f>I1289+I1312</f>
        <v>12907.349999999999</v>
      </c>
      <c r="N1266" s="57">
        <f>I1290+I1291+I1292</f>
        <v>17594.969999999998</v>
      </c>
      <c r="O1266" s="57">
        <f>I1293+I1294+I1295</f>
        <v>3970.8999999999996</v>
      </c>
      <c r="P1266" s="57">
        <f>SUM(K1266:O1266)</f>
        <v>71260.819999999992</v>
      </c>
      <c r="Q1266" s="58">
        <v>0</v>
      </c>
      <c r="R1266" s="59">
        <f>I1307+I1313</f>
        <v>37586.559999999998</v>
      </c>
      <c r="S1266" s="59">
        <v>0</v>
      </c>
      <c r="T1266" s="10"/>
      <c r="U1266" s="151"/>
      <c r="V1266" s="77"/>
      <c r="W1266" s="77"/>
      <c r="X1266" s="77"/>
      <c r="Y1266" s="2"/>
      <c r="Z1266" s="2"/>
    </row>
    <row r="1267" spans="1:26">
      <c r="A1267" s="614"/>
      <c r="B1267" s="11"/>
      <c r="C1267" s="10"/>
      <c r="D1267" s="63"/>
      <c r="E1267" s="24" t="s">
        <v>41</v>
      </c>
      <c r="F1267" s="60">
        <f>Q1266</f>
        <v>0</v>
      </c>
      <c r="G1267" s="61" t="s">
        <v>40</v>
      </c>
      <c r="H1267" s="62"/>
      <c r="I1267" s="62"/>
      <c r="J1267" s="10" t="s">
        <v>42</v>
      </c>
      <c r="K1267" s="63">
        <v>5</v>
      </c>
      <c r="L1267" s="63">
        <v>4</v>
      </c>
      <c r="M1267" s="63">
        <v>2</v>
      </c>
      <c r="N1267" s="63">
        <v>3</v>
      </c>
      <c r="O1267" s="63">
        <v>3</v>
      </c>
      <c r="P1267" s="21">
        <f>SUM(K1267:O1267)</f>
        <v>17</v>
      </c>
      <c r="Q1267" s="64"/>
      <c r="R1267" s="63"/>
      <c r="S1267" s="10"/>
      <c r="T1267" s="10"/>
      <c r="U1267" s="151"/>
      <c r="V1267" s="77"/>
      <c r="W1267" s="77"/>
      <c r="X1267" s="77"/>
      <c r="Y1267" s="2"/>
      <c r="Z1267" s="2"/>
    </row>
    <row r="1268" spans="1:26">
      <c r="A1268" s="614"/>
      <c r="B1268" s="11"/>
      <c r="C1268" s="10"/>
      <c r="D1268" s="63"/>
      <c r="E1268" s="51" t="s">
        <v>43</v>
      </c>
      <c r="F1268" s="52">
        <f>F1267*0.25</f>
        <v>0</v>
      </c>
      <c r="G1268" s="53" t="s">
        <v>40</v>
      </c>
      <c r="H1268" s="54">
        <f>F1268/1.12</f>
        <v>0</v>
      </c>
      <c r="I1268" s="10"/>
      <c r="J1268" s="10" t="s">
        <v>44</v>
      </c>
      <c r="K1268" s="63">
        <v>1</v>
      </c>
      <c r="L1268" s="63">
        <v>3</v>
      </c>
      <c r="M1268" s="63">
        <v>3</v>
      </c>
      <c r="N1268" s="63">
        <v>4</v>
      </c>
      <c r="O1268" s="63">
        <v>4</v>
      </c>
      <c r="P1268" s="21">
        <f>SUM(K1268:O1268)</f>
        <v>15</v>
      </c>
      <c r="Q1268" s="64"/>
      <c r="R1268" s="63"/>
      <c r="S1268" s="10"/>
      <c r="T1268" s="10"/>
      <c r="U1268" s="151"/>
      <c r="V1268" s="77"/>
      <c r="W1268" s="77"/>
      <c r="X1268" s="77"/>
      <c r="Y1268" s="2"/>
      <c r="Z1268" s="2"/>
    </row>
    <row r="1269" spans="1:26">
      <c r="A1269" s="614"/>
      <c r="B1269" s="11"/>
      <c r="C1269" s="10"/>
      <c r="D1269" s="63"/>
      <c r="E1269" s="24" t="s">
        <v>45</v>
      </c>
      <c r="F1269" s="60">
        <f>I1302</f>
        <v>5812.45</v>
      </c>
      <c r="G1269" s="61" t="s">
        <v>40</v>
      </c>
      <c r="H1269" s="62"/>
      <c r="I1269" s="10"/>
      <c r="J1269" s="10" t="s">
        <v>46</v>
      </c>
      <c r="K1269" s="31">
        <f>K1267/(K1267+K1268)</f>
        <v>0.83333333333333337</v>
      </c>
      <c r="L1269" s="31">
        <f>L1267/(L1267+L1268)</f>
        <v>0.5714285714285714</v>
      </c>
      <c r="M1269" s="31">
        <f>M1267/(M1267+M1268)</f>
        <v>0.4</v>
      </c>
      <c r="N1269" s="31">
        <f>N1267/(N1267+N1268)</f>
        <v>0.42857142857142855</v>
      </c>
      <c r="O1269" s="31">
        <f>O1267/(O1267+O1268)</f>
        <v>0.42857142857142855</v>
      </c>
      <c r="P1269" s="31">
        <f>P1267/(P1267+P1268)</f>
        <v>0.53125</v>
      </c>
      <c r="Q1269" s="31" t="e">
        <f>Q1267/(Q1267+Q1268)</f>
        <v>#DIV/0!</v>
      </c>
      <c r="R1269" s="63"/>
      <c r="S1269" s="10"/>
      <c r="T1269" s="10"/>
      <c r="U1269" s="151"/>
      <c r="V1269" s="77"/>
      <c r="W1269" s="77"/>
      <c r="X1269" s="77"/>
      <c r="Y1269" s="2"/>
      <c r="Z1269" s="2"/>
    </row>
    <row r="1270" spans="1:26">
      <c r="A1270" s="614"/>
      <c r="B1270" s="11"/>
      <c r="C1270" s="10"/>
      <c r="D1270" s="63"/>
      <c r="E1270" s="51" t="s">
        <v>47</v>
      </c>
      <c r="F1270" s="52">
        <f>F1269*0.1</f>
        <v>581.245</v>
      </c>
      <c r="G1270" s="65" t="s">
        <v>40</v>
      </c>
      <c r="H1270" s="54">
        <f>F1270/1.12</f>
        <v>518.96875</v>
      </c>
      <c r="I1270" s="42"/>
      <c r="J1270" s="10" t="s">
        <v>48</v>
      </c>
      <c r="K1270" s="66">
        <f>K1266/K1267</f>
        <v>5045.098</v>
      </c>
      <c r="L1270" s="66">
        <f>L1266/L1267</f>
        <v>2890.5275000000001</v>
      </c>
      <c r="M1270" s="66">
        <f>M1266/M1267</f>
        <v>6453.6749999999993</v>
      </c>
      <c r="N1270" s="66">
        <f>N1266/N1267</f>
        <v>5864.9899999999989</v>
      </c>
      <c r="O1270" s="66">
        <f>O1266/O1267</f>
        <v>1323.6333333333332</v>
      </c>
      <c r="P1270" s="66">
        <f>P1266/P1267</f>
        <v>4191.8129411764703</v>
      </c>
      <c r="Q1270" s="66" t="e">
        <f>Q1266/Q1267</f>
        <v>#DIV/0!</v>
      </c>
      <c r="R1270" s="63"/>
      <c r="S1270" s="10"/>
      <c r="T1270" s="10"/>
      <c r="U1270" s="151"/>
      <c r="V1270" s="77"/>
      <c r="W1270" s="77"/>
      <c r="X1270" s="77"/>
      <c r="Y1270" s="2"/>
      <c r="Z1270" s="2"/>
    </row>
    <row r="1271" spans="1:26">
      <c r="A1271" s="615"/>
      <c r="B1271" s="132"/>
      <c r="C1271" s="123"/>
      <c r="D1271" s="127"/>
      <c r="E1271" s="155" t="s">
        <v>14</v>
      </c>
      <c r="F1271" s="156">
        <f>7*50</f>
        <v>350</v>
      </c>
      <c r="G1271" s="123"/>
      <c r="H1271" s="54">
        <f>F1271/1.12</f>
        <v>312.49999999999994</v>
      </c>
      <c r="I1271" s="123"/>
      <c r="J1271" s="123"/>
      <c r="K1271" s="123"/>
      <c r="L1271" s="123"/>
      <c r="M1271" s="123"/>
      <c r="N1271" s="123"/>
      <c r="O1271" s="123"/>
      <c r="P1271" s="123"/>
      <c r="Q1271" s="123"/>
      <c r="R1271" s="123"/>
      <c r="S1271" s="123"/>
      <c r="T1271" s="123"/>
      <c r="U1271" s="157"/>
      <c r="V1271" s="123"/>
      <c r="W1271" s="123"/>
      <c r="X1271" s="123"/>
      <c r="Y1271" s="128"/>
      <c r="Z1271" s="128"/>
    </row>
    <row r="1272" spans="1:26">
      <c r="A1272" s="615"/>
      <c r="B1272" s="132"/>
      <c r="C1272" s="123"/>
      <c r="D1272" s="127"/>
      <c r="E1272" s="158" t="s">
        <v>49</v>
      </c>
      <c r="F1272" s="159">
        <f>T1261</f>
        <v>0</v>
      </c>
      <c r="G1272" s="123"/>
      <c r="H1272" s="54"/>
      <c r="I1272" s="123"/>
      <c r="J1272" s="42"/>
      <c r="K1272" s="764" t="s">
        <v>50</v>
      </c>
      <c r="L1272" s="765"/>
      <c r="M1272" s="765"/>
      <c r="N1272" s="765"/>
      <c r="O1272" s="765"/>
      <c r="P1272" s="765"/>
      <c r="Q1272" s="766"/>
      <c r="R1272" s="70" t="s">
        <v>28</v>
      </c>
      <c r="S1272" s="71" t="s">
        <v>29</v>
      </c>
      <c r="T1272" s="123"/>
      <c r="U1272" s="157"/>
      <c r="V1272" s="123"/>
      <c r="W1272" s="123"/>
      <c r="X1272" s="123"/>
      <c r="Y1272" s="128"/>
      <c r="Z1272" s="128"/>
    </row>
    <row r="1273" spans="1:26">
      <c r="A1273" s="615"/>
      <c r="B1273" s="132"/>
      <c r="C1273" s="123"/>
      <c r="D1273" s="127"/>
      <c r="E1273" s="67" t="s">
        <v>1768</v>
      </c>
      <c r="F1273" s="68">
        <f>$F$999</f>
        <v>2654.58</v>
      </c>
      <c r="G1273" s="123"/>
      <c r="H1273" s="54">
        <f>F1273/1.12</f>
        <v>2370.1607142857142</v>
      </c>
      <c r="I1273" s="123"/>
      <c r="J1273" s="42"/>
      <c r="K1273" s="20" t="s">
        <v>31</v>
      </c>
      <c r="L1273" s="21" t="s">
        <v>32</v>
      </c>
      <c r="M1273" s="21" t="s">
        <v>33</v>
      </c>
      <c r="N1273" s="21" t="s">
        <v>34</v>
      </c>
      <c r="O1273" s="21" t="s">
        <v>35</v>
      </c>
      <c r="P1273" s="21" t="s">
        <v>36</v>
      </c>
      <c r="Q1273" s="49" t="s">
        <v>37</v>
      </c>
      <c r="R1273" s="50" t="s">
        <v>38</v>
      </c>
      <c r="S1273" s="50" t="s">
        <v>38</v>
      </c>
      <c r="T1273" s="123"/>
      <c r="U1273" s="157"/>
      <c r="V1273" s="123"/>
      <c r="W1273" s="123"/>
      <c r="X1273" s="123"/>
      <c r="Y1273" s="128"/>
      <c r="Z1273" s="128"/>
    </row>
    <row r="1274" spans="1:26">
      <c r="A1274" s="615"/>
      <c r="B1274" s="132"/>
      <c r="C1274" s="123"/>
      <c r="D1274" s="127"/>
      <c r="E1274" s="74" t="s">
        <v>1769</v>
      </c>
      <c r="F1274" s="75">
        <v>-446.86</v>
      </c>
      <c r="G1274" s="123"/>
      <c r="H1274" s="54"/>
      <c r="I1274" s="123"/>
      <c r="J1274" s="42"/>
      <c r="K1274" s="56">
        <f>F1286+F1284+F1310+F1285+F1305</f>
        <v>28436.6</v>
      </c>
      <c r="L1274" s="57">
        <f>F1287+F1288+F1306+F1311</f>
        <v>15350</v>
      </c>
      <c r="M1274" s="57">
        <f>F1289+F1312</f>
        <v>14175</v>
      </c>
      <c r="N1274" s="57">
        <f>F1290+F1291+F1292</f>
        <v>18939</v>
      </c>
      <c r="O1274" s="57">
        <f>F1293+F1294+F1295</f>
        <v>4090</v>
      </c>
      <c r="P1274" s="57">
        <f>SUM(K1274:O1274)</f>
        <v>80990.600000000006</v>
      </c>
      <c r="Q1274" s="58">
        <v>0</v>
      </c>
      <c r="R1274" s="59">
        <f>F1307+F1313</f>
        <v>45470</v>
      </c>
      <c r="S1274" s="59">
        <v>0</v>
      </c>
      <c r="T1274" s="123"/>
      <c r="U1274" s="157"/>
      <c r="V1274" s="123"/>
      <c r="W1274" s="123"/>
      <c r="X1274" s="123"/>
      <c r="Y1274" s="128"/>
      <c r="Z1274" s="128"/>
    </row>
    <row r="1275" spans="1:26">
      <c r="A1275" s="615"/>
      <c r="B1275" s="132"/>
      <c r="C1275" s="123"/>
      <c r="D1275" s="127"/>
      <c r="E1275" s="12"/>
      <c r="F1275" s="160"/>
      <c r="G1275" s="123"/>
      <c r="H1275" s="54"/>
      <c r="I1275" s="123"/>
      <c r="J1275" s="10" t="s">
        <v>42</v>
      </c>
      <c r="K1275" s="63">
        <f>K1267</f>
        <v>5</v>
      </c>
      <c r="L1275" s="63">
        <f>L1267</f>
        <v>4</v>
      </c>
      <c r="M1275" s="63">
        <f>M1267</f>
        <v>2</v>
      </c>
      <c r="N1275" s="63">
        <f>N1267</f>
        <v>3</v>
      </c>
      <c r="O1275" s="63">
        <f>O1267</f>
        <v>3</v>
      </c>
      <c r="P1275" s="63">
        <f>P1267</f>
        <v>17</v>
      </c>
      <c r="Q1275" s="63">
        <f>Q1267</f>
        <v>0</v>
      </c>
      <c r="R1275" s="63"/>
      <c r="S1275" s="10"/>
      <c r="T1275" s="123"/>
      <c r="U1275" s="157"/>
      <c r="V1275" s="123"/>
      <c r="W1275" s="123"/>
      <c r="X1275" s="123"/>
      <c r="Y1275" s="128"/>
      <c r="Z1275" s="128"/>
    </row>
    <row r="1276" spans="1:26">
      <c r="A1276" s="615"/>
      <c r="B1276" s="132"/>
      <c r="C1276" s="123"/>
      <c r="D1276" s="127"/>
      <c r="E1276" s="12"/>
      <c r="F1276" s="160"/>
      <c r="G1276" s="123"/>
      <c r="H1276" s="54"/>
      <c r="I1276" s="123"/>
      <c r="J1276" s="10" t="s">
        <v>44</v>
      </c>
      <c r="K1276" s="63">
        <f>K1268</f>
        <v>1</v>
      </c>
      <c r="L1276" s="63">
        <f>L1268</f>
        <v>3</v>
      </c>
      <c r="M1276" s="63">
        <f>M1268</f>
        <v>3</v>
      </c>
      <c r="N1276" s="63">
        <f>N1268</f>
        <v>4</v>
      </c>
      <c r="O1276" s="63">
        <f>O1268</f>
        <v>4</v>
      </c>
      <c r="P1276" s="63">
        <f>P1268</f>
        <v>15</v>
      </c>
      <c r="Q1276" s="63">
        <f>Q1268</f>
        <v>0</v>
      </c>
      <c r="R1276" s="63"/>
      <c r="S1276" s="10"/>
      <c r="T1276" s="123"/>
      <c r="U1276" s="157"/>
      <c r="V1276" s="123"/>
      <c r="W1276" s="123"/>
      <c r="X1276" s="123"/>
      <c r="Y1276" s="128"/>
      <c r="Z1276" s="128"/>
    </row>
    <row r="1277" spans="1:26">
      <c r="A1277" s="615"/>
      <c r="B1277" s="132"/>
      <c r="C1277" s="123"/>
      <c r="D1277" s="127"/>
      <c r="E1277" s="12"/>
      <c r="F1277" s="160"/>
      <c r="G1277" s="123"/>
      <c r="H1277" s="54"/>
      <c r="I1277" s="123"/>
      <c r="J1277" s="10" t="s">
        <v>46</v>
      </c>
      <c r="K1277" s="31">
        <f>K1275/(K1275+K1276)</f>
        <v>0.83333333333333337</v>
      </c>
      <c r="L1277" s="31">
        <f>L1275/(L1275+L1276)</f>
        <v>0.5714285714285714</v>
      </c>
      <c r="M1277" s="31">
        <f>M1275/(M1275+M1276)</f>
        <v>0.4</v>
      </c>
      <c r="N1277" s="31">
        <f>N1275/(N1275+N1276)</f>
        <v>0.42857142857142855</v>
      </c>
      <c r="O1277" s="31">
        <f>O1275/(O1275+O1276)</f>
        <v>0.42857142857142855</v>
      </c>
      <c r="P1277" s="31">
        <f>P1275/(P1275+P1276)</f>
        <v>0.53125</v>
      </c>
      <c r="Q1277" s="31" t="e">
        <f>Q1275/(Q1275+Q1276)</f>
        <v>#DIV/0!</v>
      </c>
      <c r="R1277" s="63"/>
      <c r="S1277" s="10"/>
      <c r="T1277" s="123"/>
      <c r="U1277" s="157"/>
      <c r="V1277" s="123"/>
      <c r="W1277" s="123"/>
      <c r="X1277" s="123"/>
      <c r="Y1277" s="128"/>
      <c r="Z1277" s="128"/>
    </row>
    <row r="1278" spans="1:26">
      <c r="A1278" s="615"/>
      <c r="B1278" s="132"/>
      <c r="C1278" s="123"/>
      <c r="D1278" s="127"/>
      <c r="E1278" s="10"/>
      <c r="F1278" s="10"/>
      <c r="G1278" s="123"/>
      <c r="H1278" s="54"/>
      <c r="I1278" s="123"/>
      <c r="J1278" s="10" t="s">
        <v>48</v>
      </c>
      <c r="K1278" s="66">
        <f>K1274/K1275</f>
        <v>5687.32</v>
      </c>
      <c r="L1278" s="66">
        <f>L1274/L1275</f>
        <v>3837.5</v>
      </c>
      <c r="M1278" s="66">
        <f>M1274/M1275</f>
        <v>7087.5</v>
      </c>
      <c r="N1278" s="66">
        <f>N1274/N1275</f>
        <v>6313</v>
      </c>
      <c r="O1278" s="66">
        <f>O1274/O1275</f>
        <v>1363.3333333333333</v>
      </c>
      <c r="P1278" s="66">
        <f>P1274/P1275</f>
        <v>4764.1529411764714</v>
      </c>
      <c r="Q1278" s="66" t="e">
        <f>Q1274/Q1275</f>
        <v>#DIV/0!</v>
      </c>
      <c r="R1278" s="63"/>
      <c r="S1278" s="10"/>
      <c r="T1278" s="123"/>
      <c r="U1278" s="157"/>
      <c r="V1278" s="123"/>
      <c r="W1278" s="123"/>
      <c r="X1278" s="123"/>
      <c r="Y1278" s="128"/>
      <c r="Z1278" s="128"/>
    </row>
    <row r="1279" spans="1:26">
      <c r="A1279" s="615"/>
      <c r="B1279" s="132"/>
      <c r="C1279" s="123"/>
      <c r="D1279" s="127"/>
      <c r="E1279" s="12"/>
      <c r="F1279" s="160"/>
      <c r="G1279" s="123"/>
      <c r="H1279" s="54"/>
      <c r="I1279" s="123"/>
      <c r="J1279" s="123"/>
      <c r="K1279" s="123"/>
      <c r="L1279" s="123"/>
      <c r="M1279" s="123"/>
      <c r="N1279" s="123"/>
      <c r="O1279" s="123"/>
      <c r="P1279" s="123"/>
      <c r="Q1279" s="123"/>
      <c r="R1279" s="123"/>
      <c r="S1279" s="123"/>
      <c r="T1279" s="123"/>
      <c r="U1279" s="157"/>
      <c r="V1279" s="123"/>
      <c r="W1279" s="123"/>
      <c r="X1279" s="123"/>
      <c r="Y1279" s="128"/>
      <c r="Z1279" s="128"/>
    </row>
    <row r="1280" spans="1:26">
      <c r="A1280" s="614"/>
      <c r="B1280" s="11"/>
      <c r="C1280" s="10"/>
      <c r="D1280" s="63"/>
      <c r="E1280" s="10"/>
      <c r="F1280" s="10"/>
      <c r="G1280" s="10"/>
      <c r="H1280" s="10"/>
      <c r="I1280" s="10"/>
      <c r="J1280" s="10"/>
      <c r="K1280" s="10"/>
      <c r="L1280" s="10"/>
      <c r="M1280" s="10"/>
      <c r="N1280" s="10"/>
      <c r="O1280" s="10"/>
      <c r="P1280" s="10"/>
      <c r="Q1280" s="10"/>
      <c r="R1280" s="10"/>
      <c r="S1280" s="10"/>
      <c r="T1280" s="10"/>
      <c r="U1280" s="151"/>
      <c r="V1280" s="77"/>
      <c r="W1280" s="77"/>
      <c r="X1280" s="77"/>
      <c r="Y1280" s="2"/>
      <c r="Z1280" s="2"/>
    </row>
    <row r="1281" spans="1:26">
      <c r="A1281" s="614"/>
      <c r="B1281" s="18" t="s">
        <v>51</v>
      </c>
      <c r="C1281" s="14"/>
      <c r="D1281" s="14"/>
      <c r="E1281" s="14"/>
      <c r="F1281" s="13" t="s">
        <v>52</v>
      </c>
      <c r="G1281" s="14"/>
      <c r="H1281" s="14"/>
      <c r="I1281" s="14"/>
      <c r="J1281" s="14"/>
      <c r="K1281" s="13" t="s">
        <v>3</v>
      </c>
      <c r="L1281" s="14"/>
      <c r="M1281" s="14"/>
      <c r="N1281" s="13" t="s">
        <v>4</v>
      </c>
      <c r="O1281" s="14"/>
      <c r="P1281" s="14"/>
      <c r="Q1281" s="13" t="s">
        <v>5</v>
      </c>
      <c r="R1281" s="14"/>
      <c r="S1281" s="14"/>
      <c r="T1281" s="18"/>
      <c r="U1281" s="161" t="s">
        <v>53</v>
      </c>
      <c r="V1281" s="77"/>
      <c r="W1281" s="77"/>
      <c r="X1281" s="77"/>
      <c r="Y1281" s="2"/>
      <c r="Z1281" s="2"/>
    </row>
    <row r="1282" spans="1:26">
      <c r="A1282" s="614"/>
      <c r="B1282" s="24" t="s">
        <v>54</v>
      </c>
      <c r="C1282" s="21" t="s">
        <v>55</v>
      </c>
      <c r="D1282" s="21" t="s">
        <v>56</v>
      </c>
      <c r="E1282" s="21" t="s">
        <v>57</v>
      </c>
      <c r="F1282" s="20" t="s">
        <v>58</v>
      </c>
      <c r="G1282" s="21" t="s">
        <v>59</v>
      </c>
      <c r="H1282" s="21" t="s">
        <v>60</v>
      </c>
      <c r="I1282" s="21" t="s">
        <v>26</v>
      </c>
      <c r="J1282" s="22" t="s">
        <v>61</v>
      </c>
      <c r="K1282" s="21" t="s">
        <v>8</v>
      </c>
      <c r="L1282" s="21" t="s">
        <v>9</v>
      </c>
      <c r="M1282" s="21" t="s">
        <v>10</v>
      </c>
      <c r="N1282" s="20" t="s">
        <v>11</v>
      </c>
      <c r="O1282" s="21" t="s">
        <v>12</v>
      </c>
      <c r="P1282" s="22" t="s">
        <v>13</v>
      </c>
      <c r="Q1282" s="21" t="s">
        <v>11</v>
      </c>
      <c r="R1282" s="21" t="s">
        <v>12</v>
      </c>
      <c r="S1282" s="21" t="s">
        <v>13</v>
      </c>
      <c r="T1282" s="78" t="s">
        <v>14</v>
      </c>
      <c r="U1282" s="162"/>
      <c r="V1282" s="79" t="s">
        <v>62</v>
      </c>
      <c r="W1282" s="80" t="s">
        <v>63</v>
      </c>
      <c r="X1282" s="81" t="s">
        <v>64</v>
      </c>
      <c r="Y1282" s="2"/>
      <c r="Z1282" s="2"/>
    </row>
    <row r="1283" spans="1:26">
      <c r="A1283" s="614"/>
      <c r="B1283" s="4" t="s">
        <v>65</v>
      </c>
      <c r="C1283" s="6"/>
      <c r="D1283" s="6"/>
      <c r="E1283" s="6"/>
      <c r="F1283" s="6"/>
      <c r="G1283" s="6"/>
      <c r="H1283" s="6"/>
      <c r="I1283" s="82"/>
      <c r="J1283" s="6"/>
      <c r="K1283" s="6"/>
      <c r="L1283" s="6"/>
      <c r="M1283" s="6"/>
      <c r="N1283" s="6"/>
      <c r="O1283" s="6"/>
      <c r="P1283" s="6"/>
      <c r="Q1283" s="6"/>
      <c r="R1283" s="6"/>
      <c r="S1283" s="6"/>
      <c r="T1283" s="83"/>
      <c r="U1283" s="163"/>
      <c r="V1283" s="84"/>
      <c r="W1283" s="85"/>
      <c r="X1283" s="86"/>
      <c r="Y1283" s="2"/>
      <c r="Z1283" s="2"/>
    </row>
    <row r="1284" spans="1:26">
      <c r="A1284" s="614"/>
      <c r="B1284" s="87">
        <v>1</v>
      </c>
      <c r="C1284" s="638">
        <v>45943</v>
      </c>
      <c r="D1284" s="276">
        <v>74346</v>
      </c>
      <c r="E1284" s="276" t="s">
        <v>998</v>
      </c>
      <c r="F1284" s="277">
        <v>2532.6</v>
      </c>
      <c r="G1284" s="277">
        <f>39.7</f>
        <v>39.700000000000003</v>
      </c>
      <c r="H1284" s="277"/>
      <c r="I1284" s="278">
        <f>F1284-G1284-H1284</f>
        <v>2492.9</v>
      </c>
      <c r="J1284" s="279" t="s">
        <v>156</v>
      </c>
      <c r="K1284" s="279">
        <v>1</v>
      </c>
      <c r="L1284" s="279">
        <v>1</v>
      </c>
      <c r="M1284" s="279">
        <v>1</v>
      </c>
      <c r="N1284" s="279">
        <v>1</v>
      </c>
      <c r="O1284" s="279">
        <v>1</v>
      </c>
      <c r="P1284" s="279">
        <v>1</v>
      </c>
      <c r="Q1284" s="279">
        <v>1</v>
      </c>
      <c r="R1284" s="279">
        <v>1</v>
      </c>
      <c r="S1284" s="280">
        <v>1</v>
      </c>
      <c r="T1284" s="63"/>
      <c r="U1284" s="94" t="s">
        <v>1770</v>
      </c>
      <c r="V1284" s="90">
        <f>280+2505.86</f>
        <v>2785.86</v>
      </c>
      <c r="W1284" s="578"/>
      <c r="X1284" s="579"/>
      <c r="Y1284" s="2"/>
      <c r="Z1284" s="2"/>
    </row>
    <row r="1285" spans="1:26">
      <c r="A1285" s="614"/>
      <c r="B1285" s="87">
        <f>B1284+1</f>
        <v>2</v>
      </c>
      <c r="C1285" s="639">
        <v>45943</v>
      </c>
      <c r="D1285" s="10">
        <v>74349</v>
      </c>
      <c r="E1285" s="10" t="s">
        <v>1047</v>
      </c>
      <c r="F1285" s="62">
        <v>1138</v>
      </c>
      <c r="G1285" s="62">
        <f>39.7+(3.52)</f>
        <v>43.220000000000006</v>
      </c>
      <c r="H1285" s="62"/>
      <c r="I1285" s="89">
        <f>F1285-G1285-H1285</f>
        <v>1094.78</v>
      </c>
      <c r="J1285" s="63" t="s">
        <v>156</v>
      </c>
      <c r="K1285" s="63">
        <v>1</v>
      </c>
      <c r="L1285" s="63">
        <v>1</v>
      </c>
      <c r="M1285" s="63">
        <v>1</v>
      </c>
      <c r="N1285" s="63">
        <v>1</v>
      </c>
      <c r="O1285" s="63">
        <v>1</v>
      </c>
      <c r="P1285" s="63">
        <v>1</v>
      </c>
      <c r="Q1285" s="63">
        <v>0</v>
      </c>
      <c r="R1285" s="63">
        <v>0</v>
      </c>
      <c r="S1285" s="296">
        <v>0</v>
      </c>
      <c r="T1285" s="63"/>
      <c r="U1285" s="94" t="s">
        <v>1771</v>
      </c>
      <c r="V1285" s="90">
        <v>1251.8</v>
      </c>
      <c r="W1285" s="136"/>
      <c r="X1285" s="579"/>
      <c r="Y1285" s="2"/>
      <c r="Z1285" s="2"/>
    </row>
    <row r="1286" spans="1:26">
      <c r="A1286" s="614"/>
      <c r="B1286" s="87">
        <f>B1285+1</f>
        <v>3</v>
      </c>
      <c r="C1286" s="640">
        <v>45943</v>
      </c>
      <c r="D1286" s="283">
        <v>74399</v>
      </c>
      <c r="E1286" s="283" t="s">
        <v>1062</v>
      </c>
      <c r="F1286" s="284">
        <f>1923-185</f>
        <v>1738</v>
      </c>
      <c r="G1286" s="284">
        <f>39.7</f>
        <v>39.700000000000003</v>
      </c>
      <c r="H1286" s="315"/>
      <c r="I1286" s="285">
        <f>F1286-G1286-H1286</f>
        <v>1698.3</v>
      </c>
      <c r="J1286" s="286" t="s">
        <v>156</v>
      </c>
      <c r="K1286" s="286">
        <v>1</v>
      </c>
      <c r="L1286" s="286">
        <v>1</v>
      </c>
      <c r="M1286" s="286">
        <v>1</v>
      </c>
      <c r="N1286" s="286">
        <v>1</v>
      </c>
      <c r="O1286" s="286">
        <v>1</v>
      </c>
      <c r="P1286" s="286">
        <v>1</v>
      </c>
      <c r="Q1286" s="286">
        <v>1</v>
      </c>
      <c r="R1286" s="286">
        <v>1</v>
      </c>
      <c r="S1286" s="287">
        <v>1</v>
      </c>
      <c r="T1286" s="63"/>
      <c r="U1286" s="94"/>
      <c r="V1286" s="90">
        <f>203.5+190+1518.3</f>
        <v>1911.8</v>
      </c>
      <c r="W1286" s="91"/>
      <c r="X1286" s="92"/>
      <c r="Y1286" s="2"/>
      <c r="Z1286" s="2"/>
    </row>
    <row r="1287" spans="1:26">
      <c r="A1287" s="614"/>
      <c r="B1287" s="87">
        <f>B1286+1</f>
        <v>4</v>
      </c>
      <c r="C1287" s="639">
        <v>45944</v>
      </c>
      <c r="D1287" s="10">
        <v>74468</v>
      </c>
      <c r="E1287" s="10" t="s">
        <v>1169</v>
      </c>
      <c r="F1287" s="62">
        <v>1261</v>
      </c>
      <c r="G1287" s="62">
        <f>39.7</f>
        <v>39.700000000000003</v>
      </c>
      <c r="H1287" s="62"/>
      <c r="I1287" s="324">
        <f>F1287-G1287-H1287</f>
        <v>1221.3</v>
      </c>
      <c r="J1287" s="63" t="s">
        <v>156</v>
      </c>
      <c r="K1287" s="63">
        <v>1</v>
      </c>
      <c r="L1287" s="63">
        <v>1</v>
      </c>
      <c r="M1287" s="63">
        <v>1</v>
      </c>
      <c r="N1287" s="63">
        <v>1</v>
      </c>
      <c r="O1287" s="63">
        <v>1</v>
      </c>
      <c r="P1287" s="63">
        <v>1</v>
      </c>
      <c r="Q1287" s="325">
        <v>0</v>
      </c>
      <c r="R1287" s="325">
        <v>0</v>
      </c>
      <c r="S1287" s="326">
        <v>0</v>
      </c>
      <c r="T1287" s="63"/>
      <c r="U1287" s="94"/>
      <c r="V1287" s="90">
        <v>1387.1</v>
      </c>
      <c r="W1287" s="91"/>
      <c r="X1287" s="92"/>
      <c r="Y1287" s="2"/>
      <c r="Z1287" s="2"/>
    </row>
    <row r="1288" spans="1:26">
      <c r="A1288" s="613"/>
      <c r="B1288" s="87">
        <f>B1287+1</f>
        <v>5</v>
      </c>
      <c r="C1288" s="639">
        <v>45944</v>
      </c>
      <c r="D1288" s="10">
        <v>74402</v>
      </c>
      <c r="E1288" s="10" t="s">
        <v>1772</v>
      </c>
      <c r="F1288" s="62">
        <v>4461</v>
      </c>
      <c r="G1288" s="62">
        <f>39.7+(141.49)</f>
        <v>181.19</v>
      </c>
      <c r="H1288" s="62"/>
      <c r="I1288" s="89">
        <f>F1288-G1288-H1288</f>
        <v>4279.8100000000004</v>
      </c>
      <c r="J1288" s="63" t="s">
        <v>156</v>
      </c>
      <c r="K1288" s="63">
        <v>1</v>
      </c>
      <c r="L1288" s="63">
        <v>1</v>
      </c>
      <c r="M1288" s="63">
        <v>1</v>
      </c>
      <c r="N1288" s="63">
        <v>1</v>
      </c>
      <c r="O1288" s="63">
        <v>1</v>
      </c>
      <c r="P1288" s="63">
        <v>1</v>
      </c>
      <c r="Q1288" s="63">
        <v>1</v>
      </c>
      <c r="R1288" s="63">
        <v>1</v>
      </c>
      <c r="S1288" s="296">
        <v>1</v>
      </c>
      <c r="T1288" s="63"/>
      <c r="U1288" s="94"/>
      <c r="V1288" s="90">
        <f>500+4407.1</f>
        <v>4907.1000000000004</v>
      </c>
      <c r="W1288" s="91"/>
      <c r="X1288" s="92"/>
      <c r="Y1288" s="2"/>
      <c r="Z1288" s="2"/>
    </row>
    <row r="1289" spans="1:26">
      <c r="A1289" s="614"/>
      <c r="B1289" s="87">
        <f>B1288+1</f>
        <v>6</v>
      </c>
      <c r="C1289" s="638">
        <v>45945</v>
      </c>
      <c r="D1289" s="276">
        <v>74463</v>
      </c>
      <c r="E1289" s="404" t="s">
        <v>317</v>
      </c>
      <c r="F1289" s="277">
        <v>1361</v>
      </c>
      <c r="G1289" s="277">
        <f>39.7</f>
        <v>39.700000000000003</v>
      </c>
      <c r="H1289" s="277"/>
      <c r="I1289" s="278">
        <f>F1289-G1289-H1289</f>
        <v>1321.3</v>
      </c>
      <c r="J1289" s="279" t="s">
        <v>156</v>
      </c>
      <c r="K1289" s="279">
        <v>1</v>
      </c>
      <c r="L1289" s="279">
        <v>1</v>
      </c>
      <c r="M1289" s="279">
        <v>1</v>
      </c>
      <c r="N1289" s="279">
        <v>1</v>
      </c>
      <c r="O1289" s="279">
        <v>1</v>
      </c>
      <c r="P1289" s="279">
        <v>1</v>
      </c>
      <c r="Q1289" s="279">
        <v>1</v>
      </c>
      <c r="R1289" s="279">
        <v>1</v>
      </c>
      <c r="S1289" s="280">
        <v>1</v>
      </c>
      <c r="T1289" s="21">
        <v>1</v>
      </c>
      <c r="U1289" s="94"/>
      <c r="V1289" s="90">
        <v>1497.1</v>
      </c>
      <c r="W1289" s="91"/>
      <c r="X1289" s="92"/>
      <c r="Y1289" s="2"/>
      <c r="Z1289" s="2"/>
    </row>
    <row r="1290" spans="1:26">
      <c r="A1290" s="614"/>
      <c r="B1290" s="87">
        <f>B1289+1</f>
        <v>7</v>
      </c>
      <c r="C1290" s="638">
        <v>45946</v>
      </c>
      <c r="D1290" s="276">
        <v>74404</v>
      </c>
      <c r="E1290" s="276" t="s">
        <v>1088</v>
      </c>
      <c r="F1290" s="277">
        <v>1264</v>
      </c>
      <c r="G1290" s="277">
        <f>39.7</f>
        <v>39.700000000000003</v>
      </c>
      <c r="H1290" s="277"/>
      <c r="I1290" s="321">
        <f>F1290-G1290-H1290</f>
        <v>1224.3</v>
      </c>
      <c r="J1290" s="279" t="s">
        <v>156</v>
      </c>
      <c r="K1290" s="279">
        <v>1</v>
      </c>
      <c r="L1290" s="322">
        <v>0</v>
      </c>
      <c r="M1290" s="279">
        <v>1</v>
      </c>
      <c r="N1290" s="279">
        <v>1</v>
      </c>
      <c r="O1290" s="279">
        <v>1</v>
      </c>
      <c r="P1290" s="279">
        <v>1</v>
      </c>
      <c r="Q1290" s="279">
        <v>1</v>
      </c>
      <c r="R1290" s="279">
        <v>1</v>
      </c>
      <c r="S1290" s="280">
        <v>1</v>
      </c>
      <c r="T1290" s="21">
        <v>1</v>
      </c>
      <c r="U1290" s="94"/>
      <c r="V1290" s="90">
        <v>1390.4</v>
      </c>
      <c r="W1290" s="91"/>
      <c r="X1290" s="92"/>
      <c r="Y1290" s="2"/>
      <c r="Z1290" s="2"/>
    </row>
    <row r="1291" spans="1:26">
      <c r="A1291" s="614"/>
      <c r="B1291" s="87">
        <f>B1290+1</f>
        <v>8</v>
      </c>
      <c r="C1291" s="639">
        <v>45946</v>
      </c>
      <c r="D1291" s="10">
        <v>74517</v>
      </c>
      <c r="E1291" s="10" t="s">
        <v>1773</v>
      </c>
      <c r="F1291" s="62">
        <v>1461</v>
      </c>
      <c r="G1291" s="62">
        <f>39.7</f>
        <v>39.700000000000003</v>
      </c>
      <c r="H1291" s="88"/>
      <c r="I1291" s="89">
        <f>F1291-G1291-H1291</f>
        <v>1421.3</v>
      </c>
      <c r="J1291" s="63" t="s">
        <v>156</v>
      </c>
      <c r="K1291" s="63">
        <v>1</v>
      </c>
      <c r="L1291" s="63">
        <v>1</v>
      </c>
      <c r="M1291" s="63">
        <v>1</v>
      </c>
      <c r="N1291" s="63">
        <v>1</v>
      </c>
      <c r="O1291" s="63">
        <v>1</v>
      </c>
      <c r="P1291" s="63">
        <v>1</v>
      </c>
      <c r="Q1291" s="63">
        <v>1</v>
      </c>
      <c r="R1291" s="63">
        <v>1</v>
      </c>
      <c r="S1291" s="296">
        <v>1</v>
      </c>
      <c r="T1291" s="21">
        <v>1</v>
      </c>
      <c r="U1291" s="94"/>
      <c r="V1291" s="90">
        <v>1607.1</v>
      </c>
      <c r="W1291" s="91"/>
      <c r="X1291" s="92"/>
      <c r="Y1291" s="2"/>
      <c r="Z1291" s="2"/>
    </row>
    <row r="1292" spans="1:26">
      <c r="A1292" s="614"/>
      <c r="B1292" s="87">
        <f>B1291+1</f>
        <v>9</v>
      </c>
      <c r="C1292" s="640">
        <v>45946</v>
      </c>
      <c r="D1292" s="283" t="s">
        <v>1774</v>
      </c>
      <c r="E1292" s="283" t="s">
        <v>1773</v>
      </c>
      <c r="F1292" s="284">
        <v>16214</v>
      </c>
      <c r="G1292" s="284">
        <f>39.7+(1208.72+16.21)</f>
        <v>1264.6300000000001</v>
      </c>
      <c r="H1292" s="284"/>
      <c r="I1292" s="285">
        <f>F1292-G1292-H1292</f>
        <v>14949.369999999999</v>
      </c>
      <c r="J1292" s="286" t="s">
        <v>228</v>
      </c>
      <c r="K1292" s="286">
        <v>1</v>
      </c>
      <c r="L1292" s="286">
        <v>1</v>
      </c>
      <c r="M1292" s="286">
        <v>1</v>
      </c>
      <c r="N1292" s="286">
        <v>1</v>
      </c>
      <c r="O1292" s="286">
        <v>1</v>
      </c>
      <c r="P1292" s="286">
        <v>1</v>
      </c>
      <c r="Q1292" s="286">
        <v>1</v>
      </c>
      <c r="R1292" s="286">
        <v>1</v>
      </c>
      <c r="S1292" s="287">
        <v>1</v>
      </c>
      <c r="T1292" s="21"/>
      <c r="U1292" s="94" t="s">
        <v>1775</v>
      </c>
      <c r="V1292" s="90">
        <f>1800+16035.4</f>
        <v>17835.400000000001</v>
      </c>
      <c r="W1292" s="91"/>
      <c r="X1292" s="92"/>
      <c r="Y1292" s="2"/>
      <c r="Z1292" s="2"/>
    </row>
    <row r="1293" spans="1:26">
      <c r="A1293" s="614"/>
      <c r="B1293" s="87">
        <f>B1292+1</f>
        <v>10</v>
      </c>
      <c r="C1293" s="639">
        <v>45947</v>
      </c>
      <c r="D1293" s="10" t="s">
        <v>1776</v>
      </c>
      <c r="E1293" s="10" t="s">
        <v>1080</v>
      </c>
      <c r="F1293" s="62">
        <v>1328</v>
      </c>
      <c r="G1293" s="62">
        <f>39.7</f>
        <v>39.700000000000003</v>
      </c>
      <c r="H1293" s="88"/>
      <c r="I1293" s="324">
        <f>F1293-G1293-H1293</f>
        <v>1288.3</v>
      </c>
      <c r="J1293" s="63" t="s">
        <v>156</v>
      </c>
      <c r="K1293" s="63">
        <v>1</v>
      </c>
      <c r="L1293" s="63">
        <v>1</v>
      </c>
      <c r="M1293" s="63">
        <v>1</v>
      </c>
      <c r="N1293" s="63">
        <v>1</v>
      </c>
      <c r="O1293" s="63">
        <v>1</v>
      </c>
      <c r="P1293" s="63">
        <v>1</v>
      </c>
      <c r="Q1293" s="63">
        <v>1</v>
      </c>
      <c r="R1293" s="325">
        <v>0</v>
      </c>
      <c r="S1293" s="326">
        <v>0</v>
      </c>
      <c r="T1293" s="63"/>
      <c r="U1293" s="94" t="s">
        <v>1777</v>
      </c>
      <c r="V1293" s="90">
        <v>1460.8</v>
      </c>
      <c r="W1293" s="91"/>
      <c r="X1293" s="92"/>
      <c r="Y1293" s="2"/>
      <c r="Z1293" s="2"/>
    </row>
    <row r="1294" spans="1:26">
      <c r="A1294" s="614"/>
      <c r="B1294" s="87">
        <f>B1293+1</f>
        <v>11</v>
      </c>
      <c r="C1294" s="639">
        <v>45947</v>
      </c>
      <c r="D1294" s="10" t="s">
        <v>1778</v>
      </c>
      <c r="E1294" s="10" t="s">
        <v>1080</v>
      </c>
      <c r="F1294" s="62">
        <v>1481</v>
      </c>
      <c r="G1294" s="62">
        <f>39.7</f>
        <v>39.700000000000003</v>
      </c>
      <c r="H1294" s="88"/>
      <c r="I1294" s="324">
        <f>F1294-G1294-H1294</f>
        <v>1441.3</v>
      </c>
      <c r="J1294" s="63" t="s">
        <v>156</v>
      </c>
      <c r="K1294" s="63">
        <v>1</v>
      </c>
      <c r="L1294" s="63">
        <v>1</v>
      </c>
      <c r="M1294" s="63">
        <v>1</v>
      </c>
      <c r="N1294" s="63">
        <v>1</v>
      </c>
      <c r="O1294" s="63">
        <v>1</v>
      </c>
      <c r="P1294" s="63">
        <v>1</v>
      </c>
      <c r="Q1294" s="63">
        <v>1</v>
      </c>
      <c r="R1294" s="325">
        <v>0</v>
      </c>
      <c r="S1294" s="326">
        <v>0</v>
      </c>
      <c r="T1294" s="63"/>
      <c r="U1294" s="94" t="s">
        <v>1777</v>
      </c>
      <c r="V1294" s="90">
        <v>1629.1</v>
      </c>
      <c r="W1294" s="91"/>
      <c r="X1294" s="92"/>
      <c r="Y1294" s="2"/>
      <c r="Z1294" s="2"/>
    </row>
    <row r="1295" spans="1:26">
      <c r="A1295" s="614"/>
      <c r="B1295" s="87">
        <f>B1294+1</f>
        <v>12</v>
      </c>
      <c r="C1295" s="640">
        <v>45947</v>
      </c>
      <c r="D1295" s="283" t="s">
        <v>1779</v>
      </c>
      <c r="E1295" s="283" t="s">
        <v>1080</v>
      </c>
      <c r="F1295" s="284">
        <v>1281</v>
      </c>
      <c r="G1295" s="284">
        <f>39.7</f>
        <v>39.700000000000003</v>
      </c>
      <c r="H1295" s="315"/>
      <c r="I1295" s="300">
        <f>F1295-G1295-H1295</f>
        <v>1241.3</v>
      </c>
      <c r="J1295" s="286" t="s">
        <v>156</v>
      </c>
      <c r="K1295" s="286">
        <v>1</v>
      </c>
      <c r="L1295" s="286">
        <v>1</v>
      </c>
      <c r="M1295" s="286">
        <v>1</v>
      </c>
      <c r="N1295" s="286">
        <v>1</v>
      </c>
      <c r="O1295" s="286">
        <v>1</v>
      </c>
      <c r="P1295" s="286">
        <v>1</v>
      </c>
      <c r="Q1295" s="286">
        <v>1</v>
      </c>
      <c r="R1295" s="332">
        <v>0</v>
      </c>
      <c r="S1295" s="370">
        <v>0</v>
      </c>
      <c r="T1295" s="63"/>
      <c r="U1295" s="94" t="s">
        <v>1777</v>
      </c>
      <c r="V1295" s="90">
        <f>450+959.1</f>
        <v>1409.1</v>
      </c>
      <c r="W1295" s="91"/>
      <c r="X1295" s="92"/>
      <c r="Y1295" s="2"/>
      <c r="Z1295" s="2"/>
    </row>
    <row r="1296" spans="1:26">
      <c r="A1296" s="614"/>
      <c r="B1296" s="87"/>
      <c r="C1296" s="621"/>
      <c r="D1296" s="10"/>
      <c r="E1296" s="10"/>
      <c r="F1296" s="98">
        <f>SUM(F1284:F1295)</f>
        <v>35520.6</v>
      </c>
      <c r="G1296" s="98">
        <f>SUM(G1284:G1295)</f>
        <v>1846.3400000000001</v>
      </c>
      <c r="H1296" s="98">
        <f>SUM(H1284:H1295)</f>
        <v>0</v>
      </c>
      <c r="I1296" s="98">
        <f>SUM(I1284:I1295)</f>
        <v>33674.259999999995</v>
      </c>
      <c r="J1296" s="63"/>
      <c r="K1296" s="63">
        <f>COUNT(K1284:K1295)</f>
        <v>12</v>
      </c>
      <c r="L1296" s="63">
        <f>COUNT(L1284:L1295)</f>
        <v>12</v>
      </c>
      <c r="M1296" s="63">
        <f>COUNT(M1284:M1295)</f>
        <v>12</v>
      </c>
      <c r="N1296" s="63">
        <f>COUNT(N1284:N1295)</f>
        <v>12</v>
      </c>
      <c r="O1296" s="63">
        <f>COUNT(O1284:O1295)</f>
        <v>12</v>
      </c>
      <c r="P1296" s="63">
        <f>COUNT(P1284:P1295)</f>
        <v>12</v>
      </c>
      <c r="Q1296" s="63">
        <f>COUNT(Q1284:Q1295)</f>
        <v>12</v>
      </c>
      <c r="R1296" s="63">
        <f>COUNT(R1284:R1295)</f>
        <v>12</v>
      </c>
      <c r="S1296" s="63">
        <f>COUNT(S1284:S1295)</f>
        <v>12</v>
      </c>
      <c r="T1296" s="63"/>
      <c r="U1296" s="94"/>
      <c r="V1296" s="90"/>
      <c r="W1296" s="91"/>
      <c r="X1296" s="92"/>
      <c r="Y1296" s="2"/>
      <c r="Z1296" s="2"/>
    </row>
    <row r="1297" spans="1:26">
      <c r="A1297" s="614"/>
      <c r="B1297" s="87"/>
      <c r="C1297" s="621"/>
      <c r="D1297" s="10"/>
      <c r="E1297" s="10"/>
      <c r="F1297" s="88"/>
      <c r="G1297" s="88"/>
      <c r="H1297" s="88"/>
      <c r="I1297" s="99"/>
      <c r="J1297" s="63"/>
      <c r="K1297" s="21">
        <f>SUM(K1284:K1295)</f>
        <v>12</v>
      </c>
      <c r="L1297" s="21">
        <f>SUM(L1284:L1295)</f>
        <v>11</v>
      </c>
      <c r="M1297" s="21">
        <f>SUM(M1284:M1295)</f>
        <v>12</v>
      </c>
      <c r="N1297" s="21">
        <f>SUM(N1284:N1295)</f>
        <v>12</v>
      </c>
      <c r="O1297" s="21">
        <f>SUM(O1284:O1295)</f>
        <v>12</v>
      </c>
      <c r="P1297" s="21">
        <f>SUM(P1284:P1295)</f>
        <v>12</v>
      </c>
      <c r="Q1297" s="21">
        <f>SUM(Q1284:Q1295)</f>
        <v>10</v>
      </c>
      <c r="R1297" s="21">
        <f>SUM(R1284:R1295)</f>
        <v>7</v>
      </c>
      <c r="S1297" s="21">
        <f>SUM(S1284:S1295)</f>
        <v>7</v>
      </c>
      <c r="T1297" s="63"/>
      <c r="U1297" s="94"/>
      <c r="V1297" s="90"/>
      <c r="W1297" s="91"/>
      <c r="X1297" s="92"/>
      <c r="Y1297" s="2"/>
      <c r="Z1297" s="2"/>
    </row>
    <row r="1298" spans="1:26">
      <c r="A1298" s="614"/>
      <c r="B1298" s="11"/>
      <c r="C1298" s="609"/>
      <c r="D1298" s="10"/>
      <c r="E1298" s="10"/>
      <c r="F1298" s="88"/>
      <c r="G1298" s="88"/>
      <c r="H1298" s="88"/>
      <c r="I1298" s="99"/>
      <c r="J1298" s="63"/>
      <c r="K1298" s="21"/>
      <c r="L1298" s="21"/>
      <c r="M1298" s="21"/>
      <c r="N1298" s="21"/>
      <c r="O1298" s="21"/>
      <c r="P1298" s="21"/>
      <c r="Q1298" s="21"/>
      <c r="R1298" s="21"/>
      <c r="S1298" s="21"/>
      <c r="T1298" s="63"/>
      <c r="U1298" s="94"/>
      <c r="V1298" s="90"/>
      <c r="W1298" s="91"/>
      <c r="X1298" s="92"/>
      <c r="Y1298" s="2"/>
      <c r="Z1298" s="2"/>
    </row>
    <row r="1299" spans="1:26">
      <c r="A1299" s="614"/>
      <c r="B1299" s="100" t="s">
        <v>67</v>
      </c>
      <c r="C1299" s="609"/>
      <c r="D1299" s="10"/>
      <c r="E1299" s="10"/>
      <c r="F1299" s="88"/>
      <c r="G1299" s="62"/>
      <c r="H1299" s="88"/>
      <c r="I1299" s="99"/>
      <c r="J1299" s="63"/>
      <c r="K1299" s="2"/>
      <c r="L1299" s="2"/>
      <c r="M1299" s="2"/>
      <c r="N1299" s="2"/>
      <c r="O1299" s="2"/>
      <c r="P1299" s="2"/>
      <c r="Q1299" s="2"/>
      <c r="R1299" s="2"/>
      <c r="S1299" s="2"/>
      <c r="T1299" s="63"/>
      <c r="U1299" s="94"/>
      <c r="V1299" s="90"/>
      <c r="W1299" s="91"/>
      <c r="X1299" s="92"/>
      <c r="Y1299" s="2"/>
      <c r="Z1299" s="2"/>
    </row>
    <row r="1300" spans="1:26">
      <c r="A1300" s="261" t="s">
        <v>1780</v>
      </c>
      <c r="B1300" s="87">
        <v>1</v>
      </c>
      <c r="C1300" s="641">
        <v>45940</v>
      </c>
      <c r="D1300" s="263">
        <v>74277</v>
      </c>
      <c r="E1300" s="271" t="s">
        <v>1584</v>
      </c>
      <c r="F1300" s="265">
        <v>4360</v>
      </c>
      <c r="G1300" s="265">
        <f>39.7+(102.09)+300</f>
        <v>441.79</v>
      </c>
      <c r="H1300" s="265"/>
      <c r="I1300" s="272">
        <f>F1300-G1300-H1300</f>
        <v>3918.21</v>
      </c>
      <c r="J1300" s="267" t="s">
        <v>228</v>
      </c>
      <c r="K1300" s="267">
        <v>1</v>
      </c>
      <c r="L1300" s="267">
        <v>1</v>
      </c>
      <c r="M1300" s="267">
        <v>1</v>
      </c>
      <c r="N1300" s="267">
        <v>1</v>
      </c>
      <c r="O1300" s="267">
        <v>1</v>
      </c>
      <c r="P1300" s="267">
        <v>1</v>
      </c>
      <c r="Q1300" s="267">
        <v>1</v>
      </c>
      <c r="R1300" s="267">
        <v>1</v>
      </c>
      <c r="S1300" s="269">
        <v>1</v>
      </c>
      <c r="T1300" s="63"/>
      <c r="U1300" s="94" t="s">
        <v>1781</v>
      </c>
      <c r="V1300" s="90"/>
      <c r="W1300" s="136"/>
      <c r="X1300" s="137"/>
      <c r="Y1300" s="260"/>
      <c r="Z1300" s="260"/>
    </row>
    <row r="1301" spans="1:26" s="260" customFormat="1">
      <c r="A1301" s="494" t="s">
        <v>1782</v>
      </c>
      <c r="B1301" s="87">
        <f>B1300+1</f>
        <v>2</v>
      </c>
      <c r="C1301" s="640">
        <v>45940</v>
      </c>
      <c r="D1301" s="368">
        <v>74299</v>
      </c>
      <c r="E1301" s="283" t="s">
        <v>728</v>
      </c>
      <c r="F1301" s="284">
        <v>2532.6</v>
      </c>
      <c r="G1301" s="284">
        <f>39.7+(351.44+301.79-54.57)</f>
        <v>638.36</v>
      </c>
      <c r="H1301" s="284"/>
      <c r="I1301" s="300">
        <f>F1301-G1301-H1301</f>
        <v>1894.2399999999998</v>
      </c>
      <c r="J1301" s="286" t="s">
        <v>156</v>
      </c>
      <c r="K1301" s="286">
        <v>1</v>
      </c>
      <c r="L1301" s="286">
        <v>1</v>
      </c>
      <c r="M1301" s="286">
        <v>1</v>
      </c>
      <c r="N1301" s="286">
        <v>1</v>
      </c>
      <c r="O1301" s="286">
        <v>1</v>
      </c>
      <c r="P1301" s="286">
        <v>1</v>
      </c>
      <c r="Q1301" s="332">
        <v>0</v>
      </c>
      <c r="R1301" s="332">
        <v>0</v>
      </c>
      <c r="S1301" s="370">
        <v>0</v>
      </c>
      <c r="T1301" s="63"/>
      <c r="U1301" s="94" t="s">
        <v>1783</v>
      </c>
      <c r="V1301" s="90">
        <f>2485.86</f>
        <v>2485.86</v>
      </c>
      <c r="W1301" s="136"/>
      <c r="X1301" s="137"/>
    </row>
    <row r="1302" spans="1:26">
      <c r="A1302" s="614"/>
      <c r="B1302" s="11"/>
      <c r="C1302" s="609"/>
      <c r="D1302" s="10"/>
      <c r="E1302" s="10"/>
      <c r="F1302" s="97">
        <f>SUM(F1300:F1301)</f>
        <v>6892.6</v>
      </c>
      <c r="G1302" s="97">
        <f>SUM(G1300:G1301)</f>
        <v>1080.1500000000001</v>
      </c>
      <c r="H1302" s="97">
        <f>SUM(H1300:H1301)</f>
        <v>0</v>
      </c>
      <c r="I1302" s="98">
        <f>SUM(I1300:I1301)</f>
        <v>5812.45</v>
      </c>
      <c r="J1302" s="63"/>
      <c r="K1302" s="21"/>
      <c r="L1302" s="21"/>
      <c r="M1302" s="21"/>
      <c r="N1302" s="21"/>
      <c r="O1302" s="21"/>
      <c r="P1302" s="21"/>
      <c r="Q1302" s="21"/>
      <c r="R1302" s="21"/>
      <c r="S1302" s="21"/>
      <c r="T1302" s="63"/>
      <c r="U1302" s="94"/>
      <c r="V1302" s="90"/>
      <c r="W1302" s="91"/>
      <c r="X1302" s="92"/>
      <c r="Y1302" s="2"/>
      <c r="Z1302" s="2"/>
    </row>
    <row r="1303" spans="1:26">
      <c r="A1303" s="614"/>
      <c r="B1303" s="11"/>
      <c r="C1303" s="609"/>
      <c r="D1303" s="10"/>
      <c r="E1303" s="10"/>
      <c r="F1303" s="88"/>
      <c r="G1303" s="88"/>
      <c r="H1303" s="88"/>
      <c r="I1303" s="99"/>
      <c r="J1303" s="63"/>
      <c r="K1303" s="21"/>
      <c r="L1303" s="21"/>
      <c r="M1303" s="21"/>
      <c r="N1303" s="21"/>
      <c r="O1303" s="21"/>
      <c r="P1303" s="21"/>
      <c r="Q1303" s="21"/>
      <c r="R1303" s="21"/>
      <c r="S1303" s="21"/>
      <c r="T1303" s="63"/>
      <c r="U1303" s="94"/>
      <c r="V1303" s="90"/>
      <c r="W1303" s="91"/>
      <c r="X1303" s="92"/>
      <c r="Y1303" s="2"/>
      <c r="Z1303" s="2"/>
    </row>
    <row r="1304" spans="1:26" s="342" customFormat="1">
      <c r="A1304" s="615"/>
      <c r="B1304" s="121" t="s">
        <v>68</v>
      </c>
      <c r="C1304" s="611"/>
      <c r="D1304" s="123"/>
      <c r="E1304" s="123"/>
      <c r="F1304" s="124"/>
      <c r="G1304" s="125"/>
      <c r="H1304" s="124"/>
      <c r="I1304" s="126"/>
      <c r="J1304" s="127"/>
      <c r="K1304" s="128"/>
      <c r="L1304" s="128"/>
      <c r="M1304" s="128"/>
      <c r="N1304" s="128"/>
      <c r="O1304" s="128"/>
      <c r="P1304" s="128"/>
      <c r="Q1304" s="128"/>
      <c r="R1304" s="128"/>
      <c r="S1304" s="128"/>
      <c r="T1304" s="127"/>
      <c r="U1304" s="135"/>
      <c r="V1304" s="129"/>
      <c r="W1304" s="130"/>
      <c r="X1304" s="131"/>
      <c r="Y1304" s="128"/>
      <c r="Z1304" s="128"/>
    </row>
    <row r="1305" spans="1:26" s="342" customFormat="1">
      <c r="A1305" s="356">
        <v>0.1</v>
      </c>
      <c r="B1305" s="333">
        <v>1</v>
      </c>
      <c r="C1305" s="703">
        <v>45943</v>
      </c>
      <c r="D1305" s="358" t="s">
        <v>1784</v>
      </c>
      <c r="E1305" s="358" t="s">
        <v>1047</v>
      </c>
      <c r="F1305" s="352">
        <v>14814</v>
      </c>
      <c r="G1305" s="352">
        <f>39.7+(156.3+99.23)+(306.55+4.33+36.7)+1000</f>
        <v>1642.81</v>
      </c>
      <c r="H1305" s="352"/>
      <c r="I1305" s="353">
        <f>F1305-G1305-H1305</f>
        <v>13171.19</v>
      </c>
      <c r="J1305" s="354" t="s">
        <v>156</v>
      </c>
      <c r="K1305" s="354">
        <v>1</v>
      </c>
      <c r="L1305" s="354">
        <v>1</v>
      </c>
      <c r="M1305" s="354">
        <v>1</v>
      </c>
      <c r="N1305" s="354">
        <v>1</v>
      </c>
      <c r="O1305" s="354">
        <v>1</v>
      </c>
      <c r="P1305" s="354">
        <v>1</v>
      </c>
      <c r="Q1305" s="314">
        <v>0</v>
      </c>
      <c r="R1305" s="314">
        <v>0</v>
      </c>
      <c r="S1305" s="366">
        <v>0</v>
      </c>
      <c r="T1305" s="127"/>
      <c r="U1305" s="135" t="s">
        <v>1785</v>
      </c>
      <c r="V1305" s="129">
        <f>1629.54+6000+5000+2665.86</f>
        <v>15295.400000000001</v>
      </c>
      <c r="W1305" s="130"/>
      <c r="X1305" s="131"/>
      <c r="Y1305" s="128"/>
      <c r="Z1305" s="128"/>
    </row>
    <row r="1306" spans="1:26" s="342" customFormat="1">
      <c r="A1306" s="356">
        <v>0.1</v>
      </c>
      <c r="B1306" s="333">
        <f>B1305+1</f>
        <v>2</v>
      </c>
      <c r="C1306" s="655">
        <v>45944</v>
      </c>
      <c r="D1306" s="396">
        <v>74154</v>
      </c>
      <c r="E1306" s="396" t="s">
        <v>1028</v>
      </c>
      <c r="F1306" s="397">
        <v>2814</v>
      </c>
      <c r="G1306" s="397">
        <f>39.7+(329.3-104.5)+200</f>
        <v>464.5</v>
      </c>
      <c r="H1306" s="397">
        <f>F1306*0.2</f>
        <v>562.80000000000007</v>
      </c>
      <c r="I1306" s="398">
        <f>F1306-G1306-H1306</f>
        <v>1786.6999999999998</v>
      </c>
      <c r="J1306" s="399" t="s">
        <v>185</v>
      </c>
      <c r="K1306" s="399">
        <v>1</v>
      </c>
      <c r="L1306" s="399">
        <v>1</v>
      </c>
      <c r="M1306" s="399">
        <v>1</v>
      </c>
      <c r="N1306" s="399">
        <v>1</v>
      </c>
      <c r="O1306" s="399">
        <v>1</v>
      </c>
      <c r="P1306" s="399">
        <v>1</v>
      </c>
      <c r="Q1306" s="399">
        <v>1</v>
      </c>
      <c r="R1306" s="399">
        <v>1</v>
      </c>
      <c r="S1306" s="400">
        <v>1</v>
      </c>
      <c r="T1306" s="64">
        <v>1</v>
      </c>
      <c r="U1306" s="135" t="s">
        <v>1786</v>
      </c>
      <c r="V1306" s="129">
        <f>309</f>
        <v>309</v>
      </c>
      <c r="W1306" s="130"/>
      <c r="X1306" s="131"/>
      <c r="Y1306" s="128"/>
      <c r="Z1306" s="128"/>
    </row>
    <row r="1307" spans="1:26" s="342" customFormat="1">
      <c r="A1307" s="615"/>
      <c r="B1307" s="132"/>
      <c r="C1307" s="625"/>
      <c r="D1307" s="123"/>
      <c r="E1307" s="123"/>
      <c r="F1307" s="134">
        <f>SUM(F1305:F1306)</f>
        <v>17628</v>
      </c>
      <c r="G1307" s="134">
        <f>SUM(G1305:G1306)</f>
        <v>2107.31</v>
      </c>
      <c r="H1307" s="134">
        <f>SUM(H1305:H1306)</f>
        <v>562.80000000000007</v>
      </c>
      <c r="I1307" s="134">
        <f>SUM(I1305:I1306)</f>
        <v>14957.89</v>
      </c>
      <c r="J1307" s="127"/>
      <c r="K1307" s="64"/>
      <c r="L1307" s="64"/>
      <c r="M1307" s="64"/>
      <c r="N1307" s="64"/>
      <c r="O1307" s="64"/>
      <c r="P1307" s="64"/>
      <c r="Q1307" s="64"/>
      <c r="R1307" s="64"/>
      <c r="S1307" s="64"/>
      <c r="T1307" s="127"/>
      <c r="U1307" s="135"/>
      <c r="V1307" s="129"/>
      <c r="W1307" s="130"/>
      <c r="X1307" s="131"/>
      <c r="Y1307" s="128"/>
      <c r="Z1307" s="128"/>
    </row>
    <row r="1308" spans="1:26" s="342" customFormat="1">
      <c r="A1308" s="615"/>
      <c r="B1308" s="132"/>
      <c r="C1308" s="611"/>
      <c r="D1308" s="123"/>
      <c r="E1308" s="123"/>
      <c r="F1308" s="124"/>
      <c r="G1308" s="124"/>
      <c r="H1308" s="124"/>
      <c r="I1308" s="126"/>
      <c r="J1308" s="127"/>
      <c r="K1308" s="64"/>
      <c r="L1308" s="64"/>
      <c r="M1308" s="64"/>
      <c r="N1308" s="64"/>
      <c r="O1308" s="64"/>
      <c r="P1308" s="64"/>
      <c r="Q1308" s="64"/>
      <c r="R1308" s="64"/>
      <c r="S1308" s="64"/>
      <c r="T1308" s="127"/>
      <c r="U1308" s="135"/>
      <c r="V1308" s="129"/>
      <c r="W1308" s="130"/>
      <c r="X1308" s="131"/>
      <c r="Y1308" s="128"/>
      <c r="Z1308" s="128"/>
    </row>
    <row r="1309" spans="1:26" s="342" customFormat="1">
      <c r="A1309" s="615"/>
      <c r="B1309" s="121" t="s">
        <v>70</v>
      </c>
      <c r="C1309" s="611"/>
      <c r="D1309" s="123"/>
      <c r="E1309" s="128"/>
      <c r="F1309" s="124"/>
      <c r="G1309" s="124"/>
      <c r="H1309" s="124"/>
      <c r="I1309" s="126"/>
      <c r="J1309" s="127"/>
      <c r="K1309" s="64"/>
      <c r="L1309" s="64"/>
      <c r="M1309" s="64"/>
      <c r="N1309" s="64"/>
      <c r="O1309" s="64"/>
      <c r="P1309" s="64"/>
      <c r="Q1309" s="64"/>
      <c r="R1309" s="64"/>
      <c r="S1309" s="64"/>
      <c r="T1309" s="127"/>
      <c r="U1309" s="135"/>
      <c r="V1309" s="129"/>
      <c r="W1309" s="130"/>
      <c r="X1309" s="131"/>
      <c r="Y1309" s="128"/>
      <c r="Z1309" s="128"/>
    </row>
    <row r="1310" spans="1:26" s="342" customFormat="1">
      <c r="A1310" s="356">
        <v>0.1</v>
      </c>
      <c r="B1310" s="333">
        <v>1</v>
      </c>
      <c r="C1310" s="653">
        <v>45943</v>
      </c>
      <c r="D1310" s="335" t="s">
        <v>1787</v>
      </c>
      <c r="E1310" s="335" t="s">
        <v>998</v>
      </c>
      <c r="F1310" s="336">
        <v>8214</v>
      </c>
      <c r="G1310" s="336">
        <f>39.7+(18.99+56.95+17.18+19.32)+(70.02+238.44+30.99+77.62+6.48+12.9+107.09)+750</f>
        <v>1445.6799999999998</v>
      </c>
      <c r="H1310" s="336"/>
      <c r="I1310" s="337">
        <f>F1310-G1310-H1310</f>
        <v>6768.32</v>
      </c>
      <c r="J1310" s="338" t="s">
        <v>156</v>
      </c>
      <c r="K1310" s="338">
        <v>1</v>
      </c>
      <c r="L1310" s="338"/>
      <c r="M1310" s="338">
        <v>1</v>
      </c>
      <c r="N1310" s="338">
        <v>1</v>
      </c>
      <c r="O1310" s="338">
        <v>1</v>
      </c>
      <c r="P1310" s="338">
        <v>1</v>
      </c>
      <c r="Q1310" s="338"/>
      <c r="R1310" s="338"/>
      <c r="S1310" s="339"/>
      <c r="T1310" s="127"/>
      <c r="U1310" s="135" t="s">
        <v>1788</v>
      </c>
      <c r="V1310" s="129">
        <f>900+2000</f>
        <v>2900</v>
      </c>
      <c r="W1310" s="340"/>
      <c r="X1310" s="341"/>
      <c r="Y1310" s="128"/>
      <c r="Z1310" s="128"/>
    </row>
    <row r="1311" spans="1:26" s="342" customFormat="1">
      <c r="A1311" s="356">
        <v>0.1</v>
      </c>
      <c r="B1311" s="333">
        <f>B1310+1</f>
        <v>2</v>
      </c>
      <c r="C1311" s="653">
        <v>45944</v>
      </c>
      <c r="D1311" s="335" t="s">
        <v>1789</v>
      </c>
      <c r="E1311" s="335" t="s">
        <v>1169</v>
      </c>
      <c r="F1311" s="336">
        <v>6814</v>
      </c>
      <c r="G1311" s="336">
        <f>39.7+2500</f>
        <v>2539.6999999999998</v>
      </c>
      <c r="H1311" s="336"/>
      <c r="I1311" s="337">
        <f>F1311-G1311-H1311</f>
        <v>4274.3</v>
      </c>
      <c r="J1311" s="338" t="s">
        <v>156</v>
      </c>
      <c r="K1311" s="338">
        <v>1</v>
      </c>
      <c r="L1311" s="338"/>
      <c r="M1311" s="338">
        <v>1</v>
      </c>
      <c r="N1311" s="338">
        <v>1</v>
      </c>
      <c r="O1311" s="338">
        <v>1</v>
      </c>
      <c r="P1311" s="338">
        <v>1</v>
      </c>
      <c r="Q1311" s="338"/>
      <c r="R1311" s="338"/>
      <c r="S1311" s="339"/>
      <c r="T1311" s="127"/>
      <c r="U1311" s="135" t="s">
        <v>1790</v>
      </c>
      <c r="V1311" s="129">
        <f>750</f>
        <v>750</v>
      </c>
      <c r="W1311" s="340"/>
      <c r="X1311" s="341"/>
      <c r="Y1311" s="128"/>
      <c r="Z1311" s="128"/>
    </row>
    <row r="1312" spans="1:26" s="342" customFormat="1">
      <c r="A1312" s="356">
        <v>0.1</v>
      </c>
      <c r="B1312" s="333">
        <f>B1311+1</f>
        <v>3</v>
      </c>
      <c r="C1312" s="703">
        <v>45945</v>
      </c>
      <c r="D1312" s="358">
        <v>74508</v>
      </c>
      <c r="E1312" s="358" t="s">
        <v>1047</v>
      </c>
      <c r="F1312" s="352">
        <v>12814</v>
      </c>
      <c r="G1312" s="352">
        <f>39.7+(102.78)+(85.47)+1000</f>
        <v>1227.95</v>
      </c>
      <c r="H1312" s="352"/>
      <c r="I1312" s="353">
        <f>F1312-G1312-H1312</f>
        <v>11586.05</v>
      </c>
      <c r="J1312" s="354" t="s">
        <v>156</v>
      </c>
      <c r="K1312" s="354">
        <v>1</v>
      </c>
      <c r="L1312" s="354"/>
      <c r="M1312" s="354">
        <v>1</v>
      </c>
      <c r="N1312" s="354">
        <v>1</v>
      </c>
      <c r="O1312" s="354">
        <v>1</v>
      </c>
      <c r="P1312" s="354">
        <v>1</v>
      </c>
      <c r="Q1312" s="354"/>
      <c r="R1312" s="354"/>
      <c r="S1312" s="355"/>
      <c r="T1312" s="64"/>
      <c r="U1312" s="135" t="s">
        <v>1791</v>
      </c>
      <c r="V1312" s="129">
        <f>1400+5000</f>
        <v>6400</v>
      </c>
      <c r="W1312" s="340"/>
      <c r="X1312" s="341"/>
      <c r="Y1312" s="128"/>
      <c r="Z1312" s="128"/>
    </row>
    <row r="1313" spans="1:26" s="342" customFormat="1">
      <c r="A1313" s="615"/>
      <c r="B1313" s="132"/>
      <c r="C1313" s="625"/>
      <c r="D1313" s="123"/>
      <c r="E1313" s="123"/>
      <c r="F1313" s="134">
        <f>SUM(F1310:F1312)</f>
        <v>27842</v>
      </c>
      <c r="G1313" s="134">
        <f>SUM(G1310:G1312)</f>
        <v>5213.33</v>
      </c>
      <c r="H1313" s="134">
        <f>SUM(H1310:H1312)</f>
        <v>0</v>
      </c>
      <c r="I1313" s="134">
        <f>SUM(I1310:I1312)</f>
        <v>22628.67</v>
      </c>
      <c r="J1313" s="127"/>
      <c r="K1313" s="64"/>
      <c r="L1313" s="64"/>
      <c r="M1313" s="64"/>
      <c r="N1313" s="64"/>
      <c r="O1313" s="64"/>
      <c r="P1313" s="64"/>
      <c r="Q1313" s="64"/>
      <c r="R1313" s="64"/>
      <c r="S1313" s="64"/>
      <c r="T1313" s="127"/>
      <c r="U1313" s="135"/>
      <c r="V1313" s="129"/>
      <c r="W1313" s="130"/>
      <c r="X1313" s="131"/>
      <c r="Y1313" s="128"/>
      <c r="Z1313" s="128"/>
    </row>
    <row r="1314" spans="1:26">
      <c r="A1314" s="614"/>
      <c r="B1314" s="11"/>
      <c r="C1314" s="621"/>
      <c r="D1314" s="10"/>
      <c r="E1314" s="10"/>
      <c r="F1314" s="88"/>
      <c r="G1314" s="88"/>
      <c r="H1314" s="88"/>
      <c r="I1314" s="99"/>
      <c r="J1314" s="63"/>
      <c r="K1314" s="21"/>
      <c r="L1314" s="21"/>
      <c r="M1314" s="21"/>
      <c r="N1314" s="21"/>
      <c r="O1314" s="21"/>
      <c r="P1314" s="21"/>
      <c r="Q1314" s="21"/>
      <c r="R1314" s="21"/>
      <c r="S1314" s="21"/>
      <c r="T1314" s="63"/>
      <c r="U1314" s="94"/>
      <c r="V1314" s="90"/>
      <c r="W1314" s="91"/>
      <c r="X1314" s="92"/>
      <c r="Y1314" s="2"/>
      <c r="Z1314" s="2"/>
    </row>
    <row r="1315" spans="1:26" s="434" customFormat="1" ht="13.5">
      <c r="A1315" s="10"/>
      <c r="B1315" s="100" t="s">
        <v>152</v>
      </c>
      <c r="C1315" s="36"/>
      <c r="D1315" s="10"/>
      <c r="E1315" s="10"/>
      <c r="F1315" s="88"/>
      <c r="G1315" s="62"/>
      <c r="H1315" s="88"/>
      <c r="I1315" s="99"/>
      <c r="J1315" s="63"/>
      <c r="K1315" s="10"/>
      <c r="L1315" s="10"/>
      <c r="M1315" s="10"/>
      <c r="N1315" s="10"/>
      <c r="O1315" s="10"/>
      <c r="P1315" s="123"/>
      <c r="Q1315" s="10"/>
      <c r="R1315" s="10"/>
      <c r="S1315" s="10"/>
      <c r="T1315" s="63"/>
      <c r="U1315" s="10"/>
      <c r="V1315" s="90"/>
      <c r="W1315" s="91"/>
      <c r="X1315" s="92"/>
    </row>
    <row r="1316" spans="1:26" s="260" customFormat="1">
      <c r="A1316" s="261">
        <v>0.05</v>
      </c>
      <c r="B1316" s="87">
        <v>1</v>
      </c>
      <c r="C1316" s="262">
        <v>45863</v>
      </c>
      <c r="D1316" s="263" t="s">
        <v>1497</v>
      </c>
      <c r="E1316" s="271" t="s">
        <v>1117</v>
      </c>
      <c r="F1316" s="265">
        <v>1138</v>
      </c>
      <c r="G1316" s="265">
        <f>39.7</f>
        <v>39.700000000000003</v>
      </c>
      <c r="H1316" s="365"/>
      <c r="I1316" s="266">
        <f>F1316-G1316-H1316</f>
        <v>1098.3</v>
      </c>
      <c r="J1316" s="267"/>
      <c r="K1316" s="267">
        <v>1</v>
      </c>
      <c r="L1316" s="267">
        <v>1</v>
      </c>
      <c r="M1316" s="267"/>
      <c r="N1316" s="267">
        <v>1</v>
      </c>
      <c r="O1316" s="267">
        <v>1</v>
      </c>
      <c r="P1316" s="267">
        <v>1</v>
      </c>
      <c r="Q1316" s="314">
        <v>0</v>
      </c>
      <c r="R1316" s="314">
        <v>0</v>
      </c>
      <c r="S1316" s="366">
        <v>0</v>
      </c>
      <c r="T1316" s="63"/>
      <c r="U1316" s="10" t="s">
        <v>1628</v>
      </c>
      <c r="V1316" s="90"/>
      <c r="W1316" s="91"/>
      <c r="X1316" s="92"/>
    </row>
    <row r="1317" spans="1:26" s="260" customFormat="1">
      <c r="A1317" s="261">
        <v>0.05</v>
      </c>
      <c r="B1317" s="87">
        <f>B1316+1</f>
        <v>2</v>
      </c>
      <c r="C1317" s="274">
        <v>45874</v>
      </c>
      <c r="D1317" s="327">
        <v>72064</v>
      </c>
      <c r="E1317" s="276" t="s">
        <v>998</v>
      </c>
      <c r="F1317" s="277">
        <v>1138</v>
      </c>
      <c r="G1317" s="277">
        <v>39.700000000000003</v>
      </c>
      <c r="H1317" s="277"/>
      <c r="I1317" s="321">
        <f>F1317-G1317-H1317</f>
        <v>1098.3</v>
      </c>
      <c r="J1317" s="279"/>
      <c r="K1317" s="279">
        <v>1</v>
      </c>
      <c r="L1317" s="279">
        <v>1</v>
      </c>
      <c r="M1317" s="279"/>
      <c r="N1317" s="279">
        <v>1</v>
      </c>
      <c r="O1317" s="279">
        <v>1</v>
      </c>
      <c r="P1317" s="279">
        <v>1</v>
      </c>
      <c r="Q1317" s="322">
        <v>0</v>
      </c>
      <c r="R1317" s="322">
        <v>0</v>
      </c>
      <c r="S1317" s="328">
        <v>0</v>
      </c>
      <c r="T1317" s="63"/>
      <c r="U1317" s="94" t="s">
        <v>1540</v>
      </c>
      <c r="V1317" s="90"/>
      <c r="W1317" s="91"/>
      <c r="X1317" s="92"/>
    </row>
    <row r="1318" spans="1:26" s="260" customFormat="1">
      <c r="A1318" s="261">
        <v>0.05</v>
      </c>
      <c r="B1318" s="87">
        <f>B1317+1</f>
        <v>3</v>
      </c>
      <c r="C1318" s="262">
        <v>45860</v>
      </c>
      <c r="D1318" s="263" t="s">
        <v>1522</v>
      </c>
      <c r="E1318" s="271" t="s">
        <v>1256</v>
      </c>
      <c r="F1318" s="265">
        <v>13770</v>
      </c>
      <c r="G1318" s="265">
        <f>39.7+271.4+(133.8)+(7.88+328.49-9.15-0.86-0.98-2.08-46.07+30.69+267.21)+1000</f>
        <v>2020.03</v>
      </c>
      <c r="H1318" s="365"/>
      <c r="I1318" s="266">
        <f>F1318-G1318-H1318</f>
        <v>11749.97</v>
      </c>
      <c r="J1318" s="267" t="s">
        <v>156</v>
      </c>
      <c r="K1318" s="267">
        <v>1</v>
      </c>
      <c r="L1318" s="267">
        <v>1</v>
      </c>
      <c r="M1318" s="267">
        <v>1</v>
      </c>
      <c r="N1318" s="267">
        <v>1</v>
      </c>
      <c r="O1318" s="314">
        <v>0</v>
      </c>
      <c r="P1318" s="267">
        <v>1</v>
      </c>
      <c r="Q1318" s="314">
        <v>0</v>
      </c>
      <c r="R1318" s="314">
        <v>0</v>
      </c>
      <c r="S1318" s="366">
        <v>0</v>
      </c>
      <c r="T1318" s="63"/>
      <c r="U1318" s="94" t="s">
        <v>1743</v>
      </c>
      <c r="V1318" s="90"/>
      <c r="W1318" s="136"/>
      <c r="X1318" s="137"/>
    </row>
    <row r="1319" spans="1:26" s="260" customFormat="1">
      <c r="A1319" s="261" t="s">
        <v>619</v>
      </c>
      <c r="B1319" s="87">
        <f>B1318+1</f>
        <v>4</v>
      </c>
      <c r="C1319" s="262">
        <v>45877</v>
      </c>
      <c r="D1319" s="263">
        <v>72150</v>
      </c>
      <c r="E1319" s="271" t="s">
        <v>769</v>
      </c>
      <c r="F1319" s="265">
        <v>44619</v>
      </c>
      <c r="G1319" s="265">
        <f>39.7+8800+352+(F1319*0.25)+(3*150)</f>
        <v>20796.45</v>
      </c>
      <c r="H1319" s="265"/>
      <c r="I1319" s="272">
        <f>F1319-G1319-H1319</f>
        <v>23822.55</v>
      </c>
      <c r="J1319" s="267" t="s">
        <v>156</v>
      </c>
      <c r="K1319" s="267">
        <v>1</v>
      </c>
      <c r="L1319" s="267">
        <v>1</v>
      </c>
      <c r="M1319" s="267">
        <v>1</v>
      </c>
      <c r="N1319" s="267">
        <v>1</v>
      </c>
      <c r="O1319" s="267">
        <v>1</v>
      </c>
      <c r="P1319" s="267">
        <v>1</v>
      </c>
      <c r="Q1319" s="267">
        <v>1</v>
      </c>
      <c r="R1319" s="267">
        <v>1</v>
      </c>
      <c r="S1319" s="269">
        <v>1</v>
      </c>
      <c r="T1319" s="63"/>
      <c r="U1319" s="94" t="s">
        <v>1580</v>
      </c>
      <c r="V1319" s="90"/>
      <c r="W1319" s="91"/>
      <c r="X1319" s="137"/>
    </row>
    <row r="1320" spans="1:26" s="260" customFormat="1">
      <c r="A1320" s="261" t="s">
        <v>619</v>
      </c>
      <c r="B1320" s="87">
        <f t="shared" ref="B1320:B1324" si="165">B1319+1</f>
        <v>5</v>
      </c>
      <c r="C1320" s="282">
        <v>45889</v>
      </c>
      <c r="D1320" s="368">
        <v>72498</v>
      </c>
      <c r="E1320" s="283" t="s">
        <v>769</v>
      </c>
      <c r="F1320" s="284">
        <v>22618</v>
      </c>
      <c r="G1320" s="284">
        <f>39.7+830.8+(94.29+28.45)+2000</f>
        <v>2993.24</v>
      </c>
      <c r="H1320" s="284"/>
      <c r="I1320" s="285">
        <f>F1320-G1320-H1320</f>
        <v>19624.760000000002</v>
      </c>
      <c r="J1320" s="286" t="s">
        <v>228</v>
      </c>
      <c r="K1320" s="286">
        <v>1</v>
      </c>
      <c r="L1320" s="286">
        <v>1</v>
      </c>
      <c r="M1320" s="286">
        <v>1</v>
      </c>
      <c r="N1320" s="286">
        <v>1</v>
      </c>
      <c r="O1320" s="286">
        <v>1</v>
      </c>
      <c r="P1320" s="286">
        <v>1</v>
      </c>
      <c r="Q1320" s="286">
        <v>1</v>
      </c>
      <c r="R1320" s="286">
        <v>1</v>
      </c>
      <c r="S1320" s="287">
        <v>1</v>
      </c>
      <c r="T1320" s="63"/>
      <c r="U1320" s="94" t="s">
        <v>1635</v>
      </c>
      <c r="V1320" s="90"/>
      <c r="W1320" s="136"/>
      <c r="X1320" s="137"/>
    </row>
    <row r="1321" spans="1:26" s="181" customFormat="1">
      <c r="A1321" s="261">
        <v>0.05</v>
      </c>
      <c r="B1321" s="87">
        <f t="shared" si="165"/>
        <v>6</v>
      </c>
      <c r="C1321" s="262">
        <v>45894</v>
      </c>
      <c r="D1321" s="263">
        <v>72581</v>
      </c>
      <c r="E1321" s="271" t="s">
        <v>1623</v>
      </c>
      <c r="F1321" s="265">
        <v>5814</v>
      </c>
      <c r="G1321" s="265">
        <f>39.7+446.6+(847.11)+250</f>
        <v>1583.41</v>
      </c>
      <c r="H1321" s="265"/>
      <c r="I1321" s="272">
        <f>F1321-G1321-H1321</f>
        <v>4230.59</v>
      </c>
      <c r="J1321" s="267" t="s">
        <v>228</v>
      </c>
      <c r="K1321" s="267">
        <v>1</v>
      </c>
      <c r="L1321" s="267">
        <v>1</v>
      </c>
      <c r="M1321" s="267">
        <v>1</v>
      </c>
      <c r="N1321" s="267">
        <v>1</v>
      </c>
      <c r="O1321" s="267">
        <v>1</v>
      </c>
      <c r="P1321" s="267">
        <v>1</v>
      </c>
      <c r="Q1321" s="267">
        <v>1</v>
      </c>
      <c r="R1321" s="267">
        <v>1</v>
      </c>
      <c r="S1321" s="269">
        <v>1</v>
      </c>
      <c r="T1321" s="63"/>
      <c r="U1321" s="94" t="s">
        <v>1745</v>
      </c>
      <c r="V1321" s="90"/>
      <c r="W1321" s="136"/>
      <c r="X1321" s="137"/>
      <c r="Y1321" s="260"/>
    </row>
    <row r="1322" spans="1:26" s="181" customFormat="1">
      <c r="A1322" s="704" t="s">
        <v>683</v>
      </c>
      <c r="B1322" s="87">
        <f t="shared" si="165"/>
        <v>7</v>
      </c>
      <c r="C1322" s="641">
        <v>45908</v>
      </c>
      <c r="D1322" s="263">
        <v>73046</v>
      </c>
      <c r="E1322" s="271" t="s">
        <v>317</v>
      </c>
      <c r="F1322" s="265">
        <v>3814</v>
      </c>
      <c r="G1322" s="265">
        <f>39.7+(12.18+108.87+796.78+44.67+605.14)+300</f>
        <v>1907.34</v>
      </c>
      <c r="H1322" s="265"/>
      <c r="I1322" s="266">
        <f>F1322-G1322-H1322</f>
        <v>1906.66</v>
      </c>
      <c r="J1322" s="267" t="s">
        <v>156</v>
      </c>
      <c r="K1322" s="267">
        <v>1</v>
      </c>
      <c r="L1322" s="267">
        <v>1</v>
      </c>
      <c r="M1322" s="267">
        <v>1</v>
      </c>
      <c r="N1322" s="267">
        <v>1</v>
      </c>
      <c r="O1322" s="267">
        <v>1</v>
      </c>
      <c r="P1322" s="267">
        <v>1</v>
      </c>
      <c r="Q1322" s="267">
        <v>1</v>
      </c>
      <c r="R1322" s="314">
        <v>0</v>
      </c>
      <c r="S1322" s="269">
        <v>1</v>
      </c>
      <c r="T1322" s="21">
        <v>1</v>
      </c>
      <c r="U1322" s="94" t="s">
        <v>1710</v>
      </c>
      <c r="V1322" s="90"/>
      <c r="W1322" s="91"/>
      <c r="X1322" s="92"/>
    </row>
    <row r="1323" spans="1:26" s="260" customFormat="1">
      <c r="A1323" s="261">
        <v>0.05</v>
      </c>
      <c r="B1323" s="87">
        <f t="shared" si="165"/>
        <v>8</v>
      </c>
      <c r="C1323" s="274">
        <v>45917</v>
      </c>
      <c r="D1323" s="327" t="s">
        <v>1704</v>
      </c>
      <c r="E1323" s="276" t="s">
        <v>746</v>
      </c>
      <c r="F1323" s="277">
        <v>5451.2</v>
      </c>
      <c r="G1323" s="277">
        <f>39.7+424.6+(82.38)+300</f>
        <v>846.68000000000006</v>
      </c>
      <c r="H1323" s="277"/>
      <c r="I1323" s="278">
        <f t="shared" ref="I1323" si="166">F1323-G1323-H1323</f>
        <v>4604.5199999999995</v>
      </c>
      <c r="J1323" s="279" t="s">
        <v>150</v>
      </c>
      <c r="K1323" s="279">
        <v>1</v>
      </c>
      <c r="L1323" s="279">
        <v>1</v>
      </c>
      <c r="M1323" s="279">
        <v>1</v>
      </c>
      <c r="N1323" s="279">
        <v>1</v>
      </c>
      <c r="O1323" s="279">
        <v>1</v>
      </c>
      <c r="P1323" s="279">
        <v>1</v>
      </c>
      <c r="Q1323" s="279">
        <v>1</v>
      </c>
      <c r="R1323" s="279">
        <v>1</v>
      </c>
      <c r="S1323" s="280">
        <v>1</v>
      </c>
      <c r="T1323" s="63"/>
      <c r="U1323" s="94" t="s">
        <v>1705</v>
      </c>
      <c r="V1323" s="90"/>
      <c r="W1323" s="136"/>
      <c r="X1323" s="92"/>
      <c r="Y1323" s="181"/>
    </row>
    <row r="1324" spans="1:26" s="260" customFormat="1">
      <c r="A1324" s="261">
        <v>0.1</v>
      </c>
      <c r="B1324" s="87">
        <f t="shared" si="165"/>
        <v>9</v>
      </c>
      <c r="C1324" s="641">
        <v>45933</v>
      </c>
      <c r="D1324" s="263">
        <v>73856</v>
      </c>
      <c r="E1324" s="271" t="s">
        <v>211</v>
      </c>
      <c r="F1324" s="265">
        <v>716</v>
      </c>
      <c r="G1324" s="265">
        <v>0</v>
      </c>
      <c r="H1324" s="265"/>
      <c r="I1324" s="266">
        <f>F1324-G1324-H1324</f>
        <v>716</v>
      </c>
      <c r="J1324" s="267"/>
      <c r="K1324" s="267">
        <v>1</v>
      </c>
      <c r="L1324" s="267">
        <v>1</v>
      </c>
      <c r="M1324" s="267"/>
      <c r="N1324" s="267">
        <v>1</v>
      </c>
      <c r="O1324" s="267">
        <v>1</v>
      </c>
      <c r="P1324" s="267">
        <v>1</v>
      </c>
      <c r="Q1324" s="314">
        <v>0</v>
      </c>
      <c r="R1324" s="314">
        <v>0</v>
      </c>
      <c r="S1324" s="366">
        <v>0</v>
      </c>
      <c r="T1324" s="63"/>
      <c r="U1324" s="94"/>
      <c r="V1324" s="90"/>
      <c r="W1324" s="136"/>
      <c r="X1324" s="137"/>
      <c r="Y1324" s="181"/>
    </row>
    <row r="1325" spans="1:26" s="434" customFormat="1" ht="13.5">
      <c r="A1325" s="10"/>
      <c r="B1325" s="11"/>
      <c r="C1325" s="36"/>
      <c r="D1325" s="10"/>
      <c r="E1325" s="10"/>
      <c r="F1325" s="98">
        <f>SUM(F1316:F1324)</f>
        <v>99078.2</v>
      </c>
      <c r="G1325" s="98">
        <f>SUM(G1316:G1324)</f>
        <v>30226.550000000003</v>
      </c>
      <c r="H1325" s="98">
        <f>SUM(H1316:H1324)</f>
        <v>0</v>
      </c>
      <c r="I1325" s="98">
        <f>SUM(I1316:I1324)</f>
        <v>68851.650000000009</v>
      </c>
      <c r="J1325" s="63"/>
      <c r="K1325" s="21"/>
      <c r="L1325" s="21"/>
      <c r="M1325" s="21"/>
      <c r="N1325" s="21"/>
      <c r="O1325" s="21"/>
      <c r="P1325" s="21"/>
      <c r="Q1325" s="21"/>
      <c r="R1325" s="21"/>
      <c r="S1325" s="21"/>
      <c r="T1325" s="63"/>
      <c r="U1325" s="10"/>
      <c r="V1325" s="90"/>
      <c r="W1325" s="91"/>
      <c r="X1325" s="92"/>
    </row>
    <row r="1326" spans="1:26" s="434" customFormat="1" ht="13.5">
      <c r="A1326" s="10"/>
      <c r="B1326" s="11"/>
      <c r="C1326" s="36"/>
      <c r="D1326" s="10"/>
      <c r="E1326" s="10"/>
      <c r="F1326" s="88"/>
      <c r="G1326" s="88"/>
      <c r="H1326" s="88"/>
      <c r="I1326" s="99"/>
      <c r="J1326" s="63"/>
      <c r="K1326" s="21"/>
      <c r="L1326" s="21"/>
      <c r="M1326" s="21"/>
      <c r="N1326" s="21"/>
      <c r="O1326" s="21"/>
      <c r="P1326" s="21"/>
      <c r="Q1326" s="21"/>
      <c r="R1326" s="21"/>
      <c r="S1326" s="21"/>
      <c r="T1326" s="63"/>
      <c r="U1326" s="10"/>
      <c r="V1326" s="90"/>
      <c r="W1326" s="91"/>
      <c r="X1326" s="92"/>
    </row>
    <row r="1327" spans="1:26" s="260" customFormat="1">
      <c r="A1327" s="181"/>
      <c r="B1327" s="100" t="s">
        <v>1521</v>
      </c>
      <c r="C1327" s="36"/>
      <c r="D1327" s="10"/>
      <c r="E1327" s="181"/>
      <c r="F1327" s="88"/>
      <c r="G1327" s="88"/>
      <c r="H1327" s="88"/>
      <c r="I1327" s="99"/>
      <c r="J1327" s="63"/>
      <c r="K1327" s="21"/>
      <c r="L1327" s="21"/>
      <c r="M1327" s="21"/>
      <c r="N1327" s="21"/>
      <c r="O1327" s="21"/>
      <c r="P1327" s="21"/>
      <c r="Q1327" s="21"/>
      <c r="R1327" s="21"/>
      <c r="S1327" s="21"/>
      <c r="T1327" s="63"/>
      <c r="U1327" s="94"/>
      <c r="V1327" s="90"/>
      <c r="W1327" s="91"/>
      <c r="X1327" s="92"/>
    </row>
    <row r="1328" spans="1:26" s="260" customFormat="1">
      <c r="A1328" s="261">
        <v>0.05</v>
      </c>
      <c r="B1328" s="87">
        <v>1</v>
      </c>
      <c r="C1328" s="262">
        <v>45895</v>
      </c>
      <c r="D1328" s="263">
        <v>72566</v>
      </c>
      <c r="E1328" s="271" t="s">
        <v>833</v>
      </c>
      <c r="F1328" s="265">
        <v>1861</v>
      </c>
      <c r="G1328" s="265">
        <f>39.7+485</f>
        <v>524.70000000000005</v>
      </c>
      <c r="H1328" s="265"/>
      <c r="I1328" s="272">
        <f>F1328-G1328-H1328</f>
        <v>1336.3</v>
      </c>
      <c r="J1328" s="267" t="s">
        <v>156</v>
      </c>
      <c r="K1328" s="267">
        <v>1</v>
      </c>
      <c r="L1328" s="267"/>
      <c r="M1328" s="267">
        <v>1</v>
      </c>
      <c r="N1328" s="267">
        <v>1</v>
      </c>
      <c r="O1328" s="267">
        <v>1</v>
      </c>
      <c r="P1328" s="267">
        <v>1</v>
      </c>
      <c r="Q1328" s="267"/>
      <c r="R1328" s="267"/>
      <c r="S1328" s="269"/>
      <c r="T1328" s="63"/>
      <c r="U1328" s="94" t="s">
        <v>1691</v>
      </c>
      <c r="V1328" s="90"/>
      <c r="W1328" s="136"/>
      <c r="X1328" s="137"/>
    </row>
    <row r="1329" spans="1:26" s="181" customFormat="1">
      <c r="A1329" s="261">
        <v>0.1</v>
      </c>
      <c r="B1329" s="87">
        <f>B1328+1</f>
        <v>2</v>
      </c>
      <c r="C1329" s="638">
        <v>45909</v>
      </c>
      <c r="D1329" s="327">
        <v>73119</v>
      </c>
      <c r="E1329" s="276" t="s">
        <v>973</v>
      </c>
      <c r="F1329" s="277">
        <v>5814</v>
      </c>
      <c r="G1329" s="277">
        <f>39.7+(2001.79+54.89)+250</f>
        <v>2346.3799999999997</v>
      </c>
      <c r="H1329" s="277">
        <f>F1329*0.2</f>
        <v>1162.8</v>
      </c>
      <c r="I1329" s="278">
        <f>F1329-G1329-H1329</f>
        <v>2304.8200000000006</v>
      </c>
      <c r="J1329" s="279" t="s">
        <v>185</v>
      </c>
      <c r="K1329" s="279">
        <v>1</v>
      </c>
      <c r="L1329" s="279"/>
      <c r="M1329" s="279">
        <v>1</v>
      </c>
      <c r="N1329" s="279">
        <v>1</v>
      </c>
      <c r="O1329" s="279">
        <v>1</v>
      </c>
      <c r="P1329" s="279">
        <v>1</v>
      </c>
      <c r="Q1329" s="279"/>
      <c r="R1329" s="279"/>
      <c r="S1329" s="280"/>
      <c r="T1329" s="63"/>
      <c r="U1329" s="94" t="s">
        <v>1689</v>
      </c>
      <c r="V1329" s="90"/>
      <c r="W1329" s="136"/>
      <c r="X1329" s="137"/>
    </row>
    <row r="1330" spans="1:26" s="260" customFormat="1">
      <c r="A1330" s="494">
        <v>0.1</v>
      </c>
      <c r="B1330" s="87">
        <f t="shared" ref="B1330" si="167">B1329+1</f>
        <v>3</v>
      </c>
      <c r="C1330" s="641">
        <v>45937</v>
      </c>
      <c r="D1330" s="263" t="s">
        <v>1760</v>
      </c>
      <c r="E1330" s="271" t="s">
        <v>739</v>
      </c>
      <c r="F1330" s="265">
        <v>7814</v>
      </c>
      <c r="G1330" s="265">
        <f>39.7+2500</f>
        <v>2539.6999999999998</v>
      </c>
      <c r="H1330" s="265"/>
      <c r="I1330" s="272">
        <f>F1330-G1330-H1330</f>
        <v>5274.3</v>
      </c>
      <c r="J1330" s="267" t="s">
        <v>156</v>
      </c>
      <c r="K1330" s="267">
        <v>1</v>
      </c>
      <c r="L1330" s="267"/>
      <c r="M1330" s="267">
        <v>1</v>
      </c>
      <c r="N1330" s="267">
        <v>1</v>
      </c>
      <c r="O1330" s="267">
        <v>1</v>
      </c>
      <c r="P1330" s="267">
        <v>1</v>
      </c>
      <c r="Q1330" s="267"/>
      <c r="R1330" s="267"/>
      <c r="S1330" s="269"/>
      <c r="T1330" s="63"/>
      <c r="U1330" s="94" t="s">
        <v>1761</v>
      </c>
      <c r="V1330" s="90"/>
      <c r="W1330" s="136"/>
      <c r="X1330" s="137"/>
    </row>
    <row r="1331" spans="1:26" s="260" customFormat="1">
      <c r="A1331" s="181"/>
      <c r="B1331" s="11"/>
      <c r="C1331" s="36"/>
      <c r="D1331" s="10"/>
      <c r="E1331" s="10"/>
      <c r="F1331" s="97">
        <f>SUM(F1328:F1330)</f>
        <v>15489</v>
      </c>
      <c r="G1331" s="97">
        <f>SUM(G1328:G1330)</f>
        <v>5410.78</v>
      </c>
      <c r="H1331" s="97">
        <f>SUM(H1328:H1330)</f>
        <v>1162.8</v>
      </c>
      <c r="I1331" s="97">
        <f>SUM(I1328:I1330)</f>
        <v>8915.4200000000019</v>
      </c>
      <c r="J1331" s="63"/>
      <c r="K1331" s="21"/>
      <c r="L1331" s="21"/>
      <c r="M1331" s="21"/>
      <c r="N1331" s="21"/>
      <c r="O1331" s="21"/>
      <c r="P1331" s="21"/>
      <c r="Q1331" s="21"/>
      <c r="R1331" s="21"/>
      <c r="S1331" s="21"/>
      <c r="T1331" s="63"/>
      <c r="U1331" s="94"/>
      <c r="V1331" s="90"/>
      <c r="W1331" s="91"/>
      <c r="X1331" s="92"/>
    </row>
    <row r="1332" spans="1:26" s="260" customFormat="1">
      <c r="A1332" s="181"/>
      <c r="B1332" s="11"/>
      <c r="C1332" s="36"/>
      <c r="D1332" s="10"/>
      <c r="E1332" s="10"/>
      <c r="F1332" s="88"/>
      <c r="G1332" s="88"/>
      <c r="H1332" s="88"/>
      <c r="I1332" s="99"/>
      <c r="J1332" s="63"/>
      <c r="K1332" s="21"/>
      <c r="L1332" s="21"/>
      <c r="M1332" s="21"/>
      <c r="N1332" s="21"/>
      <c r="O1332" s="21"/>
      <c r="P1332" s="21"/>
      <c r="Q1332" s="21"/>
      <c r="R1332" s="21"/>
      <c r="S1332" s="21"/>
      <c r="T1332" s="63"/>
      <c r="U1332" s="94"/>
      <c r="V1332" s="90"/>
      <c r="W1332" s="91"/>
      <c r="X1332" s="92"/>
    </row>
    <row r="1333" spans="1:26">
      <c r="A1333" s="614"/>
      <c r="B1333" s="100" t="s">
        <v>72</v>
      </c>
      <c r="C1333" s="621"/>
      <c r="D1333" s="10"/>
      <c r="E1333" s="10"/>
      <c r="F1333" s="88"/>
      <c r="G1333" s="88"/>
      <c r="H1333" s="88"/>
      <c r="I1333" s="99"/>
      <c r="J1333" s="63"/>
      <c r="K1333" s="63"/>
      <c r="L1333" s="63"/>
      <c r="M1333" s="63"/>
      <c r="N1333" s="63"/>
      <c r="O1333" s="63"/>
      <c r="P1333" s="63"/>
      <c r="Q1333" s="63"/>
      <c r="R1333" s="63"/>
      <c r="S1333" s="63"/>
      <c r="T1333" s="63"/>
      <c r="U1333" s="94"/>
      <c r="V1333" s="90"/>
      <c r="W1333" s="91"/>
      <c r="X1333" s="92"/>
      <c r="Y1333" s="2"/>
      <c r="Z1333" s="2"/>
    </row>
    <row r="1334" spans="1:26">
      <c r="A1334" s="614"/>
      <c r="B1334" s="87">
        <v>1</v>
      </c>
      <c r="C1334" s="638">
        <v>45943</v>
      </c>
      <c r="D1334" s="276">
        <v>74386</v>
      </c>
      <c r="E1334" s="276" t="s">
        <v>1105</v>
      </c>
      <c r="F1334" s="277">
        <v>5232.6000000000004</v>
      </c>
      <c r="G1334" s="277">
        <v>39.700000000000003</v>
      </c>
      <c r="H1334" s="277"/>
      <c r="I1334" s="278">
        <f>F1334-G1334-H1334</f>
        <v>5192.9000000000005</v>
      </c>
      <c r="J1334" s="279" t="s">
        <v>205</v>
      </c>
      <c r="K1334" s="279">
        <v>1</v>
      </c>
      <c r="L1334" s="279"/>
      <c r="M1334" s="279"/>
      <c r="N1334" s="279">
        <v>1</v>
      </c>
      <c r="O1334" s="279"/>
      <c r="P1334" s="279"/>
      <c r="Q1334" s="279">
        <v>1</v>
      </c>
      <c r="R1334" s="279">
        <v>1</v>
      </c>
      <c r="S1334" s="280"/>
      <c r="T1334" s="63"/>
      <c r="U1334" s="164"/>
      <c r="V1334" s="90"/>
      <c r="W1334" s="91"/>
      <c r="X1334" s="92"/>
      <c r="Y1334" s="2"/>
      <c r="Z1334" s="2"/>
    </row>
    <row r="1335" spans="1:26">
      <c r="A1335" s="614"/>
      <c r="B1335" s="87">
        <f>B1334+1</f>
        <v>2</v>
      </c>
      <c r="C1335" s="638">
        <v>45944</v>
      </c>
      <c r="D1335" s="276">
        <v>74412</v>
      </c>
      <c r="E1335" s="276" t="s">
        <v>1047</v>
      </c>
      <c r="F1335" s="277">
        <v>1561</v>
      </c>
      <c r="G1335" s="277">
        <f>39.7+550</f>
        <v>589.70000000000005</v>
      </c>
      <c r="H1335" s="277"/>
      <c r="I1335" s="278">
        <f>F1335-G1335-H1335</f>
        <v>971.3</v>
      </c>
      <c r="J1335" s="279" t="s">
        <v>156</v>
      </c>
      <c r="K1335" s="279">
        <v>1</v>
      </c>
      <c r="L1335" s="279"/>
      <c r="M1335" s="279">
        <v>1</v>
      </c>
      <c r="N1335" s="279">
        <v>1</v>
      </c>
      <c r="O1335" s="279">
        <v>1</v>
      </c>
      <c r="P1335" s="279">
        <v>1</v>
      </c>
      <c r="Q1335" s="279"/>
      <c r="R1335" s="279"/>
      <c r="S1335" s="280"/>
      <c r="T1335" s="63"/>
      <c r="U1335" s="94" t="s">
        <v>1792</v>
      </c>
      <c r="V1335" s="90">
        <f>170</f>
        <v>170</v>
      </c>
      <c r="W1335" s="136"/>
      <c r="X1335" s="137"/>
      <c r="Y1335" s="2"/>
      <c r="Z1335" s="2"/>
    </row>
    <row r="1336" spans="1:26">
      <c r="A1336" s="614"/>
      <c r="B1336" s="87">
        <f>B1335+1</f>
        <v>3</v>
      </c>
      <c r="C1336" s="639">
        <v>45944</v>
      </c>
      <c r="D1336" s="10">
        <v>74392</v>
      </c>
      <c r="E1336" s="10" t="s">
        <v>673</v>
      </c>
      <c r="F1336" s="62">
        <v>1396</v>
      </c>
      <c r="G1336" s="62">
        <v>39.700000000000003</v>
      </c>
      <c r="H1336" s="62"/>
      <c r="I1336" s="89">
        <f>F1336-G1336-H1336</f>
        <v>1356.3</v>
      </c>
      <c r="J1336" s="63" t="s">
        <v>205</v>
      </c>
      <c r="K1336" s="63">
        <v>1</v>
      </c>
      <c r="L1336" s="63"/>
      <c r="M1336" s="63"/>
      <c r="N1336" s="63">
        <v>1</v>
      </c>
      <c r="O1336" s="63"/>
      <c r="P1336" s="63"/>
      <c r="Q1336" s="63">
        <v>1</v>
      </c>
      <c r="R1336" s="63">
        <v>1</v>
      </c>
      <c r="S1336" s="296">
        <v>1</v>
      </c>
      <c r="T1336" s="21">
        <v>1</v>
      </c>
      <c r="U1336" s="94"/>
      <c r="V1336" s="90"/>
      <c r="W1336" s="136"/>
      <c r="X1336" s="137"/>
      <c r="Y1336" s="2"/>
      <c r="Z1336" s="2"/>
    </row>
    <row r="1337" spans="1:26">
      <c r="A1337" s="614"/>
      <c r="B1337" s="87">
        <f>B1336+1</f>
        <v>4</v>
      </c>
      <c r="C1337" s="639">
        <v>45944</v>
      </c>
      <c r="D1337" s="10">
        <v>74449</v>
      </c>
      <c r="E1337" s="10" t="s">
        <v>149</v>
      </c>
      <c r="F1337" s="62">
        <v>4752.8999999999996</v>
      </c>
      <c r="G1337" s="62">
        <v>39.700000000000003</v>
      </c>
      <c r="H1337" s="62"/>
      <c r="I1337" s="89">
        <f>F1337-G1337-H1337</f>
        <v>4713.2</v>
      </c>
      <c r="J1337" s="63" t="s">
        <v>205</v>
      </c>
      <c r="K1337" s="63">
        <v>1</v>
      </c>
      <c r="L1337" s="63"/>
      <c r="M1337" s="63"/>
      <c r="N1337" s="63">
        <v>1</v>
      </c>
      <c r="O1337" s="63"/>
      <c r="P1337" s="63"/>
      <c r="Q1337" s="63">
        <v>1</v>
      </c>
      <c r="R1337" s="63">
        <v>1</v>
      </c>
      <c r="S1337" s="296">
        <v>1</v>
      </c>
      <c r="T1337" s="63"/>
      <c r="U1337" s="94"/>
      <c r="V1337" s="90"/>
      <c r="W1337" s="136"/>
      <c r="X1337" s="137"/>
      <c r="Y1337" s="2"/>
      <c r="Z1337" s="2"/>
    </row>
    <row r="1338" spans="1:26">
      <c r="A1338" s="614"/>
      <c r="B1338" s="87">
        <f>B1337+1</f>
        <v>5</v>
      </c>
      <c r="C1338" s="638">
        <v>45945</v>
      </c>
      <c r="D1338" s="276" t="s">
        <v>1793</v>
      </c>
      <c r="E1338" s="276" t="s">
        <v>1080</v>
      </c>
      <c r="F1338" s="277">
        <v>2352.6</v>
      </c>
      <c r="G1338" s="277">
        <v>39.700000000000003</v>
      </c>
      <c r="H1338" s="277"/>
      <c r="I1338" s="278">
        <f>F1338-G1338-H1338</f>
        <v>2312.9</v>
      </c>
      <c r="J1338" s="279" t="s">
        <v>205</v>
      </c>
      <c r="K1338" s="279">
        <v>1</v>
      </c>
      <c r="L1338" s="279"/>
      <c r="M1338" s="279"/>
      <c r="N1338" s="279">
        <v>1</v>
      </c>
      <c r="O1338" s="279"/>
      <c r="P1338" s="279"/>
      <c r="Q1338" s="279">
        <v>1</v>
      </c>
      <c r="R1338" s="279">
        <v>1</v>
      </c>
      <c r="S1338" s="280"/>
      <c r="T1338" s="63"/>
      <c r="U1338" s="94"/>
      <c r="V1338" s="90"/>
      <c r="W1338" s="136"/>
      <c r="X1338" s="137"/>
      <c r="Y1338" s="2"/>
      <c r="Z1338" s="2"/>
    </row>
    <row r="1339" spans="1:26">
      <c r="A1339" s="614"/>
      <c r="B1339" s="87">
        <f>B1338+1</f>
        <v>6</v>
      </c>
      <c r="C1339" s="639">
        <v>45945</v>
      </c>
      <c r="D1339" s="10" t="s">
        <v>1794</v>
      </c>
      <c r="E1339" s="10" t="s">
        <v>1080</v>
      </c>
      <c r="F1339" s="62">
        <v>1681</v>
      </c>
      <c r="G1339" s="62">
        <v>39.700000000000003</v>
      </c>
      <c r="H1339" s="62"/>
      <c r="I1339" s="89">
        <f>F1339-G1339-H1339</f>
        <v>1641.3</v>
      </c>
      <c r="J1339" s="63" t="s">
        <v>205</v>
      </c>
      <c r="K1339" s="63">
        <v>1</v>
      </c>
      <c r="L1339" s="63"/>
      <c r="M1339" s="63"/>
      <c r="N1339" s="63">
        <v>1</v>
      </c>
      <c r="O1339" s="63"/>
      <c r="P1339" s="63"/>
      <c r="Q1339" s="63">
        <v>1</v>
      </c>
      <c r="R1339" s="63">
        <v>1</v>
      </c>
      <c r="S1339" s="296"/>
      <c r="T1339" s="63"/>
      <c r="U1339" s="94"/>
      <c r="V1339" s="90"/>
      <c r="W1339" s="136"/>
      <c r="X1339" s="137"/>
      <c r="Y1339" s="2"/>
      <c r="Z1339" s="2"/>
    </row>
    <row r="1340" spans="1:26">
      <c r="A1340" s="614"/>
      <c r="B1340" s="87">
        <f>B1339+1</f>
        <v>7</v>
      </c>
      <c r="C1340" s="639">
        <v>45945</v>
      </c>
      <c r="D1340" s="10">
        <v>74314</v>
      </c>
      <c r="E1340" s="101" t="s">
        <v>1073</v>
      </c>
      <c r="F1340" s="62">
        <v>2814</v>
      </c>
      <c r="G1340" s="62">
        <v>39.700000000000003</v>
      </c>
      <c r="H1340" s="62"/>
      <c r="I1340" s="89">
        <f>F1340-G1340-H1340</f>
        <v>2774.3</v>
      </c>
      <c r="J1340" s="63" t="s">
        <v>205</v>
      </c>
      <c r="K1340" s="63">
        <v>1</v>
      </c>
      <c r="L1340" s="63"/>
      <c r="M1340" s="63"/>
      <c r="N1340" s="63">
        <v>1</v>
      </c>
      <c r="O1340" s="63"/>
      <c r="P1340" s="63"/>
      <c r="Q1340" s="63">
        <v>1</v>
      </c>
      <c r="R1340" s="63">
        <v>1</v>
      </c>
      <c r="S1340" s="296">
        <v>1</v>
      </c>
      <c r="T1340" s="63"/>
      <c r="U1340" s="94"/>
      <c r="V1340" s="90"/>
      <c r="W1340" s="136"/>
      <c r="X1340" s="137"/>
      <c r="Y1340" s="2"/>
      <c r="Z1340" s="2"/>
    </row>
    <row r="1341" spans="1:26">
      <c r="A1341" s="614"/>
      <c r="B1341" s="87">
        <f>B1340+1</f>
        <v>8</v>
      </c>
      <c r="C1341" s="638">
        <v>45946</v>
      </c>
      <c r="D1341" s="276">
        <v>74485</v>
      </c>
      <c r="E1341" s="281" t="s">
        <v>149</v>
      </c>
      <c r="F1341" s="277">
        <v>8214</v>
      </c>
      <c r="G1341" s="277">
        <v>39.700000000000003</v>
      </c>
      <c r="H1341" s="277"/>
      <c r="I1341" s="278">
        <f>F1341-G1341-H1341</f>
        <v>8174.3</v>
      </c>
      <c r="J1341" s="279" t="s">
        <v>205</v>
      </c>
      <c r="K1341" s="279">
        <v>1</v>
      </c>
      <c r="L1341" s="279"/>
      <c r="M1341" s="279"/>
      <c r="N1341" s="279">
        <v>1</v>
      </c>
      <c r="O1341" s="279"/>
      <c r="P1341" s="279"/>
      <c r="Q1341" s="279">
        <v>1</v>
      </c>
      <c r="R1341" s="279">
        <v>1</v>
      </c>
      <c r="S1341" s="280"/>
      <c r="T1341" s="63"/>
      <c r="U1341" s="94"/>
      <c r="V1341" s="90"/>
      <c r="W1341" s="136"/>
      <c r="X1341" s="137"/>
      <c r="Y1341" s="2"/>
      <c r="Z1341" s="2"/>
    </row>
    <row r="1342" spans="1:26">
      <c r="A1342" s="614"/>
      <c r="B1342" s="87">
        <f>B1341+1</f>
        <v>9</v>
      </c>
      <c r="C1342" s="639">
        <v>45946</v>
      </c>
      <c r="D1342" s="10">
        <v>74533</v>
      </c>
      <c r="E1342" s="101" t="s">
        <v>1047</v>
      </c>
      <c r="F1342" s="62">
        <v>1861</v>
      </c>
      <c r="G1342" s="62">
        <v>39.700000000000003</v>
      </c>
      <c r="H1342" s="62"/>
      <c r="I1342" s="89">
        <f>F1342-G1342-H1342</f>
        <v>1821.3</v>
      </c>
      <c r="J1342" s="63" t="s">
        <v>205</v>
      </c>
      <c r="K1342" s="63">
        <v>1</v>
      </c>
      <c r="L1342" s="63"/>
      <c r="M1342" s="63"/>
      <c r="N1342" s="63">
        <v>1</v>
      </c>
      <c r="O1342" s="63"/>
      <c r="P1342" s="63"/>
      <c r="Q1342" s="63"/>
      <c r="R1342" s="63"/>
      <c r="S1342" s="296"/>
      <c r="T1342" s="63"/>
      <c r="U1342" s="94"/>
      <c r="V1342" s="90"/>
      <c r="W1342" s="136"/>
      <c r="X1342" s="137"/>
      <c r="Y1342" s="2"/>
      <c r="Z1342" s="2"/>
    </row>
    <row r="1343" spans="1:26">
      <c r="A1343" s="614"/>
      <c r="B1343" s="87">
        <f>B1342+1</f>
        <v>10</v>
      </c>
      <c r="C1343" s="639">
        <v>45946</v>
      </c>
      <c r="D1343" s="10">
        <v>74527</v>
      </c>
      <c r="E1343" s="101" t="s">
        <v>1211</v>
      </c>
      <c r="F1343" s="62">
        <v>0</v>
      </c>
      <c r="G1343" s="62">
        <v>0</v>
      </c>
      <c r="H1343" s="62"/>
      <c r="I1343" s="89">
        <f>F1343-G1343-H1343</f>
        <v>0</v>
      </c>
      <c r="J1343" s="63" t="s">
        <v>205</v>
      </c>
      <c r="K1343" s="63"/>
      <c r="L1343" s="63"/>
      <c r="M1343" s="63"/>
      <c r="N1343" s="63"/>
      <c r="O1343" s="63"/>
      <c r="P1343" s="63"/>
      <c r="Q1343" s="63"/>
      <c r="R1343" s="63"/>
      <c r="S1343" s="296"/>
      <c r="T1343" s="63"/>
      <c r="U1343" s="94"/>
      <c r="V1343" s="90"/>
      <c r="W1343" s="136"/>
      <c r="X1343" s="137"/>
      <c r="Y1343" s="2"/>
      <c r="Z1343" s="2"/>
    </row>
    <row r="1344" spans="1:26">
      <c r="A1344" s="614"/>
      <c r="B1344" s="87">
        <f>B1343+1</f>
        <v>11</v>
      </c>
      <c r="C1344" s="639">
        <v>45946</v>
      </c>
      <c r="D1344" s="10">
        <v>74548</v>
      </c>
      <c r="E1344" s="101" t="s">
        <v>725</v>
      </c>
      <c r="F1344" s="62">
        <v>1861</v>
      </c>
      <c r="G1344" s="62">
        <v>39.700000000000003</v>
      </c>
      <c r="H1344" s="62"/>
      <c r="I1344" s="89">
        <f>F1344-G1344-H1344</f>
        <v>1821.3</v>
      </c>
      <c r="J1344" s="63" t="s">
        <v>205</v>
      </c>
      <c r="K1344" s="63">
        <v>1</v>
      </c>
      <c r="L1344" s="63"/>
      <c r="M1344" s="63"/>
      <c r="N1344" s="63">
        <v>1</v>
      </c>
      <c r="O1344" s="63"/>
      <c r="P1344" s="63"/>
      <c r="Q1344" s="63">
        <v>1</v>
      </c>
      <c r="R1344" s="63">
        <v>1</v>
      </c>
      <c r="S1344" s="296"/>
      <c r="T1344" s="63"/>
      <c r="U1344" s="94"/>
      <c r="V1344" s="90"/>
      <c r="W1344" s="136"/>
      <c r="X1344" s="137"/>
      <c r="Y1344" s="2"/>
      <c r="Z1344" s="2"/>
    </row>
    <row r="1345" spans="1:26">
      <c r="A1345" s="614"/>
      <c r="B1345" s="87">
        <f>B1344+1</f>
        <v>12</v>
      </c>
      <c r="C1345" s="638">
        <v>45947</v>
      </c>
      <c r="D1345" s="276">
        <v>74570</v>
      </c>
      <c r="E1345" s="281" t="s">
        <v>172</v>
      </c>
      <c r="F1345" s="277">
        <v>2614</v>
      </c>
      <c r="G1345" s="277">
        <v>39.700000000000003</v>
      </c>
      <c r="H1345" s="277"/>
      <c r="I1345" s="278">
        <f>F1345-G1345-H1345</f>
        <v>2574.3000000000002</v>
      </c>
      <c r="J1345" s="279" t="s">
        <v>205</v>
      </c>
      <c r="K1345" s="279">
        <v>1</v>
      </c>
      <c r="L1345" s="279"/>
      <c r="M1345" s="279"/>
      <c r="N1345" s="279">
        <v>1</v>
      </c>
      <c r="O1345" s="279"/>
      <c r="P1345" s="279"/>
      <c r="Q1345" s="279">
        <v>1</v>
      </c>
      <c r="R1345" s="279">
        <v>1</v>
      </c>
      <c r="S1345" s="280">
        <v>1</v>
      </c>
      <c r="T1345" s="63"/>
      <c r="U1345" s="94"/>
      <c r="V1345" s="90"/>
      <c r="W1345" s="136"/>
      <c r="X1345" s="137"/>
      <c r="Y1345" s="2"/>
      <c r="Z1345" s="2"/>
    </row>
    <row r="1346" spans="1:26">
      <c r="A1346" s="614"/>
      <c r="B1346" s="87">
        <f>B1345+1</f>
        <v>13</v>
      </c>
      <c r="C1346" s="639">
        <v>45947</v>
      </c>
      <c r="D1346" s="10">
        <v>74579</v>
      </c>
      <c r="E1346" s="101" t="s">
        <v>278</v>
      </c>
      <c r="F1346" s="62">
        <v>696</v>
      </c>
      <c r="G1346" s="62">
        <v>39.700000000000003</v>
      </c>
      <c r="H1346" s="62"/>
      <c r="I1346" s="89">
        <f>F1346-G1346-H1346</f>
        <v>656.3</v>
      </c>
      <c r="J1346" s="63" t="s">
        <v>205</v>
      </c>
      <c r="K1346" s="63">
        <v>1</v>
      </c>
      <c r="L1346" s="63"/>
      <c r="M1346" s="63"/>
      <c r="N1346" s="63">
        <v>1</v>
      </c>
      <c r="O1346" s="63"/>
      <c r="P1346" s="63"/>
      <c r="Q1346" s="63">
        <v>1</v>
      </c>
      <c r="R1346" s="63">
        <v>1</v>
      </c>
      <c r="S1346" s="296">
        <v>1</v>
      </c>
      <c r="T1346" s="63"/>
      <c r="U1346" s="94"/>
      <c r="V1346" s="90"/>
      <c r="W1346" s="136"/>
      <c r="X1346" s="137"/>
      <c r="Y1346" s="2"/>
      <c r="Z1346" s="2"/>
    </row>
    <row r="1347" spans="1:26">
      <c r="A1347" s="614"/>
      <c r="B1347" s="87">
        <f>B1346+1</f>
        <v>14</v>
      </c>
      <c r="C1347" s="639">
        <v>45947</v>
      </c>
      <c r="D1347" s="10">
        <v>74456</v>
      </c>
      <c r="E1347" s="101" t="s">
        <v>382</v>
      </c>
      <c r="F1347" s="62">
        <v>0</v>
      </c>
      <c r="G1347" s="62">
        <v>0</v>
      </c>
      <c r="H1347" s="62"/>
      <c r="I1347" s="89">
        <f>F1347-G1347-H1347</f>
        <v>0</v>
      </c>
      <c r="J1347" s="63" t="s">
        <v>205</v>
      </c>
      <c r="K1347" s="63"/>
      <c r="L1347" s="63"/>
      <c r="M1347" s="63"/>
      <c r="N1347" s="63"/>
      <c r="O1347" s="63"/>
      <c r="P1347" s="63"/>
      <c r="Q1347" s="63"/>
      <c r="R1347" s="63"/>
      <c r="S1347" s="296"/>
      <c r="T1347" s="63"/>
      <c r="U1347" s="94"/>
      <c r="V1347" s="90"/>
      <c r="W1347" s="136"/>
      <c r="X1347" s="137"/>
      <c r="Y1347" s="2"/>
      <c r="Z1347" s="2"/>
    </row>
    <row r="1348" spans="1:26">
      <c r="A1348" s="614"/>
      <c r="B1348" s="87">
        <f>B1347+1</f>
        <v>15</v>
      </c>
      <c r="C1348" s="640">
        <v>45947</v>
      </c>
      <c r="D1348" s="283">
        <v>74513</v>
      </c>
      <c r="E1348" s="283" t="s">
        <v>1227</v>
      </c>
      <c r="F1348" s="284">
        <v>2814</v>
      </c>
      <c r="G1348" s="284">
        <v>39.700000000000003</v>
      </c>
      <c r="H1348" s="284"/>
      <c r="I1348" s="285">
        <f>F1348-G1348-H1348</f>
        <v>2774.3</v>
      </c>
      <c r="J1348" s="286" t="s">
        <v>205</v>
      </c>
      <c r="K1348" s="286">
        <v>1</v>
      </c>
      <c r="L1348" s="286"/>
      <c r="M1348" s="286"/>
      <c r="N1348" s="286">
        <v>1</v>
      </c>
      <c r="O1348" s="286"/>
      <c r="P1348" s="286"/>
      <c r="Q1348" s="286">
        <v>1</v>
      </c>
      <c r="R1348" s="286">
        <v>1</v>
      </c>
      <c r="S1348" s="287"/>
      <c r="T1348" s="63"/>
      <c r="U1348" s="94"/>
      <c r="V1348" s="90"/>
      <c r="W1348" s="136"/>
      <c r="X1348" s="137"/>
      <c r="Y1348" s="2"/>
      <c r="Z1348" s="2"/>
    </row>
    <row r="1349" spans="1:26">
      <c r="A1349" s="614"/>
      <c r="B1349" s="11"/>
      <c r="C1349" s="621"/>
      <c r="D1349" s="10"/>
      <c r="E1349" s="10"/>
      <c r="F1349" s="97">
        <f>SUM(F1334:F1348)</f>
        <v>37850.1</v>
      </c>
      <c r="G1349" s="97">
        <f>SUM(G1334:G1348)</f>
        <v>1066.1000000000006</v>
      </c>
      <c r="H1349" s="97">
        <f>SUM(H1334:H1348)</f>
        <v>0</v>
      </c>
      <c r="I1349" s="98">
        <f>SUM(I1334:I1348)</f>
        <v>36784.000000000007</v>
      </c>
      <c r="J1349" s="10"/>
      <c r="K1349" s="10"/>
      <c r="L1349" s="10"/>
      <c r="M1349" s="10"/>
      <c r="N1349" s="10"/>
      <c r="O1349" s="10"/>
      <c r="P1349" s="10"/>
      <c r="Q1349" s="10"/>
      <c r="R1349" s="10"/>
      <c r="S1349" s="10"/>
      <c r="T1349" s="63"/>
      <c r="U1349" s="94"/>
      <c r="V1349" s="90"/>
      <c r="W1349" s="91"/>
      <c r="X1349" s="92"/>
      <c r="Y1349" s="2"/>
      <c r="Z1349" s="2"/>
    </row>
    <row r="1350" spans="1:26">
      <c r="A1350" s="614"/>
      <c r="B1350" s="26"/>
      <c r="C1350" s="612"/>
      <c r="D1350" s="141"/>
      <c r="E1350" s="141"/>
      <c r="F1350" s="141"/>
      <c r="G1350" s="141"/>
      <c r="H1350" s="141"/>
      <c r="I1350" s="141"/>
      <c r="J1350" s="141"/>
      <c r="K1350" s="142"/>
      <c r="L1350" s="142"/>
      <c r="M1350" s="142"/>
      <c r="N1350" s="142"/>
      <c r="O1350" s="142"/>
      <c r="P1350" s="142"/>
      <c r="Q1350" s="142"/>
      <c r="R1350" s="142"/>
      <c r="S1350" s="142"/>
      <c r="T1350" s="143">
        <f>SUM(T1283:T1349)</f>
        <v>6</v>
      </c>
      <c r="U1350" s="168"/>
      <c r="V1350" s="144">
        <f>SUM(V1283:V1349)</f>
        <v>67382.920000000013</v>
      </c>
      <c r="W1350" s="145">
        <f>SUM(W1283:W1349)</f>
        <v>0</v>
      </c>
      <c r="X1350" s="146">
        <f>SUM(X1283:X1349)</f>
        <v>0</v>
      </c>
      <c r="Y1350" s="2"/>
      <c r="Z1350" s="2"/>
    </row>
    <row r="1353" spans="1:26">
      <c r="B1353" s="4" t="s">
        <v>1</v>
      </c>
      <c r="C1353" s="5"/>
      <c r="D1353" s="83"/>
      <c r="E1353" s="6"/>
      <c r="F1353" s="7" t="s">
        <v>2</v>
      </c>
      <c r="G1353" s="608">
        <v>45956</v>
      </c>
      <c r="H1353" s="7"/>
      <c r="I1353" s="6"/>
      <c r="J1353" s="6"/>
      <c r="K1353" s="6"/>
      <c r="L1353" s="6"/>
      <c r="M1353" s="6"/>
      <c r="N1353" s="6"/>
      <c r="O1353" s="6"/>
      <c r="P1353" s="6"/>
      <c r="Q1353" s="6"/>
      <c r="R1353" s="6"/>
      <c r="S1353" s="6"/>
      <c r="T1353" s="6"/>
      <c r="U1353" s="149"/>
      <c r="V1353" s="77"/>
      <c r="W1353" s="77"/>
      <c r="X1353" s="77"/>
      <c r="Y1353" s="2"/>
    </row>
    <row r="1354" spans="1:26">
      <c r="B1354" s="11"/>
      <c r="C1354" s="10"/>
      <c r="D1354" s="63"/>
      <c r="E1354" s="10"/>
      <c r="F1354" s="10"/>
      <c r="G1354" s="7"/>
      <c r="H1354" s="12"/>
      <c r="I1354" s="10"/>
      <c r="J1354" s="10"/>
      <c r="K1354" s="13" t="s">
        <v>3</v>
      </c>
      <c r="L1354" s="14"/>
      <c r="M1354" s="15"/>
      <c r="N1354" s="13" t="s">
        <v>4</v>
      </c>
      <c r="O1354" s="14"/>
      <c r="P1354" s="15"/>
      <c r="Q1354" s="13" t="s">
        <v>5</v>
      </c>
      <c r="R1354" s="14"/>
      <c r="S1354" s="15"/>
      <c r="T1354" s="16"/>
      <c r="U1354" s="151"/>
      <c r="V1354" s="77"/>
      <c r="W1354" s="77"/>
      <c r="X1354" s="77"/>
      <c r="Y1354" s="2"/>
    </row>
    <row r="1355" spans="1:26">
      <c r="B1355" s="18" t="s">
        <v>6</v>
      </c>
      <c r="C1355" s="19">
        <f>C1356+C1357</f>
        <v>33</v>
      </c>
      <c r="D1355" s="63"/>
      <c r="E1355" s="18" t="s">
        <v>7</v>
      </c>
      <c r="F1355" s="6"/>
      <c r="G1355" s="9"/>
      <c r="H1355" s="10"/>
      <c r="I1355" s="10"/>
      <c r="J1355" s="10"/>
      <c r="K1355" s="20" t="s">
        <v>8</v>
      </c>
      <c r="L1355" s="21" t="s">
        <v>9</v>
      </c>
      <c r="M1355" s="21" t="s">
        <v>10</v>
      </c>
      <c r="N1355" s="20" t="s">
        <v>11</v>
      </c>
      <c r="O1355" s="21" t="s">
        <v>12</v>
      </c>
      <c r="P1355" s="22" t="s">
        <v>13</v>
      </c>
      <c r="Q1355" s="21" t="s">
        <v>11</v>
      </c>
      <c r="R1355" s="21" t="s">
        <v>12</v>
      </c>
      <c r="S1355" s="22" t="s">
        <v>13</v>
      </c>
      <c r="T1355" s="23" t="s">
        <v>14</v>
      </c>
      <c r="U1355" s="151"/>
      <c r="V1355" s="77"/>
      <c r="W1355" s="77"/>
      <c r="X1355" s="77"/>
      <c r="Y1355" s="2"/>
    </row>
    <row r="1356" spans="1:26">
      <c r="B1356" s="24" t="s">
        <v>15</v>
      </c>
      <c r="C1356" s="25">
        <f>P1363</f>
        <v>8</v>
      </c>
      <c r="D1356" s="63"/>
      <c r="E1356" s="11" t="s">
        <v>16</v>
      </c>
      <c r="F1356" s="10" t="s">
        <v>78</v>
      </c>
      <c r="G1356" s="153">
        <v>0.05</v>
      </c>
      <c r="H1356" s="10"/>
      <c r="I1356" s="10"/>
      <c r="J1356" s="18" t="s">
        <v>17</v>
      </c>
      <c r="K1356" s="29">
        <f>K1390</f>
        <v>8</v>
      </c>
      <c r="L1356" s="29">
        <f t="shared" ref="L1356:S1356" si="168">L1390</f>
        <v>8</v>
      </c>
      <c r="M1356" s="29">
        <f t="shared" si="168"/>
        <v>8</v>
      </c>
      <c r="N1356" s="29">
        <f t="shared" si="168"/>
        <v>8</v>
      </c>
      <c r="O1356" s="29">
        <f t="shared" si="168"/>
        <v>8</v>
      </c>
      <c r="P1356" s="29">
        <f t="shared" si="168"/>
        <v>8</v>
      </c>
      <c r="Q1356" s="29">
        <f t="shared" si="168"/>
        <v>5</v>
      </c>
      <c r="R1356" s="29">
        <f t="shared" si="168"/>
        <v>4</v>
      </c>
      <c r="S1356" s="29">
        <f t="shared" si="168"/>
        <v>1</v>
      </c>
      <c r="T1356" s="30">
        <f>T1443</f>
        <v>3</v>
      </c>
      <c r="U1356" s="151"/>
      <c r="V1356" s="77"/>
      <c r="W1356" s="77"/>
      <c r="X1356" s="77"/>
      <c r="Y1356" s="2"/>
    </row>
    <row r="1357" spans="1:26">
      <c r="B1357" s="24" t="s">
        <v>18</v>
      </c>
      <c r="C1357" s="25">
        <f>P1364</f>
        <v>25</v>
      </c>
      <c r="D1357" s="63"/>
      <c r="E1357" s="26" t="s">
        <v>80</v>
      </c>
      <c r="F1357" s="141" t="s">
        <v>81</v>
      </c>
      <c r="G1357" s="154">
        <v>0.1</v>
      </c>
      <c r="H1357" s="10"/>
      <c r="I1357" s="10"/>
      <c r="J1357" s="32" t="s">
        <v>19</v>
      </c>
      <c r="K1357" s="33">
        <f>K1390/K1389</f>
        <v>1</v>
      </c>
      <c r="L1357" s="33">
        <f t="shared" ref="L1357:S1357" si="169">L1390/L1389</f>
        <v>1</v>
      </c>
      <c r="M1357" s="33">
        <f t="shared" si="169"/>
        <v>1</v>
      </c>
      <c r="N1357" s="33">
        <f t="shared" si="169"/>
        <v>1</v>
      </c>
      <c r="O1357" s="33">
        <f t="shared" si="169"/>
        <v>1</v>
      </c>
      <c r="P1357" s="33">
        <f t="shared" si="169"/>
        <v>1</v>
      </c>
      <c r="Q1357" s="33">
        <f t="shared" si="169"/>
        <v>0.625</v>
      </c>
      <c r="R1357" s="33">
        <f t="shared" si="169"/>
        <v>0.5</v>
      </c>
      <c r="S1357" s="33">
        <f t="shared" si="169"/>
        <v>0.125</v>
      </c>
      <c r="T1357" s="23"/>
      <c r="U1357" s="151" t="s">
        <v>20</v>
      </c>
      <c r="V1357" s="77"/>
      <c r="W1357" s="77"/>
      <c r="X1357" s="77"/>
      <c r="Y1357" s="2"/>
    </row>
    <row r="1358" spans="1:26">
      <c r="B1358" s="24" t="s">
        <v>21</v>
      </c>
      <c r="C1358" s="34">
        <f>P1365</f>
        <v>0.24242424242424243</v>
      </c>
      <c r="D1358" s="63"/>
      <c r="E1358" s="10"/>
      <c r="F1358" s="10"/>
      <c r="G1358" s="10"/>
      <c r="H1358" s="10"/>
      <c r="I1358" s="10"/>
      <c r="J1358" s="10"/>
      <c r="K1358" s="10"/>
      <c r="L1358" s="10"/>
      <c r="M1358" s="10"/>
      <c r="N1358" s="10"/>
      <c r="O1358" s="10"/>
      <c r="P1358" s="10"/>
      <c r="Q1358" s="10"/>
      <c r="R1358" s="10"/>
      <c r="S1358" s="10"/>
      <c r="T1358" s="10"/>
      <c r="U1358" s="151"/>
      <c r="V1358" s="77"/>
      <c r="W1358" s="77"/>
      <c r="X1358" s="77"/>
      <c r="Y1358" s="2"/>
    </row>
    <row r="1359" spans="1:26" ht="15.75" customHeight="1">
      <c r="B1359" s="24"/>
      <c r="C1359" s="25"/>
      <c r="D1359" s="63"/>
      <c r="E1359" s="10"/>
      <c r="F1359" s="18" t="s">
        <v>22</v>
      </c>
      <c r="G1359" s="19" t="s">
        <v>23</v>
      </c>
      <c r="H1359" s="35" t="s">
        <v>24</v>
      </c>
      <c r="I1359" s="10"/>
      <c r="J1359" s="10"/>
      <c r="K1359" s="36"/>
      <c r="L1359" s="36"/>
      <c r="M1359" s="36"/>
      <c r="N1359" s="36"/>
      <c r="O1359" s="36"/>
      <c r="P1359" s="36"/>
      <c r="Q1359" s="36"/>
      <c r="R1359" s="10"/>
      <c r="S1359" s="10"/>
      <c r="T1359" s="10"/>
      <c r="U1359" s="151"/>
      <c r="V1359" s="77"/>
      <c r="W1359" s="77"/>
      <c r="X1359" s="77"/>
      <c r="Y1359" s="2"/>
    </row>
    <row r="1360" spans="1:26" ht="21" customHeight="1">
      <c r="B1360" s="32" t="s">
        <v>25</v>
      </c>
      <c r="C1360" s="37">
        <f>P1366</f>
        <v>2890.0237499999998</v>
      </c>
      <c r="D1360" s="63"/>
      <c r="E1360" s="18" t="s">
        <v>26</v>
      </c>
      <c r="F1360" s="38">
        <f>P1362</f>
        <v>23120.19</v>
      </c>
      <c r="G1360" s="39">
        <f>I1389</f>
        <v>23120.19</v>
      </c>
      <c r="H1360" s="767" t="s">
        <v>1795</v>
      </c>
      <c r="I1360" s="767"/>
      <c r="J1360" s="767"/>
      <c r="K1360" s="43" t="s">
        <v>27</v>
      </c>
      <c r="L1360" s="44"/>
      <c r="M1360" s="44"/>
      <c r="N1360" s="44"/>
      <c r="O1360" s="44"/>
      <c r="P1360" s="44"/>
      <c r="Q1360" s="45"/>
      <c r="R1360" s="46" t="s">
        <v>28</v>
      </c>
      <c r="S1360" s="47" t="s">
        <v>29</v>
      </c>
      <c r="T1360" s="10"/>
      <c r="U1360" s="151"/>
      <c r="V1360" s="77"/>
      <c r="W1360" s="77"/>
      <c r="X1360" s="77"/>
      <c r="Y1360" s="2"/>
    </row>
    <row r="1361" spans="2:25" ht="22.5" customHeight="1">
      <c r="B1361" s="11"/>
      <c r="C1361" s="10"/>
      <c r="D1361" s="63"/>
      <c r="E1361" s="24" t="s">
        <v>30</v>
      </c>
      <c r="F1361" s="48">
        <f>IF(F1360&gt;=25000,10%,5%)</f>
        <v>0.05</v>
      </c>
      <c r="G1361" s="17"/>
      <c r="H1361" s="767"/>
      <c r="I1361" s="767"/>
      <c r="J1361" s="767"/>
      <c r="K1361" s="20" t="s">
        <v>31</v>
      </c>
      <c r="L1361" s="21" t="s">
        <v>32</v>
      </c>
      <c r="M1361" s="21" t="s">
        <v>33</v>
      </c>
      <c r="N1361" s="21" t="s">
        <v>34</v>
      </c>
      <c r="O1361" s="21" t="s">
        <v>35</v>
      </c>
      <c r="P1361" s="21" t="s">
        <v>36</v>
      </c>
      <c r="Q1361" s="49" t="s">
        <v>37</v>
      </c>
      <c r="R1361" s="50" t="s">
        <v>38</v>
      </c>
      <c r="S1361" s="50" t="s">
        <v>38</v>
      </c>
      <c r="T1361" s="10"/>
      <c r="U1361" s="151"/>
      <c r="V1361" s="77"/>
      <c r="W1361" s="77"/>
      <c r="X1361" s="77"/>
      <c r="Y1361" s="2"/>
    </row>
    <row r="1362" spans="2:25">
      <c r="B1362" s="11"/>
      <c r="C1362" s="10"/>
      <c r="D1362" s="63"/>
      <c r="E1362" s="51" t="s">
        <v>39</v>
      </c>
      <c r="F1362" s="52">
        <f>(F1360+F1369+F1370-I1381-I1382-I1386-I1388)*F1361</f>
        <v>967.13950000000011</v>
      </c>
      <c r="G1362" s="53" t="s">
        <v>40</v>
      </c>
      <c r="H1362" s="484">
        <f>F1362/1.12</f>
        <v>863.51741071428569</v>
      </c>
      <c r="I1362" s="55"/>
      <c r="J1362" s="42"/>
      <c r="K1362" s="56">
        <f>I1381</f>
        <v>1098.3</v>
      </c>
      <c r="L1362" s="57">
        <f>I1382+I1383+I1384</f>
        <v>4020.86</v>
      </c>
      <c r="M1362" s="57">
        <f>I1385</f>
        <v>11946.07</v>
      </c>
      <c r="N1362" s="57">
        <f>I1386+I1388+I1387</f>
        <v>6054.9599999999991</v>
      </c>
      <c r="O1362" s="57">
        <v>0</v>
      </c>
      <c r="P1362" s="57">
        <f>SUM(K1362:O1362)</f>
        <v>23120.19</v>
      </c>
      <c r="Q1362" s="58">
        <v>0</v>
      </c>
      <c r="R1362" s="59">
        <v>0</v>
      </c>
      <c r="S1362" s="59">
        <v>0</v>
      </c>
      <c r="T1362" s="10"/>
      <c r="U1362" s="151"/>
      <c r="V1362" s="77"/>
      <c r="W1362" s="77"/>
      <c r="X1362" s="77"/>
      <c r="Y1362" s="2"/>
    </row>
    <row r="1363" spans="2:25">
      <c r="B1363" s="11"/>
      <c r="C1363" s="10"/>
      <c r="D1363" s="63"/>
      <c r="E1363" s="24" t="s">
        <v>41</v>
      </c>
      <c r="F1363" s="60">
        <f>Q1362</f>
        <v>0</v>
      </c>
      <c r="G1363" s="61" t="s">
        <v>40</v>
      </c>
      <c r="H1363" s="62"/>
      <c r="I1363" s="62"/>
      <c r="J1363" s="10" t="s">
        <v>42</v>
      </c>
      <c r="K1363" s="63">
        <v>1</v>
      </c>
      <c r="L1363" s="63">
        <v>3</v>
      </c>
      <c r="M1363" s="63">
        <v>1</v>
      </c>
      <c r="N1363" s="63">
        <v>3</v>
      </c>
      <c r="O1363" s="63">
        <v>0</v>
      </c>
      <c r="P1363" s="21">
        <f>SUM(K1363:O1363)</f>
        <v>8</v>
      </c>
      <c r="Q1363" s="64"/>
      <c r="R1363" s="63"/>
      <c r="S1363" s="10"/>
      <c r="T1363" s="10"/>
      <c r="U1363" s="151"/>
      <c r="V1363" s="77"/>
      <c r="W1363" s="77"/>
      <c r="X1363" s="77"/>
      <c r="Y1363" s="2"/>
    </row>
    <row r="1364" spans="2:25">
      <c r="B1364" s="11"/>
      <c r="C1364" s="10"/>
      <c r="D1364" s="63"/>
      <c r="E1364" s="51" t="s">
        <v>43</v>
      </c>
      <c r="F1364" s="52">
        <f>F1363*0.25</f>
        <v>0</v>
      </c>
      <c r="G1364" s="53" t="s">
        <v>40</v>
      </c>
      <c r="H1364" s="54">
        <f>F1364/1.12</f>
        <v>0</v>
      </c>
      <c r="I1364" s="10"/>
      <c r="J1364" s="10" t="s">
        <v>44</v>
      </c>
      <c r="K1364" s="63">
        <v>3</v>
      </c>
      <c r="L1364" s="63">
        <v>6</v>
      </c>
      <c r="M1364" s="63">
        <v>1</v>
      </c>
      <c r="N1364" s="63">
        <v>4</v>
      </c>
      <c r="O1364" s="63">
        <v>11</v>
      </c>
      <c r="P1364" s="21">
        <f>SUM(K1364:O1364)</f>
        <v>25</v>
      </c>
      <c r="Q1364" s="64"/>
      <c r="R1364" s="63"/>
      <c r="S1364" s="10"/>
      <c r="T1364" s="10"/>
      <c r="U1364" s="151"/>
      <c r="V1364" s="77"/>
      <c r="W1364" s="77"/>
      <c r="X1364" s="77"/>
      <c r="Y1364" s="2"/>
    </row>
    <row r="1365" spans="2:25">
      <c r="B1365" s="11"/>
      <c r="C1365" s="10"/>
      <c r="D1365" s="63"/>
      <c r="E1365" s="24" t="s">
        <v>45</v>
      </c>
      <c r="F1365" s="60">
        <v>0</v>
      </c>
      <c r="G1365" s="61" t="s">
        <v>40</v>
      </c>
      <c r="H1365" s="62"/>
      <c r="I1365" s="10"/>
      <c r="J1365" s="10" t="s">
        <v>46</v>
      </c>
      <c r="K1365" s="31">
        <f t="shared" ref="K1365:Q1365" si="170">K1363/(K1363+K1364)</f>
        <v>0.25</v>
      </c>
      <c r="L1365" s="31">
        <f t="shared" si="170"/>
        <v>0.33333333333333331</v>
      </c>
      <c r="M1365" s="31">
        <f t="shared" si="170"/>
        <v>0.5</v>
      </c>
      <c r="N1365" s="31">
        <f t="shared" si="170"/>
        <v>0.42857142857142855</v>
      </c>
      <c r="O1365" s="31">
        <f t="shared" si="170"/>
        <v>0</v>
      </c>
      <c r="P1365" s="31">
        <f t="shared" si="170"/>
        <v>0.24242424242424243</v>
      </c>
      <c r="Q1365" s="31" t="e">
        <f t="shared" si="170"/>
        <v>#DIV/0!</v>
      </c>
      <c r="R1365" s="63"/>
      <c r="S1365" s="10"/>
      <c r="T1365" s="10"/>
      <c r="U1365" s="151"/>
      <c r="V1365" s="77"/>
      <c r="W1365" s="77"/>
      <c r="X1365" s="77"/>
      <c r="Y1365" s="2"/>
    </row>
    <row r="1366" spans="2:25">
      <c r="B1366" s="11"/>
      <c r="C1366" s="10"/>
      <c r="D1366" s="63"/>
      <c r="E1366" s="51" t="s">
        <v>47</v>
      </c>
      <c r="F1366" s="52">
        <f>F1365*0.05</f>
        <v>0</v>
      </c>
      <c r="G1366" s="65" t="s">
        <v>40</v>
      </c>
      <c r="H1366" s="54">
        <f>F1366/1.12</f>
        <v>0</v>
      </c>
      <c r="I1366" s="42"/>
      <c r="J1366" s="10" t="s">
        <v>48</v>
      </c>
      <c r="K1366" s="66">
        <f>K1362/K1363</f>
        <v>1098.3</v>
      </c>
      <c r="L1366" s="66">
        <f t="shared" ref="L1366:Q1366" si="171">L1362/L1363</f>
        <v>1340.2866666666666</v>
      </c>
      <c r="M1366" s="66">
        <f t="shared" si="171"/>
        <v>11946.07</v>
      </c>
      <c r="N1366" s="66">
        <f t="shared" si="171"/>
        <v>2018.3199999999997</v>
      </c>
      <c r="O1366" s="66" t="e">
        <f t="shared" si="171"/>
        <v>#DIV/0!</v>
      </c>
      <c r="P1366" s="66">
        <f t="shared" si="171"/>
        <v>2890.0237499999998</v>
      </c>
      <c r="Q1366" s="66" t="e">
        <f t="shared" si="171"/>
        <v>#DIV/0!</v>
      </c>
      <c r="R1366" s="63"/>
      <c r="S1366" s="10"/>
      <c r="T1366" s="10"/>
      <c r="U1366" s="151"/>
      <c r="V1366" s="77"/>
      <c r="W1366" s="77"/>
      <c r="X1366" s="77"/>
      <c r="Y1366" s="2"/>
    </row>
    <row r="1367" spans="2:25">
      <c r="B1367" s="132"/>
      <c r="C1367" s="123"/>
      <c r="D1367" s="127"/>
      <c r="E1367" s="155" t="s">
        <v>14</v>
      </c>
      <c r="F1367" s="156">
        <f>2*50</f>
        <v>100</v>
      </c>
      <c r="G1367" s="123"/>
      <c r="H1367" s="54">
        <f>F1367/1.12</f>
        <v>89.285714285714278</v>
      </c>
      <c r="I1367" s="123"/>
      <c r="J1367" s="123"/>
      <c r="K1367" s="123"/>
      <c r="L1367" s="123"/>
      <c r="M1367" s="123"/>
      <c r="N1367" s="123"/>
      <c r="O1367" s="123"/>
      <c r="P1367" s="123"/>
      <c r="Q1367" s="123"/>
      <c r="R1367" s="123"/>
      <c r="S1367" s="123"/>
      <c r="T1367" s="123"/>
      <c r="U1367" s="157"/>
      <c r="V1367" s="123"/>
      <c r="W1367" s="123"/>
      <c r="X1367" s="123"/>
      <c r="Y1367" s="128"/>
    </row>
    <row r="1368" spans="2:25">
      <c r="B1368" s="132"/>
      <c r="C1368" s="123"/>
      <c r="D1368" s="127"/>
      <c r="E1368" s="158" t="s">
        <v>49</v>
      </c>
      <c r="F1368" s="159">
        <f>T1357</f>
        <v>0</v>
      </c>
      <c r="G1368" s="123"/>
      <c r="H1368" s="54"/>
      <c r="I1368" s="123"/>
      <c r="J1368" s="42"/>
      <c r="K1368" s="764" t="s">
        <v>50</v>
      </c>
      <c r="L1368" s="765"/>
      <c r="M1368" s="765"/>
      <c r="N1368" s="765"/>
      <c r="O1368" s="765"/>
      <c r="P1368" s="765"/>
      <c r="Q1368" s="766"/>
      <c r="R1368" s="70" t="s">
        <v>28</v>
      </c>
      <c r="S1368" s="71" t="s">
        <v>29</v>
      </c>
      <c r="T1368" s="123"/>
      <c r="U1368" s="157"/>
      <c r="V1368" s="123"/>
      <c r="W1368" s="123"/>
      <c r="X1368" s="123"/>
      <c r="Y1368" s="128"/>
    </row>
    <row r="1369" spans="2:25">
      <c r="B1369" s="132"/>
      <c r="C1369" s="123"/>
      <c r="D1369" s="127"/>
      <c r="E1369" s="74" t="s">
        <v>1796</v>
      </c>
      <c r="F1369" s="75">
        <v>-121.78</v>
      </c>
      <c r="G1369" s="123"/>
      <c r="H1369" s="54"/>
      <c r="I1369" s="123"/>
      <c r="J1369" s="42"/>
      <c r="K1369" s="20" t="s">
        <v>31</v>
      </c>
      <c r="L1369" s="21" t="s">
        <v>32</v>
      </c>
      <c r="M1369" s="21" t="s">
        <v>33</v>
      </c>
      <c r="N1369" s="21" t="s">
        <v>34</v>
      </c>
      <c r="O1369" s="21" t="s">
        <v>35</v>
      </c>
      <c r="P1369" s="21" t="s">
        <v>36</v>
      </c>
      <c r="Q1369" s="49" t="s">
        <v>37</v>
      </c>
      <c r="R1369" s="50" t="s">
        <v>38</v>
      </c>
      <c r="S1369" s="50" t="s">
        <v>38</v>
      </c>
      <c r="T1369" s="123"/>
      <c r="U1369" s="157"/>
      <c r="V1369" s="123"/>
      <c r="W1369" s="123"/>
      <c r="X1369" s="123"/>
      <c r="Y1369" s="128"/>
    </row>
    <row r="1370" spans="2:25">
      <c r="B1370" s="132"/>
      <c r="C1370" s="123"/>
      <c r="D1370" s="127"/>
      <c r="E1370" s="74" t="s">
        <v>1797</v>
      </c>
      <c r="F1370" s="75">
        <v>-36.72</v>
      </c>
      <c r="G1370" s="123"/>
      <c r="H1370" s="54"/>
      <c r="I1370" s="123"/>
      <c r="J1370" s="42"/>
      <c r="K1370" s="56">
        <f>F1381</f>
        <v>1138</v>
      </c>
      <c r="L1370" s="57">
        <f>F1382+F1383+F1384</f>
        <v>4876</v>
      </c>
      <c r="M1370" s="57">
        <f>F1385</f>
        <v>15318</v>
      </c>
      <c r="N1370" s="57">
        <f>F1386+F1388+F1387</f>
        <v>8133</v>
      </c>
      <c r="O1370" s="57">
        <v>0</v>
      </c>
      <c r="P1370" s="57">
        <f>SUM(K1370:O1370)</f>
        <v>29465</v>
      </c>
      <c r="Q1370" s="58">
        <v>0</v>
      </c>
      <c r="R1370" s="59">
        <v>0</v>
      </c>
      <c r="S1370" s="59">
        <v>0</v>
      </c>
      <c r="T1370" s="123"/>
      <c r="U1370" s="157"/>
      <c r="V1370" s="123"/>
      <c r="W1370" s="123"/>
      <c r="X1370" s="123"/>
      <c r="Y1370" s="128"/>
    </row>
    <row r="1371" spans="2:25">
      <c r="B1371" s="132"/>
      <c r="C1371" s="123"/>
      <c r="D1371" s="127"/>
      <c r="E1371" s="12"/>
      <c r="F1371" s="160"/>
      <c r="G1371" s="123"/>
      <c r="H1371" s="54"/>
      <c r="I1371" s="123"/>
      <c r="J1371" s="10" t="s">
        <v>42</v>
      </c>
      <c r="K1371" s="63">
        <f t="shared" ref="K1371:Q1372" si="172">K1363</f>
        <v>1</v>
      </c>
      <c r="L1371" s="63">
        <f t="shared" si="172"/>
        <v>3</v>
      </c>
      <c r="M1371" s="63">
        <f t="shared" si="172"/>
        <v>1</v>
      </c>
      <c r="N1371" s="63">
        <f t="shared" si="172"/>
        <v>3</v>
      </c>
      <c r="O1371" s="63">
        <f t="shared" si="172"/>
        <v>0</v>
      </c>
      <c r="P1371" s="63">
        <f t="shared" si="172"/>
        <v>8</v>
      </c>
      <c r="Q1371" s="63">
        <f t="shared" si="172"/>
        <v>0</v>
      </c>
      <c r="R1371" s="63"/>
      <c r="S1371" s="10"/>
      <c r="T1371" s="123"/>
      <c r="U1371" s="157"/>
      <c r="V1371" s="123"/>
      <c r="W1371" s="123"/>
      <c r="X1371" s="123"/>
      <c r="Y1371" s="128"/>
    </row>
    <row r="1372" spans="2:25">
      <c r="B1372" s="132"/>
      <c r="C1372" s="123"/>
      <c r="D1372" s="127"/>
      <c r="E1372" s="12"/>
      <c r="F1372" s="160"/>
      <c r="G1372" s="123"/>
      <c r="H1372" s="54"/>
      <c r="I1372" s="123"/>
      <c r="J1372" s="10" t="s">
        <v>44</v>
      </c>
      <c r="K1372" s="63">
        <f t="shared" si="172"/>
        <v>3</v>
      </c>
      <c r="L1372" s="63">
        <f t="shared" si="172"/>
        <v>6</v>
      </c>
      <c r="M1372" s="63">
        <f t="shared" si="172"/>
        <v>1</v>
      </c>
      <c r="N1372" s="63">
        <f t="shared" si="172"/>
        <v>4</v>
      </c>
      <c r="O1372" s="63">
        <f t="shared" si="172"/>
        <v>11</v>
      </c>
      <c r="P1372" s="63">
        <f t="shared" si="172"/>
        <v>25</v>
      </c>
      <c r="Q1372" s="63">
        <f t="shared" si="172"/>
        <v>0</v>
      </c>
      <c r="R1372" s="63"/>
      <c r="S1372" s="10"/>
      <c r="T1372" s="123"/>
      <c r="U1372" s="157"/>
      <c r="V1372" s="123"/>
      <c r="W1372" s="123"/>
      <c r="X1372" s="123"/>
      <c r="Y1372" s="128"/>
    </row>
    <row r="1373" spans="2:25">
      <c r="B1373" s="132"/>
      <c r="C1373" s="123"/>
      <c r="D1373" s="127"/>
      <c r="E1373" s="12"/>
      <c r="F1373" s="160"/>
      <c r="G1373" s="123"/>
      <c r="H1373" s="54"/>
      <c r="I1373" s="123"/>
      <c r="J1373" s="10" t="s">
        <v>46</v>
      </c>
      <c r="K1373" s="31">
        <f t="shared" ref="K1373:Q1373" si="173">K1371/(K1371+K1372)</f>
        <v>0.25</v>
      </c>
      <c r="L1373" s="31">
        <f t="shared" si="173"/>
        <v>0.33333333333333331</v>
      </c>
      <c r="M1373" s="31">
        <f t="shared" si="173"/>
        <v>0.5</v>
      </c>
      <c r="N1373" s="31">
        <f t="shared" si="173"/>
        <v>0.42857142857142855</v>
      </c>
      <c r="O1373" s="31">
        <f t="shared" si="173"/>
        <v>0</v>
      </c>
      <c r="P1373" s="31">
        <f t="shared" si="173"/>
        <v>0.24242424242424243</v>
      </c>
      <c r="Q1373" s="31" t="e">
        <f t="shared" si="173"/>
        <v>#DIV/0!</v>
      </c>
      <c r="R1373" s="63"/>
      <c r="S1373" s="10"/>
      <c r="T1373" s="123"/>
      <c r="U1373" s="157"/>
      <c r="V1373" s="123"/>
      <c r="W1373" s="123"/>
      <c r="X1373" s="123"/>
      <c r="Y1373" s="128"/>
    </row>
    <row r="1374" spans="2:25">
      <c r="B1374" s="132"/>
      <c r="C1374" s="123"/>
      <c r="D1374" s="127"/>
      <c r="E1374" s="12"/>
      <c r="F1374" s="160"/>
      <c r="G1374" s="123"/>
      <c r="H1374" s="54"/>
      <c r="I1374" s="123"/>
      <c r="J1374" s="10" t="s">
        <v>48</v>
      </c>
      <c r="K1374" s="66">
        <f t="shared" ref="K1374:Q1374" si="174">K1370/K1371</f>
        <v>1138</v>
      </c>
      <c r="L1374" s="66">
        <f t="shared" si="174"/>
        <v>1625.3333333333333</v>
      </c>
      <c r="M1374" s="66">
        <f t="shared" si="174"/>
        <v>15318</v>
      </c>
      <c r="N1374" s="66">
        <f t="shared" si="174"/>
        <v>2711</v>
      </c>
      <c r="O1374" s="66" t="e">
        <f t="shared" si="174"/>
        <v>#DIV/0!</v>
      </c>
      <c r="P1374" s="66">
        <f t="shared" si="174"/>
        <v>3683.125</v>
      </c>
      <c r="Q1374" s="66" t="e">
        <f t="shared" si="174"/>
        <v>#DIV/0!</v>
      </c>
      <c r="R1374" s="63"/>
      <c r="S1374" s="10"/>
      <c r="T1374" s="123"/>
      <c r="U1374" s="157"/>
      <c r="V1374" s="123"/>
      <c r="W1374" s="123"/>
      <c r="X1374" s="123"/>
      <c r="Y1374" s="128"/>
    </row>
    <row r="1375" spans="2:25">
      <c r="B1375" s="132"/>
      <c r="C1375" s="123"/>
      <c r="D1375" s="127"/>
      <c r="E1375" s="12"/>
      <c r="F1375" s="160"/>
      <c r="G1375" s="123"/>
      <c r="H1375" s="54"/>
      <c r="I1375" s="123"/>
      <c r="J1375" s="123"/>
      <c r="K1375" s="123"/>
      <c r="L1375" s="123"/>
      <c r="M1375" s="123"/>
      <c r="N1375" s="123"/>
      <c r="O1375" s="123"/>
      <c r="P1375" s="123"/>
      <c r="Q1375" s="123"/>
      <c r="R1375" s="123"/>
      <c r="S1375" s="123"/>
      <c r="T1375" s="123"/>
      <c r="U1375" s="157"/>
      <c r="V1375" s="123"/>
      <c r="W1375" s="123"/>
      <c r="X1375" s="123"/>
      <c r="Y1375" s="128"/>
    </row>
    <row r="1376" spans="2:25">
      <c r="B1376" s="11"/>
      <c r="C1376" s="10"/>
      <c r="D1376" s="63"/>
      <c r="E1376" s="12"/>
      <c r="F1376" s="12"/>
      <c r="G1376" s="10"/>
      <c r="H1376" s="10"/>
      <c r="I1376" s="10"/>
      <c r="J1376" s="10"/>
      <c r="K1376" s="10"/>
      <c r="L1376" s="10"/>
      <c r="M1376" s="10"/>
      <c r="N1376" s="10"/>
      <c r="O1376" s="10"/>
      <c r="P1376" s="10"/>
      <c r="Q1376" s="10"/>
      <c r="R1376" s="10"/>
      <c r="S1376" s="10"/>
      <c r="T1376" s="10"/>
      <c r="U1376" s="151"/>
      <c r="V1376" s="77"/>
      <c r="W1376" s="77"/>
      <c r="X1376" s="77"/>
      <c r="Y1376" s="2"/>
    </row>
    <row r="1377" spans="1:25">
      <c r="B1377" s="11"/>
      <c r="C1377" s="10"/>
      <c r="D1377" s="63"/>
      <c r="E1377" s="10"/>
      <c r="F1377" s="10"/>
      <c r="G1377" s="10"/>
      <c r="H1377" s="10"/>
      <c r="I1377" s="10"/>
      <c r="J1377" s="10"/>
      <c r="K1377" s="10"/>
      <c r="L1377" s="10"/>
      <c r="M1377" s="10"/>
      <c r="N1377" s="10"/>
      <c r="O1377" s="10"/>
      <c r="P1377" s="10"/>
      <c r="Q1377" s="10"/>
      <c r="R1377" s="10"/>
      <c r="S1377" s="10"/>
      <c r="T1377" s="10"/>
      <c r="U1377" s="151"/>
      <c r="V1377" s="77"/>
      <c r="W1377" s="77"/>
      <c r="X1377" s="77"/>
      <c r="Y1377" s="2"/>
    </row>
    <row r="1378" spans="1:25">
      <c r="B1378" s="18" t="s">
        <v>51</v>
      </c>
      <c r="C1378" s="14"/>
      <c r="D1378" s="14"/>
      <c r="E1378" s="14"/>
      <c r="F1378" s="13" t="s">
        <v>52</v>
      </c>
      <c r="G1378" s="14"/>
      <c r="H1378" s="14"/>
      <c r="I1378" s="14"/>
      <c r="J1378" s="14"/>
      <c r="K1378" s="13" t="s">
        <v>3</v>
      </c>
      <c r="L1378" s="14"/>
      <c r="M1378" s="14"/>
      <c r="N1378" s="13" t="s">
        <v>4</v>
      </c>
      <c r="O1378" s="14"/>
      <c r="P1378" s="14"/>
      <c r="Q1378" s="13" t="s">
        <v>5</v>
      </c>
      <c r="R1378" s="14"/>
      <c r="S1378" s="14"/>
      <c r="T1378" s="18"/>
      <c r="U1378" s="161" t="s">
        <v>53</v>
      </c>
      <c r="V1378" s="77"/>
      <c r="W1378" s="77"/>
      <c r="X1378" s="77"/>
      <c r="Y1378" s="2"/>
    </row>
    <row r="1379" spans="1:25">
      <c r="B1379" s="24" t="s">
        <v>54</v>
      </c>
      <c r="C1379" s="21" t="s">
        <v>55</v>
      </c>
      <c r="D1379" s="21" t="s">
        <v>56</v>
      </c>
      <c r="E1379" s="21" t="s">
        <v>57</v>
      </c>
      <c r="F1379" s="20" t="s">
        <v>58</v>
      </c>
      <c r="G1379" s="21" t="s">
        <v>59</v>
      </c>
      <c r="H1379" s="21" t="s">
        <v>60</v>
      </c>
      <c r="I1379" s="21" t="s">
        <v>26</v>
      </c>
      <c r="J1379" s="22" t="s">
        <v>61</v>
      </c>
      <c r="K1379" s="21" t="s">
        <v>8</v>
      </c>
      <c r="L1379" s="21" t="s">
        <v>9</v>
      </c>
      <c r="M1379" s="21" t="s">
        <v>10</v>
      </c>
      <c r="N1379" s="20" t="s">
        <v>11</v>
      </c>
      <c r="O1379" s="21" t="s">
        <v>12</v>
      </c>
      <c r="P1379" s="22" t="s">
        <v>13</v>
      </c>
      <c r="Q1379" s="21" t="s">
        <v>11</v>
      </c>
      <c r="R1379" s="21" t="s">
        <v>12</v>
      </c>
      <c r="S1379" s="21" t="s">
        <v>13</v>
      </c>
      <c r="T1379" s="78" t="s">
        <v>14</v>
      </c>
      <c r="U1379" s="162"/>
      <c r="V1379" s="79" t="s">
        <v>62</v>
      </c>
      <c r="W1379" s="80" t="s">
        <v>63</v>
      </c>
      <c r="X1379" s="81" t="s">
        <v>64</v>
      </c>
      <c r="Y1379" s="2"/>
    </row>
    <row r="1380" spans="1:25">
      <c r="B1380" s="4" t="s">
        <v>65</v>
      </c>
      <c r="C1380" s="6"/>
      <c r="D1380" s="6"/>
      <c r="E1380" s="6"/>
      <c r="F1380" s="6"/>
      <c r="G1380" s="6"/>
      <c r="H1380" s="6"/>
      <c r="I1380" s="82"/>
      <c r="J1380" s="6"/>
      <c r="K1380" s="6"/>
      <c r="L1380" s="6"/>
      <c r="M1380" s="6"/>
      <c r="N1380" s="6"/>
      <c r="O1380" s="6"/>
      <c r="P1380" s="6"/>
      <c r="Q1380" s="6"/>
      <c r="R1380" s="6"/>
      <c r="S1380" s="6"/>
      <c r="T1380" s="83"/>
      <c r="U1380" s="163"/>
      <c r="V1380" s="84"/>
      <c r="W1380" s="85"/>
      <c r="X1380" s="86"/>
      <c r="Y1380" s="2"/>
    </row>
    <row r="1381" spans="1:25">
      <c r="B1381" s="87">
        <v>1</v>
      </c>
      <c r="C1381" s="638">
        <v>45950</v>
      </c>
      <c r="D1381" s="276">
        <v>74617</v>
      </c>
      <c r="E1381" s="281" t="s">
        <v>715</v>
      </c>
      <c r="F1381" s="277">
        <v>1138</v>
      </c>
      <c r="G1381" s="277">
        <f>39.7</f>
        <v>39.700000000000003</v>
      </c>
      <c r="H1381" s="277"/>
      <c r="I1381" s="329">
        <f>F1381-G1381-H1381</f>
        <v>1098.3</v>
      </c>
      <c r="J1381" s="279" t="s">
        <v>156</v>
      </c>
      <c r="K1381" s="279">
        <v>1</v>
      </c>
      <c r="L1381" s="279">
        <v>1</v>
      </c>
      <c r="M1381" s="279">
        <v>1</v>
      </c>
      <c r="N1381" s="279">
        <v>1</v>
      </c>
      <c r="O1381" s="279">
        <v>1</v>
      </c>
      <c r="P1381" s="279">
        <v>1</v>
      </c>
      <c r="Q1381" s="322">
        <v>0</v>
      </c>
      <c r="R1381" s="322">
        <v>0</v>
      </c>
      <c r="S1381" s="328">
        <v>0</v>
      </c>
      <c r="T1381" s="63"/>
      <c r="U1381" s="94"/>
      <c r="V1381" s="90">
        <v>1251.8</v>
      </c>
      <c r="W1381" s="91"/>
      <c r="X1381" s="92"/>
      <c r="Y1381" s="2"/>
    </row>
    <row r="1382" spans="1:25">
      <c r="B1382" s="87">
        <f t="shared" ref="B1382:B1386" si="175">B1381+1</f>
        <v>2</v>
      </c>
      <c r="C1382" s="638">
        <v>45951</v>
      </c>
      <c r="D1382" s="276">
        <v>74605</v>
      </c>
      <c r="E1382" s="276" t="s">
        <v>778</v>
      </c>
      <c r="F1382" s="277">
        <v>681</v>
      </c>
      <c r="G1382" s="277"/>
      <c r="H1382" s="277"/>
      <c r="I1382" s="329">
        <f t="shared" ref="I1382:I1386" si="176">F1382-G1382-H1382</f>
        <v>681</v>
      </c>
      <c r="J1382" s="279" t="s">
        <v>156</v>
      </c>
      <c r="K1382" s="279">
        <v>1</v>
      </c>
      <c r="L1382" s="279">
        <v>1</v>
      </c>
      <c r="M1382" s="279">
        <v>1</v>
      </c>
      <c r="N1382" s="279">
        <v>1</v>
      </c>
      <c r="O1382" s="279">
        <v>1</v>
      </c>
      <c r="P1382" s="279">
        <v>1</v>
      </c>
      <c r="Q1382" s="322">
        <v>0</v>
      </c>
      <c r="R1382" s="322">
        <v>0</v>
      </c>
      <c r="S1382" s="328">
        <v>0</v>
      </c>
      <c r="T1382" s="63"/>
      <c r="U1382" s="94"/>
      <c r="V1382" s="90">
        <v>749.1</v>
      </c>
      <c r="W1382" s="91"/>
      <c r="X1382" s="92"/>
      <c r="Y1382" s="2"/>
    </row>
    <row r="1383" spans="1:25">
      <c r="B1383" s="87">
        <f t="shared" si="175"/>
        <v>3</v>
      </c>
      <c r="C1383" s="639">
        <v>45951</v>
      </c>
      <c r="D1383" s="3" t="s">
        <v>1798</v>
      </c>
      <c r="E1383" s="10" t="s">
        <v>778</v>
      </c>
      <c r="F1383" s="62">
        <v>1381</v>
      </c>
      <c r="G1383" s="62">
        <f>39.7+(375.74)+200</f>
        <v>615.44000000000005</v>
      </c>
      <c r="H1383" s="62"/>
      <c r="I1383" s="324">
        <f t="shared" si="176"/>
        <v>765.56</v>
      </c>
      <c r="J1383" s="63" t="s">
        <v>156</v>
      </c>
      <c r="K1383" s="63">
        <v>1</v>
      </c>
      <c r="L1383" s="63">
        <v>1</v>
      </c>
      <c r="M1383" s="63">
        <v>1</v>
      </c>
      <c r="N1383" s="63">
        <v>1</v>
      </c>
      <c r="O1383" s="63">
        <v>1</v>
      </c>
      <c r="P1383" s="63">
        <v>1</v>
      </c>
      <c r="Q1383" s="63">
        <v>1</v>
      </c>
      <c r="R1383" s="63">
        <v>1</v>
      </c>
      <c r="S1383" s="326">
        <v>0</v>
      </c>
      <c r="T1383" s="63"/>
      <c r="U1383" s="94" t="s">
        <v>1799</v>
      </c>
      <c r="V1383" s="90">
        <f>150+1369.1</f>
        <v>1519.1</v>
      </c>
      <c r="W1383" s="91"/>
      <c r="X1383" s="92"/>
      <c r="Y1383" s="2"/>
    </row>
    <row r="1384" spans="1:25">
      <c r="B1384" s="87">
        <f t="shared" si="175"/>
        <v>4</v>
      </c>
      <c r="C1384" s="639">
        <v>45951</v>
      </c>
      <c r="D1384" s="10">
        <v>74676</v>
      </c>
      <c r="E1384" s="94" t="s">
        <v>1080</v>
      </c>
      <c r="F1384" s="62">
        <v>2814</v>
      </c>
      <c r="G1384" s="62">
        <f>39.7+200</f>
        <v>239.7</v>
      </c>
      <c r="H1384" s="62"/>
      <c r="I1384" s="324">
        <f t="shared" si="176"/>
        <v>2574.3000000000002</v>
      </c>
      <c r="J1384" s="63" t="s">
        <v>156</v>
      </c>
      <c r="K1384" s="63">
        <v>1</v>
      </c>
      <c r="L1384" s="63">
        <v>1</v>
      </c>
      <c r="M1384" s="63">
        <v>1</v>
      </c>
      <c r="N1384" s="63">
        <v>1</v>
      </c>
      <c r="O1384" s="63">
        <v>1</v>
      </c>
      <c r="P1384" s="63">
        <v>1</v>
      </c>
      <c r="Q1384" s="63">
        <v>1</v>
      </c>
      <c r="R1384" s="63">
        <v>1</v>
      </c>
      <c r="S1384" s="326">
        <v>0</v>
      </c>
      <c r="T1384" s="63"/>
      <c r="U1384" s="94" t="s">
        <v>1800</v>
      </c>
      <c r="V1384" s="90">
        <v>3095.4</v>
      </c>
      <c r="W1384" s="91"/>
      <c r="X1384" s="92"/>
      <c r="Y1384" s="2"/>
    </row>
    <row r="1385" spans="1:25">
      <c r="A1385" t="s">
        <v>1801</v>
      </c>
      <c r="B1385" s="87">
        <f t="shared" si="175"/>
        <v>5</v>
      </c>
      <c r="C1385" s="638">
        <v>45952</v>
      </c>
      <c r="D1385" s="275" t="s">
        <v>1802</v>
      </c>
      <c r="E1385" s="276" t="s">
        <v>159</v>
      </c>
      <c r="F1385" s="277">
        <v>15318</v>
      </c>
      <c r="G1385" s="277">
        <f>39.7+(863.16+778.68-9.61)+1500+200</f>
        <v>3371.9300000000003</v>
      </c>
      <c r="H1385" s="277"/>
      <c r="I1385" s="321">
        <f t="shared" si="176"/>
        <v>11946.07</v>
      </c>
      <c r="J1385" s="279" t="s">
        <v>228</v>
      </c>
      <c r="K1385" s="279">
        <v>1</v>
      </c>
      <c r="L1385" s="279">
        <v>1</v>
      </c>
      <c r="M1385" s="279">
        <v>1</v>
      </c>
      <c r="N1385" s="279">
        <v>1</v>
      </c>
      <c r="O1385" s="279">
        <v>1</v>
      </c>
      <c r="P1385" s="279">
        <v>1</v>
      </c>
      <c r="Q1385" s="279">
        <v>1</v>
      </c>
      <c r="R1385" s="279">
        <v>1</v>
      </c>
      <c r="S1385" s="328">
        <v>0</v>
      </c>
      <c r="T1385" s="63"/>
      <c r="U1385" s="94" t="s">
        <v>1803</v>
      </c>
      <c r="V1385" s="90">
        <f>1700+15149.8</f>
        <v>16849.8</v>
      </c>
      <c r="W1385" s="91"/>
      <c r="X1385" s="92"/>
      <c r="Y1385" s="2"/>
    </row>
    <row r="1386" spans="1:25">
      <c r="B1386" s="87">
        <f t="shared" si="175"/>
        <v>6</v>
      </c>
      <c r="C1386" s="638">
        <v>45953</v>
      </c>
      <c r="D1386" s="276">
        <v>74742</v>
      </c>
      <c r="E1386" s="276" t="s">
        <v>728</v>
      </c>
      <c r="F1386" s="277">
        <v>781</v>
      </c>
      <c r="G1386" s="277">
        <f>39.7</f>
        <v>39.700000000000003</v>
      </c>
      <c r="H1386" s="297"/>
      <c r="I1386" s="329">
        <f t="shared" si="176"/>
        <v>741.3</v>
      </c>
      <c r="J1386" s="279" t="s">
        <v>156</v>
      </c>
      <c r="K1386" s="279">
        <v>1</v>
      </c>
      <c r="L1386" s="279">
        <v>1</v>
      </c>
      <c r="M1386" s="279">
        <v>1</v>
      </c>
      <c r="N1386" s="279">
        <v>1</v>
      </c>
      <c r="O1386" s="279">
        <v>1</v>
      </c>
      <c r="P1386" s="279">
        <v>1</v>
      </c>
      <c r="Q1386" s="322">
        <v>0</v>
      </c>
      <c r="R1386" s="322">
        <v>0</v>
      </c>
      <c r="S1386" s="328">
        <v>0</v>
      </c>
      <c r="T1386" s="63"/>
      <c r="U1386" s="94"/>
      <c r="V1386" s="90">
        <v>859.1</v>
      </c>
      <c r="W1386" s="91"/>
      <c r="X1386" s="92"/>
      <c r="Y1386" s="2"/>
    </row>
    <row r="1387" spans="1:25">
      <c r="A1387" s="464">
        <v>45954</v>
      </c>
      <c r="B1387" s="87">
        <f>B1386+1</f>
        <v>7</v>
      </c>
      <c r="C1387" s="639">
        <v>45953</v>
      </c>
      <c r="D1387" s="10" t="s">
        <v>1804</v>
      </c>
      <c r="E1387" s="10" t="s">
        <v>728</v>
      </c>
      <c r="F1387" s="62">
        <v>6214</v>
      </c>
      <c r="G1387" s="62">
        <f>39.7+1450+(258.94)+250</f>
        <v>1998.64</v>
      </c>
      <c r="H1387" s="62"/>
      <c r="I1387" s="89">
        <f t="shared" ref="I1387" si="177">F1387-G1387-H1387</f>
        <v>4215.3599999999997</v>
      </c>
      <c r="J1387" s="63" t="s">
        <v>228</v>
      </c>
      <c r="K1387" s="63">
        <v>1</v>
      </c>
      <c r="L1387" s="63">
        <v>1</v>
      </c>
      <c r="M1387" s="63">
        <v>1</v>
      </c>
      <c r="N1387" s="63">
        <v>1</v>
      </c>
      <c r="O1387" s="63">
        <v>1</v>
      </c>
      <c r="P1387" s="63">
        <v>1</v>
      </c>
      <c r="Q1387" s="63">
        <v>1</v>
      </c>
      <c r="R1387" s="63">
        <v>1</v>
      </c>
      <c r="S1387" s="296">
        <v>1</v>
      </c>
      <c r="T1387" s="21">
        <v>2</v>
      </c>
      <c r="U1387" s="94" t="s">
        <v>1805</v>
      </c>
      <c r="V1387" s="90">
        <f>700+6135.4</f>
        <v>6835.4</v>
      </c>
      <c r="W1387" s="91"/>
      <c r="X1387" s="92"/>
      <c r="Y1387" s="2"/>
    </row>
    <row r="1388" spans="1:25">
      <c r="B1388" s="87">
        <f>B1387+1</f>
        <v>8</v>
      </c>
      <c r="C1388" s="640">
        <v>45953</v>
      </c>
      <c r="D1388" s="283">
        <v>74789</v>
      </c>
      <c r="E1388" s="283" t="s">
        <v>728</v>
      </c>
      <c r="F1388" s="284">
        <v>1138</v>
      </c>
      <c r="G1388" s="284">
        <f>39.7</f>
        <v>39.700000000000003</v>
      </c>
      <c r="H1388" s="315"/>
      <c r="I1388" s="331">
        <f>F1388-G1388-H1388</f>
        <v>1098.3</v>
      </c>
      <c r="J1388" s="286" t="s">
        <v>156</v>
      </c>
      <c r="K1388" s="286">
        <v>1</v>
      </c>
      <c r="L1388" s="286">
        <v>1</v>
      </c>
      <c r="M1388" s="286">
        <v>1</v>
      </c>
      <c r="N1388" s="286">
        <v>1</v>
      </c>
      <c r="O1388" s="286">
        <v>1</v>
      </c>
      <c r="P1388" s="286">
        <v>1</v>
      </c>
      <c r="Q1388" s="286">
        <v>1</v>
      </c>
      <c r="R1388" s="332">
        <v>0</v>
      </c>
      <c r="S1388" s="370">
        <v>0</v>
      </c>
      <c r="T1388" s="63"/>
      <c r="U1388" s="94" t="s">
        <v>1806</v>
      </c>
      <c r="V1388" s="90">
        <v>1251.8</v>
      </c>
      <c r="W1388" s="91"/>
      <c r="X1388" s="92"/>
      <c r="Y1388" s="2"/>
    </row>
    <row r="1389" spans="1:25">
      <c r="B1389" s="87"/>
      <c r="C1389" s="621"/>
      <c r="D1389" s="10"/>
      <c r="E1389" s="10"/>
      <c r="F1389" s="97">
        <f>SUM(F1381:F1388)</f>
        <v>29465</v>
      </c>
      <c r="G1389" s="97">
        <f>SUM(G1381:G1388)</f>
        <v>6344.81</v>
      </c>
      <c r="H1389" s="97">
        <f>SUM(H1381:H1388)</f>
        <v>0</v>
      </c>
      <c r="I1389" s="98">
        <f>SUM(I1381:I1388)</f>
        <v>23120.19</v>
      </c>
      <c r="J1389" s="63"/>
      <c r="K1389" s="63">
        <f>COUNT(K1381:K1388)</f>
        <v>8</v>
      </c>
      <c r="L1389" s="63">
        <f>COUNT(L1381:L1388)</f>
        <v>8</v>
      </c>
      <c r="M1389" s="63">
        <f>COUNT(M1381:M1388)</f>
        <v>8</v>
      </c>
      <c r="N1389" s="63">
        <f>COUNT(N1381:N1388)</f>
        <v>8</v>
      </c>
      <c r="O1389" s="63">
        <f>COUNT(O1381:O1388)</f>
        <v>8</v>
      </c>
      <c r="P1389" s="63">
        <f>COUNT(P1381:P1388)</f>
        <v>8</v>
      </c>
      <c r="Q1389" s="63">
        <f>COUNT(Q1381:Q1388)</f>
        <v>8</v>
      </c>
      <c r="R1389" s="63">
        <f>COUNT(R1381:R1388)</f>
        <v>8</v>
      </c>
      <c r="S1389" s="63">
        <f>COUNT(S1381:S1388)</f>
        <v>8</v>
      </c>
      <c r="T1389" s="63"/>
      <c r="U1389" s="94"/>
      <c r="V1389" s="90"/>
      <c r="W1389" s="91"/>
      <c r="X1389" s="92"/>
      <c r="Y1389" s="2"/>
    </row>
    <row r="1390" spans="1:25">
      <c r="B1390" s="87"/>
      <c r="C1390" s="621"/>
      <c r="D1390" s="10"/>
      <c r="E1390" s="10"/>
      <c r="F1390" s="88"/>
      <c r="G1390" s="88"/>
      <c r="H1390" s="88"/>
      <c r="I1390" s="99"/>
      <c r="J1390" s="63"/>
      <c r="K1390" s="21">
        <f>SUM(K1381:K1388)</f>
        <v>8</v>
      </c>
      <c r="L1390" s="21">
        <f>SUM(L1381:L1388)</f>
        <v>8</v>
      </c>
      <c r="M1390" s="21">
        <f>SUM(M1381:M1388)</f>
        <v>8</v>
      </c>
      <c r="N1390" s="21">
        <f>SUM(N1381:N1388)</f>
        <v>8</v>
      </c>
      <c r="O1390" s="21">
        <f>SUM(O1381:O1388)</f>
        <v>8</v>
      </c>
      <c r="P1390" s="21">
        <f>SUM(P1381:P1388)</f>
        <v>8</v>
      </c>
      <c r="Q1390" s="21">
        <f>SUM(Q1381:Q1388)</f>
        <v>5</v>
      </c>
      <c r="R1390" s="21">
        <f>SUM(R1381:R1388)</f>
        <v>4</v>
      </c>
      <c r="S1390" s="21">
        <f>SUM(S1381:S1388)</f>
        <v>1</v>
      </c>
      <c r="T1390" s="63"/>
      <c r="U1390" s="94"/>
      <c r="V1390" s="90"/>
      <c r="W1390" s="91"/>
      <c r="X1390" s="92"/>
      <c r="Y1390" s="2"/>
    </row>
    <row r="1391" spans="1:25">
      <c r="B1391" s="11"/>
      <c r="C1391" s="609"/>
      <c r="D1391" s="10"/>
      <c r="E1391" s="10"/>
      <c r="F1391" s="88"/>
      <c r="G1391" s="88"/>
      <c r="H1391" s="88"/>
      <c r="I1391" s="99"/>
      <c r="J1391" s="63"/>
      <c r="K1391" s="21"/>
      <c r="L1391" s="21"/>
      <c r="M1391" s="21"/>
      <c r="N1391" s="21"/>
      <c r="O1391" s="21"/>
      <c r="P1391" s="21"/>
      <c r="Q1391" s="21"/>
      <c r="R1391" s="21"/>
      <c r="S1391" s="21"/>
      <c r="T1391" s="63"/>
      <c r="U1391" s="94"/>
      <c r="V1391" s="90"/>
      <c r="W1391" s="91"/>
      <c r="X1391" s="92"/>
      <c r="Y1391" s="2"/>
    </row>
    <row r="1392" spans="1:25">
      <c r="B1392" s="11"/>
      <c r="C1392" s="621"/>
      <c r="D1392" s="10"/>
      <c r="E1392" s="10"/>
      <c r="F1392" s="88"/>
      <c r="G1392" s="88"/>
      <c r="H1392" s="88"/>
      <c r="I1392" s="99"/>
      <c r="J1392" s="63"/>
      <c r="K1392" s="21"/>
      <c r="L1392" s="21"/>
      <c r="M1392" s="21"/>
      <c r="N1392" s="21"/>
      <c r="O1392" s="21"/>
      <c r="P1392" s="21"/>
      <c r="Q1392" s="21"/>
      <c r="R1392" s="21"/>
      <c r="S1392" s="21"/>
      <c r="T1392" s="63"/>
      <c r="U1392" s="94"/>
      <c r="V1392" s="90"/>
      <c r="W1392" s="91"/>
      <c r="X1392" s="92"/>
      <c r="Y1392" s="2"/>
    </row>
    <row r="1393" spans="1:26" s="434" customFormat="1" ht="13.5">
      <c r="A1393" s="10"/>
      <c r="B1393" s="100" t="s">
        <v>152</v>
      </c>
      <c r="C1393" s="36"/>
      <c r="D1393" s="10"/>
      <c r="E1393" s="10"/>
      <c r="F1393" s="88"/>
      <c r="G1393" s="62"/>
      <c r="H1393" s="88"/>
      <c r="I1393" s="99"/>
      <c r="J1393" s="63"/>
      <c r="K1393" s="10"/>
      <c r="L1393" s="10"/>
      <c r="M1393" s="10"/>
      <c r="N1393" s="10"/>
      <c r="O1393" s="10"/>
      <c r="P1393" s="123"/>
      <c r="Q1393" s="10"/>
      <c r="R1393" s="10"/>
      <c r="S1393" s="10"/>
      <c r="T1393" s="63"/>
      <c r="U1393" s="10"/>
      <c r="V1393" s="90"/>
      <c r="W1393" s="91"/>
      <c r="X1393" s="92"/>
    </row>
    <row r="1394" spans="1:26" s="260" customFormat="1">
      <c r="A1394" s="261">
        <v>0.05</v>
      </c>
      <c r="B1394" s="87">
        <v>1</v>
      </c>
      <c r="C1394" s="262">
        <v>45863</v>
      </c>
      <c r="D1394" s="271" t="s">
        <v>1497</v>
      </c>
      <c r="E1394" s="271" t="s">
        <v>1117</v>
      </c>
      <c r="F1394" s="265">
        <v>1138</v>
      </c>
      <c r="G1394" s="265">
        <f>39.7</f>
        <v>39.700000000000003</v>
      </c>
      <c r="H1394" s="365"/>
      <c r="I1394" s="266">
        <f>F1394-G1394-H1394</f>
        <v>1098.3</v>
      </c>
      <c r="J1394" s="267"/>
      <c r="K1394" s="267">
        <v>1</v>
      </c>
      <c r="L1394" s="267">
        <v>1</v>
      </c>
      <c r="M1394" s="267"/>
      <c r="N1394" s="267">
        <v>1</v>
      </c>
      <c r="O1394" s="267">
        <v>1</v>
      </c>
      <c r="P1394" s="267">
        <v>1</v>
      </c>
      <c r="Q1394" s="314">
        <v>0</v>
      </c>
      <c r="R1394" s="314">
        <v>0</v>
      </c>
      <c r="S1394" s="366">
        <v>0</v>
      </c>
      <c r="T1394" s="63"/>
      <c r="U1394" s="10" t="s">
        <v>1628</v>
      </c>
      <c r="V1394" s="90"/>
      <c r="W1394" s="91"/>
      <c r="X1394" s="92"/>
    </row>
    <row r="1395" spans="1:26" s="260" customFormat="1">
      <c r="A1395" s="261">
        <v>0.05</v>
      </c>
      <c r="B1395" s="87">
        <f>B1394+1</f>
        <v>2</v>
      </c>
      <c r="C1395" s="274">
        <v>45874</v>
      </c>
      <c r="D1395" s="276">
        <v>72064</v>
      </c>
      <c r="E1395" s="276" t="s">
        <v>998</v>
      </c>
      <c r="F1395" s="277">
        <v>1138</v>
      </c>
      <c r="G1395" s="277">
        <v>39.700000000000003</v>
      </c>
      <c r="H1395" s="277"/>
      <c r="I1395" s="321">
        <f>F1395-G1395-H1395</f>
        <v>1098.3</v>
      </c>
      <c r="J1395" s="279"/>
      <c r="K1395" s="279">
        <v>1</v>
      </c>
      <c r="L1395" s="279">
        <v>1</v>
      </c>
      <c r="M1395" s="279"/>
      <c r="N1395" s="279">
        <v>1</v>
      </c>
      <c r="O1395" s="279">
        <v>1</v>
      </c>
      <c r="P1395" s="279">
        <v>1</v>
      </c>
      <c r="Q1395" s="322">
        <v>0</v>
      </c>
      <c r="R1395" s="322">
        <v>0</v>
      </c>
      <c r="S1395" s="328">
        <v>0</v>
      </c>
      <c r="T1395" s="63"/>
      <c r="U1395" s="94" t="s">
        <v>1540</v>
      </c>
      <c r="V1395" s="90"/>
      <c r="W1395" s="91"/>
      <c r="X1395" s="92"/>
    </row>
    <row r="1396" spans="1:26" s="260" customFormat="1">
      <c r="A1396" s="261">
        <v>0.05</v>
      </c>
      <c r="B1396" s="87">
        <f>B1395+1</f>
        <v>3</v>
      </c>
      <c r="C1396" s="262">
        <v>45860</v>
      </c>
      <c r="D1396" s="271" t="s">
        <v>1522</v>
      </c>
      <c r="E1396" s="271" t="s">
        <v>1256</v>
      </c>
      <c r="F1396" s="265">
        <v>13770</v>
      </c>
      <c r="G1396" s="265">
        <f>39.7+271.4+(133.8)+(7.88+328.49-9.15-0.86-0.98-2.08-46.07+30.69+267.21)+1000</f>
        <v>2020.03</v>
      </c>
      <c r="H1396" s="365"/>
      <c r="I1396" s="266">
        <f>F1396-G1396-H1396</f>
        <v>11749.97</v>
      </c>
      <c r="J1396" s="267" t="s">
        <v>156</v>
      </c>
      <c r="K1396" s="267">
        <v>1</v>
      </c>
      <c r="L1396" s="267">
        <v>1</v>
      </c>
      <c r="M1396" s="267">
        <v>1</v>
      </c>
      <c r="N1396" s="267">
        <v>1</v>
      </c>
      <c r="O1396" s="314">
        <v>0</v>
      </c>
      <c r="P1396" s="267">
        <v>1</v>
      </c>
      <c r="Q1396" s="314">
        <v>0</v>
      </c>
      <c r="R1396" s="314">
        <v>0</v>
      </c>
      <c r="S1396" s="366">
        <v>0</v>
      </c>
      <c r="T1396" s="63"/>
      <c r="U1396" s="94" t="s">
        <v>1743</v>
      </c>
      <c r="V1396" s="90"/>
      <c r="W1396" s="136"/>
      <c r="X1396" s="137"/>
    </row>
    <row r="1397" spans="1:26" s="260" customFormat="1">
      <c r="A1397" s="261" t="s">
        <v>619</v>
      </c>
      <c r="B1397" s="87">
        <f>B1396+1</f>
        <v>4</v>
      </c>
      <c r="C1397" s="262">
        <v>45877</v>
      </c>
      <c r="D1397" s="271">
        <v>72150</v>
      </c>
      <c r="E1397" s="271" t="s">
        <v>769</v>
      </c>
      <c r="F1397" s="265">
        <v>44619</v>
      </c>
      <c r="G1397" s="265">
        <f>39.7+8800+352+(F1397*0.25)+(3*150)</f>
        <v>20796.45</v>
      </c>
      <c r="H1397" s="265"/>
      <c r="I1397" s="272">
        <f>F1397-G1397-H1397</f>
        <v>23822.55</v>
      </c>
      <c r="J1397" s="267" t="s">
        <v>156</v>
      </c>
      <c r="K1397" s="267">
        <v>1</v>
      </c>
      <c r="L1397" s="267">
        <v>1</v>
      </c>
      <c r="M1397" s="267">
        <v>1</v>
      </c>
      <c r="N1397" s="267">
        <v>1</v>
      </c>
      <c r="O1397" s="267">
        <v>1</v>
      </c>
      <c r="P1397" s="267">
        <v>1</v>
      </c>
      <c r="Q1397" s="267">
        <v>1</v>
      </c>
      <c r="R1397" s="267">
        <v>1</v>
      </c>
      <c r="S1397" s="269">
        <v>1</v>
      </c>
      <c r="T1397" s="63"/>
      <c r="U1397" s="94" t="s">
        <v>1580</v>
      </c>
      <c r="V1397" s="90"/>
      <c r="W1397" s="91"/>
      <c r="X1397" s="137"/>
    </row>
    <row r="1398" spans="1:26" s="260" customFormat="1">
      <c r="A1398" s="261" t="s">
        <v>619</v>
      </c>
      <c r="B1398" s="87">
        <f t="shared" ref="B1398:B1405" si="178">B1397+1</f>
        <v>5</v>
      </c>
      <c r="C1398" s="282">
        <v>45889</v>
      </c>
      <c r="D1398" s="283">
        <v>72498</v>
      </c>
      <c r="E1398" s="283" t="s">
        <v>769</v>
      </c>
      <c r="F1398" s="284">
        <v>22618</v>
      </c>
      <c r="G1398" s="284">
        <f>39.7+830.8+(94.29+28.45)+2000</f>
        <v>2993.24</v>
      </c>
      <c r="H1398" s="284"/>
      <c r="I1398" s="285">
        <f>F1398-G1398-H1398</f>
        <v>19624.760000000002</v>
      </c>
      <c r="J1398" s="286" t="s">
        <v>228</v>
      </c>
      <c r="K1398" s="286">
        <v>1</v>
      </c>
      <c r="L1398" s="286">
        <v>1</v>
      </c>
      <c r="M1398" s="286">
        <v>1</v>
      </c>
      <c r="N1398" s="286">
        <v>1</v>
      </c>
      <c r="O1398" s="286">
        <v>1</v>
      </c>
      <c r="P1398" s="286">
        <v>1</v>
      </c>
      <c r="Q1398" s="286">
        <v>1</v>
      </c>
      <c r="R1398" s="286">
        <v>1</v>
      </c>
      <c r="S1398" s="287">
        <v>1</v>
      </c>
      <c r="T1398" s="63"/>
      <c r="U1398" s="94" t="s">
        <v>1635</v>
      </c>
      <c r="V1398" s="90"/>
      <c r="W1398" s="136"/>
      <c r="X1398" s="137"/>
    </row>
    <row r="1399" spans="1:26" s="181" customFormat="1">
      <c r="A1399" s="261">
        <v>0.05</v>
      </c>
      <c r="B1399" s="87">
        <f t="shared" si="178"/>
        <v>6</v>
      </c>
      <c r="C1399" s="262">
        <v>45894</v>
      </c>
      <c r="D1399" s="271">
        <v>72581</v>
      </c>
      <c r="E1399" s="271" t="s">
        <v>1623</v>
      </c>
      <c r="F1399" s="265">
        <v>5814</v>
      </c>
      <c r="G1399" s="265">
        <f>39.7+446.6+(847.11)+250</f>
        <v>1583.41</v>
      </c>
      <c r="H1399" s="265"/>
      <c r="I1399" s="272">
        <f>F1399-G1399-H1399</f>
        <v>4230.59</v>
      </c>
      <c r="J1399" s="267" t="s">
        <v>228</v>
      </c>
      <c r="K1399" s="267">
        <v>1</v>
      </c>
      <c r="L1399" s="267">
        <v>1</v>
      </c>
      <c r="M1399" s="267">
        <v>1</v>
      </c>
      <c r="N1399" s="267">
        <v>1</v>
      </c>
      <c r="O1399" s="267">
        <v>1</v>
      </c>
      <c r="P1399" s="267">
        <v>1</v>
      </c>
      <c r="Q1399" s="267">
        <v>1</v>
      </c>
      <c r="R1399" s="267">
        <v>1</v>
      </c>
      <c r="S1399" s="269">
        <v>1</v>
      </c>
      <c r="T1399" s="63"/>
      <c r="U1399" s="94" t="s">
        <v>1745</v>
      </c>
      <c r="V1399" s="90"/>
      <c r="W1399" s="136"/>
      <c r="X1399" s="137"/>
      <c r="Y1399" s="260"/>
    </row>
    <row r="1400" spans="1:26" s="181" customFormat="1">
      <c r="A1400" s="704" t="s">
        <v>683</v>
      </c>
      <c r="B1400" s="87">
        <f t="shared" si="178"/>
        <v>7</v>
      </c>
      <c r="C1400" s="641">
        <v>45908</v>
      </c>
      <c r="D1400" s="271">
        <v>73046</v>
      </c>
      <c r="E1400" s="271" t="s">
        <v>317</v>
      </c>
      <c r="F1400" s="265">
        <v>3814</v>
      </c>
      <c r="G1400" s="265">
        <f>39.7+(12.18+108.87+796.78+44.67+605.14)+300</f>
        <v>1907.34</v>
      </c>
      <c r="H1400" s="265"/>
      <c r="I1400" s="266">
        <f>F1400-G1400-H1400</f>
        <v>1906.66</v>
      </c>
      <c r="J1400" s="267" t="s">
        <v>156</v>
      </c>
      <c r="K1400" s="267">
        <v>1</v>
      </c>
      <c r="L1400" s="267">
        <v>1</v>
      </c>
      <c r="M1400" s="267">
        <v>1</v>
      </c>
      <c r="N1400" s="267">
        <v>1</v>
      </c>
      <c r="O1400" s="267">
        <v>1</v>
      </c>
      <c r="P1400" s="267">
        <v>1</v>
      </c>
      <c r="Q1400" s="267">
        <v>1</v>
      </c>
      <c r="R1400" s="314">
        <v>0</v>
      </c>
      <c r="S1400" s="269">
        <v>1</v>
      </c>
      <c r="T1400" s="21"/>
      <c r="U1400" s="94" t="s">
        <v>1710</v>
      </c>
      <c r="V1400" s="90"/>
      <c r="W1400" s="91"/>
      <c r="X1400" s="92"/>
    </row>
    <row r="1401" spans="1:26" s="260" customFormat="1">
      <c r="A1401" s="261">
        <v>0.05</v>
      </c>
      <c r="B1401" s="87">
        <f t="shared" si="178"/>
        <v>8</v>
      </c>
      <c r="C1401" s="274">
        <v>45917</v>
      </c>
      <c r="D1401" s="276" t="s">
        <v>1704</v>
      </c>
      <c r="E1401" s="276" t="s">
        <v>746</v>
      </c>
      <c r="F1401" s="277">
        <v>5451.2</v>
      </c>
      <c r="G1401" s="277">
        <f>39.7+424.6+(82.38)+300</f>
        <v>846.68000000000006</v>
      </c>
      <c r="H1401" s="277"/>
      <c r="I1401" s="278">
        <f t="shared" ref="I1401" si="179">F1401-G1401-H1401</f>
        <v>4604.5199999999995</v>
      </c>
      <c r="J1401" s="279" t="s">
        <v>150</v>
      </c>
      <c r="K1401" s="279">
        <v>1</v>
      </c>
      <c r="L1401" s="279">
        <v>1</v>
      </c>
      <c r="M1401" s="279">
        <v>1</v>
      </c>
      <c r="N1401" s="279">
        <v>1</v>
      </c>
      <c r="O1401" s="279">
        <v>1</v>
      </c>
      <c r="P1401" s="279">
        <v>1</v>
      </c>
      <c r="Q1401" s="279">
        <v>1</v>
      </c>
      <c r="R1401" s="279">
        <v>1</v>
      </c>
      <c r="S1401" s="280">
        <v>1</v>
      </c>
      <c r="T1401" s="63"/>
      <c r="U1401" s="94" t="s">
        <v>1705</v>
      </c>
      <c r="V1401" s="90"/>
      <c r="W1401" s="136"/>
      <c r="X1401" s="92"/>
      <c r="Y1401" s="181"/>
    </row>
    <row r="1402" spans="1:26" s="260" customFormat="1">
      <c r="A1402" s="261">
        <v>0.1</v>
      </c>
      <c r="B1402" s="87">
        <f t="shared" si="178"/>
        <v>9</v>
      </c>
      <c r="C1402" s="641">
        <v>45933</v>
      </c>
      <c r="D1402" s="271">
        <v>73856</v>
      </c>
      <c r="E1402" s="271" t="s">
        <v>211</v>
      </c>
      <c r="F1402" s="265">
        <v>716</v>
      </c>
      <c r="G1402" s="265">
        <v>0</v>
      </c>
      <c r="H1402" s="265"/>
      <c r="I1402" s="266">
        <f>F1402-G1402-H1402</f>
        <v>716</v>
      </c>
      <c r="J1402" s="267"/>
      <c r="K1402" s="267">
        <v>1</v>
      </c>
      <c r="L1402" s="267">
        <v>1</v>
      </c>
      <c r="M1402" s="267"/>
      <c r="N1402" s="267">
        <v>1</v>
      </c>
      <c r="O1402" s="267">
        <v>1</v>
      </c>
      <c r="P1402" s="267">
        <v>1</v>
      </c>
      <c r="Q1402" s="314">
        <v>0</v>
      </c>
      <c r="R1402" s="314">
        <v>0</v>
      </c>
      <c r="S1402" s="366">
        <v>0</v>
      </c>
      <c r="T1402" s="63"/>
      <c r="U1402" s="94"/>
      <c r="V1402" s="90"/>
      <c r="W1402" s="136"/>
      <c r="X1402" s="137"/>
      <c r="Y1402" s="181"/>
    </row>
    <row r="1403" spans="1:26" s="260" customFormat="1">
      <c r="A1403" s="261">
        <v>0.1</v>
      </c>
      <c r="B1403" s="87">
        <f t="shared" si="178"/>
        <v>10</v>
      </c>
      <c r="C1403" s="641">
        <v>45943</v>
      </c>
      <c r="D1403" s="271" t="s">
        <v>1784</v>
      </c>
      <c r="E1403" s="271" t="s">
        <v>1047</v>
      </c>
      <c r="F1403" s="265">
        <v>14814</v>
      </c>
      <c r="G1403" s="265">
        <f>39.7+(156.3+99.23)+(306.55+4.33+36.7)+1000</f>
        <v>1642.81</v>
      </c>
      <c r="H1403" s="265"/>
      <c r="I1403" s="266">
        <f>F1403-G1403-H1403</f>
        <v>13171.19</v>
      </c>
      <c r="J1403" s="267" t="s">
        <v>156</v>
      </c>
      <c r="K1403" s="267">
        <v>1</v>
      </c>
      <c r="L1403" s="267">
        <v>1</v>
      </c>
      <c r="M1403" s="267">
        <v>1</v>
      </c>
      <c r="N1403" s="267">
        <v>1</v>
      </c>
      <c r="O1403" s="267">
        <v>1</v>
      </c>
      <c r="P1403" s="267">
        <v>1</v>
      </c>
      <c r="Q1403" s="314">
        <v>0</v>
      </c>
      <c r="R1403" s="314">
        <v>0</v>
      </c>
      <c r="S1403" s="366">
        <v>0</v>
      </c>
      <c r="T1403" s="63"/>
      <c r="U1403" s="94" t="s">
        <v>1785</v>
      </c>
      <c r="V1403" s="90"/>
      <c r="W1403" s="91"/>
      <c r="X1403" s="92"/>
      <c r="Y1403" s="181"/>
      <c r="Z1403" s="181"/>
    </row>
    <row r="1404" spans="1:26" s="260" customFormat="1">
      <c r="A1404" s="261">
        <v>0.1</v>
      </c>
      <c r="B1404" s="87">
        <f t="shared" si="178"/>
        <v>11</v>
      </c>
      <c r="C1404" s="639">
        <v>45944</v>
      </c>
      <c r="D1404" s="10">
        <v>74154</v>
      </c>
      <c r="E1404" s="10" t="s">
        <v>1028</v>
      </c>
      <c r="F1404" s="62">
        <v>2814</v>
      </c>
      <c r="G1404" s="62">
        <f>39.7+(329.3-104.5)+200</f>
        <v>464.5</v>
      </c>
      <c r="H1404" s="62">
        <f>F1404*0.2</f>
        <v>562.80000000000007</v>
      </c>
      <c r="I1404" s="89">
        <f>F1404-G1404-H1404</f>
        <v>1786.6999999999998</v>
      </c>
      <c r="J1404" s="63" t="s">
        <v>185</v>
      </c>
      <c r="K1404" s="63">
        <v>1</v>
      </c>
      <c r="L1404" s="63">
        <v>1</v>
      </c>
      <c r="M1404" s="63">
        <v>1</v>
      </c>
      <c r="N1404" s="63">
        <v>1</v>
      </c>
      <c r="O1404" s="63">
        <v>1</v>
      </c>
      <c r="P1404" s="63">
        <v>1</v>
      </c>
      <c r="Q1404" s="63">
        <v>1</v>
      </c>
      <c r="R1404" s="63">
        <v>1</v>
      </c>
      <c r="S1404" s="296">
        <v>1</v>
      </c>
      <c r="T1404" s="21"/>
      <c r="U1404" s="94" t="s">
        <v>1786</v>
      </c>
      <c r="V1404" s="90"/>
      <c r="W1404" s="91"/>
      <c r="X1404" s="92"/>
      <c r="Y1404" s="181"/>
      <c r="Z1404" s="181"/>
    </row>
    <row r="1405" spans="1:26" s="260" customFormat="1">
      <c r="A1405" s="261" t="s">
        <v>1807</v>
      </c>
      <c r="B1405" s="87">
        <f t="shared" si="178"/>
        <v>12</v>
      </c>
      <c r="C1405" s="641">
        <v>45943</v>
      </c>
      <c r="D1405" s="271" t="s">
        <v>1787</v>
      </c>
      <c r="E1405" s="271" t="s">
        <v>998</v>
      </c>
      <c r="F1405" s="265">
        <v>7392.6</v>
      </c>
      <c r="G1405" s="265">
        <f>39.7+(18.99+56.95+17.18+19.32)+(70.02+238.44+30.99+77.62+6.48+12.9+107.09+25.09-18.14-3.2)+750</f>
        <v>1449.4299999999998</v>
      </c>
      <c r="H1405" s="265"/>
      <c r="I1405" s="272">
        <f>F1405-G1405-H1405</f>
        <v>5943.17</v>
      </c>
      <c r="J1405" s="267" t="s">
        <v>156</v>
      </c>
      <c r="K1405" s="267">
        <v>1</v>
      </c>
      <c r="L1405" s="267">
        <v>1</v>
      </c>
      <c r="M1405" s="267">
        <v>1</v>
      </c>
      <c r="N1405" s="267">
        <v>1</v>
      </c>
      <c r="O1405" s="267">
        <v>1</v>
      </c>
      <c r="P1405" s="267">
        <v>1</v>
      </c>
      <c r="Q1405" s="267">
        <v>1</v>
      </c>
      <c r="R1405" s="267">
        <v>1</v>
      </c>
      <c r="S1405" s="269">
        <v>1</v>
      </c>
      <c r="T1405" s="63"/>
      <c r="U1405" s="94" t="s">
        <v>1808</v>
      </c>
      <c r="V1405" s="90"/>
      <c r="W1405" s="136"/>
      <c r="X1405" s="137"/>
      <c r="Y1405" s="181"/>
      <c r="Z1405" s="181"/>
    </row>
    <row r="1406" spans="1:26" s="434" customFormat="1" ht="13.5">
      <c r="A1406" s="10"/>
      <c r="B1406" s="11"/>
      <c r="C1406" s="36"/>
      <c r="D1406" s="10"/>
      <c r="E1406" s="10"/>
      <c r="F1406" s="98">
        <f>SUM(F1394:F1405)</f>
        <v>124098.8</v>
      </c>
      <c r="G1406" s="98">
        <f t="shared" ref="G1406:I1406" si="180">SUM(G1394:G1405)</f>
        <v>33783.29</v>
      </c>
      <c r="H1406" s="98">
        <f t="shared" si="180"/>
        <v>562.80000000000007</v>
      </c>
      <c r="I1406" s="98">
        <f t="shared" si="180"/>
        <v>89752.71</v>
      </c>
      <c r="J1406" s="63"/>
      <c r="K1406" s="21"/>
      <c r="L1406" s="21"/>
      <c r="M1406" s="21"/>
      <c r="N1406" s="21"/>
      <c r="O1406" s="21"/>
      <c r="P1406" s="21"/>
      <c r="Q1406" s="21"/>
      <c r="R1406" s="21"/>
      <c r="S1406" s="21"/>
      <c r="T1406" s="63"/>
      <c r="U1406" s="10"/>
      <c r="V1406" s="90"/>
      <c r="W1406" s="91"/>
      <c r="X1406" s="92"/>
    </row>
    <row r="1407" spans="1:26" s="434" customFormat="1" ht="13.5">
      <c r="A1407" s="10"/>
      <c r="B1407" s="11"/>
      <c r="C1407" s="36"/>
      <c r="D1407" s="10"/>
      <c r="E1407" s="10"/>
      <c r="F1407" s="88"/>
      <c r="G1407" s="88"/>
      <c r="H1407" s="88"/>
      <c r="I1407" s="99"/>
      <c r="J1407" s="63"/>
      <c r="K1407" s="21"/>
      <c r="L1407" s="21"/>
      <c r="M1407" s="21"/>
      <c r="N1407" s="21"/>
      <c r="O1407" s="21"/>
      <c r="P1407" s="21"/>
      <c r="Q1407" s="21"/>
      <c r="R1407" s="21"/>
      <c r="S1407" s="21"/>
      <c r="T1407" s="63"/>
      <c r="U1407" s="10"/>
      <c r="V1407" s="90"/>
      <c r="W1407" s="91"/>
      <c r="X1407" s="92"/>
    </row>
    <row r="1408" spans="1:26" s="260" customFormat="1">
      <c r="A1408" s="181"/>
      <c r="B1408" s="100" t="s">
        <v>1521</v>
      </c>
      <c r="C1408" s="36"/>
      <c r="D1408" s="10"/>
      <c r="E1408" s="181"/>
      <c r="F1408" s="88"/>
      <c r="G1408" s="88"/>
      <c r="H1408" s="88"/>
      <c r="I1408" s="99"/>
      <c r="J1408" s="63"/>
      <c r="K1408" s="21"/>
      <c r="L1408" s="21"/>
      <c r="M1408" s="21"/>
      <c r="N1408" s="21"/>
      <c r="O1408" s="21"/>
      <c r="P1408" s="21"/>
      <c r="Q1408" s="21"/>
      <c r="R1408" s="21"/>
      <c r="S1408" s="21"/>
      <c r="T1408" s="63"/>
      <c r="U1408" s="94"/>
      <c r="V1408" s="90"/>
      <c r="W1408" s="91"/>
      <c r="X1408" s="92"/>
    </row>
    <row r="1409" spans="1:26" s="260" customFormat="1">
      <c r="A1409" s="261">
        <v>0.05</v>
      </c>
      <c r="B1409" s="87">
        <v>1</v>
      </c>
      <c r="C1409" s="262">
        <v>45895</v>
      </c>
      <c r="D1409" s="271">
        <v>72566</v>
      </c>
      <c r="E1409" s="271" t="s">
        <v>833</v>
      </c>
      <c r="F1409" s="265">
        <v>1861</v>
      </c>
      <c r="G1409" s="265">
        <f>39.7+485</f>
        <v>524.70000000000005</v>
      </c>
      <c r="H1409" s="265"/>
      <c r="I1409" s="272">
        <f>F1409-G1409-H1409</f>
        <v>1336.3</v>
      </c>
      <c r="J1409" s="267" t="s">
        <v>156</v>
      </c>
      <c r="K1409" s="267">
        <v>1</v>
      </c>
      <c r="L1409" s="267"/>
      <c r="M1409" s="267">
        <v>1</v>
      </c>
      <c r="N1409" s="267">
        <v>1</v>
      </c>
      <c r="O1409" s="267">
        <v>1</v>
      </c>
      <c r="P1409" s="267">
        <v>1</v>
      </c>
      <c r="Q1409" s="267"/>
      <c r="R1409" s="267"/>
      <c r="S1409" s="269"/>
      <c r="T1409" s="63"/>
      <c r="U1409" s="94" t="s">
        <v>1691</v>
      </c>
      <c r="V1409" s="90"/>
      <c r="W1409" s="136"/>
      <c r="X1409" s="137"/>
    </row>
    <row r="1410" spans="1:26" s="181" customFormat="1">
      <c r="A1410" s="261">
        <v>0.1</v>
      </c>
      <c r="B1410" s="87">
        <f>B1409+1</f>
        <v>2</v>
      </c>
      <c r="C1410" s="638">
        <v>45909</v>
      </c>
      <c r="D1410" s="276">
        <v>73119</v>
      </c>
      <c r="E1410" s="276" t="s">
        <v>973</v>
      </c>
      <c r="F1410" s="277">
        <v>5814</v>
      </c>
      <c r="G1410" s="277">
        <f>39.7+(2001.79+54.89)+250</f>
        <v>2346.3799999999997</v>
      </c>
      <c r="H1410" s="277">
        <f>F1410*0.2</f>
        <v>1162.8</v>
      </c>
      <c r="I1410" s="278">
        <f>F1410-G1410-H1410</f>
        <v>2304.8200000000006</v>
      </c>
      <c r="J1410" s="279" t="s">
        <v>185</v>
      </c>
      <c r="K1410" s="279">
        <v>1</v>
      </c>
      <c r="L1410" s="279"/>
      <c r="M1410" s="279">
        <v>1</v>
      </c>
      <c r="N1410" s="279">
        <v>1</v>
      </c>
      <c r="O1410" s="279">
        <v>1</v>
      </c>
      <c r="P1410" s="279">
        <v>1</v>
      </c>
      <c r="Q1410" s="279"/>
      <c r="R1410" s="279"/>
      <c r="S1410" s="280"/>
      <c r="T1410" s="63"/>
      <c r="U1410" s="94" t="s">
        <v>1689</v>
      </c>
      <c r="V1410" s="90"/>
      <c r="W1410" s="136"/>
      <c r="X1410" s="137"/>
    </row>
    <row r="1411" spans="1:26" s="260" customFormat="1">
      <c r="A1411" s="494">
        <v>0.1</v>
      </c>
      <c r="B1411" s="87">
        <f t="shared" ref="B1411:B1413" si="181">B1410+1</f>
        <v>3</v>
      </c>
      <c r="C1411" s="641">
        <v>45937</v>
      </c>
      <c r="D1411" s="271" t="s">
        <v>1760</v>
      </c>
      <c r="E1411" s="271" t="s">
        <v>739</v>
      </c>
      <c r="F1411" s="265">
        <v>7814</v>
      </c>
      <c r="G1411" s="265">
        <f>39.7+2500</f>
        <v>2539.6999999999998</v>
      </c>
      <c r="H1411" s="265"/>
      <c r="I1411" s="272">
        <f>F1411-G1411-H1411</f>
        <v>5274.3</v>
      </c>
      <c r="J1411" s="267" t="s">
        <v>156</v>
      </c>
      <c r="K1411" s="267">
        <v>1</v>
      </c>
      <c r="L1411" s="267"/>
      <c r="M1411" s="267">
        <v>1</v>
      </c>
      <c r="N1411" s="267">
        <v>1</v>
      </c>
      <c r="O1411" s="267">
        <v>1</v>
      </c>
      <c r="P1411" s="267">
        <v>1</v>
      </c>
      <c r="Q1411" s="267"/>
      <c r="R1411" s="267"/>
      <c r="S1411" s="269"/>
      <c r="T1411" s="63"/>
      <c r="U1411" s="94" t="s">
        <v>1761</v>
      </c>
      <c r="V1411" s="90"/>
      <c r="W1411" s="136"/>
      <c r="X1411" s="137"/>
    </row>
    <row r="1412" spans="1:26" s="260" customFormat="1">
      <c r="A1412" s="261">
        <v>0.1</v>
      </c>
      <c r="B1412" s="87">
        <f t="shared" si="181"/>
        <v>4</v>
      </c>
      <c r="C1412" s="638">
        <v>45944</v>
      </c>
      <c r="D1412" s="276" t="s">
        <v>1789</v>
      </c>
      <c r="E1412" s="276" t="s">
        <v>1169</v>
      </c>
      <c r="F1412" s="277">
        <v>6814</v>
      </c>
      <c r="G1412" s="277">
        <f>39.7+2500</f>
        <v>2539.6999999999998</v>
      </c>
      <c r="H1412" s="277"/>
      <c r="I1412" s="278">
        <f>F1412-G1412-H1412</f>
        <v>4274.3</v>
      </c>
      <c r="J1412" s="279" t="s">
        <v>156</v>
      </c>
      <c r="K1412" s="279">
        <v>1</v>
      </c>
      <c r="L1412" s="279"/>
      <c r="M1412" s="279">
        <v>1</v>
      </c>
      <c r="N1412" s="279">
        <v>1</v>
      </c>
      <c r="O1412" s="279">
        <v>1</v>
      </c>
      <c r="P1412" s="279">
        <v>1</v>
      </c>
      <c r="Q1412" s="279"/>
      <c r="R1412" s="279"/>
      <c r="S1412" s="280"/>
      <c r="T1412" s="63"/>
      <c r="U1412" s="94" t="s">
        <v>1790</v>
      </c>
      <c r="V1412" s="90"/>
      <c r="W1412" s="136"/>
      <c r="X1412" s="137"/>
      <c r="Y1412" s="181"/>
      <c r="Z1412" s="181"/>
    </row>
    <row r="1413" spans="1:26" s="260" customFormat="1">
      <c r="A1413" s="261">
        <v>0.1</v>
      </c>
      <c r="B1413" s="87">
        <f t="shared" si="181"/>
        <v>5</v>
      </c>
      <c r="C1413" s="641">
        <v>45945</v>
      </c>
      <c r="D1413" s="271">
        <v>74508</v>
      </c>
      <c r="E1413" s="271" t="s">
        <v>1047</v>
      </c>
      <c r="F1413" s="265">
        <v>12814</v>
      </c>
      <c r="G1413" s="265">
        <f>39.7+(102.78+72.6)+(85.47)+1000</f>
        <v>1300.55</v>
      </c>
      <c r="H1413" s="265"/>
      <c r="I1413" s="272">
        <f>F1413-G1413-H1413</f>
        <v>11513.45</v>
      </c>
      <c r="J1413" s="267" t="s">
        <v>156</v>
      </c>
      <c r="K1413" s="267">
        <v>1</v>
      </c>
      <c r="L1413" s="267"/>
      <c r="M1413" s="267">
        <v>1</v>
      </c>
      <c r="N1413" s="267">
        <v>1</v>
      </c>
      <c r="O1413" s="267">
        <v>1</v>
      </c>
      <c r="P1413" s="267">
        <v>1</v>
      </c>
      <c r="Q1413" s="267"/>
      <c r="R1413" s="267"/>
      <c r="S1413" s="269"/>
      <c r="T1413" s="21"/>
      <c r="U1413" s="94" t="s">
        <v>1791</v>
      </c>
      <c r="V1413" s="90"/>
      <c r="W1413" s="136"/>
      <c r="X1413" s="137"/>
      <c r="Y1413" s="181"/>
      <c r="Z1413" s="181"/>
    </row>
    <row r="1414" spans="1:26" s="260" customFormat="1">
      <c r="A1414" s="181"/>
      <c r="B1414" s="11"/>
      <c r="C1414" s="36"/>
      <c r="D1414" s="10"/>
      <c r="E1414" s="10"/>
      <c r="F1414" s="97">
        <f>SUM(F1409:F1413)</f>
        <v>35117</v>
      </c>
      <c r="G1414" s="97">
        <f t="shared" ref="G1414:I1414" si="182">SUM(G1409:G1413)</f>
        <v>9251.0299999999988</v>
      </c>
      <c r="H1414" s="97">
        <f t="shared" si="182"/>
        <v>1162.8</v>
      </c>
      <c r="I1414" s="97">
        <f t="shared" si="182"/>
        <v>24703.170000000002</v>
      </c>
      <c r="J1414" s="63"/>
      <c r="K1414" s="21"/>
      <c r="L1414" s="21"/>
      <c r="M1414" s="21"/>
      <c r="N1414" s="21"/>
      <c r="O1414" s="21"/>
      <c r="P1414" s="21"/>
      <c r="Q1414" s="21"/>
      <c r="R1414" s="21"/>
      <c r="S1414" s="21"/>
      <c r="T1414" s="63"/>
      <c r="U1414" s="94"/>
      <c r="V1414" s="90"/>
      <c r="W1414" s="91"/>
      <c r="X1414" s="92"/>
    </row>
    <row r="1415" spans="1:26" s="260" customFormat="1">
      <c r="A1415" s="181"/>
      <c r="B1415" s="11"/>
      <c r="C1415" s="36"/>
      <c r="D1415" s="10"/>
      <c r="E1415" s="10"/>
      <c r="F1415" s="88"/>
      <c r="G1415" s="88"/>
      <c r="H1415" s="88"/>
      <c r="I1415" s="99"/>
      <c r="J1415" s="63"/>
      <c r="K1415" s="21"/>
      <c r="L1415" s="21"/>
      <c r="M1415" s="21"/>
      <c r="N1415" s="21"/>
      <c r="O1415" s="21"/>
      <c r="P1415" s="21"/>
      <c r="Q1415" s="21"/>
      <c r="R1415" s="21"/>
      <c r="S1415" s="21"/>
      <c r="T1415" s="63"/>
      <c r="U1415" s="94"/>
      <c r="V1415" s="90"/>
      <c r="W1415" s="91"/>
      <c r="X1415" s="92"/>
    </row>
    <row r="1416" spans="1:26">
      <c r="B1416" s="100" t="s">
        <v>72</v>
      </c>
      <c r="C1416" s="621"/>
      <c r="D1416" s="10"/>
      <c r="E1416" s="10"/>
      <c r="F1416" s="88"/>
      <c r="G1416" s="88"/>
      <c r="H1416" s="88"/>
      <c r="I1416" s="99"/>
      <c r="J1416" s="63"/>
      <c r="K1416" s="63"/>
      <c r="L1416" s="63"/>
      <c r="M1416" s="63"/>
      <c r="N1416" s="63"/>
      <c r="O1416" s="63"/>
      <c r="P1416" s="63"/>
      <c r="Q1416" s="63"/>
      <c r="R1416" s="63"/>
      <c r="S1416" s="63"/>
      <c r="T1416" s="63"/>
      <c r="U1416" s="94"/>
      <c r="V1416" s="90"/>
      <c r="W1416" s="91"/>
      <c r="X1416" s="92"/>
      <c r="Y1416" s="2"/>
    </row>
    <row r="1417" spans="1:26">
      <c r="B1417" s="87">
        <v>1</v>
      </c>
      <c r="C1417" s="638">
        <v>45950</v>
      </c>
      <c r="D1417" s="276" t="s">
        <v>1809</v>
      </c>
      <c r="E1417" s="276" t="s">
        <v>1098</v>
      </c>
      <c r="F1417" s="277">
        <v>1992.6</v>
      </c>
      <c r="G1417" s="277">
        <v>39.700000000000003</v>
      </c>
      <c r="H1417" s="277"/>
      <c r="I1417" s="278">
        <f>F1417-G1417-H1417</f>
        <v>1952.8999999999999</v>
      </c>
      <c r="J1417" s="279" t="s">
        <v>205</v>
      </c>
      <c r="K1417" s="279">
        <v>1</v>
      </c>
      <c r="L1417" s="279"/>
      <c r="M1417" s="279"/>
      <c r="N1417" s="279">
        <v>1</v>
      </c>
      <c r="O1417" s="279"/>
      <c r="P1417" s="279"/>
      <c r="Q1417" s="279">
        <v>1</v>
      </c>
      <c r="R1417" s="279">
        <v>1</v>
      </c>
      <c r="S1417" s="280"/>
      <c r="T1417" s="63"/>
      <c r="U1417" s="164"/>
      <c r="V1417" s="90"/>
      <c r="W1417" s="91"/>
      <c r="X1417" s="92"/>
      <c r="Y1417" s="2"/>
    </row>
    <row r="1418" spans="1:26">
      <c r="B1418" s="87">
        <f>B1417+1</f>
        <v>2</v>
      </c>
      <c r="C1418" s="639">
        <v>45950</v>
      </c>
      <c r="D1418" s="10" t="s">
        <v>1810</v>
      </c>
      <c r="E1418" s="10" t="s">
        <v>1098</v>
      </c>
      <c r="F1418" s="62">
        <v>1781</v>
      </c>
      <c r="G1418" s="62">
        <v>39.700000000000003</v>
      </c>
      <c r="H1418" s="62"/>
      <c r="I1418" s="89">
        <f t="shared" ref="I1418:I1441" si="183">F1418-G1418-H1418</f>
        <v>1741.3</v>
      </c>
      <c r="J1418" s="63" t="s">
        <v>205</v>
      </c>
      <c r="K1418" s="63">
        <v>1</v>
      </c>
      <c r="L1418" s="63"/>
      <c r="M1418" s="63"/>
      <c r="N1418" s="63">
        <v>1</v>
      </c>
      <c r="O1418" s="63"/>
      <c r="P1418" s="63"/>
      <c r="Q1418" s="63">
        <v>1</v>
      </c>
      <c r="R1418" s="63">
        <v>1</v>
      </c>
      <c r="S1418" s="296"/>
      <c r="T1418" s="63"/>
      <c r="U1418" s="94"/>
      <c r="V1418" s="90"/>
      <c r="W1418" s="136"/>
      <c r="X1418" s="137"/>
      <c r="Y1418" s="2"/>
    </row>
    <row r="1419" spans="1:26">
      <c r="B1419" s="87">
        <f>B1418+1</f>
        <v>3</v>
      </c>
      <c r="C1419" s="640">
        <v>45950</v>
      </c>
      <c r="D1419" s="283" t="s">
        <v>1811</v>
      </c>
      <c r="E1419" s="319" t="s">
        <v>715</v>
      </c>
      <c r="F1419" s="284">
        <v>18161</v>
      </c>
      <c r="G1419" s="284">
        <f>39.7+1500</f>
        <v>1539.7</v>
      </c>
      <c r="H1419" s="284"/>
      <c r="I1419" s="285">
        <f>F1419-G1419-H1419</f>
        <v>16621.3</v>
      </c>
      <c r="J1419" s="286"/>
      <c r="K1419" s="286">
        <v>1</v>
      </c>
      <c r="L1419" s="286"/>
      <c r="M1419" s="286"/>
      <c r="N1419" s="286">
        <v>1</v>
      </c>
      <c r="O1419" s="286">
        <v>1</v>
      </c>
      <c r="P1419" s="286">
        <v>1</v>
      </c>
      <c r="Q1419" s="286"/>
      <c r="R1419" s="286"/>
      <c r="S1419" s="287"/>
      <c r="T1419" s="63"/>
      <c r="U1419" s="94" t="s">
        <v>1812</v>
      </c>
      <c r="V1419" s="90"/>
      <c r="W1419" s="136"/>
      <c r="X1419" s="137"/>
      <c r="Y1419" s="181"/>
    </row>
    <row r="1420" spans="1:26">
      <c r="B1420" s="87">
        <f>B1419+1</f>
        <v>4</v>
      </c>
      <c r="C1420" s="639">
        <v>45951</v>
      </c>
      <c r="D1420" s="10" t="s">
        <v>1813</v>
      </c>
      <c r="E1420" s="10" t="s">
        <v>1231</v>
      </c>
      <c r="F1420" s="62">
        <v>1137.5999999999999</v>
      </c>
      <c r="G1420" s="62">
        <v>39.700000000000003</v>
      </c>
      <c r="H1420" s="62"/>
      <c r="I1420" s="89">
        <f t="shared" si="183"/>
        <v>1097.8999999999999</v>
      </c>
      <c r="J1420" s="63" t="s">
        <v>205</v>
      </c>
      <c r="K1420" s="63">
        <v>1</v>
      </c>
      <c r="L1420" s="63"/>
      <c r="M1420" s="63"/>
      <c r="N1420" s="63">
        <v>1</v>
      </c>
      <c r="O1420" s="63"/>
      <c r="P1420" s="63"/>
      <c r="Q1420" s="63">
        <v>1</v>
      </c>
      <c r="R1420" s="63">
        <v>1</v>
      </c>
      <c r="S1420" s="296"/>
      <c r="T1420" s="63"/>
      <c r="U1420" s="94"/>
      <c r="V1420" s="90"/>
      <c r="W1420" s="136"/>
      <c r="X1420" s="137"/>
      <c r="Y1420" s="2"/>
    </row>
    <row r="1421" spans="1:26">
      <c r="B1421" s="87">
        <f t="shared" ref="B1421:B1435" si="184">B1420+1</f>
        <v>5</v>
      </c>
      <c r="C1421" s="639">
        <v>45951</v>
      </c>
      <c r="D1421" s="10" t="s">
        <v>1814</v>
      </c>
      <c r="E1421" s="10" t="s">
        <v>1231</v>
      </c>
      <c r="F1421" s="62">
        <v>4219</v>
      </c>
      <c r="G1421" s="62">
        <v>39.700000000000003</v>
      </c>
      <c r="H1421" s="62"/>
      <c r="I1421" s="89">
        <f t="shared" si="183"/>
        <v>4179.3</v>
      </c>
      <c r="J1421" s="63" t="s">
        <v>205</v>
      </c>
      <c r="K1421" s="63">
        <v>1</v>
      </c>
      <c r="L1421" s="63"/>
      <c r="M1421" s="63"/>
      <c r="N1421" s="63">
        <v>1</v>
      </c>
      <c r="O1421" s="63"/>
      <c r="P1421" s="63"/>
      <c r="Q1421" s="63">
        <v>1</v>
      </c>
      <c r="R1421" s="63">
        <v>1</v>
      </c>
      <c r="S1421" s="296"/>
      <c r="T1421" s="63"/>
      <c r="U1421" s="94"/>
      <c r="V1421" s="90"/>
      <c r="W1421" s="136"/>
      <c r="X1421" s="137"/>
      <c r="Y1421" s="2"/>
    </row>
    <row r="1422" spans="1:26">
      <c r="B1422" s="87">
        <f t="shared" si="184"/>
        <v>6</v>
      </c>
      <c r="C1422" s="639">
        <v>45951</v>
      </c>
      <c r="D1422" s="10" t="s">
        <v>1815</v>
      </c>
      <c r="E1422" s="94" t="s">
        <v>1080</v>
      </c>
      <c r="F1422" s="62">
        <v>168214</v>
      </c>
      <c r="G1422" s="62">
        <v>39.700000000000003</v>
      </c>
      <c r="H1422" s="62"/>
      <c r="I1422" s="89">
        <f t="shared" si="183"/>
        <v>168174.3</v>
      </c>
      <c r="J1422" s="63" t="s">
        <v>205</v>
      </c>
      <c r="K1422" s="63">
        <v>1</v>
      </c>
      <c r="L1422" s="63"/>
      <c r="M1422" s="63"/>
      <c r="N1422" s="63">
        <v>1</v>
      </c>
      <c r="O1422" s="63"/>
      <c r="P1422" s="63"/>
      <c r="Q1422" s="63"/>
      <c r="R1422" s="63"/>
      <c r="S1422" s="296"/>
      <c r="T1422" s="63"/>
      <c r="U1422" s="94"/>
      <c r="V1422" s="90"/>
      <c r="W1422" s="136"/>
      <c r="X1422" s="137"/>
      <c r="Y1422" s="2"/>
    </row>
    <row r="1423" spans="1:26">
      <c r="B1423" s="87">
        <f t="shared" si="184"/>
        <v>7</v>
      </c>
      <c r="C1423" s="639">
        <v>45951</v>
      </c>
      <c r="D1423" s="10">
        <v>74680</v>
      </c>
      <c r="E1423" s="101" t="s">
        <v>1273</v>
      </c>
      <c r="F1423" s="62">
        <v>1776</v>
      </c>
      <c r="G1423" s="62">
        <v>39.700000000000003</v>
      </c>
      <c r="H1423" s="62"/>
      <c r="I1423" s="89">
        <f t="shared" si="183"/>
        <v>1736.3</v>
      </c>
      <c r="J1423" s="63" t="s">
        <v>205</v>
      </c>
      <c r="K1423" s="63">
        <v>1</v>
      </c>
      <c r="L1423" s="63"/>
      <c r="M1423" s="63"/>
      <c r="N1423" s="63">
        <v>1</v>
      </c>
      <c r="O1423" s="63"/>
      <c r="P1423" s="63"/>
      <c r="Q1423" s="63">
        <v>1</v>
      </c>
      <c r="R1423" s="63">
        <v>1</v>
      </c>
      <c r="S1423" s="296"/>
      <c r="T1423" s="63"/>
      <c r="U1423" s="94"/>
      <c r="V1423" s="90"/>
      <c r="W1423" s="136"/>
      <c r="X1423" s="137"/>
      <c r="Y1423" s="2"/>
    </row>
    <row r="1424" spans="1:26">
      <c r="B1424" s="87">
        <f t="shared" si="184"/>
        <v>8</v>
      </c>
      <c r="C1424" s="639">
        <v>45951</v>
      </c>
      <c r="D1424" s="10">
        <v>74552</v>
      </c>
      <c r="E1424" s="101" t="s">
        <v>1098</v>
      </c>
      <c r="F1424" s="62">
        <v>0</v>
      </c>
      <c r="G1424" s="62">
        <v>0</v>
      </c>
      <c r="H1424" s="62"/>
      <c r="I1424" s="89">
        <f t="shared" si="183"/>
        <v>0</v>
      </c>
      <c r="J1424" s="63" t="s">
        <v>205</v>
      </c>
      <c r="K1424" s="63"/>
      <c r="L1424" s="63"/>
      <c r="M1424" s="63"/>
      <c r="N1424" s="63"/>
      <c r="O1424" s="63"/>
      <c r="P1424" s="63"/>
      <c r="Q1424" s="63"/>
      <c r="R1424" s="63"/>
      <c r="S1424" s="296"/>
      <c r="T1424" s="63"/>
      <c r="U1424" s="94"/>
      <c r="V1424" s="90"/>
      <c r="W1424" s="136"/>
      <c r="X1424" s="137"/>
      <c r="Y1424" s="2"/>
    </row>
    <row r="1425" spans="1:25">
      <c r="B1425" s="87">
        <f t="shared" si="184"/>
        <v>9</v>
      </c>
      <c r="C1425" s="639">
        <v>45951</v>
      </c>
      <c r="D1425" s="10">
        <v>74678</v>
      </c>
      <c r="E1425" s="101" t="s">
        <v>1034</v>
      </c>
      <c r="F1425" s="62">
        <v>1264</v>
      </c>
      <c r="G1425" s="62">
        <v>39.700000000000003</v>
      </c>
      <c r="H1425" s="62"/>
      <c r="I1425" s="89">
        <f t="shared" si="183"/>
        <v>1224.3</v>
      </c>
      <c r="J1425" s="63" t="s">
        <v>205</v>
      </c>
      <c r="K1425" s="63">
        <v>1</v>
      </c>
      <c r="L1425" s="63"/>
      <c r="M1425" s="63"/>
      <c r="N1425" s="63">
        <v>1</v>
      </c>
      <c r="O1425" s="63"/>
      <c r="P1425" s="63"/>
      <c r="Q1425" s="63">
        <v>1</v>
      </c>
      <c r="R1425" s="63">
        <v>1</v>
      </c>
      <c r="S1425" s="296">
        <v>1</v>
      </c>
      <c r="T1425" s="63"/>
      <c r="U1425" s="94"/>
      <c r="V1425" s="90"/>
      <c r="W1425" s="136"/>
      <c r="X1425" s="137"/>
      <c r="Y1425" s="2"/>
    </row>
    <row r="1426" spans="1:25">
      <c r="A1426" t="s">
        <v>1816</v>
      </c>
      <c r="B1426" s="87">
        <f t="shared" si="184"/>
        <v>10</v>
      </c>
      <c r="C1426" s="638">
        <v>45952</v>
      </c>
      <c r="D1426" s="276">
        <v>74713</v>
      </c>
      <c r="E1426" s="281" t="s">
        <v>833</v>
      </c>
      <c r="F1426" s="277">
        <v>1861</v>
      </c>
      <c r="G1426" s="277">
        <v>39.700000000000003</v>
      </c>
      <c r="H1426" s="277"/>
      <c r="I1426" s="278">
        <f t="shared" si="183"/>
        <v>1821.3</v>
      </c>
      <c r="J1426" s="279" t="s">
        <v>156</v>
      </c>
      <c r="K1426" s="279">
        <v>1</v>
      </c>
      <c r="L1426" s="279"/>
      <c r="M1426" s="279">
        <v>1</v>
      </c>
      <c r="N1426" s="279">
        <v>1</v>
      </c>
      <c r="O1426" s="279">
        <v>1</v>
      </c>
      <c r="P1426" s="279">
        <v>1</v>
      </c>
      <c r="Q1426" s="279">
        <v>1</v>
      </c>
      <c r="R1426" s="279">
        <v>1</v>
      </c>
      <c r="S1426" s="280">
        <v>1</v>
      </c>
      <c r="T1426" s="63"/>
      <c r="U1426" s="94" t="s">
        <v>1817</v>
      </c>
      <c r="V1426" s="90">
        <v>200</v>
      </c>
      <c r="W1426" s="136"/>
      <c r="X1426" s="137"/>
      <c r="Y1426" s="2"/>
    </row>
    <row r="1427" spans="1:25">
      <c r="B1427" s="87">
        <f t="shared" si="184"/>
        <v>11</v>
      </c>
      <c r="C1427" s="638">
        <v>45953</v>
      </c>
      <c r="D1427" s="276" t="s">
        <v>1818</v>
      </c>
      <c r="E1427" s="281" t="s">
        <v>382</v>
      </c>
      <c r="F1427" s="277">
        <v>2532.6</v>
      </c>
      <c r="G1427" s="277">
        <f>39.7</f>
        <v>39.700000000000003</v>
      </c>
      <c r="H1427" s="277"/>
      <c r="I1427" s="278">
        <f t="shared" si="183"/>
        <v>2492.9</v>
      </c>
      <c r="J1427" s="279" t="s">
        <v>205</v>
      </c>
      <c r="K1427" s="279">
        <v>1</v>
      </c>
      <c r="L1427" s="279"/>
      <c r="M1427" s="279"/>
      <c r="N1427" s="279">
        <v>1</v>
      </c>
      <c r="O1427" s="279"/>
      <c r="P1427" s="279"/>
      <c r="Q1427" s="279">
        <v>1</v>
      </c>
      <c r="R1427" s="279">
        <v>1</v>
      </c>
      <c r="S1427" s="280">
        <v>1</v>
      </c>
      <c r="T1427" s="63"/>
      <c r="U1427" s="94"/>
      <c r="V1427" s="90"/>
      <c r="W1427" s="136"/>
      <c r="X1427" s="137"/>
      <c r="Y1427" s="2"/>
    </row>
    <row r="1428" spans="1:25">
      <c r="B1428" s="87">
        <f t="shared" si="184"/>
        <v>12</v>
      </c>
      <c r="C1428" s="639">
        <v>45953</v>
      </c>
      <c r="D1428" s="10" t="s">
        <v>1819</v>
      </c>
      <c r="E1428" s="101" t="s">
        <v>382</v>
      </c>
      <c r="F1428" s="62">
        <v>1261</v>
      </c>
      <c r="G1428" s="62">
        <v>39.700000000000003</v>
      </c>
      <c r="H1428" s="62"/>
      <c r="I1428" s="89">
        <f t="shared" si="183"/>
        <v>1221.3</v>
      </c>
      <c r="J1428" s="63" t="s">
        <v>205</v>
      </c>
      <c r="K1428" s="63">
        <v>1</v>
      </c>
      <c r="L1428" s="63"/>
      <c r="M1428" s="63"/>
      <c r="N1428" s="63">
        <v>1</v>
      </c>
      <c r="O1428" s="63"/>
      <c r="P1428" s="63"/>
      <c r="Q1428" s="63">
        <v>1</v>
      </c>
      <c r="R1428" s="63">
        <v>1</v>
      </c>
      <c r="S1428" s="296">
        <v>1</v>
      </c>
      <c r="T1428" s="63"/>
      <c r="U1428" s="94"/>
      <c r="V1428" s="90"/>
      <c r="W1428" s="136"/>
      <c r="X1428" s="137"/>
      <c r="Y1428" s="2"/>
    </row>
    <row r="1429" spans="1:25">
      <c r="B1429" s="87">
        <f t="shared" si="184"/>
        <v>13</v>
      </c>
      <c r="C1429" s="639">
        <v>45953</v>
      </c>
      <c r="D1429" s="10">
        <v>74715</v>
      </c>
      <c r="E1429" s="101" t="s">
        <v>317</v>
      </c>
      <c r="F1429" s="62">
        <v>1861</v>
      </c>
      <c r="G1429" s="62">
        <v>39.700000000000003</v>
      </c>
      <c r="H1429" s="62"/>
      <c r="I1429" s="89">
        <f t="shared" si="183"/>
        <v>1821.3</v>
      </c>
      <c r="J1429" s="63" t="s">
        <v>205</v>
      </c>
      <c r="K1429" s="63">
        <v>1</v>
      </c>
      <c r="L1429" s="63"/>
      <c r="M1429" s="63"/>
      <c r="N1429" s="63">
        <v>1</v>
      </c>
      <c r="O1429" s="63"/>
      <c r="P1429" s="63"/>
      <c r="Q1429" s="63">
        <v>1</v>
      </c>
      <c r="R1429" s="63">
        <v>1</v>
      </c>
      <c r="S1429" s="296"/>
      <c r="T1429" s="63"/>
      <c r="U1429" s="94"/>
      <c r="V1429" s="90"/>
      <c r="W1429" s="136"/>
      <c r="X1429" s="137"/>
      <c r="Y1429" s="2"/>
    </row>
    <row r="1430" spans="1:25">
      <c r="B1430" s="87">
        <f t="shared" si="184"/>
        <v>14</v>
      </c>
      <c r="C1430" s="639">
        <v>45953</v>
      </c>
      <c r="D1430" s="10" t="s">
        <v>1820</v>
      </c>
      <c r="E1430" s="10" t="s">
        <v>728</v>
      </c>
      <c r="F1430" s="62">
        <v>18161</v>
      </c>
      <c r="G1430" s="62">
        <f>39.7+35.17</f>
        <v>74.87</v>
      </c>
      <c r="H1430" s="62"/>
      <c r="I1430" s="89">
        <f t="shared" si="183"/>
        <v>18086.13</v>
      </c>
      <c r="J1430" s="63" t="s">
        <v>156</v>
      </c>
      <c r="K1430" s="63">
        <v>1</v>
      </c>
      <c r="L1430" s="63"/>
      <c r="M1430" s="63">
        <v>1</v>
      </c>
      <c r="N1430" s="63">
        <v>1</v>
      </c>
      <c r="O1430" s="63">
        <v>1</v>
      </c>
      <c r="P1430" s="63">
        <v>1</v>
      </c>
      <c r="Q1430" s="63"/>
      <c r="R1430" s="63"/>
      <c r="S1430" s="296"/>
      <c r="T1430" s="21"/>
      <c r="U1430" s="94" t="s">
        <v>1821</v>
      </c>
      <c r="V1430" s="90">
        <f>1900</f>
        <v>1900</v>
      </c>
      <c r="W1430" s="136"/>
      <c r="X1430" s="137"/>
      <c r="Y1430" s="2"/>
    </row>
    <row r="1431" spans="1:25">
      <c r="B1431" s="87">
        <f t="shared" si="184"/>
        <v>15</v>
      </c>
      <c r="C1431" s="638">
        <v>45954</v>
      </c>
      <c r="D1431" s="276">
        <v>74773</v>
      </c>
      <c r="E1431" s="276" t="s">
        <v>1215</v>
      </c>
      <c r="F1431" s="277">
        <v>1512.9</v>
      </c>
      <c r="G1431" s="277">
        <v>39.700000000000003</v>
      </c>
      <c r="H1431" s="277"/>
      <c r="I1431" s="278">
        <f t="shared" si="183"/>
        <v>1473.2</v>
      </c>
      <c r="J1431" s="279" t="s">
        <v>205</v>
      </c>
      <c r="K1431" s="279">
        <v>1</v>
      </c>
      <c r="L1431" s="279"/>
      <c r="M1431" s="279"/>
      <c r="N1431" s="279">
        <v>1</v>
      </c>
      <c r="O1431" s="279"/>
      <c r="P1431" s="279"/>
      <c r="Q1431" s="279">
        <v>1</v>
      </c>
      <c r="R1431" s="279">
        <v>1</v>
      </c>
      <c r="S1431" s="280">
        <v>1</v>
      </c>
      <c r="T1431" s="63"/>
      <c r="U1431" s="94"/>
      <c r="V1431" s="90"/>
      <c r="W1431" s="136"/>
      <c r="X1431" s="137"/>
      <c r="Y1431" s="2"/>
    </row>
    <row r="1432" spans="1:25">
      <c r="B1432" s="87">
        <f t="shared" si="184"/>
        <v>16</v>
      </c>
      <c r="C1432" s="639">
        <v>45954</v>
      </c>
      <c r="D1432" s="10">
        <v>74819</v>
      </c>
      <c r="E1432" s="10" t="s">
        <v>1822</v>
      </c>
      <c r="F1432" s="62">
        <v>0</v>
      </c>
      <c r="G1432" s="62">
        <v>0</v>
      </c>
      <c r="H1432" s="62"/>
      <c r="I1432" s="89">
        <f t="shared" si="183"/>
        <v>0</v>
      </c>
      <c r="J1432" s="63" t="s">
        <v>205</v>
      </c>
      <c r="S1432" s="605"/>
      <c r="T1432" s="63"/>
      <c r="U1432" s="94"/>
      <c r="V1432" s="90"/>
      <c r="W1432" s="136"/>
      <c r="X1432" s="137"/>
      <c r="Y1432" s="2"/>
    </row>
    <row r="1433" spans="1:25">
      <c r="B1433" s="87">
        <f>B1432+1</f>
        <v>17</v>
      </c>
      <c r="C1433" s="639">
        <v>45954</v>
      </c>
      <c r="D1433" s="10">
        <v>74780</v>
      </c>
      <c r="E1433" s="10" t="s">
        <v>1062</v>
      </c>
      <c r="F1433" s="62">
        <v>1861</v>
      </c>
      <c r="G1433" s="62">
        <f>39.7+550</f>
        <v>589.70000000000005</v>
      </c>
      <c r="H1433" s="62"/>
      <c r="I1433" s="89">
        <f t="shared" ref="I1433" si="185">F1433-G1433-H1433</f>
        <v>1271.3</v>
      </c>
      <c r="J1433" s="63" t="s">
        <v>156</v>
      </c>
      <c r="K1433" s="63">
        <v>1</v>
      </c>
      <c r="L1433" s="63"/>
      <c r="M1433" s="63">
        <v>1</v>
      </c>
      <c r="N1433" s="63">
        <v>1</v>
      </c>
      <c r="O1433" s="63">
        <v>1</v>
      </c>
      <c r="P1433" s="63">
        <v>1</v>
      </c>
      <c r="Q1433" s="63"/>
      <c r="R1433" s="63"/>
      <c r="S1433" s="296"/>
      <c r="T1433" s="21"/>
      <c r="U1433" s="94" t="s">
        <v>1823</v>
      </c>
      <c r="V1433" s="90">
        <f>250</f>
        <v>250</v>
      </c>
      <c r="W1433" s="136"/>
      <c r="X1433" s="137"/>
      <c r="Y1433" s="2"/>
    </row>
    <row r="1434" spans="1:25">
      <c r="B1434" s="87">
        <f>B1433+1</f>
        <v>18</v>
      </c>
      <c r="C1434" s="639">
        <v>45954</v>
      </c>
      <c r="D1434" s="10">
        <v>74824</v>
      </c>
      <c r="E1434" s="10" t="s">
        <v>1062</v>
      </c>
      <c r="F1434" s="62">
        <v>1176</v>
      </c>
      <c r="G1434" s="62">
        <v>39.700000000000003</v>
      </c>
      <c r="H1434" s="62"/>
      <c r="I1434" s="89">
        <f t="shared" si="183"/>
        <v>1136.3</v>
      </c>
      <c r="J1434" s="63" t="s">
        <v>205</v>
      </c>
      <c r="K1434" s="63">
        <v>1</v>
      </c>
      <c r="L1434" s="63"/>
      <c r="M1434" s="63"/>
      <c r="N1434" s="63">
        <v>1</v>
      </c>
      <c r="O1434" s="63"/>
      <c r="P1434" s="63"/>
      <c r="Q1434" s="63">
        <v>1</v>
      </c>
      <c r="R1434" s="63">
        <v>1</v>
      </c>
      <c r="S1434" s="296">
        <v>1</v>
      </c>
      <c r="T1434" s="21">
        <v>1</v>
      </c>
      <c r="U1434" s="94"/>
      <c r="V1434" s="90"/>
      <c r="W1434" s="136"/>
      <c r="X1434" s="137"/>
      <c r="Y1434" s="2"/>
    </row>
    <row r="1435" spans="1:25">
      <c r="B1435" s="87">
        <f t="shared" si="184"/>
        <v>19</v>
      </c>
      <c r="C1435" s="639">
        <v>45954</v>
      </c>
      <c r="D1435" s="10">
        <v>74800</v>
      </c>
      <c r="E1435" s="10" t="s">
        <v>149</v>
      </c>
      <c r="F1435" s="62">
        <v>1261</v>
      </c>
      <c r="G1435" s="62">
        <v>39.700000000000003</v>
      </c>
      <c r="H1435" s="62"/>
      <c r="I1435" s="89">
        <f t="shared" si="183"/>
        <v>1221.3</v>
      </c>
      <c r="J1435" s="63" t="s">
        <v>205</v>
      </c>
      <c r="K1435" s="63">
        <v>1</v>
      </c>
      <c r="L1435" s="63"/>
      <c r="M1435" s="63"/>
      <c r="N1435" s="63">
        <v>1</v>
      </c>
      <c r="O1435" s="63"/>
      <c r="P1435" s="63"/>
      <c r="Q1435" s="63">
        <v>1</v>
      </c>
      <c r="R1435" s="63">
        <v>1</v>
      </c>
      <c r="S1435" s="296">
        <v>1</v>
      </c>
      <c r="T1435" s="63"/>
      <c r="U1435" s="94"/>
      <c r="V1435" s="90"/>
      <c r="W1435" s="136"/>
      <c r="X1435" s="137"/>
      <c r="Y1435" s="2"/>
    </row>
    <row r="1436" spans="1:25">
      <c r="B1436" s="87">
        <f>B1435+1</f>
        <v>20</v>
      </c>
      <c r="C1436" s="639">
        <v>45954</v>
      </c>
      <c r="D1436" s="10" t="s">
        <v>1824</v>
      </c>
      <c r="E1436" s="10" t="s">
        <v>1117</v>
      </c>
      <c r="F1436" s="62">
        <v>681</v>
      </c>
      <c r="G1436" s="62"/>
      <c r="H1436" s="62"/>
      <c r="I1436" s="89">
        <f t="shared" si="183"/>
        <v>681</v>
      </c>
      <c r="J1436" s="63" t="s">
        <v>205</v>
      </c>
      <c r="K1436" s="63">
        <v>1</v>
      </c>
      <c r="L1436" s="63"/>
      <c r="M1436" s="63"/>
      <c r="N1436" s="63">
        <v>1</v>
      </c>
      <c r="O1436" s="63"/>
      <c r="P1436" s="63"/>
      <c r="Q1436" s="63"/>
      <c r="R1436" s="63"/>
      <c r="S1436" s="296"/>
      <c r="T1436" s="63"/>
      <c r="U1436" s="94"/>
      <c r="V1436" s="90"/>
      <c r="W1436" s="136"/>
      <c r="X1436" s="137"/>
      <c r="Y1436" s="2"/>
    </row>
    <row r="1437" spans="1:25">
      <c r="B1437" s="87">
        <f>B1436+1</f>
        <v>21</v>
      </c>
      <c r="C1437" s="639">
        <v>45954</v>
      </c>
      <c r="D1437" s="10" t="s">
        <v>1825</v>
      </c>
      <c r="E1437" s="10" t="s">
        <v>1117</v>
      </c>
      <c r="F1437" s="62">
        <v>5232.6000000000004</v>
      </c>
      <c r="G1437" s="62">
        <v>39.700000000000003</v>
      </c>
      <c r="H1437" s="62"/>
      <c r="I1437" s="89">
        <f t="shared" si="183"/>
        <v>5192.9000000000005</v>
      </c>
      <c r="J1437" s="63" t="s">
        <v>205</v>
      </c>
      <c r="K1437" s="63">
        <v>1</v>
      </c>
      <c r="L1437" s="63"/>
      <c r="M1437" s="63"/>
      <c r="N1437" s="63">
        <v>1</v>
      </c>
      <c r="O1437" s="63"/>
      <c r="P1437" s="63"/>
      <c r="Q1437" s="63"/>
      <c r="R1437" s="63"/>
      <c r="S1437" s="296"/>
      <c r="T1437" s="63"/>
      <c r="U1437" s="94"/>
      <c r="V1437" s="90"/>
      <c r="W1437" s="136"/>
      <c r="X1437" s="137"/>
      <c r="Y1437" s="2"/>
    </row>
    <row r="1438" spans="1:25">
      <c r="B1438" s="87">
        <f>B1437+1</f>
        <v>22</v>
      </c>
      <c r="C1438" s="639">
        <v>45954</v>
      </c>
      <c r="D1438" s="10">
        <v>74774</v>
      </c>
      <c r="E1438" s="10" t="s">
        <v>1273</v>
      </c>
      <c r="F1438" s="62">
        <v>2261</v>
      </c>
      <c r="G1438" s="62">
        <v>39.700000000000003</v>
      </c>
      <c r="H1438" s="62"/>
      <c r="I1438" s="89">
        <f t="shared" si="183"/>
        <v>2221.3000000000002</v>
      </c>
      <c r="J1438" s="63" t="s">
        <v>205</v>
      </c>
      <c r="K1438" s="63">
        <v>1</v>
      </c>
      <c r="L1438" s="63"/>
      <c r="M1438" s="63"/>
      <c r="N1438" s="63">
        <v>1</v>
      </c>
      <c r="O1438" s="63"/>
      <c r="P1438" s="63"/>
      <c r="Q1438" s="63"/>
      <c r="R1438" s="63"/>
      <c r="S1438" s="296"/>
      <c r="T1438" s="63"/>
      <c r="U1438" s="94"/>
      <c r="V1438" s="90"/>
      <c r="W1438" s="136"/>
      <c r="X1438" s="137"/>
      <c r="Y1438" s="2"/>
    </row>
    <row r="1439" spans="1:25">
      <c r="B1439" s="87">
        <f>B1438+1</f>
        <v>23</v>
      </c>
      <c r="C1439" s="639">
        <v>45954</v>
      </c>
      <c r="D1439" s="10">
        <v>74754</v>
      </c>
      <c r="E1439" s="10" t="s">
        <v>1319</v>
      </c>
      <c r="F1439" s="62">
        <v>681</v>
      </c>
      <c r="G1439" s="62">
        <v>39.700000000000003</v>
      </c>
      <c r="H1439" s="62"/>
      <c r="I1439" s="89">
        <f t="shared" si="183"/>
        <v>641.29999999999995</v>
      </c>
      <c r="J1439" s="63" t="s">
        <v>205</v>
      </c>
      <c r="K1439" s="63">
        <v>1</v>
      </c>
      <c r="L1439" s="63"/>
      <c r="M1439" s="63"/>
      <c r="N1439" s="63">
        <v>1</v>
      </c>
      <c r="O1439" s="63"/>
      <c r="P1439" s="63"/>
      <c r="Q1439" s="63">
        <v>1</v>
      </c>
      <c r="R1439" s="63">
        <v>1</v>
      </c>
      <c r="S1439" s="296">
        <v>1</v>
      </c>
      <c r="T1439" s="63"/>
      <c r="U1439" s="94"/>
      <c r="V1439" s="90"/>
      <c r="W1439" s="136"/>
      <c r="X1439" s="137"/>
      <c r="Y1439" s="2"/>
    </row>
    <row r="1440" spans="1:25">
      <c r="B1440" s="87">
        <f>B1439+1</f>
        <v>24</v>
      </c>
      <c r="C1440" s="639">
        <v>45954</v>
      </c>
      <c r="D1440" s="10">
        <v>74746</v>
      </c>
      <c r="E1440" s="10" t="s">
        <v>1080</v>
      </c>
      <c r="F1440" s="62">
        <v>681</v>
      </c>
      <c r="G1440" s="62"/>
      <c r="H1440" s="62"/>
      <c r="I1440" s="89">
        <f t="shared" si="183"/>
        <v>681</v>
      </c>
      <c r="J1440" s="63" t="s">
        <v>205</v>
      </c>
      <c r="K1440" s="63">
        <v>1</v>
      </c>
      <c r="L1440" s="63"/>
      <c r="M1440" s="63"/>
      <c r="N1440" s="63">
        <v>1</v>
      </c>
      <c r="O1440" s="63"/>
      <c r="P1440" s="63"/>
      <c r="Q1440" s="63">
        <v>1</v>
      </c>
      <c r="R1440" s="63">
        <v>1</v>
      </c>
      <c r="S1440" s="296"/>
      <c r="T1440" s="63"/>
      <c r="U1440" s="94"/>
      <c r="V1440" s="90"/>
      <c r="W1440" s="136"/>
      <c r="X1440" s="137"/>
      <c r="Y1440" s="2"/>
    </row>
    <row r="1441" spans="2:25">
      <c r="B1441" s="87">
        <f>B1440+1</f>
        <v>25</v>
      </c>
      <c r="C1441" s="640">
        <v>45954</v>
      </c>
      <c r="D1441" s="283">
        <v>74818</v>
      </c>
      <c r="E1441" s="283" t="s">
        <v>1042</v>
      </c>
      <c r="F1441" s="284">
        <v>5814</v>
      </c>
      <c r="G1441" s="284">
        <v>39.700000000000003</v>
      </c>
      <c r="H1441" s="284"/>
      <c r="I1441" s="285">
        <f t="shared" si="183"/>
        <v>5774.3</v>
      </c>
      <c r="J1441" s="286" t="s">
        <v>205</v>
      </c>
      <c r="K1441" s="286">
        <v>1</v>
      </c>
      <c r="L1441" s="286"/>
      <c r="M1441" s="286"/>
      <c r="N1441" s="286">
        <v>1</v>
      </c>
      <c r="O1441" s="286"/>
      <c r="P1441" s="286"/>
      <c r="Q1441" s="286">
        <v>1</v>
      </c>
      <c r="R1441" s="286">
        <v>1</v>
      </c>
      <c r="S1441" s="287"/>
      <c r="T1441" s="63"/>
      <c r="U1441" s="94"/>
      <c r="V1441" s="90"/>
      <c r="W1441" s="136"/>
      <c r="X1441" s="137"/>
      <c r="Y1441" s="2"/>
    </row>
    <row r="1442" spans="2:25">
      <c r="B1442" s="11"/>
      <c r="C1442" s="621"/>
      <c r="D1442" s="10"/>
      <c r="E1442" s="10"/>
      <c r="F1442" s="97">
        <f>SUM(F1417:F1441)</f>
        <v>245383.30000000002</v>
      </c>
      <c r="G1442" s="97">
        <f t="shared" ref="G1442:I1442" si="186">SUM(G1417:G1441)</f>
        <v>2918.869999999999</v>
      </c>
      <c r="H1442" s="97">
        <f t="shared" si="186"/>
        <v>0</v>
      </c>
      <c r="I1442" s="98">
        <f t="shared" si="186"/>
        <v>242464.42999999988</v>
      </c>
      <c r="J1442" s="10"/>
      <c r="K1442" s="10"/>
      <c r="L1442" s="10"/>
      <c r="M1442" s="10"/>
      <c r="N1442" s="10"/>
      <c r="O1442" s="10"/>
      <c r="P1442" s="10"/>
      <c r="Q1442" s="10"/>
      <c r="R1442" s="10"/>
      <c r="S1442" s="10"/>
      <c r="T1442" s="63"/>
      <c r="U1442" s="94"/>
      <c r="V1442" s="90"/>
      <c r="W1442" s="91"/>
      <c r="X1442" s="92"/>
      <c r="Y1442" s="2"/>
    </row>
    <row r="1443" spans="2:25">
      <c r="B1443" s="26"/>
      <c r="C1443" s="612"/>
      <c r="D1443" s="141"/>
      <c r="E1443" s="141"/>
      <c r="F1443" s="141"/>
      <c r="G1443" s="141"/>
      <c r="H1443" s="141"/>
      <c r="I1443" s="141"/>
      <c r="J1443" s="141"/>
      <c r="K1443" s="142"/>
      <c r="L1443" s="142"/>
      <c r="M1443" s="142"/>
      <c r="N1443" s="142"/>
      <c r="O1443" s="142"/>
      <c r="P1443" s="142"/>
      <c r="Q1443" s="142"/>
      <c r="R1443" s="142"/>
      <c r="S1443" s="142"/>
      <c r="T1443" s="143">
        <f>SUM(T1380:T1442)</f>
        <v>3</v>
      </c>
      <c r="U1443" s="168"/>
      <c r="V1443" s="144">
        <f>SUM(V1380:V1442)</f>
        <v>34761.5</v>
      </c>
      <c r="W1443" s="145">
        <f>SUM(W1380:W1442)</f>
        <v>0</v>
      </c>
      <c r="X1443" s="146">
        <f>SUM(X1380:X1442)</f>
        <v>0</v>
      </c>
      <c r="Y1443" s="2"/>
    </row>
    <row r="1444" spans="2:25">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row>
    <row r="1446" spans="2:25">
      <c r="B1446" s="4" t="s">
        <v>1</v>
      </c>
      <c r="C1446" s="5"/>
      <c r="D1446" s="83"/>
      <c r="E1446" s="6"/>
      <c r="F1446" s="7" t="s">
        <v>2</v>
      </c>
      <c r="G1446" s="608">
        <v>45963</v>
      </c>
      <c r="H1446" s="7"/>
      <c r="I1446" s="6"/>
      <c r="J1446" s="6"/>
      <c r="K1446" s="6"/>
      <c r="L1446" s="6"/>
      <c r="M1446" s="6"/>
      <c r="N1446" s="6"/>
      <c r="O1446" s="6"/>
      <c r="P1446" s="6"/>
      <c r="Q1446" s="6"/>
      <c r="R1446" s="6"/>
      <c r="S1446" s="6"/>
      <c r="T1446" s="6"/>
      <c r="U1446" s="149"/>
      <c r="V1446" s="77"/>
      <c r="W1446" s="77"/>
      <c r="X1446" s="77"/>
      <c r="Y1446" s="2"/>
    </row>
    <row r="1447" spans="2:25">
      <c r="B1447" s="11"/>
      <c r="C1447" s="10"/>
      <c r="D1447" s="63"/>
      <c r="E1447" s="10"/>
      <c r="F1447" s="10"/>
      <c r="G1447" s="7"/>
      <c r="H1447" s="12"/>
      <c r="I1447" s="10"/>
      <c r="J1447" s="10"/>
      <c r="K1447" s="13" t="s">
        <v>3</v>
      </c>
      <c r="L1447" s="14"/>
      <c r="M1447" s="15"/>
      <c r="N1447" s="13" t="s">
        <v>4</v>
      </c>
      <c r="O1447" s="14"/>
      <c r="P1447" s="15"/>
      <c r="Q1447" s="13" t="s">
        <v>5</v>
      </c>
      <c r="R1447" s="14"/>
      <c r="S1447" s="15"/>
      <c r="T1447" s="16"/>
      <c r="U1447" s="151"/>
      <c r="V1447" s="77"/>
      <c r="W1447" s="77"/>
      <c r="X1447" s="77"/>
      <c r="Y1447" s="2"/>
    </row>
    <row r="1448" spans="2:25">
      <c r="B1448" s="18" t="s">
        <v>6</v>
      </c>
      <c r="C1448" s="19">
        <f>C1449+C1450</f>
        <v>26</v>
      </c>
      <c r="D1448" s="63"/>
      <c r="E1448" s="18" t="s">
        <v>7</v>
      </c>
      <c r="F1448" s="6"/>
      <c r="G1448" s="9"/>
      <c r="H1448" s="10"/>
      <c r="I1448" s="10"/>
      <c r="J1448" s="10"/>
      <c r="K1448" s="20" t="s">
        <v>8</v>
      </c>
      <c r="L1448" s="21" t="s">
        <v>9</v>
      </c>
      <c r="M1448" s="21" t="s">
        <v>10</v>
      </c>
      <c r="N1448" s="20" t="s">
        <v>11</v>
      </c>
      <c r="O1448" s="21" t="s">
        <v>12</v>
      </c>
      <c r="P1448" s="22" t="s">
        <v>13</v>
      </c>
      <c r="Q1448" s="21" t="s">
        <v>11</v>
      </c>
      <c r="R1448" s="21" t="s">
        <v>12</v>
      </c>
      <c r="S1448" s="22" t="s">
        <v>13</v>
      </c>
      <c r="T1448" s="23" t="s">
        <v>14</v>
      </c>
      <c r="U1448" s="151"/>
      <c r="V1448" s="77"/>
      <c r="W1448" s="77"/>
      <c r="X1448" s="77"/>
      <c r="Y1448" s="2"/>
    </row>
    <row r="1449" spans="2:25">
      <c r="B1449" s="24" t="s">
        <v>15</v>
      </c>
      <c r="C1449" s="25">
        <f>P1456</f>
        <v>15</v>
      </c>
      <c r="D1449" s="63"/>
      <c r="E1449" s="11" t="s">
        <v>16</v>
      </c>
      <c r="F1449" s="10" t="s">
        <v>78</v>
      </c>
      <c r="G1449" s="153">
        <v>0.05</v>
      </c>
      <c r="H1449" s="10"/>
      <c r="I1449" s="10"/>
      <c r="J1449" s="18" t="s">
        <v>17</v>
      </c>
      <c r="K1449" s="29">
        <f>K1488</f>
        <v>13</v>
      </c>
      <c r="L1449" s="29">
        <f t="shared" ref="L1449:S1449" si="187">L1488</f>
        <v>13</v>
      </c>
      <c r="M1449" s="29">
        <f t="shared" si="187"/>
        <v>13</v>
      </c>
      <c r="N1449" s="29">
        <f t="shared" si="187"/>
        <v>13</v>
      </c>
      <c r="O1449" s="29">
        <f t="shared" si="187"/>
        <v>13</v>
      </c>
      <c r="P1449" s="29">
        <f t="shared" si="187"/>
        <v>13</v>
      </c>
      <c r="Q1449" s="29">
        <f t="shared" si="187"/>
        <v>10</v>
      </c>
      <c r="R1449" s="29">
        <f t="shared" si="187"/>
        <v>10</v>
      </c>
      <c r="S1449" s="29">
        <f t="shared" si="187"/>
        <v>10</v>
      </c>
      <c r="T1449" s="30">
        <f>T1545</f>
        <v>5</v>
      </c>
      <c r="U1449" s="151" t="s">
        <v>1826</v>
      </c>
      <c r="V1449" s="77"/>
      <c r="W1449" s="77"/>
      <c r="X1449" s="77"/>
      <c r="Y1449" s="2"/>
    </row>
    <row r="1450" spans="2:25">
      <c r="B1450" s="24" t="s">
        <v>18</v>
      </c>
      <c r="C1450" s="25">
        <f>P1457</f>
        <v>11</v>
      </c>
      <c r="D1450" s="63"/>
      <c r="E1450" s="26" t="s">
        <v>80</v>
      </c>
      <c r="F1450" s="141" t="s">
        <v>81</v>
      </c>
      <c r="G1450" s="154">
        <v>0.1</v>
      </c>
      <c r="H1450" s="10"/>
      <c r="I1450" s="10"/>
      <c r="J1450" s="32" t="s">
        <v>19</v>
      </c>
      <c r="K1450" s="33">
        <f>K1488/K1487</f>
        <v>1</v>
      </c>
      <c r="L1450" s="33">
        <f t="shared" ref="L1450:S1450" si="188">L1488/L1487</f>
        <v>1</v>
      </c>
      <c r="M1450" s="33">
        <f t="shared" si="188"/>
        <v>1</v>
      </c>
      <c r="N1450" s="33">
        <f t="shared" si="188"/>
        <v>1</v>
      </c>
      <c r="O1450" s="33">
        <f t="shared" si="188"/>
        <v>1</v>
      </c>
      <c r="P1450" s="33">
        <f t="shared" si="188"/>
        <v>1</v>
      </c>
      <c r="Q1450" s="33">
        <f t="shared" si="188"/>
        <v>0.76923076923076927</v>
      </c>
      <c r="R1450" s="33">
        <f t="shared" si="188"/>
        <v>0.76923076923076927</v>
      </c>
      <c r="S1450" s="33">
        <f t="shared" si="188"/>
        <v>0.76923076923076927</v>
      </c>
      <c r="T1450" s="23"/>
      <c r="U1450" s="151" t="s">
        <v>20</v>
      </c>
      <c r="V1450" s="77"/>
      <c r="W1450" s="77"/>
      <c r="X1450" s="77"/>
      <c r="Y1450" s="2"/>
    </row>
    <row r="1451" spans="2:25">
      <c r="B1451" s="24" t="s">
        <v>21</v>
      </c>
      <c r="C1451" s="34">
        <f>P1458</f>
        <v>0.57692307692307687</v>
      </c>
      <c r="D1451" s="63"/>
      <c r="E1451" s="10"/>
      <c r="F1451" s="10"/>
      <c r="G1451" s="10"/>
      <c r="H1451" s="10"/>
      <c r="I1451" s="10"/>
      <c r="J1451" s="10"/>
      <c r="K1451" s="10"/>
      <c r="L1451" s="10"/>
      <c r="M1451" s="10"/>
      <c r="N1451" s="10"/>
      <c r="O1451" s="10"/>
      <c r="P1451" s="10"/>
      <c r="Q1451" s="10"/>
      <c r="R1451" s="10"/>
      <c r="S1451" s="10"/>
      <c r="T1451" s="10"/>
      <c r="U1451" s="151"/>
      <c r="V1451" s="77"/>
      <c r="W1451" s="77"/>
      <c r="X1451" s="77"/>
      <c r="Y1451" s="2"/>
    </row>
    <row r="1452" spans="2:25">
      <c r="B1452" s="24"/>
      <c r="C1452" s="25"/>
      <c r="D1452" s="63"/>
      <c r="E1452" s="10"/>
      <c r="F1452" s="18" t="s">
        <v>22</v>
      </c>
      <c r="G1452" s="19" t="s">
        <v>23</v>
      </c>
      <c r="H1452" s="35" t="s">
        <v>24</v>
      </c>
      <c r="I1452" s="10"/>
      <c r="J1452" s="10"/>
      <c r="K1452" s="36"/>
      <c r="L1452" s="36"/>
      <c r="M1452" s="36"/>
      <c r="N1452" s="36"/>
      <c r="O1452" s="36"/>
      <c r="P1452" s="36"/>
      <c r="Q1452" s="36"/>
      <c r="R1452" s="10"/>
      <c r="S1452" s="10"/>
      <c r="T1452" s="10"/>
      <c r="U1452" s="151"/>
      <c r="V1452" s="77"/>
      <c r="W1452" s="77"/>
      <c r="X1452" s="77"/>
      <c r="Y1452" s="2"/>
    </row>
    <row r="1453" spans="2:25">
      <c r="B1453" s="32" t="s">
        <v>25</v>
      </c>
      <c r="C1453" s="37">
        <f>P1459</f>
        <v>2231.9219999999996</v>
      </c>
      <c r="D1453" s="63"/>
      <c r="E1453" s="18" t="s">
        <v>26</v>
      </c>
      <c r="F1453" s="38">
        <f>P1455</f>
        <v>33478.829999999994</v>
      </c>
      <c r="G1453" s="39">
        <f>I1487+I1503+I1507</f>
        <v>33478.83</v>
      </c>
      <c r="H1453" s="40"/>
      <c r="I1453" s="41"/>
      <c r="J1453" s="42"/>
      <c r="K1453" s="43" t="s">
        <v>27</v>
      </c>
      <c r="L1453" s="44"/>
      <c r="M1453" s="44"/>
      <c r="N1453" s="44"/>
      <c r="O1453" s="44"/>
      <c r="P1453" s="44"/>
      <c r="Q1453" s="45"/>
      <c r="R1453" s="46" t="s">
        <v>28</v>
      </c>
      <c r="S1453" s="47" t="s">
        <v>29</v>
      </c>
      <c r="T1453" s="10"/>
      <c r="U1453" s="151"/>
      <c r="V1453" s="77"/>
      <c r="W1453" s="77"/>
      <c r="X1453" s="77"/>
      <c r="Y1453" s="2"/>
    </row>
    <row r="1454" spans="2:25">
      <c r="B1454" s="11"/>
      <c r="C1454" s="10"/>
      <c r="D1454" s="63"/>
      <c r="E1454" s="24" t="s">
        <v>30</v>
      </c>
      <c r="F1454" s="48">
        <f>IF(F1453&gt;=25000,10%,5%)</f>
        <v>0.1</v>
      </c>
      <c r="G1454" s="17"/>
      <c r="H1454" s="40"/>
      <c r="I1454" s="41"/>
      <c r="J1454" s="42"/>
      <c r="K1454" s="20" t="s">
        <v>31</v>
      </c>
      <c r="L1454" s="21" t="s">
        <v>32</v>
      </c>
      <c r="M1454" s="21" t="s">
        <v>33</v>
      </c>
      <c r="N1454" s="21" t="s">
        <v>34</v>
      </c>
      <c r="O1454" s="21" t="s">
        <v>35</v>
      </c>
      <c r="P1454" s="21" t="s">
        <v>36</v>
      </c>
      <c r="Q1454" s="49" t="s">
        <v>37</v>
      </c>
      <c r="R1454" s="50" t="s">
        <v>38</v>
      </c>
      <c r="S1454" s="50" t="s">
        <v>38</v>
      </c>
      <c r="T1454" s="10"/>
      <c r="U1454" s="151"/>
      <c r="V1454" s="77"/>
      <c r="W1454" s="77"/>
      <c r="X1454" s="77"/>
      <c r="Y1454" s="2"/>
    </row>
    <row r="1455" spans="2:25">
      <c r="B1455" s="11"/>
      <c r="C1455" s="10"/>
      <c r="D1455" s="63"/>
      <c r="E1455" s="51" t="s">
        <v>39</v>
      </c>
      <c r="F1455" s="52">
        <f>F1453*F1454</f>
        <v>3347.8829999999998</v>
      </c>
      <c r="G1455" s="53" t="s">
        <v>40</v>
      </c>
      <c r="H1455" s="54">
        <f>F1455/1.12</f>
        <v>2989.1812499999996</v>
      </c>
      <c r="I1455" s="55"/>
      <c r="J1455" s="42"/>
      <c r="K1455" s="56">
        <f>I1474+I1506</f>
        <v>7071.8899999999994</v>
      </c>
      <c r="L1455" s="57">
        <f>I1475+I1477+I1476+I1478</f>
        <v>4952.8999999999996</v>
      </c>
      <c r="M1455" s="57">
        <f>I1479+I1480+I1482+I1481</f>
        <v>10185.16</v>
      </c>
      <c r="N1455" s="57">
        <f>I1502</f>
        <v>7704.28</v>
      </c>
      <c r="O1455" s="57">
        <f>I1483+I1484+I1485+I1486</f>
        <v>3564.6000000000004</v>
      </c>
      <c r="P1455" s="57">
        <f>SUM(K1455:O1455)</f>
        <v>33478.829999999994</v>
      </c>
      <c r="Q1455" s="58">
        <v>0</v>
      </c>
      <c r="R1455" s="59">
        <f>I1503+I1507</f>
        <v>12676.189999999999</v>
      </c>
      <c r="S1455" s="59">
        <v>0</v>
      </c>
      <c r="T1455" s="10"/>
      <c r="U1455" s="151"/>
      <c r="V1455" s="77"/>
      <c r="W1455" s="77"/>
      <c r="X1455" s="77"/>
      <c r="Y1455" s="2"/>
    </row>
    <row r="1456" spans="2:25">
      <c r="B1456" s="11"/>
      <c r="C1456" s="10"/>
      <c r="D1456" s="63"/>
      <c r="E1456" s="24" t="s">
        <v>41</v>
      </c>
      <c r="F1456" s="60">
        <f>Q1455</f>
        <v>0</v>
      </c>
      <c r="G1456" s="61" t="s">
        <v>40</v>
      </c>
      <c r="H1456" s="62"/>
      <c r="I1456" s="62"/>
      <c r="J1456" s="10" t="s">
        <v>42</v>
      </c>
      <c r="K1456" s="63">
        <v>2</v>
      </c>
      <c r="L1456" s="63">
        <v>4</v>
      </c>
      <c r="M1456" s="63">
        <v>4</v>
      </c>
      <c r="N1456" s="63">
        <v>1</v>
      </c>
      <c r="O1456" s="63">
        <v>4</v>
      </c>
      <c r="P1456" s="21">
        <f>SUM(K1456:O1456)</f>
        <v>15</v>
      </c>
      <c r="Q1456" s="64"/>
      <c r="R1456" s="63"/>
      <c r="S1456" s="10"/>
      <c r="T1456" s="10"/>
      <c r="U1456" s="151"/>
      <c r="V1456" s="77"/>
      <c r="W1456" s="77"/>
      <c r="X1456" s="77"/>
      <c r="Y1456" s="2"/>
    </row>
    <row r="1457" spans="2:25">
      <c r="B1457" s="11"/>
      <c r="C1457" s="10"/>
      <c r="D1457" s="63"/>
      <c r="E1457" s="51" t="s">
        <v>43</v>
      </c>
      <c r="F1457" s="52">
        <f>F1456*0.25</f>
        <v>0</v>
      </c>
      <c r="G1457" s="53" t="s">
        <v>40</v>
      </c>
      <c r="H1457" s="54">
        <f>F1457/1.12</f>
        <v>0</v>
      </c>
      <c r="I1457" s="10"/>
      <c r="J1457" s="10" t="s">
        <v>44</v>
      </c>
      <c r="K1457" s="63">
        <v>3</v>
      </c>
      <c r="L1457" s="63">
        <v>1</v>
      </c>
      <c r="M1457" s="63">
        <v>0</v>
      </c>
      <c r="N1457" s="63">
        <v>4</v>
      </c>
      <c r="O1457" s="63">
        <v>3</v>
      </c>
      <c r="P1457" s="21">
        <f>SUM(K1457:O1457)</f>
        <v>11</v>
      </c>
      <c r="Q1457" s="64"/>
      <c r="R1457" s="63"/>
      <c r="S1457" s="10"/>
      <c r="T1457" s="10"/>
      <c r="U1457" s="151"/>
      <c r="V1457" s="77"/>
      <c r="W1457" s="77"/>
      <c r="X1457" s="77"/>
      <c r="Y1457" s="2"/>
    </row>
    <row r="1458" spans="2:25">
      <c r="B1458" s="11"/>
      <c r="C1458" s="10"/>
      <c r="D1458" s="63"/>
      <c r="E1458" s="24" t="s">
        <v>45</v>
      </c>
      <c r="F1458" s="60">
        <v>0</v>
      </c>
      <c r="G1458" s="61" t="s">
        <v>40</v>
      </c>
      <c r="H1458" s="62"/>
      <c r="I1458" s="10"/>
      <c r="J1458" s="10" t="s">
        <v>46</v>
      </c>
      <c r="K1458" s="31">
        <f t="shared" ref="K1458:Q1458" si="189">K1456/(K1456+K1457)</f>
        <v>0.4</v>
      </c>
      <c r="L1458" s="31">
        <f t="shared" si="189"/>
        <v>0.8</v>
      </c>
      <c r="M1458" s="31">
        <f t="shared" si="189"/>
        <v>1</v>
      </c>
      <c r="N1458" s="31">
        <f t="shared" si="189"/>
        <v>0.2</v>
      </c>
      <c r="O1458" s="31">
        <f t="shared" si="189"/>
        <v>0.5714285714285714</v>
      </c>
      <c r="P1458" s="31">
        <f t="shared" si="189"/>
        <v>0.57692307692307687</v>
      </c>
      <c r="Q1458" s="31" t="e">
        <f t="shared" si="189"/>
        <v>#DIV/0!</v>
      </c>
      <c r="R1458" s="63"/>
      <c r="S1458" s="10"/>
      <c r="T1458" s="10"/>
      <c r="U1458" s="151"/>
      <c r="V1458" s="77"/>
      <c r="W1458" s="77"/>
      <c r="X1458" s="77"/>
      <c r="Y1458" s="2"/>
    </row>
    <row r="1459" spans="2:25">
      <c r="B1459" s="11"/>
      <c r="C1459" s="10"/>
      <c r="D1459" s="63"/>
      <c r="E1459" s="51" t="s">
        <v>47</v>
      </c>
      <c r="F1459" s="52">
        <f>F1458*0.05</f>
        <v>0</v>
      </c>
      <c r="G1459" s="65" t="s">
        <v>40</v>
      </c>
      <c r="H1459" s="54">
        <f>F1459/1.12</f>
        <v>0</v>
      </c>
      <c r="I1459" s="42"/>
      <c r="J1459" s="10" t="s">
        <v>48</v>
      </c>
      <c r="K1459" s="66">
        <f>K1455/K1456</f>
        <v>3535.9449999999997</v>
      </c>
      <c r="L1459" s="66">
        <f t="shared" ref="L1459:Q1459" si="190">L1455/L1456</f>
        <v>1238.2249999999999</v>
      </c>
      <c r="M1459" s="66">
        <f t="shared" si="190"/>
        <v>2546.29</v>
      </c>
      <c r="N1459" s="66">
        <f t="shared" si="190"/>
        <v>7704.28</v>
      </c>
      <c r="O1459" s="66">
        <f t="shared" si="190"/>
        <v>891.15000000000009</v>
      </c>
      <c r="P1459" s="66">
        <f t="shared" si="190"/>
        <v>2231.9219999999996</v>
      </c>
      <c r="Q1459" s="66" t="e">
        <f t="shared" si="190"/>
        <v>#DIV/0!</v>
      </c>
      <c r="R1459" s="63"/>
      <c r="S1459" s="10"/>
      <c r="T1459" s="10"/>
      <c r="U1459" s="151"/>
      <c r="V1459" s="77"/>
      <c r="W1459" s="77"/>
      <c r="X1459" s="77"/>
      <c r="Y1459" s="2"/>
    </row>
    <row r="1460" spans="2:25">
      <c r="B1460" s="132"/>
      <c r="C1460" s="123"/>
      <c r="D1460" s="127"/>
      <c r="E1460" s="155" t="s">
        <v>14</v>
      </c>
      <c r="F1460" s="156">
        <f>4*50+1*50/3</f>
        <v>216.66666666666666</v>
      </c>
      <c r="G1460" s="123"/>
      <c r="H1460" s="54">
        <f>F1460/1.12</f>
        <v>193.45238095238093</v>
      </c>
      <c r="I1460" s="123"/>
      <c r="J1460" s="123"/>
      <c r="K1460" s="123"/>
      <c r="L1460" s="123"/>
      <c r="M1460" s="123"/>
      <c r="N1460" s="123"/>
      <c r="O1460" s="123"/>
      <c r="P1460" s="123"/>
      <c r="Q1460" s="123"/>
      <c r="R1460" s="123"/>
      <c r="S1460" s="123"/>
      <c r="T1460" s="123"/>
      <c r="U1460" s="157"/>
      <c r="V1460" s="123"/>
      <c r="W1460" s="123"/>
      <c r="X1460" s="123"/>
      <c r="Y1460" s="128"/>
    </row>
    <row r="1461" spans="2:25">
      <c r="B1461" s="132"/>
      <c r="C1461" s="123"/>
      <c r="D1461" s="127"/>
      <c r="E1461" s="158" t="s">
        <v>49</v>
      </c>
      <c r="F1461" s="159">
        <f>T1450</f>
        <v>0</v>
      </c>
      <c r="G1461" s="123"/>
      <c r="H1461" s="54"/>
      <c r="I1461" s="123"/>
      <c r="J1461" s="42"/>
      <c r="K1461" s="764" t="s">
        <v>50</v>
      </c>
      <c r="L1461" s="765"/>
      <c r="M1461" s="765"/>
      <c r="N1461" s="765"/>
      <c r="O1461" s="765"/>
      <c r="P1461" s="765"/>
      <c r="Q1461" s="766"/>
      <c r="R1461" s="70" t="s">
        <v>28</v>
      </c>
      <c r="S1461" s="71" t="s">
        <v>29</v>
      </c>
      <c r="T1461" s="123"/>
      <c r="U1461" s="157"/>
      <c r="V1461" s="123"/>
      <c r="W1461" s="123"/>
      <c r="X1461" s="123"/>
      <c r="Y1461" s="128"/>
    </row>
    <row r="1462" spans="2:25">
      <c r="B1462" s="132"/>
      <c r="C1462" s="123"/>
      <c r="D1462" s="127"/>
      <c r="E1462" s="303" t="s">
        <v>1827</v>
      </c>
      <c r="F1462" s="304">
        <f>$F$1173</f>
        <v>1316.2890000000004</v>
      </c>
      <c r="G1462" s="305"/>
      <c r="H1462" s="306">
        <f>F1462/1.12</f>
        <v>1175.2580357142861</v>
      </c>
      <c r="I1462" s="123"/>
      <c r="J1462" s="42"/>
      <c r="K1462" s="20" t="s">
        <v>31</v>
      </c>
      <c r="L1462" s="21" t="s">
        <v>32</v>
      </c>
      <c r="M1462" s="21" t="s">
        <v>33</v>
      </c>
      <c r="N1462" s="21" t="s">
        <v>34</v>
      </c>
      <c r="O1462" s="21" t="s">
        <v>35</v>
      </c>
      <c r="P1462" s="21" t="s">
        <v>36</v>
      </c>
      <c r="Q1462" s="49" t="s">
        <v>37</v>
      </c>
      <c r="R1462" s="50" t="s">
        <v>38</v>
      </c>
      <c r="S1462" s="50" t="s">
        <v>38</v>
      </c>
      <c r="T1462" s="123"/>
      <c r="U1462" s="157"/>
      <c r="V1462" s="123"/>
      <c r="W1462" s="123"/>
      <c r="X1462" s="123"/>
      <c r="Y1462" s="128"/>
    </row>
    <row r="1463" spans="2:25">
      <c r="B1463" s="132"/>
      <c r="C1463" s="123"/>
      <c r="D1463" s="127"/>
      <c r="E1463" s="303" t="s">
        <v>1828</v>
      </c>
      <c r="F1463" s="304">
        <f>$F$1362</f>
        <v>967.13950000000011</v>
      </c>
      <c r="G1463" s="305"/>
      <c r="H1463" s="306">
        <f>F1463/1.12</f>
        <v>863.51741071428569</v>
      </c>
      <c r="I1463" s="123"/>
      <c r="J1463" s="42"/>
      <c r="K1463" s="56">
        <f>F1474+F1506</f>
        <v>7284</v>
      </c>
      <c r="L1463" s="57">
        <f>F1475+F1477+F1476+F1478</f>
        <v>5072</v>
      </c>
      <c r="M1463" s="57">
        <f>F1479+F1480+F1482+F1481</f>
        <v>11847</v>
      </c>
      <c r="N1463" s="57">
        <f>F1502</f>
        <v>8641</v>
      </c>
      <c r="O1463" s="57">
        <f>F1483+F1484+F1485+F1486</f>
        <v>3644</v>
      </c>
      <c r="P1463" s="57">
        <f>SUM(K1463:O1463)</f>
        <v>36488</v>
      </c>
      <c r="Q1463" s="58">
        <v>0</v>
      </c>
      <c r="R1463" s="59">
        <f>F1503+F1507</f>
        <v>13716</v>
      </c>
      <c r="S1463" s="59">
        <v>0</v>
      </c>
      <c r="T1463" s="123"/>
      <c r="U1463" s="157"/>
      <c r="V1463" s="123"/>
      <c r="W1463" s="123"/>
      <c r="X1463" s="123"/>
      <c r="Y1463" s="128"/>
    </row>
    <row r="1464" spans="2:25">
      <c r="B1464" s="132"/>
      <c r="C1464" s="123"/>
      <c r="D1464" s="127"/>
      <c r="E1464" s="74" t="s">
        <v>1829</v>
      </c>
      <c r="F1464" s="75">
        <v>-686.72</v>
      </c>
      <c r="G1464" s="123"/>
      <c r="H1464" s="54"/>
      <c r="I1464" s="123"/>
      <c r="J1464" s="10" t="s">
        <v>42</v>
      </c>
      <c r="K1464" s="63">
        <f t="shared" ref="K1464:Q1465" si="191">K1456</f>
        <v>2</v>
      </c>
      <c r="L1464" s="63">
        <f t="shared" si="191"/>
        <v>4</v>
      </c>
      <c r="M1464" s="63">
        <f t="shared" si="191"/>
        <v>4</v>
      </c>
      <c r="N1464" s="63">
        <f t="shared" si="191"/>
        <v>1</v>
      </c>
      <c r="O1464" s="63">
        <f t="shared" si="191"/>
        <v>4</v>
      </c>
      <c r="P1464" s="63">
        <f t="shared" si="191"/>
        <v>15</v>
      </c>
      <c r="Q1464" s="63">
        <f t="shared" si="191"/>
        <v>0</v>
      </c>
      <c r="R1464" s="63"/>
      <c r="S1464" s="10"/>
      <c r="T1464" s="123"/>
      <c r="U1464" s="157"/>
      <c r="V1464" s="123"/>
      <c r="W1464" s="123"/>
      <c r="X1464" s="123"/>
      <c r="Y1464" s="128"/>
    </row>
    <row r="1465" spans="2:25">
      <c r="B1465" s="132"/>
      <c r="C1465" s="123"/>
      <c r="D1465" s="127"/>
      <c r="E1465" s="485" t="s">
        <v>1830</v>
      </c>
      <c r="F1465" s="403">
        <v>2.17</v>
      </c>
      <c r="G1465" s="123"/>
      <c r="H1465" s="54"/>
      <c r="I1465" s="123"/>
      <c r="J1465" s="10" t="s">
        <v>44</v>
      </c>
      <c r="K1465" s="63">
        <f t="shared" si="191"/>
        <v>3</v>
      </c>
      <c r="L1465" s="63">
        <f t="shared" si="191"/>
        <v>1</v>
      </c>
      <c r="M1465" s="63">
        <f t="shared" si="191"/>
        <v>0</v>
      </c>
      <c r="N1465" s="63">
        <f t="shared" si="191"/>
        <v>4</v>
      </c>
      <c r="O1465" s="63">
        <f t="shared" si="191"/>
        <v>3</v>
      </c>
      <c r="P1465" s="63">
        <f t="shared" si="191"/>
        <v>11</v>
      </c>
      <c r="Q1465" s="63">
        <f t="shared" si="191"/>
        <v>0</v>
      </c>
      <c r="R1465" s="63"/>
      <c r="S1465" s="10"/>
      <c r="T1465" s="123"/>
      <c r="U1465" s="157"/>
      <c r="V1465" s="123"/>
      <c r="W1465" s="123"/>
      <c r="X1465" s="123"/>
      <c r="Y1465" s="128"/>
    </row>
    <row r="1466" spans="2:25">
      <c r="B1466" s="132"/>
      <c r="C1466" s="123"/>
      <c r="D1466" s="127"/>
      <c r="E1466" s="74" t="s">
        <v>1831</v>
      </c>
      <c r="F1466" s="75">
        <v>-81.95</v>
      </c>
      <c r="G1466" s="123"/>
      <c r="H1466" s="54"/>
      <c r="I1466" s="123"/>
      <c r="J1466" s="10" t="s">
        <v>46</v>
      </c>
      <c r="K1466" s="31">
        <f t="shared" ref="K1466:Q1466" si="192">K1464/(K1464+K1465)</f>
        <v>0.4</v>
      </c>
      <c r="L1466" s="31">
        <f t="shared" si="192"/>
        <v>0.8</v>
      </c>
      <c r="M1466" s="31">
        <f t="shared" si="192"/>
        <v>1</v>
      </c>
      <c r="N1466" s="31">
        <f t="shared" si="192"/>
        <v>0.2</v>
      </c>
      <c r="O1466" s="31">
        <f t="shared" si="192"/>
        <v>0.5714285714285714</v>
      </c>
      <c r="P1466" s="31">
        <f t="shared" si="192"/>
        <v>0.57692307692307687</v>
      </c>
      <c r="Q1466" s="31" t="e">
        <f t="shared" si="192"/>
        <v>#DIV/0!</v>
      </c>
      <c r="R1466" s="63"/>
      <c r="S1466" s="10"/>
      <c r="T1466" s="123"/>
      <c r="U1466" s="157"/>
      <c r="V1466" s="123"/>
      <c r="W1466" s="123"/>
      <c r="X1466" s="123"/>
      <c r="Y1466" s="128"/>
    </row>
    <row r="1467" spans="2:25">
      <c r="B1467" s="132"/>
      <c r="C1467" s="123"/>
      <c r="D1467" s="127"/>
      <c r="E1467" s="12"/>
      <c r="F1467" s="12"/>
      <c r="G1467" s="123"/>
      <c r="H1467" s="54"/>
      <c r="I1467" s="123"/>
      <c r="J1467" s="10" t="s">
        <v>48</v>
      </c>
      <c r="K1467" s="66">
        <f t="shared" ref="K1467:Q1467" si="193">K1463/K1464</f>
        <v>3642</v>
      </c>
      <c r="L1467" s="66">
        <f t="shared" si="193"/>
        <v>1268</v>
      </c>
      <c r="M1467" s="66">
        <f t="shared" si="193"/>
        <v>2961.75</v>
      </c>
      <c r="N1467" s="66">
        <f t="shared" si="193"/>
        <v>8641</v>
      </c>
      <c r="O1467" s="66">
        <f t="shared" si="193"/>
        <v>911</v>
      </c>
      <c r="P1467" s="66">
        <f t="shared" si="193"/>
        <v>2432.5333333333333</v>
      </c>
      <c r="Q1467" s="66" t="e">
        <f t="shared" si="193"/>
        <v>#DIV/0!</v>
      </c>
      <c r="R1467" s="63"/>
      <c r="S1467" s="10"/>
      <c r="T1467" s="123"/>
      <c r="U1467" s="157"/>
      <c r="V1467" s="123"/>
      <c r="W1467" s="123"/>
      <c r="X1467" s="123"/>
      <c r="Y1467" s="128"/>
    </row>
    <row r="1468" spans="2:25">
      <c r="B1468" s="132"/>
      <c r="C1468" s="123"/>
      <c r="D1468" s="127"/>
      <c r="E1468" s="10"/>
      <c r="F1468" s="10"/>
      <c r="G1468" s="123"/>
      <c r="H1468" s="54"/>
      <c r="I1468" s="123"/>
      <c r="J1468" s="123"/>
      <c r="K1468" s="123"/>
      <c r="L1468" s="123"/>
      <c r="M1468" s="123"/>
      <c r="N1468" s="123"/>
      <c r="O1468" s="123"/>
      <c r="P1468" s="123"/>
      <c r="Q1468" s="123"/>
      <c r="R1468" s="123"/>
      <c r="S1468" s="123"/>
      <c r="T1468" s="123"/>
      <c r="U1468" s="157"/>
      <c r="V1468" s="123"/>
      <c r="W1468" s="123"/>
      <c r="X1468" s="123"/>
      <c r="Y1468" s="128"/>
    </row>
    <row r="1469" spans="2:25">
      <c r="B1469" s="11"/>
      <c r="C1469" s="10"/>
      <c r="D1469" s="63"/>
      <c r="E1469" s="12"/>
      <c r="F1469" s="12"/>
      <c r="G1469" s="10"/>
      <c r="H1469" s="10"/>
      <c r="I1469" s="10"/>
      <c r="J1469" s="10"/>
      <c r="K1469" s="10"/>
      <c r="L1469" s="10"/>
      <c r="M1469" s="10"/>
      <c r="N1469" s="10"/>
      <c r="O1469" s="10"/>
      <c r="P1469" s="10"/>
      <c r="Q1469" s="10"/>
      <c r="R1469" s="10"/>
      <c r="S1469" s="10"/>
      <c r="T1469" s="10"/>
      <c r="U1469" s="151"/>
      <c r="V1469" s="77"/>
      <c r="W1469" s="77"/>
      <c r="X1469" s="77"/>
      <c r="Y1469" s="2"/>
    </row>
    <row r="1470" spans="2:25">
      <c r="B1470" s="11"/>
      <c r="C1470" s="10"/>
      <c r="D1470" s="63"/>
      <c r="E1470" s="10"/>
      <c r="F1470" s="10"/>
      <c r="G1470" s="10"/>
      <c r="H1470" s="10"/>
      <c r="I1470" s="10"/>
      <c r="J1470" s="10"/>
      <c r="K1470" s="10"/>
      <c r="L1470" s="10"/>
      <c r="M1470" s="10"/>
      <c r="N1470" s="10"/>
      <c r="O1470" s="10"/>
      <c r="P1470" s="10"/>
      <c r="Q1470" s="10"/>
      <c r="R1470" s="10"/>
      <c r="S1470" s="10"/>
      <c r="T1470" s="10"/>
      <c r="U1470" s="151"/>
      <c r="V1470" s="77"/>
      <c r="W1470" s="77"/>
      <c r="X1470" s="77"/>
      <c r="Y1470" s="2"/>
    </row>
    <row r="1471" spans="2:25">
      <c r="B1471" s="18" t="s">
        <v>51</v>
      </c>
      <c r="C1471" s="14"/>
      <c r="D1471" s="14"/>
      <c r="E1471" s="14"/>
      <c r="F1471" s="13" t="s">
        <v>52</v>
      </c>
      <c r="G1471" s="14"/>
      <c r="H1471" s="14"/>
      <c r="I1471" s="14"/>
      <c r="J1471" s="14"/>
      <c r="K1471" s="13" t="s">
        <v>3</v>
      </c>
      <c r="L1471" s="14"/>
      <c r="M1471" s="14"/>
      <c r="N1471" s="13" t="s">
        <v>4</v>
      </c>
      <c r="O1471" s="14"/>
      <c r="P1471" s="14"/>
      <c r="Q1471" s="13" t="s">
        <v>5</v>
      </c>
      <c r="R1471" s="14"/>
      <c r="S1471" s="14"/>
      <c r="T1471" s="18"/>
      <c r="U1471" s="161" t="s">
        <v>53</v>
      </c>
      <c r="V1471" s="77"/>
      <c r="W1471" s="77"/>
      <c r="X1471" s="77"/>
      <c r="Y1471" s="2"/>
    </row>
    <row r="1472" spans="2:25">
      <c r="B1472" s="24" t="s">
        <v>54</v>
      </c>
      <c r="C1472" s="21" t="s">
        <v>55</v>
      </c>
      <c r="D1472" s="21" t="s">
        <v>56</v>
      </c>
      <c r="E1472" s="21" t="s">
        <v>57</v>
      </c>
      <c r="F1472" s="20" t="s">
        <v>58</v>
      </c>
      <c r="G1472" s="21" t="s">
        <v>59</v>
      </c>
      <c r="H1472" s="21" t="s">
        <v>60</v>
      </c>
      <c r="I1472" s="21" t="s">
        <v>26</v>
      </c>
      <c r="J1472" s="22" t="s">
        <v>61</v>
      </c>
      <c r="K1472" s="21" t="s">
        <v>8</v>
      </c>
      <c r="L1472" s="21" t="s">
        <v>9</v>
      </c>
      <c r="M1472" s="21" t="s">
        <v>10</v>
      </c>
      <c r="N1472" s="20" t="s">
        <v>11</v>
      </c>
      <c r="O1472" s="21" t="s">
        <v>12</v>
      </c>
      <c r="P1472" s="22" t="s">
        <v>13</v>
      </c>
      <c r="Q1472" s="21" t="s">
        <v>11</v>
      </c>
      <c r="R1472" s="21" t="s">
        <v>12</v>
      </c>
      <c r="S1472" s="21" t="s">
        <v>13</v>
      </c>
      <c r="T1472" s="78" t="s">
        <v>14</v>
      </c>
      <c r="U1472" s="162"/>
      <c r="V1472" s="79" t="s">
        <v>62</v>
      </c>
      <c r="W1472" s="80" t="s">
        <v>63</v>
      </c>
      <c r="X1472" s="81" t="s">
        <v>64</v>
      </c>
      <c r="Y1472" s="2"/>
    </row>
    <row r="1473" spans="1:25">
      <c r="B1473" s="4" t="s">
        <v>65</v>
      </c>
      <c r="C1473" s="6"/>
      <c r="D1473" s="6"/>
      <c r="E1473" s="6"/>
      <c r="F1473" s="6"/>
      <c r="G1473" s="6"/>
      <c r="H1473" s="6"/>
      <c r="I1473" s="82"/>
      <c r="J1473" s="6"/>
      <c r="K1473" s="6"/>
      <c r="L1473" s="6"/>
      <c r="M1473" s="6"/>
      <c r="N1473" s="6"/>
      <c r="O1473" s="6"/>
      <c r="P1473" s="6"/>
      <c r="Q1473" s="6"/>
      <c r="R1473" s="6"/>
      <c r="S1473" s="6"/>
      <c r="T1473" s="83"/>
      <c r="U1473" s="163"/>
      <c r="V1473" s="84"/>
      <c r="W1473" s="85"/>
      <c r="X1473" s="86"/>
      <c r="Y1473" s="2"/>
    </row>
    <row r="1474" spans="1:25">
      <c r="B1474" s="87">
        <v>1</v>
      </c>
      <c r="C1474" s="638">
        <v>45957</v>
      </c>
      <c r="D1474" s="276">
        <v>74861</v>
      </c>
      <c r="E1474" s="276" t="s">
        <v>169</v>
      </c>
      <c r="F1474" s="277">
        <v>2209</v>
      </c>
      <c r="G1474" s="277">
        <f>39.7+(69.32)</f>
        <v>109.02</v>
      </c>
      <c r="H1474" s="297"/>
      <c r="I1474" s="278">
        <f>F1474-G1474-H1474</f>
        <v>2099.98</v>
      </c>
      <c r="J1474" s="279" t="s">
        <v>156</v>
      </c>
      <c r="K1474" s="279">
        <v>1</v>
      </c>
      <c r="L1474" s="279">
        <v>1</v>
      </c>
      <c r="M1474" s="279">
        <v>1</v>
      </c>
      <c r="N1474" s="279">
        <v>1</v>
      </c>
      <c r="O1474" s="279">
        <v>1</v>
      </c>
      <c r="P1474" s="279">
        <v>1</v>
      </c>
      <c r="Q1474" s="279">
        <v>1</v>
      </c>
      <c r="R1474" s="279">
        <v>1</v>
      </c>
      <c r="S1474" s="280">
        <v>1</v>
      </c>
      <c r="T1474" s="63"/>
      <c r="U1474" s="94"/>
      <c r="V1474" s="90">
        <v>2429.9</v>
      </c>
      <c r="W1474" s="91"/>
      <c r="X1474" s="92"/>
      <c r="Y1474" s="2"/>
    </row>
    <row r="1475" spans="1:25">
      <c r="B1475" s="87">
        <f t="shared" ref="B1475:B1486" si="194">B1474+1</f>
        <v>2</v>
      </c>
      <c r="C1475" s="638">
        <v>45958</v>
      </c>
      <c r="D1475" s="276">
        <v>74878</v>
      </c>
      <c r="E1475" s="276" t="s">
        <v>1169</v>
      </c>
      <c r="F1475" s="277">
        <v>681</v>
      </c>
      <c r="G1475" s="277"/>
      <c r="H1475" s="277"/>
      <c r="I1475" s="278">
        <f t="shared" ref="I1475:I1482" si="195">F1475-G1475-H1475</f>
        <v>681</v>
      </c>
      <c r="J1475" s="279" t="s">
        <v>156</v>
      </c>
      <c r="K1475" s="279">
        <v>1</v>
      </c>
      <c r="L1475" s="279">
        <v>1</v>
      </c>
      <c r="M1475" s="279">
        <v>1</v>
      </c>
      <c r="N1475" s="279">
        <v>1</v>
      </c>
      <c r="O1475" s="279">
        <v>1</v>
      </c>
      <c r="P1475" s="279">
        <v>1</v>
      </c>
      <c r="Q1475" s="279">
        <v>1</v>
      </c>
      <c r="R1475" s="279">
        <v>1</v>
      </c>
      <c r="S1475" s="280">
        <v>1</v>
      </c>
      <c r="T1475" s="21">
        <v>1</v>
      </c>
      <c r="U1475" s="94"/>
      <c r="V1475" s="90">
        <v>749.1</v>
      </c>
      <c r="W1475" s="91"/>
      <c r="X1475" s="92"/>
      <c r="Y1475" s="2"/>
    </row>
    <row r="1476" spans="1:25">
      <c r="A1476" s="2" t="s">
        <v>1832</v>
      </c>
      <c r="B1476" s="87">
        <f>B1475+1</f>
        <v>3</v>
      </c>
      <c r="C1476" s="639">
        <v>45958</v>
      </c>
      <c r="D1476" s="10">
        <v>74874</v>
      </c>
      <c r="E1476" s="10" t="s">
        <v>447</v>
      </c>
      <c r="F1476" s="62">
        <v>1861</v>
      </c>
      <c r="G1476" s="62">
        <f>39.7</f>
        <v>39.700000000000003</v>
      </c>
      <c r="H1476" s="62"/>
      <c r="I1476" s="89">
        <f>F1476-G1476-H1476</f>
        <v>1821.3</v>
      </c>
      <c r="J1476" s="63" t="s">
        <v>156</v>
      </c>
      <c r="K1476" s="63">
        <v>1</v>
      </c>
      <c r="L1476" s="63">
        <v>1</v>
      </c>
      <c r="M1476" s="63">
        <v>1</v>
      </c>
      <c r="N1476" s="63">
        <v>1</v>
      </c>
      <c r="O1476" s="63">
        <v>1</v>
      </c>
      <c r="P1476" s="63">
        <v>1</v>
      </c>
      <c r="Q1476" s="63">
        <v>1</v>
      </c>
      <c r="R1476" s="63">
        <v>1</v>
      </c>
      <c r="S1476" s="296">
        <v>1</v>
      </c>
      <c r="T1476" s="63"/>
      <c r="U1476" s="94"/>
      <c r="V1476" s="90">
        <f>200+1847.1</f>
        <v>2047.1</v>
      </c>
      <c r="W1476" s="91"/>
      <c r="X1476" s="92"/>
      <c r="Y1476" s="2"/>
    </row>
    <row r="1477" spans="1:25">
      <c r="B1477" s="87">
        <f>B1476+1</f>
        <v>4</v>
      </c>
      <c r="C1477" s="639">
        <v>45958</v>
      </c>
      <c r="D1477" s="3">
        <v>74899</v>
      </c>
      <c r="E1477" s="10" t="s">
        <v>1028</v>
      </c>
      <c r="F1477" s="62">
        <v>1281</v>
      </c>
      <c r="G1477" s="62">
        <f>39.7</f>
        <v>39.700000000000003</v>
      </c>
      <c r="H1477" s="62"/>
      <c r="I1477" s="89">
        <f t="shared" si="195"/>
        <v>1241.3</v>
      </c>
      <c r="J1477" s="63" t="s">
        <v>156</v>
      </c>
      <c r="K1477" s="63">
        <v>1</v>
      </c>
      <c r="L1477" s="63">
        <v>1</v>
      </c>
      <c r="M1477" s="63">
        <v>1</v>
      </c>
      <c r="N1477" s="63">
        <v>1</v>
      </c>
      <c r="O1477" s="63">
        <v>1</v>
      </c>
      <c r="P1477" s="63">
        <v>1</v>
      </c>
      <c r="Q1477" s="63">
        <v>1</v>
      </c>
      <c r="R1477" s="63">
        <v>1</v>
      </c>
      <c r="S1477" s="296">
        <v>1</v>
      </c>
      <c r="T1477" s="63"/>
      <c r="U1477" s="94"/>
      <c r="V1477" s="90">
        <v>1409.1</v>
      </c>
      <c r="W1477" s="91"/>
      <c r="X1477" s="92"/>
      <c r="Y1477" s="2"/>
    </row>
    <row r="1478" spans="1:25">
      <c r="B1478" s="87">
        <f>B1477+1</f>
        <v>5</v>
      </c>
      <c r="C1478" s="640">
        <v>45958</v>
      </c>
      <c r="D1478" s="283">
        <v>74883</v>
      </c>
      <c r="E1478" s="283" t="s">
        <v>1319</v>
      </c>
      <c r="F1478" s="284">
        <v>1249</v>
      </c>
      <c r="G1478" s="284">
        <f>39.7</f>
        <v>39.700000000000003</v>
      </c>
      <c r="H1478" s="284"/>
      <c r="I1478" s="285">
        <f>F1478-G1478-H1478</f>
        <v>1209.3</v>
      </c>
      <c r="J1478" s="286" t="s">
        <v>156</v>
      </c>
      <c r="K1478" s="286">
        <v>1</v>
      </c>
      <c r="L1478" s="286">
        <v>1</v>
      </c>
      <c r="M1478" s="286">
        <v>1</v>
      </c>
      <c r="N1478" s="286">
        <v>1</v>
      </c>
      <c r="O1478" s="286">
        <v>1</v>
      </c>
      <c r="P1478" s="286">
        <v>1</v>
      </c>
      <c r="Q1478" s="286">
        <v>1</v>
      </c>
      <c r="R1478" s="286">
        <v>1</v>
      </c>
      <c r="S1478" s="287">
        <v>1</v>
      </c>
      <c r="T1478" s="21">
        <v>1</v>
      </c>
      <c r="U1478" s="94" t="s">
        <v>1833</v>
      </c>
      <c r="V1478" s="90">
        <f>130+1373.9</f>
        <v>1503.9</v>
      </c>
      <c r="W1478" s="91"/>
      <c r="X1478" s="92"/>
      <c r="Y1478" s="2"/>
    </row>
    <row r="1479" spans="1:25">
      <c r="B1479" s="87">
        <f>B1478+1</f>
        <v>6</v>
      </c>
      <c r="C1479" s="639">
        <v>45959</v>
      </c>
      <c r="D1479" s="10">
        <v>74905</v>
      </c>
      <c r="E1479" s="94" t="s">
        <v>1401</v>
      </c>
      <c r="F1479" s="62">
        <v>2814</v>
      </c>
      <c r="G1479" s="62">
        <f>39.7+(347.1)</f>
        <v>386.8</v>
      </c>
      <c r="H1479" s="62"/>
      <c r="I1479" s="89">
        <f t="shared" si="195"/>
        <v>2427.1999999999998</v>
      </c>
      <c r="J1479" s="63" t="s">
        <v>156</v>
      </c>
      <c r="K1479" s="63">
        <v>1</v>
      </c>
      <c r="L1479" s="63">
        <v>1</v>
      </c>
      <c r="M1479" s="63">
        <v>1</v>
      </c>
      <c r="N1479" s="63">
        <v>1</v>
      </c>
      <c r="O1479" s="63">
        <v>1</v>
      </c>
      <c r="P1479" s="63">
        <v>1</v>
      </c>
      <c r="Q1479" s="63">
        <v>1</v>
      </c>
      <c r="R1479" s="63">
        <v>1</v>
      </c>
      <c r="S1479" s="296">
        <v>1</v>
      </c>
      <c r="T1479" s="63"/>
      <c r="U1479" s="94" t="s">
        <v>1834</v>
      </c>
      <c r="V1479" s="90">
        <f>300+2795.4</f>
        <v>3095.4</v>
      </c>
      <c r="W1479" s="91"/>
      <c r="X1479" s="92"/>
      <c r="Y1479" s="2"/>
    </row>
    <row r="1480" spans="1:25">
      <c r="B1480" s="87">
        <f t="shared" si="194"/>
        <v>7</v>
      </c>
      <c r="C1480" s="639">
        <v>45959</v>
      </c>
      <c r="D1480" s="10">
        <v>74890</v>
      </c>
      <c r="E1480" s="10" t="s">
        <v>1835</v>
      </c>
      <c r="F1480" s="62">
        <v>681</v>
      </c>
      <c r="G1480" s="62"/>
      <c r="H1480" s="62"/>
      <c r="I1480" s="89">
        <f t="shared" si="195"/>
        <v>681</v>
      </c>
      <c r="J1480" s="63" t="s">
        <v>156</v>
      </c>
      <c r="K1480" s="63">
        <v>1</v>
      </c>
      <c r="L1480" s="63">
        <v>1</v>
      </c>
      <c r="M1480" s="63">
        <v>1</v>
      </c>
      <c r="N1480" s="63">
        <v>1</v>
      </c>
      <c r="O1480" s="63">
        <v>1</v>
      </c>
      <c r="P1480" s="63">
        <v>1</v>
      </c>
      <c r="Q1480" s="63">
        <v>1</v>
      </c>
      <c r="R1480" s="63">
        <v>1</v>
      </c>
      <c r="S1480" s="296">
        <v>1</v>
      </c>
      <c r="T1480" s="63"/>
      <c r="U1480" s="94"/>
      <c r="V1480" s="90">
        <v>749.1</v>
      </c>
      <c r="W1480" s="91"/>
      <c r="X1480" s="92"/>
      <c r="Y1480" s="2"/>
    </row>
    <row r="1481" spans="1:25">
      <c r="B1481" s="87">
        <f>B1480+1</f>
        <v>8</v>
      </c>
      <c r="C1481" s="639">
        <v>45959</v>
      </c>
      <c r="D1481" s="10" t="s">
        <v>1836</v>
      </c>
      <c r="E1481" s="10" t="s">
        <v>1835</v>
      </c>
      <c r="F1481" s="62">
        <v>7214</v>
      </c>
      <c r="G1481" s="62">
        <f>39.7+(1195.64)</f>
        <v>1235.3400000000001</v>
      </c>
      <c r="H1481" s="62"/>
      <c r="I1481" s="89">
        <f>F1481-G1481-H1481</f>
        <v>5978.66</v>
      </c>
      <c r="J1481" s="63" t="s">
        <v>228</v>
      </c>
      <c r="K1481" s="63">
        <v>1</v>
      </c>
      <c r="L1481" s="63">
        <v>1</v>
      </c>
      <c r="M1481" s="63">
        <v>1</v>
      </c>
      <c r="N1481" s="63">
        <v>1</v>
      </c>
      <c r="O1481" s="63">
        <v>1</v>
      </c>
      <c r="P1481" s="63">
        <v>1</v>
      </c>
      <c r="Q1481" s="63">
        <v>0</v>
      </c>
      <c r="R1481" s="63">
        <v>0</v>
      </c>
      <c r="S1481" s="296">
        <v>0</v>
      </c>
      <c r="T1481" s="63"/>
      <c r="U1481" s="94" t="s">
        <v>1837</v>
      </c>
      <c r="V1481" s="90">
        <f>800+7135.4</f>
        <v>7935.4</v>
      </c>
      <c r="W1481" s="91"/>
      <c r="X1481" s="92"/>
      <c r="Y1481" s="2"/>
    </row>
    <row r="1482" spans="1:25">
      <c r="B1482" s="87">
        <f>B1481+1</f>
        <v>9</v>
      </c>
      <c r="C1482" s="639">
        <v>45959</v>
      </c>
      <c r="D1482" s="10">
        <v>74926</v>
      </c>
      <c r="E1482" s="10" t="s">
        <v>306</v>
      </c>
      <c r="F1482" s="62">
        <v>1138</v>
      </c>
      <c r="G1482" s="62">
        <v>39.700000000000003</v>
      </c>
      <c r="H1482" s="88"/>
      <c r="I1482" s="89">
        <f t="shared" si="195"/>
        <v>1098.3</v>
      </c>
      <c r="J1482" s="63" t="s">
        <v>156</v>
      </c>
      <c r="K1482" s="63">
        <v>1</v>
      </c>
      <c r="L1482" s="63">
        <v>1</v>
      </c>
      <c r="M1482" s="63">
        <v>1</v>
      </c>
      <c r="N1482" s="63">
        <v>1</v>
      </c>
      <c r="O1482" s="63">
        <v>1</v>
      </c>
      <c r="P1482" s="63">
        <v>1</v>
      </c>
      <c r="Q1482" s="63">
        <v>1</v>
      </c>
      <c r="R1482" s="63">
        <v>1</v>
      </c>
      <c r="S1482" s="296">
        <v>1</v>
      </c>
      <c r="T1482" s="63"/>
      <c r="U1482" s="94" t="s">
        <v>1838</v>
      </c>
      <c r="V1482" s="90">
        <v>1251.8</v>
      </c>
      <c r="W1482" s="91"/>
      <c r="X1482" s="92"/>
      <c r="Y1482" s="2"/>
    </row>
    <row r="1483" spans="1:25">
      <c r="B1483" s="87">
        <f t="shared" si="194"/>
        <v>10</v>
      </c>
      <c r="C1483" s="638">
        <v>45961</v>
      </c>
      <c r="D1483" s="276">
        <v>74980</v>
      </c>
      <c r="E1483" s="276" t="s">
        <v>382</v>
      </c>
      <c r="F1483" s="277">
        <v>1461</v>
      </c>
      <c r="G1483" s="277">
        <f>39.7</f>
        <v>39.700000000000003</v>
      </c>
      <c r="H1483" s="297"/>
      <c r="I1483" s="278">
        <f>F1483-G1483-H1483</f>
        <v>1421.3</v>
      </c>
      <c r="J1483" s="279" t="s">
        <v>156</v>
      </c>
      <c r="K1483" s="279">
        <v>1</v>
      </c>
      <c r="L1483" s="279">
        <v>1</v>
      </c>
      <c r="M1483" s="279">
        <v>1</v>
      </c>
      <c r="N1483" s="279">
        <v>1</v>
      </c>
      <c r="O1483" s="279">
        <v>1</v>
      </c>
      <c r="P1483" s="279">
        <v>1</v>
      </c>
      <c r="Q1483" s="279">
        <v>0</v>
      </c>
      <c r="R1483" s="279">
        <v>0</v>
      </c>
      <c r="S1483" s="280">
        <v>0</v>
      </c>
      <c r="T1483" s="63"/>
      <c r="U1483" s="94"/>
      <c r="V1483" s="90">
        <v>1607.1</v>
      </c>
      <c r="W1483" s="91"/>
      <c r="X1483" s="92"/>
      <c r="Y1483" s="2"/>
    </row>
    <row r="1484" spans="1:25">
      <c r="B1484" s="87">
        <f t="shared" si="194"/>
        <v>11</v>
      </c>
      <c r="C1484" s="639">
        <v>45961</v>
      </c>
      <c r="D1484" s="10">
        <v>74996</v>
      </c>
      <c r="E1484" s="10" t="s">
        <v>159</v>
      </c>
      <c r="F1484" s="62">
        <v>681</v>
      </c>
      <c r="G1484" s="62"/>
      <c r="H1484" s="88"/>
      <c r="I1484" s="89">
        <f>F1484-G1484-H1484</f>
        <v>681</v>
      </c>
      <c r="J1484" s="63" t="s">
        <v>156</v>
      </c>
      <c r="K1484" s="63">
        <v>1</v>
      </c>
      <c r="L1484" s="63">
        <v>1</v>
      </c>
      <c r="M1484" s="63">
        <v>1</v>
      </c>
      <c r="N1484" s="63">
        <v>1</v>
      </c>
      <c r="O1484" s="63">
        <v>1</v>
      </c>
      <c r="P1484" s="63">
        <v>1</v>
      </c>
      <c r="Q1484" s="63">
        <v>1</v>
      </c>
      <c r="R1484" s="63">
        <v>1</v>
      </c>
      <c r="S1484" s="296">
        <v>1</v>
      </c>
      <c r="T1484" s="21">
        <v>1</v>
      </c>
      <c r="U1484" s="94"/>
      <c r="V1484" s="90">
        <v>749.1</v>
      </c>
      <c r="W1484" s="91"/>
      <c r="X1484" s="92"/>
      <c r="Y1484" s="2"/>
    </row>
    <row r="1485" spans="1:25">
      <c r="B1485" s="87">
        <f t="shared" si="194"/>
        <v>12</v>
      </c>
      <c r="C1485" s="639">
        <v>45961</v>
      </c>
      <c r="D1485" s="10">
        <v>74981</v>
      </c>
      <c r="E1485" s="10" t="s">
        <v>798</v>
      </c>
      <c r="F1485" s="62">
        <v>821</v>
      </c>
      <c r="G1485" s="62">
        <f>39.7</f>
        <v>39.700000000000003</v>
      </c>
      <c r="H1485" s="88"/>
      <c r="I1485" s="89">
        <f>F1485-G1485-H1485</f>
        <v>781.3</v>
      </c>
      <c r="J1485" s="63" t="s">
        <v>156</v>
      </c>
      <c r="K1485" s="63">
        <v>1</v>
      </c>
      <c r="L1485" s="63">
        <v>1</v>
      </c>
      <c r="M1485" s="63">
        <v>1</v>
      </c>
      <c r="N1485" s="63">
        <v>1</v>
      </c>
      <c r="O1485" s="63">
        <v>1</v>
      </c>
      <c r="P1485" s="63">
        <v>1</v>
      </c>
      <c r="Q1485" s="63">
        <v>1</v>
      </c>
      <c r="R1485" s="63">
        <v>1</v>
      </c>
      <c r="S1485" s="296">
        <v>1</v>
      </c>
      <c r="T1485" s="21">
        <v>1</v>
      </c>
      <c r="U1485" s="94"/>
      <c r="V1485" s="90">
        <v>903.1</v>
      </c>
      <c r="W1485" s="91"/>
      <c r="X1485" s="92"/>
      <c r="Y1485" s="2"/>
    </row>
    <row r="1486" spans="1:25">
      <c r="B1486" s="87">
        <f t="shared" si="194"/>
        <v>13</v>
      </c>
      <c r="C1486" s="640">
        <v>45961</v>
      </c>
      <c r="D1486" s="283">
        <v>75024</v>
      </c>
      <c r="E1486" s="283" t="s">
        <v>1186</v>
      </c>
      <c r="F1486" s="284">
        <v>681</v>
      </c>
      <c r="G1486" s="284"/>
      <c r="H1486" s="315"/>
      <c r="I1486" s="285">
        <f>F1486-G1486-H1486</f>
        <v>681</v>
      </c>
      <c r="J1486" s="286" t="s">
        <v>236</v>
      </c>
      <c r="K1486" s="286">
        <v>1</v>
      </c>
      <c r="L1486" s="286">
        <v>1</v>
      </c>
      <c r="M1486" s="286">
        <v>1</v>
      </c>
      <c r="N1486" s="286">
        <v>1</v>
      </c>
      <c r="O1486" s="286">
        <v>1</v>
      </c>
      <c r="P1486" s="286">
        <v>1</v>
      </c>
      <c r="Q1486" s="286">
        <v>0</v>
      </c>
      <c r="R1486" s="286">
        <v>0</v>
      </c>
      <c r="S1486" s="287">
        <v>0</v>
      </c>
      <c r="T1486" s="63"/>
      <c r="U1486" s="94"/>
      <c r="V1486" s="90">
        <v>649.1</v>
      </c>
      <c r="W1486" s="367">
        <v>100</v>
      </c>
      <c r="X1486" s="92"/>
      <c r="Y1486" s="2"/>
    </row>
    <row r="1487" spans="1:25">
      <c r="B1487" s="87"/>
      <c r="C1487" s="621"/>
      <c r="D1487" s="10"/>
      <c r="E1487" s="10"/>
      <c r="F1487" s="97">
        <f>SUM(F1474:F1486)</f>
        <v>22772</v>
      </c>
      <c r="G1487" s="97">
        <f>SUM(G1474:G1486)</f>
        <v>1969.3600000000004</v>
      </c>
      <c r="H1487" s="97">
        <f>SUM(H1474:H1486)</f>
        <v>0</v>
      </c>
      <c r="I1487" s="98">
        <f>SUM(I1474:I1486)</f>
        <v>20802.64</v>
      </c>
      <c r="J1487" s="63"/>
      <c r="K1487" s="63">
        <f>COUNT(K1474:K1486)</f>
        <v>13</v>
      </c>
      <c r="L1487" s="63">
        <f>COUNT(L1474:L1486)</f>
        <v>13</v>
      </c>
      <c r="M1487" s="63">
        <f>COUNT(M1474:M1486)</f>
        <v>13</v>
      </c>
      <c r="N1487" s="63">
        <f>COUNT(N1474:N1486)</f>
        <v>13</v>
      </c>
      <c r="O1487" s="63">
        <f>COUNT(O1474:O1486)</f>
        <v>13</v>
      </c>
      <c r="P1487" s="63">
        <f>COUNT(P1474:P1486)</f>
        <v>13</v>
      </c>
      <c r="Q1487" s="63">
        <f>COUNT(Q1474:Q1486)</f>
        <v>13</v>
      </c>
      <c r="R1487" s="63">
        <f>COUNT(R1474:R1486)</f>
        <v>13</v>
      </c>
      <c r="S1487" s="63">
        <f>COUNT(S1474:S1486)</f>
        <v>13</v>
      </c>
      <c r="T1487" s="63"/>
      <c r="U1487" s="94"/>
      <c r="V1487" s="90"/>
      <c r="W1487" s="91"/>
      <c r="X1487" s="92"/>
      <c r="Y1487" s="2"/>
    </row>
    <row r="1488" spans="1:25">
      <c r="B1488" s="87"/>
      <c r="C1488" s="621"/>
      <c r="D1488" s="10"/>
      <c r="E1488" s="10"/>
      <c r="F1488" s="88"/>
      <c r="G1488" s="88"/>
      <c r="H1488" s="88"/>
      <c r="I1488" s="99"/>
      <c r="J1488" s="63"/>
      <c r="K1488" s="21">
        <f>SUM(K1474:K1486)</f>
        <v>13</v>
      </c>
      <c r="L1488" s="21">
        <f>SUM(L1474:L1486)</f>
        <v>13</v>
      </c>
      <c r="M1488" s="21">
        <f>SUM(M1474:M1486)</f>
        <v>13</v>
      </c>
      <c r="N1488" s="21">
        <f>SUM(N1474:N1486)</f>
        <v>13</v>
      </c>
      <c r="O1488" s="21">
        <f>SUM(O1474:O1486)</f>
        <v>13</v>
      </c>
      <c r="P1488" s="21">
        <f>SUM(P1474:P1486)</f>
        <v>13</v>
      </c>
      <c r="Q1488" s="21">
        <f>SUM(Q1474:Q1486)</f>
        <v>10</v>
      </c>
      <c r="R1488" s="21">
        <f>SUM(R1474:R1486)</f>
        <v>10</v>
      </c>
      <c r="S1488" s="21">
        <f>SUM(S1474:S1486)</f>
        <v>10</v>
      </c>
      <c r="T1488" s="63"/>
      <c r="U1488" s="94"/>
      <c r="V1488" s="90"/>
      <c r="W1488" s="91"/>
      <c r="X1488" s="92"/>
      <c r="Y1488" s="2"/>
    </row>
    <row r="1489" spans="1:25">
      <c r="B1489" s="11"/>
      <c r="C1489" s="609"/>
      <c r="D1489" s="10"/>
      <c r="E1489" s="10"/>
      <c r="F1489" s="88"/>
      <c r="G1489" s="88"/>
      <c r="H1489" s="88"/>
      <c r="I1489" s="99"/>
      <c r="J1489" s="63"/>
      <c r="K1489" s="21"/>
      <c r="L1489" s="21"/>
      <c r="M1489" s="21"/>
      <c r="N1489" s="21"/>
      <c r="O1489" s="21"/>
      <c r="P1489" s="21"/>
      <c r="Q1489" s="21"/>
      <c r="R1489" s="21"/>
      <c r="S1489" s="21"/>
      <c r="T1489" s="63"/>
      <c r="U1489" s="94"/>
      <c r="V1489" s="90"/>
      <c r="W1489" s="91"/>
      <c r="X1489" s="92"/>
      <c r="Y1489" s="2"/>
    </row>
    <row r="1490" spans="1:25">
      <c r="B1490" s="100" t="s">
        <v>67</v>
      </c>
      <c r="C1490" s="609"/>
      <c r="D1490" s="10"/>
      <c r="E1490" s="10"/>
      <c r="F1490" s="88"/>
      <c r="G1490" s="62"/>
      <c r="H1490" s="88"/>
      <c r="I1490" s="99"/>
      <c r="J1490" s="63"/>
      <c r="K1490" s="2"/>
      <c r="L1490" s="2"/>
      <c r="M1490" s="2"/>
      <c r="N1490" s="2"/>
      <c r="O1490" s="2"/>
      <c r="P1490" s="2"/>
      <c r="Q1490" s="2"/>
      <c r="R1490" s="2"/>
      <c r="S1490" s="2"/>
      <c r="T1490" s="63"/>
      <c r="U1490" s="94"/>
      <c r="V1490" s="90"/>
      <c r="W1490" s="91"/>
      <c r="X1490" s="92"/>
      <c r="Y1490" s="2"/>
    </row>
    <row r="1491" spans="1:25">
      <c r="B1491" s="87">
        <v>1</v>
      </c>
      <c r="C1491" s="609"/>
      <c r="D1491" s="10"/>
      <c r="E1491" s="101"/>
      <c r="F1491" s="62"/>
      <c r="G1491" s="62"/>
      <c r="H1491" s="62"/>
      <c r="I1491" s="89">
        <f t="shared" ref="I1491:I1498" si="196">F1491-G1491-H1491</f>
        <v>0</v>
      </c>
      <c r="J1491" s="63"/>
      <c r="K1491" s="63"/>
      <c r="L1491" s="63"/>
      <c r="M1491" s="63"/>
      <c r="N1491" s="63"/>
      <c r="O1491" s="63"/>
      <c r="P1491" s="63"/>
      <c r="Q1491" s="63"/>
      <c r="R1491" s="63"/>
      <c r="S1491" s="63"/>
      <c r="T1491" s="63"/>
      <c r="U1491" s="94"/>
      <c r="V1491" s="90"/>
      <c r="W1491" s="91"/>
      <c r="X1491" s="92"/>
      <c r="Y1491" s="2"/>
    </row>
    <row r="1492" spans="1:25">
      <c r="B1492" s="87">
        <f t="shared" ref="B1492:B1498" si="197">B1491+1</f>
        <v>2</v>
      </c>
      <c r="C1492" s="609"/>
      <c r="D1492" s="10"/>
      <c r="E1492" s="101"/>
      <c r="F1492" s="62"/>
      <c r="G1492" s="62"/>
      <c r="H1492" s="62"/>
      <c r="I1492" s="89">
        <f t="shared" si="196"/>
        <v>0</v>
      </c>
      <c r="J1492" s="63"/>
      <c r="K1492" s="63"/>
      <c r="L1492" s="63"/>
      <c r="M1492" s="63"/>
      <c r="N1492" s="63"/>
      <c r="O1492" s="63"/>
      <c r="P1492" s="63"/>
      <c r="Q1492" s="63"/>
      <c r="R1492" s="63"/>
      <c r="S1492" s="63"/>
      <c r="T1492" s="63"/>
      <c r="U1492" s="94"/>
      <c r="V1492" s="90"/>
      <c r="W1492" s="91"/>
      <c r="X1492" s="92"/>
      <c r="Y1492" s="2"/>
    </row>
    <row r="1493" spans="1:25">
      <c r="B1493" s="87">
        <f t="shared" si="197"/>
        <v>3</v>
      </c>
      <c r="C1493" s="609"/>
      <c r="D1493" s="10"/>
      <c r="E1493" s="101"/>
      <c r="F1493" s="62"/>
      <c r="G1493" s="62"/>
      <c r="H1493" s="62"/>
      <c r="I1493" s="89">
        <f t="shared" si="196"/>
        <v>0</v>
      </c>
      <c r="J1493" s="63"/>
      <c r="K1493" s="63"/>
      <c r="L1493" s="63"/>
      <c r="M1493" s="63"/>
      <c r="N1493" s="63"/>
      <c r="O1493" s="63"/>
      <c r="P1493" s="63"/>
      <c r="Q1493" s="63"/>
      <c r="R1493" s="63"/>
      <c r="S1493" s="63"/>
      <c r="T1493" s="63"/>
      <c r="U1493" s="94"/>
      <c r="V1493" s="90"/>
      <c r="W1493" s="91"/>
      <c r="X1493" s="92"/>
      <c r="Y1493" s="2"/>
    </row>
    <row r="1494" spans="1:25">
      <c r="B1494" s="87">
        <f t="shared" si="197"/>
        <v>4</v>
      </c>
      <c r="C1494" s="609"/>
      <c r="D1494" s="10"/>
      <c r="E1494" s="101"/>
      <c r="F1494" s="62"/>
      <c r="G1494" s="62"/>
      <c r="H1494" s="62"/>
      <c r="I1494" s="89">
        <f t="shared" si="196"/>
        <v>0</v>
      </c>
      <c r="J1494" s="63"/>
      <c r="K1494" s="63"/>
      <c r="L1494" s="63"/>
      <c r="M1494" s="63"/>
      <c r="N1494" s="63"/>
      <c r="O1494" s="63"/>
      <c r="P1494" s="63"/>
      <c r="Q1494" s="63"/>
      <c r="R1494" s="63"/>
      <c r="S1494" s="63"/>
      <c r="T1494" s="63"/>
      <c r="U1494" s="94"/>
      <c r="V1494" s="90"/>
      <c r="W1494" s="91"/>
      <c r="X1494" s="92"/>
      <c r="Y1494" s="2"/>
    </row>
    <row r="1495" spans="1:25">
      <c r="B1495" s="87">
        <f t="shared" si="197"/>
        <v>5</v>
      </c>
      <c r="C1495" s="609"/>
      <c r="D1495" s="10"/>
      <c r="E1495" s="101"/>
      <c r="F1495" s="62"/>
      <c r="G1495" s="62"/>
      <c r="H1495" s="62"/>
      <c r="I1495" s="89">
        <f t="shared" si="196"/>
        <v>0</v>
      </c>
      <c r="J1495" s="63"/>
      <c r="K1495" s="63"/>
      <c r="L1495" s="63"/>
      <c r="M1495" s="63"/>
      <c r="N1495" s="63"/>
      <c r="O1495" s="63"/>
      <c r="P1495" s="63"/>
      <c r="Q1495" s="63"/>
      <c r="R1495" s="63"/>
      <c r="S1495" s="63"/>
      <c r="T1495" s="63"/>
      <c r="U1495" s="94"/>
      <c r="V1495" s="90"/>
      <c r="W1495" s="91"/>
      <c r="X1495" s="92"/>
      <c r="Y1495" s="2"/>
    </row>
    <row r="1496" spans="1:25">
      <c r="B1496" s="87">
        <f t="shared" si="197"/>
        <v>6</v>
      </c>
      <c r="C1496" s="609"/>
      <c r="D1496" s="10"/>
      <c r="E1496" s="101"/>
      <c r="F1496" s="62"/>
      <c r="G1496" s="62"/>
      <c r="H1496" s="62"/>
      <c r="I1496" s="89">
        <f t="shared" si="196"/>
        <v>0</v>
      </c>
      <c r="J1496" s="63"/>
      <c r="K1496" s="63"/>
      <c r="L1496" s="63"/>
      <c r="M1496" s="63"/>
      <c r="N1496" s="63"/>
      <c r="O1496" s="63"/>
      <c r="P1496" s="63"/>
      <c r="Q1496" s="63"/>
      <c r="R1496" s="63"/>
      <c r="S1496" s="63"/>
      <c r="T1496" s="63"/>
      <c r="U1496" s="94"/>
      <c r="V1496" s="90"/>
      <c r="W1496" s="91"/>
      <c r="X1496" s="92"/>
      <c r="Y1496" s="2"/>
    </row>
    <row r="1497" spans="1:25">
      <c r="B1497" s="87">
        <f t="shared" si="197"/>
        <v>7</v>
      </c>
      <c r="C1497" s="609"/>
      <c r="D1497" s="10"/>
      <c r="E1497" s="101"/>
      <c r="F1497" s="62"/>
      <c r="G1497" s="62"/>
      <c r="H1497" s="62"/>
      <c r="I1497" s="89">
        <f t="shared" si="196"/>
        <v>0</v>
      </c>
      <c r="J1497" s="63"/>
      <c r="K1497" s="63"/>
      <c r="L1497" s="63"/>
      <c r="M1497" s="63"/>
      <c r="N1497" s="63"/>
      <c r="O1497" s="63"/>
      <c r="P1497" s="63"/>
      <c r="Q1497" s="63"/>
      <c r="R1497" s="63"/>
      <c r="S1497" s="63"/>
      <c r="T1497" s="63"/>
      <c r="U1497" s="94"/>
      <c r="V1497" s="90"/>
      <c r="W1497" s="91"/>
      <c r="X1497" s="92"/>
      <c r="Y1497" s="2"/>
    </row>
    <row r="1498" spans="1:25">
      <c r="B1498" s="87">
        <f t="shared" si="197"/>
        <v>8</v>
      </c>
      <c r="C1498" s="609"/>
      <c r="D1498" s="10"/>
      <c r="E1498" s="101"/>
      <c r="F1498" s="62"/>
      <c r="G1498" s="62"/>
      <c r="H1498" s="62"/>
      <c r="I1498" s="89">
        <f t="shared" si="196"/>
        <v>0</v>
      </c>
      <c r="J1498" s="63"/>
      <c r="K1498" s="63"/>
      <c r="L1498" s="63"/>
      <c r="M1498" s="63"/>
      <c r="N1498" s="63"/>
      <c r="O1498" s="63"/>
      <c r="P1498" s="63"/>
      <c r="Q1498" s="63"/>
      <c r="R1498" s="63"/>
      <c r="S1498" s="63"/>
      <c r="T1498" s="63"/>
      <c r="U1498" s="94"/>
      <c r="V1498" s="90"/>
      <c r="W1498" s="91"/>
      <c r="X1498" s="92"/>
      <c r="Y1498" s="2"/>
    </row>
    <row r="1499" spans="1:25">
      <c r="B1499" s="11"/>
      <c r="C1499" s="609"/>
      <c r="D1499" s="10"/>
      <c r="E1499" s="10"/>
      <c r="F1499" s="97">
        <f>SUM(F1491:F1498)</f>
        <v>0</v>
      </c>
      <c r="G1499" s="97">
        <f>SUM(G1491:G1498)</f>
        <v>0</v>
      </c>
      <c r="H1499" s="97">
        <f>SUM(H1491:H1498)</f>
        <v>0</v>
      </c>
      <c r="I1499" s="98">
        <f>SUM(I1491:I1498)</f>
        <v>0</v>
      </c>
      <c r="J1499" s="63"/>
      <c r="K1499" s="21"/>
      <c r="L1499" s="21"/>
      <c r="M1499" s="21"/>
      <c r="N1499" s="21"/>
      <c r="O1499" s="21"/>
      <c r="P1499" s="21"/>
      <c r="Q1499" s="21"/>
      <c r="R1499" s="21"/>
      <c r="S1499" s="21"/>
      <c r="T1499" s="63"/>
      <c r="U1499" s="94"/>
      <c r="V1499" s="90"/>
      <c r="W1499" s="91"/>
      <c r="X1499" s="92"/>
      <c r="Y1499" s="2"/>
    </row>
    <row r="1500" spans="1:25">
      <c r="B1500" s="11"/>
      <c r="C1500" s="609"/>
      <c r="D1500" s="10"/>
      <c r="E1500" s="10"/>
      <c r="F1500" s="88"/>
      <c r="G1500" s="88"/>
      <c r="H1500" s="88"/>
      <c r="I1500" s="99"/>
      <c r="J1500" s="63"/>
      <c r="K1500" s="21"/>
      <c r="L1500" s="21"/>
      <c r="M1500" s="21"/>
      <c r="N1500" s="21"/>
      <c r="O1500" s="21"/>
      <c r="P1500" s="21"/>
      <c r="Q1500" s="21"/>
      <c r="R1500" s="21"/>
      <c r="S1500" s="21"/>
      <c r="T1500" s="63"/>
      <c r="U1500" s="94"/>
      <c r="V1500" s="90"/>
      <c r="W1500" s="91"/>
      <c r="X1500" s="92"/>
      <c r="Y1500" s="2"/>
    </row>
    <row r="1501" spans="1:25">
      <c r="B1501" s="121" t="s">
        <v>68</v>
      </c>
      <c r="C1501" s="611"/>
      <c r="D1501" s="123"/>
      <c r="E1501" s="123"/>
      <c r="F1501" s="124"/>
      <c r="G1501" s="125"/>
      <c r="H1501" s="124"/>
      <c r="I1501" s="126"/>
      <c r="J1501" s="127"/>
      <c r="K1501" s="128"/>
      <c r="L1501" s="128"/>
      <c r="M1501" s="128"/>
      <c r="N1501" s="128"/>
      <c r="O1501" s="128"/>
      <c r="P1501" s="128"/>
      <c r="Q1501" s="128"/>
      <c r="R1501" s="128"/>
      <c r="S1501" s="128"/>
      <c r="T1501" s="127"/>
      <c r="U1501" s="135"/>
      <c r="V1501" s="129"/>
      <c r="W1501" s="130"/>
      <c r="X1501" s="131"/>
      <c r="Y1501" s="128"/>
    </row>
    <row r="1502" spans="1:25">
      <c r="A1502" s="705">
        <v>0.05</v>
      </c>
      <c r="B1502" s="467">
        <v>1</v>
      </c>
      <c r="C1502" s="761">
        <v>45960</v>
      </c>
      <c r="D1502" s="521">
        <v>74985</v>
      </c>
      <c r="E1502" s="747" t="s">
        <v>447</v>
      </c>
      <c r="F1502" s="480">
        <v>8641</v>
      </c>
      <c r="G1502" s="480">
        <f>39.7+(147.02)+750</f>
        <v>936.72</v>
      </c>
      <c r="H1502" s="480"/>
      <c r="I1502" s="376">
        <f>F1502-G1502-H1502</f>
        <v>7704.28</v>
      </c>
      <c r="J1502" s="481" t="s">
        <v>156</v>
      </c>
      <c r="K1502" s="481">
        <v>1</v>
      </c>
      <c r="L1502" s="481">
        <v>1</v>
      </c>
      <c r="M1502" s="481">
        <v>1</v>
      </c>
      <c r="N1502" s="481">
        <v>1</v>
      </c>
      <c r="O1502" s="481">
        <v>1</v>
      </c>
      <c r="P1502" s="481">
        <v>1</v>
      </c>
      <c r="Q1502" s="481">
        <v>1</v>
      </c>
      <c r="R1502" s="481">
        <v>1</v>
      </c>
      <c r="S1502" s="482">
        <v>0</v>
      </c>
      <c r="T1502" s="474"/>
      <c r="U1502" s="475" t="s">
        <v>1839</v>
      </c>
      <c r="V1502" s="476">
        <f>950</f>
        <v>950</v>
      </c>
      <c r="W1502" s="367"/>
      <c r="X1502" s="477"/>
      <c r="Y1502" s="2"/>
    </row>
    <row r="1503" spans="1:25">
      <c r="B1503" s="132"/>
      <c r="C1503" s="621"/>
      <c r="D1503" s="123"/>
      <c r="E1503" s="123"/>
      <c r="F1503" s="133">
        <f>SUM(F1502:F1502)</f>
        <v>8641</v>
      </c>
      <c r="G1503" s="133">
        <f>SUM(G1502:G1502)</f>
        <v>936.72</v>
      </c>
      <c r="H1503" s="133">
        <f>SUM(H1502:H1502)</f>
        <v>0</v>
      </c>
      <c r="I1503" s="134">
        <f>SUM(I1502:I1502)</f>
        <v>7704.28</v>
      </c>
      <c r="J1503" s="127"/>
      <c r="K1503" s="64"/>
      <c r="L1503" s="64"/>
      <c r="M1503" s="64"/>
      <c r="N1503" s="64"/>
      <c r="O1503" s="64"/>
      <c r="P1503" s="64"/>
      <c r="Q1503" s="64"/>
      <c r="R1503" s="64"/>
      <c r="S1503" s="64"/>
      <c r="T1503" s="127"/>
      <c r="U1503" s="135"/>
      <c r="V1503" s="129"/>
      <c r="W1503" s="130"/>
      <c r="X1503" s="131"/>
      <c r="Y1503" s="128"/>
    </row>
    <row r="1504" spans="1:25">
      <c r="B1504" s="11"/>
      <c r="C1504" s="621"/>
      <c r="D1504" s="10"/>
      <c r="E1504" s="10"/>
      <c r="F1504" s="88"/>
      <c r="G1504" s="88"/>
      <c r="H1504" s="88"/>
      <c r="I1504" s="99"/>
      <c r="J1504" s="63"/>
      <c r="K1504" s="21"/>
      <c r="L1504" s="21"/>
      <c r="M1504" s="21"/>
      <c r="N1504" s="21"/>
      <c r="O1504" s="21"/>
      <c r="P1504" s="21"/>
      <c r="Q1504" s="21"/>
      <c r="R1504" s="21"/>
      <c r="S1504" s="21"/>
      <c r="T1504" s="63"/>
      <c r="U1504" s="94"/>
      <c r="V1504" s="90"/>
      <c r="W1504" s="91"/>
      <c r="X1504" s="92"/>
      <c r="Y1504" s="2"/>
    </row>
    <row r="1505" spans="1:26">
      <c r="B1505" s="121" t="s">
        <v>70</v>
      </c>
      <c r="C1505" s="621"/>
      <c r="D1505" s="123"/>
      <c r="E1505" s="128"/>
      <c r="F1505" s="124"/>
      <c r="G1505" s="124"/>
      <c r="H1505" s="124"/>
      <c r="I1505" s="126"/>
      <c r="J1505" s="127"/>
      <c r="K1505" s="64"/>
      <c r="L1505" s="64"/>
      <c r="M1505" s="64"/>
      <c r="N1505" s="64"/>
      <c r="O1505" s="64"/>
      <c r="P1505" s="64"/>
      <c r="Q1505" s="64"/>
      <c r="R1505" s="64"/>
      <c r="S1505" s="64"/>
      <c r="T1505" s="127"/>
      <c r="U1505" s="135"/>
      <c r="V1505" s="129"/>
      <c r="W1505" s="130"/>
      <c r="X1505" s="131"/>
      <c r="Y1505" s="128"/>
    </row>
    <row r="1506" spans="1:26">
      <c r="A1506" s="705" t="s">
        <v>1840</v>
      </c>
      <c r="B1506" s="467">
        <v>1</v>
      </c>
      <c r="C1506" s="761">
        <v>45957</v>
      </c>
      <c r="D1506" s="521">
        <v>74784</v>
      </c>
      <c r="E1506" s="521" t="s">
        <v>278</v>
      </c>
      <c r="F1506" s="480">
        <f>5160-85</f>
        <v>5075</v>
      </c>
      <c r="G1506" s="480">
        <f>39.7+(63.39)</f>
        <v>103.09</v>
      </c>
      <c r="H1506" s="480"/>
      <c r="I1506" s="376">
        <f>F1506-G1506-H1506</f>
        <v>4971.91</v>
      </c>
      <c r="J1506" s="481" t="s">
        <v>156</v>
      </c>
      <c r="K1506" s="481">
        <v>1</v>
      </c>
      <c r="L1506" s="481"/>
      <c r="M1506" s="481">
        <v>1</v>
      </c>
      <c r="N1506" s="481">
        <v>1</v>
      </c>
      <c r="O1506" s="481">
        <v>1</v>
      </c>
      <c r="P1506" s="481">
        <v>1</v>
      </c>
      <c r="Q1506" s="481"/>
      <c r="R1506" s="481"/>
      <c r="S1506" s="482"/>
      <c r="T1506" s="474"/>
      <c r="U1506" s="475" t="s">
        <v>1841</v>
      </c>
      <c r="V1506" s="476">
        <f>93.5+600+4889</f>
        <v>5582.5</v>
      </c>
      <c r="W1506" s="465"/>
      <c r="X1506" s="483"/>
      <c r="Y1506" s="2"/>
    </row>
    <row r="1507" spans="1:26">
      <c r="B1507" s="132"/>
      <c r="C1507" s="621"/>
      <c r="D1507" s="123"/>
      <c r="E1507" s="123"/>
      <c r="F1507" s="134">
        <f t="shared" ref="F1507:H1507" si="198">SUM(F1506)</f>
        <v>5075</v>
      </c>
      <c r="G1507" s="134">
        <f t="shared" si="198"/>
        <v>103.09</v>
      </c>
      <c r="H1507" s="134">
        <f t="shared" si="198"/>
        <v>0</v>
      </c>
      <c r="I1507" s="134">
        <f>SUM(I1506)</f>
        <v>4971.91</v>
      </c>
      <c r="J1507" s="127"/>
      <c r="K1507" s="64"/>
      <c r="L1507" s="64"/>
      <c r="M1507" s="64"/>
      <c r="N1507" s="64"/>
      <c r="O1507" s="64"/>
      <c r="P1507" s="64"/>
      <c r="Q1507" s="64"/>
      <c r="R1507" s="64"/>
      <c r="S1507" s="64"/>
      <c r="T1507" s="127"/>
      <c r="U1507" s="135"/>
      <c r="V1507" s="129"/>
      <c r="W1507" s="130"/>
      <c r="X1507" s="131"/>
      <c r="Y1507" s="128"/>
    </row>
    <row r="1508" spans="1:26">
      <c r="B1508" s="11"/>
      <c r="C1508" s="621"/>
      <c r="D1508" s="10"/>
      <c r="E1508" s="10"/>
      <c r="F1508" s="88"/>
      <c r="G1508" s="88"/>
      <c r="H1508" s="88"/>
      <c r="I1508" s="99"/>
      <c r="J1508" s="63"/>
      <c r="K1508" s="21"/>
      <c r="L1508" s="21"/>
      <c r="M1508" s="21"/>
      <c r="N1508" s="21"/>
      <c r="O1508" s="21"/>
      <c r="P1508" s="21"/>
      <c r="Q1508" s="21"/>
      <c r="R1508" s="21"/>
      <c r="S1508" s="21"/>
      <c r="T1508" s="63"/>
      <c r="U1508" s="94"/>
      <c r="V1508" s="90"/>
      <c r="W1508" s="91"/>
      <c r="X1508" s="92"/>
      <c r="Y1508" s="2"/>
    </row>
    <row r="1509" spans="1:26" s="434" customFormat="1" ht="13.5">
      <c r="A1509" s="10"/>
      <c r="B1509" s="100" t="s">
        <v>152</v>
      </c>
      <c r="C1509" s="36"/>
      <c r="D1509" s="10"/>
      <c r="E1509" s="10"/>
      <c r="F1509" s="88"/>
      <c r="G1509" s="62"/>
      <c r="H1509" s="88"/>
      <c r="I1509" s="99"/>
      <c r="J1509" s="63"/>
      <c r="K1509" s="10"/>
      <c r="L1509" s="10"/>
      <c r="M1509" s="10"/>
      <c r="N1509" s="10"/>
      <c r="O1509" s="10"/>
      <c r="P1509" s="123"/>
      <c r="Q1509" s="10"/>
      <c r="R1509" s="10"/>
      <c r="S1509" s="10"/>
      <c r="T1509" s="63"/>
      <c r="U1509" s="10"/>
      <c r="V1509" s="90"/>
      <c r="W1509" s="91"/>
      <c r="X1509" s="92"/>
    </row>
    <row r="1510" spans="1:26" s="260" customFormat="1">
      <c r="A1510" s="261">
        <v>0.05</v>
      </c>
      <c r="B1510" s="87">
        <v>1</v>
      </c>
      <c r="C1510" s="262">
        <v>45863</v>
      </c>
      <c r="D1510" s="271" t="s">
        <v>1497</v>
      </c>
      <c r="E1510" s="271" t="s">
        <v>1117</v>
      </c>
      <c r="F1510" s="265">
        <v>1138</v>
      </c>
      <c r="G1510" s="265">
        <f>39.7</f>
        <v>39.700000000000003</v>
      </c>
      <c r="H1510" s="365"/>
      <c r="I1510" s="266">
        <f>F1510-G1510-H1510</f>
        <v>1098.3</v>
      </c>
      <c r="J1510" s="267"/>
      <c r="K1510" s="267">
        <v>1</v>
      </c>
      <c r="L1510" s="267">
        <v>1</v>
      </c>
      <c r="M1510" s="267"/>
      <c r="N1510" s="267">
        <v>1</v>
      </c>
      <c r="O1510" s="267">
        <v>1</v>
      </c>
      <c r="P1510" s="267">
        <v>1</v>
      </c>
      <c r="Q1510" s="314">
        <v>0</v>
      </c>
      <c r="R1510" s="314">
        <v>0</v>
      </c>
      <c r="S1510" s="366">
        <v>0</v>
      </c>
      <c r="T1510" s="63"/>
      <c r="U1510" s="10" t="s">
        <v>1628</v>
      </c>
      <c r="V1510" s="90"/>
      <c r="W1510" s="91"/>
      <c r="X1510" s="92"/>
    </row>
    <row r="1511" spans="1:26" s="260" customFormat="1">
      <c r="A1511" s="261">
        <v>0.05</v>
      </c>
      <c r="B1511" s="87">
        <f>B1510+1</f>
        <v>2</v>
      </c>
      <c r="C1511" s="274">
        <v>45874</v>
      </c>
      <c r="D1511" s="276">
        <v>72064</v>
      </c>
      <c r="E1511" s="276" t="s">
        <v>998</v>
      </c>
      <c r="F1511" s="277">
        <v>1138</v>
      </c>
      <c r="G1511" s="277">
        <v>39.700000000000003</v>
      </c>
      <c r="H1511" s="277"/>
      <c r="I1511" s="321">
        <f>F1511-G1511-H1511</f>
        <v>1098.3</v>
      </c>
      <c r="J1511" s="279"/>
      <c r="K1511" s="279">
        <v>1</v>
      </c>
      <c r="L1511" s="279">
        <v>1</v>
      </c>
      <c r="M1511" s="279"/>
      <c r="N1511" s="279">
        <v>1</v>
      </c>
      <c r="O1511" s="279">
        <v>1</v>
      </c>
      <c r="P1511" s="279">
        <v>1</v>
      </c>
      <c r="Q1511" s="322">
        <v>0</v>
      </c>
      <c r="R1511" s="322">
        <v>0</v>
      </c>
      <c r="S1511" s="328">
        <v>0</v>
      </c>
      <c r="T1511" s="63"/>
      <c r="U1511" s="94" t="s">
        <v>1540</v>
      </c>
      <c r="V1511" s="90"/>
      <c r="W1511" s="91"/>
      <c r="X1511" s="92"/>
    </row>
    <row r="1512" spans="1:26" s="260" customFormat="1">
      <c r="A1512" s="261">
        <v>0.05</v>
      </c>
      <c r="B1512" s="87">
        <f>B1511+1</f>
        <v>3</v>
      </c>
      <c r="C1512" s="262">
        <v>45860</v>
      </c>
      <c r="D1512" s="271" t="s">
        <v>1522</v>
      </c>
      <c r="E1512" s="271" t="s">
        <v>1256</v>
      </c>
      <c r="F1512" s="265">
        <v>13770</v>
      </c>
      <c r="G1512" s="265">
        <f>39.7+271.4+(133.8)+(7.88+328.49-9.15-0.86-0.98-2.08-46.07+30.69+267.21)+1000</f>
        <v>2020.03</v>
      </c>
      <c r="H1512" s="365"/>
      <c r="I1512" s="266">
        <f>F1512-G1512-H1512</f>
        <v>11749.97</v>
      </c>
      <c r="J1512" s="267" t="s">
        <v>156</v>
      </c>
      <c r="K1512" s="267">
        <v>1</v>
      </c>
      <c r="L1512" s="267">
        <v>1</v>
      </c>
      <c r="M1512" s="267">
        <v>1</v>
      </c>
      <c r="N1512" s="267">
        <v>1</v>
      </c>
      <c r="O1512" s="314">
        <v>0</v>
      </c>
      <c r="P1512" s="267">
        <v>1</v>
      </c>
      <c r="Q1512" s="314">
        <v>0</v>
      </c>
      <c r="R1512" s="314">
        <v>0</v>
      </c>
      <c r="S1512" s="366">
        <v>0</v>
      </c>
      <c r="T1512" s="63"/>
      <c r="U1512" s="94" t="s">
        <v>1743</v>
      </c>
      <c r="V1512" s="90"/>
      <c r="W1512" s="136"/>
      <c r="X1512" s="137"/>
    </row>
    <row r="1513" spans="1:26" s="260" customFormat="1">
      <c r="A1513" s="261" t="s">
        <v>619</v>
      </c>
      <c r="B1513" s="87">
        <f>B1512+1</f>
        <v>4</v>
      </c>
      <c r="C1513" s="262">
        <v>45877</v>
      </c>
      <c r="D1513" s="271">
        <v>72150</v>
      </c>
      <c r="E1513" s="271" t="s">
        <v>769</v>
      </c>
      <c r="F1513" s="265">
        <v>44619</v>
      </c>
      <c r="G1513" s="265">
        <f>39.7+8800+352+(F1513*0.25)+(3*150)</f>
        <v>20796.45</v>
      </c>
      <c r="H1513" s="265"/>
      <c r="I1513" s="272">
        <f>F1513-G1513-H1513</f>
        <v>23822.55</v>
      </c>
      <c r="J1513" s="267" t="s">
        <v>156</v>
      </c>
      <c r="K1513" s="267">
        <v>1</v>
      </c>
      <c r="L1513" s="267">
        <v>1</v>
      </c>
      <c r="M1513" s="267">
        <v>1</v>
      </c>
      <c r="N1513" s="267">
        <v>1</v>
      </c>
      <c r="O1513" s="267">
        <v>1</v>
      </c>
      <c r="P1513" s="267">
        <v>1</v>
      </c>
      <c r="Q1513" s="267">
        <v>1</v>
      </c>
      <c r="R1513" s="267">
        <v>1</v>
      </c>
      <c r="S1513" s="269">
        <v>1</v>
      </c>
      <c r="T1513" s="63"/>
      <c r="U1513" s="94" t="s">
        <v>1580</v>
      </c>
      <c r="V1513" s="90"/>
      <c r="W1513" s="91"/>
      <c r="X1513" s="137"/>
    </row>
    <row r="1514" spans="1:26" s="260" customFormat="1">
      <c r="A1514" s="261" t="s">
        <v>619</v>
      </c>
      <c r="B1514" s="87">
        <f t="shared" ref="B1514:B1521" si="199">B1513+1</f>
        <v>5</v>
      </c>
      <c r="C1514" s="282">
        <v>45889</v>
      </c>
      <c r="D1514" s="283">
        <v>72498</v>
      </c>
      <c r="E1514" s="283" t="s">
        <v>769</v>
      </c>
      <c r="F1514" s="284">
        <v>22618</v>
      </c>
      <c r="G1514" s="284">
        <f>39.7+830.8+(94.29+28.45)+2000</f>
        <v>2993.24</v>
      </c>
      <c r="H1514" s="284"/>
      <c r="I1514" s="285">
        <f>F1514-G1514-H1514</f>
        <v>19624.760000000002</v>
      </c>
      <c r="J1514" s="286" t="s">
        <v>228</v>
      </c>
      <c r="K1514" s="286">
        <v>1</v>
      </c>
      <c r="L1514" s="286">
        <v>1</v>
      </c>
      <c r="M1514" s="286">
        <v>1</v>
      </c>
      <c r="N1514" s="286">
        <v>1</v>
      </c>
      <c r="O1514" s="286">
        <v>1</v>
      </c>
      <c r="P1514" s="286">
        <v>1</v>
      </c>
      <c r="Q1514" s="286">
        <v>1</v>
      </c>
      <c r="R1514" s="286">
        <v>1</v>
      </c>
      <c r="S1514" s="287">
        <v>1</v>
      </c>
      <c r="T1514" s="63"/>
      <c r="U1514" s="94" t="s">
        <v>1635</v>
      </c>
      <c r="V1514" s="90"/>
      <c r="W1514" s="136"/>
      <c r="X1514" s="137"/>
    </row>
    <row r="1515" spans="1:26" s="181" customFormat="1">
      <c r="A1515" s="261">
        <v>0.05</v>
      </c>
      <c r="B1515" s="87">
        <f t="shared" si="199"/>
        <v>6</v>
      </c>
      <c r="C1515" s="262">
        <v>45894</v>
      </c>
      <c r="D1515" s="271">
        <v>72581</v>
      </c>
      <c r="E1515" s="271" t="s">
        <v>1623</v>
      </c>
      <c r="F1515" s="265">
        <v>5814</v>
      </c>
      <c r="G1515" s="265">
        <f>39.7+446.6+(847.11)+250</f>
        <v>1583.41</v>
      </c>
      <c r="H1515" s="265"/>
      <c r="I1515" s="272">
        <f>F1515-G1515-H1515</f>
        <v>4230.59</v>
      </c>
      <c r="J1515" s="267" t="s">
        <v>228</v>
      </c>
      <c r="K1515" s="267">
        <v>1</v>
      </c>
      <c r="L1515" s="267">
        <v>1</v>
      </c>
      <c r="M1515" s="267">
        <v>1</v>
      </c>
      <c r="N1515" s="267">
        <v>1</v>
      </c>
      <c r="O1515" s="267">
        <v>1</v>
      </c>
      <c r="P1515" s="267">
        <v>1</v>
      </c>
      <c r="Q1515" s="267">
        <v>1</v>
      </c>
      <c r="R1515" s="267">
        <v>1</v>
      </c>
      <c r="S1515" s="269">
        <v>1</v>
      </c>
      <c r="T1515" s="63"/>
      <c r="U1515" s="94" t="s">
        <v>1745</v>
      </c>
      <c r="V1515" s="90"/>
      <c r="W1515" s="136"/>
      <c r="X1515" s="137"/>
      <c r="Y1515" s="260"/>
    </row>
    <row r="1516" spans="1:26" s="181" customFormat="1">
      <c r="A1516" s="704" t="s">
        <v>683</v>
      </c>
      <c r="B1516" s="87">
        <f t="shared" si="199"/>
        <v>7</v>
      </c>
      <c r="C1516" s="641">
        <v>45908</v>
      </c>
      <c r="D1516" s="271">
        <v>73046</v>
      </c>
      <c r="E1516" s="271" t="s">
        <v>317</v>
      </c>
      <c r="F1516" s="265">
        <v>3814</v>
      </c>
      <c r="G1516" s="265">
        <f>39.7+(12.18+108.87+796.78+44.67+605.14)+300</f>
        <v>1907.34</v>
      </c>
      <c r="H1516" s="265"/>
      <c r="I1516" s="266">
        <f>F1516-G1516-H1516</f>
        <v>1906.66</v>
      </c>
      <c r="J1516" s="267" t="s">
        <v>156</v>
      </c>
      <c r="K1516" s="267">
        <v>1</v>
      </c>
      <c r="L1516" s="267">
        <v>1</v>
      </c>
      <c r="M1516" s="267">
        <v>1</v>
      </c>
      <c r="N1516" s="267">
        <v>1</v>
      </c>
      <c r="O1516" s="267">
        <v>1</v>
      </c>
      <c r="P1516" s="267">
        <v>1</v>
      </c>
      <c r="Q1516" s="267">
        <v>1</v>
      </c>
      <c r="R1516" s="314">
        <v>0</v>
      </c>
      <c r="S1516" s="269">
        <v>1</v>
      </c>
      <c r="T1516" s="21"/>
      <c r="U1516" s="94" t="s">
        <v>1710</v>
      </c>
      <c r="V1516" s="90"/>
      <c r="W1516" s="91"/>
      <c r="X1516" s="92"/>
    </row>
    <row r="1517" spans="1:26" s="260" customFormat="1">
      <c r="A1517" s="261">
        <v>0.05</v>
      </c>
      <c r="B1517" s="87">
        <f t="shared" si="199"/>
        <v>8</v>
      </c>
      <c r="C1517" s="274">
        <v>45917</v>
      </c>
      <c r="D1517" s="276" t="s">
        <v>1704</v>
      </c>
      <c r="E1517" s="276" t="s">
        <v>746</v>
      </c>
      <c r="F1517" s="277">
        <v>5451.2</v>
      </c>
      <c r="G1517" s="277">
        <f>39.7+424.6+(82.38)+300</f>
        <v>846.68000000000006</v>
      </c>
      <c r="H1517" s="277"/>
      <c r="I1517" s="278">
        <f t="shared" ref="I1517" si="200">F1517-G1517-H1517</f>
        <v>4604.5199999999995</v>
      </c>
      <c r="J1517" s="279" t="s">
        <v>150</v>
      </c>
      <c r="K1517" s="279">
        <v>1</v>
      </c>
      <c r="L1517" s="279">
        <v>1</v>
      </c>
      <c r="M1517" s="279">
        <v>1</v>
      </c>
      <c r="N1517" s="279">
        <v>1</v>
      </c>
      <c r="O1517" s="279">
        <v>1</v>
      </c>
      <c r="P1517" s="279">
        <v>1</v>
      </c>
      <c r="Q1517" s="279">
        <v>1</v>
      </c>
      <c r="R1517" s="279">
        <v>1</v>
      </c>
      <c r="S1517" s="280">
        <v>1</v>
      </c>
      <c r="T1517" s="63"/>
      <c r="U1517" s="94" t="s">
        <v>1705</v>
      </c>
      <c r="V1517" s="90"/>
      <c r="W1517" s="136"/>
      <c r="X1517" s="92"/>
      <c r="Y1517" s="181"/>
    </row>
    <row r="1518" spans="1:26" s="260" customFormat="1">
      <c r="A1518" s="261">
        <v>0.1</v>
      </c>
      <c r="B1518" s="87">
        <f t="shared" si="199"/>
        <v>9</v>
      </c>
      <c r="C1518" s="641">
        <v>45933</v>
      </c>
      <c r="D1518" s="271">
        <v>73856</v>
      </c>
      <c r="E1518" s="271" t="s">
        <v>211</v>
      </c>
      <c r="F1518" s="265">
        <v>716</v>
      </c>
      <c r="G1518" s="265">
        <v>0</v>
      </c>
      <c r="H1518" s="265"/>
      <c r="I1518" s="266">
        <f>F1518-G1518-H1518</f>
        <v>716</v>
      </c>
      <c r="J1518" s="267"/>
      <c r="K1518" s="267">
        <v>1</v>
      </c>
      <c r="L1518" s="267">
        <v>1</v>
      </c>
      <c r="M1518" s="267"/>
      <c r="N1518" s="267">
        <v>1</v>
      </c>
      <c r="O1518" s="267">
        <v>1</v>
      </c>
      <c r="P1518" s="267">
        <v>1</v>
      </c>
      <c r="Q1518" s="314">
        <v>0</v>
      </c>
      <c r="R1518" s="314">
        <v>0</v>
      </c>
      <c r="S1518" s="366">
        <v>0</v>
      </c>
      <c r="T1518" s="63"/>
      <c r="U1518" s="94"/>
      <c r="V1518" s="90"/>
      <c r="W1518" s="136"/>
      <c r="X1518" s="137"/>
      <c r="Y1518" s="181"/>
    </row>
    <row r="1519" spans="1:26" s="260" customFormat="1">
      <c r="A1519" s="261">
        <v>0.1</v>
      </c>
      <c r="B1519" s="87">
        <f t="shared" si="199"/>
        <v>10</v>
      </c>
      <c r="C1519" s="641">
        <v>45943</v>
      </c>
      <c r="D1519" s="271" t="s">
        <v>1784</v>
      </c>
      <c r="E1519" s="271" t="s">
        <v>1047</v>
      </c>
      <c r="F1519" s="265">
        <v>14814</v>
      </c>
      <c r="G1519" s="265">
        <f>39.7+(156.3+99.23)+(306.55+4.33+36.7-2.19)+1000</f>
        <v>1640.62</v>
      </c>
      <c r="H1519" s="265"/>
      <c r="I1519" s="266">
        <f>F1519-G1519-H1519</f>
        <v>13173.380000000001</v>
      </c>
      <c r="J1519" s="267" t="s">
        <v>156</v>
      </c>
      <c r="K1519" s="267">
        <v>1</v>
      </c>
      <c r="L1519" s="267">
        <v>1</v>
      </c>
      <c r="M1519" s="267">
        <v>1</v>
      </c>
      <c r="N1519" s="267">
        <v>1</v>
      </c>
      <c r="O1519" s="267">
        <v>1</v>
      </c>
      <c r="P1519" s="267">
        <v>1</v>
      </c>
      <c r="Q1519" s="314">
        <v>0</v>
      </c>
      <c r="R1519" s="314">
        <v>0</v>
      </c>
      <c r="S1519" s="366">
        <v>0</v>
      </c>
      <c r="T1519" s="63"/>
      <c r="U1519" s="94" t="s">
        <v>1785</v>
      </c>
      <c r="V1519" s="90"/>
      <c r="W1519" s="91"/>
      <c r="X1519" s="92"/>
      <c r="Y1519" s="181"/>
      <c r="Z1519" s="181"/>
    </row>
    <row r="1520" spans="1:26" s="260" customFormat="1">
      <c r="A1520" s="261">
        <v>0.1</v>
      </c>
      <c r="B1520" s="87">
        <f t="shared" si="199"/>
        <v>11</v>
      </c>
      <c r="C1520" s="639">
        <v>45944</v>
      </c>
      <c r="D1520" s="10">
        <v>74154</v>
      </c>
      <c r="E1520" s="10" t="s">
        <v>1028</v>
      </c>
      <c r="F1520" s="62">
        <v>2814</v>
      </c>
      <c r="G1520" s="62">
        <f>39.7+(329.3-104.5)+200</f>
        <v>464.5</v>
      </c>
      <c r="H1520" s="62">
        <f>F1520*0.2</f>
        <v>562.80000000000007</v>
      </c>
      <c r="I1520" s="89">
        <f>F1520-G1520-H1520</f>
        <v>1786.6999999999998</v>
      </c>
      <c r="J1520" s="63" t="s">
        <v>185</v>
      </c>
      <c r="K1520" s="63">
        <v>1</v>
      </c>
      <c r="L1520" s="63">
        <v>1</v>
      </c>
      <c r="M1520" s="63">
        <v>1</v>
      </c>
      <c r="N1520" s="63">
        <v>1</v>
      </c>
      <c r="O1520" s="63">
        <v>1</v>
      </c>
      <c r="P1520" s="63">
        <v>1</v>
      </c>
      <c r="Q1520" s="63">
        <v>1</v>
      </c>
      <c r="R1520" s="63">
        <v>1</v>
      </c>
      <c r="S1520" s="296">
        <v>1</v>
      </c>
      <c r="T1520" s="21"/>
      <c r="U1520" s="94" t="s">
        <v>1786</v>
      </c>
      <c r="V1520" s="90"/>
      <c r="W1520" s="91"/>
      <c r="X1520" s="92"/>
      <c r="Y1520" s="181"/>
      <c r="Z1520" s="181"/>
    </row>
    <row r="1521" spans="1:26" s="260" customFormat="1">
      <c r="A1521" s="261" t="s">
        <v>1807</v>
      </c>
      <c r="B1521" s="87">
        <f t="shared" si="199"/>
        <v>12</v>
      </c>
      <c r="C1521" s="641">
        <v>45943</v>
      </c>
      <c r="D1521" s="271" t="s">
        <v>1787</v>
      </c>
      <c r="E1521" s="271" t="s">
        <v>998</v>
      </c>
      <c r="F1521" s="265">
        <v>7392.6</v>
      </c>
      <c r="G1521" s="265">
        <f>39.7+(18.99+56.95+17.18+19.32)+(70.02+238.44+30.99+77.62+6.48+12.9+107.09+25.09-18.14-3.2-4.34)+750</f>
        <v>1445.09</v>
      </c>
      <c r="H1521" s="265"/>
      <c r="I1521" s="272">
        <f>F1521-G1521-H1521</f>
        <v>5947.51</v>
      </c>
      <c r="J1521" s="267" t="s">
        <v>156</v>
      </c>
      <c r="K1521" s="267">
        <v>1</v>
      </c>
      <c r="L1521" s="267">
        <v>1</v>
      </c>
      <c r="M1521" s="267">
        <v>1</v>
      </c>
      <c r="N1521" s="267">
        <v>1</v>
      </c>
      <c r="O1521" s="267">
        <v>1</v>
      </c>
      <c r="P1521" s="267">
        <v>1</v>
      </c>
      <c r="Q1521" s="267">
        <v>1</v>
      </c>
      <c r="R1521" s="267">
        <v>1</v>
      </c>
      <c r="S1521" s="269">
        <v>1</v>
      </c>
      <c r="T1521" s="63"/>
      <c r="U1521" s="94" t="s">
        <v>1808</v>
      </c>
      <c r="V1521" s="90"/>
      <c r="W1521" s="136"/>
      <c r="X1521" s="137"/>
      <c r="Y1521" s="181"/>
      <c r="Z1521" s="181"/>
    </row>
    <row r="1522" spans="1:26" s="434" customFormat="1" ht="13.5">
      <c r="A1522" s="10"/>
      <c r="B1522" s="11"/>
      <c r="C1522" s="36"/>
      <c r="D1522" s="10"/>
      <c r="E1522" s="10"/>
      <c r="F1522" s="98">
        <f>SUM(F1510:F1521)</f>
        <v>124098.8</v>
      </c>
      <c r="G1522" s="98">
        <f t="shared" ref="G1522" si="201">SUM(G1510:G1521)</f>
        <v>33776.76</v>
      </c>
      <c r="H1522" s="98">
        <f t="shared" ref="H1522" si="202">SUM(H1510:H1521)</f>
        <v>562.80000000000007</v>
      </c>
      <c r="I1522" s="98">
        <f t="shared" ref="I1522" si="203">SUM(I1510:I1521)</f>
        <v>89759.24</v>
      </c>
      <c r="J1522" s="63"/>
      <c r="K1522" s="21"/>
      <c r="L1522" s="21"/>
      <c r="M1522" s="21"/>
      <c r="N1522" s="21"/>
      <c r="O1522" s="21"/>
      <c r="P1522" s="21"/>
      <c r="Q1522" s="21"/>
      <c r="R1522" s="21"/>
      <c r="S1522" s="21"/>
      <c r="T1522" s="63"/>
      <c r="U1522" s="10"/>
      <c r="V1522" s="90"/>
      <c r="W1522" s="91"/>
      <c r="X1522" s="92"/>
    </row>
    <row r="1523" spans="1:26" s="434" customFormat="1" ht="13.5">
      <c r="A1523" s="10"/>
      <c r="B1523" s="11"/>
      <c r="C1523" s="36"/>
      <c r="D1523" s="10"/>
      <c r="E1523" s="10"/>
      <c r="F1523" s="88"/>
      <c r="G1523" s="88"/>
      <c r="H1523" s="88"/>
      <c r="I1523" s="99"/>
      <c r="J1523" s="63"/>
      <c r="K1523" s="21"/>
      <c r="L1523" s="21"/>
      <c r="M1523" s="21"/>
      <c r="N1523" s="21"/>
      <c r="O1523" s="21"/>
      <c r="P1523" s="21"/>
      <c r="Q1523" s="21"/>
      <c r="R1523" s="21"/>
      <c r="S1523" s="21"/>
      <c r="T1523" s="63"/>
      <c r="U1523" s="10"/>
      <c r="V1523" s="90"/>
      <c r="W1523" s="91"/>
      <c r="X1523" s="92"/>
    </row>
    <row r="1524" spans="1:26" s="260" customFormat="1">
      <c r="A1524" s="181"/>
      <c r="B1524" s="100" t="s">
        <v>1521</v>
      </c>
      <c r="C1524" s="36"/>
      <c r="D1524" s="10"/>
      <c r="E1524" s="181"/>
      <c r="F1524" s="88"/>
      <c r="G1524" s="88"/>
      <c r="H1524" s="88"/>
      <c r="I1524" s="99"/>
      <c r="J1524" s="63"/>
      <c r="K1524" s="21"/>
      <c r="L1524" s="21"/>
      <c r="M1524" s="21"/>
      <c r="N1524" s="21"/>
      <c r="O1524" s="21"/>
      <c r="P1524" s="21"/>
      <c r="Q1524" s="21"/>
      <c r="R1524" s="21"/>
      <c r="S1524" s="21"/>
      <c r="T1524" s="63"/>
      <c r="U1524" s="94"/>
      <c r="V1524" s="90"/>
      <c r="W1524" s="91"/>
      <c r="X1524" s="92"/>
    </row>
    <row r="1525" spans="1:26" s="260" customFormat="1">
      <c r="A1525" s="261">
        <v>0.05</v>
      </c>
      <c r="B1525" s="87">
        <v>1</v>
      </c>
      <c r="C1525" s="262">
        <v>45895</v>
      </c>
      <c r="D1525" s="271">
        <v>72566</v>
      </c>
      <c r="E1525" s="271" t="s">
        <v>833</v>
      </c>
      <c r="F1525" s="265">
        <v>1861</v>
      </c>
      <c r="G1525" s="265">
        <f>39.7+485</f>
        <v>524.70000000000005</v>
      </c>
      <c r="H1525" s="265"/>
      <c r="I1525" s="272">
        <f>F1525-G1525-H1525</f>
        <v>1336.3</v>
      </c>
      <c r="J1525" s="267" t="s">
        <v>156</v>
      </c>
      <c r="K1525" s="267">
        <v>1</v>
      </c>
      <c r="L1525" s="267"/>
      <c r="M1525" s="267">
        <v>1</v>
      </c>
      <c r="N1525" s="267">
        <v>1</v>
      </c>
      <c r="O1525" s="267">
        <v>1</v>
      </c>
      <c r="P1525" s="267">
        <v>1</v>
      </c>
      <c r="Q1525" s="267"/>
      <c r="R1525" s="267"/>
      <c r="S1525" s="269"/>
      <c r="T1525" s="63"/>
      <c r="U1525" s="94" t="s">
        <v>1691</v>
      </c>
      <c r="V1525" s="90"/>
      <c r="W1525" s="136"/>
      <c r="X1525" s="137"/>
    </row>
    <row r="1526" spans="1:26" s="181" customFormat="1">
      <c r="A1526" s="261">
        <v>0.1</v>
      </c>
      <c r="B1526" s="87">
        <f>B1525+1</f>
        <v>2</v>
      </c>
      <c r="C1526" s="638">
        <v>45909</v>
      </c>
      <c r="D1526" s="276">
        <v>73119</v>
      </c>
      <c r="E1526" s="276" t="s">
        <v>973</v>
      </c>
      <c r="F1526" s="277">
        <v>5814</v>
      </c>
      <c r="G1526" s="277">
        <f>39.7+(2001.79+54.89)+250</f>
        <v>2346.3799999999997</v>
      </c>
      <c r="H1526" s="277">
        <f>F1526*0.2</f>
        <v>1162.8</v>
      </c>
      <c r="I1526" s="278">
        <f>F1526-G1526-H1526</f>
        <v>2304.8200000000006</v>
      </c>
      <c r="J1526" s="279" t="s">
        <v>185</v>
      </c>
      <c r="K1526" s="279">
        <v>1</v>
      </c>
      <c r="L1526" s="279"/>
      <c r="M1526" s="279">
        <v>1</v>
      </c>
      <c r="N1526" s="279">
        <v>1</v>
      </c>
      <c r="O1526" s="279">
        <v>1</v>
      </c>
      <c r="P1526" s="279">
        <v>1</v>
      </c>
      <c r="Q1526" s="279"/>
      <c r="R1526" s="279"/>
      <c r="S1526" s="280"/>
      <c r="T1526" s="63"/>
      <c r="U1526" s="94" t="s">
        <v>1689</v>
      </c>
      <c r="V1526" s="90"/>
      <c r="W1526" s="136"/>
      <c r="X1526" s="137"/>
    </row>
    <row r="1527" spans="1:26" s="260" customFormat="1">
      <c r="A1527" s="494">
        <v>0.1</v>
      </c>
      <c r="B1527" s="87">
        <f t="shared" ref="B1527:B1529" si="204">B1526+1</f>
        <v>3</v>
      </c>
      <c r="C1527" s="641">
        <v>45937</v>
      </c>
      <c r="D1527" s="271" t="s">
        <v>1760</v>
      </c>
      <c r="E1527" s="271" t="s">
        <v>739</v>
      </c>
      <c r="F1527" s="265">
        <v>7814</v>
      </c>
      <c r="G1527" s="265">
        <f>39.7+2500</f>
        <v>2539.6999999999998</v>
      </c>
      <c r="H1527" s="265"/>
      <c r="I1527" s="272">
        <f>F1527-G1527-H1527</f>
        <v>5274.3</v>
      </c>
      <c r="J1527" s="267" t="s">
        <v>156</v>
      </c>
      <c r="K1527" s="267">
        <v>1</v>
      </c>
      <c r="L1527" s="267"/>
      <c r="M1527" s="267">
        <v>1</v>
      </c>
      <c r="N1527" s="267">
        <v>1</v>
      </c>
      <c r="O1527" s="267">
        <v>1</v>
      </c>
      <c r="P1527" s="267">
        <v>1</v>
      </c>
      <c r="Q1527" s="267"/>
      <c r="R1527" s="267"/>
      <c r="S1527" s="269"/>
      <c r="T1527" s="63"/>
      <c r="U1527" s="94" t="s">
        <v>1761</v>
      </c>
      <c r="V1527" s="90"/>
      <c r="W1527" s="136"/>
      <c r="X1527" s="137"/>
    </row>
    <row r="1528" spans="1:26" s="260" customFormat="1">
      <c r="A1528" s="261">
        <v>0.1</v>
      </c>
      <c r="B1528" s="87">
        <f t="shared" si="204"/>
        <v>4</v>
      </c>
      <c r="C1528" s="638">
        <v>45944</v>
      </c>
      <c r="D1528" s="276" t="s">
        <v>1789</v>
      </c>
      <c r="E1528" s="276" t="s">
        <v>1169</v>
      </c>
      <c r="F1528" s="277">
        <v>6814</v>
      </c>
      <c r="G1528" s="277">
        <f>39.7+2500</f>
        <v>2539.6999999999998</v>
      </c>
      <c r="H1528" s="277"/>
      <c r="I1528" s="278">
        <f>F1528-G1528-H1528</f>
        <v>4274.3</v>
      </c>
      <c r="J1528" s="279" t="s">
        <v>156</v>
      </c>
      <c r="K1528" s="279">
        <v>1</v>
      </c>
      <c r="L1528" s="279"/>
      <c r="M1528" s="279">
        <v>1</v>
      </c>
      <c r="N1528" s="279">
        <v>1</v>
      </c>
      <c r="O1528" s="279">
        <v>1</v>
      </c>
      <c r="P1528" s="279">
        <v>1</v>
      </c>
      <c r="Q1528" s="279"/>
      <c r="R1528" s="279"/>
      <c r="S1528" s="280"/>
      <c r="T1528" s="63"/>
      <c r="U1528" s="94" t="s">
        <v>1790</v>
      </c>
      <c r="V1528" s="90"/>
      <c r="W1528" s="136"/>
      <c r="X1528" s="137"/>
      <c r="Y1528" s="181"/>
      <c r="Z1528" s="181"/>
    </row>
    <row r="1529" spans="1:26" s="260" customFormat="1">
      <c r="A1529" s="261">
        <v>0.1</v>
      </c>
      <c r="B1529" s="87">
        <f t="shared" si="204"/>
        <v>5</v>
      </c>
      <c r="C1529" s="641">
        <v>45945</v>
      </c>
      <c r="D1529" s="271">
        <v>74508</v>
      </c>
      <c r="E1529" s="271" t="s">
        <v>1047</v>
      </c>
      <c r="F1529" s="265">
        <v>12814</v>
      </c>
      <c r="G1529" s="265">
        <f>39.7+(102.78+72.6)+(85.47)+1000</f>
        <v>1300.55</v>
      </c>
      <c r="H1529" s="265"/>
      <c r="I1529" s="272">
        <f>F1529-G1529-H1529</f>
        <v>11513.45</v>
      </c>
      <c r="J1529" s="267" t="s">
        <v>156</v>
      </c>
      <c r="K1529" s="267">
        <v>1</v>
      </c>
      <c r="L1529" s="267"/>
      <c r="M1529" s="267">
        <v>1</v>
      </c>
      <c r="N1529" s="267">
        <v>1</v>
      </c>
      <c r="O1529" s="267">
        <v>1</v>
      </c>
      <c r="P1529" s="267">
        <v>1</v>
      </c>
      <c r="Q1529" s="267"/>
      <c r="R1529" s="267"/>
      <c r="S1529" s="269"/>
      <c r="T1529" s="21"/>
      <c r="U1529" s="94" t="s">
        <v>1791</v>
      </c>
      <c r="V1529" s="90"/>
      <c r="W1529" s="136"/>
      <c r="X1529" s="137"/>
      <c r="Y1529" s="181"/>
      <c r="Z1529" s="181"/>
    </row>
    <row r="1530" spans="1:26" s="260" customFormat="1">
      <c r="A1530" s="181"/>
      <c r="B1530" s="11"/>
      <c r="C1530" s="36"/>
      <c r="D1530" s="10"/>
      <c r="E1530" s="10"/>
      <c r="F1530" s="97">
        <f>SUM(F1525:F1529)</f>
        <v>35117</v>
      </c>
      <c r="G1530" s="97">
        <f t="shared" ref="G1530:I1530" si="205">SUM(G1525:G1529)</f>
        <v>9251.0299999999988</v>
      </c>
      <c r="H1530" s="97">
        <f t="shared" si="205"/>
        <v>1162.8</v>
      </c>
      <c r="I1530" s="97">
        <f t="shared" si="205"/>
        <v>24703.170000000002</v>
      </c>
      <c r="J1530" s="63"/>
      <c r="K1530" s="21"/>
      <c r="L1530" s="21"/>
      <c r="M1530" s="21"/>
      <c r="N1530" s="21"/>
      <c r="O1530" s="21"/>
      <c r="P1530" s="21"/>
      <c r="Q1530" s="21"/>
      <c r="R1530" s="21"/>
      <c r="S1530" s="21"/>
      <c r="T1530" s="63"/>
      <c r="U1530" s="94"/>
      <c r="V1530" s="90"/>
      <c r="W1530" s="91"/>
      <c r="X1530" s="92"/>
    </row>
    <row r="1531" spans="1:26" s="260" customFormat="1">
      <c r="A1531" s="181"/>
      <c r="B1531" s="11"/>
      <c r="C1531" s="36"/>
      <c r="D1531" s="10"/>
      <c r="E1531" s="10"/>
      <c r="F1531" s="88"/>
      <c r="G1531" s="88"/>
      <c r="H1531" s="88"/>
      <c r="I1531" s="99"/>
      <c r="J1531" s="63"/>
      <c r="K1531" s="21"/>
      <c r="L1531" s="21"/>
      <c r="M1531" s="21"/>
      <c r="N1531" s="21"/>
      <c r="O1531" s="21"/>
      <c r="P1531" s="21"/>
      <c r="Q1531" s="21"/>
      <c r="R1531" s="21"/>
      <c r="S1531" s="21"/>
      <c r="T1531" s="63"/>
      <c r="U1531" s="94"/>
      <c r="V1531" s="90"/>
      <c r="W1531" s="91"/>
      <c r="X1531" s="92"/>
    </row>
    <row r="1532" spans="1:26">
      <c r="B1532" s="100" t="s">
        <v>72</v>
      </c>
      <c r="C1532" s="621"/>
      <c r="D1532" s="10"/>
      <c r="E1532" s="10"/>
      <c r="F1532" s="88"/>
      <c r="G1532" s="88"/>
      <c r="H1532" s="88"/>
      <c r="I1532" s="99"/>
      <c r="J1532" s="63"/>
      <c r="K1532" s="63"/>
      <c r="L1532" s="63"/>
      <c r="M1532" s="63"/>
      <c r="N1532" s="63"/>
      <c r="O1532" s="63"/>
      <c r="P1532" s="63"/>
      <c r="Q1532" s="63"/>
      <c r="R1532" s="63"/>
      <c r="S1532" s="63"/>
      <c r="T1532" s="63"/>
      <c r="U1532" s="94"/>
      <c r="V1532" s="90"/>
      <c r="W1532" s="91"/>
      <c r="X1532" s="92"/>
      <c r="Y1532" s="2"/>
    </row>
    <row r="1533" spans="1:26">
      <c r="B1533" s="87">
        <v>1</v>
      </c>
      <c r="C1533" s="638">
        <v>45957</v>
      </c>
      <c r="D1533" s="276">
        <v>74835</v>
      </c>
      <c r="E1533" s="276" t="s">
        <v>294</v>
      </c>
      <c r="F1533" s="277">
        <v>2729</v>
      </c>
      <c r="G1533" s="277">
        <v>39.700000000000003</v>
      </c>
      <c r="H1533" s="277"/>
      <c r="I1533" s="278">
        <f>F1533-G1533-H1533</f>
        <v>2689.3</v>
      </c>
      <c r="J1533" s="279" t="s">
        <v>205</v>
      </c>
      <c r="K1533" s="279">
        <v>1</v>
      </c>
      <c r="L1533" s="279"/>
      <c r="M1533" s="279"/>
      <c r="N1533" s="279">
        <v>1</v>
      </c>
      <c r="O1533" s="279"/>
      <c r="P1533" s="279"/>
      <c r="Q1533" s="279">
        <v>1</v>
      </c>
      <c r="R1533" s="279">
        <v>1</v>
      </c>
      <c r="S1533" s="280">
        <v>1</v>
      </c>
      <c r="T1533" s="63"/>
      <c r="U1533" s="164"/>
      <c r="V1533" s="90"/>
      <c r="W1533" s="91"/>
      <c r="X1533" s="92"/>
      <c r="Y1533" s="2"/>
    </row>
    <row r="1534" spans="1:26">
      <c r="B1534" s="87">
        <f>B1533+1</f>
        <v>2</v>
      </c>
      <c r="C1534" s="639">
        <v>45957</v>
      </c>
      <c r="D1534" s="10">
        <v>74841</v>
      </c>
      <c r="E1534" s="10" t="s">
        <v>659</v>
      </c>
      <c r="F1534" s="62">
        <v>1861</v>
      </c>
      <c r="G1534" s="62">
        <v>39.700000000000003</v>
      </c>
      <c r="H1534" s="62"/>
      <c r="I1534" s="89">
        <f t="shared" ref="I1534:I1543" si="206">F1534-G1534-H1534</f>
        <v>1821.3</v>
      </c>
      <c r="J1534" s="63" t="s">
        <v>156</v>
      </c>
      <c r="K1534" s="63">
        <v>1</v>
      </c>
      <c r="L1534" s="63"/>
      <c r="M1534" s="63">
        <v>1</v>
      </c>
      <c r="N1534" s="63">
        <v>1</v>
      </c>
      <c r="O1534" s="63"/>
      <c r="P1534" s="63"/>
      <c r="Q1534" s="63"/>
      <c r="R1534" s="63"/>
      <c r="S1534" s="296"/>
      <c r="T1534" s="63"/>
      <c r="U1534" s="94"/>
      <c r="V1534" s="90">
        <v>93.5</v>
      </c>
      <c r="W1534" s="136"/>
      <c r="X1534" s="137"/>
      <c r="Y1534" s="2"/>
    </row>
    <row r="1535" spans="1:26">
      <c r="B1535" s="87">
        <f t="shared" ref="B1535:B1543" si="207">B1534+1</f>
        <v>3</v>
      </c>
      <c r="C1535" s="639">
        <v>45957</v>
      </c>
      <c r="D1535" s="10">
        <v>74834</v>
      </c>
      <c r="E1535" s="10" t="s">
        <v>169</v>
      </c>
      <c r="F1535" s="62">
        <v>1176</v>
      </c>
      <c r="G1535" s="62">
        <v>39.700000000000003</v>
      </c>
      <c r="H1535" s="62"/>
      <c r="I1535" s="89">
        <f t="shared" si="206"/>
        <v>1136.3</v>
      </c>
      <c r="J1535" s="63" t="s">
        <v>205</v>
      </c>
      <c r="K1535" s="63">
        <v>1</v>
      </c>
      <c r="L1535" s="63"/>
      <c r="M1535" s="63"/>
      <c r="N1535" s="63">
        <v>1</v>
      </c>
      <c r="O1535" s="63"/>
      <c r="P1535" s="63"/>
      <c r="Q1535" s="63"/>
      <c r="R1535" s="63"/>
      <c r="S1535" s="296"/>
      <c r="T1535" s="63"/>
      <c r="U1535" s="94"/>
      <c r="V1535" s="90"/>
      <c r="W1535" s="136"/>
      <c r="X1535" s="137"/>
      <c r="Y1535" s="2"/>
    </row>
    <row r="1536" spans="1:26">
      <c r="B1536" s="87">
        <f t="shared" si="207"/>
        <v>4</v>
      </c>
      <c r="C1536" s="638">
        <v>45958</v>
      </c>
      <c r="D1536" s="276" t="s">
        <v>1842</v>
      </c>
      <c r="E1536" s="276" t="s">
        <v>1169</v>
      </c>
      <c r="F1536" s="277">
        <v>8652.6</v>
      </c>
      <c r="G1536" s="277">
        <v>39.700000000000003</v>
      </c>
      <c r="H1536" s="277"/>
      <c r="I1536" s="278">
        <f t="shared" si="206"/>
        <v>8612.9</v>
      </c>
      <c r="J1536" s="279" t="s">
        <v>205</v>
      </c>
      <c r="K1536" s="279">
        <v>1</v>
      </c>
      <c r="L1536" s="279"/>
      <c r="M1536" s="279"/>
      <c r="N1536" s="279">
        <v>1</v>
      </c>
      <c r="O1536" s="279"/>
      <c r="P1536" s="279"/>
      <c r="Q1536" s="279"/>
      <c r="R1536" s="279"/>
      <c r="S1536" s="280"/>
      <c r="T1536" s="63"/>
      <c r="U1536" s="94"/>
      <c r="V1536" s="90"/>
      <c r="W1536" s="136"/>
      <c r="X1536" s="137"/>
      <c r="Y1536" s="2"/>
    </row>
    <row r="1537" spans="1:25">
      <c r="A1537" s="494">
        <v>0.05</v>
      </c>
      <c r="B1537" s="87">
        <f>B1536+1</f>
        <v>5</v>
      </c>
      <c r="C1537" s="638">
        <v>45960</v>
      </c>
      <c r="D1537" s="276" t="s">
        <v>1843</v>
      </c>
      <c r="E1537" s="276" t="s">
        <v>306</v>
      </c>
      <c r="F1537" s="277">
        <v>34618</v>
      </c>
      <c r="G1537" s="277">
        <f>39.7+(F1537*0.25)</f>
        <v>8694.2000000000007</v>
      </c>
      <c r="H1537" s="277"/>
      <c r="I1537" s="278">
        <f t="shared" ref="I1537" si="208">F1537-G1537-H1537</f>
        <v>25923.8</v>
      </c>
      <c r="J1537" s="279" t="s">
        <v>156</v>
      </c>
      <c r="K1537" s="279">
        <v>1</v>
      </c>
      <c r="L1537" s="279"/>
      <c r="M1537" s="279">
        <v>1</v>
      </c>
      <c r="N1537" s="279">
        <v>1</v>
      </c>
      <c r="O1537" s="279">
        <v>1</v>
      </c>
      <c r="P1537" s="279">
        <v>1</v>
      </c>
      <c r="Q1537" s="279"/>
      <c r="R1537" s="279"/>
      <c r="S1537" s="280"/>
      <c r="T1537" s="63"/>
      <c r="U1537" s="94" t="s">
        <v>1844</v>
      </c>
      <c r="V1537" s="90">
        <f>1000</f>
        <v>1000</v>
      </c>
      <c r="W1537" s="136"/>
      <c r="X1537" s="137"/>
      <c r="Y1537" s="2"/>
    </row>
    <row r="1538" spans="1:25">
      <c r="B1538" s="87">
        <f>B1537+1</f>
        <v>6</v>
      </c>
      <c r="C1538" s="639">
        <v>45960</v>
      </c>
      <c r="D1538" s="10">
        <v>75004</v>
      </c>
      <c r="E1538" s="101" t="s">
        <v>973</v>
      </c>
      <c r="F1538" s="62">
        <v>1461</v>
      </c>
      <c r="G1538" s="62">
        <v>39.700000000000003</v>
      </c>
      <c r="H1538" s="62"/>
      <c r="I1538" s="89">
        <f t="shared" si="206"/>
        <v>1421.3</v>
      </c>
      <c r="J1538" s="63" t="s">
        <v>205</v>
      </c>
      <c r="K1538" s="63"/>
      <c r="L1538" s="63"/>
      <c r="M1538" s="63"/>
      <c r="N1538" s="63">
        <v>1</v>
      </c>
      <c r="O1538" s="63"/>
      <c r="P1538" s="63"/>
      <c r="Q1538" s="63"/>
      <c r="R1538" s="63"/>
      <c r="S1538" s="296"/>
      <c r="T1538" s="63"/>
      <c r="U1538" s="94"/>
      <c r="V1538" s="90"/>
      <c r="W1538" s="136"/>
      <c r="X1538" s="137"/>
      <c r="Y1538" s="2"/>
    </row>
    <row r="1539" spans="1:25">
      <c r="B1539" s="87">
        <f>B1538+1</f>
        <v>7</v>
      </c>
      <c r="C1539" s="639">
        <v>45960</v>
      </c>
      <c r="D1539" s="10">
        <v>74953</v>
      </c>
      <c r="E1539" s="101" t="s">
        <v>1169</v>
      </c>
      <c r="F1539" s="62">
        <v>596</v>
      </c>
      <c r="G1539" s="62"/>
      <c r="H1539" s="62"/>
      <c r="I1539" s="89">
        <f t="shared" si="206"/>
        <v>596</v>
      </c>
      <c r="J1539" s="63" t="s">
        <v>205</v>
      </c>
      <c r="K1539" s="63">
        <v>1</v>
      </c>
      <c r="L1539" s="63"/>
      <c r="M1539" s="63"/>
      <c r="N1539" s="63">
        <v>1</v>
      </c>
      <c r="O1539" s="63"/>
      <c r="P1539" s="63"/>
      <c r="Q1539" s="63">
        <v>1</v>
      </c>
      <c r="R1539" s="63">
        <v>1</v>
      </c>
      <c r="S1539" s="296">
        <v>1</v>
      </c>
      <c r="T1539" s="63"/>
      <c r="U1539" s="94"/>
      <c r="V1539" s="90"/>
      <c r="W1539" s="136"/>
      <c r="X1539" s="137"/>
      <c r="Y1539" s="2"/>
    </row>
    <row r="1540" spans="1:25">
      <c r="B1540" s="87">
        <f>B1539+1</f>
        <v>8</v>
      </c>
      <c r="C1540" s="640">
        <v>45960</v>
      </c>
      <c r="D1540" s="283" t="s">
        <v>1845</v>
      </c>
      <c r="E1540" s="319" t="s">
        <v>1319</v>
      </c>
      <c r="F1540" s="284">
        <v>16214</v>
      </c>
      <c r="G1540" s="284">
        <v>39.700000000000003</v>
      </c>
      <c r="H1540" s="284"/>
      <c r="I1540" s="285">
        <f t="shared" si="206"/>
        <v>16174.3</v>
      </c>
      <c r="J1540" s="286" t="s">
        <v>205</v>
      </c>
      <c r="K1540" s="286">
        <v>1</v>
      </c>
      <c r="L1540" s="286"/>
      <c r="M1540" s="286"/>
      <c r="N1540" s="286">
        <v>1</v>
      </c>
      <c r="O1540" s="286"/>
      <c r="P1540" s="286"/>
      <c r="Q1540" s="286"/>
      <c r="R1540" s="286"/>
      <c r="S1540" s="287"/>
      <c r="T1540" s="63"/>
      <c r="U1540" s="94"/>
      <c r="V1540" s="90"/>
      <c r="W1540" s="136"/>
      <c r="X1540" s="137"/>
      <c r="Y1540" s="2"/>
    </row>
    <row r="1541" spans="1:25">
      <c r="B1541" s="87">
        <f t="shared" si="207"/>
        <v>9</v>
      </c>
      <c r="C1541" s="639">
        <v>45961</v>
      </c>
      <c r="D1541" s="10">
        <v>74989</v>
      </c>
      <c r="E1541" s="101" t="s">
        <v>1080</v>
      </c>
      <c r="F1541" s="62">
        <v>616</v>
      </c>
      <c r="G1541" s="62"/>
      <c r="H1541" s="62"/>
      <c r="I1541" s="89">
        <f t="shared" si="206"/>
        <v>616</v>
      </c>
      <c r="J1541" s="63" t="s">
        <v>205</v>
      </c>
      <c r="K1541" s="63">
        <v>1</v>
      </c>
      <c r="L1541" s="63"/>
      <c r="M1541" s="63"/>
      <c r="N1541" s="63">
        <v>1</v>
      </c>
      <c r="O1541" s="63"/>
      <c r="P1541" s="63"/>
      <c r="Q1541" s="63">
        <v>1</v>
      </c>
      <c r="R1541" s="63">
        <v>1</v>
      </c>
      <c r="S1541" s="296"/>
      <c r="T1541" s="21">
        <v>1</v>
      </c>
      <c r="U1541" s="94"/>
      <c r="V1541" s="90"/>
      <c r="W1541" s="136"/>
      <c r="X1541" s="137"/>
      <c r="Y1541" s="2"/>
    </row>
    <row r="1542" spans="1:25">
      <c r="B1542" s="87">
        <f t="shared" si="207"/>
        <v>10</v>
      </c>
      <c r="C1542" s="639">
        <v>45961</v>
      </c>
      <c r="D1542" s="10">
        <v>75023</v>
      </c>
      <c r="E1542" s="101" t="s">
        <v>1231</v>
      </c>
      <c r="F1542" s="62">
        <v>1261</v>
      </c>
      <c r="G1542" s="62">
        <v>39.700000000000003</v>
      </c>
      <c r="H1542" s="62"/>
      <c r="I1542" s="89">
        <f t="shared" si="206"/>
        <v>1221.3</v>
      </c>
      <c r="J1542" s="63" t="s">
        <v>205</v>
      </c>
      <c r="K1542" s="63">
        <v>1</v>
      </c>
      <c r="L1542" s="63"/>
      <c r="M1542" s="63"/>
      <c r="N1542" s="63">
        <v>1</v>
      </c>
      <c r="O1542" s="63"/>
      <c r="P1542" s="63"/>
      <c r="Q1542" s="63">
        <v>1</v>
      </c>
      <c r="R1542" s="63">
        <v>1</v>
      </c>
      <c r="S1542" s="296"/>
      <c r="T1542" s="63"/>
      <c r="U1542" s="94"/>
      <c r="V1542" s="90"/>
      <c r="W1542" s="136"/>
      <c r="X1542" s="137"/>
      <c r="Y1542" s="2"/>
    </row>
    <row r="1543" spans="1:25">
      <c r="B1543" s="87">
        <f t="shared" si="207"/>
        <v>11</v>
      </c>
      <c r="C1543" s="640">
        <v>45961</v>
      </c>
      <c r="D1543" s="283" t="s">
        <v>1846</v>
      </c>
      <c r="E1543" s="283" t="s">
        <v>1186</v>
      </c>
      <c r="F1543" s="284">
        <v>5133</v>
      </c>
      <c r="G1543" s="284">
        <v>39.700000000000003</v>
      </c>
      <c r="H1543" s="284"/>
      <c r="I1543" s="285">
        <f t="shared" si="206"/>
        <v>5093.3</v>
      </c>
      <c r="J1543" s="286" t="s">
        <v>205</v>
      </c>
      <c r="K1543" s="286">
        <v>1</v>
      </c>
      <c r="L1543" s="286"/>
      <c r="M1543" s="286"/>
      <c r="N1543" s="286">
        <v>1</v>
      </c>
      <c r="O1543" s="286"/>
      <c r="P1543" s="286"/>
      <c r="Q1543" s="286"/>
      <c r="R1543" s="286"/>
      <c r="S1543" s="287"/>
      <c r="T1543" s="63"/>
      <c r="U1543" s="94"/>
      <c r="V1543" s="90"/>
      <c r="W1543" s="136"/>
      <c r="X1543" s="137"/>
      <c r="Y1543" s="2"/>
    </row>
    <row r="1544" spans="1:25">
      <c r="B1544" s="11"/>
      <c r="C1544" s="621"/>
      <c r="D1544" s="10"/>
      <c r="E1544" s="10"/>
      <c r="F1544" s="97">
        <f>SUM(F1533:F1543)</f>
        <v>74317.600000000006</v>
      </c>
      <c r="G1544" s="97">
        <f>SUM(G1533:G1543)</f>
        <v>9011.8000000000029</v>
      </c>
      <c r="H1544" s="97">
        <f>SUM(H1533:H1543)</f>
        <v>0</v>
      </c>
      <c r="I1544" s="98">
        <f>SUM(I1533:I1543)</f>
        <v>65305.8</v>
      </c>
      <c r="J1544" s="10"/>
      <c r="K1544" s="10"/>
      <c r="L1544" s="10"/>
      <c r="M1544" s="10"/>
      <c r="N1544" s="10"/>
      <c r="O1544" s="10"/>
      <c r="P1544" s="10"/>
      <c r="Q1544" s="10"/>
      <c r="R1544" s="10"/>
      <c r="S1544" s="10"/>
      <c r="T1544" s="63"/>
      <c r="U1544" s="94"/>
      <c r="V1544" s="90"/>
      <c r="W1544" s="91"/>
      <c r="X1544" s="92"/>
      <c r="Y1544" s="2"/>
    </row>
    <row r="1545" spans="1:25">
      <c r="B1545" s="26"/>
      <c r="C1545" s="612"/>
      <c r="D1545" s="141"/>
      <c r="E1545" s="141"/>
      <c r="F1545" s="141"/>
      <c r="G1545" s="141"/>
      <c r="H1545" s="141"/>
      <c r="I1545" s="141"/>
      <c r="J1545" s="141"/>
      <c r="K1545" s="142"/>
      <c r="L1545" s="142"/>
      <c r="M1545" s="142"/>
      <c r="N1545" s="142"/>
      <c r="O1545" s="142"/>
      <c r="P1545" s="142"/>
      <c r="Q1545" s="142"/>
      <c r="R1545" s="142"/>
      <c r="S1545" s="142"/>
      <c r="T1545" s="143">
        <f>SUM(T1473:T1544)</f>
        <v>5</v>
      </c>
      <c r="U1545" s="168"/>
      <c r="V1545" s="144">
        <f>SUM(V1473:V1544)</f>
        <v>32705.199999999993</v>
      </c>
      <c r="W1545" s="145">
        <f>SUM(W1473:W1544)</f>
        <v>100</v>
      </c>
      <c r="X1545" s="146">
        <f>SUM(X1473:X1544)</f>
        <v>0</v>
      </c>
      <c r="Y1545" s="2"/>
    </row>
    <row r="1546" spans="1:25">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row>
    <row r="1548" spans="1:25">
      <c r="B1548" s="4" t="s">
        <v>1</v>
      </c>
      <c r="C1548" s="5"/>
      <c r="D1548" s="83"/>
      <c r="E1548" s="6"/>
      <c r="F1548" s="7" t="s">
        <v>2</v>
      </c>
      <c r="G1548" s="608">
        <v>45970</v>
      </c>
      <c r="H1548" s="7"/>
      <c r="I1548" s="6"/>
      <c r="J1548" s="6"/>
      <c r="K1548" s="6"/>
      <c r="L1548" s="6"/>
      <c r="M1548" s="6"/>
      <c r="N1548" s="6"/>
      <c r="O1548" s="6"/>
      <c r="P1548" s="6"/>
      <c r="Q1548" s="6"/>
      <c r="R1548" s="6"/>
      <c r="S1548" s="6"/>
      <c r="T1548" s="6"/>
      <c r="U1548" s="149"/>
      <c r="V1548" s="77"/>
      <c r="W1548" s="77"/>
      <c r="X1548" s="77"/>
      <c r="Y1548" s="2"/>
    </row>
    <row r="1549" spans="1:25">
      <c r="B1549" s="11"/>
      <c r="C1549" s="10"/>
      <c r="D1549" s="63"/>
      <c r="E1549" s="10"/>
      <c r="F1549" s="10"/>
      <c r="G1549" s="7"/>
      <c r="H1549" s="12"/>
      <c r="I1549" s="10"/>
      <c r="J1549" s="10"/>
      <c r="K1549" s="13" t="s">
        <v>3</v>
      </c>
      <c r="L1549" s="14"/>
      <c r="M1549" s="15"/>
      <c r="N1549" s="13" t="s">
        <v>4</v>
      </c>
      <c r="O1549" s="14"/>
      <c r="P1549" s="15"/>
      <c r="Q1549" s="13" t="s">
        <v>5</v>
      </c>
      <c r="R1549" s="14"/>
      <c r="S1549" s="15"/>
      <c r="T1549" s="16"/>
      <c r="U1549" s="151"/>
      <c r="V1549" s="77"/>
      <c r="W1549" s="77"/>
      <c r="X1549" s="77"/>
      <c r="Y1549" s="2"/>
    </row>
    <row r="1550" spans="1:25">
      <c r="B1550" s="18" t="s">
        <v>6</v>
      </c>
      <c r="C1550" s="19">
        <f>C1551+C1552</f>
        <v>6</v>
      </c>
      <c r="D1550" s="63"/>
      <c r="E1550" s="18" t="s">
        <v>7</v>
      </c>
      <c r="F1550" s="6"/>
      <c r="G1550" s="9"/>
      <c r="H1550" s="10"/>
      <c r="I1550" s="10"/>
      <c r="J1550" s="10"/>
      <c r="K1550" s="20" t="s">
        <v>8</v>
      </c>
      <c r="L1550" s="21" t="s">
        <v>9</v>
      </c>
      <c r="M1550" s="21" t="s">
        <v>10</v>
      </c>
      <c r="N1550" s="20" t="s">
        <v>11</v>
      </c>
      <c r="O1550" s="21" t="s">
        <v>12</v>
      </c>
      <c r="P1550" s="22" t="s">
        <v>13</v>
      </c>
      <c r="Q1550" s="21" t="s">
        <v>11</v>
      </c>
      <c r="R1550" s="21" t="s">
        <v>12</v>
      </c>
      <c r="S1550" s="22" t="s">
        <v>13</v>
      </c>
      <c r="T1550" s="23" t="s">
        <v>14</v>
      </c>
      <c r="U1550" s="151"/>
      <c r="V1550" s="77"/>
      <c r="W1550" s="77"/>
      <c r="X1550" s="77"/>
      <c r="Y1550" s="2"/>
    </row>
    <row r="1551" spans="1:25">
      <c r="B1551" s="24" t="s">
        <v>15</v>
      </c>
      <c r="C1551" s="25">
        <f>P1558</f>
        <v>3</v>
      </c>
      <c r="D1551" s="63"/>
      <c r="E1551" s="11" t="s">
        <v>16</v>
      </c>
      <c r="F1551" s="10" t="s">
        <v>78</v>
      </c>
      <c r="G1551" s="153">
        <v>0.05</v>
      </c>
      <c r="H1551" s="10"/>
      <c r="I1551" s="10"/>
      <c r="J1551" s="18" t="s">
        <v>17</v>
      </c>
      <c r="K1551" s="29">
        <f>K1593</f>
        <v>1</v>
      </c>
      <c r="L1551" s="29">
        <f t="shared" ref="L1551:S1551" si="209">L1593</f>
        <v>1</v>
      </c>
      <c r="M1551" s="29">
        <f t="shared" si="209"/>
        <v>1</v>
      </c>
      <c r="N1551" s="29">
        <f t="shared" si="209"/>
        <v>1</v>
      </c>
      <c r="O1551" s="29">
        <f t="shared" si="209"/>
        <v>1</v>
      </c>
      <c r="P1551" s="29">
        <f t="shared" si="209"/>
        <v>1</v>
      </c>
      <c r="Q1551" s="29">
        <f t="shared" si="209"/>
        <v>1</v>
      </c>
      <c r="R1551" s="29">
        <f t="shared" si="209"/>
        <v>1</v>
      </c>
      <c r="S1551" s="29">
        <f t="shared" si="209"/>
        <v>1</v>
      </c>
      <c r="T1551" s="30">
        <f>T1690</f>
        <v>0</v>
      </c>
      <c r="U1551" s="151"/>
      <c r="V1551" s="77"/>
      <c r="W1551" s="77"/>
      <c r="X1551" s="77"/>
      <c r="Y1551" s="2"/>
    </row>
    <row r="1552" spans="1:25">
      <c r="B1552" s="24" t="s">
        <v>18</v>
      </c>
      <c r="C1552" s="25">
        <f>P1559</f>
        <v>3</v>
      </c>
      <c r="D1552" s="63"/>
      <c r="E1552" s="26" t="s">
        <v>80</v>
      </c>
      <c r="F1552" s="141" t="s">
        <v>81</v>
      </c>
      <c r="G1552" s="154">
        <v>0.1</v>
      </c>
      <c r="H1552" s="10"/>
      <c r="I1552" s="10"/>
      <c r="J1552" s="32" t="s">
        <v>19</v>
      </c>
      <c r="K1552" s="33">
        <f>K1593/K1592</f>
        <v>1</v>
      </c>
      <c r="L1552" s="33">
        <f t="shared" ref="L1552:S1552" si="210">L1593/L1592</f>
        <v>1</v>
      </c>
      <c r="M1552" s="33">
        <f t="shared" si="210"/>
        <v>1</v>
      </c>
      <c r="N1552" s="33">
        <f t="shared" si="210"/>
        <v>1</v>
      </c>
      <c r="O1552" s="33">
        <f t="shared" si="210"/>
        <v>1</v>
      </c>
      <c r="P1552" s="33">
        <f t="shared" si="210"/>
        <v>1</v>
      </c>
      <c r="Q1552" s="33">
        <f t="shared" si="210"/>
        <v>1</v>
      </c>
      <c r="R1552" s="33">
        <f t="shared" si="210"/>
        <v>1</v>
      </c>
      <c r="S1552" s="33">
        <f t="shared" si="210"/>
        <v>1</v>
      </c>
      <c r="T1552" s="23"/>
      <c r="U1552" s="151" t="s">
        <v>20</v>
      </c>
      <c r="V1552" s="77"/>
      <c r="W1552" s="77"/>
      <c r="X1552" s="77"/>
      <c r="Y1552" s="2"/>
    </row>
    <row r="1553" spans="2:25">
      <c r="B1553" s="24" t="s">
        <v>21</v>
      </c>
      <c r="C1553" s="34">
        <f>P1560</f>
        <v>0.5</v>
      </c>
      <c r="D1553" s="63"/>
      <c r="E1553" s="10"/>
      <c r="F1553" s="10"/>
      <c r="G1553" s="10"/>
      <c r="H1553" s="10"/>
      <c r="I1553" s="10"/>
      <c r="J1553" s="10"/>
      <c r="K1553" s="10"/>
      <c r="L1553" s="10"/>
      <c r="M1553" s="10"/>
      <c r="N1553" s="10"/>
      <c r="O1553" s="10"/>
      <c r="P1553" s="10"/>
      <c r="Q1553" s="10"/>
      <c r="R1553" s="10"/>
      <c r="S1553" s="10"/>
      <c r="T1553" s="10"/>
      <c r="U1553" s="151"/>
      <c r="V1553" s="77"/>
      <c r="W1553" s="77"/>
      <c r="X1553" s="77"/>
      <c r="Y1553" s="2"/>
    </row>
    <row r="1554" spans="2:25">
      <c r="B1554" s="24"/>
      <c r="C1554" s="25"/>
      <c r="D1554" s="63"/>
      <c r="E1554" s="10"/>
      <c r="F1554" s="18" t="s">
        <v>22</v>
      </c>
      <c r="G1554" s="19" t="s">
        <v>23</v>
      </c>
      <c r="H1554" s="35" t="s">
        <v>24</v>
      </c>
      <c r="I1554" s="10"/>
      <c r="J1554" s="10"/>
      <c r="K1554" s="36"/>
      <c r="L1554" s="36"/>
      <c r="M1554" s="36"/>
      <c r="N1554" s="36"/>
      <c r="O1554" s="36"/>
      <c r="P1554" s="36"/>
      <c r="Q1554" s="36"/>
      <c r="R1554" s="10"/>
      <c r="S1554" s="10"/>
      <c r="T1554" s="10"/>
      <c r="U1554" s="151"/>
      <c r="V1554" s="77"/>
      <c r="W1554" s="77"/>
      <c r="X1554" s="77"/>
      <c r="Y1554" s="2"/>
    </row>
    <row r="1555" spans="2:25">
      <c r="B1555" s="32" t="s">
        <v>25</v>
      </c>
      <c r="C1555" s="37">
        <f>P1561</f>
        <v>1640.2766666666666</v>
      </c>
      <c r="D1555" s="63"/>
      <c r="E1555" s="18" t="s">
        <v>26</v>
      </c>
      <c r="F1555" s="38">
        <f>P1557</f>
        <v>4920.83</v>
      </c>
      <c r="G1555" s="39">
        <f>I1592+I1626+I1648</f>
        <v>4920.83</v>
      </c>
      <c r="H1555" s="40"/>
      <c r="I1555" s="41"/>
      <c r="J1555" s="42"/>
      <c r="K1555" s="43" t="s">
        <v>27</v>
      </c>
      <c r="L1555" s="44"/>
      <c r="M1555" s="44"/>
      <c r="N1555" s="44"/>
      <c r="O1555" s="44"/>
      <c r="P1555" s="44"/>
      <c r="Q1555" s="45"/>
      <c r="R1555" s="46" t="s">
        <v>28</v>
      </c>
      <c r="S1555" s="47" t="s">
        <v>29</v>
      </c>
      <c r="T1555" s="10"/>
      <c r="U1555" s="151"/>
      <c r="V1555" s="77"/>
      <c r="W1555" s="77"/>
      <c r="X1555" s="77"/>
      <c r="Y1555" s="2"/>
    </row>
    <row r="1556" spans="2:25">
      <c r="B1556" s="11"/>
      <c r="C1556" s="10"/>
      <c r="D1556" s="63"/>
      <c r="E1556" s="24" t="s">
        <v>30</v>
      </c>
      <c r="F1556" s="48">
        <f>IF(F1555&gt;=25000,10%,5%)</f>
        <v>0.05</v>
      </c>
      <c r="G1556" s="17"/>
      <c r="H1556" s="40"/>
      <c r="I1556" s="41"/>
      <c r="J1556" s="42"/>
      <c r="K1556" s="20" t="s">
        <v>31</v>
      </c>
      <c r="L1556" s="21" t="s">
        <v>32</v>
      </c>
      <c r="M1556" s="21" t="s">
        <v>33</v>
      </c>
      <c r="N1556" s="21" t="s">
        <v>34</v>
      </c>
      <c r="O1556" s="21" t="s">
        <v>35</v>
      </c>
      <c r="P1556" s="21" t="s">
        <v>36</v>
      </c>
      <c r="Q1556" s="49" t="s">
        <v>37</v>
      </c>
      <c r="R1556" s="50" t="s">
        <v>38</v>
      </c>
      <c r="S1556" s="50" t="s">
        <v>38</v>
      </c>
      <c r="T1556" s="10"/>
      <c r="U1556" s="151"/>
      <c r="V1556" s="77"/>
      <c r="W1556" s="77"/>
      <c r="X1556" s="77"/>
      <c r="Y1556" s="2"/>
    </row>
    <row r="1557" spans="2:25">
      <c r="B1557" s="11"/>
      <c r="C1557" s="10"/>
      <c r="D1557" s="63"/>
      <c r="E1557" s="51" t="s">
        <v>39</v>
      </c>
      <c r="F1557" s="52">
        <f>F1555*F1556</f>
        <v>246.04150000000001</v>
      </c>
      <c r="G1557" s="53" t="s">
        <v>40</v>
      </c>
      <c r="H1557" s="54">
        <f>F1557/1.12</f>
        <v>219.67991071428571</v>
      </c>
      <c r="I1557" s="55"/>
      <c r="J1557" s="42"/>
      <c r="K1557" s="56">
        <f>I1576+I1618+I1640</f>
        <v>4920.83</v>
      </c>
      <c r="L1557" s="57"/>
      <c r="M1557" s="57"/>
      <c r="N1557" s="57"/>
      <c r="O1557" s="57"/>
      <c r="P1557" s="57">
        <f>SUM(K1557:O1557)</f>
        <v>4920.83</v>
      </c>
      <c r="Q1557" s="58">
        <v>0</v>
      </c>
      <c r="R1557" s="59">
        <f>I1626+I1648</f>
        <v>3599.5299999999997</v>
      </c>
      <c r="S1557" s="59">
        <f>+I1637+I1659</f>
        <v>0</v>
      </c>
      <c r="T1557" s="10"/>
      <c r="U1557" s="151"/>
      <c r="V1557" s="77"/>
      <c r="W1557" s="77"/>
      <c r="X1557" s="77"/>
      <c r="Y1557" s="2"/>
    </row>
    <row r="1558" spans="2:25">
      <c r="B1558" s="11"/>
      <c r="C1558" s="10"/>
      <c r="D1558" s="63"/>
      <c r="E1558" s="24" t="s">
        <v>41</v>
      </c>
      <c r="F1558" s="60">
        <f>Q1557</f>
        <v>0</v>
      </c>
      <c r="G1558" s="61" t="s">
        <v>40</v>
      </c>
      <c r="H1558" s="62"/>
      <c r="I1558" s="62"/>
      <c r="J1558" s="10" t="s">
        <v>42</v>
      </c>
      <c r="K1558" s="63">
        <v>3</v>
      </c>
      <c r="L1558" s="63"/>
      <c r="M1558" s="63"/>
      <c r="N1558" s="63"/>
      <c r="O1558" s="63"/>
      <c r="P1558" s="21">
        <f>SUM(K1558:O1558)</f>
        <v>3</v>
      </c>
      <c r="Q1558" s="64"/>
      <c r="R1558" s="63"/>
      <c r="S1558" s="10"/>
      <c r="T1558" s="10"/>
      <c r="U1558" s="151"/>
      <c r="V1558" s="77"/>
      <c r="W1558" s="77"/>
      <c r="X1558" s="77"/>
      <c r="Y1558" s="2"/>
    </row>
    <row r="1559" spans="2:25">
      <c r="B1559" s="11"/>
      <c r="C1559" s="10"/>
      <c r="D1559" s="63"/>
      <c r="E1559" s="51" t="s">
        <v>43</v>
      </c>
      <c r="F1559" s="52">
        <f>F1558*0.25</f>
        <v>0</v>
      </c>
      <c r="G1559" s="53" t="s">
        <v>40</v>
      </c>
      <c r="H1559" s="54">
        <f>F1559/1.12</f>
        <v>0</v>
      </c>
      <c r="I1559" s="10"/>
      <c r="J1559" s="10" t="s">
        <v>44</v>
      </c>
      <c r="K1559" s="63">
        <v>3</v>
      </c>
      <c r="L1559" s="63"/>
      <c r="M1559" s="63"/>
      <c r="N1559" s="63"/>
      <c r="O1559" s="63"/>
      <c r="P1559" s="21">
        <f>SUM(K1559:O1559)</f>
        <v>3</v>
      </c>
      <c r="Q1559" s="64"/>
      <c r="R1559" s="63"/>
      <c r="S1559" s="10"/>
      <c r="T1559" s="10"/>
      <c r="U1559" s="151"/>
      <c r="V1559" s="77"/>
      <c r="W1559" s="77"/>
      <c r="X1559" s="77"/>
      <c r="Y1559" s="2"/>
    </row>
    <row r="1560" spans="2:25">
      <c r="B1560" s="11"/>
      <c r="C1560" s="10"/>
      <c r="D1560" s="63"/>
      <c r="E1560" s="24" t="s">
        <v>45</v>
      </c>
      <c r="F1560" s="60">
        <v>0</v>
      </c>
      <c r="G1560" s="61" t="s">
        <v>40</v>
      </c>
      <c r="H1560" s="62"/>
      <c r="I1560" s="10"/>
      <c r="J1560" s="10" t="s">
        <v>46</v>
      </c>
      <c r="K1560" s="31">
        <f t="shared" ref="K1560:Q1560" si="211">K1558/(K1558+K1559)</f>
        <v>0.5</v>
      </c>
      <c r="L1560" s="31" t="e">
        <f t="shared" si="211"/>
        <v>#DIV/0!</v>
      </c>
      <c r="M1560" s="31" t="e">
        <f t="shared" si="211"/>
        <v>#DIV/0!</v>
      </c>
      <c r="N1560" s="31" t="e">
        <f t="shared" si="211"/>
        <v>#DIV/0!</v>
      </c>
      <c r="O1560" s="31" t="e">
        <f t="shared" si="211"/>
        <v>#DIV/0!</v>
      </c>
      <c r="P1560" s="31">
        <f t="shared" si="211"/>
        <v>0.5</v>
      </c>
      <c r="Q1560" s="31" t="e">
        <f t="shared" si="211"/>
        <v>#DIV/0!</v>
      </c>
      <c r="R1560" s="63"/>
      <c r="S1560" s="10"/>
      <c r="T1560" s="10"/>
      <c r="U1560" s="151"/>
      <c r="V1560" s="77"/>
      <c r="W1560" s="77"/>
      <c r="X1560" s="77"/>
      <c r="Y1560" s="2"/>
    </row>
    <row r="1561" spans="2:25">
      <c r="B1561" s="11"/>
      <c r="C1561" s="10"/>
      <c r="D1561" s="63"/>
      <c r="E1561" s="51" t="s">
        <v>47</v>
      </c>
      <c r="F1561" s="52">
        <f>F1560*0.05</f>
        <v>0</v>
      </c>
      <c r="G1561" s="65" t="s">
        <v>40</v>
      </c>
      <c r="H1561" s="54">
        <f>F1561/1.12</f>
        <v>0</v>
      </c>
      <c r="I1561" s="42"/>
      <c r="J1561" s="10" t="s">
        <v>48</v>
      </c>
      <c r="K1561" s="66">
        <f>K1557/K1558</f>
        <v>1640.2766666666666</v>
      </c>
      <c r="L1561" s="66" t="e">
        <f t="shared" ref="L1561:Q1561" si="212">L1557/L1558</f>
        <v>#DIV/0!</v>
      </c>
      <c r="M1561" s="66" t="e">
        <f t="shared" si="212"/>
        <v>#DIV/0!</v>
      </c>
      <c r="N1561" s="66" t="e">
        <f t="shared" si="212"/>
        <v>#DIV/0!</v>
      </c>
      <c r="O1561" s="66" t="e">
        <f t="shared" si="212"/>
        <v>#DIV/0!</v>
      </c>
      <c r="P1561" s="66">
        <f t="shared" si="212"/>
        <v>1640.2766666666666</v>
      </c>
      <c r="Q1561" s="66" t="e">
        <f t="shared" si="212"/>
        <v>#DIV/0!</v>
      </c>
      <c r="R1561" s="63"/>
      <c r="S1561" s="10"/>
      <c r="T1561" s="10"/>
      <c r="U1561" s="151"/>
      <c r="V1561" s="77"/>
      <c r="W1561" s="77"/>
      <c r="X1561" s="77"/>
      <c r="Y1561" s="2"/>
    </row>
    <row r="1562" spans="2:25">
      <c r="B1562" s="132"/>
      <c r="C1562" s="123"/>
      <c r="D1562" s="127"/>
      <c r="E1562" s="155" t="s">
        <v>14</v>
      </c>
      <c r="F1562" s="156"/>
      <c r="G1562" s="123"/>
      <c r="H1562" s="54">
        <f>F1562/1.12</f>
        <v>0</v>
      </c>
      <c r="I1562" s="123"/>
      <c r="J1562" s="123"/>
      <c r="K1562" s="123"/>
      <c r="L1562" s="123"/>
      <c r="M1562" s="123"/>
      <c r="N1562" s="123"/>
      <c r="O1562" s="123"/>
      <c r="P1562" s="123"/>
      <c r="Q1562" s="123"/>
      <c r="R1562" s="123"/>
      <c r="S1562" s="123"/>
      <c r="T1562" s="123"/>
      <c r="U1562" s="157"/>
      <c r="V1562" s="123"/>
      <c r="W1562" s="123"/>
      <c r="X1562" s="123"/>
      <c r="Y1562" s="128"/>
    </row>
    <row r="1563" spans="2:25">
      <c r="B1563" s="132"/>
      <c r="C1563" s="123"/>
      <c r="D1563" s="127"/>
      <c r="E1563" s="158" t="s">
        <v>49</v>
      </c>
      <c r="F1563" s="159">
        <f>T1552</f>
        <v>0</v>
      </c>
      <c r="G1563" s="123"/>
      <c r="H1563" s="54"/>
      <c r="I1563" s="123"/>
      <c r="J1563" s="42"/>
      <c r="K1563" s="764" t="s">
        <v>50</v>
      </c>
      <c r="L1563" s="765"/>
      <c r="M1563" s="765"/>
      <c r="N1563" s="765"/>
      <c r="O1563" s="765"/>
      <c r="P1563" s="765"/>
      <c r="Q1563" s="766"/>
      <c r="R1563" s="70" t="s">
        <v>28</v>
      </c>
      <c r="S1563" s="71" t="s">
        <v>29</v>
      </c>
      <c r="T1563" s="123"/>
      <c r="U1563" s="157"/>
      <c r="V1563" s="123"/>
      <c r="W1563" s="123"/>
      <c r="X1563" s="123"/>
      <c r="Y1563" s="128"/>
    </row>
    <row r="1564" spans="2:25">
      <c r="B1564" s="132"/>
      <c r="C1564" s="123"/>
      <c r="D1564" s="127"/>
      <c r="E1564" s="72"/>
      <c r="F1564" s="73"/>
      <c r="G1564" s="123"/>
      <c r="H1564" s="54"/>
      <c r="I1564" s="123"/>
      <c r="J1564" s="42"/>
      <c r="K1564" s="20" t="s">
        <v>31</v>
      </c>
      <c r="L1564" s="21" t="s">
        <v>32</v>
      </c>
      <c r="M1564" s="21" t="s">
        <v>33</v>
      </c>
      <c r="N1564" s="21" t="s">
        <v>34</v>
      </c>
      <c r="O1564" s="21" t="s">
        <v>35</v>
      </c>
      <c r="P1564" s="21" t="s">
        <v>36</v>
      </c>
      <c r="Q1564" s="49" t="s">
        <v>37</v>
      </c>
      <c r="R1564" s="50" t="s">
        <v>38</v>
      </c>
      <c r="S1564" s="50" t="s">
        <v>38</v>
      </c>
      <c r="T1564" s="123"/>
      <c r="U1564" s="157"/>
      <c r="V1564" s="123"/>
      <c r="W1564" s="123"/>
      <c r="X1564" s="123"/>
      <c r="Y1564" s="128"/>
    </row>
    <row r="1565" spans="2:25">
      <c r="B1565" s="132"/>
      <c r="C1565" s="123"/>
      <c r="D1565" s="127"/>
      <c r="E1565" s="72"/>
      <c r="F1565" s="73"/>
      <c r="G1565" s="123"/>
      <c r="H1565" s="54"/>
      <c r="I1565" s="123"/>
      <c r="J1565" s="42"/>
      <c r="K1565" s="56">
        <f>F1576+F1618+F1640</f>
        <v>7106.9</v>
      </c>
      <c r="L1565" s="57"/>
      <c r="M1565" s="57"/>
      <c r="N1565" s="57"/>
      <c r="O1565" s="57"/>
      <c r="P1565" s="57">
        <f>SUM(K1565:O1565)</f>
        <v>7106.9</v>
      </c>
      <c r="Q1565" s="58">
        <v>0</v>
      </c>
      <c r="R1565" s="59">
        <f>F1626+F1648</f>
        <v>5745.9</v>
      </c>
      <c r="S1565" s="59">
        <f>F1637+F1659</f>
        <v>0</v>
      </c>
      <c r="T1565" s="123"/>
      <c r="U1565" s="157"/>
      <c r="V1565" s="123"/>
      <c r="W1565" s="123"/>
      <c r="X1565" s="123"/>
      <c r="Y1565" s="128"/>
    </row>
    <row r="1566" spans="2:25">
      <c r="B1566" s="132"/>
      <c r="C1566" s="123"/>
      <c r="D1566" s="127"/>
      <c r="E1566" s="72"/>
      <c r="F1566" s="73"/>
      <c r="G1566" s="123"/>
      <c r="H1566" s="54"/>
      <c r="I1566" s="123"/>
      <c r="J1566" s="10" t="s">
        <v>42</v>
      </c>
      <c r="K1566" s="63">
        <f t="shared" ref="K1566:Q1567" si="213">K1558</f>
        <v>3</v>
      </c>
      <c r="L1566" s="63">
        <f t="shared" si="213"/>
        <v>0</v>
      </c>
      <c r="M1566" s="63">
        <f t="shared" si="213"/>
        <v>0</v>
      </c>
      <c r="N1566" s="63">
        <f t="shared" si="213"/>
        <v>0</v>
      </c>
      <c r="O1566" s="63">
        <f t="shared" si="213"/>
        <v>0</v>
      </c>
      <c r="P1566" s="63">
        <f t="shared" si="213"/>
        <v>3</v>
      </c>
      <c r="Q1566" s="63">
        <f t="shared" si="213"/>
        <v>0</v>
      </c>
      <c r="R1566" s="63"/>
      <c r="S1566" s="10"/>
      <c r="T1566" s="123"/>
      <c r="U1566" s="157"/>
      <c r="V1566" s="123"/>
      <c r="W1566" s="123"/>
      <c r="X1566" s="123"/>
      <c r="Y1566" s="128"/>
    </row>
    <row r="1567" spans="2:25">
      <c r="B1567" s="132"/>
      <c r="C1567" s="123"/>
      <c r="D1567" s="127"/>
      <c r="E1567" s="74"/>
      <c r="F1567" s="75"/>
      <c r="G1567" s="123"/>
      <c r="H1567" s="54"/>
      <c r="I1567" s="123"/>
      <c r="J1567" s="10" t="s">
        <v>44</v>
      </c>
      <c r="K1567" s="63">
        <f t="shared" si="213"/>
        <v>3</v>
      </c>
      <c r="L1567" s="63">
        <f t="shared" si="213"/>
        <v>0</v>
      </c>
      <c r="M1567" s="63">
        <f t="shared" si="213"/>
        <v>0</v>
      </c>
      <c r="N1567" s="63">
        <f t="shared" si="213"/>
        <v>0</v>
      </c>
      <c r="O1567" s="63">
        <f t="shared" si="213"/>
        <v>0</v>
      </c>
      <c r="P1567" s="63">
        <f t="shared" si="213"/>
        <v>3</v>
      </c>
      <c r="Q1567" s="63">
        <f t="shared" si="213"/>
        <v>0</v>
      </c>
      <c r="R1567" s="63"/>
      <c r="S1567" s="10"/>
      <c r="T1567" s="123"/>
      <c r="U1567" s="157"/>
      <c r="V1567" s="123"/>
      <c r="W1567" s="123"/>
      <c r="X1567" s="123"/>
      <c r="Y1567" s="128"/>
    </row>
    <row r="1568" spans="2:25">
      <c r="B1568" s="132"/>
      <c r="C1568" s="123"/>
      <c r="D1568" s="127"/>
      <c r="E1568" s="12"/>
      <c r="F1568" s="160"/>
      <c r="G1568" s="123"/>
      <c r="H1568" s="54"/>
      <c r="I1568" s="123"/>
      <c r="J1568" s="10" t="s">
        <v>46</v>
      </c>
      <c r="K1568" s="31">
        <f t="shared" ref="K1568:Q1568" si="214">K1566/(K1566+K1567)</f>
        <v>0.5</v>
      </c>
      <c r="L1568" s="31" t="e">
        <f t="shared" si="214"/>
        <v>#DIV/0!</v>
      </c>
      <c r="M1568" s="31" t="e">
        <f t="shared" si="214"/>
        <v>#DIV/0!</v>
      </c>
      <c r="N1568" s="31" t="e">
        <f t="shared" si="214"/>
        <v>#DIV/0!</v>
      </c>
      <c r="O1568" s="31" t="e">
        <f t="shared" si="214"/>
        <v>#DIV/0!</v>
      </c>
      <c r="P1568" s="31">
        <f t="shared" si="214"/>
        <v>0.5</v>
      </c>
      <c r="Q1568" s="31" t="e">
        <f t="shared" si="214"/>
        <v>#DIV/0!</v>
      </c>
      <c r="R1568" s="63"/>
      <c r="S1568" s="10"/>
      <c r="T1568" s="123"/>
      <c r="U1568" s="157"/>
      <c r="V1568" s="123"/>
      <c r="W1568" s="123"/>
      <c r="X1568" s="123"/>
      <c r="Y1568" s="128"/>
    </row>
    <row r="1569" spans="2:25">
      <c r="B1569" s="132"/>
      <c r="C1569" s="123"/>
      <c r="D1569" s="127"/>
      <c r="E1569" s="12"/>
      <c r="F1569" s="160"/>
      <c r="G1569" s="123"/>
      <c r="H1569" s="54"/>
      <c r="I1569" s="123"/>
      <c r="J1569" s="10" t="s">
        <v>48</v>
      </c>
      <c r="K1569" s="66">
        <f t="shared" ref="K1569:Q1569" si="215">K1565/K1566</f>
        <v>2368.9666666666667</v>
      </c>
      <c r="L1569" s="66" t="e">
        <f t="shared" si="215"/>
        <v>#DIV/0!</v>
      </c>
      <c r="M1569" s="66" t="e">
        <f t="shared" si="215"/>
        <v>#DIV/0!</v>
      </c>
      <c r="N1569" s="66" t="e">
        <f t="shared" si="215"/>
        <v>#DIV/0!</v>
      </c>
      <c r="O1569" s="66" t="e">
        <f t="shared" si="215"/>
        <v>#DIV/0!</v>
      </c>
      <c r="P1569" s="66">
        <f t="shared" si="215"/>
        <v>2368.9666666666667</v>
      </c>
      <c r="Q1569" s="66" t="e">
        <f t="shared" si="215"/>
        <v>#DIV/0!</v>
      </c>
      <c r="R1569" s="63"/>
      <c r="S1569" s="10"/>
      <c r="T1569" s="123"/>
      <c r="U1569" s="157"/>
      <c r="V1569" s="123"/>
      <c r="W1569" s="123"/>
      <c r="X1569" s="123"/>
      <c r="Y1569" s="128"/>
    </row>
    <row r="1570" spans="2:25">
      <c r="B1570" s="132"/>
      <c r="C1570" s="123"/>
      <c r="D1570" s="127"/>
      <c r="E1570" s="12"/>
      <c r="F1570" s="160"/>
      <c r="G1570" s="123"/>
      <c r="H1570" s="54"/>
      <c r="I1570" s="123"/>
      <c r="J1570" s="123"/>
      <c r="K1570" s="123"/>
      <c r="L1570" s="123"/>
      <c r="M1570" s="123"/>
      <c r="N1570" s="123"/>
      <c r="O1570" s="123"/>
      <c r="P1570" s="123"/>
      <c r="Q1570" s="123"/>
      <c r="R1570" s="123"/>
      <c r="S1570" s="123"/>
      <c r="T1570" s="123"/>
      <c r="U1570" s="157"/>
      <c r="V1570" s="123"/>
      <c r="W1570" s="123"/>
      <c r="X1570" s="123"/>
      <c r="Y1570" s="128"/>
    </row>
    <row r="1571" spans="2:25">
      <c r="B1571" s="11"/>
      <c r="C1571" s="10"/>
      <c r="D1571" s="63"/>
      <c r="E1571" s="12"/>
      <c r="F1571" s="12"/>
      <c r="G1571" s="10"/>
      <c r="H1571" s="10"/>
      <c r="I1571" s="10"/>
      <c r="J1571" s="10"/>
      <c r="K1571" s="10"/>
      <c r="L1571" s="10"/>
      <c r="M1571" s="10"/>
      <c r="N1571" s="10"/>
      <c r="O1571" s="10"/>
      <c r="P1571" s="10"/>
      <c r="Q1571" s="10"/>
      <c r="R1571" s="10"/>
      <c r="S1571" s="10"/>
      <c r="T1571" s="10"/>
      <c r="U1571" s="151"/>
      <c r="V1571" s="77"/>
      <c r="W1571" s="77"/>
      <c r="X1571" s="77"/>
      <c r="Y1571" s="2"/>
    </row>
    <row r="1572" spans="2:25">
      <c r="B1572" s="11"/>
      <c r="C1572" s="10"/>
      <c r="D1572" s="63"/>
      <c r="E1572" s="10"/>
      <c r="F1572" s="10"/>
      <c r="G1572" s="10"/>
      <c r="H1572" s="10"/>
      <c r="I1572" s="10"/>
      <c r="J1572" s="10"/>
      <c r="K1572" s="10"/>
      <c r="L1572" s="10"/>
      <c r="M1572" s="10"/>
      <c r="N1572" s="10"/>
      <c r="O1572" s="10"/>
      <c r="P1572" s="10"/>
      <c r="Q1572" s="10"/>
      <c r="R1572" s="10"/>
      <c r="S1572" s="10"/>
      <c r="T1572" s="10"/>
      <c r="U1572" s="151"/>
      <c r="V1572" s="77"/>
      <c r="W1572" s="77"/>
      <c r="X1572" s="77"/>
      <c r="Y1572" s="2"/>
    </row>
    <row r="1573" spans="2:25">
      <c r="B1573" s="18" t="s">
        <v>51</v>
      </c>
      <c r="C1573" s="14"/>
      <c r="D1573" s="14"/>
      <c r="E1573" s="14"/>
      <c r="F1573" s="13" t="s">
        <v>52</v>
      </c>
      <c r="G1573" s="14"/>
      <c r="H1573" s="14"/>
      <c r="I1573" s="14"/>
      <c r="J1573" s="14"/>
      <c r="K1573" s="13" t="s">
        <v>3</v>
      </c>
      <c r="L1573" s="14"/>
      <c r="M1573" s="14"/>
      <c r="N1573" s="13" t="s">
        <v>4</v>
      </c>
      <c r="O1573" s="14"/>
      <c r="P1573" s="14"/>
      <c r="Q1573" s="13" t="s">
        <v>5</v>
      </c>
      <c r="R1573" s="14"/>
      <c r="S1573" s="14"/>
      <c r="T1573" s="18"/>
      <c r="U1573" s="161" t="s">
        <v>53</v>
      </c>
      <c r="V1573" s="77"/>
      <c r="W1573" s="77"/>
      <c r="X1573" s="77"/>
      <c r="Y1573" s="2"/>
    </row>
    <row r="1574" spans="2:25">
      <c r="B1574" s="24" t="s">
        <v>54</v>
      </c>
      <c r="C1574" s="21" t="s">
        <v>55</v>
      </c>
      <c r="D1574" s="21" t="s">
        <v>56</v>
      </c>
      <c r="E1574" s="21" t="s">
        <v>57</v>
      </c>
      <c r="F1574" s="20" t="s">
        <v>58</v>
      </c>
      <c r="G1574" s="21" t="s">
        <v>59</v>
      </c>
      <c r="H1574" s="21" t="s">
        <v>60</v>
      </c>
      <c r="I1574" s="21" t="s">
        <v>26</v>
      </c>
      <c r="J1574" s="22" t="s">
        <v>61</v>
      </c>
      <c r="K1574" s="21" t="s">
        <v>8</v>
      </c>
      <c r="L1574" s="21" t="s">
        <v>9</v>
      </c>
      <c r="M1574" s="21" t="s">
        <v>10</v>
      </c>
      <c r="N1574" s="20" t="s">
        <v>11</v>
      </c>
      <c r="O1574" s="21" t="s">
        <v>12</v>
      </c>
      <c r="P1574" s="22" t="s">
        <v>13</v>
      </c>
      <c r="Q1574" s="21" t="s">
        <v>11</v>
      </c>
      <c r="R1574" s="21" t="s">
        <v>12</v>
      </c>
      <c r="S1574" s="21" t="s">
        <v>13</v>
      </c>
      <c r="T1574" s="78" t="s">
        <v>14</v>
      </c>
      <c r="U1574" s="162"/>
      <c r="V1574" s="79" t="s">
        <v>62</v>
      </c>
      <c r="W1574" s="80" t="s">
        <v>63</v>
      </c>
      <c r="X1574" s="81" t="s">
        <v>64</v>
      </c>
      <c r="Y1574" s="2"/>
    </row>
    <row r="1575" spans="2:25">
      <c r="B1575" s="4" t="s">
        <v>65</v>
      </c>
      <c r="C1575" s="6"/>
      <c r="D1575" s="6"/>
      <c r="E1575" s="6"/>
      <c r="F1575" s="6"/>
      <c r="G1575" s="6"/>
      <c r="H1575" s="6"/>
      <c r="I1575" s="82"/>
      <c r="J1575" s="6"/>
      <c r="K1575" s="6"/>
      <c r="L1575" s="6"/>
      <c r="M1575" s="6"/>
      <c r="N1575" s="6"/>
      <c r="O1575" s="6"/>
      <c r="P1575" s="6"/>
      <c r="Q1575" s="6"/>
      <c r="R1575" s="6"/>
      <c r="S1575" s="6"/>
      <c r="T1575" s="83"/>
      <c r="U1575" s="163"/>
      <c r="V1575" s="84"/>
      <c r="W1575" s="85"/>
      <c r="X1575" s="86"/>
      <c r="Y1575" s="2"/>
    </row>
    <row r="1576" spans="2:25">
      <c r="B1576" s="87">
        <v>1</v>
      </c>
      <c r="C1576" s="641">
        <v>45964</v>
      </c>
      <c r="D1576" s="271">
        <v>75081</v>
      </c>
      <c r="E1576" s="271" t="s">
        <v>213</v>
      </c>
      <c r="F1576" s="265">
        <v>1361</v>
      </c>
      <c r="G1576" s="265">
        <f>39.7</f>
        <v>39.700000000000003</v>
      </c>
      <c r="H1576" s="365"/>
      <c r="I1576" s="272">
        <f>F1576-G1576-H1576</f>
        <v>1321.3</v>
      </c>
      <c r="J1576" s="267" t="s">
        <v>156</v>
      </c>
      <c r="K1576" s="267">
        <v>1</v>
      </c>
      <c r="L1576" s="267">
        <v>1</v>
      </c>
      <c r="M1576" s="267">
        <v>1</v>
      </c>
      <c r="N1576" s="267">
        <v>1</v>
      </c>
      <c r="O1576" s="267">
        <v>1</v>
      </c>
      <c r="P1576" s="267">
        <v>1</v>
      </c>
      <c r="Q1576" s="267">
        <v>1</v>
      </c>
      <c r="R1576" s="267">
        <v>1</v>
      </c>
      <c r="S1576" s="269">
        <v>1</v>
      </c>
      <c r="T1576" s="63"/>
      <c r="U1576" s="94"/>
      <c r="V1576" s="90">
        <v>1497.1</v>
      </c>
      <c r="W1576" s="91"/>
      <c r="X1576" s="92"/>
      <c r="Y1576" s="2"/>
    </row>
    <row r="1577" spans="2:25">
      <c r="B1577" s="87">
        <f t="shared" ref="B1577:B1591" si="216">B1576+1</f>
        <v>2</v>
      </c>
      <c r="C1577" s="621"/>
      <c r="D1577" s="10"/>
      <c r="E1577" s="10"/>
      <c r="F1577" s="62"/>
      <c r="G1577" s="62"/>
      <c r="H1577" s="62"/>
      <c r="I1577" s="89">
        <f t="shared" ref="I1577:I1591" si="217">F1577-G1577-H1577</f>
        <v>0</v>
      </c>
      <c r="J1577" s="63"/>
      <c r="K1577" s="63"/>
      <c r="L1577" s="63"/>
      <c r="M1577" s="63"/>
      <c r="N1577" s="63"/>
      <c r="O1577" s="63"/>
      <c r="P1577" s="63"/>
      <c r="Q1577" s="63"/>
      <c r="R1577" s="63"/>
      <c r="S1577" s="63"/>
      <c r="T1577" s="63"/>
      <c r="U1577" s="94"/>
      <c r="V1577" s="90"/>
      <c r="W1577" s="91"/>
      <c r="X1577" s="92"/>
      <c r="Y1577" s="2"/>
    </row>
    <row r="1578" spans="2:25">
      <c r="B1578" s="87">
        <f t="shared" si="216"/>
        <v>3</v>
      </c>
      <c r="C1578" s="621"/>
      <c r="D1578" s="3"/>
      <c r="E1578" s="10"/>
      <c r="F1578" s="62"/>
      <c r="G1578" s="62"/>
      <c r="H1578" s="62"/>
      <c r="I1578" s="89">
        <f t="shared" si="217"/>
        <v>0</v>
      </c>
      <c r="J1578" s="63"/>
      <c r="K1578" s="63"/>
      <c r="L1578" s="63"/>
      <c r="M1578" s="63"/>
      <c r="N1578" s="63"/>
      <c r="O1578" s="63"/>
      <c r="P1578" s="63"/>
      <c r="Q1578" s="63"/>
      <c r="R1578" s="63"/>
      <c r="S1578" s="63"/>
      <c r="T1578" s="63"/>
      <c r="U1578" s="94"/>
      <c r="V1578" s="90"/>
      <c r="W1578" s="91"/>
      <c r="X1578" s="92"/>
      <c r="Y1578" s="2"/>
    </row>
    <row r="1579" spans="2:25">
      <c r="B1579" s="87">
        <f t="shared" si="216"/>
        <v>4</v>
      </c>
      <c r="C1579" s="621"/>
      <c r="D1579" s="10"/>
      <c r="E1579" s="94"/>
      <c r="F1579" s="62"/>
      <c r="G1579" s="62"/>
      <c r="H1579" s="62"/>
      <c r="I1579" s="89">
        <f t="shared" si="217"/>
        <v>0</v>
      </c>
      <c r="J1579" s="63"/>
      <c r="K1579" s="63"/>
      <c r="L1579" s="63"/>
      <c r="M1579" s="63"/>
      <c r="N1579" s="63"/>
      <c r="O1579" s="63"/>
      <c r="P1579" s="63"/>
      <c r="Q1579" s="63"/>
      <c r="R1579" s="63"/>
      <c r="S1579" s="63"/>
      <c r="T1579" s="63"/>
      <c r="U1579" s="94"/>
      <c r="V1579" s="90"/>
      <c r="W1579" s="91"/>
      <c r="X1579" s="92"/>
      <c r="Y1579" s="2"/>
    </row>
    <row r="1580" spans="2:25">
      <c r="B1580" s="87">
        <f t="shared" si="216"/>
        <v>5</v>
      </c>
      <c r="C1580" s="621"/>
      <c r="D1580" s="10"/>
      <c r="E1580" s="10"/>
      <c r="F1580" s="62"/>
      <c r="G1580" s="62"/>
      <c r="H1580" s="62"/>
      <c r="I1580" s="89">
        <f t="shared" si="217"/>
        <v>0</v>
      </c>
      <c r="J1580" s="63"/>
      <c r="K1580" s="63"/>
      <c r="L1580" s="63"/>
      <c r="M1580" s="63"/>
      <c r="N1580" s="63"/>
      <c r="O1580" s="63"/>
      <c r="P1580" s="63"/>
      <c r="Q1580" s="63"/>
      <c r="R1580" s="63"/>
      <c r="S1580" s="63"/>
      <c r="T1580" s="63"/>
      <c r="U1580" s="94"/>
      <c r="V1580" s="90"/>
      <c r="W1580" s="91"/>
      <c r="X1580" s="92"/>
      <c r="Y1580" s="2"/>
    </row>
    <row r="1581" spans="2:25">
      <c r="B1581" s="87">
        <f t="shared" si="216"/>
        <v>6</v>
      </c>
      <c r="C1581" s="621"/>
      <c r="D1581" s="10"/>
      <c r="E1581" s="10"/>
      <c r="F1581" s="62"/>
      <c r="G1581" s="62"/>
      <c r="H1581" s="88"/>
      <c r="I1581" s="89">
        <f t="shared" si="217"/>
        <v>0</v>
      </c>
      <c r="J1581" s="63"/>
      <c r="K1581" s="63"/>
      <c r="L1581" s="63"/>
      <c r="M1581" s="63"/>
      <c r="N1581" s="63"/>
      <c r="O1581" s="63"/>
      <c r="P1581" s="63"/>
      <c r="Q1581" s="63"/>
      <c r="R1581" s="63"/>
      <c r="S1581" s="63"/>
      <c r="T1581" s="63"/>
      <c r="U1581" s="94"/>
      <c r="V1581" s="90"/>
      <c r="W1581" s="91"/>
      <c r="X1581" s="92"/>
      <c r="Y1581" s="2"/>
    </row>
    <row r="1582" spans="2:25">
      <c r="B1582" s="87">
        <f t="shared" si="216"/>
        <v>7</v>
      </c>
      <c r="C1582" s="621"/>
      <c r="D1582" s="10"/>
      <c r="E1582" s="10"/>
      <c r="F1582" s="62"/>
      <c r="G1582" s="62"/>
      <c r="H1582" s="88"/>
      <c r="I1582" s="89">
        <f>F1582-G1582-H1582</f>
        <v>0</v>
      </c>
      <c r="J1582" s="63"/>
      <c r="K1582" s="63"/>
      <c r="L1582" s="63"/>
      <c r="M1582" s="63"/>
      <c r="N1582" s="63"/>
      <c r="O1582" s="63"/>
      <c r="P1582" s="63"/>
      <c r="Q1582" s="63"/>
      <c r="R1582" s="63"/>
      <c r="S1582" s="63"/>
      <c r="T1582" s="63"/>
      <c r="U1582" s="94"/>
      <c r="V1582" s="90"/>
      <c r="W1582" s="91"/>
      <c r="X1582" s="92"/>
      <c r="Y1582" s="2"/>
    </row>
    <row r="1583" spans="2:25">
      <c r="B1583" s="87">
        <f t="shared" si="216"/>
        <v>8</v>
      </c>
      <c r="C1583" s="621"/>
      <c r="D1583" s="10"/>
      <c r="E1583" s="10"/>
      <c r="F1583" s="62"/>
      <c r="G1583" s="62"/>
      <c r="H1583" s="88"/>
      <c r="I1583" s="89">
        <f>F1583-G1583-H1583</f>
        <v>0</v>
      </c>
      <c r="J1583" s="63"/>
      <c r="K1583" s="63"/>
      <c r="L1583" s="63"/>
      <c r="M1583" s="63"/>
      <c r="N1583" s="63"/>
      <c r="O1583" s="63"/>
      <c r="P1583" s="63"/>
      <c r="Q1583" s="63"/>
      <c r="R1583" s="63"/>
      <c r="S1583" s="63"/>
      <c r="T1583" s="63"/>
      <c r="U1583" s="94"/>
      <c r="V1583" s="90"/>
      <c r="W1583" s="91"/>
      <c r="X1583" s="92"/>
      <c r="Y1583" s="2"/>
    </row>
    <row r="1584" spans="2:25">
      <c r="B1584" s="87">
        <f t="shared" si="216"/>
        <v>9</v>
      </c>
      <c r="C1584" s="621"/>
      <c r="D1584" s="10"/>
      <c r="E1584" s="10"/>
      <c r="F1584" s="62"/>
      <c r="G1584" s="62"/>
      <c r="H1584" s="88"/>
      <c r="I1584" s="89">
        <f>F1584-G1584-H1584</f>
        <v>0</v>
      </c>
      <c r="J1584" s="63"/>
      <c r="K1584" s="63"/>
      <c r="L1584" s="63"/>
      <c r="M1584" s="63"/>
      <c r="N1584" s="63"/>
      <c r="O1584" s="63"/>
      <c r="P1584" s="63"/>
      <c r="Q1584" s="63"/>
      <c r="R1584" s="63"/>
      <c r="S1584" s="63"/>
      <c r="T1584" s="63"/>
      <c r="U1584" s="94"/>
      <c r="V1584" s="90"/>
      <c r="W1584" s="91"/>
      <c r="X1584" s="92"/>
      <c r="Y1584" s="2"/>
    </row>
    <row r="1585" spans="2:25">
      <c r="B1585" s="87">
        <f t="shared" si="216"/>
        <v>10</v>
      </c>
      <c r="C1585" s="621"/>
      <c r="D1585" s="10"/>
      <c r="E1585" s="10"/>
      <c r="F1585" s="62"/>
      <c r="G1585" s="62"/>
      <c r="H1585" s="88"/>
      <c r="I1585" s="89">
        <f>F1585-G1585-H1585</f>
        <v>0</v>
      </c>
      <c r="J1585" s="63"/>
      <c r="K1585" s="63"/>
      <c r="L1585" s="63"/>
      <c r="M1585" s="63"/>
      <c r="N1585" s="63"/>
      <c r="O1585" s="63"/>
      <c r="P1585" s="63"/>
      <c r="Q1585" s="63"/>
      <c r="R1585" s="63"/>
      <c r="S1585" s="63"/>
      <c r="T1585" s="63"/>
      <c r="U1585" s="94"/>
      <c r="V1585" s="90"/>
      <c r="W1585" s="91"/>
      <c r="X1585" s="92"/>
      <c r="Y1585" s="2"/>
    </row>
    <row r="1586" spans="2:25">
      <c r="B1586" s="87">
        <f t="shared" si="216"/>
        <v>11</v>
      </c>
      <c r="C1586" s="621"/>
      <c r="D1586" s="10"/>
      <c r="E1586" s="10"/>
      <c r="F1586" s="95"/>
      <c r="G1586" s="62"/>
      <c r="H1586" s="62"/>
      <c r="I1586" s="89">
        <f t="shared" si="217"/>
        <v>0</v>
      </c>
      <c r="J1586" s="63"/>
      <c r="K1586" s="63"/>
      <c r="L1586" s="63"/>
      <c r="M1586" s="63"/>
      <c r="N1586" s="63"/>
      <c r="O1586" s="63"/>
      <c r="P1586" s="63"/>
      <c r="Q1586" s="63"/>
      <c r="R1586" s="63"/>
      <c r="S1586" s="63"/>
      <c r="T1586" s="63"/>
      <c r="U1586" s="94"/>
      <c r="V1586" s="90"/>
      <c r="W1586" s="91"/>
      <c r="X1586" s="92"/>
      <c r="Y1586" s="2"/>
    </row>
    <row r="1587" spans="2:25">
      <c r="B1587" s="87">
        <f t="shared" si="216"/>
        <v>12</v>
      </c>
      <c r="C1587" s="621"/>
      <c r="D1587" s="10"/>
      <c r="E1587" s="10"/>
      <c r="F1587" s="95"/>
      <c r="G1587" s="62"/>
      <c r="H1587" s="62"/>
      <c r="I1587" s="89">
        <f t="shared" si="217"/>
        <v>0</v>
      </c>
      <c r="J1587" s="63"/>
      <c r="K1587" s="63"/>
      <c r="L1587" s="63"/>
      <c r="M1587" s="63"/>
      <c r="N1587" s="63"/>
      <c r="O1587" s="63"/>
      <c r="P1587" s="63"/>
      <c r="Q1587" s="63"/>
      <c r="R1587" s="63"/>
      <c r="S1587" s="63"/>
      <c r="T1587" s="63"/>
      <c r="U1587" s="94"/>
      <c r="V1587" s="90"/>
      <c r="W1587" s="91"/>
      <c r="X1587" s="92"/>
      <c r="Y1587" s="2"/>
    </row>
    <row r="1588" spans="2:25">
      <c r="B1588" s="87">
        <f t="shared" si="216"/>
        <v>13</v>
      </c>
      <c r="C1588" s="621"/>
      <c r="D1588" s="10"/>
      <c r="E1588" s="10"/>
      <c r="F1588" s="95"/>
      <c r="G1588" s="62"/>
      <c r="H1588" s="62"/>
      <c r="I1588" s="89">
        <f t="shared" si="217"/>
        <v>0</v>
      </c>
      <c r="J1588" s="63"/>
      <c r="K1588" s="63"/>
      <c r="L1588" s="63"/>
      <c r="M1588" s="63"/>
      <c r="N1588" s="63"/>
      <c r="O1588" s="63"/>
      <c r="P1588" s="63"/>
      <c r="Q1588" s="63"/>
      <c r="R1588" s="63"/>
      <c r="S1588" s="63"/>
      <c r="T1588" s="63"/>
      <c r="U1588" s="94"/>
      <c r="V1588" s="90"/>
      <c r="W1588" s="91"/>
      <c r="X1588" s="92"/>
      <c r="Y1588" s="2"/>
    </row>
    <row r="1589" spans="2:25">
      <c r="B1589" s="87">
        <f t="shared" si="216"/>
        <v>14</v>
      </c>
      <c r="C1589" s="621"/>
      <c r="D1589" s="10"/>
      <c r="E1589" s="10"/>
      <c r="F1589" s="95"/>
      <c r="G1589" s="62"/>
      <c r="H1589" s="62"/>
      <c r="I1589" s="89">
        <f t="shared" si="217"/>
        <v>0</v>
      </c>
      <c r="J1589" s="63"/>
      <c r="K1589" s="63"/>
      <c r="L1589" s="63"/>
      <c r="M1589" s="63"/>
      <c r="N1589" s="63"/>
      <c r="O1589" s="63"/>
      <c r="P1589" s="63"/>
      <c r="Q1589" s="63"/>
      <c r="R1589" s="63"/>
      <c r="S1589" s="63"/>
      <c r="T1589" s="63"/>
      <c r="U1589" s="94"/>
      <c r="V1589" s="90"/>
      <c r="W1589" s="91"/>
      <c r="X1589" s="92"/>
      <c r="Y1589" s="2"/>
    </row>
    <row r="1590" spans="2:25">
      <c r="B1590" s="87">
        <f t="shared" si="216"/>
        <v>15</v>
      </c>
      <c r="C1590" s="621"/>
      <c r="D1590" s="10"/>
      <c r="E1590" s="10"/>
      <c r="F1590" s="95"/>
      <c r="G1590" s="62"/>
      <c r="H1590" s="62"/>
      <c r="I1590" s="89">
        <f t="shared" si="217"/>
        <v>0</v>
      </c>
      <c r="J1590" s="63"/>
      <c r="K1590" s="63"/>
      <c r="L1590" s="63"/>
      <c r="M1590" s="63"/>
      <c r="N1590" s="63"/>
      <c r="O1590" s="63"/>
      <c r="P1590" s="63"/>
      <c r="Q1590" s="63"/>
      <c r="R1590" s="63"/>
      <c r="S1590" s="63"/>
      <c r="T1590" s="63"/>
      <c r="U1590" s="94"/>
      <c r="V1590" s="90"/>
      <c r="W1590" s="96"/>
      <c r="X1590" s="92"/>
      <c r="Y1590" s="2"/>
    </row>
    <row r="1591" spans="2:25">
      <c r="B1591" s="87">
        <f t="shared" si="216"/>
        <v>16</v>
      </c>
      <c r="C1591" s="621"/>
      <c r="D1591" s="10"/>
      <c r="E1591" s="10"/>
      <c r="F1591" s="95"/>
      <c r="G1591" s="62"/>
      <c r="H1591" s="62"/>
      <c r="I1591" s="89">
        <f t="shared" si="217"/>
        <v>0</v>
      </c>
      <c r="J1591" s="63"/>
      <c r="K1591" s="63"/>
      <c r="L1591" s="63"/>
      <c r="M1591" s="63"/>
      <c r="N1591" s="63"/>
      <c r="O1591" s="63"/>
      <c r="P1591" s="63"/>
      <c r="Q1591" s="63"/>
      <c r="R1591" s="63"/>
      <c r="S1591" s="63"/>
      <c r="T1591" s="63"/>
      <c r="U1591" s="94"/>
      <c r="V1591" s="90"/>
      <c r="W1591" s="96"/>
      <c r="X1591" s="92"/>
      <c r="Y1591" s="2"/>
    </row>
    <row r="1592" spans="2:25">
      <c r="B1592" s="87"/>
      <c r="C1592" s="621"/>
      <c r="D1592" s="10"/>
      <c r="E1592" s="10"/>
      <c r="F1592" s="97">
        <f>SUM(F1576:F1591)</f>
        <v>1361</v>
      </c>
      <c r="G1592" s="97">
        <f t="shared" ref="G1592:I1592" si="218">SUM(G1576:G1591)</f>
        <v>39.700000000000003</v>
      </c>
      <c r="H1592" s="97">
        <f t="shared" si="218"/>
        <v>0</v>
      </c>
      <c r="I1592" s="98">
        <f t="shared" si="218"/>
        <v>1321.3</v>
      </c>
      <c r="J1592" s="63"/>
      <c r="K1592" s="63">
        <f>COUNT(K1576:K1591)</f>
        <v>1</v>
      </c>
      <c r="L1592" s="63">
        <f t="shared" ref="L1592:R1592" si="219">COUNT(L1576:L1591)</f>
        <v>1</v>
      </c>
      <c r="M1592" s="63">
        <f t="shared" si="219"/>
        <v>1</v>
      </c>
      <c r="N1592" s="63">
        <f t="shared" si="219"/>
        <v>1</v>
      </c>
      <c r="O1592" s="63">
        <f t="shared" si="219"/>
        <v>1</v>
      </c>
      <c r="P1592" s="63">
        <f t="shared" si="219"/>
        <v>1</v>
      </c>
      <c r="Q1592" s="63">
        <f t="shared" si="219"/>
        <v>1</v>
      </c>
      <c r="R1592" s="63">
        <f t="shared" si="219"/>
        <v>1</v>
      </c>
      <c r="S1592" s="63">
        <f>COUNT(S1576:S1591)</f>
        <v>1</v>
      </c>
      <c r="T1592" s="63"/>
      <c r="U1592" s="94"/>
      <c r="V1592" s="90"/>
      <c r="W1592" s="91"/>
      <c r="X1592" s="92"/>
      <c r="Y1592" s="2"/>
    </row>
    <row r="1593" spans="2:25">
      <c r="B1593" s="87"/>
      <c r="C1593" s="621"/>
      <c r="D1593" s="10"/>
      <c r="E1593" s="10"/>
      <c r="F1593" s="88"/>
      <c r="G1593" s="88"/>
      <c r="H1593" s="88"/>
      <c r="I1593" s="99"/>
      <c r="J1593" s="63"/>
      <c r="K1593" s="21">
        <f>SUM(K1576:K1591)</f>
        <v>1</v>
      </c>
      <c r="L1593" s="21">
        <f t="shared" ref="L1593:R1593" si="220">SUM(L1576:L1591)</f>
        <v>1</v>
      </c>
      <c r="M1593" s="21">
        <f t="shared" si="220"/>
        <v>1</v>
      </c>
      <c r="N1593" s="21">
        <f t="shared" si="220"/>
        <v>1</v>
      </c>
      <c r="O1593" s="21">
        <f t="shared" si="220"/>
        <v>1</v>
      </c>
      <c r="P1593" s="21">
        <f t="shared" si="220"/>
        <v>1</v>
      </c>
      <c r="Q1593" s="21">
        <f t="shared" si="220"/>
        <v>1</v>
      </c>
      <c r="R1593" s="21">
        <f t="shared" si="220"/>
        <v>1</v>
      </c>
      <c r="S1593" s="21">
        <f>SUM(S1576:S1591)</f>
        <v>1</v>
      </c>
      <c r="T1593" s="63"/>
      <c r="U1593" s="94"/>
      <c r="V1593" s="90"/>
      <c r="W1593" s="91"/>
      <c r="X1593" s="92"/>
      <c r="Y1593" s="2"/>
    </row>
    <row r="1594" spans="2:25">
      <c r="B1594" s="11"/>
      <c r="C1594" s="621"/>
      <c r="D1594" s="10"/>
      <c r="E1594" s="10"/>
      <c r="F1594" s="88"/>
      <c r="G1594" s="88"/>
      <c r="H1594" s="88"/>
      <c r="I1594" s="99"/>
      <c r="J1594" s="63"/>
      <c r="K1594" s="21"/>
      <c r="L1594" s="21"/>
      <c r="M1594" s="21"/>
      <c r="N1594" s="21"/>
      <c r="O1594" s="21"/>
      <c r="P1594" s="21"/>
      <c r="Q1594" s="21"/>
      <c r="R1594" s="21"/>
      <c r="S1594" s="21"/>
      <c r="T1594" s="63"/>
      <c r="U1594" s="94"/>
      <c r="V1594" s="90"/>
      <c r="W1594" s="91"/>
      <c r="X1594" s="92"/>
      <c r="Y1594" s="2"/>
    </row>
    <row r="1595" spans="2:25">
      <c r="B1595" s="100" t="s">
        <v>66</v>
      </c>
      <c r="C1595" s="621"/>
      <c r="D1595" s="10"/>
      <c r="E1595" s="10"/>
      <c r="F1595" s="88"/>
      <c r="G1595" s="62"/>
      <c r="H1595" s="88"/>
      <c r="I1595" s="99"/>
      <c r="J1595" s="63"/>
      <c r="K1595" s="2"/>
      <c r="L1595" s="2"/>
      <c r="M1595" s="2"/>
      <c r="N1595" s="2"/>
      <c r="O1595" s="2"/>
      <c r="P1595" s="2"/>
      <c r="Q1595" s="2"/>
      <c r="R1595" s="2"/>
      <c r="S1595" s="2"/>
      <c r="T1595" s="63"/>
      <c r="U1595" s="94"/>
      <c r="V1595" s="90"/>
      <c r="W1595" s="91"/>
      <c r="X1595" s="92"/>
      <c r="Y1595" s="2"/>
    </row>
    <row r="1596" spans="2:25">
      <c r="B1596" s="87">
        <v>1</v>
      </c>
      <c r="C1596" s="621"/>
      <c r="D1596" s="10"/>
      <c r="E1596" s="101"/>
      <c r="F1596" s="62"/>
      <c r="G1596" s="62"/>
      <c r="H1596" s="62"/>
      <c r="I1596" s="89">
        <f t="shared" ref="I1596:I1603" si="221">F1596-G1596-H1596</f>
        <v>0</v>
      </c>
      <c r="J1596" s="63"/>
      <c r="K1596" s="63"/>
      <c r="L1596" s="63"/>
      <c r="M1596" s="63"/>
      <c r="N1596" s="63"/>
      <c r="O1596" s="63"/>
      <c r="P1596" s="63"/>
      <c r="Q1596" s="63"/>
      <c r="R1596" s="63"/>
      <c r="S1596" s="63"/>
      <c r="T1596" s="63"/>
      <c r="U1596" s="94"/>
      <c r="V1596" s="90"/>
      <c r="W1596" s="91"/>
      <c r="X1596" s="92"/>
      <c r="Y1596" s="2"/>
    </row>
    <row r="1597" spans="2:25">
      <c r="B1597" s="87">
        <f t="shared" ref="B1597:B1603" si="222">B1596+1</f>
        <v>2</v>
      </c>
      <c r="C1597" s="621"/>
      <c r="D1597" s="10"/>
      <c r="E1597" s="101"/>
      <c r="F1597" s="62"/>
      <c r="G1597" s="62"/>
      <c r="H1597" s="62"/>
      <c r="I1597" s="89">
        <f t="shared" si="221"/>
        <v>0</v>
      </c>
      <c r="J1597" s="63"/>
      <c r="K1597" s="63"/>
      <c r="L1597" s="63"/>
      <c r="M1597" s="63"/>
      <c r="N1597" s="63"/>
      <c r="O1597" s="63"/>
      <c r="P1597" s="63"/>
      <c r="Q1597" s="63"/>
      <c r="R1597" s="63"/>
      <c r="S1597" s="63"/>
      <c r="T1597" s="63"/>
      <c r="U1597" s="94"/>
      <c r="V1597" s="90"/>
      <c r="W1597" s="91"/>
      <c r="X1597" s="92"/>
      <c r="Y1597" s="2"/>
    </row>
    <row r="1598" spans="2:25">
      <c r="B1598" s="87">
        <f t="shared" si="222"/>
        <v>3</v>
      </c>
      <c r="C1598" s="621"/>
      <c r="D1598" s="10"/>
      <c r="E1598" s="101"/>
      <c r="F1598" s="62"/>
      <c r="G1598" s="62"/>
      <c r="H1598" s="62"/>
      <c r="I1598" s="89">
        <f t="shared" si="221"/>
        <v>0</v>
      </c>
      <c r="J1598" s="63"/>
      <c r="K1598" s="63"/>
      <c r="L1598" s="63"/>
      <c r="M1598" s="63"/>
      <c r="N1598" s="63"/>
      <c r="O1598" s="63"/>
      <c r="P1598" s="63"/>
      <c r="Q1598" s="63"/>
      <c r="R1598" s="63"/>
      <c r="S1598" s="63"/>
      <c r="T1598" s="63"/>
      <c r="U1598" s="94"/>
      <c r="V1598" s="90"/>
      <c r="W1598" s="91"/>
      <c r="X1598" s="92"/>
      <c r="Y1598" s="2"/>
    </row>
    <row r="1599" spans="2:25">
      <c r="B1599" s="87">
        <f t="shared" si="222"/>
        <v>4</v>
      </c>
      <c r="C1599" s="621"/>
      <c r="D1599" s="10"/>
      <c r="E1599" s="101"/>
      <c r="F1599" s="62"/>
      <c r="G1599" s="62"/>
      <c r="H1599" s="62"/>
      <c r="I1599" s="89">
        <f t="shared" si="221"/>
        <v>0</v>
      </c>
      <c r="J1599" s="63"/>
      <c r="K1599" s="63"/>
      <c r="L1599" s="63"/>
      <c r="M1599" s="63"/>
      <c r="N1599" s="63"/>
      <c r="O1599" s="63"/>
      <c r="P1599" s="63"/>
      <c r="Q1599" s="63"/>
      <c r="R1599" s="63"/>
      <c r="S1599" s="63"/>
      <c r="T1599" s="63"/>
      <c r="U1599" s="94"/>
      <c r="V1599" s="90"/>
      <c r="W1599" s="91"/>
      <c r="X1599" s="92"/>
      <c r="Y1599" s="2"/>
    </row>
    <row r="1600" spans="2:25">
      <c r="B1600" s="87">
        <f t="shared" si="222"/>
        <v>5</v>
      </c>
      <c r="C1600" s="621"/>
      <c r="D1600" s="10"/>
      <c r="E1600" s="101"/>
      <c r="F1600" s="62"/>
      <c r="G1600" s="62"/>
      <c r="H1600" s="62"/>
      <c r="I1600" s="89">
        <f t="shared" si="221"/>
        <v>0</v>
      </c>
      <c r="J1600" s="63"/>
      <c r="K1600" s="63"/>
      <c r="L1600" s="63"/>
      <c r="M1600" s="63"/>
      <c r="N1600" s="63"/>
      <c r="O1600" s="63"/>
      <c r="P1600" s="63"/>
      <c r="Q1600" s="63"/>
      <c r="R1600" s="63"/>
      <c r="S1600" s="63"/>
      <c r="T1600" s="63"/>
      <c r="U1600" s="94"/>
      <c r="V1600" s="90"/>
      <c r="W1600" s="91"/>
      <c r="X1600" s="92"/>
      <c r="Y1600" s="2"/>
    </row>
    <row r="1601" spans="2:25">
      <c r="B1601" s="87">
        <f t="shared" si="222"/>
        <v>6</v>
      </c>
      <c r="C1601" s="621"/>
      <c r="D1601" s="10"/>
      <c r="E1601" s="101"/>
      <c r="F1601" s="62"/>
      <c r="G1601" s="62"/>
      <c r="H1601" s="62"/>
      <c r="I1601" s="89">
        <f t="shared" si="221"/>
        <v>0</v>
      </c>
      <c r="J1601" s="63"/>
      <c r="K1601" s="63"/>
      <c r="L1601" s="63"/>
      <c r="M1601" s="63"/>
      <c r="N1601" s="63"/>
      <c r="O1601" s="63"/>
      <c r="P1601" s="63"/>
      <c r="Q1601" s="63"/>
      <c r="R1601" s="63"/>
      <c r="S1601" s="63"/>
      <c r="T1601" s="63"/>
      <c r="U1601" s="94"/>
      <c r="V1601" s="90"/>
      <c r="W1601" s="91"/>
      <c r="X1601" s="92"/>
      <c r="Y1601" s="2"/>
    </row>
    <row r="1602" spans="2:25">
      <c r="B1602" s="87">
        <f t="shared" si="222"/>
        <v>7</v>
      </c>
      <c r="C1602" s="621"/>
      <c r="D1602" s="10"/>
      <c r="E1602" s="101"/>
      <c r="F1602" s="62"/>
      <c r="G1602" s="62"/>
      <c r="H1602" s="62"/>
      <c r="I1602" s="89">
        <f t="shared" si="221"/>
        <v>0</v>
      </c>
      <c r="J1602" s="63"/>
      <c r="K1602" s="63"/>
      <c r="L1602" s="63"/>
      <c r="M1602" s="63"/>
      <c r="N1602" s="63"/>
      <c r="O1602" s="63"/>
      <c r="P1602" s="63"/>
      <c r="Q1602" s="63"/>
      <c r="R1602" s="63"/>
      <c r="S1602" s="63"/>
      <c r="T1602" s="63"/>
      <c r="U1602" s="94"/>
      <c r="V1602" s="90"/>
      <c r="W1602" s="91"/>
      <c r="X1602" s="92"/>
      <c r="Y1602" s="2"/>
    </row>
    <row r="1603" spans="2:25">
      <c r="B1603" s="87">
        <f t="shared" si="222"/>
        <v>8</v>
      </c>
      <c r="C1603" s="621"/>
      <c r="D1603" s="10"/>
      <c r="E1603" s="101"/>
      <c r="F1603" s="62"/>
      <c r="G1603" s="62"/>
      <c r="H1603" s="62"/>
      <c r="I1603" s="89">
        <f t="shared" si="221"/>
        <v>0</v>
      </c>
      <c r="J1603" s="63"/>
      <c r="K1603" s="63"/>
      <c r="L1603" s="63"/>
      <c r="M1603" s="63"/>
      <c r="N1603" s="63"/>
      <c r="O1603" s="63"/>
      <c r="P1603" s="63"/>
      <c r="Q1603" s="63"/>
      <c r="R1603" s="63"/>
      <c r="S1603" s="63"/>
      <c r="T1603" s="63"/>
      <c r="U1603" s="94"/>
      <c r="V1603" s="90"/>
      <c r="W1603" s="91"/>
      <c r="X1603" s="92"/>
      <c r="Y1603" s="2"/>
    </row>
    <row r="1604" spans="2:25">
      <c r="B1604" s="11"/>
      <c r="C1604" s="609"/>
      <c r="D1604" s="10"/>
      <c r="E1604" s="10"/>
      <c r="F1604" s="97">
        <f>SUM(F1596:F1603)</f>
        <v>0</v>
      </c>
      <c r="G1604" s="97">
        <f>SUM(G1596:G1603)</f>
        <v>0</v>
      </c>
      <c r="H1604" s="97">
        <f>SUM(H1596:H1603)</f>
        <v>0</v>
      </c>
      <c r="I1604" s="98">
        <f>SUM(I1596:I1603)</f>
        <v>0</v>
      </c>
      <c r="J1604" s="63"/>
      <c r="K1604" s="21"/>
      <c r="L1604" s="21"/>
      <c r="M1604" s="21"/>
      <c r="N1604" s="21"/>
      <c r="O1604" s="21"/>
      <c r="P1604" s="21"/>
      <c r="Q1604" s="21"/>
      <c r="R1604" s="21"/>
      <c r="S1604" s="21"/>
      <c r="T1604" s="63"/>
      <c r="U1604" s="94"/>
      <c r="V1604" s="90"/>
      <c r="W1604" s="91"/>
      <c r="X1604" s="92"/>
      <c r="Y1604" s="2"/>
    </row>
    <row r="1605" spans="2:25">
      <c r="B1605" s="11"/>
      <c r="C1605" s="609"/>
      <c r="D1605" s="10"/>
      <c r="E1605" s="10"/>
      <c r="F1605" s="88"/>
      <c r="G1605" s="88"/>
      <c r="H1605" s="88"/>
      <c r="I1605" s="99"/>
      <c r="J1605" s="63"/>
      <c r="K1605" s="21"/>
      <c r="L1605" s="21"/>
      <c r="M1605" s="21"/>
      <c r="N1605" s="21"/>
      <c r="O1605" s="21"/>
      <c r="P1605" s="21"/>
      <c r="Q1605" s="21"/>
      <c r="R1605" s="21"/>
      <c r="S1605" s="21"/>
      <c r="T1605" s="63"/>
      <c r="U1605" s="94"/>
      <c r="V1605" s="90"/>
      <c r="W1605" s="91"/>
      <c r="X1605" s="92"/>
      <c r="Y1605" s="2"/>
    </row>
    <row r="1606" spans="2:25">
      <c r="B1606" s="102" t="s">
        <v>67</v>
      </c>
      <c r="C1606" s="610"/>
      <c r="D1606" s="104"/>
      <c r="E1606" s="104"/>
      <c r="F1606" s="105"/>
      <c r="G1606" s="106"/>
      <c r="H1606" s="105"/>
      <c r="I1606" s="107"/>
      <c r="J1606" s="108"/>
      <c r="K1606" s="109"/>
      <c r="L1606" s="109"/>
      <c r="M1606" s="109"/>
      <c r="N1606" s="109"/>
      <c r="O1606" s="109"/>
      <c r="P1606" s="109"/>
      <c r="Q1606" s="109"/>
      <c r="R1606" s="109"/>
      <c r="S1606" s="109"/>
      <c r="T1606" s="108"/>
      <c r="U1606" s="110"/>
      <c r="V1606" s="111"/>
      <c r="W1606" s="112"/>
      <c r="X1606" s="113"/>
      <c r="Y1606" s="2"/>
    </row>
    <row r="1607" spans="2:25">
      <c r="B1607" s="114">
        <v>1</v>
      </c>
      <c r="C1607" s="610"/>
      <c r="D1607" s="104"/>
      <c r="E1607" s="115"/>
      <c r="F1607" s="106"/>
      <c r="G1607" s="106"/>
      <c r="H1607" s="106"/>
      <c r="I1607" s="116">
        <f t="shared" ref="I1607:I1614" si="223">F1607-G1607-H1607</f>
        <v>0</v>
      </c>
      <c r="J1607" s="108"/>
      <c r="K1607" s="108"/>
      <c r="L1607" s="108"/>
      <c r="M1607" s="108"/>
      <c r="N1607" s="108"/>
      <c r="O1607" s="108"/>
      <c r="P1607" s="108"/>
      <c r="Q1607" s="108"/>
      <c r="R1607" s="108"/>
      <c r="S1607" s="108"/>
      <c r="T1607" s="108"/>
      <c r="U1607" s="110"/>
      <c r="V1607" s="111"/>
      <c r="W1607" s="112"/>
      <c r="X1607" s="113"/>
      <c r="Y1607" s="2"/>
    </row>
    <row r="1608" spans="2:25">
      <c r="B1608" s="114">
        <f t="shared" ref="B1608:B1614" si="224">B1607+1</f>
        <v>2</v>
      </c>
      <c r="C1608" s="610"/>
      <c r="D1608" s="104"/>
      <c r="E1608" s="115"/>
      <c r="F1608" s="106"/>
      <c r="G1608" s="106"/>
      <c r="H1608" s="106"/>
      <c r="I1608" s="116">
        <f t="shared" si="223"/>
        <v>0</v>
      </c>
      <c r="J1608" s="108"/>
      <c r="K1608" s="108"/>
      <c r="L1608" s="108"/>
      <c r="M1608" s="108"/>
      <c r="N1608" s="108"/>
      <c r="O1608" s="108"/>
      <c r="P1608" s="108"/>
      <c r="Q1608" s="108"/>
      <c r="R1608" s="108"/>
      <c r="S1608" s="108"/>
      <c r="T1608" s="108"/>
      <c r="U1608" s="110"/>
      <c r="V1608" s="111"/>
      <c r="W1608" s="112"/>
      <c r="X1608" s="113"/>
      <c r="Y1608" s="2"/>
    </row>
    <row r="1609" spans="2:25">
      <c r="B1609" s="114">
        <f t="shared" si="224"/>
        <v>3</v>
      </c>
      <c r="C1609" s="610"/>
      <c r="D1609" s="104"/>
      <c r="E1609" s="115"/>
      <c r="F1609" s="106"/>
      <c r="G1609" s="106"/>
      <c r="H1609" s="106"/>
      <c r="I1609" s="116">
        <f t="shared" si="223"/>
        <v>0</v>
      </c>
      <c r="J1609" s="108"/>
      <c r="K1609" s="108"/>
      <c r="L1609" s="108"/>
      <c r="M1609" s="108"/>
      <c r="N1609" s="108"/>
      <c r="O1609" s="108"/>
      <c r="P1609" s="108"/>
      <c r="Q1609" s="108"/>
      <c r="R1609" s="108"/>
      <c r="S1609" s="108"/>
      <c r="T1609" s="108"/>
      <c r="U1609" s="110"/>
      <c r="V1609" s="111"/>
      <c r="W1609" s="112"/>
      <c r="X1609" s="113"/>
      <c r="Y1609" s="2"/>
    </row>
    <row r="1610" spans="2:25">
      <c r="B1610" s="114">
        <f t="shared" si="224"/>
        <v>4</v>
      </c>
      <c r="C1610" s="610"/>
      <c r="D1610" s="104"/>
      <c r="E1610" s="115"/>
      <c r="F1610" s="106"/>
      <c r="G1610" s="106"/>
      <c r="H1610" s="106"/>
      <c r="I1610" s="116">
        <f t="shared" si="223"/>
        <v>0</v>
      </c>
      <c r="J1610" s="108"/>
      <c r="K1610" s="108"/>
      <c r="L1610" s="108"/>
      <c r="M1610" s="108"/>
      <c r="N1610" s="108"/>
      <c r="O1610" s="108"/>
      <c r="P1610" s="108"/>
      <c r="Q1610" s="108"/>
      <c r="R1610" s="108"/>
      <c r="S1610" s="108"/>
      <c r="T1610" s="108"/>
      <c r="U1610" s="110"/>
      <c r="V1610" s="111"/>
      <c r="W1610" s="112"/>
      <c r="X1610" s="113"/>
      <c r="Y1610" s="2"/>
    </row>
    <row r="1611" spans="2:25">
      <c r="B1611" s="114">
        <f t="shared" si="224"/>
        <v>5</v>
      </c>
      <c r="C1611" s="610"/>
      <c r="D1611" s="104"/>
      <c r="E1611" s="115"/>
      <c r="F1611" s="106"/>
      <c r="G1611" s="106"/>
      <c r="H1611" s="106"/>
      <c r="I1611" s="116">
        <f t="shared" si="223"/>
        <v>0</v>
      </c>
      <c r="J1611" s="108"/>
      <c r="K1611" s="108"/>
      <c r="L1611" s="108"/>
      <c r="M1611" s="108"/>
      <c r="N1611" s="108"/>
      <c r="O1611" s="108"/>
      <c r="P1611" s="108"/>
      <c r="Q1611" s="108"/>
      <c r="R1611" s="108"/>
      <c r="S1611" s="108"/>
      <c r="T1611" s="108"/>
      <c r="U1611" s="110"/>
      <c r="V1611" s="111"/>
      <c r="W1611" s="112"/>
      <c r="X1611" s="113"/>
      <c r="Y1611" s="2"/>
    </row>
    <row r="1612" spans="2:25">
      <c r="B1612" s="114">
        <f t="shared" si="224"/>
        <v>6</v>
      </c>
      <c r="C1612" s="610"/>
      <c r="D1612" s="104"/>
      <c r="E1612" s="115"/>
      <c r="F1612" s="106"/>
      <c r="G1612" s="106"/>
      <c r="H1612" s="106"/>
      <c r="I1612" s="116">
        <f t="shared" si="223"/>
        <v>0</v>
      </c>
      <c r="J1612" s="108"/>
      <c r="K1612" s="108"/>
      <c r="L1612" s="108"/>
      <c r="M1612" s="108"/>
      <c r="N1612" s="108"/>
      <c r="O1612" s="108"/>
      <c r="P1612" s="108"/>
      <c r="Q1612" s="108"/>
      <c r="R1612" s="108"/>
      <c r="S1612" s="108"/>
      <c r="T1612" s="108"/>
      <c r="U1612" s="110"/>
      <c r="V1612" s="111"/>
      <c r="W1612" s="112"/>
      <c r="X1612" s="113"/>
      <c r="Y1612" s="2"/>
    </row>
    <row r="1613" spans="2:25">
      <c r="B1613" s="114">
        <f t="shared" si="224"/>
        <v>7</v>
      </c>
      <c r="C1613" s="610"/>
      <c r="D1613" s="104"/>
      <c r="E1613" s="115"/>
      <c r="F1613" s="106"/>
      <c r="G1613" s="106"/>
      <c r="H1613" s="106"/>
      <c r="I1613" s="116">
        <f t="shared" si="223"/>
        <v>0</v>
      </c>
      <c r="J1613" s="108"/>
      <c r="K1613" s="108"/>
      <c r="L1613" s="108"/>
      <c r="M1613" s="108"/>
      <c r="N1613" s="108"/>
      <c r="O1613" s="108"/>
      <c r="P1613" s="108"/>
      <c r="Q1613" s="108"/>
      <c r="R1613" s="108"/>
      <c r="S1613" s="108"/>
      <c r="T1613" s="108"/>
      <c r="U1613" s="110"/>
      <c r="V1613" s="111"/>
      <c r="W1613" s="112"/>
      <c r="X1613" s="113"/>
      <c r="Y1613" s="2"/>
    </row>
    <row r="1614" spans="2:25">
      <c r="B1614" s="114">
        <f t="shared" si="224"/>
        <v>8</v>
      </c>
      <c r="C1614" s="610"/>
      <c r="D1614" s="104"/>
      <c r="E1614" s="115"/>
      <c r="F1614" s="106"/>
      <c r="G1614" s="106"/>
      <c r="H1614" s="106"/>
      <c r="I1614" s="116">
        <f t="shared" si="223"/>
        <v>0</v>
      </c>
      <c r="J1614" s="108"/>
      <c r="K1614" s="108"/>
      <c r="L1614" s="108"/>
      <c r="M1614" s="108"/>
      <c r="N1614" s="108"/>
      <c r="O1614" s="108"/>
      <c r="P1614" s="108"/>
      <c r="Q1614" s="108"/>
      <c r="R1614" s="108"/>
      <c r="S1614" s="108"/>
      <c r="T1614" s="108"/>
      <c r="U1614" s="110"/>
      <c r="V1614" s="111"/>
      <c r="W1614" s="112"/>
      <c r="X1614" s="113"/>
      <c r="Y1614" s="2"/>
    </row>
    <row r="1615" spans="2:25">
      <c r="B1615" s="117"/>
      <c r="C1615" s="610"/>
      <c r="D1615" s="104"/>
      <c r="E1615" s="104"/>
      <c r="F1615" s="118">
        <f>SUM(F1607:F1614)</f>
        <v>0</v>
      </c>
      <c r="G1615" s="118">
        <f>SUM(G1607:G1614)</f>
        <v>0</v>
      </c>
      <c r="H1615" s="118">
        <f>SUM(H1607:H1614)</f>
        <v>0</v>
      </c>
      <c r="I1615" s="119">
        <f>SUM(I1607:I1614)</f>
        <v>0</v>
      </c>
      <c r="J1615" s="108"/>
      <c r="K1615" s="120"/>
      <c r="L1615" s="120"/>
      <c r="M1615" s="120"/>
      <c r="N1615" s="120"/>
      <c r="O1615" s="120"/>
      <c r="P1615" s="120"/>
      <c r="Q1615" s="120"/>
      <c r="R1615" s="120"/>
      <c r="S1615" s="120"/>
      <c r="T1615" s="108"/>
      <c r="U1615" s="110"/>
      <c r="V1615" s="111"/>
      <c r="W1615" s="112"/>
      <c r="X1615" s="113"/>
      <c r="Y1615" s="2"/>
    </row>
    <row r="1616" spans="2:25">
      <c r="B1616" s="11"/>
      <c r="C1616" s="609"/>
      <c r="D1616" s="10"/>
      <c r="E1616" s="10"/>
      <c r="F1616" s="88"/>
      <c r="G1616" s="88"/>
      <c r="H1616" s="88"/>
      <c r="I1616" s="99"/>
      <c r="J1616" s="63"/>
      <c r="K1616" s="21"/>
      <c r="L1616" s="21"/>
      <c r="M1616" s="21"/>
      <c r="N1616" s="21"/>
      <c r="O1616" s="21"/>
      <c r="P1616" s="21"/>
      <c r="Q1616" s="21"/>
      <c r="R1616" s="21"/>
      <c r="S1616" s="21"/>
      <c r="T1616" s="63"/>
      <c r="U1616" s="94"/>
      <c r="V1616" s="90"/>
      <c r="W1616" s="91"/>
      <c r="X1616" s="92"/>
      <c r="Y1616" s="2"/>
    </row>
    <row r="1617" spans="2:25">
      <c r="B1617" s="121" t="s">
        <v>68</v>
      </c>
      <c r="C1617" s="611"/>
      <c r="D1617" s="123"/>
      <c r="E1617" s="123"/>
      <c r="F1617" s="124"/>
      <c r="G1617" s="125"/>
      <c r="H1617" s="124"/>
      <c r="I1617" s="126"/>
      <c r="J1617" s="127"/>
      <c r="K1617" s="128"/>
      <c r="L1617" s="128"/>
      <c r="M1617" s="128"/>
      <c r="N1617" s="128"/>
      <c r="O1617" s="128"/>
      <c r="P1617" s="128"/>
      <c r="Q1617" s="128"/>
      <c r="R1617" s="128"/>
      <c r="S1617" s="128"/>
      <c r="T1617" s="127"/>
      <c r="U1617" s="135"/>
      <c r="V1617" s="129"/>
      <c r="W1617" s="130"/>
      <c r="X1617" s="131"/>
      <c r="Y1617" s="128"/>
    </row>
    <row r="1618" spans="2:25">
      <c r="B1618" s="87">
        <v>1</v>
      </c>
      <c r="C1618" s="641">
        <v>45964</v>
      </c>
      <c r="D1618" s="271">
        <v>75070</v>
      </c>
      <c r="E1618" s="264" t="s">
        <v>1201</v>
      </c>
      <c r="F1618" s="265">
        <v>681</v>
      </c>
      <c r="G1618" s="352"/>
      <c r="H1618" s="265"/>
      <c r="I1618" s="272">
        <f>F1618-G1618-H1618</f>
        <v>681</v>
      </c>
      <c r="J1618" s="267" t="s">
        <v>156</v>
      </c>
      <c r="K1618" s="267">
        <v>1</v>
      </c>
      <c r="L1618" s="267">
        <v>1</v>
      </c>
      <c r="M1618" s="267">
        <v>0</v>
      </c>
      <c r="N1618" s="267">
        <v>1</v>
      </c>
      <c r="O1618" s="267">
        <v>1</v>
      </c>
      <c r="P1618" s="267">
        <v>1</v>
      </c>
      <c r="Q1618" s="267"/>
      <c r="R1618" s="267"/>
      <c r="S1618" s="269"/>
      <c r="T1618" s="63"/>
      <c r="U1618" s="94"/>
      <c r="V1618" s="90">
        <f>550</f>
        <v>550</v>
      </c>
      <c r="W1618" s="91"/>
      <c r="X1618" s="92"/>
      <c r="Y1618" s="2"/>
    </row>
    <row r="1619" spans="2:25">
      <c r="B1619" s="87">
        <f t="shared" ref="B1619:B1625" si="225">B1618+1</f>
        <v>2</v>
      </c>
      <c r="C1619" s="621"/>
      <c r="D1619" s="10"/>
      <c r="E1619" s="101"/>
      <c r="F1619" s="62"/>
      <c r="G1619" s="62"/>
      <c r="H1619" s="62"/>
      <c r="I1619" s="89">
        <f t="shared" ref="I1619:I1625" si="226">F1619-G1619-H1619</f>
        <v>0</v>
      </c>
      <c r="J1619" s="63"/>
      <c r="K1619" s="63"/>
      <c r="L1619" s="63"/>
      <c r="M1619" s="63"/>
      <c r="N1619" s="63"/>
      <c r="O1619" s="63"/>
      <c r="P1619" s="63"/>
      <c r="Q1619" s="63"/>
      <c r="R1619" s="63"/>
      <c r="S1619" s="63"/>
      <c r="T1619" s="63"/>
      <c r="U1619" s="94"/>
      <c r="V1619" s="90"/>
      <c r="W1619" s="91"/>
      <c r="X1619" s="92"/>
      <c r="Y1619" s="2"/>
    </row>
    <row r="1620" spans="2:25">
      <c r="B1620" s="87">
        <f t="shared" si="225"/>
        <v>3</v>
      </c>
      <c r="C1620" s="621"/>
      <c r="D1620" s="10"/>
      <c r="E1620" s="101"/>
      <c r="F1620" s="62"/>
      <c r="G1620" s="62"/>
      <c r="H1620" s="62"/>
      <c r="I1620" s="89">
        <f>F1620-G1620-H1620</f>
        <v>0</v>
      </c>
      <c r="J1620" s="63"/>
      <c r="K1620" s="63"/>
      <c r="L1620" s="63"/>
      <c r="M1620" s="63"/>
      <c r="N1620" s="63"/>
      <c r="O1620" s="63"/>
      <c r="P1620" s="63"/>
      <c r="Q1620" s="63"/>
      <c r="R1620" s="63"/>
      <c r="S1620" s="63"/>
      <c r="T1620" s="63"/>
      <c r="U1620" s="94"/>
      <c r="V1620" s="90"/>
      <c r="W1620" s="91"/>
      <c r="X1620" s="92"/>
      <c r="Y1620" s="2"/>
    </row>
    <row r="1621" spans="2:25">
      <c r="B1621" s="87">
        <f t="shared" si="225"/>
        <v>4</v>
      </c>
      <c r="C1621" s="621"/>
      <c r="D1621" s="10"/>
      <c r="E1621" s="101"/>
      <c r="F1621" s="62"/>
      <c r="G1621" s="62"/>
      <c r="H1621" s="62"/>
      <c r="I1621" s="89">
        <f>F1621-G1621-H1621</f>
        <v>0</v>
      </c>
      <c r="J1621" s="63"/>
      <c r="K1621" s="63"/>
      <c r="L1621" s="63"/>
      <c r="M1621" s="63"/>
      <c r="N1621" s="63"/>
      <c r="O1621" s="63"/>
      <c r="P1621" s="63"/>
      <c r="Q1621" s="63"/>
      <c r="R1621" s="63"/>
      <c r="S1621" s="63"/>
      <c r="T1621" s="63"/>
      <c r="U1621" s="94"/>
      <c r="V1621" s="90"/>
      <c r="W1621" s="91"/>
      <c r="X1621" s="92"/>
      <c r="Y1621" s="2"/>
    </row>
    <row r="1622" spans="2:25">
      <c r="B1622" s="87">
        <f t="shared" si="225"/>
        <v>5</v>
      </c>
      <c r="C1622" s="621"/>
      <c r="D1622" s="10"/>
      <c r="E1622" s="101"/>
      <c r="F1622" s="62"/>
      <c r="G1622" s="62"/>
      <c r="H1622" s="62"/>
      <c r="I1622" s="89">
        <f>F1622-G1622-H1622</f>
        <v>0</v>
      </c>
      <c r="J1622" s="63"/>
      <c r="K1622" s="63"/>
      <c r="L1622" s="63"/>
      <c r="M1622" s="63"/>
      <c r="N1622" s="63"/>
      <c r="O1622" s="63"/>
      <c r="P1622" s="63"/>
      <c r="Q1622" s="63"/>
      <c r="R1622" s="63"/>
      <c r="S1622" s="63"/>
      <c r="T1622" s="63"/>
      <c r="U1622" s="94"/>
      <c r="V1622" s="90"/>
      <c r="W1622" s="91"/>
      <c r="X1622" s="92"/>
      <c r="Y1622" s="2"/>
    </row>
    <row r="1623" spans="2:25">
      <c r="B1623" s="87">
        <f t="shared" si="225"/>
        <v>6</v>
      </c>
      <c r="C1623" s="621"/>
      <c r="D1623" s="10"/>
      <c r="E1623" s="101"/>
      <c r="F1623" s="62"/>
      <c r="G1623" s="62"/>
      <c r="H1623" s="62"/>
      <c r="I1623" s="89">
        <f>F1623-G1623-H1623</f>
        <v>0</v>
      </c>
      <c r="J1623" s="63"/>
      <c r="K1623" s="63"/>
      <c r="L1623" s="63"/>
      <c r="M1623" s="63"/>
      <c r="N1623" s="63"/>
      <c r="O1623" s="63"/>
      <c r="P1623" s="63"/>
      <c r="Q1623" s="63"/>
      <c r="R1623" s="63"/>
      <c r="S1623" s="63"/>
      <c r="T1623" s="63"/>
      <c r="U1623" s="94"/>
      <c r="V1623" s="90"/>
      <c r="W1623" s="91"/>
      <c r="X1623" s="92"/>
      <c r="Y1623" s="2"/>
    </row>
    <row r="1624" spans="2:25">
      <c r="B1624" s="87">
        <f t="shared" si="225"/>
        <v>7</v>
      </c>
      <c r="C1624" s="621"/>
      <c r="D1624" s="10"/>
      <c r="E1624" s="101"/>
      <c r="F1624" s="62"/>
      <c r="G1624" s="62"/>
      <c r="H1624" s="62"/>
      <c r="I1624" s="89">
        <f t="shared" si="226"/>
        <v>0</v>
      </c>
      <c r="J1624" s="63"/>
      <c r="K1624" s="63"/>
      <c r="L1624" s="63"/>
      <c r="M1624" s="63"/>
      <c r="N1624" s="63"/>
      <c r="O1624" s="63"/>
      <c r="P1624" s="63"/>
      <c r="Q1624" s="63"/>
      <c r="R1624" s="63"/>
      <c r="S1624" s="63"/>
      <c r="T1624" s="63"/>
      <c r="U1624" s="94"/>
      <c r="V1624" s="90"/>
      <c r="W1624" s="91"/>
      <c r="X1624" s="92"/>
      <c r="Y1624" s="2"/>
    </row>
    <row r="1625" spans="2:25">
      <c r="B1625" s="87">
        <f t="shared" si="225"/>
        <v>8</v>
      </c>
      <c r="C1625" s="621"/>
      <c r="D1625" s="10"/>
      <c r="E1625" s="101"/>
      <c r="F1625" s="62"/>
      <c r="G1625" s="62"/>
      <c r="H1625" s="62"/>
      <c r="I1625" s="89">
        <f t="shared" si="226"/>
        <v>0</v>
      </c>
      <c r="J1625" s="63"/>
      <c r="K1625" s="63"/>
      <c r="L1625" s="63"/>
      <c r="M1625" s="63"/>
      <c r="N1625" s="63"/>
      <c r="O1625" s="63"/>
      <c r="P1625" s="63"/>
      <c r="Q1625" s="63"/>
      <c r="R1625" s="63"/>
      <c r="S1625" s="63"/>
      <c r="T1625" s="63"/>
      <c r="U1625" s="94"/>
      <c r="V1625" s="90"/>
      <c r="W1625" s="91"/>
      <c r="X1625" s="92"/>
      <c r="Y1625" s="2"/>
    </row>
    <row r="1626" spans="2:25">
      <c r="B1626" s="132"/>
      <c r="C1626" s="621"/>
      <c r="D1626" s="123"/>
      <c r="E1626" s="123"/>
      <c r="F1626" s="133">
        <f>SUM(F1618:F1625)</f>
        <v>681</v>
      </c>
      <c r="G1626" s="133">
        <f>SUM(G1618:G1625)</f>
        <v>0</v>
      </c>
      <c r="H1626" s="133">
        <f>SUM(H1618:H1625)</f>
        <v>0</v>
      </c>
      <c r="I1626" s="134">
        <f>SUM(I1618:I1625)</f>
        <v>681</v>
      </c>
      <c r="J1626" s="127"/>
      <c r="K1626" s="64"/>
      <c r="L1626" s="64"/>
      <c r="M1626" s="64"/>
      <c r="N1626" s="64"/>
      <c r="O1626" s="64"/>
      <c r="P1626" s="64"/>
      <c r="Q1626" s="64"/>
      <c r="R1626" s="64"/>
      <c r="S1626" s="64"/>
      <c r="T1626" s="127"/>
      <c r="U1626" s="135"/>
      <c r="V1626" s="129"/>
      <c r="W1626" s="130"/>
      <c r="X1626" s="131"/>
      <c r="Y1626" s="128"/>
    </row>
    <row r="1627" spans="2:25">
      <c r="B1627" s="11"/>
      <c r="C1627" s="621"/>
      <c r="D1627" s="10"/>
      <c r="E1627" s="10"/>
      <c r="F1627" s="88"/>
      <c r="G1627" s="88"/>
      <c r="H1627" s="88"/>
      <c r="I1627" s="99"/>
      <c r="J1627" s="63"/>
      <c r="K1627" s="21"/>
      <c r="L1627" s="21"/>
      <c r="M1627" s="21"/>
      <c r="N1627" s="21"/>
      <c r="O1627" s="21"/>
      <c r="P1627" s="21"/>
      <c r="Q1627" s="21"/>
      <c r="R1627" s="21"/>
      <c r="S1627" s="21"/>
      <c r="T1627" s="63"/>
      <c r="U1627" s="94"/>
      <c r="V1627" s="90"/>
      <c r="W1627" s="91"/>
      <c r="X1627" s="92"/>
      <c r="Y1627" s="2"/>
    </row>
    <row r="1628" spans="2:25">
      <c r="B1628" s="121" t="s">
        <v>69</v>
      </c>
      <c r="C1628" s="621"/>
      <c r="D1628" s="123"/>
      <c r="E1628" s="123"/>
      <c r="F1628" s="124"/>
      <c r="G1628" s="125"/>
      <c r="H1628" s="124"/>
      <c r="I1628" s="126"/>
      <c r="J1628" s="127"/>
      <c r="K1628" s="128"/>
      <c r="L1628" s="128"/>
      <c r="M1628" s="128"/>
      <c r="N1628" s="128"/>
      <c r="O1628" s="128"/>
      <c r="P1628" s="128"/>
      <c r="Q1628" s="128"/>
      <c r="R1628" s="128"/>
      <c r="S1628" s="128"/>
      <c r="T1628" s="127"/>
      <c r="U1628" s="135"/>
      <c r="V1628" s="129"/>
      <c r="W1628" s="130"/>
      <c r="X1628" s="131"/>
      <c r="Y1628" s="128"/>
    </row>
    <row r="1629" spans="2:25">
      <c r="B1629" s="87">
        <v>1</v>
      </c>
      <c r="C1629" s="621"/>
      <c r="D1629" s="10"/>
      <c r="E1629" s="101"/>
      <c r="F1629" s="62"/>
      <c r="G1629" s="62"/>
      <c r="H1629" s="62"/>
      <c r="I1629" s="89">
        <f t="shared" ref="I1629:I1636" si="227">F1629-G1629-H1629</f>
        <v>0</v>
      </c>
      <c r="J1629" s="63"/>
      <c r="K1629" s="63"/>
      <c r="L1629" s="63"/>
      <c r="M1629" s="63"/>
      <c r="N1629" s="63"/>
      <c r="O1629" s="63"/>
      <c r="P1629" s="63"/>
      <c r="Q1629" s="63"/>
      <c r="R1629" s="63"/>
      <c r="S1629" s="63"/>
      <c r="T1629" s="63"/>
      <c r="U1629" s="94"/>
      <c r="V1629" s="90"/>
      <c r="W1629" s="91"/>
      <c r="X1629" s="92"/>
      <c r="Y1629" s="2"/>
    </row>
    <row r="1630" spans="2:25">
      <c r="B1630" s="87">
        <f t="shared" ref="B1630:B1636" si="228">B1629+1</f>
        <v>2</v>
      </c>
      <c r="C1630" s="621"/>
      <c r="D1630" s="10"/>
      <c r="E1630" s="101"/>
      <c r="F1630" s="62"/>
      <c r="G1630" s="62"/>
      <c r="H1630" s="62"/>
      <c r="I1630" s="89">
        <f t="shared" si="227"/>
        <v>0</v>
      </c>
      <c r="J1630" s="63"/>
      <c r="K1630" s="63"/>
      <c r="L1630" s="63"/>
      <c r="M1630" s="63"/>
      <c r="N1630" s="63"/>
      <c r="O1630" s="63"/>
      <c r="P1630" s="63"/>
      <c r="Q1630" s="63"/>
      <c r="R1630" s="63"/>
      <c r="S1630" s="63"/>
      <c r="T1630" s="63"/>
      <c r="U1630" s="94"/>
      <c r="V1630" s="90"/>
      <c r="W1630" s="91"/>
      <c r="X1630" s="92"/>
      <c r="Y1630" s="2"/>
    </row>
    <row r="1631" spans="2:25">
      <c r="B1631" s="87">
        <f t="shared" si="228"/>
        <v>3</v>
      </c>
      <c r="C1631" s="621"/>
      <c r="D1631" s="10"/>
      <c r="E1631" s="101"/>
      <c r="F1631" s="62"/>
      <c r="G1631" s="62"/>
      <c r="H1631" s="62"/>
      <c r="I1631" s="89">
        <f t="shared" si="227"/>
        <v>0</v>
      </c>
      <c r="J1631" s="63"/>
      <c r="K1631" s="63"/>
      <c r="L1631" s="63"/>
      <c r="M1631" s="63"/>
      <c r="N1631" s="63"/>
      <c r="O1631" s="63"/>
      <c r="P1631" s="63"/>
      <c r="Q1631" s="63"/>
      <c r="R1631" s="63"/>
      <c r="S1631" s="63"/>
      <c r="T1631" s="63"/>
      <c r="U1631" s="94"/>
      <c r="V1631" s="90"/>
      <c r="W1631" s="91"/>
      <c r="X1631" s="92"/>
      <c r="Y1631" s="2"/>
    </row>
    <row r="1632" spans="2:25">
      <c r="B1632" s="87">
        <f t="shared" si="228"/>
        <v>4</v>
      </c>
      <c r="C1632" s="621"/>
      <c r="D1632" s="10"/>
      <c r="E1632" s="101"/>
      <c r="F1632" s="62"/>
      <c r="G1632" s="62"/>
      <c r="H1632" s="62"/>
      <c r="I1632" s="89">
        <f t="shared" si="227"/>
        <v>0</v>
      </c>
      <c r="J1632" s="63"/>
      <c r="K1632" s="63"/>
      <c r="L1632" s="63"/>
      <c r="M1632" s="63"/>
      <c r="N1632" s="63"/>
      <c r="O1632" s="63"/>
      <c r="P1632" s="63"/>
      <c r="Q1632" s="63"/>
      <c r="R1632" s="63"/>
      <c r="S1632" s="63"/>
      <c r="T1632" s="63"/>
      <c r="U1632" s="94"/>
      <c r="V1632" s="90"/>
      <c r="W1632" s="91"/>
      <c r="X1632" s="92"/>
      <c r="Y1632" s="2"/>
    </row>
    <row r="1633" spans="2:25">
      <c r="B1633" s="87">
        <f t="shared" si="228"/>
        <v>5</v>
      </c>
      <c r="C1633" s="621"/>
      <c r="D1633" s="10"/>
      <c r="E1633" s="101"/>
      <c r="F1633" s="62"/>
      <c r="G1633" s="62"/>
      <c r="H1633" s="62"/>
      <c r="I1633" s="89">
        <f t="shared" si="227"/>
        <v>0</v>
      </c>
      <c r="J1633" s="63"/>
      <c r="K1633" s="63"/>
      <c r="L1633" s="63"/>
      <c r="M1633" s="63"/>
      <c r="N1633" s="63"/>
      <c r="O1633" s="63"/>
      <c r="P1633" s="63"/>
      <c r="Q1633" s="63"/>
      <c r="R1633" s="63"/>
      <c r="S1633" s="63"/>
      <c r="T1633" s="63"/>
      <c r="U1633" s="94"/>
      <c r="V1633" s="90"/>
      <c r="W1633" s="91"/>
      <c r="X1633" s="92"/>
      <c r="Y1633" s="2"/>
    </row>
    <row r="1634" spans="2:25">
      <c r="B1634" s="87">
        <f t="shared" si="228"/>
        <v>6</v>
      </c>
      <c r="C1634" s="621"/>
      <c r="D1634" s="10"/>
      <c r="E1634" s="101"/>
      <c r="F1634" s="62"/>
      <c r="G1634" s="62"/>
      <c r="H1634" s="62"/>
      <c r="I1634" s="89">
        <f t="shared" si="227"/>
        <v>0</v>
      </c>
      <c r="J1634" s="63"/>
      <c r="K1634" s="63"/>
      <c r="L1634" s="63"/>
      <c r="M1634" s="63"/>
      <c r="N1634" s="63"/>
      <c r="O1634" s="63"/>
      <c r="P1634" s="63"/>
      <c r="Q1634" s="63"/>
      <c r="R1634" s="63"/>
      <c r="S1634" s="63"/>
      <c r="T1634" s="63"/>
      <c r="U1634" s="94"/>
      <c r="V1634" s="90"/>
      <c r="W1634" s="91"/>
      <c r="X1634" s="92"/>
      <c r="Y1634" s="2"/>
    </row>
    <row r="1635" spans="2:25">
      <c r="B1635" s="87">
        <f t="shared" si="228"/>
        <v>7</v>
      </c>
      <c r="C1635" s="621"/>
      <c r="D1635" s="10"/>
      <c r="E1635" s="101"/>
      <c r="F1635" s="62"/>
      <c r="G1635" s="62"/>
      <c r="H1635" s="62"/>
      <c r="I1635" s="89">
        <f t="shared" si="227"/>
        <v>0</v>
      </c>
      <c r="J1635" s="63"/>
      <c r="K1635" s="63"/>
      <c r="L1635" s="63"/>
      <c r="M1635" s="63"/>
      <c r="N1635" s="63"/>
      <c r="O1635" s="63"/>
      <c r="P1635" s="63"/>
      <c r="Q1635" s="63"/>
      <c r="R1635" s="63"/>
      <c r="S1635" s="63"/>
      <c r="T1635" s="63"/>
      <c r="U1635" s="94"/>
      <c r="V1635" s="90"/>
      <c r="W1635" s="91"/>
      <c r="X1635" s="92"/>
      <c r="Y1635" s="2"/>
    </row>
    <row r="1636" spans="2:25">
      <c r="B1636" s="87">
        <f t="shared" si="228"/>
        <v>8</v>
      </c>
      <c r="C1636" s="621"/>
      <c r="D1636" s="10"/>
      <c r="E1636" s="101"/>
      <c r="F1636" s="62"/>
      <c r="G1636" s="62"/>
      <c r="H1636" s="62"/>
      <c r="I1636" s="89">
        <f t="shared" si="227"/>
        <v>0</v>
      </c>
      <c r="J1636" s="63"/>
      <c r="K1636" s="63"/>
      <c r="L1636" s="63"/>
      <c r="M1636" s="63"/>
      <c r="N1636" s="63"/>
      <c r="O1636" s="63"/>
      <c r="P1636" s="63"/>
      <c r="Q1636" s="63"/>
      <c r="R1636" s="63"/>
      <c r="S1636" s="63"/>
      <c r="T1636" s="63"/>
      <c r="U1636" s="94"/>
      <c r="V1636" s="90"/>
      <c r="W1636" s="91"/>
      <c r="X1636" s="92"/>
      <c r="Y1636" s="2"/>
    </row>
    <row r="1637" spans="2:25">
      <c r="B1637" s="132"/>
      <c r="C1637" s="621"/>
      <c r="D1637" s="123"/>
      <c r="E1637" s="123"/>
      <c r="F1637" s="133">
        <f>SUM(F1629:F1636)</f>
        <v>0</v>
      </c>
      <c r="G1637" s="133">
        <f>SUM(G1629:G1636)</f>
        <v>0</v>
      </c>
      <c r="H1637" s="133">
        <f>SUM(H1629:H1636)</f>
        <v>0</v>
      </c>
      <c r="I1637" s="134">
        <f>SUM(I1629:I1636)</f>
        <v>0</v>
      </c>
      <c r="J1637" s="127"/>
      <c r="K1637" s="64"/>
      <c r="L1637" s="64"/>
      <c r="M1637" s="64"/>
      <c r="N1637" s="64"/>
      <c r="O1637" s="64"/>
      <c r="P1637" s="64"/>
      <c r="Q1637" s="64"/>
      <c r="R1637" s="64"/>
      <c r="S1637" s="64"/>
      <c r="T1637" s="127"/>
      <c r="U1637" s="135"/>
      <c r="V1637" s="129"/>
      <c r="W1637" s="130"/>
      <c r="X1637" s="131"/>
      <c r="Y1637" s="128"/>
    </row>
    <row r="1638" spans="2:25">
      <c r="B1638" s="11"/>
      <c r="C1638" s="621"/>
      <c r="D1638" s="10"/>
      <c r="E1638" s="10"/>
      <c r="F1638" s="88"/>
      <c r="G1638" s="88"/>
      <c r="H1638" s="88"/>
      <c r="I1638" s="99"/>
      <c r="J1638" s="63"/>
      <c r="K1638" s="21"/>
      <c r="L1638" s="21"/>
      <c r="M1638" s="21"/>
      <c r="N1638" s="21"/>
      <c r="O1638" s="21"/>
      <c r="P1638" s="21"/>
      <c r="Q1638" s="21"/>
      <c r="R1638" s="21"/>
      <c r="S1638" s="21"/>
      <c r="T1638" s="63"/>
      <c r="U1638" s="94"/>
      <c r="V1638" s="90"/>
      <c r="W1638" s="91"/>
      <c r="X1638" s="92"/>
      <c r="Y1638" s="2"/>
    </row>
    <row r="1639" spans="2:25">
      <c r="B1639" s="121" t="s">
        <v>70</v>
      </c>
      <c r="C1639" s="621"/>
      <c r="D1639" s="123"/>
      <c r="E1639" s="128"/>
      <c r="F1639" s="124"/>
      <c r="G1639" s="124"/>
      <c r="H1639" s="124"/>
      <c r="I1639" s="126"/>
      <c r="J1639" s="127"/>
      <c r="K1639" s="64"/>
      <c r="L1639" s="64"/>
      <c r="M1639" s="64"/>
      <c r="N1639" s="64"/>
      <c r="O1639" s="64"/>
      <c r="P1639" s="64"/>
      <c r="Q1639" s="64"/>
      <c r="R1639" s="64"/>
      <c r="S1639" s="64"/>
      <c r="T1639" s="127"/>
      <c r="U1639" s="135"/>
      <c r="V1639" s="129"/>
      <c r="W1639" s="130"/>
      <c r="X1639" s="131"/>
      <c r="Y1639" s="128"/>
    </row>
    <row r="1640" spans="2:25">
      <c r="B1640" s="87">
        <v>1</v>
      </c>
      <c r="C1640" s="641">
        <v>45964</v>
      </c>
      <c r="D1640" s="271" t="s">
        <v>1847</v>
      </c>
      <c r="E1640" s="264" t="s">
        <v>1201</v>
      </c>
      <c r="F1640" s="265">
        <v>5064.8999999999996</v>
      </c>
      <c r="G1640" s="265">
        <f>39.7+(22.57+2084.1)</f>
        <v>2146.37</v>
      </c>
      <c r="H1640" s="265"/>
      <c r="I1640" s="272">
        <f>F1640-G1640-H1640</f>
        <v>2918.5299999999997</v>
      </c>
      <c r="J1640" s="267"/>
      <c r="K1640" s="267">
        <v>1</v>
      </c>
      <c r="L1640" s="267"/>
      <c r="M1640" s="267"/>
      <c r="N1640" s="267">
        <v>1</v>
      </c>
      <c r="O1640" s="267">
        <v>1</v>
      </c>
      <c r="P1640" s="267">
        <v>1</v>
      </c>
      <c r="Q1640" s="267"/>
      <c r="R1640" s="267"/>
      <c r="S1640" s="269"/>
      <c r="T1640" s="63"/>
      <c r="U1640" s="94" t="s">
        <v>1848</v>
      </c>
      <c r="V1640" s="90"/>
      <c r="W1640" s="136"/>
      <c r="X1640" s="137"/>
      <c r="Y1640" s="2"/>
    </row>
    <row r="1641" spans="2:25">
      <c r="B1641" s="87">
        <f t="shared" ref="B1641:B1647" si="229">B1640+1</f>
        <v>2</v>
      </c>
      <c r="C1641" s="621"/>
      <c r="D1641" s="10"/>
      <c r="E1641" s="10"/>
      <c r="F1641" s="62"/>
      <c r="G1641" s="62"/>
      <c r="H1641" s="62"/>
      <c r="I1641" s="89">
        <f t="shared" ref="I1641:I1647" si="230">F1641-G1641-H1641</f>
        <v>0</v>
      </c>
      <c r="J1641" s="63"/>
      <c r="K1641" s="63"/>
      <c r="L1641" s="63"/>
      <c r="M1641" s="63"/>
      <c r="N1641" s="63"/>
      <c r="O1641" s="63"/>
      <c r="P1641" s="63"/>
      <c r="Q1641" s="63"/>
      <c r="R1641" s="63"/>
      <c r="S1641" s="63"/>
      <c r="T1641" s="63"/>
      <c r="U1641" s="94"/>
      <c r="V1641" s="90"/>
      <c r="W1641" s="136"/>
      <c r="X1641" s="137"/>
      <c r="Y1641" s="2"/>
    </row>
    <row r="1642" spans="2:25">
      <c r="B1642" s="87">
        <f t="shared" si="229"/>
        <v>3</v>
      </c>
      <c r="C1642" s="621"/>
      <c r="D1642" s="10"/>
      <c r="E1642" s="10"/>
      <c r="F1642" s="62"/>
      <c r="G1642" s="62"/>
      <c r="H1642" s="62"/>
      <c r="I1642" s="89">
        <f>F1642-G1642-H1642</f>
        <v>0</v>
      </c>
      <c r="J1642" s="63"/>
      <c r="K1642" s="63"/>
      <c r="L1642" s="63"/>
      <c r="M1642" s="63"/>
      <c r="N1642" s="63"/>
      <c r="O1642" s="63"/>
      <c r="P1642" s="63"/>
      <c r="Q1642" s="63"/>
      <c r="R1642" s="63"/>
      <c r="S1642" s="63"/>
      <c r="T1642" s="63"/>
      <c r="U1642" s="94"/>
      <c r="V1642" s="90"/>
      <c r="W1642" s="136"/>
      <c r="X1642" s="137"/>
      <c r="Y1642" s="2"/>
    </row>
    <row r="1643" spans="2:25">
      <c r="B1643" s="87">
        <f t="shared" si="229"/>
        <v>4</v>
      </c>
      <c r="C1643" s="621"/>
      <c r="D1643" s="10"/>
      <c r="E1643" s="10"/>
      <c r="F1643" s="62"/>
      <c r="G1643" s="62"/>
      <c r="H1643" s="62"/>
      <c r="I1643" s="89">
        <f>F1643-G1643-H1643</f>
        <v>0</v>
      </c>
      <c r="J1643" s="63"/>
      <c r="K1643" s="63"/>
      <c r="L1643" s="63"/>
      <c r="M1643" s="63"/>
      <c r="N1643" s="63"/>
      <c r="O1643" s="63"/>
      <c r="P1643" s="63"/>
      <c r="Q1643" s="63"/>
      <c r="R1643" s="63"/>
      <c r="S1643" s="63"/>
      <c r="T1643" s="63"/>
      <c r="U1643" s="94"/>
      <c r="V1643" s="90"/>
      <c r="W1643" s="136"/>
      <c r="X1643" s="137"/>
      <c r="Y1643" s="2"/>
    </row>
    <row r="1644" spans="2:25">
      <c r="B1644" s="87">
        <f t="shared" si="229"/>
        <v>5</v>
      </c>
      <c r="C1644" s="621"/>
      <c r="D1644" s="10"/>
      <c r="E1644" s="10"/>
      <c r="F1644" s="62"/>
      <c r="G1644" s="62"/>
      <c r="H1644" s="62"/>
      <c r="I1644" s="89">
        <f>F1644-G1644-H1644</f>
        <v>0</v>
      </c>
      <c r="J1644" s="63"/>
      <c r="K1644" s="63"/>
      <c r="L1644" s="63"/>
      <c r="M1644" s="63"/>
      <c r="N1644" s="63"/>
      <c r="O1644" s="63"/>
      <c r="P1644" s="63"/>
      <c r="Q1644" s="63"/>
      <c r="R1644" s="63"/>
      <c r="S1644" s="63"/>
      <c r="T1644" s="63"/>
      <c r="U1644" s="94"/>
      <c r="V1644" s="90"/>
      <c r="W1644" s="136"/>
      <c r="X1644" s="137"/>
      <c r="Y1644" s="2"/>
    </row>
    <row r="1645" spans="2:25">
      <c r="B1645" s="87">
        <f t="shared" si="229"/>
        <v>6</v>
      </c>
      <c r="C1645" s="621"/>
      <c r="D1645" s="10"/>
      <c r="E1645" s="10"/>
      <c r="F1645" s="62"/>
      <c r="G1645" s="62"/>
      <c r="H1645" s="62"/>
      <c r="I1645" s="89">
        <f>F1645-G1645-H1645</f>
        <v>0</v>
      </c>
      <c r="J1645" s="63"/>
      <c r="K1645" s="63"/>
      <c r="L1645" s="63"/>
      <c r="M1645" s="63"/>
      <c r="N1645" s="63"/>
      <c r="O1645" s="63"/>
      <c r="P1645" s="63"/>
      <c r="Q1645" s="63"/>
      <c r="R1645" s="63"/>
      <c r="S1645" s="63"/>
      <c r="T1645" s="63"/>
      <c r="U1645" s="94"/>
      <c r="V1645" s="90"/>
      <c r="W1645" s="136"/>
      <c r="X1645" s="137"/>
      <c r="Y1645" s="2"/>
    </row>
    <row r="1646" spans="2:25">
      <c r="B1646" s="87">
        <f t="shared" si="229"/>
        <v>7</v>
      </c>
      <c r="C1646" s="621"/>
      <c r="D1646" s="10"/>
      <c r="E1646" s="10"/>
      <c r="F1646" s="62"/>
      <c r="G1646" s="62"/>
      <c r="H1646" s="62"/>
      <c r="I1646" s="89">
        <f t="shared" si="230"/>
        <v>0</v>
      </c>
      <c r="J1646" s="63"/>
      <c r="K1646" s="63"/>
      <c r="L1646" s="63"/>
      <c r="M1646" s="63"/>
      <c r="N1646" s="63"/>
      <c r="O1646" s="63"/>
      <c r="P1646" s="63"/>
      <c r="Q1646" s="63"/>
      <c r="R1646" s="63"/>
      <c r="S1646" s="63"/>
      <c r="T1646" s="63"/>
      <c r="U1646" s="94"/>
      <c r="V1646" s="90"/>
      <c r="W1646" s="136"/>
      <c r="X1646" s="137"/>
      <c r="Y1646" s="2"/>
    </row>
    <row r="1647" spans="2:25">
      <c r="B1647" s="87">
        <f t="shared" si="229"/>
        <v>8</v>
      </c>
      <c r="C1647" s="621"/>
      <c r="D1647" s="10"/>
      <c r="E1647" s="10"/>
      <c r="F1647" s="62"/>
      <c r="G1647" s="62"/>
      <c r="H1647" s="62"/>
      <c r="I1647" s="89">
        <f t="shared" si="230"/>
        <v>0</v>
      </c>
      <c r="J1647" s="63"/>
      <c r="K1647" s="63"/>
      <c r="L1647" s="63"/>
      <c r="M1647" s="63"/>
      <c r="N1647" s="63"/>
      <c r="O1647" s="63"/>
      <c r="P1647" s="63"/>
      <c r="Q1647" s="63"/>
      <c r="R1647" s="63"/>
      <c r="S1647" s="63"/>
      <c r="T1647" s="63"/>
      <c r="U1647" s="94"/>
      <c r="V1647" s="90"/>
      <c r="W1647" s="136"/>
      <c r="X1647" s="137"/>
      <c r="Y1647" s="2"/>
    </row>
    <row r="1648" spans="2:25">
      <c r="B1648" s="132"/>
      <c r="C1648" s="621"/>
      <c r="D1648" s="123"/>
      <c r="E1648" s="123"/>
      <c r="F1648" s="133">
        <f>SUM(F1640:F1647)</f>
        <v>5064.8999999999996</v>
      </c>
      <c r="G1648" s="133">
        <f t="shared" ref="G1648:I1648" si="231">SUM(G1640:G1647)</f>
        <v>2146.37</v>
      </c>
      <c r="H1648" s="133">
        <f t="shared" si="231"/>
        <v>0</v>
      </c>
      <c r="I1648" s="134">
        <f t="shared" si="231"/>
        <v>2918.5299999999997</v>
      </c>
      <c r="J1648" s="127"/>
      <c r="K1648" s="64"/>
      <c r="L1648" s="64"/>
      <c r="M1648" s="64"/>
      <c r="N1648" s="64"/>
      <c r="O1648" s="64"/>
      <c r="P1648" s="64"/>
      <c r="Q1648" s="64"/>
      <c r="R1648" s="64"/>
      <c r="S1648" s="64"/>
      <c r="T1648" s="127"/>
      <c r="U1648" s="135"/>
      <c r="V1648" s="129"/>
      <c r="W1648" s="130"/>
      <c r="X1648" s="131"/>
      <c r="Y1648" s="128"/>
    </row>
    <row r="1649" spans="2:25">
      <c r="B1649" s="11"/>
      <c r="C1649" s="621"/>
      <c r="D1649" s="10"/>
      <c r="E1649" s="10"/>
      <c r="F1649" s="88"/>
      <c r="G1649" s="88"/>
      <c r="H1649" s="88"/>
      <c r="I1649" s="99"/>
      <c r="J1649" s="10"/>
      <c r="K1649" s="63"/>
      <c r="L1649" s="63"/>
      <c r="M1649" s="63"/>
      <c r="N1649" s="63"/>
      <c r="O1649" s="63"/>
      <c r="P1649" s="63"/>
      <c r="Q1649" s="63"/>
      <c r="R1649" s="63"/>
      <c r="S1649" s="63"/>
      <c r="T1649" s="63"/>
      <c r="U1649" s="94"/>
      <c r="V1649" s="90"/>
      <c r="W1649" s="91"/>
      <c r="X1649" s="92"/>
      <c r="Y1649" s="2"/>
    </row>
    <row r="1650" spans="2:25">
      <c r="B1650" s="121" t="s">
        <v>71</v>
      </c>
      <c r="C1650" s="621"/>
      <c r="D1650" s="123"/>
      <c r="E1650" s="128"/>
      <c r="F1650" s="124"/>
      <c r="G1650" s="124"/>
      <c r="H1650" s="124"/>
      <c r="I1650" s="126"/>
      <c r="J1650" s="127"/>
      <c r="K1650" s="64"/>
      <c r="L1650" s="64"/>
      <c r="M1650" s="64"/>
      <c r="N1650" s="64"/>
      <c r="O1650" s="64"/>
      <c r="P1650" s="64"/>
      <c r="Q1650" s="64"/>
      <c r="R1650" s="64"/>
      <c r="S1650" s="64"/>
      <c r="T1650" s="127"/>
      <c r="U1650" s="135"/>
      <c r="V1650" s="129"/>
      <c r="W1650" s="130"/>
      <c r="X1650" s="131"/>
      <c r="Y1650" s="128"/>
    </row>
    <row r="1651" spans="2:25">
      <c r="B1651" s="87">
        <v>1</v>
      </c>
      <c r="C1651" s="621"/>
      <c r="D1651" s="10"/>
      <c r="E1651" s="10"/>
      <c r="F1651" s="62"/>
      <c r="G1651" s="62"/>
      <c r="H1651" s="62"/>
      <c r="I1651" s="89">
        <f t="shared" ref="I1651:I1658" si="232">F1651-G1651-H1651</f>
        <v>0</v>
      </c>
      <c r="J1651" s="63"/>
      <c r="K1651" s="63"/>
      <c r="L1651" s="63"/>
      <c r="M1651" s="63"/>
      <c r="N1651" s="63"/>
      <c r="O1651" s="63"/>
      <c r="P1651" s="63"/>
      <c r="Q1651" s="63"/>
      <c r="R1651" s="63"/>
      <c r="S1651" s="63"/>
      <c r="T1651" s="63"/>
      <c r="U1651" s="94"/>
      <c r="V1651" s="90"/>
      <c r="W1651" s="136"/>
      <c r="X1651" s="137"/>
      <c r="Y1651" s="2"/>
    </row>
    <row r="1652" spans="2:25">
      <c r="B1652" s="87">
        <f t="shared" ref="B1652:B1658" si="233">B1651+1</f>
        <v>2</v>
      </c>
      <c r="C1652" s="621"/>
      <c r="D1652" s="10"/>
      <c r="E1652" s="10"/>
      <c r="F1652" s="62"/>
      <c r="G1652" s="62"/>
      <c r="H1652" s="62"/>
      <c r="I1652" s="89">
        <f t="shared" si="232"/>
        <v>0</v>
      </c>
      <c r="J1652" s="63"/>
      <c r="K1652" s="63"/>
      <c r="L1652" s="63"/>
      <c r="M1652" s="63"/>
      <c r="N1652" s="63"/>
      <c r="O1652" s="63"/>
      <c r="P1652" s="63"/>
      <c r="Q1652" s="63"/>
      <c r="R1652" s="63"/>
      <c r="S1652" s="63"/>
      <c r="T1652" s="63"/>
      <c r="U1652" s="94"/>
      <c r="V1652" s="90"/>
      <c r="W1652" s="136"/>
      <c r="X1652" s="137"/>
      <c r="Y1652" s="2"/>
    </row>
    <row r="1653" spans="2:25">
      <c r="B1653" s="87">
        <f t="shared" si="233"/>
        <v>3</v>
      </c>
      <c r="C1653" s="621"/>
      <c r="D1653" s="10"/>
      <c r="E1653" s="10"/>
      <c r="F1653" s="62"/>
      <c r="G1653" s="62"/>
      <c r="H1653" s="62"/>
      <c r="I1653" s="89">
        <f t="shared" si="232"/>
        <v>0</v>
      </c>
      <c r="J1653" s="63"/>
      <c r="K1653" s="63"/>
      <c r="L1653" s="63"/>
      <c r="M1653" s="63"/>
      <c r="N1653" s="63"/>
      <c r="O1653" s="63"/>
      <c r="P1653" s="63"/>
      <c r="Q1653" s="63"/>
      <c r="R1653" s="63"/>
      <c r="S1653" s="63"/>
      <c r="T1653" s="63"/>
      <c r="U1653" s="94"/>
      <c r="V1653" s="90"/>
      <c r="W1653" s="136"/>
      <c r="X1653" s="137"/>
      <c r="Y1653" s="2"/>
    </row>
    <row r="1654" spans="2:25">
      <c r="B1654" s="87">
        <f t="shared" si="233"/>
        <v>4</v>
      </c>
      <c r="C1654" s="621"/>
      <c r="D1654" s="10"/>
      <c r="E1654" s="10"/>
      <c r="F1654" s="62"/>
      <c r="G1654" s="62"/>
      <c r="H1654" s="62"/>
      <c r="I1654" s="89">
        <f t="shared" si="232"/>
        <v>0</v>
      </c>
      <c r="J1654" s="63"/>
      <c r="K1654" s="63"/>
      <c r="L1654" s="63"/>
      <c r="M1654" s="63"/>
      <c r="N1654" s="63"/>
      <c r="O1654" s="63"/>
      <c r="P1654" s="63"/>
      <c r="Q1654" s="63"/>
      <c r="R1654" s="63"/>
      <c r="S1654" s="63"/>
      <c r="T1654" s="63"/>
      <c r="U1654" s="94"/>
      <c r="V1654" s="90"/>
      <c r="W1654" s="136"/>
      <c r="X1654" s="137"/>
      <c r="Y1654" s="2"/>
    </row>
    <row r="1655" spans="2:25">
      <c r="B1655" s="87">
        <f t="shared" si="233"/>
        <v>5</v>
      </c>
      <c r="C1655" s="621"/>
      <c r="D1655" s="10"/>
      <c r="E1655" s="10"/>
      <c r="F1655" s="62"/>
      <c r="G1655" s="62"/>
      <c r="H1655" s="62"/>
      <c r="I1655" s="89">
        <f t="shared" si="232"/>
        <v>0</v>
      </c>
      <c r="J1655" s="63"/>
      <c r="K1655" s="63"/>
      <c r="L1655" s="63"/>
      <c r="M1655" s="63"/>
      <c r="N1655" s="63"/>
      <c r="O1655" s="63"/>
      <c r="P1655" s="63"/>
      <c r="Q1655" s="63"/>
      <c r="R1655" s="63"/>
      <c r="S1655" s="63"/>
      <c r="T1655" s="63"/>
      <c r="U1655" s="94"/>
      <c r="V1655" s="90"/>
      <c r="W1655" s="136"/>
      <c r="X1655" s="137"/>
      <c r="Y1655" s="2"/>
    </row>
    <row r="1656" spans="2:25">
      <c r="B1656" s="87">
        <f t="shared" si="233"/>
        <v>6</v>
      </c>
      <c r="C1656" s="621"/>
      <c r="D1656" s="10"/>
      <c r="E1656" s="10"/>
      <c r="F1656" s="62"/>
      <c r="G1656" s="62"/>
      <c r="H1656" s="62"/>
      <c r="I1656" s="89">
        <f t="shared" si="232"/>
        <v>0</v>
      </c>
      <c r="J1656" s="63"/>
      <c r="K1656" s="63"/>
      <c r="L1656" s="63"/>
      <c r="M1656" s="63"/>
      <c r="N1656" s="63"/>
      <c r="O1656" s="63"/>
      <c r="P1656" s="63"/>
      <c r="Q1656" s="63"/>
      <c r="R1656" s="63"/>
      <c r="S1656" s="63"/>
      <c r="T1656" s="63"/>
      <c r="U1656" s="94"/>
      <c r="V1656" s="90"/>
      <c r="W1656" s="136"/>
      <c r="X1656" s="137"/>
      <c r="Y1656" s="2"/>
    </row>
    <row r="1657" spans="2:25">
      <c r="B1657" s="87">
        <f t="shared" si="233"/>
        <v>7</v>
      </c>
      <c r="C1657" s="621"/>
      <c r="D1657" s="10"/>
      <c r="E1657" s="10"/>
      <c r="F1657" s="62"/>
      <c r="G1657" s="62"/>
      <c r="H1657" s="62"/>
      <c r="I1657" s="89">
        <f t="shared" si="232"/>
        <v>0</v>
      </c>
      <c r="J1657" s="63"/>
      <c r="K1657" s="63"/>
      <c r="L1657" s="63"/>
      <c r="M1657" s="63"/>
      <c r="N1657" s="63"/>
      <c r="O1657" s="63"/>
      <c r="P1657" s="63"/>
      <c r="Q1657" s="63"/>
      <c r="R1657" s="63"/>
      <c r="S1657" s="63"/>
      <c r="T1657" s="63"/>
      <c r="U1657" s="94"/>
      <c r="V1657" s="90"/>
      <c r="W1657" s="136"/>
      <c r="X1657" s="137"/>
      <c r="Y1657" s="2"/>
    </row>
    <row r="1658" spans="2:25">
      <c r="B1658" s="87">
        <f t="shared" si="233"/>
        <v>8</v>
      </c>
      <c r="C1658" s="621"/>
      <c r="D1658" s="10"/>
      <c r="E1658" s="10"/>
      <c r="F1658" s="62"/>
      <c r="G1658" s="62"/>
      <c r="H1658" s="62"/>
      <c r="I1658" s="89">
        <f t="shared" si="232"/>
        <v>0</v>
      </c>
      <c r="J1658" s="63"/>
      <c r="K1658" s="63"/>
      <c r="L1658" s="63"/>
      <c r="M1658" s="63"/>
      <c r="N1658" s="63"/>
      <c r="O1658" s="63"/>
      <c r="P1658" s="63"/>
      <c r="Q1658" s="63"/>
      <c r="R1658" s="63"/>
      <c r="S1658" s="63"/>
      <c r="T1658" s="63"/>
      <c r="U1658" s="94"/>
      <c r="V1658" s="90"/>
      <c r="W1658" s="136"/>
      <c r="X1658" s="137"/>
      <c r="Y1658" s="2"/>
    </row>
    <row r="1659" spans="2:25">
      <c r="B1659" s="132"/>
      <c r="C1659" s="611"/>
      <c r="D1659" s="123"/>
      <c r="E1659" s="123"/>
      <c r="F1659" s="133">
        <f>SUM(F1651:F1658)</f>
        <v>0</v>
      </c>
      <c r="G1659" s="133">
        <f>SUM(G1651:G1658)</f>
        <v>0</v>
      </c>
      <c r="H1659" s="133">
        <f>SUM(H1651:H1658)</f>
        <v>0</v>
      </c>
      <c r="I1659" s="134">
        <f>SUM(I1651:I1658)</f>
        <v>0</v>
      </c>
      <c r="J1659" s="127"/>
      <c r="K1659" s="64"/>
      <c r="L1659" s="64"/>
      <c r="M1659" s="64"/>
      <c r="N1659" s="64"/>
      <c r="O1659" s="64"/>
      <c r="P1659" s="64"/>
      <c r="Q1659" s="64"/>
      <c r="R1659" s="64"/>
      <c r="S1659" s="64"/>
      <c r="T1659" s="127"/>
      <c r="U1659" s="135"/>
      <c r="V1659" s="129"/>
      <c r="W1659" s="130"/>
      <c r="X1659" s="131"/>
      <c r="Y1659" s="128"/>
    </row>
    <row r="1660" spans="2:25">
      <c r="B1660" s="11"/>
      <c r="C1660" s="609"/>
      <c r="D1660" s="10"/>
      <c r="E1660" s="10"/>
      <c r="F1660" s="88"/>
      <c r="G1660" s="88"/>
      <c r="H1660" s="88"/>
      <c r="I1660" s="99"/>
      <c r="J1660" s="63"/>
      <c r="K1660" s="21"/>
      <c r="L1660" s="21"/>
      <c r="M1660" s="21"/>
      <c r="N1660" s="21"/>
      <c r="O1660" s="21"/>
      <c r="P1660" s="21"/>
      <c r="Q1660" s="21"/>
      <c r="R1660" s="21"/>
      <c r="S1660" s="21"/>
      <c r="T1660" s="63"/>
      <c r="U1660" s="94"/>
      <c r="V1660" s="90"/>
      <c r="W1660" s="91"/>
      <c r="X1660" s="92"/>
      <c r="Y1660" s="2"/>
    </row>
    <row r="1661" spans="2:25">
      <c r="B1661" s="100" t="s">
        <v>72</v>
      </c>
      <c r="C1661" s="609"/>
      <c r="D1661" s="10"/>
      <c r="E1661" s="10"/>
      <c r="F1661" s="88"/>
      <c r="G1661" s="88"/>
      <c r="H1661" s="88"/>
      <c r="I1661" s="99"/>
      <c r="J1661" s="63"/>
      <c r="K1661" s="63"/>
      <c r="L1661" s="63"/>
      <c r="M1661" s="63"/>
      <c r="N1661" s="63"/>
      <c r="O1661" s="63"/>
      <c r="P1661" s="63"/>
      <c r="Q1661" s="63"/>
      <c r="R1661" s="63"/>
      <c r="S1661" s="63"/>
      <c r="T1661" s="63"/>
      <c r="U1661" s="94"/>
      <c r="V1661" s="90"/>
      <c r="W1661" s="91"/>
      <c r="X1661" s="92"/>
      <c r="Y1661" s="2"/>
    </row>
    <row r="1662" spans="2:25">
      <c r="B1662" s="87">
        <v>1</v>
      </c>
      <c r="C1662" s="638">
        <v>45964</v>
      </c>
      <c r="D1662" s="276">
        <v>74994</v>
      </c>
      <c r="E1662" s="276" t="s">
        <v>1030</v>
      </c>
      <c r="F1662" s="277">
        <v>2326.5700000000002</v>
      </c>
      <c r="G1662" s="277">
        <v>39.700000000000003</v>
      </c>
      <c r="H1662" s="277"/>
      <c r="I1662" s="278">
        <f>F1662-G1662-H1662</f>
        <v>2286.8700000000003</v>
      </c>
      <c r="J1662" s="279" t="s">
        <v>205</v>
      </c>
      <c r="K1662" s="279">
        <v>1</v>
      </c>
      <c r="L1662" s="279"/>
      <c r="M1662" s="279"/>
      <c r="N1662" s="279">
        <v>1</v>
      </c>
      <c r="O1662" s="279"/>
      <c r="P1662" s="279"/>
      <c r="Q1662" s="279">
        <v>1</v>
      </c>
      <c r="R1662" s="279">
        <v>1</v>
      </c>
      <c r="S1662" s="280">
        <v>1</v>
      </c>
      <c r="T1662" s="63"/>
      <c r="U1662" s="164"/>
      <c r="V1662" s="90"/>
      <c r="W1662" s="91"/>
      <c r="X1662" s="92"/>
      <c r="Y1662" s="2"/>
    </row>
    <row r="1663" spans="2:25">
      <c r="B1663" s="87">
        <f>B1662+1</f>
        <v>2</v>
      </c>
      <c r="C1663" s="639">
        <v>45964</v>
      </c>
      <c r="D1663" s="10">
        <v>75089</v>
      </c>
      <c r="E1663" s="10" t="s">
        <v>604</v>
      </c>
      <c r="F1663" s="62">
        <v>5149.8</v>
      </c>
      <c r="G1663" s="62">
        <v>39.700000000000003</v>
      </c>
      <c r="H1663" s="62"/>
      <c r="I1663" s="89">
        <f t="shared" ref="I1663:I1679" si="234">F1663-G1663-H1663</f>
        <v>5110.1000000000004</v>
      </c>
      <c r="J1663" s="63" t="s">
        <v>205</v>
      </c>
      <c r="K1663" s="63">
        <v>1</v>
      </c>
      <c r="L1663" s="63"/>
      <c r="M1663" s="63"/>
      <c r="N1663" s="63">
        <v>1</v>
      </c>
      <c r="O1663" s="63"/>
      <c r="P1663" s="63"/>
      <c r="Q1663" s="63">
        <v>1</v>
      </c>
      <c r="R1663" s="63">
        <v>1</v>
      </c>
      <c r="S1663" s="296"/>
      <c r="T1663" s="63"/>
      <c r="U1663" s="94"/>
      <c r="V1663" s="90"/>
      <c r="W1663" s="136"/>
      <c r="X1663" s="137"/>
      <c r="Y1663" s="2"/>
    </row>
    <row r="1664" spans="2:25">
      <c r="B1664" s="87">
        <f t="shared" ref="B1664:B1679" si="235">B1663+1</f>
        <v>3</v>
      </c>
      <c r="C1664" s="640">
        <v>45964</v>
      </c>
      <c r="D1664" s="283">
        <v>75078</v>
      </c>
      <c r="E1664" s="283" t="s">
        <v>1227</v>
      </c>
      <c r="F1664" s="284">
        <v>1543</v>
      </c>
      <c r="G1664" s="284">
        <v>39.700000000000003</v>
      </c>
      <c r="H1664" s="284"/>
      <c r="I1664" s="285">
        <f t="shared" si="234"/>
        <v>1503.3</v>
      </c>
      <c r="J1664" s="286" t="s">
        <v>205</v>
      </c>
      <c r="K1664" s="286">
        <v>1</v>
      </c>
      <c r="L1664" s="286"/>
      <c r="M1664" s="286"/>
      <c r="N1664" s="286">
        <v>1</v>
      </c>
      <c r="O1664" s="286"/>
      <c r="P1664" s="286"/>
      <c r="Q1664" s="286">
        <v>1</v>
      </c>
      <c r="R1664" s="286">
        <v>1</v>
      </c>
      <c r="S1664" s="287">
        <v>1</v>
      </c>
      <c r="T1664" s="63"/>
      <c r="U1664" s="94"/>
      <c r="V1664" s="90"/>
      <c r="W1664" s="136"/>
      <c r="X1664" s="137"/>
      <c r="Y1664" s="2"/>
    </row>
    <row r="1665" spans="2:25">
      <c r="B1665" s="87">
        <f t="shared" si="235"/>
        <v>4</v>
      </c>
      <c r="C1665" s="621"/>
      <c r="D1665" s="10"/>
      <c r="E1665" s="10"/>
      <c r="F1665" s="62"/>
      <c r="G1665" s="62"/>
      <c r="H1665" s="62"/>
      <c r="I1665" s="89">
        <f t="shared" si="234"/>
        <v>0</v>
      </c>
      <c r="J1665" s="63"/>
      <c r="K1665" s="63"/>
      <c r="L1665" s="63"/>
      <c r="M1665" s="63"/>
      <c r="N1665" s="63"/>
      <c r="O1665" s="63"/>
      <c r="P1665" s="63"/>
      <c r="Q1665" s="63"/>
      <c r="R1665" s="63"/>
      <c r="S1665" s="63"/>
      <c r="T1665" s="63"/>
      <c r="U1665" s="94"/>
      <c r="V1665" s="90"/>
      <c r="W1665" s="136"/>
      <c r="X1665" s="137"/>
      <c r="Y1665" s="2"/>
    </row>
    <row r="1666" spans="2:25">
      <c r="B1666" s="87">
        <f t="shared" si="235"/>
        <v>5</v>
      </c>
      <c r="C1666" s="621"/>
      <c r="D1666" s="10"/>
      <c r="E1666" s="10"/>
      <c r="F1666" s="62"/>
      <c r="G1666" s="62"/>
      <c r="H1666" s="62"/>
      <c r="I1666" s="89">
        <f t="shared" si="234"/>
        <v>0</v>
      </c>
      <c r="J1666" s="63"/>
      <c r="K1666" s="63"/>
      <c r="L1666" s="63"/>
      <c r="M1666" s="63"/>
      <c r="N1666" s="63"/>
      <c r="O1666" s="63"/>
      <c r="P1666" s="63"/>
      <c r="Q1666" s="63"/>
      <c r="R1666" s="63"/>
      <c r="S1666" s="63"/>
      <c r="T1666" s="63"/>
      <c r="U1666" s="94"/>
      <c r="V1666" s="90"/>
      <c r="W1666" s="136"/>
      <c r="X1666" s="137"/>
      <c r="Y1666" s="2"/>
    </row>
    <row r="1667" spans="2:25">
      <c r="B1667" s="87">
        <f t="shared" si="235"/>
        <v>6</v>
      </c>
      <c r="C1667" s="621"/>
      <c r="D1667" s="10"/>
      <c r="E1667" s="101"/>
      <c r="F1667" s="62"/>
      <c r="G1667" s="62"/>
      <c r="H1667" s="62"/>
      <c r="I1667" s="89">
        <f t="shared" si="234"/>
        <v>0</v>
      </c>
      <c r="J1667" s="63"/>
      <c r="K1667" s="63"/>
      <c r="L1667" s="63"/>
      <c r="M1667" s="63"/>
      <c r="N1667" s="63"/>
      <c r="O1667" s="63"/>
      <c r="P1667" s="63"/>
      <c r="Q1667" s="63"/>
      <c r="R1667" s="63"/>
      <c r="S1667" s="63"/>
      <c r="T1667" s="63"/>
      <c r="U1667" s="94"/>
      <c r="V1667" s="90"/>
      <c r="W1667" s="136"/>
      <c r="X1667" s="137"/>
      <c r="Y1667" s="2"/>
    </row>
    <row r="1668" spans="2:25">
      <c r="B1668" s="87">
        <f t="shared" si="235"/>
        <v>7</v>
      </c>
      <c r="C1668" s="621"/>
      <c r="D1668" s="10"/>
      <c r="E1668" s="101"/>
      <c r="F1668" s="62"/>
      <c r="G1668" s="62"/>
      <c r="H1668" s="62"/>
      <c r="I1668" s="89">
        <f t="shared" si="234"/>
        <v>0</v>
      </c>
      <c r="J1668" s="63"/>
      <c r="K1668" s="63"/>
      <c r="L1668" s="63"/>
      <c r="M1668" s="63"/>
      <c r="N1668" s="63"/>
      <c r="O1668" s="63"/>
      <c r="P1668" s="63"/>
      <c r="Q1668" s="63"/>
      <c r="R1668" s="63"/>
      <c r="S1668" s="63"/>
      <c r="T1668" s="63"/>
      <c r="U1668" s="94"/>
      <c r="V1668" s="90"/>
      <c r="W1668" s="136"/>
      <c r="X1668" s="137"/>
      <c r="Y1668" s="2"/>
    </row>
    <row r="1669" spans="2:25">
      <c r="B1669" s="87">
        <f t="shared" si="235"/>
        <v>8</v>
      </c>
      <c r="C1669" s="621"/>
      <c r="D1669" s="10"/>
      <c r="E1669" s="101"/>
      <c r="F1669" s="62"/>
      <c r="G1669" s="62"/>
      <c r="H1669" s="62"/>
      <c r="I1669" s="89">
        <f t="shared" si="234"/>
        <v>0</v>
      </c>
      <c r="J1669" s="63"/>
      <c r="K1669" s="63"/>
      <c r="L1669" s="63"/>
      <c r="M1669" s="63"/>
      <c r="N1669" s="63"/>
      <c r="O1669" s="63"/>
      <c r="P1669" s="63"/>
      <c r="Q1669" s="63"/>
      <c r="R1669" s="63"/>
      <c r="S1669" s="63"/>
      <c r="T1669" s="63"/>
      <c r="U1669" s="94"/>
      <c r="V1669" s="90"/>
      <c r="W1669" s="136"/>
      <c r="X1669" s="137"/>
      <c r="Y1669" s="2"/>
    </row>
    <row r="1670" spans="2:25">
      <c r="B1670" s="87">
        <f t="shared" si="235"/>
        <v>9</v>
      </c>
      <c r="C1670" s="621"/>
      <c r="D1670" s="10"/>
      <c r="E1670" s="101"/>
      <c r="F1670" s="62"/>
      <c r="G1670" s="62"/>
      <c r="H1670" s="62"/>
      <c r="I1670" s="89">
        <f t="shared" si="234"/>
        <v>0</v>
      </c>
      <c r="J1670" s="63"/>
      <c r="K1670" s="63"/>
      <c r="L1670" s="63"/>
      <c r="M1670" s="63"/>
      <c r="N1670" s="63"/>
      <c r="O1670" s="63"/>
      <c r="P1670" s="63"/>
      <c r="Q1670" s="63"/>
      <c r="R1670" s="63"/>
      <c r="S1670" s="63"/>
      <c r="T1670" s="63"/>
      <c r="U1670" s="94"/>
      <c r="V1670" s="90"/>
      <c r="W1670" s="136"/>
      <c r="X1670" s="137"/>
      <c r="Y1670" s="2"/>
    </row>
    <row r="1671" spans="2:25">
      <c r="B1671" s="87">
        <f t="shared" si="235"/>
        <v>10</v>
      </c>
      <c r="C1671" s="621"/>
      <c r="D1671" s="10"/>
      <c r="E1671" s="101"/>
      <c r="F1671" s="62"/>
      <c r="G1671" s="62"/>
      <c r="H1671" s="62"/>
      <c r="I1671" s="89">
        <f t="shared" si="234"/>
        <v>0</v>
      </c>
      <c r="J1671" s="63"/>
      <c r="K1671" s="63"/>
      <c r="L1671" s="63"/>
      <c r="M1671" s="63"/>
      <c r="N1671" s="63"/>
      <c r="O1671" s="63"/>
      <c r="P1671" s="63"/>
      <c r="Q1671" s="63"/>
      <c r="R1671" s="63"/>
      <c r="S1671" s="63"/>
      <c r="T1671" s="63"/>
      <c r="U1671" s="94"/>
      <c r="V1671" s="90"/>
      <c r="W1671" s="136"/>
      <c r="X1671" s="137"/>
      <c r="Y1671" s="2"/>
    </row>
    <row r="1672" spans="2:25">
      <c r="B1672" s="87">
        <f t="shared" si="235"/>
        <v>11</v>
      </c>
      <c r="C1672" s="621"/>
      <c r="D1672" s="10"/>
      <c r="E1672" s="101"/>
      <c r="F1672" s="62"/>
      <c r="G1672" s="62"/>
      <c r="H1672" s="62"/>
      <c r="I1672" s="89">
        <f t="shared" si="234"/>
        <v>0</v>
      </c>
      <c r="J1672" s="63"/>
      <c r="K1672" s="63"/>
      <c r="L1672" s="63"/>
      <c r="M1672" s="63"/>
      <c r="N1672" s="63"/>
      <c r="O1672" s="63"/>
      <c r="P1672" s="63"/>
      <c r="Q1672" s="63"/>
      <c r="R1672" s="63"/>
      <c r="S1672" s="63"/>
      <c r="T1672" s="63"/>
      <c r="U1672" s="94"/>
      <c r="V1672" s="90"/>
      <c r="W1672" s="136"/>
      <c r="X1672" s="137"/>
      <c r="Y1672" s="2"/>
    </row>
    <row r="1673" spans="2:25">
      <c r="B1673" s="87">
        <f t="shared" si="235"/>
        <v>12</v>
      </c>
      <c r="C1673" s="621"/>
      <c r="D1673" s="10"/>
      <c r="E1673" s="101"/>
      <c r="F1673" s="62"/>
      <c r="G1673" s="62"/>
      <c r="H1673" s="62"/>
      <c r="I1673" s="89">
        <f t="shared" si="234"/>
        <v>0</v>
      </c>
      <c r="J1673" s="63"/>
      <c r="K1673" s="63"/>
      <c r="L1673" s="63"/>
      <c r="M1673" s="63"/>
      <c r="N1673" s="63"/>
      <c r="O1673" s="63"/>
      <c r="P1673" s="63"/>
      <c r="Q1673" s="63"/>
      <c r="R1673" s="63"/>
      <c r="S1673" s="63"/>
      <c r="T1673" s="63"/>
      <c r="U1673" s="94"/>
      <c r="V1673" s="90"/>
      <c r="W1673" s="136"/>
      <c r="X1673" s="137"/>
      <c r="Y1673" s="2"/>
    </row>
    <row r="1674" spans="2:25">
      <c r="B1674" s="87">
        <f t="shared" si="235"/>
        <v>13</v>
      </c>
      <c r="C1674" s="621"/>
      <c r="D1674" s="10"/>
      <c r="E1674" s="101"/>
      <c r="F1674" s="62"/>
      <c r="G1674" s="62"/>
      <c r="H1674" s="62"/>
      <c r="I1674" s="89">
        <f t="shared" si="234"/>
        <v>0</v>
      </c>
      <c r="J1674" s="63"/>
      <c r="K1674" s="63"/>
      <c r="L1674" s="63"/>
      <c r="M1674" s="63"/>
      <c r="N1674" s="63"/>
      <c r="O1674" s="63"/>
      <c r="P1674" s="63"/>
      <c r="Q1674" s="63"/>
      <c r="R1674" s="63"/>
      <c r="S1674" s="63"/>
      <c r="T1674" s="63"/>
      <c r="U1674" s="94"/>
      <c r="V1674" s="90"/>
      <c r="W1674" s="136"/>
      <c r="X1674" s="137"/>
      <c r="Y1674" s="2"/>
    </row>
    <row r="1675" spans="2:25">
      <c r="B1675" s="87">
        <f t="shared" si="235"/>
        <v>14</v>
      </c>
      <c r="C1675" s="621"/>
      <c r="D1675" s="10"/>
      <c r="E1675" s="10"/>
      <c r="F1675" s="62"/>
      <c r="G1675" s="62"/>
      <c r="H1675" s="62"/>
      <c r="I1675" s="89">
        <f t="shared" si="234"/>
        <v>0</v>
      </c>
      <c r="J1675" s="63"/>
      <c r="K1675" s="63"/>
      <c r="L1675" s="63"/>
      <c r="M1675" s="63"/>
      <c r="N1675" s="63"/>
      <c r="O1675" s="63"/>
      <c r="P1675" s="63"/>
      <c r="Q1675" s="63"/>
      <c r="R1675" s="63"/>
      <c r="S1675" s="63"/>
      <c r="T1675" s="63"/>
      <c r="U1675" s="94"/>
      <c r="V1675" s="90"/>
      <c r="W1675" s="136"/>
      <c r="X1675" s="137"/>
      <c r="Y1675" s="2"/>
    </row>
    <row r="1676" spans="2:25">
      <c r="B1676" s="87">
        <f t="shared" si="235"/>
        <v>15</v>
      </c>
      <c r="C1676" s="621"/>
      <c r="D1676" s="10"/>
      <c r="E1676" s="10"/>
      <c r="F1676" s="62"/>
      <c r="G1676" s="62"/>
      <c r="H1676" s="62"/>
      <c r="I1676" s="89">
        <f t="shared" si="234"/>
        <v>0</v>
      </c>
      <c r="J1676" s="63"/>
      <c r="K1676" s="63"/>
      <c r="L1676" s="63"/>
      <c r="M1676" s="63"/>
      <c r="N1676" s="63"/>
      <c r="O1676" s="63"/>
      <c r="P1676" s="63"/>
      <c r="Q1676" s="63"/>
      <c r="R1676" s="63"/>
      <c r="S1676" s="63"/>
      <c r="T1676" s="63"/>
      <c r="U1676" s="94"/>
      <c r="V1676" s="90"/>
      <c r="W1676" s="136"/>
      <c r="X1676" s="137"/>
      <c r="Y1676" s="2"/>
    </row>
    <row r="1677" spans="2:25">
      <c r="B1677" s="87">
        <f t="shared" si="235"/>
        <v>16</v>
      </c>
      <c r="C1677" s="621"/>
      <c r="D1677" s="10"/>
      <c r="E1677" s="10"/>
      <c r="F1677" s="62"/>
      <c r="G1677" s="62"/>
      <c r="H1677" s="62"/>
      <c r="I1677" s="89">
        <f t="shared" si="234"/>
        <v>0</v>
      </c>
      <c r="J1677" s="63"/>
      <c r="K1677" s="63"/>
      <c r="L1677" s="63"/>
      <c r="M1677" s="63"/>
      <c r="N1677" s="63"/>
      <c r="O1677" s="63"/>
      <c r="P1677" s="63"/>
      <c r="Q1677" s="63"/>
      <c r="R1677" s="63"/>
      <c r="S1677" s="63"/>
      <c r="T1677" s="63"/>
      <c r="U1677" s="94"/>
      <c r="V1677" s="90"/>
      <c r="W1677" s="136"/>
      <c r="X1677" s="137"/>
      <c r="Y1677" s="2"/>
    </row>
    <row r="1678" spans="2:25">
      <c r="B1678" s="87">
        <f t="shared" si="235"/>
        <v>17</v>
      </c>
      <c r="C1678" s="621"/>
      <c r="D1678" s="10"/>
      <c r="E1678" s="10"/>
      <c r="F1678" s="62"/>
      <c r="G1678" s="62"/>
      <c r="H1678" s="62"/>
      <c r="I1678" s="89">
        <f t="shared" si="234"/>
        <v>0</v>
      </c>
      <c r="J1678" s="63"/>
      <c r="K1678" s="63"/>
      <c r="L1678" s="63"/>
      <c r="M1678" s="63"/>
      <c r="N1678" s="63"/>
      <c r="O1678" s="63"/>
      <c r="P1678" s="63"/>
      <c r="Q1678" s="63"/>
      <c r="R1678" s="63"/>
      <c r="S1678" s="63"/>
      <c r="T1678" s="63"/>
      <c r="U1678" s="94"/>
      <c r="V1678" s="90"/>
      <c r="W1678" s="136"/>
      <c r="X1678" s="137"/>
      <c r="Y1678" s="2"/>
    </row>
    <row r="1679" spans="2:25">
      <c r="B1679" s="87">
        <f t="shared" si="235"/>
        <v>18</v>
      </c>
      <c r="C1679" s="621"/>
      <c r="D1679" s="10"/>
      <c r="E1679" s="10"/>
      <c r="F1679" s="62"/>
      <c r="G1679" s="62"/>
      <c r="H1679" s="62"/>
      <c r="I1679" s="89">
        <f t="shared" si="234"/>
        <v>0</v>
      </c>
      <c r="J1679" s="63"/>
      <c r="K1679" s="63"/>
      <c r="L1679" s="63"/>
      <c r="M1679" s="63"/>
      <c r="N1679" s="63"/>
      <c r="O1679" s="63"/>
      <c r="P1679" s="63"/>
      <c r="Q1679" s="63"/>
      <c r="R1679" s="63"/>
      <c r="S1679" s="63"/>
      <c r="T1679" s="63"/>
      <c r="U1679" s="94"/>
      <c r="V1679" s="90"/>
      <c r="W1679" s="136"/>
      <c r="X1679" s="137"/>
      <c r="Y1679" s="2"/>
    </row>
    <row r="1680" spans="2:25">
      <c r="B1680" s="11"/>
      <c r="C1680" s="621"/>
      <c r="D1680" s="10"/>
      <c r="E1680" s="10"/>
      <c r="F1680" s="97">
        <f>SUM(F1662:F1679)</f>
        <v>9019.3700000000008</v>
      </c>
      <c r="G1680" s="97">
        <f t="shared" ref="G1680:I1680" si="236">SUM(G1662:G1679)</f>
        <v>119.10000000000001</v>
      </c>
      <c r="H1680" s="97">
        <f t="shared" si="236"/>
        <v>0</v>
      </c>
      <c r="I1680" s="98">
        <f t="shared" si="236"/>
        <v>8900.27</v>
      </c>
      <c r="J1680" s="10"/>
      <c r="K1680" s="10"/>
      <c r="L1680" s="10"/>
      <c r="M1680" s="10"/>
      <c r="N1680" s="10"/>
      <c r="O1680" s="10"/>
      <c r="P1680" s="10"/>
      <c r="Q1680" s="10"/>
      <c r="R1680" s="10"/>
      <c r="S1680" s="10"/>
      <c r="T1680" s="63"/>
      <c r="U1680" s="94"/>
      <c r="V1680" s="90"/>
      <c r="W1680" s="91"/>
      <c r="X1680" s="92"/>
      <c r="Y1680" s="2"/>
    </row>
    <row r="1681" spans="2:25">
      <c r="B1681" s="11"/>
      <c r="C1681" s="621"/>
      <c r="D1681" s="10"/>
      <c r="E1681" s="10"/>
      <c r="F1681" s="88"/>
      <c r="G1681" s="88"/>
      <c r="H1681" s="88"/>
      <c r="I1681" s="99"/>
      <c r="J1681" s="10"/>
      <c r="K1681" s="10"/>
      <c r="L1681" s="10"/>
      <c r="M1681" s="10"/>
      <c r="N1681" s="10"/>
      <c r="O1681" s="10"/>
      <c r="P1681" s="10"/>
      <c r="Q1681" s="10"/>
      <c r="R1681" s="10"/>
      <c r="S1681" s="10"/>
      <c r="T1681" s="63"/>
      <c r="U1681" s="94"/>
      <c r="V1681" s="165"/>
      <c r="W1681" s="166"/>
      <c r="X1681" s="167"/>
      <c r="Y1681" s="2"/>
    </row>
    <row r="1682" spans="2:25">
      <c r="B1682" s="100" t="s">
        <v>73</v>
      </c>
      <c r="C1682" s="621"/>
      <c r="D1682" s="10"/>
      <c r="E1682" s="10"/>
      <c r="F1682" s="88"/>
      <c r="G1682" s="88"/>
      <c r="H1682" s="88"/>
      <c r="I1682" s="99"/>
      <c r="J1682" s="63"/>
      <c r="K1682" s="63"/>
      <c r="L1682" s="63"/>
      <c r="M1682" s="63"/>
      <c r="N1682" s="63"/>
      <c r="O1682" s="63"/>
      <c r="P1682" s="63"/>
      <c r="Q1682" s="63"/>
      <c r="R1682" s="63"/>
      <c r="S1682" s="63"/>
      <c r="T1682" s="63"/>
      <c r="U1682" s="94"/>
      <c r="V1682" s="90"/>
      <c r="W1682" s="91"/>
      <c r="X1682" s="92"/>
      <c r="Y1682" s="2"/>
    </row>
    <row r="1683" spans="2:25">
      <c r="B1683" s="87">
        <v>1</v>
      </c>
      <c r="C1683" s="621"/>
      <c r="D1683" s="10"/>
      <c r="E1683" s="10"/>
      <c r="F1683" s="62"/>
      <c r="G1683" s="62"/>
      <c r="H1683" s="62"/>
      <c r="I1683" s="89">
        <f t="shared" ref="I1683:I1688" si="237">F1683-G1683-H1683</f>
        <v>0</v>
      </c>
      <c r="J1683" s="63"/>
      <c r="K1683" s="63"/>
      <c r="L1683" s="63"/>
      <c r="M1683" s="63"/>
      <c r="N1683" s="63"/>
      <c r="O1683" s="63"/>
      <c r="P1683" s="63"/>
      <c r="Q1683" s="63"/>
      <c r="R1683" s="63"/>
      <c r="S1683" s="63"/>
      <c r="T1683" s="63"/>
      <c r="U1683" s="139"/>
      <c r="V1683" s="90"/>
      <c r="W1683" s="91"/>
      <c r="X1683" s="92"/>
      <c r="Y1683" s="2"/>
    </row>
    <row r="1684" spans="2:25">
      <c r="B1684" s="87">
        <f>B1683+1</f>
        <v>2</v>
      </c>
      <c r="C1684" s="621"/>
      <c r="D1684" s="10"/>
      <c r="E1684" s="10"/>
      <c r="F1684" s="62"/>
      <c r="G1684" s="62"/>
      <c r="H1684" s="62"/>
      <c r="I1684" s="89">
        <f t="shared" si="237"/>
        <v>0</v>
      </c>
      <c r="J1684" s="63"/>
      <c r="K1684" s="63"/>
      <c r="L1684" s="63"/>
      <c r="M1684" s="63"/>
      <c r="N1684" s="63"/>
      <c r="O1684" s="63"/>
      <c r="P1684" s="63"/>
      <c r="Q1684" s="63"/>
      <c r="R1684" s="63"/>
      <c r="S1684" s="63"/>
      <c r="T1684" s="63"/>
      <c r="U1684" s="94"/>
      <c r="V1684" s="90"/>
      <c r="W1684" s="136"/>
      <c r="X1684" s="137"/>
      <c r="Y1684" s="2"/>
    </row>
    <row r="1685" spans="2:25">
      <c r="B1685" s="87">
        <f>B1684+1</f>
        <v>3</v>
      </c>
      <c r="C1685" s="621"/>
      <c r="D1685" s="10"/>
      <c r="E1685" s="10"/>
      <c r="F1685" s="62"/>
      <c r="G1685" s="62"/>
      <c r="H1685" s="62"/>
      <c r="I1685" s="89">
        <f t="shared" si="237"/>
        <v>0</v>
      </c>
      <c r="J1685" s="63"/>
      <c r="K1685" s="63"/>
      <c r="L1685" s="63"/>
      <c r="M1685" s="63"/>
      <c r="N1685" s="63"/>
      <c r="O1685" s="63"/>
      <c r="P1685" s="63"/>
      <c r="Q1685" s="63"/>
      <c r="R1685" s="63"/>
      <c r="S1685" s="63"/>
      <c r="T1685" s="63"/>
      <c r="U1685" s="94"/>
      <c r="V1685" s="90"/>
      <c r="W1685" s="136"/>
      <c r="X1685" s="137"/>
      <c r="Y1685" s="2"/>
    </row>
    <row r="1686" spans="2:25">
      <c r="B1686" s="87">
        <f>B1685+1</f>
        <v>4</v>
      </c>
      <c r="C1686" s="621"/>
      <c r="D1686" s="10"/>
      <c r="E1686" s="10"/>
      <c r="F1686" s="62"/>
      <c r="G1686" s="62"/>
      <c r="H1686" s="62"/>
      <c r="I1686" s="89">
        <f t="shared" si="237"/>
        <v>0</v>
      </c>
      <c r="J1686" s="63"/>
      <c r="K1686" s="63"/>
      <c r="L1686" s="63"/>
      <c r="M1686" s="63"/>
      <c r="N1686" s="63"/>
      <c r="O1686" s="63"/>
      <c r="P1686" s="63"/>
      <c r="Q1686" s="63"/>
      <c r="R1686" s="63"/>
      <c r="S1686" s="63"/>
      <c r="T1686" s="63"/>
      <c r="U1686" s="94"/>
      <c r="V1686" s="90"/>
      <c r="W1686" s="136"/>
      <c r="X1686" s="137"/>
      <c r="Y1686" s="2"/>
    </row>
    <row r="1687" spans="2:25">
      <c r="B1687" s="87">
        <f>B1686+1</f>
        <v>5</v>
      </c>
      <c r="C1687" s="621"/>
      <c r="D1687" s="10"/>
      <c r="E1687" s="10"/>
      <c r="F1687" s="62"/>
      <c r="G1687" s="62"/>
      <c r="H1687" s="62"/>
      <c r="I1687" s="89">
        <f t="shared" si="237"/>
        <v>0</v>
      </c>
      <c r="J1687" s="63"/>
      <c r="K1687" s="63"/>
      <c r="L1687" s="63"/>
      <c r="M1687" s="63"/>
      <c r="N1687" s="63"/>
      <c r="O1687" s="63"/>
      <c r="P1687" s="63"/>
      <c r="Q1687" s="63"/>
      <c r="R1687" s="63"/>
      <c r="S1687" s="63"/>
      <c r="T1687" s="63"/>
      <c r="U1687" s="94"/>
      <c r="V1687" s="90"/>
      <c r="W1687" s="136"/>
      <c r="X1687" s="137"/>
      <c r="Y1687" s="2"/>
    </row>
    <row r="1688" spans="2:25">
      <c r="B1688" s="87">
        <f>B1687+1</f>
        <v>6</v>
      </c>
      <c r="C1688" s="621"/>
      <c r="D1688" s="10"/>
      <c r="E1688" s="101"/>
      <c r="F1688" s="62"/>
      <c r="G1688" s="62"/>
      <c r="H1688" s="62"/>
      <c r="I1688" s="89">
        <f t="shared" si="237"/>
        <v>0</v>
      </c>
      <c r="J1688" s="63"/>
      <c r="K1688" s="63"/>
      <c r="L1688" s="63"/>
      <c r="M1688" s="63"/>
      <c r="N1688" s="63"/>
      <c r="O1688" s="63"/>
      <c r="P1688" s="63"/>
      <c r="Q1688" s="63"/>
      <c r="R1688" s="63"/>
      <c r="S1688" s="63"/>
      <c r="T1688" s="63"/>
      <c r="U1688" s="94"/>
      <c r="V1688" s="90"/>
      <c r="W1688" s="136"/>
      <c r="X1688" s="137"/>
      <c r="Y1688" s="2"/>
    </row>
    <row r="1689" spans="2:25">
      <c r="B1689" s="11"/>
      <c r="C1689" s="609"/>
      <c r="D1689" s="10"/>
      <c r="E1689" s="10"/>
      <c r="F1689" s="97">
        <f>SUM(F1683:F1688)</f>
        <v>0</v>
      </c>
      <c r="G1689" s="97">
        <f>SUM(G1683:G1688)</f>
        <v>0</v>
      </c>
      <c r="H1689" s="97">
        <f>SUM(H1683:H1688)</f>
        <v>0</v>
      </c>
      <c r="I1689" s="98">
        <f>SUM(I1683:I1688)</f>
        <v>0</v>
      </c>
      <c r="J1689" s="10"/>
      <c r="K1689" s="10"/>
      <c r="L1689" s="10"/>
      <c r="M1689" s="10"/>
      <c r="N1689" s="10"/>
      <c r="O1689" s="10"/>
      <c r="P1689" s="10"/>
      <c r="Q1689" s="10"/>
      <c r="R1689" s="10"/>
      <c r="S1689" s="10"/>
      <c r="T1689" s="63"/>
      <c r="U1689" s="94"/>
      <c r="V1689" s="90"/>
      <c r="W1689" s="91"/>
      <c r="X1689" s="92"/>
      <c r="Y1689" s="2"/>
    </row>
    <row r="1690" spans="2:25">
      <c r="B1690" s="26"/>
      <c r="C1690" s="612"/>
      <c r="D1690" s="141"/>
      <c r="E1690" s="141"/>
      <c r="F1690" s="141"/>
      <c r="G1690" s="141"/>
      <c r="H1690" s="141"/>
      <c r="I1690" s="141"/>
      <c r="J1690" s="141"/>
      <c r="K1690" s="142"/>
      <c r="L1690" s="142"/>
      <c r="M1690" s="142"/>
      <c r="N1690" s="142"/>
      <c r="O1690" s="142"/>
      <c r="P1690" s="142"/>
      <c r="Q1690" s="142"/>
      <c r="R1690" s="142"/>
      <c r="S1690" s="142"/>
      <c r="T1690" s="143">
        <f>SUM(T1575:T1689)</f>
        <v>0</v>
      </c>
      <c r="U1690" s="168"/>
      <c r="V1690" s="144">
        <f>SUM(V1575:V1689)</f>
        <v>2047.1</v>
      </c>
      <c r="W1690" s="145">
        <f>SUM(W1575:W1689)</f>
        <v>0</v>
      </c>
      <c r="X1690" s="146">
        <f>SUM(X1575:X1689)</f>
        <v>0</v>
      </c>
      <c r="Y1690" s="2"/>
    </row>
    <row r="1691" spans="2:25">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row>
  </sheetData>
  <mergeCells count="26">
    <mergeCell ref="K18:Q18"/>
    <mergeCell ref="K124:Q124"/>
    <mergeCell ref="K217:Q217"/>
    <mergeCell ref="K302:Q302"/>
    <mergeCell ref="K56:Q56"/>
    <mergeCell ref="H371:J372"/>
    <mergeCell ref="K379:Q379"/>
    <mergeCell ref="K1080:Q1080"/>
    <mergeCell ref="H997:J998"/>
    <mergeCell ref="K1005:Q1005"/>
    <mergeCell ref="K914:Q914"/>
    <mergeCell ref="H534:J535"/>
    <mergeCell ref="K823:Q823"/>
    <mergeCell ref="K728:Q728"/>
    <mergeCell ref="K631:Q631"/>
    <mergeCell ref="H1072:J1073"/>
    <mergeCell ref="H447:J448"/>
    <mergeCell ref="K542:Q542"/>
    <mergeCell ref="K455:Q455"/>
    <mergeCell ref="H1171:J1172"/>
    <mergeCell ref="H1360:J1361"/>
    <mergeCell ref="K1563:Q1563"/>
    <mergeCell ref="K1461:Q1461"/>
    <mergeCell ref="K1368:Q1368"/>
    <mergeCell ref="K1272:Q1272"/>
    <mergeCell ref="K1179:Q1179"/>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A82B-CB09-4FFC-B0D2-A44F8DC9124B}">
  <sheetPr>
    <tabColor rgb="FFFF0000"/>
  </sheetPr>
  <dimension ref="A3:Y1791"/>
  <sheetViews>
    <sheetView topLeftCell="A1586" workbookViewId="0">
      <selection activeCell="G1588" sqref="G1588"/>
    </sheetView>
  </sheetViews>
  <sheetFormatPr defaultRowHeight="15"/>
  <cols>
    <col min="1" max="1" width="7.42578125" customWidth="1"/>
    <col min="3" max="3" width="10.85546875" customWidth="1"/>
    <col min="4" max="4" width="14.42578125" customWidth="1"/>
    <col min="5" max="5" width="26.5703125" customWidth="1"/>
    <col min="6" max="6" width="14.28515625" customWidth="1"/>
    <col min="7" max="7" width="13.28515625" customWidth="1"/>
    <col min="8" max="8" width="12.28515625" bestFit="1" customWidth="1"/>
    <col min="9" max="9" width="12.7109375" customWidth="1"/>
    <col min="11" max="11" width="11" customWidth="1"/>
    <col min="12" max="12" width="10.5703125" customWidth="1"/>
    <col min="13" max="13" width="10.140625" bestFit="1" customWidth="1"/>
    <col min="14" max="14" width="11.140625" customWidth="1"/>
    <col min="15" max="16" width="11.5703125" customWidth="1"/>
    <col min="17" max="17" width="12.42578125" customWidth="1"/>
    <col min="18" max="18" width="11.28515625" customWidth="1"/>
    <col min="19" max="19" width="12.140625" customWidth="1"/>
    <col min="21" max="21" width="12.140625" customWidth="1"/>
    <col min="22" max="22" width="12.85546875" customWidth="1"/>
    <col min="23" max="23" width="12.42578125" customWidth="1"/>
    <col min="24" max="24" width="12" customWidth="1"/>
  </cols>
  <sheetData>
    <row r="3" spans="1:25">
      <c r="A3" s="3"/>
      <c r="B3" s="4" t="s">
        <v>1</v>
      </c>
      <c r="C3" s="5"/>
      <c r="D3" s="6"/>
      <c r="E3" s="6"/>
      <c r="F3" s="7" t="s">
        <v>2</v>
      </c>
      <c r="G3" s="8">
        <v>45837</v>
      </c>
      <c r="H3" s="7"/>
      <c r="I3" s="6"/>
      <c r="J3" s="6"/>
      <c r="K3" s="6"/>
      <c r="L3" s="6"/>
      <c r="M3" s="6"/>
      <c r="N3" s="6"/>
      <c r="O3" s="6"/>
      <c r="P3" s="6"/>
      <c r="Q3" s="6"/>
      <c r="R3" s="6"/>
      <c r="S3" s="6"/>
      <c r="T3" s="6"/>
      <c r="U3" s="9"/>
      <c r="V3" s="10"/>
      <c r="W3" s="10"/>
      <c r="X3" s="10"/>
      <c r="Y3" s="2"/>
    </row>
    <row r="4" spans="1:25">
      <c r="A4" s="2"/>
      <c r="B4" s="11"/>
      <c r="C4" s="10"/>
      <c r="D4" s="10"/>
      <c r="E4" s="10"/>
      <c r="F4" s="10"/>
      <c r="G4" s="7"/>
      <c r="H4" s="12"/>
      <c r="I4" s="10"/>
      <c r="J4" s="10"/>
      <c r="K4" s="13" t="s">
        <v>3</v>
      </c>
      <c r="L4" s="14"/>
      <c r="M4" s="15"/>
      <c r="N4" s="13" t="s">
        <v>4</v>
      </c>
      <c r="O4" s="14"/>
      <c r="P4" s="15"/>
      <c r="Q4" s="13" t="s">
        <v>5</v>
      </c>
      <c r="R4" s="14"/>
      <c r="S4" s="15"/>
      <c r="T4" s="16"/>
      <c r="U4" s="17"/>
      <c r="V4" s="10"/>
      <c r="W4" s="10"/>
      <c r="X4" s="10"/>
      <c r="Y4" s="2"/>
    </row>
    <row r="5" spans="1:25">
      <c r="A5" s="2"/>
      <c r="B5" s="18" t="s">
        <v>6</v>
      </c>
      <c r="C5" s="19">
        <f>C6+C7</f>
        <v>32</v>
      </c>
      <c r="D5" s="10"/>
      <c r="E5" s="18" t="s">
        <v>7</v>
      </c>
      <c r="F5" s="6"/>
      <c r="G5" s="9"/>
      <c r="H5" s="10"/>
      <c r="I5" s="10"/>
      <c r="J5" s="10"/>
      <c r="K5" s="20" t="s">
        <v>8</v>
      </c>
      <c r="L5" s="21" t="s">
        <v>9</v>
      </c>
      <c r="M5" s="21" t="s">
        <v>10</v>
      </c>
      <c r="N5" s="20" t="s">
        <v>11</v>
      </c>
      <c r="O5" s="21" t="s">
        <v>12</v>
      </c>
      <c r="P5" s="22" t="s">
        <v>13</v>
      </c>
      <c r="Q5" s="21" t="s">
        <v>11</v>
      </c>
      <c r="R5" s="21" t="s">
        <v>12</v>
      </c>
      <c r="S5" s="22" t="s">
        <v>13</v>
      </c>
      <c r="T5" s="23" t="s">
        <v>14</v>
      </c>
      <c r="U5" s="17"/>
      <c r="V5" s="10"/>
      <c r="W5" s="10"/>
      <c r="X5" s="10"/>
      <c r="Y5" s="2"/>
    </row>
    <row r="6" spans="1:25">
      <c r="A6" s="2"/>
      <c r="B6" s="24" t="s">
        <v>15</v>
      </c>
      <c r="C6" s="25">
        <f>P13</f>
        <v>11</v>
      </c>
      <c r="D6" s="10"/>
      <c r="E6" s="26" t="s">
        <v>16</v>
      </c>
      <c r="F6" s="27">
        <v>0.05</v>
      </c>
      <c r="G6" s="28"/>
      <c r="H6" s="10"/>
      <c r="I6" s="10"/>
      <c r="J6" s="18" t="s">
        <v>17</v>
      </c>
      <c r="K6" s="29">
        <f>K39</f>
        <v>8</v>
      </c>
      <c r="L6" s="29">
        <f t="shared" ref="L6:S6" si="0">L39</f>
        <v>8</v>
      </c>
      <c r="M6" s="29">
        <f t="shared" si="0"/>
        <v>8</v>
      </c>
      <c r="N6" s="29">
        <f t="shared" si="0"/>
        <v>8</v>
      </c>
      <c r="O6" s="29">
        <f t="shared" si="0"/>
        <v>8</v>
      </c>
      <c r="P6" s="29">
        <f t="shared" si="0"/>
        <v>0</v>
      </c>
      <c r="Q6" s="29">
        <f t="shared" si="0"/>
        <v>6</v>
      </c>
      <c r="R6" s="29">
        <f t="shared" si="0"/>
        <v>6</v>
      </c>
      <c r="S6" s="29">
        <f t="shared" si="0"/>
        <v>3</v>
      </c>
      <c r="T6" s="30">
        <f>T82</f>
        <v>0</v>
      </c>
      <c r="U6" s="17"/>
      <c r="V6" s="10"/>
      <c r="W6" s="10"/>
      <c r="X6" s="10"/>
      <c r="Y6" s="2"/>
    </row>
    <row r="7" spans="1:25">
      <c r="A7" s="2"/>
      <c r="B7" s="24" t="s">
        <v>18</v>
      </c>
      <c r="C7" s="25">
        <f>P14</f>
        <v>21</v>
      </c>
      <c r="D7" s="10"/>
      <c r="E7" s="10"/>
      <c r="F7" s="10"/>
      <c r="G7" s="31"/>
      <c r="H7" s="10"/>
      <c r="I7" s="10"/>
      <c r="J7" s="32" t="s">
        <v>19</v>
      </c>
      <c r="K7" s="33">
        <f>K39/K38</f>
        <v>1</v>
      </c>
      <c r="L7" s="33">
        <f t="shared" ref="L7:S7" si="1">L39/L38</f>
        <v>1</v>
      </c>
      <c r="M7" s="33">
        <f t="shared" si="1"/>
        <v>1</v>
      </c>
      <c r="N7" s="33">
        <f t="shared" si="1"/>
        <v>1</v>
      </c>
      <c r="O7" s="33">
        <f t="shared" si="1"/>
        <v>1</v>
      </c>
      <c r="P7" s="33">
        <f t="shared" si="1"/>
        <v>0</v>
      </c>
      <c r="Q7" s="33">
        <f t="shared" si="1"/>
        <v>0.75</v>
      </c>
      <c r="R7" s="33">
        <f t="shared" si="1"/>
        <v>0.75</v>
      </c>
      <c r="S7" s="33">
        <f t="shared" si="1"/>
        <v>0.375</v>
      </c>
      <c r="T7" s="23"/>
      <c r="U7" s="17" t="s">
        <v>20</v>
      </c>
      <c r="V7" s="10"/>
      <c r="W7" s="10"/>
      <c r="X7" s="10"/>
      <c r="Y7" s="2"/>
    </row>
    <row r="8" spans="1:25">
      <c r="A8" s="2"/>
      <c r="B8" s="24" t="s">
        <v>21</v>
      </c>
      <c r="C8" s="34">
        <f>P15</f>
        <v>0.34375</v>
      </c>
      <c r="D8" s="10"/>
      <c r="E8" s="10"/>
      <c r="F8" s="10"/>
      <c r="G8" s="10"/>
      <c r="H8" s="10"/>
      <c r="I8" s="10"/>
      <c r="J8" s="10"/>
      <c r="K8" s="10"/>
      <c r="L8" s="10"/>
      <c r="M8" s="10"/>
      <c r="N8" s="10"/>
      <c r="O8" s="10"/>
      <c r="P8" s="10"/>
      <c r="Q8" s="10"/>
      <c r="R8" s="10"/>
      <c r="S8" s="10"/>
      <c r="T8" s="10"/>
      <c r="U8" s="17"/>
      <c r="V8" s="10"/>
      <c r="W8" s="10"/>
      <c r="X8" s="10"/>
      <c r="Y8" s="2"/>
    </row>
    <row r="9" spans="1:25">
      <c r="A9" s="2"/>
      <c r="B9" s="24"/>
      <c r="C9" s="25"/>
      <c r="D9" s="10"/>
      <c r="E9" s="10"/>
      <c r="F9" s="18" t="s">
        <v>22</v>
      </c>
      <c r="G9" s="19" t="s">
        <v>23</v>
      </c>
      <c r="H9" s="35" t="s">
        <v>24</v>
      </c>
      <c r="I9" s="10"/>
      <c r="J9" s="10"/>
      <c r="K9" s="36"/>
      <c r="L9" s="36"/>
      <c r="M9" s="36"/>
      <c r="N9" s="36"/>
      <c r="O9" s="36"/>
      <c r="P9" s="36"/>
      <c r="Q9" s="36"/>
      <c r="R9" s="10"/>
      <c r="S9" s="10"/>
      <c r="T9" s="10"/>
      <c r="U9" s="17"/>
      <c r="V9" s="10"/>
      <c r="W9" s="10"/>
      <c r="X9" s="10"/>
      <c r="Y9" s="2"/>
    </row>
    <row r="10" spans="1:25">
      <c r="A10" s="2"/>
      <c r="B10" s="32" t="s">
        <v>25</v>
      </c>
      <c r="C10" s="37">
        <f>P16</f>
        <v>2564.1836363636362</v>
      </c>
      <c r="D10" s="10"/>
      <c r="E10" s="18" t="s">
        <v>26</v>
      </c>
      <c r="F10" s="38">
        <f>P12</f>
        <v>28206.019999999997</v>
      </c>
      <c r="G10" s="39">
        <f>I38+I50</f>
        <v>28206.02</v>
      </c>
      <c r="H10" s="40"/>
      <c r="I10" s="41"/>
      <c r="J10" s="42"/>
      <c r="K10" s="43" t="s">
        <v>27</v>
      </c>
      <c r="L10" s="44"/>
      <c r="M10" s="44"/>
      <c r="N10" s="44"/>
      <c r="O10" s="44"/>
      <c r="P10" s="44"/>
      <c r="Q10" s="45"/>
      <c r="R10" s="46" t="s">
        <v>28</v>
      </c>
      <c r="S10" s="47" t="s">
        <v>29</v>
      </c>
      <c r="T10" s="10"/>
      <c r="U10" s="17"/>
      <c r="V10" s="10"/>
      <c r="W10" s="10"/>
      <c r="X10" s="10"/>
      <c r="Y10" s="2"/>
    </row>
    <row r="11" spans="1:25">
      <c r="A11" s="2"/>
      <c r="B11" s="11"/>
      <c r="C11" s="10"/>
      <c r="D11" s="10"/>
      <c r="E11" s="24" t="s">
        <v>30</v>
      </c>
      <c r="F11" s="48">
        <f>F6</f>
        <v>0.05</v>
      </c>
      <c r="G11" s="17"/>
      <c r="H11" s="40"/>
      <c r="I11" s="41"/>
      <c r="J11" s="42"/>
      <c r="K11" s="20" t="s">
        <v>31</v>
      </c>
      <c r="L11" s="21" t="s">
        <v>32</v>
      </c>
      <c r="M11" s="21" t="s">
        <v>33</v>
      </c>
      <c r="N11" s="21" t="s">
        <v>34</v>
      </c>
      <c r="O11" s="21" t="s">
        <v>35</v>
      </c>
      <c r="P11" s="21" t="s">
        <v>36</v>
      </c>
      <c r="Q11" s="49" t="s">
        <v>37</v>
      </c>
      <c r="R11" s="50" t="s">
        <v>38</v>
      </c>
      <c r="S11" s="50" t="s">
        <v>38</v>
      </c>
      <c r="T11" s="10"/>
      <c r="U11" s="17"/>
      <c r="V11" s="10"/>
      <c r="W11" s="10"/>
      <c r="X11" s="10"/>
      <c r="Y11" s="2"/>
    </row>
    <row r="12" spans="1:25">
      <c r="A12" s="2"/>
      <c r="B12" s="11"/>
      <c r="C12" s="10"/>
      <c r="D12" s="10"/>
      <c r="E12" s="51" t="s">
        <v>39</v>
      </c>
      <c r="F12" s="52">
        <f>(F10-I31-I32-I36-I47-I48-I49)*F11</f>
        <v>288.96949999999993</v>
      </c>
      <c r="G12" s="53" t="s">
        <v>40</v>
      </c>
      <c r="H12" s="54">
        <f>F12/1.12</f>
        <v>258.00848214285708</v>
      </c>
      <c r="I12" s="55"/>
      <c r="J12" s="42"/>
      <c r="K12" s="56"/>
      <c r="L12" s="57">
        <f>I31+I30+I32</f>
        <v>1685.1200000000001</v>
      </c>
      <c r="M12" s="57">
        <f>I33+I34</f>
        <v>902</v>
      </c>
      <c r="N12" s="57">
        <f>I35+I36+I47+I48</f>
        <v>18336.349999999999</v>
      </c>
      <c r="O12" s="57">
        <f>I37+I49</f>
        <v>7282.55</v>
      </c>
      <c r="P12" s="57">
        <f>SUM(K12:O12)</f>
        <v>28206.019999999997</v>
      </c>
      <c r="Q12" s="58">
        <v>0</v>
      </c>
      <c r="R12" s="59">
        <f>I50</f>
        <v>20948.63</v>
      </c>
      <c r="S12" s="59">
        <v>0</v>
      </c>
      <c r="T12" s="10"/>
      <c r="U12" s="17"/>
      <c r="V12" s="10"/>
      <c r="W12" s="10"/>
      <c r="X12" s="10"/>
      <c r="Y12" s="2"/>
    </row>
    <row r="13" spans="1:25">
      <c r="A13" s="2"/>
      <c r="B13" s="11"/>
      <c r="C13" s="10"/>
      <c r="D13" s="10"/>
      <c r="E13" s="24" t="s">
        <v>41</v>
      </c>
      <c r="F13" s="60">
        <f>Q12</f>
        <v>0</v>
      </c>
      <c r="G13" s="61" t="s">
        <v>40</v>
      </c>
      <c r="H13" s="62"/>
      <c r="I13" s="62"/>
      <c r="J13" s="10" t="s">
        <v>42</v>
      </c>
      <c r="K13" s="63">
        <v>0</v>
      </c>
      <c r="L13" s="63">
        <v>3</v>
      </c>
      <c r="M13" s="63">
        <v>2</v>
      </c>
      <c r="N13" s="63">
        <v>4</v>
      </c>
      <c r="O13" s="63">
        <v>2</v>
      </c>
      <c r="P13" s="21">
        <f>SUM(K13:O13)</f>
        <v>11</v>
      </c>
      <c r="Q13" s="64"/>
      <c r="R13" s="63"/>
      <c r="S13" s="10"/>
      <c r="T13" s="10"/>
      <c r="U13" s="17"/>
      <c r="V13" s="10"/>
      <c r="W13" s="10"/>
      <c r="X13" s="10"/>
      <c r="Y13" s="2"/>
    </row>
    <row r="14" spans="1:25">
      <c r="A14" s="2"/>
      <c r="B14" s="11"/>
      <c r="C14" s="10"/>
      <c r="D14" s="10"/>
      <c r="E14" s="51" t="s">
        <v>43</v>
      </c>
      <c r="F14" s="52">
        <f>F13*0.25</f>
        <v>0</v>
      </c>
      <c r="G14" s="53" t="s">
        <v>40</v>
      </c>
      <c r="H14" s="54">
        <f>F14/1.12</f>
        <v>0</v>
      </c>
      <c r="I14" s="10"/>
      <c r="J14" s="10" t="s">
        <v>44</v>
      </c>
      <c r="K14" s="63">
        <v>3</v>
      </c>
      <c r="L14" s="63">
        <v>6</v>
      </c>
      <c r="M14" s="63">
        <v>4</v>
      </c>
      <c r="N14" s="63">
        <v>2</v>
      </c>
      <c r="O14" s="63">
        <v>6</v>
      </c>
      <c r="P14" s="21">
        <f>SUM(K14:O14)</f>
        <v>21</v>
      </c>
      <c r="Q14" s="64"/>
      <c r="R14" s="63"/>
      <c r="S14" s="10"/>
      <c r="T14" s="10"/>
      <c r="U14" s="17"/>
      <c r="V14" s="10"/>
      <c r="W14" s="10"/>
      <c r="X14" s="10"/>
      <c r="Y14" s="2"/>
    </row>
    <row r="15" spans="1:25">
      <c r="A15" s="2"/>
      <c r="B15" s="11"/>
      <c r="C15" s="10"/>
      <c r="D15" s="10"/>
      <c r="E15" s="24" t="s">
        <v>45</v>
      </c>
      <c r="F15" s="60">
        <f>I44</f>
        <v>14904.2</v>
      </c>
      <c r="G15" s="61" t="s">
        <v>40</v>
      </c>
      <c r="H15" s="62"/>
      <c r="I15" s="10"/>
      <c r="J15" s="10" t="s">
        <v>46</v>
      </c>
      <c r="K15" s="31">
        <f t="shared" ref="K15:Q15" si="2">K13/(K13+K14)</f>
        <v>0</v>
      </c>
      <c r="L15" s="31">
        <f t="shared" si="2"/>
        <v>0.33333333333333331</v>
      </c>
      <c r="M15" s="31">
        <f t="shared" si="2"/>
        <v>0.33333333333333331</v>
      </c>
      <c r="N15" s="31">
        <f t="shared" si="2"/>
        <v>0.66666666666666663</v>
      </c>
      <c r="O15" s="31">
        <f t="shared" si="2"/>
        <v>0.25</v>
      </c>
      <c r="P15" s="31">
        <f t="shared" si="2"/>
        <v>0.34375</v>
      </c>
      <c r="Q15" s="31" t="e">
        <f t="shared" si="2"/>
        <v>#DIV/0!</v>
      </c>
      <c r="R15" s="63"/>
      <c r="S15" s="10"/>
      <c r="T15" s="10"/>
      <c r="U15" s="17"/>
      <c r="V15" s="10"/>
      <c r="W15" s="10"/>
      <c r="X15" s="10"/>
      <c r="Y15" s="2"/>
    </row>
    <row r="16" spans="1:25">
      <c r="A16" s="2"/>
      <c r="B16" s="11"/>
      <c r="C16" s="10"/>
      <c r="D16" s="10"/>
      <c r="E16" s="51" t="s">
        <v>47</v>
      </c>
      <c r="F16" s="52">
        <f>(F15+F19+F20-I43)*0.05</f>
        <v>715.56500000000005</v>
      </c>
      <c r="G16" s="65" t="s">
        <v>40</v>
      </c>
      <c r="H16" s="54">
        <f>F16/1.12</f>
        <v>638.89732142857144</v>
      </c>
      <c r="I16" s="42"/>
      <c r="J16" s="10" t="s">
        <v>48</v>
      </c>
      <c r="K16" s="66" t="e">
        <f>K12/K13</f>
        <v>#DIV/0!</v>
      </c>
      <c r="L16" s="66">
        <f t="shared" ref="L16:Q16" si="3">L12/L13</f>
        <v>561.70666666666671</v>
      </c>
      <c r="M16" s="66">
        <f t="shared" si="3"/>
        <v>451</v>
      </c>
      <c r="N16" s="66">
        <f t="shared" si="3"/>
        <v>4584.0874999999996</v>
      </c>
      <c r="O16" s="66">
        <f t="shared" si="3"/>
        <v>3641.2750000000001</v>
      </c>
      <c r="P16" s="66">
        <f t="shared" si="3"/>
        <v>2564.1836363636362</v>
      </c>
      <c r="Q16" s="66" t="e">
        <f t="shared" si="3"/>
        <v>#DIV/0!</v>
      </c>
      <c r="R16" s="63"/>
      <c r="S16" s="10"/>
      <c r="T16" s="10"/>
      <c r="U16" s="17"/>
      <c r="V16" s="10"/>
      <c r="W16" s="10"/>
      <c r="X16" s="10"/>
      <c r="Y16" s="2"/>
    </row>
    <row r="17" spans="1:25">
      <c r="A17" s="2"/>
      <c r="B17" s="11"/>
      <c r="C17" s="10"/>
      <c r="D17" s="10"/>
      <c r="E17" s="67" t="s">
        <v>14</v>
      </c>
      <c r="F17" s="68"/>
      <c r="G17" s="10"/>
      <c r="H17" s="54">
        <f>F17/1.12</f>
        <v>0</v>
      </c>
      <c r="I17" s="10"/>
      <c r="J17" s="10"/>
      <c r="K17" s="10"/>
      <c r="L17" s="10"/>
      <c r="M17" s="10"/>
      <c r="N17" s="10"/>
      <c r="O17" s="10"/>
      <c r="P17" s="10"/>
      <c r="Q17" s="10"/>
      <c r="R17" s="10"/>
      <c r="S17" s="10"/>
      <c r="T17" s="10"/>
      <c r="U17" s="17"/>
      <c r="V17" s="10"/>
      <c r="W17" s="10"/>
      <c r="X17" s="10"/>
      <c r="Y17" s="2"/>
    </row>
    <row r="18" spans="1:25">
      <c r="A18" s="2"/>
      <c r="B18" s="11"/>
      <c r="C18" s="10"/>
      <c r="D18" s="10"/>
      <c r="E18" s="67" t="s">
        <v>49</v>
      </c>
      <c r="F18" s="69">
        <f>T7</f>
        <v>0</v>
      </c>
      <c r="G18" s="10"/>
      <c r="H18" s="54"/>
      <c r="I18" s="55"/>
      <c r="J18" s="42"/>
      <c r="K18" s="764" t="s">
        <v>50</v>
      </c>
      <c r="L18" s="764"/>
      <c r="M18" s="764"/>
      <c r="N18" s="764"/>
      <c r="O18" s="764"/>
      <c r="P18" s="764"/>
      <c r="Q18" s="764"/>
      <c r="R18" s="70" t="s">
        <v>28</v>
      </c>
      <c r="S18" s="71" t="s">
        <v>29</v>
      </c>
      <c r="T18" s="10"/>
      <c r="U18" s="17"/>
      <c r="V18" s="10"/>
      <c r="W18" s="10"/>
      <c r="X18" s="10"/>
      <c r="Y18" s="2"/>
    </row>
    <row r="19" spans="1:25">
      <c r="A19" s="2"/>
      <c r="B19" s="11"/>
      <c r="C19" s="10"/>
      <c r="D19" s="10"/>
      <c r="E19" s="74" t="s">
        <v>1849</v>
      </c>
      <c r="F19" s="75">
        <f>-548.9</f>
        <v>-548.9</v>
      </c>
      <c r="G19" s="10"/>
      <c r="H19" s="10"/>
      <c r="I19" s="10"/>
      <c r="J19" s="42"/>
      <c r="K19" s="20" t="s">
        <v>31</v>
      </c>
      <c r="L19" s="21" t="s">
        <v>32</v>
      </c>
      <c r="M19" s="21" t="s">
        <v>33</v>
      </c>
      <c r="N19" s="21" t="s">
        <v>34</v>
      </c>
      <c r="O19" s="21" t="s">
        <v>35</v>
      </c>
      <c r="P19" s="21" t="s">
        <v>36</v>
      </c>
      <c r="Q19" s="49" t="s">
        <v>37</v>
      </c>
      <c r="R19" s="50" t="s">
        <v>38</v>
      </c>
      <c r="S19" s="50" t="s">
        <v>38</v>
      </c>
      <c r="T19" s="10"/>
      <c r="U19" s="17"/>
      <c r="V19" s="10"/>
      <c r="W19" s="10"/>
      <c r="X19" s="10"/>
      <c r="Y19" s="2"/>
    </row>
    <row r="20" spans="1:25">
      <c r="A20" s="2"/>
      <c r="B20" s="11"/>
      <c r="C20" s="10"/>
      <c r="D20" s="10"/>
      <c r="E20" s="74" t="s">
        <v>1850</v>
      </c>
      <c r="F20" s="75">
        <f>-44</f>
        <v>-44</v>
      </c>
      <c r="G20" s="10"/>
      <c r="H20" s="10"/>
      <c r="I20" s="10"/>
      <c r="J20" s="42"/>
      <c r="K20" s="56"/>
      <c r="L20" s="57">
        <f>F31+F30+F32</f>
        <v>1861.2</v>
      </c>
      <c r="M20" s="57">
        <f>F33+F34</f>
        <v>902</v>
      </c>
      <c r="N20" s="57">
        <f>F35+F36+F47+F48</f>
        <v>21512</v>
      </c>
      <c r="O20" s="57">
        <f>F37+F49</f>
        <v>8628</v>
      </c>
      <c r="P20" s="57">
        <f>SUM(K20:O20)</f>
        <v>32903.199999999997</v>
      </c>
      <c r="Q20" s="58">
        <v>0</v>
      </c>
      <c r="R20" s="59">
        <f>F50</f>
        <v>24584</v>
      </c>
      <c r="S20" s="59">
        <v>0</v>
      </c>
      <c r="T20" s="10"/>
      <c r="U20" s="17"/>
      <c r="V20" s="10"/>
      <c r="W20" s="10"/>
      <c r="X20" s="10"/>
      <c r="Y20" s="2"/>
    </row>
    <row r="21" spans="1:25">
      <c r="A21" s="2"/>
      <c r="B21" s="11"/>
      <c r="C21" s="10"/>
      <c r="D21" s="10"/>
      <c r="E21" s="10"/>
      <c r="F21" s="10"/>
      <c r="G21" s="10"/>
      <c r="H21" s="10"/>
      <c r="I21" s="10"/>
      <c r="J21" s="10" t="s">
        <v>42</v>
      </c>
      <c r="K21" s="63">
        <f>K13</f>
        <v>0</v>
      </c>
      <c r="L21" s="63">
        <f t="shared" ref="L21:Q22" si="4">L13</f>
        <v>3</v>
      </c>
      <c r="M21" s="63">
        <f t="shared" si="4"/>
        <v>2</v>
      </c>
      <c r="N21" s="63">
        <f t="shared" si="4"/>
        <v>4</v>
      </c>
      <c r="O21" s="63">
        <f t="shared" si="4"/>
        <v>2</v>
      </c>
      <c r="P21" s="63">
        <f t="shared" si="4"/>
        <v>11</v>
      </c>
      <c r="Q21" s="63">
        <f t="shared" si="4"/>
        <v>0</v>
      </c>
      <c r="R21" s="63"/>
      <c r="S21" s="10"/>
      <c r="T21" s="10"/>
      <c r="U21" s="17"/>
      <c r="V21" s="10"/>
      <c r="W21" s="10"/>
      <c r="X21" s="10"/>
      <c r="Y21" s="2"/>
    </row>
    <row r="22" spans="1:25">
      <c r="A22" s="2"/>
      <c r="B22" s="11"/>
      <c r="C22" s="10"/>
      <c r="D22" s="10"/>
      <c r="E22" s="10"/>
      <c r="F22" s="10"/>
      <c r="G22" s="10"/>
      <c r="H22" s="10"/>
      <c r="I22" s="10"/>
      <c r="J22" s="10" t="s">
        <v>44</v>
      </c>
      <c r="K22" s="63">
        <f>K14</f>
        <v>3</v>
      </c>
      <c r="L22" s="63">
        <f t="shared" si="4"/>
        <v>6</v>
      </c>
      <c r="M22" s="63">
        <f t="shared" si="4"/>
        <v>4</v>
      </c>
      <c r="N22" s="63">
        <f t="shared" si="4"/>
        <v>2</v>
      </c>
      <c r="O22" s="63">
        <f t="shared" si="4"/>
        <v>6</v>
      </c>
      <c r="P22" s="63">
        <f t="shared" si="4"/>
        <v>21</v>
      </c>
      <c r="Q22" s="63">
        <f t="shared" si="4"/>
        <v>0</v>
      </c>
      <c r="R22" s="63"/>
      <c r="S22" s="10"/>
      <c r="T22" s="10"/>
      <c r="U22" s="17"/>
      <c r="V22" s="10"/>
      <c r="W22" s="10"/>
      <c r="X22" s="10"/>
      <c r="Y22" s="2"/>
    </row>
    <row r="23" spans="1:25">
      <c r="A23" s="2"/>
      <c r="B23" s="11"/>
      <c r="C23" s="10"/>
      <c r="D23" s="10"/>
      <c r="E23" s="10"/>
      <c r="F23" s="10"/>
      <c r="G23" s="10"/>
      <c r="H23" s="10"/>
      <c r="I23" s="10"/>
      <c r="J23" s="10" t="s">
        <v>46</v>
      </c>
      <c r="K23" s="31">
        <f t="shared" ref="K23:Q23" si="5">K21/(K21+K22)</f>
        <v>0</v>
      </c>
      <c r="L23" s="31">
        <f t="shared" si="5"/>
        <v>0.33333333333333331</v>
      </c>
      <c r="M23" s="31">
        <f t="shared" si="5"/>
        <v>0.33333333333333331</v>
      </c>
      <c r="N23" s="31">
        <f t="shared" si="5"/>
        <v>0.66666666666666663</v>
      </c>
      <c r="O23" s="31">
        <f t="shared" si="5"/>
        <v>0.25</v>
      </c>
      <c r="P23" s="31">
        <f t="shared" si="5"/>
        <v>0.34375</v>
      </c>
      <c r="Q23" s="31" t="e">
        <f t="shared" si="5"/>
        <v>#DIV/0!</v>
      </c>
      <c r="R23" s="63"/>
      <c r="S23" s="10"/>
      <c r="T23" s="10"/>
      <c r="U23" s="17"/>
      <c r="V23" s="10"/>
      <c r="W23" s="10"/>
      <c r="X23" s="10"/>
      <c r="Y23" s="2"/>
    </row>
    <row r="24" spans="1:25">
      <c r="A24" s="2"/>
      <c r="B24" s="11"/>
      <c r="C24" s="10"/>
      <c r="D24" s="10"/>
      <c r="E24" s="10"/>
      <c r="F24" s="10"/>
      <c r="G24" s="10"/>
      <c r="H24" s="10"/>
      <c r="I24" s="10"/>
      <c r="J24" s="10" t="s">
        <v>48</v>
      </c>
      <c r="K24" s="66" t="e">
        <f t="shared" ref="K24:Q24" si="6">K20/K21</f>
        <v>#DIV/0!</v>
      </c>
      <c r="L24" s="66">
        <f t="shared" si="6"/>
        <v>620.4</v>
      </c>
      <c r="M24" s="66">
        <f t="shared" si="6"/>
        <v>451</v>
      </c>
      <c r="N24" s="66">
        <f t="shared" si="6"/>
        <v>5378</v>
      </c>
      <c r="O24" s="66">
        <f t="shared" si="6"/>
        <v>4314</v>
      </c>
      <c r="P24" s="66">
        <f t="shared" si="6"/>
        <v>2991.2</v>
      </c>
      <c r="Q24" s="66" t="e">
        <f t="shared" si="6"/>
        <v>#DIV/0!</v>
      </c>
      <c r="R24" s="63"/>
      <c r="S24" s="10"/>
      <c r="T24" s="10"/>
      <c r="U24" s="17"/>
      <c r="V24" s="10"/>
      <c r="W24" s="10"/>
      <c r="X24" s="10"/>
      <c r="Y24" s="2"/>
    </row>
    <row r="25" spans="1:25">
      <c r="A25" s="2"/>
      <c r="B25" s="11"/>
      <c r="C25" s="10"/>
      <c r="D25" s="10"/>
      <c r="E25" s="10"/>
      <c r="F25" s="10"/>
      <c r="G25" s="10"/>
      <c r="H25" s="10"/>
      <c r="I25" s="10"/>
      <c r="J25" s="10"/>
      <c r="K25" s="10"/>
      <c r="L25" s="10"/>
      <c r="M25" s="10"/>
      <c r="N25" s="10"/>
      <c r="O25" s="10"/>
      <c r="P25" s="10"/>
      <c r="Q25" s="10"/>
      <c r="R25" s="10"/>
      <c r="S25" s="10"/>
      <c r="T25" s="10"/>
      <c r="U25" s="17"/>
      <c r="V25" s="10"/>
      <c r="W25" s="10"/>
      <c r="X25" s="10"/>
      <c r="Y25" s="2"/>
    </row>
    <row r="26" spans="1:25">
      <c r="A26" s="2"/>
      <c r="B26" s="11"/>
      <c r="C26" s="10"/>
      <c r="D26" s="10"/>
      <c r="E26" s="10"/>
      <c r="F26" s="10"/>
      <c r="G26" s="10"/>
      <c r="H26" s="10"/>
      <c r="I26" s="10"/>
      <c r="J26" s="10"/>
      <c r="K26" s="10"/>
      <c r="L26" s="10"/>
      <c r="M26" s="10"/>
      <c r="N26" s="10"/>
      <c r="O26" s="10"/>
      <c r="P26" s="10"/>
      <c r="Q26" s="10"/>
      <c r="R26" s="10"/>
      <c r="S26" s="10"/>
      <c r="T26" s="10"/>
      <c r="U26" s="17"/>
      <c r="V26" s="10"/>
      <c r="W26" s="10"/>
      <c r="X26" s="10"/>
      <c r="Y26" s="2"/>
    </row>
    <row r="27" spans="1:25">
      <c r="A27" s="2"/>
      <c r="B27" s="18" t="s">
        <v>51</v>
      </c>
      <c r="C27" s="14"/>
      <c r="D27" s="14"/>
      <c r="E27" s="14"/>
      <c r="F27" s="13" t="s">
        <v>52</v>
      </c>
      <c r="G27" s="14"/>
      <c r="H27" s="14"/>
      <c r="I27" s="14"/>
      <c r="J27" s="14"/>
      <c r="K27" s="13" t="s">
        <v>3</v>
      </c>
      <c r="L27" s="14"/>
      <c r="M27" s="14"/>
      <c r="N27" s="13" t="s">
        <v>4</v>
      </c>
      <c r="O27" s="14"/>
      <c r="P27" s="14"/>
      <c r="Q27" s="13" t="s">
        <v>5</v>
      </c>
      <c r="R27" s="14"/>
      <c r="S27" s="14"/>
      <c r="T27" s="18"/>
      <c r="U27" s="16" t="s">
        <v>53</v>
      </c>
      <c r="V27" s="77"/>
      <c r="W27" s="77"/>
      <c r="X27" s="77"/>
      <c r="Y27" s="2"/>
    </row>
    <row r="28" spans="1:25">
      <c r="A28" s="2"/>
      <c r="B28" s="24" t="s">
        <v>54</v>
      </c>
      <c r="C28" s="21" t="s">
        <v>55</v>
      </c>
      <c r="D28" s="21" t="s">
        <v>56</v>
      </c>
      <c r="E28" s="21" t="s">
        <v>57</v>
      </c>
      <c r="F28" s="20" t="s">
        <v>58</v>
      </c>
      <c r="G28" s="21" t="s">
        <v>59</v>
      </c>
      <c r="H28" s="21" t="s">
        <v>60</v>
      </c>
      <c r="I28" s="21" t="s">
        <v>26</v>
      </c>
      <c r="J28" s="22" t="s">
        <v>61</v>
      </c>
      <c r="K28" s="21" t="s">
        <v>8</v>
      </c>
      <c r="L28" s="21" t="s">
        <v>9</v>
      </c>
      <c r="M28" s="21" t="s">
        <v>10</v>
      </c>
      <c r="N28" s="20" t="s">
        <v>11</v>
      </c>
      <c r="O28" s="21" t="s">
        <v>12</v>
      </c>
      <c r="P28" s="22" t="s">
        <v>13</v>
      </c>
      <c r="Q28" s="21" t="s">
        <v>11</v>
      </c>
      <c r="R28" s="21" t="s">
        <v>12</v>
      </c>
      <c r="S28" s="21" t="s">
        <v>13</v>
      </c>
      <c r="T28" s="78" t="s">
        <v>14</v>
      </c>
      <c r="U28" s="30"/>
      <c r="V28" s="79" t="s">
        <v>62</v>
      </c>
      <c r="W28" s="80" t="s">
        <v>63</v>
      </c>
      <c r="X28" s="81" t="s">
        <v>64</v>
      </c>
      <c r="Y28" s="2"/>
    </row>
    <row r="29" spans="1:25">
      <c r="A29" s="2"/>
      <c r="B29" s="4" t="s">
        <v>65</v>
      </c>
      <c r="C29" s="6"/>
      <c r="D29" s="6"/>
      <c r="E29" s="6"/>
      <c r="F29" s="6"/>
      <c r="G29" s="6"/>
      <c r="H29" s="6"/>
      <c r="I29" s="82"/>
      <c r="J29" s="6"/>
      <c r="K29" s="6"/>
      <c r="L29" s="6"/>
      <c r="M29" s="6"/>
      <c r="N29" s="6"/>
      <c r="O29" s="6"/>
      <c r="P29" s="6"/>
      <c r="Q29" s="6"/>
      <c r="R29" s="6"/>
      <c r="S29" s="6"/>
      <c r="T29" s="83"/>
      <c r="U29" s="6"/>
      <c r="V29" s="84"/>
      <c r="W29" s="85"/>
      <c r="X29" s="86"/>
      <c r="Y29" s="2"/>
    </row>
    <row r="30" spans="1:25">
      <c r="A30" s="2"/>
      <c r="B30" s="87">
        <v>1</v>
      </c>
      <c r="C30" s="274">
        <v>45832</v>
      </c>
      <c r="D30" s="327">
        <v>70981</v>
      </c>
      <c r="E30" s="276" t="s">
        <v>1313</v>
      </c>
      <c r="F30" s="277">
        <v>864.2</v>
      </c>
      <c r="G30" s="277">
        <f>39.7+(136.38)</f>
        <v>176.07999999999998</v>
      </c>
      <c r="H30" s="277"/>
      <c r="I30" s="321">
        <f>F30-G30-H30</f>
        <v>688.12000000000012</v>
      </c>
      <c r="J30" s="279" t="s">
        <v>228</v>
      </c>
      <c r="K30" s="279">
        <v>1</v>
      </c>
      <c r="L30" s="279">
        <v>1</v>
      </c>
      <c r="M30" s="279">
        <v>1</v>
      </c>
      <c r="N30" s="279">
        <v>1</v>
      </c>
      <c r="O30" s="279">
        <v>1</v>
      </c>
      <c r="P30" s="322">
        <v>0</v>
      </c>
      <c r="Q30" s="322">
        <v>0</v>
      </c>
      <c r="R30" s="322">
        <v>0</v>
      </c>
      <c r="S30" s="328">
        <v>0</v>
      </c>
      <c r="T30" s="63"/>
      <c r="U30" s="10" t="s">
        <v>1851</v>
      </c>
      <c r="V30" s="90">
        <f>400+550.62</f>
        <v>950.62</v>
      </c>
      <c r="W30" s="136"/>
      <c r="X30" s="137"/>
      <c r="Y30" s="2"/>
    </row>
    <row r="31" spans="1:25">
      <c r="A31" s="2"/>
      <c r="B31" s="87">
        <f t="shared" ref="B31:B37" si="7">B30+1</f>
        <v>2</v>
      </c>
      <c r="C31" s="295">
        <v>45832</v>
      </c>
      <c r="D31" s="323">
        <v>70983</v>
      </c>
      <c r="E31" s="10" t="s">
        <v>187</v>
      </c>
      <c r="F31" s="62">
        <v>316</v>
      </c>
      <c r="G31" s="62"/>
      <c r="H31" s="88"/>
      <c r="I31" s="369">
        <f t="shared" ref="I31:I33" si="8">F31-G31-H31</f>
        <v>316</v>
      </c>
      <c r="J31" s="63" t="s">
        <v>156</v>
      </c>
      <c r="K31" s="63">
        <v>1</v>
      </c>
      <c r="L31" s="63">
        <v>1</v>
      </c>
      <c r="M31" s="63">
        <v>1</v>
      </c>
      <c r="N31" s="63">
        <v>1</v>
      </c>
      <c r="O31" s="63">
        <v>1</v>
      </c>
      <c r="P31" s="325">
        <v>0</v>
      </c>
      <c r="Q31" s="325">
        <v>0</v>
      </c>
      <c r="R31" s="325">
        <v>0</v>
      </c>
      <c r="S31" s="326">
        <v>0</v>
      </c>
      <c r="T31" s="63"/>
      <c r="U31" s="10" t="s">
        <v>1852</v>
      </c>
      <c r="V31" s="90">
        <v>347.6</v>
      </c>
      <c r="W31" s="91"/>
      <c r="X31" s="92"/>
      <c r="Y31" s="2"/>
    </row>
    <row r="32" spans="1:25">
      <c r="A32" s="2"/>
      <c r="B32" s="87">
        <f t="shared" si="7"/>
        <v>3</v>
      </c>
      <c r="C32" s="295">
        <v>45832</v>
      </c>
      <c r="D32" s="323">
        <v>70978</v>
      </c>
      <c r="E32" s="10" t="s">
        <v>1401</v>
      </c>
      <c r="F32" s="62">
        <v>681</v>
      </c>
      <c r="G32" s="62"/>
      <c r="H32" s="62"/>
      <c r="I32" s="369">
        <f>F32-G32-H32</f>
        <v>681</v>
      </c>
      <c r="J32" s="63" t="s">
        <v>156</v>
      </c>
      <c r="K32" s="63">
        <v>1</v>
      </c>
      <c r="L32" s="63">
        <v>1</v>
      </c>
      <c r="M32" s="63">
        <v>1</v>
      </c>
      <c r="N32" s="63">
        <v>1</v>
      </c>
      <c r="O32" s="63">
        <v>1</v>
      </c>
      <c r="P32" s="325">
        <v>0</v>
      </c>
      <c r="Q32" s="63">
        <v>1</v>
      </c>
      <c r="R32" s="63">
        <v>1</v>
      </c>
      <c r="S32" s="296">
        <v>1</v>
      </c>
      <c r="T32" s="63"/>
      <c r="U32" s="10" t="s">
        <v>1853</v>
      </c>
      <c r="V32" s="90">
        <v>749.1</v>
      </c>
      <c r="W32" s="136"/>
      <c r="X32" s="137"/>
      <c r="Y32" s="2"/>
    </row>
    <row r="33" spans="1:25">
      <c r="A33" s="2"/>
      <c r="B33" s="87">
        <f t="shared" si="7"/>
        <v>4</v>
      </c>
      <c r="C33" s="274">
        <v>45833</v>
      </c>
      <c r="D33" s="327">
        <v>70971</v>
      </c>
      <c r="E33" s="276" t="s">
        <v>1313</v>
      </c>
      <c r="F33" s="277">
        <v>421</v>
      </c>
      <c r="G33" s="277"/>
      <c r="H33" s="277"/>
      <c r="I33" s="321">
        <f t="shared" si="8"/>
        <v>421</v>
      </c>
      <c r="J33" s="279" t="s">
        <v>156</v>
      </c>
      <c r="K33" s="279">
        <v>1</v>
      </c>
      <c r="L33" s="279">
        <v>1</v>
      </c>
      <c r="M33" s="279">
        <v>1</v>
      </c>
      <c r="N33" s="279">
        <v>1</v>
      </c>
      <c r="O33" s="279">
        <v>1</v>
      </c>
      <c r="P33" s="322">
        <v>0</v>
      </c>
      <c r="Q33" s="279">
        <v>1</v>
      </c>
      <c r="R33" s="279">
        <v>1</v>
      </c>
      <c r="S33" s="328">
        <v>0</v>
      </c>
      <c r="T33" s="63"/>
      <c r="U33" s="10"/>
      <c r="V33" s="90">
        <v>463.1</v>
      </c>
      <c r="W33" s="91"/>
      <c r="X33" s="92"/>
      <c r="Y33" s="2"/>
    </row>
    <row r="34" spans="1:25">
      <c r="A34" s="2"/>
      <c r="B34" s="87">
        <f t="shared" si="7"/>
        <v>5</v>
      </c>
      <c r="C34" s="282">
        <v>45833</v>
      </c>
      <c r="D34" s="368">
        <v>70878</v>
      </c>
      <c r="E34" s="319" t="s">
        <v>214</v>
      </c>
      <c r="F34" s="284">
        <v>481</v>
      </c>
      <c r="G34" s="284"/>
      <c r="H34" s="284"/>
      <c r="I34" s="300">
        <f>F34-G34-H34</f>
        <v>481</v>
      </c>
      <c r="J34" s="286" t="s">
        <v>374</v>
      </c>
      <c r="K34" s="286">
        <v>1</v>
      </c>
      <c r="L34" s="286">
        <v>1</v>
      </c>
      <c r="M34" s="286">
        <v>1</v>
      </c>
      <c r="N34" s="286">
        <v>1</v>
      </c>
      <c r="O34" s="286">
        <v>1</v>
      </c>
      <c r="P34" s="332">
        <v>0</v>
      </c>
      <c r="Q34" s="286">
        <v>1</v>
      </c>
      <c r="R34" s="286">
        <v>1</v>
      </c>
      <c r="S34" s="287">
        <v>1</v>
      </c>
      <c r="T34" s="63"/>
      <c r="U34" s="10" t="s">
        <v>1854</v>
      </c>
      <c r="V34" s="90">
        <v>529.1</v>
      </c>
      <c r="W34" s="91"/>
      <c r="X34" s="92"/>
      <c r="Y34" s="2"/>
    </row>
    <row r="35" spans="1:25">
      <c r="A35" s="2"/>
      <c r="B35" s="87">
        <f t="shared" si="7"/>
        <v>6</v>
      </c>
      <c r="C35" s="274">
        <v>45834</v>
      </c>
      <c r="D35" s="327">
        <v>70934</v>
      </c>
      <c r="E35" s="281" t="s">
        <v>294</v>
      </c>
      <c r="F35" s="277">
        <v>2261</v>
      </c>
      <c r="G35" s="277">
        <f>39.7+33+(34.79)+200</f>
        <v>307.49</v>
      </c>
      <c r="H35" s="277"/>
      <c r="I35" s="321">
        <f>F35-G35-H35</f>
        <v>1953.51</v>
      </c>
      <c r="J35" s="279" t="s">
        <v>374</v>
      </c>
      <c r="K35" s="279">
        <v>1</v>
      </c>
      <c r="L35" s="279">
        <v>1</v>
      </c>
      <c r="M35" s="279">
        <v>1</v>
      </c>
      <c r="N35" s="279">
        <v>1</v>
      </c>
      <c r="O35" s="279">
        <v>1</v>
      </c>
      <c r="P35" s="322">
        <v>0</v>
      </c>
      <c r="Q35" s="279">
        <v>1</v>
      </c>
      <c r="R35" s="279">
        <v>1</v>
      </c>
      <c r="S35" s="280">
        <v>1</v>
      </c>
      <c r="T35" s="63"/>
      <c r="U35" s="10" t="s">
        <v>1855</v>
      </c>
      <c r="V35" s="90">
        <f>240+2247.1</f>
        <v>2487.1</v>
      </c>
      <c r="W35" s="91"/>
      <c r="X35" s="92"/>
      <c r="Y35" s="2"/>
    </row>
    <row r="36" spans="1:25">
      <c r="A36" s="2"/>
      <c r="B36" s="87">
        <f t="shared" si="7"/>
        <v>7</v>
      </c>
      <c r="C36" s="282">
        <v>45834</v>
      </c>
      <c r="D36" s="368">
        <v>71040</v>
      </c>
      <c r="E36" s="319" t="s">
        <v>349</v>
      </c>
      <c r="F36" s="284">
        <v>481</v>
      </c>
      <c r="G36" s="284"/>
      <c r="H36" s="284"/>
      <c r="I36" s="331">
        <f>F36-G36-H36</f>
        <v>481</v>
      </c>
      <c r="J36" s="286" t="s">
        <v>374</v>
      </c>
      <c r="K36" s="286">
        <v>1</v>
      </c>
      <c r="L36" s="286">
        <v>1</v>
      </c>
      <c r="M36" s="286">
        <v>1</v>
      </c>
      <c r="N36" s="286">
        <v>1</v>
      </c>
      <c r="O36" s="286">
        <v>1</v>
      </c>
      <c r="P36" s="332">
        <v>0</v>
      </c>
      <c r="Q36" s="286">
        <v>1</v>
      </c>
      <c r="R36" s="286">
        <v>1</v>
      </c>
      <c r="S36" s="370">
        <v>0</v>
      </c>
      <c r="T36" s="63"/>
      <c r="U36" s="10" t="s">
        <v>1856</v>
      </c>
      <c r="V36" s="90">
        <v>529.1</v>
      </c>
      <c r="W36" s="91"/>
      <c r="X36" s="92"/>
      <c r="Y36" s="2"/>
    </row>
    <row r="37" spans="1:25">
      <c r="A37" s="2"/>
      <c r="B37" s="87">
        <f t="shared" si="7"/>
        <v>8</v>
      </c>
      <c r="C37" s="262">
        <v>45835</v>
      </c>
      <c r="D37" s="263">
        <v>71045</v>
      </c>
      <c r="E37" s="264" t="s">
        <v>158</v>
      </c>
      <c r="F37" s="265">
        <v>2814</v>
      </c>
      <c r="G37" s="265">
        <f>39.7+(66.06+32.77+239.71)+200</f>
        <v>578.24</v>
      </c>
      <c r="H37" s="265"/>
      <c r="I37" s="266">
        <f t="shared" ref="I37" si="9">F37-G37-H37</f>
        <v>2235.7600000000002</v>
      </c>
      <c r="J37" s="267" t="s">
        <v>228</v>
      </c>
      <c r="K37" s="267">
        <v>1</v>
      </c>
      <c r="L37" s="267">
        <v>1</v>
      </c>
      <c r="M37" s="267">
        <v>1</v>
      </c>
      <c r="N37" s="267">
        <v>1</v>
      </c>
      <c r="O37" s="267">
        <v>1</v>
      </c>
      <c r="P37" s="314">
        <v>0</v>
      </c>
      <c r="Q37" s="267">
        <v>1</v>
      </c>
      <c r="R37" s="267">
        <v>1</v>
      </c>
      <c r="S37" s="366">
        <v>0</v>
      </c>
      <c r="T37" s="63"/>
      <c r="U37" s="10" t="s">
        <v>1857</v>
      </c>
      <c r="V37" s="90">
        <f>306+2789.1</f>
        <v>3095.1</v>
      </c>
      <c r="W37" s="91"/>
      <c r="X37" s="92"/>
      <c r="Y37" s="2"/>
    </row>
    <row r="38" spans="1:25">
      <c r="A38" s="2"/>
      <c r="B38" s="87"/>
      <c r="C38" s="36"/>
      <c r="D38" s="10"/>
      <c r="E38" s="10"/>
      <c r="F38" s="98">
        <f t="shared" ref="F38:H38" si="10">SUM(F30:F37)</f>
        <v>8319.2000000000007</v>
      </c>
      <c r="G38" s="98">
        <f t="shared" si="10"/>
        <v>1061.81</v>
      </c>
      <c r="H38" s="98">
        <f t="shared" si="10"/>
        <v>0</v>
      </c>
      <c r="I38" s="98">
        <f>SUM(I30:I37)</f>
        <v>7257.39</v>
      </c>
      <c r="J38" s="63"/>
      <c r="K38" s="63">
        <f>COUNT(K30:K37)</f>
        <v>8</v>
      </c>
      <c r="L38" s="63">
        <f t="shared" ref="L38:S38" si="11">COUNT(L30:L37)</f>
        <v>8</v>
      </c>
      <c r="M38" s="63">
        <f t="shared" si="11"/>
        <v>8</v>
      </c>
      <c r="N38" s="63">
        <f t="shared" si="11"/>
        <v>8</v>
      </c>
      <c r="O38" s="63">
        <f t="shared" si="11"/>
        <v>8</v>
      </c>
      <c r="P38" s="63">
        <f t="shared" si="11"/>
        <v>8</v>
      </c>
      <c r="Q38" s="63">
        <f t="shared" si="11"/>
        <v>8</v>
      </c>
      <c r="R38" s="63">
        <f t="shared" si="11"/>
        <v>8</v>
      </c>
      <c r="S38" s="63">
        <f t="shared" si="11"/>
        <v>8</v>
      </c>
      <c r="T38" s="63"/>
      <c r="U38" s="10"/>
      <c r="V38" s="90"/>
      <c r="W38" s="91"/>
      <c r="X38" s="92"/>
      <c r="Y38" s="2"/>
    </row>
    <row r="39" spans="1:25">
      <c r="A39" s="2"/>
      <c r="B39" s="87"/>
      <c r="C39" s="36"/>
      <c r="D39" s="10"/>
      <c r="E39" s="10"/>
      <c r="F39" s="88"/>
      <c r="G39" s="88"/>
      <c r="H39" s="88"/>
      <c r="I39" s="99"/>
      <c r="J39" s="63"/>
      <c r="K39" s="21">
        <f>SUM(K30:K37)</f>
        <v>8</v>
      </c>
      <c r="L39" s="21">
        <f t="shared" ref="L39:S39" si="12">SUM(L30:L37)</f>
        <v>8</v>
      </c>
      <c r="M39" s="21">
        <f t="shared" si="12"/>
        <v>8</v>
      </c>
      <c r="N39" s="21">
        <f t="shared" si="12"/>
        <v>8</v>
      </c>
      <c r="O39" s="21">
        <f t="shared" si="12"/>
        <v>8</v>
      </c>
      <c r="P39" s="21">
        <f t="shared" si="12"/>
        <v>0</v>
      </c>
      <c r="Q39" s="21">
        <f t="shared" si="12"/>
        <v>6</v>
      </c>
      <c r="R39" s="21">
        <f t="shared" si="12"/>
        <v>6</v>
      </c>
      <c r="S39" s="21">
        <f t="shared" si="12"/>
        <v>3</v>
      </c>
      <c r="T39" s="63"/>
      <c r="U39" s="10"/>
      <c r="V39" s="90"/>
      <c r="W39" s="91"/>
      <c r="X39" s="92"/>
      <c r="Y39" s="2"/>
    </row>
    <row r="40" spans="1:25">
      <c r="A40" s="2"/>
      <c r="B40" s="11"/>
      <c r="C40" s="36"/>
      <c r="D40" s="10"/>
      <c r="E40" s="10"/>
      <c r="F40" s="88"/>
      <c r="G40" s="88"/>
      <c r="H40" s="88"/>
      <c r="I40" s="99"/>
      <c r="J40" s="63"/>
      <c r="K40" s="21"/>
      <c r="L40" s="21"/>
      <c r="M40" s="21"/>
      <c r="N40" s="21"/>
      <c r="O40" s="21"/>
      <c r="P40" s="21"/>
      <c r="Q40" s="21"/>
      <c r="R40" s="21"/>
      <c r="S40" s="21"/>
      <c r="T40" s="63"/>
      <c r="U40" s="10"/>
      <c r="V40" s="90"/>
      <c r="W40" s="91"/>
      <c r="X40" s="92"/>
      <c r="Y40" s="2"/>
    </row>
    <row r="41" spans="1:25">
      <c r="A41" s="2"/>
      <c r="B41" s="100" t="s">
        <v>67</v>
      </c>
      <c r="C41" s="36"/>
      <c r="D41" s="10"/>
      <c r="E41" s="10"/>
      <c r="F41" s="88"/>
      <c r="G41" s="62"/>
      <c r="H41" s="88"/>
      <c r="I41" s="99"/>
      <c r="J41" s="63"/>
      <c r="K41" s="2"/>
      <c r="L41" s="2"/>
      <c r="M41" s="2"/>
      <c r="N41" s="2"/>
      <c r="O41" s="2"/>
      <c r="P41" s="2"/>
      <c r="Q41" s="2"/>
      <c r="R41" s="2"/>
      <c r="S41" s="2"/>
      <c r="T41" s="63"/>
      <c r="U41" s="94"/>
      <c r="V41" s="90"/>
      <c r="W41" s="91"/>
      <c r="X41" s="92"/>
      <c r="Y41" s="2"/>
    </row>
    <row r="42" spans="1:25">
      <c r="A42" s="31" t="s">
        <v>1858</v>
      </c>
      <c r="B42" s="87">
        <v>1</v>
      </c>
      <c r="C42" s="262">
        <v>45824</v>
      </c>
      <c r="D42" s="263" t="s">
        <v>1859</v>
      </c>
      <c r="E42" s="271" t="s">
        <v>189</v>
      </c>
      <c r="F42" s="265">
        <v>16840</v>
      </c>
      <c r="G42" s="265">
        <f>39.7+225.8+(18.96)+(151.34)+1500</f>
        <v>1935.8</v>
      </c>
      <c r="H42" s="265"/>
      <c r="I42" s="266">
        <f>F42-G42-H42</f>
        <v>14904.2</v>
      </c>
      <c r="J42" s="267" t="s">
        <v>228</v>
      </c>
      <c r="K42" s="267">
        <v>1</v>
      </c>
      <c r="L42" s="267">
        <v>1</v>
      </c>
      <c r="M42" s="267">
        <v>1</v>
      </c>
      <c r="N42" s="267">
        <v>1</v>
      </c>
      <c r="O42" s="267">
        <v>1</v>
      </c>
      <c r="P42" s="314">
        <v>0</v>
      </c>
      <c r="Q42" s="267">
        <v>1</v>
      </c>
      <c r="R42" s="267">
        <v>1</v>
      </c>
      <c r="S42" s="366">
        <v>0</v>
      </c>
      <c r="T42" s="63"/>
      <c r="U42" s="10" t="s">
        <v>1860</v>
      </c>
      <c r="V42" s="90">
        <f>14344</f>
        <v>14344</v>
      </c>
      <c r="W42" s="91"/>
      <c r="X42" s="92"/>
      <c r="Y42" s="181"/>
    </row>
    <row r="43" spans="1:25" s="381" customFormat="1">
      <c r="A43" s="371" t="s">
        <v>1861</v>
      </c>
      <c r="B43" s="372">
        <f>B42+1</f>
        <v>2</v>
      </c>
      <c r="C43" s="373">
        <v>45828</v>
      </c>
      <c r="D43" s="263" t="s">
        <v>1862</v>
      </c>
      <c r="E43" s="374" t="s">
        <v>1863</v>
      </c>
      <c r="F43" s="375">
        <f>14950-14950</f>
        <v>0</v>
      </c>
      <c r="G43" s="375">
        <f>39.7-39.7</f>
        <v>0</v>
      </c>
      <c r="H43" s="375"/>
      <c r="I43" s="376">
        <f t="shared" ref="I43" si="13">F43-G43-H43</f>
        <v>0</v>
      </c>
      <c r="J43" s="314" t="s">
        <v>150</v>
      </c>
      <c r="K43" s="314">
        <v>1</v>
      </c>
      <c r="L43" s="314">
        <v>1</v>
      </c>
      <c r="M43" s="314">
        <v>1</v>
      </c>
      <c r="N43" s="314">
        <v>1</v>
      </c>
      <c r="O43" s="314">
        <v>1</v>
      </c>
      <c r="P43" s="314">
        <v>0</v>
      </c>
      <c r="Q43" s="314">
        <v>0</v>
      </c>
      <c r="R43" s="314">
        <v>0</v>
      </c>
      <c r="S43" s="366">
        <v>0</v>
      </c>
      <c r="T43" s="325"/>
      <c r="U43" s="42" t="s">
        <v>1864</v>
      </c>
      <c r="V43" s="377"/>
      <c r="W43" s="378"/>
      <c r="X43" s="379"/>
      <c r="Y43" s="380"/>
    </row>
    <row r="44" spans="1:25">
      <c r="A44" s="2"/>
      <c r="B44" s="11"/>
      <c r="C44" s="36"/>
      <c r="D44" s="10"/>
      <c r="E44" s="10"/>
      <c r="F44" s="97">
        <f>SUM(F42:F43)</f>
        <v>16840</v>
      </c>
      <c r="G44" s="97">
        <f>SUM(G42:G43)</f>
        <v>1935.8</v>
      </c>
      <c r="H44" s="97">
        <f>SUM(H42:H43)</f>
        <v>0</v>
      </c>
      <c r="I44" s="98">
        <f>SUM(I42:I43)</f>
        <v>14904.2</v>
      </c>
      <c r="J44" s="63"/>
      <c r="K44" s="21"/>
      <c r="L44" s="21"/>
      <c r="M44" s="21"/>
      <c r="N44" s="21"/>
      <c r="O44" s="21"/>
      <c r="P44" s="21"/>
      <c r="Q44" s="21"/>
      <c r="R44" s="21"/>
      <c r="S44" s="21"/>
      <c r="T44" s="63"/>
      <c r="U44" s="94"/>
      <c r="V44" s="90"/>
      <c r="W44" s="91"/>
      <c r="X44" s="92"/>
      <c r="Y44" s="2"/>
    </row>
    <row r="45" spans="1:25">
      <c r="A45" s="2"/>
      <c r="B45" s="11"/>
      <c r="C45" s="36"/>
      <c r="D45" s="10"/>
      <c r="E45" s="10"/>
      <c r="F45" s="88"/>
      <c r="G45" s="88"/>
      <c r="H45" s="88"/>
      <c r="I45" s="99"/>
      <c r="J45" s="63"/>
      <c r="K45" s="21"/>
      <c r="L45" s="21"/>
      <c r="M45" s="21"/>
      <c r="N45" s="21"/>
      <c r="O45" s="21"/>
      <c r="P45" s="21"/>
      <c r="Q45" s="21"/>
      <c r="R45" s="21"/>
      <c r="S45" s="21"/>
      <c r="T45" s="63"/>
      <c r="U45" s="94"/>
      <c r="V45" s="90"/>
      <c r="W45" s="91"/>
      <c r="X45" s="92"/>
      <c r="Y45" s="2"/>
    </row>
    <row r="46" spans="1:25" s="342" customFormat="1">
      <c r="A46" s="128"/>
      <c r="B46" s="121" t="s">
        <v>70</v>
      </c>
      <c r="C46" s="122"/>
      <c r="D46" s="123"/>
      <c r="E46" s="128"/>
      <c r="F46" s="124"/>
      <c r="G46" s="124"/>
      <c r="H46" s="124"/>
      <c r="I46" s="126"/>
      <c r="J46" s="127"/>
      <c r="K46" s="64"/>
      <c r="L46" s="64"/>
      <c r="M46" s="64"/>
      <c r="N46" s="64"/>
      <c r="O46" s="64"/>
      <c r="P46" s="64"/>
      <c r="Q46" s="64"/>
      <c r="R46" s="64"/>
      <c r="S46" s="64"/>
      <c r="T46" s="127"/>
      <c r="U46" s="123"/>
      <c r="V46" s="129"/>
      <c r="W46" s="130"/>
      <c r="X46" s="131"/>
      <c r="Y46" s="128"/>
    </row>
    <row r="47" spans="1:25" s="342" customFormat="1">
      <c r="A47" s="356">
        <v>0.05</v>
      </c>
      <c r="B47" s="333">
        <v>1</v>
      </c>
      <c r="C47" s="334">
        <v>45834</v>
      </c>
      <c r="D47" s="320" t="s">
        <v>252</v>
      </c>
      <c r="E47" s="335" t="s">
        <v>253</v>
      </c>
      <c r="F47" s="336">
        <v>5956</v>
      </c>
      <c r="G47" s="336">
        <f>39.7+(101.75+99.17+92.52)+(17.71+284.61+439.62)+300</f>
        <v>1375.08</v>
      </c>
      <c r="H47" s="336"/>
      <c r="I47" s="337">
        <f>F47-G47-H47</f>
        <v>4580.92</v>
      </c>
      <c r="J47" s="338" t="s">
        <v>156</v>
      </c>
      <c r="K47" s="338">
        <v>1</v>
      </c>
      <c r="L47" s="338">
        <v>1</v>
      </c>
      <c r="M47" s="338">
        <v>1</v>
      </c>
      <c r="N47" s="338">
        <v>1</v>
      </c>
      <c r="O47" s="338">
        <v>1</v>
      </c>
      <c r="P47" s="279">
        <v>0</v>
      </c>
      <c r="Q47" s="279">
        <v>0</v>
      </c>
      <c r="R47" s="279">
        <v>0</v>
      </c>
      <c r="S47" s="280">
        <v>0</v>
      </c>
      <c r="T47" s="127"/>
      <c r="U47" s="123" t="s">
        <v>254</v>
      </c>
      <c r="V47" s="129">
        <f>655.16</f>
        <v>655.16</v>
      </c>
      <c r="W47" s="340"/>
      <c r="X47" s="341"/>
      <c r="Y47" s="128"/>
    </row>
    <row r="48" spans="1:25" s="342" customFormat="1">
      <c r="A48" s="356">
        <v>0.05</v>
      </c>
      <c r="B48" s="333">
        <f>B47+1</f>
        <v>2</v>
      </c>
      <c r="C48" s="345">
        <v>45834</v>
      </c>
      <c r="D48" s="346" t="s">
        <v>255</v>
      </c>
      <c r="E48" s="123" t="s">
        <v>253</v>
      </c>
      <c r="F48" s="125">
        <v>12814</v>
      </c>
      <c r="G48" s="125">
        <f>39.7+(453.38)+1000</f>
        <v>1493.08</v>
      </c>
      <c r="H48" s="125"/>
      <c r="I48" s="347">
        <f>F48-G48-H48</f>
        <v>11320.92</v>
      </c>
      <c r="J48" s="127" t="s">
        <v>156</v>
      </c>
      <c r="K48" s="127">
        <v>1</v>
      </c>
      <c r="L48" s="127">
        <v>1</v>
      </c>
      <c r="M48" s="127">
        <v>1</v>
      </c>
      <c r="N48" s="127">
        <v>1</v>
      </c>
      <c r="O48" s="127">
        <v>1</v>
      </c>
      <c r="P48" s="63">
        <v>0</v>
      </c>
      <c r="Q48" s="63">
        <v>0</v>
      </c>
      <c r="R48" s="63">
        <v>0</v>
      </c>
      <c r="S48" s="296">
        <v>0</v>
      </c>
      <c r="T48" s="127"/>
      <c r="U48" s="123" t="s">
        <v>256</v>
      </c>
      <c r="V48" s="129">
        <f>1999.18</f>
        <v>1999.18</v>
      </c>
      <c r="W48" s="340"/>
      <c r="X48" s="341"/>
      <c r="Y48" s="128"/>
    </row>
    <row r="49" spans="1:25" s="342" customFormat="1">
      <c r="A49" s="356">
        <v>0.05</v>
      </c>
      <c r="B49" s="333">
        <f>B48+1</f>
        <v>3</v>
      </c>
      <c r="C49" s="350">
        <v>45835</v>
      </c>
      <c r="D49" s="357">
        <v>71077</v>
      </c>
      <c r="E49" s="358" t="s">
        <v>204</v>
      </c>
      <c r="F49" s="352">
        <v>5814</v>
      </c>
      <c r="G49" s="352">
        <f>39.7+(727.51)</f>
        <v>767.21</v>
      </c>
      <c r="H49" s="352"/>
      <c r="I49" s="353">
        <f>F49-G49-H49</f>
        <v>5046.79</v>
      </c>
      <c r="J49" s="354" t="s">
        <v>236</v>
      </c>
      <c r="K49" s="354">
        <v>1</v>
      </c>
      <c r="L49" s="354"/>
      <c r="M49" s="354">
        <v>1</v>
      </c>
      <c r="N49" s="354">
        <v>1</v>
      </c>
      <c r="O49" s="354">
        <v>1</v>
      </c>
      <c r="P49" s="267">
        <v>0</v>
      </c>
      <c r="Q49" s="354"/>
      <c r="R49" s="354"/>
      <c r="S49" s="355"/>
      <c r="T49" s="127"/>
      <c r="U49" s="123" t="s">
        <v>1865</v>
      </c>
      <c r="V49" s="129">
        <v>5500</v>
      </c>
      <c r="W49" s="382">
        <v>600</v>
      </c>
      <c r="X49" s="341"/>
      <c r="Y49" s="128"/>
    </row>
    <row r="50" spans="1:25" s="342" customFormat="1">
      <c r="A50" s="128"/>
      <c r="B50" s="132"/>
      <c r="C50" s="122"/>
      <c r="D50" s="123"/>
      <c r="E50" s="123"/>
      <c r="F50" s="134">
        <f>SUM(F47:F49)</f>
        <v>24584</v>
      </c>
      <c r="G50" s="134">
        <f>SUM(G47:G49)</f>
        <v>3635.37</v>
      </c>
      <c r="H50" s="134">
        <f>SUM(H47:H49)</f>
        <v>0</v>
      </c>
      <c r="I50" s="134">
        <f>SUM(I47:I49)</f>
        <v>20948.63</v>
      </c>
      <c r="J50" s="127"/>
      <c r="K50" s="64"/>
      <c r="L50" s="64"/>
      <c r="M50" s="64"/>
      <c r="N50" s="64"/>
      <c r="O50" s="64"/>
      <c r="P50" s="64"/>
      <c r="Q50" s="64"/>
      <c r="R50" s="64"/>
      <c r="S50" s="64"/>
      <c r="T50" s="127"/>
      <c r="U50" s="123"/>
      <c r="V50" s="129"/>
      <c r="W50" s="130"/>
      <c r="X50" s="131"/>
      <c r="Y50" s="128"/>
    </row>
    <row r="51" spans="1:25">
      <c r="A51" s="2"/>
      <c r="B51" s="11"/>
      <c r="C51" s="36"/>
      <c r="D51" s="10"/>
      <c r="E51" s="10"/>
      <c r="F51" s="88"/>
      <c r="G51" s="88"/>
      <c r="H51" s="88"/>
      <c r="I51" s="99"/>
      <c r="J51" s="10"/>
      <c r="K51" s="63"/>
      <c r="L51" s="63"/>
      <c r="M51" s="63"/>
      <c r="N51" s="63"/>
      <c r="O51" s="63"/>
      <c r="P51" s="63"/>
      <c r="Q51" s="63"/>
      <c r="R51" s="63"/>
      <c r="S51" s="63"/>
      <c r="T51" s="63"/>
      <c r="U51" s="10"/>
      <c r="V51" s="90"/>
      <c r="W51" s="91"/>
      <c r="X51" s="92"/>
      <c r="Y51" s="2"/>
    </row>
    <row r="52" spans="1:25" s="260" customFormat="1">
      <c r="B52" s="100" t="s">
        <v>202</v>
      </c>
      <c r="C52" s="36"/>
      <c r="D52" s="10"/>
      <c r="E52" s="181"/>
      <c r="F52" s="88"/>
      <c r="G52" s="88"/>
      <c r="H52" s="88"/>
      <c r="I52" s="99"/>
      <c r="J52" s="63"/>
      <c r="K52" s="21"/>
      <c r="L52" s="21"/>
      <c r="M52" s="21"/>
      <c r="N52" s="21"/>
      <c r="O52" s="21"/>
      <c r="P52" s="21"/>
      <c r="Q52" s="21"/>
      <c r="R52" s="21"/>
      <c r="S52" s="21"/>
      <c r="T52" s="63"/>
      <c r="U52" s="10"/>
      <c r="V52" s="90"/>
      <c r="W52" s="91"/>
      <c r="X52" s="92"/>
    </row>
    <row r="53" spans="1:25" s="260" customFormat="1">
      <c r="A53" s="261">
        <v>0.05</v>
      </c>
      <c r="B53" s="87">
        <v>1</v>
      </c>
      <c r="C53" s="274">
        <v>45812</v>
      </c>
      <c r="D53" s="320" t="s">
        <v>1866</v>
      </c>
      <c r="E53" s="276" t="s">
        <v>512</v>
      </c>
      <c r="F53" s="277">
        <v>18061</v>
      </c>
      <c r="G53" s="277">
        <f>39.7+(62.91)+(10.95+18.17+8.58+185.26+145.2+166.5+178.78)+1500</f>
        <v>2316.0500000000002</v>
      </c>
      <c r="H53" s="277"/>
      <c r="I53" s="278">
        <f>F53-G53-H53</f>
        <v>15744.95</v>
      </c>
      <c r="J53" s="279" t="s">
        <v>156</v>
      </c>
      <c r="K53" s="279">
        <v>1</v>
      </c>
      <c r="L53" s="279"/>
      <c r="M53" s="279">
        <v>1</v>
      </c>
      <c r="N53" s="279">
        <v>1</v>
      </c>
      <c r="O53" s="279">
        <v>1</v>
      </c>
      <c r="P53" s="279">
        <v>1</v>
      </c>
      <c r="Q53" s="279"/>
      <c r="R53" s="279"/>
      <c r="S53" s="280"/>
      <c r="T53" s="63"/>
      <c r="U53" s="10" t="s">
        <v>1867</v>
      </c>
      <c r="V53" s="90"/>
      <c r="W53" s="136"/>
      <c r="X53" s="137"/>
      <c r="Y53" s="181"/>
    </row>
    <row r="54" spans="1:25" s="260" customFormat="1">
      <c r="A54" s="261">
        <v>0.05</v>
      </c>
      <c r="B54" s="87">
        <f>B53+1</f>
        <v>2</v>
      </c>
      <c r="C54" s="262">
        <v>45813</v>
      </c>
      <c r="D54" s="357" t="s">
        <v>1868</v>
      </c>
      <c r="E54" s="271" t="s">
        <v>512</v>
      </c>
      <c r="F54" s="265">
        <v>22614</v>
      </c>
      <c r="G54" s="265">
        <f>39.7+47.8+356+(396.09)+(145.2-4.72-2.08+8.58-185.26+9.17+5.35+223.39)+2000</f>
        <v>3039.22</v>
      </c>
      <c r="H54" s="265"/>
      <c r="I54" s="266">
        <f>F54-G54-H54</f>
        <v>19574.78</v>
      </c>
      <c r="J54" s="267"/>
      <c r="K54" s="267">
        <v>1</v>
      </c>
      <c r="L54" s="267"/>
      <c r="M54" s="267"/>
      <c r="N54" s="267">
        <v>1</v>
      </c>
      <c r="O54" s="267">
        <v>1</v>
      </c>
      <c r="P54" s="314">
        <v>0</v>
      </c>
      <c r="Q54" s="267"/>
      <c r="R54" s="267"/>
      <c r="S54" s="269"/>
      <c r="T54" s="63"/>
      <c r="U54" s="10" t="s">
        <v>1869</v>
      </c>
      <c r="V54" s="90"/>
      <c r="W54" s="136"/>
      <c r="X54" s="137"/>
    </row>
    <row r="55" spans="1:25" s="260" customFormat="1">
      <c r="A55" s="261">
        <v>0.05</v>
      </c>
      <c r="B55" s="87">
        <f>B54+1</f>
        <v>3</v>
      </c>
      <c r="C55" s="262">
        <v>45820</v>
      </c>
      <c r="D55" s="357" t="s">
        <v>1870</v>
      </c>
      <c r="E55" s="271" t="s">
        <v>737</v>
      </c>
      <c r="F55" s="265">
        <f>5553-610</f>
        <v>4943</v>
      </c>
      <c r="G55" s="265">
        <f>39.7+1500</f>
        <v>1539.7</v>
      </c>
      <c r="H55" s="265"/>
      <c r="I55" s="266">
        <f>F55-G55-H55</f>
        <v>3403.3</v>
      </c>
      <c r="J55" s="267"/>
      <c r="K55" s="267">
        <v>1</v>
      </c>
      <c r="L55" s="267"/>
      <c r="M55" s="267"/>
      <c r="N55" s="267">
        <v>1</v>
      </c>
      <c r="O55" s="267">
        <v>1</v>
      </c>
      <c r="P55" s="314">
        <v>0</v>
      </c>
      <c r="Q55" s="267"/>
      <c r="R55" s="267"/>
      <c r="S55" s="269"/>
      <c r="T55" s="63"/>
      <c r="U55" s="10" t="s">
        <v>1871</v>
      </c>
      <c r="V55" s="90"/>
      <c r="W55" s="136"/>
      <c r="X55" s="137"/>
      <c r="Y55" s="181"/>
    </row>
    <row r="56" spans="1:25" s="260" customFormat="1">
      <c r="B56" s="11"/>
      <c r="C56" s="36"/>
      <c r="D56" s="10"/>
      <c r="E56" s="10"/>
      <c r="F56" s="97">
        <f>SUM(F53:F55)</f>
        <v>45618</v>
      </c>
      <c r="G56" s="97">
        <f>SUM(G53:G55)</f>
        <v>6894.97</v>
      </c>
      <c r="H56" s="97">
        <f>SUM(H53:H55)</f>
        <v>0</v>
      </c>
      <c r="I56" s="97">
        <f>SUM(I53:I55)</f>
        <v>38723.03</v>
      </c>
      <c r="J56" s="63"/>
      <c r="K56" s="21"/>
      <c r="L56" s="21"/>
      <c r="M56" s="21"/>
      <c r="N56" s="21"/>
      <c r="O56" s="21"/>
      <c r="P56" s="21"/>
      <c r="Q56" s="21"/>
      <c r="R56" s="21"/>
      <c r="S56" s="21"/>
      <c r="T56" s="63"/>
      <c r="U56" s="10"/>
      <c r="V56" s="90"/>
      <c r="W56" s="91"/>
      <c r="X56" s="92"/>
    </row>
    <row r="57" spans="1:25" s="260" customFormat="1">
      <c r="B57" s="11"/>
      <c r="C57" s="36"/>
      <c r="D57" s="10"/>
      <c r="E57" s="10"/>
      <c r="F57" s="88"/>
      <c r="G57" s="88"/>
      <c r="H57" s="88"/>
      <c r="I57" s="99"/>
      <c r="J57" s="10"/>
      <c r="K57" s="63"/>
      <c r="L57" s="63"/>
      <c r="M57" s="63"/>
      <c r="N57" s="63"/>
      <c r="O57" s="63"/>
      <c r="P57" s="63"/>
      <c r="Q57" s="63"/>
      <c r="R57" s="63"/>
      <c r="S57" s="63"/>
      <c r="T57" s="63"/>
      <c r="U57" s="10"/>
      <c r="V57" s="90"/>
      <c r="W57" s="91"/>
      <c r="X57" s="92"/>
    </row>
    <row r="58" spans="1:25">
      <c r="A58" s="2"/>
      <c r="B58" s="100" t="s">
        <v>72</v>
      </c>
      <c r="C58" s="36"/>
      <c r="D58" s="10"/>
      <c r="E58" s="10"/>
      <c r="F58" s="88"/>
      <c r="G58" s="88"/>
      <c r="H58" s="88"/>
      <c r="I58" s="99"/>
      <c r="J58" s="63"/>
      <c r="K58" s="63"/>
      <c r="L58" s="63"/>
      <c r="M58" s="63"/>
      <c r="N58" s="63"/>
      <c r="O58" s="63"/>
      <c r="P58" s="63"/>
      <c r="Q58" s="63"/>
      <c r="R58" s="63"/>
      <c r="S58" s="63"/>
      <c r="T58" s="63"/>
      <c r="U58" s="10"/>
      <c r="V58" s="90"/>
      <c r="W58" s="91"/>
      <c r="X58" s="92"/>
      <c r="Y58" s="2"/>
    </row>
    <row r="59" spans="1:25">
      <c r="A59" s="2"/>
      <c r="B59" s="87">
        <v>1</v>
      </c>
      <c r="C59" s="274">
        <v>45831</v>
      </c>
      <c r="D59" s="276">
        <v>70927</v>
      </c>
      <c r="E59" s="276" t="s">
        <v>1872</v>
      </c>
      <c r="F59" s="277">
        <v>2261</v>
      </c>
      <c r="G59" s="277">
        <v>39.700000000000003</v>
      </c>
      <c r="H59" s="277"/>
      <c r="I59" s="278">
        <f t="shared" ref="I59:I80" si="14">F59-G59-H59</f>
        <v>2221.3000000000002</v>
      </c>
      <c r="J59" s="279" t="s">
        <v>205</v>
      </c>
      <c r="K59" s="279">
        <v>1</v>
      </c>
      <c r="L59" s="279"/>
      <c r="M59" s="279"/>
      <c r="N59" s="279">
        <v>1</v>
      </c>
      <c r="O59" s="279"/>
      <c r="P59" s="279"/>
      <c r="Q59" s="279"/>
      <c r="R59" s="279"/>
      <c r="S59" s="280"/>
      <c r="T59" s="63"/>
      <c r="U59" s="3"/>
      <c r="V59" s="90"/>
      <c r="W59" s="91"/>
      <c r="X59" s="92"/>
      <c r="Y59" s="2"/>
    </row>
    <row r="60" spans="1:25">
      <c r="A60" s="2"/>
      <c r="B60" s="87">
        <f t="shared" ref="B60:B76" si="15">B59+1</f>
        <v>2</v>
      </c>
      <c r="C60" s="295">
        <v>45831</v>
      </c>
      <c r="D60" s="10">
        <v>70939</v>
      </c>
      <c r="E60" s="10" t="s">
        <v>809</v>
      </c>
      <c r="F60" s="62">
        <v>1138</v>
      </c>
      <c r="G60" s="62">
        <v>39.700000000000003</v>
      </c>
      <c r="H60" s="62"/>
      <c r="I60" s="89">
        <f t="shared" si="14"/>
        <v>1098.3</v>
      </c>
      <c r="J60" s="63" t="s">
        <v>205</v>
      </c>
      <c r="K60" s="63"/>
      <c r="L60" s="63"/>
      <c r="M60" s="63"/>
      <c r="N60" s="63">
        <v>1</v>
      </c>
      <c r="O60" s="63"/>
      <c r="P60" s="63"/>
      <c r="Q60" s="63"/>
      <c r="R60" s="63"/>
      <c r="S60" s="296"/>
      <c r="T60" s="63"/>
      <c r="U60" s="10"/>
      <c r="V60" s="90"/>
      <c r="W60" s="136"/>
      <c r="X60" s="137"/>
      <c r="Y60" s="2"/>
    </row>
    <row r="61" spans="1:25">
      <c r="A61" s="2"/>
      <c r="B61" s="87">
        <f t="shared" si="15"/>
        <v>3</v>
      </c>
      <c r="C61" s="295">
        <v>45831</v>
      </c>
      <c r="D61" s="10">
        <v>70935</v>
      </c>
      <c r="E61" s="10" t="s">
        <v>1530</v>
      </c>
      <c r="F61" s="62">
        <v>681</v>
      </c>
      <c r="G61" s="62"/>
      <c r="H61" s="62"/>
      <c r="I61" s="89">
        <f t="shared" si="14"/>
        <v>681</v>
      </c>
      <c r="J61" s="63" t="s">
        <v>205</v>
      </c>
      <c r="K61" s="63">
        <v>1</v>
      </c>
      <c r="L61" s="63"/>
      <c r="M61" s="63"/>
      <c r="N61" s="63">
        <v>1</v>
      </c>
      <c r="O61" s="63"/>
      <c r="P61" s="63"/>
      <c r="Q61" s="63"/>
      <c r="R61" s="63"/>
      <c r="S61" s="296"/>
      <c r="T61" s="63"/>
      <c r="U61" s="10"/>
      <c r="V61" s="90"/>
      <c r="W61" s="136"/>
      <c r="X61" s="137"/>
      <c r="Y61" s="2"/>
    </row>
    <row r="62" spans="1:25">
      <c r="A62" s="2"/>
      <c r="B62" s="87">
        <f t="shared" si="15"/>
        <v>4</v>
      </c>
      <c r="C62" s="274">
        <v>45832</v>
      </c>
      <c r="D62" s="276">
        <v>70954</v>
      </c>
      <c r="E62" s="276" t="s">
        <v>211</v>
      </c>
      <c r="F62" s="277">
        <v>1261</v>
      </c>
      <c r="G62" s="277">
        <v>39.700000000000003</v>
      </c>
      <c r="H62" s="277"/>
      <c r="I62" s="278">
        <f t="shared" si="14"/>
        <v>1221.3</v>
      </c>
      <c r="J62" s="279" t="s">
        <v>156</v>
      </c>
      <c r="K62" s="279">
        <v>1</v>
      </c>
      <c r="L62" s="279"/>
      <c r="M62" s="279">
        <v>1</v>
      </c>
      <c r="N62" s="279">
        <v>1</v>
      </c>
      <c r="O62" s="279"/>
      <c r="P62" s="279"/>
      <c r="Q62" s="279"/>
      <c r="R62" s="279"/>
      <c r="S62" s="280"/>
      <c r="T62" s="63"/>
      <c r="U62" s="10" t="s">
        <v>1873</v>
      </c>
      <c r="V62" s="90">
        <v>93.5</v>
      </c>
      <c r="W62" s="136"/>
      <c r="X62" s="137"/>
      <c r="Y62" s="2"/>
    </row>
    <row r="63" spans="1:25">
      <c r="A63" s="2"/>
      <c r="B63" s="87">
        <f t="shared" si="15"/>
        <v>5</v>
      </c>
      <c r="C63" s="295">
        <v>45832</v>
      </c>
      <c r="D63" s="10">
        <v>70958</v>
      </c>
      <c r="E63" s="10" t="s">
        <v>211</v>
      </c>
      <c r="F63" s="62">
        <v>6526</v>
      </c>
      <c r="G63" s="62">
        <v>39.700000000000003</v>
      </c>
      <c r="H63" s="62"/>
      <c r="I63" s="89">
        <f t="shared" si="14"/>
        <v>6486.3</v>
      </c>
      <c r="J63" s="63" t="s">
        <v>205</v>
      </c>
      <c r="K63" s="63">
        <v>1</v>
      </c>
      <c r="L63" s="63"/>
      <c r="M63" s="63">
        <v>1</v>
      </c>
      <c r="N63" s="63">
        <v>1</v>
      </c>
      <c r="O63" s="63"/>
      <c r="P63" s="63"/>
      <c r="Q63" s="63"/>
      <c r="R63" s="63"/>
      <c r="S63" s="296"/>
      <c r="T63" s="63"/>
      <c r="U63" s="10"/>
      <c r="V63" s="90">
        <v>93.5</v>
      </c>
      <c r="W63" s="136"/>
      <c r="X63" s="137"/>
      <c r="Y63" s="2"/>
    </row>
    <row r="64" spans="1:25">
      <c r="A64" s="2"/>
      <c r="B64" s="87">
        <f t="shared" si="15"/>
        <v>6</v>
      </c>
      <c r="C64" s="295">
        <v>45832</v>
      </c>
      <c r="D64" s="10">
        <v>70969</v>
      </c>
      <c r="E64" s="10" t="s">
        <v>211</v>
      </c>
      <c r="F64" s="62">
        <v>861</v>
      </c>
      <c r="G64" s="62">
        <v>39.700000000000003</v>
      </c>
      <c r="H64" s="62"/>
      <c r="I64" s="89">
        <f t="shared" si="14"/>
        <v>821.3</v>
      </c>
      <c r="J64" s="63" t="s">
        <v>205</v>
      </c>
      <c r="K64" s="63">
        <v>1</v>
      </c>
      <c r="L64" s="63"/>
      <c r="M64" s="63"/>
      <c r="N64" s="63">
        <v>1</v>
      </c>
      <c r="O64" s="63"/>
      <c r="P64" s="63"/>
      <c r="Q64" s="63"/>
      <c r="R64" s="63"/>
      <c r="S64" s="296"/>
      <c r="T64" s="63"/>
      <c r="U64" s="10"/>
      <c r="V64" s="90"/>
      <c r="W64" s="136"/>
      <c r="X64" s="137"/>
      <c r="Y64" s="2"/>
    </row>
    <row r="65" spans="1:25">
      <c r="A65" s="2"/>
      <c r="B65" s="87">
        <f t="shared" si="15"/>
        <v>7</v>
      </c>
      <c r="C65" s="295">
        <v>45832</v>
      </c>
      <c r="D65" s="77" t="s">
        <v>1874</v>
      </c>
      <c r="E65" s="10" t="s">
        <v>1313</v>
      </c>
      <c r="F65" s="62">
        <v>2801</v>
      </c>
      <c r="G65" s="62">
        <v>39.700000000000003</v>
      </c>
      <c r="H65" s="62"/>
      <c r="I65" s="89">
        <f t="shared" si="14"/>
        <v>2761.3</v>
      </c>
      <c r="J65" s="63" t="s">
        <v>205</v>
      </c>
      <c r="K65" s="63">
        <v>1</v>
      </c>
      <c r="L65" s="63"/>
      <c r="M65" s="63"/>
      <c r="N65" s="63">
        <v>1</v>
      </c>
      <c r="O65" s="63"/>
      <c r="P65" s="63"/>
      <c r="Q65" s="63"/>
      <c r="R65" s="63"/>
      <c r="S65" s="296"/>
      <c r="T65" s="63"/>
      <c r="U65" s="10"/>
      <c r="V65" s="90"/>
      <c r="W65" s="136"/>
      <c r="X65" s="137"/>
      <c r="Y65" s="2"/>
    </row>
    <row r="66" spans="1:25">
      <c r="A66" s="2"/>
      <c r="B66" s="87">
        <f t="shared" si="15"/>
        <v>8</v>
      </c>
      <c r="C66" s="295">
        <v>45832</v>
      </c>
      <c r="D66" s="77" t="s">
        <v>1875</v>
      </c>
      <c r="E66" s="10" t="s">
        <v>187</v>
      </c>
      <c r="F66" s="62">
        <v>5814</v>
      </c>
      <c r="G66" s="62">
        <v>39.700000000000003</v>
      </c>
      <c r="H66" s="62"/>
      <c r="I66" s="89">
        <f t="shared" si="14"/>
        <v>5774.3</v>
      </c>
      <c r="J66" s="63" t="s">
        <v>205</v>
      </c>
      <c r="K66" s="63">
        <v>1</v>
      </c>
      <c r="L66" s="63"/>
      <c r="M66" s="63"/>
      <c r="N66" s="63">
        <v>1</v>
      </c>
      <c r="O66" s="63"/>
      <c r="P66" s="63"/>
      <c r="Q66" s="63"/>
      <c r="R66" s="63"/>
      <c r="S66" s="296"/>
      <c r="T66" s="63"/>
      <c r="U66" s="10"/>
      <c r="V66" s="90"/>
      <c r="W66" s="136"/>
      <c r="X66" s="137"/>
      <c r="Y66" s="2"/>
    </row>
    <row r="67" spans="1:25">
      <c r="A67" s="2"/>
      <c r="B67" s="87">
        <f t="shared" si="15"/>
        <v>9</v>
      </c>
      <c r="C67" s="295">
        <v>45832</v>
      </c>
      <c r="D67" s="10">
        <v>70986</v>
      </c>
      <c r="E67" s="101" t="s">
        <v>1876</v>
      </c>
      <c r="F67" s="62">
        <v>681</v>
      </c>
      <c r="G67" s="62"/>
      <c r="H67" s="62"/>
      <c r="I67" s="89">
        <f t="shared" si="14"/>
        <v>681</v>
      </c>
      <c r="J67" s="63" t="s">
        <v>205</v>
      </c>
      <c r="K67" s="63">
        <v>1</v>
      </c>
      <c r="L67" s="63"/>
      <c r="M67" s="63"/>
      <c r="N67" s="63">
        <v>1</v>
      </c>
      <c r="O67" s="63"/>
      <c r="P67" s="63"/>
      <c r="Q67" s="63"/>
      <c r="R67" s="63"/>
      <c r="S67" s="296"/>
      <c r="T67" s="63"/>
      <c r="U67" s="10"/>
      <c r="V67" s="90"/>
      <c r="W67" s="136"/>
      <c r="X67" s="137"/>
      <c r="Y67" s="2"/>
    </row>
    <row r="68" spans="1:25">
      <c r="A68" s="2"/>
      <c r="B68" s="87">
        <f t="shared" si="15"/>
        <v>10</v>
      </c>
      <c r="C68" s="295">
        <v>45832</v>
      </c>
      <c r="D68" s="77" t="s">
        <v>1877</v>
      </c>
      <c r="E68" s="10" t="s">
        <v>1401</v>
      </c>
      <c r="F68" s="62">
        <v>5814</v>
      </c>
      <c r="G68" s="62">
        <v>39.700000000000003</v>
      </c>
      <c r="H68" s="62"/>
      <c r="I68" s="89">
        <f t="shared" si="14"/>
        <v>5774.3</v>
      </c>
      <c r="J68" s="63" t="s">
        <v>205</v>
      </c>
      <c r="K68" s="63">
        <v>1</v>
      </c>
      <c r="L68" s="63"/>
      <c r="M68" s="63"/>
      <c r="N68" s="63">
        <v>1</v>
      </c>
      <c r="O68" s="63"/>
      <c r="P68" s="63"/>
      <c r="Q68" s="63"/>
      <c r="R68" s="63"/>
      <c r="S68" s="296"/>
      <c r="T68" s="63"/>
      <c r="U68" s="10"/>
      <c r="V68" s="90"/>
      <c r="W68" s="136"/>
      <c r="X68" s="137"/>
      <c r="Y68" s="2"/>
    </row>
    <row r="69" spans="1:25">
      <c r="A69" s="2"/>
      <c r="B69" s="87">
        <f t="shared" si="15"/>
        <v>11</v>
      </c>
      <c r="C69" s="274">
        <v>45833</v>
      </c>
      <c r="D69" s="276">
        <v>71025</v>
      </c>
      <c r="E69" s="281" t="s">
        <v>1067</v>
      </c>
      <c r="F69" s="277">
        <v>1261</v>
      </c>
      <c r="G69" s="277">
        <v>39.700000000000003</v>
      </c>
      <c r="H69" s="277"/>
      <c r="I69" s="278">
        <f t="shared" si="14"/>
        <v>1221.3</v>
      </c>
      <c r="J69" s="279" t="s">
        <v>205</v>
      </c>
      <c r="K69" s="279">
        <v>1</v>
      </c>
      <c r="L69" s="279"/>
      <c r="M69" s="279"/>
      <c r="N69" s="279">
        <v>1</v>
      </c>
      <c r="O69" s="279"/>
      <c r="P69" s="279"/>
      <c r="Q69" s="279"/>
      <c r="R69" s="279"/>
      <c r="S69" s="280"/>
      <c r="T69" s="63"/>
      <c r="U69" s="10"/>
      <c r="V69" s="90"/>
      <c r="W69" s="136"/>
      <c r="X69" s="137"/>
      <c r="Y69" s="2"/>
    </row>
    <row r="70" spans="1:25">
      <c r="A70" s="2"/>
      <c r="B70" s="87">
        <f t="shared" si="15"/>
        <v>12</v>
      </c>
      <c r="C70" s="295">
        <v>45833</v>
      </c>
      <c r="D70" s="10">
        <v>71000</v>
      </c>
      <c r="E70" s="101" t="s">
        <v>1067</v>
      </c>
      <c r="F70" s="62">
        <v>1681</v>
      </c>
      <c r="G70" s="62">
        <v>39.700000000000003</v>
      </c>
      <c r="H70" s="62"/>
      <c r="I70" s="89">
        <f t="shared" si="14"/>
        <v>1641.3</v>
      </c>
      <c r="J70" s="63" t="s">
        <v>205</v>
      </c>
      <c r="K70" s="63"/>
      <c r="L70" s="63"/>
      <c r="M70" s="63"/>
      <c r="N70" s="63">
        <v>1</v>
      </c>
      <c r="O70" s="63"/>
      <c r="P70" s="63"/>
      <c r="Q70" s="63"/>
      <c r="R70" s="63"/>
      <c r="S70" s="296"/>
      <c r="T70" s="63"/>
      <c r="U70" s="10"/>
      <c r="V70" s="90"/>
      <c r="W70" s="136"/>
      <c r="X70" s="137"/>
      <c r="Y70" s="2"/>
    </row>
    <row r="71" spans="1:25">
      <c r="A71" s="2"/>
      <c r="B71" s="87">
        <f t="shared" si="15"/>
        <v>13</v>
      </c>
      <c r="C71" s="295">
        <v>45833</v>
      </c>
      <c r="D71" s="10">
        <v>70854</v>
      </c>
      <c r="E71" s="101" t="s">
        <v>728</v>
      </c>
      <c r="F71" s="62">
        <v>0</v>
      </c>
      <c r="G71" s="62"/>
      <c r="H71" s="62"/>
      <c r="I71" s="89">
        <f t="shared" si="14"/>
        <v>0</v>
      </c>
      <c r="J71" s="63" t="s">
        <v>219</v>
      </c>
      <c r="K71" s="63"/>
      <c r="L71" s="63"/>
      <c r="M71" s="63"/>
      <c r="N71" s="63"/>
      <c r="O71" s="63"/>
      <c r="P71" s="63"/>
      <c r="Q71" s="63"/>
      <c r="R71" s="63"/>
      <c r="S71" s="296"/>
      <c r="T71" s="63"/>
      <c r="U71" s="10"/>
      <c r="V71" s="90"/>
      <c r="W71" s="136"/>
      <c r="X71" s="137"/>
      <c r="Y71" s="2"/>
    </row>
    <row r="72" spans="1:25">
      <c r="A72" s="2"/>
      <c r="B72" s="87">
        <f t="shared" si="15"/>
        <v>14</v>
      </c>
      <c r="C72" s="295">
        <v>45833</v>
      </c>
      <c r="D72" s="10">
        <v>71009</v>
      </c>
      <c r="E72" s="10" t="s">
        <v>159</v>
      </c>
      <c r="F72" s="62">
        <v>861</v>
      </c>
      <c r="G72" s="62">
        <v>39.700000000000003</v>
      </c>
      <c r="H72" s="62"/>
      <c r="I72" s="89">
        <f t="shared" si="14"/>
        <v>821.3</v>
      </c>
      <c r="J72" s="63" t="s">
        <v>205</v>
      </c>
      <c r="K72" s="63">
        <v>1</v>
      </c>
      <c r="L72" s="63"/>
      <c r="M72" s="63"/>
      <c r="N72" s="63">
        <v>1</v>
      </c>
      <c r="O72" s="63"/>
      <c r="P72" s="63"/>
      <c r="Q72" s="63"/>
      <c r="R72" s="63"/>
      <c r="S72" s="296"/>
      <c r="T72" s="63"/>
      <c r="U72" s="10"/>
      <c r="V72" s="90"/>
      <c r="W72" s="136"/>
      <c r="X72" s="137"/>
      <c r="Y72" s="2"/>
    </row>
    <row r="73" spans="1:25">
      <c r="A73" s="2"/>
      <c r="B73" s="87">
        <f t="shared" si="15"/>
        <v>15</v>
      </c>
      <c r="C73" s="274">
        <v>45834</v>
      </c>
      <c r="D73" s="276">
        <v>71027</v>
      </c>
      <c r="E73" s="276" t="s">
        <v>294</v>
      </c>
      <c r="F73" s="277">
        <v>1681</v>
      </c>
      <c r="G73" s="277">
        <v>39.700000000000003</v>
      </c>
      <c r="H73" s="277"/>
      <c r="I73" s="278">
        <f t="shared" si="14"/>
        <v>1641.3</v>
      </c>
      <c r="J73" s="279" t="s">
        <v>205</v>
      </c>
      <c r="K73" s="279">
        <v>1</v>
      </c>
      <c r="L73" s="279"/>
      <c r="M73" s="279"/>
      <c r="N73" s="279">
        <v>1</v>
      </c>
      <c r="O73" s="279"/>
      <c r="P73" s="279"/>
      <c r="Q73" s="279"/>
      <c r="R73" s="279"/>
      <c r="S73" s="280"/>
      <c r="T73" s="63"/>
      <c r="U73" s="10"/>
      <c r="V73" s="90"/>
      <c r="W73" s="136"/>
      <c r="X73" s="137"/>
      <c r="Y73" s="2"/>
    </row>
    <row r="74" spans="1:25">
      <c r="A74" s="2"/>
      <c r="B74" s="87">
        <f t="shared" si="15"/>
        <v>16</v>
      </c>
      <c r="C74" s="295">
        <v>45834</v>
      </c>
      <c r="D74" s="10">
        <v>71044</v>
      </c>
      <c r="E74" s="10" t="s">
        <v>388</v>
      </c>
      <c r="F74" s="62">
        <v>0</v>
      </c>
      <c r="G74" s="62"/>
      <c r="H74" s="62"/>
      <c r="I74" s="89">
        <f t="shared" si="14"/>
        <v>0</v>
      </c>
      <c r="J74" s="63" t="s">
        <v>219</v>
      </c>
      <c r="K74" s="63">
        <v>1</v>
      </c>
      <c r="L74" s="63"/>
      <c r="M74" s="63"/>
      <c r="N74" s="63"/>
      <c r="O74" s="63"/>
      <c r="P74" s="63"/>
      <c r="Q74" s="63"/>
      <c r="R74" s="63"/>
      <c r="S74" s="296"/>
      <c r="T74" s="63"/>
      <c r="U74" s="10"/>
      <c r="V74" s="90"/>
      <c r="W74" s="136"/>
      <c r="X74" s="137"/>
      <c r="Y74" s="2"/>
    </row>
    <row r="75" spans="1:25">
      <c r="A75" s="2"/>
      <c r="B75" s="87">
        <f t="shared" si="15"/>
        <v>17</v>
      </c>
      <c r="C75" s="274">
        <v>45835</v>
      </c>
      <c r="D75" s="276">
        <v>71053</v>
      </c>
      <c r="E75" s="276" t="s">
        <v>463</v>
      </c>
      <c r="F75" s="277">
        <v>2242</v>
      </c>
      <c r="G75" s="277">
        <v>39.700000000000003</v>
      </c>
      <c r="H75" s="277"/>
      <c r="I75" s="278">
        <f t="shared" si="14"/>
        <v>2202.3000000000002</v>
      </c>
      <c r="J75" s="279" t="s">
        <v>205</v>
      </c>
      <c r="K75" s="279">
        <v>1</v>
      </c>
      <c r="L75" s="279"/>
      <c r="M75" s="279"/>
      <c r="N75" s="279">
        <v>1</v>
      </c>
      <c r="O75" s="279"/>
      <c r="P75" s="279"/>
      <c r="Q75" s="279"/>
      <c r="R75" s="279"/>
      <c r="S75" s="280"/>
      <c r="T75" s="63"/>
      <c r="U75" s="10"/>
      <c r="V75" s="90"/>
      <c r="W75" s="136"/>
      <c r="X75" s="137"/>
      <c r="Y75" s="2"/>
    </row>
    <row r="76" spans="1:25">
      <c r="A76" s="2"/>
      <c r="B76" s="87">
        <f t="shared" si="15"/>
        <v>18</v>
      </c>
      <c r="C76" s="295">
        <v>45835</v>
      </c>
      <c r="D76" s="10" t="s">
        <v>1878</v>
      </c>
      <c r="E76" s="10" t="s">
        <v>158</v>
      </c>
      <c r="F76" s="62">
        <v>1138</v>
      </c>
      <c r="G76" s="62">
        <v>39.700000000000003</v>
      </c>
      <c r="H76" s="62"/>
      <c r="I76" s="89">
        <f t="shared" si="14"/>
        <v>1098.3</v>
      </c>
      <c r="J76" s="63" t="s">
        <v>205</v>
      </c>
      <c r="K76" s="63"/>
      <c r="L76" s="63"/>
      <c r="M76" s="63"/>
      <c r="N76" s="63">
        <v>1</v>
      </c>
      <c r="O76" s="63"/>
      <c r="P76" s="63"/>
      <c r="Q76" s="63"/>
      <c r="R76" s="63"/>
      <c r="S76" s="296"/>
      <c r="T76" s="63"/>
      <c r="U76" s="10"/>
      <c r="V76" s="90"/>
      <c r="W76" s="136"/>
      <c r="X76" s="137"/>
      <c r="Y76" s="2"/>
    </row>
    <row r="77" spans="1:25">
      <c r="A77" s="2"/>
      <c r="B77" s="87">
        <f>B76+1</f>
        <v>19</v>
      </c>
      <c r="C77" s="295">
        <v>45835</v>
      </c>
      <c r="D77" s="10" t="s">
        <v>1879</v>
      </c>
      <c r="E77" s="10" t="s">
        <v>158</v>
      </c>
      <c r="F77" s="62">
        <v>23426</v>
      </c>
      <c r="G77" s="62">
        <v>39.700000000000003</v>
      </c>
      <c r="H77" s="62"/>
      <c r="I77" s="89">
        <f t="shared" si="14"/>
        <v>23386.3</v>
      </c>
      <c r="J77" s="63" t="s">
        <v>205</v>
      </c>
      <c r="K77" s="63"/>
      <c r="L77" s="63"/>
      <c r="M77" s="63"/>
      <c r="N77" s="63">
        <v>1</v>
      </c>
      <c r="O77" s="63"/>
      <c r="P77" s="63"/>
      <c r="Q77" s="63"/>
      <c r="R77" s="63"/>
      <c r="S77" s="296"/>
      <c r="T77" s="63"/>
      <c r="U77" s="10"/>
      <c r="V77" s="138"/>
      <c r="W77" s="136"/>
      <c r="X77" s="137"/>
      <c r="Y77" s="2"/>
    </row>
    <row r="78" spans="1:25">
      <c r="A78" s="2"/>
      <c r="B78" s="87">
        <f>B77+1</f>
        <v>20</v>
      </c>
      <c r="C78" s="295">
        <v>45835</v>
      </c>
      <c r="D78" s="10" t="s">
        <v>1880</v>
      </c>
      <c r="E78" s="10" t="s">
        <v>1365</v>
      </c>
      <c r="F78" s="62">
        <v>0</v>
      </c>
      <c r="G78" s="62"/>
      <c r="H78" s="62"/>
      <c r="I78" s="89"/>
      <c r="J78" s="63" t="s">
        <v>205</v>
      </c>
      <c r="K78" s="63">
        <v>1</v>
      </c>
      <c r="L78" s="63"/>
      <c r="M78" s="63"/>
      <c r="N78" s="63">
        <v>1</v>
      </c>
      <c r="O78" s="63"/>
      <c r="P78" s="63"/>
      <c r="Q78" s="63"/>
      <c r="R78" s="63"/>
      <c r="S78" s="296"/>
      <c r="T78" s="63"/>
      <c r="U78" s="10"/>
      <c r="V78" s="138"/>
      <c r="W78" s="136"/>
      <c r="X78" s="137"/>
      <c r="Y78" s="2"/>
    </row>
    <row r="79" spans="1:25">
      <c r="A79" s="2"/>
      <c r="B79" s="87">
        <f>B78+1</f>
        <v>21</v>
      </c>
      <c r="C79" s="295">
        <v>45835</v>
      </c>
      <c r="D79" s="10" t="s">
        <v>1881</v>
      </c>
      <c r="E79" s="10" t="s">
        <v>1365</v>
      </c>
      <c r="F79" s="62">
        <v>1138</v>
      </c>
      <c r="G79" s="62">
        <v>39.700000000000003</v>
      </c>
      <c r="H79" s="62"/>
      <c r="I79" s="89">
        <f t="shared" si="14"/>
        <v>1098.3</v>
      </c>
      <c r="J79" s="63" t="s">
        <v>205</v>
      </c>
      <c r="K79" s="63">
        <v>1</v>
      </c>
      <c r="L79" s="63"/>
      <c r="M79" s="63"/>
      <c r="N79" s="63">
        <v>1</v>
      </c>
      <c r="O79" s="63"/>
      <c r="P79" s="63"/>
      <c r="Q79" s="63"/>
      <c r="R79" s="63"/>
      <c r="S79" s="296"/>
      <c r="T79" s="63"/>
      <c r="U79" s="10"/>
      <c r="V79" s="138"/>
      <c r="W79" s="136"/>
      <c r="X79" s="137"/>
      <c r="Y79" s="2"/>
    </row>
    <row r="80" spans="1:25">
      <c r="A80" s="2"/>
      <c r="B80" s="87">
        <f>B79+1</f>
        <v>22</v>
      </c>
      <c r="C80" s="282">
        <v>45835</v>
      </c>
      <c r="D80" s="283">
        <v>71071</v>
      </c>
      <c r="E80" s="283" t="s">
        <v>334</v>
      </c>
      <c r="F80" s="284">
        <v>1168</v>
      </c>
      <c r="G80" s="284">
        <v>39.700000000000003</v>
      </c>
      <c r="H80" s="284"/>
      <c r="I80" s="285">
        <f t="shared" si="14"/>
        <v>1128.3</v>
      </c>
      <c r="J80" s="286" t="s">
        <v>205</v>
      </c>
      <c r="K80" s="286"/>
      <c r="L80" s="286"/>
      <c r="M80" s="286"/>
      <c r="N80" s="286">
        <v>1</v>
      </c>
      <c r="O80" s="286"/>
      <c r="P80" s="286"/>
      <c r="Q80" s="286"/>
      <c r="R80" s="286"/>
      <c r="S80" s="287"/>
      <c r="T80" s="63"/>
      <c r="U80" s="10"/>
      <c r="V80" s="138"/>
      <c r="W80" s="136"/>
      <c r="X80" s="137"/>
      <c r="Y80" s="2"/>
    </row>
    <row r="81" spans="1:25">
      <c r="A81" s="2"/>
      <c r="B81" s="11"/>
      <c r="C81" s="36"/>
      <c r="D81" s="10"/>
      <c r="E81" s="10"/>
      <c r="F81" s="98">
        <f>SUM(F59:F80)</f>
        <v>62434</v>
      </c>
      <c r="G81" s="98">
        <f>SUM(G59:G80)</f>
        <v>674.90000000000009</v>
      </c>
      <c r="H81" s="98">
        <f>SUM(H59:H80)</f>
        <v>0</v>
      </c>
      <c r="I81" s="98">
        <f>SUM(I59:I80)</f>
        <v>61759.100000000006</v>
      </c>
      <c r="J81" s="10"/>
      <c r="K81" s="10"/>
      <c r="L81" s="10"/>
      <c r="M81" s="10"/>
      <c r="N81" s="10"/>
      <c r="O81" s="10"/>
      <c r="P81" s="10"/>
      <c r="Q81" s="10"/>
      <c r="R81" s="10"/>
      <c r="S81" s="10"/>
      <c r="T81" s="63"/>
      <c r="U81" s="10"/>
      <c r="V81" s="138"/>
      <c r="W81" s="136"/>
      <c r="X81" s="137"/>
      <c r="Y81" s="2"/>
    </row>
    <row r="82" spans="1:25">
      <c r="A82" s="2"/>
      <c r="B82" s="26"/>
      <c r="C82" s="140"/>
      <c r="D82" s="141"/>
      <c r="E82" s="141"/>
      <c r="F82" s="141"/>
      <c r="G82" s="141"/>
      <c r="H82" s="141"/>
      <c r="I82" s="141"/>
      <c r="J82" s="141"/>
      <c r="K82" s="142"/>
      <c r="L82" s="142"/>
      <c r="M82" s="142"/>
      <c r="N82" s="142"/>
      <c r="O82" s="142"/>
      <c r="P82" s="142"/>
      <c r="Q82" s="142"/>
      <c r="R82" s="142"/>
      <c r="S82" s="142"/>
      <c r="T82" s="143">
        <f>SUM(T30:T81)</f>
        <v>0</v>
      </c>
      <c r="U82" s="141"/>
      <c r="V82" s="144">
        <f>SUM(V30:V81)</f>
        <v>31836.16</v>
      </c>
      <c r="W82" s="145">
        <f>SUM(W30:W81)</f>
        <v>600</v>
      </c>
      <c r="X82" s="146">
        <f>SUM(X30:X81)</f>
        <v>0</v>
      </c>
      <c r="Y82" s="2"/>
    </row>
    <row r="83" spans="1:25">
      <c r="B83" s="258"/>
      <c r="C83" s="258"/>
      <c r="D83" s="258"/>
      <c r="E83" s="258"/>
      <c r="F83" s="258"/>
      <c r="G83" s="258"/>
      <c r="H83" s="258"/>
      <c r="I83" s="258"/>
      <c r="J83" s="258"/>
      <c r="K83" s="258"/>
      <c r="L83" s="258"/>
      <c r="M83" s="258"/>
      <c r="N83" s="258"/>
      <c r="O83" s="258"/>
      <c r="P83" s="258"/>
      <c r="Q83" s="258"/>
      <c r="R83" s="258"/>
      <c r="S83" s="258"/>
      <c r="T83" s="258"/>
      <c r="U83" s="258"/>
      <c r="V83" s="258"/>
      <c r="W83" s="258"/>
      <c r="X83" s="258"/>
    </row>
    <row r="86" spans="1:25">
      <c r="A86" s="3"/>
      <c r="B86" s="4" t="s">
        <v>1</v>
      </c>
      <c r="C86" s="5"/>
      <c r="D86" s="6"/>
      <c r="E86" s="6"/>
      <c r="F86" s="7" t="s">
        <v>2</v>
      </c>
      <c r="G86" s="8">
        <v>45844</v>
      </c>
      <c r="H86" s="7"/>
      <c r="I86" s="6"/>
      <c r="J86" s="6"/>
      <c r="K86" s="6"/>
      <c r="L86" s="6"/>
      <c r="M86" s="6"/>
      <c r="N86" s="6"/>
      <c r="O86" s="6"/>
      <c r="P86" s="6"/>
      <c r="Q86" s="6"/>
      <c r="R86" s="6"/>
      <c r="S86" s="6"/>
      <c r="T86" s="6"/>
      <c r="U86" s="9"/>
      <c r="V86" s="10"/>
      <c r="W86" s="10"/>
      <c r="X86" s="10"/>
    </row>
    <row r="87" spans="1:25">
      <c r="A87" s="2"/>
      <c r="B87" s="11"/>
      <c r="C87" s="10"/>
      <c r="D87" s="10"/>
      <c r="E87" s="10"/>
      <c r="F87" s="10"/>
      <c r="G87" s="7"/>
      <c r="H87" s="12"/>
      <c r="I87" s="10"/>
      <c r="J87" s="10"/>
      <c r="K87" s="13" t="s">
        <v>3</v>
      </c>
      <c r="L87" s="14"/>
      <c r="M87" s="15"/>
      <c r="N87" s="13" t="s">
        <v>4</v>
      </c>
      <c r="O87" s="14"/>
      <c r="P87" s="15"/>
      <c r="Q87" s="13" t="s">
        <v>5</v>
      </c>
      <c r="R87" s="14"/>
      <c r="S87" s="15"/>
      <c r="T87" s="16"/>
      <c r="U87" s="17"/>
      <c r="V87" s="10"/>
      <c r="W87" s="10"/>
      <c r="X87" s="10"/>
    </row>
    <row r="88" spans="1:25">
      <c r="A88" s="2"/>
      <c r="B88" s="18" t="s">
        <v>6</v>
      </c>
      <c r="C88" s="19">
        <f>C89+C90</f>
        <v>35</v>
      </c>
      <c r="D88" s="10"/>
      <c r="E88" s="18" t="s">
        <v>7</v>
      </c>
      <c r="F88" s="6"/>
      <c r="G88" s="9"/>
      <c r="H88" s="10"/>
      <c r="I88" s="10"/>
      <c r="J88" s="10"/>
      <c r="K88" s="20" t="s">
        <v>8</v>
      </c>
      <c r="L88" s="21" t="s">
        <v>9</v>
      </c>
      <c r="M88" s="21" t="s">
        <v>10</v>
      </c>
      <c r="N88" s="20" t="s">
        <v>11</v>
      </c>
      <c r="O88" s="21" t="s">
        <v>12</v>
      </c>
      <c r="P88" s="22" t="s">
        <v>13</v>
      </c>
      <c r="Q88" s="21" t="s">
        <v>11</v>
      </c>
      <c r="R88" s="21" t="s">
        <v>12</v>
      </c>
      <c r="S88" s="22" t="s">
        <v>13</v>
      </c>
      <c r="T88" s="23" t="s">
        <v>14</v>
      </c>
      <c r="U88" s="17"/>
      <c r="V88" s="10"/>
      <c r="W88" s="10"/>
      <c r="X88" s="10"/>
    </row>
    <row r="89" spans="1:25">
      <c r="A89" s="2"/>
      <c r="B89" s="24" t="s">
        <v>15</v>
      </c>
      <c r="C89" s="25">
        <f>P96</f>
        <v>14</v>
      </c>
      <c r="D89" s="10"/>
      <c r="E89" s="26" t="s">
        <v>16</v>
      </c>
      <c r="F89" s="27">
        <v>0.05</v>
      </c>
      <c r="G89" s="28"/>
      <c r="H89" s="10"/>
      <c r="I89" s="10"/>
      <c r="J89" s="18" t="s">
        <v>17</v>
      </c>
      <c r="K89" s="29">
        <f>K125</f>
        <v>11</v>
      </c>
      <c r="L89" s="29">
        <f t="shared" ref="L89:S89" si="16">L125</f>
        <v>11</v>
      </c>
      <c r="M89" s="29">
        <f t="shared" si="16"/>
        <v>11</v>
      </c>
      <c r="N89" s="29">
        <f t="shared" si="16"/>
        <v>11</v>
      </c>
      <c r="O89" s="29">
        <f t="shared" si="16"/>
        <v>11</v>
      </c>
      <c r="P89" s="29">
        <f t="shared" si="16"/>
        <v>1</v>
      </c>
      <c r="Q89" s="29">
        <f t="shared" si="16"/>
        <v>8</v>
      </c>
      <c r="R89" s="29">
        <f t="shared" si="16"/>
        <v>8</v>
      </c>
      <c r="S89" s="29">
        <f t="shared" si="16"/>
        <v>4</v>
      </c>
      <c r="T89" s="30">
        <f>T168</f>
        <v>0</v>
      </c>
      <c r="U89" s="17"/>
      <c r="V89" s="10"/>
      <c r="W89" s="10"/>
      <c r="X89" s="10"/>
    </row>
    <row r="90" spans="1:25">
      <c r="A90" s="2"/>
      <c r="B90" s="24" t="s">
        <v>18</v>
      </c>
      <c r="C90" s="25">
        <f>P97</f>
        <v>21</v>
      </c>
      <c r="D90" s="10"/>
      <c r="E90" s="10"/>
      <c r="F90" s="10"/>
      <c r="G90" s="31"/>
      <c r="H90" s="10"/>
      <c r="I90" s="10"/>
      <c r="J90" s="32" t="s">
        <v>19</v>
      </c>
      <c r="K90" s="33">
        <f>K125/K124</f>
        <v>1</v>
      </c>
      <c r="L90" s="33">
        <f t="shared" ref="L90:S90" si="17">L125/L124</f>
        <v>1</v>
      </c>
      <c r="M90" s="33">
        <f t="shared" si="17"/>
        <v>1</v>
      </c>
      <c r="N90" s="33">
        <f t="shared" si="17"/>
        <v>1</v>
      </c>
      <c r="O90" s="33">
        <f t="shared" si="17"/>
        <v>1</v>
      </c>
      <c r="P90" s="33">
        <f t="shared" si="17"/>
        <v>9.0909090909090912E-2</v>
      </c>
      <c r="Q90" s="33">
        <f t="shared" si="17"/>
        <v>0.72727272727272729</v>
      </c>
      <c r="R90" s="33">
        <f t="shared" si="17"/>
        <v>0.72727272727272729</v>
      </c>
      <c r="S90" s="33">
        <f t="shared" si="17"/>
        <v>0.36363636363636365</v>
      </c>
      <c r="T90" s="23">
        <v>1</v>
      </c>
      <c r="U90" s="17" t="s">
        <v>20</v>
      </c>
      <c r="V90" s="10"/>
      <c r="W90" s="10"/>
      <c r="X90" s="10"/>
    </row>
    <row r="91" spans="1:25">
      <c r="A91" s="2"/>
      <c r="B91" s="24" t="s">
        <v>21</v>
      </c>
      <c r="C91" s="34">
        <f>P98</f>
        <v>0.4</v>
      </c>
      <c r="D91" s="10"/>
      <c r="E91" s="10"/>
      <c r="F91" s="10"/>
      <c r="G91" s="10"/>
      <c r="H91" s="10"/>
      <c r="I91" s="10"/>
      <c r="J91" s="10"/>
      <c r="K91" s="10"/>
      <c r="L91" s="10"/>
      <c r="M91" s="10"/>
      <c r="N91" s="10"/>
      <c r="O91" s="10"/>
      <c r="P91" s="10"/>
      <c r="Q91" s="10"/>
      <c r="R91" s="10"/>
      <c r="S91" s="10"/>
      <c r="T91" s="10"/>
      <c r="U91" s="17"/>
      <c r="V91" s="10"/>
      <c r="W91" s="10"/>
      <c r="X91" s="10"/>
    </row>
    <row r="92" spans="1:25">
      <c r="A92" s="2"/>
      <c r="B92" s="24"/>
      <c r="C92" s="25"/>
      <c r="D92" s="10"/>
      <c r="E92" s="10"/>
      <c r="F92" s="18" t="s">
        <v>22</v>
      </c>
      <c r="G92" s="19" t="s">
        <v>23</v>
      </c>
      <c r="H92" s="35" t="s">
        <v>24</v>
      </c>
      <c r="I92" s="10"/>
      <c r="J92" s="10"/>
      <c r="K92" s="36"/>
      <c r="L92" s="36"/>
      <c r="M92" s="36"/>
      <c r="N92" s="36"/>
      <c r="O92" s="36"/>
      <c r="P92" s="36"/>
      <c r="Q92" s="36"/>
      <c r="R92" s="10"/>
      <c r="S92" s="10"/>
      <c r="T92" s="10"/>
      <c r="U92" s="17"/>
      <c r="V92" s="10"/>
      <c r="W92" s="10"/>
      <c r="X92" s="10"/>
    </row>
    <row r="93" spans="1:25">
      <c r="A93" s="2"/>
      <c r="B93" s="32" t="s">
        <v>25</v>
      </c>
      <c r="C93" s="37">
        <f>P99</f>
        <v>2593.0078571428571</v>
      </c>
      <c r="D93" s="10"/>
      <c r="E93" s="18" t="s">
        <v>26</v>
      </c>
      <c r="F93" s="38">
        <f>P95</f>
        <v>36302.11</v>
      </c>
      <c r="G93" s="39">
        <f>I124+I134+I138</f>
        <v>36302.11</v>
      </c>
      <c r="H93" s="40"/>
      <c r="I93" s="41"/>
      <c r="J93" s="42"/>
      <c r="K93" s="43" t="s">
        <v>27</v>
      </c>
      <c r="L93" s="44"/>
      <c r="M93" s="44"/>
      <c r="N93" s="44"/>
      <c r="O93" s="44"/>
      <c r="P93" s="44"/>
      <c r="Q93" s="45"/>
      <c r="R93" s="46" t="s">
        <v>28</v>
      </c>
      <c r="S93" s="47" t="s">
        <v>29</v>
      </c>
      <c r="T93" s="10"/>
      <c r="U93" s="17"/>
      <c r="V93" s="10"/>
      <c r="W93" s="10"/>
      <c r="X93" s="10"/>
    </row>
    <row r="94" spans="1:25">
      <c r="A94" s="2"/>
      <c r="B94" s="11"/>
      <c r="C94" s="10"/>
      <c r="D94" s="10"/>
      <c r="E94" s="24" t="s">
        <v>30</v>
      </c>
      <c r="F94" s="48">
        <f>F89</f>
        <v>0.05</v>
      </c>
      <c r="G94" s="17"/>
      <c r="H94" s="40"/>
      <c r="I94" s="41"/>
      <c r="J94" s="42"/>
      <c r="K94" s="20" t="s">
        <v>31</v>
      </c>
      <c r="L94" s="21" t="s">
        <v>32</v>
      </c>
      <c r="M94" s="21" t="s">
        <v>33</v>
      </c>
      <c r="N94" s="21" t="s">
        <v>34</v>
      </c>
      <c r="O94" s="21" t="s">
        <v>35</v>
      </c>
      <c r="P94" s="21" t="s">
        <v>36</v>
      </c>
      <c r="Q94" s="49" t="s">
        <v>37</v>
      </c>
      <c r="R94" s="50" t="s">
        <v>38</v>
      </c>
      <c r="S94" s="50" t="s">
        <v>38</v>
      </c>
      <c r="T94" s="10"/>
      <c r="U94" s="17"/>
      <c r="V94" s="10"/>
      <c r="W94" s="10"/>
      <c r="X94" s="10"/>
    </row>
    <row r="95" spans="1:25">
      <c r="A95" s="2"/>
      <c r="B95" s="11"/>
      <c r="C95" s="10"/>
      <c r="D95" s="10"/>
      <c r="E95" s="51" t="s">
        <v>39</v>
      </c>
      <c r="F95" s="52">
        <f>(F93-I120-I132-I133-I137)*F94</f>
        <v>960.16550000000007</v>
      </c>
      <c r="G95" s="53" t="s">
        <v>40</v>
      </c>
      <c r="H95" s="54">
        <f>F95/1.12</f>
        <v>857.29062499999998</v>
      </c>
      <c r="I95" s="55"/>
      <c r="J95" s="42"/>
      <c r="K95" s="56">
        <f>I113+I114</f>
        <v>3754.66</v>
      </c>
      <c r="L95" s="57">
        <f>+I115+I116</f>
        <v>5126.75</v>
      </c>
      <c r="M95" s="57">
        <f>+I117+I118+I133+I132+I119+I137</f>
        <v>20237.099999999999</v>
      </c>
      <c r="N95" s="57">
        <f>I120</f>
        <v>985.3</v>
      </c>
      <c r="O95" s="57">
        <f>I121+I122+I123</f>
        <v>6198.3</v>
      </c>
      <c r="P95" s="57">
        <f>SUM(K95:O95)</f>
        <v>36302.11</v>
      </c>
      <c r="Q95" s="58">
        <v>0</v>
      </c>
      <c r="R95" s="59">
        <f>I134+I138</f>
        <v>16113.5</v>
      </c>
      <c r="S95" s="59"/>
      <c r="T95" s="10"/>
      <c r="U95" s="17"/>
      <c r="V95" s="10"/>
      <c r="W95" s="10"/>
      <c r="X95" s="10"/>
    </row>
    <row r="96" spans="1:25">
      <c r="A96" s="2"/>
      <c r="B96" s="11"/>
      <c r="C96" s="10"/>
      <c r="D96" s="10"/>
      <c r="E96" s="24" t="s">
        <v>41</v>
      </c>
      <c r="F96" s="60">
        <f>Q95</f>
        <v>0</v>
      </c>
      <c r="G96" s="61" t="s">
        <v>40</v>
      </c>
      <c r="H96" s="62"/>
      <c r="I96" s="62"/>
      <c r="J96" s="10" t="s">
        <v>42</v>
      </c>
      <c r="K96" s="63">
        <v>2</v>
      </c>
      <c r="L96" s="63">
        <v>2</v>
      </c>
      <c r="M96" s="63">
        <v>6</v>
      </c>
      <c r="N96" s="63">
        <v>1</v>
      </c>
      <c r="O96" s="63">
        <v>3</v>
      </c>
      <c r="P96" s="21">
        <f>SUM(K96:O96)</f>
        <v>14</v>
      </c>
      <c r="Q96" s="64"/>
      <c r="R96" s="63"/>
      <c r="S96" s="10"/>
      <c r="T96" s="10"/>
      <c r="U96" s="17"/>
      <c r="V96" s="10"/>
      <c r="W96" s="10"/>
      <c r="X96" s="10"/>
    </row>
    <row r="97" spans="1:24">
      <c r="A97" s="2"/>
      <c r="B97" s="11"/>
      <c r="C97" s="10"/>
      <c r="D97" s="10"/>
      <c r="E97" s="51" t="s">
        <v>43</v>
      </c>
      <c r="F97" s="52">
        <f>F96*0.25</f>
        <v>0</v>
      </c>
      <c r="G97" s="53" t="s">
        <v>40</v>
      </c>
      <c r="H97" s="54">
        <f>F97/1.12</f>
        <v>0</v>
      </c>
      <c r="I97" s="10"/>
      <c r="J97" s="10" t="s">
        <v>44</v>
      </c>
      <c r="K97" s="63">
        <v>4</v>
      </c>
      <c r="L97" s="63">
        <v>4</v>
      </c>
      <c r="M97" s="63">
        <v>2</v>
      </c>
      <c r="N97" s="63">
        <v>3</v>
      </c>
      <c r="O97" s="63">
        <v>8</v>
      </c>
      <c r="P97" s="21">
        <f>SUM(K97:O97)</f>
        <v>21</v>
      </c>
      <c r="Q97" s="64"/>
      <c r="R97" s="63"/>
      <c r="S97" s="10"/>
      <c r="T97" s="10"/>
      <c r="U97" s="17"/>
      <c r="V97" s="10"/>
      <c r="W97" s="10"/>
      <c r="X97" s="10"/>
    </row>
    <row r="98" spans="1:24">
      <c r="A98" s="2"/>
      <c r="B98" s="11"/>
      <c r="C98" s="10"/>
      <c r="D98" s="10"/>
      <c r="E98" s="24" t="s">
        <v>45</v>
      </c>
      <c r="F98" s="60">
        <f>I128</f>
        <v>3403.3</v>
      </c>
      <c r="G98" s="61" t="s">
        <v>40</v>
      </c>
      <c r="H98" s="62"/>
      <c r="I98" s="10"/>
      <c r="J98" s="10" t="s">
        <v>46</v>
      </c>
      <c r="K98" s="31">
        <f t="shared" ref="K98:Q98" si="18">K96/(K96+K97)</f>
        <v>0.33333333333333331</v>
      </c>
      <c r="L98" s="31">
        <f t="shared" si="18"/>
        <v>0.33333333333333331</v>
      </c>
      <c r="M98" s="31">
        <f t="shared" si="18"/>
        <v>0.75</v>
      </c>
      <c r="N98" s="31">
        <f t="shared" si="18"/>
        <v>0.25</v>
      </c>
      <c r="O98" s="31">
        <f t="shared" si="18"/>
        <v>0.27272727272727271</v>
      </c>
      <c r="P98" s="31">
        <f t="shared" si="18"/>
        <v>0.4</v>
      </c>
      <c r="Q98" s="31" t="e">
        <f t="shared" si="18"/>
        <v>#DIV/0!</v>
      </c>
      <c r="R98" s="63"/>
      <c r="S98" s="10"/>
      <c r="T98" s="10"/>
      <c r="U98" s="17"/>
      <c r="V98" s="10"/>
      <c r="W98" s="10"/>
      <c r="X98" s="10"/>
    </row>
    <row r="99" spans="1:24">
      <c r="A99" s="2"/>
      <c r="B99" s="11"/>
      <c r="C99" s="10"/>
      <c r="D99" s="10"/>
      <c r="E99" s="51" t="s">
        <v>47</v>
      </c>
      <c r="F99" s="52">
        <f>(F98-I128)*0.05</f>
        <v>0</v>
      </c>
      <c r="G99" s="65" t="s">
        <v>40</v>
      </c>
      <c r="H99" s="54">
        <f>F99/1.12</f>
        <v>0</v>
      </c>
      <c r="I99" s="42"/>
      <c r="J99" s="10" t="s">
        <v>48</v>
      </c>
      <c r="K99" s="66">
        <f>K95/K96</f>
        <v>1877.33</v>
      </c>
      <c r="L99" s="66">
        <f t="shared" ref="L99:Q99" si="19">L95/L96</f>
        <v>2563.375</v>
      </c>
      <c r="M99" s="66">
        <f t="shared" si="19"/>
        <v>3372.85</v>
      </c>
      <c r="N99" s="66">
        <f t="shared" si="19"/>
        <v>985.3</v>
      </c>
      <c r="O99" s="66">
        <f t="shared" si="19"/>
        <v>2066.1</v>
      </c>
      <c r="P99" s="66">
        <f t="shared" si="19"/>
        <v>2593.0078571428571</v>
      </c>
      <c r="Q99" s="66" t="e">
        <f t="shared" si="19"/>
        <v>#DIV/0!</v>
      </c>
      <c r="R99" s="63"/>
      <c r="S99" s="10"/>
      <c r="T99" s="10"/>
      <c r="U99" s="17"/>
      <c r="V99" s="10"/>
      <c r="W99" s="10"/>
      <c r="X99" s="10"/>
    </row>
    <row r="100" spans="1:24">
      <c r="A100" s="2"/>
      <c r="B100" s="11"/>
      <c r="C100" s="10"/>
      <c r="D100" s="10"/>
      <c r="E100" s="67" t="s">
        <v>14</v>
      </c>
      <c r="F100" s="68"/>
      <c r="G100" s="10"/>
      <c r="H100" s="54">
        <f>F100/1.12</f>
        <v>0</v>
      </c>
      <c r="I100" s="10"/>
      <c r="J100" s="10"/>
      <c r="K100" s="10"/>
      <c r="L100" s="10"/>
      <c r="M100" s="10"/>
      <c r="N100" s="10"/>
      <c r="O100" s="10"/>
      <c r="P100" s="10"/>
      <c r="Q100" s="10"/>
      <c r="R100" s="10"/>
      <c r="S100" s="10"/>
      <c r="T100" s="10"/>
      <c r="U100" s="17"/>
      <c r="V100" s="10"/>
      <c r="W100" s="10"/>
      <c r="X100" s="10"/>
    </row>
    <row r="101" spans="1:24" ht="15" customHeight="1">
      <c r="A101" s="2"/>
      <c r="B101" s="11"/>
      <c r="C101" s="10"/>
      <c r="D101" s="10"/>
      <c r="E101" s="155" t="s">
        <v>49</v>
      </c>
      <c r="F101" s="364">
        <f>T90</f>
        <v>1</v>
      </c>
      <c r="G101" s="10"/>
      <c r="H101" s="54"/>
      <c r="I101" s="55"/>
      <c r="J101" s="42"/>
      <c r="K101" s="764" t="s">
        <v>50</v>
      </c>
      <c r="L101" s="764"/>
      <c r="M101" s="764"/>
      <c r="N101" s="764"/>
      <c r="O101" s="764"/>
      <c r="P101" s="764"/>
      <c r="Q101" s="764"/>
      <c r="R101" s="70" t="s">
        <v>28</v>
      </c>
      <c r="S101" s="71" t="s">
        <v>29</v>
      </c>
      <c r="T101" s="10"/>
      <c r="U101" s="17"/>
      <c r="V101" s="10"/>
      <c r="W101" s="10"/>
      <c r="X101" s="10"/>
    </row>
    <row r="102" spans="1:24">
      <c r="A102" s="2"/>
      <c r="B102" s="11"/>
      <c r="C102" s="10"/>
      <c r="D102" s="10"/>
      <c r="E102" s="12"/>
      <c r="F102" s="76"/>
      <c r="G102" s="10"/>
      <c r="H102" s="10"/>
      <c r="I102" s="10"/>
      <c r="J102" s="42"/>
      <c r="K102" s="20" t="s">
        <v>31</v>
      </c>
      <c r="L102" s="21" t="s">
        <v>32</v>
      </c>
      <c r="M102" s="21" t="s">
        <v>33</v>
      </c>
      <c r="N102" s="21" t="s">
        <v>34</v>
      </c>
      <c r="O102" s="21" t="s">
        <v>35</v>
      </c>
      <c r="P102" s="21" t="s">
        <v>36</v>
      </c>
      <c r="Q102" s="49" t="s">
        <v>37</v>
      </c>
      <c r="R102" s="50" t="s">
        <v>38</v>
      </c>
      <c r="S102" s="50" t="s">
        <v>38</v>
      </c>
      <c r="T102" s="10"/>
      <c r="U102" s="17"/>
      <c r="V102" s="10"/>
      <c r="W102" s="10"/>
      <c r="X102" s="10"/>
    </row>
    <row r="103" spans="1:24">
      <c r="A103" s="2"/>
      <c r="B103" s="11"/>
      <c r="C103" s="10"/>
      <c r="D103" s="10"/>
      <c r="E103" s="12"/>
      <c r="F103" s="76"/>
      <c r="G103" s="10"/>
      <c r="H103" s="10"/>
      <c r="I103" s="10"/>
      <c r="J103" s="42"/>
      <c r="K103" s="56">
        <f>F113+F114</f>
        <v>4285</v>
      </c>
      <c r="L103" s="57">
        <f>+F115+F116</f>
        <v>5475</v>
      </c>
      <c r="M103" s="57">
        <f>+F117+F118+F133+F132+F119+F137</f>
        <v>21959</v>
      </c>
      <c r="N103" s="57">
        <f>F120</f>
        <v>1025</v>
      </c>
      <c r="O103" s="57">
        <f>F121+F122+F123</f>
        <v>6238</v>
      </c>
      <c r="P103" s="57">
        <f>SUM(K103:O103)</f>
        <v>38982</v>
      </c>
      <c r="Q103" s="58">
        <v>0</v>
      </c>
      <c r="R103" s="59">
        <f>F134+F138</f>
        <v>17756</v>
      </c>
      <c r="S103" s="59"/>
      <c r="T103" s="10"/>
      <c r="U103" s="17"/>
      <c r="V103" s="10"/>
      <c r="W103" s="10"/>
      <c r="X103" s="10"/>
    </row>
    <row r="104" spans="1:24">
      <c r="A104" s="2"/>
      <c r="B104" s="11"/>
      <c r="C104" s="10"/>
      <c r="D104" s="10"/>
      <c r="E104" s="10"/>
      <c r="F104" s="10"/>
      <c r="G104" s="10"/>
      <c r="H104" s="10"/>
      <c r="I104" s="10"/>
      <c r="J104" s="10" t="s">
        <v>42</v>
      </c>
      <c r="K104" s="63">
        <f>K96</f>
        <v>2</v>
      </c>
      <c r="L104" s="63">
        <f t="shared" ref="L104:Q105" si="20">L96</f>
        <v>2</v>
      </c>
      <c r="M104" s="63">
        <f t="shared" si="20"/>
        <v>6</v>
      </c>
      <c r="N104" s="63">
        <f t="shared" si="20"/>
        <v>1</v>
      </c>
      <c r="O104" s="63">
        <f t="shared" si="20"/>
        <v>3</v>
      </c>
      <c r="P104" s="63">
        <f t="shared" si="20"/>
        <v>14</v>
      </c>
      <c r="Q104" s="63">
        <f t="shared" si="20"/>
        <v>0</v>
      </c>
      <c r="R104" s="63"/>
      <c r="S104" s="10"/>
      <c r="T104" s="10"/>
      <c r="U104" s="17"/>
      <c r="V104" s="10"/>
      <c r="W104" s="10"/>
      <c r="X104" s="10"/>
    </row>
    <row r="105" spans="1:24">
      <c r="A105" s="2"/>
      <c r="B105" s="11"/>
      <c r="C105" s="10"/>
      <c r="D105" s="10"/>
      <c r="E105" s="10"/>
      <c r="F105" s="10"/>
      <c r="G105" s="10"/>
      <c r="H105" s="10"/>
      <c r="I105" s="10"/>
      <c r="J105" s="10" t="s">
        <v>44</v>
      </c>
      <c r="K105" s="63">
        <f>K97</f>
        <v>4</v>
      </c>
      <c r="L105" s="63">
        <f t="shared" si="20"/>
        <v>4</v>
      </c>
      <c r="M105" s="63">
        <f t="shared" si="20"/>
        <v>2</v>
      </c>
      <c r="N105" s="63">
        <f t="shared" si="20"/>
        <v>3</v>
      </c>
      <c r="O105" s="63">
        <f t="shared" si="20"/>
        <v>8</v>
      </c>
      <c r="P105" s="63">
        <f t="shared" si="20"/>
        <v>21</v>
      </c>
      <c r="Q105" s="63">
        <f t="shared" si="20"/>
        <v>0</v>
      </c>
      <c r="R105" s="63"/>
      <c r="S105" s="10"/>
      <c r="T105" s="10"/>
      <c r="U105" s="17"/>
      <c r="V105" s="10"/>
      <c r="W105" s="10"/>
      <c r="X105" s="10"/>
    </row>
    <row r="106" spans="1:24">
      <c r="A106" s="2"/>
      <c r="B106" s="11"/>
      <c r="C106" s="10"/>
      <c r="D106" s="10"/>
      <c r="E106" s="12"/>
      <c r="F106" s="76"/>
      <c r="G106" s="10"/>
      <c r="H106" s="10"/>
      <c r="I106" s="10"/>
      <c r="J106" s="10" t="s">
        <v>46</v>
      </c>
      <c r="K106" s="31">
        <f t="shared" ref="K106:Q106" si="21">K104/(K104+K105)</f>
        <v>0.33333333333333331</v>
      </c>
      <c r="L106" s="31">
        <f t="shared" si="21"/>
        <v>0.33333333333333331</v>
      </c>
      <c r="M106" s="31">
        <f t="shared" si="21"/>
        <v>0.75</v>
      </c>
      <c r="N106" s="31">
        <f t="shared" si="21"/>
        <v>0.25</v>
      </c>
      <c r="O106" s="31">
        <f t="shared" si="21"/>
        <v>0.27272727272727271</v>
      </c>
      <c r="P106" s="31">
        <f t="shared" si="21"/>
        <v>0.4</v>
      </c>
      <c r="Q106" s="31" t="e">
        <f t="shared" si="21"/>
        <v>#DIV/0!</v>
      </c>
      <c r="R106" s="63"/>
      <c r="S106" s="10"/>
      <c r="T106" s="10"/>
      <c r="U106" s="17"/>
      <c r="V106" s="10"/>
      <c r="W106" s="10"/>
      <c r="X106" s="10"/>
    </row>
    <row r="107" spans="1:24">
      <c r="A107" s="2"/>
      <c r="B107" s="11"/>
      <c r="C107" s="10"/>
      <c r="D107" s="10"/>
      <c r="E107" s="10"/>
      <c r="F107" s="10"/>
      <c r="G107" s="10"/>
      <c r="H107" s="10"/>
      <c r="I107" s="10"/>
      <c r="J107" s="10" t="s">
        <v>48</v>
      </c>
      <c r="K107" s="66">
        <f t="shared" ref="K107:Q107" si="22">K103/K104</f>
        <v>2142.5</v>
      </c>
      <c r="L107" s="66">
        <f t="shared" si="22"/>
        <v>2737.5</v>
      </c>
      <c r="M107" s="66">
        <f t="shared" si="22"/>
        <v>3659.8333333333335</v>
      </c>
      <c r="N107" s="66">
        <f t="shared" si="22"/>
        <v>1025</v>
      </c>
      <c r="O107" s="66">
        <f t="shared" si="22"/>
        <v>2079.3333333333335</v>
      </c>
      <c r="P107" s="66">
        <f t="shared" si="22"/>
        <v>2784.4285714285716</v>
      </c>
      <c r="Q107" s="66" t="e">
        <f t="shared" si="22"/>
        <v>#DIV/0!</v>
      </c>
      <c r="R107" s="63"/>
      <c r="S107" s="10"/>
      <c r="T107" s="10"/>
      <c r="U107" s="17"/>
      <c r="V107" s="10"/>
      <c r="W107" s="10"/>
      <c r="X107" s="10"/>
    </row>
    <row r="108" spans="1:24">
      <c r="A108" s="2"/>
      <c r="B108" s="11"/>
      <c r="C108" s="10"/>
      <c r="D108" s="10"/>
      <c r="E108" s="10"/>
      <c r="F108" s="10"/>
      <c r="G108" s="10"/>
      <c r="H108" s="10"/>
      <c r="I108" s="10"/>
      <c r="J108" s="10"/>
      <c r="K108" s="10"/>
      <c r="L108" s="10"/>
      <c r="M108" s="10"/>
      <c r="N108" s="10"/>
      <c r="O108" s="10"/>
      <c r="P108" s="10"/>
      <c r="Q108" s="10"/>
      <c r="R108" s="10"/>
      <c r="S108" s="10"/>
      <c r="T108" s="10"/>
      <c r="U108" s="17"/>
      <c r="V108" s="10"/>
      <c r="W108" s="10"/>
      <c r="X108" s="10"/>
    </row>
    <row r="109" spans="1:24">
      <c r="A109" s="2"/>
      <c r="B109" s="11"/>
      <c r="C109" s="10"/>
      <c r="D109" s="10"/>
      <c r="E109" s="10"/>
      <c r="F109" s="10"/>
      <c r="G109" s="10"/>
      <c r="H109" s="10"/>
      <c r="I109" s="10"/>
      <c r="J109" s="10"/>
      <c r="K109" s="10"/>
      <c r="L109" s="10"/>
      <c r="M109" s="10"/>
      <c r="N109" s="10"/>
      <c r="O109" s="10"/>
      <c r="P109" s="10"/>
      <c r="Q109" s="10"/>
      <c r="R109" s="10"/>
      <c r="S109" s="10"/>
      <c r="T109" s="10"/>
      <c r="U109" s="17"/>
      <c r="V109" s="10"/>
      <c r="W109" s="10"/>
      <c r="X109" s="10"/>
    </row>
    <row r="110" spans="1:24">
      <c r="A110" s="2"/>
      <c r="B110" s="18" t="s">
        <v>51</v>
      </c>
      <c r="C110" s="14"/>
      <c r="D110" s="14"/>
      <c r="E110" s="14"/>
      <c r="F110" s="13" t="s">
        <v>52</v>
      </c>
      <c r="G110" s="14"/>
      <c r="H110" s="14"/>
      <c r="I110" s="14"/>
      <c r="J110" s="14"/>
      <c r="K110" s="13" t="s">
        <v>3</v>
      </c>
      <c r="L110" s="14"/>
      <c r="M110" s="14"/>
      <c r="N110" s="13" t="s">
        <v>4</v>
      </c>
      <c r="O110" s="14"/>
      <c r="P110" s="14"/>
      <c r="Q110" s="13" t="s">
        <v>5</v>
      </c>
      <c r="R110" s="14"/>
      <c r="S110" s="14"/>
      <c r="T110" s="18"/>
      <c r="U110" s="16" t="s">
        <v>53</v>
      </c>
      <c r="V110" s="77"/>
      <c r="W110" s="77"/>
      <c r="X110" s="77"/>
    </row>
    <row r="111" spans="1:24">
      <c r="A111" s="2"/>
      <c r="B111" s="24" t="s">
        <v>54</v>
      </c>
      <c r="C111" s="21" t="s">
        <v>55</v>
      </c>
      <c r="D111" s="21" t="s">
        <v>56</v>
      </c>
      <c r="E111" s="21" t="s">
        <v>57</v>
      </c>
      <c r="F111" s="20" t="s">
        <v>58</v>
      </c>
      <c r="G111" s="21" t="s">
        <v>59</v>
      </c>
      <c r="H111" s="21" t="s">
        <v>60</v>
      </c>
      <c r="I111" s="21" t="s">
        <v>26</v>
      </c>
      <c r="J111" s="22" t="s">
        <v>61</v>
      </c>
      <c r="K111" s="21" t="s">
        <v>8</v>
      </c>
      <c r="L111" s="21" t="s">
        <v>9</v>
      </c>
      <c r="M111" s="21" t="s">
        <v>10</v>
      </c>
      <c r="N111" s="20" t="s">
        <v>11</v>
      </c>
      <c r="O111" s="21" t="s">
        <v>12</v>
      </c>
      <c r="P111" s="22" t="s">
        <v>13</v>
      </c>
      <c r="Q111" s="21" t="s">
        <v>11</v>
      </c>
      <c r="R111" s="21" t="s">
        <v>12</v>
      </c>
      <c r="S111" s="21" t="s">
        <v>13</v>
      </c>
      <c r="T111" s="78" t="s">
        <v>14</v>
      </c>
      <c r="U111" s="30"/>
      <c r="V111" s="79" t="s">
        <v>62</v>
      </c>
      <c r="W111" s="80" t="s">
        <v>63</v>
      </c>
      <c r="X111" s="81" t="s">
        <v>64</v>
      </c>
    </row>
    <row r="112" spans="1:24">
      <c r="A112" s="2"/>
      <c r="B112" s="4" t="s">
        <v>65</v>
      </c>
      <c r="C112" s="6"/>
      <c r="D112" s="6"/>
      <c r="E112" s="6"/>
      <c r="F112" s="6"/>
      <c r="G112" s="6"/>
      <c r="H112" s="6"/>
      <c r="I112" s="82"/>
      <c r="J112" s="6"/>
      <c r="K112" s="6"/>
      <c r="L112" s="6"/>
      <c r="M112" s="6"/>
      <c r="N112" s="6"/>
      <c r="O112" s="6"/>
      <c r="P112" s="6"/>
      <c r="Q112" s="6"/>
      <c r="R112" s="6"/>
      <c r="S112" s="6"/>
      <c r="T112" s="83"/>
      <c r="U112" s="6"/>
      <c r="V112" s="84"/>
      <c r="W112" s="85"/>
      <c r="X112" s="86"/>
    </row>
    <row r="113" spans="1:25">
      <c r="A113" s="2"/>
      <c r="B113" s="87">
        <v>1</v>
      </c>
      <c r="C113" s="274">
        <v>45838</v>
      </c>
      <c r="D113" s="327">
        <v>71051</v>
      </c>
      <c r="E113" s="276" t="s">
        <v>204</v>
      </c>
      <c r="F113" s="277">
        <v>2604</v>
      </c>
      <c r="G113" s="277">
        <f>39.7+44+(206.94)+200</f>
        <v>490.64</v>
      </c>
      <c r="H113" s="297"/>
      <c r="I113" s="321">
        <f t="shared" ref="I113:I123" si="23">F113-G113-H113</f>
        <v>2113.36</v>
      </c>
      <c r="J113" s="279" t="s">
        <v>156</v>
      </c>
      <c r="K113" s="279">
        <v>1</v>
      </c>
      <c r="L113" s="279">
        <v>1</v>
      </c>
      <c r="M113" s="279">
        <v>1</v>
      </c>
      <c r="N113" s="279">
        <v>1</v>
      </c>
      <c r="O113" s="279">
        <v>1</v>
      </c>
      <c r="P113" s="322">
        <v>0</v>
      </c>
      <c r="Q113" s="279">
        <v>1</v>
      </c>
      <c r="R113" s="279">
        <v>1</v>
      </c>
      <c r="S113" s="280">
        <v>1</v>
      </c>
      <c r="T113" s="94" t="s">
        <v>1882</v>
      </c>
      <c r="U113" s="10" t="s">
        <v>1883</v>
      </c>
      <c r="V113" s="90">
        <f>280+2584.4</f>
        <v>2864.4</v>
      </c>
      <c r="W113" s="91"/>
      <c r="X113" s="92"/>
    </row>
    <row r="114" spans="1:25">
      <c r="A114" s="2"/>
      <c r="B114" s="87">
        <f t="shared" ref="B114:B123" si="24">B113+1</f>
        <v>2</v>
      </c>
      <c r="C114" s="295">
        <v>45838</v>
      </c>
      <c r="D114" s="323">
        <v>71093</v>
      </c>
      <c r="E114" s="10" t="s">
        <v>172</v>
      </c>
      <c r="F114" s="62">
        <v>1681</v>
      </c>
      <c r="G114" s="62">
        <v>39.700000000000003</v>
      </c>
      <c r="H114" s="62"/>
      <c r="I114" s="324">
        <f t="shared" si="23"/>
        <v>1641.3</v>
      </c>
      <c r="J114" s="63" t="s">
        <v>156</v>
      </c>
      <c r="K114" s="63">
        <v>1</v>
      </c>
      <c r="L114" s="63">
        <v>1</v>
      </c>
      <c r="M114" s="63">
        <v>1</v>
      </c>
      <c r="N114" s="63">
        <v>1</v>
      </c>
      <c r="O114" s="63">
        <v>1</v>
      </c>
      <c r="P114" s="325">
        <v>0</v>
      </c>
      <c r="Q114" s="325">
        <v>0</v>
      </c>
      <c r="R114" s="325">
        <v>0</v>
      </c>
      <c r="S114" s="326">
        <v>0</v>
      </c>
      <c r="T114" s="63"/>
      <c r="U114" s="10" t="s">
        <v>1884</v>
      </c>
      <c r="V114" s="90">
        <v>1849.1</v>
      </c>
      <c r="W114" s="91"/>
      <c r="X114" s="92"/>
    </row>
    <row r="115" spans="1:25">
      <c r="A115" s="93"/>
      <c r="B115" s="87">
        <f t="shared" si="24"/>
        <v>3</v>
      </c>
      <c r="C115" s="274">
        <v>45839</v>
      </c>
      <c r="D115" s="327">
        <v>71125</v>
      </c>
      <c r="E115" s="276" t="s">
        <v>178</v>
      </c>
      <c r="F115" s="277">
        <v>2861</v>
      </c>
      <c r="G115" s="277">
        <f>39.7+(91.66)</f>
        <v>131.36000000000001</v>
      </c>
      <c r="H115" s="277"/>
      <c r="I115" s="321">
        <f t="shared" si="23"/>
        <v>2729.64</v>
      </c>
      <c r="J115" s="279" t="s">
        <v>156</v>
      </c>
      <c r="K115" s="279">
        <v>1</v>
      </c>
      <c r="L115" s="279">
        <v>1</v>
      </c>
      <c r="M115" s="279">
        <v>1</v>
      </c>
      <c r="N115" s="279">
        <v>1</v>
      </c>
      <c r="O115" s="279">
        <v>1</v>
      </c>
      <c r="P115" s="322">
        <v>0</v>
      </c>
      <c r="Q115" s="279">
        <v>1</v>
      </c>
      <c r="R115" s="279">
        <v>1</v>
      </c>
      <c r="S115" s="328">
        <v>0</v>
      </c>
      <c r="T115" s="63"/>
      <c r="U115" s="10" t="s">
        <v>1885</v>
      </c>
      <c r="V115" s="90">
        <v>3147.1</v>
      </c>
      <c r="W115" s="91"/>
      <c r="X115" s="92"/>
    </row>
    <row r="116" spans="1:25">
      <c r="A116" s="2"/>
      <c r="B116" s="87">
        <f>B115+1</f>
        <v>4</v>
      </c>
      <c r="C116" s="295">
        <v>45839</v>
      </c>
      <c r="D116" s="323">
        <v>71136</v>
      </c>
      <c r="E116" s="101" t="s">
        <v>1886</v>
      </c>
      <c r="F116" s="62">
        <v>2614</v>
      </c>
      <c r="G116" s="62">
        <f>39.7+(177.19)</f>
        <v>216.89</v>
      </c>
      <c r="H116" s="62"/>
      <c r="I116" s="324">
        <f>F116-G116-H116</f>
        <v>2397.11</v>
      </c>
      <c r="J116" s="63" t="s">
        <v>156</v>
      </c>
      <c r="K116" s="63">
        <v>1</v>
      </c>
      <c r="L116" s="63">
        <v>1</v>
      </c>
      <c r="M116" s="63">
        <v>1</v>
      </c>
      <c r="N116" s="63">
        <v>1</v>
      </c>
      <c r="O116" s="63">
        <v>1</v>
      </c>
      <c r="P116" s="325">
        <v>0</v>
      </c>
      <c r="Q116" s="63">
        <v>1</v>
      </c>
      <c r="R116" s="63">
        <v>1</v>
      </c>
      <c r="S116" s="326">
        <v>0</v>
      </c>
      <c r="T116" s="63"/>
      <c r="U116" s="10" t="s">
        <v>1887</v>
      </c>
      <c r="V116" s="90">
        <f>280+2595.1</f>
        <v>2875.1</v>
      </c>
      <c r="W116" s="91"/>
      <c r="X116" s="92"/>
    </row>
    <row r="117" spans="1:25">
      <c r="A117" s="2"/>
      <c r="B117" s="87">
        <f>B116+1</f>
        <v>5</v>
      </c>
      <c r="C117" s="274">
        <v>45840</v>
      </c>
      <c r="D117" s="320" t="s">
        <v>1888</v>
      </c>
      <c r="E117" s="404" t="s">
        <v>809</v>
      </c>
      <c r="F117" s="277">
        <v>1461</v>
      </c>
      <c r="G117" s="277">
        <v>39.700000000000003</v>
      </c>
      <c r="H117" s="277"/>
      <c r="I117" s="321">
        <f t="shared" si="23"/>
        <v>1421.3</v>
      </c>
      <c r="J117" s="279" t="s">
        <v>156</v>
      </c>
      <c r="K117" s="279">
        <v>1</v>
      </c>
      <c r="L117" s="279">
        <v>1</v>
      </c>
      <c r="M117" s="279">
        <v>1</v>
      </c>
      <c r="N117" s="279">
        <v>1</v>
      </c>
      <c r="O117" s="279">
        <v>1</v>
      </c>
      <c r="P117" s="322">
        <v>0</v>
      </c>
      <c r="Q117" s="322">
        <v>0</v>
      </c>
      <c r="R117" s="322">
        <v>0</v>
      </c>
      <c r="S117" s="328">
        <v>0</v>
      </c>
      <c r="T117" s="63"/>
      <c r="U117" s="10"/>
      <c r="V117" s="90">
        <v>1607.1</v>
      </c>
      <c r="W117" s="91"/>
      <c r="X117" s="92"/>
    </row>
    <row r="118" spans="1:25">
      <c r="A118" s="2"/>
      <c r="B118" s="87">
        <f t="shared" si="24"/>
        <v>6</v>
      </c>
      <c r="C118" s="295">
        <v>45840</v>
      </c>
      <c r="D118" s="346" t="s">
        <v>1889</v>
      </c>
      <c r="E118" s="10" t="s">
        <v>1150</v>
      </c>
      <c r="F118" s="62">
        <v>481</v>
      </c>
      <c r="G118" s="62"/>
      <c r="H118" s="62"/>
      <c r="I118" s="89">
        <f t="shared" si="23"/>
        <v>481</v>
      </c>
      <c r="J118" s="63" t="s">
        <v>156</v>
      </c>
      <c r="K118" s="63">
        <v>1</v>
      </c>
      <c r="L118" s="63">
        <v>1</v>
      </c>
      <c r="M118" s="63">
        <v>1</v>
      </c>
      <c r="N118" s="63">
        <v>1</v>
      </c>
      <c r="O118" s="63">
        <v>1</v>
      </c>
      <c r="P118" s="63">
        <v>1</v>
      </c>
      <c r="Q118" s="63">
        <v>1</v>
      </c>
      <c r="R118" s="63">
        <v>1</v>
      </c>
      <c r="S118" s="296">
        <v>1</v>
      </c>
      <c r="T118" s="63"/>
      <c r="U118" s="10"/>
      <c r="V118" s="90">
        <v>529.1</v>
      </c>
      <c r="W118" s="91"/>
      <c r="X118" s="92"/>
    </row>
    <row r="119" spans="1:25">
      <c r="A119" s="2"/>
      <c r="B119" s="87">
        <f>B118+1</f>
        <v>7</v>
      </c>
      <c r="C119" s="282">
        <v>45840</v>
      </c>
      <c r="D119" s="368">
        <v>71182</v>
      </c>
      <c r="E119" s="283" t="s">
        <v>225</v>
      </c>
      <c r="F119" s="284">
        <v>2261</v>
      </c>
      <c r="G119" s="284">
        <v>39.700000000000003</v>
      </c>
      <c r="H119" s="284"/>
      <c r="I119" s="300">
        <f t="shared" ref="I119" si="25">F119-G119-H119</f>
        <v>2221.3000000000002</v>
      </c>
      <c r="J119" s="286" t="s">
        <v>156</v>
      </c>
      <c r="K119" s="286">
        <v>1</v>
      </c>
      <c r="L119" s="286">
        <v>1</v>
      </c>
      <c r="M119" s="286">
        <v>1</v>
      </c>
      <c r="N119" s="286">
        <v>1</v>
      </c>
      <c r="O119" s="286">
        <v>1</v>
      </c>
      <c r="P119" s="332">
        <v>0</v>
      </c>
      <c r="Q119" s="286">
        <v>1</v>
      </c>
      <c r="R119" s="286">
        <v>1</v>
      </c>
      <c r="S119" s="287">
        <v>1</v>
      </c>
      <c r="T119" s="63"/>
      <c r="U119" s="94" t="s">
        <v>1890</v>
      </c>
      <c r="V119" s="90">
        <f>240+2247.1</f>
        <v>2487.1</v>
      </c>
      <c r="W119" s="136"/>
      <c r="X119" s="137"/>
    </row>
    <row r="120" spans="1:25">
      <c r="A120" s="2"/>
      <c r="B120" s="87">
        <f>B119+1</f>
        <v>8</v>
      </c>
      <c r="C120" s="295">
        <v>45841</v>
      </c>
      <c r="D120" s="323">
        <v>71213</v>
      </c>
      <c r="E120" s="10" t="s">
        <v>1891</v>
      </c>
      <c r="F120" s="62">
        <v>1025</v>
      </c>
      <c r="G120" s="62">
        <v>39.700000000000003</v>
      </c>
      <c r="H120" s="88"/>
      <c r="I120" s="369">
        <f t="shared" si="23"/>
        <v>985.3</v>
      </c>
      <c r="J120" s="63" t="s">
        <v>156</v>
      </c>
      <c r="K120" s="63">
        <v>1</v>
      </c>
      <c r="L120" s="63">
        <v>1</v>
      </c>
      <c r="M120" s="63">
        <v>1</v>
      </c>
      <c r="N120" s="63">
        <v>1</v>
      </c>
      <c r="O120" s="63">
        <v>1</v>
      </c>
      <c r="P120" s="325">
        <v>0</v>
      </c>
      <c r="Q120" s="63">
        <v>1</v>
      </c>
      <c r="R120" s="63">
        <v>1</v>
      </c>
      <c r="S120" s="326">
        <v>0</v>
      </c>
      <c r="T120" s="63"/>
      <c r="U120" s="10" t="s">
        <v>1892</v>
      </c>
      <c r="V120" s="90">
        <v>1127.5</v>
      </c>
      <c r="W120" s="91"/>
      <c r="X120" s="92"/>
    </row>
    <row r="121" spans="1:25">
      <c r="A121" s="2"/>
      <c r="B121" s="87">
        <f t="shared" si="24"/>
        <v>9</v>
      </c>
      <c r="C121" s="274">
        <v>45842</v>
      </c>
      <c r="D121" s="327">
        <v>71211</v>
      </c>
      <c r="E121" s="276" t="s">
        <v>216</v>
      </c>
      <c r="F121" s="277">
        <v>1138</v>
      </c>
      <c r="G121" s="277">
        <v>39.700000000000003</v>
      </c>
      <c r="H121" s="297"/>
      <c r="I121" s="321">
        <f t="shared" si="23"/>
        <v>1098.3</v>
      </c>
      <c r="J121" s="279" t="s">
        <v>374</v>
      </c>
      <c r="K121" s="279">
        <v>1</v>
      </c>
      <c r="L121" s="279">
        <v>1</v>
      </c>
      <c r="M121" s="279">
        <v>1</v>
      </c>
      <c r="N121" s="279">
        <v>1</v>
      </c>
      <c r="O121" s="279">
        <v>1</v>
      </c>
      <c r="P121" s="322">
        <v>0</v>
      </c>
      <c r="Q121" s="279">
        <v>1</v>
      </c>
      <c r="R121" s="279">
        <v>1</v>
      </c>
      <c r="S121" s="328">
        <v>0</v>
      </c>
      <c r="T121" s="63"/>
      <c r="U121" s="10"/>
      <c r="V121" s="90">
        <v>1251.8</v>
      </c>
      <c r="W121" s="91"/>
      <c r="X121" s="92"/>
    </row>
    <row r="122" spans="1:25">
      <c r="A122" s="2"/>
      <c r="B122" s="87">
        <f t="shared" si="24"/>
        <v>10</v>
      </c>
      <c r="C122" s="295">
        <v>45842</v>
      </c>
      <c r="D122" s="323">
        <v>71244</v>
      </c>
      <c r="E122" s="10" t="s">
        <v>1143</v>
      </c>
      <c r="F122" s="62">
        <v>4419</v>
      </c>
      <c r="G122" s="62"/>
      <c r="H122" s="88"/>
      <c r="I122" s="324">
        <f t="shared" si="23"/>
        <v>4419</v>
      </c>
      <c r="J122" s="63" t="s">
        <v>156</v>
      </c>
      <c r="K122" s="63">
        <v>1</v>
      </c>
      <c r="L122" s="63">
        <v>1</v>
      </c>
      <c r="M122" s="63">
        <v>1</v>
      </c>
      <c r="N122" s="63">
        <v>1</v>
      </c>
      <c r="O122" s="63">
        <v>1</v>
      </c>
      <c r="P122" s="325">
        <v>0</v>
      </c>
      <c r="Q122" s="63">
        <v>1</v>
      </c>
      <c r="R122" s="63">
        <v>1</v>
      </c>
      <c r="S122" s="296">
        <v>1</v>
      </c>
      <c r="T122" s="63"/>
      <c r="U122" s="10" t="s">
        <v>1383</v>
      </c>
      <c r="V122" s="90">
        <f>480+4380.9</f>
        <v>4860.8999999999996</v>
      </c>
      <c r="W122" s="91"/>
      <c r="X122" s="92"/>
    </row>
    <row r="123" spans="1:25">
      <c r="A123" s="2"/>
      <c r="B123" s="87">
        <f t="shared" si="24"/>
        <v>11</v>
      </c>
      <c r="C123" s="282">
        <v>45842</v>
      </c>
      <c r="D123" s="368">
        <v>71246</v>
      </c>
      <c r="E123" s="283" t="s">
        <v>1085</v>
      </c>
      <c r="F123" s="284">
        <v>681</v>
      </c>
      <c r="G123" s="284"/>
      <c r="H123" s="315"/>
      <c r="I123" s="300">
        <f t="shared" si="23"/>
        <v>681</v>
      </c>
      <c r="J123" s="286" t="s">
        <v>156</v>
      </c>
      <c r="K123" s="286">
        <v>1</v>
      </c>
      <c r="L123" s="286">
        <v>1</v>
      </c>
      <c r="M123" s="286">
        <v>1</v>
      </c>
      <c r="N123" s="286">
        <v>1</v>
      </c>
      <c r="O123" s="286">
        <v>1</v>
      </c>
      <c r="P123" s="332">
        <v>0</v>
      </c>
      <c r="Q123" s="332">
        <v>0</v>
      </c>
      <c r="R123" s="332">
        <v>0</v>
      </c>
      <c r="S123" s="370">
        <v>0</v>
      </c>
      <c r="T123" s="63"/>
      <c r="U123" s="10" t="s">
        <v>1893</v>
      </c>
      <c r="V123" s="90">
        <v>749.1</v>
      </c>
      <c r="W123" s="91"/>
      <c r="X123" s="92"/>
    </row>
    <row r="124" spans="1:25">
      <c r="A124" s="2"/>
      <c r="B124" s="87"/>
      <c r="C124" s="36"/>
      <c r="D124" s="10"/>
      <c r="E124" s="10"/>
      <c r="F124" s="97">
        <f>SUM(F113:F123)</f>
        <v>21226</v>
      </c>
      <c r="G124" s="97">
        <f>SUM(G113:G123)</f>
        <v>1037.3900000000001</v>
      </c>
      <c r="H124" s="97">
        <f>SUM(H113:H123)</f>
        <v>0</v>
      </c>
      <c r="I124" s="98">
        <f>SUM(I113:I123)</f>
        <v>20188.609999999997</v>
      </c>
      <c r="J124" s="63"/>
      <c r="K124" s="63">
        <f t="shared" ref="K124:S124" si="26">COUNT(K113:K123)</f>
        <v>11</v>
      </c>
      <c r="L124" s="63">
        <f t="shared" si="26"/>
        <v>11</v>
      </c>
      <c r="M124" s="63">
        <f t="shared" si="26"/>
        <v>11</v>
      </c>
      <c r="N124" s="63">
        <f t="shared" si="26"/>
        <v>11</v>
      </c>
      <c r="O124" s="63">
        <f t="shared" si="26"/>
        <v>11</v>
      </c>
      <c r="P124" s="63">
        <f t="shared" si="26"/>
        <v>11</v>
      </c>
      <c r="Q124" s="63">
        <f t="shared" si="26"/>
        <v>11</v>
      </c>
      <c r="R124" s="63">
        <f t="shared" si="26"/>
        <v>11</v>
      </c>
      <c r="S124" s="63">
        <f t="shared" si="26"/>
        <v>11</v>
      </c>
      <c r="T124" s="63"/>
      <c r="U124" s="10"/>
      <c r="V124" s="90"/>
      <c r="W124" s="91"/>
      <c r="X124" s="92"/>
    </row>
    <row r="125" spans="1:25">
      <c r="A125" s="2"/>
      <c r="B125" s="87"/>
      <c r="C125" s="36"/>
      <c r="D125" s="10"/>
      <c r="E125" s="10"/>
      <c r="F125" s="88"/>
      <c r="G125" s="88"/>
      <c r="H125" s="88"/>
      <c r="I125" s="99"/>
      <c r="J125" s="63"/>
      <c r="K125" s="21">
        <f t="shared" ref="K125:S125" si="27">SUM(K113:K123)</f>
        <v>11</v>
      </c>
      <c r="L125" s="21">
        <f t="shared" si="27"/>
        <v>11</v>
      </c>
      <c r="M125" s="21">
        <f t="shared" si="27"/>
        <v>11</v>
      </c>
      <c r="N125" s="21">
        <f t="shared" si="27"/>
        <v>11</v>
      </c>
      <c r="O125" s="21">
        <f t="shared" si="27"/>
        <v>11</v>
      </c>
      <c r="P125" s="21">
        <f t="shared" si="27"/>
        <v>1</v>
      </c>
      <c r="Q125" s="21">
        <f t="shared" si="27"/>
        <v>8</v>
      </c>
      <c r="R125" s="21">
        <f t="shared" si="27"/>
        <v>8</v>
      </c>
      <c r="S125" s="21">
        <f t="shared" si="27"/>
        <v>4</v>
      </c>
      <c r="T125" s="63"/>
      <c r="U125" s="10"/>
      <c r="V125" s="90"/>
      <c r="W125" s="91"/>
      <c r="X125" s="92"/>
    </row>
    <row r="126" spans="1:25">
      <c r="A126" s="2"/>
      <c r="B126" s="11"/>
      <c r="C126" s="36"/>
      <c r="D126" s="10"/>
      <c r="E126" s="10"/>
      <c r="F126" s="88"/>
      <c r="G126" s="88"/>
      <c r="H126" s="88"/>
      <c r="I126" s="99"/>
      <c r="J126" s="63"/>
      <c r="K126" s="21"/>
      <c r="L126" s="21"/>
      <c r="M126" s="21"/>
      <c r="N126" s="21"/>
      <c r="O126" s="21"/>
      <c r="P126" s="21"/>
      <c r="Q126" s="21"/>
      <c r="R126" s="21"/>
      <c r="S126" s="21"/>
      <c r="T126" s="63"/>
      <c r="U126" s="10"/>
      <c r="V126" s="90"/>
      <c r="W126" s="91"/>
      <c r="X126" s="92"/>
    </row>
    <row r="127" spans="1:25">
      <c r="A127" s="2"/>
      <c r="B127" s="100" t="s">
        <v>67</v>
      </c>
      <c r="C127" s="36"/>
      <c r="D127" s="10"/>
      <c r="E127" s="10"/>
      <c r="F127" s="88"/>
      <c r="G127" s="62"/>
      <c r="H127" s="88"/>
      <c r="I127" s="99"/>
      <c r="J127" s="63"/>
      <c r="K127" s="2"/>
      <c r="L127" s="2"/>
      <c r="M127" s="2"/>
      <c r="N127" s="2"/>
      <c r="O127" s="2"/>
      <c r="P127" s="2"/>
      <c r="Q127" s="2"/>
      <c r="R127" s="2"/>
      <c r="S127" s="2"/>
      <c r="T127" s="63"/>
      <c r="U127" s="94"/>
      <c r="V127" s="90"/>
      <c r="W127" s="91"/>
      <c r="X127" s="92"/>
    </row>
    <row r="128" spans="1:25" s="381" customFormat="1">
      <c r="A128" s="371" t="s">
        <v>1384</v>
      </c>
      <c r="B128" s="372">
        <v>1</v>
      </c>
      <c r="C128" s="373">
        <v>45820</v>
      </c>
      <c r="D128" s="357" t="s">
        <v>1870</v>
      </c>
      <c r="E128" s="391" t="s">
        <v>737</v>
      </c>
      <c r="F128" s="375">
        <f>5553-610</f>
        <v>4943</v>
      </c>
      <c r="G128" s="375">
        <f>39.7+1500</f>
        <v>1539.7</v>
      </c>
      <c r="H128" s="375"/>
      <c r="I128" s="376">
        <f>F128-G128-H128</f>
        <v>3403.3</v>
      </c>
      <c r="J128" s="314"/>
      <c r="K128" s="314">
        <v>1</v>
      </c>
      <c r="L128" s="314"/>
      <c r="M128" s="314"/>
      <c r="N128" s="314">
        <v>1</v>
      </c>
      <c r="O128" s="314">
        <v>1</v>
      </c>
      <c r="P128" s="314">
        <v>0</v>
      </c>
      <c r="Q128" s="314"/>
      <c r="R128" s="314"/>
      <c r="S128" s="366"/>
      <c r="T128" s="325"/>
      <c r="U128" s="42" t="s">
        <v>1871</v>
      </c>
      <c r="V128" s="377"/>
      <c r="W128" s="392"/>
      <c r="X128" s="379"/>
      <c r="Y128" s="380"/>
    </row>
    <row r="129" spans="1:25">
      <c r="A129" s="2"/>
      <c r="B129" s="11"/>
      <c r="C129" s="36"/>
      <c r="D129" s="10"/>
      <c r="E129" s="10"/>
      <c r="F129" s="97">
        <f>SUM(F128:F128)</f>
        <v>4943</v>
      </c>
      <c r="G129" s="97">
        <f>SUM(G128:G128)</f>
        <v>1539.7</v>
      </c>
      <c r="H129" s="97">
        <f>SUM(H128:H128)</f>
        <v>0</v>
      </c>
      <c r="I129" s="98">
        <f>SUM(I128:I128)</f>
        <v>3403.3</v>
      </c>
      <c r="J129" s="63"/>
      <c r="K129" s="21"/>
      <c r="L129" s="21"/>
      <c r="M129" s="21"/>
      <c r="N129" s="21"/>
      <c r="O129" s="21"/>
      <c r="P129" s="21"/>
      <c r="Q129" s="21"/>
      <c r="R129" s="21"/>
      <c r="S129" s="21"/>
      <c r="T129" s="63"/>
      <c r="U129" s="94"/>
      <c r="V129" s="90"/>
      <c r="W129" s="91"/>
      <c r="X129" s="92"/>
    </row>
    <row r="130" spans="1:25">
      <c r="A130" s="2"/>
      <c r="B130" s="11"/>
      <c r="C130" s="36"/>
      <c r="D130" s="10"/>
      <c r="E130" s="10"/>
      <c r="F130" s="88"/>
      <c r="G130" s="88"/>
      <c r="H130" s="88"/>
      <c r="I130" s="99"/>
      <c r="J130" s="63"/>
      <c r="K130" s="21"/>
      <c r="L130" s="21"/>
      <c r="M130" s="21"/>
      <c r="N130" s="21"/>
      <c r="O130" s="21"/>
      <c r="P130" s="21"/>
      <c r="Q130" s="21"/>
      <c r="R130" s="21"/>
      <c r="S130" s="21"/>
      <c r="T130" s="63"/>
      <c r="U130" s="94"/>
      <c r="V130" s="90"/>
      <c r="W130" s="91"/>
      <c r="X130" s="92"/>
    </row>
    <row r="131" spans="1:25" s="342" customFormat="1">
      <c r="A131" s="128"/>
      <c r="B131" s="121" t="s">
        <v>68</v>
      </c>
      <c r="C131" s="122"/>
      <c r="D131" s="123"/>
      <c r="E131" s="123"/>
      <c r="F131" s="124"/>
      <c r="G131" s="125"/>
      <c r="H131" s="124"/>
      <c r="I131" s="126"/>
      <c r="J131" s="127"/>
      <c r="K131" s="128"/>
      <c r="L131" s="128"/>
      <c r="M131" s="128"/>
      <c r="N131" s="128"/>
      <c r="O131" s="128"/>
      <c r="P131" s="128"/>
      <c r="Q131" s="128"/>
      <c r="R131" s="128"/>
      <c r="S131" s="128"/>
      <c r="T131" s="127"/>
      <c r="U131" s="123"/>
      <c r="V131" s="129"/>
      <c r="W131" s="130"/>
      <c r="X131" s="131"/>
    </row>
    <row r="132" spans="1:25" s="342" customFormat="1">
      <c r="A132" s="356">
        <v>0.05</v>
      </c>
      <c r="B132" s="333">
        <v>1</v>
      </c>
      <c r="C132" s="334">
        <v>45840</v>
      </c>
      <c r="D132" s="320" t="s">
        <v>1894</v>
      </c>
      <c r="E132" s="335" t="s">
        <v>1150</v>
      </c>
      <c r="F132" s="336">
        <v>1461</v>
      </c>
      <c r="G132" s="336">
        <f>39.7+(87.49)+200</f>
        <v>327.19</v>
      </c>
      <c r="H132" s="336"/>
      <c r="I132" s="337">
        <f>F132-G132-H132</f>
        <v>1133.81</v>
      </c>
      <c r="J132" s="338" t="s">
        <v>156</v>
      </c>
      <c r="K132" s="338">
        <v>1</v>
      </c>
      <c r="L132" s="338">
        <v>1</v>
      </c>
      <c r="M132" s="338">
        <v>1</v>
      </c>
      <c r="N132" s="338">
        <v>1</v>
      </c>
      <c r="O132" s="338">
        <v>1</v>
      </c>
      <c r="P132" s="322">
        <v>0</v>
      </c>
      <c r="Q132" s="338">
        <v>1</v>
      </c>
      <c r="R132" s="338">
        <v>1</v>
      </c>
      <c r="S132" s="339">
        <v>1</v>
      </c>
      <c r="T132" s="127"/>
      <c r="U132" s="135" t="s">
        <v>1895</v>
      </c>
      <c r="V132" s="129">
        <f>140+600</f>
        <v>740</v>
      </c>
      <c r="W132" s="130"/>
      <c r="X132" s="131"/>
    </row>
    <row r="133" spans="1:25" s="342" customFormat="1">
      <c r="A133" s="356">
        <v>0.05</v>
      </c>
      <c r="B133" s="333">
        <f t="shared" ref="B133" si="28">B132+1</f>
        <v>2</v>
      </c>
      <c r="C133" s="395">
        <v>45840</v>
      </c>
      <c r="D133" s="330" t="s">
        <v>1896</v>
      </c>
      <c r="E133" s="454" t="s">
        <v>354</v>
      </c>
      <c r="F133" s="397">
        <v>1681</v>
      </c>
      <c r="G133" s="397">
        <v>39.700000000000003</v>
      </c>
      <c r="H133" s="397"/>
      <c r="I133" s="398">
        <f>F133-G133-H133</f>
        <v>1641.3</v>
      </c>
      <c r="J133" s="399" t="s">
        <v>374</v>
      </c>
      <c r="K133" s="399">
        <v>1</v>
      </c>
      <c r="L133" s="399">
        <v>1</v>
      </c>
      <c r="M133" s="399">
        <v>1</v>
      </c>
      <c r="N133" s="399">
        <v>1</v>
      </c>
      <c r="O133" s="399">
        <v>1</v>
      </c>
      <c r="P133" s="332">
        <v>0</v>
      </c>
      <c r="Q133" s="399">
        <v>1</v>
      </c>
      <c r="R133" s="399">
        <v>1</v>
      </c>
      <c r="S133" s="370">
        <v>0</v>
      </c>
      <c r="T133" s="127"/>
      <c r="U133" s="123" t="s">
        <v>1897</v>
      </c>
      <c r="V133" s="129"/>
      <c r="W133" s="130"/>
      <c r="X133" s="131"/>
    </row>
    <row r="134" spans="1:25" s="342" customFormat="1">
      <c r="A134" s="128"/>
      <c r="B134" s="132"/>
      <c r="C134" s="122"/>
      <c r="D134" s="123"/>
      <c r="E134" s="123"/>
      <c r="F134" s="134">
        <f>SUM(F132:F133)</f>
        <v>3142</v>
      </c>
      <c r="G134" s="134">
        <f>SUM(G132:G133)</f>
        <v>366.89</v>
      </c>
      <c r="H134" s="134">
        <f>SUM(H132:H133)</f>
        <v>0</v>
      </c>
      <c r="I134" s="134">
        <f>SUM(I132:I133)</f>
        <v>2775.1099999999997</v>
      </c>
      <c r="J134" s="127"/>
      <c r="K134" s="64"/>
      <c r="L134" s="64"/>
      <c r="M134" s="64"/>
      <c r="N134" s="64"/>
      <c r="O134" s="64"/>
      <c r="P134" s="64"/>
      <c r="Q134" s="64"/>
      <c r="R134" s="64"/>
      <c r="S134" s="64"/>
      <c r="T134" s="127"/>
      <c r="U134" s="123"/>
      <c r="V134" s="129"/>
      <c r="W134" s="130"/>
      <c r="X134" s="131"/>
    </row>
    <row r="135" spans="1:25" s="342" customFormat="1">
      <c r="A135" s="128"/>
      <c r="B135" s="132"/>
      <c r="C135" s="122"/>
      <c r="D135" s="123"/>
      <c r="E135" s="123"/>
      <c r="F135" s="124"/>
      <c r="G135" s="124"/>
      <c r="H135" s="124"/>
      <c r="I135" s="126"/>
      <c r="J135" s="127"/>
      <c r="K135" s="64"/>
      <c r="L135" s="64"/>
      <c r="M135" s="64"/>
      <c r="N135" s="64"/>
      <c r="O135" s="64"/>
      <c r="P135" s="64"/>
      <c r="Q135" s="64"/>
      <c r="R135" s="64"/>
      <c r="S135" s="64"/>
      <c r="T135" s="127"/>
      <c r="U135" s="123"/>
      <c r="V135" s="129"/>
      <c r="W135" s="130"/>
      <c r="X135" s="131"/>
    </row>
    <row r="136" spans="1:25" s="342" customFormat="1">
      <c r="A136" s="128"/>
      <c r="B136" s="121" t="s">
        <v>70</v>
      </c>
      <c r="C136" s="122"/>
      <c r="D136" s="123"/>
      <c r="E136" s="128"/>
      <c r="F136" s="124"/>
      <c r="G136" s="124"/>
      <c r="H136" s="124"/>
      <c r="I136" s="126"/>
      <c r="J136" s="127"/>
      <c r="K136" s="64"/>
      <c r="L136" s="64"/>
      <c r="M136" s="64"/>
      <c r="N136" s="64"/>
      <c r="O136" s="64"/>
      <c r="P136" s="64"/>
      <c r="Q136" s="64"/>
      <c r="R136" s="64"/>
      <c r="S136" s="64"/>
      <c r="T136" s="127"/>
      <c r="U136" s="135"/>
      <c r="V136" s="129"/>
      <c r="W136" s="130"/>
      <c r="X136" s="131"/>
    </row>
    <row r="137" spans="1:25" s="342" customFormat="1">
      <c r="A137" s="356">
        <v>0.05</v>
      </c>
      <c r="B137" s="333">
        <v>1</v>
      </c>
      <c r="C137" s="350">
        <v>45841</v>
      </c>
      <c r="D137" s="263" t="s">
        <v>1898</v>
      </c>
      <c r="E137" s="358" t="s">
        <v>354</v>
      </c>
      <c r="F137" s="352">
        <v>14614</v>
      </c>
      <c r="G137" s="352">
        <f>39.7+(52.13+13.63+170.15)+1000</f>
        <v>1275.6100000000001</v>
      </c>
      <c r="H137" s="352"/>
      <c r="I137" s="353">
        <f>F137-G137-H137</f>
        <v>13338.39</v>
      </c>
      <c r="J137" s="354" t="s">
        <v>156</v>
      </c>
      <c r="K137" s="354">
        <v>1</v>
      </c>
      <c r="L137" s="354"/>
      <c r="M137" s="354"/>
      <c r="N137" s="354">
        <v>1</v>
      </c>
      <c r="O137" s="354">
        <v>1</v>
      </c>
      <c r="P137" s="314">
        <v>0</v>
      </c>
      <c r="Q137" s="354"/>
      <c r="R137" s="354"/>
      <c r="S137" s="355"/>
      <c r="T137" s="127"/>
      <c r="U137" s="123" t="s">
        <v>1899</v>
      </c>
      <c r="V137" s="129">
        <f>1600+1849.1+5000</f>
        <v>8449.1</v>
      </c>
      <c r="W137" s="340"/>
      <c r="X137" s="341"/>
    </row>
    <row r="138" spans="1:25" s="342" customFormat="1">
      <c r="A138" s="128"/>
      <c r="B138" s="132"/>
      <c r="C138" s="122"/>
      <c r="D138" s="123"/>
      <c r="E138" s="123"/>
      <c r="F138" s="134">
        <f>SUM(F137:F137)</f>
        <v>14614</v>
      </c>
      <c r="G138" s="134">
        <f>SUM(G137:G137)</f>
        <v>1275.6100000000001</v>
      </c>
      <c r="H138" s="134">
        <f>SUM(H137:H137)</f>
        <v>0</v>
      </c>
      <c r="I138" s="134">
        <f>SUM(I137)</f>
        <v>13338.39</v>
      </c>
      <c r="J138" s="127"/>
      <c r="K138" s="64"/>
      <c r="L138" s="64"/>
      <c r="M138" s="64"/>
      <c r="N138" s="64"/>
      <c r="O138" s="64"/>
      <c r="P138" s="64"/>
      <c r="Q138" s="64"/>
      <c r="R138" s="64"/>
      <c r="S138" s="64"/>
      <c r="T138" s="127"/>
      <c r="U138" s="135"/>
      <c r="V138" s="129"/>
      <c r="W138" s="130"/>
      <c r="X138" s="131"/>
    </row>
    <row r="139" spans="1:25">
      <c r="A139" s="2"/>
      <c r="B139" s="11"/>
      <c r="C139" s="36"/>
      <c r="D139" s="10"/>
      <c r="E139" s="10"/>
      <c r="F139" s="88"/>
      <c r="G139" s="88"/>
      <c r="H139" s="88"/>
      <c r="I139" s="99"/>
      <c r="J139" s="10"/>
      <c r="K139" s="63"/>
      <c r="L139" s="63"/>
      <c r="M139" s="63"/>
      <c r="N139" s="63"/>
      <c r="O139" s="63"/>
      <c r="P139" s="63"/>
      <c r="Q139" s="63"/>
      <c r="R139" s="63"/>
      <c r="S139" s="63"/>
      <c r="T139" s="63"/>
      <c r="U139" s="94"/>
      <c r="V139" s="90"/>
      <c r="W139" s="91"/>
      <c r="X139" s="92"/>
    </row>
    <row r="140" spans="1:25" s="260" customFormat="1">
      <c r="B140" s="100" t="s">
        <v>202</v>
      </c>
      <c r="C140" s="36"/>
      <c r="D140" s="10"/>
      <c r="E140" s="181"/>
      <c r="F140" s="88"/>
      <c r="G140" s="88"/>
      <c r="H140" s="88"/>
      <c r="I140" s="99"/>
      <c r="J140" s="63"/>
      <c r="K140" s="21"/>
      <c r="L140" s="21"/>
      <c r="M140" s="21"/>
      <c r="N140" s="21"/>
      <c r="O140" s="21"/>
      <c r="P140" s="21"/>
      <c r="Q140" s="21"/>
      <c r="R140" s="21"/>
      <c r="S140" s="21"/>
      <c r="T140" s="63"/>
      <c r="U140" s="10"/>
      <c r="V140" s="90"/>
      <c r="W140" s="91"/>
      <c r="X140" s="92"/>
    </row>
    <row r="141" spans="1:25" s="260" customFormat="1">
      <c r="A141" s="261">
        <v>0.05</v>
      </c>
      <c r="B141" s="87">
        <v>1</v>
      </c>
      <c r="C141" s="274">
        <v>45812</v>
      </c>
      <c r="D141" s="275" t="s">
        <v>1866</v>
      </c>
      <c r="E141" s="276" t="s">
        <v>512</v>
      </c>
      <c r="F141" s="277">
        <v>18061</v>
      </c>
      <c r="G141" s="277">
        <f>39.7+(62.91+128.26+27.45-20.83)+(10.95+18.17+8.58+185.26+145.2+166.5+178.78)+1500</f>
        <v>2450.9299999999998</v>
      </c>
      <c r="H141" s="277"/>
      <c r="I141" s="278">
        <f>F141-G141-H141</f>
        <v>15610.07</v>
      </c>
      <c r="J141" s="279" t="s">
        <v>156</v>
      </c>
      <c r="K141" s="279">
        <v>1</v>
      </c>
      <c r="L141" s="279"/>
      <c r="M141" s="279">
        <v>1</v>
      </c>
      <c r="N141" s="279">
        <v>1</v>
      </c>
      <c r="O141" s="279">
        <v>1</v>
      </c>
      <c r="P141" s="279">
        <v>1</v>
      </c>
      <c r="Q141" s="279"/>
      <c r="R141" s="279"/>
      <c r="S141" s="280"/>
      <c r="T141" s="63"/>
      <c r="U141" s="10" t="s">
        <v>1900</v>
      </c>
      <c r="V141" s="90"/>
      <c r="W141" s="136"/>
      <c r="X141" s="137"/>
      <c r="Y141" s="181"/>
    </row>
    <row r="142" spans="1:25" s="260" customFormat="1">
      <c r="A142" s="261">
        <v>0.05</v>
      </c>
      <c r="B142" s="87">
        <f>B141+1</f>
        <v>2</v>
      </c>
      <c r="C142" s="262">
        <v>45813</v>
      </c>
      <c r="D142" s="273" t="s">
        <v>1868</v>
      </c>
      <c r="E142" s="271" t="s">
        <v>512</v>
      </c>
      <c r="F142" s="265">
        <v>22614</v>
      </c>
      <c r="G142" s="265">
        <f>39.7+47.8+356+(396.09)+(145.2-4.72-2.08+8.58-185.26+9.17+5.35+223.39)+2000</f>
        <v>3039.22</v>
      </c>
      <c r="H142" s="265"/>
      <c r="I142" s="266">
        <f>F142-G142-H142</f>
        <v>19574.78</v>
      </c>
      <c r="J142" s="267"/>
      <c r="K142" s="267">
        <v>1</v>
      </c>
      <c r="L142" s="267"/>
      <c r="M142" s="267"/>
      <c r="N142" s="267">
        <v>1</v>
      </c>
      <c r="O142" s="267">
        <v>1</v>
      </c>
      <c r="P142" s="314">
        <v>0</v>
      </c>
      <c r="Q142" s="267"/>
      <c r="R142" s="267"/>
      <c r="S142" s="269"/>
      <c r="T142" s="63"/>
      <c r="U142" s="10" t="s">
        <v>1901</v>
      </c>
      <c r="V142" s="90"/>
      <c r="W142" s="136"/>
      <c r="X142" s="137"/>
    </row>
    <row r="143" spans="1:25" s="260" customFormat="1">
      <c r="B143" s="11"/>
      <c r="C143" s="36"/>
      <c r="D143" s="10"/>
      <c r="E143" s="10"/>
      <c r="F143" s="97">
        <f>SUM(F141:F142)</f>
        <v>40675</v>
      </c>
      <c r="G143" s="97">
        <f>SUM(G141:G142)</f>
        <v>5490.15</v>
      </c>
      <c r="H143" s="97">
        <f>SUM(H141:H142)</f>
        <v>0</v>
      </c>
      <c r="I143" s="97">
        <f>SUM(I141:I142)</f>
        <v>35184.85</v>
      </c>
      <c r="J143" s="63"/>
      <c r="K143" s="21"/>
      <c r="L143" s="21"/>
      <c r="M143" s="21"/>
      <c r="N143" s="21"/>
      <c r="O143" s="21"/>
      <c r="P143" s="21"/>
      <c r="Q143" s="21"/>
      <c r="R143" s="21"/>
      <c r="S143" s="21"/>
      <c r="T143" s="63"/>
      <c r="U143" s="10"/>
      <c r="V143" s="90"/>
      <c r="W143" s="91"/>
      <c r="X143" s="92"/>
    </row>
    <row r="144" spans="1:25" s="260" customFormat="1">
      <c r="B144" s="11"/>
      <c r="C144" s="36"/>
      <c r="D144" s="10"/>
      <c r="E144" s="10"/>
      <c r="F144" s="88"/>
      <c r="G144" s="88"/>
      <c r="H144" s="88"/>
      <c r="I144" s="99"/>
      <c r="J144" s="10"/>
      <c r="K144" s="63"/>
      <c r="L144" s="63"/>
      <c r="M144" s="63"/>
      <c r="N144" s="63"/>
      <c r="O144" s="63"/>
      <c r="P144" s="63"/>
      <c r="Q144" s="63"/>
      <c r="R144" s="63"/>
      <c r="S144" s="63"/>
      <c r="T144" s="63"/>
      <c r="U144" s="10"/>
      <c r="V144" s="90"/>
      <c r="W144" s="91"/>
      <c r="X144" s="92"/>
    </row>
    <row r="145" spans="1:24">
      <c r="A145" s="2"/>
      <c r="B145" s="100" t="s">
        <v>72</v>
      </c>
      <c r="C145" s="36"/>
      <c r="D145" s="10"/>
      <c r="E145" s="10"/>
      <c r="F145" s="88"/>
      <c r="G145" s="88"/>
      <c r="H145" s="88"/>
      <c r="I145" s="99"/>
      <c r="J145" s="63"/>
      <c r="K145" s="63"/>
      <c r="L145" s="63"/>
      <c r="M145" s="63"/>
      <c r="N145" s="63"/>
      <c r="O145" s="63"/>
      <c r="P145" s="63"/>
      <c r="Q145" s="63"/>
      <c r="R145" s="63"/>
      <c r="S145" s="63"/>
      <c r="T145" s="63"/>
      <c r="U145" s="10"/>
      <c r="V145" s="90"/>
      <c r="W145" s="91"/>
      <c r="X145" s="92"/>
    </row>
    <row r="146" spans="1:24">
      <c r="A146" s="2"/>
      <c r="B146" s="87">
        <v>1</v>
      </c>
      <c r="C146" s="274">
        <v>45838</v>
      </c>
      <c r="D146" s="276">
        <v>71064</v>
      </c>
      <c r="E146" s="276" t="s">
        <v>262</v>
      </c>
      <c r="F146" s="277">
        <v>2261</v>
      </c>
      <c r="G146" s="277">
        <v>39.700000000000003</v>
      </c>
      <c r="H146" s="277"/>
      <c r="I146" s="278">
        <f t="shared" ref="I146:I166" si="29">F146-G146-H146</f>
        <v>2221.3000000000002</v>
      </c>
      <c r="J146" s="279" t="s">
        <v>205</v>
      </c>
      <c r="K146" s="279"/>
      <c r="L146" s="279"/>
      <c r="M146" s="279"/>
      <c r="N146" s="279">
        <v>1</v>
      </c>
      <c r="O146" s="279"/>
      <c r="P146" s="279"/>
      <c r="Q146" s="279"/>
      <c r="R146" s="279"/>
      <c r="S146" s="280"/>
      <c r="T146" s="63"/>
      <c r="U146" s="3"/>
      <c r="V146" s="90"/>
      <c r="W146" s="91"/>
      <c r="X146" s="92"/>
    </row>
    <row r="147" spans="1:24">
      <c r="A147" s="2"/>
      <c r="B147" s="87">
        <f t="shared" ref="B147:B164" si="30">B146+1</f>
        <v>2</v>
      </c>
      <c r="C147" s="295">
        <v>45838</v>
      </c>
      <c r="D147" s="77" t="s">
        <v>1902</v>
      </c>
      <c r="E147" s="10" t="s">
        <v>172</v>
      </c>
      <c r="F147" s="62">
        <v>1861</v>
      </c>
      <c r="G147" s="62">
        <v>39.700000000000003</v>
      </c>
      <c r="H147" s="62"/>
      <c r="I147" s="89">
        <f t="shared" si="29"/>
        <v>1821.3</v>
      </c>
      <c r="J147" s="63" t="s">
        <v>205</v>
      </c>
      <c r="K147" s="63">
        <v>1</v>
      </c>
      <c r="L147" s="63"/>
      <c r="M147" s="63"/>
      <c r="N147" s="63">
        <v>1</v>
      </c>
      <c r="O147" s="63">
        <v>1</v>
      </c>
      <c r="P147" s="63"/>
      <c r="Q147" s="63"/>
      <c r="R147" s="63"/>
      <c r="S147" s="296"/>
      <c r="T147" s="63"/>
      <c r="U147" s="10" t="s">
        <v>1021</v>
      </c>
      <c r="V147" s="90">
        <v>200</v>
      </c>
      <c r="W147" s="136"/>
      <c r="X147" s="137"/>
    </row>
    <row r="148" spans="1:24">
      <c r="A148" s="2"/>
      <c r="B148" s="87">
        <f t="shared" si="30"/>
        <v>3</v>
      </c>
      <c r="C148" s="295">
        <v>45838</v>
      </c>
      <c r="D148" s="10">
        <v>71108</v>
      </c>
      <c r="E148" s="10" t="s">
        <v>728</v>
      </c>
      <c r="F148" s="62">
        <v>1261</v>
      </c>
      <c r="G148" s="62">
        <v>39.700000000000003</v>
      </c>
      <c r="H148" s="62"/>
      <c r="I148" s="89">
        <f t="shared" si="29"/>
        <v>1221.3</v>
      </c>
      <c r="J148" s="63" t="s">
        <v>205</v>
      </c>
      <c r="K148" s="63">
        <v>1</v>
      </c>
      <c r="L148" s="63"/>
      <c r="M148" s="63"/>
      <c r="N148" s="63">
        <v>1</v>
      </c>
      <c r="O148" s="63"/>
      <c r="P148" s="63"/>
      <c r="Q148" s="63"/>
      <c r="R148" s="63"/>
      <c r="S148" s="296"/>
      <c r="T148" s="63"/>
      <c r="U148" s="10"/>
      <c r="V148" s="90"/>
      <c r="W148" s="136"/>
      <c r="X148" s="137"/>
    </row>
    <row r="149" spans="1:24">
      <c r="A149" s="2"/>
      <c r="B149" s="87">
        <f t="shared" si="30"/>
        <v>4</v>
      </c>
      <c r="C149" s="295">
        <v>45838</v>
      </c>
      <c r="D149" s="10">
        <v>71103</v>
      </c>
      <c r="E149" s="10" t="s">
        <v>464</v>
      </c>
      <c r="F149" s="62">
        <v>1251.8</v>
      </c>
      <c r="G149" s="62">
        <v>39.700000000000003</v>
      </c>
      <c r="H149" s="62"/>
      <c r="I149" s="89">
        <f t="shared" si="29"/>
        <v>1212.0999999999999</v>
      </c>
      <c r="J149" s="63" t="s">
        <v>205</v>
      </c>
      <c r="K149" s="63">
        <v>1</v>
      </c>
      <c r="L149" s="63"/>
      <c r="M149" s="63"/>
      <c r="N149" s="63">
        <v>1</v>
      </c>
      <c r="O149" s="63"/>
      <c r="P149" s="63"/>
      <c r="Q149" s="63"/>
      <c r="R149" s="63"/>
      <c r="S149" s="296"/>
      <c r="T149" s="63"/>
      <c r="U149" s="10"/>
      <c r="V149" s="90"/>
      <c r="W149" s="136"/>
      <c r="X149" s="137"/>
    </row>
    <row r="150" spans="1:24">
      <c r="A150" s="2"/>
      <c r="B150" s="87">
        <f t="shared" si="30"/>
        <v>5</v>
      </c>
      <c r="C150" s="274">
        <v>45839</v>
      </c>
      <c r="D150" s="276">
        <v>71141</v>
      </c>
      <c r="E150" s="276" t="s">
        <v>512</v>
      </c>
      <c r="F150" s="277">
        <v>1461</v>
      </c>
      <c r="G150" s="277">
        <v>39.700000000000003</v>
      </c>
      <c r="H150" s="277"/>
      <c r="I150" s="278">
        <f t="shared" si="29"/>
        <v>1421.3</v>
      </c>
      <c r="J150" s="279" t="s">
        <v>219</v>
      </c>
      <c r="K150" s="279">
        <v>1</v>
      </c>
      <c r="L150" s="279"/>
      <c r="M150" s="279"/>
      <c r="N150" s="279">
        <v>1</v>
      </c>
      <c r="O150" s="279"/>
      <c r="P150" s="279"/>
      <c r="Q150" s="279"/>
      <c r="R150" s="279"/>
      <c r="S150" s="280"/>
      <c r="T150" s="63"/>
      <c r="U150" s="10"/>
      <c r="V150" s="90"/>
      <c r="W150" s="136"/>
      <c r="X150" s="137"/>
    </row>
    <row r="151" spans="1:24">
      <c r="A151" s="2"/>
      <c r="B151" s="87">
        <f t="shared" si="30"/>
        <v>6</v>
      </c>
      <c r="C151" s="295">
        <v>45839</v>
      </c>
      <c r="D151" s="10">
        <v>71135</v>
      </c>
      <c r="E151" s="101" t="s">
        <v>813</v>
      </c>
      <c r="F151" s="62">
        <v>1681</v>
      </c>
      <c r="G151" s="62">
        <v>39.700000000000003</v>
      </c>
      <c r="H151" s="62"/>
      <c r="I151" s="89">
        <f t="shared" si="29"/>
        <v>1641.3</v>
      </c>
      <c r="J151" s="63" t="s">
        <v>219</v>
      </c>
      <c r="K151" s="63">
        <v>1</v>
      </c>
      <c r="L151" s="63"/>
      <c r="M151" s="63"/>
      <c r="N151" s="63">
        <v>1</v>
      </c>
      <c r="O151" s="63"/>
      <c r="P151" s="63"/>
      <c r="Q151" s="63"/>
      <c r="R151" s="63"/>
      <c r="S151" s="296"/>
      <c r="T151" s="63"/>
      <c r="U151" s="10"/>
      <c r="V151" s="90"/>
      <c r="W151" s="136"/>
      <c r="X151" s="137"/>
    </row>
    <row r="152" spans="1:24">
      <c r="A152" s="2"/>
      <c r="B152" s="87">
        <f t="shared" si="30"/>
        <v>7</v>
      </c>
      <c r="C152" s="295">
        <v>45839</v>
      </c>
      <c r="D152" s="10">
        <v>71159</v>
      </c>
      <c r="E152" s="101" t="s">
        <v>1903</v>
      </c>
      <c r="F152" s="62">
        <v>1138</v>
      </c>
      <c r="G152" s="62">
        <v>39.700000000000003</v>
      </c>
      <c r="H152" s="62"/>
      <c r="I152" s="89">
        <f t="shared" si="29"/>
        <v>1098.3</v>
      </c>
      <c r="J152" s="63" t="s">
        <v>156</v>
      </c>
      <c r="K152" s="63">
        <v>1</v>
      </c>
      <c r="L152" s="63"/>
      <c r="M152" s="63">
        <v>1</v>
      </c>
      <c r="N152" s="63">
        <v>1</v>
      </c>
      <c r="O152" s="63"/>
      <c r="P152" s="63"/>
      <c r="Q152" s="63"/>
      <c r="R152" s="63"/>
      <c r="S152" s="296"/>
      <c r="T152" s="63"/>
      <c r="U152" s="10"/>
      <c r="V152" s="90">
        <v>93.5</v>
      </c>
      <c r="W152" s="136"/>
      <c r="X152" s="137"/>
    </row>
    <row r="153" spans="1:24">
      <c r="A153" s="2"/>
      <c r="B153" s="87">
        <f t="shared" si="30"/>
        <v>8</v>
      </c>
      <c r="C153" s="295">
        <v>45839</v>
      </c>
      <c r="D153" s="10">
        <v>71133</v>
      </c>
      <c r="E153" s="101" t="s">
        <v>352</v>
      </c>
      <c r="F153" s="62">
        <v>2261</v>
      </c>
      <c r="G153" s="62">
        <v>39.700000000000003</v>
      </c>
      <c r="H153" s="62"/>
      <c r="I153" s="89">
        <f t="shared" si="29"/>
        <v>2221.3000000000002</v>
      </c>
      <c r="J153" s="63" t="s">
        <v>219</v>
      </c>
      <c r="K153" s="63">
        <v>1</v>
      </c>
      <c r="L153" s="63"/>
      <c r="M153" s="63"/>
      <c r="N153" s="63">
        <v>1</v>
      </c>
      <c r="O153" s="63"/>
      <c r="P153" s="63"/>
      <c r="Q153" s="63"/>
      <c r="R153" s="63"/>
      <c r="S153" s="296"/>
      <c r="T153" s="63"/>
      <c r="U153" s="10"/>
      <c r="V153" s="90"/>
      <c r="W153" s="136"/>
      <c r="X153" s="137"/>
    </row>
    <row r="154" spans="1:24">
      <c r="A154" s="2"/>
      <c r="B154" s="87">
        <f t="shared" si="30"/>
        <v>9</v>
      </c>
      <c r="C154" s="274">
        <v>45840</v>
      </c>
      <c r="D154" s="275" t="s">
        <v>1904</v>
      </c>
      <c r="E154" s="281" t="s">
        <v>809</v>
      </c>
      <c r="F154" s="277">
        <v>16341.3</v>
      </c>
      <c r="G154" s="277">
        <v>39.700000000000003</v>
      </c>
      <c r="H154" s="277"/>
      <c r="I154" s="278">
        <f t="shared" si="29"/>
        <v>16301.599999999999</v>
      </c>
      <c r="J154" s="279" t="s">
        <v>219</v>
      </c>
      <c r="K154" s="279">
        <v>1</v>
      </c>
      <c r="L154" s="279"/>
      <c r="M154" s="279"/>
      <c r="N154" s="279">
        <v>1</v>
      </c>
      <c r="O154" s="279"/>
      <c r="P154" s="279"/>
      <c r="Q154" s="279"/>
      <c r="R154" s="279"/>
      <c r="S154" s="280"/>
      <c r="T154" s="63"/>
      <c r="U154" s="10"/>
      <c r="V154" s="90"/>
      <c r="W154" s="136"/>
      <c r="X154" s="137"/>
    </row>
    <row r="155" spans="1:24">
      <c r="A155" s="2"/>
      <c r="B155" s="87">
        <f>B154+1</f>
        <v>10</v>
      </c>
      <c r="C155" s="295">
        <v>45840</v>
      </c>
      <c r="D155" s="77" t="s">
        <v>1905</v>
      </c>
      <c r="E155" s="10" t="s">
        <v>225</v>
      </c>
      <c r="F155" s="62">
        <v>8214</v>
      </c>
      <c r="G155" s="62">
        <v>39.700000000000003</v>
      </c>
      <c r="H155" s="62"/>
      <c r="I155" s="89">
        <f>F155-G155-H155</f>
        <v>8174.3</v>
      </c>
      <c r="J155" s="63" t="s">
        <v>219</v>
      </c>
      <c r="K155" s="63">
        <v>1</v>
      </c>
      <c r="L155" s="63"/>
      <c r="M155" s="63"/>
      <c r="N155" s="63">
        <v>1</v>
      </c>
      <c r="O155" s="63"/>
      <c r="P155" s="63"/>
      <c r="Q155" s="63"/>
      <c r="R155" s="63"/>
      <c r="S155" s="296"/>
      <c r="T155" s="63"/>
      <c r="U155" s="10"/>
      <c r="V155" s="90"/>
      <c r="W155" s="136"/>
      <c r="X155" s="137"/>
    </row>
    <row r="156" spans="1:24">
      <c r="A156" s="2"/>
      <c r="B156" s="87">
        <f>B155+1</f>
        <v>11</v>
      </c>
      <c r="C156" s="274">
        <v>45841</v>
      </c>
      <c r="D156" s="276">
        <v>71175</v>
      </c>
      <c r="E156" s="281" t="s">
        <v>1906</v>
      </c>
      <c r="F156" s="277">
        <v>1281</v>
      </c>
      <c r="G156" s="277">
        <v>39.700000000000003</v>
      </c>
      <c r="H156" s="277"/>
      <c r="I156" s="278">
        <f t="shared" si="29"/>
        <v>1241.3</v>
      </c>
      <c r="J156" s="279" t="s">
        <v>205</v>
      </c>
      <c r="K156" s="279">
        <v>1</v>
      </c>
      <c r="L156" s="279"/>
      <c r="M156" s="279"/>
      <c r="N156" s="279">
        <v>1</v>
      </c>
      <c r="O156" s="279"/>
      <c r="P156" s="279"/>
      <c r="Q156" s="279"/>
      <c r="R156" s="279"/>
      <c r="S156" s="280"/>
      <c r="T156" s="63"/>
      <c r="U156" s="10"/>
      <c r="V156" s="90"/>
      <c r="W156" s="136"/>
      <c r="X156" s="137"/>
    </row>
    <row r="157" spans="1:24">
      <c r="A157" s="2"/>
      <c r="B157" s="87">
        <f t="shared" si="30"/>
        <v>12</v>
      </c>
      <c r="C157" s="295">
        <v>45841</v>
      </c>
      <c r="D157" s="10">
        <v>71162</v>
      </c>
      <c r="E157" s="101" t="s">
        <v>725</v>
      </c>
      <c r="F157" s="62">
        <v>1138</v>
      </c>
      <c r="G157" s="62">
        <v>39.700000000000003</v>
      </c>
      <c r="H157" s="62"/>
      <c r="I157" s="89">
        <f t="shared" si="29"/>
        <v>1098.3</v>
      </c>
      <c r="J157" s="63" t="s">
        <v>205</v>
      </c>
      <c r="K157" s="63">
        <v>1</v>
      </c>
      <c r="L157" s="63"/>
      <c r="M157" s="63"/>
      <c r="N157" s="63">
        <v>1</v>
      </c>
      <c r="O157" s="63"/>
      <c r="P157" s="63"/>
      <c r="Q157" s="63"/>
      <c r="R157" s="63"/>
      <c r="S157" s="296"/>
      <c r="T157" s="63"/>
      <c r="U157" s="10"/>
      <c r="V157" s="90"/>
      <c r="W157" s="136"/>
      <c r="X157" s="137"/>
    </row>
    <row r="158" spans="1:24">
      <c r="A158" s="2" t="s">
        <v>1907</v>
      </c>
      <c r="B158" s="87">
        <f t="shared" si="30"/>
        <v>13</v>
      </c>
      <c r="C158" s="295">
        <v>45841</v>
      </c>
      <c r="D158" s="77" t="s">
        <v>1908</v>
      </c>
      <c r="E158" s="10" t="s">
        <v>1891</v>
      </c>
      <c r="F158" s="62">
        <v>16214</v>
      </c>
      <c r="G158" s="62">
        <v>39.700000000000003</v>
      </c>
      <c r="H158" s="62"/>
      <c r="I158" s="89">
        <f>F158-G158-H158</f>
        <v>16174.3</v>
      </c>
      <c r="J158" s="63" t="s">
        <v>156</v>
      </c>
      <c r="K158" s="63">
        <v>1</v>
      </c>
      <c r="L158" s="63"/>
      <c r="M158" s="63">
        <v>1</v>
      </c>
      <c r="N158" s="63">
        <v>1</v>
      </c>
      <c r="O158" s="63">
        <v>1</v>
      </c>
      <c r="P158" s="63">
        <v>1</v>
      </c>
      <c r="Q158" s="63"/>
      <c r="R158" s="63"/>
      <c r="S158" s="296"/>
      <c r="T158" s="63"/>
      <c r="U158" s="94" t="s">
        <v>1909</v>
      </c>
      <c r="V158" s="90">
        <f>10.5+1700</f>
        <v>1710.5</v>
      </c>
      <c r="W158" s="136"/>
      <c r="X158" s="137"/>
    </row>
    <row r="159" spans="1:24">
      <c r="A159" s="2"/>
      <c r="B159" s="87">
        <f t="shared" si="30"/>
        <v>14</v>
      </c>
      <c r="C159" s="274">
        <v>45842</v>
      </c>
      <c r="D159" s="276">
        <v>71174</v>
      </c>
      <c r="E159" s="281" t="s">
        <v>1155</v>
      </c>
      <c r="F159" s="277">
        <v>5814</v>
      </c>
      <c r="G159" s="277">
        <v>39.700000000000003</v>
      </c>
      <c r="H159" s="277"/>
      <c r="I159" s="278">
        <f t="shared" si="29"/>
        <v>5774.3</v>
      </c>
      <c r="J159" s="279" t="s">
        <v>205</v>
      </c>
      <c r="K159" s="279">
        <v>1</v>
      </c>
      <c r="L159" s="279"/>
      <c r="M159" s="279"/>
      <c r="N159" s="279">
        <v>1</v>
      </c>
      <c r="O159" s="279"/>
      <c r="P159" s="279"/>
      <c r="Q159" s="279"/>
      <c r="R159" s="279"/>
      <c r="S159" s="280"/>
      <c r="T159" s="63"/>
      <c r="U159" s="10"/>
      <c r="V159" s="90"/>
      <c r="W159" s="136"/>
      <c r="X159" s="137"/>
    </row>
    <row r="160" spans="1:24">
      <c r="A160" s="2"/>
      <c r="B160" s="87">
        <f t="shared" si="30"/>
        <v>15</v>
      </c>
      <c r="C160" s="295">
        <v>45842</v>
      </c>
      <c r="D160" s="10">
        <v>71215</v>
      </c>
      <c r="E160" s="10" t="s">
        <v>1910</v>
      </c>
      <c r="F160" s="62">
        <v>12428</v>
      </c>
      <c r="G160" s="62">
        <v>39.700000000000003</v>
      </c>
      <c r="H160" s="62"/>
      <c r="I160" s="89">
        <f t="shared" si="29"/>
        <v>12388.3</v>
      </c>
      <c r="J160" s="63" t="s">
        <v>205</v>
      </c>
      <c r="K160" s="63">
        <v>1</v>
      </c>
      <c r="L160" s="63"/>
      <c r="M160" s="63"/>
      <c r="N160" s="63">
        <v>1</v>
      </c>
      <c r="O160" s="63"/>
      <c r="P160" s="63"/>
      <c r="Q160" s="63"/>
      <c r="R160" s="63"/>
      <c r="S160" s="296"/>
      <c r="T160" s="63"/>
      <c r="U160" s="10"/>
      <c r="V160" s="90"/>
      <c r="W160" s="136"/>
      <c r="X160" s="137"/>
    </row>
    <row r="161" spans="1:24">
      <c r="A161" s="2"/>
      <c r="B161" s="87">
        <f t="shared" si="30"/>
        <v>16</v>
      </c>
      <c r="C161" s="295">
        <v>45842</v>
      </c>
      <c r="D161" s="10">
        <v>71248</v>
      </c>
      <c r="E161" s="10" t="s">
        <v>187</v>
      </c>
      <c r="F161" s="62">
        <v>4261</v>
      </c>
      <c r="G161" s="62">
        <v>39.700000000000003</v>
      </c>
      <c r="H161" s="62"/>
      <c r="I161" s="89">
        <f t="shared" si="29"/>
        <v>4221.3</v>
      </c>
      <c r="J161" s="63" t="s">
        <v>205</v>
      </c>
      <c r="K161" s="63">
        <v>1</v>
      </c>
      <c r="L161" s="63"/>
      <c r="M161" s="63"/>
      <c r="N161" s="63">
        <v>1</v>
      </c>
      <c r="O161" s="63"/>
      <c r="P161" s="63"/>
      <c r="Q161" s="63"/>
      <c r="R161" s="63"/>
      <c r="S161" s="296"/>
      <c r="T161" s="63"/>
      <c r="U161" s="10" t="s">
        <v>1911</v>
      </c>
      <c r="V161" s="90">
        <v>203.5</v>
      </c>
      <c r="W161" s="136"/>
      <c r="X161" s="137"/>
    </row>
    <row r="162" spans="1:24">
      <c r="A162" s="2"/>
      <c r="B162" s="87">
        <f t="shared" si="30"/>
        <v>17</v>
      </c>
      <c r="C162" s="295">
        <v>45842</v>
      </c>
      <c r="D162" s="10">
        <v>71216</v>
      </c>
      <c r="E162" s="10" t="s">
        <v>1666</v>
      </c>
      <c r="F162" s="62">
        <v>613</v>
      </c>
      <c r="G162" s="62"/>
      <c r="H162" s="62"/>
      <c r="I162" s="89">
        <f t="shared" si="29"/>
        <v>613</v>
      </c>
      <c r="J162" s="63" t="s">
        <v>205</v>
      </c>
      <c r="K162" s="63">
        <v>1</v>
      </c>
      <c r="L162" s="63"/>
      <c r="M162" s="63"/>
      <c r="N162" s="63">
        <v>1</v>
      </c>
      <c r="O162" s="63"/>
      <c r="P162" s="63"/>
      <c r="Q162" s="63"/>
      <c r="R162" s="63"/>
      <c r="S162" s="296"/>
      <c r="T162" s="63"/>
      <c r="U162" s="10"/>
      <c r="V162" s="90"/>
      <c r="W162" s="136"/>
      <c r="X162" s="137"/>
    </row>
    <row r="163" spans="1:24">
      <c r="A163" s="2"/>
      <c r="B163" s="87">
        <f t="shared" si="30"/>
        <v>18</v>
      </c>
      <c r="C163" s="295">
        <v>45842</v>
      </c>
      <c r="D163" s="77" t="s">
        <v>1912</v>
      </c>
      <c r="E163" s="10" t="s">
        <v>216</v>
      </c>
      <c r="F163" s="62">
        <v>581</v>
      </c>
      <c r="G163" s="62"/>
      <c r="H163" s="62"/>
      <c r="I163" s="89">
        <f t="shared" si="29"/>
        <v>581</v>
      </c>
      <c r="J163" s="63" t="s">
        <v>205</v>
      </c>
      <c r="K163" s="63">
        <v>1</v>
      </c>
      <c r="L163" s="63"/>
      <c r="M163" s="63"/>
      <c r="N163" s="63">
        <v>1</v>
      </c>
      <c r="O163" s="63"/>
      <c r="P163" s="63"/>
      <c r="Q163" s="63"/>
      <c r="R163" s="63"/>
      <c r="S163" s="296"/>
      <c r="T163" s="63"/>
      <c r="U163" s="10"/>
      <c r="V163" s="90"/>
      <c r="W163" s="136"/>
      <c r="X163" s="137"/>
    </row>
    <row r="164" spans="1:24">
      <c r="A164" s="2"/>
      <c r="B164" s="87">
        <f t="shared" si="30"/>
        <v>19</v>
      </c>
      <c r="C164" s="295">
        <v>45842</v>
      </c>
      <c r="D164" s="77" t="s">
        <v>1913</v>
      </c>
      <c r="E164" s="10" t="s">
        <v>1143</v>
      </c>
      <c r="F164" s="62">
        <v>1135</v>
      </c>
      <c r="G164" s="62">
        <v>39.700000000000003</v>
      </c>
      <c r="H164" s="62"/>
      <c r="I164" s="89">
        <f t="shared" si="29"/>
        <v>1095.3</v>
      </c>
      <c r="J164" s="63" t="s">
        <v>205</v>
      </c>
      <c r="K164" s="63">
        <v>1</v>
      </c>
      <c r="L164" s="63"/>
      <c r="M164" s="63"/>
      <c r="N164" s="63">
        <v>1</v>
      </c>
      <c r="O164" s="63"/>
      <c r="P164" s="63"/>
      <c r="Q164" s="63"/>
      <c r="R164" s="63"/>
      <c r="S164" s="296"/>
      <c r="T164" s="63"/>
      <c r="U164" s="10"/>
      <c r="V164" s="90"/>
      <c r="W164" s="136"/>
      <c r="X164" s="137"/>
    </row>
    <row r="165" spans="1:24">
      <c r="A165" s="2"/>
      <c r="B165" s="87">
        <f>B164+1</f>
        <v>20</v>
      </c>
      <c r="C165" s="295">
        <v>45842</v>
      </c>
      <c r="D165" s="10">
        <v>71237</v>
      </c>
      <c r="E165" s="10" t="s">
        <v>1584</v>
      </c>
      <c r="F165" s="62">
        <v>4461</v>
      </c>
      <c r="G165" s="62">
        <v>39.700000000000003</v>
      </c>
      <c r="H165" s="62"/>
      <c r="I165" s="89">
        <f t="shared" si="29"/>
        <v>4421.3</v>
      </c>
      <c r="J165" s="63" t="s">
        <v>205</v>
      </c>
      <c r="K165" s="63"/>
      <c r="L165" s="63"/>
      <c r="M165" s="63"/>
      <c r="N165" s="63">
        <v>1</v>
      </c>
      <c r="O165" s="63"/>
      <c r="P165" s="63"/>
      <c r="Q165" s="63"/>
      <c r="R165" s="63"/>
      <c r="S165" s="296"/>
      <c r="T165" s="63"/>
      <c r="U165" s="10"/>
      <c r="V165" s="138"/>
      <c r="W165" s="136"/>
      <c r="X165" s="137"/>
    </row>
    <row r="166" spans="1:24">
      <c r="A166" s="2"/>
      <c r="B166" s="87">
        <f>B165+1</f>
        <v>21</v>
      </c>
      <c r="C166" s="282">
        <v>45842</v>
      </c>
      <c r="D166" s="302" t="s">
        <v>1914</v>
      </c>
      <c r="E166" s="283" t="s">
        <v>1085</v>
      </c>
      <c r="F166" s="284">
        <v>1263</v>
      </c>
      <c r="G166" s="284">
        <v>39.700000000000003</v>
      </c>
      <c r="H166" s="284"/>
      <c r="I166" s="285">
        <f t="shared" si="29"/>
        <v>1223.3</v>
      </c>
      <c r="J166" s="286" t="s">
        <v>205</v>
      </c>
      <c r="K166" s="286">
        <v>1</v>
      </c>
      <c r="L166" s="286"/>
      <c r="M166" s="286"/>
      <c r="N166" s="286">
        <v>1</v>
      </c>
      <c r="O166" s="286"/>
      <c r="P166" s="286"/>
      <c r="Q166" s="286"/>
      <c r="R166" s="286"/>
      <c r="S166" s="287"/>
      <c r="T166" s="63"/>
      <c r="U166" s="10"/>
      <c r="V166" s="138"/>
      <c r="W166" s="136"/>
      <c r="X166" s="137"/>
    </row>
    <row r="167" spans="1:24">
      <c r="A167" s="2"/>
      <c r="B167" s="11"/>
      <c r="C167" s="36"/>
      <c r="D167" s="10"/>
      <c r="E167" s="10"/>
      <c r="F167" s="98">
        <f>SUM(F146:F166)</f>
        <v>86920.1</v>
      </c>
      <c r="G167" s="98">
        <f>SUM(G146:G166)</f>
        <v>754.30000000000018</v>
      </c>
      <c r="H167" s="98">
        <f>SUM(H146:H166)</f>
        <v>0</v>
      </c>
      <c r="I167" s="98">
        <f>SUM(I146:I166)</f>
        <v>86165.800000000017</v>
      </c>
      <c r="J167" s="10"/>
      <c r="K167" s="10"/>
      <c r="L167" s="10"/>
      <c r="M167" s="10"/>
      <c r="N167" s="10"/>
      <c r="O167" s="10"/>
      <c r="P167" s="10"/>
      <c r="Q167" s="10"/>
      <c r="R167" s="10"/>
      <c r="S167" s="10"/>
      <c r="T167" s="63"/>
      <c r="U167" s="10"/>
      <c r="V167" s="138"/>
      <c r="W167" s="136"/>
      <c r="X167" s="137"/>
    </row>
    <row r="168" spans="1:24">
      <c r="A168" s="2"/>
      <c r="B168" s="26"/>
      <c r="C168" s="140"/>
      <c r="D168" s="141"/>
      <c r="E168" s="141"/>
      <c r="F168" s="141"/>
      <c r="G168" s="141"/>
      <c r="H168" s="141"/>
      <c r="I168" s="141"/>
      <c r="J168" s="141"/>
      <c r="K168" s="142"/>
      <c r="L168" s="142"/>
      <c r="M168" s="142"/>
      <c r="N168" s="142"/>
      <c r="O168" s="142"/>
      <c r="P168" s="142"/>
      <c r="Q168" s="142"/>
      <c r="R168" s="142"/>
      <c r="S168" s="142"/>
      <c r="T168" s="143">
        <f>SUM(T113:T167)</f>
        <v>0</v>
      </c>
      <c r="U168" s="141"/>
      <c r="V168" s="144">
        <f>SUM(V113:V167)</f>
        <v>34744.899999999994</v>
      </c>
      <c r="W168" s="145">
        <f>SUM(W113:W167)</f>
        <v>0</v>
      </c>
      <c r="X168" s="146">
        <f>SUM(X113:X167)</f>
        <v>0</v>
      </c>
    </row>
    <row r="171" spans="1:24">
      <c r="B171" s="4" t="s">
        <v>1</v>
      </c>
      <c r="C171" s="5"/>
      <c r="D171" s="6"/>
      <c r="E171" s="6"/>
      <c r="F171" s="7" t="s">
        <v>2</v>
      </c>
      <c r="G171" s="8">
        <v>45851</v>
      </c>
      <c r="H171" s="7"/>
      <c r="I171" s="6"/>
      <c r="J171" s="6"/>
      <c r="K171" s="6"/>
      <c r="L171" s="6"/>
      <c r="M171" s="6"/>
      <c r="N171" s="6"/>
      <c r="O171" s="6"/>
      <c r="P171" s="6"/>
      <c r="Q171" s="6"/>
      <c r="R171" s="6"/>
      <c r="S171" s="6"/>
      <c r="T171" s="6"/>
      <c r="U171" s="9"/>
      <c r="V171" s="10"/>
      <c r="W171" s="10"/>
      <c r="X171" s="10"/>
    </row>
    <row r="172" spans="1:24">
      <c r="B172" s="11"/>
      <c r="C172" s="10"/>
      <c r="D172" s="10"/>
      <c r="E172" s="10"/>
      <c r="F172" s="10"/>
      <c r="G172" s="7"/>
      <c r="H172" s="12"/>
      <c r="I172" s="10"/>
      <c r="J172" s="10"/>
      <c r="K172" s="13" t="s">
        <v>3</v>
      </c>
      <c r="L172" s="14"/>
      <c r="M172" s="15"/>
      <c r="N172" s="13" t="s">
        <v>4</v>
      </c>
      <c r="O172" s="14"/>
      <c r="P172" s="15"/>
      <c r="Q172" s="13" t="s">
        <v>5</v>
      </c>
      <c r="R172" s="14"/>
      <c r="S172" s="15"/>
      <c r="T172" s="16"/>
      <c r="U172" s="17"/>
      <c r="V172" s="10"/>
      <c r="W172" s="10"/>
      <c r="X172" s="10"/>
    </row>
    <row r="173" spans="1:24">
      <c r="B173" s="18" t="s">
        <v>6</v>
      </c>
      <c r="C173" s="19">
        <f>C174+C175</f>
        <v>34</v>
      </c>
      <c r="D173" s="10"/>
      <c r="E173" s="18" t="s">
        <v>7</v>
      </c>
      <c r="F173" s="6"/>
      <c r="G173" s="9"/>
      <c r="H173" s="10"/>
      <c r="I173" s="10"/>
      <c r="J173" s="10"/>
      <c r="K173" s="20" t="s">
        <v>8</v>
      </c>
      <c r="L173" s="21" t="s">
        <v>9</v>
      </c>
      <c r="M173" s="21" t="s">
        <v>10</v>
      </c>
      <c r="N173" s="20" t="s">
        <v>11</v>
      </c>
      <c r="O173" s="21" t="s">
        <v>12</v>
      </c>
      <c r="P173" s="22" t="s">
        <v>13</v>
      </c>
      <c r="Q173" s="21" t="s">
        <v>11</v>
      </c>
      <c r="R173" s="21" t="s">
        <v>12</v>
      </c>
      <c r="S173" s="22" t="s">
        <v>13</v>
      </c>
      <c r="T173" s="23" t="s">
        <v>14</v>
      </c>
      <c r="U173" s="17"/>
      <c r="V173" s="10"/>
      <c r="W173" s="10"/>
      <c r="X173" s="10"/>
    </row>
    <row r="174" spans="1:24">
      <c r="B174" s="24" t="s">
        <v>15</v>
      </c>
      <c r="C174" s="25">
        <f>P181</f>
        <v>15</v>
      </c>
      <c r="D174" s="10"/>
      <c r="E174" s="26" t="s">
        <v>16</v>
      </c>
      <c r="F174" s="27">
        <v>0.05</v>
      </c>
      <c r="G174" s="28"/>
      <c r="H174" s="10"/>
      <c r="I174" s="10"/>
      <c r="J174" s="18" t="s">
        <v>17</v>
      </c>
      <c r="K174" s="29">
        <f t="shared" ref="K174:S174" si="31">K209</f>
        <v>9</v>
      </c>
      <c r="L174" s="29">
        <f t="shared" si="31"/>
        <v>9</v>
      </c>
      <c r="M174" s="29">
        <f t="shared" si="31"/>
        <v>10</v>
      </c>
      <c r="N174" s="29">
        <f t="shared" si="31"/>
        <v>10</v>
      </c>
      <c r="O174" s="29">
        <f t="shared" si="31"/>
        <v>10</v>
      </c>
      <c r="P174" s="29">
        <f t="shared" si="31"/>
        <v>2</v>
      </c>
      <c r="Q174" s="29">
        <f t="shared" si="31"/>
        <v>5</v>
      </c>
      <c r="R174" s="29">
        <f t="shared" si="31"/>
        <v>5</v>
      </c>
      <c r="S174" s="29">
        <f t="shared" si="31"/>
        <v>2</v>
      </c>
      <c r="T174" s="30">
        <f>T258</f>
        <v>0</v>
      </c>
      <c r="U174" s="17"/>
      <c r="V174" s="10"/>
      <c r="W174" s="10"/>
      <c r="X174" s="10"/>
    </row>
    <row r="175" spans="1:24">
      <c r="B175" s="24" t="s">
        <v>18</v>
      </c>
      <c r="C175" s="25">
        <f>P182</f>
        <v>19</v>
      </c>
      <c r="D175" s="10"/>
      <c r="E175" s="10"/>
      <c r="F175" s="10"/>
      <c r="G175" s="31"/>
      <c r="H175" s="10"/>
      <c r="I175" s="10"/>
      <c r="J175" s="32" t="s">
        <v>19</v>
      </c>
      <c r="K175" s="33">
        <f t="shared" ref="K175:S175" si="32">K209/K208</f>
        <v>0.9</v>
      </c>
      <c r="L175" s="33">
        <f t="shared" si="32"/>
        <v>0.9</v>
      </c>
      <c r="M175" s="33">
        <f t="shared" si="32"/>
        <v>1</v>
      </c>
      <c r="N175" s="33">
        <f t="shared" si="32"/>
        <v>1</v>
      </c>
      <c r="O175" s="33">
        <f t="shared" si="32"/>
        <v>1</v>
      </c>
      <c r="P175" s="33">
        <f t="shared" si="32"/>
        <v>0.2</v>
      </c>
      <c r="Q175" s="33">
        <f t="shared" si="32"/>
        <v>0.5</v>
      </c>
      <c r="R175" s="33">
        <f t="shared" si="32"/>
        <v>0.5</v>
      </c>
      <c r="S175" s="33">
        <f t="shared" si="32"/>
        <v>0.2</v>
      </c>
      <c r="T175" s="23"/>
      <c r="U175" s="17" t="s">
        <v>20</v>
      </c>
      <c r="V175" s="10"/>
      <c r="W175" s="10"/>
      <c r="X175" s="10"/>
    </row>
    <row r="176" spans="1:24">
      <c r="B176" s="24" t="s">
        <v>21</v>
      </c>
      <c r="C176" s="34">
        <f>P183</f>
        <v>0.44117647058823528</v>
      </c>
      <c r="D176" s="10"/>
      <c r="E176" s="10"/>
      <c r="F176" s="10"/>
      <c r="G176" s="10"/>
      <c r="H176" s="10"/>
      <c r="I176" s="10"/>
      <c r="J176" s="10"/>
      <c r="K176" s="10"/>
      <c r="L176" s="10"/>
      <c r="M176" s="10"/>
      <c r="N176" s="10"/>
      <c r="O176" s="10"/>
      <c r="P176" s="10"/>
      <c r="Q176" s="10"/>
      <c r="R176" s="10"/>
      <c r="S176" s="10"/>
      <c r="T176" s="10"/>
      <c r="U176" s="17"/>
      <c r="V176" s="10"/>
      <c r="W176" s="10"/>
      <c r="X176" s="10"/>
    </row>
    <row r="177" spans="2:24">
      <c r="B177" s="24"/>
      <c r="C177" s="25"/>
      <c r="D177" s="10"/>
      <c r="E177" s="10"/>
      <c r="F177" s="18" t="s">
        <v>22</v>
      </c>
      <c r="G177" s="19" t="s">
        <v>23</v>
      </c>
      <c r="H177" s="35" t="s">
        <v>24</v>
      </c>
      <c r="I177" s="10"/>
      <c r="J177" s="10"/>
      <c r="K177" s="36"/>
      <c r="L177" s="36"/>
      <c r="M177" s="36"/>
      <c r="N177" s="36"/>
      <c r="O177" s="36"/>
      <c r="P177" s="36"/>
      <c r="Q177" s="36"/>
      <c r="R177" s="10"/>
      <c r="S177" s="10"/>
      <c r="T177" s="10"/>
      <c r="U177" s="17"/>
      <c r="V177" s="10"/>
      <c r="W177" s="10"/>
      <c r="X177" s="10"/>
    </row>
    <row r="178" spans="2:24">
      <c r="B178" s="32" t="s">
        <v>25</v>
      </c>
      <c r="C178" s="37">
        <f>P184</f>
        <v>1386.1120000000001</v>
      </c>
      <c r="D178" s="10"/>
      <c r="E178" s="18" t="s">
        <v>26</v>
      </c>
      <c r="F178" s="38">
        <f>P180</f>
        <v>20791.68</v>
      </c>
      <c r="G178" s="39">
        <f>I208+I218+I224</f>
        <v>20791.68</v>
      </c>
      <c r="H178" s="40"/>
      <c r="I178" s="41"/>
      <c r="J178" s="42"/>
      <c r="K178" s="43" t="s">
        <v>27</v>
      </c>
      <c r="L178" s="44"/>
      <c r="M178" s="44"/>
      <c r="N178" s="44"/>
      <c r="O178" s="44"/>
      <c r="P178" s="44"/>
      <c r="Q178" s="45"/>
      <c r="R178" s="46" t="s">
        <v>28</v>
      </c>
      <c r="S178" s="47" t="s">
        <v>29</v>
      </c>
      <c r="T178" s="10"/>
      <c r="U178" s="17"/>
      <c r="V178" s="10"/>
      <c r="W178" s="10"/>
      <c r="X178" s="10"/>
    </row>
    <row r="179" spans="2:24">
      <c r="B179" s="11"/>
      <c r="C179" s="10"/>
      <c r="D179" s="10"/>
      <c r="E179" s="24" t="s">
        <v>30</v>
      </c>
      <c r="F179" s="48">
        <f>F174</f>
        <v>0.05</v>
      </c>
      <c r="G179" s="17"/>
      <c r="H179" s="40"/>
      <c r="I179" s="41"/>
      <c r="J179" s="42"/>
      <c r="K179" s="20" t="s">
        <v>31</v>
      </c>
      <c r="L179" s="21" t="s">
        <v>32</v>
      </c>
      <c r="M179" s="21" t="s">
        <v>33</v>
      </c>
      <c r="N179" s="21" t="s">
        <v>34</v>
      </c>
      <c r="O179" s="21" t="s">
        <v>35</v>
      </c>
      <c r="P179" s="21" t="s">
        <v>36</v>
      </c>
      <c r="Q179" s="49" t="s">
        <v>37</v>
      </c>
      <c r="R179" s="50" t="s">
        <v>38</v>
      </c>
      <c r="S179" s="50" t="s">
        <v>38</v>
      </c>
      <c r="T179" s="10"/>
      <c r="U179" s="17"/>
      <c r="V179" s="10"/>
      <c r="W179" s="10"/>
      <c r="X179" s="10"/>
    </row>
    <row r="180" spans="2:24">
      <c r="B180" s="11"/>
      <c r="C180" s="10"/>
      <c r="D180" s="10"/>
      <c r="E180" s="51" t="s">
        <v>39</v>
      </c>
      <c r="F180" s="52">
        <f>(F178+F187-I198-I216-I217-I221-I222-I223)*F179</f>
        <v>569.2560000000002</v>
      </c>
      <c r="G180" s="53" t="s">
        <v>40</v>
      </c>
      <c r="H180" s="54">
        <f>F180/1.12</f>
        <v>508.26428571428585</v>
      </c>
      <c r="I180" s="55"/>
      <c r="J180" s="42"/>
      <c r="K180" s="56">
        <f>I199+I200+I198+I216</f>
        <v>4032.8999999999996</v>
      </c>
      <c r="L180" s="57"/>
      <c r="M180" s="57">
        <f>I201+I202+I217</f>
        <v>5662.66</v>
      </c>
      <c r="N180" s="57">
        <f>I203+I204+I205+I221+I222</f>
        <v>7286.5100000000011</v>
      </c>
      <c r="O180" s="57">
        <f>I206+I207+I223</f>
        <v>3809.6099999999997</v>
      </c>
      <c r="P180" s="57">
        <f>SUM(K180:O180)</f>
        <v>20791.68</v>
      </c>
      <c r="Q180" s="58">
        <v>0</v>
      </c>
      <c r="R180" s="59">
        <f>I218+I224</f>
        <v>7755.2599999999993</v>
      </c>
      <c r="S180" s="59"/>
      <c r="T180" s="10"/>
      <c r="U180" s="17"/>
      <c r="V180" s="10"/>
      <c r="W180" s="10"/>
      <c r="X180" s="10"/>
    </row>
    <row r="181" spans="2:24">
      <c r="B181" s="11"/>
      <c r="C181" s="10"/>
      <c r="D181" s="10"/>
      <c r="E181" s="24" t="s">
        <v>41</v>
      </c>
      <c r="F181" s="60">
        <f>Q180</f>
        <v>0</v>
      </c>
      <c r="G181" s="61" t="s">
        <v>40</v>
      </c>
      <c r="H181" s="62"/>
      <c r="I181" s="62"/>
      <c r="J181" s="10" t="s">
        <v>42</v>
      </c>
      <c r="K181" s="63">
        <v>4</v>
      </c>
      <c r="L181" s="63">
        <v>0</v>
      </c>
      <c r="M181" s="63">
        <v>3</v>
      </c>
      <c r="N181" s="63">
        <v>5</v>
      </c>
      <c r="O181" s="63">
        <v>3</v>
      </c>
      <c r="P181" s="21">
        <f>SUM(K181:O181)</f>
        <v>15</v>
      </c>
      <c r="Q181" s="64"/>
      <c r="R181" s="63"/>
      <c r="S181" s="10"/>
      <c r="T181" s="10"/>
      <c r="U181" s="17"/>
      <c r="V181" s="10"/>
      <c r="W181" s="10"/>
      <c r="X181" s="10"/>
    </row>
    <row r="182" spans="2:24">
      <c r="B182" s="11"/>
      <c r="C182" s="10"/>
      <c r="D182" s="10"/>
      <c r="E182" s="51" t="s">
        <v>43</v>
      </c>
      <c r="F182" s="52">
        <f>F181*0.25</f>
        <v>0</v>
      </c>
      <c r="G182" s="53" t="s">
        <v>40</v>
      </c>
      <c r="H182" s="54">
        <f>F182/1.12</f>
        <v>0</v>
      </c>
      <c r="I182" s="10"/>
      <c r="J182" s="10" t="s">
        <v>44</v>
      </c>
      <c r="K182" s="63">
        <v>0</v>
      </c>
      <c r="L182" s="63">
        <v>5</v>
      </c>
      <c r="M182" s="63">
        <v>2</v>
      </c>
      <c r="N182" s="63">
        <v>6</v>
      </c>
      <c r="O182" s="63">
        <v>6</v>
      </c>
      <c r="P182" s="21">
        <f>SUM(K182:O182)</f>
        <v>19</v>
      </c>
      <c r="Q182" s="64"/>
      <c r="R182" s="63"/>
      <c r="S182" s="10"/>
      <c r="T182" s="10"/>
      <c r="U182" s="17"/>
      <c r="V182" s="10"/>
      <c r="W182" s="10"/>
      <c r="X182" s="10"/>
    </row>
    <row r="183" spans="2:24">
      <c r="B183" s="11"/>
      <c r="C183" s="10"/>
      <c r="D183" s="10"/>
      <c r="E183" s="24" t="s">
        <v>45</v>
      </c>
      <c r="F183" s="60">
        <f>I213</f>
        <v>344.81</v>
      </c>
      <c r="G183" s="61" t="s">
        <v>40</v>
      </c>
      <c r="H183" s="62"/>
      <c r="I183" s="10"/>
      <c r="J183" s="10" t="s">
        <v>46</v>
      </c>
      <c r="K183" s="31">
        <f t="shared" ref="K183:Q183" si="33">K181/(K181+K182)</f>
        <v>1</v>
      </c>
      <c r="L183" s="31">
        <f t="shared" si="33"/>
        <v>0</v>
      </c>
      <c r="M183" s="31">
        <f t="shared" si="33"/>
        <v>0.6</v>
      </c>
      <c r="N183" s="31">
        <f t="shared" si="33"/>
        <v>0.45454545454545453</v>
      </c>
      <c r="O183" s="31">
        <f t="shared" si="33"/>
        <v>0.33333333333333331</v>
      </c>
      <c r="P183" s="31">
        <f t="shared" si="33"/>
        <v>0.44117647058823528</v>
      </c>
      <c r="Q183" s="31" t="e">
        <f t="shared" si="33"/>
        <v>#DIV/0!</v>
      </c>
      <c r="R183" s="63"/>
      <c r="S183" s="10"/>
      <c r="T183" s="10"/>
      <c r="U183" s="17"/>
      <c r="V183" s="10"/>
      <c r="W183" s="10"/>
      <c r="X183" s="10"/>
    </row>
    <row r="184" spans="2:24">
      <c r="B184" s="11"/>
      <c r="C184" s="10"/>
      <c r="D184" s="10"/>
      <c r="E184" s="51" t="s">
        <v>47</v>
      </c>
      <c r="F184" s="52">
        <f>(F183-I212)*0.05</f>
        <v>0</v>
      </c>
      <c r="G184" s="65" t="s">
        <v>40</v>
      </c>
      <c r="H184" s="54">
        <f>F184/1.12</f>
        <v>0</v>
      </c>
      <c r="I184" s="42"/>
      <c r="J184" s="10" t="s">
        <v>48</v>
      </c>
      <c r="K184" s="66">
        <f t="shared" ref="K184:Q184" si="34">K180/K181</f>
        <v>1008.2249999999999</v>
      </c>
      <c r="L184" s="66" t="e">
        <f t="shared" si="34"/>
        <v>#DIV/0!</v>
      </c>
      <c r="M184" s="66">
        <f t="shared" si="34"/>
        <v>1887.5533333333333</v>
      </c>
      <c r="N184" s="66">
        <f t="shared" si="34"/>
        <v>1457.3020000000001</v>
      </c>
      <c r="O184" s="66">
        <f t="shared" si="34"/>
        <v>1269.8699999999999</v>
      </c>
      <c r="P184" s="66">
        <f t="shared" si="34"/>
        <v>1386.1120000000001</v>
      </c>
      <c r="Q184" s="66" t="e">
        <f t="shared" si="34"/>
        <v>#DIV/0!</v>
      </c>
      <c r="R184" s="63"/>
      <c r="S184" s="10"/>
      <c r="T184" s="10"/>
      <c r="U184" s="17"/>
      <c r="V184" s="10"/>
      <c r="W184" s="10"/>
      <c r="X184" s="10"/>
    </row>
    <row r="185" spans="2:24">
      <c r="B185" s="11"/>
      <c r="C185" s="10"/>
      <c r="D185" s="10"/>
      <c r="E185" s="67" t="s">
        <v>14</v>
      </c>
      <c r="F185" s="68"/>
      <c r="G185" s="10"/>
      <c r="H185" s="54">
        <f>F185/1.12</f>
        <v>0</v>
      </c>
      <c r="I185" s="10"/>
      <c r="J185" s="10"/>
      <c r="K185" s="10"/>
      <c r="L185" s="10"/>
      <c r="M185" s="10"/>
      <c r="N185" s="10"/>
      <c r="O185" s="10"/>
      <c r="P185" s="10"/>
      <c r="Q185" s="10"/>
      <c r="R185" s="10"/>
      <c r="S185" s="10"/>
      <c r="T185" s="10"/>
      <c r="U185" s="17"/>
      <c r="V185" s="10"/>
      <c r="W185" s="10"/>
      <c r="X185" s="10"/>
    </row>
    <row r="186" spans="2:24">
      <c r="B186" s="11"/>
      <c r="C186" s="10"/>
      <c r="D186" s="10"/>
      <c r="E186" s="67" t="s">
        <v>49</v>
      </c>
      <c r="F186" s="69">
        <f>T175</f>
        <v>0</v>
      </c>
      <c r="G186" s="10"/>
      <c r="H186" s="54"/>
      <c r="I186" s="55"/>
      <c r="J186" s="42"/>
      <c r="K186" s="764" t="s">
        <v>50</v>
      </c>
      <c r="L186" s="764"/>
      <c r="M186" s="764"/>
      <c r="N186" s="764"/>
      <c r="O186" s="764"/>
      <c r="P186" s="764"/>
      <c r="Q186" s="764"/>
      <c r="R186" s="70" t="s">
        <v>28</v>
      </c>
      <c r="S186" s="71" t="s">
        <v>29</v>
      </c>
      <c r="T186" s="10"/>
      <c r="U186" s="17"/>
      <c r="V186" s="10"/>
      <c r="W186" s="10"/>
      <c r="X186" s="10"/>
    </row>
    <row r="187" spans="2:24">
      <c r="B187" s="11"/>
      <c r="C187" s="10"/>
      <c r="D187" s="10"/>
      <c r="E187" s="74" t="s">
        <v>1915</v>
      </c>
      <c r="F187" s="75">
        <v>-10</v>
      </c>
      <c r="G187" s="10"/>
      <c r="H187" s="10"/>
      <c r="I187" s="10"/>
      <c r="J187" s="42"/>
      <c r="K187" s="20" t="s">
        <v>31</v>
      </c>
      <c r="L187" s="21" t="s">
        <v>32</v>
      </c>
      <c r="M187" s="21" t="s">
        <v>33</v>
      </c>
      <c r="N187" s="21" t="s">
        <v>34</v>
      </c>
      <c r="O187" s="21" t="s">
        <v>35</v>
      </c>
      <c r="P187" s="21" t="s">
        <v>36</v>
      </c>
      <c r="Q187" s="49" t="s">
        <v>37</v>
      </c>
      <c r="R187" s="50" t="s">
        <v>38</v>
      </c>
      <c r="S187" s="50" t="s">
        <v>38</v>
      </c>
      <c r="T187" s="10"/>
      <c r="U187" s="17"/>
      <c r="V187" s="10"/>
      <c r="W187" s="10"/>
      <c r="X187" s="10"/>
    </row>
    <row r="188" spans="2:24">
      <c r="B188" s="11"/>
      <c r="C188" s="10"/>
      <c r="D188" s="10"/>
      <c r="E188" s="10"/>
      <c r="F188" s="10"/>
      <c r="G188" s="10"/>
      <c r="H188" s="10"/>
      <c r="I188" s="10"/>
      <c r="J188" s="42"/>
      <c r="K188" s="56">
        <f>F199+F200+F198+F216</f>
        <v>4152</v>
      </c>
      <c r="L188" s="57"/>
      <c r="M188" s="57">
        <f>F201+F202+F217</f>
        <v>7759</v>
      </c>
      <c r="N188" s="57">
        <f>F203+F204+F205+F221+F222</f>
        <v>8192</v>
      </c>
      <c r="O188" s="57">
        <f>F206+F207+F223</f>
        <v>3970</v>
      </c>
      <c r="P188" s="57">
        <f>SUM(K188:O188)</f>
        <v>24073</v>
      </c>
      <c r="Q188" s="58">
        <v>0</v>
      </c>
      <c r="R188" s="59">
        <f>F218+F224</f>
        <v>10131</v>
      </c>
      <c r="S188" s="59"/>
      <c r="T188" s="10"/>
      <c r="U188" s="17"/>
      <c r="V188" s="10"/>
      <c r="W188" s="10"/>
      <c r="X188" s="10"/>
    </row>
    <row r="189" spans="2:24">
      <c r="B189" s="11"/>
      <c r="C189" s="10"/>
      <c r="D189" s="10"/>
      <c r="E189" s="10"/>
      <c r="F189" s="10"/>
      <c r="G189" s="10"/>
      <c r="H189" s="10"/>
      <c r="I189" s="10"/>
      <c r="J189" s="10" t="s">
        <v>42</v>
      </c>
      <c r="K189" s="63">
        <f t="shared" ref="K189:Q190" si="35">K181</f>
        <v>4</v>
      </c>
      <c r="L189" s="63">
        <f t="shared" si="35"/>
        <v>0</v>
      </c>
      <c r="M189" s="63">
        <f t="shared" si="35"/>
        <v>3</v>
      </c>
      <c r="N189" s="63">
        <f t="shared" si="35"/>
        <v>5</v>
      </c>
      <c r="O189" s="63">
        <f t="shared" si="35"/>
        <v>3</v>
      </c>
      <c r="P189" s="63">
        <f t="shared" si="35"/>
        <v>15</v>
      </c>
      <c r="Q189" s="63">
        <f t="shared" si="35"/>
        <v>0</v>
      </c>
      <c r="R189" s="63"/>
      <c r="S189" s="10"/>
      <c r="T189" s="10"/>
      <c r="U189" s="17"/>
      <c r="V189" s="10"/>
      <c r="W189" s="10"/>
      <c r="X189" s="10"/>
    </row>
    <row r="190" spans="2:24">
      <c r="B190" s="11"/>
      <c r="C190" s="10"/>
      <c r="D190" s="10"/>
      <c r="E190" s="12"/>
      <c r="F190" s="76"/>
      <c r="G190" s="10"/>
      <c r="H190" s="10"/>
      <c r="I190" s="10"/>
      <c r="J190" s="10" t="s">
        <v>44</v>
      </c>
      <c r="K190" s="63">
        <f t="shared" si="35"/>
        <v>0</v>
      </c>
      <c r="L190" s="63">
        <f t="shared" si="35"/>
        <v>5</v>
      </c>
      <c r="M190" s="63">
        <f t="shared" si="35"/>
        <v>2</v>
      </c>
      <c r="N190" s="63">
        <f t="shared" si="35"/>
        <v>6</v>
      </c>
      <c r="O190" s="63">
        <f t="shared" si="35"/>
        <v>6</v>
      </c>
      <c r="P190" s="63">
        <f t="shared" si="35"/>
        <v>19</v>
      </c>
      <c r="Q190" s="63">
        <f t="shared" si="35"/>
        <v>0</v>
      </c>
      <c r="R190" s="63"/>
      <c r="S190" s="10"/>
      <c r="T190" s="10"/>
      <c r="U190" s="17"/>
      <c r="V190" s="10"/>
      <c r="W190" s="10"/>
      <c r="X190" s="10"/>
    </row>
    <row r="191" spans="2:24">
      <c r="B191" s="11"/>
      <c r="C191" s="10"/>
      <c r="D191" s="10"/>
      <c r="E191" s="12"/>
      <c r="F191" s="76"/>
      <c r="G191" s="10"/>
      <c r="H191" s="10"/>
      <c r="I191" s="10"/>
      <c r="J191" s="10" t="s">
        <v>46</v>
      </c>
      <c r="K191" s="31">
        <f t="shared" ref="K191:Q191" si="36">K189/(K189+K190)</f>
        <v>1</v>
      </c>
      <c r="L191" s="31">
        <f t="shared" si="36"/>
        <v>0</v>
      </c>
      <c r="M191" s="31">
        <f t="shared" si="36"/>
        <v>0.6</v>
      </c>
      <c r="N191" s="31">
        <f t="shared" si="36"/>
        <v>0.45454545454545453</v>
      </c>
      <c r="O191" s="31">
        <f t="shared" si="36"/>
        <v>0.33333333333333331</v>
      </c>
      <c r="P191" s="31">
        <f t="shared" si="36"/>
        <v>0.44117647058823528</v>
      </c>
      <c r="Q191" s="31" t="e">
        <f t="shared" si="36"/>
        <v>#DIV/0!</v>
      </c>
      <c r="R191" s="63"/>
      <c r="S191" s="10"/>
      <c r="T191" s="10"/>
      <c r="U191" s="17"/>
      <c r="V191" s="10"/>
      <c r="W191" s="10"/>
      <c r="X191" s="10"/>
    </row>
    <row r="192" spans="2:24">
      <c r="B192" s="11"/>
      <c r="C192" s="10"/>
      <c r="D192" s="10"/>
      <c r="E192" s="10"/>
      <c r="F192" s="10"/>
      <c r="G192" s="10"/>
      <c r="H192" s="10"/>
      <c r="I192" s="10"/>
      <c r="J192" s="10" t="s">
        <v>48</v>
      </c>
      <c r="K192" s="66">
        <f t="shared" ref="K192:Q192" si="37">K188/K189</f>
        <v>1038</v>
      </c>
      <c r="L192" s="66" t="e">
        <f t="shared" si="37"/>
        <v>#DIV/0!</v>
      </c>
      <c r="M192" s="66">
        <f t="shared" si="37"/>
        <v>2586.3333333333335</v>
      </c>
      <c r="N192" s="66">
        <f t="shared" si="37"/>
        <v>1638.4</v>
      </c>
      <c r="O192" s="66">
        <f t="shared" si="37"/>
        <v>1323.3333333333333</v>
      </c>
      <c r="P192" s="66">
        <f t="shared" si="37"/>
        <v>1604.8666666666666</v>
      </c>
      <c r="Q192" s="66" t="e">
        <f t="shared" si="37"/>
        <v>#DIV/0!</v>
      </c>
      <c r="R192" s="63"/>
      <c r="S192" s="10"/>
      <c r="T192" s="10"/>
      <c r="U192" s="17"/>
      <c r="V192" s="10"/>
      <c r="W192" s="10"/>
      <c r="X192" s="10"/>
    </row>
    <row r="193" spans="2:24">
      <c r="B193" s="11"/>
      <c r="C193" s="10"/>
      <c r="D193" s="10"/>
      <c r="E193" s="10"/>
      <c r="F193" s="10"/>
      <c r="G193" s="10"/>
      <c r="H193" s="10"/>
      <c r="I193" s="10"/>
      <c r="J193" s="10"/>
      <c r="K193" s="10"/>
      <c r="L193" s="10"/>
      <c r="M193" s="10"/>
      <c r="N193" s="10"/>
      <c r="O193" s="10"/>
      <c r="P193" s="10"/>
      <c r="Q193" s="10"/>
      <c r="R193" s="10"/>
      <c r="S193" s="10"/>
      <c r="T193" s="10"/>
      <c r="U193" s="17"/>
      <c r="V193" s="10"/>
      <c r="W193" s="10"/>
      <c r="X193" s="10"/>
    </row>
    <row r="194" spans="2:24">
      <c r="B194" s="11"/>
      <c r="C194" s="10"/>
      <c r="D194" s="10"/>
      <c r="E194" s="10"/>
      <c r="F194" s="10"/>
      <c r="G194" s="10"/>
      <c r="H194" s="10"/>
      <c r="I194" s="10"/>
      <c r="J194" s="10"/>
      <c r="K194" s="10"/>
      <c r="L194" s="10"/>
      <c r="M194" s="10"/>
      <c r="N194" s="10"/>
      <c r="O194" s="10"/>
      <c r="P194" s="10"/>
      <c r="Q194" s="10"/>
      <c r="R194" s="10"/>
      <c r="S194" s="10"/>
      <c r="T194" s="10"/>
      <c r="U194" s="17"/>
      <c r="V194" s="10"/>
      <c r="W194" s="10"/>
      <c r="X194" s="10"/>
    </row>
    <row r="195" spans="2:24">
      <c r="B195" s="18" t="s">
        <v>51</v>
      </c>
      <c r="C195" s="14"/>
      <c r="D195" s="14"/>
      <c r="E195" s="14"/>
      <c r="F195" s="13" t="s">
        <v>52</v>
      </c>
      <c r="G195" s="14"/>
      <c r="H195" s="14"/>
      <c r="I195" s="14"/>
      <c r="J195" s="14"/>
      <c r="K195" s="13" t="s">
        <v>3</v>
      </c>
      <c r="L195" s="14"/>
      <c r="M195" s="14"/>
      <c r="N195" s="13" t="s">
        <v>4</v>
      </c>
      <c r="O195" s="14"/>
      <c r="P195" s="14"/>
      <c r="Q195" s="13" t="s">
        <v>5</v>
      </c>
      <c r="R195" s="14"/>
      <c r="S195" s="14"/>
      <c r="T195" s="18"/>
      <c r="U195" s="16" t="s">
        <v>53</v>
      </c>
      <c r="V195" s="77"/>
      <c r="W195" s="77"/>
      <c r="X195" s="77"/>
    </row>
    <row r="196" spans="2:24">
      <c r="B196" s="24" t="s">
        <v>54</v>
      </c>
      <c r="C196" s="21" t="s">
        <v>55</v>
      </c>
      <c r="D196" s="21" t="s">
        <v>56</v>
      </c>
      <c r="E196" s="21" t="s">
        <v>57</v>
      </c>
      <c r="F196" s="20" t="s">
        <v>58</v>
      </c>
      <c r="G196" s="21" t="s">
        <v>59</v>
      </c>
      <c r="H196" s="21" t="s">
        <v>60</v>
      </c>
      <c r="I196" s="21" t="s">
        <v>26</v>
      </c>
      <c r="J196" s="22" t="s">
        <v>61</v>
      </c>
      <c r="K196" s="21" t="s">
        <v>8</v>
      </c>
      <c r="L196" s="21" t="s">
        <v>9</v>
      </c>
      <c r="M196" s="21" t="s">
        <v>10</v>
      </c>
      <c r="N196" s="20" t="s">
        <v>11</v>
      </c>
      <c r="O196" s="21" t="s">
        <v>12</v>
      </c>
      <c r="P196" s="22" t="s">
        <v>13</v>
      </c>
      <c r="Q196" s="21" t="s">
        <v>11</v>
      </c>
      <c r="R196" s="21" t="s">
        <v>12</v>
      </c>
      <c r="S196" s="21" t="s">
        <v>13</v>
      </c>
      <c r="T196" s="78" t="s">
        <v>14</v>
      </c>
      <c r="U196" s="30"/>
      <c r="V196" s="79" t="s">
        <v>62</v>
      </c>
      <c r="W196" s="80" t="s">
        <v>63</v>
      </c>
      <c r="X196" s="81" t="s">
        <v>64</v>
      </c>
    </row>
    <row r="197" spans="2:24">
      <c r="B197" s="4" t="s">
        <v>65</v>
      </c>
      <c r="C197" s="6"/>
      <c r="D197" s="6"/>
      <c r="E197" s="6"/>
      <c r="F197" s="6"/>
      <c r="G197" s="6"/>
      <c r="H197" s="6"/>
      <c r="I197" s="82"/>
      <c r="J197" s="6"/>
      <c r="K197" s="6"/>
      <c r="L197" s="6"/>
      <c r="M197" s="6"/>
      <c r="N197" s="6"/>
      <c r="O197" s="6"/>
      <c r="P197" s="6"/>
      <c r="Q197" s="6"/>
      <c r="R197" s="6"/>
      <c r="S197" s="6"/>
      <c r="T197" s="83"/>
      <c r="U197" s="6"/>
      <c r="V197" s="84"/>
      <c r="W197" s="85"/>
      <c r="X197" s="86"/>
    </row>
    <row r="198" spans="2:24">
      <c r="B198" s="87">
        <v>1</v>
      </c>
      <c r="C198" s="274">
        <v>45845</v>
      </c>
      <c r="D198" s="320" t="s">
        <v>1916</v>
      </c>
      <c r="E198" s="276" t="s">
        <v>746</v>
      </c>
      <c r="F198" s="277">
        <f>1766-85</f>
        <v>1681</v>
      </c>
      <c r="G198" s="277">
        <v>39.700000000000003</v>
      </c>
      <c r="H198" s="277"/>
      <c r="I198" s="329">
        <f t="shared" ref="I198:I207" si="38">F198-G198-H198</f>
        <v>1641.3</v>
      </c>
      <c r="J198" s="279" t="s">
        <v>156</v>
      </c>
      <c r="K198" s="279">
        <v>1</v>
      </c>
      <c r="L198" s="322">
        <v>0</v>
      </c>
      <c r="M198" s="279">
        <v>1</v>
      </c>
      <c r="N198" s="279">
        <v>1</v>
      </c>
      <c r="O198" s="279">
        <v>1</v>
      </c>
      <c r="P198" s="322">
        <v>0</v>
      </c>
      <c r="Q198" s="279">
        <v>1</v>
      </c>
      <c r="R198" s="279">
        <v>1</v>
      </c>
      <c r="S198" s="328">
        <v>0</v>
      </c>
      <c r="T198" s="63"/>
      <c r="U198" s="94" t="s">
        <v>1917</v>
      </c>
      <c r="V198" s="90">
        <f>93.5+1849.1</f>
        <v>1942.6</v>
      </c>
      <c r="W198" s="136"/>
      <c r="X198" s="137"/>
    </row>
    <row r="199" spans="2:24">
      <c r="B199" s="87">
        <f t="shared" ref="B199:B207" si="39">B198+1</f>
        <v>2</v>
      </c>
      <c r="C199" s="295">
        <v>45845</v>
      </c>
      <c r="D199" s="346" t="s">
        <v>1918</v>
      </c>
      <c r="E199" s="10" t="s">
        <v>1217</v>
      </c>
      <c r="F199" s="62">
        <v>1138</v>
      </c>
      <c r="G199" s="62">
        <v>39.700000000000003</v>
      </c>
      <c r="H199" s="88"/>
      <c r="I199" s="324">
        <f t="shared" si="38"/>
        <v>1098.3</v>
      </c>
      <c r="J199" s="63" t="s">
        <v>156</v>
      </c>
      <c r="K199" s="63">
        <v>1</v>
      </c>
      <c r="L199" s="63">
        <v>1</v>
      </c>
      <c r="M199" s="63">
        <v>1</v>
      </c>
      <c r="N199" s="63">
        <v>1</v>
      </c>
      <c r="O199" s="63">
        <v>1</v>
      </c>
      <c r="P199" s="63">
        <v>1</v>
      </c>
      <c r="Q199" s="325">
        <v>0</v>
      </c>
      <c r="R199" s="325">
        <v>0</v>
      </c>
      <c r="S199" s="326">
        <v>0</v>
      </c>
      <c r="T199" s="63"/>
      <c r="U199" s="10" t="s">
        <v>1919</v>
      </c>
      <c r="V199" s="90">
        <v>1251.8</v>
      </c>
      <c r="W199" s="91"/>
      <c r="X199" s="92"/>
    </row>
    <row r="200" spans="2:24">
      <c r="B200" s="87">
        <f t="shared" si="39"/>
        <v>3</v>
      </c>
      <c r="C200" s="295">
        <v>45845</v>
      </c>
      <c r="D200" s="346" t="s">
        <v>1920</v>
      </c>
      <c r="E200" s="10" t="s">
        <v>1217</v>
      </c>
      <c r="F200" s="62">
        <v>1153</v>
      </c>
      <c r="G200" s="62">
        <v>39.700000000000003</v>
      </c>
      <c r="H200" s="62"/>
      <c r="I200" s="324">
        <f t="shared" si="38"/>
        <v>1113.3</v>
      </c>
      <c r="J200" s="63" t="s">
        <v>156</v>
      </c>
      <c r="K200" s="63">
        <v>1</v>
      </c>
      <c r="L200" s="63">
        <v>1</v>
      </c>
      <c r="M200" s="63">
        <v>1</v>
      </c>
      <c r="N200" s="63">
        <v>1</v>
      </c>
      <c r="O200" s="63">
        <v>1</v>
      </c>
      <c r="P200" s="63">
        <v>1</v>
      </c>
      <c r="Q200" s="325">
        <v>0</v>
      </c>
      <c r="R200" s="325">
        <v>0</v>
      </c>
      <c r="S200" s="326">
        <v>0</v>
      </c>
      <c r="T200" s="63"/>
      <c r="U200" s="10"/>
      <c r="V200" s="90">
        <v>1268.3</v>
      </c>
      <c r="W200" s="91"/>
      <c r="X200" s="92"/>
    </row>
    <row r="201" spans="2:24">
      <c r="B201" s="87">
        <f t="shared" si="39"/>
        <v>4</v>
      </c>
      <c r="C201" s="274">
        <v>45847</v>
      </c>
      <c r="D201" s="320" t="s">
        <v>1921</v>
      </c>
      <c r="E201" s="276" t="s">
        <v>168</v>
      </c>
      <c r="F201" s="277">
        <v>681</v>
      </c>
      <c r="G201" s="277"/>
      <c r="H201" s="277"/>
      <c r="I201" s="321">
        <f t="shared" si="38"/>
        <v>681</v>
      </c>
      <c r="J201" s="279" t="s">
        <v>156</v>
      </c>
      <c r="K201" s="279">
        <v>1</v>
      </c>
      <c r="L201" s="279">
        <v>1</v>
      </c>
      <c r="M201" s="279">
        <v>1</v>
      </c>
      <c r="N201" s="279">
        <v>1</v>
      </c>
      <c r="O201" s="279">
        <v>1</v>
      </c>
      <c r="P201" s="322">
        <v>0</v>
      </c>
      <c r="Q201" s="322">
        <v>0</v>
      </c>
      <c r="R201" s="322">
        <v>0</v>
      </c>
      <c r="S201" s="328">
        <v>0</v>
      </c>
      <c r="T201" s="63"/>
      <c r="U201" s="10" t="s">
        <v>1922</v>
      </c>
      <c r="V201" s="90">
        <v>749.1</v>
      </c>
      <c r="W201" s="91"/>
      <c r="X201" s="92"/>
    </row>
    <row r="202" spans="2:24">
      <c r="B202" s="87">
        <f t="shared" si="39"/>
        <v>5</v>
      </c>
      <c r="C202" s="295">
        <v>45847</v>
      </c>
      <c r="D202" s="323">
        <v>71329</v>
      </c>
      <c r="E202" s="94" t="s">
        <v>294</v>
      </c>
      <c r="F202" s="62">
        <f>1349-85</f>
        <v>1264</v>
      </c>
      <c r="G202" s="62">
        <f>39.7</f>
        <v>39.700000000000003</v>
      </c>
      <c r="H202" s="62"/>
      <c r="I202" s="324">
        <f t="shared" si="38"/>
        <v>1224.3</v>
      </c>
      <c r="J202" s="63" t="s">
        <v>156</v>
      </c>
      <c r="K202" s="63">
        <v>1</v>
      </c>
      <c r="L202" s="63">
        <v>1</v>
      </c>
      <c r="M202" s="63">
        <v>1</v>
      </c>
      <c r="N202" s="63">
        <v>1</v>
      </c>
      <c r="O202" s="63">
        <v>1</v>
      </c>
      <c r="P202" s="325">
        <v>0</v>
      </c>
      <c r="Q202" s="63">
        <v>1</v>
      </c>
      <c r="R202" s="63">
        <v>1</v>
      </c>
      <c r="S202" s="296">
        <v>1</v>
      </c>
      <c r="T202" s="63"/>
      <c r="U202" s="10"/>
      <c r="V202" s="90">
        <f>93.5+1390.4</f>
        <v>1483.9</v>
      </c>
      <c r="W202" s="91"/>
      <c r="X202" s="92"/>
    </row>
    <row r="203" spans="2:24">
      <c r="B203" s="87">
        <f t="shared" si="39"/>
        <v>6</v>
      </c>
      <c r="C203" s="274">
        <v>45848</v>
      </c>
      <c r="D203" s="327">
        <v>71352</v>
      </c>
      <c r="E203" s="276" t="s">
        <v>1923</v>
      </c>
      <c r="F203" s="277">
        <v>681</v>
      </c>
      <c r="G203" s="277"/>
      <c r="H203" s="277"/>
      <c r="I203" s="321">
        <f t="shared" si="38"/>
        <v>681</v>
      </c>
      <c r="J203" s="279" t="s">
        <v>374</v>
      </c>
      <c r="K203" s="279">
        <v>1</v>
      </c>
      <c r="L203" s="279">
        <v>1</v>
      </c>
      <c r="M203" s="279">
        <v>1</v>
      </c>
      <c r="N203" s="279">
        <v>1</v>
      </c>
      <c r="O203" s="279">
        <v>1</v>
      </c>
      <c r="P203" s="322">
        <v>0</v>
      </c>
      <c r="Q203" s="279">
        <v>1</v>
      </c>
      <c r="R203" s="279">
        <v>1</v>
      </c>
      <c r="S203" s="280">
        <v>1</v>
      </c>
      <c r="T203" s="63"/>
      <c r="U203" s="10"/>
      <c r="V203" s="90">
        <v>749.1</v>
      </c>
      <c r="W203" s="91"/>
      <c r="X203" s="92"/>
    </row>
    <row r="204" spans="2:24">
      <c r="B204" s="87">
        <f t="shared" si="39"/>
        <v>7</v>
      </c>
      <c r="C204" s="295">
        <v>45848</v>
      </c>
      <c r="D204" s="323">
        <v>71361</v>
      </c>
      <c r="E204" s="10" t="s">
        <v>1365</v>
      </c>
      <c r="F204" s="62">
        <v>4421</v>
      </c>
      <c r="G204" s="62">
        <f>39.7+(52.7+293.99)+200</f>
        <v>586.39</v>
      </c>
      <c r="H204" s="88"/>
      <c r="I204" s="324">
        <f t="shared" si="38"/>
        <v>3834.61</v>
      </c>
      <c r="J204" s="63" t="s">
        <v>156</v>
      </c>
      <c r="K204" s="63">
        <v>1</v>
      </c>
      <c r="L204" s="63">
        <v>1</v>
      </c>
      <c r="M204" s="63">
        <v>1</v>
      </c>
      <c r="N204" s="63">
        <v>1</v>
      </c>
      <c r="O204" s="63">
        <v>1</v>
      </c>
      <c r="P204" s="325">
        <v>0</v>
      </c>
      <c r="Q204" s="325">
        <v>0</v>
      </c>
      <c r="R204" s="325">
        <v>0</v>
      </c>
      <c r="S204" s="326">
        <v>0</v>
      </c>
      <c r="T204" s="63"/>
      <c r="U204" s="10" t="s">
        <v>1924</v>
      </c>
      <c r="V204" s="90">
        <f>486+4377.1</f>
        <v>4863.1000000000004</v>
      </c>
      <c r="W204" s="91"/>
      <c r="X204" s="92"/>
    </row>
    <row r="205" spans="2:24">
      <c r="B205" s="87">
        <f t="shared" si="39"/>
        <v>8</v>
      </c>
      <c r="C205" s="295">
        <v>45848</v>
      </c>
      <c r="D205" s="346" t="s">
        <v>1925</v>
      </c>
      <c r="E205" s="10" t="s">
        <v>1249</v>
      </c>
      <c r="F205" s="62">
        <v>814</v>
      </c>
      <c r="G205" s="62">
        <f>39.7</f>
        <v>39.700000000000003</v>
      </c>
      <c r="H205" s="88"/>
      <c r="I205" s="324">
        <f t="shared" si="38"/>
        <v>774.3</v>
      </c>
      <c r="J205" s="63" t="s">
        <v>156</v>
      </c>
      <c r="K205" s="63">
        <v>0</v>
      </c>
      <c r="L205" s="63">
        <v>1</v>
      </c>
      <c r="M205" s="63">
        <v>1</v>
      </c>
      <c r="N205" s="63">
        <v>1</v>
      </c>
      <c r="O205" s="63">
        <v>1</v>
      </c>
      <c r="P205" s="325">
        <v>0</v>
      </c>
      <c r="Q205" s="63">
        <v>1</v>
      </c>
      <c r="R205" s="63">
        <v>1</v>
      </c>
      <c r="S205" s="326">
        <v>0</v>
      </c>
      <c r="T205" s="63"/>
      <c r="U205" s="10" t="s">
        <v>1926</v>
      </c>
      <c r="V205" s="90">
        <v>895.4</v>
      </c>
      <c r="W205" s="91"/>
      <c r="X205" s="92"/>
    </row>
    <row r="206" spans="2:24">
      <c r="B206" s="87">
        <f t="shared" si="39"/>
        <v>9</v>
      </c>
      <c r="C206" s="274">
        <v>45849</v>
      </c>
      <c r="D206" s="327" t="s">
        <v>1927</v>
      </c>
      <c r="E206" s="276" t="s">
        <v>159</v>
      </c>
      <c r="F206" s="277">
        <v>681</v>
      </c>
      <c r="G206" s="277"/>
      <c r="H206" s="297"/>
      <c r="I206" s="321">
        <f t="shared" si="38"/>
        <v>681</v>
      </c>
      <c r="J206" s="279" t="s">
        <v>156</v>
      </c>
      <c r="K206" s="279">
        <v>1</v>
      </c>
      <c r="L206" s="279">
        <v>1</v>
      </c>
      <c r="M206" s="279">
        <v>1</v>
      </c>
      <c r="N206" s="279">
        <v>1</v>
      </c>
      <c r="O206" s="279">
        <v>1</v>
      </c>
      <c r="P206" s="322">
        <v>0</v>
      </c>
      <c r="Q206" s="279">
        <v>1</v>
      </c>
      <c r="R206" s="279">
        <v>1</v>
      </c>
      <c r="S206" s="328">
        <v>0</v>
      </c>
      <c r="T206" s="63"/>
      <c r="U206" s="10"/>
      <c r="V206" s="90">
        <v>749.1</v>
      </c>
      <c r="W206" s="91"/>
      <c r="X206" s="92"/>
    </row>
    <row r="207" spans="2:24">
      <c r="B207" s="87">
        <f t="shared" si="39"/>
        <v>10</v>
      </c>
      <c r="C207" s="282">
        <v>45849</v>
      </c>
      <c r="D207" s="368" t="s">
        <v>1928</v>
      </c>
      <c r="E207" s="283" t="s">
        <v>159</v>
      </c>
      <c r="F207" s="284">
        <v>1428</v>
      </c>
      <c r="G207" s="284">
        <f>39.7+(145.16-64.17)</f>
        <v>120.69</v>
      </c>
      <c r="H207" s="284"/>
      <c r="I207" s="300">
        <f t="shared" si="38"/>
        <v>1307.31</v>
      </c>
      <c r="J207" s="286" t="s">
        <v>156</v>
      </c>
      <c r="K207" s="286">
        <v>1</v>
      </c>
      <c r="L207" s="286">
        <v>1</v>
      </c>
      <c r="M207" s="286">
        <v>1</v>
      </c>
      <c r="N207" s="286">
        <v>1</v>
      </c>
      <c r="O207" s="286">
        <v>1</v>
      </c>
      <c r="P207" s="332">
        <v>0</v>
      </c>
      <c r="Q207" s="332">
        <v>0</v>
      </c>
      <c r="R207" s="332">
        <v>0</v>
      </c>
      <c r="S207" s="370">
        <v>0</v>
      </c>
      <c r="T207" s="63"/>
      <c r="U207" s="10" t="s">
        <v>1929</v>
      </c>
      <c r="V207" s="90">
        <f>172.79+1413.72</f>
        <v>1586.51</v>
      </c>
      <c r="W207" s="91"/>
      <c r="X207" s="92"/>
    </row>
    <row r="208" spans="2:24">
      <c r="B208" s="87"/>
      <c r="C208" s="36"/>
      <c r="D208" s="10"/>
      <c r="E208" s="10"/>
      <c r="F208" s="98">
        <f>SUM(F198:F207)</f>
        <v>13942</v>
      </c>
      <c r="G208" s="98">
        <f>SUM(G198:G207)</f>
        <v>905.58000000000015</v>
      </c>
      <c r="H208" s="98">
        <f>SUM(H198:H207)</f>
        <v>0</v>
      </c>
      <c r="I208" s="98">
        <f>SUM(I198:I207)</f>
        <v>13036.419999999998</v>
      </c>
      <c r="J208" s="63"/>
      <c r="K208" s="63">
        <f t="shared" ref="K208:S208" si="40">COUNT(K198:K207)</f>
        <v>10</v>
      </c>
      <c r="L208" s="63">
        <f t="shared" si="40"/>
        <v>10</v>
      </c>
      <c r="M208" s="63">
        <f t="shared" si="40"/>
        <v>10</v>
      </c>
      <c r="N208" s="63">
        <f t="shared" si="40"/>
        <v>10</v>
      </c>
      <c r="O208" s="63">
        <f t="shared" si="40"/>
        <v>10</v>
      </c>
      <c r="P208" s="63">
        <f t="shared" si="40"/>
        <v>10</v>
      </c>
      <c r="Q208" s="63">
        <f t="shared" si="40"/>
        <v>10</v>
      </c>
      <c r="R208" s="63">
        <f t="shared" si="40"/>
        <v>10</v>
      </c>
      <c r="S208" s="63">
        <f t="shared" si="40"/>
        <v>10</v>
      </c>
      <c r="T208" s="63"/>
      <c r="U208" s="10"/>
      <c r="V208" s="90"/>
      <c r="W208" s="91"/>
      <c r="X208" s="92"/>
    </row>
    <row r="209" spans="1:25">
      <c r="B209" s="87"/>
      <c r="C209" s="36"/>
      <c r="D209" s="10"/>
      <c r="E209" s="10"/>
      <c r="F209" s="88"/>
      <c r="G209" s="88"/>
      <c r="H209" s="88"/>
      <c r="I209" s="99"/>
      <c r="J209" s="63"/>
      <c r="K209" s="21">
        <f t="shared" ref="K209:S209" si="41">SUM(K198:K207)</f>
        <v>9</v>
      </c>
      <c r="L209" s="21">
        <f t="shared" si="41"/>
        <v>9</v>
      </c>
      <c r="M209" s="21">
        <f t="shared" si="41"/>
        <v>10</v>
      </c>
      <c r="N209" s="21">
        <f t="shared" si="41"/>
        <v>10</v>
      </c>
      <c r="O209" s="21">
        <f t="shared" si="41"/>
        <v>10</v>
      </c>
      <c r="P209" s="21">
        <f t="shared" si="41"/>
        <v>2</v>
      </c>
      <c r="Q209" s="21">
        <f t="shared" si="41"/>
        <v>5</v>
      </c>
      <c r="R209" s="21">
        <f t="shared" si="41"/>
        <v>5</v>
      </c>
      <c r="S209" s="21">
        <f t="shared" si="41"/>
        <v>2</v>
      </c>
      <c r="T209" s="63"/>
      <c r="U209" s="10"/>
      <c r="V209" s="90"/>
      <c r="W209" s="91"/>
      <c r="X209" s="92"/>
    </row>
    <row r="210" spans="1:25">
      <c r="B210" s="11"/>
      <c r="C210" s="36"/>
      <c r="D210" s="10"/>
      <c r="E210" s="10"/>
      <c r="F210" s="88"/>
      <c r="G210" s="88"/>
      <c r="H210" s="88"/>
      <c r="I210" s="99"/>
      <c r="J210" s="63"/>
      <c r="K210" s="21"/>
      <c r="L210" s="21"/>
      <c r="M210" s="21"/>
      <c r="N210" s="21"/>
      <c r="O210" s="21"/>
      <c r="P210" s="21"/>
      <c r="Q210" s="21"/>
      <c r="R210" s="21"/>
      <c r="S210" s="21"/>
      <c r="T210" s="63"/>
      <c r="U210" s="10"/>
      <c r="V210" s="90"/>
      <c r="W210" s="91"/>
      <c r="X210" s="92"/>
    </row>
    <row r="211" spans="1:25">
      <c r="B211" s="100" t="s">
        <v>67</v>
      </c>
      <c r="C211" s="36"/>
      <c r="D211" s="10"/>
      <c r="E211" s="10"/>
      <c r="F211" s="88"/>
      <c r="G211" s="62"/>
      <c r="H211" s="88"/>
      <c r="I211" s="99"/>
      <c r="J211" s="63"/>
      <c r="K211" s="2"/>
      <c r="L211" s="2"/>
      <c r="M211" s="2"/>
      <c r="N211" s="2"/>
      <c r="O211" s="2"/>
      <c r="P211" s="2"/>
      <c r="Q211" s="2"/>
      <c r="R211" s="2"/>
      <c r="S211" s="2"/>
      <c r="T211" s="63"/>
      <c r="U211" s="94"/>
      <c r="V211" s="90"/>
      <c r="W211" s="91"/>
      <c r="X211" s="92"/>
    </row>
    <row r="212" spans="1:25">
      <c r="A212" s="261" t="s">
        <v>1930</v>
      </c>
      <c r="B212" s="87">
        <v>1</v>
      </c>
      <c r="C212" s="262">
        <v>45840</v>
      </c>
      <c r="D212" s="357" t="s">
        <v>1894</v>
      </c>
      <c r="E212" s="271" t="s">
        <v>1150</v>
      </c>
      <c r="F212" s="265">
        <f>1461-789</f>
        <v>672</v>
      </c>
      <c r="G212" s="265">
        <f>39.7+(87.49)+200</f>
        <v>327.19</v>
      </c>
      <c r="H212" s="265"/>
      <c r="I212" s="376">
        <f>F212-G212-H212</f>
        <v>344.81</v>
      </c>
      <c r="J212" s="267" t="s">
        <v>156</v>
      </c>
      <c r="K212" s="267">
        <v>1</v>
      </c>
      <c r="L212" s="267">
        <v>1</v>
      </c>
      <c r="M212" s="267">
        <v>1</v>
      </c>
      <c r="N212" s="267">
        <v>1</v>
      </c>
      <c r="O212" s="267">
        <v>1</v>
      </c>
      <c r="P212" s="267">
        <v>0</v>
      </c>
      <c r="Q212" s="267">
        <v>1</v>
      </c>
      <c r="R212" s="267">
        <v>1</v>
      </c>
      <c r="S212" s="269">
        <v>1</v>
      </c>
      <c r="T212" s="63"/>
      <c r="U212" s="94" t="s">
        <v>1895</v>
      </c>
      <c r="V212" s="90"/>
      <c r="W212" s="91"/>
      <c r="X212" s="92"/>
      <c r="Y212" s="260"/>
    </row>
    <row r="213" spans="1:25">
      <c r="B213" s="11"/>
      <c r="C213" s="36"/>
      <c r="D213" s="10"/>
      <c r="E213" s="10"/>
      <c r="F213" s="97">
        <f>SUM(F212:F212)</f>
        <v>672</v>
      </c>
      <c r="G213" s="97">
        <f>SUM(G212:G212)</f>
        <v>327.19</v>
      </c>
      <c r="H213" s="97">
        <f>SUM(H212:H212)</f>
        <v>0</v>
      </c>
      <c r="I213" s="98">
        <f>SUM(I212:I212)</f>
        <v>344.81</v>
      </c>
      <c r="J213" s="63"/>
      <c r="K213" s="21"/>
      <c r="L213" s="21"/>
      <c r="M213" s="21"/>
      <c r="N213" s="21"/>
      <c r="O213" s="21"/>
      <c r="P213" s="21"/>
      <c r="Q213" s="21"/>
      <c r="R213" s="21"/>
      <c r="S213" s="21"/>
      <c r="T213" s="63"/>
      <c r="U213" s="94"/>
      <c r="V213" s="90"/>
      <c r="W213" s="91"/>
      <c r="X213" s="92"/>
    </row>
    <row r="214" spans="1:25">
      <c r="B214" s="11"/>
      <c r="C214" s="36"/>
      <c r="D214" s="10"/>
      <c r="E214" s="10"/>
      <c r="F214" s="88"/>
      <c r="G214" s="88"/>
      <c r="H214" s="88"/>
      <c r="I214" s="99"/>
      <c r="J214" s="63"/>
      <c r="K214" s="21"/>
      <c r="L214" s="21"/>
      <c r="M214" s="21"/>
      <c r="N214" s="21"/>
      <c r="O214" s="21"/>
      <c r="P214" s="21"/>
      <c r="Q214" s="21"/>
      <c r="R214" s="21"/>
      <c r="S214" s="21"/>
      <c r="T214" s="63"/>
      <c r="U214" s="94"/>
      <c r="V214" s="90"/>
      <c r="W214" s="91"/>
      <c r="X214" s="92"/>
    </row>
    <row r="215" spans="1:25" s="342" customFormat="1">
      <c r="B215" s="121" t="s">
        <v>68</v>
      </c>
      <c r="C215" s="122"/>
      <c r="D215" s="123"/>
      <c r="E215" s="123"/>
      <c r="F215" s="124"/>
      <c r="G215" s="125"/>
      <c r="H215" s="124"/>
      <c r="I215" s="126"/>
      <c r="J215" s="127"/>
      <c r="K215" s="128"/>
      <c r="L215" s="128"/>
      <c r="M215" s="128"/>
      <c r="N215" s="128"/>
      <c r="O215" s="128"/>
      <c r="P215" s="128"/>
      <c r="Q215" s="128"/>
      <c r="R215" s="128"/>
      <c r="S215" s="128"/>
      <c r="T215" s="127"/>
      <c r="U215" s="123"/>
      <c r="V215" s="129"/>
      <c r="W215" s="130"/>
      <c r="X215" s="131"/>
    </row>
    <row r="216" spans="1:25" s="381" customFormat="1">
      <c r="A216" s="493" t="s">
        <v>249</v>
      </c>
      <c r="B216" s="372">
        <v>1</v>
      </c>
      <c r="C216" s="442">
        <v>45845</v>
      </c>
      <c r="D216" s="327" t="s">
        <v>1931</v>
      </c>
      <c r="E216" s="444" t="s">
        <v>746</v>
      </c>
      <c r="F216" s="445">
        <v>180</v>
      </c>
      <c r="G216" s="445"/>
      <c r="H216" s="445"/>
      <c r="I216" s="329">
        <f>F216-G216-H216</f>
        <v>180</v>
      </c>
      <c r="J216" s="322"/>
      <c r="K216" s="322">
        <v>1</v>
      </c>
      <c r="L216" s="322">
        <v>0</v>
      </c>
      <c r="M216" s="322"/>
      <c r="N216" s="322">
        <v>1</v>
      </c>
      <c r="O216" s="322">
        <v>1</v>
      </c>
      <c r="P216" s="322">
        <v>0</v>
      </c>
      <c r="Q216" s="322">
        <v>0</v>
      </c>
      <c r="R216" s="322">
        <v>0</v>
      </c>
      <c r="S216" s="328">
        <v>0</v>
      </c>
      <c r="T216" s="325"/>
      <c r="U216" s="430"/>
      <c r="V216" s="377"/>
      <c r="W216" s="392"/>
      <c r="X216" s="379"/>
    </row>
    <row r="217" spans="1:25" s="342" customFormat="1">
      <c r="A217" s="492">
        <v>0.05</v>
      </c>
      <c r="B217" s="333">
        <f>B216+1</f>
        <v>2</v>
      </c>
      <c r="C217" s="350">
        <v>45847</v>
      </c>
      <c r="D217" s="357" t="s">
        <v>1932</v>
      </c>
      <c r="E217" s="358" t="s">
        <v>168</v>
      </c>
      <c r="F217" s="352">
        <v>5814</v>
      </c>
      <c r="G217" s="352">
        <f>39.7+541.2+(123.61+1102.13)+250</f>
        <v>2056.6400000000003</v>
      </c>
      <c r="H217" s="352"/>
      <c r="I217" s="353">
        <f>F217-G217-H217</f>
        <v>3757.3599999999997</v>
      </c>
      <c r="J217" s="354" t="s">
        <v>156</v>
      </c>
      <c r="K217" s="354">
        <v>1</v>
      </c>
      <c r="L217" s="354">
        <v>1</v>
      </c>
      <c r="M217" s="354">
        <v>1</v>
      </c>
      <c r="N217" s="354">
        <v>1</v>
      </c>
      <c r="O217" s="354">
        <v>1</v>
      </c>
      <c r="P217" s="314">
        <v>0</v>
      </c>
      <c r="Q217" s="354">
        <v>1</v>
      </c>
      <c r="R217" s="354">
        <v>1</v>
      </c>
      <c r="S217" s="355">
        <v>1</v>
      </c>
      <c r="T217" s="127"/>
      <c r="U217" s="135" t="s">
        <v>1933</v>
      </c>
      <c r="V217" s="129">
        <v>639</v>
      </c>
      <c r="W217" s="340"/>
      <c r="X217" s="341"/>
    </row>
    <row r="218" spans="1:25" s="342" customFormat="1">
      <c r="B218" s="132"/>
      <c r="C218" s="122"/>
      <c r="D218" s="123"/>
      <c r="E218" s="123"/>
      <c r="F218" s="133">
        <f>SUM(F216:F217)</f>
        <v>5994</v>
      </c>
      <c r="G218" s="133">
        <f>SUM(G216:G217)</f>
        <v>2056.6400000000003</v>
      </c>
      <c r="H218" s="133">
        <f>SUM(H216:H217)</f>
        <v>0</v>
      </c>
      <c r="I218" s="134">
        <f>SUM(I216:I217)</f>
        <v>3937.3599999999997</v>
      </c>
      <c r="J218" s="127"/>
      <c r="K218" s="64"/>
      <c r="L218" s="64"/>
      <c r="M218" s="64"/>
      <c r="N218" s="64"/>
      <c r="O218" s="64"/>
      <c r="P218" s="64"/>
      <c r="Q218" s="64"/>
      <c r="R218" s="64"/>
      <c r="S218" s="64"/>
      <c r="T218" s="127"/>
      <c r="U218" s="123"/>
      <c r="V218" s="129"/>
      <c r="W218" s="130"/>
      <c r="X218" s="131"/>
    </row>
    <row r="219" spans="1:25" s="342" customFormat="1">
      <c r="B219" s="132"/>
      <c r="C219" s="122"/>
      <c r="D219" s="123"/>
      <c r="E219" s="123"/>
      <c r="F219" s="124"/>
      <c r="G219" s="124"/>
      <c r="H219" s="124"/>
      <c r="I219" s="126"/>
      <c r="J219" s="127"/>
      <c r="K219" s="64"/>
      <c r="L219" s="64"/>
      <c r="M219" s="64"/>
      <c r="N219" s="64"/>
      <c r="O219" s="64"/>
      <c r="P219" s="64"/>
      <c r="Q219" s="64"/>
      <c r="R219" s="64"/>
      <c r="S219" s="64"/>
      <c r="T219" s="127"/>
      <c r="U219" s="123"/>
      <c r="V219" s="129"/>
      <c r="W219" s="130"/>
      <c r="X219" s="131"/>
    </row>
    <row r="220" spans="1:25" s="342" customFormat="1">
      <c r="B220" s="121" t="s">
        <v>70</v>
      </c>
      <c r="C220" s="122"/>
      <c r="D220" s="123"/>
      <c r="E220" s="128"/>
      <c r="F220" s="124"/>
      <c r="G220" s="124"/>
      <c r="H220" s="124"/>
      <c r="I220" s="126"/>
      <c r="J220" s="127"/>
      <c r="K220" s="64"/>
      <c r="L220" s="64"/>
      <c r="M220" s="64"/>
      <c r="N220" s="64"/>
      <c r="O220" s="64"/>
      <c r="P220" s="64"/>
      <c r="Q220" s="64"/>
      <c r="R220" s="64"/>
      <c r="S220" s="64"/>
      <c r="T220" s="127"/>
      <c r="U220" s="135"/>
      <c r="V220" s="129"/>
      <c r="W220" s="130"/>
      <c r="X220" s="131"/>
    </row>
    <row r="221" spans="1:25" s="342" customFormat="1">
      <c r="A221" s="492">
        <v>0.05</v>
      </c>
      <c r="B221" s="333">
        <v>1</v>
      </c>
      <c r="C221" s="334">
        <v>45848</v>
      </c>
      <c r="D221" s="327">
        <v>71381</v>
      </c>
      <c r="E221" s="335" t="s">
        <v>1530</v>
      </c>
      <c r="F221" s="336">
        <f>1223-85</f>
        <v>1138</v>
      </c>
      <c r="G221" s="336">
        <f>39.7</f>
        <v>39.700000000000003</v>
      </c>
      <c r="H221" s="336"/>
      <c r="I221" s="337">
        <f>F221-G221-H221</f>
        <v>1098.3</v>
      </c>
      <c r="J221" s="338" t="s">
        <v>156</v>
      </c>
      <c r="K221" s="338">
        <v>1</v>
      </c>
      <c r="L221" s="338"/>
      <c r="M221" s="338">
        <v>1</v>
      </c>
      <c r="N221" s="338">
        <v>1</v>
      </c>
      <c r="O221" s="338">
        <v>1</v>
      </c>
      <c r="P221" s="322">
        <v>0</v>
      </c>
      <c r="Q221" s="338"/>
      <c r="R221" s="338"/>
      <c r="S221" s="339"/>
      <c r="T221" s="127"/>
      <c r="U221" s="135"/>
      <c r="V221" s="129">
        <f>93.5+125</f>
        <v>218.5</v>
      </c>
      <c r="W221" s="340"/>
      <c r="X221" s="341"/>
    </row>
    <row r="222" spans="1:25" s="342" customFormat="1">
      <c r="A222" s="492" t="s">
        <v>1934</v>
      </c>
      <c r="B222" s="333">
        <f>B221+1</f>
        <v>2</v>
      </c>
      <c r="C222" s="345">
        <v>45848</v>
      </c>
      <c r="D222" s="323" t="s">
        <v>1935</v>
      </c>
      <c r="E222" s="123" t="s">
        <v>1249</v>
      </c>
      <c r="F222" s="125">
        <v>1138</v>
      </c>
      <c r="G222" s="125">
        <f>39.7+200</f>
        <v>239.7</v>
      </c>
      <c r="H222" s="125"/>
      <c r="I222" s="347">
        <f>F222-G222-H222</f>
        <v>898.3</v>
      </c>
      <c r="J222" s="127" t="s">
        <v>156</v>
      </c>
      <c r="K222" s="127">
        <v>1</v>
      </c>
      <c r="L222" s="127"/>
      <c r="M222" s="127">
        <v>1</v>
      </c>
      <c r="N222" s="127">
        <v>1</v>
      </c>
      <c r="O222" s="127">
        <v>1</v>
      </c>
      <c r="P222" s="325">
        <v>0</v>
      </c>
      <c r="Q222" s="127">
        <v>1</v>
      </c>
      <c r="R222" s="127">
        <v>1</v>
      </c>
      <c r="S222" s="349">
        <v>1</v>
      </c>
      <c r="T222" s="127"/>
      <c r="U222" s="135" t="s">
        <v>1936</v>
      </c>
      <c r="V222" s="129">
        <f>125</f>
        <v>125</v>
      </c>
      <c r="W222" s="340"/>
      <c r="X222" s="341"/>
    </row>
    <row r="223" spans="1:25" s="342" customFormat="1">
      <c r="A223" s="492">
        <v>0.05</v>
      </c>
      <c r="B223" s="333">
        <f>B222+1</f>
        <v>3</v>
      </c>
      <c r="C223" s="350">
        <v>45849</v>
      </c>
      <c r="D223" s="263">
        <v>71382</v>
      </c>
      <c r="E223" s="358" t="s">
        <v>999</v>
      </c>
      <c r="F223" s="352">
        <v>1861</v>
      </c>
      <c r="G223" s="352">
        <v>39.700000000000003</v>
      </c>
      <c r="H223" s="352"/>
      <c r="I223" s="353">
        <f>F223-G223-H223</f>
        <v>1821.3</v>
      </c>
      <c r="J223" s="354" t="s">
        <v>374</v>
      </c>
      <c r="K223" s="354">
        <v>1</v>
      </c>
      <c r="L223" s="354"/>
      <c r="M223" s="354">
        <v>1</v>
      </c>
      <c r="N223" s="354">
        <v>1</v>
      </c>
      <c r="O223" s="354">
        <v>1</v>
      </c>
      <c r="P223" s="314">
        <v>0</v>
      </c>
      <c r="Q223" s="354"/>
      <c r="R223" s="354"/>
      <c r="S223" s="355"/>
      <c r="T223" s="127"/>
      <c r="U223" s="135" t="s">
        <v>1937</v>
      </c>
      <c r="V223" s="129">
        <v>200</v>
      </c>
      <c r="W223" s="340"/>
      <c r="X223" s="341"/>
    </row>
    <row r="224" spans="1:25" s="342" customFormat="1">
      <c r="B224" s="132"/>
      <c r="C224" s="122"/>
      <c r="D224" s="123"/>
      <c r="E224" s="123"/>
      <c r="F224" s="134">
        <f>SUM(F221:F223)</f>
        <v>4137</v>
      </c>
      <c r="G224" s="134">
        <f>SUM(G221:G223)</f>
        <v>319.09999999999997</v>
      </c>
      <c r="H224" s="134">
        <f>SUM(H221:H223)</f>
        <v>0</v>
      </c>
      <c r="I224" s="134">
        <f>SUM(I221:I223)</f>
        <v>3817.8999999999996</v>
      </c>
      <c r="J224" s="127"/>
      <c r="K224" s="64"/>
      <c r="L224" s="64"/>
      <c r="M224" s="64"/>
      <c r="N224" s="64"/>
      <c r="O224" s="64"/>
      <c r="P224" s="64"/>
      <c r="Q224" s="64"/>
      <c r="R224" s="64"/>
      <c r="S224" s="64"/>
      <c r="T224" s="127"/>
      <c r="U224" s="135"/>
      <c r="V224" s="129"/>
      <c r="W224" s="130"/>
      <c r="X224" s="131"/>
    </row>
    <row r="225" spans="1:25">
      <c r="B225" s="11"/>
      <c r="C225" s="36"/>
      <c r="D225" s="10"/>
      <c r="E225" s="10"/>
      <c r="F225" s="88"/>
      <c r="G225" s="88"/>
      <c r="H225" s="88"/>
      <c r="I225" s="99"/>
      <c r="J225" s="10"/>
      <c r="K225" s="63"/>
      <c r="L225" s="63"/>
      <c r="M225" s="63"/>
      <c r="N225" s="63"/>
      <c r="O225" s="63"/>
      <c r="P225" s="63"/>
      <c r="Q225" s="63"/>
      <c r="R225" s="63"/>
      <c r="S225" s="63"/>
      <c r="T225" s="63"/>
      <c r="U225" s="94"/>
      <c r="V225" s="90"/>
      <c r="W225" s="91"/>
      <c r="X225" s="92"/>
    </row>
    <row r="226" spans="1:25" s="260" customFormat="1">
      <c r="A226" s="181"/>
      <c r="B226" s="100" t="s">
        <v>152</v>
      </c>
      <c r="C226" s="36"/>
      <c r="D226" s="10"/>
      <c r="E226" s="10"/>
      <c r="F226" s="88"/>
      <c r="G226" s="62"/>
      <c r="H226" s="88"/>
      <c r="I226" s="99"/>
      <c r="J226" s="63"/>
      <c r="K226" s="181"/>
      <c r="L226" s="181"/>
      <c r="M226" s="181"/>
      <c r="N226" s="181"/>
      <c r="O226" s="181"/>
      <c r="P226" s="181"/>
      <c r="Q226" s="181"/>
      <c r="R226" s="181"/>
      <c r="S226" s="181"/>
      <c r="T226" s="63"/>
      <c r="U226" s="10"/>
      <c r="V226" s="90"/>
      <c r="W226" s="91"/>
      <c r="X226" s="92"/>
    </row>
    <row r="227" spans="1:25" s="260" customFormat="1">
      <c r="A227" s="261">
        <v>0.05</v>
      </c>
      <c r="B227" s="87">
        <v>1</v>
      </c>
      <c r="C227" s="262">
        <v>45840</v>
      </c>
      <c r="D227" s="357" t="s">
        <v>1896</v>
      </c>
      <c r="E227" s="264" t="s">
        <v>354</v>
      </c>
      <c r="F227" s="265">
        <v>1681</v>
      </c>
      <c r="G227" s="265">
        <v>39.700000000000003</v>
      </c>
      <c r="H227" s="265"/>
      <c r="I227" s="272">
        <f>F227-G227-H227</f>
        <v>1641.3</v>
      </c>
      <c r="J227" s="267" t="s">
        <v>374</v>
      </c>
      <c r="K227" s="267">
        <v>1</v>
      </c>
      <c r="L227" s="267">
        <v>1</v>
      </c>
      <c r="M227" s="267">
        <v>1</v>
      </c>
      <c r="N227" s="267">
        <v>1</v>
      </c>
      <c r="O227" s="267">
        <v>1</v>
      </c>
      <c r="P227" s="267">
        <v>0</v>
      </c>
      <c r="Q227" s="267">
        <v>1</v>
      </c>
      <c r="R227" s="267">
        <v>1</v>
      </c>
      <c r="S227" s="269">
        <v>0</v>
      </c>
      <c r="T227" s="63"/>
      <c r="U227" s="10" t="s">
        <v>1897</v>
      </c>
      <c r="V227" s="90"/>
      <c r="W227" s="91"/>
      <c r="X227" s="92"/>
    </row>
    <row r="228" spans="1:25" s="260" customFormat="1">
      <c r="A228" s="261" t="s">
        <v>1934</v>
      </c>
      <c r="B228" s="87">
        <f>B227+1</f>
        <v>2</v>
      </c>
      <c r="C228" s="262">
        <v>45841</v>
      </c>
      <c r="D228" s="263" t="s">
        <v>1898</v>
      </c>
      <c r="E228" s="271" t="s">
        <v>354</v>
      </c>
      <c r="F228" s="265">
        <v>14614</v>
      </c>
      <c r="G228" s="265">
        <f>39.7+334.4+176.29+48.45+(170.8+97.82)+(52.13+13.63+170.15+72.8+12.45+120.13)+1000</f>
        <v>2308.75</v>
      </c>
      <c r="H228" s="265"/>
      <c r="I228" s="272">
        <f>F228-G228-H228</f>
        <v>12305.25</v>
      </c>
      <c r="J228" s="267" t="s">
        <v>228</v>
      </c>
      <c r="K228" s="267">
        <v>1</v>
      </c>
      <c r="L228" s="267">
        <v>1</v>
      </c>
      <c r="M228" s="267">
        <v>1</v>
      </c>
      <c r="N228" s="267">
        <v>1</v>
      </c>
      <c r="O228" s="267">
        <v>1</v>
      </c>
      <c r="P228" s="267">
        <v>0</v>
      </c>
      <c r="Q228" s="267">
        <v>0</v>
      </c>
      <c r="R228" s="267">
        <v>0</v>
      </c>
      <c r="S228" s="269">
        <v>0</v>
      </c>
      <c r="T228" s="63"/>
      <c r="U228" s="10" t="s">
        <v>1938</v>
      </c>
      <c r="V228" s="90">
        <f>2626.3</f>
        <v>2626.3</v>
      </c>
      <c r="W228" s="136"/>
      <c r="X228" s="137"/>
    </row>
    <row r="229" spans="1:25" s="260" customFormat="1">
      <c r="A229" s="181"/>
      <c r="B229" s="11"/>
      <c r="C229" s="36"/>
      <c r="D229" s="10"/>
      <c r="E229" s="10"/>
      <c r="F229" s="98">
        <f>SUM(F227:F228)</f>
        <v>16295</v>
      </c>
      <c r="G229" s="98">
        <f t="shared" ref="G229:I229" si="42">SUM(G227:G228)</f>
        <v>2348.4499999999998</v>
      </c>
      <c r="H229" s="98">
        <f t="shared" si="42"/>
        <v>0</v>
      </c>
      <c r="I229" s="98">
        <f t="shared" si="42"/>
        <v>13946.55</v>
      </c>
      <c r="J229" s="63"/>
      <c r="K229" s="21"/>
      <c r="L229" s="21"/>
      <c r="M229" s="21"/>
      <c r="N229" s="21"/>
      <c r="O229" s="21"/>
      <c r="P229" s="21"/>
      <c r="Q229" s="21"/>
      <c r="R229" s="21"/>
      <c r="S229" s="21"/>
      <c r="T229" s="63"/>
      <c r="U229" s="10"/>
      <c r="V229" s="90"/>
      <c r="W229" s="91"/>
      <c r="X229" s="92"/>
    </row>
    <row r="230" spans="1:25" s="260" customFormat="1">
      <c r="A230" s="181"/>
      <c r="B230" s="11"/>
      <c r="C230" s="36"/>
      <c r="D230" s="10"/>
      <c r="E230" s="10"/>
      <c r="F230" s="88"/>
      <c r="G230" s="88"/>
      <c r="H230" s="88"/>
      <c r="I230" s="99"/>
      <c r="J230" s="63"/>
      <c r="K230" s="21"/>
      <c r="L230" s="21"/>
      <c r="M230" s="21"/>
      <c r="N230" s="21"/>
      <c r="O230" s="21"/>
      <c r="P230" s="21"/>
      <c r="Q230" s="21"/>
      <c r="R230" s="21"/>
      <c r="S230" s="21"/>
      <c r="T230" s="63"/>
      <c r="U230" s="10"/>
      <c r="V230" s="90"/>
      <c r="W230" s="91"/>
      <c r="X230" s="92"/>
    </row>
    <row r="231" spans="1:25" s="260" customFormat="1">
      <c r="B231" s="100" t="s">
        <v>202</v>
      </c>
      <c r="C231" s="36"/>
      <c r="D231" s="10"/>
      <c r="E231" s="181"/>
      <c r="F231" s="88"/>
      <c r="G231" s="88"/>
      <c r="H231" s="88"/>
      <c r="I231" s="99"/>
      <c r="J231" s="63"/>
      <c r="K231" s="21"/>
      <c r="L231" s="21"/>
      <c r="M231" s="21"/>
      <c r="N231" s="21"/>
      <c r="O231" s="21"/>
      <c r="P231" s="21"/>
      <c r="Q231" s="21"/>
      <c r="R231" s="21"/>
      <c r="S231" s="21"/>
      <c r="T231" s="63"/>
      <c r="U231" s="10"/>
      <c r="V231" s="90"/>
      <c r="W231" s="91"/>
      <c r="X231" s="92"/>
    </row>
    <row r="232" spans="1:25" s="260" customFormat="1">
      <c r="A232" s="261">
        <v>0.05</v>
      </c>
      <c r="B232" s="87">
        <v>1</v>
      </c>
      <c r="C232" s="274">
        <v>45812</v>
      </c>
      <c r="D232" s="320" t="s">
        <v>1866</v>
      </c>
      <c r="E232" s="276" t="s">
        <v>512</v>
      </c>
      <c r="F232" s="277">
        <v>18061</v>
      </c>
      <c r="G232" s="277">
        <f>39.7+1551+(62.91+128.26+27.45-20.83)+(10.95+18.17+8.58+185.26+145.2+166.5+178.78)+1500</f>
        <v>4001.93</v>
      </c>
      <c r="H232" s="277"/>
      <c r="I232" s="278">
        <f>F232-G232-H232</f>
        <v>14059.07</v>
      </c>
      <c r="J232" s="279" t="s">
        <v>156</v>
      </c>
      <c r="K232" s="279">
        <v>1</v>
      </c>
      <c r="L232" s="279"/>
      <c r="M232" s="279">
        <v>1</v>
      </c>
      <c r="N232" s="279">
        <v>1</v>
      </c>
      <c r="O232" s="279">
        <v>1</v>
      </c>
      <c r="P232" s="279">
        <v>1</v>
      </c>
      <c r="Q232" s="279"/>
      <c r="R232" s="279"/>
      <c r="S232" s="280"/>
      <c r="T232" s="63"/>
      <c r="U232" s="10" t="s">
        <v>1900</v>
      </c>
      <c r="V232" s="90"/>
      <c r="W232" s="136"/>
      <c r="X232" s="137"/>
      <c r="Y232" s="181"/>
    </row>
    <row r="233" spans="1:25" s="260" customFormat="1">
      <c r="A233" s="261">
        <v>0.05</v>
      </c>
      <c r="B233" s="87">
        <f>B232+1</f>
        <v>2</v>
      </c>
      <c r="C233" s="262">
        <v>45813</v>
      </c>
      <c r="D233" s="357" t="s">
        <v>1868</v>
      </c>
      <c r="E233" s="271" t="s">
        <v>512</v>
      </c>
      <c r="F233" s="265">
        <v>22614</v>
      </c>
      <c r="G233" s="265">
        <f>39.7+47.8+356+(396.09)+(145.2-4.72-2.08+8.58-185.26+9.17+5.35+223.39)+2000</f>
        <v>3039.22</v>
      </c>
      <c r="H233" s="265"/>
      <c r="I233" s="272">
        <f>F233-G233-H233</f>
        <v>19574.78</v>
      </c>
      <c r="J233" s="267"/>
      <c r="K233" s="267">
        <v>1</v>
      </c>
      <c r="L233" s="267"/>
      <c r="M233" s="267"/>
      <c r="N233" s="267">
        <v>1</v>
      </c>
      <c r="O233" s="267">
        <v>1</v>
      </c>
      <c r="P233" s="267">
        <v>0</v>
      </c>
      <c r="Q233" s="267"/>
      <c r="R233" s="267"/>
      <c r="S233" s="269"/>
      <c r="T233" s="63"/>
      <c r="U233" s="10" t="s">
        <v>1901</v>
      </c>
      <c r="V233" s="90"/>
      <c r="W233" s="136"/>
      <c r="X233" s="137"/>
    </row>
    <row r="234" spans="1:25" s="260" customFormat="1">
      <c r="B234" s="11"/>
      <c r="C234" s="36"/>
      <c r="D234" s="10"/>
      <c r="E234" s="10"/>
      <c r="F234" s="97">
        <f>SUM(F232:F233)</f>
        <v>40675</v>
      </c>
      <c r="G234" s="97">
        <f t="shared" ref="G234:I234" si="43">SUM(G232:G233)</f>
        <v>7041.15</v>
      </c>
      <c r="H234" s="97">
        <f t="shared" si="43"/>
        <v>0</v>
      </c>
      <c r="I234" s="97">
        <f t="shared" si="43"/>
        <v>33633.85</v>
      </c>
      <c r="J234" s="63"/>
      <c r="K234" s="21"/>
      <c r="L234" s="21"/>
      <c r="M234" s="21"/>
      <c r="N234" s="21"/>
      <c r="O234" s="21"/>
      <c r="P234" s="21"/>
      <c r="Q234" s="21"/>
      <c r="R234" s="21"/>
      <c r="S234" s="21"/>
      <c r="T234" s="63"/>
      <c r="U234" s="10"/>
      <c r="V234" s="90"/>
      <c r="W234" s="91"/>
      <c r="X234" s="92"/>
    </row>
    <row r="235" spans="1:25" s="260" customFormat="1">
      <c r="B235" s="11"/>
      <c r="C235" s="36"/>
      <c r="D235" s="10"/>
      <c r="E235" s="10"/>
      <c r="F235" s="88"/>
      <c r="G235" s="88"/>
      <c r="H235" s="88"/>
      <c r="I235" s="99"/>
      <c r="J235" s="10"/>
      <c r="K235" s="63"/>
      <c r="L235" s="63"/>
      <c r="M235" s="63"/>
      <c r="N235" s="63"/>
      <c r="O235" s="63"/>
      <c r="P235" s="63"/>
      <c r="Q235" s="63"/>
      <c r="R235" s="63"/>
      <c r="S235" s="63"/>
      <c r="T235" s="63"/>
      <c r="U235" s="10"/>
      <c r="V235" s="90"/>
      <c r="W235" s="91"/>
      <c r="X235" s="92"/>
    </row>
    <row r="236" spans="1:25">
      <c r="B236" s="100" t="s">
        <v>72</v>
      </c>
      <c r="C236" s="36"/>
      <c r="D236" s="10"/>
      <c r="E236" s="10"/>
      <c r="F236" s="88"/>
      <c r="G236" s="88"/>
      <c r="H236" s="88"/>
      <c r="I236" s="99"/>
      <c r="J236" s="63"/>
      <c r="K236" s="63"/>
      <c r="L236" s="63"/>
      <c r="M236" s="63"/>
      <c r="N236" s="63"/>
      <c r="O236" s="63"/>
      <c r="P236" s="63"/>
      <c r="Q236" s="63"/>
      <c r="R236" s="63"/>
      <c r="S236" s="63"/>
      <c r="T236" s="63"/>
      <c r="U236" s="10"/>
      <c r="V236" s="90"/>
      <c r="W236" s="91"/>
      <c r="X236" s="92"/>
    </row>
    <row r="237" spans="1:25">
      <c r="B237" s="87">
        <v>1</v>
      </c>
      <c r="C237" s="274">
        <v>45846</v>
      </c>
      <c r="D237" s="275" t="s">
        <v>1939</v>
      </c>
      <c r="E237" s="276" t="s">
        <v>746</v>
      </c>
      <c r="F237" s="277">
        <v>12814</v>
      </c>
      <c r="G237" s="277">
        <v>39.700000000000003</v>
      </c>
      <c r="H237" s="277"/>
      <c r="I237" s="278">
        <f>F237-G237-H237</f>
        <v>12774.3</v>
      </c>
      <c r="J237" s="279" t="s">
        <v>205</v>
      </c>
      <c r="K237" s="279">
        <v>1</v>
      </c>
      <c r="L237" s="279"/>
      <c r="M237" s="279"/>
      <c r="N237" s="279">
        <v>1</v>
      </c>
      <c r="O237" s="279"/>
      <c r="P237" s="279"/>
      <c r="Q237" s="279"/>
      <c r="R237" s="279"/>
      <c r="S237" s="280"/>
      <c r="T237" s="63"/>
      <c r="U237" s="3"/>
      <c r="V237" s="90"/>
      <c r="W237" s="91"/>
      <c r="X237" s="92"/>
    </row>
    <row r="238" spans="1:25">
      <c r="B238" s="87">
        <f t="shared" ref="B238:B255" si="44">B237+1</f>
        <v>2</v>
      </c>
      <c r="C238" s="295">
        <v>45846</v>
      </c>
      <c r="D238" s="10">
        <v>71316</v>
      </c>
      <c r="E238" s="10" t="s">
        <v>1391</v>
      </c>
      <c r="F238" s="62">
        <v>6814</v>
      </c>
      <c r="G238" s="62">
        <v>39.700000000000003</v>
      </c>
      <c r="H238" s="62"/>
      <c r="I238" s="89">
        <f>F238-G238-H238</f>
        <v>6774.3</v>
      </c>
      <c r="J238" s="63" t="s">
        <v>156</v>
      </c>
      <c r="K238" s="63">
        <v>1</v>
      </c>
      <c r="L238" s="63"/>
      <c r="M238" s="63"/>
      <c r="N238" s="63">
        <v>1</v>
      </c>
      <c r="O238" s="63"/>
      <c r="P238" s="63"/>
      <c r="Q238" s="63"/>
      <c r="R238" s="63"/>
      <c r="S238" s="296"/>
      <c r="T238" s="63"/>
      <c r="U238" s="10"/>
      <c r="V238" s="90">
        <v>93.5</v>
      </c>
      <c r="W238" s="136"/>
      <c r="X238" s="137"/>
    </row>
    <row r="239" spans="1:25">
      <c r="B239" s="87">
        <f t="shared" si="44"/>
        <v>3</v>
      </c>
      <c r="C239" s="295">
        <v>45846</v>
      </c>
      <c r="D239" s="10">
        <v>71300</v>
      </c>
      <c r="E239" s="10" t="s">
        <v>780</v>
      </c>
      <c r="F239" s="62">
        <v>1264</v>
      </c>
      <c r="G239" s="62">
        <v>39.700000000000003</v>
      </c>
      <c r="H239" s="62"/>
      <c r="I239" s="89">
        <f>F239-G239-H239</f>
        <v>1224.3</v>
      </c>
      <c r="J239" s="63" t="s">
        <v>205</v>
      </c>
      <c r="K239" s="63">
        <v>1</v>
      </c>
      <c r="L239" s="63"/>
      <c r="M239" s="63"/>
      <c r="N239" s="63">
        <v>1</v>
      </c>
      <c r="O239" s="63"/>
      <c r="P239" s="63"/>
      <c r="Q239" s="63"/>
      <c r="R239" s="63"/>
      <c r="S239" s="296"/>
      <c r="T239" s="63"/>
      <c r="U239" s="10"/>
      <c r="V239" s="90"/>
      <c r="W239" s="136"/>
      <c r="X239" s="137"/>
    </row>
    <row r="240" spans="1:25">
      <c r="A240" s="464">
        <v>45849</v>
      </c>
      <c r="B240" s="87">
        <f t="shared" si="44"/>
        <v>4</v>
      </c>
      <c r="C240" s="295">
        <v>45846</v>
      </c>
      <c r="D240" s="10">
        <v>71312</v>
      </c>
      <c r="E240" s="10" t="s">
        <v>286</v>
      </c>
      <c r="F240" s="62">
        <v>681</v>
      </c>
      <c r="G240" s="62"/>
      <c r="H240" s="62"/>
      <c r="I240" s="89">
        <f>F240-G240-H240</f>
        <v>681</v>
      </c>
      <c r="J240" s="63" t="s">
        <v>156</v>
      </c>
      <c r="K240" s="63">
        <v>1</v>
      </c>
      <c r="L240" s="63"/>
      <c r="M240" s="63"/>
      <c r="N240" s="63">
        <v>1</v>
      </c>
      <c r="O240" s="63"/>
      <c r="P240" s="63"/>
      <c r="Q240" s="63"/>
      <c r="R240" s="63"/>
      <c r="S240" s="296"/>
      <c r="T240" s="63"/>
      <c r="U240" s="10" t="s">
        <v>1940</v>
      </c>
      <c r="V240" s="90">
        <v>93.5</v>
      </c>
      <c r="W240" s="136"/>
      <c r="X240" s="137"/>
    </row>
    <row r="241" spans="2:24">
      <c r="B241" s="87">
        <f t="shared" si="44"/>
        <v>5</v>
      </c>
      <c r="C241" s="295">
        <v>45846</v>
      </c>
      <c r="D241" s="10">
        <v>71296</v>
      </c>
      <c r="E241" s="10" t="s">
        <v>769</v>
      </c>
      <c r="F241" s="62">
        <v>0</v>
      </c>
      <c r="G241" s="62"/>
      <c r="H241" s="62"/>
      <c r="I241" s="89">
        <f>F241-G241-H241</f>
        <v>0</v>
      </c>
      <c r="J241" s="63" t="s">
        <v>219</v>
      </c>
      <c r="K241" s="63"/>
      <c r="L241" s="63"/>
      <c r="M241" s="63"/>
      <c r="N241" s="63"/>
      <c r="O241" s="63"/>
      <c r="P241" s="63"/>
      <c r="Q241" s="63"/>
      <c r="R241" s="63"/>
      <c r="S241" s="296"/>
      <c r="T241" s="63"/>
      <c r="U241" s="10" t="s">
        <v>1941</v>
      </c>
      <c r="V241" s="90"/>
      <c r="W241" s="136"/>
      <c r="X241" s="137"/>
    </row>
    <row r="242" spans="2:24">
      <c r="B242" s="87">
        <f t="shared" si="44"/>
        <v>6</v>
      </c>
      <c r="C242" s="274">
        <v>45847</v>
      </c>
      <c r="D242" s="276">
        <v>71317</v>
      </c>
      <c r="E242" s="281" t="s">
        <v>426</v>
      </c>
      <c r="F242" s="277">
        <v>5037</v>
      </c>
      <c r="G242" s="277">
        <v>39.700000000000003</v>
      </c>
      <c r="H242" s="277"/>
      <c r="I242" s="278">
        <f>F242-G242-H242</f>
        <v>4997.3</v>
      </c>
      <c r="J242" s="279" t="s">
        <v>205</v>
      </c>
      <c r="K242" s="279">
        <v>1</v>
      </c>
      <c r="L242" s="279"/>
      <c r="M242" s="279"/>
      <c r="N242" s="279">
        <v>1</v>
      </c>
      <c r="O242" s="279"/>
      <c r="P242" s="279"/>
      <c r="Q242" s="279"/>
      <c r="R242" s="279"/>
      <c r="S242" s="280"/>
      <c r="T242" s="63"/>
      <c r="U242" s="10"/>
      <c r="V242" s="90"/>
      <c r="W242" s="136"/>
      <c r="X242" s="137"/>
    </row>
    <row r="243" spans="2:24">
      <c r="B243" s="87">
        <f t="shared" si="44"/>
        <v>7</v>
      </c>
      <c r="C243" s="295">
        <v>45847</v>
      </c>
      <c r="D243" s="10">
        <v>71330</v>
      </c>
      <c r="E243" s="101" t="s">
        <v>1248</v>
      </c>
      <c r="F243" s="62">
        <v>1138</v>
      </c>
      <c r="G243" s="62">
        <v>39.700000000000003</v>
      </c>
      <c r="H243" s="62"/>
      <c r="I243" s="89">
        <f>F243-G243-H243</f>
        <v>1098.3</v>
      </c>
      <c r="J243" s="63" t="s">
        <v>205</v>
      </c>
      <c r="K243" s="63">
        <v>1</v>
      </c>
      <c r="L243" s="63"/>
      <c r="M243" s="63"/>
      <c r="N243" s="63">
        <v>1</v>
      </c>
      <c r="O243" s="63"/>
      <c r="P243" s="63"/>
      <c r="Q243" s="63"/>
      <c r="R243" s="63"/>
      <c r="S243" s="296"/>
      <c r="T243" s="63"/>
      <c r="U243" s="10"/>
      <c r="V243" s="90"/>
      <c r="W243" s="136"/>
      <c r="X243" s="137"/>
    </row>
    <row r="244" spans="2:24">
      <c r="B244" s="87">
        <f t="shared" si="44"/>
        <v>8</v>
      </c>
      <c r="C244" s="274">
        <v>45848</v>
      </c>
      <c r="D244" s="276">
        <v>71351</v>
      </c>
      <c r="E244" s="281" t="s">
        <v>1942</v>
      </c>
      <c r="F244" s="277">
        <v>1138</v>
      </c>
      <c r="G244" s="277">
        <f>39.7</f>
        <v>39.700000000000003</v>
      </c>
      <c r="H244" s="277"/>
      <c r="I244" s="278">
        <f>F244-G244-H244</f>
        <v>1098.3</v>
      </c>
      <c r="J244" s="279" t="s">
        <v>205</v>
      </c>
      <c r="K244" s="279">
        <v>1</v>
      </c>
      <c r="L244" s="279"/>
      <c r="M244" s="279"/>
      <c r="N244" s="279">
        <v>1</v>
      </c>
      <c r="O244" s="279"/>
      <c r="P244" s="279"/>
      <c r="Q244" s="279"/>
      <c r="R244" s="279"/>
      <c r="S244" s="280"/>
      <c r="T244" s="63"/>
      <c r="U244" s="10"/>
      <c r="V244" s="90"/>
      <c r="W244" s="136"/>
      <c r="X244" s="137"/>
    </row>
    <row r="245" spans="2:24">
      <c r="B245" s="87">
        <f t="shared" si="44"/>
        <v>9</v>
      </c>
      <c r="C245" s="295">
        <v>45848</v>
      </c>
      <c r="D245" s="77" t="s">
        <v>1943</v>
      </c>
      <c r="E245" s="10" t="s">
        <v>1923</v>
      </c>
      <c r="F245" s="62">
        <v>8214</v>
      </c>
      <c r="G245" s="62">
        <v>39.700000000000003</v>
      </c>
      <c r="H245" s="62"/>
      <c r="I245" s="89">
        <f>F245-G245-H245</f>
        <v>8174.3</v>
      </c>
      <c r="J245" s="63" t="s">
        <v>205</v>
      </c>
      <c r="K245" s="63">
        <v>1</v>
      </c>
      <c r="L245" s="63"/>
      <c r="M245" s="63"/>
      <c r="N245" s="63">
        <v>1</v>
      </c>
      <c r="O245" s="63"/>
      <c r="P245" s="63"/>
      <c r="Q245" s="63"/>
      <c r="R245" s="63"/>
      <c r="S245" s="296"/>
      <c r="T245" s="63"/>
      <c r="U245" s="10"/>
      <c r="V245" s="90"/>
      <c r="W245" s="136"/>
      <c r="X245" s="137"/>
    </row>
    <row r="246" spans="2:24">
      <c r="B246" s="87">
        <f t="shared" si="44"/>
        <v>10</v>
      </c>
      <c r="C246" s="295">
        <v>45848</v>
      </c>
      <c r="D246" s="77" t="s">
        <v>1944</v>
      </c>
      <c r="E246" s="10" t="s">
        <v>1365</v>
      </c>
      <c r="F246" s="62">
        <v>3814</v>
      </c>
      <c r="G246" s="62">
        <v>39.700000000000003</v>
      </c>
      <c r="H246" s="62"/>
      <c r="I246" s="89">
        <f>F246-G246-H246</f>
        <v>3774.3</v>
      </c>
      <c r="J246" s="63" t="s">
        <v>205</v>
      </c>
      <c r="K246" s="63">
        <v>1</v>
      </c>
      <c r="L246" s="63"/>
      <c r="M246" s="63"/>
      <c r="N246" s="63">
        <v>1</v>
      </c>
      <c r="O246" s="63"/>
      <c r="P246" s="63"/>
      <c r="Q246" s="63"/>
      <c r="R246" s="63"/>
      <c r="S246" s="296"/>
      <c r="T246" s="63"/>
      <c r="U246" s="10"/>
      <c r="V246" s="90"/>
      <c r="W246" s="136"/>
      <c r="X246" s="137"/>
    </row>
    <row r="247" spans="2:24">
      <c r="B247" s="87">
        <f t="shared" si="44"/>
        <v>11</v>
      </c>
      <c r="C247" s="295">
        <v>45848</v>
      </c>
      <c r="D247" s="77" t="s">
        <v>1945</v>
      </c>
      <c r="E247" s="10" t="s">
        <v>1365</v>
      </c>
      <c r="F247" s="62">
        <v>18161</v>
      </c>
      <c r="G247" s="62">
        <v>39.700000000000003</v>
      </c>
      <c r="H247" s="62"/>
      <c r="I247" s="89">
        <f>F247-G247-H247</f>
        <v>18121.3</v>
      </c>
      <c r="J247" s="63" t="s">
        <v>205</v>
      </c>
      <c r="K247" s="63">
        <v>1</v>
      </c>
      <c r="L247" s="63"/>
      <c r="M247" s="63"/>
      <c r="N247" s="63">
        <v>1</v>
      </c>
      <c r="O247" s="63"/>
      <c r="P247" s="63"/>
      <c r="Q247" s="63"/>
      <c r="R247" s="63"/>
      <c r="S247" s="296"/>
      <c r="T247" s="63"/>
      <c r="U247" s="10"/>
      <c r="V247" s="90"/>
      <c r="W247" s="136"/>
      <c r="X247" s="137"/>
    </row>
    <row r="248" spans="2:24">
      <c r="B248" s="87">
        <f t="shared" si="44"/>
        <v>12</v>
      </c>
      <c r="C248" s="295">
        <v>45848</v>
      </c>
      <c r="D248" s="10">
        <v>71378</v>
      </c>
      <c r="E248" s="101" t="s">
        <v>1249</v>
      </c>
      <c r="F248" s="62">
        <v>681</v>
      </c>
      <c r="G248" s="62"/>
      <c r="H248" s="62"/>
      <c r="I248" s="89">
        <f>F248-G248-H248</f>
        <v>681</v>
      </c>
      <c r="J248" s="63" t="s">
        <v>205</v>
      </c>
      <c r="K248" s="63">
        <v>1</v>
      </c>
      <c r="L248" s="63"/>
      <c r="M248" s="63"/>
      <c r="N248" s="63">
        <v>1</v>
      </c>
      <c r="O248" s="63"/>
      <c r="P248" s="63"/>
      <c r="Q248" s="63"/>
      <c r="R248" s="63"/>
      <c r="S248" s="296"/>
      <c r="T248" s="63"/>
      <c r="U248" s="10"/>
      <c r="V248" s="90"/>
      <c r="W248" s="136"/>
      <c r="X248" s="137"/>
    </row>
    <row r="249" spans="2:24">
      <c r="B249" s="87">
        <f t="shared" si="44"/>
        <v>13</v>
      </c>
      <c r="C249" s="295">
        <v>45848</v>
      </c>
      <c r="D249" s="10">
        <v>71371</v>
      </c>
      <c r="E249" s="101" t="s">
        <v>1605</v>
      </c>
      <c r="F249" s="62">
        <v>5628</v>
      </c>
      <c r="G249" s="62">
        <f>39.7</f>
        <v>39.700000000000003</v>
      </c>
      <c r="H249" s="62"/>
      <c r="I249" s="89">
        <f>F249-G249-H249</f>
        <v>5588.3</v>
      </c>
      <c r="J249" s="63" t="s">
        <v>205</v>
      </c>
      <c r="K249" s="63">
        <v>1</v>
      </c>
      <c r="L249" s="63"/>
      <c r="M249" s="63"/>
      <c r="N249" s="63">
        <v>1</v>
      </c>
      <c r="O249" s="63"/>
      <c r="P249" s="63"/>
      <c r="Q249" s="63"/>
      <c r="R249" s="63"/>
      <c r="S249" s="296"/>
      <c r="T249" s="63"/>
      <c r="U249" s="10"/>
      <c r="V249" s="90"/>
      <c r="W249" s="136"/>
      <c r="X249" s="137"/>
    </row>
    <row r="250" spans="2:24">
      <c r="B250" s="87">
        <f t="shared" si="44"/>
        <v>14</v>
      </c>
      <c r="C250" s="274">
        <v>45849</v>
      </c>
      <c r="D250" s="276" t="s">
        <v>1946</v>
      </c>
      <c r="E250" s="276" t="s">
        <v>999</v>
      </c>
      <c r="F250" s="277">
        <v>681</v>
      </c>
      <c r="G250" s="277"/>
      <c r="H250" s="277"/>
      <c r="I250" s="278">
        <f>F250-G250-H250</f>
        <v>681</v>
      </c>
      <c r="J250" s="279" t="s">
        <v>205</v>
      </c>
      <c r="K250" s="279">
        <v>1</v>
      </c>
      <c r="L250" s="279"/>
      <c r="M250" s="279"/>
      <c r="N250" s="279">
        <v>1</v>
      </c>
      <c r="O250" s="279"/>
      <c r="P250" s="279"/>
      <c r="Q250" s="279"/>
      <c r="R250" s="279"/>
      <c r="S250" s="280"/>
      <c r="T250" s="63"/>
      <c r="U250" s="10"/>
      <c r="V250" s="90"/>
      <c r="W250" s="136"/>
      <c r="X250" s="137"/>
    </row>
    <row r="251" spans="2:24">
      <c r="B251" s="87">
        <f t="shared" si="44"/>
        <v>15</v>
      </c>
      <c r="C251" s="295">
        <v>45849</v>
      </c>
      <c r="D251" s="10" t="s">
        <v>1947</v>
      </c>
      <c r="E251" s="10" t="s">
        <v>999</v>
      </c>
      <c r="F251" s="62">
        <v>0</v>
      </c>
      <c r="G251" s="62"/>
      <c r="H251" s="62"/>
      <c r="I251" s="89">
        <f>F251-G251-H251</f>
        <v>0</v>
      </c>
      <c r="J251" s="63" t="s">
        <v>219</v>
      </c>
      <c r="K251" s="63">
        <v>1</v>
      </c>
      <c r="L251" s="63"/>
      <c r="M251" s="63"/>
      <c r="N251" s="63"/>
      <c r="O251" s="63"/>
      <c r="P251" s="63"/>
      <c r="Q251" s="63"/>
      <c r="R251" s="63"/>
      <c r="S251" s="296"/>
      <c r="T251" s="63"/>
      <c r="U251" s="10"/>
      <c r="V251" s="90"/>
      <c r="W251" s="136"/>
      <c r="X251" s="137"/>
    </row>
    <row r="252" spans="2:24">
      <c r="B252" s="87">
        <f t="shared" si="44"/>
        <v>16</v>
      </c>
      <c r="C252" s="295">
        <v>45849</v>
      </c>
      <c r="D252" s="10">
        <v>71394</v>
      </c>
      <c r="E252" s="10" t="s">
        <v>1365</v>
      </c>
      <c r="F252" s="62">
        <v>5814</v>
      </c>
      <c r="G252" s="62">
        <v>39.700000000000003</v>
      </c>
      <c r="H252" s="62"/>
      <c r="I252" s="89">
        <f>F252-G252-H252</f>
        <v>5774.3</v>
      </c>
      <c r="J252" s="63" t="s">
        <v>205</v>
      </c>
      <c r="K252" s="63">
        <v>1</v>
      </c>
      <c r="L252" s="63"/>
      <c r="M252" s="63"/>
      <c r="N252" s="63">
        <v>1</v>
      </c>
      <c r="O252" s="63"/>
      <c r="P252" s="63"/>
      <c r="Q252" s="63"/>
      <c r="R252" s="63"/>
      <c r="S252" s="296"/>
      <c r="T252" s="63"/>
      <c r="U252" s="10"/>
      <c r="V252" s="90"/>
      <c r="W252" s="136"/>
      <c r="X252" s="137"/>
    </row>
    <row r="253" spans="2:24">
      <c r="B253" s="87">
        <f t="shared" si="44"/>
        <v>17</v>
      </c>
      <c r="C253" s="295">
        <v>45849</v>
      </c>
      <c r="D253" s="10">
        <v>71392</v>
      </c>
      <c r="E253" s="10" t="s">
        <v>162</v>
      </c>
      <c r="F253" s="62">
        <v>8556</v>
      </c>
      <c r="G253" s="62">
        <v>39.700000000000003</v>
      </c>
      <c r="H253" s="62"/>
      <c r="I253" s="89">
        <f>F253-G253-H253</f>
        <v>8516.2999999999993</v>
      </c>
      <c r="J253" s="63" t="s">
        <v>205</v>
      </c>
      <c r="K253" s="63">
        <v>1</v>
      </c>
      <c r="L253" s="63"/>
      <c r="M253" s="63"/>
      <c r="N253" s="63">
        <v>1</v>
      </c>
      <c r="O253" s="63"/>
      <c r="P253" s="63"/>
      <c r="Q253" s="63"/>
      <c r="R253" s="63"/>
      <c r="S253" s="296"/>
      <c r="T253" s="63"/>
      <c r="U253" s="10"/>
      <c r="V253" s="90"/>
      <c r="W253" s="136"/>
      <c r="X253" s="137"/>
    </row>
    <row r="254" spans="2:24">
      <c r="B254" s="87">
        <f t="shared" si="44"/>
        <v>18</v>
      </c>
      <c r="C254" s="295">
        <v>45849</v>
      </c>
      <c r="D254" s="10">
        <v>71391</v>
      </c>
      <c r="E254" s="10" t="s">
        <v>769</v>
      </c>
      <c r="F254" s="62">
        <v>1261</v>
      </c>
      <c r="G254" s="62">
        <v>39.700000000000003</v>
      </c>
      <c r="H254" s="62"/>
      <c r="I254" s="89">
        <f>F254-G254-H254</f>
        <v>1221.3</v>
      </c>
      <c r="J254" s="63" t="s">
        <v>205</v>
      </c>
      <c r="K254" s="63">
        <v>1</v>
      </c>
      <c r="L254" s="63"/>
      <c r="M254" s="63"/>
      <c r="N254" s="63">
        <v>1</v>
      </c>
      <c r="O254" s="63"/>
      <c r="P254" s="63"/>
      <c r="Q254" s="63"/>
      <c r="R254" s="63"/>
      <c r="S254" s="296"/>
      <c r="T254" s="63"/>
      <c r="U254" s="10"/>
      <c r="V254" s="90"/>
      <c r="W254" s="136"/>
      <c r="X254" s="137"/>
    </row>
    <row r="255" spans="2:24">
      <c r="B255" s="87">
        <f t="shared" si="44"/>
        <v>19</v>
      </c>
      <c r="C255" s="282">
        <v>45849</v>
      </c>
      <c r="D255" s="283">
        <v>71285</v>
      </c>
      <c r="E255" s="283" t="s">
        <v>172</v>
      </c>
      <c r="F255" s="284">
        <v>0</v>
      </c>
      <c r="G255" s="284"/>
      <c r="H255" s="284"/>
      <c r="I255" s="285">
        <f>F255-G255-H255</f>
        <v>0</v>
      </c>
      <c r="J255" s="286" t="s">
        <v>219</v>
      </c>
      <c r="K255" s="286"/>
      <c r="L255" s="286"/>
      <c r="M255" s="286"/>
      <c r="N255" s="286"/>
      <c r="O255" s="286"/>
      <c r="P255" s="286"/>
      <c r="Q255" s="286"/>
      <c r="R255" s="286"/>
      <c r="S255" s="287"/>
      <c r="T255" s="63"/>
      <c r="U255" s="10"/>
      <c r="V255" s="138"/>
      <c r="W255" s="136"/>
      <c r="X255" s="137"/>
    </row>
    <row r="256" spans="2:24">
      <c r="B256" s="11"/>
      <c r="C256" s="36"/>
      <c r="D256" s="10"/>
      <c r="E256" s="10"/>
      <c r="F256" s="97">
        <f>SUM(F237:F254)</f>
        <v>81696</v>
      </c>
      <c r="G256" s="97">
        <f>SUM(G237:G254)</f>
        <v>516.09999999999991</v>
      </c>
      <c r="H256" s="97">
        <f>SUM(H237:H254)</f>
        <v>0</v>
      </c>
      <c r="I256" s="98">
        <f>SUM(I237:I254)</f>
        <v>81179.900000000009</v>
      </c>
      <c r="J256" s="10"/>
      <c r="K256" s="10"/>
      <c r="L256" s="10"/>
      <c r="M256" s="10"/>
      <c r="N256" s="10"/>
      <c r="O256" s="10"/>
      <c r="P256" s="10"/>
      <c r="Q256" s="10"/>
      <c r="R256" s="10"/>
      <c r="S256" s="10"/>
      <c r="T256" s="63"/>
      <c r="U256" s="10"/>
      <c r="V256" s="138"/>
      <c r="W256" s="136"/>
      <c r="X256" s="137"/>
    </row>
    <row r="257" spans="1:24">
      <c r="B257" s="11"/>
      <c r="C257" s="36"/>
      <c r="D257" s="10"/>
      <c r="E257" s="10"/>
      <c r="F257" s="88"/>
      <c r="G257" s="88"/>
      <c r="H257" s="88"/>
      <c r="I257" s="99"/>
      <c r="J257" s="10"/>
      <c r="K257" s="10"/>
      <c r="L257" s="10"/>
      <c r="M257" s="10"/>
      <c r="N257" s="10"/>
      <c r="O257" s="10"/>
      <c r="P257" s="10"/>
      <c r="Q257" s="10"/>
      <c r="R257" s="10"/>
      <c r="S257" s="10"/>
      <c r="T257" s="63"/>
      <c r="U257" s="10"/>
      <c r="V257" s="138"/>
      <c r="W257" s="136"/>
      <c r="X257" s="137"/>
    </row>
    <row r="258" spans="1:24">
      <c r="B258" s="26"/>
      <c r="C258" s="140"/>
      <c r="D258" s="141"/>
      <c r="E258" s="141"/>
      <c r="F258" s="141"/>
      <c r="G258" s="141"/>
      <c r="H258" s="141"/>
      <c r="I258" s="141"/>
      <c r="J258" s="141"/>
      <c r="K258" s="142"/>
      <c r="L258" s="142"/>
      <c r="M258" s="142"/>
      <c r="N258" s="142"/>
      <c r="O258" s="142"/>
      <c r="P258" s="142"/>
      <c r="Q258" s="142"/>
      <c r="R258" s="142"/>
      <c r="S258" s="142"/>
      <c r="T258" s="143">
        <f>SUM(T197:T257)</f>
        <v>0</v>
      </c>
      <c r="U258" s="141"/>
      <c r="V258" s="144">
        <f>SUM(V197:V257)</f>
        <v>19534.710000000003</v>
      </c>
      <c r="W258" s="145">
        <f>SUM(W197:W257)</f>
        <v>0</v>
      </c>
      <c r="X258" s="146">
        <f>SUM(X197:X257)</f>
        <v>0</v>
      </c>
    </row>
    <row r="261" spans="1:24">
      <c r="A261" s="3"/>
      <c r="B261" s="4" t="s">
        <v>1</v>
      </c>
      <c r="C261" s="5"/>
      <c r="D261" s="6"/>
      <c r="E261" s="6"/>
      <c r="F261" s="7" t="s">
        <v>2</v>
      </c>
      <c r="G261" s="8">
        <v>45858</v>
      </c>
      <c r="H261" s="7"/>
      <c r="I261" s="6"/>
      <c r="J261" s="6"/>
      <c r="K261" s="6"/>
      <c r="L261" s="6"/>
      <c r="M261" s="6"/>
      <c r="N261" s="6"/>
      <c r="O261" s="6"/>
      <c r="P261" s="6"/>
      <c r="Q261" s="6"/>
      <c r="R261" s="6"/>
      <c r="S261" s="6"/>
      <c r="T261" s="6"/>
      <c r="U261" s="9"/>
      <c r="V261" s="10"/>
      <c r="W261" s="10"/>
      <c r="X261" s="10"/>
    </row>
    <row r="262" spans="1:24">
      <c r="A262" s="2"/>
      <c r="B262" s="11"/>
      <c r="C262" s="10"/>
      <c r="D262" s="10"/>
      <c r="E262" s="10"/>
      <c r="F262" s="10"/>
      <c r="G262" s="7"/>
      <c r="H262" s="12"/>
      <c r="I262" s="10"/>
      <c r="J262" s="10"/>
      <c r="K262" s="13" t="s">
        <v>3</v>
      </c>
      <c r="L262" s="14"/>
      <c r="M262" s="15"/>
      <c r="N262" s="13" t="s">
        <v>4</v>
      </c>
      <c r="O262" s="14"/>
      <c r="P262" s="15"/>
      <c r="Q262" s="13" t="s">
        <v>5</v>
      </c>
      <c r="R262" s="14"/>
      <c r="S262" s="15"/>
      <c r="T262" s="16"/>
      <c r="U262" s="17"/>
      <c r="V262" s="10"/>
      <c r="W262" s="10"/>
      <c r="X262" s="10"/>
    </row>
    <row r="263" spans="1:24">
      <c r="A263" s="2"/>
      <c r="B263" s="18" t="s">
        <v>6</v>
      </c>
      <c r="C263" s="19">
        <f>C264+C265</f>
        <v>31</v>
      </c>
      <c r="D263" s="10"/>
      <c r="E263" s="18" t="s">
        <v>7</v>
      </c>
      <c r="F263" s="6"/>
      <c r="G263" s="9"/>
      <c r="H263" s="10"/>
      <c r="I263" s="10"/>
      <c r="J263" s="10"/>
      <c r="K263" s="20" t="s">
        <v>8</v>
      </c>
      <c r="L263" s="21" t="s">
        <v>9</v>
      </c>
      <c r="M263" s="21" t="s">
        <v>10</v>
      </c>
      <c r="N263" s="20" t="s">
        <v>11</v>
      </c>
      <c r="O263" s="21" t="s">
        <v>12</v>
      </c>
      <c r="P263" s="22" t="s">
        <v>13</v>
      </c>
      <c r="Q263" s="21" t="s">
        <v>11</v>
      </c>
      <c r="R263" s="21" t="s">
        <v>12</v>
      </c>
      <c r="S263" s="22" t="s">
        <v>13</v>
      </c>
      <c r="T263" s="23" t="s">
        <v>14</v>
      </c>
      <c r="U263" s="17"/>
      <c r="V263" s="10"/>
      <c r="W263" s="10"/>
      <c r="X263" s="10"/>
    </row>
    <row r="264" spans="1:24">
      <c r="A264" s="2"/>
      <c r="B264" s="24" t="s">
        <v>15</v>
      </c>
      <c r="C264" s="25">
        <f>P271</f>
        <v>15</v>
      </c>
      <c r="D264" s="10"/>
      <c r="E264" s="26" t="s">
        <v>16</v>
      </c>
      <c r="F264" s="27">
        <v>0.05</v>
      </c>
      <c r="G264" s="28"/>
      <c r="H264" s="10"/>
      <c r="I264" s="10"/>
      <c r="J264" s="18" t="s">
        <v>17</v>
      </c>
      <c r="K264" s="29">
        <f>K299</f>
        <v>10</v>
      </c>
      <c r="L264" s="29">
        <f>L299</f>
        <v>9</v>
      </c>
      <c r="M264" s="29">
        <f>M299</f>
        <v>10</v>
      </c>
      <c r="N264" s="29">
        <f>N299</f>
        <v>8</v>
      </c>
      <c r="O264" s="29">
        <f>O299</f>
        <v>8</v>
      </c>
      <c r="P264" s="29">
        <f>P299</f>
        <v>0</v>
      </c>
      <c r="Q264" s="29">
        <f>Q299</f>
        <v>9</v>
      </c>
      <c r="R264" s="29">
        <f>R299</f>
        <v>9</v>
      </c>
      <c r="S264" s="29">
        <f>S299</f>
        <v>8</v>
      </c>
      <c r="T264" s="30">
        <f>T344</f>
        <v>0</v>
      </c>
      <c r="U264" s="17"/>
      <c r="V264" s="10"/>
      <c r="W264" s="10"/>
      <c r="X264" s="10"/>
    </row>
    <row r="265" spans="1:24">
      <c r="A265" s="2"/>
      <c r="B265" s="24" t="s">
        <v>18</v>
      </c>
      <c r="C265" s="25">
        <f>P272</f>
        <v>16</v>
      </c>
      <c r="D265" s="10"/>
      <c r="E265" s="10"/>
      <c r="F265" s="10"/>
      <c r="G265" s="31"/>
      <c r="H265" s="10"/>
      <c r="I265" s="10"/>
      <c r="J265" s="32" t="s">
        <v>19</v>
      </c>
      <c r="K265" s="33">
        <f>K299/K298</f>
        <v>1</v>
      </c>
      <c r="L265" s="33">
        <f>L299/L298</f>
        <v>0.9</v>
      </c>
      <c r="M265" s="33">
        <f>M299/M298</f>
        <v>1</v>
      </c>
      <c r="N265" s="33">
        <f>N299/N298</f>
        <v>0.8</v>
      </c>
      <c r="O265" s="33">
        <f>O299/O298</f>
        <v>0.8</v>
      </c>
      <c r="P265" s="33">
        <f>P299/P298</f>
        <v>0</v>
      </c>
      <c r="Q265" s="33">
        <f>Q299/Q298</f>
        <v>0.9</v>
      </c>
      <c r="R265" s="33">
        <f>R299/R298</f>
        <v>0.9</v>
      </c>
      <c r="S265" s="33">
        <f>S299/S298</f>
        <v>0.8</v>
      </c>
      <c r="T265" s="23"/>
      <c r="U265" s="17" t="s">
        <v>20</v>
      </c>
      <c r="V265" s="10"/>
      <c r="W265" s="10"/>
      <c r="X265" s="10"/>
    </row>
    <row r="266" spans="1:24">
      <c r="A266" s="2"/>
      <c r="B266" s="24" t="s">
        <v>21</v>
      </c>
      <c r="C266" s="34">
        <f>P273</f>
        <v>0.4838709677419355</v>
      </c>
      <c r="D266" s="10"/>
      <c r="E266" s="10"/>
      <c r="F266" s="10"/>
      <c r="G266" s="10"/>
      <c r="H266" s="10"/>
      <c r="I266" s="10"/>
      <c r="J266" s="10"/>
      <c r="K266" s="10"/>
      <c r="L266" s="10"/>
      <c r="M266" s="10"/>
      <c r="N266" s="10"/>
      <c r="O266" s="10"/>
      <c r="P266" s="10"/>
      <c r="Q266" s="10"/>
      <c r="R266" s="10"/>
      <c r="S266" s="10"/>
      <c r="T266" s="10"/>
      <c r="U266" s="17"/>
      <c r="V266" s="10"/>
      <c r="W266" s="10"/>
      <c r="X266" s="10"/>
    </row>
    <row r="267" spans="1:24">
      <c r="A267" s="2"/>
      <c r="B267" s="24"/>
      <c r="C267" s="25"/>
      <c r="D267" s="10"/>
      <c r="E267" s="10"/>
      <c r="F267" s="18" t="s">
        <v>22</v>
      </c>
      <c r="G267" s="19" t="s">
        <v>23</v>
      </c>
      <c r="H267" s="35" t="s">
        <v>24</v>
      </c>
      <c r="I267" s="10"/>
      <c r="J267" s="10"/>
      <c r="K267" s="36"/>
      <c r="L267" s="36"/>
      <c r="M267" s="36"/>
      <c r="N267" s="36"/>
      <c r="O267" s="36"/>
      <c r="P267" s="36"/>
      <c r="Q267" s="36"/>
      <c r="R267" s="10"/>
      <c r="S267" s="10"/>
      <c r="T267" s="10"/>
      <c r="U267" s="17"/>
      <c r="V267" s="10"/>
      <c r="W267" s="10"/>
      <c r="X267" s="10"/>
    </row>
    <row r="268" spans="1:24">
      <c r="A268" s="2"/>
      <c r="B268" s="32" t="s">
        <v>25</v>
      </c>
      <c r="C268" s="37">
        <f>P274</f>
        <v>2404.3646666666668</v>
      </c>
      <c r="D268" s="10"/>
      <c r="E268" s="18" t="s">
        <v>26</v>
      </c>
      <c r="F268" s="38">
        <f>P270</f>
        <v>36065.47</v>
      </c>
      <c r="G268" s="39">
        <f>I298+I311</f>
        <v>36065.47</v>
      </c>
      <c r="H268" s="40"/>
      <c r="I268" s="41"/>
      <c r="J268" s="42"/>
      <c r="K268" s="43" t="s">
        <v>27</v>
      </c>
      <c r="L268" s="44"/>
      <c r="M268" s="44"/>
      <c r="N268" s="44"/>
      <c r="O268" s="44"/>
      <c r="P268" s="44"/>
      <c r="Q268" s="45"/>
      <c r="R268" s="46" t="s">
        <v>28</v>
      </c>
      <c r="S268" s="47" t="s">
        <v>29</v>
      </c>
      <c r="T268" s="10"/>
      <c r="U268" s="17"/>
      <c r="V268" s="10"/>
      <c r="W268" s="10"/>
      <c r="X268" s="10"/>
    </row>
    <row r="269" spans="1:24">
      <c r="A269" s="2"/>
      <c r="B269" s="11"/>
      <c r="C269" s="10"/>
      <c r="D269" s="10"/>
      <c r="E269" s="24" t="s">
        <v>30</v>
      </c>
      <c r="F269" s="48">
        <f>F264</f>
        <v>0.05</v>
      </c>
      <c r="G269" s="17"/>
      <c r="H269" s="40"/>
      <c r="I269" s="41"/>
      <c r="J269" s="42"/>
      <c r="K269" s="20" t="s">
        <v>31</v>
      </c>
      <c r="L269" s="21" t="s">
        <v>32</v>
      </c>
      <c r="M269" s="21" t="s">
        <v>33</v>
      </c>
      <c r="N269" s="21" t="s">
        <v>34</v>
      </c>
      <c r="O269" s="21" t="s">
        <v>35</v>
      </c>
      <c r="P269" s="21" t="s">
        <v>36</v>
      </c>
      <c r="Q269" s="49" t="s">
        <v>37</v>
      </c>
      <c r="R269" s="50" t="s">
        <v>38</v>
      </c>
      <c r="S269" s="50" t="s">
        <v>38</v>
      </c>
      <c r="T269" s="10"/>
      <c r="U269" s="17"/>
      <c r="V269" s="10"/>
      <c r="W269" s="10"/>
      <c r="X269" s="10"/>
    </row>
    <row r="270" spans="1:24">
      <c r="A270" s="2"/>
      <c r="B270" s="11"/>
      <c r="C270" s="10"/>
      <c r="D270" s="10"/>
      <c r="E270" s="51" t="s">
        <v>39</v>
      </c>
      <c r="F270" s="52">
        <f>(F268-I295-I306-I307-I308-I309-I310)*F269</f>
        <v>676.44349999999986</v>
      </c>
      <c r="G270" s="53" t="s">
        <v>40</v>
      </c>
      <c r="H270" s="54">
        <f>F270/1.12</f>
        <v>603.96741071428551</v>
      </c>
      <c r="I270" s="55"/>
      <c r="J270" s="42"/>
      <c r="K270" s="56"/>
      <c r="L270" s="57"/>
      <c r="M270" s="57">
        <f>I288+I289+I306+I290+I291</f>
        <v>8307.98</v>
      </c>
      <c r="N270" s="57">
        <f>I292+I293+I294+I307</f>
        <v>5399.39</v>
      </c>
      <c r="O270" s="57">
        <f>I295+I296+I297+I308+I309+I310</f>
        <v>22358.1</v>
      </c>
      <c r="P270" s="57">
        <f>SUM(K270:O270)</f>
        <v>36065.47</v>
      </c>
      <c r="Q270" s="58">
        <v>0</v>
      </c>
      <c r="R270" s="59">
        <f>+I311</f>
        <v>21855.599999999999</v>
      </c>
      <c r="S270" s="59">
        <v>0</v>
      </c>
      <c r="T270" s="10"/>
      <c r="U270" s="17"/>
      <c r="V270" s="10"/>
      <c r="W270" s="10"/>
      <c r="X270" s="10"/>
    </row>
    <row r="271" spans="1:24">
      <c r="A271" s="2"/>
      <c r="B271" s="11"/>
      <c r="C271" s="10"/>
      <c r="D271" s="10"/>
      <c r="E271" s="24" t="s">
        <v>41</v>
      </c>
      <c r="F271" s="60">
        <f>Q270</f>
        <v>0</v>
      </c>
      <c r="G271" s="61" t="s">
        <v>40</v>
      </c>
      <c r="H271" s="62"/>
      <c r="I271" s="62"/>
      <c r="J271" s="10" t="s">
        <v>42</v>
      </c>
      <c r="K271" s="63"/>
      <c r="L271" s="63"/>
      <c r="M271" s="63">
        <v>5</v>
      </c>
      <c r="N271" s="63">
        <v>4</v>
      </c>
      <c r="O271" s="63">
        <v>6</v>
      </c>
      <c r="P271" s="21">
        <f>SUM(K271:O271)</f>
        <v>15</v>
      </c>
      <c r="Q271" s="64"/>
      <c r="R271" s="63"/>
      <c r="S271" s="10"/>
      <c r="T271" s="10"/>
      <c r="U271" s="17"/>
      <c r="V271" s="10"/>
      <c r="W271" s="10"/>
      <c r="X271" s="10"/>
    </row>
    <row r="272" spans="1:24">
      <c r="A272" s="2"/>
      <c r="B272" s="11"/>
      <c r="C272" s="10"/>
      <c r="D272" s="10"/>
      <c r="E272" s="51" t="s">
        <v>43</v>
      </c>
      <c r="F272" s="52">
        <f>F271*0.25</f>
        <v>0</v>
      </c>
      <c r="G272" s="53" t="s">
        <v>40</v>
      </c>
      <c r="H272" s="54">
        <f>F272/1.12</f>
        <v>0</v>
      </c>
      <c r="I272" s="10"/>
      <c r="J272" s="10" t="s">
        <v>44</v>
      </c>
      <c r="K272" s="63"/>
      <c r="L272" s="63"/>
      <c r="M272" s="63">
        <v>3</v>
      </c>
      <c r="N272" s="63">
        <v>5</v>
      </c>
      <c r="O272" s="63">
        <v>8</v>
      </c>
      <c r="P272" s="21">
        <f>SUM(K272:O272)</f>
        <v>16</v>
      </c>
      <c r="Q272" s="64"/>
      <c r="R272" s="63"/>
      <c r="S272" s="10"/>
      <c r="T272" s="10"/>
      <c r="U272" s="17"/>
      <c r="V272" s="10"/>
      <c r="W272" s="10"/>
      <c r="X272" s="10"/>
    </row>
    <row r="273" spans="1:24">
      <c r="A273" s="2"/>
      <c r="B273" s="11"/>
      <c r="C273" s="10"/>
      <c r="D273" s="10"/>
      <c r="E273" s="24" t="s">
        <v>45</v>
      </c>
      <c r="F273" s="60">
        <f>I303</f>
        <v>12305.25</v>
      </c>
      <c r="G273" s="61" t="s">
        <v>40</v>
      </c>
      <c r="H273" s="62"/>
      <c r="I273" s="10"/>
      <c r="J273" s="10" t="s">
        <v>46</v>
      </c>
      <c r="K273" s="31" t="e">
        <f>K271/(K271+K272)</f>
        <v>#DIV/0!</v>
      </c>
      <c r="L273" s="31" t="e">
        <f>L271/(L271+L272)</f>
        <v>#DIV/0!</v>
      </c>
      <c r="M273" s="31">
        <f>M271/(M271+M272)</f>
        <v>0.625</v>
      </c>
      <c r="N273" s="31">
        <f>N271/(N271+N272)</f>
        <v>0.44444444444444442</v>
      </c>
      <c r="O273" s="31">
        <f>O271/(O271+O272)</f>
        <v>0.42857142857142855</v>
      </c>
      <c r="P273" s="31">
        <f>P271/(P271+P272)</f>
        <v>0.4838709677419355</v>
      </c>
      <c r="Q273" s="31" t="e">
        <f>Q271/(Q271+Q272)</f>
        <v>#DIV/0!</v>
      </c>
      <c r="R273" s="63"/>
      <c r="S273" s="10"/>
      <c r="T273" s="10"/>
      <c r="U273" s="17"/>
      <c r="V273" s="10"/>
      <c r="W273" s="10"/>
      <c r="X273" s="10"/>
    </row>
    <row r="274" spans="1:24">
      <c r="A274" s="2"/>
      <c r="B274" s="11"/>
      <c r="C274" s="10"/>
      <c r="D274" s="10"/>
      <c r="E274" s="51" t="s">
        <v>47</v>
      </c>
      <c r="F274" s="52">
        <f>(F273+F277)*0.05</f>
        <v>611.28700000000003</v>
      </c>
      <c r="G274" s="65" t="s">
        <v>40</v>
      </c>
      <c r="H274" s="54">
        <f>F274/1.12</f>
        <v>545.79196428571424</v>
      </c>
      <c r="I274" s="42"/>
      <c r="J274" s="10" t="s">
        <v>48</v>
      </c>
      <c r="K274" s="66" t="e">
        <f>K270/K271</f>
        <v>#DIV/0!</v>
      </c>
      <c r="L274" s="66" t="e">
        <f>L270/L271</f>
        <v>#DIV/0!</v>
      </c>
      <c r="M274" s="66">
        <f>M270/M271</f>
        <v>1661.596</v>
      </c>
      <c r="N274" s="66">
        <f>N270/N271</f>
        <v>1349.8475000000001</v>
      </c>
      <c r="O274" s="66">
        <f>O270/O271</f>
        <v>3726.35</v>
      </c>
      <c r="P274" s="66">
        <f>P270/P271</f>
        <v>2404.3646666666668</v>
      </c>
      <c r="Q274" s="66" t="e">
        <f>Q270/Q271</f>
        <v>#DIV/0!</v>
      </c>
      <c r="R274" s="63"/>
      <c r="S274" s="10"/>
      <c r="T274" s="10"/>
      <c r="U274" s="17"/>
      <c r="V274" s="10"/>
      <c r="W274" s="10"/>
      <c r="X274" s="10"/>
    </row>
    <row r="275" spans="1:24">
      <c r="A275" s="2"/>
      <c r="B275" s="11"/>
      <c r="C275" s="10"/>
      <c r="D275" s="10"/>
      <c r="E275" s="67" t="s">
        <v>14</v>
      </c>
      <c r="F275" s="68"/>
      <c r="G275" s="10"/>
      <c r="H275" s="54">
        <f>F275/1.12</f>
        <v>0</v>
      </c>
      <c r="I275" s="10"/>
      <c r="J275" s="10"/>
      <c r="K275" s="10"/>
      <c r="L275" s="10"/>
      <c r="M275" s="10"/>
      <c r="N275" s="10"/>
      <c r="O275" s="10"/>
      <c r="P275" s="10"/>
      <c r="Q275" s="10"/>
      <c r="R275" s="10"/>
      <c r="S275" s="10"/>
      <c r="T275" s="10"/>
      <c r="U275" s="17"/>
      <c r="V275" s="10"/>
      <c r="W275" s="10"/>
      <c r="X275" s="10"/>
    </row>
    <row r="276" spans="1:24">
      <c r="A276" s="2"/>
      <c r="B276" s="11"/>
      <c r="C276" s="10"/>
      <c r="D276" s="10"/>
      <c r="E276" s="67" t="s">
        <v>49</v>
      </c>
      <c r="F276" s="69">
        <f>T265</f>
        <v>0</v>
      </c>
      <c r="G276" s="10"/>
      <c r="H276" s="54"/>
      <c r="I276" s="55"/>
      <c r="J276" s="42"/>
      <c r="K276" s="764" t="s">
        <v>50</v>
      </c>
      <c r="L276" s="764"/>
      <c r="M276" s="764"/>
      <c r="N276" s="764"/>
      <c r="O276" s="764"/>
      <c r="P276" s="764"/>
      <c r="Q276" s="764"/>
      <c r="R276" s="70" t="s">
        <v>28</v>
      </c>
      <c r="S276" s="71" t="s">
        <v>29</v>
      </c>
      <c r="T276" s="10"/>
      <c r="U276" s="17"/>
      <c r="V276" s="10"/>
      <c r="W276" s="10"/>
      <c r="X276" s="10"/>
    </row>
    <row r="277" spans="1:24">
      <c r="A277" s="2"/>
      <c r="B277" s="11"/>
      <c r="C277" s="10"/>
      <c r="D277" s="10"/>
      <c r="E277" s="74" t="s">
        <v>1948</v>
      </c>
      <c r="F277" s="75">
        <v>-79.510000000000005</v>
      </c>
      <c r="G277" s="10"/>
      <c r="H277" s="10"/>
      <c r="I277" s="10"/>
      <c r="J277" s="42"/>
      <c r="K277" s="20" t="s">
        <v>31</v>
      </c>
      <c r="L277" s="21" t="s">
        <v>32</v>
      </c>
      <c r="M277" s="21" t="s">
        <v>33</v>
      </c>
      <c r="N277" s="21" t="s">
        <v>34</v>
      </c>
      <c r="O277" s="21" t="s">
        <v>35</v>
      </c>
      <c r="P277" s="21" t="s">
        <v>36</v>
      </c>
      <c r="Q277" s="49" t="s">
        <v>37</v>
      </c>
      <c r="R277" s="50" t="s">
        <v>38</v>
      </c>
      <c r="S277" s="50" t="s">
        <v>38</v>
      </c>
      <c r="T277" s="10"/>
      <c r="U277" s="17"/>
      <c r="V277" s="10"/>
      <c r="W277" s="10"/>
      <c r="X277" s="10"/>
    </row>
    <row r="278" spans="1:24">
      <c r="A278" s="2"/>
      <c r="B278" s="11"/>
      <c r="C278" s="10"/>
      <c r="D278" s="10"/>
      <c r="E278" s="12"/>
      <c r="F278" s="76"/>
      <c r="G278" s="10"/>
      <c r="H278" s="10"/>
      <c r="I278" s="10"/>
      <c r="J278" s="42"/>
      <c r="K278" s="56"/>
      <c r="L278" s="57"/>
      <c r="M278" s="57">
        <f>F288+F289+F306+F290+F291</f>
        <v>10060</v>
      </c>
      <c r="N278" s="57">
        <f>F292+F293+F294+F307</f>
        <v>6284</v>
      </c>
      <c r="O278" s="57">
        <f>F295+F296+F297+F308+F309+F310</f>
        <v>23556.6</v>
      </c>
      <c r="P278" s="57">
        <f>SUM(K278:O278)</f>
        <v>39900.6</v>
      </c>
      <c r="Q278" s="58">
        <v>0</v>
      </c>
      <c r="R278" s="59">
        <f>+F311</f>
        <v>23598.6</v>
      </c>
      <c r="S278" s="59">
        <v>0</v>
      </c>
      <c r="T278" s="10"/>
      <c r="U278" s="17"/>
      <c r="V278" s="10"/>
      <c r="W278" s="10"/>
      <c r="X278" s="10"/>
    </row>
    <row r="279" spans="1:24">
      <c r="A279" s="2"/>
      <c r="B279" s="11"/>
      <c r="C279" s="10"/>
      <c r="D279" s="10"/>
      <c r="E279" s="10"/>
      <c r="F279" s="10"/>
      <c r="G279" s="10"/>
      <c r="H279" s="10"/>
      <c r="I279" s="10"/>
      <c r="J279" s="10" t="s">
        <v>42</v>
      </c>
      <c r="K279" s="63">
        <f>K271</f>
        <v>0</v>
      </c>
      <c r="L279" s="63">
        <f>L271</f>
        <v>0</v>
      </c>
      <c r="M279" s="63">
        <f>M271</f>
        <v>5</v>
      </c>
      <c r="N279" s="63">
        <f>N271</f>
        <v>4</v>
      </c>
      <c r="O279" s="63">
        <f>O271</f>
        <v>6</v>
      </c>
      <c r="P279" s="63">
        <f>P271</f>
        <v>15</v>
      </c>
      <c r="Q279" s="63">
        <f>Q271</f>
        <v>0</v>
      </c>
      <c r="R279" s="63"/>
      <c r="S279" s="10"/>
      <c r="T279" s="10"/>
      <c r="U279" s="17"/>
      <c r="V279" s="10"/>
      <c r="W279" s="10"/>
      <c r="X279" s="10"/>
    </row>
    <row r="280" spans="1:24">
      <c r="A280" s="2"/>
      <c r="B280" s="11"/>
      <c r="C280" s="10"/>
      <c r="D280" s="10"/>
      <c r="E280" s="10"/>
      <c r="F280" s="10"/>
      <c r="G280" s="10"/>
      <c r="H280" s="10"/>
      <c r="I280" s="10"/>
      <c r="J280" s="10" t="s">
        <v>44</v>
      </c>
      <c r="K280" s="63">
        <f>K272</f>
        <v>0</v>
      </c>
      <c r="L280" s="63">
        <f>L272</f>
        <v>0</v>
      </c>
      <c r="M280" s="63">
        <f>M272</f>
        <v>3</v>
      </c>
      <c r="N280" s="63">
        <f>N272</f>
        <v>5</v>
      </c>
      <c r="O280" s="63">
        <f>O272</f>
        <v>8</v>
      </c>
      <c r="P280" s="63">
        <f>P272</f>
        <v>16</v>
      </c>
      <c r="Q280" s="63">
        <f>Q272</f>
        <v>0</v>
      </c>
      <c r="R280" s="63"/>
      <c r="S280" s="10"/>
      <c r="T280" s="10"/>
      <c r="U280" s="17"/>
      <c r="V280" s="10"/>
      <c r="W280" s="10"/>
      <c r="X280" s="10"/>
    </row>
    <row r="281" spans="1:24">
      <c r="A281" s="2"/>
      <c r="B281" s="11"/>
      <c r="C281" s="10"/>
      <c r="D281" s="10"/>
      <c r="E281" s="12"/>
      <c r="F281" s="76"/>
      <c r="G281" s="10"/>
      <c r="H281" s="10"/>
      <c r="I281" s="10"/>
      <c r="J281" s="10" t="s">
        <v>46</v>
      </c>
      <c r="K281" s="31" t="e">
        <f>K279/(K279+K280)</f>
        <v>#DIV/0!</v>
      </c>
      <c r="L281" s="31" t="e">
        <f>L279/(L279+L280)</f>
        <v>#DIV/0!</v>
      </c>
      <c r="M281" s="31">
        <f>M279/(M279+M280)</f>
        <v>0.625</v>
      </c>
      <c r="N281" s="31">
        <f>N279/(N279+N280)</f>
        <v>0.44444444444444442</v>
      </c>
      <c r="O281" s="31">
        <f>O279/(O279+O280)</f>
        <v>0.42857142857142855</v>
      </c>
      <c r="P281" s="31">
        <f>P279/(P279+P280)</f>
        <v>0.4838709677419355</v>
      </c>
      <c r="Q281" s="31" t="e">
        <f>Q279/(Q279+Q280)</f>
        <v>#DIV/0!</v>
      </c>
      <c r="R281" s="63"/>
      <c r="S281" s="10"/>
      <c r="T281" s="10"/>
      <c r="U281" s="17"/>
      <c r="V281" s="10"/>
      <c r="W281" s="10"/>
      <c r="X281" s="10"/>
    </row>
    <row r="282" spans="1:24">
      <c r="A282" s="2"/>
      <c r="B282" s="11"/>
      <c r="C282" s="10"/>
      <c r="D282" s="10"/>
      <c r="E282" s="10"/>
      <c r="F282" s="10"/>
      <c r="G282" s="10"/>
      <c r="H282" s="10"/>
      <c r="I282" s="10"/>
      <c r="J282" s="10" t="s">
        <v>48</v>
      </c>
      <c r="K282" s="66" t="e">
        <f>K278/K279</f>
        <v>#DIV/0!</v>
      </c>
      <c r="L282" s="66" t="e">
        <f>L278/L279</f>
        <v>#DIV/0!</v>
      </c>
      <c r="M282" s="66">
        <f>M278/M279</f>
        <v>2012</v>
      </c>
      <c r="N282" s="66">
        <f>N278/N279</f>
        <v>1571</v>
      </c>
      <c r="O282" s="66">
        <f>O278/O279</f>
        <v>3926.1</v>
      </c>
      <c r="P282" s="66">
        <f>P278/P279</f>
        <v>2660.04</v>
      </c>
      <c r="Q282" s="66" t="e">
        <f>Q278/Q279</f>
        <v>#DIV/0!</v>
      </c>
      <c r="R282" s="63"/>
      <c r="S282" s="10"/>
      <c r="T282" s="10"/>
      <c r="U282" s="17"/>
      <c r="V282" s="10"/>
      <c r="W282" s="10"/>
      <c r="X282" s="10"/>
    </row>
    <row r="283" spans="1:24">
      <c r="A283" s="2"/>
      <c r="B283" s="11"/>
      <c r="C283" s="10"/>
      <c r="D283" s="10"/>
      <c r="E283" s="10"/>
      <c r="F283" s="10"/>
      <c r="G283" s="10"/>
      <c r="H283" s="10"/>
      <c r="I283" s="10"/>
      <c r="J283" s="10"/>
      <c r="K283" s="10"/>
      <c r="L283" s="10"/>
      <c r="M283" s="10"/>
      <c r="N283" s="10"/>
      <c r="O283" s="10"/>
      <c r="P283" s="10"/>
      <c r="Q283" s="10"/>
      <c r="R283" s="10"/>
      <c r="S283" s="10"/>
      <c r="T283" s="10"/>
      <c r="U283" s="17"/>
      <c r="V283" s="10"/>
      <c r="W283" s="10"/>
      <c r="X283" s="10"/>
    </row>
    <row r="284" spans="1:24">
      <c r="A284" s="2"/>
      <c r="B284" s="11"/>
      <c r="C284" s="10"/>
      <c r="D284" s="10"/>
      <c r="E284" s="10"/>
      <c r="F284" s="10"/>
      <c r="G284" s="10"/>
      <c r="H284" s="10"/>
      <c r="I284" s="10"/>
      <c r="J284" s="10"/>
      <c r="K284" s="10"/>
      <c r="L284" s="10"/>
      <c r="M284" s="10"/>
      <c r="N284" s="10"/>
      <c r="O284" s="10"/>
      <c r="P284" s="10"/>
      <c r="Q284" s="10"/>
      <c r="R284" s="10"/>
      <c r="S284" s="10"/>
      <c r="T284" s="10"/>
      <c r="U284" s="17"/>
      <c r="V284" s="10"/>
      <c r="W284" s="10"/>
      <c r="X284" s="10"/>
    </row>
    <row r="285" spans="1:24">
      <c r="A285" s="2"/>
      <c r="B285" s="18" t="s">
        <v>51</v>
      </c>
      <c r="C285" s="14"/>
      <c r="D285" s="14"/>
      <c r="E285" s="14"/>
      <c r="F285" s="13" t="s">
        <v>52</v>
      </c>
      <c r="G285" s="14"/>
      <c r="H285" s="14"/>
      <c r="I285" s="14"/>
      <c r="J285" s="14"/>
      <c r="K285" s="13" t="s">
        <v>3</v>
      </c>
      <c r="L285" s="14"/>
      <c r="M285" s="14"/>
      <c r="N285" s="13" t="s">
        <v>4</v>
      </c>
      <c r="O285" s="14"/>
      <c r="P285" s="14"/>
      <c r="Q285" s="13" t="s">
        <v>5</v>
      </c>
      <c r="R285" s="14"/>
      <c r="S285" s="14"/>
      <c r="T285" s="18"/>
      <c r="U285" s="16" t="s">
        <v>53</v>
      </c>
      <c r="V285" s="77"/>
      <c r="W285" s="77"/>
      <c r="X285" s="77"/>
    </row>
    <row r="286" spans="1:24">
      <c r="A286" s="2"/>
      <c r="B286" s="24" t="s">
        <v>54</v>
      </c>
      <c r="C286" s="21" t="s">
        <v>55</v>
      </c>
      <c r="D286" s="21" t="s">
        <v>56</v>
      </c>
      <c r="E286" s="21" t="s">
        <v>57</v>
      </c>
      <c r="F286" s="20" t="s">
        <v>58</v>
      </c>
      <c r="G286" s="21" t="s">
        <v>59</v>
      </c>
      <c r="H286" s="21" t="s">
        <v>60</v>
      </c>
      <c r="I286" s="21" t="s">
        <v>26</v>
      </c>
      <c r="J286" s="22" t="s">
        <v>61</v>
      </c>
      <c r="K286" s="21" t="s">
        <v>8</v>
      </c>
      <c r="L286" s="21" t="s">
        <v>9</v>
      </c>
      <c r="M286" s="21" t="s">
        <v>10</v>
      </c>
      <c r="N286" s="20" t="s">
        <v>11</v>
      </c>
      <c r="O286" s="21" t="s">
        <v>12</v>
      </c>
      <c r="P286" s="22" t="s">
        <v>13</v>
      </c>
      <c r="Q286" s="21" t="s">
        <v>11</v>
      </c>
      <c r="R286" s="21" t="s">
        <v>12</v>
      </c>
      <c r="S286" s="21" t="s">
        <v>13</v>
      </c>
      <c r="T286" s="78" t="s">
        <v>14</v>
      </c>
      <c r="U286" s="30"/>
      <c r="V286" s="79" t="s">
        <v>62</v>
      </c>
      <c r="W286" s="80" t="s">
        <v>63</v>
      </c>
      <c r="X286" s="81" t="s">
        <v>64</v>
      </c>
    </row>
    <row r="287" spans="1:24">
      <c r="A287" s="2"/>
      <c r="B287" s="4" t="s">
        <v>65</v>
      </c>
      <c r="C287" s="6"/>
      <c r="D287" s="6"/>
      <c r="E287" s="6"/>
      <c r="F287" s="6"/>
      <c r="G287" s="6"/>
      <c r="H287" s="6"/>
      <c r="I287" s="82"/>
      <c r="J287" s="6"/>
      <c r="K287" s="6"/>
      <c r="L287" s="6"/>
      <c r="M287" s="6"/>
      <c r="N287" s="6"/>
      <c r="O287" s="6"/>
      <c r="P287" s="6"/>
      <c r="Q287" s="6"/>
      <c r="R287" s="6"/>
      <c r="S287" s="6"/>
      <c r="T287" s="83"/>
      <c r="U287" s="6"/>
      <c r="V287" s="84"/>
      <c r="W287" s="85"/>
      <c r="X287" s="86"/>
    </row>
    <row r="288" spans="1:24">
      <c r="A288" s="2"/>
      <c r="B288" s="87">
        <v>1</v>
      </c>
      <c r="C288" s="274">
        <v>45854</v>
      </c>
      <c r="D288" s="327" t="s">
        <v>1949</v>
      </c>
      <c r="E288" s="276" t="s">
        <v>456</v>
      </c>
      <c r="F288" s="277">
        <v>613</v>
      </c>
      <c r="G288" s="277"/>
      <c r="H288" s="297"/>
      <c r="I288" s="321">
        <f>F288-G288-H288</f>
        <v>613</v>
      </c>
      <c r="J288" s="279" t="s">
        <v>150</v>
      </c>
      <c r="K288" s="279">
        <v>1</v>
      </c>
      <c r="L288" s="279">
        <v>1</v>
      </c>
      <c r="M288" s="279">
        <v>1</v>
      </c>
      <c r="N288" s="279">
        <v>1</v>
      </c>
      <c r="O288" s="279">
        <v>1</v>
      </c>
      <c r="P288" s="322">
        <v>0</v>
      </c>
      <c r="Q288" s="279">
        <v>1</v>
      </c>
      <c r="R288" s="279">
        <v>1</v>
      </c>
      <c r="S288" s="280">
        <v>1</v>
      </c>
      <c r="T288" s="63"/>
      <c r="U288" s="10"/>
      <c r="V288" s="90">
        <v>0</v>
      </c>
      <c r="W288" s="367">
        <v>680</v>
      </c>
      <c r="X288" s="92"/>
    </row>
    <row r="289" spans="1:24">
      <c r="A289" s="2"/>
      <c r="B289" s="87">
        <f t="shared" ref="B289:B297" si="45">B288+1</f>
        <v>2</v>
      </c>
      <c r="C289" s="295">
        <v>45854</v>
      </c>
      <c r="D289" s="323" t="s">
        <v>1950</v>
      </c>
      <c r="E289" s="10" t="s">
        <v>155</v>
      </c>
      <c r="F289" s="62">
        <v>681</v>
      </c>
      <c r="G289" s="62"/>
      <c r="H289" s="62"/>
      <c r="I289" s="324">
        <f>F289-G289-H289</f>
        <v>681</v>
      </c>
      <c r="J289" s="63" t="s">
        <v>156</v>
      </c>
      <c r="K289" s="63">
        <v>1</v>
      </c>
      <c r="L289" s="63">
        <v>1</v>
      </c>
      <c r="M289" s="63">
        <v>1</v>
      </c>
      <c r="N289" s="63">
        <v>1</v>
      </c>
      <c r="O289" s="63">
        <v>1</v>
      </c>
      <c r="P289" s="325">
        <v>0</v>
      </c>
      <c r="Q289" s="63">
        <v>1</v>
      </c>
      <c r="R289" s="63">
        <v>1</v>
      </c>
      <c r="S289" s="296">
        <v>1</v>
      </c>
      <c r="T289" s="63"/>
      <c r="U289" s="10"/>
      <c r="V289" s="90">
        <v>749.1</v>
      </c>
      <c r="W289" s="91"/>
      <c r="X289" s="92"/>
    </row>
    <row r="290" spans="1:24">
      <c r="A290" s="93"/>
      <c r="B290" s="87">
        <f t="shared" si="45"/>
        <v>3</v>
      </c>
      <c r="C290" s="295">
        <v>45854</v>
      </c>
      <c r="D290" s="323" t="s">
        <v>1951</v>
      </c>
      <c r="E290" s="10" t="s">
        <v>155</v>
      </c>
      <c r="F290" s="62">
        <v>6814</v>
      </c>
      <c r="G290" s="62">
        <f>39.7+(45.2)+(41.87+1295.85)+250</f>
        <v>1672.62</v>
      </c>
      <c r="H290" s="62"/>
      <c r="I290" s="324">
        <f>F290-G290-H290</f>
        <v>5141.38</v>
      </c>
      <c r="J290" s="63" t="s">
        <v>156</v>
      </c>
      <c r="K290" s="63">
        <v>1</v>
      </c>
      <c r="L290" s="63">
        <v>1</v>
      </c>
      <c r="M290" s="63">
        <v>1</v>
      </c>
      <c r="N290" s="63">
        <v>1</v>
      </c>
      <c r="O290" s="63">
        <v>1</v>
      </c>
      <c r="P290" s="325">
        <v>0</v>
      </c>
      <c r="Q290" s="63">
        <v>1</v>
      </c>
      <c r="R290" s="63">
        <v>1</v>
      </c>
      <c r="S290" s="296">
        <v>1</v>
      </c>
      <c r="T290" s="63"/>
      <c r="U290" s="94" t="s">
        <v>1952</v>
      </c>
      <c r="V290" s="90">
        <v>7495.4</v>
      </c>
      <c r="W290" s="91"/>
      <c r="X290" s="92"/>
    </row>
    <row r="291" spans="1:24">
      <c r="A291" s="2"/>
      <c r="B291" s="87">
        <f t="shared" si="45"/>
        <v>4</v>
      </c>
      <c r="C291" s="295">
        <v>45854</v>
      </c>
      <c r="D291" s="323" t="s">
        <v>1953</v>
      </c>
      <c r="E291" s="10" t="s">
        <v>155</v>
      </c>
      <c r="F291" s="62">
        <v>1138</v>
      </c>
      <c r="G291" s="62">
        <v>39.700000000000003</v>
      </c>
      <c r="H291" s="62"/>
      <c r="I291" s="324">
        <f>F291-G291-H291</f>
        <v>1098.3</v>
      </c>
      <c r="J291" s="63" t="s">
        <v>156</v>
      </c>
      <c r="K291" s="63">
        <v>1</v>
      </c>
      <c r="L291" s="63">
        <v>1</v>
      </c>
      <c r="M291" s="63">
        <v>1</v>
      </c>
      <c r="N291" s="63">
        <v>1</v>
      </c>
      <c r="O291" s="63">
        <v>1</v>
      </c>
      <c r="P291" s="325">
        <v>0</v>
      </c>
      <c r="Q291" s="63">
        <v>1</v>
      </c>
      <c r="R291" s="63">
        <v>1</v>
      </c>
      <c r="S291" s="296">
        <v>1</v>
      </c>
      <c r="T291" s="63"/>
      <c r="U291" s="94" t="s">
        <v>1954</v>
      </c>
      <c r="V291" s="90">
        <f>824+427.8</f>
        <v>1251.8</v>
      </c>
      <c r="W291" s="91"/>
      <c r="X291" s="92"/>
    </row>
    <row r="292" spans="1:24">
      <c r="A292" s="2"/>
      <c r="B292" s="87">
        <f t="shared" si="45"/>
        <v>5</v>
      </c>
      <c r="C292" s="274">
        <v>45855</v>
      </c>
      <c r="D292" s="327" t="s">
        <v>1955</v>
      </c>
      <c r="E292" s="276" t="s">
        <v>671</v>
      </c>
      <c r="F292" s="277">
        <v>681</v>
      </c>
      <c r="G292" s="277"/>
      <c r="H292" s="277"/>
      <c r="I292" s="321">
        <f>F292-G292-H292</f>
        <v>681</v>
      </c>
      <c r="J292" s="279" t="s">
        <v>156</v>
      </c>
      <c r="K292" s="279">
        <v>1</v>
      </c>
      <c r="L292" s="279">
        <v>1</v>
      </c>
      <c r="M292" s="279">
        <v>1</v>
      </c>
      <c r="N292" s="322">
        <v>0</v>
      </c>
      <c r="O292" s="322">
        <v>0</v>
      </c>
      <c r="P292" s="322">
        <v>0</v>
      </c>
      <c r="Q292" s="322">
        <v>0</v>
      </c>
      <c r="R292" s="322">
        <v>0</v>
      </c>
      <c r="S292" s="328">
        <v>0</v>
      </c>
      <c r="T292" s="63"/>
      <c r="U292" s="10"/>
      <c r="V292" s="90">
        <v>749.1</v>
      </c>
      <c r="W292" s="91"/>
      <c r="X292" s="92"/>
    </row>
    <row r="293" spans="1:24">
      <c r="A293" s="2"/>
      <c r="B293" s="87">
        <f t="shared" si="45"/>
        <v>6</v>
      </c>
      <c r="C293" s="295">
        <v>45855</v>
      </c>
      <c r="D293" s="323">
        <v>71532</v>
      </c>
      <c r="E293" s="10" t="s">
        <v>225</v>
      </c>
      <c r="F293" s="62">
        <v>1138</v>
      </c>
      <c r="G293" s="62">
        <v>39.700000000000003</v>
      </c>
      <c r="H293" s="88"/>
      <c r="I293" s="324">
        <f>F293-G293-H293</f>
        <v>1098.3</v>
      </c>
      <c r="J293" s="63" t="s">
        <v>156</v>
      </c>
      <c r="K293" s="63">
        <v>1</v>
      </c>
      <c r="L293" s="63">
        <v>1</v>
      </c>
      <c r="M293" s="63">
        <v>1</v>
      </c>
      <c r="N293" s="325">
        <v>0</v>
      </c>
      <c r="O293" s="325">
        <v>0</v>
      </c>
      <c r="P293" s="325">
        <v>0</v>
      </c>
      <c r="Q293" s="63">
        <v>1</v>
      </c>
      <c r="R293" s="63">
        <v>1</v>
      </c>
      <c r="S293" s="326">
        <v>0</v>
      </c>
      <c r="T293" s="63"/>
      <c r="U293" s="10" t="s">
        <v>1956</v>
      </c>
      <c r="V293" s="90">
        <v>1251.8</v>
      </c>
      <c r="W293" s="91"/>
      <c r="X293" s="92"/>
    </row>
    <row r="294" spans="1:24">
      <c r="A294" s="2"/>
      <c r="B294" s="87">
        <f t="shared" si="45"/>
        <v>7</v>
      </c>
      <c r="C294" s="295">
        <v>45855</v>
      </c>
      <c r="D294" s="323">
        <v>71543</v>
      </c>
      <c r="E294" s="10" t="s">
        <v>577</v>
      </c>
      <c r="F294" s="62">
        <v>2604</v>
      </c>
      <c r="G294" s="62">
        <f>39.7+(221.01+203.2-203.2)</f>
        <v>260.70999999999998</v>
      </c>
      <c r="H294" s="88"/>
      <c r="I294" s="324">
        <f>F294-G294-H294</f>
        <v>2343.29</v>
      </c>
      <c r="J294" s="63" t="s">
        <v>156</v>
      </c>
      <c r="K294" s="63">
        <v>1</v>
      </c>
      <c r="L294" s="63">
        <v>1</v>
      </c>
      <c r="M294" s="63">
        <v>1</v>
      </c>
      <c r="N294" s="63">
        <v>1</v>
      </c>
      <c r="O294" s="63">
        <v>1</v>
      </c>
      <c r="P294" s="325">
        <v>0</v>
      </c>
      <c r="Q294" s="63">
        <v>1</v>
      </c>
      <c r="R294" s="63">
        <v>1</v>
      </c>
      <c r="S294" s="296">
        <v>1</v>
      </c>
      <c r="T294" s="63"/>
      <c r="U294" s="10" t="s">
        <v>1957</v>
      </c>
      <c r="V294" s="90">
        <f>286+2578.4</f>
        <v>2864.4</v>
      </c>
      <c r="W294" s="91"/>
      <c r="X294" s="92"/>
    </row>
    <row r="295" spans="1:24">
      <c r="A295" s="388">
        <v>45864</v>
      </c>
      <c r="B295" s="87">
        <f t="shared" si="45"/>
        <v>8</v>
      </c>
      <c r="C295" s="274">
        <v>45856</v>
      </c>
      <c r="D295" s="327">
        <v>71518</v>
      </c>
      <c r="E295" s="276" t="s">
        <v>349</v>
      </c>
      <c r="F295" s="277">
        <v>681</v>
      </c>
      <c r="G295" s="277"/>
      <c r="H295" s="297"/>
      <c r="I295" s="329">
        <f>F295-G295-H295</f>
        <v>681</v>
      </c>
      <c r="J295" s="279" t="s">
        <v>156</v>
      </c>
      <c r="K295" s="279">
        <v>1</v>
      </c>
      <c r="L295" s="279">
        <v>1</v>
      </c>
      <c r="M295" s="279">
        <v>1</v>
      </c>
      <c r="N295" s="279">
        <v>1</v>
      </c>
      <c r="O295" s="279">
        <v>1</v>
      </c>
      <c r="P295" s="322">
        <v>0</v>
      </c>
      <c r="Q295" s="279">
        <v>1</v>
      </c>
      <c r="R295" s="279">
        <v>1</v>
      </c>
      <c r="S295" s="280">
        <v>1</v>
      </c>
      <c r="T295" s="63"/>
      <c r="U295" s="10" t="s">
        <v>1958</v>
      </c>
      <c r="V295" s="90">
        <v>749.1</v>
      </c>
      <c r="W295" s="91"/>
      <c r="X295" s="92"/>
    </row>
    <row r="296" spans="1:24">
      <c r="A296" s="2"/>
      <c r="B296" s="87">
        <f t="shared" si="45"/>
        <v>9</v>
      </c>
      <c r="C296" s="295">
        <v>45856</v>
      </c>
      <c r="D296" s="323">
        <v>70522</v>
      </c>
      <c r="E296" s="10" t="s">
        <v>1863</v>
      </c>
      <c r="F296" s="62">
        <v>814</v>
      </c>
      <c r="G296" s="62">
        <v>39.700000000000003</v>
      </c>
      <c r="H296" s="88"/>
      <c r="I296" s="324">
        <f>F296-G296-H296</f>
        <v>774.3</v>
      </c>
      <c r="J296" s="63" t="s">
        <v>156</v>
      </c>
      <c r="K296" s="63">
        <v>1</v>
      </c>
      <c r="L296" s="63">
        <v>1</v>
      </c>
      <c r="M296" s="63">
        <v>1</v>
      </c>
      <c r="N296" s="63">
        <v>1</v>
      </c>
      <c r="O296" s="63">
        <v>1</v>
      </c>
      <c r="P296" s="325">
        <v>0</v>
      </c>
      <c r="Q296" s="63">
        <v>1</v>
      </c>
      <c r="R296" s="63">
        <v>1</v>
      </c>
      <c r="S296" s="296">
        <v>1</v>
      </c>
      <c r="T296" s="63"/>
      <c r="U296" s="10"/>
      <c r="V296" s="90">
        <v>895.5</v>
      </c>
      <c r="W296" s="91"/>
      <c r="X296" s="92"/>
    </row>
    <row r="297" spans="1:24">
      <c r="A297" s="2"/>
      <c r="B297" s="87">
        <f t="shared" si="45"/>
        <v>10</v>
      </c>
      <c r="C297" s="282">
        <v>45856</v>
      </c>
      <c r="D297" s="368">
        <v>71546</v>
      </c>
      <c r="E297" s="283" t="s">
        <v>388</v>
      </c>
      <c r="F297" s="284">
        <v>1138</v>
      </c>
      <c r="G297" s="284">
        <v>39.700000000000003</v>
      </c>
      <c r="H297" s="315"/>
      <c r="I297" s="300">
        <f>F297-G297-H297</f>
        <v>1098.3</v>
      </c>
      <c r="J297" s="286" t="s">
        <v>156</v>
      </c>
      <c r="K297" s="286">
        <v>1</v>
      </c>
      <c r="L297" s="332">
        <v>0</v>
      </c>
      <c r="M297" s="286">
        <v>1</v>
      </c>
      <c r="N297" s="286">
        <v>1</v>
      </c>
      <c r="O297" s="286">
        <v>1</v>
      </c>
      <c r="P297" s="332">
        <v>0</v>
      </c>
      <c r="Q297" s="286">
        <v>1</v>
      </c>
      <c r="R297" s="286">
        <v>1</v>
      </c>
      <c r="S297" s="287">
        <v>1</v>
      </c>
      <c r="T297" s="63"/>
      <c r="U297" s="10"/>
      <c r="V297" s="90">
        <v>1251.8</v>
      </c>
      <c r="W297" s="91"/>
      <c r="X297" s="92"/>
    </row>
    <row r="298" spans="1:24">
      <c r="A298" s="2"/>
      <c r="B298" s="87"/>
      <c r="C298" s="36"/>
      <c r="D298" s="10"/>
      <c r="E298" s="10"/>
      <c r="F298" s="97">
        <f>SUM(F288:F297)</f>
        <v>16302</v>
      </c>
      <c r="G298" s="97">
        <f>SUM(G288:G297)</f>
        <v>2092.1299999999997</v>
      </c>
      <c r="H298" s="97">
        <f>SUM(H288:H297)</f>
        <v>0</v>
      </c>
      <c r="I298" s="98">
        <f>SUM(I288:I297)</f>
        <v>14209.869999999999</v>
      </c>
      <c r="J298" s="63"/>
      <c r="K298" s="63">
        <f>COUNT(K288:K297)</f>
        <v>10</v>
      </c>
      <c r="L298" s="63">
        <f>COUNT(L288:L297)</f>
        <v>10</v>
      </c>
      <c r="M298" s="63">
        <f>COUNT(M288:M297)</f>
        <v>10</v>
      </c>
      <c r="N298" s="63">
        <f>COUNT(N288:N297)</f>
        <v>10</v>
      </c>
      <c r="O298" s="63">
        <f>COUNT(O288:O297)</f>
        <v>10</v>
      </c>
      <c r="P298" s="63">
        <f>COUNT(P288:P297)</f>
        <v>10</v>
      </c>
      <c r="Q298" s="63">
        <f>COUNT(Q288:Q297)</f>
        <v>10</v>
      </c>
      <c r="R298" s="63">
        <f>COUNT(R288:R297)</f>
        <v>10</v>
      </c>
      <c r="S298" s="63">
        <f>COUNT(S288:S297)</f>
        <v>10</v>
      </c>
      <c r="T298" s="63"/>
      <c r="U298" s="10"/>
      <c r="V298" s="90"/>
      <c r="W298" s="91"/>
      <c r="X298" s="92"/>
    </row>
    <row r="299" spans="1:24">
      <c r="A299" s="2"/>
      <c r="B299" s="87"/>
      <c r="C299" s="36"/>
      <c r="D299" s="10"/>
      <c r="E299" s="10"/>
      <c r="F299" s="88"/>
      <c r="G299" s="88"/>
      <c r="H299" s="88"/>
      <c r="I299" s="99"/>
      <c r="J299" s="63"/>
      <c r="K299" s="21">
        <f>SUM(K288:K297)</f>
        <v>10</v>
      </c>
      <c r="L299" s="21">
        <f>SUM(L288:L297)</f>
        <v>9</v>
      </c>
      <c r="M299" s="21">
        <f>SUM(M288:M297)</f>
        <v>10</v>
      </c>
      <c r="N299" s="21">
        <f>SUM(N288:N297)</f>
        <v>8</v>
      </c>
      <c r="O299" s="21">
        <f>SUM(O288:O297)</f>
        <v>8</v>
      </c>
      <c r="P299" s="21">
        <f>SUM(P288:P297)</f>
        <v>0</v>
      </c>
      <c r="Q299" s="21">
        <f>SUM(Q288:Q297)</f>
        <v>9</v>
      </c>
      <c r="R299" s="21">
        <f>SUM(R288:R297)</f>
        <v>9</v>
      </c>
      <c r="S299" s="21">
        <f>SUM(S288:S297)</f>
        <v>8</v>
      </c>
      <c r="T299" s="63"/>
      <c r="U299" s="10"/>
      <c r="V299" s="90"/>
      <c r="W299" s="91"/>
      <c r="X299" s="92"/>
    </row>
    <row r="300" spans="1:24">
      <c r="A300" s="2"/>
      <c r="B300" s="11"/>
      <c r="C300" s="36"/>
      <c r="D300" s="10"/>
      <c r="E300" s="10"/>
      <c r="F300" s="88"/>
      <c r="G300" s="88"/>
      <c r="H300" s="88"/>
      <c r="I300" s="99"/>
      <c r="J300" s="63"/>
      <c r="K300" s="21"/>
      <c r="L300" s="21"/>
      <c r="M300" s="21"/>
      <c r="N300" s="21"/>
      <c r="O300" s="21"/>
      <c r="P300" s="21"/>
      <c r="Q300" s="21"/>
      <c r="R300" s="21"/>
      <c r="S300" s="21"/>
      <c r="T300" s="63"/>
      <c r="U300" s="94"/>
      <c r="V300" s="90"/>
      <c r="W300" s="91"/>
      <c r="X300" s="92"/>
    </row>
    <row r="301" spans="1:24" s="260" customFormat="1">
      <c r="A301" s="181"/>
      <c r="B301" s="100" t="s">
        <v>67</v>
      </c>
      <c r="C301" s="36"/>
      <c r="D301" s="10"/>
      <c r="E301" s="10"/>
      <c r="F301" s="88"/>
      <c r="G301" s="62"/>
      <c r="H301" s="88"/>
      <c r="I301" s="99"/>
      <c r="J301" s="63"/>
      <c r="K301" s="181"/>
      <c r="L301" s="181"/>
      <c r="M301" s="181"/>
      <c r="N301" s="181"/>
      <c r="O301" s="181"/>
      <c r="P301" s="181"/>
      <c r="Q301" s="181"/>
      <c r="R301" s="181"/>
      <c r="S301" s="181"/>
      <c r="T301" s="63"/>
      <c r="U301" s="94"/>
      <c r="V301" s="90"/>
      <c r="W301" s="91"/>
      <c r="X301" s="92"/>
    </row>
    <row r="302" spans="1:24" s="260" customFormat="1">
      <c r="A302" s="261" t="s">
        <v>1934</v>
      </c>
      <c r="B302" s="87">
        <v>1</v>
      </c>
      <c r="C302" s="262">
        <v>45841</v>
      </c>
      <c r="D302" s="263" t="s">
        <v>1898</v>
      </c>
      <c r="E302" s="271" t="s">
        <v>354</v>
      </c>
      <c r="F302" s="265">
        <v>14614</v>
      </c>
      <c r="G302" s="265">
        <f>39.7+334.4+176.29+48.45+(170.8+97.82)+(52.13+13.63+170.15+72.8+12.45+120.13)+1000</f>
        <v>2308.75</v>
      </c>
      <c r="H302" s="265"/>
      <c r="I302" s="266">
        <f>F302-G302-H302</f>
        <v>12305.25</v>
      </c>
      <c r="J302" s="267" t="s">
        <v>228</v>
      </c>
      <c r="K302" s="267">
        <v>1</v>
      </c>
      <c r="L302" s="267">
        <v>1</v>
      </c>
      <c r="M302" s="267">
        <v>1</v>
      </c>
      <c r="N302" s="267">
        <v>1</v>
      </c>
      <c r="O302" s="267">
        <v>1</v>
      </c>
      <c r="P302" s="267">
        <v>0</v>
      </c>
      <c r="Q302" s="267">
        <v>0</v>
      </c>
      <c r="R302" s="267">
        <v>0</v>
      </c>
      <c r="S302" s="269">
        <v>0</v>
      </c>
      <c r="T302" s="63"/>
      <c r="U302" s="10" t="s">
        <v>1959</v>
      </c>
      <c r="V302" s="90"/>
      <c r="W302" s="136"/>
      <c r="X302" s="137"/>
    </row>
    <row r="303" spans="1:24" s="260" customFormat="1">
      <c r="A303" s="181"/>
      <c r="B303" s="11"/>
      <c r="C303" s="36"/>
      <c r="D303" s="10"/>
      <c r="E303" s="10"/>
      <c r="F303" s="97">
        <f>SUM(F302:F302)</f>
        <v>14614</v>
      </c>
      <c r="G303" s="97">
        <f>SUM(G302:G302)</f>
        <v>2308.75</v>
      </c>
      <c r="H303" s="97">
        <f>SUM(H302:H302)</f>
        <v>0</v>
      </c>
      <c r="I303" s="98">
        <f>SUM(I302:I302)</f>
        <v>12305.25</v>
      </c>
      <c r="J303" s="63"/>
      <c r="K303" s="21"/>
      <c r="L303" s="21"/>
      <c r="M303" s="21"/>
      <c r="N303" s="21"/>
      <c r="O303" s="21"/>
      <c r="P303" s="21"/>
      <c r="Q303" s="21"/>
      <c r="R303" s="21"/>
      <c r="S303" s="21"/>
      <c r="T303" s="63"/>
      <c r="U303" s="94"/>
      <c r="V303" s="90"/>
      <c r="W303" s="91"/>
      <c r="X303" s="92"/>
    </row>
    <row r="304" spans="1:24" s="260" customFormat="1">
      <c r="A304" s="181"/>
      <c r="B304" s="11"/>
      <c r="C304" s="36"/>
      <c r="D304" s="10"/>
      <c r="E304" s="10"/>
      <c r="F304" s="88"/>
      <c r="G304" s="88"/>
      <c r="H304" s="88"/>
      <c r="I304" s="99"/>
      <c r="J304" s="63"/>
      <c r="K304" s="21"/>
      <c r="L304" s="21"/>
      <c r="M304" s="21"/>
      <c r="N304" s="21"/>
      <c r="O304" s="21"/>
      <c r="P304" s="21"/>
      <c r="Q304" s="21"/>
      <c r="R304" s="21"/>
      <c r="S304" s="21"/>
      <c r="T304" s="63"/>
      <c r="U304" s="94"/>
      <c r="V304" s="90"/>
      <c r="W304" s="91"/>
      <c r="X304" s="92"/>
    </row>
    <row r="305" spans="1:25">
      <c r="A305" s="128"/>
      <c r="B305" s="121" t="s">
        <v>70</v>
      </c>
      <c r="C305" s="122"/>
      <c r="D305" s="123"/>
      <c r="E305" s="128"/>
      <c r="F305" s="124"/>
      <c r="G305" s="124"/>
      <c r="H305" s="124"/>
      <c r="I305" s="126"/>
      <c r="J305" s="127"/>
      <c r="K305" s="64"/>
      <c r="L305" s="64"/>
      <c r="M305" s="64"/>
      <c r="N305" s="64"/>
      <c r="O305" s="64"/>
      <c r="P305" s="64"/>
      <c r="Q305" s="64"/>
      <c r="R305" s="64"/>
      <c r="S305" s="64"/>
      <c r="T305" s="127"/>
      <c r="U305" s="135"/>
      <c r="V305" s="129"/>
      <c r="W305" s="130"/>
      <c r="X305" s="131"/>
    </row>
    <row r="306" spans="1:25" s="342" customFormat="1">
      <c r="A306" s="356">
        <v>0.05</v>
      </c>
      <c r="B306" s="333">
        <v>1</v>
      </c>
      <c r="C306" s="334">
        <v>45854</v>
      </c>
      <c r="D306" s="327">
        <v>71146</v>
      </c>
      <c r="E306" s="335" t="s">
        <v>511</v>
      </c>
      <c r="F306" s="336">
        <v>814</v>
      </c>
      <c r="G306" s="336">
        <f>39.7</f>
        <v>39.700000000000003</v>
      </c>
      <c r="H306" s="336"/>
      <c r="I306" s="337">
        <f>F306-G306-H306</f>
        <v>774.3</v>
      </c>
      <c r="J306" s="338" t="s">
        <v>156</v>
      </c>
      <c r="K306" s="338">
        <v>1</v>
      </c>
      <c r="L306" s="338"/>
      <c r="M306" s="338">
        <v>1</v>
      </c>
      <c r="N306" s="338">
        <v>1</v>
      </c>
      <c r="O306" s="338">
        <v>1</v>
      </c>
      <c r="P306" s="322">
        <v>0</v>
      </c>
      <c r="Q306" s="338"/>
      <c r="R306" s="338"/>
      <c r="S306" s="339"/>
      <c r="T306" s="127"/>
      <c r="U306" s="135" t="s">
        <v>1960</v>
      </c>
      <c r="V306" s="129">
        <f>400</f>
        <v>400</v>
      </c>
      <c r="W306" s="340"/>
      <c r="X306" s="341"/>
    </row>
    <row r="307" spans="1:25" s="342" customFormat="1">
      <c r="A307" s="356">
        <v>0.05</v>
      </c>
      <c r="B307" s="333">
        <f>B306+1</f>
        <v>2</v>
      </c>
      <c r="C307" s="334">
        <v>45855</v>
      </c>
      <c r="D307" s="327" t="s">
        <v>1961</v>
      </c>
      <c r="E307" s="335" t="s">
        <v>225</v>
      </c>
      <c r="F307" s="336">
        <v>1861</v>
      </c>
      <c r="G307" s="336">
        <f>39.7+544.5</f>
        <v>584.20000000000005</v>
      </c>
      <c r="H307" s="336"/>
      <c r="I307" s="337">
        <f>F307-G307-H307</f>
        <v>1276.8</v>
      </c>
      <c r="J307" s="338" t="s">
        <v>156</v>
      </c>
      <c r="K307" s="338">
        <v>1</v>
      </c>
      <c r="L307" s="338"/>
      <c r="M307" s="338">
        <v>1</v>
      </c>
      <c r="N307" s="338">
        <v>1</v>
      </c>
      <c r="O307" s="338">
        <v>1</v>
      </c>
      <c r="P307" s="322">
        <v>0</v>
      </c>
      <c r="Q307" s="338"/>
      <c r="R307" s="338"/>
      <c r="S307" s="339"/>
      <c r="T307" s="127"/>
      <c r="U307" s="135"/>
      <c r="V307" s="129">
        <f>186</f>
        <v>186</v>
      </c>
      <c r="W307" s="340"/>
      <c r="X307" s="341"/>
    </row>
    <row r="308" spans="1:25" s="342" customFormat="1">
      <c r="A308" s="356">
        <v>0.05</v>
      </c>
      <c r="B308" s="333">
        <f t="shared" ref="B308" si="46">B307+1</f>
        <v>3</v>
      </c>
      <c r="C308" s="334">
        <v>45856</v>
      </c>
      <c r="D308" s="327" t="s">
        <v>1962</v>
      </c>
      <c r="E308" s="335" t="s">
        <v>388</v>
      </c>
      <c r="F308" s="336">
        <v>16214</v>
      </c>
      <c r="G308" s="336">
        <f>39.7+1000</f>
        <v>1039.7</v>
      </c>
      <c r="H308" s="336"/>
      <c r="I308" s="337">
        <f>F308-G308-H308</f>
        <v>15174.3</v>
      </c>
      <c r="J308" s="338" t="s">
        <v>156</v>
      </c>
      <c r="K308" s="338">
        <v>1</v>
      </c>
      <c r="L308" s="338"/>
      <c r="M308" s="338">
        <v>1</v>
      </c>
      <c r="N308" s="338">
        <v>1</v>
      </c>
      <c r="O308" s="338">
        <v>1</v>
      </c>
      <c r="P308" s="322">
        <v>0</v>
      </c>
      <c r="Q308" s="338"/>
      <c r="R308" s="338"/>
      <c r="S308" s="339"/>
      <c r="T308" s="127"/>
      <c r="U308" s="135" t="s">
        <v>1963</v>
      </c>
      <c r="V308" s="129">
        <f>1621+2000+5000</f>
        <v>8621</v>
      </c>
      <c r="W308" s="340"/>
      <c r="X308" s="341"/>
    </row>
    <row r="309" spans="1:25" s="342" customFormat="1">
      <c r="A309" s="356">
        <v>0.05</v>
      </c>
      <c r="B309" s="333">
        <f>B308+1</f>
        <v>4</v>
      </c>
      <c r="C309" s="345">
        <v>45856</v>
      </c>
      <c r="D309" s="323">
        <v>71568</v>
      </c>
      <c r="E309" s="123" t="s">
        <v>369</v>
      </c>
      <c r="F309" s="125">
        <v>1513</v>
      </c>
      <c r="G309" s="125">
        <f>39.7</f>
        <v>39.700000000000003</v>
      </c>
      <c r="H309" s="125"/>
      <c r="I309" s="347">
        <f>F309-G309-H309</f>
        <v>1473.3</v>
      </c>
      <c r="J309" s="127" t="s">
        <v>150</v>
      </c>
      <c r="K309" s="127">
        <v>1</v>
      </c>
      <c r="L309" s="127">
        <v>1</v>
      </c>
      <c r="M309" s="127">
        <v>1</v>
      </c>
      <c r="N309" s="127">
        <v>1</v>
      </c>
      <c r="O309" s="127">
        <v>1</v>
      </c>
      <c r="P309" s="325">
        <v>0</v>
      </c>
      <c r="Q309" s="127"/>
      <c r="R309" s="127"/>
      <c r="S309" s="349"/>
      <c r="T309" s="127"/>
      <c r="U309" s="135"/>
      <c r="V309" s="129">
        <v>0</v>
      </c>
      <c r="W309" s="382">
        <f>200+1464.3</f>
        <v>1664.3</v>
      </c>
      <c r="X309" s="341"/>
    </row>
    <row r="310" spans="1:25" s="342" customFormat="1">
      <c r="A310" s="356">
        <v>0.05</v>
      </c>
      <c r="B310" s="333">
        <f>B309+1</f>
        <v>5</v>
      </c>
      <c r="C310" s="395">
        <v>45856</v>
      </c>
      <c r="D310" s="368" t="s">
        <v>1964</v>
      </c>
      <c r="E310" s="396" t="s">
        <v>369</v>
      </c>
      <c r="F310" s="397">
        <v>3196.6</v>
      </c>
      <c r="G310" s="397">
        <f>39.7</f>
        <v>39.700000000000003</v>
      </c>
      <c r="H310" s="397"/>
      <c r="I310" s="398">
        <f>F310-G310-H310</f>
        <v>3156.9</v>
      </c>
      <c r="J310" s="399"/>
      <c r="K310" s="399">
        <v>1</v>
      </c>
      <c r="L310" s="399"/>
      <c r="M310" s="399"/>
      <c r="N310" s="399">
        <v>1</v>
      </c>
      <c r="O310" s="399">
        <v>1</v>
      </c>
      <c r="P310" s="332">
        <v>0</v>
      </c>
      <c r="Q310" s="399"/>
      <c r="R310" s="399"/>
      <c r="S310" s="400"/>
      <c r="T310" s="127"/>
      <c r="U310" s="135"/>
      <c r="V310" s="129"/>
      <c r="W310" s="341"/>
      <c r="X310" s="341"/>
    </row>
    <row r="311" spans="1:25">
      <c r="A311" s="128"/>
      <c r="B311" s="132"/>
      <c r="C311" s="122"/>
      <c r="D311" s="123"/>
      <c r="E311" s="123"/>
      <c r="F311" s="133">
        <f>SUM(F306:F310)</f>
        <v>23598.6</v>
      </c>
      <c r="G311" s="133">
        <f>SUM(G306:G310)</f>
        <v>1743.0000000000002</v>
      </c>
      <c r="H311" s="133">
        <f>SUM(H306:H310)</f>
        <v>0</v>
      </c>
      <c r="I311" s="134">
        <f>SUM(I306:I310)</f>
        <v>21855.599999999999</v>
      </c>
      <c r="J311" s="127"/>
      <c r="K311" s="64"/>
      <c r="L311" s="64"/>
      <c r="M311" s="64"/>
      <c r="N311" s="64"/>
      <c r="O311" s="64"/>
      <c r="P311" s="64"/>
      <c r="Q311" s="64"/>
      <c r="R311" s="64"/>
      <c r="S311" s="64"/>
      <c r="T311" s="127"/>
      <c r="U311" s="135"/>
      <c r="V311" s="129"/>
      <c r="W311" s="130"/>
      <c r="X311" s="131"/>
    </row>
    <row r="312" spans="1:25">
      <c r="A312" s="2"/>
      <c r="B312" s="11"/>
      <c r="C312" s="36"/>
      <c r="D312" s="10"/>
      <c r="E312" s="10"/>
      <c r="F312" s="88"/>
      <c r="G312" s="88"/>
      <c r="H312" s="88"/>
      <c r="I312" s="99"/>
      <c r="J312" s="63"/>
      <c r="K312" s="21"/>
      <c r="L312" s="21"/>
      <c r="M312" s="21"/>
      <c r="N312" s="21"/>
      <c r="O312" s="21"/>
      <c r="P312" s="21"/>
      <c r="Q312" s="21"/>
      <c r="R312" s="21"/>
      <c r="S312" s="21"/>
      <c r="T312" s="63"/>
      <c r="U312" s="94"/>
      <c r="V312" s="90"/>
      <c r="W312" s="91"/>
      <c r="X312" s="92"/>
    </row>
    <row r="313" spans="1:25" s="260" customFormat="1">
      <c r="A313" s="181"/>
      <c r="B313" s="100" t="s">
        <v>152</v>
      </c>
      <c r="C313" s="36"/>
      <c r="D313" s="10"/>
      <c r="E313" s="10"/>
      <c r="F313" s="88"/>
      <c r="G313" s="62"/>
      <c r="H313" s="88"/>
      <c r="I313" s="99"/>
      <c r="J313" s="63"/>
      <c r="K313" s="181"/>
      <c r="L313" s="181"/>
      <c r="M313" s="181"/>
      <c r="N313" s="181"/>
      <c r="O313" s="181"/>
      <c r="P313" s="181"/>
      <c r="Q313" s="181"/>
      <c r="R313" s="181"/>
      <c r="S313" s="181"/>
      <c r="T313" s="63"/>
      <c r="U313" s="10"/>
      <c r="V313" s="90"/>
      <c r="W313" s="91"/>
      <c r="X313" s="92"/>
    </row>
    <row r="314" spans="1:25" s="260" customFormat="1">
      <c r="A314" s="261">
        <v>0.05</v>
      </c>
      <c r="B314" s="87">
        <v>1</v>
      </c>
      <c r="C314" s="262">
        <v>45840</v>
      </c>
      <c r="D314" s="357" t="s">
        <v>1896</v>
      </c>
      <c r="E314" s="264" t="s">
        <v>354</v>
      </c>
      <c r="F314" s="265">
        <v>1681</v>
      </c>
      <c r="G314" s="265">
        <v>39.700000000000003</v>
      </c>
      <c r="H314" s="265"/>
      <c r="I314" s="266">
        <f>F314-G314-H314</f>
        <v>1641.3</v>
      </c>
      <c r="J314" s="267" t="s">
        <v>374</v>
      </c>
      <c r="K314" s="267">
        <v>1</v>
      </c>
      <c r="L314" s="267">
        <v>1</v>
      </c>
      <c r="M314" s="267">
        <v>1</v>
      </c>
      <c r="N314" s="267">
        <v>1</v>
      </c>
      <c r="O314" s="267">
        <v>1</v>
      </c>
      <c r="P314" s="314">
        <v>0</v>
      </c>
      <c r="Q314" s="267">
        <v>1</v>
      </c>
      <c r="R314" s="267">
        <v>1</v>
      </c>
      <c r="S314" s="366">
        <v>0</v>
      </c>
      <c r="T314" s="63"/>
      <c r="U314" s="10" t="s">
        <v>1897</v>
      </c>
      <c r="V314" s="90"/>
      <c r="W314" s="91"/>
      <c r="X314" s="92"/>
    </row>
    <row r="315" spans="1:25" s="260" customFormat="1">
      <c r="A315" s="494">
        <v>0.05</v>
      </c>
      <c r="B315" s="87">
        <f>B302+1</f>
        <v>2</v>
      </c>
      <c r="C315" s="262">
        <v>45847</v>
      </c>
      <c r="D315" s="357" t="s">
        <v>1932</v>
      </c>
      <c r="E315" s="271" t="s">
        <v>168</v>
      </c>
      <c r="F315" s="265">
        <v>5814</v>
      </c>
      <c r="G315" s="265">
        <f>39.7+541.2+330+(123.61+1102.13)+250</f>
        <v>2386.6400000000003</v>
      </c>
      <c r="H315" s="265"/>
      <c r="I315" s="266">
        <f>F315-G315-H315</f>
        <v>3427.3599999999997</v>
      </c>
      <c r="J315" s="267" t="s">
        <v>156</v>
      </c>
      <c r="K315" s="267">
        <v>1</v>
      </c>
      <c r="L315" s="267">
        <v>1</v>
      </c>
      <c r="M315" s="267">
        <v>1</v>
      </c>
      <c r="N315" s="267">
        <v>1</v>
      </c>
      <c r="O315" s="267">
        <v>1</v>
      </c>
      <c r="P315" s="314">
        <v>0</v>
      </c>
      <c r="Q315" s="267">
        <v>1</v>
      </c>
      <c r="R315" s="267">
        <v>1</v>
      </c>
      <c r="S315" s="269">
        <v>1</v>
      </c>
      <c r="T315" s="63"/>
      <c r="U315" s="94" t="s">
        <v>1933</v>
      </c>
      <c r="V315" s="90"/>
      <c r="W315" s="136"/>
      <c r="X315" s="137"/>
    </row>
    <row r="316" spans="1:25" s="260" customFormat="1">
      <c r="A316" s="181"/>
      <c r="B316" s="11"/>
      <c r="C316" s="36"/>
      <c r="D316" s="10"/>
      <c r="E316" s="10"/>
      <c r="F316" s="98">
        <f>SUM(F314:F314)</f>
        <v>1681</v>
      </c>
      <c r="G316" s="98">
        <f>SUM(G314:G314)</f>
        <v>39.700000000000003</v>
      </c>
      <c r="H316" s="98">
        <f>SUM(H314:H314)</f>
        <v>0</v>
      </c>
      <c r="I316" s="98">
        <f>SUM(I314:I314)</f>
        <v>1641.3</v>
      </c>
      <c r="J316" s="63"/>
      <c r="K316" s="21"/>
      <c r="L316" s="21"/>
      <c r="M316" s="21"/>
      <c r="N316" s="21"/>
      <c r="O316" s="21"/>
      <c r="P316" s="21"/>
      <c r="Q316" s="21"/>
      <c r="R316" s="21"/>
      <c r="S316" s="21"/>
      <c r="T316" s="63"/>
      <c r="U316" s="10"/>
      <c r="V316" s="90"/>
      <c r="W316" s="91"/>
      <c r="X316" s="92"/>
    </row>
    <row r="317" spans="1:25" s="260" customFormat="1">
      <c r="A317" s="181"/>
      <c r="B317" s="11"/>
      <c r="C317" s="36"/>
      <c r="D317" s="10"/>
      <c r="E317" s="10"/>
      <c r="F317" s="88"/>
      <c r="G317" s="88"/>
      <c r="H317" s="88"/>
      <c r="I317" s="99"/>
      <c r="J317" s="63"/>
      <c r="K317" s="21"/>
      <c r="L317" s="21"/>
      <c r="M317" s="21"/>
      <c r="N317" s="21"/>
      <c r="O317" s="21"/>
      <c r="P317" s="21"/>
      <c r="Q317" s="21"/>
      <c r="R317" s="21"/>
      <c r="S317" s="21"/>
      <c r="T317" s="63"/>
      <c r="U317" s="10"/>
      <c r="V317" s="90"/>
      <c r="W317" s="91"/>
      <c r="X317" s="92"/>
    </row>
    <row r="318" spans="1:25" s="260" customFormat="1">
      <c r="B318" s="100" t="s">
        <v>202</v>
      </c>
      <c r="C318" s="36"/>
      <c r="D318" s="10"/>
      <c r="E318" s="181"/>
      <c r="F318" s="88"/>
      <c r="G318" s="88"/>
      <c r="H318" s="88"/>
      <c r="I318" s="99"/>
      <c r="J318" s="63"/>
      <c r="K318" s="21"/>
      <c r="L318" s="21"/>
      <c r="M318" s="21"/>
      <c r="N318" s="21"/>
      <c r="O318" s="21"/>
      <c r="P318" s="21"/>
      <c r="Q318" s="21"/>
      <c r="R318" s="21"/>
      <c r="S318" s="21"/>
      <c r="T318" s="63"/>
      <c r="U318" s="10"/>
      <c r="V318" s="90"/>
      <c r="W318" s="91"/>
      <c r="X318" s="92"/>
    </row>
    <row r="319" spans="1:25" s="260" customFormat="1">
      <c r="A319" s="261">
        <v>0.05</v>
      </c>
      <c r="B319" s="87">
        <v>1</v>
      </c>
      <c r="C319" s="274">
        <v>45812</v>
      </c>
      <c r="D319" s="320" t="s">
        <v>1866</v>
      </c>
      <c r="E319" s="276" t="s">
        <v>512</v>
      </c>
      <c r="F319" s="277">
        <v>18061</v>
      </c>
      <c r="G319" s="277">
        <f>39.7+1551+(62.91+128.26+27.45-20.83)+(10.95+18.17+8.58+185.26+145.2+166.5+178.78)+1500</f>
        <v>4001.93</v>
      </c>
      <c r="H319" s="277"/>
      <c r="I319" s="278">
        <f>F319-G319-H319</f>
        <v>14059.07</v>
      </c>
      <c r="J319" s="279" t="s">
        <v>156</v>
      </c>
      <c r="K319" s="279">
        <v>1</v>
      </c>
      <c r="L319" s="279"/>
      <c r="M319" s="279">
        <v>1</v>
      </c>
      <c r="N319" s="279">
        <v>1</v>
      </c>
      <c r="O319" s="279">
        <v>1</v>
      </c>
      <c r="P319" s="279">
        <v>1</v>
      </c>
      <c r="Q319" s="279"/>
      <c r="R319" s="279"/>
      <c r="S319" s="280"/>
      <c r="T319" s="63"/>
      <c r="U319" s="10" t="s">
        <v>1900</v>
      </c>
      <c r="V319" s="90"/>
      <c r="W319" s="136"/>
      <c r="X319" s="137"/>
      <c r="Y319" s="181"/>
    </row>
    <row r="320" spans="1:25" s="260" customFormat="1">
      <c r="A320" s="261">
        <v>0.05</v>
      </c>
      <c r="B320" s="87">
        <f>B319+1</f>
        <v>2</v>
      </c>
      <c r="C320" s="262">
        <v>45813</v>
      </c>
      <c r="D320" s="357" t="s">
        <v>1868</v>
      </c>
      <c r="E320" s="271" t="s">
        <v>512</v>
      </c>
      <c r="F320" s="265">
        <v>22614</v>
      </c>
      <c r="G320" s="265">
        <f>39.7+47.8+356+(396.09)+(145.2-4.72-2.08+8.58-185.26+9.17+5.35+223.39)+2000</f>
        <v>3039.22</v>
      </c>
      <c r="H320" s="265"/>
      <c r="I320" s="266">
        <f>F320-G320-H320</f>
        <v>19574.78</v>
      </c>
      <c r="J320" s="267"/>
      <c r="K320" s="267">
        <v>1</v>
      </c>
      <c r="L320" s="267"/>
      <c r="M320" s="267"/>
      <c r="N320" s="267">
        <v>1</v>
      </c>
      <c r="O320" s="267">
        <v>1</v>
      </c>
      <c r="P320" s="314">
        <v>0</v>
      </c>
      <c r="Q320" s="267"/>
      <c r="R320" s="267"/>
      <c r="S320" s="269"/>
      <c r="T320" s="63"/>
      <c r="U320" s="10" t="s">
        <v>1901</v>
      </c>
      <c r="V320" s="90"/>
      <c r="W320" s="136"/>
      <c r="X320" s="137"/>
    </row>
    <row r="321" spans="1:24" s="260" customFormat="1">
      <c r="A321" s="494">
        <v>0.05</v>
      </c>
      <c r="B321" s="87">
        <f>B320+1</f>
        <v>3</v>
      </c>
      <c r="C321" s="274">
        <v>45848</v>
      </c>
      <c r="D321" s="327">
        <v>71381</v>
      </c>
      <c r="E321" s="276" t="s">
        <v>1530</v>
      </c>
      <c r="F321" s="277">
        <f>1223-85</f>
        <v>1138</v>
      </c>
      <c r="G321" s="277">
        <f>39.7</f>
        <v>39.700000000000003</v>
      </c>
      <c r="H321" s="277"/>
      <c r="I321" s="321">
        <f>F321-G321-H321</f>
        <v>1098.3</v>
      </c>
      <c r="J321" s="279" t="s">
        <v>156</v>
      </c>
      <c r="K321" s="279">
        <v>1</v>
      </c>
      <c r="L321" s="279"/>
      <c r="M321" s="279">
        <v>1</v>
      </c>
      <c r="N321" s="279">
        <v>1</v>
      </c>
      <c r="O321" s="279">
        <v>1</v>
      </c>
      <c r="P321" s="322">
        <v>0</v>
      </c>
      <c r="Q321" s="279"/>
      <c r="R321" s="279"/>
      <c r="S321" s="280"/>
      <c r="T321" s="63"/>
      <c r="U321" s="94"/>
      <c r="V321" s="90"/>
      <c r="W321" s="136"/>
      <c r="X321" s="137"/>
    </row>
    <row r="322" spans="1:24" s="260" customFormat="1">
      <c r="A322" s="494" t="s">
        <v>1934</v>
      </c>
      <c r="B322" s="87">
        <f>B321+1</f>
        <v>4</v>
      </c>
      <c r="C322" s="295">
        <v>45848</v>
      </c>
      <c r="D322" s="323" t="s">
        <v>1935</v>
      </c>
      <c r="E322" s="10" t="s">
        <v>1249</v>
      </c>
      <c r="F322" s="62">
        <v>1138</v>
      </c>
      <c r="G322" s="62">
        <f>39.7+200</f>
        <v>239.7</v>
      </c>
      <c r="H322" s="62"/>
      <c r="I322" s="324">
        <f>F322-G322-H322</f>
        <v>898.3</v>
      </c>
      <c r="J322" s="63" t="s">
        <v>156</v>
      </c>
      <c r="K322" s="63">
        <v>1</v>
      </c>
      <c r="L322" s="63"/>
      <c r="M322" s="63">
        <v>1</v>
      </c>
      <c r="N322" s="63">
        <v>1</v>
      </c>
      <c r="O322" s="63">
        <v>1</v>
      </c>
      <c r="P322" s="325">
        <v>0</v>
      </c>
      <c r="Q322" s="63">
        <v>1</v>
      </c>
      <c r="R322" s="63">
        <v>1</v>
      </c>
      <c r="S322" s="296">
        <v>1</v>
      </c>
      <c r="T322" s="63"/>
      <c r="U322" s="94" t="s">
        <v>1936</v>
      </c>
      <c r="V322" s="90"/>
      <c r="W322" s="136"/>
      <c r="X322" s="137"/>
    </row>
    <row r="323" spans="1:24" s="260" customFormat="1">
      <c r="A323" s="494">
        <v>0.05</v>
      </c>
      <c r="B323" s="87">
        <f>B322+1</f>
        <v>5</v>
      </c>
      <c r="C323" s="262">
        <v>45849</v>
      </c>
      <c r="D323" s="263">
        <v>71382</v>
      </c>
      <c r="E323" s="271" t="s">
        <v>999</v>
      </c>
      <c r="F323" s="265">
        <v>1861</v>
      </c>
      <c r="G323" s="265">
        <v>39.700000000000003</v>
      </c>
      <c r="H323" s="265"/>
      <c r="I323" s="266">
        <f>F323-G323-H323</f>
        <v>1821.3</v>
      </c>
      <c r="J323" s="267" t="s">
        <v>374</v>
      </c>
      <c r="K323" s="267">
        <v>1</v>
      </c>
      <c r="L323" s="267"/>
      <c r="M323" s="267">
        <v>1</v>
      </c>
      <c r="N323" s="267">
        <v>1</v>
      </c>
      <c r="O323" s="267">
        <v>1</v>
      </c>
      <c r="P323" s="314">
        <v>0</v>
      </c>
      <c r="Q323" s="267"/>
      <c r="R323" s="267"/>
      <c r="S323" s="269"/>
      <c r="T323" s="63"/>
      <c r="U323" s="94" t="s">
        <v>1937</v>
      </c>
      <c r="V323" s="90"/>
      <c r="W323" s="136"/>
      <c r="X323" s="137"/>
    </row>
    <row r="324" spans="1:24" s="260" customFormat="1">
      <c r="B324" s="11"/>
      <c r="C324" s="36"/>
      <c r="D324" s="10"/>
      <c r="E324" s="10"/>
      <c r="F324" s="97">
        <f>SUM(F319:F320)</f>
        <v>40675</v>
      </c>
      <c r="G324" s="97">
        <f>SUM(G319:G320)</f>
        <v>7041.15</v>
      </c>
      <c r="H324" s="97">
        <f>SUM(H319:H320)</f>
        <v>0</v>
      </c>
      <c r="I324" s="97">
        <f>SUM(I319:I320)</f>
        <v>33633.85</v>
      </c>
      <c r="J324" s="63"/>
      <c r="K324" s="21"/>
      <c r="L324" s="21"/>
      <c r="M324" s="21"/>
      <c r="N324" s="21"/>
      <c r="O324" s="21"/>
      <c r="P324" s="21"/>
      <c r="Q324" s="21"/>
      <c r="R324" s="21"/>
      <c r="S324" s="21"/>
      <c r="T324" s="63"/>
      <c r="U324" s="10"/>
      <c r="V324" s="90"/>
      <c r="W324" s="91"/>
      <c r="X324" s="92"/>
    </row>
    <row r="325" spans="1:24" s="260" customFormat="1">
      <c r="B325" s="11"/>
      <c r="C325" s="36"/>
      <c r="D325" s="10"/>
      <c r="E325" s="10"/>
      <c r="F325" s="88"/>
      <c r="G325" s="88"/>
      <c r="H325" s="88"/>
      <c r="I325" s="99"/>
      <c r="J325" s="10"/>
      <c r="K325" s="63"/>
      <c r="L325" s="63"/>
      <c r="M325" s="63"/>
      <c r="N325" s="63"/>
      <c r="O325" s="63"/>
      <c r="P325" s="63"/>
      <c r="Q325" s="63"/>
      <c r="R325" s="63"/>
      <c r="S325" s="63"/>
      <c r="T325" s="63"/>
      <c r="U325" s="10"/>
      <c r="V325" s="90"/>
      <c r="W325" s="91"/>
      <c r="X325" s="92"/>
    </row>
    <row r="326" spans="1:24">
      <c r="A326" s="2"/>
      <c r="B326" s="100" t="s">
        <v>72</v>
      </c>
      <c r="C326" s="36"/>
      <c r="D326" s="10"/>
      <c r="E326" s="10"/>
      <c r="F326" s="88"/>
      <c r="G326" s="88"/>
      <c r="H326" s="88"/>
      <c r="I326" s="99"/>
      <c r="J326" s="63"/>
      <c r="K326" s="63"/>
      <c r="L326" s="63"/>
      <c r="M326" s="63"/>
      <c r="N326" s="63"/>
      <c r="O326" s="63"/>
      <c r="P326" s="63"/>
      <c r="Q326" s="63"/>
      <c r="R326" s="63"/>
      <c r="S326" s="63"/>
      <c r="T326" s="63"/>
      <c r="U326" s="10"/>
      <c r="V326" s="90"/>
      <c r="W326" s="91"/>
      <c r="X326" s="92"/>
    </row>
    <row r="327" spans="1:24">
      <c r="A327" s="2"/>
      <c r="B327" s="87">
        <v>1</v>
      </c>
      <c r="C327" s="274">
        <v>45854</v>
      </c>
      <c r="D327" s="276" t="s">
        <v>1965</v>
      </c>
      <c r="E327" s="276" t="s">
        <v>456</v>
      </c>
      <c r="F327" s="277">
        <v>1138</v>
      </c>
      <c r="G327" s="277">
        <f>39.7</f>
        <v>39.700000000000003</v>
      </c>
      <c r="H327" s="277"/>
      <c r="I327" s="278">
        <f>F327-G327-H327</f>
        <v>1098.3</v>
      </c>
      <c r="J327" s="279" t="s">
        <v>205</v>
      </c>
      <c r="K327" s="279">
        <v>1</v>
      </c>
      <c r="L327" s="279"/>
      <c r="M327" s="279"/>
      <c r="N327" s="279">
        <v>1</v>
      </c>
      <c r="O327" s="279"/>
      <c r="P327" s="279"/>
      <c r="Q327" s="279"/>
      <c r="R327" s="279"/>
      <c r="S327" s="280"/>
      <c r="T327" s="63"/>
      <c r="U327" s="3"/>
      <c r="V327" s="90"/>
      <c r="W327" s="91"/>
      <c r="X327" s="92"/>
    </row>
    <row r="328" spans="1:24">
      <c r="A328" s="2"/>
      <c r="B328" s="87">
        <f t="shared" ref="B328:B342" si="47">B327+1</f>
        <v>2</v>
      </c>
      <c r="C328" s="295">
        <v>45854</v>
      </c>
      <c r="D328" s="10" t="s">
        <v>1966</v>
      </c>
      <c r="E328" s="10" t="s">
        <v>456</v>
      </c>
      <c r="F328" s="62">
        <v>861</v>
      </c>
      <c r="G328" s="62">
        <v>39.700000000000003</v>
      </c>
      <c r="H328" s="62"/>
      <c r="I328" s="89">
        <f>F328-G328-H328</f>
        <v>821.3</v>
      </c>
      <c r="J328" s="63" t="s">
        <v>205</v>
      </c>
      <c r="K328" s="63">
        <v>1</v>
      </c>
      <c r="L328" s="63"/>
      <c r="M328" s="63"/>
      <c r="N328" s="63">
        <v>1</v>
      </c>
      <c r="O328" s="63"/>
      <c r="P328" s="63"/>
      <c r="Q328" s="63"/>
      <c r="R328" s="63"/>
      <c r="S328" s="296"/>
      <c r="T328" s="63"/>
      <c r="U328" s="10"/>
      <c r="V328" s="90"/>
      <c r="W328" s="136"/>
      <c r="X328" s="137"/>
    </row>
    <row r="329" spans="1:24">
      <c r="A329" s="2"/>
      <c r="B329" s="87">
        <f t="shared" si="47"/>
        <v>3</v>
      </c>
      <c r="C329" s="295">
        <v>45854</v>
      </c>
      <c r="D329" s="10" t="s">
        <v>1967</v>
      </c>
      <c r="E329" s="10" t="s">
        <v>456</v>
      </c>
      <c r="F329" s="62">
        <v>4882.7700000000004</v>
      </c>
      <c r="G329" s="62">
        <v>39.700000000000003</v>
      </c>
      <c r="H329" s="62"/>
      <c r="I329" s="89">
        <f>F329-G329-H329</f>
        <v>4843.0700000000006</v>
      </c>
      <c r="J329" s="63" t="s">
        <v>205</v>
      </c>
      <c r="K329" s="63">
        <v>1</v>
      </c>
      <c r="L329" s="63"/>
      <c r="M329" s="63"/>
      <c r="N329" s="63">
        <v>1</v>
      </c>
      <c r="O329" s="63"/>
      <c r="P329" s="63"/>
      <c r="Q329" s="63"/>
      <c r="R329" s="63"/>
      <c r="S329" s="296"/>
      <c r="T329" s="63"/>
      <c r="U329" s="10"/>
      <c r="V329" s="90"/>
      <c r="W329" s="136"/>
      <c r="X329" s="137"/>
    </row>
    <row r="330" spans="1:24">
      <c r="A330" s="2"/>
      <c r="B330" s="87">
        <f t="shared" si="47"/>
        <v>4</v>
      </c>
      <c r="C330" s="274">
        <v>45855</v>
      </c>
      <c r="D330" s="276" t="s">
        <v>1968</v>
      </c>
      <c r="E330" s="276" t="s">
        <v>671</v>
      </c>
      <c r="F330" s="277">
        <v>8241</v>
      </c>
      <c r="G330" s="277">
        <v>39.700000000000003</v>
      </c>
      <c r="H330" s="277"/>
      <c r="I330" s="278">
        <f>F330-G330-H330</f>
        <v>8201.2999999999993</v>
      </c>
      <c r="J330" s="279" t="s">
        <v>205</v>
      </c>
      <c r="K330" s="279">
        <v>1</v>
      </c>
      <c r="L330" s="279"/>
      <c r="M330" s="279"/>
      <c r="N330" s="279">
        <v>1</v>
      </c>
      <c r="O330" s="279"/>
      <c r="P330" s="279"/>
      <c r="Q330" s="279"/>
      <c r="R330" s="279"/>
      <c r="S330" s="280"/>
      <c r="T330" s="63"/>
      <c r="U330" s="10"/>
      <c r="V330" s="90"/>
      <c r="W330" s="136"/>
      <c r="X330" s="137"/>
    </row>
    <row r="331" spans="1:24">
      <c r="A331" s="2"/>
      <c r="B331" s="87">
        <f t="shared" si="47"/>
        <v>5</v>
      </c>
      <c r="C331" s="295">
        <v>45855</v>
      </c>
      <c r="D331" s="10" t="s">
        <v>1969</v>
      </c>
      <c r="E331" s="10" t="s">
        <v>671</v>
      </c>
      <c r="F331" s="62">
        <v>5814</v>
      </c>
      <c r="G331" s="62">
        <v>39.700000000000003</v>
      </c>
      <c r="H331" s="62"/>
      <c r="I331" s="89">
        <f>F331-G331-H331</f>
        <v>5774.3</v>
      </c>
      <c r="J331" s="63" t="s">
        <v>205</v>
      </c>
      <c r="K331" s="63">
        <v>1</v>
      </c>
      <c r="L331" s="63"/>
      <c r="M331" s="63"/>
      <c r="N331" s="63">
        <v>1</v>
      </c>
      <c r="O331" s="63"/>
      <c r="P331" s="63"/>
      <c r="Q331" s="63"/>
      <c r="R331" s="63"/>
      <c r="S331" s="296"/>
      <c r="T331" s="63"/>
      <c r="U331" s="10"/>
      <c r="V331" s="90"/>
      <c r="W331" s="136"/>
      <c r="X331" s="137"/>
    </row>
    <row r="332" spans="1:24">
      <c r="A332" s="2"/>
      <c r="B332" s="87">
        <f t="shared" si="47"/>
        <v>6</v>
      </c>
      <c r="C332" s="295">
        <v>45855</v>
      </c>
      <c r="D332" s="10" t="s">
        <v>1970</v>
      </c>
      <c r="E332" s="101" t="s">
        <v>395</v>
      </c>
      <c r="F332" s="62">
        <v>681</v>
      </c>
      <c r="G332" s="62"/>
      <c r="H332" s="62"/>
      <c r="I332" s="89">
        <f>F332-G332-H332</f>
        <v>681</v>
      </c>
      <c r="J332" s="63" t="s">
        <v>205</v>
      </c>
      <c r="K332" s="63">
        <v>1</v>
      </c>
      <c r="L332" s="63"/>
      <c r="M332" s="63"/>
      <c r="N332" s="63">
        <v>1</v>
      </c>
      <c r="O332" s="63"/>
      <c r="P332" s="63"/>
      <c r="Q332" s="63">
        <v>1</v>
      </c>
      <c r="R332" s="63">
        <v>1</v>
      </c>
      <c r="S332" s="296"/>
      <c r="T332" s="63"/>
      <c r="U332" s="10"/>
      <c r="V332" s="90"/>
      <c r="W332" s="136"/>
      <c r="X332" s="137"/>
    </row>
    <row r="333" spans="1:24">
      <c r="A333" s="2"/>
      <c r="B333" s="87">
        <f t="shared" si="47"/>
        <v>7</v>
      </c>
      <c r="C333" s="295">
        <v>45855</v>
      </c>
      <c r="D333" s="10" t="s">
        <v>1971</v>
      </c>
      <c r="E333" s="101" t="s">
        <v>395</v>
      </c>
      <c r="F333" s="62">
        <v>6841</v>
      </c>
      <c r="G333" s="62">
        <v>39.700000000000003</v>
      </c>
      <c r="H333" s="62"/>
      <c r="I333" s="89">
        <f>F333-G333-H333</f>
        <v>6801.3</v>
      </c>
      <c r="J333" s="63" t="s">
        <v>205</v>
      </c>
      <c r="K333" s="63">
        <v>1</v>
      </c>
      <c r="L333" s="63"/>
      <c r="M333" s="63"/>
      <c r="N333" s="63">
        <v>1</v>
      </c>
      <c r="O333" s="63"/>
      <c r="P333" s="63"/>
      <c r="Q333" s="63">
        <v>1</v>
      </c>
      <c r="R333" s="63">
        <v>1</v>
      </c>
      <c r="S333" s="296"/>
      <c r="T333" s="63"/>
      <c r="U333" s="10"/>
      <c r="V333" s="90"/>
      <c r="W333" s="136"/>
      <c r="X333" s="137"/>
    </row>
    <row r="334" spans="1:24">
      <c r="A334" s="2"/>
      <c r="B334" s="87">
        <f t="shared" si="47"/>
        <v>8</v>
      </c>
      <c r="C334" s="295">
        <v>45855</v>
      </c>
      <c r="D334" s="10">
        <v>71550</v>
      </c>
      <c r="E334" s="101" t="s">
        <v>512</v>
      </c>
      <c r="F334" s="62">
        <v>6814</v>
      </c>
      <c r="G334" s="62">
        <v>39.700000000000003</v>
      </c>
      <c r="H334" s="62"/>
      <c r="I334" s="89">
        <f>F334-G334-H334</f>
        <v>6774.3</v>
      </c>
      <c r="J334" s="63" t="s">
        <v>156</v>
      </c>
      <c r="K334" s="63">
        <v>1</v>
      </c>
      <c r="L334" s="63"/>
      <c r="M334" s="63">
        <v>1</v>
      </c>
      <c r="N334" s="63">
        <v>1</v>
      </c>
      <c r="O334" s="63"/>
      <c r="P334" s="63"/>
      <c r="Q334" s="63">
        <v>1</v>
      </c>
      <c r="R334" s="63">
        <v>1</v>
      </c>
      <c r="S334" s="296">
        <v>1</v>
      </c>
      <c r="T334" s="63"/>
      <c r="U334" s="10" t="s">
        <v>1972</v>
      </c>
      <c r="V334" s="90">
        <v>203.5</v>
      </c>
      <c r="W334" s="136"/>
      <c r="X334" s="137"/>
    </row>
    <row r="335" spans="1:24">
      <c r="A335" s="388">
        <v>45864</v>
      </c>
      <c r="B335" s="87">
        <f t="shared" si="47"/>
        <v>9</v>
      </c>
      <c r="C335" s="274">
        <v>45856</v>
      </c>
      <c r="D335" s="276" t="s">
        <v>1973</v>
      </c>
      <c r="E335" s="276" t="s">
        <v>349</v>
      </c>
      <c r="F335" s="277">
        <v>5814</v>
      </c>
      <c r="G335" s="277">
        <v>39.700000000000003</v>
      </c>
      <c r="H335" s="277"/>
      <c r="I335" s="278">
        <f>F335-G335-H335</f>
        <v>5774.3</v>
      </c>
      <c r="J335" s="279" t="s">
        <v>205</v>
      </c>
      <c r="K335" s="279">
        <v>1</v>
      </c>
      <c r="L335" s="279"/>
      <c r="M335" s="279"/>
      <c r="N335" s="279">
        <v>1</v>
      </c>
      <c r="O335" s="279"/>
      <c r="P335" s="279"/>
      <c r="Q335" s="279"/>
      <c r="R335" s="279"/>
      <c r="S335" s="280"/>
      <c r="T335" s="63"/>
      <c r="U335" s="10"/>
      <c r="V335" s="90"/>
      <c r="W335" s="136"/>
      <c r="X335" s="137"/>
    </row>
    <row r="336" spans="1:24">
      <c r="A336" s="2"/>
      <c r="B336" s="87">
        <f t="shared" si="47"/>
        <v>10</v>
      </c>
      <c r="C336" s="295">
        <v>45856</v>
      </c>
      <c r="D336" s="10" t="s">
        <v>1974</v>
      </c>
      <c r="E336" s="10" t="s">
        <v>1863</v>
      </c>
      <c r="F336" s="62">
        <v>1134</v>
      </c>
      <c r="G336" s="62">
        <v>39.700000000000003</v>
      </c>
      <c r="H336" s="62"/>
      <c r="I336" s="89">
        <f>F336-G336-H336</f>
        <v>1094.3</v>
      </c>
      <c r="J336" s="63" t="s">
        <v>205</v>
      </c>
      <c r="K336" s="63">
        <v>1</v>
      </c>
      <c r="L336" s="63"/>
      <c r="M336" s="63"/>
      <c r="N336" s="63">
        <v>1</v>
      </c>
      <c r="O336" s="63"/>
      <c r="P336" s="63"/>
      <c r="Q336" s="63"/>
      <c r="R336" s="63"/>
      <c r="S336" s="296"/>
      <c r="T336" s="63"/>
      <c r="U336" s="10"/>
      <c r="V336" s="90"/>
      <c r="W336" s="136"/>
      <c r="X336" s="137"/>
    </row>
    <row r="337" spans="1:24">
      <c r="A337" s="2"/>
      <c r="B337" s="87">
        <f t="shared" si="47"/>
        <v>11</v>
      </c>
      <c r="C337" s="295">
        <v>45856</v>
      </c>
      <c r="D337" s="10" t="s">
        <v>1975</v>
      </c>
      <c r="E337" s="10" t="s">
        <v>1863</v>
      </c>
      <c r="F337" s="62">
        <v>16214</v>
      </c>
      <c r="G337" s="62">
        <v>39.700000000000003</v>
      </c>
      <c r="H337" s="62"/>
      <c r="I337" s="89">
        <f>F337-G337-H337</f>
        <v>16174.3</v>
      </c>
      <c r="J337" s="63" t="s">
        <v>205</v>
      </c>
      <c r="K337" s="63">
        <v>1</v>
      </c>
      <c r="L337" s="63"/>
      <c r="M337" s="63"/>
      <c r="N337" s="63">
        <v>1</v>
      </c>
      <c r="O337" s="63"/>
      <c r="P337" s="63"/>
      <c r="Q337" s="63"/>
      <c r="R337" s="63"/>
      <c r="S337" s="296"/>
      <c r="T337" s="63"/>
      <c r="U337" s="10"/>
      <c r="V337" s="90"/>
      <c r="W337" s="136"/>
      <c r="X337" s="137"/>
    </row>
    <row r="338" spans="1:24">
      <c r="A338" s="388">
        <v>45860</v>
      </c>
      <c r="B338" s="87">
        <f t="shared" si="47"/>
        <v>12</v>
      </c>
      <c r="C338" s="295">
        <v>45856</v>
      </c>
      <c r="D338" s="10">
        <v>71571</v>
      </c>
      <c r="E338" s="101" t="s">
        <v>444</v>
      </c>
      <c r="F338" s="62">
        <v>1641</v>
      </c>
      <c r="G338" s="62">
        <v>39.700000000000003</v>
      </c>
      <c r="H338" s="62"/>
      <c r="I338" s="89">
        <f>F338-G338-H338</f>
        <v>1601.3</v>
      </c>
      <c r="J338" s="63" t="s">
        <v>156</v>
      </c>
      <c r="K338" s="63">
        <v>1</v>
      </c>
      <c r="L338" s="63"/>
      <c r="M338" s="63">
        <v>1</v>
      </c>
      <c r="N338" s="63">
        <v>1</v>
      </c>
      <c r="O338" s="63">
        <v>1</v>
      </c>
      <c r="P338" s="63">
        <v>1</v>
      </c>
      <c r="Q338" s="63"/>
      <c r="R338" s="63"/>
      <c r="S338" s="296"/>
      <c r="T338" s="63"/>
      <c r="U338" s="10" t="s">
        <v>1976</v>
      </c>
      <c r="V338" s="90">
        <v>272</v>
      </c>
      <c r="W338" s="136"/>
      <c r="X338" s="137"/>
    </row>
    <row r="339" spans="1:24">
      <c r="A339" s="388"/>
      <c r="B339" s="87">
        <f t="shared" si="47"/>
        <v>13</v>
      </c>
      <c r="C339" s="295">
        <v>45856</v>
      </c>
      <c r="D339" s="10" t="s">
        <v>1977</v>
      </c>
      <c r="E339" s="101" t="s">
        <v>444</v>
      </c>
      <c r="F339" s="62">
        <v>839</v>
      </c>
      <c r="G339" s="62">
        <v>39.700000000000003</v>
      </c>
      <c r="H339" s="62"/>
      <c r="I339" s="89">
        <f>F339-G339-H339</f>
        <v>799.3</v>
      </c>
      <c r="J339" s="63" t="s">
        <v>205</v>
      </c>
      <c r="K339" s="63">
        <v>1</v>
      </c>
      <c r="L339" s="63"/>
      <c r="M339" s="63"/>
      <c r="N339" s="63">
        <v>1</v>
      </c>
      <c r="O339" s="63">
        <v>1</v>
      </c>
      <c r="P339" s="63">
        <v>1</v>
      </c>
      <c r="Q339" s="63"/>
      <c r="R339" s="63"/>
      <c r="S339" s="296"/>
      <c r="T339" s="63"/>
      <c r="U339" s="10"/>
      <c r="V339" s="90"/>
      <c r="W339" s="136"/>
      <c r="X339" s="137"/>
    </row>
    <row r="340" spans="1:24">
      <c r="A340" s="2"/>
      <c r="B340" s="87">
        <f t="shared" si="47"/>
        <v>14</v>
      </c>
      <c r="C340" s="295">
        <v>45856</v>
      </c>
      <c r="D340" s="10">
        <v>71560</v>
      </c>
      <c r="E340" s="10" t="s">
        <v>497</v>
      </c>
      <c r="F340" s="62">
        <v>1138</v>
      </c>
      <c r="G340" s="62">
        <v>39.700000000000003</v>
      </c>
      <c r="H340" s="62"/>
      <c r="I340" s="89">
        <f>F340-G340-H340</f>
        <v>1098.3</v>
      </c>
      <c r="J340" s="63" t="s">
        <v>205</v>
      </c>
      <c r="K340" s="63">
        <v>1</v>
      </c>
      <c r="L340" s="63"/>
      <c r="M340" s="63"/>
      <c r="N340" s="63">
        <v>1</v>
      </c>
      <c r="O340" s="63"/>
      <c r="P340" s="63"/>
      <c r="Q340" s="63">
        <v>1</v>
      </c>
      <c r="R340" s="63">
        <v>1</v>
      </c>
      <c r="S340" s="296"/>
      <c r="T340" s="63"/>
      <c r="U340" s="10"/>
      <c r="V340" s="90"/>
      <c r="W340" s="136"/>
      <c r="X340" s="137"/>
    </row>
    <row r="341" spans="1:24">
      <c r="A341" s="2"/>
      <c r="B341" s="87">
        <f t="shared" si="47"/>
        <v>15</v>
      </c>
      <c r="C341" s="295">
        <v>45856</v>
      </c>
      <c r="D341" s="10">
        <v>71573</v>
      </c>
      <c r="E341" s="10" t="s">
        <v>327</v>
      </c>
      <c r="F341" s="62">
        <v>822</v>
      </c>
      <c r="G341" s="62">
        <v>39.700000000000003</v>
      </c>
      <c r="H341" s="62"/>
      <c r="I341" s="89">
        <f>F341-G341-H341</f>
        <v>782.3</v>
      </c>
      <c r="J341" s="63" t="s">
        <v>205</v>
      </c>
      <c r="K341" s="63">
        <v>1</v>
      </c>
      <c r="L341" s="63"/>
      <c r="M341" s="63"/>
      <c r="N341" s="63">
        <v>1</v>
      </c>
      <c r="O341" s="63"/>
      <c r="P341" s="63"/>
      <c r="Q341" s="63">
        <v>1</v>
      </c>
      <c r="R341" s="63">
        <v>1</v>
      </c>
      <c r="S341" s="296"/>
      <c r="T341" s="63"/>
      <c r="U341" s="10"/>
      <c r="V341" s="90"/>
      <c r="W341" s="136"/>
      <c r="X341" s="137"/>
    </row>
    <row r="342" spans="1:24">
      <c r="A342" s="2"/>
      <c r="B342" s="87">
        <f t="shared" si="47"/>
        <v>16</v>
      </c>
      <c r="C342" s="282">
        <v>45856</v>
      </c>
      <c r="D342" s="283">
        <v>71547</v>
      </c>
      <c r="E342" s="283" t="s">
        <v>363</v>
      </c>
      <c r="F342" s="284">
        <v>681</v>
      </c>
      <c r="G342" s="284"/>
      <c r="H342" s="284"/>
      <c r="I342" s="285">
        <f>F342-G342-H342</f>
        <v>681</v>
      </c>
      <c r="J342" s="286" t="s">
        <v>205</v>
      </c>
      <c r="K342" s="286">
        <v>1</v>
      </c>
      <c r="L342" s="286"/>
      <c r="M342" s="286"/>
      <c r="N342" s="286">
        <v>1</v>
      </c>
      <c r="O342" s="286"/>
      <c r="P342" s="286"/>
      <c r="Q342" s="286">
        <v>1</v>
      </c>
      <c r="R342" s="286">
        <v>1</v>
      </c>
      <c r="S342" s="287"/>
      <c r="T342" s="63"/>
      <c r="U342" s="10"/>
      <c r="V342" s="90"/>
      <c r="W342" s="136"/>
      <c r="X342" s="137"/>
    </row>
    <row r="343" spans="1:24">
      <c r="A343" s="2"/>
      <c r="B343" s="11"/>
      <c r="C343" s="36"/>
      <c r="D343" s="10"/>
      <c r="E343" s="10"/>
      <c r="F343" s="97">
        <f>SUM(F327:F342)</f>
        <v>63555.770000000004</v>
      </c>
      <c r="G343" s="97">
        <f>SUM(G327:G342)</f>
        <v>555.79999999999995</v>
      </c>
      <c r="H343" s="97">
        <f>SUM(H327:H342)</f>
        <v>0</v>
      </c>
      <c r="I343" s="98">
        <f>SUM(I327:I342)</f>
        <v>62999.970000000016</v>
      </c>
      <c r="J343" s="10"/>
      <c r="K343" s="10"/>
      <c r="L343" s="10"/>
      <c r="M343" s="10"/>
      <c r="N343" s="10"/>
      <c r="O343" s="10"/>
      <c r="P343" s="10"/>
      <c r="Q343" s="10"/>
      <c r="R343" s="10"/>
      <c r="S343" s="10"/>
      <c r="T343" s="63"/>
      <c r="U343" s="10"/>
      <c r="V343" s="138"/>
      <c r="W343" s="136"/>
      <c r="X343" s="137"/>
    </row>
    <row r="344" spans="1:24">
      <c r="A344" s="2"/>
      <c r="B344" s="26"/>
      <c r="C344" s="140"/>
      <c r="D344" s="141"/>
      <c r="E344" s="141"/>
      <c r="F344" s="141"/>
      <c r="G344" s="141"/>
      <c r="H344" s="141"/>
      <c r="I344" s="141"/>
      <c r="J344" s="141"/>
      <c r="K344" s="142"/>
      <c r="L344" s="142"/>
      <c r="M344" s="142"/>
      <c r="N344" s="142"/>
      <c r="O344" s="142"/>
      <c r="P344" s="142"/>
      <c r="Q344" s="142"/>
      <c r="R344" s="142"/>
      <c r="S344" s="142"/>
      <c r="T344" s="143">
        <f>SUM(T288:T343)</f>
        <v>0</v>
      </c>
      <c r="U344" s="141"/>
      <c r="V344" s="144">
        <f>SUM(V288:V343)</f>
        <v>26940.5</v>
      </c>
      <c r="W344" s="145">
        <f>SUM(W288:W343)</f>
        <v>2344.3000000000002</v>
      </c>
      <c r="X344" s="146">
        <f>SUM(X288:X343)</f>
        <v>0</v>
      </c>
    </row>
    <row r="347" spans="1:24">
      <c r="A347" s="3"/>
      <c r="B347" s="4" t="s">
        <v>1</v>
      </c>
      <c r="C347" s="5"/>
      <c r="D347" s="6"/>
      <c r="E347" s="6"/>
      <c r="F347" s="7" t="s">
        <v>2</v>
      </c>
      <c r="G347" s="8">
        <v>45865</v>
      </c>
      <c r="H347" s="7"/>
      <c r="I347" s="6"/>
      <c r="J347" s="6"/>
      <c r="K347" s="6"/>
      <c r="L347" s="6"/>
      <c r="M347" s="6"/>
      <c r="N347" s="6"/>
      <c r="O347" s="6"/>
      <c r="P347" s="6"/>
      <c r="Q347" s="6"/>
      <c r="R347" s="6"/>
      <c r="S347" s="6"/>
      <c r="T347" s="6"/>
      <c r="U347" s="9"/>
      <c r="V347" s="10"/>
      <c r="W347" s="10"/>
      <c r="X347" s="10"/>
    </row>
    <row r="348" spans="1:24">
      <c r="A348" s="2"/>
      <c r="B348" s="11"/>
      <c r="C348" s="10"/>
      <c r="D348" s="10"/>
      <c r="E348" s="10"/>
      <c r="F348" s="10"/>
      <c r="G348" s="7"/>
      <c r="H348" s="12"/>
      <c r="I348" s="10"/>
      <c r="J348" s="10"/>
      <c r="K348" s="13" t="s">
        <v>3</v>
      </c>
      <c r="L348" s="14"/>
      <c r="M348" s="15"/>
      <c r="N348" s="13" t="s">
        <v>4</v>
      </c>
      <c r="O348" s="14"/>
      <c r="P348" s="15"/>
      <c r="Q348" s="13" t="s">
        <v>5</v>
      </c>
      <c r="R348" s="14"/>
      <c r="S348" s="15"/>
      <c r="T348" s="16"/>
      <c r="U348" s="17"/>
      <c r="V348" s="10"/>
      <c r="W348" s="10"/>
      <c r="X348" s="10"/>
    </row>
    <row r="349" spans="1:24">
      <c r="A349" s="2"/>
      <c r="B349" s="18" t="s">
        <v>6</v>
      </c>
      <c r="C349" s="19">
        <f>C350+C351</f>
        <v>31</v>
      </c>
      <c r="D349" s="10"/>
      <c r="E349" s="18" t="s">
        <v>7</v>
      </c>
      <c r="F349" s="6"/>
      <c r="G349" s="9"/>
      <c r="H349" s="10"/>
      <c r="I349" s="10"/>
      <c r="J349" s="10"/>
      <c r="K349" s="20" t="s">
        <v>8</v>
      </c>
      <c r="L349" s="21" t="s">
        <v>9</v>
      </c>
      <c r="M349" s="21" t="s">
        <v>10</v>
      </c>
      <c r="N349" s="20" t="s">
        <v>11</v>
      </c>
      <c r="O349" s="21" t="s">
        <v>12</v>
      </c>
      <c r="P349" s="22" t="s">
        <v>13</v>
      </c>
      <c r="Q349" s="21" t="s">
        <v>11</v>
      </c>
      <c r="R349" s="21" t="s">
        <v>12</v>
      </c>
      <c r="S349" s="22" t="s">
        <v>13</v>
      </c>
      <c r="T349" s="23" t="s">
        <v>14</v>
      </c>
      <c r="U349" s="17"/>
      <c r="V349" s="10"/>
      <c r="W349" s="10"/>
      <c r="X349" s="10"/>
    </row>
    <row r="350" spans="1:24">
      <c r="A350" s="2"/>
      <c r="B350" s="24" t="s">
        <v>15</v>
      </c>
      <c r="C350" s="25">
        <f>P357</f>
        <v>19</v>
      </c>
      <c r="D350" s="10"/>
      <c r="E350" s="26" t="s">
        <v>16</v>
      </c>
      <c r="F350" s="27">
        <v>0.05</v>
      </c>
      <c r="G350" s="28"/>
      <c r="H350" s="10"/>
      <c r="I350" s="10"/>
      <c r="J350" s="18" t="s">
        <v>17</v>
      </c>
      <c r="K350" s="29">
        <f>K389</f>
        <v>14</v>
      </c>
      <c r="L350" s="29">
        <f>L389</f>
        <v>12</v>
      </c>
      <c r="M350" s="29">
        <f>M389</f>
        <v>12</v>
      </c>
      <c r="N350" s="29">
        <f>N389</f>
        <v>14</v>
      </c>
      <c r="O350" s="29">
        <f>O389</f>
        <v>14</v>
      </c>
      <c r="P350" s="29">
        <f>P389</f>
        <v>1</v>
      </c>
      <c r="Q350" s="29">
        <f>Q389</f>
        <v>7</v>
      </c>
      <c r="R350" s="29">
        <f>R389</f>
        <v>6</v>
      </c>
      <c r="S350" s="29">
        <f>S389</f>
        <v>5</v>
      </c>
      <c r="T350" s="30">
        <f>T437</f>
        <v>0</v>
      </c>
      <c r="U350" s="17"/>
      <c r="V350" s="10"/>
      <c r="W350" s="10"/>
      <c r="X350" s="10"/>
    </row>
    <row r="351" spans="1:24">
      <c r="A351" s="2"/>
      <c r="B351" s="24" t="s">
        <v>18</v>
      </c>
      <c r="C351" s="25">
        <f>P358</f>
        <v>12</v>
      </c>
      <c r="D351" s="10"/>
      <c r="E351" s="10"/>
      <c r="F351" s="10"/>
      <c r="G351" s="31"/>
      <c r="H351" s="10"/>
      <c r="I351" s="10"/>
      <c r="J351" s="32" t="s">
        <v>19</v>
      </c>
      <c r="K351" s="33">
        <f>K389/K388</f>
        <v>1</v>
      </c>
      <c r="L351" s="33">
        <f>L389/L388</f>
        <v>0.8571428571428571</v>
      </c>
      <c r="M351" s="33">
        <f>M389/M388</f>
        <v>0.8571428571428571</v>
      </c>
      <c r="N351" s="33">
        <f>N389/N388</f>
        <v>1</v>
      </c>
      <c r="O351" s="33">
        <f>O389/O388</f>
        <v>1</v>
      </c>
      <c r="P351" s="33">
        <f>P389/P388</f>
        <v>7.1428571428571425E-2</v>
      </c>
      <c r="Q351" s="33">
        <f>Q389/Q388</f>
        <v>0.5</v>
      </c>
      <c r="R351" s="33">
        <f>R389/R388</f>
        <v>0.42857142857142855</v>
      </c>
      <c r="S351" s="33">
        <f>S389/S388</f>
        <v>0.35714285714285715</v>
      </c>
      <c r="T351" s="23"/>
      <c r="U351" s="17" t="s">
        <v>20</v>
      </c>
      <c r="V351" s="10"/>
      <c r="W351" s="10"/>
      <c r="X351" s="10"/>
    </row>
    <row r="352" spans="1:24">
      <c r="A352" s="2"/>
      <c r="B352" s="24" t="s">
        <v>21</v>
      </c>
      <c r="C352" s="34">
        <f>P359</f>
        <v>0.61290322580645162</v>
      </c>
      <c r="D352" s="10"/>
      <c r="E352" s="10"/>
      <c r="F352" s="10"/>
      <c r="G352" s="10"/>
      <c r="H352" s="10"/>
      <c r="I352" s="10"/>
      <c r="J352" s="10"/>
      <c r="K352" s="10"/>
      <c r="L352" s="10"/>
      <c r="M352" s="10"/>
      <c r="N352" s="10"/>
      <c r="O352" s="10"/>
      <c r="P352" s="10"/>
      <c r="Q352" s="10"/>
      <c r="R352" s="10"/>
      <c r="S352" s="10"/>
      <c r="T352" s="10"/>
      <c r="U352" s="17"/>
      <c r="V352" s="10"/>
      <c r="W352" s="10"/>
      <c r="X352" s="10"/>
    </row>
    <row r="353" spans="1:24">
      <c r="A353" s="2"/>
      <c r="B353" s="24"/>
      <c r="C353" s="25"/>
      <c r="D353" s="10"/>
      <c r="E353" s="10"/>
      <c r="F353" s="18" t="s">
        <v>22</v>
      </c>
      <c r="G353" s="19" t="s">
        <v>23</v>
      </c>
      <c r="H353" s="35" t="s">
        <v>24</v>
      </c>
      <c r="I353" s="10"/>
      <c r="J353" s="10"/>
      <c r="K353" s="36"/>
      <c r="L353" s="36"/>
      <c r="M353" s="36"/>
      <c r="N353" s="36"/>
      <c r="O353" s="36"/>
      <c r="P353" s="36"/>
      <c r="Q353" s="36"/>
      <c r="R353" s="10"/>
      <c r="S353" s="10"/>
      <c r="T353" s="10"/>
      <c r="U353" s="17"/>
      <c r="V353" s="10"/>
      <c r="W353" s="10"/>
      <c r="X353" s="10"/>
    </row>
    <row r="354" spans="1:24">
      <c r="A354" s="2"/>
      <c r="B354" s="32" t="s">
        <v>25</v>
      </c>
      <c r="C354" s="37">
        <f>P360</f>
        <v>1906.1584210526316</v>
      </c>
      <c r="D354" s="10"/>
      <c r="E354" s="18" t="s">
        <v>26</v>
      </c>
      <c r="F354" s="38">
        <f>P356</f>
        <v>36217.01</v>
      </c>
      <c r="G354" s="39">
        <f>I388+I401+I407</f>
        <v>36217.01</v>
      </c>
      <c r="H354" s="40"/>
      <c r="I354" s="41"/>
      <c r="J354" s="42"/>
      <c r="K354" s="43" t="s">
        <v>27</v>
      </c>
      <c r="L354" s="44"/>
      <c r="M354" s="44"/>
      <c r="N354" s="44"/>
      <c r="O354" s="44"/>
      <c r="P354" s="44"/>
      <c r="Q354" s="45"/>
      <c r="R354" s="46" t="s">
        <v>28</v>
      </c>
      <c r="S354" s="47" t="s">
        <v>29</v>
      </c>
      <c r="T354" s="10"/>
      <c r="U354" s="17"/>
      <c r="V354" s="10"/>
      <c r="W354" s="10"/>
      <c r="X354" s="10"/>
    </row>
    <row r="355" spans="1:24">
      <c r="A355" s="2"/>
      <c r="B355" s="11"/>
      <c r="C355" s="10"/>
      <c r="D355" s="10"/>
      <c r="E355" s="24" t="s">
        <v>30</v>
      </c>
      <c r="F355" s="48">
        <f>F350</f>
        <v>0.05</v>
      </c>
      <c r="G355" s="17"/>
      <c r="H355" s="40"/>
      <c r="I355" s="41"/>
      <c r="J355" s="42"/>
      <c r="K355" s="20" t="s">
        <v>31</v>
      </c>
      <c r="L355" s="21" t="s">
        <v>32</v>
      </c>
      <c r="M355" s="21" t="s">
        <v>33</v>
      </c>
      <c r="N355" s="21" t="s">
        <v>34</v>
      </c>
      <c r="O355" s="21" t="s">
        <v>35</v>
      </c>
      <c r="P355" s="21" t="s">
        <v>36</v>
      </c>
      <c r="Q355" s="49" t="s">
        <v>37</v>
      </c>
      <c r="R355" s="50" t="s">
        <v>38</v>
      </c>
      <c r="S355" s="50" t="s">
        <v>38</v>
      </c>
      <c r="T355" s="10"/>
      <c r="U355" s="17"/>
      <c r="V355" s="10"/>
      <c r="W355" s="10"/>
      <c r="X355" s="10"/>
    </row>
    <row r="356" spans="1:24">
      <c r="A356" s="2"/>
      <c r="B356" s="11"/>
      <c r="C356" s="10"/>
      <c r="D356" s="10"/>
      <c r="E356" s="51" t="s">
        <v>39</v>
      </c>
      <c r="F356" s="52">
        <f>(F354-I375-I376-I377-I399-I400-I404-I405-I406)*F355</f>
        <v>667.28250000000025</v>
      </c>
      <c r="G356" s="53" t="s">
        <v>40</v>
      </c>
      <c r="H356" s="54">
        <f>F356/1.12</f>
        <v>595.78794642857156</v>
      </c>
      <c r="I356" s="55"/>
      <c r="J356" s="42"/>
      <c r="K356" s="56">
        <f>I374+I375+I376+I377+I399+I404</f>
        <v>10730.990000000002</v>
      </c>
      <c r="L356" s="57">
        <f>I378+I379</f>
        <v>2196.6</v>
      </c>
      <c r="M356" s="57">
        <f>I380+I381+I382+I383+I400+I405</f>
        <v>14804.33</v>
      </c>
      <c r="N356" s="57">
        <f>I384+I406</f>
        <v>2502.3000000000002</v>
      </c>
      <c r="O356" s="57">
        <f>I385+I386+I387</f>
        <v>5982.79</v>
      </c>
      <c r="P356" s="57">
        <f>SUM(K356:O356)</f>
        <v>36217.01</v>
      </c>
      <c r="Q356" s="58">
        <v>0</v>
      </c>
      <c r="R356" s="59">
        <f>I401+I407</f>
        <v>19988.11</v>
      </c>
      <c r="S356" s="59">
        <v>0</v>
      </c>
      <c r="T356" s="10"/>
      <c r="U356" s="17"/>
      <c r="V356" s="10"/>
      <c r="W356" s="10"/>
      <c r="X356" s="10"/>
    </row>
    <row r="357" spans="1:24">
      <c r="A357" s="2"/>
      <c r="B357" s="11"/>
      <c r="C357" s="10"/>
      <c r="D357" s="10"/>
      <c r="E357" s="24" t="s">
        <v>41</v>
      </c>
      <c r="F357" s="60">
        <f>Q356</f>
        <v>0</v>
      </c>
      <c r="G357" s="61" t="s">
        <v>40</v>
      </c>
      <c r="H357" s="62"/>
      <c r="I357" s="62"/>
      <c r="J357" s="10" t="s">
        <v>42</v>
      </c>
      <c r="K357" s="63">
        <v>6</v>
      </c>
      <c r="L357" s="63">
        <v>2</v>
      </c>
      <c r="M357" s="63">
        <v>6</v>
      </c>
      <c r="N357" s="63">
        <v>2</v>
      </c>
      <c r="O357" s="63">
        <v>3</v>
      </c>
      <c r="P357" s="21">
        <f>SUM(K357:O357)</f>
        <v>19</v>
      </c>
      <c r="Q357" s="64">
        <v>0</v>
      </c>
      <c r="R357" s="63"/>
      <c r="S357" s="10"/>
      <c r="T357" s="10"/>
      <c r="U357" s="17"/>
      <c r="V357" s="10"/>
      <c r="W357" s="10"/>
      <c r="X357" s="10"/>
    </row>
    <row r="358" spans="1:24">
      <c r="A358" s="2"/>
      <c r="B358" s="11"/>
      <c r="C358" s="10"/>
      <c r="D358" s="10"/>
      <c r="E358" s="51" t="s">
        <v>43</v>
      </c>
      <c r="F358" s="52">
        <f>F357*0.25</f>
        <v>0</v>
      </c>
      <c r="G358" s="53" t="s">
        <v>40</v>
      </c>
      <c r="H358" s="54">
        <f>F358/1.12</f>
        <v>0</v>
      </c>
      <c r="I358" s="10"/>
      <c r="J358" s="10" t="s">
        <v>44</v>
      </c>
      <c r="K358" s="63">
        <v>2</v>
      </c>
      <c r="L358" s="63">
        <v>2</v>
      </c>
      <c r="M358" s="63">
        <v>2</v>
      </c>
      <c r="N358" s="63">
        <v>3</v>
      </c>
      <c r="O358" s="63">
        <v>3</v>
      </c>
      <c r="P358" s="21">
        <f>SUM(K358:O358)</f>
        <v>12</v>
      </c>
      <c r="Q358" s="64">
        <v>0</v>
      </c>
      <c r="R358" s="63"/>
      <c r="S358" s="10"/>
      <c r="T358" s="10"/>
      <c r="U358" s="17"/>
      <c r="V358" s="10"/>
      <c r="W358" s="10"/>
      <c r="X358" s="10"/>
    </row>
    <row r="359" spans="1:24">
      <c r="A359" s="2"/>
      <c r="B359" s="11"/>
      <c r="C359" s="10"/>
      <c r="D359" s="10"/>
      <c r="E359" s="24" t="s">
        <v>45</v>
      </c>
      <c r="F359" s="60">
        <f>I396</f>
        <v>18923.21</v>
      </c>
      <c r="G359" s="61" t="s">
        <v>40</v>
      </c>
      <c r="H359" s="62"/>
      <c r="I359" s="10"/>
      <c r="J359" s="10" t="s">
        <v>46</v>
      </c>
      <c r="K359" s="31">
        <f>K357/(K357+K358)</f>
        <v>0.75</v>
      </c>
      <c r="L359" s="31">
        <f>L357/(L357+L358)</f>
        <v>0.5</v>
      </c>
      <c r="M359" s="31">
        <f>M357/(M357+M358)</f>
        <v>0.75</v>
      </c>
      <c r="N359" s="31">
        <f>N357/(N357+N358)</f>
        <v>0.4</v>
      </c>
      <c r="O359" s="31">
        <f>O357/(O357+O358)</f>
        <v>0.5</v>
      </c>
      <c r="P359" s="31">
        <f>P357/(P357+P358)</f>
        <v>0.61290322580645162</v>
      </c>
      <c r="Q359" s="31" t="e">
        <f>Q357/(Q357+Q358)</f>
        <v>#DIV/0!</v>
      </c>
      <c r="R359" s="63"/>
      <c r="S359" s="10"/>
      <c r="T359" s="10"/>
      <c r="U359" s="17"/>
      <c r="V359" s="10"/>
      <c r="W359" s="10"/>
      <c r="X359" s="10"/>
    </row>
    <row r="360" spans="1:24">
      <c r="A360" s="2"/>
      <c r="B360" s="11"/>
      <c r="C360" s="10"/>
      <c r="D360" s="10"/>
      <c r="E360" s="51" t="s">
        <v>47</v>
      </c>
      <c r="F360" s="52">
        <f>(F359+F363+F364+F365)*0.05</f>
        <v>942.18949999999995</v>
      </c>
      <c r="G360" s="65" t="s">
        <v>40</v>
      </c>
      <c r="H360" s="54">
        <f>F360/1.12</f>
        <v>841.24062499999991</v>
      </c>
      <c r="I360" s="42"/>
      <c r="J360" s="10" t="s">
        <v>48</v>
      </c>
      <c r="K360" s="66">
        <f>K356/K357</f>
        <v>1788.4983333333337</v>
      </c>
      <c r="L360" s="66">
        <f>L356/L357</f>
        <v>1098.3</v>
      </c>
      <c r="M360" s="66">
        <f>M356/M357</f>
        <v>2467.3883333333333</v>
      </c>
      <c r="N360" s="66">
        <f>N356/N357</f>
        <v>1251.1500000000001</v>
      </c>
      <c r="O360" s="66">
        <f>O356/O357</f>
        <v>1994.2633333333333</v>
      </c>
      <c r="P360" s="66">
        <f>P356/P357</f>
        <v>1906.1584210526316</v>
      </c>
      <c r="Q360" s="66" t="e">
        <f>Q356/Q357</f>
        <v>#DIV/0!</v>
      </c>
      <c r="R360" s="63"/>
      <c r="S360" s="10"/>
      <c r="T360" s="10"/>
      <c r="U360" s="17"/>
      <c r="V360" s="10"/>
      <c r="W360" s="10"/>
      <c r="X360" s="10"/>
    </row>
    <row r="361" spans="1:24">
      <c r="A361" s="2"/>
      <c r="B361" s="11"/>
      <c r="C361" s="10"/>
      <c r="D361" s="10"/>
      <c r="E361" s="67" t="s">
        <v>14</v>
      </c>
      <c r="F361" s="68">
        <f>1*50/2</f>
        <v>25</v>
      </c>
      <c r="G361" s="10"/>
      <c r="H361" s="54">
        <f>F361/1.12</f>
        <v>22.321428571428569</v>
      </c>
      <c r="I361" s="10"/>
      <c r="J361" s="10"/>
      <c r="K361" s="10"/>
      <c r="L361" s="10"/>
      <c r="M361" s="10"/>
      <c r="N361" s="10"/>
      <c r="O361" s="10"/>
      <c r="P361" s="10"/>
      <c r="Q361" s="10"/>
      <c r="R361" s="10"/>
      <c r="S361" s="10"/>
      <c r="T361" s="10"/>
      <c r="U361" s="17"/>
      <c r="V361" s="10"/>
      <c r="W361" s="10"/>
      <c r="X361" s="10"/>
    </row>
    <row r="362" spans="1:24">
      <c r="A362" s="2"/>
      <c r="B362" s="11"/>
      <c r="C362" s="10"/>
      <c r="D362" s="10"/>
      <c r="E362" s="67" t="s">
        <v>49</v>
      </c>
      <c r="F362" s="69">
        <f>T351</f>
        <v>0</v>
      </c>
      <c r="G362" s="10"/>
      <c r="H362" s="54"/>
      <c r="I362" s="55"/>
      <c r="J362" s="42"/>
      <c r="K362" s="764" t="s">
        <v>50</v>
      </c>
      <c r="L362" s="764"/>
      <c r="M362" s="764"/>
      <c r="N362" s="764"/>
      <c r="O362" s="764"/>
      <c r="P362" s="764"/>
      <c r="Q362" s="764"/>
      <c r="R362" s="70" t="s">
        <v>28</v>
      </c>
      <c r="S362" s="71" t="s">
        <v>29</v>
      </c>
      <c r="T362" s="10"/>
      <c r="U362" s="17"/>
      <c r="V362" s="10"/>
      <c r="W362" s="10"/>
      <c r="X362" s="10"/>
    </row>
    <row r="363" spans="1:24">
      <c r="A363" s="2"/>
      <c r="B363" s="11"/>
      <c r="C363" s="10"/>
      <c r="D363" s="10"/>
      <c r="E363" s="72" t="s">
        <v>1978</v>
      </c>
      <c r="F363" s="73">
        <v>-82.9</v>
      </c>
      <c r="G363" s="10"/>
      <c r="H363" s="10"/>
      <c r="I363" s="10"/>
      <c r="J363" s="42"/>
      <c r="K363" s="20" t="s">
        <v>31</v>
      </c>
      <c r="L363" s="21" t="s">
        <v>32</v>
      </c>
      <c r="M363" s="21" t="s">
        <v>33</v>
      </c>
      <c r="N363" s="21" t="s">
        <v>34</v>
      </c>
      <c r="O363" s="21" t="s">
        <v>35</v>
      </c>
      <c r="P363" s="21" t="s">
        <v>36</v>
      </c>
      <c r="Q363" s="49" t="s">
        <v>37</v>
      </c>
      <c r="R363" s="50" t="s">
        <v>38</v>
      </c>
      <c r="S363" s="50" t="s">
        <v>38</v>
      </c>
      <c r="T363" s="10"/>
      <c r="U363" s="17"/>
      <c r="V363" s="10"/>
      <c r="W363" s="10"/>
      <c r="X363" s="10"/>
    </row>
    <row r="364" spans="1:24">
      <c r="A364" s="2"/>
      <c r="B364" s="11"/>
      <c r="C364" s="10"/>
      <c r="D364" s="10"/>
      <c r="E364" s="74" t="s">
        <v>1979</v>
      </c>
      <c r="F364" s="514">
        <v>1.72</v>
      </c>
      <c r="G364" s="10"/>
      <c r="H364" s="10"/>
      <c r="I364" s="10"/>
      <c r="J364" s="42"/>
      <c r="K364" s="56">
        <f>F374+F375+F376+F377+F399+F404</f>
        <v>11283.95</v>
      </c>
      <c r="L364" s="57">
        <f>F378+F379</f>
        <v>2276</v>
      </c>
      <c r="M364" s="57">
        <f>F380+F381+F382+F383+F400+F405</f>
        <v>21651.200000000001</v>
      </c>
      <c r="N364" s="57">
        <f>F384+F406</f>
        <v>2542</v>
      </c>
      <c r="O364" s="57">
        <f>F385+F386+F387</f>
        <v>6364</v>
      </c>
      <c r="P364" s="57">
        <f>SUM(K364:O364)</f>
        <v>44117.15</v>
      </c>
      <c r="Q364" s="58">
        <v>0</v>
      </c>
      <c r="R364" s="59">
        <f>F401+F407</f>
        <v>27041</v>
      </c>
      <c r="S364" s="59">
        <v>0</v>
      </c>
      <c r="T364" s="10"/>
      <c r="U364" s="17"/>
      <c r="V364" s="10"/>
      <c r="W364" s="10"/>
      <c r="X364" s="10"/>
    </row>
    <row r="365" spans="1:24">
      <c r="A365" s="2"/>
      <c r="B365" s="11"/>
      <c r="C365" s="10"/>
      <c r="D365" s="10"/>
      <c r="E365" s="74" t="s">
        <v>1980</v>
      </c>
      <c r="F365" s="514">
        <v>1.76</v>
      </c>
      <c r="G365" s="10"/>
      <c r="H365" s="10"/>
      <c r="I365" s="10"/>
      <c r="J365" s="10" t="s">
        <v>42</v>
      </c>
      <c r="K365" s="63">
        <f>K357</f>
        <v>6</v>
      </c>
      <c r="L365" s="63">
        <f>L357</f>
        <v>2</v>
      </c>
      <c r="M365" s="63">
        <f>M357</f>
        <v>6</v>
      </c>
      <c r="N365" s="63">
        <f>N357</f>
        <v>2</v>
      </c>
      <c r="O365" s="63">
        <f>O357</f>
        <v>3</v>
      </c>
      <c r="P365" s="63">
        <f>P357</f>
        <v>19</v>
      </c>
      <c r="Q365" s="63">
        <f>Q357</f>
        <v>0</v>
      </c>
      <c r="R365" s="63"/>
      <c r="S365" s="10"/>
      <c r="T365" s="10"/>
      <c r="U365" s="17"/>
      <c r="V365" s="10"/>
      <c r="W365" s="10"/>
      <c r="X365" s="10"/>
    </row>
    <row r="366" spans="1:24">
      <c r="A366" s="2"/>
      <c r="B366" s="11"/>
      <c r="C366" s="10"/>
      <c r="D366" s="10"/>
      <c r="E366" s="10"/>
      <c r="F366" s="10"/>
      <c r="G366" s="10"/>
      <c r="H366" s="10"/>
      <c r="I366" s="10"/>
      <c r="J366" s="10" t="s">
        <v>44</v>
      </c>
      <c r="K366" s="63">
        <f>K358</f>
        <v>2</v>
      </c>
      <c r="L366" s="63">
        <f>L358</f>
        <v>2</v>
      </c>
      <c r="M366" s="63">
        <f>M358</f>
        <v>2</v>
      </c>
      <c r="N366" s="63">
        <f>N358</f>
        <v>3</v>
      </c>
      <c r="O366" s="63">
        <f>O358</f>
        <v>3</v>
      </c>
      <c r="P366" s="63">
        <f>P358</f>
        <v>12</v>
      </c>
      <c r="Q366" s="63">
        <f>Q358</f>
        <v>0</v>
      </c>
      <c r="R366" s="63"/>
      <c r="S366" s="10"/>
      <c r="T366" s="10"/>
      <c r="U366" s="17"/>
      <c r="V366" s="10"/>
      <c r="W366" s="10"/>
      <c r="X366" s="10"/>
    </row>
    <row r="367" spans="1:24">
      <c r="A367" s="2"/>
      <c r="B367" s="11"/>
      <c r="C367" s="10"/>
      <c r="D367" s="10"/>
      <c r="E367" s="10"/>
      <c r="F367" s="10"/>
      <c r="G367" s="10"/>
      <c r="H367" s="10"/>
      <c r="I367" s="10"/>
      <c r="J367" s="10" t="s">
        <v>46</v>
      </c>
      <c r="K367" s="31">
        <f>K365/(K365+K366)</f>
        <v>0.75</v>
      </c>
      <c r="L367" s="31">
        <f>L365/(L365+L366)</f>
        <v>0.5</v>
      </c>
      <c r="M367" s="31">
        <f>M365/(M365+M366)</f>
        <v>0.75</v>
      </c>
      <c r="N367" s="31">
        <f>N365/(N365+N366)</f>
        <v>0.4</v>
      </c>
      <c r="O367" s="31">
        <f>O365/(O365+O366)</f>
        <v>0.5</v>
      </c>
      <c r="P367" s="31">
        <f>P365/(P365+P366)</f>
        <v>0.61290322580645162</v>
      </c>
      <c r="Q367" s="31" t="e">
        <f>Q365/(Q365+Q366)</f>
        <v>#DIV/0!</v>
      </c>
      <c r="R367" s="63"/>
      <c r="S367" s="10"/>
      <c r="T367" s="10"/>
      <c r="U367" s="17"/>
      <c r="V367" s="10"/>
      <c r="W367" s="10"/>
      <c r="X367" s="10"/>
    </row>
    <row r="368" spans="1:24">
      <c r="A368" s="2"/>
      <c r="B368" s="11"/>
      <c r="C368" s="10"/>
      <c r="D368" s="10"/>
      <c r="E368" s="10"/>
      <c r="F368" s="10"/>
      <c r="G368" s="10"/>
      <c r="H368" s="10"/>
      <c r="I368" s="10"/>
      <c r="J368" s="10" t="s">
        <v>48</v>
      </c>
      <c r="K368" s="66">
        <f>K364/K365</f>
        <v>1880.6583333333335</v>
      </c>
      <c r="L368" s="66">
        <f>L364/L365</f>
        <v>1138</v>
      </c>
      <c r="M368" s="66">
        <f>M364/M365</f>
        <v>3608.5333333333333</v>
      </c>
      <c r="N368" s="66">
        <f>N364/N365</f>
        <v>1271</v>
      </c>
      <c r="O368" s="66">
        <f>O364/O365</f>
        <v>2121.3333333333335</v>
      </c>
      <c r="P368" s="66">
        <f>P364/P365</f>
        <v>2321.9552631578949</v>
      </c>
      <c r="Q368" s="66" t="e">
        <f>Q364/Q365</f>
        <v>#DIV/0!</v>
      </c>
      <c r="R368" s="63"/>
      <c r="S368" s="10"/>
      <c r="T368" s="10"/>
      <c r="U368" s="17"/>
      <c r="V368" s="10"/>
      <c r="W368" s="10"/>
      <c r="X368" s="10"/>
    </row>
    <row r="369" spans="1:24">
      <c r="A369" s="2"/>
      <c r="B369" s="11"/>
      <c r="C369" s="10"/>
      <c r="D369" s="10"/>
      <c r="E369" s="10"/>
      <c r="F369" s="10"/>
      <c r="G369" s="10"/>
      <c r="H369" s="10"/>
      <c r="I369" s="10"/>
      <c r="J369" s="10"/>
      <c r="K369" s="10"/>
      <c r="L369" s="10"/>
      <c r="M369" s="10"/>
      <c r="N369" s="10"/>
      <c r="O369" s="10"/>
      <c r="P369" s="10"/>
      <c r="Q369" s="10"/>
      <c r="R369" s="10"/>
      <c r="S369" s="10"/>
      <c r="T369" s="10"/>
      <c r="U369" s="17"/>
      <c r="V369" s="10"/>
      <c r="W369" s="10"/>
      <c r="X369" s="10"/>
    </row>
    <row r="370" spans="1:24">
      <c r="A370" s="2"/>
      <c r="B370" s="11"/>
      <c r="C370" s="10"/>
      <c r="D370" s="10"/>
      <c r="E370" s="10"/>
      <c r="F370" s="10"/>
      <c r="G370" s="10"/>
      <c r="H370" s="10"/>
      <c r="I370" s="10"/>
      <c r="J370" s="10"/>
      <c r="K370" s="10"/>
      <c r="L370" s="10"/>
      <c r="M370" s="10"/>
      <c r="N370" s="10"/>
      <c r="O370" s="10"/>
      <c r="P370" s="10"/>
      <c r="Q370" s="10"/>
      <c r="R370" s="10"/>
      <c r="S370" s="10"/>
      <c r="T370" s="10"/>
      <c r="U370" s="17"/>
      <c r="V370" s="10"/>
      <c r="W370" s="10"/>
      <c r="X370" s="10"/>
    </row>
    <row r="371" spans="1:24">
      <c r="A371" s="2"/>
      <c r="B371" s="18" t="s">
        <v>51</v>
      </c>
      <c r="C371" s="14"/>
      <c r="D371" s="14"/>
      <c r="E371" s="14"/>
      <c r="F371" s="13" t="s">
        <v>52</v>
      </c>
      <c r="G371" s="14"/>
      <c r="H371" s="14"/>
      <c r="I371" s="14"/>
      <c r="J371" s="14"/>
      <c r="K371" s="13" t="s">
        <v>3</v>
      </c>
      <c r="L371" s="14"/>
      <c r="M371" s="14"/>
      <c r="N371" s="13" t="s">
        <v>4</v>
      </c>
      <c r="O371" s="14"/>
      <c r="P371" s="14"/>
      <c r="Q371" s="13" t="s">
        <v>5</v>
      </c>
      <c r="R371" s="14"/>
      <c r="S371" s="14"/>
      <c r="T371" s="18"/>
      <c r="U371" s="16" t="s">
        <v>53</v>
      </c>
      <c r="V371" s="77"/>
      <c r="W371" s="77"/>
      <c r="X371" s="77"/>
    </row>
    <row r="372" spans="1:24">
      <c r="A372" s="2"/>
      <c r="B372" s="24" t="s">
        <v>54</v>
      </c>
      <c r="C372" s="21" t="s">
        <v>55</v>
      </c>
      <c r="D372" s="21" t="s">
        <v>56</v>
      </c>
      <c r="E372" s="21" t="s">
        <v>57</v>
      </c>
      <c r="F372" s="20" t="s">
        <v>58</v>
      </c>
      <c r="G372" s="21" t="s">
        <v>59</v>
      </c>
      <c r="H372" s="21" t="s">
        <v>60</v>
      </c>
      <c r="I372" s="21" t="s">
        <v>26</v>
      </c>
      <c r="J372" s="22" t="s">
        <v>61</v>
      </c>
      <c r="K372" s="21" t="s">
        <v>8</v>
      </c>
      <c r="L372" s="21" t="s">
        <v>9</v>
      </c>
      <c r="M372" s="21" t="s">
        <v>10</v>
      </c>
      <c r="N372" s="20" t="s">
        <v>11</v>
      </c>
      <c r="O372" s="21" t="s">
        <v>12</v>
      </c>
      <c r="P372" s="22" t="s">
        <v>13</v>
      </c>
      <c r="Q372" s="21" t="s">
        <v>11</v>
      </c>
      <c r="R372" s="21" t="s">
        <v>12</v>
      </c>
      <c r="S372" s="21" t="s">
        <v>13</v>
      </c>
      <c r="T372" s="78" t="s">
        <v>14</v>
      </c>
      <c r="U372" s="30"/>
      <c r="V372" s="79" t="s">
        <v>62</v>
      </c>
      <c r="W372" s="80" t="s">
        <v>63</v>
      </c>
      <c r="X372" s="81" t="s">
        <v>64</v>
      </c>
    </row>
    <row r="373" spans="1:24">
      <c r="A373" s="2"/>
      <c r="B373" s="4" t="s">
        <v>65</v>
      </c>
      <c r="C373" s="6"/>
      <c r="D373" s="6"/>
      <c r="E373" s="6"/>
      <c r="F373" s="6"/>
      <c r="G373" s="6"/>
      <c r="H373" s="6"/>
      <c r="I373" s="82"/>
      <c r="J373" s="6"/>
      <c r="K373" s="6"/>
      <c r="L373" s="6"/>
      <c r="M373" s="6"/>
      <c r="N373" s="6"/>
      <c r="O373" s="6"/>
      <c r="P373" s="6"/>
      <c r="Q373" s="6"/>
      <c r="R373" s="6"/>
      <c r="S373" s="6"/>
      <c r="T373" s="83"/>
      <c r="U373" s="6"/>
      <c r="V373" s="84"/>
      <c r="W373" s="85"/>
      <c r="X373" s="86"/>
    </row>
    <row r="374" spans="1:24">
      <c r="A374" s="2"/>
      <c r="B374" s="87">
        <v>1</v>
      </c>
      <c r="C374" s="274">
        <v>45859</v>
      </c>
      <c r="D374" s="327">
        <v>71561</v>
      </c>
      <c r="E374" s="276" t="s">
        <v>354</v>
      </c>
      <c r="F374" s="277">
        <v>681</v>
      </c>
      <c r="G374" s="277"/>
      <c r="H374" s="277"/>
      <c r="I374" s="321">
        <f>F374-G374-H374</f>
        <v>681</v>
      </c>
      <c r="J374" s="279" t="s">
        <v>156</v>
      </c>
      <c r="K374" s="279">
        <v>1</v>
      </c>
      <c r="L374" s="322">
        <v>0</v>
      </c>
      <c r="M374" s="322">
        <v>0</v>
      </c>
      <c r="N374" s="279">
        <v>1</v>
      </c>
      <c r="O374" s="279">
        <v>1</v>
      </c>
      <c r="P374" s="322">
        <v>0</v>
      </c>
      <c r="Q374" s="322">
        <v>0</v>
      </c>
      <c r="R374" s="322">
        <v>0</v>
      </c>
      <c r="S374" s="328">
        <v>0</v>
      </c>
      <c r="T374" s="63"/>
      <c r="U374" s="94"/>
      <c r="V374" s="90">
        <f>749.1</f>
        <v>749.1</v>
      </c>
      <c r="W374" s="91"/>
      <c r="X374" s="92"/>
    </row>
    <row r="375" spans="1:24">
      <c r="A375" s="388">
        <v>45859</v>
      </c>
      <c r="B375" s="87">
        <f t="shared" ref="B375:B386" si="48">B374+1</f>
        <v>2</v>
      </c>
      <c r="C375" s="295">
        <v>45859</v>
      </c>
      <c r="D375" s="323">
        <v>71584</v>
      </c>
      <c r="E375" s="10" t="s">
        <v>294</v>
      </c>
      <c r="F375" s="62">
        <f>681-374.55</f>
        <v>306.45</v>
      </c>
      <c r="G375" s="62"/>
      <c r="H375" s="62"/>
      <c r="I375" s="369">
        <f>F375-G375-H375</f>
        <v>306.45</v>
      </c>
      <c r="J375" s="63" t="s">
        <v>156</v>
      </c>
      <c r="K375" s="63">
        <v>1</v>
      </c>
      <c r="L375" s="63">
        <v>1</v>
      </c>
      <c r="M375" s="63">
        <v>1</v>
      </c>
      <c r="N375" s="63">
        <v>1</v>
      </c>
      <c r="O375" s="63">
        <v>1</v>
      </c>
      <c r="P375" s="325">
        <v>0</v>
      </c>
      <c r="Q375" s="63">
        <v>1</v>
      </c>
      <c r="R375" s="63">
        <v>1</v>
      </c>
      <c r="S375" s="296">
        <v>1</v>
      </c>
      <c r="T375" s="63"/>
      <c r="U375" s="10" t="s">
        <v>1981</v>
      </c>
      <c r="V375" s="90">
        <v>749.1</v>
      </c>
      <c r="W375" s="91"/>
      <c r="X375" s="92"/>
    </row>
    <row r="376" spans="1:24">
      <c r="A376" s="93">
        <v>45864</v>
      </c>
      <c r="B376" s="87">
        <f t="shared" si="48"/>
        <v>3</v>
      </c>
      <c r="C376" s="295">
        <v>45859</v>
      </c>
      <c r="D376" s="346" t="s">
        <v>1982</v>
      </c>
      <c r="E376" s="10" t="s">
        <v>508</v>
      </c>
      <c r="F376" s="62">
        <f>681-340.5</f>
        <v>340.5</v>
      </c>
      <c r="G376" s="62"/>
      <c r="H376" s="62"/>
      <c r="I376" s="369">
        <f>F376-G376-H376</f>
        <v>340.5</v>
      </c>
      <c r="J376" s="63" t="s">
        <v>156</v>
      </c>
      <c r="K376" s="63">
        <v>1</v>
      </c>
      <c r="L376" s="63">
        <v>1</v>
      </c>
      <c r="M376" s="63">
        <v>1</v>
      </c>
      <c r="N376" s="63">
        <v>1</v>
      </c>
      <c r="O376" s="63">
        <v>1</v>
      </c>
      <c r="P376" s="325">
        <v>0</v>
      </c>
      <c r="Q376" s="325">
        <v>0</v>
      </c>
      <c r="R376" s="325">
        <v>0</v>
      </c>
      <c r="S376" s="326">
        <v>0</v>
      </c>
      <c r="T376" s="63"/>
      <c r="U376" s="10" t="s">
        <v>1983</v>
      </c>
      <c r="V376" s="90">
        <v>749.1</v>
      </c>
      <c r="W376" s="91"/>
      <c r="X376" s="92"/>
    </row>
    <row r="377" spans="1:24">
      <c r="A377" s="2" t="s">
        <v>230</v>
      </c>
      <c r="B377" s="87">
        <f t="shared" si="48"/>
        <v>4</v>
      </c>
      <c r="C377" s="295">
        <v>45859</v>
      </c>
      <c r="D377" s="323">
        <v>71578</v>
      </c>
      <c r="E377" s="94" t="s">
        <v>168</v>
      </c>
      <c r="F377" s="62">
        <v>2276</v>
      </c>
      <c r="G377" s="62">
        <f>39.7</f>
        <v>39.700000000000003</v>
      </c>
      <c r="H377" s="62"/>
      <c r="I377" s="369">
        <f>F377-G377-H377</f>
        <v>2236.3000000000002</v>
      </c>
      <c r="J377" s="63" t="s">
        <v>156</v>
      </c>
      <c r="K377" s="63">
        <v>1</v>
      </c>
      <c r="L377" s="63">
        <v>1</v>
      </c>
      <c r="M377" s="63">
        <v>1</v>
      </c>
      <c r="N377" s="63">
        <v>1</v>
      </c>
      <c r="O377" s="63">
        <v>1</v>
      </c>
      <c r="P377" s="325">
        <v>0</v>
      </c>
      <c r="Q377" s="63">
        <v>1</v>
      </c>
      <c r="R377" s="63">
        <v>1</v>
      </c>
      <c r="S377" s="296">
        <v>1</v>
      </c>
      <c r="T377" s="63"/>
      <c r="U377" s="10" t="s">
        <v>1984</v>
      </c>
      <c r="V377" s="90">
        <v>2503.6</v>
      </c>
      <c r="W377" s="91"/>
      <c r="X377" s="92"/>
    </row>
    <row r="378" spans="1:24">
      <c r="A378" s="2"/>
      <c r="B378" s="87">
        <f>B377+1</f>
        <v>5</v>
      </c>
      <c r="C378" s="274">
        <v>45860</v>
      </c>
      <c r="D378" s="327">
        <v>71593</v>
      </c>
      <c r="E378" s="276" t="s">
        <v>225</v>
      </c>
      <c r="F378" s="277">
        <v>1138</v>
      </c>
      <c r="G378" s="277">
        <f>39.7</f>
        <v>39.700000000000003</v>
      </c>
      <c r="H378" s="277"/>
      <c r="I378" s="321">
        <f>F378-G378-H378</f>
        <v>1098.3</v>
      </c>
      <c r="J378" s="279" t="s">
        <v>374</v>
      </c>
      <c r="K378" s="279">
        <v>1</v>
      </c>
      <c r="L378" s="279">
        <v>1</v>
      </c>
      <c r="M378" s="279">
        <v>1</v>
      </c>
      <c r="N378" s="279">
        <v>1</v>
      </c>
      <c r="O378" s="279">
        <v>1</v>
      </c>
      <c r="P378" s="322">
        <v>0</v>
      </c>
      <c r="Q378" s="279">
        <v>1</v>
      </c>
      <c r="R378" s="279">
        <v>1</v>
      </c>
      <c r="S378" s="328">
        <v>0</v>
      </c>
      <c r="T378" s="63"/>
      <c r="U378" s="10"/>
      <c r="V378" s="90">
        <f>125+1126.8</f>
        <v>1251.8</v>
      </c>
      <c r="W378" s="91"/>
      <c r="X378" s="92"/>
    </row>
    <row r="379" spans="1:24">
      <c r="A379" s="2"/>
      <c r="B379" s="87">
        <f>B378+1</f>
        <v>6</v>
      </c>
      <c r="C379" s="295">
        <v>45860</v>
      </c>
      <c r="D379" s="323">
        <v>71648</v>
      </c>
      <c r="E379" s="10" t="s">
        <v>354</v>
      </c>
      <c r="F379" s="62">
        <f>1223-85</f>
        <v>1138</v>
      </c>
      <c r="G379" s="62">
        <f>39.7</f>
        <v>39.700000000000003</v>
      </c>
      <c r="H379" s="62"/>
      <c r="I379" s="324">
        <f>F379-G379-H379</f>
        <v>1098.3</v>
      </c>
      <c r="J379" s="63" t="s">
        <v>156</v>
      </c>
      <c r="K379" s="63">
        <v>1</v>
      </c>
      <c r="L379" s="63">
        <v>1</v>
      </c>
      <c r="M379" s="325">
        <v>0</v>
      </c>
      <c r="N379" s="63">
        <v>1</v>
      </c>
      <c r="O379" s="63">
        <v>1</v>
      </c>
      <c r="P379" s="325">
        <v>0</v>
      </c>
      <c r="Q379" s="325">
        <v>0</v>
      </c>
      <c r="R379" s="325">
        <v>0</v>
      </c>
      <c r="S379" s="326">
        <v>0</v>
      </c>
      <c r="T379" s="63"/>
      <c r="U379" s="10" t="s">
        <v>1985</v>
      </c>
      <c r="V379" s="90">
        <f>93.5+125+1126.8</f>
        <v>1345.3</v>
      </c>
      <c r="W379" s="91"/>
      <c r="X379" s="92"/>
    </row>
    <row r="380" spans="1:24">
      <c r="A380" s="2"/>
      <c r="B380" s="87">
        <f>B379+1</f>
        <v>7</v>
      </c>
      <c r="C380" s="274">
        <v>45861</v>
      </c>
      <c r="D380" s="327">
        <v>71663</v>
      </c>
      <c r="E380" s="276" t="s">
        <v>196</v>
      </c>
      <c r="F380" s="277">
        <v>1261</v>
      </c>
      <c r="G380" s="277">
        <v>39.700000000000003</v>
      </c>
      <c r="H380" s="297"/>
      <c r="I380" s="321">
        <f>F380-G380-H380</f>
        <v>1221.3</v>
      </c>
      <c r="J380" s="279" t="s">
        <v>156</v>
      </c>
      <c r="K380" s="279">
        <v>1</v>
      </c>
      <c r="L380" s="279">
        <v>1</v>
      </c>
      <c r="M380" s="279">
        <v>1</v>
      </c>
      <c r="N380" s="279">
        <v>1</v>
      </c>
      <c r="O380" s="279">
        <v>1</v>
      </c>
      <c r="P380" s="322">
        <v>0</v>
      </c>
      <c r="Q380" s="279">
        <v>1</v>
      </c>
      <c r="R380" s="322">
        <v>0</v>
      </c>
      <c r="S380" s="280">
        <v>1</v>
      </c>
      <c r="T380" s="63"/>
      <c r="U380" s="10"/>
      <c r="V380" s="90">
        <f>138+1249.1</f>
        <v>1387.1</v>
      </c>
      <c r="W380" s="91"/>
      <c r="X380" s="92"/>
    </row>
    <row r="381" spans="1:24">
      <c r="A381" s="2"/>
      <c r="B381" s="87">
        <f t="shared" si="48"/>
        <v>8</v>
      </c>
      <c r="C381" s="295">
        <v>45861</v>
      </c>
      <c r="D381" s="323">
        <v>71674</v>
      </c>
      <c r="E381" s="10" t="s">
        <v>225</v>
      </c>
      <c r="F381" s="62">
        <v>581</v>
      </c>
      <c r="G381" s="62"/>
      <c r="H381" s="88"/>
      <c r="I381" s="324">
        <f>F381-G381-H381</f>
        <v>581</v>
      </c>
      <c r="J381" s="63" t="s">
        <v>156</v>
      </c>
      <c r="K381" s="63">
        <v>1</v>
      </c>
      <c r="L381" s="63">
        <v>1</v>
      </c>
      <c r="M381" s="63">
        <v>1</v>
      </c>
      <c r="N381" s="63">
        <v>1</v>
      </c>
      <c r="O381" s="63">
        <v>1</v>
      </c>
      <c r="P381" s="325">
        <v>0</v>
      </c>
      <c r="Q381" s="63">
        <v>1</v>
      </c>
      <c r="R381" s="63">
        <v>1</v>
      </c>
      <c r="S381" s="326">
        <v>0</v>
      </c>
      <c r="T381" s="63"/>
      <c r="U381" s="10" t="s">
        <v>1986</v>
      </c>
      <c r="V381" s="90">
        <v>639.1</v>
      </c>
      <c r="W381" s="91"/>
      <c r="X381" s="92"/>
    </row>
    <row r="382" spans="1:24">
      <c r="A382" s="2"/>
      <c r="B382" s="87">
        <f t="shared" si="48"/>
        <v>9</v>
      </c>
      <c r="C382" s="295">
        <v>45861</v>
      </c>
      <c r="D382" s="323">
        <v>71628</v>
      </c>
      <c r="E382" s="10" t="s">
        <v>155</v>
      </c>
      <c r="F382" s="62">
        <f>1632-3.8</f>
        <v>1628.2</v>
      </c>
      <c r="G382" s="62">
        <f>39.7+(267.54)</f>
        <v>307.24</v>
      </c>
      <c r="H382" s="88"/>
      <c r="I382" s="324">
        <f>F382-G382-H382</f>
        <v>1320.96</v>
      </c>
      <c r="J382" s="63" t="s">
        <v>236</v>
      </c>
      <c r="K382" s="63">
        <v>1</v>
      </c>
      <c r="L382" s="325">
        <v>0</v>
      </c>
      <c r="M382" s="63">
        <v>1</v>
      </c>
      <c r="N382" s="63">
        <v>1</v>
      </c>
      <c r="O382" s="63">
        <v>1</v>
      </c>
      <c r="P382" s="325">
        <v>0</v>
      </c>
      <c r="Q382" s="325">
        <v>0</v>
      </c>
      <c r="R382" s="325">
        <v>0</v>
      </c>
      <c r="S382" s="326">
        <v>0</v>
      </c>
      <c r="T382" s="63"/>
      <c r="U382" s="10" t="s">
        <v>1987</v>
      </c>
      <c r="V382" s="90">
        <f>179+1600</f>
        <v>1779</v>
      </c>
      <c r="W382" s="367">
        <v>16.2</v>
      </c>
      <c r="X382" s="92"/>
    </row>
    <row r="383" spans="1:24">
      <c r="A383" s="2"/>
      <c r="B383" s="87">
        <f t="shared" si="48"/>
        <v>10</v>
      </c>
      <c r="C383" s="295">
        <v>45861</v>
      </c>
      <c r="D383" s="323">
        <v>71681</v>
      </c>
      <c r="E383" s="10" t="s">
        <v>270</v>
      </c>
      <c r="F383" s="62">
        <v>681</v>
      </c>
      <c r="G383" s="62"/>
      <c r="H383" s="88"/>
      <c r="I383" s="324">
        <f>F383-G383-H383</f>
        <v>681</v>
      </c>
      <c r="J383" s="63" t="s">
        <v>156</v>
      </c>
      <c r="K383" s="63">
        <v>1</v>
      </c>
      <c r="L383" s="63">
        <v>1</v>
      </c>
      <c r="M383" s="63">
        <v>1</v>
      </c>
      <c r="N383" s="63">
        <v>1</v>
      </c>
      <c r="O383" s="63">
        <v>1</v>
      </c>
      <c r="P383" s="325">
        <v>0</v>
      </c>
      <c r="Q383" s="325">
        <v>0</v>
      </c>
      <c r="R383" s="325">
        <v>0</v>
      </c>
      <c r="S383" s="326">
        <v>0</v>
      </c>
      <c r="T383" s="63"/>
      <c r="U383" s="10"/>
      <c r="V383" s="90">
        <f>74+675.1</f>
        <v>749.1</v>
      </c>
      <c r="W383" s="91"/>
      <c r="X383" s="92"/>
    </row>
    <row r="384" spans="1:24">
      <c r="A384" s="2"/>
      <c r="B384" s="87">
        <f>B383+1</f>
        <v>11</v>
      </c>
      <c r="C384" s="274">
        <v>45862</v>
      </c>
      <c r="D384" s="320" t="s">
        <v>1988</v>
      </c>
      <c r="E384" s="276" t="s">
        <v>1989</v>
      </c>
      <c r="F384" s="447">
        <v>681</v>
      </c>
      <c r="G384" s="277"/>
      <c r="H384" s="277"/>
      <c r="I384" s="321">
        <f>F384-G384-H384</f>
        <v>681</v>
      </c>
      <c r="J384" s="279" t="s">
        <v>156</v>
      </c>
      <c r="K384" s="279">
        <v>1</v>
      </c>
      <c r="L384" s="279">
        <v>1</v>
      </c>
      <c r="M384" s="279">
        <v>1</v>
      </c>
      <c r="N384" s="279">
        <v>1</v>
      </c>
      <c r="O384" s="279">
        <v>1</v>
      </c>
      <c r="P384" s="322">
        <v>0</v>
      </c>
      <c r="Q384" s="322">
        <v>0</v>
      </c>
      <c r="R384" s="322">
        <v>0</v>
      </c>
      <c r="S384" s="328">
        <v>0</v>
      </c>
      <c r="T384" s="63"/>
      <c r="U384" s="10"/>
      <c r="V384" s="90">
        <f>74+675.1</f>
        <v>749.1</v>
      </c>
      <c r="W384" s="91"/>
      <c r="X384" s="92"/>
    </row>
    <row r="385" spans="1:25">
      <c r="A385" s="2"/>
      <c r="B385" s="87">
        <f t="shared" si="48"/>
        <v>12</v>
      </c>
      <c r="C385" s="274">
        <v>45863</v>
      </c>
      <c r="D385" s="327">
        <v>71717</v>
      </c>
      <c r="E385" s="276" t="s">
        <v>354</v>
      </c>
      <c r="F385" s="447">
        <v>1264</v>
      </c>
      <c r="G385" s="277">
        <f>39.7</f>
        <v>39.700000000000003</v>
      </c>
      <c r="H385" s="277"/>
      <c r="I385" s="321">
        <f>F385-G385-H385</f>
        <v>1224.3</v>
      </c>
      <c r="J385" s="279" t="s">
        <v>156</v>
      </c>
      <c r="K385" s="279">
        <v>1</v>
      </c>
      <c r="L385" s="279">
        <v>1</v>
      </c>
      <c r="M385" s="279">
        <v>1</v>
      </c>
      <c r="N385" s="279">
        <v>1</v>
      </c>
      <c r="O385" s="279">
        <v>1</v>
      </c>
      <c r="P385" s="279">
        <v>1</v>
      </c>
      <c r="Q385" s="279">
        <v>1</v>
      </c>
      <c r="R385" s="279">
        <v>1</v>
      </c>
      <c r="S385" s="280">
        <v>1</v>
      </c>
      <c r="T385" s="63"/>
      <c r="U385" s="10" t="s">
        <v>1990</v>
      </c>
      <c r="V385" s="90">
        <f>139+1251.4</f>
        <v>1390.4</v>
      </c>
      <c r="W385" s="91"/>
      <c r="X385" s="92"/>
    </row>
    <row r="386" spans="1:25">
      <c r="A386" s="2"/>
      <c r="B386" s="87">
        <f t="shared" si="48"/>
        <v>13</v>
      </c>
      <c r="C386" s="295">
        <v>45863</v>
      </c>
      <c r="D386" s="346" t="s">
        <v>1991</v>
      </c>
      <c r="E386" s="10" t="s">
        <v>158</v>
      </c>
      <c r="F386" s="95">
        <v>681</v>
      </c>
      <c r="G386" s="62"/>
      <c r="H386" s="62"/>
      <c r="I386" s="89">
        <f>F386-G386-H386</f>
        <v>681</v>
      </c>
      <c r="J386" s="63" t="s">
        <v>156</v>
      </c>
      <c r="K386" s="63">
        <v>1</v>
      </c>
      <c r="L386" s="63">
        <v>1</v>
      </c>
      <c r="M386" s="63">
        <v>1</v>
      </c>
      <c r="N386" s="63">
        <v>1</v>
      </c>
      <c r="O386" s="63">
        <v>1</v>
      </c>
      <c r="P386" s="325">
        <v>0</v>
      </c>
      <c r="Q386" s="63">
        <v>1</v>
      </c>
      <c r="R386" s="63">
        <v>1</v>
      </c>
      <c r="S386" s="296">
        <v>1</v>
      </c>
      <c r="T386" s="63"/>
      <c r="U386" s="10"/>
      <c r="V386" s="90">
        <f>74+675.1</f>
        <v>749.1</v>
      </c>
      <c r="W386" s="91"/>
      <c r="X386" s="92"/>
    </row>
    <row r="387" spans="1:25">
      <c r="A387" s="2"/>
      <c r="B387" s="87">
        <f>B386+1</f>
        <v>14</v>
      </c>
      <c r="C387" s="282">
        <v>45863</v>
      </c>
      <c r="D387" s="368">
        <v>71765</v>
      </c>
      <c r="E387" s="283" t="s">
        <v>999</v>
      </c>
      <c r="F387" s="284">
        <v>4419</v>
      </c>
      <c r="G387" s="284">
        <f>39.7+(54.61+47.2)+200</f>
        <v>341.51</v>
      </c>
      <c r="H387" s="284"/>
      <c r="I387" s="300">
        <f>F387-G387-H387</f>
        <v>4077.49</v>
      </c>
      <c r="J387" s="286" t="s">
        <v>228</v>
      </c>
      <c r="K387" s="286">
        <v>1</v>
      </c>
      <c r="L387" s="286">
        <v>1</v>
      </c>
      <c r="M387" s="286">
        <v>1</v>
      </c>
      <c r="N387" s="286">
        <v>1</v>
      </c>
      <c r="O387" s="286">
        <v>1</v>
      </c>
      <c r="P387" s="332">
        <v>0</v>
      </c>
      <c r="Q387" s="332">
        <v>0</v>
      </c>
      <c r="R387" s="332">
        <v>0</v>
      </c>
      <c r="S387" s="370">
        <v>0</v>
      </c>
      <c r="T387" s="63"/>
      <c r="U387" s="94"/>
      <c r="V387" s="90">
        <f>486+4374.9</f>
        <v>4860.8999999999996</v>
      </c>
      <c r="W387" s="91"/>
      <c r="X387" s="92"/>
    </row>
    <row r="388" spans="1:25">
      <c r="A388" s="2"/>
      <c r="B388" s="87"/>
      <c r="C388" s="36"/>
      <c r="D388" s="10"/>
      <c r="E388" s="10"/>
      <c r="F388" s="98">
        <f>SUM(F374:F387)</f>
        <v>17076.150000000001</v>
      </c>
      <c r="G388" s="98">
        <f>SUM(G374:G387)</f>
        <v>847.25</v>
      </c>
      <c r="H388" s="98">
        <f>SUM(H374:H387)</f>
        <v>0</v>
      </c>
      <c r="I388" s="98">
        <f>SUM(I374:I387)</f>
        <v>16228.9</v>
      </c>
      <c r="J388" s="63"/>
      <c r="K388" s="63">
        <f>COUNT(K374:K387)</f>
        <v>14</v>
      </c>
      <c r="L388" s="63">
        <f>COUNT(L374:L387)</f>
        <v>14</v>
      </c>
      <c r="M388" s="63">
        <f>COUNT(M374:M387)</f>
        <v>14</v>
      </c>
      <c r="N388" s="63">
        <f>COUNT(N374:N387)</f>
        <v>14</v>
      </c>
      <c r="O388" s="63">
        <f>COUNT(O374:O387)</f>
        <v>14</v>
      </c>
      <c r="P388" s="63">
        <f>COUNT(P374:P387)</f>
        <v>14</v>
      </c>
      <c r="Q388" s="63">
        <f>COUNT(Q374:Q387)</f>
        <v>14</v>
      </c>
      <c r="R388" s="63">
        <f>COUNT(R374:R387)</f>
        <v>14</v>
      </c>
      <c r="S388" s="63">
        <f>COUNT(S374:S387)</f>
        <v>14</v>
      </c>
      <c r="T388" s="63"/>
      <c r="U388" s="10"/>
      <c r="V388" s="90"/>
      <c r="W388" s="91"/>
      <c r="X388" s="92"/>
    </row>
    <row r="389" spans="1:25">
      <c r="A389" s="2"/>
      <c r="B389" s="87"/>
      <c r="C389" s="36"/>
      <c r="D389" s="10"/>
      <c r="E389" s="10"/>
      <c r="F389" s="88"/>
      <c r="G389" s="88"/>
      <c r="H389" s="88"/>
      <c r="I389" s="99"/>
      <c r="J389" s="63"/>
      <c r="K389" s="21">
        <f>SUM(K374:K387)</f>
        <v>14</v>
      </c>
      <c r="L389" s="21">
        <f>SUM(L374:L387)</f>
        <v>12</v>
      </c>
      <c r="M389" s="21">
        <f>SUM(M374:M387)</f>
        <v>12</v>
      </c>
      <c r="N389" s="21">
        <f>SUM(N374:N387)</f>
        <v>14</v>
      </c>
      <c r="O389" s="21">
        <f>SUM(O374:O387)</f>
        <v>14</v>
      </c>
      <c r="P389" s="21">
        <f>SUM(P374:P387)</f>
        <v>1</v>
      </c>
      <c r="Q389" s="21">
        <f>SUM(Q374:Q387)</f>
        <v>7</v>
      </c>
      <c r="R389" s="21">
        <f>SUM(R374:R387)</f>
        <v>6</v>
      </c>
      <c r="S389" s="21">
        <f>SUM(S374:S387)</f>
        <v>5</v>
      </c>
      <c r="T389" s="63"/>
      <c r="U389" s="10"/>
      <c r="V389" s="90"/>
      <c r="W389" s="91"/>
      <c r="X389" s="92"/>
    </row>
    <row r="390" spans="1:25">
      <c r="A390" s="2"/>
      <c r="B390" s="11"/>
      <c r="C390" s="36"/>
      <c r="D390" s="10"/>
      <c r="E390" s="10"/>
      <c r="F390" s="88"/>
      <c r="G390" s="88"/>
      <c r="H390" s="88"/>
      <c r="I390" s="99"/>
      <c r="J390" s="63"/>
      <c r="K390" s="21"/>
      <c r="L390" s="21"/>
      <c r="M390" s="21"/>
      <c r="N390" s="21"/>
      <c r="O390" s="21"/>
      <c r="P390" s="21"/>
      <c r="Q390" s="21"/>
      <c r="R390" s="21"/>
      <c r="S390" s="21"/>
      <c r="T390" s="63"/>
      <c r="U390" s="94"/>
      <c r="V390" s="90"/>
      <c r="W390" s="91"/>
      <c r="X390" s="92"/>
    </row>
    <row r="391" spans="1:25">
      <c r="A391" s="2"/>
      <c r="B391" s="100" t="s">
        <v>67</v>
      </c>
      <c r="C391" s="36"/>
      <c r="D391" s="10"/>
      <c r="E391" s="10"/>
      <c r="F391" s="88"/>
      <c r="G391" s="62"/>
      <c r="H391" s="88"/>
      <c r="I391" s="99"/>
      <c r="J391" s="63"/>
      <c r="K391" s="2"/>
      <c r="L391" s="2"/>
      <c r="M391" s="2"/>
      <c r="N391" s="2"/>
      <c r="O391" s="2"/>
      <c r="P391" s="2"/>
      <c r="Q391" s="2"/>
      <c r="R391" s="2"/>
      <c r="S391" s="2"/>
      <c r="T391" s="63"/>
      <c r="U391" s="94"/>
      <c r="V391" s="90"/>
      <c r="W391" s="91"/>
      <c r="X391" s="92"/>
    </row>
    <row r="392" spans="1:25">
      <c r="A392" s="494" t="s">
        <v>1450</v>
      </c>
      <c r="B392" s="87">
        <f>B402+1</f>
        <v>1</v>
      </c>
      <c r="C392" s="274">
        <v>45847</v>
      </c>
      <c r="D392" s="320" t="s">
        <v>1932</v>
      </c>
      <c r="E392" s="276" t="s">
        <v>168</v>
      </c>
      <c r="F392" s="277">
        <v>5814</v>
      </c>
      <c r="G392" s="277">
        <f>39.7+541.2+330+(123.61+1102.13)+250</f>
        <v>2386.6400000000003</v>
      </c>
      <c r="H392" s="277">
        <f>690.77+69.08</f>
        <v>759.85</v>
      </c>
      <c r="I392" s="321">
        <f>F392-G392-H392</f>
        <v>2667.5099999999998</v>
      </c>
      <c r="J392" s="279" t="s">
        <v>156</v>
      </c>
      <c r="K392" s="279">
        <v>1</v>
      </c>
      <c r="L392" s="279">
        <v>1</v>
      </c>
      <c r="M392" s="279">
        <v>1</v>
      </c>
      <c r="N392" s="279">
        <v>1</v>
      </c>
      <c r="O392" s="279">
        <v>1</v>
      </c>
      <c r="P392" s="322">
        <v>0</v>
      </c>
      <c r="Q392" s="279">
        <v>1</v>
      </c>
      <c r="R392" s="279">
        <v>1</v>
      </c>
      <c r="S392" s="280">
        <v>1</v>
      </c>
      <c r="T392" s="63"/>
      <c r="U392" s="94" t="s">
        <v>1933</v>
      </c>
      <c r="V392" s="90"/>
      <c r="W392" s="136"/>
      <c r="X392" s="137">
        <v>4996.55</v>
      </c>
    </row>
    <row r="393" spans="1:25">
      <c r="A393" s="494" t="s">
        <v>1934</v>
      </c>
      <c r="B393" s="87">
        <f>B392+1</f>
        <v>2</v>
      </c>
      <c r="C393" s="262">
        <v>45848</v>
      </c>
      <c r="D393" s="263" t="s">
        <v>1935</v>
      </c>
      <c r="E393" s="271" t="s">
        <v>1249</v>
      </c>
      <c r="F393" s="265">
        <v>1138</v>
      </c>
      <c r="G393" s="265">
        <f>39.7+200</f>
        <v>239.7</v>
      </c>
      <c r="H393" s="265"/>
      <c r="I393" s="266">
        <f>F393-G393-H393</f>
        <v>898.3</v>
      </c>
      <c r="J393" s="267" t="s">
        <v>156</v>
      </c>
      <c r="K393" s="267">
        <v>1</v>
      </c>
      <c r="L393" s="267"/>
      <c r="M393" s="267">
        <v>1</v>
      </c>
      <c r="N393" s="267">
        <v>1</v>
      </c>
      <c r="O393" s="267">
        <v>1</v>
      </c>
      <c r="P393" s="314">
        <v>0</v>
      </c>
      <c r="Q393" s="267">
        <v>1</v>
      </c>
      <c r="R393" s="267">
        <v>1</v>
      </c>
      <c r="S393" s="269">
        <v>1</v>
      </c>
      <c r="T393" s="63"/>
      <c r="U393" s="94" t="s">
        <v>1936</v>
      </c>
      <c r="V393" s="90"/>
      <c r="W393" s="136"/>
      <c r="X393" s="137"/>
      <c r="Y393" s="260"/>
    </row>
    <row r="394" spans="1:25">
      <c r="A394" s="261" t="s">
        <v>1992</v>
      </c>
      <c r="B394" s="87">
        <f>B393+1</f>
        <v>3</v>
      </c>
      <c r="C394" s="274">
        <v>45854</v>
      </c>
      <c r="D394" s="327">
        <v>71146</v>
      </c>
      <c r="E394" s="276" t="s">
        <v>511</v>
      </c>
      <c r="F394" s="277">
        <v>814</v>
      </c>
      <c r="G394" s="277">
        <f>39.7+(111.86)</f>
        <v>151.56</v>
      </c>
      <c r="H394" s="277"/>
      <c r="I394" s="321">
        <f>F394-G394-H394</f>
        <v>662.44</v>
      </c>
      <c r="J394" s="279" t="s">
        <v>156</v>
      </c>
      <c r="K394" s="279">
        <v>1</v>
      </c>
      <c r="L394" s="279">
        <v>1</v>
      </c>
      <c r="M394" s="279">
        <v>1</v>
      </c>
      <c r="N394" s="279">
        <v>1</v>
      </c>
      <c r="O394" s="279">
        <v>1</v>
      </c>
      <c r="P394" s="322">
        <v>0</v>
      </c>
      <c r="Q394" s="279">
        <v>1</v>
      </c>
      <c r="R394" s="279">
        <v>1</v>
      </c>
      <c r="S394" s="280">
        <v>1</v>
      </c>
      <c r="T394" s="63"/>
      <c r="U394" s="94" t="s">
        <v>1993</v>
      </c>
      <c r="V394" s="90">
        <f>495.4</f>
        <v>495.4</v>
      </c>
      <c r="W394" s="136"/>
      <c r="X394" s="137"/>
      <c r="Y394" s="260"/>
    </row>
    <row r="395" spans="1:25">
      <c r="A395" s="261" t="s">
        <v>1992</v>
      </c>
      <c r="B395" s="87">
        <f>B394+1</f>
        <v>4</v>
      </c>
      <c r="C395" s="262">
        <v>45856</v>
      </c>
      <c r="D395" s="263" t="s">
        <v>1962</v>
      </c>
      <c r="E395" s="271" t="s">
        <v>388</v>
      </c>
      <c r="F395" s="265">
        <v>16214</v>
      </c>
      <c r="G395" s="265">
        <f>39.7+62.68+(137.35+5.33+37.31)+(189.96+23.01+23.7)+1000</f>
        <v>1519.04</v>
      </c>
      <c r="H395" s="265"/>
      <c r="I395" s="266">
        <f>F395-G395-H395</f>
        <v>14694.96</v>
      </c>
      <c r="J395" s="267" t="s">
        <v>156</v>
      </c>
      <c r="K395" s="267">
        <v>1</v>
      </c>
      <c r="L395" s="267">
        <v>1</v>
      </c>
      <c r="M395" s="267">
        <v>1</v>
      </c>
      <c r="N395" s="267">
        <v>1</v>
      </c>
      <c r="O395" s="267">
        <v>1</v>
      </c>
      <c r="P395" s="314">
        <v>0</v>
      </c>
      <c r="Q395" s="267">
        <v>1</v>
      </c>
      <c r="R395" s="267">
        <v>1</v>
      </c>
      <c r="S395" s="269">
        <v>1</v>
      </c>
      <c r="T395" s="63"/>
      <c r="U395" s="94" t="s">
        <v>1994</v>
      </c>
      <c r="V395" s="90">
        <f>5000+4214.4</f>
        <v>9214.4</v>
      </c>
      <c r="W395" s="136"/>
      <c r="X395" s="137"/>
      <c r="Y395" s="260"/>
    </row>
    <row r="396" spans="1:25">
      <c r="A396" s="2"/>
      <c r="B396" s="11"/>
      <c r="C396" s="36"/>
      <c r="D396" s="10"/>
      <c r="E396" s="10"/>
      <c r="F396" s="97">
        <f>SUM(F392:F395)</f>
        <v>23980</v>
      </c>
      <c r="G396" s="97">
        <f>SUM(G392:G395)</f>
        <v>4296.9400000000005</v>
      </c>
      <c r="H396" s="97">
        <f>SUM(H392:H395)</f>
        <v>759.85</v>
      </c>
      <c r="I396" s="98">
        <f>SUM(I392:I395)</f>
        <v>18923.21</v>
      </c>
      <c r="J396" s="63"/>
      <c r="K396" s="21"/>
      <c r="L396" s="21"/>
      <c r="M396" s="21"/>
      <c r="N396" s="21"/>
      <c r="O396" s="21"/>
      <c r="P396" s="21"/>
      <c r="Q396" s="21"/>
      <c r="R396" s="21"/>
      <c r="S396" s="21"/>
      <c r="T396" s="63"/>
      <c r="U396" s="94"/>
      <c r="V396" s="90"/>
      <c r="W396" s="91"/>
      <c r="X396" s="92"/>
    </row>
    <row r="397" spans="1:25">
      <c r="A397" s="2"/>
      <c r="B397" s="11"/>
      <c r="C397" s="36"/>
      <c r="D397" s="10"/>
      <c r="E397" s="10"/>
      <c r="F397" s="88"/>
      <c r="G397" s="88"/>
      <c r="H397" s="88"/>
      <c r="I397" s="99"/>
      <c r="J397" s="63"/>
      <c r="K397" s="21"/>
      <c r="L397" s="21"/>
      <c r="M397" s="21"/>
      <c r="N397" s="21"/>
      <c r="O397" s="21"/>
      <c r="P397" s="21"/>
      <c r="Q397" s="21"/>
      <c r="R397" s="21"/>
      <c r="S397" s="21"/>
      <c r="T397" s="63"/>
      <c r="U397" s="94"/>
      <c r="V397" s="90"/>
      <c r="W397" s="91"/>
      <c r="X397" s="92"/>
    </row>
    <row r="398" spans="1:25">
      <c r="A398" s="128"/>
      <c r="B398" s="121" t="s">
        <v>68</v>
      </c>
      <c r="C398" s="122"/>
      <c r="D398" s="123"/>
      <c r="E398" s="123"/>
      <c r="F398" s="124"/>
      <c r="G398" s="125"/>
      <c r="H398" s="124"/>
      <c r="I398" s="126"/>
      <c r="J398" s="127"/>
      <c r="K398" s="128"/>
      <c r="L398" s="128"/>
      <c r="M398" s="128"/>
      <c r="N398" s="128"/>
      <c r="O398" s="128"/>
      <c r="P398" s="128"/>
      <c r="Q398" s="128"/>
      <c r="R398" s="128"/>
      <c r="S398" s="128"/>
      <c r="T398" s="127"/>
      <c r="U398" s="123"/>
      <c r="V398" s="129"/>
      <c r="W398" s="130"/>
      <c r="X398" s="131"/>
    </row>
    <row r="399" spans="1:25" s="342" customFormat="1">
      <c r="A399" s="356">
        <v>0.05</v>
      </c>
      <c r="B399" s="333">
        <v>1</v>
      </c>
      <c r="C399" s="350">
        <v>45859</v>
      </c>
      <c r="D399" s="263" t="s">
        <v>1995</v>
      </c>
      <c r="E399" s="358" t="s">
        <v>354</v>
      </c>
      <c r="F399" s="352">
        <v>4419</v>
      </c>
      <c r="G399" s="352">
        <f>39.7+(233.86)+200</f>
        <v>473.56</v>
      </c>
      <c r="H399" s="352"/>
      <c r="I399" s="353">
        <f>F399-G399-H399</f>
        <v>3945.44</v>
      </c>
      <c r="J399" s="354" t="s">
        <v>156</v>
      </c>
      <c r="K399" s="354">
        <v>1</v>
      </c>
      <c r="L399" s="354">
        <v>1</v>
      </c>
      <c r="M399" s="354">
        <v>1</v>
      </c>
      <c r="N399" s="354">
        <v>1</v>
      </c>
      <c r="O399" s="354">
        <v>1</v>
      </c>
      <c r="P399" s="314">
        <v>0</v>
      </c>
      <c r="Q399" s="314">
        <v>0</v>
      </c>
      <c r="R399" s="314">
        <v>0</v>
      </c>
      <c r="S399" s="366">
        <v>0</v>
      </c>
      <c r="T399" s="127"/>
      <c r="U399" s="135" t="s">
        <v>1996</v>
      </c>
      <c r="V399" s="129">
        <f>486</f>
        <v>486</v>
      </c>
      <c r="W399" s="340"/>
      <c r="X399" s="341"/>
    </row>
    <row r="400" spans="1:25" s="342" customFormat="1">
      <c r="A400" s="356">
        <v>0.05</v>
      </c>
      <c r="B400" s="333">
        <f>B399+1</f>
        <v>2</v>
      </c>
      <c r="C400" s="395">
        <v>45861</v>
      </c>
      <c r="D400" s="330" t="s">
        <v>1997</v>
      </c>
      <c r="E400" s="396" t="s">
        <v>270</v>
      </c>
      <c r="F400" s="519">
        <v>5133</v>
      </c>
      <c r="G400" s="397">
        <f>39.7+(1071.49)+250</f>
        <v>1361.19</v>
      </c>
      <c r="H400" s="397"/>
      <c r="I400" s="398">
        <f>F400-G400-H400</f>
        <v>3771.81</v>
      </c>
      <c r="J400" s="399" t="s">
        <v>156</v>
      </c>
      <c r="K400" s="399">
        <v>1</v>
      </c>
      <c r="L400" s="399">
        <v>1</v>
      </c>
      <c r="M400" s="399">
        <v>1</v>
      </c>
      <c r="N400" s="399">
        <v>1</v>
      </c>
      <c r="O400" s="399">
        <v>1</v>
      </c>
      <c r="P400" s="332">
        <v>0</v>
      </c>
      <c r="Q400" s="332">
        <v>0</v>
      </c>
      <c r="R400" s="332">
        <v>0</v>
      </c>
      <c r="S400" s="370">
        <v>0</v>
      </c>
      <c r="T400" s="127"/>
      <c r="U400" s="123" t="s">
        <v>1998</v>
      </c>
      <c r="V400" s="129">
        <f>581+4169</f>
        <v>4750</v>
      </c>
      <c r="W400" s="130"/>
      <c r="X400" s="131"/>
    </row>
    <row r="401" spans="1:25" s="342" customFormat="1">
      <c r="A401" s="128"/>
      <c r="B401" s="132"/>
      <c r="C401" s="122"/>
      <c r="D401" s="123"/>
      <c r="E401" s="123"/>
      <c r="F401" s="133">
        <f>SUM(F399:F400)</f>
        <v>9552</v>
      </c>
      <c r="G401" s="133">
        <f>SUM(G399:G400)</f>
        <v>1834.75</v>
      </c>
      <c r="H401" s="133">
        <f>SUM(H399:H400)</f>
        <v>0</v>
      </c>
      <c r="I401" s="134">
        <f>SUM(I399:I400)</f>
        <v>7717.25</v>
      </c>
      <c r="J401" s="127"/>
      <c r="K401" s="64"/>
      <c r="L401" s="64"/>
      <c r="M401" s="64"/>
      <c r="N401" s="64"/>
      <c r="O401" s="64"/>
      <c r="P401" s="64"/>
      <c r="Q401" s="64"/>
      <c r="R401" s="64"/>
      <c r="S401" s="64"/>
      <c r="T401" s="127"/>
      <c r="U401" s="123"/>
      <c r="V401" s="129"/>
      <c r="W401" s="130"/>
      <c r="X401" s="131"/>
    </row>
    <row r="402" spans="1:25" s="342" customFormat="1">
      <c r="A402" s="128"/>
      <c r="B402" s="132"/>
      <c r="C402" s="122"/>
      <c r="D402" s="123"/>
      <c r="E402" s="123"/>
      <c r="F402" s="124"/>
      <c r="G402" s="124"/>
      <c r="H402" s="124"/>
      <c r="I402" s="126"/>
      <c r="J402" s="127"/>
      <c r="K402" s="64"/>
      <c r="L402" s="64"/>
      <c r="M402" s="64"/>
      <c r="N402" s="64"/>
      <c r="O402" s="64"/>
      <c r="P402" s="64"/>
      <c r="Q402" s="64"/>
      <c r="R402" s="64"/>
      <c r="S402" s="64"/>
      <c r="T402" s="127"/>
      <c r="U402" s="135"/>
      <c r="V402" s="129"/>
      <c r="W402" s="130"/>
      <c r="X402" s="131"/>
    </row>
    <row r="403" spans="1:25" s="342" customFormat="1">
      <c r="A403" s="128"/>
      <c r="B403" s="121" t="s">
        <v>70</v>
      </c>
      <c r="C403" s="122"/>
      <c r="D403" s="123"/>
      <c r="E403" s="128"/>
      <c r="F403" s="124"/>
      <c r="G403" s="124"/>
      <c r="H403" s="124"/>
      <c r="I403" s="126"/>
      <c r="J403" s="127"/>
      <c r="K403" s="64"/>
      <c r="L403" s="64"/>
      <c r="M403" s="64"/>
      <c r="N403" s="64"/>
      <c r="O403" s="64"/>
      <c r="P403" s="64"/>
      <c r="Q403" s="64"/>
      <c r="R403" s="64"/>
      <c r="S403" s="64"/>
      <c r="T403" s="127"/>
      <c r="U403" s="135"/>
      <c r="V403" s="129"/>
      <c r="W403" s="130"/>
      <c r="X403" s="131"/>
    </row>
    <row r="404" spans="1:25" s="342" customFormat="1">
      <c r="A404" s="356">
        <v>0.05</v>
      </c>
      <c r="B404" s="333">
        <v>1</v>
      </c>
      <c r="C404" s="334">
        <v>45859</v>
      </c>
      <c r="D404" s="327">
        <v>71610</v>
      </c>
      <c r="E404" s="335" t="s">
        <v>354</v>
      </c>
      <c r="F404" s="336">
        <v>3261</v>
      </c>
      <c r="G404" s="336">
        <f>39.7</f>
        <v>39.700000000000003</v>
      </c>
      <c r="H404" s="336"/>
      <c r="I404" s="337">
        <f>F404-G404-H404</f>
        <v>3221.3</v>
      </c>
      <c r="J404" s="338"/>
      <c r="K404" s="338">
        <v>1</v>
      </c>
      <c r="L404" s="338"/>
      <c r="M404" s="338"/>
      <c r="N404" s="338">
        <v>1</v>
      </c>
      <c r="O404" s="338">
        <v>1</v>
      </c>
      <c r="P404" s="322">
        <v>0</v>
      </c>
      <c r="Q404" s="338"/>
      <c r="R404" s="338"/>
      <c r="S404" s="339"/>
      <c r="T404" s="127"/>
      <c r="U404" s="135" t="s">
        <v>1999</v>
      </c>
      <c r="V404" s="129">
        <v>0</v>
      </c>
      <c r="W404" s="340"/>
      <c r="X404" s="341"/>
    </row>
    <row r="405" spans="1:25" s="342" customFormat="1">
      <c r="A405" s="356">
        <v>0.05</v>
      </c>
      <c r="B405" s="333">
        <f>B404+1</f>
        <v>2</v>
      </c>
      <c r="C405" s="334">
        <v>45861</v>
      </c>
      <c r="D405" s="320" t="s">
        <v>2000</v>
      </c>
      <c r="E405" s="335" t="s">
        <v>196</v>
      </c>
      <c r="F405" s="336">
        <v>12367</v>
      </c>
      <c r="G405" s="336">
        <f>39.7+2500+(86.11+39.53)</f>
        <v>2665.3399999999997</v>
      </c>
      <c r="H405" s="502">
        <f>F405*0.2</f>
        <v>2473.4</v>
      </c>
      <c r="I405" s="337">
        <f>F405-G405-H405</f>
        <v>7228.26</v>
      </c>
      <c r="J405" s="338" t="s">
        <v>156</v>
      </c>
      <c r="K405" s="338">
        <v>1</v>
      </c>
      <c r="L405" s="338"/>
      <c r="M405" s="338">
        <v>1</v>
      </c>
      <c r="N405" s="338">
        <v>1</v>
      </c>
      <c r="O405" s="338">
        <v>1</v>
      </c>
      <c r="P405" s="322">
        <v>0</v>
      </c>
      <c r="Q405" s="338"/>
      <c r="R405" s="338"/>
      <c r="S405" s="339"/>
      <c r="T405" s="127"/>
      <c r="U405" s="123" t="s">
        <v>2001</v>
      </c>
      <c r="V405" s="129">
        <f>1360</f>
        <v>1360</v>
      </c>
      <c r="W405" s="340"/>
      <c r="X405" s="341"/>
    </row>
    <row r="406" spans="1:25" s="342" customFormat="1">
      <c r="A406" s="356">
        <v>0.05</v>
      </c>
      <c r="B406" s="333">
        <f t="shared" ref="B406" si="49">B405+1</f>
        <v>3</v>
      </c>
      <c r="C406" s="350">
        <v>45862</v>
      </c>
      <c r="D406" s="263">
        <v>71599</v>
      </c>
      <c r="E406" s="358" t="s">
        <v>168</v>
      </c>
      <c r="F406" s="352">
        <v>1861</v>
      </c>
      <c r="G406" s="352">
        <f>39.7</f>
        <v>39.700000000000003</v>
      </c>
      <c r="H406" s="352"/>
      <c r="I406" s="353">
        <f>F406-G406-H406</f>
        <v>1821.3</v>
      </c>
      <c r="J406" s="354" t="s">
        <v>156</v>
      </c>
      <c r="K406" s="354">
        <v>1</v>
      </c>
      <c r="L406" s="354"/>
      <c r="M406" s="354">
        <v>1</v>
      </c>
      <c r="N406" s="354">
        <v>1</v>
      </c>
      <c r="O406" s="354">
        <v>1</v>
      </c>
      <c r="P406" s="314">
        <v>0</v>
      </c>
      <c r="Q406" s="354"/>
      <c r="R406" s="354"/>
      <c r="S406" s="355"/>
      <c r="T406" s="127"/>
      <c r="U406" s="135" t="s">
        <v>2002</v>
      </c>
      <c r="V406" s="129">
        <f>204</f>
        <v>204</v>
      </c>
      <c r="W406" s="340"/>
      <c r="X406" s="341"/>
    </row>
    <row r="407" spans="1:25" s="342" customFormat="1">
      <c r="A407" s="128"/>
      <c r="B407" s="132"/>
      <c r="C407" s="122"/>
      <c r="D407" s="123"/>
      <c r="E407" s="123"/>
      <c r="F407" s="133">
        <f>SUM(F404:F406)</f>
        <v>17489</v>
      </c>
      <c r="G407" s="133">
        <f>SUM(G404:G406)</f>
        <v>2744.7399999999993</v>
      </c>
      <c r="H407" s="133">
        <f>SUM(H404:H406)</f>
        <v>2473.4</v>
      </c>
      <c r="I407" s="134">
        <f>SUM(I404:I406)</f>
        <v>12270.86</v>
      </c>
      <c r="J407" s="127"/>
      <c r="K407" s="64"/>
      <c r="L407" s="64"/>
      <c r="M407" s="64"/>
      <c r="N407" s="64"/>
      <c r="O407" s="64"/>
      <c r="P407" s="64"/>
      <c r="Q407" s="64"/>
      <c r="R407" s="64"/>
      <c r="S407" s="64"/>
      <c r="T407" s="127"/>
      <c r="U407" s="135"/>
      <c r="V407" s="129"/>
      <c r="W407" s="130"/>
      <c r="X407" s="131"/>
    </row>
    <row r="408" spans="1:25">
      <c r="A408" s="2"/>
      <c r="B408" s="11"/>
      <c r="C408" s="36"/>
      <c r="D408" s="10"/>
      <c r="E408" s="10"/>
      <c r="F408" s="88"/>
      <c r="G408" s="88"/>
      <c r="H408" s="88"/>
      <c r="I408" s="99"/>
      <c r="J408" s="63"/>
      <c r="K408" s="21"/>
      <c r="L408" s="21"/>
      <c r="M408" s="21"/>
      <c r="N408" s="21"/>
      <c r="O408" s="21"/>
      <c r="P408" s="21"/>
      <c r="Q408" s="21"/>
      <c r="R408" s="21"/>
      <c r="S408" s="21"/>
      <c r="T408" s="63"/>
      <c r="U408" s="94"/>
      <c r="V408" s="90"/>
      <c r="W408" s="91"/>
      <c r="X408" s="92"/>
    </row>
    <row r="409" spans="1:25" s="260" customFormat="1">
      <c r="A409" s="181"/>
      <c r="B409" s="100" t="s">
        <v>152</v>
      </c>
      <c r="C409" s="36"/>
      <c r="D409" s="10"/>
      <c r="E409" s="10"/>
      <c r="F409" s="88"/>
      <c r="G409" s="62"/>
      <c r="H409" s="88"/>
      <c r="I409" s="99"/>
      <c r="J409" s="63"/>
      <c r="K409" s="181"/>
      <c r="L409" s="181"/>
      <c r="M409" s="181"/>
      <c r="N409" s="181"/>
      <c r="O409" s="181"/>
      <c r="P409" s="181"/>
      <c r="Q409" s="181"/>
      <c r="R409" s="181"/>
      <c r="S409" s="181"/>
      <c r="T409" s="63"/>
      <c r="U409" s="10"/>
      <c r="V409" s="90"/>
      <c r="W409" s="91"/>
      <c r="X409" s="92"/>
    </row>
    <row r="410" spans="1:25" s="260" customFormat="1">
      <c r="A410" s="261">
        <v>0.05</v>
      </c>
      <c r="B410" s="87">
        <v>1</v>
      </c>
      <c r="C410" s="262">
        <v>45840</v>
      </c>
      <c r="D410" s="357" t="s">
        <v>1896</v>
      </c>
      <c r="E410" s="264" t="s">
        <v>354</v>
      </c>
      <c r="F410" s="265">
        <v>1681</v>
      </c>
      <c r="G410" s="265">
        <v>39.700000000000003</v>
      </c>
      <c r="H410" s="265"/>
      <c r="I410" s="266">
        <f>F410-G410-H410</f>
        <v>1641.3</v>
      </c>
      <c r="J410" s="267" t="s">
        <v>374</v>
      </c>
      <c r="K410" s="267">
        <v>1</v>
      </c>
      <c r="L410" s="267">
        <v>1</v>
      </c>
      <c r="M410" s="267">
        <v>1</v>
      </c>
      <c r="N410" s="267">
        <v>1</v>
      </c>
      <c r="O410" s="267">
        <v>1</v>
      </c>
      <c r="P410" s="314">
        <v>0</v>
      </c>
      <c r="Q410" s="267">
        <v>1</v>
      </c>
      <c r="R410" s="267">
        <v>1</v>
      </c>
      <c r="S410" s="366">
        <v>0</v>
      </c>
      <c r="T410" s="63"/>
      <c r="U410" s="10" t="s">
        <v>1897</v>
      </c>
      <c r="V410" s="90"/>
      <c r="W410" s="91"/>
      <c r="X410" s="92"/>
    </row>
    <row r="411" spans="1:25" s="260" customFormat="1">
      <c r="A411" s="494">
        <v>0.05</v>
      </c>
      <c r="B411" s="87">
        <f>B410+1</f>
        <v>2</v>
      </c>
      <c r="C411" s="262">
        <v>45849</v>
      </c>
      <c r="D411" s="263">
        <v>71382</v>
      </c>
      <c r="E411" s="271" t="s">
        <v>999</v>
      </c>
      <c r="F411" s="265">
        <v>1861</v>
      </c>
      <c r="G411" s="265">
        <v>39.700000000000003</v>
      </c>
      <c r="H411" s="265"/>
      <c r="I411" s="266">
        <f>F411-G411-H411</f>
        <v>1821.3</v>
      </c>
      <c r="J411" s="267" t="s">
        <v>374</v>
      </c>
      <c r="K411" s="267">
        <v>1</v>
      </c>
      <c r="L411" s="267"/>
      <c r="M411" s="267">
        <v>1</v>
      </c>
      <c r="N411" s="267">
        <v>1</v>
      </c>
      <c r="O411" s="267">
        <v>1</v>
      </c>
      <c r="P411" s="314">
        <v>0</v>
      </c>
      <c r="Q411" s="314">
        <v>0</v>
      </c>
      <c r="R411" s="314">
        <v>0</v>
      </c>
      <c r="S411" s="366">
        <v>0</v>
      </c>
      <c r="T411" s="63"/>
      <c r="U411" s="94" t="s">
        <v>1937</v>
      </c>
      <c r="V411" s="90"/>
      <c r="W411" s="136"/>
      <c r="X411" s="137"/>
    </row>
    <row r="412" spans="1:25" s="260" customFormat="1">
      <c r="A412" s="181"/>
      <c r="B412" s="11"/>
      <c r="C412" s="36"/>
      <c r="D412" s="10"/>
      <c r="E412" s="10"/>
      <c r="F412" s="98">
        <f>SUM(F410:F410)</f>
        <v>1681</v>
      </c>
      <c r="G412" s="98">
        <f>SUM(G410:G410)</f>
        <v>39.700000000000003</v>
      </c>
      <c r="H412" s="98">
        <f>SUM(H410:H410)</f>
        <v>0</v>
      </c>
      <c r="I412" s="98">
        <f>SUM(I410:I410)</f>
        <v>1641.3</v>
      </c>
      <c r="J412" s="63"/>
      <c r="K412" s="21"/>
      <c r="L412" s="21"/>
      <c r="M412" s="21"/>
      <c r="N412" s="21"/>
      <c r="O412" s="21"/>
      <c r="P412" s="21"/>
      <c r="Q412" s="21"/>
      <c r="R412" s="21"/>
      <c r="S412" s="21"/>
      <c r="T412" s="63"/>
      <c r="U412" s="10"/>
      <c r="V412" s="90"/>
      <c r="W412" s="91"/>
      <c r="X412" s="92"/>
    </row>
    <row r="413" spans="1:25" s="260" customFormat="1">
      <c r="A413" s="181"/>
      <c r="B413" s="11"/>
      <c r="C413" s="36"/>
      <c r="D413" s="10"/>
      <c r="E413" s="10"/>
      <c r="F413" s="88"/>
      <c r="G413" s="88"/>
      <c r="H413" s="88"/>
      <c r="I413" s="99"/>
      <c r="J413" s="63"/>
      <c r="K413" s="21"/>
      <c r="L413" s="21"/>
      <c r="M413" s="21"/>
      <c r="N413" s="21"/>
      <c r="O413" s="21"/>
      <c r="P413" s="21"/>
      <c r="Q413" s="21"/>
      <c r="R413" s="21"/>
      <c r="S413" s="21"/>
      <c r="T413" s="63"/>
      <c r="U413" s="10"/>
      <c r="V413" s="90"/>
      <c r="W413" s="91"/>
      <c r="X413" s="92"/>
    </row>
    <row r="414" spans="1:25" s="260" customFormat="1">
      <c r="B414" s="100" t="s">
        <v>202</v>
      </c>
      <c r="C414" s="36"/>
      <c r="D414" s="10"/>
      <c r="E414" s="181"/>
      <c r="F414" s="88"/>
      <c r="G414" s="88"/>
      <c r="H414" s="88"/>
      <c r="I414" s="99"/>
      <c r="J414" s="63"/>
      <c r="K414" s="21"/>
      <c r="L414" s="21"/>
      <c r="M414" s="21"/>
      <c r="N414" s="21"/>
      <c r="O414" s="21"/>
      <c r="P414" s="21"/>
      <c r="Q414" s="21"/>
      <c r="R414" s="21"/>
      <c r="S414" s="21"/>
      <c r="T414" s="63"/>
      <c r="U414" s="10"/>
      <c r="V414" s="90"/>
      <c r="W414" s="91"/>
      <c r="X414" s="92"/>
    </row>
    <row r="415" spans="1:25" s="260" customFormat="1">
      <c r="A415" s="261">
        <v>0.05</v>
      </c>
      <c r="B415" s="87">
        <v>1</v>
      </c>
      <c r="C415" s="274">
        <v>45812</v>
      </c>
      <c r="D415" s="320" t="s">
        <v>1866</v>
      </c>
      <c r="E415" s="276" t="s">
        <v>512</v>
      </c>
      <c r="F415" s="277">
        <v>18061</v>
      </c>
      <c r="G415" s="277">
        <f>39.7+1551+(62.91+128.26+27.45-20.83)+(10.95+18.17+8.58+185.26+145.2+166.5+178.78)+1500</f>
        <v>4001.93</v>
      </c>
      <c r="H415" s="277"/>
      <c r="I415" s="278">
        <f>F415-G415-H415</f>
        <v>14059.07</v>
      </c>
      <c r="J415" s="279" t="s">
        <v>156</v>
      </c>
      <c r="K415" s="279">
        <v>1</v>
      </c>
      <c r="L415" s="279"/>
      <c r="M415" s="279">
        <v>1</v>
      </c>
      <c r="N415" s="279">
        <v>1</v>
      </c>
      <c r="O415" s="279">
        <v>1</v>
      </c>
      <c r="P415" s="279">
        <v>1</v>
      </c>
      <c r="Q415" s="279"/>
      <c r="R415" s="279"/>
      <c r="S415" s="280"/>
      <c r="T415" s="63"/>
      <c r="U415" s="10" t="s">
        <v>1900</v>
      </c>
      <c r="V415" s="90"/>
      <c r="W415" s="136"/>
      <c r="X415" s="137"/>
      <c r="Y415" s="181"/>
    </row>
    <row r="416" spans="1:25" s="260" customFormat="1">
      <c r="A416" s="261">
        <v>0.05</v>
      </c>
      <c r="B416" s="87">
        <f>B415+1</f>
        <v>2</v>
      </c>
      <c r="C416" s="262">
        <v>45813</v>
      </c>
      <c r="D416" s="357" t="s">
        <v>1868</v>
      </c>
      <c r="E416" s="271" t="s">
        <v>512</v>
      </c>
      <c r="F416" s="265">
        <v>22614</v>
      </c>
      <c r="G416" s="265">
        <f>39.7+47.8+356+(396.09)+(145.2-4.72-2.08+8.58-185.26+9.17+5.35+223.39)+2000</f>
        <v>3039.22</v>
      </c>
      <c r="H416" s="265"/>
      <c r="I416" s="266">
        <f>F416-G416-H416</f>
        <v>19574.78</v>
      </c>
      <c r="J416" s="267"/>
      <c r="K416" s="267">
        <v>1</v>
      </c>
      <c r="L416" s="267"/>
      <c r="M416" s="267"/>
      <c r="N416" s="267">
        <v>1</v>
      </c>
      <c r="O416" s="267">
        <v>1</v>
      </c>
      <c r="P416" s="314">
        <v>0</v>
      </c>
      <c r="Q416" s="267"/>
      <c r="R416" s="267"/>
      <c r="S416" s="269"/>
      <c r="T416" s="63"/>
      <c r="U416" s="10" t="s">
        <v>1901</v>
      </c>
      <c r="V416" s="90"/>
      <c r="W416" s="136"/>
      <c r="X416" s="137"/>
    </row>
    <row r="417" spans="1:24" s="260" customFormat="1">
      <c r="A417" s="494">
        <v>0.05</v>
      </c>
      <c r="B417" s="87">
        <f>B416+1</f>
        <v>3</v>
      </c>
      <c r="C417" s="274">
        <v>45848</v>
      </c>
      <c r="D417" s="327">
        <v>71381</v>
      </c>
      <c r="E417" s="276" t="s">
        <v>1530</v>
      </c>
      <c r="F417" s="277">
        <f>1223-85</f>
        <v>1138</v>
      </c>
      <c r="G417" s="277">
        <f>39.7</f>
        <v>39.700000000000003</v>
      </c>
      <c r="H417" s="277"/>
      <c r="I417" s="321">
        <f>F417-G417-H417</f>
        <v>1098.3</v>
      </c>
      <c r="J417" s="279" t="s">
        <v>156</v>
      </c>
      <c r="K417" s="279">
        <v>1</v>
      </c>
      <c r="L417" s="279"/>
      <c r="M417" s="279">
        <v>1</v>
      </c>
      <c r="N417" s="279">
        <v>1</v>
      </c>
      <c r="O417" s="279">
        <v>1</v>
      </c>
      <c r="P417" s="322">
        <v>0</v>
      </c>
      <c r="Q417" s="279"/>
      <c r="R417" s="279"/>
      <c r="S417" s="280"/>
      <c r="T417" s="63"/>
      <c r="U417" s="94"/>
      <c r="V417" s="90"/>
      <c r="W417" s="136"/>
      <c r="X417" s="137"/>
    </row>
    <row r="418" spans="1:24" s="260" customFormat="1">
      <c r="A418" s="261">
        <v>0.05</v>
      </c>
      <c r="B418" s="87">
        <f>B417+1</f>
        <v>4</v>
      </c>
      <c r="C418" s="274">
        <v>45855</v>
      </c>
      <c r="D418" s="327" t="s">
        <v>1961</v>
      </c>
      <c r="E418" s="276" t="s">
        <v>225</v>
      </c>
      <c r="F418" s="277">
        <v>1861</v>
      </c>
      <c r="G418" s="277">
        <f>39.7</f>
        <v>39.700000000000003</v>
      </c>
      <c r="H418" s="277"/>
      <c r="I418" s="321">
        <f>F418-G418-H418</f>
        <v>1821.3</v>
      </c>
      <c r="J418" s="279" t="s">
        <v>156</v>
      </c>
      <c r="K418" s="279">
        <v>1</v>
      </c>
      <c r="L418" s="279"/>
      <c r="M418" s="279">
        <v>1</v>
      </c>
      <c r="N418" s="279">
        <v>1</v>
      </c>
      <c r="O418" s="279">
        <v>1</v>
      </c>
      <c r="P418" s="322">
        <v>0</v>
      </c>
      <c r="Q418" s="279"/>
      <c r="R418" s="279"/>
      <c r="S418" s="280"/>
      <c r="T418" s="63"/>
      <c r="U418" s="94" t="s">
        <v>2003</v>
      </c>
      <c r="V418" s="90"/>
      <c r="W418" s="136"/>
      <c r="X418" s="137"/>
    </row>
    <row r="419" spans="1:24" s="260" customFormat="1">
      <c r="A419" s="261">
        <v>0.05</v>
      </c>
      <c r="B419" s="87">
        <f t="shared" ref="B419:B420" si="50">B418+1</f>
        <v>5</v>
      </c>
      <c r="C419" s="274">
        <v>45856</v>
      </c>
      <c r="D419" s="327">
        <v>71568</v>
      </c>
      <c r="E419" s="276" t="s">
        <v>369</v>
      </c>
      <c r="F419" s="277">
        <v>1513</v>
      </c>
      <c r="G419" s="277">
        <f>39.7</f>
        <v>39.700000000000003</v>
      </c>
      <c r="H419" s="277"/>
      <c r="I419" s="321">
        <f>F419-G419-H419</f>
        <v>1473.3</v>
      </c>
      <c r="J419" s="279" t="s">
        <v>150</v>
      </c>
      <c r="K419" s="279">
        <v>1</v>
      </c>
      <c r="L419" s="279">
        <v>1</v>
      </c>
      <c r="M419" s="279">
        <v>1</v>
      </c>
      <c r="N419" s="279">
        <v>1</v>
      </c>
      <c r="O419" s="279">
        <v>1</v>
      </c>
      <c r="P419" s="322">
        <v>0</v>
      </c>
      <c r="Q419" s="279"/>
      <c r="R419" s="279"/>
      <c r="S419" s="280"/>
      <c r="T419" s="63"/>
      <c r="U419" s="94"/>
      <c r="V419" s="90"/>
      <c r="W419" s="136"/>
      <c r="X419" s="137"/>
    </row>
    <row r="420" spans="1:24" s="260" customFormat="1">
      <c r="A420" s="261">
        <v>0.05</v>
      </c>
      <c r="B420" s="87">
        <f t="shared" si="50"/>
        <v>6</v>
      </c>
      <c r="C420" s="282">
        <v>45856</v>
      </c>
      <c r="D420" s="368" t="s">
        <v>1964</v>
      </c>
      <c r="E420" s="283" t="s">
        <v>369</v>
      </c>
      <c r="F420" s="284">
        <v>3196.6</v>
      </c>
      <c r="G420" s="284">
        <f>39.7</f>
        <v>39.700000000000003</v>
      </c>
      <c r="H420" s="284"/>
      <c r="I420" s="300">
        <f>F420-G420-H420</f>
        <v>3156.9</v>
      </c>
      <c r="J420" s="286"/>
      <c r="K420" s="286">
        <v>1</v>
      </c>
      <c r="L420" s="286"/>
      <c r="M420" s="286"/>
      <c r="N420" s="286">
        <v>1</v>
      </c>
      <c r="O420" s="286">
        <v>1</v>
      </c>
      <c r="P420" s="332">
        <v>0</v>
      </c>
      <c r="Q420" s="286"/>
      <c r="R420" s="286"/>
      <c r="S420" s="287"/>
      <c r="T420" s="63"/>
      <c r="U420" s="94"/>
      <c r="V420" s="90"/>
      <c r="W420" s="137"/>
      <c r="X420" s="137"/>
    </row>
    <row r="421" spans="1:24" s="260" customFormat="1">
      <c r="B421" s="11"/>
      <c r="C421" s="36"/>
      <c r="D421" s="10"/>
      <c r="E421" s="10"/>
      <c r="F421" s="97">
        <f>SUM(F415:F420)</f>
        <v>48383.6</v>
      </c>
      <c r="G421" s="97">
        <f>SUM(G415:G420)</f>
        <v>7199.9499999999989</v>
      </c>
      <c r="H421" s="97">
        <f>SUM(H415:H420)</f>
        <v>0</v>
      </c>
      <c r="I421" s="97">
        <f>SUM(I415:I420)</f>
        <v>41183.650000000009</v>
      </c>
      <c r="J421" s="63"/>
      <c r="K421" s="21"/>
      <c r="L421" s="21"/>
      <c r="M421" s="21"/>
      <c r="N421" s="21"/>
      <c r="O421" s="21"/>
      <c r="P421" s="21"/>
      <c r="Q421" s="21"/>
      <c r="R421" s="21"/>
      <c r="S421" s="21"/>
      <c r="T421" s="63"/>
      <c r="U421" s="10"/>
      <c r="V421" s="90"/>
      <c r="W421" s="91"/>
      <c r="X421" s="92"/>
    </row>
    <row r="422" spans="1:24" s="260" customFormat="1">
      <c r="B422" s="11"/>
      <c r="C422" s="36"/>
      <c r="D422" s="10"/>
      <c r="E422" s="10"/>
      <c r="F422" s="88"/>
      <c r="G422" s="88"/>
      <c r="H422" s="88"/>
      <c r="I422" s="99"/>
      <c r="J422" s="10"/>
      <c r="K422" s="63"/>
      <c r="L422" s="63"/>
      <c r="M422" s="63"/>
      <c r="N422" s="63"/>
      <c r="O422" s="63"/>
      <c r="P422" s="63"/>
      <c r="Q422" s="63"/>
      <c r="R422" s="63"/>
      <c r="S422" s="63"/>
      <c r="T422" s="63"/>
      <c r="U422" s="10"/>
      <c r="V422" s="90"/>
      <c r="W422" s="91"/>
      <c r="X422" s="92"/>
    </row>
    <row r="423" spans="1:24">
      <c r="A423" s="2"/>
      <c r="B423" s="100" t="s">
        <v>72</v>
      </c>
      <c r="C423" s="36"/>
      <c r="D423" s="10"/>
      <c r="E423" s="10"/>
      <c r="F423" s="88"/>
      <c r="G423" s="88"/>
      <c r="H423" s="88"/>
      <c r="I423" s="99"/>
      <c r="J423" s="63"/>
      <c r="K423" s="63"/>
      <c r="L423" s="63"/>
      <c r="M423" s="63"/>
      <c r="N423" s="63"/>
      <c r="O423" s="63"/>
      <c r="P423" s="63"/>
      <c r="Q423" s="63"/>
      <c r="R423" s="63"/>
      <c r="S423" s="63"/>
      <c r="T423" s="63"/>
      <c r="U423" s="10"/>
      <c r="V423" s="90"/>
      <c r="W423" s="91"/>
      <c r="X423" s="92"/>
    </row>
    <row r="424" spans="1:24">
      <c r="A424" s="2"/>
      <c r="B424" s="87">
        <v>1</v>
      </c>
      <c r="C424" s="274">
        <v>45859</v>
      </c>
      <c r="D424" s="509" t="s">
        <v>2004</v>
      </c>
      <c r="E424" s="276" t="s">
        <v>508</v>
      </c>
      <c r="F424" s="277">
        <v>6214</v>
      </c>
      <c r="G424" s="277">
        <f>39.7</f>
        <v>39.700000000000003</v>
      </c>
      <c r="H424" s="277"/>
      <c r="I424" s="278">
        <f>F424-G424-H424</f>
        <v>6174.3</v>
      </c>
      <c r="J424" s="279" t="s">
        <v>205</v>
      </c>
      <c r="K424" s="279">
        <v>1</v>
      </c>
      <c r="L424" s="279"/>
      <c r="M424" s="279"/>
      <c r="N424" s="279">
        <v>1</v>
      </c>
      <c r="O424" s="279"/>
      <c r="P424" s="279"/>
      <c r="Q424" s="279"/>
      <c r="R424" s="279"/>
      <c r="S424" s="280"/>
      <c r="T424" s="63"/>
      <c r="U424" s="3"/>
      <c r="V424" s="90"/>
      <c r="W424" s="91"/>
      <c r="X424" s="92"/>
    </row>
    <row r="425" spans="1:24">
      <c r="A425" s="2"/>
      <c r="B425" s="87">
        <f t="shared" ref="B425:B435" si="51">B424+1</f>
        <v>2</v>
      </c>
      <c r="C425" s="295">
        <v>45859</v>
      </c>
      <c r="D425" s="10">
        <v>71589</v>
      </c>
      <c r="E425" s="10" t="s">
        <v>369</v>
      </c>
      <c r="F425" s="62">
        <v>681</v>
      </c>
      <c r="G425" s="62"/>
      <c r="H425" s="62"/>
      <c r="I425" s="89">
        <f>F425-G425-H425</f>
        <v>681</v>
      </c>
      <c r="J425" s="63" t="s">
        <v>205</v>
      </c>
      <c r="K425" s="63">
        <v>1</v>
      </c>
      <c r="L425" s="63"/>
      <c r="M425" s="63"/>
      <c r="N425" s="63">
        <v>1</v>
      </c>
      <c r="O425" s="63"/>
      <c r="P425" s="63"/>
      <c r="Q425" s="63"/>
      <c r="R425" s="63"/>
      <c r="S425" s="296"/>
      <c r="T425" s="63"/>
      <c r="U425" s="10"/>
      <c r="V425" s="90"/>
      <c r="W425" s="136"/>
      <c r="X425" s="137"/>
    </row>
    <row r="426" spans="1:24">
      <c r="A426" s="2"/>
      <c r="B426" s="87">
        <f t="shared" si="51"/>
        <v>3</v>
      </c>
      <c r="C426" s="274">
        <v>45860</v>
      </c>
      <c r="D426" s="276" t="s">
        <v>2005</v>
      </c>
      <c r="E426" s="276" t="s">
        <v>225</v>
      </c>
      <c r="F426" s="277">
        <v>0</v>
      </c>
      <c r="G426" s="277"/>
      <c r="H426" s="277"/>
      <c r="I426" s="278">
        <f>F426-G426-H426</f>
        <v>0</v>
      </c>
      <c r="J426" s="279" t="s">
        <v>205</v>
      </c>
      <c r="K426" s="279">
        <v>1</v>
      </c>
      <c r="L426" s="279"/>
      <c r="M426" s="279"/>
      <c r="N426" s="279"/>
      <c r="O426" s="279"/>
      <c r="P426" s="279"/>
      <c r="Q426" s="279"/>
      <c r="R426" s="279"/>
      <c r="S426" s="280"/>
      <c r="T426" s="63"/>
      <c r="U426" s="10"/>
      <c r="V426" s="90"/>
      <c r="W426" s="136"/>
      <c r="X426" s="137"/>
    </row>
    <row r="427" spans="1:24">
      <c r="A427" s="2"/>
      <c r="B427" s="87">
        <f t="shared" si="51"/>
        <v>4</v>
      </c>
      <c r="C427" s="295">
        <v>45860</v>
      </c>
      <c r="D427" s="10" t="s">
        <v>2006</v>
      </c>
      <c r="E427" s="10" t="s">
        <v>225</v>
      </c>
      <c r="F427" s="62">
        <v>0</v>
      </c>
      <c r="G427" s="62"/>
      <c r="H427" s="62"/>
      <c r="I427" s="89">
        <f>F427-G427-H427</f>
        <v>0</v>
      </c>
      <c r="J427" s="63" t="s">
        <v>205</v>
      </c>
      <c r="K427" s="63">
        <v>1</v>
      </c>
      <c r="L427" s="63"/>
      <c r="M427" s="63"/>
      <c r="N427" s="63">
        <v>1</v>
      </c>
      <c r="O427" s="63">
        <v>1</v>
      </c>
      <c r="P427" s="63">
        <v>1</v>
      </c>
      <c r="Q427" s="63">
        <v>1</v>
      </c>
      <c r="R427" s="63">
        <v>1</v>
      </c>
      <c r="S427" s="296">
        <v>1</v>
      </c>
      <c r="T427" s="63"/>
      <c r="U427" s="10"/>
      <c r="V427" s="90"/>
      <c r="W427" s="136"/>
      <c r="X427" s="137"/>
    </row>
    <row r="428" spans="1:24">
      <c r="A428" s="2"/>
      <c r="B428" s="87">
        <f t="shared" si="51"/>
        <v>5</v>
      </c>
      <c r="C428" s="274">
        <v>45861</v>
      </c>
      <c r="D428" s="276">
        <v>71675</v>
      </c>
      <c r="E428" s="276" t="s">
        <v>786</v>
      </c>
      <c r="F428" s="277">
        <v>481</v>
      </c>
      <c r="G428" s="277"/>
      <c r="H428" s="277"/>
      <c r="I428" s="278">
        <f>F428-G428-H428</f>
        <v>481</v>
      </c>
      <c r="J428" s="279" t="s">
        <v>205</v>
      </c>
      <c r="K428" s="279">
        <v>1</v>
      </c>
      <c r="L428" s="279"/>
      <c r="M428" s="279"/>
      <c r="N428" s="279">
        <v>1</v>
      </c>
      <c r="O428" s="279"/>
      <c r="P428" s="279"/>
      <c r="Q428" s="279"/>
      <c r="R428" s="279"/>
      <c r="S428" s="280"/>
      <c r="T428" s="63"/>
      <c r="U428" s="10"/>
      <c r="V428" s="90"/>
      <c r="W428" s="136"/>
      <c r="X428" s="137"/>
    </row>
    <row r="429" spans="1:24">
      <c r="A429" s="2"/>
      <c r="B429" s="87">
        <f t="shared" si="51"/>
        <v>6</v>
      </c>
      <c r="C429" s="295">
        <v>45861</v>
      </c>
      <c r="D429" s="10">
        <v>71668</v>
      </c>
      <c r="E429" s="101" t="s">
        <v>2007</v>
      </c>
      <c r="F429" s="62">
        <v>0</v>
      </c>
      <c r="G429" s="62"/>
      <c r="H429" s="62"/>
      <c r="I429" s="89">
        <f>F429-G429-H429</f>
        <v>0</v>
      </c>
      <c r="J429" s="63" t="s">
        <v>1364</v>
      </c>
      <c r="K429" s="63"/>
      <c r="L429" s="63"/>
      <c r="M429" s="63"/>
      <c r="N429" s="63"/>
      <c r="O429" s="63"/>
      <c r="P429" s="63"/>
      <c r="Q429" s="63"/>
      <c r="R429" s="63"/>
      <c r="S429" s="296"/>
      <c r="T429" s="63"/>
      <c r="U429" s="10" t="s">
        <v>2008</v>
      </c>
      <c r="V429" s="90"/>
      <c r="W429" s="136"/>
      <c r="X429" s="137"/>
    </row>
    <row r="430" spans="1:24">
      <c r="A430" s="2"/>
      <c r="B430" s="87">
        <f t="shared" si="51"/>
        <v>7</v>
      </c>
      <c r="C430" s="274">
        <v>45862</v>
      </c>
      <c r="D430" s="275" t="s">
        <v>2009</v>
      </c>
      <c r="E430" s="276" t="s">
        <v>1989</v>
      </c>
      <c r="F430" s="277">
        <v>8614</v>
      </c>
      <c r="G430" s="277">
        <v>39.700000000000003</v>
      </c>
      <c r="H430" s="277"/>
      <c r="I430" s="278">
        <f>F430-G430-H430</f>
        <v>8574.2999999999993</v>
      </c>
      <c r="J430" s="279" t="s">
        <v>205</v>
      </c>
      <c r="K430" s="279">
        <v>1</v>
      </c>
      <c r="L430" s="279"/>
      <c r="M430" s="279"/>
      <c r="N430" s="279">
        <v>1</v>
      </c>
      <c r="O430" s="279"/>
      <c r="P430" s="279"/>
      <c r="Q430" s="279"/>
      <c r="R430" s="279"/>
      <c r="S430" s="280"/>
      <c r="T430" s="63"/>
      <c r="U430" s="10"/>
      <c r="V430" s="90"/>
      <c r="W430" s="136"/>
      <c r="X430" s="137"/>
    </row>
    <row r="431" spans="1:24">
      <c r="A431" s="2"/>
      <c r="B431" s="87">
        <f t="shared" si="51"/>
        <v>8</v>
      </c>
      <c r="C431" s="295">
        <v>45862</v>
      </c>
      <c r="D431" s="77" t="s">
        <v>2010</v>
      </c>
      <c r="E431" s="10" t="s">
        <v>1989</v>
      </c>
      <c r="F431" s="62">
        <v>1428</v>
      </c>
      <c r="G431" s="62">
        <v>39.700000000000003</v>
      </c>
      <c r="H431" s="62"/>
      <c r="I431" s="89">
        <f>F431-G431-H431</f>
        <v>1388.3</v>
      </c>
      <c r="J431" s="63" t="s">
        <v>205</v>
      </c>
      <c r="K431" s="63">
        <v>1</v>
      </c>
      <c r="L431" s="63"/>
      <c r="M431" s="63"/>
      <c r="N431" s="63">
        <v>1</v>
      </c>
      <c r="O431" s="63"/>
      <c r="P431" s="63"/>
      <c r="Q431" s="63"/>
      <c r="R431" s="63"/>
      <c r="S431" s="296"/>
      <c r="T431" s="63"/>
      <c r="U431" s="10"/>
      <c r="V431" s="90"/>
      <c r="W431" s="136"/>
      <c r="X431" s="137"/>
    </row>
    <row r="432" spans="1:24">
      <c r="A432" s="2"/>
      <c r="B432" s="87">
        <f t="shared" si="51"/>
        <v>9</v>
      </c>
      <c r="C432" s="295">
        <v>45862</v>
      </c>
      <c r="D432" s="10">
        <v>71732</v>
      </c>
      <c r="E432" s="101" t="s">
        <v>786</v>
      </c>
      <c r="F432" s="62">
        <v>2681</v>
      </c>
      <c r="G432" s="62">
        <v>39.700000000000003</v>
      </c>
      <c r="H432" s="62"/>
      <c r="I432" s="89">
        <f>F432-G432-H432</f>
        <v>2641.3</v>
      </c>
      <c r="J432" s="63" t="s">
        <v>205</v>
      </c>
      <c r="K432" s="63">
        <v>1</v>
      </c>
      <c r="L432" s="63"/>
      <c r="M432" s="63"/>
      <c r="N432" s="63">
        <v>1</v>
      </c>
      <c r="O432" s="63"/>
      <c r="P432" s="63"/>
      <c r="Q432" s="63">
        <v>1</v>
      </c>
      <c r="R432" s="63">
        <v>1</v>
      </c>
      <c r="S432" s="296"/>
      <c r="T432" s="63"/>
      <c r="U432" s="10"/>
      <c r="V432" s="90"/>
      <c r="W432" s="136"/>
      <c r="X432" s="137"/>
    </row>
    <row r="433" spans="1:24">
      <c r="A433" s="2"/>
      <c r="B433" s="87">
        <f t="shared" si="51"/>
        <v>10</v>
      </c>
      <c r="C433" s="274">
        <v>45863</v>
      </c>
      <c r="D433" s="276" t="s">
        <v>2011</v>
      </c>
      <c r="E433" s="276" t="s">
        <v>158</v>
      </c>
      <c r="F433" s="277">
        <v>6841</v>
      </c>
      <c r="G433" s="277">
        <v>39.700000000000003</v>
      </c>
      <c r="H433" s="277"/>
      <c r="I433" s="278">
        <f>F433-G433-H433</f>
        <v>6801.3</v>
      </c>
      <c r="J433" s="279" t="s">
        <v>205</v>
      </c>
      <c r="K433" s="279">
        <v>1</v>
      </c>
      <c r="L433" s="279"/>
      <c r="M433" s="279"/>
      <c r="N433" s="279">
        <v>1</v>
      </c>
      <c r="O433" s="279"/>
      <c r="P433" s="279"/>
      <c r="Q433" s="279"/>
      <c r="R433" s="279"/>
      <c r="S433" s="280"/>
      <c r="T433" s="63"/>
      <c r="U433" s="10"/>
      <c r="V433" s="90"/>
      <c r="W433" s="136"/>
      <c r="X433" s="137"/>
    </row>
    <row r="434" spans="1:24">
      <c r="A434" s="2"/>
      <c r="B434" s="87">
        <f t="shared" si="51"/>
        <v>11</v>
      </c>
      <c r="C434" s="295">
        <v>45863</v>
      </c>
      <c r="D434" s="10" t="s">
        <v>2012</v>
      </c>
      <c r="E434" s="10" t="s">
        <v>158</v>
      </c>
      <c r="F434" s="62">
        <v>4552</v>
      </c>
      <c r="G434" s="62">
        <v>39.700000000000003</v>
      </c>
      <c r="H434" s="62"/>
      <c r="I434" s="89">
        <f>F434-G434-H434</f>
        <v>4512.3</v>
      </c>
      <c r="J434" s="63" t="s">
        <v>205</v>
      </c>
      <c r="K434" s="63">
        <v>1</v>
      </c>
      <c r="L434" s="63"/>
      <c r="M434" s="63"/>
      <c r="N434" s="63">
        <v>1</v>
      </c>
      <c r="O434" s="63"/>
      <c r="P434" s="63"/>
      <c r="Q434" s="63"/>
      <c r="R434" s="63"/>
      <c r="S434" s="296"/>
      <c r="T434" s="63"/>
      <c r="U434" s="10"/>
      <c r="V434" s="90"/>
      <c r="W434" s="136"/>
      <c r="X434" s="137"/>
    </row>
    <row r="435" spans="1:24">
      <c r="A435" s="2"/>
      <c r="B435" s="87">
        <f t="shared" si="51"/>
        <v>12</v>
      </c>
      <c r="C435" s="282">
        <v>45863</v>
      </c>
      <c r="D435" s="283">
        <v>71771</v>
      </c>
      <c r="E435" s="319" t="s">
        <v>2013</v>
      </c>
      <c r="F435" s="284">
        <v>1861</v>
      </c>
      <c r="G435" s="284">
        <v>39.700000000000003</v>
      </c>
      <c r="H435" s="284"/>
      <c r="I435" s="285">
        <f>F435-G435-H435</f>
        <v>1821.3</v>
      </c>
      <c r="J435" s="286" t="s">
        <v>205</v>
      </c>
      <c r="K435" s="286"/>
      <c r="L435" s="286"/>
      <c r="M435" s="286">
        <v>1</v>
      </c>
      <c r="N435" s="286">
        <v>1</v>
      </c>
      <c r="O435" s="286"/>
      <c r="P435" s="286"/>
      <c r="Q435" s="286"/>
      <c r="R435" s="286"/>
      <c r="S435" s="287"/>
      <c r="T435" s="63"/>
      <c r="U435" s="10"/>
      <c r="V435" s="90">
        <v>203.5</v>
      </c>
      <c r="W435" s="136"/>
      <c r="X435" s="137"/>
    </row>
    <row r="436" spans="1:24">
      <c r="A436" s="2"/>
      <c r="B436" s="11"/>
      <c r="C436" s="36"/>
      <c r="D436" s="10"/>
      <c r="E436" s="10"/>
      <c r="F436" s="97">
        <f>SUM(F424:F435)</f>
        <v>33353</v>
      </c>
      <c r="G436" s="97">
        <f>SUM(G424:G435)</f>
        <v>277.89999999999998</v>
      </c>
      <c r="H436" s="97">
        <f>SUM(H424:H435)</f>
        <v>0</v>
      </c>
      <c r="I436" s="98">
        <f>SUM(I424:I435)</f>
        <v>33075.1</v>
      </c>
      <c r="J436" s="10"/>
      <c r="K436" s="10"/>
      <c r="L436" s="10"/>
      <c r="M436" s="10"/>
      <c r="N436" s="10"/>
      <c r="O436" s="10"/>
      <c r="P436" s="10"/>
      <c r="Q436" s="10"/>
      <c r="R436" s="10"/>
      <c r="S436" s="10"/>
      <c r="T436" s="63"/>
      <c r="U436" s="10"/>
      <c r="V436" s="138"/>
      <c r="W436" s="136"/>
      <c r="X436" s="137"/>
    </row>
    <row r="437" spans="1:24">
      <c r="A437" s="2"/>
      <c r="B437" s="26"/>
      <c r="C437" s="140"/>
      <c r="D437" s="141"/>
      <c r="E437" s="141"/>
      <c r="F437" s="141"/>
      <c r="G437" s="141"/>
      <c r="H437" s="141"/>
      <c r="I437" s="141"/>
      <c r="J437" s="141"/>
      <c r="K437" s="142"/>
      <c r="L437" s="142"/>
      <c r="M437" s="142"/>
      <c r="N437" s="142"/>
      <c r="O437" s="142"/>
      <c r="P437" s="142"/>
      <c r="Q437" s="142"/>
      <c r="R437" s="142"/>
      <c r="S437" s="142"/>
      <c r="T437" s="143">
        <f>SUM(T374:T436)</f>
        <v>0</v>
      </c>
      <c r="U437" s="141"/>
      <c r="V437" s="144">
        <f>SUM(V374:V436)</f>
        <v>36365.100000000006</v>
      </c>
      <c r="W437" s="145">
        <f>SUM(W374:W436)</f>
        <v>16.2</v>
      </c>
      <c r="X437" s="146">
        <f>SUM(X374:X436)</f>
        <v>4996.55</v>
      </c>
    </row>
    <row r="440" spans="1:24">
      <c r="B440" s="4" t="s">
        <v>1</v>
      </c>
      <c r="C440" s="5"/>
      <c r="D440" s="6"/>
      <c r="E440" s="6"/>
      <c r="F440" s="7" t="s">
        <v>2</v>
      </c>
      <c r="G440" s="8">
        <v>45872</v>
      </c>
      <c r="H440" s="7"/>
      <c r="I440" s="6"/>
      <c r="J440" s="6"/>
      <c r="K440" s="6"/>
      <c r="L440" s="6"/>
      <c r="M440" s="6"/>
      <c r="N440" s="6"/>
      <c r="O440" s="6"/>
      <c r="P440" s="6"/>
      <c r="Q440" s="6"/>
      <c r="R440" s="6"/>
      <c r="S440" s="6"/>
      <c r="T440" s="6"/>
      <c r="U440" s="9"/>
      <c r="V440" s="10"/>
      <c r="W440" s="10"/>
      <c r="X440" s="10"/>
    </row>
    <row r="441" spans="1:24">
      <c r="B441" s="11"/>
      <c r="C441" s="10"/>
      <c r="D441" s="10"/>
      <c r="E441" s="10"/>
      <c r="F441" s="10"/>
      <c r="G441" s="7"/>
      <c r="H441" s="12"/>
      <c r="I441" s="10"/>
      <c r="J441" s="10"/>
      <c r="K441" s="13" t="s">
        <v>3</v>
      </c>
      <c r="L441" s="14"/>
      <c r="M441" s="15"/>
      <c r="N441" s="13" t="s">
        <v>4</v>
      </c>
      <c r="O441" s="14"/>
      <c r="P441" s="15"/>
      <c r="Q441" s="13" t="s">
        <v>5</v>
      </c>
      <c r="R441" s="14"/>
      <c r="S441" s="15"/>
      <c r="T441" s="16"/>
      <c r="U441" s="17"/>
      <c r="V441" s="10"/>
      <c r="W441" s="10"/>
      <c r="X441" s="10"/>
    </row>
    <row r="442" spans="1:24">
      <c r="B442" s="18" t="s">
        <v>6</v>
      </c>
      <c r="C442" s="19">
        <f>C443+C444</f>
        <v>22</v>
      </c>
      <c r="D442" s="10"/>
      <c r="E442" s="18" t="s">
        <v>7</v>
      </c>
      <c r="F442" s="6"/>
      <c r="G442" s="9"/>
      <c r="H442" s="10"/>
      <c r="I442" s="10"/>
      <c r="J442" s="10"/>
      <c r="K442" s="20" t="s">
        <v>8</v>
      </c>
      <c r="L442" s="21" t="s">
        <v>9</v>
      </c>
      <c r="M442" s="21" t="s">
        <v>10</v>
      </c>
      <c r="N442" s="20" t="s">
        <v>11</v>
      </c>
      <c r="O442" s="21" t="s">
        <v>12</v>
      </c>
      <c r="P442" s="22" t="s">
        <v>13</v>
      </c>
      <c r="Q442" s="21" t="s">
        <v>11</v>
      </c>
      <c r="R442" s="21" t="s">
        <v>12</v>
      </c>
      <c r="S442" s="22" t="s">
        <v>13</v>
      </c>
      <c r="T442" s="23" t="s">
        <v>14</v>
      </c>
      <c r="U442" s="17"/>
      <c r="V442" s="10"/>
      <c r="W442" s="10"/>
      <c r="X442" s="10"/>
    </row>
    <row r="443" spans="1:24">
      <c r="B443" s="24" t="s">
        <v>15</v>
      </c>
      <c r="C443" s="25">
        <f>P450</f>
        <v>9</v>
      </c>
      <c r="D443" s="10"/>
      <c r="E443" s="26" t="s">
        <v>16</v>
      </c>
      <c r="F443" s="27">
        <v>0.05</v>
      </c>
      <c r="G443" s="28"/>
      <c r="H443" s="10"/>
      <c r="I443" s="10"/>
      <c r="J443" s="18" t="s">
        <v>17</v>
      </c>
      <c r="K443" s="29">
        <f>K476</f>
        <v>8</v>
      </c>
      <c r="L443" s="29">
        <f>L476</f>
        <v>7</v>
      </c>
      <c r="M443" s="29">
        <f>M476</f>
        <v>5</v>
      </c>
      <c r="N443" s="29">
        <f>N476</f>
        <v>8</v>
      </c>
      <c r="O443" s="29">
        <f>O476</f>
        <v>8</v>
      </c>
      <c r="P443" s="29">
        <f>P476</f>
        <v>0</v>
      </c>
      <c r="Q443" s="29">
        <f>Q476</f>
        <v>6</v>
      </c>
      <c r="R443" s="29">
        <f>R476</f>
        <v>4</v>
      </c>
      <c r="S443" s="29">
        <f>S476</f>
        <v>5</v>
      </c>
      <c r="T443" s="30">
        <f>T519</f>
        <v>0</v>
      </c>
      <c r="U443" s="17"/>
      <c r="V443" s="10"/>
      <c r="W443" s="10"/>
      <c r="X443" s="10"/>
    </row>
    <row r="444" spans="1:24">
      <c r="B444" s="24" t="s">
        <v>18</v>
      </c>
      <c r="C444" s="25">
        <f>P451</f>
        <v>13</v>
      </c>
      <c r="D444" s="10"/>
      <c r="E444" s="10"/>
      <c r="F444" s="10"/>
      <c r="G444" s="31"/>
      <c r="H444" s="10"/>
      <c r="I444" s="10"/>
      <c r="J444" s="32" t="s">
        <v>19</v>
      </c>
      <c r="K444" s="33">
        <f>K476/K475</f>
        <v>1</v>
      </c>
      <c r="L444" s="33">
        <f>L476/L475</f>
        <v>0.875</v>
      </c>
      <c r="M444" s="33">
        <f>M476/M475</f>
        <v>0.625</v>
      </c>
      <c r="N444" s="33">
        <f>N476/N475</f>
        <v>1</v>
      </c>
      <c r="O444" s="33">
        <f>O476/O475</f>
        <v>1</v>
      </c>
      <c r="P444" s="33">
        <f>P476/P475</f>
        <v>0</v>
      </c>
      <c r="Q444" s="33">
        <f>Q476/Q475</f>
        <v>0.75</v>
      </c>
      <c r="R444" s="33">
        <f>R476/R475</f>
        <v>0.5</v>
      </c>
      <c r="S444" s="33">
        <f>S476/S475</f>
        <v>0.625</v>
      </c>
      <c r="T444" s="23"/>
      <c r="U444" s="17" t="s">
        <v>20</v>
      </c>
      <c r="V444" s="10"/>
      <c r="W444" s="10"/>
      <c r="X444" s="10"/>
    </row>
    <row r="445" spans="1:24">
      <c r="B445" s="24" t="s">
        <v>21</v>
      </c>
      <c r="C445" s="34">
        <f>P452</f>
        <v>0.40909090909090912</v>
      </c>
      <c r="D445" s="10"/>
      <c r="E445" s="10"/>
      <c r="F445" s="10"/>
      <c r="G445" s="10"/>
      <c r="H445" s="10"/>
      <c r="I445" s="10"/>
      <c r="J445" s="10"/>
      <c r="K445" s="10"/>
      <c r="L445" s="10"/>
      <c r="M445" s="10"/>
      <c r="N445" s="10"/>
      <c r="O445" s="10"/>
      <c r="P445" s="10"/>
      <c r="Q445" s="10"/>
      <c r="R445" s="10"/>
      <c r="S445" s="10"/>
      <c r="T445" s="10"/>
      <c r="U445" s="17"/>
      <c r="V445" s="10"/>
      <c r="W445" s="10"/>
      <c r="X445" s="10"/>
    </row>
    <row r="446" spans="1:24">
      <c r="B446" s="24"/>
      <c r="C446" s="25"/>
      <c r="D446" s="10"/>
      <c r="E446" s="10"/>
      <c r="F446" s="18" t="s">
        <v>22</v>
      </c>
      <c r="G446" s="19" t="s">
        <v>23</v>
      </c>
      <c r="H446" s="35" t="s">
        <v>24</v>
      </c>
      <c r="I446" s="10"/>
      <c r="J446" s="10"/>
      <c r="K446" s="36"/>
      <c r="L446" s="36"/>
      <c r="M446" s="36"/>
      <c r="N446" s="36"/>
      <c r="O446" s="36"/>
      <c r="P446" s="36"/>
      <c r="Q446" s="36"/>
      <c r="R446" s="10"/>
      <c r="S446" s="10"/>
      <c r="T446" s="10"/>
      <c r="U446" s="17"/>
      <c r="V446" s="10"/>
      <c r="W446" s="10"/>
      <c r="X446" s="10"/>
    </row>
    <row r="447" spans="1:24">
      <c r="B447" s="32" t="s">
        <v>25</v>
      </c>
      <c r="C447" s="37">
        <f>P453</f>
        <v>1581.6588888888891</v>
      </c>
      <c r="D447" s="10"/>
      <c r="E447" s="18" t="s">
        <v>26</v>
      </c>
      <c r="F447" s="38">
        <f>P449</f>
        <v>14234.930000000002</v>
      </c>
      <c r="G447" s="39">
        <f>I475+I488</f>
        <v>14234.93</v>
      </c>
      <c r="H447" s="40"/>
      <c r="I447" s="41"/>
      <c r="J447" s="42"/>
      <c r="K447" s="43" t="s">
        <v>27</v>
      </c>
      <c r="L447" s="44"/>
      <c r="M447" s="44"/>
      <c r="N447" s="44"/>
      <c r="O447" s="44"/>
      <c r="P447" s="44"/>
      <c r="Q447" s="45"/>
      <c r="R447" s="46" t="s">
        <v>28</v>
      </c>
      <c r="S447" s="47" t="s">
        <v>29</v>
      </c>
      <c r="T447" s="10"/>
      <c r="U447" s="17"/>
      <c r="V447" s="10"/>
      <c r="W447" s="10"/>
      <c r="X447" s="10"/>
    </row>
    <row r="448" spans="1:24">
      <c r="B448" s="11"/>
      <c r="C448" s="10"/>
      <c r="D448" s="10"/>
      <c r="E448" s="24" t="s">
        <v>30</v>
      </c>
      <c r="F448" s="48">
        <f>F443</f>
        <v>0.05</v>
      </c>
      <c r="G448" s="17"/>
      <c r="H448" s="40"/>
      <c r="I448" s="41"/>
      <c r="J448" s="42"/>
      <c r="K448" s="20" t="s">
        <v>31</v>
      </c>
      <c r="L448" s="21" t="s">
        <v>32</v>
      </c>
      <c r="M448" s="21" t="s">
        <v>33</v>
      </c>
      <c r="N448" s="21" t="s">
        <v>34</v>
      </c>
      <c r="O448" s="21" t="s">
        <v>35</v>
      </c>
      <c r="P448" s="21" t="s">
        <v>36</v>
      </c>
      <c r="Q448" s="49" t="s">
        <v>37</v>
      </c>
      <c r="R448" s="50" t="s">
        <v>38</v>
      </c>
      <c r="S448" s="50" t="s">
        <v>38</v>
      </c>
      <c r="T448" s="10"/>
      <c r="U448" s="17"/>
      <c r="V448" s="10"/>
      <c r="W448" s="10"/>
      <c r="X448" s="10"/>
    </row>
    <row r="449" spans="2:24">
      <c r="B449" s="11"/>
      <c r="C449" s="10"/>
      <c r="D449" s="10"/>
      <c r="E449" s="51" t="s">
        <v>39</v>
      </c>
      <c r="F449" s="52">
        <f>(F447-I468-I469-I470-I487)*F448</f>
        <v>349.8015000000002</v>
      </c>
      <c r="G449" s="53" t="s">
        <v>40</v>
      </c>
      <c r="H449" s="54">
        <f>F449/1.12</f>
        <v>312.32276785714299</v>
      </c>
      <c r="I449" s="55"/>
      <c r="J449" s="42"/>
      <c r="K449" s="56">
        <f>I467+I468</f>
        <v>2322.6</v>
      </c>
      <c r="L449" s="57">
        <f>I470+I469+I487</f>
        <v>6140.6</v>
      </c>
      <c r="M449" s="57">
        <f>I471</f>
        <v>3380.63</v>
      </c>
      <c r="N449" s="57">
        <f>I472+I473+I474</f>
        <v>2391.1</v>
      </c>
      <c r="O449" s="57"/>
      <c r="P449" s="57">
        <f>SUM(K449:O449)</f>
        <v>14234.930000000002</v>
      </c>
      <c r="Q449" s="58">
        <v>0</v>
      </c>
      <c r="R449" s="59">
        <f>I488</f>
        <v>4121.3</v>
      </c>
      <c r="S449" s="59">
        <v>0</v>
      </c>
      <c r="T449" s="10"/>
      <c r="U449" s="17"/>
      <c r="V449" s="10"/>
      <c r="W449" s="10"/>
      <c r="X449" s="10"/>
    </row>
    <row r="450" spans="2:24">
      <c r="B450" s="11"/>
      <c r="C450" s="10"/>
      <c r="D450" s="10"/>
      <c r="E450" s="24" t="s">
        <v>41</v>
      </c>
      <c r="F450" s="60">
        <f>Q449</f>
        <v>0</v>
      </c>
      <c r="G450" s="61" t="s">
        <v>40</v>
      </c>
      <c r="H450" s="62"/>
      <c r="I450" s="62"/>
      <c r="J450" s="10" t="s">
        <v>42</v>
      </c>
      <c r="K450" s="63">
        <v>2</v>
      </c>
      <c r="L450" s="63">
        <v>3</v>
      </c>
      <c r="M450" s="63">
        <v>1</v>
      </c>
      <c r="N450" s="63">
        <v>3</v>
      </c>
      <c r="O450" s="63"/>
      <c r="P450" s="21">
        <f>SUM(K450:O450)</f>
        <v>9</v>
      </c>
      <c r="Q450" s="64"/>
      <c r="R450" s="63"/>
      <c r="S450" s="10"/>
      <c r="T450" s="10"/>
      <c r="U450" s="17"/>
      <c r="V450" s="10"/>
      <c r="W450" s="10"/>
      <c r="X450" s="10"/>
    </row>
    <row r="451" spans="2:24">
      <c r="B451" s="11"/>
      <c r="C451" s="10"/>
      <c r="D451" s="10"/>
      <c r="E451" s="51" t="s">
        <v>43</v>
      </c>
      <c r="F451" s="52">
        <f>F450*0.25</f>
        <v>0</v>
      </c>
      <c r="G451" s="53" t="s">
        <v>40</v>
      </c>
      <c r="H451" s="54">
        <f>F451/1.12</f>
        <v>0</v>
      </c>
      <c r="I451" s="10"/>
      <c r="J451" s="10" t="s">
        <v>44</v>
      </c>
      <c r="K451" s="63">
        <v>6</v>
      </c>
      <c r="L451" s="63">
        <v>2</v>
      </c>
      <c r="M451" s="63">
        <v>1</v>
      </c>
      <c r="N451" s="63">
        <v>4</v>
      </c>
      <c r="O451" s="63"/>
      <c r="P451" s="21">
        <f>SUM(K451:O451)</f>
        <v>13</v>
      </c>
      <c r="Q451" s="64"/>
      <c r="R451" s="63"/>
      <c r="S451" s="10"/>
      <c r="T451" s="10"/>
      <c r="U451" s="17"/>
      <c r="V451" s="10"/>
      <c r="W451" s="10"/>
      <c r="X451" s="10"/>
    </row>
    <row r="452" spans="2:24">
      <c r="B452" s="11"/>
      <c r="C452" s="10"/>
      <c r="D452" s="10"/>
      <c r="E452" s="24" t="s">
        <v>45</v>
      </c>
      <c r="F452" s="60">
        <f>I484</f>
        <v>17462.34</v>
      </c>
      <c r="G452" s="61" t="s">
        <v>40</v>
      </c>
      <c r="H452" s="62"/>
      <c r="I452" s="10"/>
      <c r="J452" s="10" t="s">
        <v>46</v>
      </c>
      <c r="K452" s="31">
        <f>K450/(K450+K451)</f>
        <v>0.25</v>
      </c>
      <c r="L452" s="31">
        <f>L450/(L450+L451)</f>
        <v>0.6</v>
      </c>
      <c r="M452" s="31">
        <f>M450/(M450+M451)</f>
        <v>0.5</v>
      </c>
      <c r="N452" s="31">
        <f>N450/(N450+N451)</f>
        <v>0.42857142857142855</v>
      </c>
      <c r="O452" s="31" t="e">
        <f>O450/(O450+O451)</f>
        <v>#DIV/0!</v>
      </c>
      <c r="P452" s="31">
        <f>P450/(P450+P451)</f>
        <v>0.40909090909090912</v>
      </c>
      <c r="Q452" s="31" t="e">
        <f>Q450/(Q450+Q451)</f>
        <v>#DIV/0!</v>
      </c>
      <c r="R452" s="63"/>
      <c r="S452" s="10"/>
      <c r="T452" s="10"/>
      <c r="U452" s="17"/>
      <c r="V452" s="10"/>
      <c r="W452" s="10"/>
      <c r="X452" s="10"/>
    </row>
    <row r="453" spans="2:24">
      <c r="B453" s="11"/>
      <c r="C453" s="10"/>
      <c r="D453" s="10"/>
      <c r="E453" s="51" t="s">
        <v>47</v>
      </c>
      <c r="F453" s="52">
        <f>F452*0.05</f>
        <v>873.11700000000008</v>
      </c>
      <c r="G453" s="65" t="s">
        <v>40</v>
      </c>
      <c r="H453" s="54">
        <f>F453/1.12</f>
        <v>779.56875000000002</v>
      </c>
      <c r="I453" s="42"/>
      <c r="J453" s="10" t="s">
        <v>48</v>
      </c>
      <c r="K453" s="66">
        <f>K449/K450</f>
        <v>1161.3</v>
      </c>
      <c r="L453" s="66">
        <f>L449/L450</f>
        <v>2046.8666666666668</v>
      </c>
      <c r="M453" s="66">
        <f>M449/M450</f>
        <v>3380.63</v>
      </c>
      <c r="N453" s="66">
        <f>N449/N450</f>
        <v>797.0333333333333</v>
      </c>
      <c r="O453" s="66" t="e">
        <f>O449/O450</f>
        <v>#DIV/0!</v>
      </c>
      <c r="P453" s="66">
        <f>P449/P450</f>
        <v>1581.6588888888891</v>
      </c>
      <c r="Q453" s="66" t="e">
        <f>Q449/Q450</f>
        <v>#DIV/0!</v>
      </c>
      <c r="R453" s="63"/>
      <c r="S453" s="10"/>
      <c r="T453" s="10"/>
      <c r="U453" s="17"/>
      <c r="V453" s="10"/>
      <c r="W453" s="10"/>
      <c r="X453" s="10"/>
    </row>
    <row r="454" spans="2:24">
      <c r="B454" s="11"/>
      <c r="C454" s="10"/>
      <c r="D454" s="10"/>
      <c r="E454" s="67" t="s">
        <v>14</v>
      </c>
      <c r="F454" s="68"/>
      <c r="G454" s="10"/>
      <c r="H454" s="54">
        <f>F454/1.12</f>
        <v>0</v>
      </c>
      <c r="I454" s="10"/>
      <c r="J454" s="10"/>
      <c r="K454" s="10"/>
      <c r="L454" s="10"/>
      <c r="M454" s="10"/>
      <c r="N454" s="10"/>
      <c r="O454" s="10"/>
      <c r="P454" s="10"/>
      <c r="Q454" s="10"/>
      <c r="R454" s="10"/>
      <c r="S454" s="10"/>
      <c r="T454" s="10"/>
      <c r="U454" s="17"/>
      <c r="V454" s="10"/>
      <c r="W454" s="10"/>
      <c r="X454" s="10"/>
    </row>
    <row r="455" spans="2:24">
      <c r="B455" s="11"/>
      <c r="C455" s="10"/>
      <c r="D455" s="10"/>
      <c r="E455" s="155" t="s">
        <v>49</v>
      </c>
      <c r="F455" s="364">
        <f>T444</f>
        <v>0</v>
      </c>
      <c r="G455" s="10"/>
      <c r="H455" s="54"/>
      <c r="I455" s="55"/>
      <c r="J455" s="42"/>
      <c r="K455" s="764" t="s">
        <v>50</v>
      </c>
      <c r="L455" s="764"/>
      <c r="M455" s="764"/>
      <c r="N455" s="764"/>
      <c r="O455" s="764"/>
      <c r="P455" s="764"/>
      <c r="Q455" s="764"/>
      <c r="R455" s="70" t="s">
        <v>28</v>
      </c>
      <c r="S455" s="71" t="s">
        <v>29</v>
      </c>
      <c r="T455" s="10"/>
      <c r="U455" s="17"/>
      <c r="V455" s="10"/>
      <c r="W455" s="10"/>
      <c r="X455" s="10"/>
    </row>
    <row r="456" spans="2:24">
      <c r="B456" s="11"/>
      <c r="C456" s="10"/>
      <c r="D456" s="10"/>
      <c r="E456" s="12"/>
      <c r="F456" s="76"/>
      <c r="G456" s="10"/>
      <c r="H456" s="10"/>
      <c r="I456" s="10"/>
      <c r="J456" s="42"/>
      <c r="K456" s="20" t="s">
        <v>31</v>
      </c>
      <c r="L456" s="21" t="s">
        <v>32</v>
      </c>
      <c r="M456" s="21" t="s">
        <v>33</v>
      </c>
      <c r="N456" s="21" t="s">
        <v>34</v>
      </c>
      <c r="O456" s="21" t="s">
        <v>35</v>
      </c>
      <c r="P456" s="21" t="s">
        <v>36</v>
      </c>
      <c r="Q456" s="49" t="s">
        <v>37</v>
      </c>
      <c r="R456" s="50" t="s">
        <v>38</v>
      </c>
      <c r="S456" s="50" t="s">
        <v>38</v>
      </c>
      <c r="T456" s="10"/>
      <c r="U456" s="17"/>
      <c r="V456" s="10"/>
      <c r="W456" s="10"/>
      <c r="X456" s="10"/>
    </row>
    <row r="457" spans="2:24">
      <c r="B457" s="11"/>
      <c r="C457" s="10"/>
      <c r="D457" s="10"/>
      <c r="E457" s="12"/>
      <c r="F457" s="76"/>
      <c r="G457" s="10"/>
      <c r="H457" s="10"/>
      <c r="I457" s="10"/>
      <c r="J457" s="42"/>
      <c r="K457" s="56">
        <f>F467+F468</f>
        <v>2402</v>
      </c>
      <c r="L457" s="57">
        <f>F470+F469+F487</f>
        <v>6520</v>
      </c>
      <c r="M457" s="57">
        <f>F471</f>
        <v>4461</v>
      </c>
      <c r="N457" s="57">
        <f>F472+F473+F474</f>
        <v>2470.5</v>
      </c>
      <c r="O457" s="57"/>
      <c r="P457" s="57">
        <f>SUM(K457:O457)</f>
        <v>15853.5</v>
      </c>
      <c r="Q457" s="58">
        <v>0</v>
      </c>
      <c r="R457" s="59">
        <f>F488</f>
        <v>4461</v>
      </c>
      <c r="S457" s="59">
        <v>0</v>
      </c>
      <c r="T457" s="10"/>
      <c r="U457" s="17"/>
      <c r="V457" s="10"/>
      <c r="W457" s="10"/>
      <c r="X457" s="10"/>
    </row>
    <row r="458" spans="2:24">
      <c r="B458" s="11"/>
      <c r="C458" s="10"/>
      <c r="D458" s="10"/>
      <c r="E458" s="10"/>
      <c r="F458" s="10"/>
      <c r="G458" s="10"/>
      <c r="H458" s="10"/>
      <c r="I458" s="10"/>
      <c r="J458" s="10" t="s">
        <v>42</v>
      </c>
      <c r="K458" s="63">
        <f>K450</f>
        <v>2</v>
      </c>
      <c r="L458" s="63">
        <f>L450</f>
        <v>3</v>
      </c>
      <c r="M458" s="63">
        <f>M450</f>
        <v>1</v>
      </c>
      <c r="N458" s="63">
        <f>N450</f>
        <v>3</v>
      </c>
      <c r="O458" s="63">
        <f>O450</f>
        <v>0</v>
      </c>
      <c r="P458" s="63">
        <f>P450</f>
        <v>9</v>
      </c>
      <c r="Q458" s="63">
        <f>Q450</f>
        <v>0</v>
      </c>
      <c r="R458" s="63"/>
      <c r="S458" s="10"/>
      <c r="T458" s="10"/>
      <c r="U458" s="17"/>
      <c r="V458" s="10"/>
      <c r="W458" s="10"/>
      <c r="X458" s="10"/>
    </row>
    <row r="459" spans="2:24">
      <c r="B459" s="11"/>
      <c r="C459" s="10"/>
      <c r="D459" s="10"/>
      <c r="E459" s="10"/>
      <c r="F459" s="10"/>
      <c r="G459" s="10"/>
      <c r="H459" s="10"/>
      <c r="I459" s="10"/>
      <c r="J459" s="10" t="s">
        <v>44</v>
      </c>
      <c r="K459" s="63">
        <f>K451</f>
        <v>6</v>
      </c>
      <c r="L459" s="63">
        <f>L451</f>
        <v>2</v>
      </c>
      <c r="M459" s="63">
        <f>M451</f>
        <v>1</v>
      </c>
      <c r="N459" s="63">
        <f>N451</f>
        <v>4</v>
      </c>
      <c r="O459" s="63">
        <f>O451</f>
        <v>0</v>
      </c>
      <c r="P459" s="63">
        <f>P451</f>
        <v>13</v>
      </c>
      <c r="Q459" s="63">
        <f>Q451</f>
        <v>0</v>
      </c>
      <c r="R459" s="63"/>
      <c r="S459" s="10"/>
      <c r="T459" s="10"/>
      <c r="U459" s="17"/>
      <c r="V459" s="10"/>
      <c r="W459" s="10"/>
      <c r="X459" s="10"/>
    </row>
    <row r="460" spans="2:24">
      <c r="B460" s="11"/>
      <c r="C460" s="10"/>
      <c r="D460" s="10"/>
      <c r="E460" s="10"/>
      <c r="F460" s="10"/>
      <c r="G460" s="10"/>
      <c r="H460" s="10"/>
      <c r="I460" s="10"/>
      <c r="J460" s="10" t="s">
        <v>46</v>
      </c>
      <c r="K460" s="31">
        <f>K458/(K458+K459)</f>
        <v>0.25</v>
      </c>
      <c r="L460" s="31">
        <f>L458/(L458+L459)</f>
        <v>0.6</v>
      </c>
      <c r="M460" s="31">
        <f>M458/(M458+M459)</f>
        <v>0.5</v>
      </c>
      <c r="N460" s="31">
        <f>N458/(N458+N459)</f>
        <v>0.42857142857142855</v>
      </c>
      <c r="O460" s="31" t="e">
        <f>O458/(O458+O459)</f>
        <v>#DIV/0!</v>
      </c>
      <c r="P460" s="31">
        <f>P458/(P458+P459)</f>
        <v>0.40909090909090912</v>
      </c>
      <c r="Q460" s="31" t="e">
        <f>Q458/(Q458+Q459)</f>
        <v>#DIV/0!</v>
      </c>
      <c r="R460" s="63"/>
      <c r="S460" s="10"/>
      <c r="T460" s="10"/>
      <c r="U460" s="17"/>
      <c r="V460" s="10"/>
      <c r="W460" s="10"/>
      <c r="X460" s="10"/>
    </row>
    <row r="461" spans="2:24">
      <c r="B461" s="11"/>
      <c r="C461" s="10"/>
      <c r="D461" s="10"/>
      <c r="E461" s="10"/>
      <c r="F461" s="10"/>
      <c r="G461" s="10"/>
      <c r="H461" s="10"/>
      <c r="I461" s="10"/>
      <c r="J461" s="10" t="s">
        <v>48</v>
      </c>
      <c r="K461" s="66">
        <f>K457/K458</f>
        <v>1201</v>
      </c>
      <c r="L461" s="66">
        <f>L457/L458</f>
        <v>2173.3333333333335</v>
      </c>
      <c r="M461" s="66">
        <f>M457/M458</f>
        <v>4461</v>
      </c>
      <c r="N461" s="66">
        <f>N457/N458</f>
        <v>823.5</v>
      </c>
      <c r="O461" s="66" t="e">
        <f>O457/O458</f>
        <v>#DIV/0!</v>
      </c>
      <c r="P461" s="66">
        <f>P457/P458</f>
        <v>1761.5</v>
      </c>
      <c r="Q461" s="66" t="e">
        <f>Q457/Q458</f>
        <v>#DIV/0!</v>
      </c>
      <c r="R461" s="63"/>
      <c r="S461" s="10"/>
      <c r="T461" s="10"/>
      <c r="U461" s="17"/>
      <c r="V461" s="10"/>
      <c r="W461" s="10"/>
      <c r="X461" s="10"/>
    </row>
    <row r="462" spans="2:24">
      <c r="B462" s="11"/>
      <c r="C462" s="10"/>
      <c r="D462" s="10"/>
      <c r="E462" s="10"/>
      <c r="F462" s="10"/>
      <c r="G462" s="10"/>
      <c r="H462" s="10"/>
      <c r="I462" s="10"/>
      <c r="J462" s="10"/>
      <c r="K462" s="10"/>
      <c r="L462" s="10"/>
      <c r="M462" s="10"/>
      <c r="N462" s="10"/>
      <c r="O462" s="10"/>
      <c r="P462" s="10"/>
      <c r="Q462" s="10"/>
      <c r="R462" s="10"/>
      <c r="S462" s="10"/>
      <c r="T462" s="10"/>
      <c r="U462" s="17"/>
      <c r="V462" s="10"/>
      <c r="W462" s="10"/>
      <c r="X462" s="10"/>
    </row>
    <row r="463" spans="2:24">
      <c r="B463" s="11"/>
      <c r="C463" s="10"/>
      <c r="D463" s="10"/>
      <c r="E463" s="10"/>
      <c r="F463" s="10"/>
      <c r="G463" s="10"/>
      <c r="H463" s="10"/>
      <c r="I463" s="10"/>
      <c r="J463" s="10"/>
      <c r="K463" s="10"/>
      <c r="L463" s="10"/>
      <c r="M463" s="10"/>
      <c r="N463" s="10"/>
      <c r="O463" s="10"/>
      <c r="P463" s="10"/>
      <c r="Q463" s="10"/>
      <c r="R463" s="10"/>
      <c r="S463" s="10"/>
      <c r="T463" s="10"/>
      <c r="U463" s="17"/>
      <c r="V463" s="10"/>
      <c r="W463" s="10"/>
      <c r="X463" s="10"/>
    </row>
    <row r="464" spans="2:24">
      <c r="B464" s="18" t="s">
        <v>51</v>
      </c>
      <c r="C464" s="14"/>
      <c r="D464" s="14"/>
      <c r="E464" s="14"/>
      <c r="F464" s="13" t="s">
        <v>52</v>
      </c>
      <c r="G464" s="14"/>
      <c r="H464" s="14"/>
      <c r="I464" s="14"/>
      <c r="J464" s="14"/>
      <c r="K464" s="13" t="s">
        <v>3</v>
      </c>
      <c r="L464" s="14"/>
      <c r="M464" s="14"/>
      <c r="N464" s="13" t="s">
        <v>4</v>
      </c>
      <c r="O464" s="14"/>
      <c r="P464" s="14"/>
      <c r="Q464" s="13" t="s">
        <v>5</v>
      </c>
      <c r="R464" s="14"/>
      <c r="S464" s="14"/>
      <c r="T464" s="18"/>
      <c r="U464" s="16" t="s">
        <v>53</v>
      </c>
      <c r="V464" s="77"/>
      <c r="W464" s="77"/>
      <c r="X464" s="77"/>
    </row>
    <row r="465" spans="1:25">
      <c r="B465" s="24" t="s">
        <v>54</v>
      </c>
      <c r="C465" s="21" t="s">
        <v>55</v>
      </c>
      <c r="D465" s="21" t="s">
        <v>56</v>
      </c>
      <c r="E465" s="21" t="s">
        <v>57</v>
      </c>
      <c r="F465" s="20" t="s">
        <v>58</v>
      </c>
      <c r="G465" s="21" t="s">
        <v>59</v>
      </c>
      <c r="H465" s="21" t="s">
        <v>60</v>
      </c>
      <c r="I465" s="21" t="s">
        <v>26</v>
      </c>
      <c r="J465" s="22" t="s">
        <v>61</v>
      </c>
      <c r="K465" s="21" t="s">
        <v>8</v>
      </c>
      <c r="L465" s="21" t="s">
        <v>9</v>
      </c>
      <c r="M465" s="21" t="s">
        <v>10</v>
      </c>
      <c r="N465" s="20" t="s">
        <v>11</v>
      </c>
      <c r="O465" s="21" t="s">
        <v>12</v>
      </c>
      <c r="P465" s="22" t="s">
        <v>13</v>
      </c>
      <c r="Q465" s="21" t="s">
        <v>11</v>
      </c>
      <c r="R465" s="21" t="s">
        <v>12</v>
      </c>
      <c r="S465" s="21" t="s">
        <v>13</v>
      </c>
      <c r="T465" s="78" t="s">
        <v>14</v>
      </c>
      <c r="U465" s="30"/>
      <c r="V465" s="79" t="s">
        <v>62</v>
      </c>
      <c r="W465" s="80" t="s">
        <v>63</v>
      </c>
      <c r="X465" s="81" t="s">
        <v>64</v>
      </c>
    </row>
    <row r="466" spans="1:25">
      <c r="B466" s="4" t="s">
        <v>65</v>
      </c>
      <c r="C466" s="6"/>
      <c r="D466" s="6"/>
      <c r="E466" s="6"/>
      <c r="F466" s="6"/>
      <c r="G466" s="6"/>
      <c r="H466" s="6"/>
      <c r="I466" s="82"/>
      <c r="J466" s="6"/>
      <c r="K466" s="6"/>
      <c r="L466" s="6"/>
      <c r="M466" s="6"/>
      <c r="N466" s="6"/>
      <c r="O466" s="6"/>
      <c r="P466" s="6"/>
      <c r="Q466" s="6"/>
      <c r="R466" s="6"/>
      <c r="S466" s="6"/>
      <c r="T466" s="83"/>
      <c r="U466" s="6"/>
      <c r="V466" s="84"/>
      <c r="W466" s="85"/>
      <c r="X466" s="86"/>
    </row>
    <row r="467" spans="1:25">
      <c r="B467" s="87">
        <v>1</v>
      </c>
      <c r="C467" s="274">
        <v>45866</v>
      </c>
      <c r="D467" s="327">
        <v>71805</v>
      </c>
      <c r="E467" s="276" t="s">
        <v>512</v>
      </c>
      <c r="F467" s="277">
        <v>1264</v>
      </c>
      <c r="G467" s="277">
        <v>39.700000000000003</v>
      </c>
      <c r="H467" s="297"/>
      <c r="I467" s="321">
        <f>F467-G467-H467</f>
        <v>1224.3</v>
      </c>
      <c r="J467" s="279" t="s">
        <v>156</v>
      </c>
      <c r="K467" s="279">
        <v>1</v>
      </c>
      <c r="L467" s="279">
        <v>1</v>
      </c>
      <c r="M467" s="279">
        <v>1</v>
      </c>
      <c r="N467" s="279">
        <v>1</v>
      </c>
      <c r="O467" s="279">
        <v>1</v>
      </c>
      <c r="P467" s="322">
        <v>0</v>
      </c>
      <c r="Q467" s="279">
        <v>1</v>
      </c>
      <c r="R467" s="279">
        <v>1</v>
      </c>
      <c r="S467" s="280">
        <v>1</v>
      </c>
      <c r="T467" s="63"/>
      <c r="U467" s="10"/>
      <c r="V467" s="90">
        <f>139+1251.4</f>
        <v>1390.4</v>
      </c>
      <c r="W467" s="91"/>
      <c r="X467" s="92"/>
    </row>
    <row r="468" spans="1:25">
      <c r="A468" t="s">
        <v>230</v>
      </c>
      <c r="B468" s="87">
        <f t="shared" ref="B468:B474" si="52">B467+1</f>
        <v>2</v>
      </c>
      <c r="C468" s="295">
        <v>45866</v>
      </c>
      <c r="D468" s="346" t="s">
        <v>2014</v>
      </c>
      <c r="E468" s="101" t="s">
        <v>334</v>
      </c>
      <c r="F468" s="62">
        <v>1138</v>
      </c>
      <c r="G468" s="62">
        <v>39.700000000000003</v>
      </c>
      <c r="H468" s="62"/>
      <c r="I468" s="369">
        <f>F468-G468-H468</f>
        <v>1098.3</v>
      </c>
      <c r="J468" s="63" t="s">
        <v>156</v>
      </c>
      <c r="K468" s="63">
        <v>1</v>
      </c>
      <c r="L468" s="63">
        <v>1</v>
      </c>
      <c r="M468" s="325">
        <v>0</v>
      </c>
      <c r="N468" s="63">
        <v>1</v>
      </c>
      <c r="O468" s="63">
        <v>1</v>
      </c>
      <c r="P468" s="325">
        <v>0</v>
      </c>
      <c r="Q468" s="63">
        <v>1</v>
      </c>
      <c r="R468" s="63">
        <v>1</v>
      </c>
      <c r="S468" s="296">
        <v>1</v>
      </c>
      <c r="T468" s="63"/>
      <c r="U468" s="10"/>
      <c r="V468" s="90">
        <f>125+1126.8</f>
        <v>1251.8</v>
      </c>
      <c r="W468" s="91"/>
      <c r="X468" s="92"/>
    </row>
    <row r="469" spans="1:25">
      <c r="A469" t="s">
        <v>230</v>
      </c>
      <c r="B469" s="87">
        <f>B468+1</f>
        <v>3</v>
      </c>
      <c r="C469" s="274">
        <v>45867</v>
      </c>
      <c r="D469" s="320" t="s">
        <v>2015</v>
      </c>
      <c r="E469" s="281" t="s">
        <v>206</v>
      </c>
      <c r="F469" s="277">
        <v>637</v>
      </c>
      <c r="G469" s="277"/>
      <c r="H469" s="277"/>
      <c r="I469" s="329">
        <f>F469-G469-H469</f>
        <v>637</v>
      </c>
      <c r="J469" s="279" t="s">
        <v>374</v>
      </c>
      <c r="K469" s="279">
        <v>1</v>
      </c>
      <c r="L469" s="279">
        <v>1</v>
      </c>
      <c r="M469" s="279">
        <v>1</v>
      </c>
      <c r="N469" s="279">
        <v>1</v>
      </c>
      <c r="O469" s="279">
        <v>1</v>
      </c>
      <c r="P469" s="322">
        <v>0</v>
      </c>
      <c r="Q469" s="279">
        <v>1</v>
      </c>
      <c r="R469" s="322">
        <v>0</v>
      </c>
      <c r="S469" s="280">
        <v>1</v>
      </c>
      <c r="T469" s="63"/>
      <c r="U469" s="17" t="s">
        <v>2016</v>
      </c>
      <c r="V469" s="90">
        <v>700.7</v>
      </c>
      <c r="W469" s="91"/>
      <c r="X469" s="92"/>
    </row>
    <row r="470" spans="1:25">
      <c r="A470" t="s">
        <v>230</v>
      </c>
      <c r="B470" s="87">
        <f>B469+1</f>
        <v>4</v>
      </c>
      <c r="C470" s="295">
        <v>45867</v>
      </c>
      <c r="D470" s="346" t="s">
        <v>2017</v>
      </c>
      <c r="E470" s="101" t="s">
        <v>158</v>
      </c>
      <c r="F470" s="62">
        <v>1422</v>
      </c>
      <c r="G470" s="62">
        <f>39.7</f>
        <v>39.700000000000003</v>
      </c>
      <c r="H470" s="62"/>
      <c r="I470" s="369">
        <f>F470-G470-H470</f>
        <v>1382.3</v>
      </c>
      <c r="J470" s="63" t="s">
        <v>156</v>
      </c>
      <c r="K470" s="63">
        <v>1</v>
      </c>
      <c r="L470" s="325">
        <v>0</v>
      </c>
      <c r="M470" s="325">
        <v>0</v>
      </c>
      <c r="N470" s="63">
        <v>1</v>
      </c>
      <c r="O470" s="63">
        <v>1</v>
      </c>
      <c r="P470" s="325">
        <v>0</v>
      </c>
      <c r="Q470" s="325">
        <v>0</v>
      </c>
      <c r="R470" s="325">
        <v>0</v>
      </c>
      <c r="S470" s="326">
        <v>0</v>
      </c>
      <c r="T470" s="63"/>
      <c r="U470" s="10" t="s">
        <v>2018</v>
      </c>
      <c r="V470" s="90">
        <f>1074.2+490</f>
        <v>1564.2</v>
      </c>
      <c r="W470" s="91"/>
      <c r="X470" s="92"/>
    </row>
    <row r="471" spans="1:25">
      <c r="B471" s="87">
        <f>B470+1</f>
        <v>5</v>
      </c>
      <c r="C471" s="262">
        <v>45868</v>
      </c>
      <c r="D471" s="263">
        <v>71887</v>
      </c>
      <c r="E471" s="271" t="s">
        <v>306</v>
      </c>
      <c r="F471" s="265">
        <v>4461</v>
      </c>
      <c r="G471" s="265">
        <f>39.7+(3.88+736.79)+300</f>
        <v>1080.3699999999999</v>
      </c>
      <c r="H471" s="265"/>
      <c r="I471" s="266">
        <f>F471-G471-H471</f>
        <v>3380.63</v>
      </c>
      <c r="J471" s="267" t="s">
        <v>228</v>
      </c>
      <c r="K471" s="267">
        <v>1</v>
      </c>
      <c r="L471" s="267">
        <v>1</v>
      </c>
      <c r="M471" s="314">
        <v>0</v>
      </c>
      <c r="N471" s="267">
        <v>1</v>
      </c>
      <c r="O471" s="267">
        <v>1</v>
      </c>
      <c r="P471" s="314">
        <v>0</v>
      </c>
      <c r="Q471" s="267">
        <v>1</v>
      </c>
      <c r="R471" s="314">
        <v>0</v>
      </c>
      <c r="S471" s="269">
        <v>1</v>
      </c>
      <c r="T471" s="63"/>
      <c r="U471" s="94" t="s">
        <v>2019</v>
      </c>
      <c r="V471" s="90">
        <f>490+900+3517.1</f>
        <v>4907.1000000000004</v>
      </c>
      <c r="W471" s="91"/>
      <c r="X471" s="92"/>
    </row>
    <row r="472" spans="1:25">
      <c r="B472" s="87">
        <f>B471+1</f>
        <v>6</v>
      </c>
      <c r="C472" s="274">
        <v>45869</v>
      </c>
      <c r="D472" s="320" t="s">
        <v>2020</v>
      </c>
      <c r="E472" s="404" t="s">
        <v>1923</v>
      </c>
      <c r="F472" s="277">
        <v>581</v>
      </c>
      <c r="G472" s="277">
        <v>39.700000000000003</v>
      </c>
      <c r="H472" s="277"/>
      <c r="I472" s="321">
        <f>F472-G472-H472</f>
        <v>541.29999999999995</v>
      </c>
      <c r="J472" s="279" t="s">
        <v>156</v>
      </c>
      <c r="K472" s="279">
        <v>1</v>
      </c>
      <c r="L472" s="279">
        <v>1</v>
      </c>
      <c r="M472" s="279">
        <v>1</v>
      </c>
      <c r="N472" s="279">
        <v>1</v>
      </c>
      <c r="O472" s="279">
        <v>1</v>
      </c>
      <c r="P472" s="322">
        <v>0</v>
      </c>
      <c r="Q472" s="279">
        <v>1</v>
      </c>
      <c r="R472" s="279">
        <v>1</v>
      </c>
      <c r="S472" s="328">
        <v>0</v>
      </c>
      <c r="T472" s="63"/>
      <c r="U472" s="10"/>
      <c r="V472" s="90">
        <f>63+576.1</f>
        <v>639.1</v>
      </c>
      <c r="W472" s="91"/>
      <c r="X472" s="92"/>
    </row>
    <row r="473" spans="1:25">
      <c r="B473" s="87">
        <f t="shared" si="52"/>
        <v>7</v>
      </c>
      <c r="C473" s="295">
        <v>45869</v>
      </c>
      <c r="D473" s="346" t="s">
        <v>2021</v>
      </c>
      <c r="E473" s="10" t="s">
        <v>577</v>
      </c>
      <c r="F473" s="62">
        <v>1208.5</v>
      </c>
      <c r="G473" s="62">
        <v>39.700000000000003</v>
      </c>
      <c r="H473" s="62"/>
      <c r="I473" s="324">
        <f>F473-G473-H473</f>
        <v>1168.8</v>
      </c>
      <c r="J473" s="63" t="s">
        <v>156</v>
      </c>
      <c r="K473" s="63">
        <v>1</v>
      </c>
      <c r="L473" s="63">
        <v>1</v>
      </c>
      <c r="M473" s="63">
        <v>1</v>
      </c>
      <c r="N473" s="63">
        <v>1</v>
      </c>
      <c r="O473" s="63">
        <v>1</v>
      </c>
      <c r="P473" s="325">
        <v>0</v>
      </c>
      <c r="Q473" s="63">
        <v>1</v>
      </c>
      <c r="R473" s="63">
        <v>1</v>
      </c>
      <c r="S473" s="296">
        <v>1</v>
      </c>
      <c r="T473" s="63"/>
      <c r="U473" s="10"/>
      <c r="V473" s="90">
        <f>132+1197.35</f>
        <v>1329.35</v>
      </c>
      <c r="W473" s="91"/>
      <c r="X473" s="92"/>
    </row>
    <row r="474" spans="1:25">
      <c r="B474" s="87">
        <f t="shared" si="52"/>
        <v>8</v>
      </c>
      <c r="C474" s="282">
        <v>45869</v>
      </c>
      <c r="D474" s="330" t="s">
        <v>2022</v>
      </c>
      <c r="E474" s="283" t="s">
        <v>225</v>
      </c>
      <c r="F474" s="284">
        <v>681</v>
      </c>
      <c r="G474" s="284"/>
      <c r="H474" s="315"/>
      <c r="I474" s="300">
        <f>F474-G474-H474</f>
        <v>681</v>
      </c>
      <c r="J474" s="286" t="s">
        <v>150</v>
      </c>
      <c r="K474" s="286">
        <v>1</v>
      </c>
      <c r="L474" s="286">
        <v>1</v>
      </c>
      <c r="M474" s="286">
        <v>1</v>
      </c>
      <c r="N474" s="286">
        <v>1</v>
      </c>
      <c r="O474" s="286">
        <v>1</v>
      </c>
      <c r="P474" s="332">
        <v>0</v>
      </c>
      <c r="Q474" s="332">
        <v>0</v>
      </c>
      <c r="R474" s="332">
        <v>0</v>
      </c>
      <c r="S474" s="370">
        <v>0</v>
      </c>
      <c r="T474" s="63"/>
      <c r="U474" s="10"/>
      <c r="V474" s="90">
        <v>0</v>
      </c>
      <c r="W474" s="440">
        <v>749.1</v>
      </c>
      <c r="X474" s="92"/>
    </row>
    <row r="475" spans="1:25">
      <c r="B475" s="87"/>
      <c r="C475" s="36"/>
      <c r="D475" s="10"/>
      <c r="E475" s="10"/>
      <c r="F475" s="97">
        <f>SUM(F467:F474)</f>
        <v>11392.5</v>
      </c>
      <c r="G475" s="97">
        <f>SUM(G467:G474)</f>
        <v>1278.8699999999999</v>
      </c>
      <c r="H475" s="97">
        <f>SUM(H467:H474)</f>
        <v>0</v>
      </c>
      <c r="I475" s="98">
        <f>SUM(I467:I474)</f>
        <v>10113.629999999999</v>
      </c>
      <c r="J475" s="63"/>
      <c r="K475" s="63">
        <f>COUNT(K467:K474)</f>
        <v>8</v>
      </c>
      <c r="L475" s="63">
        <f>COUNT(L467:L474)</f>
        <v>8</v>
      </c>
      <c r="M475" s="63">
        <f>COUNT(M467:M474)</f>
        <v>8</v>
      </c>
      <c r="N475" s="63">
        <f>COUNT(N467:N474)</f>
        <v>8</v>
      </c>
      <c r="O475" s="63">
        <f>COUNT(O467:O474)</f>
        <v>8</v>
      </c>
      <c r="P475" s="63">
        <f>COUNT(P467:P474)</f>
        <v>8</v>
      </c>
      <c r="Q475" s="63">
        <f>COUNT(Q467:Q474)</f>
        <v>8</v>
      </c>
      <c r="R475" s="63">
        <f>COUNT(R467:R474)</f>
        <v>8</v>
      </c>
      <c r="S475" s="63">
        <f>COUNT(S467:S474)</f>
        <v>8</v>
      </c>
      <c r="T475" s="63"/>
      <c r="U475" s="10"/>
      <c r="V475" s="90"/>
      <c r="W475" s="91"/>
      <c r="X475" s="92"/>
    </row>
    <row r="476" spans="1:25">
      <c r="B476" s="87"/>
      <c r="C476" s="36"/>
      <c r="D476" s="10"/>
      <c r="E476" s="10"/>
      <c r="F476" s="88"/>
      <c r="G476" s="88"/>
      <c r="H476" s="88"/>
      <c r="I476" s="99"/>
      <c r="J476" s="63"/>
      <c r="K476" s="21">
        <f>SUM(K467:K474)</f>
        <v>8</v>
      </c>
      <c r="L476" s="21">
        <f>SUM(L467:L474)</f>
        <v>7</v>
      </c>
      <c r="M476" s="21">
        <f>SUM(M467:M474)</f>
        <v>5</v>
      </c>
      <c r="N476" s="21">
        <f>SUM(N467:N474)</f>
        <v>8</v>
      </c>
      <c r="O476" s="21">
        <f>SUM(O467:O474)</f>
        <v>8</v>
      </c>
      <c r="P476" s="21">
        <f>SUM(P467:P474)</f>
        <v>0</v>
      </c>
      <c r="Q476" s="21">
        <f>SUM(Q467:Q474)</f>
        <v>6</v>
      </c>
      <c r="R476" s="21">
        <f>SUM(R467:R474)</f>
        <v>4</v>
      </c>
      <c r="S476" s="21">
        <f>SUM(S467:S474)</f>
        <v>5</v>
      </c>
      <c r="T476" s="63"/>
      <c r="U476" s="10"/>
      <c r="V476" s="90"/>
      <c r="W476" s="91"/>
      <c r="X476" s="92"/>
    </row>
    <row r="477" spans="1:25">
      <c r="B477" s="11"/>
      <c r="C477" s="36"/>
      <c r="D477" s="10"/>
      <c r="E477" s="10"/>
      <c r="F477" s="88"/>
      <c r="G477" s="88"/>
      <c r="H477" s="88"/>
      <c r="I477" s="99"/>
      <c r="J477" s="63"/>
      <c r="K477" s="21"/>
      <c r="L477" s="21"/>
      <c r="M477" s="21"/>
      <c r="N477" s="21"/>
      <c r="O477" s="21"/>
      <c r="P477" s="21"/>
      <c r="Q477" s="21"/>
      <c r="R477" s="21"/>
      <c r="S477" s="21"/>
      <c r="T477" s="63"/>
      <c r="U477" s="94"/>
      <c r="V477" s="90"/>
      <c r="W477" s="91"/>
      <c r="X477" s="92"/>
    </row>
    <row r="478" spans="1:25">
      <c r="B478" s="100" t="s">
        <v>67</v>
      </c>
      <c r="C478" s="36"/>
      <c r="D478" s="10"/>
      <c r="E478" s="10"/>
      <c r="F478" s="88"/>
      <c r="G478" s="62"/>
      <c r="H478" s="88"/>
      <c r="I478" s="99"/>
      <c r="J478" s="63"/>
      <c r="K478" s="2"/>
      <c r="L478" s="2"/>
      <c r="M478" s="2"/>
      <c r="N478" s="2"/>
      <c r="O478" s="2"/>
      <c r="P478" s="2"/>
      <c r="Q478" s="2"/>
      <c r="R478" s="2"/>
      <c r="S478" s="2"/>
      <c r="T478" s="63"/>
      <c r="U478" s="94"/>
      <c r="V478" s="90"/>
      <c r="W478" s="91"/>
      <c r="X478" s="92"/>
    </row>
    <row r="479" spans="1:25">
      <c r="A479" s="261" t="s">
        <v>2023</v>
      </c>
      <c r="B479" s="87">
        <v>1</v>
      </c>
      <c r="C479" s="274">
        <v>45859</v>
      </c>
      <c r="D479" s="327" t="s">
        <v>1995</v>
      </c>
      <c r="E479" s="276" t="s">
        <v>354</v>
      </c>
      <c r="F479" s="277">
        <v>4419</v>
      </c>
      <c r="G479" s="277">
        <f>39.7+(233.86)+200</f>
        <v>473.56</v>
      </c>
      <c r="H479" s="277">
        <f>870.61+87.06</f>
        <v>957.67000000000007</v>
      </c>
      <c r="I479" s="321">
        <f>F479-G479-H479</f>
        <v>2987.77</v>
      </c>
      <c r="J479" s="279" t="s">
        <v>156</v>
      </c>
      <c r="K479" s="279">
        <v>1</v>
      </c>
      <c r="L479" s="279">
        <v>1</v>
      </c>
      <c r="M479" s="279">
        <v>1</v>
      </c>
      <c r="N479" s="279">
        <v>1</v>
      </c>
      <c r="O479" s="279">
        <v>1</v>
      </c>
      <c r="P479" s="322">
        <v>0</v>
      </c>
      <c r="Q479" s="322">
        <v>0</v>
      </c>
      <c r="R479" s="322">
        <v>0</v>
      </c>
      <c r="S479" s="328">
        <v>0</v>
      </c>
      <c r="T479" s="63"/>
      <c r="U479" s="94" t="s">
        <v>2024</v>
      </c>
      <c r="V479" s="90"/>
      <c r="W479" s="136"/>
      <c r="X479" s="137">
        <v>3417.23</v>
      </c>
    </row>
    <row r="480" spans="1:25">
      <c r="A480" s="261" t="s">
        <v>1465</v>
      </c>
      <c r="B480" s="87">
        <f>B479+1</f>
        <v>2</v>
      </c>
      <c r="C480" s="262">
        <v>45855</v>
      </c>
      <c r="D480" s="263" t="s">
        <v>1961</v>
      </c>
      <c r="E480" s="271" t="s">
        <v>225</v>
      </c>
      <c r="F480" s="265">
        <v>1861</v>
      </c>
      <c r="G480" s="265">
        <f>39.7</f>
        <v>39.700000000000003</v>
      </c>
      <c r="H480" s="265"/>
      <c r="I480" s="266">
        <f>F480-G480-H480</f>
        <v>1821.3</v>
      </c>
      <c r="J480" s="267" t="s">
        <v>156</v>
      </c>
      <c r="K480" s="267">
        <v>1</v>
      </c>
      <c r="L480" s="267">
        <v>1</v>
      </c>
      <c r="M480" s="267">
        <v>1</v>
      </c>
      <c r="N480" s="267">
        <v>1</v>
      </c>
      <c r="O480" s="267">
        <v>1</v>
      </c>
      <c r="P480" s="314">
        <v>0</v>
      </c>
      <c r="Q480" s="314">
        <v>0</v>
      </c>
      <c r="R480" s="314">
        <v>0</v>
      </c>
      <c r="S480" s="366">
        <v>0</v>
      </c>
      <c r="T480" s="63"/>
      <c r="U480" s="94" t="s">
        <v>2003</v>
      </c>
      <c r="V480" s="90"/>
      <c r="W480" s="136"/>
      <c r="X480" s="137"/>
      <c r="Y480" s="260"/>
    </row>
    <row r="481" spans="1:25">
      <c r="A481" s="261" t="s">
        <v>2025</v>
      </c>
      <c r="B481" s="87">
        <f t="shared" ref="B481:B482" si="53">B480+1</f>
        <v>3</v>
      </c>
      <c r="C481" s="274">
        <v>45856</v>
      </c>
      <c r="D481" s="327">
        <v>71568</v>
      </c>
      <c r="E481" s="276" t="s">
        <v>369</v>
      </c>
      <c r="F481" s="277">
        <v>1513</v>
      </c>
      <c r="G481" s="277">
        <f>39.7+(303.06)+200</f>
        <v>542.76</v>
      </c>
      <c r="H481" s="277"/>
      <c r="I481" s="321">
        <f>F481-G481-H481</f>
        <v>970.24</v>
      </c>
      <c r="J481" s="279" t="s">
        <v>2026</v>
      </c>
      <c r="K481" s="279">
        <v>1</v>
      </c>
      <c r="L481" s="279">
        <v>1</v>
      </c>
      <c r="M481" s="279">
        <v>1</v>
      </c>
      <c r="N481" s="279">
        <v>1</v>
      </c>
      <c r="O481" s="279">
        <v>1</v>
      </c>
      <c r="P481" s="322">
        <v>0</v>
      </c>
      <c r="Q481" s="279">
        <v>1</v>
      </c>
      <c r="R481" s="279">
        <v>1</v>
      </c>
      <c r="S481" s="280">
        <v>1</v>
      </c>
      <c r="T481" s="63"/>
      <c r="U481" s="94"/>
      <c r="V481" s="90"/>
      <c r="W481" s="136"/>
      <c r="X481" s="137"/>
      <c r="Y481" s="260"/>
    </row>
    <row r="482" spans="1:25">
      <c r="A482" s="261" t="s">
        <v>2025</v>
      </c>
      <c r="B482" s="87">
        <f t="shared" si="53"/>
        <v>4</v>
      </c>
      <c r="C482" s="295">
        <v>45856</v>
      </c>
      <c r="D482" s="323" t="s">
        <v>1964</v>
      </c>
      <c r="E482" s="10" t="s">
        <v>369</v>
      </c>
      <c r="F482" s="62">
        <v>3196.6</v>
      </c>
      <c r="G482" s="62">
        <f>39.7</f>
        <v>39.700000000000003</v>
      </c>
      <c r="H482" s="62"/>
      <c r="I482" s="324">
        <f>F482-G482-H482</f>
        <v>3156.9</v>
      </c>
      <c r="J482" s="63" t="s">
        <v>156</v>
      </c>
      <c r="K482" s="63">
        <v>1</v>
      </c>
      <c r="L482" s="63">
        <v>1</v>
      </c>
      <c r="M482" s="63">
        <v>1</v>
      </c>
      <c r="N482" s="63">
        <v>1</v>
      </c>
      <c r="O482" s="63">
        <v>1</v>
      </c>
      <c r="P482" s="325">
        <v>0</v>
      </c>
      <c r="Q482" s="63">
        <v>1</v>
      </c>
      <c r="R482" s="63">
        <v>1</v>
      </c>
      <c r="S482" s="296">
        <v>1</v>
      </c>
      <c r="T482" s="63"/>
      <c r="U482" s="94"/>
      <c r="V482" s="90"/>
      <c r="W482" s="137"/>
      <c r="X482" s="137"/>
      <c r="Y482" s="260"/>
    </row>
    <row r="483" spans="1:25">
      <c r="A483" s="261" t="s">
        <v>2027</v>
      </c>
      <c r="B483" s="87">
        <f>B501+1</f>
        <v>5</v>
      </c>
      <c r="C483" s="262">
        <v>45861</v>
      </c>
      <c r="D483" s="357" t="s">
        <v>2000</v>
      </c>
      <c r="E483" s="271" t="s">
        <v>196</v>
      </c>
      <c r="F483" s="265">
        <v>12367</v>
      </c>
      <c r="G483" s="265">
        <f>39.7+1100+(86.11+39.53+90.34+251.78-246.39)+500</f>
        <v>1861.0700000000002</v>
      </c>
      <c r="H483" s="265">
        <f>1799.82+179.98</f>
        <v>1979.8</v>
      </c>
      <c r="I483" s="266">
        <f>F483-G483-H483</f>
        <v>8526.130000000001</v>
      </c>
      <c r="J483" s="267" t="s">
        <v>185</v>
      </c>
      <c r="K483" s="267">
        <v>1</v>
      </c>
      <c r="L483" s="267">
        <v>1</v>
      </c>
      <c r="M483" s="267">
        <v>1</v>
      </c>
      <c r="N483" s="267">
        <v>1</v>
      </c>
      <c r="O483" s="267">
        <v>1</v>
      </c>
      <c r="P483" s="314">
        <v>0</v>
      </c>
      <c r="Q483" s="314">
        <v>0</v>
      </c>
      <c r="R483" s="314">
        <v>0</v>
      </c>
      <c r="S483" s="366">
        <v>0</v>
      </c>
      <c r="T483" s="63"/>
      <c r="U483" s="10" t="s">
        <v>2028</v>
      </c>
      <c r="V483" s="90"/>
      <c r="W483" s="136"/>
      <c r="X483" s="137">
        <f>10263.9</f>
        <v>10263.9</v>
      </c>
      <c r="Y483" s="260"/>
    </row>
    <row r="484" spans="1:25">
      <c r="B484" s="11"/>
      <c r="C484" s="36"/>
      <c r="D484" s="10"/>
      <c r="E484" s="10"/>
      <c r="F484" s="97">
        <f>SUM(F479:F483)</f>
        <v>23356.6</v>
      </c>
      <c r="G484" s="97">
        <f>SUM(G479:G483)</f>
        <v>2956.79</v>
      </c>
      <c r="H484" s="97">
        <f>SUM(H479:H483)</f>
        <v>2937.4700000000003</v>
      </c>
      <c r="I484" s="97">
        <f>SUM(I479:I483)</f>
        <v>17462.34</v>
      </c>
      <c r="J484" s="63"/>
      <c r="K484" s="21"/>
      <c r="L484" s="21"/>
      <c r="M484" s="21"/>
      <c r="N484" s="21"/>
      <c r="O484" s="21"/>
      <c r="P484" s="21"/>
      <c r="Q484" s="21"/>
      <c r="R484" s="21"/>
      <c r="S484" s="21"/>
      <c r="T484" s="63"/>
      <c r="U484" s="94"/>
      <c r="V484" s="90"/>
      <c r="W484" s="91"/>
      <c r="X484" s="92"/>
    </row>
    <row r="485" spans="1:25">
      <c r="B485" s="11"/>
      <c r="C485" s="36"/>
      <c r="D485" s="10"/>
      <c r="E485" s="10"/>
      <c r="F485" s="88"/>
      <c r="G485" s="88"/>
      <c r="H485" s="88"/>
      <c r="I485" s="99"/>
      <c r="J485" s="63"/>
      <c r="K485" s="21"/>
      <c r="L485" s="21"/>
      <c r="M485" s="21"/>
      <c r="N485" s="21"/>
      <c r="O485" s="21"/>
      <c r="P485" s="21"/>
      <c r="Q485" s="21"/>
      <c r="R485" s="21"/>
      <c r="S485" s="21"/>
      <c r="T485" s="63"/>
      <c r="U485" s="94"/>
      <c r="V485" s="90"/>
      <c r="W485" s="91"/>
      <c r="X485" s="92"/>
    </row>
    <row r="486" spans="1:25">
      <c r="B486" s="121" t="s">
        <v>68</v>
      </c>
      <c r="C486" s="122"/>
      <c r="D486" s="123"/>
      <c r="E486" s="123"/>
      <c r="F486" s="124"/>
      <c r="G486" s="125"/>
      <c r="H486" s="124"/>
      <c r="I486" s="126"/>
      <c r="J486" s="127"/>
      <c r="K486" s="128"/>
      <c r="L486" s="128"/>
      <c r="M486" s="128"/>
      <c r="N486" s="128"/>
      <c r="O486" s="128"/>
      <c r="P486" s="128"/>
      <c r="Q486" s="128"/>
      <c r="R486" s="128"/>
      <c r="S486" s="128"/>
      <c r="T486" s="127"/>
      <c r="U486" s="123"/>
      <c r="V486" s="129"/>
      <c r="W486" s="130"/>
      <c r="X486" s="131"/>
    </row>
    <row r="487" spans="1:25" s="342" customFormat="1">
      <c r="A487" s="492">
        <v>0.05</v>
      </c>
      <c r="B487" s="333">
        <v>1</v>
      </c>
      <c r="C487" s="350">
        <v>45867</v>
      </c>
      <c r="D487" s="357" t="s">
        <v>2029</v>
      </c>
      <c r="E487" s="351" t="s">
        <v>158</v>
      </c>
      <c r="F487" s="352">
        <v>4461</v>
      </c>
      <c r="G487" s="352">
        <f>39.7+300</f>
        <v>339.7</v>
      </c>
      <c r="H487" s="352"/>
      <c r="I487" s="353">
        <f>F487-G487-H487</f>
        <v>4121.3</v>
      </c>
      <c r="J487" s="354"/>
      <c r="K487" s="354">
        <v>1</v>
      </c>
      <c r="L487" s="354">
        <v>1</v>
      </c>
      <c r="M487" s="354"/>
      <c r="N487" s="354">
        <v>1</v>
      </c>
      <c r="O487" s="354">
        <v>1</v>
      </c>
      <c r="P487" s="314">
        <v>0</v>
      </c>
      <c r="Q487" s="314">
        <v>0</v>
      </c>
      <c r="R487" s="314">
        <v>0</v>
      </c>
      <c r="S487" s="366">
        <v>0</v>
      </c>
      <c r="T487" s="127"/>
      <c r="U487" s="123" t="s">
        <v>2030</v>
      </c>
      <c r="V487" s="129"/>
      <c r="W487" s="130"/>
      <c r="X487" s="131"/>
    </row>
    <row r="488" spans="1:25">
      <c r="B488" s="132"/>
      <c r="C488" s="122"/>
      <c r="D488" s="123"/>
      <c r="E488" s="123"/>
      <c r="F488" s="134">
        <f>SUM(F487:F487)</f>
        <v>4461</v>
      </c>
      <c r="G488" s="134">
        <f>SUM(G487:G487)</f>
        <v>339.7</v>
      </c>
      <c r="H488" s="134">
        <f>SUM(H487:H487)</f>
        <v>0</v>
      </c>
      <c r="I488" s="134">
        <f>SUM(I487:I487)</f>
        <v>4121.3</v>
      </c>
      <c r="J488" s="127"/>
      <c r="K488" s="64"/>
      <c r="L488" s="64"/>
      <c r="M488" s="64"/>
      <c r="N488" s="64"/>
      <c r="O488" s="64"/>
      <c r="P488" s="64"/>
      <c r="Q488" s="64"/>
      <c r="R488" s="64"/>
      <c r="S488" s="64"/>
      <c r="T488" s="127"/>
      <c r="U488" s="123"/>
      <c r="V488" s="129"/>
      <c r="W488" s="130"/>
      <c r="X488" s="131"/>
    </row>
    <row r="489" spans="1:25">
      <c r="B489" s="11"/>
      <c r="C489" s="36"/>
      <c r="D489" s="10"/>
      <c r="E489" s="10"/>
      <c r="F489" s="88"/>
      <c r="G489" s="88"/>
      <c r="H489" s="88"/>
      <c r="I489" s="99"/>
      <c r="J489" s="63"/>
      <c r="K489" s="21"/>
      <c r="L489" s="21"/>
      <c r="M489" s="21"/>
      <c r="N489" s="21"/>
      <c r="O489" s="21"/>
      <c r="P489" s="21"/>
      <c r="Q489" s="21"/>
      <c r="R489" s="21"/>
      <c r="S489" s="21"/>
      <c r="T489" s="63"/>
      <c r="U489" s="94"/>
      <c r="V489" s="90"/>
      <c r="W489" s="91"/>
      <c r="X489" s="92"/>
    </row>
    <row r="490" spans="1:25" s="260" customFormat="1">
      <c r="A490" s="181"/>
      <c r="B490" s="100" t="s">
        <v>152</v>
      </c>
      <c r="C490" s="36"/>
      <c r="D490" s="10"/>
      <c r="E490" s="10"/>
      <c r="F490" s="88"/>
      <c r="G490" s="62"/>
      <c r="H490" s="88"/>
      <c r="I490" s="99"/>
      <c r="J490" s="63"/>
      <c r="K490" s="181"/>
      <c r="L490" s="181"/>
      <c r="M490" s="181"/>
      <c r="N490" s="181"/>
      <c r="O490" s="181"/>
      <c r="P490" s="181"/>
      <c r="Q490" s="181"/>
      <c r="R490" s="181"/>
      <c r="S490" s="181"/>
      <c r="T490" s="63"/>
      <c r="U490" s="10"/>
      <c r="V490" s="90"/>
      <c r="W490" s="91"/>
      <c r="X490" s="92"/>
    </row>
    <row r="491" spans="1:25" s="260" customFormat="1">
      <c r="A491" s="261">
        <v>0.05</v>
      </c>
      <c r="B491" s="87">
        <v>1</v>
      </c>
      <c r="C491" s="262">
        <v>45840</v>
      </c>
      <c r="D491" s="357" t="s">
        <v>1896</v>
      </c>
      <c r="E491" s="264" t="s">
        <v>354</v>
      </c>
      <c r="F491" s="265">
        <v>1681</v>
      </c>
      <c r="G491" s="265">
        <v>39.700000000000003</v>
      </c>
      <c r="H491" s="265"/>
      <c r="I491" s="266">
        <f>F491-G491-H491</f>
        <v>1641.3</v>
      </c>
      <c r="J491" s="267" t="s">
        <v>374</v>
      </c>
      <c r="K491" s="267">
        <v>1</v>
      </c>
      <c r="L491" s="267">
        <v>1</v>
      </c>
      <c r="M491" s="267">
        <v>1</v>
      </c>
      <c r="N491" s="267">
        <v>1</v>
      </c>
      <c r="O491" s="267">
        <v>1</v>
      </c>
      <c r="P491" s="314">
        <v>0</v>
      </c>
      <c r="Q491" s="267">
        <v>1</v>
      </c>
      <c r="R491" s="267">
        <v>1</v>
      </c>
      <c r="S491" s="366">
        <v>0</v>
      </c>
      <c r="T491" s="63"/>
      <c r="U491" s="10" t="s">
        <v>1897</v>
      </c>
      <c r="V491" s="90"/>
      <c r="W491" s="91"/>
      <c r="X491" s="92"/>
    </row>
    <row r="492" spans="1:25" s="260" customFormat="1">
      <c r="A492" s="494">
        <v>0.05</v>
      </c>
      <c r="B492" s="87">
        <f>B491+1</f>
        <v>2</v>
      </c>
      <c r="C492" s="262">
        <v>45849</v>
      </c>
      <c r="D492" s="263">
        <v>71382</v>
      </c>
      <c r="E492" s="271" t="s">
        <v>999</v>
      </c>
      <c r="F492" s="265">
        <v>1861</v>
      </c>
      <c r="G492" s="265">
        <v>39.700000000000003</v>
      </c>
      <c r="H492" s="265"/>
      <c r="I492" s="266">
        <f>F492-G492-H492</f>
        <v>1821.3</v>
      </c>
      <c r="J492" s="267" t="s">
        <v>374</v>
      </c>
      <c r="K492" s="267">
        <v>1</v>
      </c>
      <c r="L492" s="267"/>
      <c r="M492" s="267">
        <v>1</v>
      </c>
      <c r="N492" s="267">
        <v>1</v>
      </c>
      <c r="O492" s="267">
        <v>1</v>
      </c>
      <c r="P492" s="314">
        <v>0</v>
      </c>
      <c r="Q492" s="314">
        <v>0</v>
      </c>
      <c r="R492" s="314">
        <v>0</v>
      </c>
      <c r="S492" s="366">
        <v>0</v>
      </c>
      <c r="T492" s="63"/>
      <c r="U492" s="94" t="s">
        <v>1937</v>
      </c>
      <c r="V492" s="90"/>
      <c r="W492" s="136"/>
      <c r="X492" s="137"/>
    </row>
    <row r="493" spans="1:25" s="260" customFormat="1">
      <c r="A493" s="261">
        <v>0.05</v>
      </c>
      <c r="B493" s="87">
        <f>B492+1</f>
        <v>3</v>
      </c>
      <c r="C493" s="282">
        <v>45861</v>
      </c>
      <c r="D493" s="330" t="s">
        <v>1997</v>
      </c>
      <c r="E493" s="283" t="s">
        <v>270</v>
      </c>
      <c r="F493" s="423">
        <v>5133</v>
      </c>
      <c r="G493" s="284">
        <f>39.7+(1071.49)+250</f>
        <v>1361.19</v>
      </c>
      <c r="H493" s="284"/>
      <c r="I493" s="300">
        <f>F493-G493-H493</f>
        <v>3771.81</v>
      </c>
      <c r="J493" s="286" t="s">
        <v>156</v>
      </c>
      <c r="K493" s="286">
        <v>1</v>
      </c>
      <c r="L493" s="286">
        <v>1</v>
      </c>
      <c r="M493" s="286">
        <v>1</v>
      </c>
      <c r="N493" s="286">
        <v>1</v>
      </c>
      <c r="O493" s="286">
        <v>1</v>
      </c>
      <c r="P493" s="332">
        <v>0</v>
      </c>
      <c r="Q493" s="332">
        <v>0</v>
      </c>
      <c r="R493" s="332">
        <v>0</v>
      </c>
      <c r="S493" s="370">
        <v>0</v>
      </c>
      <c r="T493" s="63"/>
      <c r="U493" s="10" t="s">
        <v>1998</v>
      </c>
      <c r="V493" s="90"/>
      <c r="W493" s="91"/>
      <c r="X493" s="92"/>
    </row>
    <row r="494" spans="1:25" s="260" customFormat="1">
      <c r="A494" s="261" t="s">
        <v>1182</v>
      </c>
      <c r="B494" s="87">
        <f>B493+1</f>
        <v>4</v>
      </c>
      <c r="C494" s="262">
        <v>45862</v>
      </c>
      <c r="D494" s="263">
        <v>71599</v>
      </c>
      <c r="E494" s="271" t="s">
        <v>168</v>
      </c>
      <c r="F494" s="265">
        <v>1861</v>
      </c>
      <c r="G494" s="265">
        <f>39.7+200</f>
        <v>239.7</v>
      </c>
      <c r="H494" s="265"/>
      <c r="I494" s="266">
        <f>F494-G494-H494</f>
        <v>1621.3</v>
      </c>
      <c r="J494" s="267" t="s">
        <v>156</v>
      </c>
      <c r="K494" s="267">
        <v>1</v>
      </c>
      <c r="L494" s="267">
        <v>1</v>
      </c>
      <c r="M494" s="267">
        <v>1</v>
      </c>
      <c r="N494" s="267">
        <v>1</v>
      </c>
      <c r="O494" s="267">
        <v>1</v>
      </c>
      <c r="P494" s="314">
        <v>0</v>
      </c>
      <c r="Q494" s="267">
        <v>1</v>
      </c>
      <c r="R494" s="267">
        <v>1</v>
      </c>
      <c r="S494" s="269">
        <v>1</v>
      </c>
      <c r="T494" s="63"/>
      <c r="U494" s="94" t="s">
        <v>2002</v>
      </c>
      <c r="V494" s="90"/>
      <c r="W494" s="136"/>
      <c r="X494" s="137"/>
    </row>
    <row r="495" spans="1:25" s="260" customFormat="1">
      <c r="A495" s="181"/>
      <c r="B495" s="11"/>
      <c r="C495" s="36"/>
      <c r="D495" s="10"/>
      <c r="E495" s="10"/>
      <c r="F495" s="98">
        <f>SUM(F491:F494)</f>
        <v>10536</v>
      </c>
      <c r="G495" s="98">
        <f>SUM(G491:G494)</f>
        <v>1680.2900000000002</v>
      </c>
      <c r="H495" s="98">
        <f>SUM(H491:H494)</f>
        <v>0</v>
      </c>
      <c r="I495" s="98">
        <f>SUM(I491:I494)</f>
        <v>8855.7099999999991</v>
      </c>
      <c r="J495" s="63"/>
      <c r="K495" s="21"/>
      <c r="L495" s="21"/>
      <c r="M495" s="21"/>
      <c r="N495" s="21"/>
      <c r="O495" s="21"/>
      <c r="P495" s="21"/>
      <c r="Q495" s="21"/>
      <c r="R495" s="21"/>
      <c r="S495" s="21"/>
      <c r="T495" s="63"/>
      <c r="U495" s="10"/>
      <c r="V495" s="90"/>
      <c r="W495" s="91"/>
      <c r="X495" s="92"/>
    </row>
    <row r="496" spans="1:25" s="260" customFormat="1">
      <c r="A496" s="181"/>
      <c r="B496" s="11"/>
      <c r="C496" s="36"/>
      <c r="D496" s="10"/>
      <c r="E496" s="10"/>
      <c r="F496" s="88"/>
      <c r="G496" s="88"/>
      <c r="H496" s="88"/>
      <c r="I496" s="99"/>
      <c r="J496" s="63"/>
      <c r="K496" s="21"/>
      <c r="L496" s="21"/>
      <c r="M496" s="21"/>
      <c r="N496" s="21"/>
      <c r="O496" s="21"/>
      <c r="P496" s="21"/>
      <c r="Q496" s="21"/>
      <c r="R496" s="21"/>
      <c r="S496" s="21"/>
      <c r="T496" s="63"/>
      <c r="U496" s="10"/>
      <c r="V496" s="90"/>
      <c r="W496" s="91"/>
      <c r="X496" s="92"/>
    </row>
    <row r="497" spans="1:25" s="260" customFormat="1">
      <c r="B497" s="100" t="s">
        <v>202</v>
      </c>
      <c r="C497" s="36"/>
      <c r="D497" s="10"/>
      <c r="E497" s="181"/>
      <c r="F497" s="88"/>
      <c r="G497" s="88"/>
      <c r="H497" s="88"/>
      <c r="I497" s="99"/>
      <c r="J497" s="63"/>
      <c r="K497" s="21"/>
      <c r="L497" s="21"/>
      <c r="M497" s="21"/>
      <c r="N497" s="21"/>
      <c r="O497" s="21"/>
      <c r="P497" s="21"/>
      <c r="Q497" s="21"/>
      <c r="R497" s="21"/>
      <c r="S497" s="21"/>
      <c r="T497" s="63"/>
      <c r="U497" s="10"/>
      <c r="V497" s="90"/>
      <c r="W497" s="91"/>
      <c r="X497" s="92"/>
    </row>
    <row r="498" spans="1:25" s="260" customFormat="1">
      <c r="A498" s="261">
        <v>0.05</v>
      </c>
      <c r="B498" s="87">
        <v>1</v>
      </c>
      <c r="C498" s="274">
        <v>45812</v>
      </c>
      <c r="D498" s="320" t="s">
        <v>1866</v>
      </c>
      <c r="E498" s="276" t="s">
        <v>512</v>
      </c>
      <c r="F498" s="277">
        <v>18061</v>
      </c>
      <c r="G498" s="277">
        <f>39.7+1551+(62.91+128.26+27.45-20.83)+(10.95+18.17+8.58+185.26+145.2+166.5+178.78)+1500</f>
        <v>4001.93</v>
      </c>
      <c r="H498" s="277"/>
      <c r="I498" s="278">
        <f>F498-G498-H498</f>
        <v>14059.07</v>
      </c>
      <c r="J498" s="279" t="s">
        <v>156</v>
      </c>
      <c r="K498" s="279">
        <v>1</v>
      </c>
      <c r="L498" s="279"/>
      <c r="M498" s="279">
        <v>1</v>
      </c>
      <c r="N498" s="279">
        <v>1</v>
      </c>
      <c r="O498" s="279">
        <v>1</v>
      </c>
      <c r="P498" s="279">
        <v>1</v>
      </c>
      <c r="Q498" s="279"/>
      <c r="R498" s="279"/>
      <c r="S498" s="280"/>
      <c r="T498" s="63"/>
      <c r="U498" s="10" t="s">
        <v>1900</v>
      </c>
      <c r="V498" s="90"/>
      <c r="W498" s="136"/>
      <c r="X498" s="137"/>
      <c r="Y498" s="181"/>
    </row>
    <row r="499" spans="1:25" s="260" customFormat="1">
      <c r="A499" s="261">
        <v>0.05</v>
      </c>
      <c r="B499" s="87">
        <f>B498+1</f>
        <v>2</v>
      </c>
      <c r="C499" s="262">
        <v>45813</v>
      </c>
      <c r="D499" s="357" t="s">
        <v>1868</v>
      </c>
      <c r="E499" s="271" t="s">
        <v>512</v>
      </c>
      <c r="F499" s="265">
        <v>22614</v>
      </c>
      <c r="G499" s="265">
        <f>39.7+47.8+356+(396.09)+(145.2-4.72-2.08+8.58-185.26+9.17+5.35+223.39)+2000</f>
        <v>3039.22</v>
      </c>
      <c r="H499" s="265"/>
      <c r="I499" s="266">
        <f>F499-G499-H499</f>
        <v>19574.78</v>
      </c>
      <c r="J499" s="267"/>
      <c r="K499" s="267">
        <v>1</v>
      </c>
      <c r="L499" s="267"/>
      <c r="M499" s="267"/>
      <c r="N499" s="267">
        <v>1</v>
      </c>
      <c r="O499" s="267">
        <v>1</v>
      </c>
      <c r="P499" s="314">
        <v>0</v>
      </c>
      <c r="Q499" s="267"/>
      <c r="R499" s="267"/>
      <c r="S499" s="269"/>
      <c r="T499" s="63"/>
      <c r="U499" s="10" t="s">
        <v>1901</v>
      </c>
      <c r="V499" s="90"/>
      <c r="W499" s="136"/>
      <c r="X499" s="137"/>
    </row>
    <row r="500" spans="1:25" s="260" customFormat="1">
      <c r="A500" s="494">
        <v>0.05</v>
      </c>
      <c r="B500" s="87">
        <f>B499+1</f>
        <v>3</v>
      </c>
      <c r="C500" s="274">
        <v>45848</v>
      </c>
      <c r="D500" s="327">
        <v>71381</v>
      </c>
      <c r="E500" s="276" t="s">
        <v>1530</v>
      </c>
      <c r="F500" s="277">
        <f>1223-85</f>
        <v>1138</v>
      </c>
      <c r="G500" s="277">
        <f>39.7</f>
        <v>39.700000000000003</v>
      </c>
      <c r="H500" s="277"/>
      <c r="I500" s="321">
        <f>F500-G500-H500</f>
        <v>1098.3</v>
      </c>
      <c r="J500" s="279" t="s">
        <v>156</v>
      </c>
      <c r="K500" s="279">
        <v>1</v>
      </c>
      <c r="L500" s="279"/>
      <c r="M500" s="279">
        <v>1</v>
      </c>
      <c r="N500" s="279">
        <v>1</v>
      </c>
      <c r="O500" s="279">
        <v>1</v>
      </c>
      <c r="P500" s="322">
        <v>0</v>
      </c>
      <c r="Q500" s="279"/>
      <c r="R500" s="279"/>
      <c r="S500" s="280"/>
      <c r="T500" s="63"/>
      <c r="U500" s="94"/>
      <c r="V500" s="90"/>
      <c r="W500" s="136"/>
      <c r="X500" s="137"/>
    </row>
    <row r="501" spans="1:25" s="260" customFormat="1">
      <c r="A501" s="261">
        <v>0.05</v>
      </c>
      <c r="B501" s="87">
        <f t="shared" ref="B501" si="54">B500+1</f>
        <v>4</v>
      </c>
      <c r="C501" s="262">
        <v>45859</v>
      </c>
      <c r="D501" s="263">
        <v>71610</v>
      </c>
      <c r="E501" s="271" t="s">
        <v>354</v>
      </c>
      <c r="F501" s="265">
        <v>3261</v>
      </c>
      <c r="G501" s="265">
        <f>39.7</f>
        <v>39.700000000000003</v>
      </c>
      <c r="H501" s="265"/>
      <c r="I501" s="266">
        <f>F501-G501-H501</f>
        <v>3221.3</v>
      </c>
      <c r="J501" s="267"/>
      <c r="K501" s="267">
        <v>1</v>
      </c>
      <c r="L501" s="267"/>
      <c r="M501" s="267"/>
      <c r="N501" s="267">
        <v>1</v>
      </c>
      <c r="O501" s="267">
        <v>1</v>
      </c>
      <c r="P501" s="314">
        <v>0</v>
      </c>
      <c r="Q501" s="267"/>
      <c r="R501" s="267"/>
      <c r="S501" s="269"/>
      <c r="T501" s="63"/>
      <c r="U501" s="94" t="s">
        <v>1999</v>
      </c>
      <c r="V501" s="90"/>
      <c r="W501" s="136"/>
      <c r="X501" s="137"/>
    </row>
    <row r="502" spans="1:25" s="260" customFormat="1">
      <c r="B502" s="11"/>
      <c r="C502" s="36"/>
      <c r="D502" s="10"/>
      <c r="E502" s="10"/>
      <c r="F502" s="97">
        <f>SUM(F498:F501)</f>
        <v>45074</v>
      </c>
      <c r="G502" s="97">
        <f>SUM(G498:G501)</f>
        <v>7120.5499999999993</v>
      </c>
      <c r="H502" s="97">
        <f>SUM(H498:H501)</f>
        <v>0</v>
      </c>
      <c r="I502" s="97">
        <f>SUM(I498:I501)</f>
        <v>37953.450000000004</v>
      </c>
      <c r="J502" s="63"/>
      <c r="K502" s="21"/>
      <c r="L502" s="21"/>
      <c r="M502" s="21"/>
      <c r="N502" s="21"/>
      <c r="O502" s="21"/>
      <c r="P502" s="21"/>
      <c r="Q502" s="21"/>
      <c r="R502" s="21"/>
      <c r="S502" s="21"/>
      <c r="T502" s="63"/>
      <c r="U502" s="10"/>
      <c r="V502" s="90"/>
      <c r="W502" s="91"/>
      <c r="X502" s="92"/>
    </row>
    <row r="503" spans="1:25" s="260" customFormat="1">
      <c r="B503" s="11"/>
      <c r="C503" s="36"/>
      <c r="D503" s="10"/>
      <c r="E503" s="10"/>
      <c r="F503" s="88"/>
      <c r="G503" s="88"/>
      <c r="H503" s="88"/>
      <c r="I503" s="99"/>
      <c r="J503" s="10"/>
      <c r="K503" s="63"/>
      <c r="L503" s="63"/>
      <c r="M503" s="63"/>
      <c r="N503" s="63"/>
      <c r="O503" s="63"/>
      <c r="P503" s="63"/>
      <c r="Q503" s="63"/>
      <c r="R503" s="63"/>
      <c r="S503" s="63"/>
      <c r="T503" s="63"/>
      <c r="U503" s="10"/>
      <c r="V503" s="90"/>
      <c r="W503" s="91"/>
      <c r="X503" s="92"/>
    </row>
    <row r="504" spans="1:25">
      <c r="B504" s="100" t="s">
        <v>72</v>
      </c>
      <c r="C504" s="36"/>
      <c r="D504" s="10"/>
      <c r="E504" s="10"/>
      <c r="F504" s="88"/>
      <c r="G504" s="88"/>
      <c r="H504" s="88"/>
      <c r="I504" s="99"/>
      <c r="J504" s="63"/>
      <c r="K504" s="63"/>
      <c r="L504" s="63"/>
      <c r="M504" s="63"/>
      <c r="N504" s="63"/>
      <c r="O504" s="63"/>
      <c r="P504" s="63"/>
      <c r="Q504" s="63"/>
      <c r="R504" s="63"/>
      <c r="S504" s="63"/>
      <c r="T504" s="63"/>
      <c r="U504" s="10"/>
      <c r="V504" s="90"/>
      <c r="W504" s="91"/>
      <c r="X504" s="92"/>
    </row>
    <row r="505" spans="1:25">
      <c r="B505" s="87">
        <v>1</v>
      </c>
      <c r="C505" s="274">
        <v>45866</v>
      </c>
      <c r="D505" s="276">
        <v>71782</v>
      </c>
      <c r="E505" s="276" t="s">
        <v>327</v>
      </c>
      <c r="F505" s="277">
        <v>14426</v>
      </c>
      <c r="G505" s="277">
        <v>39.700000000000003</v>
      </c>
      <c r="H505" s="277"/>
      <c r="I505" s="278">
        <f>F505-G505-H505</f>
        <v>14386.3</v>
      </c>
      <c r="J505" s="279" t="s">
        <v>205</v>
      </c>
      <c r="K505" s="279">
        <v>1</v>
      </c>
      <c r="L505" s="279"/>
      <c r="M505" s="279"/>
      <c r="N505" s="279">
        <v>1</v>
      </c>
      <c r="O505" s="279"/>
      <c r="P505" s="279"/>
      <c r="Q505" s="279"/>
      <c r="R505" s="279"/>
      <c r="S505" s="280"/>
      <c r="T505" s="63"/>
      <c r="U505" s="3"/>
      <c r="V505" s="90"/>
      <c r="W505" s="91"/>
      <c r="X505" s="92"/>
    </row>
    <row r="506" spans="1:25">
      <c r="B506" s="87">
        <f t="shared" ref="B506:B517" si="55">B505+1</f>
        <v>2</v>
      </c>
      <c r="C506" s="295">
        <v>45866</v>
      </c>
      <c r="D506" s="10">
        <v>71789</v>
      </c>
      <c r="E506" s="10" t="s">
        <v>463</v>
      </c>
      <c r="F506" s="62">
        <v>578.85</v>
      </c>
      <c r="G506" s="62"/>
      <c r="H506" s="62"/>
      <c r="I506" s="89">
        <f>F506-G506-H506</f>
        <v>578.85</v>
      </c>
      <c r="J506" s="63" t="s">
        <v>205</v>
      </c>
      <c r="K506" s="63">
        <v>1</v>
      </c>
      <c r="L506" s="63"/>
      <c r="M506" s="63"/>
      <c r="N506" s="63">
        <v>1</v>
      </c>
      <c r="O506" s="63"/>
      <c r="P506" s="63"/>
      <c r="Q506" s="63"/>
      <c r="R506" s="63"/>
      <c r="S506" s="296"/>
      <c r="T506" s="63"/>
      <c r="U506" s="10"/>
      <c r="V506" s="90"/>
      <c r="W506" s="136"/>
      <c r="X506" s="137"/>
    </row>
    <row r="507" spans="1:25">
      <c r="B507" s="87">
        <f t="shared" si="55"/>
        <v>3</v>
      </c>
      <c r="C507" s="295">
        <v>45866</v>
      </c>
      <c r="D507" s="10">
        <v>71793</v>
      </c>
      <c r="E507" s="10" t="s">
        <v>426</v>
      </c>
      <c r="F507" s="62">
        <v>5814</v>
      </c>
      <c r="G507" s="62">
        <v>39.700000000000003</v>
      </c>
      <c r="H507" s="62"/>
      <c r="I507" s="89">
        <f>F507-G507-H507</f>
        <v>5774.3</v>
      </c>
      <c r="J507" s="63" t="s">
        <v>205</v>
      </c>
      <c r="K507" s="63">
        <v>1</v>
      </c>
      <c r="L507" s="63"/>
      <c r="M507" s="63"/>
      <c r="N507" s="63">
        <v>1</v>
      </c>
      <c r="O507" s="63"/>
      <c r="P507" s="63"/>
      <c r="Q507" s="63"/>
      <c r="R507" s="63"/>
      <c r="S507" s="296"/>
      <c r="T507" s="63"/>
      <c r="U507" s="10"/>
      <c r="V507" s="90"/>
      <c r="W507" s="136"/>
      <c r="X507" s="137"/>
    </row>
    <row r="508" spans="1:25">
      <c r="B508" s="87">
        <f t="shared" si="55"/>
        <v>4</v>
      </c>
      <c r="C508" s="295">
        <v>45866</v>
      </c>
      <c r="D508" s="10">
        <v>71695</v>
      </c>
      <c r="E508" s="10" t="s">
        <v>1365</v>
      </c>
      <c r="F508" s="62">
        <v>3814</v>
      </c>
      <c r="G508" s="62">
        <v>39.700000000000003</v>
      </c>
      <c r="H508" s="62"/>
      <c r="I508" s="89">
        <f>F508-G508-H508</f>
        <v>3774.3</v>
      </c>
      <c r="J508" s="63" t="s">
        <v>205</v>
      </c>
      <c r="K508" s="63">
        <v>1</v>
      </c>
      <c r="L508" s="63"/>
      <c r="M508" s="63"/>
      <c r="N508" s="63">
        <v>1</v>
      </c>
      <c r="O508" s="63"/>
      <c r="P508" s="63"/>
      <c r="Q508" s="63"/>
      <c r="R508" s="63"/>
      <c r="S508" s="296"/>
      <c r="T508" s="63"/>
      <c r="U508" s="10"/>
      <c r="V508" s="90"/>
      <c r="W508" s="136"/>
      <c r="X508" s="137"/>
    </row>
    <row r="509" spans="1:25">
      <c r="B509" s="87">
        <f t="shared" si="55"/>
        <v>5</v>
      </c>
      <c r="C509" s="295">
        <v>45866</v>
      </c>
      <c r="D509" s="10">
        <v>71818</v>
      </c>
      <c r="E509" s="10" t="s">
        <v>210</v>
      </c>
      <c r="F509" s="62">
        <v>681</v>
      </c>
      <c r="G509" s="62"/>
      <c r="H509" s="62"/>
      <c r="I509" s="89">
        <f>F509-G509-H509</f>
        <v>681</v>
      </c>
      <c r="J509" s="63" t="s">
        <v>205</v>
      </c>
      <c r="K509" s="63">
        <v>1</v>
      </c>
      <c r="L509" s="63"/>
      <c r="M509" s="63"/>
      <c r="N509" s="63">
        <v>1</v>
      </c>
      <c r="O509" s="63"/>
      <c r="P509" s="63"/>
      <c r="Q509" s="63"/>
      <c r="R509" s="63"/>
      <c r="S509" s="296"/>
      <c r="T509" s="63"/>
      <c r="U509" s="10"/>
      <c r="V509" s="90"/>
      <c r="W509" s="136"/>
      <c r="X509" s="137"/>
    </row>
    <row r="510" spans="1:25">
      <c r="B510" s="87">
        <f t="shared" si="55"/>
        <v>6</v>
      </c>
      <c r="C510" s="295">
        <v>45866</v>
      </c>
      <c r="D510" s="10" t="s">
        <v>2031</v>
      </c>
      <c r="E510" s="101" t="s">
        <v>334</v>
      </c>
      <c r="F510" s="62">
        <v>12814</v>
      </c>
      <c r="G510" s="62">
        <v>39.700000000000003</v>
      </c>
      <c r="H510" s="62"/>
      <c r="I510" s="89">
        <f>F510-G510-H510</f>
        <v>12774.3</v>
      </c>
      <c r="J510" s="63" t="s">
        <v>205</v>
      </c>
      <c r="K510" s="63">
        <v>1</v>
      </c>
      <c r="L510" s="63"/>
      <c r="M510" s="63"/>
      <c r="N510" s="63">
        <v>1</v>
      </c>
      <c r="O510" s="63"/>
      <c r="P510" s="63"/>
      <c r="Q510" s="63"/>
      <c r="R510" s="63"/>
      <c r="S510" s="296"/>
      <c r="T510" s="63"/>
      <c r="U510" s="10"/>
      <c r="V510" s="90"/>
      <c r="W510" s="136"/>
      <c r="X510" s="137"/>
    </row>
    <row r="511" spans="1:25">
      <c r="B511" s="87">
        <f t="shared" si="55"/>
        <v>7</v>
      </c>
      <c r="C511" s="274">
        <v>45867</v>
      </c>
      <c r="D511" s="276" t="s">
        <v>2032</v>
      </c>
      <c r="E511" s="281" t="s">
        <v>206</v>
      </c>
      <c r="F511" s="277">
        <v>0</v>
      </c>
      <c r="G511" s="277">
        <v>0</v>
      </c>
      <c r="H511" s="277"/>
      <c r="I511" s="278">
        <f>F511-G511-H511</f>
        <v>0</v>
      </c>
      <c r="J511" s="279" t="s">
        <v>205</v>
      </c>
      <c r="K511" s="279"/>
      <c r="L511" s="279"/>
      <c r="M511" s="279"/>
      <c r="N511" s="279"/>
      <c r="O511" s="279"/>
      <c r="P511" s="279"/>
      <c r="Q511" s="279"/>
      <c r="R511" s="279"/>
      <c r="S511" s="280"/>
      <c r="T511" s="63"/>
      <c r="U511" s="10"/>
      <c r="V511" s="90"/>
      <c r="W511" s="136"/>
      <c r="X511" s="137"/>
    </row>
    <row r="512" spans="1:25">
      <c r="B512" s="87">
        <f t="shared" si="55"/>
        <v>8</v>
      </c>
      <c r="C512" s="282">
        <v>45867</v>
      </c>
      <c r="D512" s="283" t="s">
        <v>2033</v>
      </c>
      <c r="E512" s="319" t="s">
        <v>158</v>
      </c>
      <c r="F512" s="284">
        <v>8214</v>
      </c>
      <c r="G512" s="284">
        <v>39.700000000000003</v>
      </c>
      <c r="H512" s="284"/>
      <c r="I512" s="285">
        <f>F512-G512-H512</f>
        <v>8174.3</v>
      </c>
      <c r="J512" s="286" t="s">
        <v>205</v>
      </c>
      <c r="K512" s="286">
        <v>1</v>
      </c>
      <c r="L512" s="286"/>
      <c r="M512" s="286"/>
      <c r="N512" s="286">
        <v>1</v>
      </c>
      <c r="O512" s="286"/>
      <c r="P512" s="286"/>
      <c r="Q512" s="286"/>
      <c r="R512" s="286"/>
      <c r="S512" s="287"/>
      <c r="T512" s="63"/>
      <c r="U512" s="10"/>
      <c r="V512" s="90"/>
      <c r="W512" s="136"/>
      <c r="X512" s="137"/>
    </row>
    <row r="513" spans="1:24">
      <c r="B513" s="87">
        <f>B512+1</f>
        <v>9</v>
      </c>
      <c r="C513" s="295">
        <v>45868</v>
      </c>
      <c r="D513" s="10">
        <v>71875</v>
      </c>
      <c r="E513" s="101" t="s">
        <v>1201</v>
      </c>
      <c r="F513" s="62">
        <v>681</v>
      </c>
      <c r="G513" s="62"/>
      <c r="H513" s="62"/>
      <c r="I513" s="89">
        <f>F513-G513-H513</f>
        <v>681</v>
      </c>
      <c r="J513" s="63" t="s">
        <v>205</v>
      </c>
      <c r="K513" s="63">
        <v>1</v>
      </c>
      <c r="L513" s="63"/>
      <c r="M513" s="63"/>
      <c r="N513" s="63">
        <v>1</v>
      </c>
      <c r="O513" s="63"/>
      <c r="P513" s="63"/>
      <c r="Q513" s="63">
        <v>1</v>
      </c>
      <c r="R513" s="63">
        <v>1</v>
      </c>
      <c r="S513" s="296"/>
      <c r="T513" s="63"/>
      <c r="U513" s="10"/>
      <c r="V513" s="90"/>
      <c r="W513" s="136"/>
      <c r="X513" s="137"/>
    </row>
    <row r="514" spans="1:24">
      <c r="B514" s="87">
        <f t="shared" si="55"/>
        <v>10</v>
      </c>
      <c r="C514" s="274">
        <v>45869</v>
      </c>
      <c r="D514" s="276" t="s">
        <v>2034</v>
      </c>
      <c r="E514" s="404" t="s">
        <v>1923</v>
      </c>
      <c r="F514" s="277">
        <v>11614</v>
      </c>
      <c r="G514" s="277">
        <v>39.700000000000003</v>
      </c>
      <c r="H514" s="277"/>
      <c r="I514" s="278">
        <f>F514-G514-H514</f>
        <v>11574.3</v>
      </c>
      <c r="J514" s="279" t="s">
        <v>205</v>
      </c>
      <c r="K514" s="279">
        <v>1</v>
      </c>
      <c r="L514" s="279"/>
      <c r="M514" s="279"/>
      <c r="N514" s="279">
        <v>1</v>
      </c>
      <c r="O514" s="279"/>
      <c r="P514" s="279"/>
      <c r="Q514" s="279"/>
      <c r="R514" s="279"/>
      <c r="S514" s="280"/>
      <c r="T514" s="63"/>
      <c r="U514" s="10"/>
      <c r="V514" s="90"/>
      <c r="W514" s="136"/>
      <c r="X514" s="137"/>
    </row>
    <row r="515" spans="1:24">
      <c r="B515" s="87">
        <f t="shared" si="55"/>
        <v>11</v>
      </c>
      <c r="C515" s="295">
        <v>45869</v>
      </c>
      <c r="D515" s="10" t="s">
        <v>2035</v>
      </c>
      <c r="E515" s="10" t="s">
        <v>577</v>
      </c>
      <c r="F515" s="62">
        <v>581</v>
      </c>
      <c r="G515" s="62"/>
      <c r="H515" s="62"/>
      <c r="I515" s="89">
        <f>F515-G515-H515</f>
        <v>581</v>
      </c>
      <c r="J515" s="63" t="s">
        <v>205</v>
      </c>
      <c r="K515" s="63">
        <v>1</v>
      </c>
      <c r="L515" s="63"/>
      <c r="M515" s="63"/>
      <c r="N515" s="63">
        <v>1</v>
      </c>
      <c r="O515" s="63"/>
      <c r="P515" s="63"/>
      <c r="Q515" s="63"/>
      <c r="R515" s="63"/>
      <c r="S515" s="296"/>
      <c r="T515" s="63"/>
      <c r="U515" s="10"/>
      <c r="V515" s="90"/>
      <c r="W515" s="136"/>
      <c r="X515" s="137"/>
    </row>
    <row r="516" spans="1:24">
      <c r="B516" s="87">
        <f t="shared" si="55"/>
        <v>12</v>
      </c>
      <c r="C516" s="295">
        <v>45869</v>
      </c>
      <c r="D516" s="10" t="s">
        <v>2036</v>
      </c>
      <c r="E516" s="10" t="s">
        <v>577</v>
      </c>
      <c r="F516" s="62">
        <v>7392.6</v>
      </c>
      <c r="G516" s="62">
        <v>39.700000000000003</v>
      </c>
      <c r="H516" s="62"/>
      <c r="I516" s="89">
        <f>F516-G516-H516</f>
        <v>7352.9000000000005</v>
      </c>
      <c r="J516" s="63" t="s">
        <v>205</v>
      </c>
      <c r="K516" s="63">
        <v>1</v>
      </c>
      <c r="L516" s="63"/>
      <c r="M516" s="63"/>
      <c r="N516" s="63">
        <v>1</v>
      </c>
      <c r="O516" s="63"/>
      <c r="P516" s="63"/>
      <c r="Q516" s="63"/>
      <c r="R516" s="63"/>
      <c r="S516" s="296"/>
      <c r="T516" s="63"/>
      <c r="U516" s="10"/>
      <c r="V516" s="90"/>
      <c r="W516" s="136"/>
      <c r="X516" s="137"/>
    </row>
    <row r="517" spans="1:24">
      <c r="B517" s="87">
        <f t="shared" si="55"/>
        <v>13</v>
      </c>
      <c r="C517" s="282">
        <v>45869</v>
      </c>
      <c r="D517" s="283" t="s">
        <v>2037</v>
      </c>
      <c r="E517" s="283" t="s">
        <v>225</v>
      </c>
      <c r="F517" s="284">
        <v>4419</v>
      </c>
      <c r="G517" s="284">
        <v>39.700000000000003</v>
      </c>
      <c r="H517" s="284"/>
      <c r="I517" s="285">
        <f>F517-G517-H517</f>
        <v>4379.3</v>
      </c>
      <c r="J517" s="286" t="s">
        <v>205</v>
      </c>
      <c r="K517" s="286">
        <v>1</v>
      </c>
      <c r="L517" s="286"/>
      <c r="M517" s="286"/>
      <c r="N517" s="286">
        <v>1</v>
      </c>
      <c r="O517" s="286"/>
      <c r="P517" s="286"/>
      <c r="Q517" s="286"/>
      <c r="R517" s="286"/>
      <c r="S517" s="287"/>
      <c r="T517" s="63"/>
      <c r="U517" s="10"/>
      <c r="V517" s="90"/>
      <c r="W517" s="136"/>
      <c r="X517" s="137"/>
    </row>
    <row r="518" spans="1:24">
      <c r="B518" s="11"/>
      <c r="C518" s="36"/>
      <c r="D518" s="10"/>
      <c r="E518" s="10"/>
      <c r="F518" s="97">
        <f>SUM(F505:F517)</f>
        <v>71029.45</v>
      </c>
      <c r="G518" s="97">
        <f>SUM(G505:G517)</f>
        <v>317.59999999999997</v>
      </c>
      <c r="H518" s="97">
        <f>SUM(H505:H517)</f>
        <v>0</v>
      </c>
      <c r="I518" s="98">
        <f>SUM(I505:I517)</f>
        <v>70711.850000000006</v>
      </c>
      <c r="J518" s="10"/>
      <c r="K518" s="10"/>
      <c r="L518" s="10"/>
      <c r="M518" s="10"/>
      <c r="N518" s="10"/>
      <c r="O518" s="10"/>
      <c r="P518" s="10"/>
      <c r="Q518" s="10"/>
      <c r="R518" s="10"/>
      <c r="S518" s="10"/>
      <c r="T518" s="63"/>
      <c r="U518" s="10"/>
      <c r="V518" s="138"/>
      <c r="W518" s="136"/>
      <c r="X518" s="137"/>
    </row>
    <row r="519" spans="1:24">
      <c r="B519" s="26"/>
      <c r="C519" s="140"/>
      <c r="D519" s="141"/>
      <c r="E519" s="141"/>
      <c r="F519" s="141"/>
      <c r="G519" s="141"/>
      <c r="H519" s="141"/>
      <c r="I519" s="141"/>
      <c r="J519" s="141"/>
      <c r="K519" s="142"/>
      <c r="L519" s="142"/>
      <c r="M519" s="142"/>
      <c r="N519" s="142"/>
      <c r="O519" s="142"/>
      <c r="P519" s="142"/>
      <c r="Q519" s="142"/>
      <c r="R519" s="142"/>
      <c r="S519" s="142"/>
      <c r="T519" s="143">
        <f>SUM(T466:T518)</f>
        <v>0</v>
      </c>
      <c r="U519" s="141"/>
      <c r="V519" s="144">
        <f>SUM(V466:V518)</f>
        <v>11782.650000000001</v>
      </c>
      <c r="W519" s="145">
        <f>SUM(W466:W518)</f>
        <v>749.1</v>
      </c>
      <c r="X519" s="146">
        <f>SUM(X466:X518)</f>
        <v>13681.13</v>
      </c>
    </row>
    <row r="522" spans="1:24">
      <c r="A522" s="3"/>
      <c r="B522" s="4" t="s">
        <v>1</v>
      </c>
      <c r="C522" s="5"/>
      <c r="D522" s="6"/>
      <c r="E522" s="6"/>
      <c r="F522" s="7" t="s">
        <v>2</v>
      </c>
      <c r="G522" s="8">
        <v>45879</v>
      </c>
      <c r="H522" s="7"/>
      <c r="I522" s="6"/>
      <c r="J522" s="6"/>
      <c r="K522" s="6"/>
      <c r="L522" s="6"/>
      <c r="M522" s="6"/>
      <c r="N522" s="6"/>
      <c r="O522" s="6"/>
      <c r="P522" s="6"/>
      <c r="Q522" s="6"/>
      <c r="R522" s="6"/>
      <c r="S522" s="6"/>
      <c r="T522" s="6"/>
      <c r="U522" s="9"/>
      <c r="V522" s="10"/>
      <c r="W522" s="10"/>
      <c r="X522" s="10"/>
    </row>
    <row r="523" spans="1:24">
      <c r="A523" s="2"/>
      <c r="B523" s="11"/>
      <c r="C523" s="10"/>
      <c r="D523" s="10"/>
      <c r="E523" s="10"/>
      <c r="F523" s="10"/>
      <c r="G523" s="7"/>
      <c r="H523" s="12"/>
      <c r="I523" s="10"/>
      <c r="J523" s="10"/>
      <c r="K523" s="13" t="s">
        <v>3</v>
      </c>
      <c r="L523" s="14"/>
      <c r="M523" s="15"/>
      <c r="N523" s="13" t="s">
        <v>4</v>
      </c>
      <c r="O523" s="14"/>
      <c r="P523" s="15"/>
      <c r="Q523" s="13" t="s">
        <v>5</v>
      </c>
      <c r="R523" s="14"/>
      <c r="S523" s="15"/>
      <c r="T523" s="16"/>
      <c r="U523" s="17"/>
      <c r="V523" s="10"/>
      <c r="W523" s="10"/>
      <c r="X523" s="10"/>
    </row>
    <row r="524" spans="1:24">
      <c r="A524" s="2"/>
      <c r="B524" s="18" t="s">
        <v>6</v>
      </c>
      <c r="C524" s="19">
        <f>C525+C526</f>
        <v>35</v>
      </c>
      <c r="D524" s="10"/>
      <c r="E524" s="18" t="s">
        <v>7</v>
      </c>
      <c r="F524" s="6"/>
      <c r="G524" s="9"/>
      <c r="H524" s="10"/>
      <c r="I524" s="10"/>
      <c r="J524" s="10"/>
      <c r="K524" s="20" t="s">
        <v>8</v>
      </c>
      <c r="L524" s="21" t="s">
        <v>9</v>
      </c>
      <c r="M524" s="21" t="s">
        <v>10</v>
      </c>
      <c r="N524" s="20" t="s">
        <v>11</v>
      </c>
      <c r="O524" s="21" t="s">
        <v>12</v>
      </c>
      <c r="P524" s="22" t="s">
        <v>13</v>
      </c>
      <c r="Q524" s="21" t="s">
        <v>11</v>
      </c>
      <c r="R524" s="21" t="s">
        <v>12</v>
      </c>
      <c r="S524" s="22" t="s">
        <v>13</v>
      </c>
      <c r="T524" s="23" t="s">
        <v>14</v>
      </c>
      <c r="U524" s="17"/>
      <c r="V524" s="10"/>
      <c r="W524" s="10"/>
      <c r="X524" s="10"/>
    </row>
    <row r="525" spans="1:24">
      <c r="A525" s="2"/>
      <c r="B525" s="24" t="s">
        <v>15</v>
      </c>
      <c r="C525" s="25">
        <f>P532</f>
        <v>14</v>
      </c>
      <c r="D525" s="10"/>
      <c r="E525" s="26" t="s">
        <v>16</v>
      </c>
      <c r="F525" s="27">
        <v>0.05</v>
      </c>
      <c r="G525" s="28"/>
      <c r="H525" s="10"/>
      <c r="I525" s="10"/>
      <c r="J525" s="18" t="s">
        <v>17</v>
      </c>
      <c r="K525" s="29">
        <f>K563</f>
        <v>13</v>
      </c>
      <c r="L525" s="29">
        <f>L563</f>
        <v>12</v>
      </c>
      <c r="M525" s="29">
        <f>M563</f>
        <v>12</v>
      </c>
      <c r="N525" s="29">
        <f>N563</f>
        <v>13</v>
      </c>
      <c r="O525" s="29">
        <f>O563</f>
        <v>13</v>
      </c>
      <c r="P525" s="29">
        <f>P563</f>
        <v>1</v>
      </c>
      <c r="Q525" s="29">
        <f>Q563</f>
        <v>11</v>
      </c>
      <c r="R525" s="29">
        <f>R563</f>
        <v>9</v>
      </c>
      <c r="S525" s="29">
        <f>S563</f>
        <v>11</v>
      </c>
      <c r="T525" s="30">
        <f>T610</f>
        <v>0</v>
      </c>
      <c r="U525" s="17"/>
      <c r="V525" s="10"/>
      <c r="W525" s="10"/>
      <c r="X525" s="10"/>
    </row>
    <row r="526" spans="1:24">
      <c r="A526" s="2"/>
      <c r="B526" s="24" t="s">
        <v>18</v>
      </c>
      <c r="C526" s="25">
        <f>P533</f>
        <v>21</v>
      </c>
      <c r="D526" s="10"/>
      <c r="E526" s="10"/>
      <c r="F526" s="10"/>
      <c r="G526" s="31"/>
      <c r="H526" s="10"/>
      <c r="I526" s="10"/>
      <c r="J526" s="32" t="s">
        <v>19</v>
      </c>
      <c r="K526" s="33">
        <f>K563/K562</f>
        <v>1</v>
      </c>
      <c r="L526" s="33">
        <f>L563/L562</f>
        <v>0.92307692307692313</v>
      </c>
      <c r="M526" s="33">
        <f>M563/M562</f>
        <v>0.92307692307692313</v>
      </c>
      <c r="N526" s="33">
        <f>N563/N562</f>
        <v>1</v>
      </c>
      <c r="O526" s="33">
        <f>O563/O562</f>
        <v>1</v>
      </c>
      <c r="P526" s="33">
        <f>P563/P562</f>
        <v>7.6923076923076927E-2</v>
      </c>
      <c r="Q526" s="33">
        <f>Q563/Q562</f>
        <v>0.84615384615384615</v>
      </c>
      <c r="R526" s="33">
        <f>R563/R562</f>
        <v>0.69230769230769229</v>
      </c>
      <c r="S526" s="33">
        <f>S563/S562</f>
        <v>0.84615384615384615</v>
      </c>
      <c r="T526" s="23"/>
      <c r="U526" s="17" t="s">
        <v>20</v>
      </c>
      <c r="V526" s="10"/>
      <c r="W526" s="10"/>
      <c r="X526" s="10"/>
    </row>
    <row r="527" spans="1:24">
      <c r="A527" s="2"/>
      <c r="B527" s="24" t="s">
        <v>21</v>
      </c>
      <c r="C527" s="34">
        <f>P534</f>
        <v>0.4</v>
      </c>
      <c r="D527" s="10"/>
      <c r="E527" s="10"/>
      <c r="F527" s="10"/>
      <c r="G527" s="10"/>
      <c r="H527" s="10"/>
      <c r="I527" s="10"/>
      <c r="J527" s="10"/>
      <c r="K527" s="10"/>
      <c r="L527" s="10"/>
      <c r="M527" s="10"/>
      <c r="N527" s="10"/>
      <c r="O527" s="10"/>
      <c r="P527" s="10"/>
      <c r="Q527" s="10"/>
      <c r="R527" s="10"/>
      <c r="S527" s="10"/>
      <c r="T527" s="10"/>
      <c r="U527" s="17"/>
      <c r="V527" s="10"/>
      <c r="W527" s="10"/>
      <c r="X527" s="10"/>
    </row>
    <row r="528" spans="1:24">
      <c r="A528" s="2"/>
      <c r="B528" s="24"/>
      <c r="C528" s="25"/>
      <c r="D528" s="10"/>
      <c r="E528" s="10"/>
      <c r="F528" s="18" t="s">
        <v>22</v>
      </c>
      <c r="G528" s="19" t="s">
        <v>23</v>
      </c>
      <c r="H528" s="35" t="s">
        <v>24</v>
      </c>
      <c r="I528" s="10"/>
      <c r="J528" s="10"/>
      <c r="K528" s="36"/>
      <c r="L528" s="36"/>
      <c r="M528" s="36"/>
      <c r="N528" s="36"/>
      <c r="O528" s="36"/>
      <c r="P528" s="36"/>
      <c r="Q528" s="36"/>
      <c r="R528" s="10"/>
      <c r="S528" s="10"/>
      <c r="T528" s="10"/>
      <c r="U528" s="17"/>
      <c r="V528" s="10"/>
      <c r="W528" s="10"/>
      <c r="X528" s="10"/>
    </row>
    <row r="529" spans="1:24">
      <c r="A529" s="2"/>
      <c r="B529" s="32" t="s">
        <v>25</v>
      </c>
      <c r="C529" s="37">
        <f>P535</f>
        <v>1832.9514285714286</v>
      </c>
      <c r="D529" s="10"/>
      <c r="E529" s="18" t="s">
        <v>26</v>
      </c>
      <c r="F529" s="38">
        <f>P531</f>
        <v>25661.32</v>
      </c>
      <c r="G529" s="39">
        <f>I562+I571</f>
        <v>25661.319999999996</v>
      </c>
      <c r="H529" s="767" t="s">
        <v>415</v>
      </c>
      <c r="I529" s="767"/>
      <c r="J529" s="767"/>
      <c r="K529" s="43" t="s">
        <v>27</v>
      </c>
      <c r="L529" s="44"/>
      <c r="M529" s="44"/>
      <c r="N529" s="44"/>
      <c r="O529" s="44"/>
      <c r="P529" s="44"/>
      <c r="Q529" s="45"/>
      <c r="R529" s="46" t="s">
        <v>28</v>
      </c>
      <c r="S529" s="47" t="s">
        <v>29</v>
      </c>
      <c r="T529" s="10"/>
      <c r="U529" s="17"/>
      <c r="V529" s="10"/>
      <c r="W529" s="10"/>
      <c r="X529" s="10"/>
    </row>
    <row r="530" spans="1:24">
      <c r="A530" s="2"/>
      <c r="B530" s="11"/>
      <c r="C530" s="10"/>
      <c r="D530" s="10"/>
      <c r="E530" s="24" t="s">
        <v>30</v>
      </c>
      <c r="F530" s="48">
        <f>F525</f>
        <v>0.05</v>
      </c>
      <c r="G530" s="17"/>
      <c r="H530" s="767"/>
      <c r="I530" s="767"/>
      <c r="J530" s="767"/>
      <c r="K530" s="20" t="s">
        <v>31</v>
      </c>
      <c r="L530" s="21" t="s">
        <v>32</v>
      </c>
      <c r="M530" s="21" t="s">
        <v>33</v>
      </c>
      <c r="N530" s="21" t="s">
        <v>34</v>
      </c>
      <c r="O530" s="21" t="s">
        <v>35</v>
      </c>
      <c r="P530" s="21" t="s">
        <v>36</v>
      </c>
      <c r="Q530" s="49" t="s">
        <v>37</v>
      </c>
      <c r="R530" s="50" t="s">
        <v>38</v>
      </c>
      <c r="S530" s="50" t="s">
        <v>38</v>
      </c>
      <c r="T530" s="10"/>
      <c r="U530" s="17"/>
      <c r="V530" s="10"/>
      <c r="W530" s="10"/>
      <c r="X530" s="10"/>
    </row>
    <row r="531" spans="1:24">
      <c r="A531" s="2"/>
      <c r="B531" s="11"/>
      <c r="C531" s="10"/>
      <c r="D531" s="10"/>
      <c r="E531" s="51" t="s">
        <v>39</v>
      </c>
      <c r="F531" s="52">
        <f>(F529-I570)*F530</f>
        <v>1212.001</v>
      </c>
      <c r="G531" s="53" t="s">
        <v>40</v>
      </c>
      <c r="H531" s="54">
        <f>F531/1.12</f>
        <v>1082.14375</v>
      </c>
      <c r="I531" s="570" t="s">
        <v>2038</v>
      </c>
      <c r="J531" s="42"/>
      <c r="K531" s="56">
        <f>I549+I551+I550</f>
        <v>7833.06</v>
      </c>
      <c r="L531" s="57">
        <f>I552+I554+I555+I553</f>
        <v>8558.7999999999993</v>
      </c>
      <c r="M531" s="57">
        <f>I556+I557</f>
        <v>1272.26</v>
      </c>
      <c r="N531" s="57">
        <f>I558+I559+I560+I570</f>
        <v>5240.95</v>
      </c>
      <c r="O531" s="57">
        <f>I561</f>
        <v>2756.25</v>
      </c>
      <c r="P531" s="57">
        <f>SUM(K531:O531)</f>
        <v>25661.32</v>
      </c>
      <c r="Q531" s="58">
        <v>0</v>
      </c>
      <c r="R531" s="59">
        <f>I571</f>
        <v>1421.3</v>
      </c>
      <c r="S531" s="59">
        <v>0</v>
      </c>
      <c r="T531" s="10"/>
      <c r="U531" s="17"/>
      <c r="V531" s="10"/>
      <c r="W531" s="10"/>
      <c r="X531" s="10"/>
    </row>
    <row r="532" spans="1:24">
      <c r="A532" s="2"/>
      <c r="B532" s="11"/>
      <c r="C532" s="10"/>
      <c r="D532" s="10"/>
      <c r="E532" s="24" t="s">
        <v>41</v>
      </c>
      <c r="F532" s="60">
        <f>Q531</f>
        <v>0</v>
      </c>
      <c r="G532" s="61" t="s">
        <v>40</v>
      </c>
      <c r="H532" s="62"/>
      <c r="I532" s="62"/>
      <c r="J532" s="10" t="s">
        <v>42</v>
      </c>
      <c r="K532" s="63">
        <v>3</v>
      </c>
      <c r="L532" s="63">
        <v>4</v>
      </c>
      <c r="M532" s="63">
        <v>2</v>
      </c>
      <c r="N532" s="63">
        <v>4</v>
      </c>
      <c r="O532" s="63">
        <v>1</v>
      </c>
      <c r="P532" s="21">
        <f>SUM(K532:O532)</f>
        <v>14</v>
      </c>
      <c r="Q532" s="64"/>
      <c r="R532" s="63"/>
      <c r="S532" s="10"/>
      <c r="T532" s="10"/>
      <c r="U532" s="17"/>
      <c r="V532" s="10"/>
      <c r="W532" s="10"/>
      <c r="X532" s="10"/>
    </row>
    <row r="533" spans="1:24">
      <c r="A533" s="2"/>
      <c r="B533" s="11"/>
      <c r="C533" s="10"/>
      <c r="D533" s="10"/>
      <c r="E533" s="51" t="s">
        <v>43</v>
      </c>
      <c r="F533" s="52">
        <f>F532*0.25</f>
        <v>0</v>
      </c>
      <c r="G533" s="53" t="s">
        <v>40</v>
      </c>
      <c r="H533" s="54">
        <f>F533/1.12</f>
        <v>0</v>
      </c>
      <c r="I533" s="10"/>
      <c r="J533" s="10" t="s">
        <v>44</v>
      </c>
      <c r="K533" s="63">
        <v>2</v>
      </c>
      <c r="L533" s="63">
        <v>0</v>
      </c>
      <c r="M533" s="63">
        <v>8</v>
      </c>
      <c r="N533" s="63">
        <v>7</v>
      </c>
      <c r="O533" s="63">
        <v>4</v>
      </c>
      <c r="P533" s="21">
        <f>SUM(K533:O533)</f>
        <v>21</v>
      </c>
      <c r="Q533" s="64"/>
      <c r="R533" s="63"/>
      <c r="S533" s="10"/>
      <c r="T533" s="10"/>
      <c r="U533" s="17"/>
      <c r="V533" s="10"/>
      <c r="W533" s="10"/>
      <c r="X533" s="10"/>
    </row>
    <row r="534" spans="1:24">
      <c r="A534" s="2"/>
      <c r="B534" s="11"/>
      <c r="C534" s="10"/>
      <c r="D534" s="10"/>
      <c r="E534" s="24" t="s">
        <v>45</v>
      </c>
      <c r="F534" s="60">
        <f>I567</f>
        <v>1355.13</v>
      </c>
      <c r="G534" s="61" t="s">
        <v>40</v>
      </c>
      <c r="H534" s="62"/>
      <c r="I534" s="10"/>
      <c r="J534" s="10" t="s">
        <v>46</v>
      </c>
      <c r="K534" s="31">
        <f>K532/(K532+K533)</f>
        <v>0.6</v>
      </c>
      <c r="L534" s="31">
        <f>L532/(L532+L533)</f>
        <v>1</v>
      </c>
      <c r="M534" s="31">
        <f>M532/(M532+M533)</f>
        <v>0.2</v>
      </c>
      <c r="N534" s="31">
        <f>N532/(N532+N533)</f>
        <v>0.36363636363636365</v>
      </c>
      <c r="O534" s="31">
        <f>O532/(O532+O533)</f>
        <v>0.2</v>
      </c>
      <c r="P534" s="31">
        <f>P532/(P532+P533)</f>
        <v>0.4</v>
      </c>
      <c r="Q534" s="31" t="e">
        <f>Q532/(Q532+Q533)</f>
        <v>#DIV/0!</v>
      </c>
      <c r="R534" s="63"/>
      <c r="S534" s="10"/>
      <c r="T534" s="10"/>
      <c r="U534" s="17"/>
      <c r="V534" s="10"/>
      <c r="W534" s="10"/>
      <c r="X534" s="10"/>
    </row>
    <row r="535" spans="1:24">
      <c r="A535" s="2"/>
      <c r="B535" s="11"/>
      <c r="C535" s="10"/>
      <c r="D535" s="10"/>
      <c r="E535" s="51" t="s">
        <v>47</v>
      </c>
      <c r="F535" s="52">
        <f>(F534+F538)*0.05</f>
        <v>66.956500000000005</v>
      </c>
      <c r="G535" s="65" t="s">
        <v>40</v>
      </c>
      <c r="H535" s="54">
        <f>F535/1.12</f>
        <v>59.782589285714288</v>
      </c>
      <c r="I535" s="42"/>
      <c r="J535" s="10" t="s">
        <v>48</v>
      </c>
      <c r="K535" s="66">
        <f>K531/K532</f>
        <v>2611.02</v>
      </c>
      <c r="L535" s="66">
        <f>L531/L532</f>
        <v>2139.6999999999998</v>
      </c>
      <c r="M535" s="66">
        <f>M531/M532</f>
        <v>636.13</v>
      </c>
      <c r="N535" s="66">
        <f>N531/N532</f>
        <v>1310.2375</v>
      </c>
      <c r="O535" s="66">
        <f>O531/O532</f>
        <v>2756.25</v>
      </c>
      <c r="P535" s="66">
        <f>P531/P532</f>
        <v>1832.9514285714286</v>
      </c>
      <c r="Q535" s="66" t="e">
        <f>Q531/Q532</f>
        <v>#DIV/0!</v>
      </c>
      <c r="R535" s="63"/>
      <c r="S535" s="10"/>
      <c r="T535" s="10"/>
      <c r="U535" s="17"/>
      <c r="V535" s="10"/>
      <c r="W535" s="10"/>
      <c r="X535" s="10"/>
    </row>
    <row r="536" spans="1:24">
      <c r="A536" s="2"/>
      <c r="B536" s="11"/>
      <c r="C536" s="10"/>
      <c r="D536" s="10"/>
      <c r="E536" s="67" t="s">
        <v>14</v>
      </c>
      <c r="F536" s="68"/>
      <c r="G536" s="10"/>
      <c r="H536" s="54">
        <f>F536/1.12</f>
        <v>0</v>
      </c>
      <c r="I536" s="10"/>
      <c r="J536" s="10"/>
      <c r="K536" s="10"/>
      <c r="L536" s="10"/>
      <c r="M536" s="10"/>
      <c r="N536" s="10"/>
      <c r="O536" s="10"/>
      <c r="P536" s="10"/>
      <c r="Q536" s="10"/>
      <c r="R536" s="10"/>
      <c r="S536" s="10"/>
      <c r="T536" s="10"/>
      <c r="U536" s="17"/>
      <c r="V536" s="10"/>
      <c r="W536" s="10"/>
      <c r="X536" s="10"/>
    </row>
    <row r="537" spans="1:24">
      <c r="A537" s="2"/>
      <c r="B537" s="11"/>
      <c r="C537" s="10"/>
      <c r="D537" s="10"/>
      <c r="E537" s="67" t="s">
        <v>49</v>
      </c>
      <c r="F537" s="69">
        <f>T526</f>
        <v>0</v>
      </c>
      <c r="G537" s="10"/>
      <c r="H537" s="54"/>
      <c r="I537" s="55"/>
      <c r="J537" s="42"/>
      <c r="K537" s="764" t="s">
        <v>50</v>
      </c>
      <c r="L537" s="764"/>
      <c r="M537" s="764"/>
      <c r="N537" s="764"/>
      <c r="O537" s="764"/>
      <c r="P537" s="764"/>
      <c r="Q537" s="764"/>
      <c r="R537" s="70" t="s">
        <v>28</v>
      </c>
      <c r="S537" s="71" t="s">
        <v>29</v>
      </c>
      <c r="T537" s="10"/>
      <c r="U537" s="17"/>
      <c r="V537" s="10"/>
      <c r="W537" s="10"/>
      <c r="X537" s="10"/>
    </row>
    <row r="538" spans="1:24">
      <c r="A538" s="2"/>
      <c r="B538" s="11"/>
      <c r="C538" s="10"/>
      <c r="D538" s="10"/>
      <c r="E538" s="74" t="s">
        <v>2039</v>
      </c>
      <c r="F538" s="75">
        <v>-16</v>
      </c>
      <c r="G538" s="10"/>
      <c r="H538" s="10"/>
      <c r="I538" s="10"/>
      <c r="J538" s="42"/>
      <c r="K538" s="20" t="s">
        <v>31</v>
      </c>
      <c r="L538" s="21" t="s">
        <v>32</v>
      </c>
      <c r="M538" s="21" t="s">
        <v>33</v>
      </c>
      <c r="N538" s="21" t="s">
        <v>34</v>
      </c>
      <c r="O538" s="21" t="s">
        <v>35</v>
      </c>
      <c r="P538" s="21" t="s">
        <v>36</v>
      </c>
      <c r="Q538" s="49" t="s">
        <v>37</v>
      </c>
      <c r="R538" s="50" t="s">
        <v>38</v>
      </c>
      <c r="S538" s="50" t="s">
        <v>38</v>
      </c>
      <c r="T538" s="10"/>
      <c r="U538" s="17"/>
      <c r="V538" s="10"/>
      <c r="W538" s="10"/>
      <c r="X538" s="10"/>
    </row>
    <row r="539" spans="1:24">
      <c r="A539" s="2"/>
      <c r="B539" s="11"/>
      <c r="C539" s="10"/>
      <c r="D539" s="10"/>
      <c r="E539" s="10"/>
      <c r="F539" s="10"/>
      <c r="G539" s="10"/>
      <c r="H539" s="10"/>
      <c r="I539" s="10"/>
      <c r="J539" s="42"/>
      <c r="K539" s="56">
        <f>F549+F551+F550</f>
        <v>8572</v>
      </c>
      <c r="L539" s="57">
        <f>F552+F554+F555+F553</f>
        <v>10623.9</v>
      </c>
      <c r="M539" s="57">
        <f>F556+F557</f>
        <v>1362</v>
      </c>
      <c r="N539" s="57">
        <f>F558+F559+F560+F570</f>
        <v>5732</v>
      </c>
      <c r="O539" s="57">
        <f>F561</f>
        <v>3395</v>
      </c>
      <c r="P539" s="57">
        <f>SUM(K539:O539)</f>
        <v>29684.9</v>
      </c>
      <c r="Q539" s="58">
        <v>0</v>
      </c>
      <c r="R539" s="59">
        <f>F571</f>
        <v>1461</v>
      </c>
      <c r="S539" s="59">
        <v>0</v>
      </c>
      <c r="T539" s="10"/>
      <c r="U539" s="17"/>
      <c r="V539" s="10"/>
      <c r="W539" s="10"/>
      <c r="X539" s="10"/>
    </row>
    <row r="540" spans="1:24">
      <c r="A540" s="2"/>
      <c r="B540" s="11"/>
      <c r="C540" s="10"/>
      <c r="D540" s="10"/>
      <c r="E540" s="10"/>
      <c r="F540" s="10"/>
      <c r="G540" s="10"/>
      <c r="H540" s="10"/>
      <c r="I540" s="10"/>
      <c r="J540" s="10" t="s">
        <v>42</v>
      </c>
      <c r="K540" s="63">
        <f>K532</f>
        <v>3</v>
      </c>
      <c r="L540" s="63">
        <f>L532</f>
        <v>4</v>
      </c>
      <c r="M540" s="63">
        <f>M532</f>
        <v>2</v>
      </c>
      <c r="N540" s="63">
        <f>N532</f>
        <v>4</v>
      </c>
      <c r="O540" s="63">
        <f>O532</f>
        <v>1</v>
      </c>
      <c r="P540" s="63">
        <f>P532</f>
        <v>14</v>
      </c>
      <c r="Q540" s="63">
        <f>Q532</f>
        <v>0</v>
      </c>
      <c r="R540" s="63"/>
      <c r="S540" s="10"/>
      <c r="T540" s="10"/>
      <c r="U540" s="17"/>
      <c r="V540" s="10"/>
      <c r="W540" s="10"/>
      <c r="X540" s="10"/>
    </row>
    <row r="541" spans="1:24">
      <c r="A541" s="2"/>
      <c r="B541" s="11"/>
      <c r="C541" s="10"/>
      <c r="D541" s="10"/>
      <c r="E541" s="10"/>
      <c r="F541" s="10"/>
      <c r="G541" s="10"/>
      <c r="H541" s="10"/>
      <c r="I541" s="10"/>
      <c r="J541" s="10" t="s">
        <v>44</v>
      </c>
      <c r="K541" s="63">
        <f>K533</f>
        <v>2</v>
      </c>
      <c r="L541" s="63">
        <f>L533</f>
        <v>0</v>
      </c>
      <c r="M541" s="63">
        <f>M533</f>
        <v>8</v>
      </c>
      <c r="N541" s="63">
        <f>N533</f>
        <v>7</v>
      </c>
      <c r="O541" s="63">
        <f>O533</f>
        <v>4</v>
      </c>
      <c r="P541" s="63">
        <f>P533</f>
        <v>21</v>
      </c>
      <c r="Q541" s="63">
        <f>Q533</f>
        <v>0</v>
      </c>
      <c r="R541" s="63"/>
      <c r="S541" s="10"/>
      <c r="T541" s="10"/>
      <c r="U541" s="17"/>
      <c r="V541" s="10"/>
      <c r="W541" s="10"/>
      <c r="X541" s="10"/>
    </row>
    <row r="542" spans="1:24">
      <c r="A542" s="2"/>
      <c r="B542" s="11"/>
      <c r="C542" s="10"/>
      <c r="D542" s="10"/>
      <c r="E542" s="12"/>
      <c r="F542" s="76"/>
      <c r="G542" s="10"/>
      <c r="H542" s="10"/>
      <c r="I542" s="10"/>
      <c r="J542" s="10" t="s">
        <v>46</v>
      </c>
      <c r="K542" s="31">
        <f>K540/(K540+K541)</f>
        <v>0.6</v>
      </c>
      <c r="L542" s="31">
        <f>L540/(L540+L541)</f>
        <v>1</v>
      </c>
      <c r="M542" s="31">
        <f>M540/(M540+M541)</f>
        <v>0.2</v>
      </c>
      <c r="N542" s="31">
        <f>N540/(N540+N541)</f>
        <v>0.36363636363636365</v>
      </c>
      <c r="O542" s="31">
        <f>O540/(O540+O541)</f>
        <v>0.2</v>
      </c>
      <c r="P542" s="31">
        <f>P540/(P540+P541)</f>
        <v>0.4</v>
      </c>
      <c r="Q542" s="31" t="e">
        <f>Q540/(Q540+Q541)</f>
        <v>#DIV/0!</v>
      </c>
      <c r="R542" s="63"/>
      <c r="S542" s="10"/>
      <c r="T542" s="10"/>
      <c r="U542" s="17"/>
      <c r="V542" s="10"/>
      <c r="W542" s="10"/>
      <c r="X542" s="10"/>
    </row>
    <row r="543" spans="1:24">
      <c r="A543" s="2"/>
      <c r="B543" s="11"/>
      <c r="C543" s="10"/>
      <c r="D543" s="10"/>
      <c r="E543" s="10"/>
      <c r="F543" s="10"/>
      <c r="G543" s="10"/>
      <c r="H543" s="10"/>
      <c r="I543" s="10"/>
      <c r="J543" s="10" t="s">
        <v>48</v>
      </c>
      <c r="K543" s="66">
        <f>K539/K540</f>
        <v>2857.3333333333335</v>
      </c>
      <c r="L543" s="66">
        <f>L539/L540</f>
        <v>2655.9749999999999</v>
      </c>
      <c r="M543" s="66">
        <f>M539/M540</f>
        <v>681</v>
      </c>
      <c r="N543" s="66">
        <f>N539/N540</f>
        <v>1433</v>
      </c>
      <c r="O543" s="66">
        <f>O539/O540</f>
        <v>3395</v>
      </c>
      <c r="P543" s="66">
        <f>P539/P540</f>
        <v>2120.35</v>
      </c>
      <c r="Q543" s="66" t="e">
        <f>Q539/Q540</f>
        <v>#DIV/0!</v>
      </c>
      <c r="R543" s="63"/>
      <c r="S543" s="10"/>
      <c r="T543" s="10"/>
      <c r="U543" s="17"/>
      <c r="V543" s="10"/>
      <c r="W543" s="10"/>
      <c r="X543" s="10"/>
    </row>
    <row r="544" spans="1:24">
      <c r="A544" s="2"/>
      <c r="B544" s="11"/>
      <c r="C544" s="10"/>
      <c r="D544" s="10"/>
      <c r="E544" s="10"/>
      <c r="F544" s="10"/>
      <c r="G544" s="10"/>
      <c r="H544" s="10"/>
      <c r="I544" s="10"/>
      <c r="J544" s="10"/>
      <c r="K544" s="10"/>
      <c r="L544" s="10"/>
      <c r="M544" s="10"/>
      <c r="N544" s="10"/>
      <c r="O544" s="10"/>
      <c r="P544" s="10"/>
      <c r="Q544" s="10"/>
      <c r="R544" s="10"/>
      <c r="S544" s="10"/>
      <c r="T544" s="10"/>
      <c r="U544" s="17"/>
      <c r="V544" s="10"/>
      <c r="W544" s="10"/>
      <c r="X544" s="10"/>
    </row>
    <row r="545" spans="1:24">
      <c r="A545" s="2"/>
      <c r="B545" s="11"/>
      <c r="C545" s="10"/>
      <c r="D545" s="10"/>
      <c r="E545" s="10"/>
      <c r="F545" s="10"/>
      <c r="G545" s="10"/>
      <c r="H545" s="10"/>
      <c r="I545" s="10"/>
      <c r="J545" s="10"/>
      <c r="K545" s="10"/>
      <c r="L545" s="10"/>
      <c r="M545" s="10"/>
      <c r="N545" s="10"/>
      <c r="O545" s="10"/>
      <c r="P545" s="10"/>
      <c r="Q545" s="10"/>
      <c r="R545" s="10"/>
      <c r="S545" s="10"/>
      <c r="T545" s="10"/>
      <c r="U545" s="17"/>
      <c r="V545" s="10"/>
      <c r="W545" s="10"/>
      <c r="X545" s="10"/>
    </row>
    <row r="546" spans="1:24">
      <c r="A546" s="2"/>
      <c r="B546" s="18" t="s">
        <v>51</v>
      </c>
      <c r="C546" s="14"/>
      <c r="D546" s="14"/>
      <c r="E546" s="14"/>
      <c r="F546" s="13" t="s">
        <v>52</v>
      </c>
      <c r="G546" s="14"/>
      <c r="H546" s="14"/>
      <c r="I546" s="14"/>
      <c r="J546" s="14"/>
      <c r="K546" s="13" t="s">
        <v>3</v>
      </c>
      <c r="L546" s="14"/>
      <c r="M546" s="14"/>
      <c r="N546" s="13" t="s">
        <v>4</v>
      </c>
      <c r="O546" s="14"/>
      <c r="P546" s="14"/>
      <c r="Q546" s="13" t="s">
        <v>5</v>
      </c>
      <c r="R546" s="14"/>
      <c r="S546" s="14"/>
      <c r="T546" s="18"/>
      <c r="U546" s="16" t="s">
        <v>53</v>
      </c>
      <c r="V546" s="77"/>
      <c r="W546" s="77"/>
      <c r="X546" s="77"/>
    </row>
    <row r="547" spans="1:24">
      <c r="A547" s="2"/>
      <c r="B547" s="24" t="s">
        <v>54</v>
      </c>
      <c r="C547" s="21" t="s">
        <v>55</v>
      </c>
      <c r="D547" s="21" t="s">
        <v>56</v>
      </c>
      <c r="E547" s="21" t="s">
        <v>57</v>
      </c>
      <c r="F547" s="20" t="s">
        <v>58</v>
      </c>
      <c r="G547" s="21" t="s">
        <v>59</v>
      </c>
      <c r="H547" s="21" t="s">
        <v>60</v>
      </c>
      <c r="I547" s="21" t="s">
        <v>26</v>
      </c>
      <c r="J547" s="22" t="s">
        <v>61</v>
      </c>
      <c r="K547" s="21" t="s">
        <v>8</v>
      </c>
      <c r="L547" s="21" t="s">
        <v>9</v>
      </c>
      <c r="M547" s="21" t="s">
        <v>10</v>
      </c>
      <c r="N547" s="20" t="s">
        <v>11</v>
      </c>
      <c r="O547" s="21" t="s">
        <v>12</v>
      </c>
      <c r="P547" s="22" t="s">
        <v>13</v>
      </c>
      <c r="Q547" s="21" t="s">
        <v>11</v>
      </c>
      <c r="R547" s="21" t="s">
        <v>12</v>
      </c>
      <c r="S547" s="21" t="s">
        <v>13</v>
      </c>
      <c r="T547" s="78" t="s">
        <v>14</v>
      </c>
      <c r="U547" s="30"/>
      <c r="V547" s="79" t="s">
        <v>62</v>
      </c>
      <c r="W547" s="80" t="s">
        <v>63</v>
      </c>
      <c r="X547" s="81" t="s">
        <v>64</v>
      </c>
    </row>
    <row r="548" spans="1:24">
      <c r="A548" s="2"/>
      <c r="B548" s="4" t="s">
        <v>65</v>
      </c>
      <c r="C548" s="6"/>
      <c r="D548" s="6"/>
      <c r="E548" s="6"/>
      <c r="F548" s="6"/>
      <c r="G548" s="6"/>
      <c r="H548" s="6"/>
      <c r="I548" s="82"/>
      <c r="J548" s="6"/>
      <c r="K548" s="6"/>
      <c r="L548" s="6"/>
      <c r="M548" s="6"/>
      <c r="N548" s="6"/>
      <c r="O548" s="6"/>
      <c r="P548" s="6"/>
      <c r="Q548" s="6"/>
      <c r="R548" s="6"/>
      <c r="S548" s="6"/>
      <c r="T548" s="83"/>
      <c r="U548" s="6"/>
      <c r="V548" s="84"/>
      <c r="W548" s="85"/>
      <c r="X548" s="86"/>
    </row>
    <row r="549" spans="1:24">
      <c r="A549" s="2"/>
      <c r="B549" s="87">
        <v>1</v>
      </c>
      <c r="C549" s="274">
        <v>45873</v>
      </c>
      <c r="D549" s="327">
        <v>71988</v>
      </c>
      <c r="E549" s="276" t="s">
        <v>2040</v>
      </c>
      <c r="F549" s="277">
        <v>1261</v>
      </c>
      <c r="G549" s="277">
        <f>39.7</f>
        <v>39.700000000000003</v>
      </c>
      <c r="H549" s="297"/>
      <c r="I549" s="321">
        <f>F549-G549-H549</f>
        <v>1221.3</v>
      </c>
      <c r="J549" s="279" t="s">
        <v>156</v>
      </c>
      <c r="K549" s="279">
        <v>1</v>
      </c>
      <c r="L549" s="279">
        <v>1</v>
      </c>
      <c r="M549" s="279">
        <v>1</v>
      </c>
      <c r="N549" s="279">
        <v>1</v>
      </c>
      <c r="O549" s="279">
        <v>1</v>
      </c>
      <c r="P549" s="322">
        <v>0</v>
      </c>
      <c r="Q549" s="322">
        <v>0</v>
      </c>
      <c r="R549" s="322">
        <v>0</v>
      </c>
      <c r="S549" s="328">
        <v>0</v>
      </c>
      <c r="T549" s="63"/>
      <c r="U549" s="10"/>
      <c r="V549" s="90">
        <f>138+1249.1</f>
        <v>1387.1</v>
      </c>
      <c r="W549" s="91"/>
      <c r="X549" s="92"/>
    </row>
    <row r="550" spans="1:24">
      <c r="A550" s="388">
        <v>45874</v>
      </c>
      <c r="B550" s="87">
        <f>B549+1</f>
        <v>2</v>
      </c>
      <c r="C550" s="295">
        <v>45873</v>
      </c>
      <c r="D550" s="346" t="s">
        <v>2041</v>
      </c>
      <c r="E550" s="10" t="s">
        <v>2040</v>
      </c>
      <c r="F550" s="62">
        <v>4419</v>
      </c>
      <c r="G550" s="62">
        <f>39.7+(319.84)+300</f>
        <v>659.54</v>
      </c>
      <c r="H550" s="62"/>
      <c r="I550" s="324">
        <f>F550-G550-H550</f>
        <v>3759.46</v>
      </c>
      <c r="J550" s="63" t="s">
        <v>156</v>
      </c>
      <c r="K550" s="63">
        <v>1</v>
      </c>
      <c r="L550" s="63">
        <v>1</v>
      </c>
      <c r="M550" s="325">
        <v>0</v>
      </c>
      <c r="N550" s="63">
        <v>1</v>
      </c>
      <c r="O550" s="63">
        <v>1</v>
      </c>
      <c r="P550" s="325">
        <v>0</v>
      </c>
      <c r="Q550" s="63">
        <v>1</v>
      </c>
      <c r="R550" s="63">
        <v>1</v>
      </c>
      <c r="S550" s="296">
        <v>1</v>
      </c>
      <c r="T550" s="63"/>
      <c r="U550" s="94" t="s">
        <v>2042</v>
      </c>
      <c r="V550" s="90">
        <f>486+4374.9</f>
        <v>4860.8999999999996</v>
      </c>
      <c r="W550" s="91"/>
      <c r="X550" s="92"/>
    </row>
    <row r="551" spans="1:24">
      <c r="A551" s="2"/>
      <c r="B551" s="87">
        <f>B550+1</f>
        <v>3</v>
      </c>
      <c r="C551" s="295">
        <v>45873</v>
      </c>
      <c r="D551" s="323">
        <v>72012</v>
      </c>
      <c r="E551" s="10" t="s">
        <v>512</v>
      </c>
      <c r="F551" s="62">
        <v>2892</v>
      </c>
      <c r="G551" s="62">
        <f>39.7</f>
        <v>39.700000000000003</v>
      </c>
      <c r="H551" s="62"/>
      <c r="I551" s="324">
        <f>F551-G551-H551</f>
        <v>2852.3</v>
      </c>
      <c r="J551" s="63" t="s">
        <v>156</v>
      </c>
      <c r="K551" s="63">
        <v>1</v>
      </c>
      <c r="L551" s="63">
        <v>1</v>
      </c>
      <c r="M551" s="63">
        <v>1</v>
      </c>
      <c r="N551" s="63">
        <v>1</v>
      </c>
      <c r="O551" s="63">
        <v>1</v>
      </c>
      <c r="P551" s="325">
        <v>0</v>
      </c>
      <c r="Q551" s="63">
        <v>1</v>
      </c>
      <c r="R551" s="325">
        <v>0</v>
      </c>
      <c r="S551" s="296">
        <v>1</v>
      </c>
      <c r="T551" s="63"/>
      <c r="U551" s="10"/>
      <c r="V551" s="90">
        <f>318+2863.2</f>
        <v>3181.2</v>
      </c>
      <c r="W551" s="91"/>
      <c r="X551" s="92"/>
    </row>
    <row r="552" spans="1:24">
      <c r="A552" s="93"/>
      <c r="B552" s="87">
        <f t="shared" ref="B552" si="56">B551+1</f>
        <v>4</v>
      </c>
      <c r="C552" s="274">
        <v>45874</v>
      </c>
      <c r="D552" s="327">
        <v>71962</v>
      </c>
      <c r="E552" s="276" t="s">
        <v>158</v>
      </c>
      <c r="F552" s="277">
        <v>681</v>
      </c>
      <c r="G552" s="277"/>
      <c r="H552" s="277"/>
      <c r="I552" s="321">
        <f>F552-G552-H552</f>
        <v>681</v>
      </c>
      <c r="J552" s="279" t="s">
        <v>156</v>
      </c>
      <c r="K552" s="279">
        <v>1</v>
      </c>
      <c r="L552" s="279">
        <v>1</v>
      </c>
      <c r="M552" s="279">
        <v>1</v>
      </c>
      <c r="N552" s="279">
        <v>1</v>
      </c>
      <c r="O552" s="279">
        <v>1</v>
      </c>
      <c r="P552" s="322">
        <v>0</v>
      </c>
      <c r="Q552" s="279">
        <v>1</v>
      </c>
      <c r="R552" s="279">
        <v>1</v>
      </c>
      <c r="S552" s="280">
        <v>1</v>
      </c>
      <c r="T552" s="63"/>
      <c r="U552" s="10"/>
      <c r="V552" s="90">
        <f>74.9+674.2</f>
        <v>749.1</v>
      </c>
      <c r="W552" s="91"/>
      <c r="X552" s="92"/>
    </row>
    <row r="553" spans="1:24">
      <c r="A553" s="93"/>
      <c r="B553" s="87">
        <f>B552+1</f>
        <v>5</v>
      </c>
      <c r="C553" s="295">
        <v>45874</v>
      </c>
      <c r="D553" s="346" t="s">
        <v>2043</v>
      </c>
      <c r="E553" s="10" t="s">
        <v>158</v>
      </c>
      <c r="F553" s="62">
        <v>7749</v>
      </c>
      <c r="G553" s="62">
        <f>39.7+(1326.81)+250</f>
        <v>1616.51</v>
      </c>
      <c r="H553" s="62"/>
      <c r="I553" s="324">
        <f>F553-G553-H553</f>
        <v>6132.49</v>
      </c>
      <c r="J553" s="63" t="s">
        <v>156</v>
      </c>
      <c r="K553" s="63">
        <v>1</v>
      </c>
      <c r="L553" s="63">
        <v>1</v>
      </c>
      <c r="M553" s="63">
        <v>1</v>
      </c>
      <c r="N553" s="63">
        <v>1</v>
      </c>
      <c r="O553" s="63">
        <v>1</v>
      </c>
      <c r="P553" s="325">
        <v>0</v>
      </c>
      <c r="Q553" s="63">
        <v>1</v>
      </c>
      <c r="R553" s="63">
        <v>1</v>
      </c>
      <c r="S553" s="296">
        <v>1</v>
      </c>
      <c r="T553" s="63"/>
      <c r="U553" s="10" t="s">
        <v>2044</v>
      </c>
      <c r="V553" s="90">
        <f>852+6800+871.9</f>
        <v>8523.9</v>
      </c>
      <c r="W553" s="91"/>
      <c r="X553" s="92"/>
    </row>
    <row r="554" spans="1:24">
      <c r="A554" s="2"/>
      <c r="B554" s="87">
        <f>B553+1</f>
        <v>6</v>
      </c>
      <c r="C554" s="295">
        <v>45874</v>
      </c>
      <c r="D554" s="323">
        <v>72035</v>
      </c>
      <c r="E554" s="10" t="s">
        <v>508</v>
      </c>
      <c r="F554" s="62">
        <v>681</v>
      </c>
      <c r="G554" s="62"/>
      <c r="H554" s="62"/>
      <c r="I554" s="324">
        <f>F554-G554-H554</f>
        <v>681</v>
      </c>
      <c r="J554" s="63" t="s">
        <v>156</v>
      </c>
      <c r="K554" s="63">
        <v>1</v>
      </c>
      <c r="L554" s="63">
        <v>1</v>
      </c>
      <c r="M554" s="63">
        <v>1</v>
      </c>
      <c r="N554" s="63">
        <v>1</v>
      </c>
      <c r="O554" s="63">
        <v>1</v>
      </c>
      <c r="P554" s="325">
        <v>0</v>
      </c>
      <c r="Q554" s="63">
        <v>1</v>
      </c>
      <c r="R554" s="63">
        <v>1</v>
      </c>
      <c r="S554" s="296">
        <v>1</v>
      </c>
      <c r="T554" s="63"/>
      <c r="U554" s="10" t="s">
        <v>2045</v>
      </c>
      <c r="V554" s="90">
        <f>74.9+674.2</f>
        <v>749.1</v>
      </c>
      <c r="W554" s="91"/>
      <c r="X554" s="92"/>
    </row>
    <row r="555" spans="1:24">
      <c r="A555" s="388">
        <v>45875</v>
      </c>
      <c r="B555" s="87">
        <f>B554+1</f>
        <v>7</v>
      </c>
      <c r="C555" s="282">
        <v>45874</v>
      </c>
      <c r="D555" s="368">
        <v>72067</v>
      </c>
      <c r="E555" s="283" t="s">
        <v>322</v>
      </c>
      <c r="F555" s="284">
        <v>1512.9</v>
      </c>
      <c r="G555" s="284">
        <f>39.7+(208.89)+200</f>
        <v>448.59</v>
      </c>
      <c r="H555" s="284"/>
      <c r="I555" s="300">
        <f>F555-G555-H555</f>
        <v>1064.3100000000002</v>
      </c>
      <c r="J555" s="286" t="s">
        <v>156</v>
      </c>
      <c r="K555" s="286">
        <v>1</v>
      </c>
      <c r="L555" s="332">
        <v>0</v>
      </c>
      <c r="M555" s="286">
        <v>1</v>
      </c>
      <c r="N555" s="286">
        <v>1</v>
      </c>
      <c r="O555" s="286">
        <v>1</v>
      </c>
      <c r="P555" s="332">
        <v>0</v>
      </c>
      <c r="Q555" s="286">
        <v>1</v>
      </c>
      <c r="R555" s="332">
        <v>0</v>
      </c>
      <c r="S555" s="287">
        <v>1</v>
      </c>
      <c r="T555" s="63"/>
      <c r="U555" s="94" t="s">
        <v>2046</v>
      </c>
      <c r="V555" s="90">
        <f>184.9+1479.29</f>
        <v>1664.19</v>
      </c>
      <c r="W555" s="91"/>
      <c r="X555" s="92"/>
    </row>
    <row r="556" spans="1:24">
      <c r="A556" s="2"/>
      <c r="B556" s="87">
        <f>B555+1</f>
        <v>8</v>
      </c>
      <c r="C556" s="295">
        <v>45875</v>
      </c>
      <c r="D556" s="323">
        <v>72070</v>
      </c>
      <c r="E556" s="10" t="s">
        <v>354</v>
      </c>
      <c r="F556" s="62">
        <v>681</v>
      </c>
      <c r="G556" s="62">
        <f>+(89.74)</f>
        <v>89.74</v>
      </c>
      <c r="H556" s="88"/>
      <c r="I556" s="324">
        <f>F556-G556-H556</f>
        <v>591.26</v>
      </c>
      <c r="J556" s="63" t="s">
        <v>156</v>
      </c>
      <c r="K556" s="63">
        <v>1</v>
      </c>
      <c r="L556" s="63">
        <v>1</v>
      </c>
      <c r="M556" s="63">
        <v>1</v>
      </c>
      <c r="N556" s="63">
        <v>1</v>
      </c>
      <c r="O556" s="63">
        <v>1</v>
      </c>
      <c r="P556" s="325">
        <v>0</v>
      </c>
      <c r="Q556" s="63">
        <v>1</v>
      </c>
      <c r="R556" s="63">
        <v>1</v>
      </c>
      <c r="S556" s="296">
        <v>1</v>
      </c>
      <c r="T556" s="63"/>
      <c r="U556" s="10"/>
      <c r="V556" s="90">
        <f>74.9+674.2</f>
        <v>749.1</v>
      </c>
      <c r="W556" s="91"/>
      <c r="X556" s="92"/>
    </row>
    <row r="557" spans="1:24">
      <c r="A557" s="2"/>
      <c r="B557" s="87">
        <f>B556+1</f>
        <v>9</v>
      </c>
      <c r="C557" s="295">
        <v>45875</v>
      </c>
      <c r="D557" s="323">
        <v>72057</v>
      </c>
      <c r="E557" s="10" t="s">
        <v>155</v>
      </c>
      <c r="F557" s="62">
        <v>681</v>
      </c>
      <c r="G557" s="62"/>
      <c r="H557" s="62"/>
      <c r="I557" s="324">
        <f>F557-G557-H557</f>
        <v>681</v>
      </c>
      <c r="J557" s="63" t="s">
        <v>156</v>
      </c>
      <c r="K557" s="63">
        <v>1</v>
      </c>
      <c r="L557" s="63">
        <v>1</v>
      </c>
      <c r="M557" s="63">
        <v>1</v>
      </c>
      <c r="N557" s="63">
        <v>1</v>
      </c>
      <c r="O557" s="63">
        <v>1</v>
      </c>
      <c r="P557" s="325">
        <v>0</v>
      </c>
      <c r="Q557" s="63">
        <v>1</v>
      </c>
      <c r="R557" s="63">
        <v>1</v>
      </c>
      <c r="S557" s="296">
        <v>1</v>
      </c>
      <c r="T557" s="63"/>
      <c r="U557" s="94"/>
      <c r="V557" s="90">
        <f>74.9+674.2</f>
        <v>749.1</v>
      </c>
      <c r="W557" s="91"/>
      <c r="X557" s="92"/>
    </row>
    <row r="558" spans="1:24">
      <c r="A558" s="2"/>
      <c r="B558" s="87">
        <f>B557+1</f>
        <v>10</v>
      </c>
      <c r="C558" s="274">
        <v>45876</v>
      </c>
      <c r="D558" s="327">
        <v>72118</v>
      </c>
      <c r="E558" s="281" t="s">
        <v>158</v>
      </c>
      <c r="F558" s="277">
        <v>814</v>
      </c>
      <c r="G558" s="277">
        <v>39.700000000000003</v>
      </c>
      <c r="H558" s="297"/>
      <c r="I558" s="321">
        <f>F558-G558-H558</f>
        <v>774.3</v>
      </c>
      <c r="J558" s="279" t="s">
        <v>156</v>
      </c>
      <c r="K558" s="279">
        <v>1</v>
      </c>
      <c r="L558" s="279">
        <v>1</v>
      </c>
      <c r="M558" s="279">
        <v>1</v>
      </c>
      <c r="N558" s="279">
        <v>1</v>
      </c>
      <c r="O558" s="279">
        <v>1</v>
      </c>
      <c r="P558" s="322">
        <v>0</v>
      </c>
      <c r="Q558" s="322">
        <v>0</v>
      </c>
      <c r="R558" s="322">
        <v>0</v>
      </c>
      <c r="S558" s="328">
        <v>0</v>
      </c>
      <c r="T558" s="63"/>
      <c r="U558" s="10"/>
      <c r="V558" s="90">
        <f>89.5+805.9</f>
        <v>895.4</v>
      </c>
      <c r="W558" s="91"/>
      <c r="X558" s="92"/>
    </row>
    <row r="559" spans="1:24" s="260" customFormat="1">
      <c r="A559" s="181"/>
      <c r="B559" s="87">
        <f t="shared" ref="B559" si="57">B558+1</f>
        <v>11</v>
      </c>
      <c r="C559" s="295">
        <v>45876</v>
      </c>
      <c r="D559" s="323">
        <v>72116</v>
      </c>
      <c r="E559" s="10" t="s">
        <v>1886</v>
      </c>
      <c r="F559" s="62">
        <f>766-85-85</f>
        <v>596</v>
      </c>
      <c r="G559" s="62"/>
      <c r="H559" s="88"/>
      <c r="I559" s="324">
        <f>F559-G559-H559</f>
        <v>596</v>
      </c>
      <c r="J559" s="63" t="s">
        <v>156</v>
      </c>
      <c r="K559" s="63">
        <v>1</v>
      </c>
      <c r="L559" s="63">
        <v>1</v>
      </c>
      <c r="M559" s="63">
        <v>1</v>
      </c>
      <c r="N559" s="63">
        <v>1</v>
      </c>
      <c r="O559" s="63">
        <v>1</v>
      </c>
      <c r="P559" s="325">
        <v>0</v>
      </c>
      <c r="Q559" s="63">
        <v>1</v>
      </c>
      <c r="R559" s="63">
        <v>1</v>
      </c>
      <c r="S559" s="296">
        <v>1</v>
      </c>
      <c r="T559" s="63"/>
      <c r="U559" s="10" t="s">
        <v>2047</v>
      </c>
      <c r="V559" s="90">
        <f>93.5+65.5+590.1</f>
        <v>749.1</v>
      </c>
      <c r="W559" s="91"/>
      <c r="X559" s="92"/>
    </row>
    <row r="560" spans="1:24">
      <c r="A560" s="2" t="s">
        <v>2048</v>
      </c>
      <c r="B560" s="87">
        <f>B559+1</f>
        <v>12</v>
      </c>
      <c r="C560" s="295">
        <v>45876</v>
      </c>
      <c r="D560" s="346" t="s">
        <v>2049</v>
      </c>
      <c r="E560" s="10" t="s">
        <v>292</v>
      </c>
      <c r="F560" s="62">
        <v>2861</v>
      </c>
      <c r="G560" s="62">
        <f>39.7+(102.99+68.96)+200</f>
        <v>411.65</v>
      </c>
      <c r="H560" s="88"/>
      <c r="I560" s="324">
        <f>F560-G560-H560</f>
        <v>2449.35</v>
      </c>
      <c r="J560" s="63" t="s">
        <v>156</v>
      </c>
      <c r="K560" s="63">
        <v>1</v>
      </c>
      <c r="L560" s="63">
        <v>1</v>
      </c>
      <c r="M560" s="63">
        <v>1</v>
      </c>
      <c r="N560" s="63">
        <v>1</v>
      </c>
      <c r="O560" s="63">
        <v>1</v>
      </c>
      <c r="P560" s="325">
        <v>0</v>
      </c>
      <c r="Q560" s="63">
        <v>1</v>
      </c>
      <c r="R560" s="63">
        <v>1</v>
      </c>
      <c r="S560" s="296">
        <v>1</v>
      </c>
      <c r="T560" s="63"/>
      <c r="U560" s="10" t="s">
        <v>2050</v>
      </c>
      <c r="V560" s="90">
        <f>281+2866.1</f>
        <v>3147.1</v>
      </c>
      <c r="W560" s="91"/>
      <c r="X560" s="92"/>
    </row>
    <row r="561" spans="1:25">
      <c r="A561" s="2"/>
      <c r="B561" s="87">
        <f>B560+1</f>
        <v>13</v>
      </c>
      <c r="C561" s="262">
        <v>45877</v>
      </c>
      <c r="D561" s="263">
        <v>72191</v>
      </c>
      <c r="E561" s="271" t="s">
        <v>671</v>
      </c>
      <c r="F561" s="560">
        <v>3395</v>
      </c>
      <c r="G561" s="265">
        <f>39.7+(299.05)+300</f>
        <v>638.75</v>
      </c>
      <c r="H561" s="265"/>
      <c r="I561" s="272">
        <f>F561-G561-H561</f>
        <v>2756.25</v>
      </c>
      <c r="J561" s="267" t="s">
        <v>156</v>
      </c>
      <c r="K561" s="267">
        <v>1</v>
      </c>
      <c r="L561" s="267">
        <v>1</v>
      </c>
      <c r="M561" s="267">
        <v>1</v>
      </c>
      <c r="N561" s="267">
        <v>1</v>
      </c>
      <c r="O561" s="267">
        <v>1</v>
      </c>
      <c r="P561" s="267">
        <v>1</v>
      </c>
      <c r="Q561" s="267">
        <v>1</v>
      </c>
      <c r="R561" s="267">
        <v>1</v>
      </c>
      <c r="S561" s="269">
        <v>1</v>
      </c>
      <c r="T561" s="63"/>
      <c r="U561" s="10" t="s">
        <v>2051</v>
      </c>
      <c r="V561" s="90">
        <f>373+3361.5</f>
        <v>3734.5</v>
      </c>
      <c r="W561" s="91"/>
      <c r="X561" s="92"/>
    </row>
    <row r="562" spans="1:25">
      <c r="A562" s="2"/>
      <c r="B562" s="87"/>
      <c r="C562" s="36"/>
      <c r="D562" s="10"/>
      <c r="E562" s="10"/>
      <c r="F562" s="97">
        <f>SUM(F549:F561)</f>
        <v>28223.9</v>
      </c>
      <c r="G562" s="97">
        <f>SUM(G549:G561)</f>
        <v>3983.8799999999997</v>
      </c>
      <c r="H562" s="97">
        <f>SUM(H549:H561)</f>
        <v>0</v>
      </c>
      <c r="I562" s="98">
        <f>SUM(I549:I561)</f>
        <v>24240.019999999997</v>
      </c>
      <c r="J562" s="63"/>
      <c r="K562" s="63">
        <f>COUNT(K549:K561)</f>
        <v>13</v>
      </c>
      <c r="L562" s="63">
        <f>COUNT(L549:L561)</f>
        <v>13</v>
      </c>
      <c r="M562" s="63">
        <f>COUNT(M549:M561)</f>
        <v>13</v>
      </c>
      <c r="N562" s="63">
        <f>COUNT(N549:N561)</f>
        <v>13</v>
      </c>
      <c r="O562" s="63">
        <f>COUNT(O549:O561)</f>
        <v>13</v>
      </c>
      <c r="P562" s="63">
        <f>COUNT(P549:P561)</f>
        <v>13</v>
      </c>
      <c r="Q562" s="63">
        <f>COUNT(Q549:Q561)</f>
        <v>13</v>
      </c>
      <c r="R562" s="63">
        <f>COUNT(R549:R561)</f>
        <v>13</v>
      </c>
      <c r="S562" s="63">
        <f>COUNT(S549:S561)</f>
        <v>13</v>
      </c>
      <c r="T562" s="63"/>
      <c r="U562" s="10"/>
      <c r="V562" s="90"/>
      <c r="W562" s="91"/>
      <c r="X562" s="92"/>
    </row>
    <row r="563" spans="1:25">
      <c r="A563" s="2"/>
      <c r="B563" s="87"/>
      <c r="C563" s="36"/>
      <c r="D563" s="10"/>
      <c r="E563" s="10"/>
      <c r="F563" s="88"/>
      <c r="G563" s="88"/>
      <c r="H563" s="88"/>
      <c r="I563" s="99"/>
      <c r="J563" s="63"/>
      <c r="K563" s="21">
        <f>SUM(K549:K561)</f>
        <v>13</v>
      </c>
      <c r="L563" s="21">
        <f>SUM(L549:L561)</f>
        <v>12</v>
      </c>
      <c r="M563" s="21">
        <f>SUM(M549:M561)</f>
        <v>12</v>
      </c>
      <c r="N563" s="21">
        <f>SUM(N549:N561)</f>
        <v>13</v>
      </c>
      <c r="O563" s="21">
        <f>SUM(O549:O561)</f>
        <v>13</v>
      </c>
      <c r="P563" s="21">
        <f>SUM(P549:P561)</f>
        <v>1</v>
      </c>
      <c r="Q563" s="21">
        <f>SUM(Q549:Q561)</f>
        <v>11</v>
      </c>
      <c r="R563" s="21">
        <f>SUM(R549:R561)</f>
        <v>9</v>
      </c>
      <c r="S563" s="21">
        <f>SUM(S549:S561)</f>
        <v>11</v>
      </c>
      <c r="T563" s="63"/>
      <c r="U563" s="10"/>
      <c r="V563" s="90"/>
      <c r="W563" s="91"/>
      <c r="X563" s="92"/>
    </row>
    <row r="564" spans="1:25">
      <c r="A564" s="2"/>
      <c r="B564" s="11"/>
      <c r="C564" s="36"/>
      <c r="D564" s="10"/>
      <c r="E564" s="10"/>
      <c r="F564" s="88"/>
      <c r="G564" s="88"/>
      <c r="H564" s="88"/>
      <c r="I564" s="99"/>
      <c r="J564" s="63"/>
      <c r="K564" s="21"/>
      <c r="L564" s="21"/>
      <c r="M564" s="21"/>
      <c r="N564" s="21"/>
      <c r="O564" s="21"/>
      <c r="P564" s="21"/>
      <c r="Q564" s="21"/>
      <c r="R564" s="21"/>
      <c r="S564" s="21"/>
      <c r="T564" s="63"/>
      <c r="U564" s="94"/>
      <c r="V564" s="90"/>
      <c r="W564" s="91"/>
      <c r="X564" s="92"/>
    </row>
    <row r="565" spans="1:25">
      <c r="A565" s="2"/>
      <c r="B565" s="100" t="s">
        <v>67</v>
      </c>
      <c r="C565" s="36"/>
      <c r="D565" s="10"/>
      <c r="E565" s="10"/>
      <c r="F565" s="88"/>
      <c r="G565" s="62"/>
      <c r="H565" s="88"/>
      <c r="I565" s="99"/>
      <c r="J565" s="63"/>
      <c r="K565" s="2"/>
      <c r="L565" s="2"/>
      <c r="M565" s="2"/>
      <c r="N565" s="2"/>
      <c r="O565" s="2"/>
      <c r="P565" s="2"/>
      <c r="Q565" s="2"/>
      <c r="R565" s="2"/>
      <c r="S565" s="2"/>
      <c r="T565" s="63"/>
      <c r="U565" s="94"/>
      <c r="V565" s="90"/>
      <c r="W565" s="91"/>
      <c r="X565" s="92"/>
    </row>
    <row r="566" spans="1:25">
      <c r="A566" s="261" t="s">
        <v>1182</v>
      </c>
      <c r="B566" s="87">
        <v>1</v>
      </c>
      <c r="C566" s="262">
        <v>45862</v>
      </c>
      <c r="D566" s="263">
        <v>71599</v>
      </c>
      <c r="E566" s="271" t="s">
        <v>168</v>
      </c>
      <c r="F566" s="265">
        <v>1861</v>
      </c>
      <c r="G566" s="265">
        <f>39.7+(266.17)+200</f>
        <v>505.87</v>
      </c>
      <c r="H566" s="265"/>
      <c r="I566" s="266">
        <f>F566-G566-H566</f>
        <v>1355.13</v>
      </c>
      <c r="J566" s="267" t="s">
        <v>156</v>
      </c>
      <c r="K566" s="267">
        <v>1</v>
      </c>
      <c r="L566" s="267">
        <v>1</v>
      </c>
      <c r="M566" s="267">
        <v>1</v>
      </c>
      <c r="N566" s="267">
        <v>1</v>
      </c>
      <c r="O566" s="267">
        <v>1</v>
      </c>
      <c r="P566" s="314">
        <v>0</v>
      </c>
      <c r="Q566" s="267">
        <v>1</v>
      </c>
      <c r="R566" s="267">
        <v>1</v>
      </c>
      <c r="S566" s="269">
        <v>1</v>
      </c>
      <c r="T566" s="63"/>
      <c r="U566" s="94" t="s">
        <v>2052</v>
      </c>
      <c r="V566" s="90">
        <f>1843.1</f>
        <v>1843.1</v>
      </c>
      <c r="W566" s="136"/>
      <c r="X566" s="137"/>
      <c r="Y566" s="260"/>
    </row>
    <row r="567" spans="1:25">
      <c r="A567" s="2"/>
      <c r="B567" s="11"/>
      <c r="C567" s="36"/>
      <c r="D567" s="10"/>
      <c r="E567" s="10"/>
      <c r="F567" s="97">
        <f>SUM(F566:F566)</f>
        <v>1861</v>
      </c>
      <c r="G567" s="97">
        <f>SUM(G566:G566)</f>
        <v>505.87</v>
      </c>
      <c r="H567" s="97">
        <f>SUM(H566:H566)</f>
        <v>0</v>
      </c>
      <c r="I567" s="98">
        <f>SUM(I566:I566)</f>
        <v>1355.13</v>
      </c>
      <c r="J567" s="63"/>
      <c r="K567" s="21"/>
      <c r="L567" s="21"/>
      <c r="M567" s="21"/>
      <c r="N567" s="21"/>
      <c r="O567" s="21"/>
      <c r="P567" s="21"/>
      <c r="Q567" s="21"/>
      <c r="R567" s="21"/>
      <c r="S567" s="21"/>
      <c r="T567" s="63"/>
      <c r="U567" s="94"/>
      <c r="V567" s="90"/>
      <c r="W567" s="91"/>
      <c r="X567" s="92"/>
    </row>
    <row r="568" spans="1:25">
      <c r="A568" s="2"/>
      <c r="B568" s="11"/>
      <c r="C568" s="36"/>
      <c r="D568" s="10"/>
      <c r="E568" s="10"/>
      <c r="F568" s="88"/>
      <c r="G568" s="88"/>
      <c r="H568" s="88"/>
      <c r="I568" s="99"/>
      <c r="J568" s="63"/>
      <c r="K568" s="21"/>
      <c r="L568" s="21"/>
      <c r="M568" s="21"/>
      <c r="N568" s="21"/>
      <c r="O568" s="21"/>
      <c r="P568" s="21"/>
      <c r="Q568" s="21"/>
      <c r="R568" s="21"/>
      <c r="S568" s="21"/>
      <c r="T568" s="63"/>
      <c r="U568" s="94"/>
      <c r="V568" s="90"/>
      <c r="W568" s="91"/>
      <c r="X568" s="92"/>
    </row>
    <row r="569" spans="1:25">
      <c r="A569" s="128"/>
      <c r="B569" s="121" t="s">
        <v>68</v>
      </c>
      <c r="C569" s="122"/>
      <c r="D569" s="123"/>
      <c r="E569" s="123"/>
      <c r="F569" s="124"/>
      <c r="G569" s="125"/>
      <c r="H569" s="124"/>
      <c r="I569" s="126"/>
      <c r="J569" s="127"/>
      <c r="K569" s="128"/>
      <c r="L569" s="128"/>
      <c r="M569" s="128"/>
      <c r="N569" s="128"/>
      <c r="O569" s="128"/>
      <c r="P569" s="128"/>
      <c r="Q569" s="128"/>
      <c r="R569" s="128"/>
      <c r="S569" s="128"/>
      <c r="T569" s="127"/>
      <c r="U569" s="123"/>
      <c r="V569" s="129"/>
      <c r="W569" s="130"/>
      <c r="X569" s="131"/>
    </row>
    <row r="570" spans="1:25" s="342" customFormat="1">
      <c r="A570" s="356">
        <v>0.05</v>
      </c>
      <c r="B570" s="333">
        <v>1</v>
      </c>
      <c r="C570" s="350">
        <v>45876</v>
      </c>
      <c r="D570" s="263">
        <v>72143</v>
      </c>
      <c r="E570" s="351" t="s">
        <v>168</v>
      </c>
      <c r="F570" s="352">
        <v>1461</v>
      </c>
      <c r="G570" s="352">
        <v>39.700000000000003</v>
      </c>
      <c r="H570" s="352"/>
      <c r="I570" s="353">
        <f>F570-G570-H570</f>
        <v>1421.3</v>
      </c>
      <c r="J570" s="354" t="s">
        <v>228</v>
      </c>
      <c r="K570" s="354">
        <v>1</v>
      </c>
      <c r="L570" s="354">
        <v>1</v>
      </c>
      <c r="M570" s="354">
        <v>1</v>
      </c>
      <c r="N570" s="354">
        <v>1</v>
      </c>
      <c r="O570" s="354">
        <v>1</v>
      </c>
      <c r="P570" s="354">
        <v>0</v>
      </c>
      <c r="Q570" s="354">
        <v>1</v>
      </c>
      <c r="R570" s="354">
        <v>1</v>
      </c>
      <c r="S570" s="355">
        <v>0</v>
      </c>
      <c r="T570" s="127"/>
      <c r="U570" s="123"/>
      <c r="V570" s="129">
        <f>160+1417.7</f>
        <v>1577.7</v>
      </c>
      <c r="W570" s="130"/>
      <c r="X570" s="131"/>
    </row>
    <row r="571" spans="1:25">
      <c r="A571" s="128"/>
      <c r="B571" s="132"/>
      <c r="C571" s="122"/>
      <c r="D571" s="123"/>
      <c r="E571" s="123"/>
      <c r="F571" s="133">
        <f>SUM(F570:F570)</f>
        <v>1461</v>
      </c>
      <c r="G571" s="133">
        <f>SUM(G570:G570)</f>
        <v>39.700000000000003</v>
      </c>
      <c r="H571" s="133">
        <f>SUM(H570:H570)</f>
        <v>0</v>
      </c>
      <c r="I571" s="133">
        <f>SUM(I570:I570)</f>
        <v>1421.3</v>
      </c>
      <c r="J571" s="127"/>
      <c r="K571" s="64"/>
      <c r="L571" s="64"/>
      <c r="M571" s="64"/>
      <c r="N571" s="64"/>
      <c r="O571" s="64"/>
      <c r="P571" s="64"/>
      <c r="Q571" s="64"/>
      <c r="R571" s="64"/>
      <c r="S571" s="64"/>
      <c r="T571" s="127"/>
      <c r="U571" s="123"/>
      <c r="V571" s="129"/>
      <c r="W571" s="130"/>
      <c r="X571" s="131"/>
    </row>
    <row r="572" spans="1:25">
      <c r="A572" s="2"/>
      <c r="B572" s="11"/>
      <c r="C572" s="36"/>
      <c r="D572" s="10"/>
      <c r="E572" s="10"/>
      <c r="F572" s="88"/>
      <c r="G572" s="88"/>
      <c r="H572" s="88"/>
      <c r="I572" s="99"/>
      <c r="J572" s="63"/>
      <c r="K572" s="21"/>
      <c r="L572" s="21"/>
      <c r="M572" s="21"/>
      <c r="N572" s="21"/>
      <c r="O572" s="21"/>
      <c r="P572" s="21"/>
      <c r="Q572" s="21"/>
      <c r="R572" s="21"/>
      <c r="S572" s="21"/>
      <c r="T572" s="63"/>
      <c r="U572" s="10"/>
      <c r="V572" s="90"/>
      <c r="W572" s="91"/>
      <c r="X572" s="92"/>
    </row>
    <row r="573" spans="1:25" s="260" customFormat="1">
      <c r="A573" s="181"/>
      <c r="B573" s="100" t="s">
        <v>152</v>
      </c>
      <c r="C573" s="36"/>
      <c r="D573" s="10"/>
      <c r="E573" s="10"/>
      <c r="F573" s="88"/>
      <c r="G573" s="62"/>
      <c r="H573" s="88"/>
      <c r="I573" s="99"/>
      <c r="J573" s="63"/>
      <c r="K573" s="181"/>
      <c r="L573" s="181"/>
      <c r="M573" s="181"/>
      <c r="N573" s="181"/>
      <c r="O573" s="181"/>
      <c r="P573" s="181"/>
      <c r="Q573" s="181"/>
      <c r="R573" s="181"/>
      <c r="S573" s="181"/>
      <c r="T573" s="63"/>
      <c r="U573" s="10"/>
      <c r="V573" s="90"/>
      <c r="W573" s="91"/>
      <c r="X573" s="92"/>
    </row>
    <row r="574" spans="1:25" s="260" customFormat="1">
      <c r="A574" s="261">
        <v>0.05</v>
      </c>
      <c r="B574" s="87">
        <v>1</v>
      </c>
      <c r="C574" s="262">
        <v>45840</v>
      </c>
      <c r="D574" s="357" t="s">
        <v>1896</v>
      </c>
      <c r="E574" s="264" t="s">
        <v>354</v>
      </c>
      <c r="F574" s="265">
        <v>1681</v>
      </c>
      <c r="G574" s="265">
        <v>39.700000000000003</v>
      </c>
      <c r="H574" s="265"/>
      <c r="I574" s="266">
        <f>F574-G574-H574</f>
        <v>1641.3</v>
      </c>
      <c r="J574" s="267" t="s">
        <v>374</v>
      </c>
      <c r="K574" s="267">
        <v>1</v>
      </c>
      <c r="L574" s="267">
        <v>1</v>
      </c>
      <c r="M574" s="267">
        <v>1</v>
      </c>
      <c r="N574" s="267">
        <v>1</v>
      </c>
      <c r="O574" s="267">
        <v>1</v>
      </c>
      <c r="P574" s="314">
        <v>0</v>
      </c>
      <c r="Q574" s="267">
        <v>1</v>
      </c>
      <c r="R574" s="267">
        <v>1</v>
      </c>
      <c r="S574" s="366">
        <v>0</v>
      </c>
      <c r="T574" s="63"/>
      <c r="U574" s="10" t="s">
        <v>1897</v>
      </c>
      <c r="V574" s="90"/>
      <c r="W574" s="91"/>
      <c r="X574" s="92"/>
    </row>
    <row r="575" spans="1:25" s="260" customFormat="1">
      <c r="A575" s="494">
        <v>0.05</v>
      </c>
      <c r="B575" s="87">
        <f>B574+1</f>
        <v>2</v>
      </c>
      <c r="C575" s="262">
        <v>45849</v>
      </c>
      <c r="D575" s="263">
        <v>71382</v>
      </c>
      <c r="E575" s="271" t="s">
        <v>999</v>
      </c>
      <c r="F575" s="265">
        <v>1861</v>
      </c>
      <c r="G575" s="265">
        <v>39.700000000000003</v>
      </c>
      <c r="H575" s="265"/>
      <c r="I575" s="266">
        <f>F575-G575-H575</f>
        <v>1821.3</v>
      </c>
      <c r="J575" s="267" t="s">
        <v>374</v>
      </c>
      <c r="K575" s="267">
        <v>1</v>
      </c>
      <c r="L575" s="267"/>
      <c r="M575" s="267">
        <v>1</v>
      </c>
      <c r="N575" s="267">
        <v>1</v>
      </c>
      <c r="O575" s="267">
        <v>1</v>
      </c>
      <c r="P575" s="314">
        <v>0</v>
      </c>
      <c r="Q575" s="314">
        <v>0</v>
      </c>
      <c r="R575" s="314">
        <v>0</v>
      </c>
      <c r="S575" s="366">
        <v>0</v>
      </c>
      <c r="T575" s="63"/>
      <c r="U575" s="94" t="s">
        <v>1937</v>
      </c>
      <c r="V575" s="90"/>
      <c r="W575" s="136"/>
      <c r="X575" s="137"/>
    </row>
    <row r="576" spans="1:25" s="260" customFormat="1">
      <c r="A576" s="261">
        <v>0.05</v>
      </c>
      <c r="B576" s="87">
        <f t="shared" ref="B576:B577" si="58">B575+1</f>
        <v>3</v>
      </c>
      <c r="C576" s="282">
        <v>45861</v>
      </c>
      <c r="D576" s="330" t="s">
        <v>1997</v>
      </c>
      <c r="E576" s="283" t="s">
        <v>270</v>
      </c>
      <c r="F576" s="423">
        <v>5133</v>
      </c>
      <c r="G576" s="284">
        <f>39.7+(1071.49)+250</f>
        <v>1361.19</v>
      </c>
      <c r="H576" s="284"/>
      <c r="I576" s="300">
        <f>F576-G576-H576</f>
        <v>3771.81</v>
      </c>
      <c r="J576" s="286" t="s">
        <v>156</v>
      </c>
      <c r="K576" s="286">
        <v>1</v>
      </c>
      <c r="L576" s="286">
        <v>1</v>
      </c>
      <c r="M576" s="286">
        <v>1</v>
      </c>
      <c r="N576" s="286">
        <v>1</v>
      </c>
      <c r="O576" s="286">
        <v>1</v>
      </c>
      <c r="P576" s="332">
        <v>0</v>
      </c>
      <c r="Q576" s="332">
        <v>0</v>
      </c>
      <c r="R576" s="332">
        <v>0</v>
      </c>
      <c r="S576" s="370">
        <v>0</v>
      </c>
      <c r="T576" s="63"/>
      <c r="U576" s="10" t="s">
        <v>1998</v>
      </c>
      <c r="V576" s="90"/>
      <c r="W576" s="91"/>
      <c r="X576" s="92"/>
    </row>
    <row r="577" spans="1:25" s="260" customFormat="1">
      <c r="A577" s="494">
        <v>0.05</v>
      </c>
      <c r="B577" s="87">
        <f t="shared" si="58"/>
        <v>4</v>
      </c>
      <c r="C577" s="262">
        <v>45867</v>
      </c>
      <c r="D577" s="357" t="s">
        <v>2029</v>
      </c>
      <c r="E577" s="264" t="s">
        <v>158</v>
      </c>
      <c r="F577" s="265">
        <v>4461</v>
      </c>
      <c r="G577" s="265">
        <f>39.7+300</f>
        <v>339.7</v>
      </c>
      <c r="H577" s="265"/>
      <c r="I577" s="266">
        <f>F577-G577-H577</f>
        <v>4121.3</v>
      </c>
      <c r="J577" s="267"/>
      <c r="K577" s="267">
        <v>1</v>
      </c>
      <c r="L577" s="267">
        <v>1</v>
      </c>
      <c r="M577" s="267"/>
      <c r="N577" s="267">
        <v>1</v>
      </c>
      <c r="O577" s="267">
        <v>1</v>
      </c>
      <c r="P577" s="314">
        <v>0</v>
      </c>
      <c r="Q577" s="314">
        <v>0</v>
      </c>
      <c r="R577" s="314">
        <v>0</v>
      </c>
      <c r="S577" s="366">
        <v>0</v>
      </c>
      <c r="T577" s="63"/>
      <c r="U577" s="10" t="s">
        <v>2030</v>
      </c>
      <c r="V577" s="90"/>
      <c r="W577" s="91"/>
      <c r="X577" s="92"/>
    </row>
    <row r="578" spans="1:25" s="260" customFormat="1">
      <c r="A578" s="181"/>
      <c r="B578" s="11"/>
      <c r="C578" s="36"/>
      <c r="D578" s="10"/>
      <c r="E578" s="10"/>
      <c r="F578" s="98">
        <f>SUM(F574:F577)</f>
        <v>13136</v>
      </c>
      <c r="G578" s="98">
        <f>SUM(G574:G577)</f>
        <v>1780.2900000000002</v>
      </c>
      <c r="H578" s="98">
        <f>SUM(H574:H577)</f>
        <v>0</v>
      </c>
      <c r="I578" s="98">
        <f>SUM(I574:I577)</f>
        <v>11355.71</v>
      </c>
      <c r="J578" s="63"/>
      <c r="K578" s="21"/>
      <c r="L578" s="21"/>
      <c r="M578" s="21"/>
      <c r="N578" s="21"/>
      <c r="O578" s="21"/>
      <c r="P578" s="21"/>
      <c r="Q578" s="21"/>
      <c r="R578" s="21"/>
      <c r="S578" s="21"/>
      <c r="T578" s="63"/>
      <c r="U578" s="10"/>
      <c r="V578" s="90"/>
      <c r="W578" s="91"/>
      <c r="X578" s="92"/>
    </row>
    <row r="579" spans="1:25" s="260" customFormat="1">
      <c r="A579" s="181"/>
      <c r="B579" s="11"/>
      <c r="C579" s="36"/>
      <c r="D579" s="10"/>
      <c r="E579" s="10"/>
      <c r="F579" s="88"/>
      <c r="G579" s="88"/>
      <c r="H579" s="88"/>
      <c r="I579" s="99"/>
      <c r="J579" s="63"/>
      <c r="K579" s="21"/>
      <c r="L579" s="21"/>
      <c r="M579" s="21"/>
      <c r="N579" s="21"/>
      <c r="O579" s="21"/>
      <c r="P579" s="21"/>
      <c r="Q579" s="21"/>
      <c r="R579" s="21"/>
      <c r="S579" s="21"/>
      <c r="T579" s="63"/>
      <c r="U579" s="10"/>
      <c r="V579" s="90"/>
      <c r="W579" s="91"/>
      <c r="X579" s="92"/>
    </row>
    <row r="580" spans="1:25" s="260" customFormat="1">
      <c r="B580" s="100" t="s">
        <v>202</v>
      </c>
      <c r="C580" s="36"/>
      <c r="D580" s="10"/>
      <c r="E580" s="181"/>
      <c r="F580" s="88"/>
      <c r="G580" s="88"/>
      <c r="H580" s="88"/>
      <c r="I580" s="99"/>
      <c r="J580" s="63"/>
      <c r="K580" s="21"/>
      <c r="L580" s="21"/>
      <c r="M580" s="21"/>
      <c r="N580" s="21"/>
      <c r="O580" s="21"/>
      <c r="P580" s="21"/>
      <c r="Q580" s="21"/>
      <c r="R580" s="21"/>
      <c r="S580" s="21"/>
      <c r="T580" s="63"/>
      <c r="U580" s="10"/>
      <c r="V580" s="90"/>
      <c r="W580" s="91"/>
      <c r="X580" s="92"/>
    </row>
    <row r="581" spans="1:25" s="260" customFormat="1">
      <c r="A581" s="261">
        <v>0.05</v>
      </c>
      <c r="B581" s="87">
        <v>1</v>
      </c>
      <c r="C581" s="274">
        <v>45812</v>
      </c>
      <c r="D581" s="320" t="s">
        <v>1866</v>
      </c>
      <c r="E581" s="276" t="s">
        <v>512</v>
      </c>
      <c r="F581" s="277">
        <v>18061</v>
      </c>
      <c r="G581" s="277">
        <f>39.7+1551+(62.91+128.26+27.45-20.83)+(10.95+18.17+8.58+185.26+145.2+166.5+178.78)+1500</f>
        <v>4001.93</v>
      </c>
      <c r="H581" s="277"/>
      <c r="I581" s="278">
        <f>F581-G581-H581</f>
        <v>14059.07</v>
      </c>
      <c r="J581" s="279" t="s">
        <v>156</v>
      </c>
      <c r="K581" s="279">
        <v>1</v>
      </c>
      <c r="L581" s="279"/>
      <c r="M581" s="279">
        <v>1</v>
      </c>
      <c r="N581" s="279">
        <v>1</v>
      </c>
      <c r="O581" s="279">
        <v>1</v>
      </c>
      <c r="P581" s="279">
        <v>1</v>
      </c>
      <c r="Q581" s="279"/>
      <c r="R581" s="279"/>
      <c r="S581" s="280"/>
      <c r="T581" s="63"/>
      <c r="U581" s="10" t="s">
        <v>1900</v>
      </c>
      <c r="V581" s="90"/>
      <c r="W581" s="136"/>
      <c r="X581" s="137"/>
      <c r="Y581" s="181"/>
    </row>
    <row r="582" spans="1:25" s="260" customFormat="1">
      <c r="A582" s="261">
        <v>0.05</v>
      </c>
      <c r="B582" s="87">
        <f>B581+1</f>
        <v>2</v>
      </c>
      <c r="C582" s="262">
        <v>45813</v>
      </c>
      <c r="D582" s="357" t="s">
        <v>1868</v>
      </c>
      <c r="E582" s="271" t="s">
        <v>512</v>
      </c>
      <c r="F582" s="265">
        <v>22614</v>
      </c>
      <c r="G582" s="265">
        <f>39.7+47.8+356+1430+(396.09)+(145.2-4.72-2.08+8.58-185.26+9.17+5.35+223.39)+2000</f>
        <v>4469.22</v>
      </c>
      <c r="H582" s="265"/>
      <c r="I582" s="266">
        <f>F582-G582-H582</f>
        <v>18144.78</v>
      </c>
      <c r="J582" s="267"/>
      <c r="K582" s="267">
        <v>1</v>
      </c>
      <c r="L582" s="267"/>
      <c r="M582" s="267"/>
      <c r="N582" s="267">
        <v>1</v>
      </c>
      <c r="O582" s="267">
        <v>1</v>
      </c>
      <c r="P582" s="314">
        <v>0</v>
      </c>
      <c r="Q582" s="267"/>
      <c r="R582" s="267"/>
      <c r="S582" s="269"/>
      <c r="T582" s="63"/>
      <c r="U582" s="10" t="s">
        <v>1901</v>
      </c>
      <c r="V582" s="90"/>
      <c r="W582" s="136"/>
      <c r="X582" s="137"/>
    </row>
    <row r="583" spans="1:25" s="260" customFormat="1">
      <c r="A583" s="494">
        <v>0.05</v>
      </c>
      <c r="B583" s="87">
        <f>B582+1</f>
        <v>3</v>
      </c>
      <c r="C583" s="274">
        <v>45848</v>
      </c>
      <c r="D583" s="327">
        <v>71381</v>
      </c>
      <c r="E583" s="276" t="s">
        <v>1530</v>
      </c>
      <c r="F583" s="277">
        <f>1223-85</f>
        <v>1138</v>
      </c>
      <c r="G583" s="277">
        <f>39.7</f>
        <v>39.700000000000003</v>
      </c>
      <c r="H583" s="277"/>
      <c r="I583" s="321">
        <f>F583-G583-H583</f>
        <v>1098.3</v>
      </c>
      <c r="J583" s="279" t="s">
        <v>156</v>
      </c>
      <c r="K583" s="279">
        <v>1</v>
      </c>
      <c r="L583" s="279"/>
      <c r="M583" s="279">
        <v>1</v>
      </c>
      <c r="N583" s="279">
        <v>1</v>
      </c>
      <c r="O583" s="279">
        <v>1</v>
      </c>
      <c r="P583" s="322">
        <v>0</v>
      </c>
      <c r="Q583" s="279"/>
      <c r="R583" s="279"/>
      <c r="S583" s="280"/>
      <c r="T583" s="63"/>
      <c r="U583" s="94"/>
      <c r="V583" s="90"/>
      <c r="W583" s="136"/>
      <c r="X583" s="137"/>
    </row>
    <row r="584" spans="1:25" s="260" customFormat="1">
      <c r="A584" s="261">
        <v>0.05</v>
      </c>
      <c r="B584" s="87">
        <f t="shared" ref="B584" si="59">B583+1</f>
        <v>4</v>
      </c>
      <c r="C584" s="262">
        <v>45859</v>
      </c>
      <c r="D584" s="263">
        <v>71610</v>
      </c>
      <c r="E584" s="271" t="s">
        <v>354</v>
      </c>
      <c r="F584" s="265">
        <v>3261</v>
      </c>
      <c r="G584" s="265">
        <f>39.7</f>
        <v>39.700000000000003</v>
      </c>
      <c r="H584" s="265"/>
      <c r="I584" s="266">
        <f>F584-G584-H584</f>
        <v>3221.3</v>
      </c>
      <c r="J584" s="267"/>
      <c r="K584" s="267">
        <v>1</v>
      </c>
      <c r="L584" s="267"/>
      <c r="M584" s="267"/>
      <c r="N584" s="267">
        <v>1</v>
      </c>
      <c r="O584" s="267">
        <v>1</v>
      </c>
      <c r="P584" s="314">
        <v>0</v>
      </c>
      <c r="Q584" s="267"/>
      <c r="R584" s="267"/>
      <c r="S584" s="269"/>
      <c r="T584" s="63"/>
      <c r="U584" s="94" t="s">
        <v>1999</v>
      </c>
      <c r="V584" s="90"/>
      <c r="W584" s="136"/>
      <c r="X584" s="137"/>
    </row>
    <row r="585" spans="1:25" s="260" customFormat="1">
      <c r="B585" s="11"/>
      <c r="C585" s="36"/>
      <c r="D585" s="10"/>
      <c r="E585" s="10"/>
      <c r="F585" s="97">
        <f>SUM(F581:F584)</f>
        <v>45074</v>
      </c>
      <c r="G585" s="97">
        <f>SUM(G581:G584)</f>
        <v>8550.5500000000011</v>
      </c>
      <c r="H585" s="97">
        <f>SUM(H581:H584)</f>
        <v>0</v>
      </c>
      <c r="I585" s="97">
        <f>SUM(I581:I584)</f>
        <v>36523.450000000004</v>
      </c>
      <c r="J585" s="63"/>
      <c r="K585" s="21"/>
      <c r="L585" s="21"/>
      <c r="M585" s="21"/>
      <c r="N585" s="21"/>
      <c r="O585" s="21"/>
      <c r="P585" s="21"/>
      <c r="Q585" s="21"/>
      <c r="R585" s="21"/>
      <c r="S585" s="21"/>
      <c r="T585" s="63"/>
      <c r="U585" s="10"/>
      <c r="V585" s="90"/>
      <c r="W585" s="91"/>
      <c r="X585" s="92"/>
    </row>
    <row r="586" spans="1:25" s="260" customFormat="1">
      <c r="B586" s="11"/>
      <c r="C586" s="36"/>
      <c r="D586" s="10"/>
      <c r="E586" s="10"/>
      <c r="F586" s="88"/>
      <c r="G586" s="88"/>
      <c r="H586" s="88"/>
      <c r="I586" s="99"/>
      <c r="J586" s="10"/>
      <c r="K586" s="63"/>
      <c r="L586" s="63"/>
      <c r="M586" s="63"/>
      <c r="N586" s="63"/>
      <c r="O586" s="63"/>
      <c r="P586" s="63"/>
      <c r="Q586" s="63"/>
      <c r="R586" s="63"/>
      <c r="S586" s="63"/>
      <c r="T586" s="63"/>
      <c r="U586" s="10"/>
      <c r="V586" s="90"/>
      <c r="W586" s="91"/>
      <c r="X586" s="92"/>
    </row>
    <row r="587" spans="1:25">
      <c r="A587" s="2"/>
      <c r="B587" s="100" t="s">
        <v>72</v>
      </c>
      <c r="C587" s="36"/>
      <c r="D587" s="10"/>
      <c r="E587" s="10"/>
      <c r="F587" s="88"/>
      <c r="G587" s="88"/>
      <c r="H587" s="88"/>
      <c r="I587" s="99"/>
      <c r="J587" s="63"/>
      <c r="K587" s="63"/>
      <c r="L587" s="63"/>
      <c r="M587" s="63"/>
      <c r="N587" s="63"/>
      <c r="O587" s="63"/>
      <c r="P587" s="63"/>
      <c r="Q587" s="63"/>
      <c r="R587" s="63"/>
      <c r="S587" s="63"/>
      <c r="T587" s="63"/>
      <c r="U587" s="10"/>
      <c r="V587" s="90"/>
      <c r="W587" s="91"/>
      <c r="X587" s="92"/>
    </row>
    <row r="588" spans="1:25">
      <c r="A588" s="2"/>
      <c r="B588" s="87">
        <v>1</v>
      </c>
      <c r="C588" s="274">
        <v>45873</v>
      </c>
      <c r="D588" s="275">
        <v>71862</v>
      </c>
      <c r="E588" s="276" t="s">
        <v>426</v>
      </c>
      <c r="F588" s="277">
        <v>1362</v>
      </c>
      <c r="G588" s="277">
        <f>39.7</f>
        <v>39.700000000000003</v>
      </c>
      <c r="H588" s="277"/>
      <c r="I588" s="278">
        <f>F588-G588-H588</f>
        <v>1322.3</v>
      </c>
      <c r="J588" s="279" t="s">
        <v>205</v>
      </c>
      <c r="K588" s="279"/>
      <c r="L588" s="279"/>
      <c r="M588" s="279"/>
      <c r="N588" s="279">
        <v>1</v>
      </c>
      <c r="O588" s="279"/>
      <c r="P588" s="279"/>
      <c r="Q588" s="279">
        <v>1</v>
      </c>
      <c r="R588" s="279">
        <v>1</v>
      </c>
      <c r="S588" s="280"/>
      <c r="T588" s="63"/>
      <c r="U588" s="3"/>
      <c r="V588" s="90"/>
      <c r="W588" s="91"/>
      <c r="X588" s="92"/>
    </row>
    <row r="589" spans="1:25">
      <c r="A589" s="388">
        <v>45877</v>
      </c>
      <c r="B589" s="87">
        <f t="shared" ref="B589:B607" si="60">B588+1</f>
        <v>2</v>
      </c>
      <c r="C589" s="295">
        <v>45873</v>
      </c>
      <c r="D589" s="77">
        <v>72019</v>
      </c>
      <c r="E589" s="10" t="s">
        <v>354</v>
      </c>
      <c r="F589" s="62">
        <v>6214</v>
      </c>
      <c r="G589" s="62">
        <v>39.700000000000003</v>
      </c>
      <c r="H589" s="62"/>
      <c r="I589" s="89">
        <f>F589-G589-H589</f>
        <v>6174.3</v>
      </c>
      <c r="J589" s="63" t="s">
        <v>156</v>
      </c>
      <c r="K589" s="63">
        <v>1</v>
      </c>
      <c r="L589" s="63"/>
      <c r="M589" s="63">
        <v>1</v>
      </c>
      <c r="N589" s="63">
        <v>1</v>
      </c>
      <c r="O589" s="63">
        <v>1</v>
      </c>
      <c r="P589" s="63"/>
      <c r="Q589" s="63">
        <v>1</v>
      </c>
      <c r="R589" s="63">
        <v>1</v>
      </c>
      <c r="S589" s="296">
        <v>1</v>
      </c>
      <c r="T589" s="63"/>
      <c r="U589" s="94" t="s">
        <v>2053</v>
      </c>
      <c r="V589" s="90">
        <f>683</f>
        <v>683</v>
      </c>
      <c r="W589" s="136"/>
      <c r="X589" s="137"/>
    </row>
    <row r="590" spans="1:25">
      <c r="A590" s="2"/>
      <c r="B590" s="87">
        <f t="shared" si="60"/>
        <v>3</v>
      </c>
      <c r="C590" s="274">
        <v>45875</v>
      </c>
      <c r="D590" s="275">
        <v>72059</v>
      </c>
      <c r="E590" s="276" t="s">
        <v>294</v>
      </c>
      <c r="F590" s="277">
        <v>1819</v>
      </c>
      <c r="G590" s="277">
        <v>39.700000000000003</v>
      </c>
      <c r="H590" s="277"/>
      <c r="I590" s="278">
        <f>F590-G590-H590</f>
        <v>1779.3</v>
      </c>
      <c r="J590" s="279" t="s">
        <v>205</v>
      </c>
      <c r="K590" s="279">
        <v>1</v>
      </c>
      <c r="L590" s="279"/>
      <c r="M590" s="279"/>
      <c r="N590" s="279">
        <v>1</v>
      </c>
      <c r="O590" s="279"/>
      <c r="P590" s="279"/>
      <c r="Q590" s="279"/>
      <c r="R590" s="279"/>
      <c r="S590" s="280"/>
      <c r="T590" s="63"/>
      <c r="U590" s="10"/>
      <c r="V590" s="90"/>
      <c r="W590" s="136"/>
      <c r="X590" s="137"/>
    </row>
    <row r="591" spans="1:25">
      <c r="A591" s="2"/>
      <c r="B591" s="87">
        <f t="shared" si="60"/>
        <v>4</v>
      </c>
      <c r="C591" s="295">
        <v>45875</v>
      </c>
      <c r="D591" s="77" t="s">
        <v>2054</v>
      </c>
      <c r="E591" s="10" t="s">
        <v>354</v>
      </c>
      <c r="F591" s="62">
        <v>814</v>
      </c>
      <c r="G591" s="62">
        <v>39.700000000000003</v>
      </c>
      <c r="H591" s="62"/>
      <c r="I591" s="89">
        <f>F591-G591-H591</f>
        <v>774.3</v>
      </c>
      <c r="J591" s="63" t="s">
        <v>205</v>
      </c>
      <c r="K591" s="63">
        <v>1</v>
      </c>
      <c r="L591" s="63"/>
      <c r="M591" s="63"/>
      <c r="N591" s="63">
        <v>1</v>
      </c>
      <c r="O591" s="63"/>
      <c r="P591" s="63"/>
      <c r="Q591" s="63"/>
      <c r="R591" s="63"/>
      <c r="S591" s="296"/>
      <c r="T591" s="63"/>
      <c r="U591" s="10"/>
      <c r="V591" s="90"/>
      <c r="W591" s="136"/>
      <c r="X591" s="137"/>
    </row>
    <row r="592" spans="1:25">
      <c r="A592" s="2"/>
      <c r="B592" s="87">
        <f t="shared" si="60"/>
        <v>5</v>
      </c>
      <c r="C592" s="295">
        <v>45875</v>
      </c>
      <c r="D592" s="77">
        <v>72071</v>
      </c>
      <c r="E592" s="10" t="s">
        <v>155</v>
      </c>
      <c r="F592" s="62">
        <v>3072</v>
      </c>
      <c r="G592" s="62">
        <v>39.700000000000003</v>
      </c>
      <c r="H592" s="62"/>
      <c r="I592" s="89">
        <f>F592-G592-H592</f>
        <v>3032.3</v>
      </c>
      <c r="J592" s="63" t="s">
        <v>205</v>
      </c>
      <c r="K592" s="63">
        <v>1</v>
      </c>
      <c r="L592" s="63"/>
      <c r="M592" s="63"/>
      <c r="N592" s="63">
        <v>1</v>
      </c>
      <c r="O592" s="63"/>
      <c r="P592" s="63"/>
      <c r="Q592" s="63"/>
      <c r="R592" s="63"/>
      <c r="S592" s="296"/>
      <c r="T592" s="63"/>
      <c r="U592" s="10"/>
      <c r="V592" s="90"/>
      <c r="W592" s="136"/>
      <c r="X592" s="137"/>
    </row>
    <row r="593" spans="1:24">
      <c r="A593" s="2"/>
      <c r="B593" s="87">
        <f t="shared" si="60"/>
        <v>6</v>
      </c>
      <c r="C593" s="295">
        <v>45875</v>
      </c>
      <c r="D593" s="77">
        <v>72061</v>
      </c>
      <c r="E593" s="101" t="s">
        <v>572</v>
      </c>
      <c r="F593" s="62">
        <v>2731.9</v>
      </c>
      <c r="G593" s="62">
        <v>39.700000000000003</v>
      </c>
      <c r="H593" s="62"/>
      <c r="I593" s="89">
        <f>F593-G593-H593</f>
        <v>2692.2000000000003</v>
      </c>
      <c r="J593" s="63" t="s">
        <v>205</v>
      </c>
      <c r="K593" s="63">
        <v>1</v>
      </c>
      <c r="L593" s="63"/>
      <c r="M593" s="63"/>
      <c r="N593" s="63">
        <v>1</v>
      </c>
      <c r="O593" s="63"/>
      <c r="P593" s="63"/>
      <c r="Q593" s="63"/>
      <c r="R593" s="63"/>
      <c r="S593" s="296"/>
      <c r="T593" s="63"/>
      <c r="U593" s="10"/>
      <c r="V593" s="90"/>
      <c r="W593" s="136"/>
      <c r="X593" s="137"/>
    </row>
    <row r="594" spans="1:24">
      <c r="A594" s="2"/>
      <c r="B594" s="87">
        <f t="shared" si="60"/>
        <v>7</v>
      </c>
      <c r="C594" s="295">
        <v>45875</v>
      </c>
      <c r="D594" s="77" t="s">
        <v>2055</v>
      </c>
      <c r="E594" s="101" t="s">
        <v>751</v>
      </c>
      <c r="F594" s="62">
        <v>4419</v>
      </c>
      <c r="G594" s="62">
        <v>39.700000000000003</v>
      </c>
      <c r="H594" s="62"/>
      <c r="I594" s="89">
        <f>F594-G594-H594</f>
        <v>4379.3</v>
      </c>
      <c r="J594" s="63" t="s">
        <v>156</v>
      </c>
      <c r="K594" s="63">
        <v>1</v>
      </c>
      <c r="L594" s="63"/>
      <c r="M594" s="63">
        <v>1</v>
      </c>
      <c r="N594" s="63">
        <v>1</v>
      </c>
      <c r="O594" s="63"/>
      <c r="P594" s="63"/>
      <c r="Q594" s="63"/>
      <c r="R594" s="63"/>
      <c r="S594" s="296"/>
      <c r="T594" s="63"/>
      <c r="U594" s="10"/>
      <c r="V594" s="90">
        <v>93.5</v>
      </c>
      <c r="W594" s="136"/>
      <c r="X594" s="137"/>
    </row>
    <row r="595" spans="1:24">
      <c r="A595" s="2"/>
      <c r="B595" s="87">
        <f t="shared" si="60"/>
        <v>8</v>
      </c>
      <c r="C595" s="295">
        <v>45875</v>
      </c>
      <c r="D595" s="77" t="s">
        <v>2056</v>
      </c>
      <c r="E595" s="101" t="s">
        <v>751</v>
      </c>
      <c r="F595" s="62">
        <v>1264</v>
      </c>
      <c r="G595" s="62">
        <v>39.700000000000003</v>
      </c>
      <c r="H595" s="62"/>
      <c r="I595" s="89">
        <f>F595-G595-H595</f>
        <v>1224.3</v>
      </c>
      <c r="J595" s="63" t="s">
        <v>205</v>
      </c>
      <c r="K595" s="63">
        <v>1</v>
      </c>
      <c r="L595" s="63"/>
      <c r="M595" s="63"/>
      <c r="N595" s="63">
        <v>1</v>
      </c>
      <c r="O595" s="63"/>
      <c r="P595" s="63"/>
      <c r="Q595" s="63"/>
      <c r="R595" s="63"/>
      <c r="S595" s="296"/>
      <c r="T595" s="63"/>
      <c r="U595" s="10"/>
      <c r="V595" s="90"/>
      <c r="W595" s="136"/>
      <c r="X595" s="137"/>
    </row>
    <row r="596" spans="1:24">
      <c r="A596" s="2"/>
      <c r="B596" s="87">
        <f t="shared" si="60"/>
        <v>9</v>
      </c>
      <c r="C596" s="295">
        <v>45875</v>
      </c>
      <c r="D596" s="77" t="s">
        <v>2057</v>
      </c>
      <c r="E596" s="101" t="s">
        <v>751</v>
      </c>
      <c r="F596" s="62">
        <v>814</v>
      </c>
      <c r="G596" s="62">
        <v>39.700000000000003</v>
      </c>
      <c r="H596" s="62"/>
      <c r="I596" s="89">
        <f>F596-G596-H596</f>
        <v>774.3</v>
      </c>
      <c r="J596" s="63" t="s">
        <v>205</v>
      </c>
      <c r="K596" s="63">
        <v>1</v>
      </c>
      <c r="L596" s="63"/>
      <c r="M596" s="63"/>
      <c r="N596" s="63">
        <v>1</v>
      </c>
      <c r="O596" s="63"/>
      <c r="P596" s="63"/>
      <c r="Q596" s="63"/>
      <c r="R596" s="63"/>
      <c r="S596" s="296"/>
      <c r="T596" s="63"/>
      <c r="U596" s="10"/>
      <c r="V596" s="90"/>
      <c r="W596" s="136"/>
      <c r="X596" s="137"/>
    </row>
    <row r="597" spans="1:24">
      <c r="A597" s="2"/>
      <c r="B597" s="87">
        <f t="shared" si="60"/>
        <v>10</v>
      </c>
      <c r="C597" s="295">
        <v>45875</v>
      </c>
      <c r="D597" s="77">
        <v>72107</v>
      </c>
      <c r="E597" s="101" t="s">
        <v>319</v>
      </c>
      <c r="F597" s="62">
        <v>731.85</v>
      </c>
      <c r="G597" s="62"/>
      <c r="H597" s="62"/>
      <c r="I597" s="89">
        <f>F597-G597-H597</f>
        <v>731.85</v>
      </c>
      <c r="J597" s="63" t="s">
        <v>205</v>
      </c>
      <c r="K597" s="63">
        <v>1</v>
      </c>
      <c r="L597" s="63"/>
      <c r="M597" s="63"/>
      <c r="N597" s="63">
        <v>1</v>
      </c>
      <c r="O597" s="63"/>
      <c r="P597" s="63"/>
      <c r="Q597" s="63"/>
      <c r="R597" s="63"/>
      <c r="S597" s="296"/>
      <c r="T597" s="63"/>
      <c r="U597" s="10"/>
      <c r="V597" s="90"/>
      <c r="W597" s="136"/>
      <c r="X597" s="137"/>
    </row>
    <row r="598" spans="1:24">
      <c r="A598" s="2"/>
      <c r="B598" s="87">
        <f t="shared" si="60"/>
        <v>11</v>
      </c>
      <c r="C598" s="274">
        <v>45876</v>
      </c>
      <c r="D598" s="275" t="s">
        <v>2058</v>
      </c>
      <c r="E598" s="281" t="s">
        <v>158</v>
      </c>
      <c r="F598" s="277">
        <v>6214</v>
      </c>
      <c r="G598" s="277">
        <v>39.700000000000003</v>
      </c>
      <c r="H598" s="277"/>
      <c r="I598" s="278">
        <f>F598-G598-H598</f>
        <v>6174.3</v>
      </c>
      <c r="J598" s="279" t="s">
        <v>205</v>
      </c>
      <c r="K598" s="279">
        <v>1</v>
      </c>
      <c r="L598" s="279"/>
      <c r="M598" s="279"/>
      <c r="N598" s="279">
        <v>1</v>
      </c>
      <c r="O598" s="279"/>
      <c r="P598" s="279"/>
      <c r="Q598" s="279"/>
      <c r="R598" s="279"/>
      <c r="S598" s="280"/>
      <c r="T598" s="63"/>
      <c r="U598" s="10"/>
      <c r="V598" s="90"/>
      <c r="W598" s="136"/>
      <c r="X598" s="137"/>
    </row>
    <row r="599" spans="1:24">
      <c r="A599" s="2"/>
      <c r="B599" s="87">
        <f t="shared" si="60"/>
        <v>12</v>
      </c>
      <c r="C599" s="295">
        <v>45876</v>
      </c>
      <c r="D599" s="77" t="s">
        <v>2059</v>
      </c>
      <c r="E599" s="10" t="s">
        <v>1886</v>
      </c>
      <c r="F599" s="62">
        <v>5814</v>
      </c>
      <c r="G599" s="62">
        <v>39.700000000000003</v>
      </c>
      <c r="H599" s="62"/>
      <c r="I599" s="89">
        <f>F599-G599-H599</f>
        <v>5774.3</v>
      </c>
      <c r="J599" s="63" t="s">
        <v>205</v>
      </c>
      <c r="K599" s="63">
        <v>1</v>
      </c>
      <c r="L599" s="63"/>
      <c r="M599" s="63"/>
      <c r="N599" s="63">
        <v>1</v>
      </c>
      <c r="O599" s="63"/>
      <c r="P599" s="63"/>
      <c r="Q599" s="63"/>
      <c r="R599" s="63"/>
      <c r="S599" s="296"/>
      <c r="T599" s="63"/>
      <c r="U599" s="10"/>
      <c r="V599" s="90"/>
      <c r="W599" s="136"/>
      <c r="X599" s="137"/>
    </row>
    <row r="600" spans="1:24">
      <c r="A600" s="2"/>
      <c r="B600" s="87">
        <f t="shared" si="60"/>
        <v>13</v>
      </c>
      <c r="C600" s="295">
        <v>45876</v>
      </c>
      <c r="D600" s="77" t="s">
        <v>2060</v>
      </c>
      <c r="E600" s="101" t="s">
        <v>2061</v>
      </c>
      <c r="F600" s="62">
        <v>1461</v>
      </c>
      <c r="G600" s="62">
        <v>39.700000000000003</v>
      </c>
      <c r="H600" s="62"/>
      <c r="I600" s="89">
        <f>F600-G600-H600</f>
        <v>1421.3</v>
      </c>
      <c r="J600" s="63" t="s">
        <v>205</v>
      </c>
      <c r="K600" s="63">
        <v>1</v>
      </c>
      <c r="L600" s="63"/>
      <c r="M600" s="63"/>
      <c r="N600" s="63">
        <v>1</v>
      </c>
      <c r="O600" s="63"/>
      <c r="P600" s="63"/>
      <c r="Q600" s="63"/>
      <c r="R600" s="63"/>
      <c r="S600" s="296"/>
      <c r="T600" s="63"/>
      <c r="U600" s="10"/>
      <c r="V600" s="90"/>
      <c r="W600" s="136"/>
      <c r="X600" s="137"/>
    </row>
    <row r="601" spans="1:24">
      <c r="A601" s="2"/>
      <c r="B601" s="87">
        <f t="shared" si="60"/>
        <v>14</v>
      </c>
      <c r="C601" s="295">
        <v>45876</v>
      </c>
      <c r="D601" s="77" t="s">
        <v>2062</v>
      </c>
      <c r="E601" s="101" t="s">
        <v>2061</v>
      </c>
      <c r="F601" s="62">
        <v>416</v>
      </c>
      <c r="G601" s="62"/>
      <c r="H601" s="62"/>
      <c r="I601" s="89">
        <f>F601-G601-H601</f>
        <v>416</v>
      </c>
      <c r="J601" s="63" t="s">
        <v>205</v>
      </c>
      <c r="K601" s="63">
        <v>1</v>
      </c>
      <c r="L601" s="63"/>
      <c r="M601" s="63"/>
      <c r="N601" s="63">
        <v>1</v>
      </c>
      <c r="O601" s="63"/>
      <c r="P601" s="63"/>
      <c r="Q601" s="63"/>
      <c r="R601" s="63"/>
      <c r="S601" s="296"/>
      <c r="T601" s="63"/>
      <c r="U601" s="10"/>
      <c r="V601" s="90"/>
      <c r="W601" s="136"/>
      <c r="X601" s="137"/>
    </row>
    <row r="602" spans="1:24">
      <c r="A602" s="2"/>
      <c r="B602" s="87">
        <f>B601+1</f>
        <v>15</v>
      </c>
      <c r="C602" s="295">
        <v>45876</v>
      </c>
      <c r="D602" s="10">
        <v>72156</v>
      </c>
      <c r="E602" s="10" t="s">
        <v>999</v>
      </c>
      <c r="F602" s="62">
        <v>1461</v>
      </c>
      <c r="G602" s="62">
        <v>39.700000000000003</v>
      </c>
      <c r="H602" s="88"/>
      <c r="I602" s="89">
        <f>F602-G602-H602</f>
        <v>1421.3</v>
      </c>
      <c r="J602" s="63" t="s">
        <v>156</v>
      </c>
      <c r="K602" s="63">
        <v>1</v>
      </c>
      <c r="L602" s="63">
        <v>0</v>
      </c>
      <c r="M602" s="63">
        <v>1</v>
      </c>
      <c r="N602" s="63">
        <v>1</v>
      </c>
      <c r="O602" s="63">
        <v>1</v>
      </c>
      <c r="P602" s="63">
        <v>0</v>
      </c>
      <c r="Q602" s="63">
        <v>0</v>
      </c>
      <c r="R602" s="63">
        <v>0</v>
      </c>
      <c r="S602" s="296">
        <v>0</v>
      </c>
      <c r="T602" s="63"/>
      <c r="U602" s="10" t="s">
        <v>2063</v>
      </c>
      <c r="V602" s="90">
        <v>146</v>
      </c>
      <c r="W602" s="136"/>
      <c r="X602" s="137"/>
    </row>
    <row r="603" spans="1:24">
      <c r="A603" s="388">
        <v>45880</v>
      </c>
      <c r="B603" s="87">
        <f>B602+1</f>
        <v>16</v>
      </c>
      <c r="C603" s="295">
        <v>45876</v>
      </c>
      <c r="D603" s="77" t="s">
        <v>2064</v>
      </c>
      <c r="E603" s="10" t="s">
        <v>999</v>
      </c>
      <c r="F603" s="62">
        <v>861</v>
      </c>
      <c r="G603" s="62">
        <v>39.700000000000003</v>
      </c>
      <c r="H603" s="62"/>
      <c r="I603" s="89">
        <f>F603-G603-H603</f>
        <v>821.3</v>
      </c>
      <c r="J603" s="63" t="s">
        <v>205</v>
      </c>
      <c r="K603" s="63">
        <v>1</v>
      </c>
      <c r="L603" s="63"/>
      <c r="M603" s="63"/>
      <c r="N603" s="63">
        <v>1</v>
      </c>
      <c r="O603" s="63"/>
      <c r="P603" s="63"/>
      <c r="Q603" s="63"/>
      <c r="R603" s="63"/>
      <c r="S603" s="296"/>
      <c r="T603" s="63"/>
      <c r="U603" s="10"/>
      <c r="V603" s="90"/>
      <c r="W603" s="136"/>
      <c r="X603" s="137"/>
    </row>
    <row r="604" spans="1:24">
      <c r="A604" s="2"/>
      <c r="B604" s="87">
        <f>B603+1</f>
        <v>17</v>
      </c>
      <c r="C604" s="554">
        <v>45876</v>
      </c>
      <c r="D604" s="461">
        <v>72157</v>
      </c>
      <c r="E604" s="555" t="s">
        <v>786</v>
      </c>
      <c r="F604" s="556">
        <v>0</v>
      </c>
      <c r="G604" s="556"/>
      <c r="H604" s="556"/>
      <c r="I604" s="557">
        <f>F604-G604-H604</f>
        <v>0</v>
      </c>
      <c r="J604" s="558" t="s">
        <v>219</v>
      </c>
      <c r="K604" s="558"/>
      <c r="L604" s="558"/>
      <c r="M604" s="558"/>
      <c r="N604" s="558"/>
      <c r="O604" s="558"/>
      <c r="P604" s="558"/>
      <c r="Q604" s="558"/>
      <c r="R604" s="558"/>
      <c r="S604" s="559"/>
      <c r="T604" s="537"/>
      <c r="U604" s="164"/>
      <c r="V604" s="551"/>
      <c r="W604" s="552"/>
      <c r="X604" s="553"/>
    </row>
    <row r="605" spans="1:24">
      <c r="A605" s="2"/>
      <c r="B605" s="87">
        <f>B604+1</f>
        <v>18</v>
      </c>
      <c r="C605" s="295">
        <v>45877</v>
      </c>
      <c r="D605" s="10">
        <v>72166</v>
      </c>
      <c r="E605" s="10" t="s">
        <v>737</v>
      </c>
      <c r="F605" s="62">
        <v>1681</v>
      </c>
      <c r="G605" s="62">
        <v>39.700000000000003</v>
      </c>
      <c r="H605" s="62"/>
      <c r="I605" s="89">
        <f>F605-G605-H605</f>
        <v>1641.3</v>
      </c>
      <c r="J605" s="63" t="s">
        <v>205</v>
      </c>
      <c r="K605" s="63"/>
      <c r="L605" s="63"/>
      <c r="M605" s="63"/>
      <c r="N605" s="63">
        <v>1</v>
      </c>
      <c r="O605" s="63"/>
      <c r="P605" s="63"/>
      <c r="Q605" s="63"/>
      <c r="R605" s="63"/>
      <c r="S605" s="296"/>
      <c r="T605" s="63"/>
      <c r="U605" s="10"/>
      <c r="V605" s="90"/>
      <c r="W605" s="136"/>
      <c r="X605" s="137"/>
    </row>
    <row r="606" spans="1:24">
      <c r="A606" s="2"/>
      <c r="B606" s="87">
        <f t="shared" si="60"/>
        <v>19</v>
      </c>
      <c r="C606" s="295">
        <v>45877</v>
      </c>
      <c r="D606" s="10">
        <v>72168</v>
      </c>
      <c r="E606" s="10" t="s">
        <v>2065</v>
      </c>
      <c r="F606" s="62">
        <v>481</v>
      </c>
      <c r="G606" s="62"/>
      <c r="H606" s="62"/>
      <c r="I606" s="89">
        <f>F606-G606-H606</f>
        <v>481</v>
      </c>
      <c r="J606" s="63" t="s">
        <v>205</v>
      </c>
      <c r="K606" s="63">
        <v>1</v>
      </c>
      <c r="L606" s="63"/>
      <c r="M606" s="63"/>
      <c r="N606" s="63">
        <v>1</v>
      </c>
      <c r="O606" s="63"/>
      <c r="P606" s="63"/>
      <c r="Q606" s="63"/>
      <c r="R606" s="63"/>
      <c r="S606" s="296"/>
      <c r="T606" s="63"/>
      <c r="U606" s="10"/>
      <c r="V606" s="90"/>
      <c r="W606" s="136"/>
      <c r="X606" s="137"/>
    </row>
    <row r="607" spans="1:24">
      <c r="A607" s="2"/>
      <c r="B607" s="87">
        <f t="shared" si="60"/>
        <v>20</v>
      </c>
      <c r="C607" s="295">
        <v>45877</v>
      </c>
      <c r="D607" s="77" t="s">
        <v>2066</v>
      </c>
      <c r="E607" s="10" t="s">
        <v>671</v>
      </c>
      <c r="F607" s="62">
        <v>0</v>
      </c>
      <c r="G607" s="62"/>
      <c r="H607" s="62"/>
      <c r="I607" s="89">
        <f>F607-G607-H607</f>
        <v>0</v>
      </c>
      <c r="J607" s="63" t="s">
        <v>205</v>
      </c>
      <c r="K607" s="63">
        <v>1</v>
      </c>
      <c r="L607" s="63"/>
      <c r="M607" s="63"/>
      <c r="N607" s="63"/>
      <c r="O607" s="63"/>
      <c r="P607" s="63"/>
      <c r="Q607" s="63"/>
      <c r="R607" s="63"/>
      <c r="S607" s="296"/>
      <c r="T607" s="63"/>
      <c r="U607" s="10"/>
      <c r="V607" s="90"/>
      <c r="W607" s="136"/>
      <c r="X607" s="137"/>
    </row>
    <row r="608" spans="1:24">
      <c r="A608" s="2"/>
      <c r="B608" s="87">
        <f>B607+1</f>
        <v>21</v>
      </c>
      <c r="C608" s="282">
        <v>45877</v>
      </c>
      <c r="D608" s="283">
        <v>72015</v>
      </c>
      <c r="E608" s="283" t="s">
        <v>2067</v>
      </c>
      <c r="F608" s="284">
        <v>8614</v>
      </c>
      <c r="G608" s="284">
        <v>39.700000000000003</v>
      </c>
      <c r="H608" s="284"/>
      <c r="I608" s="285">
        <f>F608-G608-H608</f>
        <v>8574.2999999999993</v>
      </c>
      <c r="J608" s="286" t="s">
        <v>205</v>
      </c>
      <c r="K608" s="286">
        <v>1</v>
      </c>
      <c r="L608" s="286"/>
      <c r="M608" s="286"/>
      <c r="N608" s="286">
        <v>1</v>
      </c>
      <c r="O608" s="286"/>
      <c r="P608" s="286"/>
      <c r="Q608" s="286"/>
      <c r="R608" s="286"/>
      <c r="S608" s="287"/>
      <c r="T608" s="63"/>
      <c r="U608" s="10"/>
      <c r="V608" s="138"/>
      <c r="W608" s="136"/>
      <c r="X608" s="137"/>
    </row>
    <row r="609" spans="1:24">
      <c r="A609" s="2"/>
      <c r="B609" s="11"/>
      <c r="C609" s="36"/>
      <c r="D609" s="10"/>
      <c r="E609" s="10"/>
      <c r="F609" s="98">
        <f>SUM(F588:F608)</f>
        <v>50244.75</v>
      </c>
      <c r="G609" s="98">
        <f>SUM(G588:G608)</f>
        <v>635.20000000000005</v>
      </c>
      <c r="H609" s="98">
        <f>SUM(H588:H608)</f>
        <v>0</v>
      </c>
      <c r="I609" s="98">
        <f>SUM(I588:I608)</f>
        <v>49609.55</v>
      </c>
      <c r="J609" s="10"/>
      <c r="K609" s="10"/>
      <c r="L609" s="10"/>
      <c r="M609" s="10"/>
      <c r="N609" s="10"/>
      <c r="O609" s="10"/>
      <c r="P609" s="10"/>
      <c r="Q609" s="10"/>
      <c r="R609" s="10"/>
      <c r="S609" s="10"/>
      <c r="T609" s="63"/>
      <c r="U609" s="10"/>
      <c r="V609" s="138"/>
      <c r="W609" s="136"/>
      <c r="X609" s="137"/>
    </row>
    <row r="610" spans="1:24">
      <c r="A610" s="2"/>
      <c r="B610" s="26"/>
      <c r="C610" s="140"/>
      <c r="D610" s="141"/>
      <c r="E610" s="141"/>
      <c r="F610" s="141"/>
      <c r="G610" s="141"/>
      <c r="H610" s="141"/>
      <c r="I610" s="141"/>
      <c r="J610" s="141"/>
      <c r="K610" s="142"/>
      <c r="L610" s="142"/>
      <c r="M610" s="142"/>
      <c r="N610" s="142"/>
      <c r="O610" s="142"/>
      <c r="P610" s="142"/>
      <c r="Q610" s="142"/>
      <c r="R610" s="142"/>
      <c r="S610" s="142"/>
      <c r="T610" s="143">
        <f>SUM(T549:T609)</f>
        <v>0</v>
      </c>
      <c r="U610" s="141"/>
      <c r="V610" s="144">
        <f>SUM(V549:V609)</f>
        <v>35483.089999999989</v>
      </c>
      <c r="W610" s="145">
        <f>SUM(W549:W609)</f>
        <v>0</v>
      </c>
      <c r="X610" s="146">
        <f>SUM(X549:X609)</f>
        <v>0</v>
      </c>
    </row>
    <row r="613" spans="1:24">
      <c r="A613" s="3"/>
      <c r="B613" s="4" t="s">
        <v>1</v>
      </c>
      <c r="C613" s="5"/>
      <c r="D613" s="6"/>
      <c r="E613" s="6"/>
      <c r="F613" s="7" t="s">
        <v>2</v>
      </c>
      <c r="G613" s="8">
        <v>45886</v>
      </c>
      <c r="H613" s="7"/>
      <c r="I613" s="6"/>
      <c r="J613" s="6"/>
      <c r="K613" s="6"/>
      <c r="L613" s="6"/>
      <c r="M613" s="6"/>
      <c r="N613" s="6"/>
      <c r="O613" s="6"/>
      <c r="P613" s="6"/>
      <c r="Q613" s="6"/>
      <c r="R613" s="6"/>
      <c r="S613" s="6"/>
      <c r="T613" s="6"/>
      <c r="U613" s="9"/>
      <c r="V613" s="10"/>
      <c r="W613" s="10"/>
      <c r="X613" s="10"/>
    </row>
    <row r="614" spans="1:24">
      <c r="A614" s="2"/>
      <c r="B614" s="11"/>
      <c r="C614" s="10"/>
      <c r="D614" s="10"/>
      <c r="E614" s="10"/>
      <c r="F614" s="10"/>
      <c r="G614" s="7"/>
      <c r="H614" s="12"/>
      <c r="I614" s="10"/>
      <c r="J614" s="10"/>
      <c r="K614" s="13" t="s">
        <v>3</v>
      </c>
      <c r="L614" s="14"/>
      <c r="M614" s="15"/>
      <c r="N614" s="13" t="s">
        <v>4</v>
      </c>
      <c r="O614" s="14"/>
      <c r="P614" s="15"/>
      <c r="Q614" s="13" t="s">
        <v>5</v>
      </c>
      <c r="R614" s="14"/>
      <c r="S614" s="15"/>
      <c r="T614" s="16"/>
      <c r="U614" s="17"/>
      <c r="V614" s="10"/>
      <c r="W614" s="10"/>
      <c r="X614" s="10"/>
    </row>
    <row r="615" spans="1:24">
      <c r="A615" s="2"/>
      <c r="B615" s="18" t="s">
        <v>6</v>
      </c>
      <c r="C615" s="19">
        <f>C616+C617</f>
        <v>9</v>
      </c>
      <c r="D615" s="10"/>
      <c r="E615" s="18" t="s">
        <v>7</v>
      </c>
      <c r="F615" s="6"/>
      <c r="G615" s="9"/>
      <c r="H615" s="10"/>
      <c r="I615" s="10"/>
      <c r="J615" s="10"/>
      <c r="K615" s="20" t="s">
        <v>8</v>
      </c>
      <c r="L615" s="21" t="s">
        <v>9</v>
      </c>
      <c r="M615" s="21" t="s">
        <v>10</v>
      </c>
      <c r="N615" s="20" t="s">
        <v>11</v>
      </c>
      <c r="O615" s="21" t="s">
        <v>12</v>
      </c>
      <c r="P615" s="22" t="s">
        <v>13</v>
      </c>
      <c r="Q615" s="21" t="s">
        <v>11</v>
      </c>
      <c r="R615" s="21" t="s">
        <v>12</v>
      </c>
      <c r="S615" s="22" t="s">
        <v>13</v>
      </c>
      <c r="T615" s="23" t="s">
        <v>14</v>
      </c>
      <c r="U615" s="17"/>
      <c r="V615" s="10"/>
      <c r="W615" s="10"/>
      <c r="X615" s="10"/>
    </row>
    <row r="616" spans="1:24">
      <c r="A616" s="2"/>
      <c r="B616" s="24" t="s">
        <v>15</v>
      </c>
      <c r="C616" s="25">
        <f>P623</f>
        <v>4</v>
      </c>
      <c r="D616" s="10"/>
      <c r="E616" s="26" t="s">
        <v>16</v>
      </c>
      <c r="F616" s="27">
        <v>0.05</v>
      </c>
      <c r="G616" s="28"/>
      <c r="H616" s="10"/>
      <c r="I616" s="10"/>
      <c r="J616" s="18" t="s">
        <v>17</v>
      </c>
      <c r="K616" s="29">
        <f>K644</f>
        <v>3</v>
      </c>
      <c r="L616" s="29">
        <f>L644</f>
        <v>3</v>
      </c>
      <c r="M616" s="29">
        <f>M644</f>
        <v>2</v>
      </c>
      <c r="N616" s="29">
        <f>N644</f>
        <v>3</v>
      </c>
      <c r="O616" s="29">
        <f>O644</f>
        <v>3</v>
      </c>
      <c r="P616" s="29">
        <f>P644</f>
        <v>1</v>
      </c>
      <c r="Q616" s="29">
        <f>Q644</f>
        <v>2</v>
      </c>
      <c r="R616" s="29">
        <f>R644</f>
        <v>2</v>
      </c>
      <c r="S616" s="29">
        <f>S644</f>
        <v>2</v>
      </c>
      <c r="T616" s="30">
        <f>T672</f>
        <v>0</v>
      </c>
      <c r="U616" s="17"/>
      <c r="V616" s="10"/>
      <c r="W616" s="10"/>
      <c r="X616" s="10"/>
    </row>
    <row r="617" spans="1:24">
      <c r="A617" s="2"/>
      <c r="B617" s="24" t="s">
        <v>18</v>
      </c>
      <c r="C617" s="25">
        <f>P624</f>
        <v>5</v>
      </c>
      <c r="D617" s="10"/>
      <c r="E617" s="10"/>
      <c r="F617" s="10"/>
      <c r="G617" s="31"/>
      <c r="H617" s="10"/>
      <c r="I617" s="10"/>
      <c r="J617" s="32" t="s">
        <v>19</v>
      </c>
      <c r="K617" s="33">
        <f>K644/K643</f>
        <v>1</v>
      </c>
      <c r="L617" s="33">
        <f>L644/L643</f>
        <v>1</v>
      </c>
      <c r="M617" s="33">
        <f>M644/M643</f>
        <v>0.66666666666666663</v>
      </c>
      <c r="N617" s="33">
        <f>N644/N643</f>
        <v>1</v>
      </c>
      <c r="O617" s="33">
        <f>O644/O643</f>
        <v>1</v>
      </c>
      <c r="P617" s="33">
        <f>P644/P643</f>
        <v>0.33333333333333331</v>
      </c>
      <c r="Q617" s="33">
        <f>Q644/Q643</f>
        <v>0.66666666666666663</v>
      </c>
      <c r="R617" s="33">
        <f>R644/R643</f>
        <v>0.66666666666666663</v>
      </c>
      <c r="S617" s="33">
        <f>S644/S643</f>
        <v>0.66666666666666663</v>
      </c>
      <c r="T617" s="23"/>
      <c r="U617" s="17" t="s">
        <v>20</v>
      </c>
      <c r="V617" s="10"/>
      <c r="W617" s="10"/>
      <c r="X617" s="10"/>
    </row>
    <row r="618" spans="1:24">
      <c r="A618" s="2"/>
      <c r="B618" s="24" t="s">
        <v>21</v>
      </c>
      <c r="C618" s="34">
        <f>P625</f>
        <v>0.44444444444444442</v>
      </c>
      <c r="D618" s="10"/>
      <c r="E618" s="10"/>
      <c r="F618" s="10"/>
      <c r="G618" s="10"/>
      <c r="H618" s="10"/>
      <c r="I618" s="10"/>
      <c r="J618" s="10"/>
      <c r="K618" s="10"/>
      <c r="L618" s="10"/>
      <c r="M618" s="10"/>
      <c r="N618" s="10"/>
      <c r="O618" s="10"/>
      <c r="P618" s="10"/>
      <c r="Q618" s="10"/>
      <c r="R618" s="10"/>
      <c r="S618" s="10"/>
      <c r="T618" s="10"/>
      <c r="U618" s="17"/>
      <c r="V618" s="10"/>
      <c r="W618" s="10"/>
      <c r="X618" s="10"/>
    </row>
    <row r="619" spans="1:24">
      <c r="A619" s="2"/>
      <c r="B619" s="24"/>
      <c r="C619" s="25"/>
      <c r="D619" s="10"/>
      <c r="E619" s="10"/>
      <c r="F619" s="18" t="s">
        <v>22</v>
      </c>
      <c r="G619" s="19" t="s">
        <v>23</v>
      </c>
      <c r="H619" s="35" t="s">
        <v>24</v>
      </c>
      <c r="I619" s="10"/>
      <c r="J619" s="10"/>
      <c r="K619" s="36"/>
      <c r="L619" s="36"/>
      <c r="M619" s="36"/>
      <c r="N619" s="36"/>
      <c r="O619" s="36"/>
      <c r="P619" s="36"/>
      <c r="Q619" s="36"/>
      <c r="R619" s="10"/>
      <c r="S619" s="10"/>
      <c r="T619" s="10"/>
      <c r="U619" s="17"/>
      <c r="V619" s="10"/>
      <c r="W619" s="10"/>
      <c r="X619" s="10"/>
    </row>
    <row r="620" spans="1:24" ht="17.25" customHeight="1">
      <c r="A620" s="2"/>
      <c r="B620" s="32" t="s">
        <v>25</v>
      </c>
      <c r="C620" s="37">
        <f>P626</f>
        <v>1998.5825</v>
      </c>
      <c r="D620" s="10"/>
      <c r="E620" s="18" t="s">
        <v>26</v>
      </c>
      <c r="F620" s="38">
        <f>P622</f>
        <v>7994.33</v>
      </c>
      <c r="G620" s="39">
        <f>I643+I648</f>
        <v>7994.33</v>
      </c>
      <c r="H620" s="767" t="s">
        <v>467</v>
      </c>
      <c r="I620" s="767"/>
      <c r="J620" s="767"/>
      <c r="K620" s="43" t="s">
        <v>27</v>
      </c>
      <c r="L620" s="44"/>
      <c r="M620" s="44"/>
      <c r="N620" s="44"/>
      <c r="O620" s="44"/>
      <c r="P620" s="44"/>
      <c r="Q620" s="45"/>
      <c r="R620" s="46" t="s">
        <v>28</v>
      </c>
      <c r="S620" s="47" t="s">
        <v>29</v>
      </c>
      <c r="T620" s="10"/>
      <c r="U620" s="17"/>
      <c r="V620" s="10"/>
      <c r="W620" s="10"/>
      <c r="X620" s="10"/>
    </row>
    <row r="621" spans="1:24">
      <c r="A621" s="2"/>
      <c r="B621" s="11"/>
      <c r="C621" s="10"/>
      <c r="D621" s="10"/>
      <c r="E621" s="24" t="s">
        <v>30</v>
      </c>
      <c r="F621" s="48">
        <f>F616</f>
        <v>0.05</v>
      </c>
      <c r="G621" s="17"/>
      <c r="H621" s="767"/>
      <c r="I621" s="767"/>
      <c r="J621" s="767"/>
      <c r="K621" s="20" t="s">
        <v>31</v>
      </c>
      <c r="L621" s="21" t="s">
        <v>32</v>
      </c>
      <c r="M621" s="21" t="s">
        <v>33</v>
      </c>
      <c r="N621" s="21" t="s">
        <v>34</v>
      </c>
      <c r="O621" s="21" t="s">
        <v>35</v>
      </c>
      <c r="P621" s="21" t="s">
        <v>36</v>
      </c>
      <c r="Q621" s="49" t="s">
        <v>37</v>
      </c>
      <c r="R621" s="50" t="s">
        <v>38</v>
      </c>
      <c r="S621" s="50" t="s">
        <v>38</v>
      </c>
      <c r="T621" s="10"/>
      <c r="U621" s="17"/>
      <c r="V621" s="10"/>
      <c r="W621" s="10"/>
      <c r="X621" s="10"/>
    </row>
    <row r="622" spans="1:24">
      <c r="A622" s="2"/>
      <c r="B622" s="11"/>
      <c r="C622" s="10"/>
      <c r="D622" s="10"/>
      <c r="E622" s="51" t="s">
        <v>39</v>
      </c>
      <c r="F622" s="52">
        <f>(F620-I641-I647)*F621</f>
        <v>64.75</v>
      </c>
      <c r="G622" s="53" t="s">
        <v>40</v>
      </c>
      <c r="H622" s="54">
        <f>F622/1.12</f>
        <v>57.812499999999993</v>
      </c>
      <c r="I622" s="570" t="s">
        <v>2038</v>
      </c>
      <c r="J622" s="42"/>
      <c r="K622" s="56">
        <f>I640+I641</f>
        <v>842</v>
      </c>
      <c r="L622" s="57">
        <f>I642+I647</f>
        <v>7152.33</v>
      </c>
      <c r="M622" s="57"/>
      <c r="N622" s="57"/>
      <c r="O622" s="57"/>
      <c r="P622" s="57">
        <f>SUM(K622:O622)</f>
        <v>7994.33</v>
      </c>
      <c r="Q622" s="58">
        <v>0</v>
      </c>
      <c r="R622" s="59">
        <f>I648</f>
        <v>6471.33</v>
      </c>
      <c r="S622" s="59">
        <v>0</v>
      </c>
      <c r="T622" s="10"/>
      <c r="U622" s="17"/>
      <c r="V622" s="10"/>
      <c r="W622" s="10"/>
      <c r="X622" s="10"/>
    </row>
    <row r="623" spans="1:24">
      <c r="A623" s="2"/>
      <c r="B623" s="11"/>
      <c r="C623" s="10"/>
      <c r="D623" s="10"/>
      <c r="E623" s="24" t="s">
        <v>41</v>
      </c>
      <c r="F623" s="60">
        <f>Q622</f>
        <v>0</v>
      </c>
      <c r="G623" s="61" t="s">
        <v>40</v>
      </c>
      <c r="H623" s="62"/>
      <c r="I623" s="62"/>
      <c r="J623" s="10" t="s">
        <v>42</v>
      </c>
      <c r="K623" s="63">
        <v>2</v>
      </c>
      <c r="L623" s="63">
        <v>2</v>
      </c>
      <c r="M623" s="63"/>
      <c r="N623" s="63"/>
      <c r="O623" s="63"/>
      <c r="P623" s="21">
        <f>SUM(K623:O623)</f>
        <v>4</v>
      </c>
      <c r="Q623" s="64"/>
      <c r="R623" s="63"/>
      <c r="S623" s="10"/>
      <c r="T623" s="10"/>
      <c r="U623" s="17"/>
      <c r="V623" s="10"/>
      <c r="W623" s="10"/>
      <c r="X623" s="10"/>
    </row>
    <row r="624" spans="1:24">
      <c r="A624" s="2"/>
      <c r="B624" s="11"/>
      <c r="C624" s="10"/>
      <c r="D624" s="10"/>
      <c r="E624" s="51" t="s">
        <v>43</v>
      </c>
      <c r="F624" s="52">
        <f>F623*0.25</f>
        <v>0</v>
      </c>
      <c r="G624" s="53" t="s">
        <v>40</v>
      </c>
      <c r="H624" s="54">
        <f>F624/1.12</f>
        <v>0</v>
      </c>
      <c r="I624" s="10"/>
      <c r="J624" s="10" t="s">
        <v>44</v>
      </c>
      <c r="K624" s="63">
        <v>1</v>
      </c>
      <c r="L624" s="63">
        <v>4</v>
      </c>
      <c r="M624" s="63"/>
      <c r="N624" s="63"/>
      <c r="O624" s="63"/>
      <c r="P624" s="21">
        <f>SUM(K624:O624)</f>
        <v>5</v>
      </c>
      <c r="Q624" s="64"/>
      <c r="R624" s="63"/>
      <c r="S624" s="10"/>
      <c r="T624" s="10"/>
      <c r="U624" s="17"/>
      <c r="V624" s="10"/>
      <c r="W624" s="10"/>
      <c r="X624" s="10"/>
    </row>
    <row r="625" spans="1:24">
      <c r="A625" s="2"/>
      <c r="B625" s="11"/>
      <c r="C625" s="10"/>
      <c r="D625" s="10"/>
      <c r="E625" s="24" t="s">
        <v>45</v>
      </c>
      <c r="F625" s="60"/>
      <c r="G625" s="61" t="s">
        <v>40</v>
      </c>
      <c r="H625" s="62"/>
      <c r="I625" s="10"/>
      <c r="J625" s="10" t="s">
        <v>46</v>
      </c>
      <c r="K625" s="31">
        <f>K623/(K623+K624)</f>
        <v>0.66666666666666663</v>
      </c>
      <c r="L625" s="31">
        <f>L623/(L623+L624)</f>
        <v>0.33333333333333331</v>
      </c>
      <c r="M625" s="31" t="e">
        <f>M623/(M623+M624)</f>
        <v>#DIV/0!</v>
      </c>
      <c r="N625" s="31" t="e">
        <f>N623/(N623+N624)</f>
        <v>#DIV/0!</v>
      </c>
      <c r="O625" s="31" t="e">
        <f>O623/(O623+O624)</f>
        <v>#DIV/0!</v>
      </c>
      <c r="P625" s="31">
        <f>P623/(P623+P624)</f>
        <v>0.44444444444444442</v>
      </c>
      <c r="Q625" s="31" t="e">
        <f>Q623/(Q623+Q624)</f>
        <v>#DIV/0!</v>
      </c>
      <c r="R625" s="63"/>
      <c r="S625" s="10"/>
      <c r="T625" s="10"/>
      <c r="U625" s="17"/>
      <c r="V625" s="10"/>
      <c r="W625" s="10"/>
      <c r="X625" s="10"/>
    </row>
    <row r="626" spans="1:24">
      <c r="A626" s="2"/>
      <c r="B626" s="11"/>
      <c r="C626" s="10"/>
      <c r="D626" s="10"/>
      <c r="E626" s="51" t="s">
        <v>47</v>
      </c>
      <c r="F626" s="52">
        <f>F625*0.05</f>
        <v>0</v>
      </c>
      <c r="G626" s="65" t="s">
        <v>40</v>
      </c>
      <c r="H626" s="54">
        <f>F626/1.12</f>
        <v>0</v>
      </c>
      <c r="I626" s="42"/>
      <c r="J626" s="10" t="s">
        <v>48</v>
      </c>
      <c r="K626" s="66">
        <f>K622/K623</f>
        <v>421</v>
      </c>
      <c r="L626" s="66">
        <f>L622/L623</f>
        <v>3576.165</v>
      </c>
      <c r="M626" s="66" t="e">
        <f>M622/M623</f>
        <v>#DIV/0!</v>
      </c>
      <c r="N626" s="66" t="e">
        <f>N622/N623</f>
        <v>#DIV/0!</v>
      </c>
      <c r="O626" s="66" t="e">
        <f>O622/O623</f>
        <v>#DIV/0!</v>
      </c>
      <c r="P626" s="66">
        <f>P622/P623</f>
        <v>1998.5825</v>
      </c>
      <c r="Q626" s="66" t="e">
        <f>Q622/Q623</f>
        <v>#DIV/0!</v>
      </c>
      <c r="R626" s="63"/>
      <c r="S626" s="10"/>
      <c r="T626" s="10"/>
      <c r="U626" s="17"/>
      <c r="V626" s="10"/>
      <c r="W626" s="10"/>
      <c r="X626" s="10"/>
    </row>
    <row r="627" spans="1:24">
      <c r="A627" s="2"/>
      <c r="B627" s="11"/>
      <c r="C627" s="10"/>
      <c r="D627" s="10"/>
      <c r="E627" s="67" t="s">
        <v>14</v>
      </c>
      <c r="F627" s="68">
        <f>1*50</f>
        <v>50</v>
      </c>
      <c r="G627" s="10"/>
      <c r="H627" s="54">
        <f>F627/1.12</f>
        <v>44.642857142857139</v>
      </c>
      <c r="I627" s="10"/>
      <c r="J627" s="10"/>
      <c r="K627" s="10"/>
      <c r="L627" s="10"/>
      <c r="M627" s="10"/>
      <c r="N627" s="10"/>
      <c r="O627" s="10"/>
      <c r="P627" s="10"/>
      <c r="Q627" s="10"/>
      <c r="R627" s="10"/>
      <c r="S627" s="10"/>
      <c r="T627" s="10"/>
      <c r="U627" s="17"/>
      <c r="V627" s="10"/>
      <c r="W627" s="10"/>
      <c r="X627" s="10"/>
    </row>
    <row r="628" spans="1:24">
      <c r="A628" s="2"/>
      <c r="B628" s="11"/>
      <c r="C628" s="10"/>
      <c r="D628" s="10"/>
      <c r="E628" s="155" t="s">
        <v>49</v>
      </c>
      <c r="F628" s="364">
        <f>T617</f>
        <v>0</v>
      </c>
      <c r="G628" s="10"/>
      <c r="H628" s="54"/>
      <c r="I628" s="55"/>
      <c r="J628" s="42"/>
      <c r="K628" s="764" t="s">
        <v>50</v>
      </c>
      <c r="L628" s="765"/>
      <c r="M628" s="765"/>
      <c r="N628" s="765"/>
      <c r="O628" s="765"/>
      <c r="P628" s="765"/>
      <c r="Q628" s="766"/>
      <c r="R628" s="70" t="s">
        <v>28</v>
      </c>
      <c r="S628" s="71" t="s">
        <v>29</v>
      </c>
      <c r="T628" s="10"/>
      <c r="U628" s="17"/>
      <c r="V628" s="10"/>
      <c r="W628" s="10"/>
      <c r="X628" s="10"/>
    </row>
    <row r="629" spans="1:24">
      <c r="A629" s="2"/>
      <c r="B629" s="11"/>
      <c r="C629" s="10"/>
      <c r="D629" s="10"/>
      <c r="E629" s="10"/>
      <c r="F629" s="10"/>
      <c r="G629" s="10"/>
      <c r="H629" s="10"/>
      <c r="I629" s="10"/>
      <c r="J629" s="42"/>
      <c r="K629" s="20" t="s">
        <v>31</v>
      </c>
      <c r="L629" s="21" t="s">
        <v>32</v>
      </c>
      <c r="M629" s="21" t="s">
        <v>33</v>
      </c>
      <c r="N629" s="21" t="s">
        <v>34</v>
      </c>
      <c r="O629" s="21" t="s">
        <v>35</v>
      </c>
      <c r="P629" s="21" t="s">
        <v>36</v>
      </c>
      <c r="Q629" s="49" t="s">
        <v>37</v>
      </c>
      <c r="R629" s="50" t="s">
        <v>38</v>
      </c>
      <c r="S629" s="50" t="s">
        <v>38</v>
      </c>
      <c r="T629" s="10"/>
      <c r="U629" s="17"/>
      <c r="V629" s="10"/>
      <c r="W629" s="10"/>
      <c r="X629" s="10"/>
    </row>
    <row r="630" spans="1:24">
      <c r="A630" s="2"/>
      <c r="B630" s="11"/>
      <c r="C630" s="10"/>
      <c r="D630" s="10"/>
      <c r="E630" s="10"/>
      <c r="F630" s="10"/>
      <c r="G630" s="10"/>
      <c r="H630" s="10"/>
      <c r="I630" s="10"/>
      <c r="J630" s="42"/>
      <c r="K630" s="56">
        <f>F640+F641</f>
        <v>842</v>
      </c>
      <c r="L630" s="57">
        <f>F642+F647</f>
        <v>9295</v>
      </c>
      <c r="M630" s="57"/>
      <c r="N630" s="57"/>
      <c r="O630" s="57"/>
      <c r="P630" s="57">
        <f>SUM(K630:O630)</f>
        <v>10137</v>
      </c>
      <c r="Q630" s="58">
        <v>0</v>
      </c>
      <c r="R630" s="59">
        <f>F648</f>
        <v>8614</v>
      </c>
      <c r="S630" s="59">
        <v>0</v>
      </c>
      <c r="T630" s="10"/>
      <c r="U630" s="17"/>
      <c r="V630" s="10"/>
      <c r="W630" s="10"/>
      <c r="X630" s="10"/>
    </row>
    <row r="631" spans="1:24">
      <c r="A631" s="2"/>
      <c r="B631" s="11"/>
      <c r="C631" s="10"/>
      <c r="D631" s="10"/>
      <c r="E631" s="10"/>
      <c r="F631" s="10"/>
      <c r="G631" s="10"/>
      <c r="H631" s="10"/>
      <c r="I631" s="10"/>
      <c r="J631" s="10" t="s">
        <v>42</v>
      </c>
      <c r="K631" s="63">
        <f>K623</f>
        <v>2</v>
      </c>
      <c r="L631" s="63">
        <f>L623</f>
        <v>2</v>
      </c>
      <c r="M631" s="63">
        <f>M623</f>
        <v>0</v>
      </c>
      <c r="N631" s="63">
        <f>N623</f>
        <v>0</v>
      </c>
      <c r="O631" s="63">
        <f>O623</f>
        <v>0</v>
      </c>
      <c r="P631" s="63">
        <f>P623</f>
        <v>4</v>
      </c>
      <c r="Q631" s="63">
        <f>Q623</f>
        <v>0</v>
      </c>
      <c r="R631" s="63"/>
      <c r="S631" s="10"/>
      <c r="T631" s="10"/>
      <c r="U631" s="17"/>
      <c r="V631" s="10"/>
      <c r="W631" s="10"/>
      <c r="X631" s="10"/>
    </row>
    <row r="632" spans="1:24">
      <c r="A632" s="2"/>
      <c r="B632" s="11"/>
      <c r="C632" s="10"/>
      <c r="D632" s="10"/>
      <c r="E632" s="10"/>
      <c r="F632" s="10"/>
      <c r="G632" s="10"/>
      <c r="H632" s="10"/>
      <c r="I632" s="10"/>
      <c r="J632" s="10" t="s">
        <v>44</v>
      </c>
      <c r="K632" s="63">
        <f>K624</f>
        <v>1</v>
      </c>
      <c r="L632" s="63">
        <f>L624</f>
        <v>4</v>
      </c>
      <c r="M632" s="63">
        <f>M624</f>
        <v>0</v>
      </c>
      <c r="N632" s="63">
        <f>N624</f>
        <v>0</v>
      </c>
      <c r="O632" s="63">
        <f>O624</f>
        <v>0</v>
      </c>
      <c r="P632" s="63">
        <f>P624</f>
        <v>5</v>
      </c>
      <c r="Q632" s="63">
        <f>Q624</f>
        <v>0</v>
      </c>
      <c r="R632" s="63"/>
      <c r="S632" s="10"/>
      <c r="T632" s="10"/>
      <c r="U632" s="17"/>
      <c r="V632" s="10"/>
      <c r="W632" s="10"/>
      <c r="X632" s="10"/>
    </row>
    <row r="633" spans="1:24">
      <c r="A633" s="2"/>
      <c r="B633" s="11"/>
      <c r="C633" s="10"/>
      <c r="D633" s="10"/>
      <c r="E633" s="10"/>
      <c r="F633" s="10"/>
      <c r="G633" s="10"/>
      <c r="H633" s="10"/>
      <c r="I633" s="10"/>
      <c r="J633" s="10" t="s">
        <v>46</v>
      </c>
      <c r="K633" s="31">
        <f>K631/(K631+K632)</f>
        <v>0.66666666666666663</v>
      </c>
      <c r="L633" s="31">
        <f>L631/(L631+L632)</f>
        <v>0.33333333333333331</v>
      </c>
      <c r="M633" s="31" t="e">
        <f>M631/(M631+M632)</f>
        <v>#DIV/0!</v>
      </c>
      <c r="N633" s="31" t="e">
        <f>N631/(N631+N632)</f>
        <v>#DIV/0!</v>
      </c>
      <c r="O633" s="31" t="e">
        <f>O631/(O631+O632)</f>
        <v>#DIV/0!</v>
      </c>
      <c r="P633" s="31">
        <f>P631/(P631+P632)</f>
        <v>0.44444444444444442</v>
      </c>
      <c r="Q633" s="31" t="e">
        <f>Q631/(Q631+Q632)</f>
        <v>#DIV/0!</v>
      </c>
      <c r="R633" s="63"/>
      <c r="S633" s="10"/>
      <c r="T633" s="10"/>
      <c r="U633" s="17"/>
      <c r="V633" s="10"/>
      <c r="W633" s="10"/>
      <c r="X633" s="10"/>
    </row>
    <row r="634" spans="1:24">
      <c r="A634" s="2"/>
      <c r="B634" s="11"/>
      <c r="C634" s="10"/>
      <c r="D634" s="10"/>
      <c r="E634" s="10"/>
      <c r="F634" s="10"/>
      <c r="G634" s="10"/>
      <c r="H634" s="10"/>
      <c r="I634" s="10"/>
      <c r="J634" s="10" t="s">
        <v>48</v>
      </c>
      <c r="K634" s="66">
        <f>K630/K631</f>
        <v>421</v>
      </c>
      <c r="L634" s="66">
        <f>L630/L631</f>
        <v>4647.5</v>
      </c>
      <c r="M634" s="66" t="e">
        <f>M630/M631</f>
        <v>#DIV/0!</v>
      </c>
      <c r="N634" s="66" t="e">
        <f>N630/N631</f>
        <v>#DIV/0!</v>
      </c>
      <c r="O634" s="66" t="e">
        <f>O630/O631</f>
        <v>#DIV/0!</v>
      </c>
      <c r="P634" s="66">
        <f>P630/P631</f>
        <v>2534.25</v>
      </c>
      <c r="Q634" s="66" t="e">
        <f>Q630/Q631</f>
        <v>#DIV/0!</v>
      </c>
      <c r="R634" s="63"/>
      <c r="S634" s="10"/>
      <c r="T634" s="10"/>
      <c r="U634" s="17"/>
      <c r="V634" s="10"/>
      <c r="W634" s="10"/>
      <c r="X634" s="10"/>
    </row>
    <row r="635" spans="1:24">
      <c r="A635" s="2"/>
      <c r="B635" s="11"/>
      <c r="C635" s="10"/>
      <c r="D635" s="10"/>
      <c r="E635" s="10"/>
      <c r="F635" s="10"/>
      <c r="G635" s="10"/>
      <c r="H635" s="10"/>
      <c r="I635" s="10"/>
      <c r="J635" s="10"/>
      <c r="K635" s="10"/>
      <c r="L635" s="10"/>
      <c r="M635" s="10"/>
      <c r="N635" s="10"/>
      <c r="O635" s="10"/>
      <c r="P635" s="10"/>
      <c r="Q635" s="10"/>
      <c r="R635" s="10"/>
      <c r="S635" s="10"/>
      <c r="T635" s="10"/>
      <c r="U635" s="17"/>
      <c r="V635" s="10"/>
      <c r="W635" s="10"/>
      <c r="X635" s="10"/>
    </row>
    <row r="636" spans="1:24">
      <c r="A636" s="2"/>
      <c r="B636" s="11"/>
      <c r="C636" s="10"/>
      <c r="D636" s="10"/>
      <c r="E636" s="10"/>
      <c r="F636" s="10"/>
      <c r="G636" s="10"/>
      <c r="H636" s="10"/>
      <c r="I636" s="10"/>
      <c r="J636" s="10"/>
      <c r="K636" s="10"/>
      <c r="L636" s="10"/>
      <c r="M636" s="10"/>
      <c r="N636" s="10"/>
      <c r="O636" s="10"/>
      <c r="P636" s="10"/>
      <c r="Q636" s="10"/>
      <c r="R636" s="10"/>
      <c r="S636" s="10"/>
      <c r="T636" s="10"/>
      <c r="U636" s="17"/>
      <c r="V636" s="10"/>
      <c r="W636" s="10"/>
      <c r="X636" s="10"/>
    </row>
    <row r="637" spans="1:24">
      <c r="A637" s="2"/>
      <c r="B637" s="18" t="s">
        <v>51</v>
      </c>
      <c r="C637" s="14"/>
      <c r="D637" s="14"/>
      <c r="E637" s="14"/>
      <c r="F637" s="13" t="s">
        <v>52</v>
      </c>
      <c r="G637" s="14"/>
      <c r="H637" s="14"/>
      <c r="I637" s="14"/>
      <c r="J637" s="14"/>
      <c r="K637" s="13" t="s">
        <v>3</v>
      </c>
      <c r="L637" s="14"/>
      <c r="M637" s="14"/>
      <c r="N637" s="13" t="s">
        <v>4</v>
      </c>
      <c r="O637" s="14"/>
      <c r="P637" s="14"/>
      <c r="Q637" s="13" t="s">
        <v>5</v>
      </c>
      <c r="R637" s="14"/>
      <c r="S637" s="14"/>
      <c r="T637" s="18"/>
      <c r="U637" s="16" t="s">
        <v>53</v>
      </c>
      <c r="V637" s="77"/>
      <c r="W637" s="77"/>
      <c r="X637" s="77"/>
    </row>
    <row r="638" spans="1:24">
      <c r="A638" s="2"/>
      <c r="B638" s="24" t="s">
        <v>54</v>
      </c>
      <c r="C638" s="21" t="s">
        <v>55</v>
      </c>
      <c r="D638" s="21" t="s">
        <v>56</v>
      </c>
      <c r="E638" s="21" t="s">
        <v>57</v>
      </c>
      <c r="F638" s="20" t="s">
        <v>58</v>
      </c>
      <c r="G638" s="21" t="s">
        <v>59</v>
      </c>
      <c r="H638" s="21" t="s">
        <v>60</v>
      </c>
      <c r="I638" s="21" t="s">
        <v>26</v>
      </c>
      <c r="J638" s="22" t="s">
        <v>61</v>
      </c>
      <c r="K638" s="21" t="s">
        <v>8</v>
      </c>
      <c r="L638" s="21" t="s">
        <v>9</v>
      </c>
      <c r="M638" s="21" t="s">
        <v>10</v>
      </c>
      <c r="N638" s="20" t="s">
        <v>11</v>
      </c>
      <c r="O638" s="21" t="s">
        <v>12</v>
      </c>
      <c r="P638" s="22" t="s">
        <v>13</v>
      </c>
      <c r="Q638" s="21" t="s">
        <v>11</v>
      </c>
      <c r="R638" s="21" t="s">
        <v>12</v>
      </c>
      <c r="S638" s="21" t="s">
        <v>13</v>
      </c>
      <c r="T638" s="78" t="s">
        <v>14</v>
      </c>
      <c r="U638" s="30"/>
      <c r="V638" s="79" t="s">
        <v>62</v>
      </c>
      <c r="W638" s="80" t="s">
        <v>63</v>
      </c>
      <c r="X638" s="81" t="s">
        <v>64</v>
      </c>
    </row>
    <row r="639" spans="1:24">
      <c r="A639" s="2"/>
      <c r="B639" s="4" t="s">
        <v>65</v>
      </c>
      <c r="C639" s="6"/>
      <c r="D639" s="6"/>
      <c r="E639" s="6"/>
      <c r="F639" s="6"/>
      <c r="G639" s="6"/>
      <c r="H639" s="6"/>
      <c r="I639" s="82"/>
      <c r="J639" s="6"/>
      <c r="K639" s="6"/>
      <c r="L639" s="6"/>
      <c r="M639" s="6"/>
      <c r="N639" s="6"/>
      <c r="O639" s="6"/>
      <c r="P639" s="6"/>
      <c r="Q639" s="6"/>
      <c r="R639" s="6"/>
      <c r="S639" s="6"/>
      <c r="T639" s="83"/>
      <c r="U639" s="6"/>
      <c r="V639" s="84"/>
      <c r="W639" s="85"/>
      <c r="X639" s="86"/>
    </row>
    <row r="640" spans="1:24">
      <c r="A640" s="2"/>
      <c r="B640" s="87">
        <v>1</v>
      </c>
      <c r="C640" s="274">
        <v>45880</v>
      </c>
      <c r="D640" s="327">
        <v>72099</v>
      </c>
      <c r="E640" s="276" t="s">
        <v>456</v>
      </c>
      <c r="F640" s="277">
        <v>614</v>
      </c>
      <c r="G640" s="277"/>
      <c r="H640" s="297"/>
      <c r="I640" s="321">
        <f>F640-G640-H640</f>
        <v>614</v>
      </c>
      <c r="J640" s="279" t="s">
        <v>156</v>
      </c>
      <c r="K640" s="279">
        <v>1</v>
      </c>
      <c r="L640" s="279">
        <v>1</v>
      </c>
      <c r="M640" s="279">
        <v>1</v>
      </c>
      <c r="N640" s="279">
        <v>1</v>
      </c>
      <c r="O640" s="279">
        <v>1</v>
      </c>
      <c r="P640" s="322">
        <v>0</v>
      </c>
      <c r="Q640" s="279">
        <v>1</v>
      </c>
      <c r="R640" s="279">
        <v>1</v>
      </c>
      <c r="S640" s="280">
        <v>1</v>
      </c>
      <c r="T640" s="63"/>
      <c r="U640" s="10"/>
      <c r="V640" s="90">
        <f>67.5+607.9</f>
        <v>675.4</v>
      </c>
      <c r="W640" s="91"/>
      <c r="X640" s="92"/>
    </row>
    <row r="641" spans="1:25">
      <c r="A641" s="2"/>
      <c r="B641" s="87">
        <f t="shared" ref="B641:B642" si="61">B640+1</f>
        <v>2</v>
      </c>
      <c r="C641" s="295">
        <v>45880</v>
      </c>
      <c r="D641" s="346" t="s">
        <v>2068</v>
      </c>
      <c r="E641" s="10" t="s">
        <v>2069</v>
      </c>
      <c r="F641" s="62">
        <v>228</v>
      </c>
      <c r="G641" s="62"/>
      <c r="H641" s="62"/>
      <c r="I641" s="369">
        <f>F641-G641-H641</f>
        <v>228</v>
      </c>
      <c r="J641" s="63" t="s">
        <v>156</v>
      </c>
      <c r="K641" s="63">
        <v>1</v>
      </c>
      <c r="L641" s="63">
        <v>1</v>
      </c>
      <c r="M641" s="63">
        <v>1</v>
      </c>
      <c r="N641" s="63">
        <v>1</v>
      </c>
      <c r="O641" s="63">
        <v>1</v>
      </c>
      <c r="P641" s="325">
        <v>0</v>
      </c>
      <c r="Q641" s="325">
        <v>0</v>
      </c>
      <c r="R641" s="325">
        <v>0</v>
      </c>
      <c r="S641" s="326">
        <v>0</v>
      </c>
      <c r="T641" s="63"/>
      <c r="U641" s="10"/>
      <c r="V641" s="90">
        <v>250.8</v>
      </c>
      <c r="W641" s="91"/>
      <c r="X641" s="92"/>
    </row>
    <row r="642" spans="1:25">
      <c r="A642" s="93"/>
      <c r="B642" s="87">
        <f t="shared" si="61"/>
        <v>3</v>
      </c>
      <c r="C642" s="262">
        <v>45881</v>
      </c>
      <c r="D642" s="263">
        <v>72245</v>
      </c>
      <c r="E642" s="309" t="s">
        <v>572</v>
      </c>
      <c r="F642" s="265">
        <v>681</v>
      </c>
      <c r="G642" s="265"/>
      <c r="H642" s="265"/>
      <c r="I642" s="266">
        <f>F642-G642-H642</f>
        <v>681</v>
      </c>
      <c r="J642" s="267" t="s">
        <v>156</v>
      </c>
      <c r="K642" s="267">
        <v>1</v>
      </c>
      <c r="L642" s="267">
        <v>1</v>
      </c>
      <c r="M642" s="314">
        <v>0</v>
      </c>
      <c r="N642" s="267">
        <v>1</v>
      </c>
      <c r="O642" s="267">
        <v>1</v>
      </c>
      <c r="P642" s="267">
        <v>1</v>
      </c>
      <c r="Q642" s="267">
        <v>1</v>
      </c>
      <c r="R642" s="267">
        <v>1</v>
      </c>
      <c r="S642" s="269">
        <v>1</v>
      </c>
      <c r="T642" s="63"/>
      <c r="U642" s="10"/>
      <c r="V642" s="90">
        <f>74+675.1</f>
        <v>749.1</v>
      </c>
      <c r="W642" s="91"/>
      <c r="X642" s="92"/>
    </row>
    <row r="643" spans="1:25">
      <c r="A643" s="2"/>
      <c r="B643" s="87"/>
      <c r="C643" s="36"/>
      <c r="D643" s="10"/>
      <c r="E643" s="10"/>
      <c r="F643" s="97">
        <f>SUM(F640:F642)</f>
        <v>1523</v>
      </c>
      <c r="G643" s="97">
        <f>SUM(G640:G642)</f>
        <v>0</v>
      </c>
      <c r="H643" s="97">
        <f>SUM(H640:H642)</f>
        <v>0</v>
      </c>
      <c r="I643" s="98">
        <f>SUM(I640:I642)</f>
        <v>1523</v>
      </c>
      <c r="J643" s="63"/>
      <c r="K643" s="63">
        <f>COUNT(K640:K642)</f>
        <v>3</v>
      </c>
      <c r="L643" s="63">
        <f>COUNT(L640:L642)</f>
        <v>3</v>
      </c>
      <c r="M643" s="63">
        <f>COUNT(M640:M642)</f>
        <v>3</v>
      </c>
      <c r="N643" s="63">
        <f>COUNT(N640:N642)</f>
        <v>3</v>
      </c>
      <c r="O643" s="63">
        <f>COUNT(O640:O642)</f>
        <v>3</v>
      </c>
      <c r="P643" s="63">
        <f>COUNT(P640:P642)</f>
        <v>3</v>
      </c>
      <c r="Q643" s="63">
        <f>COUNT(Q640:Q642)</f>
        <v>3</v>
      </c>
      <c r="R643" s="63">
        <f>COUNT(R640:R642)</f>
        <v>3</v>
      </c>
      <c r="S643" s="63">
        <f>COUNT(S640:S642)</f>
        <v>3</v>
      </c>
      <c r="T643" s="63"/>
      <c r="U643" s="10"/>
      <c r="V643" s="90"/>
      <c r="W643" s="91"/>
      <c r="X643" s="92"/>
    </row>
    <row r="644" spans="1:25">
      <c r="A644" s="2"/>
      <c r="B644" s="87"/>
      <c r="C644" s="36"/>
      <c r="D644" s="10"/>
      <c r="E644" s="10"/>
      <c r="F644" s="88"/>
      <c r="G644" s="88"/>
      <c r="H644" s="88"/>
      <c r="I644" s="99"/>
      <c r="J644" s="63"/>
      <c r="K644" s="21">
        <f>SUM(K640:K642)</f>
        <v>3</v>
      </c>
      <c r="L644" s="21">
        <f>SUM(L640:L642)</f>
        <v>3</v>
      </c>
      <c r="M644" s="21">
        <f>SUM(M640:M642)</f>
        <v>2</v>
      </c>
      <c r="N644" s="21">
        <f>SUM(N640:N642)</f>
        <v>3</v>
      </c>
      <c r="O644" s="21">
        <f>SUM(O640:O642)</f>
        <v>3</v>
      </c>
      <c r="P644" s="21">
        <f>SUM(P640:P642)</f>
        <v>1</v>
      </c>
      <c r="Q644" s="21">
        <f>SUM(Q640:Q642)</f>
        <v>2</v>
      </c>
      <c r="R644" s="21">
        <f>SUM(R640:R642)</f>
        <v>2</v>
      </c>
      <c r="S644" s="21">
        <f>SUM(S640:S642)</f>
        <v>2</v>
      </c>
      <c r="T644" s="63"/>
      <c r="U644" s="10"/>
      <c r="V644" s="90"/>
      <c r="W644" s="91"/>
      <c r="X644" s="92"/>
    </row>
    <row r="645" spans="1:25">
      <c r="A645" s="2"/>
      <c r="B645" s="11"/>
      <c r="C645" s="36"/>
      <c r="D645" s="10"/>
      <c r="E645" s="10"/>
      <c r="F645" s="88"/>
      <c r="G645" s="88"/>
      <c r="H645" s="88"/>
      <c r="I645" s="99"/>
      <c r="J645" s="63"/>
      <c r="K645" s="21"/>
      <c r="L645" s="21"/>
      <c r="M645" s="21"/>
      <c r="N645" s="21"/>
      <c r="O645" s="21"/>
      <c r="P645" s="21"/>
      <c r="Q645" s="21"/>
      <c r="R645" s="21"/>
      <c r="S645" s="21"/>
      <c r="T645" s="63"/>
      <c r="U645" s="94"/>
      <c r="V645" s="90"/>
      <c r="W645" s="91"/>
      <c r="X645" s="92"/>
    </row>
    <row r="646" spans="1:25" s="342" customFormat="1">
      <c r="A646" s="128"/>
      <c r="B646" s="121" t="s">
        <v>68</v>
      </c>
      <c r="C646" s="122"/>
      <c r="D646" s="123"/>
      <c r="E646" s="123"/>
      <c r="F646" s="124"/>
      <c r="G646" s="125"/>
      <c r="H646" s="124"/>
      <c r="I646" s="126"/>
      <c r="J646" s="127"/>
      <c r="K646" s="128"/>
      <c r="L646" s="128"/>
      <c r="M646" s="128"/>
      <c r="N646" s="128"/>
      <c r="O646" s="128"/>
      <c r="P646" s="128"/>
      <c r="Q646" s="128"/>
      <c r="R646" s="128"/>
      <c r="S646" s="128"/>
      <c r="T646" s="127"/>
      <c r="U646" s="123"/>
      <c r="V646" s="129"/>
      <c r="W646" s="130"/>
      <c r="X646" s="131"/>
    </row>
    <row r="647" spans="1:25" s="342" customFormat="1">
      <c r="A647" s="128" t="s">
        <v>619</v>
      </c>
      <c r="B647" s="333">
        <v>1</v>
      </c>
      <c r="C647" s="350">
        <v>45881</v>
      </c>
      <c r="D647" s="357" t="s">
        <v>2070</v>
      </c>
      <c r="E647" s="358" t="s">
        <v>572</v>
      </c>
      <c r="F647" s="352">
        <v>8614</v>
      </c>
      <c r="G647" s="352">
        <f>39.7+(1852.97)+250</f>
        <v>2142.67</v>
      </c>
      <c r="H647" s="352"/>
      <c r="I647" s="353">
        <f>F647-G647-H647</f>
        <v>6471.33</v>
      </c>
      <c r="J647" s="354" t="s">
        <v>156</v>
      </c>
      <c r="K647" s="354">
        <v>1</v>
      </c>
      <c r="L647" s="354">
        <v>0</v>
      </c>
      <c r="M647" s="354">
        <v>1</v>
      </c>
      <c r="N647" s="354">
        <v>1</v>
      </c>
      <c r="O647" s="354">
        <v>1</v>
      </c>
      <c r="P647" s="354">
        <v>1</v>
      </c>
      <c r="Q647" s="354">
        <v>1</v>
      </c>
      <c r="R647" s="354">
        <v>1</v>
      </c>
      <c r="S647" s="355">
        <v>1</v>
      </c>
      <c r="T647" s="127"/>
      <c r="U647" s="135" t="s">
        <v>2071</v>
      </c>
      <c r="V647" s="129">
        <f>947</f>
        <v>947</v>
      </c>
      <c r="W647" s="130"/>
      <c r="X647" s="131"/>
    </row>
    <row r="648" spans="1:25" s="342" customFormat="1">
      <c r="A648" s="128"/>
      <c r="B648" s="132"/>
      <c r="C648" s="122"/>
      <c r="D648" s="123"/>
      <c r="E648" s="123"/>
      <c r="F648" s="133">
        <f>SUM(F647:F647)</f>
        <v>8614</v>
      </c>
      <c r="G648" s="133">
        <f>SUM(G647:G647)</f>
        <v>2142.67</v>
      </c>
      <c r="H648" s="133">
        <f>SUM(H647:H647)</f>
        <v>0</v>
      </c>
      <c r="I648" s="134">
        <f>SUM(I647:I647)</f>
        <v>6471.33</v>
      </c>
      <c r="J648" s="127"/>
      <c r="K648" s="64"/>
      <c r="L648" s="64"/>
      <c r="M648" s="64"/>
      <c r="N648" s="64"/>
      <c r="O648" s="64"/>
      <c r="P648" s="64"/>
      <c r="Q648" s="64"/>
      <c r="R648" s="64"/>
      <c r="S648" s="64"/>
      <c r="T648" s="127"/>
      <c r="U648" s="123"/>
      <c r="V648" s="129"/>
      <c r="W648" s="130"/>
      <c r="X648" s="131"/>
    </row>
    <row r="649" spans="1:25">
      <c r="A649" s="2"/>
      <c r="B649" s="11"/>
      <c r="C649" s="36"/>
      <c r="D649" s="10"/>
      <c r="E649" s="10"/>
      <c r="F649" s="88"/>
      <c r="G649" s="88"/>
      <c r="H649" s="88"/>
      <c r="I649" s="99"/>
      <c r="J649" s="63"/>
      <c r="K649" s="21"/>
      <c r="L649" s="21"/>
      <c r="M649" s="21"/>
      <c r="N649" s="21"/>
      <c r="O649" s="21"/>
      <c r="P649" s="21"/>
      <c r="Q649" s="21"/>
      <c r="R649" s="21"/>
      <c r="S649" s="21"/>
      <c r="T649" s="63"/>
      <c r="U649" s="10"/>
      <c r="V649" s="90"/>
      <c r="W649" s="91"/>
      <c r="X649" s="92"/>
    </row>
    <row r="650" spans="1:25" s="260" customFormat="1">
      <c r="A650" s="181"/>
      <c r="B650" s="100" t="s">
        <v>152</v>
      </c>
      <c r="C650" s="36"/>
      <c r="D650" s="10"/>
      <c r="E650" s="10"/>
      <c r="F650" s="88"/>
      <c r="G650" s="62"/>
      <c r="H650" s="88"/>
      <c r="I650" s="99"/>
      <c r="J650" s="63"/>
      <c r="K650" s="181"/>
      <c r="L650" s="181"/>
      <c r="M650" s="181"/>
      <c r="N650" s="181"/>
      <c r="O650" s="181"/>
      <c r="P650" s="181"/>
      <c r="Q650" s="181"/>
      <c r="R650" s="181"/>
      <c r="S650" s="181"/>
      <c r="T650" s="63"/>
      <c r="U650" s="10"/>
      <c r="V650" s="90"/>
      <c r="W650" s="91"/>
      <c r="X650" s="92"/>
    </row>
    <row r="651" spans="1:25" s="260" customFormat="1">
      <c r="A651" s="261">
        <v>0.05</v>
      </c>
      <c r="B651" s="87">
        <v>1</v>
      </c>
      <c r="C651" s="262">
        <v>45840</v>
      </c>
      <c r="D651" s="273" t="s">
        <v>1896</v>
      </c>
      <c r="E651" s="264" t="s">
        <v>354</v>
      </c>
      <c r="F651" s="265">
        <v>1681</v>
      </c>
      <c r="G651" s="265">
        <v>39.700000000000003</v>
      </c>
      <c r="H651" s="265"/>
      <c r="I651" s="266">
        <f>F651-G651-H651</f>
        <v>1641.3</v>
      </c>
      <c r="J651" s="267" t="s">
        <v>374</v>
      </c>
      <c r="K651" s="267">
        <v>1</v>
      </c>
      <c r="L651" s="267">
        <v>1</v>
      </c>
      <c r="M651" s="267">
        <v>1</v>
      </c>
      <c r="N651" s="267">
        <v>1</v>
      </c>
      <c r="O651" s="267">
        <v>1</v>
      </c>
      <c r="P651" s="314">
        <v>0</v>
      </c>
      <c r="Q651" s="267">
        <v>1</v>
      </c>
      <c r="R651" s="267">
        <v>1</v>
      </c>
      <c r="S651" s="366">
        <v>0</v>
      </c>
      <c r="T651" s="63"/>
      <c r="U651" s="10" t="s">
        <v>1897</v>
      </c>
      <c r="V651" s="90"/>
      <c r="W651" s="91"/>
      <c r="X651" s="92"/>
    </row>
    <row r="652" spans="1:25" s="260" customFormat="1">
      <c r="A652" s="494">
        <v>0.05</v>
      </c>
      <c r="B652" s="87">
        <f>B651+1</f>
        <v>2</v>
      </c>
      <c r="C652" s="262">
        <v>45849</v>
      </c>
      <c r="D652" s="271">
        <v>71382</v>
      </c>
      <c r="E652" s="271" t="s">
        <v>999</v>
      </c>
      <c r="F652" s="265">
        <v>1861</v>
      </c>
      <c r="G652" s="265">
        <v>39.700000000000003</v>
      </c>
      <c r="H652" s="265"/>
      <c r="I652" s="266">
        <f>F652-G652-H652</f>
        <v>1821.3</v>
      </c>
      <c r="J652" s="267" t="s">
        <v>374</v>
      </c>
      <c r="K652" s="267">
        <v>1</v>
      </c>
      <c r="L652" s="267"/>
      <c r="M652" s="267">
        <v>1</v>
      </c>
      <c r="N652" s="267">
        <v>1</v>
      </c>
      <c r="O652" s="267">
        <v>1</v>
      </c>
      <c r="P652" s="314">
        <v>0</v>
      </c>
      <c r="Q652" s="314">
        <v>0</v>
      </c>
      <c r="R652" s="314">
        <v>0</v>
      </c>
      <c r="S652" s="366">
        <v>0</v>
      </c>
      <c r="T652" s="63"/>
      <c r="U652" s="94" t="s">
        <v>2072</v>
      </c>
      <c r="V652" s="90"/>
      <c r="W652" s="136"/>
      <c r="X652" s="137"/>
    </row>
    <row r="653" spans="1:25" s="260" customFormat="1">
      <c r="A653" s="261">
        <v>0.05</v>
      </c>
      <c r="B653" s="87">
        <f t="shared" ref="B653:B655" si="62">B652+1</f>
        <v>3</v>
      </c>
      <c r="C653" s="282">
        <v>45861</v>
      </c>
      <c r="D653" s="302" t="s">
        <v>1997</v>
      </c>
      <c r="E653" s="283" t="s">
        <v>270</v>
      </c>
      <c r="F653" s="423">
        <v>5133</v>
      </c>
      <c r="G653" s="284">
        <f>39.7+(1071.49)+250</f>
        <v>1361.19</v>
      </c>
      <c r="H653" s="284"/>
      <c r="I653" s="300">
        <f>F653-G653-H653</f>
        <v>3771.81</v>
      </c>
      <c r="J653" s="286" t="s">
        <v>156</v>
      </c>
      <c r="K653" s="286">
        <v>1</v>
      </c>
      <c r="L653" s="286">
        <v>1</v>
      </c>
      <c r="M653" s="286">
        <v>1</v>
      </c>
      <c r="N653" s="286">
        <v>1</v>
      </c>
      <c r="O653" s="286">
        <v>1</v>
      </c>
      <c r="P653" s="332">
        <v>0</v>
      </c>
      <c r="Q653" s="332">
        <v>0</v>
      </c>
      <c r="R653" s="332">
        <v>0</v>
      </c>
      <c r="S653" s="370">
        <v>0</v>
      </c>
      <c r="T653" s="63"/>
      <c r="U653" s="10" t="s">
        <v>1998</v>
      </c>
      <c r="V653" s="90"/>
      <c r="W653" s="91"/>
      <c r="X653" s="92"/>
    </row>
    <row r="654" spans="1:25" s="260" customFormat="1">
      <c r="A654" s="494" t="s">
        <v>1183</v>
      </c>
      <c r="B654" s="87">
        <f t="shared" si="62"/>
        <v>4</v>
      </c>
      <c r="C654" s="262">
        <v>45867</v>
      </c>
      <c r="D654" s="273" t="s">
        <v>2029</v>
      </c>
      <c r="E654" s="264" t="s">
        <v>158</v>
      </c>
      <c r="F654" s="265">
        <v>4461</v>
      </c>
      <c r="G654" s="265">
        <f>39.7+300</f>
        <v>339.7</v>
      </c>
      <c r="H654" s="265"/>
      <c r="I654" s="266">
        <f>F654-G654-H654</f>
        <v>4121.3</v>
      </c>
      <c r="J654" s="267"/>
      <c r="K654" s="267">
        <v>1</v>
      </c>
      <c r="L654" s="267">
        <v>1</v>
      </c>
      <c r="M654" s="267"/>
      <c r="N654" s="267">
        <v>1</v>
      </c>
      <c r="O654" s="267">
        <v>1</v>
      </c>
      <c r="P654" s="314">
        <v>0</v>
      </c>
      <c r="Q654" s="314">
        <v>0</v>
      </c>
      <c r="R654" s="314">
        <v>0</v>
      </c>
      <c r="S654" s="366">
        <v>0</v>
      </c>
      <c r="T654" s="63"/>
      <c r="U654" s="10" t="s">
        <v>2030</v>
      </c>
      <c r="V654" s="90"/>
      <c r="W654" s="91"/>
      <c r="X654" s="92"/>
    </row>
    <row r="655" spans="1:25" s="342" customFormat="1">
      <c r="A655" s="494">
        <v>0.05</v>
      </c>
      <c r="B655" s="87">
        <f t="shared" si="62"/>
        <v>5</v>
      </c>
      <c r="C655" s="262">
        <v>45876</v>
      </c>
      <c r="D655" s="273">
        <v>72143</v>
      </c>
      <c r="E655" s="264" t="s">
        <v>168</v>
      </c>
      <c r="F655" s="265">
        <v>1461</v>
      </c>
      <c r="G655" s="265">
        <v>39.700000000000003</v>
      </c>
      <c r="H655" s="265"/>
      <c r="I655" s="266">
        <f>F655-G655-H655</f>
        <v>1421.3</v>
      </c>
      <c r="J655" s="267" t="s">
        <v>228</v>
      </c>
      <c r="K655" s="267">
        <v>1</v>
      </c>
      <c r="L655" s="267">
        <v>1</v>
      </c>
      <c r="M655" s="267">
        <v>1</v>
      </c>
      <c r="N655" s="267">
        <v>1</v>
      </c>
      <c r="O655" s="267">
        <v>1</v>
      </c>
      <c r="P655" s="314">
        <v>0</v>
      </c>
      <c r="Q655" s="267">
        <v>1</v>
      </c>
      <c r="R655" s="267">
        <v>1</v>
      </c>
      <c r="S655" s="366">
        <v>0</v>
      </c>
      <c r="T655" s="63"/>
      <c r="U655" s="10"/>
      <c r="V655" s="90"/>
      <c r="W655" s="91"/>
      <c r="X655" s="92"/>
      <c r="Y655" s="260"/>
    </row>
    <row r="656" spans="1:25" s="260" customFormat="1">
      <c r="A656" s="181"/>
      <c r="B656" s="11"/>
      <c r="C656" s="36"/>
      <c r="D656" s="10"/>
      <c r="E656" s="10"/>
      <c r="F656" s="98">
        <f>SUM(F651:F655)</f>
        <v>14597</v>
      </c>
      <c r="G656" s="98">
        <f>SUM(G651:G655)</f>
        <v>1819.9900000000002</v>
      </c>
      <c r="H656" s="98">
        <f>SUM(H651:H655)</f>
        <v>0</v>
      </c>
      <c r="I656" s="98">
        <f>SUM(I651:I655)</f>
        <v>12777.009999999998</v>
      </c>
      <c r="J656" s="63"/>
      <c r="K656" s="21"/>
      <c r="L656" s="21"/>
      <c r="M656" s="21"/>
      <c r="N656" s="21"/>
      <c r="O656" s="21"/>
      <c r="P656" s="21"/>
      <c r="Q656" s="21"/>
      <c r="R656" s="21"/>
      <c r="S656" s="21"/>
      <c r="T656" s="63"/>
      <c r="U656" s="10"/>
      <c r="V656" s="90"/>
      <c r="W656" s="91"/>
      <c r="X656" s="92"/>
    </row>
    <row r="657" spans="1:25" s="260" customFormat="1">
      <c r="A657" s="181"/>
      <c r="B657" s="11"/>
      <c r="C657" s="36"/>
      <c r="D657" s="10"/>
      <c r="E657" s="10"/>
      <c r="F657" s="88"/>
      <c r="G657" s="88"/>
      <c r="H657" s="88"/>
      <c r="I657" s="99"/>
      <c r="J657" s="63"/>
      <c r="K657" s="21"/>
      <c r="L657" s="21"/>
      <c r="M657" s="21"/>
      <c r="N657" s="21"/>
      <c r="O657" s="21"/>
      <c r="P657" s="21"/>
      <c r="Q657" s="21"/>
      <c r="R657" s="21"/>
      <c r="S657" s="21"/>
      <c r="T657" s="63"/>
      <c r="U657" s="10"/>
      <c r="V657" s="90"/>
      <c r="W657" s="91"/>
      <c r="X657" s="92"/>
    </row>
    <row r="658" spans="1:25" s="260" customFormat="1">
      <c r="B658" s="100" t="s">
        <v>202</v>
      </c>
      <c r="C658" s="36"/>
      <c r="D658" s="10"/>
      <c r="E658" s="181"/>
      <c r="F658" s="88"/>
      <c r="G658" s="88"/>
      <c r="H658" s="88"/>
      <c r="I658" s="99"/>
      <c r="J658" s="63"/>
      <c r="K658" s="21"/>
      <c r="L658" s="21"/>
      <c r="M658" s="21"/>
      <c r="N658" s="21"/>
      <c r="O658" s="21"/>
      <c r="P658" s="21"/>
      <c r="Q658" s="21"/>
      <c r="R658" s="21"/>
      <c r="S658" s="21"/>
      <c r="T658" s="63"/>
      <c r="U658" s="10"/>
      <c r="V658" s="90"/>
      <c r="W658" s="91"/>
      <c r="X658" s="92"/>
    </row>
    <row r="659" spans="1:25" s="260" customFormat="1">
      <c r="A659" s="261">
        <v>0.05</v>
      </c>
      <c r="B659" s="87">
        <v>1</v>
      </c>
      <c r="C659" s="274">
        <v>45812</v>
      </c>
      <c r="D659" s="275" t="s">
        <v>1866</v>
      </c>
      <c r="E659" s="276" t="s">
        <v>512</v>
      </c>
      <c r="F659" s="277">
        <v>18061</v>
      </c>
      <c r="G659" s="277">
        <f>39.7+1551+(62.91+128.26+27.45-20.83)+(10.95+18.17+8.58+185.26+145.2+166.5+178.78)+1500</f>
        <v>4001.93</v>
      </c>
      <c r="H659" s="277"/>
      <c r="I659" s="278">
        <f>F659-G659-H659</f>
        <v>14059.07</v>
      </c>
      <c r="J659" s="279" t="s">
        <v>156</v>
      </c>
      <c r="K659" s="279">
        <v>1</v>
      </c>
      <c r="L659" s="279"/>
      <c r="M659" s="279">
        <v>1</v>
      </c>
      <c r="N659" s="279">
        <v>1</v>
      </c>
      <c r="O659" s="279">
        <v>1</v>
      </c>
      <c r="P659" s="279">
        <v>1</v>
      </c>
      <c r="Q659" s="279"/>
      <c r="R659" s="279"/>
      <c r="S659" s="280"/>
      <c r="T659" s="63"/>
      <c r="U659" s="10" t="s">
        <v>1900</v>
      </c>
      <c r="V659" s="90"/>
      <c r="W659" s="136"/>
      <c r="X659" s="137"/>
      <c r="Y659" s="181"/>
    </row>
    <row r="660" spans="1:25" s="260" customFormat="1">
      <c r="A660" s="261">
        <v>0.05</v>
      </c>
      <c r="B660" s="87">
        <f>B659+1</f>
        <v>2</v>
      </c>
      <c r="C660" s="262">
        <v>45813</v>
      </c>
      <c r="D660" s="273" t="s">
        <v>1868</v>
      </c>
      <c r="E660" s="271" t="s">
        <v>512</v>
      </c>
      <c r="F660" s="265">
        <v>22614</v>
      </c>
      <c r="G660" s="265">
        <f>39.7+47.8+356+1430+(396.09)+(145.2-4.72-2.08+8.58-185.26+9.17+5.35+223.39)+2000</f>
        <v>4469.22</v>
      </c>
      <c r="H660" s="265"/>
      <c r="I660" s="266">
        <f>F660-G660-H660</f>
        <v>18144.78</v>
      </c>
      <c r="J660" s="267"/>
      <c r="K660" s="267">
        <v>1</v>
      </c>
      <c r="L660" s="267"/>
      <c r="M660" s="267"/>
      <c r="N660" s="267">
        <v>1</v>
      </c>
      <c r="O660" s="267">
        <v>1</v>
      </c>
      <c r="P660" s="314">
        <v>0</v>
      </c>
      <c r="Q660" s="267"/>
      <c r="R660" s="267"/>
      <c r="S660" s="269"/>
      <c r="T660" s="63"/>
      <c r="U660" s="10" t="s">
        <v>1901</v>
      </c>
      <c r="V660" s="90"/>
      <c r="W660" s="136"/>
      <c r="X660" s="137"/>
    </row>
    <row r="661" spans="1:25" s="260" customFormat="1">
      <c r="A661" s="494">
        <v>0.05</v>
      </c>
      <c r="B661" s="87">
        <f>B660+1</f>
        <v>3</v>
      </c>
      <c r="C661" s="274">
        <v>45848</v>
      </c>
      <c r="D661" s="276">
        <v>71381</v>
      </c>
      <c r="E661" s="276" t="s">
        <v>1530</v>
      </c>
      <c r="F661" s="277">
        <f>1223-85</f>
        <v>1138</v>
      </c>
      <c r="G661" s="277">
        <f>39.7</f>
        <v>39.700000000000003</v>
      </c>
      <c r="H661" s="277"/>
      <c r="I661" s="321">
        <f>F661-G661-H661</f>
        <v>1098.3</v>
      </c>
      <c r="J661" s="279" t="s">
        <v>156</v>
      </c>
      <c r="K661" s="279">
        <v>1</v>
      </c>
      <c r="L661" s="279"/>
      <c r="M661" s="279">
        <v>1</v>
      </c>
      <c r="N661" s="279">
        <v>1</v>
      </c>
      <c r="O661" s="279">
        <v>1</v>
      </c>
      <c r="P661" s="322">
        <v>0</v>
      </c>
      <c r="Q661" s="279"/>
      <c r="R661" s="279"/>
      <c r="S661" s="280"/>
      <c r="T661" s="63"/>
      <c r="U661" s="94"/>
      <c r="V661" s="90"/>
      <c r="W661" s="136"/>
      <c r="X661" s="137"/>
    </row>
    <row r="662" spans="1:25" s="260" customFormat="1">
      <c r="A662" s="261">
        <v>0.05</v>
      </c>
      <c r="B662" s="87">
        <f t="shared" ref="B662" si="63">B661+1</f>
        <v>4</v>
      </c>
      <c r="C662" s="262">
        <v>45859</v>
      </c>
      <c r="D662" s="271">
        <v>71610</v>
      </c>
      <c r="E662" s="271" t="s">
        <v>354</v>
      </c>
      <c r="F662" s="265">
        <v>3261</v>
      </c>
      <c r="G662" s="265">
        <f>39.7</f>
        <v>39.700000000000003</v>
      </c>
      <c r="H662" s="265"/>
      <c r="I662" s="266">
        <f>F662-G662-H662</f>
        <v>3221.3</v>
      </c>
      <c r="J662" s="267"/>
      <c r="K662" s="267">
        <v>1</v>
      </c>
      <c r="L662" s="267"/>
      <c r="M662" s="267"/>
      <c r="N662" s="267">
        <v>1</v>
      </c>
      <c r="O662" s="267">
        <v>1</v>
      </c>
      <c r="P662" s="314">
        <v>0</v>
      </c>
      <c r="Q662" s="267"/>
      <c r="R662" s="267"/>
      <c r="S662" s="269"/>
      <c r="T662" s="63"/>
      <c r="U662" s="94" t="s">
        <v>1999</v>
      </c>
      <c r="V662" s="90"/>
      <c r="W662" s="136"/>
      <c r="X662" s="137"/>
    </row>
    <row r="663" spans="1:25" s="260" customFormat="1">
      <c r="B663" s="11"/>
      <c r="C663" s="36"/>
      <c r="D663" s="10"/>
      <c r="E663" s="10"/>
      <c r="F663" s="97">
        <f>SUM(F659:F662)</f>
        <v>45074</v>
      </c>
      <c r="G663" s="97">
        <f>SUM(G659:G662)</f>
        <v>8550.5500000000011</v>
      </c>
      <c r="H663" s="97">
        <f>SUM(H659:H662)</f>
        <v>0</v>
      </c>
      <c r="I663" s="97">
        <f>SUM(I659:I662)</f>
        <v>36523.450000000004</v>
      </c>
      <c r="J663" s="63"/>
      <c r="K663" s="21"/>
      <c r="L663" s="21"/>
      <c r="M663" s="21"/>
      <c r="N663" s="21"/>
      <c r="O663" s="21"/>
      <c r="P663" s="21"/>
      <c r="Q663" s="21"/>
      <c r="R663" s="21"/>
      <c r="S663" s="21"/>
      <c r="T663" s="63"/>
      <c r="U663" s="10"/>
      <c r="V663" s="90"/>
      <c r="W663" s="91"/>
      <c r="X663" s="92"/>
    </row>
    <row r="664" spans="1:25" s="260" customFormat="1">
      <c r="B664" s="11"/>
      <c r="C664" s="36"/>
      <c r="D664" s="10"/>
      <c r="E664" s="10"/>
      <c r="F664" s="88"/>
      <c r="G664" s="88"/>
      <c r="H664" s="88"/>
      <c r="I664" s="99"/>
      <c r="J664" s="10"/>
      <c r="K664" s="63"/>
      <c r="L664" s="63"/>
      <c r="M664" s="63"/>
      <c r="N664" s="63"/>
      <c r="O664" s="63"/>
      <c r="P664" s="63"/>
      <c r="Q664" s="63"/>
      <c r="R664" s="63"/>
      <c r="S664" s="63"/>
      <c r="T664" s="63"/>
      <c r="U664" s="10"/>
      <c r="V664" s="90"/>
      <c r="W664" s="91"/>
      <c r="X664" s="92"/>
    </row>
    <row r="665" spans="1:25">
      <c r="A665" s="2"/>
      <c r="B665" s="100" t="s">
        <v>72</v>
      </c>
      <c r="C665" s="36"/>
      <c r="D665" s="10"/>
      <c r="E665" s="10"/>
      <c r="F665" s="88"/>
      <c r="G665" s="88"/>
      <c r="H665" s="88"/>
      <c r="I665" s="99"/>
      <c r="J665" s="63"/>
      <c r="K665" s="63"/>
      <c r="L665" s="63"/>
      <c r="M665" s="63"/>
      <c r="N665" s="63"/>
      <c r="O665" s="63"/>
      <c r="P665" s="63"/>
      <c r="Q665" s="63"/>
      <c r="R665" s="63"/>
      <c r="S665" s="63"/>
      <c r="T665" s="63"/>
      <c r="U665" s="10"/>
      <c r="V665" s="90"/>
      <c r="W665" s="91"/>
      <c r="X665" s="92"/>
    </row>
    <row r="666" spans="1:25">
      <c r="A666" s="2"/>
      <c r="B666" s="87">
        <v>1</v>
      </c>
      <c r="C666" s="274">
        <v>45880</v>
      </c>
      <c r="D666" s="276">
        <v>72231</v>
      </c>
      <c r="E666" s="276" t="s">
        <v>168</v>
      </c>
      <c r="F666" s="277">
        <v>861</v>
      </c>
      <c r="G666" s="277">
        <v>39.700000000000003</v>
      </c>
      <c r="H666" s="277"/>
      <c r="I666" s="278">
        <f>F666-G666-H666</f>
        <v>821.3</v>
      </c>
      <c r="J666" s="279" t="s">
        <v>205</v>
      </c>
      <c r="K666" s="279">
        <v>1</v>
      </c>
      <c r="L666" s="279"/>
      <c r="M666" s="279"/>
      <c r="N666" s="279">
        <v>1</v>
      </c>
      <c r="O666" s="279"/>
      <c r="P666" s="279"/>
      <c r="Q666" s="279"/>
      <c r="R666" s="279"/>
      <c r="S666" s="280"/>
      <c r="T666" s="63"/>
      <c r="U666" s="3"/>
      <c r="V666" s="90"/>
      <c r="W666" s="91"/>
      <c r="X666" s="92"/>
    </row>
    <row r="667" spans="1:25">
      <c r="A667" s="2"/>
      <c r="B667" s="87">
        <f t="shared" ref="B667:B670" si="64">B666+1</f>
        <v>2</v>
      </c>
      <c r="C667" s="274">
        <v>45881</v>
      </c>
      <c r="D667" s="276">
        <v>72256</v>
      </c>
      <c r="E667" s="276" t="s">
        <v>268</v>
      </c>
      <c r="F667" s="277">
        <v>6841</v>
      </c>
      <c r="G667" s="277">
        <v>39.700000000000003</v>
      </c>
      <c r="H667" s="277"/>
      <c r="I667" s="278">
        <f>F667-G667-H667</f>
        <v>6801.3</v>
      </c>
      <c r="J667" s="279" t="s">
        <v>205</v>
      </c>
      <c r="K667" s="279">
        <v>1</v>
      </c>
      <c r="L667" s="279"/>
      <c r="M667" s="279"/>
      <c r="N667" s="279">
        <v>1</v>
      </c>
      <c r="O667" s="279"/>
      <c r="P667" s="279"/>
      <c r="Q667" s="279"/>
      <c r="R667" s="279"/>
      <c r="S667" s="280"/>
      <c r="T667" s="63"/>
      <c r="U667" s="10"/>
      <c r="V667" s="90"/>
      <c r="W667" s="136"/>
      <c r="X667" s="137"/>
    </row>
    <row r="668" spans="1:25">
      <c r="A668" s="2"/>
      <c r="B668" s="87">
        <f t="shared" si="64"/>
        <v>3</v>
      </c>
      <c r="C668" s="295">
        <v>45881</v>
      </c>
      <c r="D668" s="10">
        <v>72251</v>
      </c>
      <c r="E668" s="10" t="s">
        <v>388</v>
      </c>
      <c r="F668" s="62">
        <v>581</v>
      </c>
      <c r="G668" s="62"/>
      <c r="H668" s="62"/>
      <c r="I668" s="89">
        <f>F668-G668-H668</f>
        <v>581</v>
      </c>
      <c r="J668" s="63" t="s">
        <v>205</v>
      </c>
      <c r="K668" s="63">
        <v>1</v>
      </c>
      <c r="L668" s="63"/>
      <c r="M668" s="63"/>
      <c r="N668" s="63">
        <v>1</v>
      </c>
      <c r="O668" s="63"/>
      <c r="P668" s="63"/>
      <c r="Q668" s="63"/>
      <c r="R668" s="63"/>
      <c r="S668" s="296"/>
      <c r="T668" s="63"/>
      <c r="U668" s="10"/>
      <c r="V668" s="90"/>
      <c r="W668" s="136"/>
      <c r="X668" s="137"/>
    </row>
    <row r="669" spans="1:25">
      <c r="A669" s="2"/>
      <c r="B669" s="87">
        <f t="shared" si="64"/>
        <v>4</v>
      </c>
      <c r="C669" s="295">
        <v>45881</v>
      </c>
      <c r="D669" s="10">
        <v>72266</v>
      </c>
      <c r="E669" s="10" t="s">
        <v>809</v>
      </c>
      <c r="F669" s="62">
        <v>1199</v>
      </c>
      <c r="G669" s="62">
        <v>39.700000000000003</v>
      </c>
      <c r="H669" s="62"/>
      <c r="I669" s="89">
        <f>F669-G669-H669</f>
        <v>1159.3</v>
      </c>
      <c r="J669" s="63" t="s">
        <v>205</v>
      </c>
      <c r="K669" s="63">
        <v>1</v>
      </c>
      <c r="L669" s="63"/>
      <c r="M669" s="63"/>
      <c r="N669" s="63">
        <v>1</v>
      </c>
      <c r="O669" s="63"/>
      <c r="P669" s="63"/>
      <c r="Q669" s="63"/>
      <c r="R669" s="63"/>
      <c r="S669" s="296"/>
      <c r="T669" s="63"/>
      <c r="U669" s="10"/>
      <c r="V669" s="90"/>
      <c r="W669" s="136"/>
      <c r="X669" s="137"/>
    </row>
    <row r="670" spans="1:25">
      <c r="A670" s="2"/>
      <c r="B670" s="87">
        <f t="shared" si="64"/>
        <v>5</v>
      </c>
      <c r="C670" s="282">
        <v>45881</v>
      </c>
      <c r="D670" s="283">
        <v>72283</v>
      </c>
      <c r="E670" s="283" t="s">
        <v>2073</v>
      </c>
      <c r="F670" s="284">
        <v>732</v>
      </c>
      <c r="G670" s="284"/>
      <c r="H670" s="284"/>
      <c r="I670" s="285">
        <f>F670-G670-H670</f>
        <v>732</v>
      </c>
      <c r="J670" s="286" t="s">
        <v>205</v>
      </c>
      <c r="K670" s="286">
        <v>1</v>
      </c>
      <c r="L670" s="286"/>
      <c r="M670" s="286"/>
      <c r="N670" s="286">
        <v>1</v>
      </c>
      <c r="O670" s="286"/>
      <c r="P670" s="286"/>
      <c r="Q670" s="286"/>
      <c r="R670" s="286"/>
      <c r="S670" s="287"/>
      <c r="T670" s="63"/>
      <c r="U670" s="10"/>
      <c r="V670" s="90"/>
      <c r="W670" s="136"/>
      <c r="X670" s="137"/>
    </row>
    <row r="671" spans="1:25">
      <c r="A671" s="2"/>
      <c r="B671" s="11"/>
      <c r="C671" s="36"/>
      <c r="D671" s="10"/>
      <c r="E671" s="10"/>
      <c r="F671" s="97">
        <f>SUM(F666:F670)</f>
        <v>10214</v>
      </c>
      <c r="G671" s="97">
        <f>SUM(G666:G670)</f>
        <v>119.10000000000001</v>
      </c>
      <c r="H671" s="97">
        <f>SUM(H666:H670)</f>
        <v>0</v>
      </c>
      <c r="I671" s="98">
        <f>SUM(I666:I670)</f>
        <v>10094.9</v>
      </c>
      <c r="J671" s="10"/>
      <c r="K671" s="10"/>
      <c r="L671" s="10"/>
      <c r="M671" s="10"/>
      <c r="N671" s="10"/>
      <c r="O671" s="10"/>
      <c r="P671" s="10"/>
      <c r="Q671" s="10"/>
      <c r="R671" s="10"/>
      <c r="S671" s="10"/>
      <c r="T671" s="63"/>
      <c r="U671" s="10"/>
      <c r="V671" s="138"/>
      <c r="W671" s="136"/>
      <c r="X671" s="137"/>
    </row>
    <row r="672" spans="1:25">
      <c r="A672" s="2"/>
      <c r="B672" s="26"/>
      <c r="C672" s="140"/>
      <c r="D672" s="141"/>
      <c r="E672" s="141"/>
      <c r="F672" s="141"/>
      <c r="G672" s="141"/>
      <c r="H672" s="141"/>
      <c r="I672" s="141"/>
      <c r="J672" s="141"/>
      <c r="K672" s="142"/>
      <c r="L672" s="142"/>
      <c r="M672" s="142"/>
      <c r="N672" s="142"/>
      <c r="O672" s="142"/>
      <c r="P672" s="142"/>
      <c r="Q672" s="142"/>
      <c r="R672" s="142"/>
      <c r="S672" s="142"/>
      <c r="T672" s="143">
        <f>SUM(T640:T671)</f>
        <v>0</v>
      </c>
      <c r="U672" s="141"/>
      <c r="V672" s="144">
        <f>SUM(V640:V671)</f>
        <v>2622.3</v>
      </c>
      <c r="W672" s="145">
        <f>SUM(W640:W671)</f>
        <v>0</v>
      </c>
      <c r="X672" s="146">
        <f>SUM(X640:X671)</f>
        <v>0</v>
      </c>
    </row>
    <row r="675" spans="1:24">
      <c r="A675" s="3"/>
      <c r="B675" s="4" t="s">
        <v>1</v>
      </c>
      <c r="C675" s="5"/>
      <c r="D675" s="6"/>
      <c r="E675" s="6"/>
      <c r="F675" s="7" t="s">
        <v>2</v>
      </c>
      <c r="G675" s="8">
        <v>45893</v>
      </c>
      <c r="H675" s="7"/>
      <c r="I675" s="6"/>
      <c r="J675" s="6"/>
      <c r="K675" s="6"/>
      <c r="L675" s="6"/>
      <c r="M675" s="6"/>
      <c r="N675" s="6"/>
      <c r="O675" s="6"/>
      <c r="P675" s="6"/>
      <c r="Q675" s="6"/>
      <c r="R675" s="6"/>
      <c r="S675" s="6"/>
      <c r="T675" s="6"/>
      <c r="U675" s="9"/>
      <c r="V675" s="10"/>
      <c r="W675" s="10"/>
      <c r="X675" s="10"/>
    </row>
    <row r="676" spans="1:24">
      <c r="A676" s="2"/>
      <c r="B676" s="11"/>
      <c r="C676" s="10"/>
      <c r="D676" s="10"/>
      <c r="E676" s="10"/>
      <c r="F676" s="10"/>
      <c r="G676" s="7"/>
      <c r="H676" s="12"/>
      <c r="I676" s="10"/>
      <c r="J676" s="10"/>
      <c r="K676" s="13" t="s">
        <v>3</v>
      </c>
      <c r="L676" s="14"/>
      <c r="M676" s="15"/>
      <c r="N676" s="13" t="s">
        <v>4</v>
      </c>
      <c r="O676" s="14"/>
      <c r="P676" s="15"/>
      <c r="Q676" s="13" t="s">
        <v>5</v>
      </c>
      <c r="R676" s="14"/>
      <c r="S676" s="15"/>
      <c r="T676" s="16"/>
      <c r="U676" s="17"/>
      <c r="V676" s="10"/>
      <c r="W676" s="10"/>
      <c r="X676" s="10"/>
    </row>
    <row r="677" spans="1:24">
      <c r="A677" s="2"/>
      <c r="B677" s="18" t="s">
        <v>6</v>
      </c>
      <c r="C677" s="19">
        <f>C678+C679</f>
        <v>22</v>
      </c>
      <c r="D677" s="10"/>
      <c r="E677" s="18" t="s">
        <v>7</v>
      </c>
      <c r="F677" s="6"/>
      <c r="G677" s="9"/>
      <c r="H677" s="10"/>
      <c r="I677" s="10"/>
      <c r="J677" s="10"/>
      <c r="K677" s="20" t="s">
        <v>8</v>
      </c>
      <c r="L677" s="21" t="s">
        <v>9</v>
      </c>
      <c r="M677" s="21" t="s">
        <v>10</v>
      </c>
      <c r="N677" s="20" t="s">
        <v>11</v>
      </c>
      <c r="O677" s="21" t="s">
        <v>12</v>
      </c>
      <c r="P677" s="22" t="s">
        <v>13</v>
      </c>
      <c r="Q677" s="21" t="s">
        <v>11</v>
      </c>
      <c r="R677" s="21" t="s">
        <v>12</v>
      </c>
      <c r="S677" s="22" t="s">
        <v>13</v>
      </c>
      <c r="T677" s="23" t="s">
        <v>14</v>
      </c>
      <c r="U677" s="17"/>
      <c r="V677" s="10"/>
      <c r="W677" s="10"/>
      <c r="X677" s="10"/>
    </row>
    <row r="678" spans="1:24">
      <c r="A678" s="2"/>
      <c r="B678" s="24" t="s">
        <v>15</v>
      </c>
      <c r="C678" s="25">
        <f>P685</f>
        <v>10</v>
      </c>
      <c r="D678" s="10"/>
      <c r="E678" s="26" t="s">
        <v>16</v>
      </c>
      <c r="F678" s="27">
        <v>0.05</v>
      </c>
      <c r="G678" s="28"/>
      <c r="H678" s="10"/>
      <c r="I678" s="10"/>
      <c r="J678" s="18" t="s">
        <v>17</v>
      </c>
      <c r="K678" s="29">
        <f>K710</f>
        <v>7</v>
      </c>
      <c r="L678" s="29">
        <f>L710</f>
        <v>7</v>
      </c>
      <c r="M678" s="29">
        <f>M710</f>
        <v>7</v>
      </c>
      <c r="N678" s="29">
        <f>N710</f>
        <v>7</v>
      </c>
      <c r="O678" s="29">
        <f>O710</f>
        <v>7</v>
      </c>
      <c r="P678" s="29">
        <f>P710</f>
        <v>0</v>
      </c>
      <c r="Q678" s="29">
        <f>Q710</f>
        <v>4</v>
      </c>
      <c r="R678" s="29">
        <f>R710</f>
        <v>4</v>
      </c>
      <c r="S678" s="29">
        <f>S710</f>
        <v>2</v>
      </c>
      <c r="T678" s="30">
        <f>T748</f>
        <v>4</v>
      </c>
      <c r="U678" s="17"/>
      <c r="V678" s="10"/>
      <c r="W678" s="10"/>
      <c r="X678" s="10"/>
    </row>
    <row r="679" spans="1:24">
      <c r="A679" s="2"/>
      <c r="B679" s="24" t="s">
        <v>18</v>
      </c>
      <c r="C679" s="25">
        <f>P686</f>
        <v>12</v>
      </c>
      <c r="D679" s="10"/>
      <c r="E679" s="10"/>
      <c r="F679" s="10"/>
      <c r="G679" s="31"/>
      <c r="H679" s="10"/>
      <c r="I679" s="10"/>
      <c r="J679" s="32" t="s">
        <v>19</v>
      </c>
      <c r="K679" s="33">
        <f>K710/K709</f>
        <v>1</v>
      </c>
      <c r="L679" s="33">
        <f>L710/L709</f>
        <v>1</v>
      </c>
      <c r="M679" s="33">
        <f>M710/M709</f>
        <v>1</v>
      </c>
      <c r="N679" s="33">
        <f>N710/N709</f>
        <v>1</v>
      </c>
      <c r="O679" s="33">
        <f>O710/O709</f>
        <v>1</v>
      </c>
      <c r="P679" s="33">
        <f>P710/P709</f>
        <v>0</v>
      </c>
      <c r="Q679" s="33">
        <f>Q710/Q709</f>
        <v>0.5714285714285714</v>
      </c>
      <c r="R679" s="33">
        <f>R710/R709</f>
        <v>0.5714285714285714</v>
      </c>
      <c r="S679" s="33">
        <f>S710/S709</f>
        <v>0.2857142857142857</v>
      </c>
      <c r="T679" s="23">
        <v>1</v>
      </c>
      <c r="U679" s="17" t="s">
        <v>20</v>
      </c>
      <c r="V679" s="10"/>
      <c r="W679" s="10"/>
      <c r="X679" s="10"/>
    </row>
    <row r="680" spans="1:24">
      <c r="A680" s="2"/>
      <c r="B680" s="24" t="s">
        <v>21</v>
      </c>
      <c r="C680" s="34">
        <f>P687</f>
        <v>0.45454545454545453</v>
      </c>
      <c r="D680" s="10"/>
      <c r="E680" s="10"/>
      <c r="F680" s="10"/>
      <c r="G680" s="10"/>
      <c r="H680" s="10"/>
      <c r="I680" s="10"/>
      <c r="J680" s="10"/>
      <c r="K680" s="10"/>
      <c r="L680" s="10"/>
      <c r="M680" s="10"/>
      <c r="N680" s="10"/>
      <c r="O680" s="10"/>
      <c r="P680" s="10"/>
      <c r="Q680" s="10"/>
      <c r="R680" s="10"/>
      <c r="S680" s="10"/>
      <c r="T680" s="10"/>
      <c r="U680" s="17"/>
      <c r="V680" s="10"/>
      <c r="W680" s="10"/>
      <c r="X680" s="10"/>
    </row>
    <row r="681" spans="1:24">
      <c r="A681" s="2"/>
      <c r="B681" s="24"/>
      <c r="C681" s="25"/>
      <c r="D681" s="10"/>
      <c r="E681" s="10"/>
      <c r="F681" s="18" t="s">
        <v>22</v>
      </c>
      <c r="G681" s="19" t="s">
        <v>23</v>
      </c>
      <c r="H681" s="35" t="s">
        <v>24</v>
      </c>
      <c r="I681" s="10"/>
      <c r="J681" s="10"/>
      <c r="K681" s="36"/>
      <c r="L681" s="36"/>
      <c r="M681" s="36"/>
      <c r="N681" s="36"/>
      <c r="O681" s="36"/>
      <c r="P681" s="36"/>
      <c r="Q681" s="36"/>
      <c r="R681" s="10"/>
      <c r="S681" s="10"/>
      <c r="T681" s="10"/>
      <c r="U681" s="17"/>
      <c r="V681" s="10"/>
      <c r="W681" s="10"/>
      <c r="X681" s="10"/>
    </row>
    <row r="682" spans="1:24">
      <c r="A682" s="2"/>
      <c r="B682" s="32" t="s">
        <v>25</v>
      </c>
      <c r="C682" s="37">
        <f>P688</f>
        <v>2436.0320000000002</v>
      </c>
      <c r="D682" s="10"/>
      <c r="E682" s="18" t="s">
        <v>26</v>
      </c>
      <c r="F682" s="38">
        <f>P684</f>
        <v>24360.32</v>
      </c>
      <c r="G682" s="39">
        <f>I709+I716</f>
        <v>24360.32</v>
      </c>
      <c r="H682" s="40"/>
      <c r="I682" s="41"/>
      <c r="J682" s="42"/>
      <c r="K682" s="43" t="s">
        <v>27</v>
      </c>
      <c r="L682" s="44"/>
      <c r="M682" s="44"/>
      <c r="N682" s="44"/>
      <c r="O682" s="44"/>
      <c r="P682" s="44"/>
      <c r="Q682" s="45"/>
      <c r="R682" s="46" t="s">
        <v>28</v>
      </c>
      <c r="S682" s="47" t="s">
        <v>29</v>
      </c>
      <c r="T682" s="10"/>
      <c r="U682" s="17"/>
      <c r="V682" s="10"/>
      <c r="W682" s="10"/>
      <c r="X682" s="10"/>
    </row>
    <row r="683" spans="1:24">
      <c r="A683" s="2"/>
      <c r="B683" s="11"/>
      <c r="C683" s="10"/>
      <c r="D683" s="10"/>
      <c r="E683" s="24" t="s">
        <v>30</v>
      </c>
      <c r="F683" s="48">
        <f>F678</f>
        <v>0.05</v>
      </c>
      <c r="G683" s="17"/>
      <c r="H683" s="40"/>
      <c r="I683" s="41"/>
      <c r="J683" s="42"/>
      <c r="K683" s="20" t="s">
        <v>31</v>
      </c>
      <c r="L683" s="21" t="s">
        <v>32</v>
      </c>
      <c r="M683" s="21" t="s">
        <v>33</v>
      </c>
      <c r="N683" s="21" t="s">
        <v>34</v>
      </c>
      <c r="O683" s="21" t="s">
        <v>35</v>
      </c>
      <c r="P683" s="21" t="s">
        <v>36</v>
      </c>
      <c r="Q683" s="49" t="s">
        <v>37</v>
      </c>
      <c r="R683" s="50" t="s">
        <v>38</v>
      </c>
      <c r="S683" s="50" t="s">
        <v>38</v>
      </c>
      <c r="T683" s="10"/>
      <c r="U683" s="17"/>
      <c r="V683" s="10"/>
      <c r="W683" s="10"/>
      <c r="X683" s="10"/>
    </row>
    <row r="684" spans="1:24">
      <c r="A684" s="2"/>
      <c r="B684" s="11"/>
      <c r="C684" s="10"/>
      <c r="D684" s="10"/>
      <c r="E684" s="51" t="s">
        <v>39</v>
      </c>
      <c r="F684" s="52">
        <f>(F682-I706-I713-I714-I715)*F683</f>
        <v>274.72400000000005</v>
      </c>
      <c r="G684" s="53" t="s">
        <v>40</v>
      </c>
      <c r="H684" s="54">
        <f>F684/1.12</f>
        <v>245.28928571428574</v>
      </c>
      <c r="I684" s="55"/>
      <c r="J684" s="42"/>
      <c r="K684" s="56">
        <f>I702+I703+I704</f>
        <v>2588.38</v>
      </c>
      <c r="L684" s="57">
        <f>I705+I706+I713</f>
        <v>12210.539999999999</v>
      </c>
      <c r="M684" s="57">
        <f>I708+I707+I714</f>
        <v>9080.4</v>
      </c>
      <c r="N684" s="57">
        <f>I715</f>
        <v>481</v>
      </c>
      <c r="O684" s="57"/>
      <c r="P684" s="57">
        <f>SUM(K684:O684)</f>
        <v>24360.32</v>
      </c>
      <c r="Q684" s="58">
        <v>0</v>
      </c>
      <c r="R684" s="59">
        <f>0</f>
        <v>0</v>
      </c>
      <c r="S684" s="59">
        <f>0</f>
        <v>0</v>
      </c>
      <c r="T684" s="10"/>
      <c r="U684" s="17"/>
      <c r="V684" s="10"/>
      <c r="W684" s="10"/>
      <c r="X684" s="10"/>
    </row>
    <row r="685" spans="1:24">
      <c r="A685" s="2"/>
      <c r="B685" s="11"/>
      <c r="C685" s="10"/>
      <c r="D685" s="10"/>
      <c r="E685" s="24" t="s">
        <v>41</v>
      </c>
      <c r="F685" s="60">
        <f>Q684</f>
        <v>0</v>
      </c>
      <c r="G685" s="61" t="s">
        <v>40</v>
      </c>
      <c r="H685" s="62"/>
      <c r="I685" s="62"/>
      <c r="J685" s="10" t="s">
        <v>42</v>
      </c>
      <c r="K685" s="63">
        <v>3</v>
      </c>
      <c r="L685" s="63">
        <v>3</v>
      </c>
      <c r="M685" s="63">
        <v>3</v>
      </c>
      <c r="N685" s="63">
        <v>1</v>
      </c>
      <c r="O685" s="63"/>
      <c r="P685" s="21">
        <f>SUM(K685:O685)</f>
        <v>10</v>
      </c>
      <c r="Q685" s="64"/>
      <c r="R685" s="63"/>
      <c r="S685" s="10"/>
      <c r="T685" s="10"/>
      <c r="U685" s="17"/>
      <c r="V685" s="10"/>
      <c r="W685" s="10"/>
      <c r="X685" s="10"/>
    </row>
    <row r="686" spans="1:24">
      <c r="A686" s="2"/>
      <c r="B686" s="11"/>
      <c r="C686" s="10"/>
      <c r="D686" s="10"/>
      <c r="E686" s="51" t="s">
        <v>43</v>
      </c>
      <c r="F686" s="52">
        <f>F685*0.25</f>
        <v>0</v>
      </c>
      <c r="G686" s="53" t="s">
        <v>40</v>
      </c>
      <c r="H686" s="54">
        <f>F686/1.12</f>
        <v>0</v>
      </c>
      <c r="I686" s="10"/>
      <c r="J686" s="10" t="s">
        <v>44</v>
      </c>
      <c r="K686" s="63">
        <v>6</v>
      </c>
      <c r="L686" s="63">
        <v>1</v>
      </c>
      <c r="M686" s="63">
        <v>3</v>
      </c>
      <c r="N686" s="63">
        <v>2</v>
      </c>
      <c r="O686" s="63"/>
      <c r="P686" s="21">
        <f>SUM(K686:O686)</f>
        <v>12</v>
      </c>
      <c r="Q686" s="64"/>
      <c r="R686" s="63"/>
      <c r="S686" s="10"/>
      <c r="T686" s="10"/>
      <c r="U686" s="17"/>
      <c r="V686" s="10"/>
      <c r="W686" s="10"/>
      <c r="X686" s="10"/>
    </row>
    <row r="687" spans="1:24">
      <c r="A687" s="2"/>
      <c r="B687" s="11"/>
      <c r="C687" s="10"/>
      <c r="D687" s="10"/>
      <c r="E687" s="24" t="s">
        <v>45</v>
      </c>
      <c r="F687" s="60"/>
      <c r="G687" s="61" t="s">
        <v>40</v>
      </c>
      <c r="H687" s="62"/>
      <c r="I687" s="10"/>
      <c r="J687" s="10" t="s">
        <v>46</v>
      </c>
      <c r="K687" s="31">
        <f>K685/(K685+K686)</f>
        <v>0.33333333333333331</v>
      </c>
      <c r="L687" s="31">
        <f>L685/(L685+L686)</f>
        <v>0.75</v>
      </c>
      <c r="M687" s="31">
        <f>M685/(M685+M686)</f>
        <v>0.5</v>
      </c>
      <c r="N687" s="31">
        <f>N685/(N685+N686)</f>
        <v>0.33333333333333331</v>
      </c>
      <c r="O687" s="31" t="e">
        <f>O685/(O685+O686)</f>
        <v>#DIV/0!</v>
      </c>
      <c r="P687" s="31">
        <f>P685/(P685+P686)</f>
        <v>0.45454545454545453</v>
      </c>
      <c r="Q687" s="31" t="e">
        <f>Q685/(Q685+Q686)</f>
        <v>#DIV/0!</v>
      </c>
      <c r="R687" s="63"/>
      <c r="S687" s="10"/>
      <c r="T687" s="10"/>
      <c r="U687" s="17"/>
      <c r="V687" s="10"/>
      <c r="W687" s="10"/>
      <c r="X687" s="10"/>
    </row>
    <row r="688" spans="1:24">
      <c r="A688" s="2"/>
      <c r="B688" s="11"/>
      <c r="C688" s="10"/>
      <c r="D688" s="10"/>
      <c r="E688" s="51" t="s">
        <v>47</v>
      </c>
      <c r="F688" s="52">
        <f>F687*0.05</f>
        <v>0</v>
      </c>
      <c r="G688" s="65" t="s">
        <v>40</v>
      </c>
      <c r="H688" s="54">
        <f>F688/1.12</f>
        <v>0</v>
      </c>
      <c r="I688" s="42"/>
      <c r="J688" s="10" t="s">
        <v>48</v>
      </c>
      <c r="K688" s="66">
        <f>K684/K685</f>
        <v>862.79333333333341</v>
      </c>
      <c r="L688" s="66">
        <f>L684/L685</f>
        <v>4070.18</v>
      </c>
      <c r="M688" s="66">
        <f>M684/M685</f>
        <v>3026.7999999999997</v>
      </c>
      <c r="N688" s="66">
        <f>N684/N685</f>
        <v>481</v>
      </c>
      <c r="O688" s="66" t="e">
        <f>O684/O685</f>
        <v>#DIV/0!</v>
      </c>
      <c r="P688" s="66">
        <f>P684/P685</f>
        <v>2436.0320000000002</v>
      </c>
      <c r="Q688" s="66" t="e">
        <f>Q684/Q685</f>
        <v>#DIV/0!</v>
      </c>
      <c r="R688" s="63"/>
      <c r="S688" s="10"/>
      <c r="T688" s="10"/>
      <c r="U688" s="17"/>
      <c r="V688" s="10"/>
      <c r="W688" s="10"/>
      <c r="X688" s="10"/>
    </row>
    <row r="689" spans="1:24">
      <c r="A689" s="2"/>
      <c r="B689" s="11"/>
      <c r="C689" s="10"/>
      <c r="D689" s="10"/>
      <c r="E689" s="67" t="s">
        <v>14</v>
      </c>
      <c r="F689" s="68">
        <f>4*50</f>
        <v>200</v>
      </c>
      <c r="G689" s="10"/>
      <c r="H689" s="54">
        <f>F689/1.12</f>
        <v>178.57142857142856</v>
      </c>
      <c r="I689" s="10"/>
      <c r="J689" s="10"/>
      <c r="K689" s="10"/>
      <c r="L689" s="10"/>
      <c r="M689" s="10"/>
      <c r="N689" s="10"/>
      <c r="O689" s="10"/>
      <c r="P689" s="10"/>
      <c r="Q689" s="10"/>
      <c r="R689" s="10"/>
      <c r="S689" s="10"/>
      <c r="T689" s="10"/>
      <c r="U689" s="17"/>
      <c r="V689" s="10"/>
      <c r="W689" s="10"/>
      <c r="X689" s="10"/>
    </row>
    <row r="690" spans="1:24">
      <c r="A690" s="2"/>
      <c r="B690" s="11"/>
      <c r="C690" s="10"/>
      <c r="D690" s="10"/>
      <c r="E690" s="67" t="s">
        <v>49</v>
      </c>
      <c r="F690" s="69">
        <f>T679</f>
        <v>1</v>
      </c>
      <c r="G690" s="10"/>
      <c r="H690" s="54"/>
      <c r="I690" s="55"/>
      <c r="J690" s="42"/>
      <c r="K690" s="764" t="s">
        <v>50</v>
      </c>
      <c r="L690" s="765"/>
      <c r="M690" s="765"/>
      <c r="N690" s="765"/>
      <c r="O690" s="765"/>
      <c r="P690" s="765"/>
      <c r="Q690" s="766"/>
      <c r="R690" s="70" t="s">
        <v>28</v>
      </c>
      <c r="S690" s="71" t="s">
        <v>29</v>
      </c>
      <c r="T690" s="10"/>
      <c r="U690" s="17"/>
      <c r="V690" s="10"/>
      <c r="W690" s="10"/>
      <c r="X690" s="10"/>
    </row>
    <row r="691" spans="1:24">
      <c r="A691" s="2"/>
      <c r="B691" s="11"/>
      <c r="C691" s="10"/>
      <c r="D691" s="10"/>
      <c r="E691" s="155" t="s">
        <v>533</v>
      </c>
      <c r="F691" s="156">
        <f>$F$531</f>
        <v>1212.001</v>
      </c>
      <c r="G691" s="123"/>
      <c r="H691" s="54">
        <f>F691/1.12</f>
        <v>1082.14375</v>
      </c>
      <c r="I691" s="10"/>
      <c r="J691" s="42"/>
      <c r="K691" s="20" t="s">
        <v>31</v>
      </c>
      <c r="L691" s="21" t="s">
        <v>32</v>
      </c>
      <c r="M691" s="21" t="s">
        <v>33</v>
      </c>
      <c r="N691" s="21" t="s">
        <v>34</v>
      </c>
      <c r="O691" s="21" t="s">
        <v>35</v>
      </c>
      <c r="P691" s="21" t="s">
        <v>36</v>
      </c>
      <c r="Q691" s="49" t="s">
        <v>37</v>
      </c>
      <c r="R691" s="50" t="s">
        <v>38</v>
      </c>
      <c r="S691" s="50" t="s">
        <v>38</v>
      </c>
      <c r="T691" s="10"/>
      <c r="U691" s="17"/>
      <c r="V691" s="10"/>
      <c r="W691" s="10"/>
      <c r="X691" s="10"/>
    </row>
    <row r="692" spans="1:24">
      <c r="A692" s="2"/>
      <c r="B692" s="11"/>
      <c r="C692" s="10"/>
      <c r="D692" s="10"/>
      <c r="E692" s="155" t="s">
        <v>534</v>
      </c>
      <c r="F692" s="156">
        <f>$F$622</f>
        <v>64.75</v>
      </c>
      <c r="G692" s="123"/>
      <c r="H692" s="54">
        <f>F692/1.12</f>
        <v>57.812499999999993</v>
      </c>
      <c r="I692" s="10"/>
      <c r="J692" s="42"/>
      <c r="K692" s="56">
        <f>F702+F703+F704</f>
        <v>2723</v>
      </c>
      <c r="L692" s="57">
        <f>F705+F706+F713</f>
        <v>13674.9</v>
      </c>
      <c r="M692" s="57">
        <f>F708+F707+F714</f>
        <v>9499.5</v>
      </c>
      <c r="N692" s="57">
        <f>F715</f>
        <v>681</v>
      </c>
      <c r="O692" s="57"/>
      <c r="P692" s="57">
        <f>SUM(K692:O692)</f>
        <v>26578.400000000001</v>
      </c>
      <c r="Q692" s="58">
        <v>0</v>
      </c>
      <c r="R692" s="59">
        <f>0</f>
        <v>0</v>
      </c>
      <c r="S692" s="59">
        <f>0</f>
        <v>0</v>
      </c>
      <c r="T692" s="10"/>
      <c r="U692" s="17"/>
      <c r="V692" s="10"/>
      <c r="W692" s="10"/>
      <c r="X692" s="10"/>
    </row>
    <row r="693" spans="1:24">
      <c r="A693" s="2"/>
      <c r="B693" s="11"/>
      <c r="C693" s="10"/>
      <c r="D693" s="10"/>
      <c r="E693" s="12"/>
      <c r="F693" s="76"/>
      <c r="G693" s="10"/>
      <c r="H693" s="10"/>
      <c r="I693" s="10"/>
      <c r="J693" s="10" t="s">
        <v>42</v>
      </c>
      <c r="K693" s="63">
        <f>K685</f>
        <v>3</v>
      </c>
      <c r="L693" s="63">
        <f>L685</f>
        <v>3</v>
      </c>
      <c r="M693" s="63">
        <f>M685</f>
        <v>3</v>
      </c>
      <c r="N693" s="63">
        <f>N685</f>
        <v>1</v>
      </c>
      <c r="O693" s="63">
        <f>O685</f>
        <v>0</v>
      </c>
      <c r="P693" s="63">
        <f>P685</f>
        <v>10</v>
      </c>
      <c r="Q693" s="63">
        <f>Q685</f>
        <v>0</v>
      </c>
      <c r="R693" s="63"/>
      <c r="S693" s="10"/>
      <c r="T693" s="10"/>
      <c r="U693" s="17"/>
      <c r="V693" s="10"/>
      <c r="W693" s="10"/>
      <c r="X693" s="10"/>
    </row>
    <row r="694" spans="1:24">
      <c r="A694" s="2"/>
      <c r="B694" s="11"/>
      <c r="C694" s="10"/>
      <c r="D694" s="10"/>
      <c r="E694" s="10"/>
      <c r="F694" s="10"/>
      <c r="G694" s="10"/>
      <c r="H694" s="10"/>
      <c r="I694" s="10"/>
      <c r="J694" s="10" t="s">
        <v>44</v>
      </c>
      <c r="K694" s="63">
        <f>K686</f>
        <v>6</v>
      </c>
      <c r="L694" s="63">
        <f>L686</f>
        <v>1</v>
      </c>
      <c r="M694" s="63">
        <f>M686</f>
        <v>3</v>
      </c>
      <c r="N694" s="63">
        <f>N686</f>
        <v>2</v>
      </c>
      <c r="O694" s="63">
        <f>O686</f>
        <v>0</v>
      </c>
      <c r="P694" s="63">
        <f>P686</f>
        <v>12</v>
      </c>
      <c r="Q694" s="63">
        <f>Q686</f>
        <v>0</v>
      </c>
      <c r="R694" s="63"/>
      <c r="S694" s="10"/>
      <c r="T694" s="10"/>
      <c r="U694" s="17"/>
      <c r="V694" s="10"/>
      <c r="W694" s="10"/>
      <c r="X694" s="10"/>
    </row>
    <row r="695" spans="1:24">
      <c r="A695" s="2"/>
      <c r="B695" s="11"/>
      <c r="C695" s="10"/>
      <c r="D695" s="10"/>
      <c r="E695" s="10"/>
      <c r="F695" s="10"/>
      <c r="G695" s="10"/>
      <c r="H695" s="10"/>
      <c r="I695" s="10"/>
      <c r="J695" s="10" t="s">
        <v>46</v>
      </c>
      <c r="K695" s="31">
        <f>K693/(K693+K694)</f>
        <v>0.33333333333333331</v>
      </c>
      <c r="L695" s="31">
        <f>L693/(L693+L694)</f>
        <v>0.75</v>
      </c>
      <c r="M695" s="31">
        <f>M693/(M693+M694)</f>
        <v>0.5</v>
      </c>
      <c r="N695" s="31">
        <f>N693/(N693+N694)</f>
        <v>0.33333333333333331</v>
      </c>
      <c r="O695" s="31" t="e">
        <f>O693/(O693+O694)</f>
        <v>#DIV/0!</v>
      </c>
      <c r="P695" s="31">
        <f>P693/(P693+P694)</f>
        <v>0.45454545454545453</v>
      </c>
      <c r="Q695" s="31" t="e">
        <f>Q693/(Q693+Q694)</f>
        <v>#DIV/0!</v>
      </c>
      <c r="R695" s="63"/>
      <c r="S695" s="10"/>
      <c r="T695" s="10"/>
      <c r="U695" s="17"/>
      <c r="V695" s="10"/>
      <c r="W695" s="10"/>
      <c r="X695" s="10"/>
    </row>
    <row r="696" spans="1:24">
      <c r="A696" s="2"/>
      <c r="B696" s="11"/>
      <c r="C696" s="10"/>
      <c r="D696" s="10"/>
      <c r="E696" s="10"/>
      <c r="F696" s="10"/>
      <c r="G696" s="10"/>
      <c r="H696" s="10"/>
      <c r="I696" s="10"/>
      <c r="J696" s="10" t="s">
        <v>48</v>
      </c>
      <c r="K696" s="66">
        <f>K692/K693</f>
        <v>907.66666666666663</v>
      </c>
      <c r="L696" s="66">
        <f>L692/L693</f>
        <v>4558.3</v>
      </c>
      <c r="M696" s="66">
        <f>M692/M693</f>
        <v>3166.5</v>
      </c>
      <c r="N696" s="66">
        <f>N692/N693</f>
        <v>681</v>
      </c>
      <c r="O696" s="66" t="e">
        <f>O692/O693</f>
        <v>#DIV/0!</v>
      </c>
      <c r="P696" s="66">
        <f>P692/P693</f>
        <v>2657.84</v>
      </c>
      <c r="Q696" s="66" t="e">
        <f>Q692/Q693</f>
        <v>#DIV/0!</v>
      </c>
      <c r="R696" s="63"/>
      <c r="S696" s="10"/>
      <c r="T696" s="10"/>
      <c r="U696" s="17"/>
      <c r="V696" s="10"/>
      <c r="W696" s="10"/>
      <c r="X696" s="10"/>
    </row>
    <row r="697" spans="1:24">
      <c r="A697" s="2"/>
      <c r="B697" s="11"/>
      <c r="C697" s="10"/>
      <c r="D697" s="10"/>
      <c r="E697" s="10"/>
      <c r="F697" s="10"/>
      <c r="G697" s="10"/>
      <c r="H697" s="10"/>
      <c r="I697" s="10"/>
      <c r="J697" s="10"/>
      <c r="K697" s="10"/>
      <c r="L697" s="10"/>
      <c r="M697" s="10"/>
      <c r="N697" s="10"/>
      <c r="O697" s="10"/>
      <c r="P697" s="10"/>
      <c r="Q697" s="10"/>
      <c r="R697" s="10"/>
      <c r="S697" s="10"/>
      <c r="T697" s="10"/>
      <c r="U697" s="17"/>
      <c r="V697" s="10"/>
      <c r="W697" s="10"/>
      <c r="X697" s="10"/>
    </row>
    <row r="698" spans="1:24">
      <c r="A698" s="2"/>
      <c r="B698" s="11"/>
      <c r="C698" s="10"/>
      <c r="D698" s="10"/>
      <c r="E698" s="10"/>
      <c r="F698" s="10"/>
      <c r="G698" s="10"/>
      <c r="H698" s="10"/>
      <c r="I698" s="10"/>
      <c r="J698" s="10"/>
      <c r="K698" s="10"/>
      <c r="L698" s="10"/>
      <c r="M698" s="10"/>
      <c r="N698" s="10"/>
      <c r="O698" s="10"/>
      <c r="P698" s="10"/>
      <c r="Q698" s="10"/>
      <c r="R698" s="10"/>
      <c r="S698" s="10"/>
      <c r="T698" s="10"/>
      <c r="U698" s="17"/>
      <c r="V698" s="10"/>
      <c r="W698" s="10"/>
      <c r="X698" s="10"/>
    </row>
    <row r="699" spans="1:24">
      <c r="A699" s="2"/>
      <c r="B699" s="18" t="s">
        <v>51</v>
      </c>
      <c r="C699" s="14"/>
      <c r="D699" s="14"/>
      <c r="E699" s="14"/>
      <c r="F699" s="13" t="s">
        <v>52</v>
      </c>
      <c r="G699" s="14"/>
      <c r="H699" s="14"/>
      <c r="I699" s="14"/>
      <c r="J699" s="14"/>
      <c r="K699" s="13" t="s">
        <v>3</v>
      </c>
      <c r="L699" s="14"/>
      <c r="M699" s="14"/>
      <c r="N699" s="13" t="s">
        <v>4</v>
      </c>
      <c r="O699" s="14"/>
      <c r="P699" s="14"/>
      <c r="Q699" s="13" t="s">
        <v>5</v>
      </c>
      <c r="R699" s="14"/>
      <c r="S699" s="14"/>
      <c r="T699" s="18"/>
      <c r="U699" s="16" t="s">
        <v>53</v>
      </c>
      <c r="V699" s="77"/>
      <c r="W699" s="77"/>
      <c r="X699" s="77"/>
    </row>
    <row r="700" spans="1:24">
      <c r="A700" s="2"/>
      <c r="B700" s="24" t="s">
        <v>54</v>
      </c>
      <c r="C700" s="21" t="s">
        <v>55</v>
      </c>
      <c r="D700" s="21" t="s">
        <v>56</v>
      </c>
      <c r="E700" s="21" t="s">
        <v>57</v>
      </c>
      <c r="F700" s="20" t="s">
        <v>58</v>
      </c>
      <c r="G700" s="21" t="s">
        <v>59</v>
      </c>
      <c r="H700" s="21" t="s">
        <v>60</v>
      </c>
      <c r="I700" s="21" t="s">
        <v>26</v>
      </c>
      <c r="J700" s="22" t="s">
        <v>61</v>
      </c>
      <c r="K700" s="21" t="s">
        <v>8</v>
      </c>
      <c r="L700" s="21" t="s">
        <v>9</v>
      </c>
      <c r="M700" s="21" t="s">
        <v>10</v>
      </c>
      <c r="N700" s="20" t="s">
        <v>11</v>
      </c>
      <c r="O700" s="21" t="s">
        <v>12</v>
      </c>
      <c r="P700" s="22" t="s">
        <v>13</v>
      </c>
      <c r="Q700" s="21" t="s">
        <v>11</v>
      </c>
      <c r="R700" s="21" t="s">
        <v>12</v>
      </c>
      <c r="S700" s="21" t="s">
        <v>13</v>
      </c>
      <c r="T700" s="78" t="s">
        <v>14</v>
      </c>
      <c r="U700" s="30"/>
      <c r="V700" s="79" t="s">
        <v>62</v>
      </c>
      <c r="W700" s="80" t="s">
        <v>63</v>
      </c>
      <c r="X700" s="81" t="s">
        <v>64</v>
      </c>
    </row>
    <row r="701" spans="1:24">
      <c r="A701" s="2"/>
      <c r="B701" s="4" t="s">
        <v>65</v>
      </c>
      <c r="C701" s="6"/>
      <c r="D701" s="6"/>
      <c r="E701" s="6"/>
      <c r="F701" s="6"/>
      <c r="G701" s="6"/>
      <c r="H701" s="6"/>
      <c r="I701" s="82"/>
      <c r="J701" s="6"/>
      <c r="K701" s="6"/>
      <c r="L701" s="6"/>
      <c r="M701" s="6"/>
      <c r="N701" s="6"/>
      <c r="O701" s="6"/>
      <c r="P701" s="6"/>
      <c r="Q701" s="6"/>
      <c r="R701" s="6"/>
      <c r="S701" s="6"/>
      <c r="T701" s="83"/>
      <c r="U701" s="6"/>
      <c r="V701" s="84"/>
      <c r="W701" s="85"/>
      <c r="X701" s="86"/>
    </row>
    <row r="702" spans="1:24">
      <c r="A702" s="2"/>
      <c r="B702" s="87">
        <v>1</v>
      </c>
      <c r="C702" s="274">
        <v>45887</v>
      </c>
      <c r="D702" s="327">
        <v>72370</v>
      </c>
      <c r="E702" s="276" t="s">
        <v>291</v>
      </c>
      <c r="F702" s="277">
        <v>614</v>
      </c>
      <c r="G702" s="277"/>
      <c r="H702" s="297"/>
      <c r="I702" s="321">
        <f>F702-G702-H702</f>
        <v>614</v>
      </c>
      <c r="J702" s="279" t="s">
        <v>156</v>
      </c>
      <c r="K702" s="279">
        <v>1</v>
      </c>
      <c r="L702" s="279">
        <v>1</v>
      </c>
      <c r="M702" s="279">
        <v>1</v>
      </c>
      <c r="N702" s="279">
        <v>1</v>
      </c>
      <c r="O702" s="279">
        <v>1</v>
      </c>
      <c r="P702" s="322">
        <v>0</v>
      </c>
      <c r="Q702" s="322">
        <v>0</v>
      </c>
      <c r="R702" s="322">
        <v>0</v>
      </c>
      <c r="S702" s="328">
        <v>0</v>
      </c>
      <c r="T702" s="21">
        <v>1</v>
      </c>
      <c r="U702" s="10"/>
      <c r="V702" s="90">
        <f>67.5+607.9</f>
        <v>675.4</v>
      </c>
      <c r="W702" s="91"/>
      <c r="X702" s="92"/>
    </row>
    <row r="703" spans="1:24">
      <c r="A703" s="2"/>
      <c r="B703" s="87">
        <f t="shared" ref="B703:B706" si="65">B702+1</f>
        <v>2</v>
      </c>
      <c r="C703" s="295">
        <v>45887</v>
      </c>
      <c r="D703" s="346" t="s">
        <v>2074</v>
      </c>
      <c r="E703" s="10" t="s">
        <v>206</v>
      </c>
      <c r="F703" s="62">
        <v>681</v>
      </c>
      <c r="G703" s="62"/>
      <c r="H703" s="62"/>
      <c r="I703" s="324">
        <f>F703-G703-H703</f>
        <v>681</v>
      </c>
      <c r="J703" s="63" t="s">
        <v>156</v>
      </c>
      <c r="K703" s="63">
        <v>1</v>
      </c>
      <c r="L703" s="63">
        <v>1</v>
      </c>
      <c r="M703" s="63">
        <v>1</v>
      </c>
      <c r="N703" s="63">
        <v>1</v>
      </c>
      <c r="O703" s="63">
        <v>1</v>
      </c>
      <c r="P703" s="325">
        <v>0</v>
      </c>
      <c r="Q703" s="63">
        <v>1</v>
      </c>
      <c r="R703" s="63">
        <v>1</v>
      </c>
      <c r="S703" s="296">
        <v>1</v>
      </c>
      <c r="T703" s="63"/>
      <c r="U703" s="10"/>
      <c r="V703" s="90">
        <f>74.9+674.2</f>
        <v>749.1</v>
      </c>
      <c r="W703" s="91"/>
      <c r="X703" s="92"/>
    </row>
    <row r="704" spans="1:24">
      <c r="A704" s="93"/>
      <c r="B704" s="87">
        <f t="shared" si="65"/>
        <v>3</v>
      </c>
      <c r="C704" s="295">
        <v>45887</v>
      </c>
      <c r="D704" s="346" t="s">
        <v>2075</v>
      </c>
      <c r="E704" s="10" t="s">
        <v>206</v>
      </c>
      <c r="F704" s="62">
        <v>1428</v>
      </c>
      <c r="G704" s="62">
        <f>39.7+(94.92)</f>
        <v>134.62</v>
      </c>
      <c r="H704" s="62"/>
      <c r="I704" s="324">
        <f>F704-G704-H704</f>
        <v>1293.3800000000001</v>
      </c>
      <c r="J704" s="63" t="s">
        <v>156</v>
      </c>
      <c r="K704" s="63">
        <v>1</v>
      </c>
      <c r="L704" s="63">
        <v>1</v>
      </c>
      <c r="M704" s="63">
        <v>1</v>
      </c>
      <c r="N704" s="63">
        <v>1</v>
      </c>
      <c r="O704" s="63">
        <v>1</v>
      </c>
      <c r="P704" s="325">
        <v>0</v>
      </c>
      <c r="Q704" s="63">
        <v>1</v>
      </c>
      <c r="R704" s="63">
        <v>1</v>
      </c>
      <c r="S704" s="296">
        <v>1</v>
      </c>
      <c r="T704" s="17" t="s">
        <v>2076</v>
      </c>
      <c r="U704" s="10"/>
      <c r="V704" s="90">
        <f>142+1428.8</f>
        <v>1570.8</v>
      </c>
      <c r="W704" s="91"/>
      <c r="X704" s="92"/>
    </row>
    <row r="705" spans="1:24">
      <c r="A705" s="2"/>
      <c r="B705" s="87">
        <f t="shared" si="65"/>
        <v>4</v>
      </c>
      <c r="C705" s="274">
        <v>45888</v>
      </c>
      <c r="D705" s="327" t="s">
        <v>2077</v>
      </c>
      <c r="E705" s="404" t="s">
        <v>512</v>
      </c>
      <c r="F705" s="277">
        <f>485-185</f>
        <v>300</v>
      </c>
      <c r="G705" s="277"/>
      <c r="H705" s="277"/>
      <c r="I705" s="321">
        <f>F705-G705-H705</f>
        <v>300</v>
      </c>
      <c r="J705" s="279" t="s">
        <v>156</v>
      </c>
      <c r="K705" s="279">
        <v>1</v>
      </c>
      <c r="L705" s="279">
        <v>1</v>
      </c>
      <c r="M705" s="279">
        <v>1</v>
      </c>
      <c r="N705" s="279">
        <v>1</v>
      </c>
      <c r="O705" s="279">
        <v>1</v>
      </c>
      <c r="P705" s="322">
        <v>0</v>
      </c>
      <c r="Q705" s="322">
        <v>0</v>
      </c>
      <c r="R705" s="322">
        <v>0</v>
      </c>
      <c r="S705" s="328">
        <v>0</v>
      </c>
      <c r="T705" s="21">
        <v>1</v>
      </c>
      <c r="U705" s="10" t="s">
        <v>2078</v>
      </c>
      <c r="V705" s="90">
        <f>203.5+126.5</f>
        <v>330</v>
      </c>
      <c r="W705" s="91"/>
      <c r="X705" s="92"/>
    </row>
    <row r="706" spans="1:24">
      <c r="A706" s="2"/>
      <c r="B706" s="87">
        <f t="shared" si="65"/>
        <v>5</v>
      </c>
      <c r="C706" s="295">
        <v>45888</v>
      </c>
      <c r="D706" s="323">
        <v>72431</v>
      </c>
      <c r="E706" s="10" t="s">
        <v>291</v>
      </c>
      <c r="F706" s="62">
        <v>948</v>
      </c>
      <c r="G706" s="62">
        <f>39.7</f>
        <v>39.700000000000003</v>
      </c>
      <c r="H706" s="62"/>
      <c r="I706" s="369">
        <f>F706-G706-H706</f>
        <v>908.3</v>
      </c>
      <c r="J706" s="63" t="s">
        <v>156</v>
      </c>
      <c r="K706" s="63">
        <v>1</v>
      </c>
      <c r="L706" s="63">
        <v>1</v>
      </c>
      <c r="M706" s="63">
        <v>1</v>
      </c>
      <c r="N706" s="63">
        <v>1</v>
      </c>
      <c r="O706" s="63">
        <v>1</v>
      </c>
      <c r="P706" s="325">
        <v>0</v>
      </c>
      <c r="Q706" s="325">
        <v>0</v>
      </c>
      <c r="R706" s="325">
        <v>0</v>
      </c>
      <c r="S706" s="326">
        <v>0</v>
      </c>
      <c r="T706" s="63"/>
      <c r="U706" s="10" t="s">
        <v>2079</v>
      </c>
      <c r="V706" s="90">
        <f>104+938.8</f>
        <v>1042.8</v>
      </c>
      <c r="W706" s="91"/>
      <c r="X706" s="92"/>
    </row>
    <row r="707" spans="1:24">
      <c r="A707" s="2"/>
      <c r="B707" s="87">
        <f>B706+1</f>
        <v>6</v>
      </c>
      <c r="C707" s="274">
        <v>45889</v>
      </c>
      <c r="D707" s="327">
        <v>72457</v>
      </c>
      <c r="E707" s="276" t="s">
        <v>2080</v>
      </c>
      <c r="F707" s="277">
        <f>1446-185-203.5</f>
        <v>1057.5</v>
      </c>
      <c r="G707" s="277">
        <f>39.7</f>
        <v>39.700000000000003</v>
      </c>
      <c r="H707" s="277"/>
      <c r="I707" s="321">
        <f>F707-G707-H707</f>
        <v>1017.8</v>
      </c>
      <c r="J707" s="279" t="s">
        <v>228</v>
      </c>
      <c r="K707" s="279">
        <v>1</v>
      </c>
      <c r="L707" s="279">
        <v>1</v>
      </c>
      <c r="M707" s="279">
        <v>1</v>
      </c>
      <c r="N707" s="279">
        <v>1</v>
      </c>
      <c r="O707" s="279">
        <v>1</v>
      </c>
      <c r="P707" s="322">
        <v>0</v>
      </c>
      <c r="Q707" s="279">
        <v>1</v>
      </c>
      <c r="R707" s="279">
        <v>1</v>
      </c>
      <c r="S707" s="328">
        <v>0</v>
      </c>
      <c r="T707" s="63"/>
      <c r="U707" s="10"/>
      <c r="V707" s="90">
        <f>203.5+118+1065.6</f>
        <v>1387.1</v>
      </c>
      <c r="W707" s="91"/>
      <c r="X707" s="92"/>
    </row>
    <row r="708" spans="1:24">
      <c r="A708" s="2"/>
      <c r="B708" s="87">
        <f>B707+1</f>
        <v>7</v>
      </c>
      <c r="C708" s="282">
        <v>45889</v>
      </c>
      <c r="D708" s="368">
        <v>72390</v>
      </c>
      <c r="E708" s="283" t="s">
        <v>572</v>
      </c>
      <c r="F708" s="284">
        <v>1628</v>
      </c>
      <c r="G708" s="284">
        <v>39.700000000000003</v>
      </c>
      <c r="H708" s="315"/>
      <c r="I708" s="300">
        <f>F708-G708-H708</f>
        <v>1588.3</v>
      </c>
      <c r="J708" s="286" t="s">
        <v>156</v>
      </c>
      <c r="K708" s="286">
        <v>1</v>
      </c>
      <c r="L708" s="286">
        <v>1</v>
      </c>
      <c r="M708" s="286">
        <v>1</v>
      </c>
      <c r="N708" s="286">
        <v>1</v>
      </c>
      <c r="O708" s="286">
        <v>1</v>
      </c>
      <c r="P708" s="332">
        <v>0</v>
      </c>
      <c r="Q708" s="286">
        <v>1</v>
      </c>
      <c r="R708" s="286">
        <v>1</v>
      </c>
      <c r="S708" s="370">
        <v>0</v>
      </c>
      <c r="T708" s="21">
        <v>1</v>
      </c>
      <c r="U708" s="10"/>
      <c r="V708" s="90">
        <f>179+1611.8</f>
        <v>1790.8</v>
      </c>
      <c r="W708" s="91"/>
      <c r="X708" s="92"/>
    </row>
    <row r="709" spans="1:24">
      <c r="A709" s="2"/>
      <c r="B709" s="87"/>
      <c r="C709" s="36"/>
      <c r="D709" s="10"/>
      <c r="E709" s="10"/>
      <c r="F709" s="97">
        <f>SUM(F702:F708)</f>
        <v>6656.5</v>
      </c>
      <c r="G709" s="97">
        <f>SUM(G702:G708)</f>
        <v>253.71999999999997</v>
      </c>
      <c r="H709" s="97">
        <f>SUM(H702:H708)</f>
        <v>0</v>
      </c>
      <c r="I709" s="98">
        <f>SUM(I702:I708)</f>
        <v>6402.7800000000007</v>
      </c>
      <c r="J709" s="63"/>
      <c r="K709" s="63">
        <f>COUNT(K702:K708)</f>
        <v>7</v>
      </c>
      <c r="L709" s="63">
        <f>COUNT(L702:L708)</f>
        <v>7</v>
      </c>
      <c r="M709" s="63">
        <f>COUNT(M702:M708)</f>
        <v>7</v>
      </c>
      <c r="N709" s="63">
        <f>COUNT(N702:N708)</f>
        <v>7</v>
      </c>
      <c r="O709" s="63">
        <f>COUNT(O702:O708)</f>
        <v>7</v>
      </c>
      <c r="P709" s="63">
        <f>COUNT(P702:P708)</f>
        <v>7</v>
      </c>
      <c r="Q709" s="63">
        <f>COUNT(Q702:Q708)</f>
        <v>7</v>
      </c>
      <c r="R709" s="63">
        <f>COUNT(R702:R708)</f>
        <v>7</v>
      </c>
      <c r="S709" s="63">
        <f>COUNT(S702:S708)</f>
        <v>7</v>
      </c>
      <c r="T709" s="63"/>
      <c r="U709" s="10"/>
      <c r="V709" s="90"/>
      <c r="W709" s="91"/>
      <c r="X709" s="92"/>
    </row>
    <row r="710" spans="1:24">
      <c r="A710" s="2"/>
      <c r="B710" s="87"/>
      <c r="C710" s="36"/>
      <c r="D710" s="10"/>
      <c r="E710" s="10"/>
      <c r="F710" s="88"/>
      <c r="G710" s="88"/>
      <c r="H710" s="88"/>
      <c r="I710" s="99"/>
      <c r="J710" s="63"/>
      <c r="K710" s="21">
        <f>SUM(K702:K708)</f>
        <v>7</v>
      </c>
      <c r="L710" s="21">
        <f>SUM(L702:L708)</f>
        <v>7</v>
      </c>
      <c r="M710" s="21">
        <f>SUM(M702:M708)</f>
        <v>7</v>
      </c>
      <c r="N710" s="21">
        <f>SUM(N702:N708)</f>
        <v>7</v>
      </c>
      <c r="O710" s="21">
        <f>SUM(O702:O708)</f>
        <v>7</v>
      </c>
      <c r="P710" s="21">
        <f>SUM(P702:P708)</f>
        <v>0</v>
      </c>
      <c r="Q710" s="21">
        <f>SUM(Q702:Q708)</f>
        <v>4</v>
      </c>
      <c r="R710" s="21">
        <f>SUM(R702:R708)</f>
        <v>4</v>
      </c>
      <c r="S710" s="21">
        <f>SUM(S702:S708)</f>
        <v>2</v>
      </c>
      <c r="T710" s="63"/>
      <c r="U710" s="10"/>
      <c r="V710" s="90"/>
      <c r="W710" s="91"/>
      <c r="X710" s="92"/>
    </row>
    <row r="711" spans="1:24">
      <c r="A711" s="2"/>
      <c r="B711" s="11"/>
      <c r="C711" s="36"/>
      <c r="D711" s="10"/>
      <c r="E711" s="10"/>
      <c r="F711" s="88"/>
      <c r="G711" s="88"/>
      <c r="H711" s="88"/>
      <c r="I711" s="99"/>
      <c r="J711" s="63"/>
      <c r="K711" s="21"/>
      <c r="L711" s="21"/>
      <c r="M711" s="21"/>
      <c r="N711" s="21"/>
      <c r="O711" s="21"/>
      <c r="P711" s="21"/>
      <c r="Q711" s="21"/>
      <c r="R711" s="21"/>
      <c r="S711" s="21"/>
      <c r="T711" s="63"/>
      <c r="U711" s="94"/>
      <c r="V711" s="90"/>
      <c r="W711" s="91"/>
      <c r="X711" s="92"/>
    </row>
    <row r="712" spans="1:24">
      <c r="A712" s="128"/>
      <c r="B712" s="121" t="s">
        <v>70</v>
      </c>
      <c r="C712" s="122"/>
      <c r="D712" s="123"/>
      <c r="E712" s="128"/>
      <c r="F712" s="124"/>
      <c r="G712" s="124"/>
      <c r="H712" s="124"/>
      <c r="I712" s="126"/>
      <c r="J712" s="127"/>
      <c r="K712" s="64"/>
      <c r="L712" s="64"/>
      <c r="M712" s="64"/>
      <c r="N712" s="64"/>
      <c r="O712" s="64"/>
      <c r="P712" s="64"/>
      <c r="Q712" s="64"/>
      <c r="R712" s="64"/>
      <c r="S712" s="64"/>
      <c r="T712" s="127"/>
      <c r="U712" s="135"/>
      <c r="V712" s="129"/>
      <c r="W712" s="130"/>
      <c r="X712" s="131"/>
    </row>
    <row r="713" spans="1:24" s="342" customFormat="1">
      <c r="A713" s="356">
        <v>0.05</v>
      </c>
      <c r="B713" s="333">
        <v>1</v>
      </c>
      <c r="C713" s="350">
        <v>45888</v>
      </c>
      <c r="D713" s="357" t="s">
        <v>2081</v>
      </c>
      <c r="E713" s="358" t="s">
        <v>291</v>
      </c>
      <c r="F713" s="352">
        <v>12426.9</v>
      </c>
      <c r="G713" s="352">
        <f>39.7+(116.94)+(107.37+160.65)+1000</f>
        <v>1424.6599999999999</v>
      </c>
      <c r="H713" s="352"/>
      <c r="I713" s="353">
        <f>F713-G713-H713</f>
        <v>11002.24</v>
      </c>
      <c r="J713" s="354" t="s">
        <v>228</v>
      </c>
      <c r="K713" s="354">
        <v>1</v>
      </c>
      <c r="L713" s="354"/>
      <c r="M713" s="354">
        <v>1</v>
      </c>
      <c r="N713" s="354">
        <v>1</v>
      </c>
      <c r="O713" s="354">
        <v>1</v>
      </c>
      <c r="P713" s="354">
        <v>1</v>
      </c>
      <c r="Q713" s="354"/>
      <c r="R713" s="354"/>
      <c r="S713" s="355"/>
      <c r="T713" s="127"/>
      <c r="U713" s="135" t="s">
        <v>2082</v>
      </c>
      <c r="V713" s="129">
        <f>1400+61.2+1000</f>
        <v>2461.1999999999998</v>
      </c>
      <c r="W713" s="340"/>
      <c r="X713" s="341"/>
    </row>
    <row r="714" spans="1:24" s="342" customFormat="1">
      <c r="A714" s="356">
        <v>0.05</v>
      </c>
      <c r="B714" s="333">
        <f t="shared" ref="B714:B715" si="66">B713+1</f>
        <v>2</v>
      </c>
      <c r="C714" s="345">
        <v>45889</v>
      </c>
      <c r="D714" s="346" t="s">
        <v>2083</v>
      </c>
      <c r="E714" s="123" t="s">
        <v>2080</v>
      </c>
      <c r="F714" s="125">
        <v>6814</v>
      </c>
      <c r="G714" s="125">
        <f>39.7+300</f>
        <v>339.7</v>
      </c>
      <c r="H714" s="125"/>
      <c r="I714" s="347">
        <f>F714-G714-H714</f>
        <v>6474.3</v>
      </c>
      <c r="J714" s="127" t="s">
        <v>374</v>
      </c>
      <c r="K714" s="127">
        <v>1</v>
      </c>
      <c r="L714" s="127"/>
      <c r="M714" s="127">
        <v>1</v>
      </c>
      <c r="N714" s="127">
        <v>1</v>
      </c>
      <c r="O714" s="127">
        <v>1</v>
      </c>
      <c r="P714" s="325">
        <v>0</v>
      </c>
      <c r="Q714" s="127"/>
      <c r="R714" s="127"/>
      <c r="S714" s="349"/>
      <c r="T714" s="127"/>
      <c r="U714" s="135" t="s">
        <v>2084</v>
      </c>
      <c r="V714" s="129">
        <f>749</f>
        <v>749</v>
      </c>
      <c r="W714" s="340"/>
      <c r="X714" s="341"/>
    </row>
    <row r="715" spans="1:24" s="342" customFormat="1">
      <c r="A715" s="356" t="s">
        <v>2085</v>
      </c>
      <c r="B715" s="333">
        <f t="shared" si="66"/>
        <v>3</v>
      </c>
      <c r="C715" s="350">
        <v>45890</v>
      </c>
      <c r="D715" s="263">
        <v>72155</v>
      </c>
      <c r="E715" s="358" t="s">
        <v>296</v>
      </c>
      <c r="F715" s="352">
        <v>681</v>
      </c>
      <c r="G715" s="352">
        <f>200</f>
        <v>200</v>
      </c>
      <c r="H715" s="352"/>
      <c r="I715" s="353">
        <f>F715-G715-H715</f>
        <v>481</v>
      </c>
      <c r="J715" s="354" t="s">
        <v>156</v>
      </c>
      <c r="K715" s="354">
        <v>1</v>
      </c>
      <c r="L715" s="354">
        <v>1</v>
      </c>
      <c r="M715" s="354">
        <v>1</v>
      </c>
      <c r="N715" s="354">
        <v>1</v>
      </c>
      <c r="O715" s="354">
        <v>1</v>
      </c>
      <c r="P715" s="314">
        <v>0</v>
      </c>
      <c r="Q715" s="314">
        <v>0</v>
      </c>
      <c r="R715" s="314">
        <v>0</v>
      </c>
      <c r="S715" s="366">
        <v>0</v>
      </c>
      <c r="T715" s="64">
        <v>1</v>
      </c>
      <c r="U715" s="135" t="s">
        <v>2086</v>
      </c>
      <c r="V715" s="129">
        <f>93.5+74.9+580.7</f>
        <v>749.1</v>
      </c>
      <c r="W715" s="340"/>
      <c r="X715" s="341"/>
    </row>
    <row r="716" spans="1:24">
      <c r="A716" s="128"/>
      <c r="B716" s="132"/>
      <c r="C716" s="122"/>
      <c r="D716" s="123"/>
      <c r="E716" s="123"/>
      <c r="F716" s="133">
        <f>SUM(F713:F715)</f>
        <v>19921.900000000001</v>
      </c>
      <c r="G716" s="133">
        <f>SUM(G713:G715)</f>
        <v>1964.36</v>
      </c>
      <c r="H716" s="133">
        <f>SUM(H713:H715)</f>
        <v>0</v>
      </c>
      <c r="I716" s="134">
        <f>SUM(I713:I715)</f>
        <v>17957.54</v>
      </c>
      <c r="J716" s="127"/>
      <c r="K716" s="64"/>
      <c r="L716" s="64"/>
      <c r="M716" s="64"/>
      <c r="N716" s="64"/>
      <c r="O716" s="64"/>
      <c r="P716" s="64"/>
      <c r="Q716" s="64"/>
      <c r="R716" s="64"/>
      <c r="S716" s="64"/>
      <c r="T716" s="127"/>
      <c r="U716" s="135"/>
      <c r="V716" s="129"/>
      <c r="W716" s="130"/>
      <c r="X716" s="131"/>
    </row>
    <row r="717" spans="1:24">
      <c r="A717" s="2"/>
      <c r="B717" s="11"/>
      <c r="C717" s="36"/>
      <c r="D717" s="10"/>
      <c r="E717" s="10"/>
      <c r="F717" s="88"/>
      <c r="G717" s="88"/>
      <c r="H717" s="88"/>
      <c r="I717" s="99"/>
      <c r="J717" s="10"/>
      <c r="K717" s="63"/>
      <c r="L717" s="63"/>
      <c r="M717" s="63"/>
      <c r="N717" s="63"/>
      <c r="O717" s="63"/>
      <c r="P717" s="63"/>
      <c r="Q717" s="63"/>
      <c r="R717" s="63"/>
      <c r="S717" s="63"/>
      <c r="T717" s="63"/>
      <c r="U717" s="94"/>
      <c r="V717" s="90"/>
      <c r="W717" s="91"/>
      <c r="X717" s="92"/>
    </row>
    <row r="718" spans="1:24" s="260" customFormat="1">
      <c r="A718" s="181"/>
      <c r="B718" s="100" t="s">
        <v>152</v>
      </c>
      <c r="C718" s="36"/>
      <c r="D718" s="10"/>
      <c r="E718" s="10"/>
      <c r="F718" s="88"/>
      <c r="G718" s="62"/>
      <c r="H718" s="88"/>
      <c r="I718" s="99"/>
      <c r="J718" s="63"/>
      <c r="K718" s="181"/>
      <c r="L718" s="181"/>
      <c r="M718" s="181"/>
      <c r="N718" s="181"/>
      <c r="O718" s="181"/>
      <c r="P718" s="181"/>
      <c r="Q718" s="181"/>
      <c r="R718" s="181"/>
      <c r="S718" s="181"/>
      <c r="T718" s="63"/>
      <c r="U718" s="10"/>
      <c r="V718" s="90"/>
      <c r="W718" s="91"/>
      <c r="X718" s="92"/>
    </row>
    <row r="719" spans="1:24" s="260" customFormat="1">
      <c r="A719" s="261">
        <v>0.05</v>
      </c>
      <c r="B719" s="87">
        <v>1</v>
      </c>
      <c r="C719" s="262">
        <v>45840</v>
      </c>
      <c r="D719" s="357" t="s">
        <v>1896</v>
      </c>
      <c r="E719" s="264" t="s">
        <v>354</v>
      </c>
      <c r="F719" s="265">
        <v>1681</v>
      </c>
      <c r="G719" s="265">
        <v>39.700000000000003</v>
      </c>
      <c r="H719" s="265"/>
      <c r="I719" s="266">
        <f>F719-G719-H719</f>
        <v>1641.3</v>
      </c>
      <c r="J719" s="267" t="s">
        <v>374</v>
      </c>
      <c r="K719" s="267">
        <v>1</v>
      </c>
      <c r="L719" s="267">
        <v>1</v>
      </c>
      <c r="M719" s="267">
        <v>1</v>
      </c>
      <c r="N719" s="267">
        <v>1</v>
      </c>
      <c r="O719" s="267">
        <v>1</v>
      </c>
      <c r="P719" s="314">
        <v>0</v>
      </c>
      <c r="Q719" s="267">
        <v>1</v>
      </c>
      <c r="R719" s="267">
        <v>1</v>
      </c>
      <c r="S719" s="366">
        <v>0</v>
      </c>
      <c r="T719" s="63"/>
      <c r="U719" s="10" t="s">
        <v>1897</v>
      </c>
      <c r="V719" s="90"/>
      <c r="W719" s="91"/>
      <c r="X719" s="92"/>
    </row>
    <row r="720" spans="1:24" s="260" customFormat="1">
      <c r="A720" s="494">
        <v>0.05</v>
      </c>
      <c r="B720" s="87">
        <f>B719+1</f>
        <v>2</v>
      </c>
      <c r="C720" s="262">
        <v>45849</v>
      </c>
      <c r="D720" s="263">
        <v>71382</v>
      </c>
      <c r="E720" s="271" t="s">
        <v>999</v>
      </c>
      <c r="F720" s="265">
        <v>1861</v>
      </c>
      <c r="G720" s="265">
        <v>39.700000000000003</v>
      </c>
      <c r="H720" s="265"/>
      <c r="I720" s="266">
        <f>F720-G720-H720</f>
        <v>1821.3</v>
      </c>
      <c r="J720" s="267" t="s">
        <v>374</v>
      </c>
      <c r="K720" s="267">
        <v>1</v>
      </c>
      <c r="L720" s="267"/>
      <c r="M720" s="267">
        <v>1</v>
      </c>
      <c r="N720" s="267">
        <v>1</v>
      </c>
      <c r="O720" s="267">
        <v>1</v>
      </c>
      <c r="P720" s="314">
        <v>0</v>
      </c>
      <c r="Q720" s="314">
        <v>0</v>
      </c>
      <c r="R720" s="314">
        <v>0</v>
      </c>
      <c r="S720" s="366">
        <v>0</v>
      </c>
      <c r="T720" s="63"/>
      <c r="U720" s="94" t="s">
        <v>2072</v>
      </c>
      <c r="V720" s="90"/>
      <c r="W720" s="136"/>
      <c r="X720" s="137"/>
    </row>
    <row r="721" spans="1:25" s="260" customFormat="1">
      <c r="A721" s="261">
        <v>0.05</v>
      </c>
      <c r="B721" s="87">
        <f t="shared" ref="B721:B724" si="67">B720+1</f>
        <v>3</v>
      </c>
      <c r="C721" s="282">
        <v>45861</v>
      </c>
      <c r="D721" s="330" t="s">
        <v>1997</v>
      </c>
      <c r="E721" s="283" t="s">
        <v>270</v>
      </c>
      <c r="F721" s="423">
        <v>5133</v>
      </c>
      <c r="G721" s="284">
        <f>39.7+(1071.49)+250</f>
        <v>1361.19</v>
      </c>
      <c r="H721" s="284"/>
      <c r="I721" s="300">
        <f>F721-G721-H721</f>
        <v>3771.81</v>
      </c>
      <c r="J721" s="286" t="s">
        <v>156</v>
      </c>
      <c r="K721" s="286">
        <v>1</v>
      </c>
      <c r="L721" s="286">
        <v>1</v>
      </c>
      <c r="M721" s="286">
        <v>1</v>
      </c>
      <c r="N721" s="286">
        <v>1</v>
      </c>
      <c r="O721" s="286">
        <v>1</v>
      </c>
      <c r="P721" s="332">
        <v>0</v>
      </c>
      <c r="Q721" s="332">
        <v>0</v>
      </c>
      <c r="R721" s="332">
        <v>0</v>
      </c>
      <c r="S721" s="370">
        <v>0</v>
      </c>
      <c r="T721" s="63"/>
      <c r="U721" s="10" t="s">
        <v>1998</v>
      </c>
      <c r="V721" s="90"/>
      <c r="W721" s="91"/>
      <c r="X721" s="92"/>
    </row>
    <row r="722" spans="1:25" s="260" customFormat="1">
      <c r="A722" s="494" t="s">
        <v>1183</v>
      </c>
      <c r="B722" s="87">
        <f t="shared" si="67"/>
        <v>4</v>
      </c>
      <c r="C722" s="262">
        <v>45867</v>
      </c>
      <c r="D722" s="357" t="s">
        <v>2029</v>
      </c>
      <c r="E722" s="264" t="s">
        <v>158</v>
      </c>
      <c r="F722" s="265">
        <v>4461</v>
      </c>
      <c r="G722" s="265">
        <f>39.7+300</f>
        <v>339.7</v>
      </c>
      <c r="H722" s="265"/>
      <c r="I722" s="266">
        <f>F722-G722-H722</f>
        <v>4121.3</v>
      </c>
      <c r="J722" s="267"/>
      <c r="K722" s="267">
        <v>1</v>
      </c>
      <c r="L722" s="267">
        <v>1</v>
      </c>
      <c r="M722" s="267"/>
      <c r="N722" s="267">
        <v>1</v>
      </c>
      <c r="O722" s="267">
        <v>1</v>
      </c>
      <c r="P722" s="314">
        <v>0</v>
      </c>
      <c r="Q722" s="314">
        <v>0</v>
      </c>
      <c r="R722" s="314">
        <v>0</v>
      </c>
      <c r="S722" s="366">
        <v>0</v>
      </c>
      <c r="T722" s="63"/>
      <c r="U722" s="10" t="s">
        <v>2030</v>
      </c>
      <c r="V722" s="90"/>
      <c r="W722" s="91"/>
      <c r="X722" s="92"/>
    </row>
    <row r="723" spans="1:25" s="342" customFormat="1">
      <c r="A723" s="494">
        <v>0.05</v>
      </c>
      <c r="B723" s="87">
        <f t="shared" si="67"/>
        <v>5</v>
      </c>
      <c r="C723" s="262">
        <v>45876</v>
      </c>
      <c r="D723" s="357">
        <v>72143</v>
      </c>
      <c r="E723" s="264" t="s">
        <v>168</v>
      </c>
      <c r="F723" s="265">
        <v>1461</v>
      </c>
      <c r="G723" s="265">
        <v>39.700000000000003</v>
      </c>
      <c r="H723" s="265"/>
      <c r="I723" s="266">
        <f>F723-G723-H723</f>
        <v>1421.3</v>
      </c>
      <c r="J723" s="267" t="s">
        <v>228</v>
      </c>
      <c r="K723" s="267">
        <v>1</v>
      </c>
      <c r="L723" s="267">
        <v>1</v>
      </c>
      <c r="M723" s="267">
        <v>1</v>
      </c>
      <c r="N723" s="267">
        <v>1</v>
      </c>
      <c r="O723" s="267">
        <v>1</v>
      </c>
      <c r="P723" s="314">
        <v>0</v>
      </c>
      <c r="Q723" s="267">
        <v>1</v>
      </c>
      <c r="R723" s="267">
        <v>1</v>
      </c>
      <c r="S723" s="366">
        <v>0</v>
      </c>
      <c r="T723" s="63"/>
      <c r="U723" s="10"/>
      <c r="V723" s="90"/>
      <c r="W723" s="91"/>
      <c r="X723" s="92"/>
      <c r="Y723" s="260"/>
    </row>
    <row r="724" spans="1:25" s="260" customFormat="1">
      <c r="A724" s="181" t="s">
        <v>619</v>
      </c>
      <c r="B724" s="87">
        <f t="shared" si="67"/>
        <v>6</v>
      </c>
      <c r="C724" s="262">
        <v>45881</v>
      </c>
      <c r="D724" s="357" t="s">
        <v>2070</v>
      </c>
      <c r="E724" s="271" t="s">
        <v>572</v>
      </c>
      <c r="F724" s="265">
        <f>8614-947.54</f>
        <v>7666.46</v>
      </c>
      <c r="G724" s="265">
        <f>39.7+501.6+(1852.97+46.62)+250</f>
        <v>2690.89</v>
      </c>
      <c r="H724" s="265"/>
      <c r="I724" s="266">
        <f>F724-G724-H724</f>
        <v>4975.57</v>
      </c>
      <c r="J724" s="267" t="s">
        <v>156</v>
      </c>
      <c r="K724" s="267">
        <v>1</v>
      </c>
      <c r="L724" s="314">
        <v>0</v>
      </c>
      <c r="M724" s="267">
        <v>1</v>
      </c>
      <c r="N724" s="267">
        <v>1</v>
      </c>
      <c r="O724" s="267">
        <v>1</v>
      </c>
      <c r="P724" s="267">
        <v>1</v>
      </c>
      <c r="Q724" s="267">
        <v>1</v>
      </c>
      <c r="R724" s="267">
        <v>1</v>
      </c>
      <c r="S724" s="269">
        <v>1</v>
      </c>
      <c r="T724" s="63"/>
      <c r="U724" s="94" t="s">
        <v>2087</v>
      </c>
      <c r="V724" s="90"/>
      <c r="W724" s="91"/>
      <c r="X724" s="92"/>
    </row>
    <row r="725" spans="1:25" s="260" customFormat="1">
      <c r="A725" s="181"/>
      <c r="B725" s="11"/>
      <c r="C725" s="36"/>
      <c r="D725" s="10"/>
      <c r="E725" s="10"/>
      <c r="F725" s="98">
        <f>SUM(F719:F724)</f>
        <v>22263.46</v>
      </c>
      <c r="G725" s="98">
        <f>SUM(G719:G724)</f>
        <v>4510.88</v>
      </c>
      <c r="H725" s="98">
        <f>SUM(H719:H724)</f>
        <v>0</v>
      </c>
      <c r="I725" s="98">
        <f>SUM(I719:I724)</f>
        <v>17752.579999999998</v>
      </c>
      <c r="J725" s="63"/>
      <c r="K725" s="21"/>
      <c r="L725" s="21"/>
      <c r="M725" s="21"/>
      <c r="N725" s="21"/>
      <c r="O725" s="21"/>
      <c r="P725" s="21"/>
      <c r="Q725" s="21"/>
      <c r="R725" s="21"/>
      <c r="S725" s="21"/>
      <c r="T725" s="63"/>
      <c r="U725" s="10"/>
      <c r="V725" s="90"/>
      <c r="W725" s="91"/>
      <c r="X725" s="92"/>
    </row>
    <row r="726" spans="1:25" s="260" customFormat="1">
      <c r="A726" s="181"/>
      <c r="B726" s="11"/>
      <c r="C726" s="36"/>
      <c r="D726" s="10"/>
      <c r="E726" s="10"/>
      <c r="F726" s="88"/>
      <c r="G726" s="88"/>
      <c r="H726" s="88"/>
      <c r="I726" s="99"/>
      <c r="J726" s="63"/>
      <c r="K726" s="21"/>
      <c r="L726" s="21"/>
      <c r="M726" s="21"/>
      <c r="N726" s="21"/>
      <c r="O726" s="21"/>
      <c r="P726" s="21"/>
      <c r="Q726" s="21"/>
      <c r="R726" s="21"/>
      <c r="S726" s="21"/>
      <c r="T726" s="63"/>
      <c r="U726" s="10"/>
      <c r="V726" s="90"/>
      <c r="W726" s="91"/>
      <c r="X726" s="92"/>
    </row>
    <row r="727" spans="1:25" s="260" customFormat="1">
      <c r="B727" s="100" t="s">
        <v>202</v>
      </c>
      <c r="C727" s="36"/>
      <c r="D727" s="10"/>
      <c r="E727" s="181"/>
      <c r="F727" s="88"/>
      <c r="G727" s="88"/>
      <c r="H727" s="88"/>
      <c r="I727" s="99"/>
      <c r="J727" s="63"/>
      <c r="K727" s="21"/>
      <c r="L727" s="21"/>
      <c r="M727" s="21"/>
      <c r="N727" s="21"/>
      <c r="O727" s="21"/>
      <c r="P727" s="21"/>
      <c r="Q727" s="21"/>
      <c r="R727" s="21"/>
      <c r="S727" s="21"/>
      <c r="T727" s="63"/>
      <c r="U727" s="10"/>
      <c r="V727" s="90"/>
      <c r="W727" s="91"/>
      <c r="X727" s="92"/>
    </row>
    <row r="728" spans="1:25" s="260" customFormat="1">
      <c r="A728" s="261">
        <v>0.05</v>
      </c>
      <c r="B728" s="87">
        <v>1</v>
      </c>
      <c r="C728" s="274">
        <v>45812</v>
      </c>
      <c r="D728" s="320" t="s">
        <v>1866</v>
      </c>
      <c r="E728" s="276" t="s">
        <v>512</v>
      </c>
      <c r="F728" s="277">
        <v>18061</v>
      </c>
      <c r="G728" s="277">
        <f>39.7+1551+(62.91+128.26+27.45-20.83)+(10.95+18.17+8.58+185.26+145.2+166.5+178.78)+1500</f>
        <v>4001.93</v>
      </c>
      <c r="H728" s="277"/>
      <c r="I728" s="278">
        <f>F728-G728-H728</f>
        <v>14059.07</v>
      </c>
      <c r="J728" s="279" t="s">
        <v>156</v>
      </c>
      <c r="K728" s="279">
        <v>1</v>
      </c>
      <c r="L728" s="279"/>
      <c r="M728" s="279">
        <v>1</v>
      </c>
      <c r="N728" s="279">
        <v>1</v>
      </c>
      <c r="O728" s="279">
        <v>1</v>
      </c>
      <c r="P728" s="279">
        <v>1</v>
      </c>
      <c r="Q728" s="279"/>
      <c r="R728" s="279"/>
      <c r="S728" s="280"/>
      <c r="T728" s="63"/>
      <c r="U728" s="10" t="s">
        <v>1900</v>
      </c>
      <c r="V728" s="90"/>
      <c r="W728" s="136"/>
      <c r="X728" s="137"/>
      <c r="Y728" s="181"/>
    </row>
    <row r="729" spans="1:25" s="260" customFormat="1">
      <c r="A729" s="261">
        <v>0.05</v>
      </c>
      <c r="B729" s="87">
        <f>B728+1</f>
        <v>2</v>
      </c>
      <c r="C729" s="262">
        <v>45813</v>
      </c>
      <c r="D729" s="357" t="s">
        <v>1868</v>
      </c>
      <c r="E729" s="271" t="s">
        <v>512</v>
      </c>
      <c r="F729" s="265">
        <v>22614</v>
      </c>
      <c r="G729" s="265">
        <f>39.7+47.8+356+1430+(396.09)+(145.2-4.72-2.08+8.58-185.26+9.17+5.35+223.39)+2000</f>
        <v>4469.22</v>
      </c>
      <c r="H729" s="265"/>
      <c r="I729" s="266">
        <f>F729-G729-H729</f>
        <v>18144.78</v>
      </c>
      <c r="J729" s="267"/>
      <c r="K729" s="267">
        <v>1</v>
      </c>
      <c r="L729" s="267"/>
      <c r="M729" s="267"/>
      <c r="N729" s="267">
        <v>1</v>
      </c>
      <c r="O729" s="267">
        <v>1</v>
      </c>
      <c r="P729" s="314">
        <v>0</v>
      </c>
      <c r="Q729" s="267"/>
      <c r="R729" s="267"/>
      <c r="S729" s="269"/>
      <c r="T729" s="63"/>
      <c r="U729" s="10" t="s">
        <v>1901</v>
      </c>
      <c r="V729" s="90"/>
      <c r="W729" s="136"/>
      <c r="X729" s="137"/>
    </row>
    <row r="730" spans="1:25" s="260" customFormat="1">
      <c r="A730" s="494">
        <v>0.05</v>
      </c>
      <c r="B730" s="87">
        <f>B729+1</f>
        <v>3</v>
      </c>
      <c r="C730" s="274">
        <v>45848</v>
      </c>
      <c r="D730" s="327">
        <v>71381</v>
      </c>
      <c r="E730" s="276" t="s">
        <v>1530</v>
      </c>
      <c r="F730" s="277">
        <f>1223-85</f>
        <v>1138</v>
      </c>
      <c r="G730" s="277">
        <f>39.7</f>
        <v>39.700000000000003</v>
      </c>
      <c r="H730" s="277"/>
      <c r="I730" s="321">
        <f>F730-G730-H730</f>
        <v>1098.3</v>
      </c>
      <c r="J730" s="279" t="s">
        <v>156</v>
      </c>
      <c r="K730" s="279">
        <v>1</v>
      </c>
      <c r="L730" s="279"/>
      <c r="M730" s="279">
        <v>1</v>
      </c>
      <c r="N730" s="279">
        <v>1</v>
      </c>
      <c r="O730" s="279">
        <v>1</v>
      </c>
      <c r="P730" s="322">
        <v>0</v>
      </c>
      <c r="Q730" s="279"/>
      <c r="R730" s="279"/>
      <c r="S730" s="280"/>
      <c r="T730" s="63"/>
      <c r="U730" s="94"/>
      <c r="V730" s="90"/>
      <c r="W730" s="136"/>
      <c r="X730" s="137"/>
    </row>
    <row r="731" spans="1:25" s="260" customFormat="1">
      <c r="A731" s="261">
        <v>0.05</v>
      </c>
      <c r="B731" s="87">
        <f t="shared" ref="B731" si="68">B730+1</f>
        <v>4</v>
      </c>
      <c r="C731" s="262">
        <v>45859</v>
      </c>
      <c r="D731" s="263">
        <v>71610</v>
      </c>
      <c r="E731" s="271" t="s">
        <v>354</v>
      </c>
      <c r="F731" s="265">
        <v>3261</v>
      </c>
      <c r="G731" s="265">
        <f>39.7</f>
        <v>39.700000000000003</v>
      </c>
      <c r="H731" s="265"/>
      <c r="I731" s="266">
        <f>F731-G731-H731</f>
        <v>3221.3</v>
      </c>
      <c r="J731" s="267"/>
      <c r="K731" s="267">
        <v>1</v>
      </c>
      <c r="L731" s="267"/>
      <c r="M731" s="267"/>
      <c r="N731" s="267">
        <v>1</v>
      </c>
      <c r="O731" s="267">
        <v>1</v>
      </c>
      <c r="P731" s="314">
        <v>0</v>
      </c>
      <c r="Q731" s="267"/>
      <c r="R731" s="267"/>
      <c r="S731" s="269"/>
      <c r="T731" s="63"/>
      <c r="U731" s="94" t="s">
        <v>1999</v>
      </c>
      <c r="V731" s="90"/>
      <c r="W731" s="136"/>
      <c r="X731" s="137"/>
    </row>
    <row r="732" spans="1:25" s="260" customFormat="1">
      <c r="B732" s="11"/>
      <c r="C732" s="36"/>
      <c r="D732" s="10"/>
      <c r="E732" s="10"/>
      <c r="F732" s="97">
        <f>SUM(F728:F731)</f>
        <v>45074</v>
      </c>
      <c r="G732" s="97">
        <f>SUM(G728:G731)</f>
        <v>8550.5500000000011</v>
      </c>
      <c r="H732" s="97">
        <f>SUM(H728:H731)</f>
        <v>0</v>
      </c>
      <c r="I732" s="97">
        <f>SUM(I728:I731)</f>
        <v>36523.450000000004</v>
      </c>
      <c r="J732" s="63"/>
      <c r="K732" s="21"/>
      <c r="L732" s="21"/>
      <c r="M732" s="21"/>
      <c r="N732" s="21"/>
      <c r="O732" s="21"/>
      <c r="P732" s="21"/>
      <c r="Q732" s="21"/>
      <c r="R732" s="21"/>
      <c r="S732" s="21"/>
      <c r="T732" s="63"/>
      <c r="U732" s="10"/>
      <c r="V732" s="90"/>
      <c r="W732" s="91"/>
      <c r="X732" s="92"/>
    </row>
    <row r="733" spans="1:25" s="260" customFormat="1">
      <c r="B733" s="11"/>
      <c r="C733" s="36"/>
      <c r="D733" s="10"/>
      <c r="E733" s="10"/>
      <c r="F733" s="88"/>
      <c r="G733" s="88"/>
      <c r="H733" s="88"/>
      <c r="I733" s="99"/>
      <c r="J733" s="10"/>
      <c r="K733" s="63"/>
      <c r="L733" s="63"/>
      <c r="M733" s="63"/>
      <c r="N733" s="63"/>
      <c r="O733" s="63"/>
      <c r="P733" s="63"/>
      <c r="Q733" s="63"/>
      <c r="R733" s="63"/>
      <c r="S733" s="63"/>
      <c r="T733" s="63"/>
      <c r="U733" s="10"/>
      <c r="V733" s="90"/>
      <c r="W733" s="91"/>
      <c r="X733" s="92"/>
    </row>
    <row r="734" spans="1:25">
      <c r="A734" s="2"/>
      <c r="B734" s="100" t="s">
        <v>72</v>
      </c>
      <c r="C734" s="36"/>
      <c r="D734" s="10"/>
      <c r="E734" s="10"/>
      <c r="F734" s="88"/>
      <c r="G734" s="88"/>
      <c r="H734" s="88"/>
      <c r="I734" s="99"/>
      <c r="J734" s="63"/>
      <c r="K734" s="63"/>
      <c r="L734" s="63"/>
      <c r="M734" s="63"/>
      <c r="N734" s="63"/>
      <c r="O734" s="63"/>
      <c r="P734" s="63"/>
      <c r="Q734" s="63"/>
      <c r="R734" s="63"/>
      <c r="S734" s="63"/>
      <c r="T734" s="63"/>
      <c r="U734" s="10"/>
      <c r="V734" s="90"/>
      <c r="W734" s="91"/>
      <c r="X734" s="92"/>
    </row>
    <row r="735" spans="1:25">
      <c r="A735" s="2"/>
      <c r="B735" s="87">
        <v>1</v>
      </c>
      <c r="C735" s="274">
        <v>45887</v>
      </c>
      <c r="D735" s="276">
        <v>72371</v>
      </c>
      <c r="E735" s="276" t="s">
        <v>572</v>
      </c>
      <c r="F735" s="277">
        <v>681</v>
      </c>
      <c r="G735" s="277"/>
      <c r="H735" s="277"/>
      <c r="I735" s="278">
        <f>F735-G735-H735</f>
        <v>681</v>
      </c>
      <c r="J735" s="279" t="s">
        <v>205</v>
      </c>
      <c r="K735" s="279">
        <v>1</v>
      </c>
      <c r="L735" s="279"/>
      <c r="M735" s="279"/>
      <c r="N735" s="279">
        <v>1</v>
      </c>
      <c r="O735" s="279"/>
      <c r="P735" s="279"/>
      <c r="Q735" s="279">
        <v>1</v>
      </c>
      <c r="R735" s="279">
        <v>1</v>
      </c>
      <c r="S735" s="280"/>
      <c r="T735" s="63"/>
      <c r="U735" s="3"/>
      <c r="V735" s="90"/>
      <c r="W735" s="91"/>
      <c r="X735" s="92"/>
    </row>
    <row r="736" spans="1:25">
      <c r="A736" s="2"/>
      <c r="B736" s="87">
        <f t="shared" ref="B736:B746" si="69">B735+1</f>
        <v>2</v>
      </c>
      <c r="C736" s="295">
        <v>45887</v>
      </c>
      <c r="D736" s="10">
        <v>72264</v>
      </c>
      <c r="E736" s="10" t="s">
        <v>158</v>
      </c>
      <c r="F736" s="62">
        <v>2261</v>
      </c>
      <c r="G736" s="62">
        <v>39.700000000000003</v>
      </c>
      <c r="H736" s="62"/>
      <c r="I736" s="89">
        <f>F736-G736-H736</f>
        <v>2221.3000000000002</v>
      </c>
      <c r="J736" s="63" t="s">
        <v>205</v>
      </c>
      <c r="K736" s="63">
        <v>1</v>
      </c>
      <c r="L736" s="63"/>
      <c r="M736" s="63"/>
      <c r="N736" s="63">
        <v>1</v>
      </c>
      <c r="O736" s="63"/>
      <c r="P736" s="63"/>
      <c r="Q736" s="63">
        <v>1</v>
      </c>
      <c r="R736" s="63">
        <v>1</v>
      </c>
      <c r="S736" s="296"/>
      <c r="T736" s="63"/>
      <c r="U736" s="10"/>
      <c r="V736" s="90"/>
      <c r="W736" s="136"/>
      <c r="X736" s="137"/>
    </row>
    <row r="737" spans="1:24">
      <c r="A737" s="2"/>
      <c r="B737" s="87">
        <f t="shared" si="69"/>
        <v>3</v>
      </c>
      <c r="C737" s="295">
        <v>45887</v>
      </c>
      <c r="D737" s="10" t="s">
        <v>2088</v>
      </c>
      <c r="E737" s="10" t="s">
        <v>168</v>
      </c>
      <c r="F737" s="62">
        <v>8214</v>
      </c>
      <c r="G737" s="62">
        <v>39.700000000000003</v>
      </c>
      <c r="H737" s="62"/>
      <c r="I737" s="89">
        <f>F737-G737-H737</f>
        <v>8174.3</v>
      </c>
      <c r="J737" s="63" t="s">
        <v>205</v>
      </c>
      <c r="K737" s="63">
        <v>1</v>
      </c>
      <c r="L737" s="63"/>
      <c r="M737" s="63"/>
      <c r="N737" s="63">
        <v>1</v>
      </c>
      <c r="O737" s="63"/>
      <c r="P737" s="63"/>
      <c r="Q737" s="63">
        <v>1</v>
      </c>
      <c r="R737" s="63">
        <v>1</v>
      </c>
      <c r="S737" s="296"/>
      <c r="T737" s="63"/>
      <c r="U737" s="10"/>
      <c r="V737" s="90"/>
      <c r="W737" s="136"/>
      <c r="X737" s="137"/>
    </row>
    <row r="738" spans="1:24">
      <c r="A738" s="2"/>
      <c r="B738" s="87">
        <f t="shared" si="69"/>
        <v>4</v>
      </c>
      <c r="C738" s="295">
        <v>45887</v>
      </c>
      <c r="D738" s="10" t="s">
        <v>2089</v>
      </c>
      <c r="E738" s="10" t="s">
        <v>168</v>
      </c>
      <c r="F738" s="62">
        <v>1461</v>
      </c>
      <c r="G738" s="62">
        <v>39.700000000000003</v>
      </c>
      <c r="H738" s="62"/>
      <c r="I738" s="89">
        <f>F738-G738-H738</f>
        <v>1421.3</v>
      </c>
      <c r="J738" s="63" t="s">
        <v>205</v>
      </c>
      <c r="K738" s="63">
        <v>1</v>
      </c>
      <c r="L738" s="63"/>
      <c r="M738" s="63"/>
      <c r="N738" s="63">
        <v>1</v>
      </c>
      <c r="O738" s="63"/>
      <c r="P738" s="63"/>
      <c r="Q738" s="63">
        <v>1</v>
      </c>
      <c r="R738" s="63">
        <v>1</v>
      </c>
      <c r="S738" s="296"/>
      <c r="T738" s="63"/>
      <c r="U738" s="10"/>
      <c r="V738" s="90"/>
      <c r="W738" s="136"/>
      <c r="X738" s="137"/>
    </row>
    <row r="739" spans="1:24">
      <c r="A739" s="2" t="s">
        <v>383</v>
      </c>
      <c r="B739" s="87">
        <f t="shared" si="69"/>
        <v>5</v>
      </c>
      <c r="C739" s="586">
        <v>45887</v>
      </c>
      <c r="D739" s="539">
        <v>72372</v>
      </c>
      <c r="E739" s="3" t="s">
        <v>572</v>
      </c>
      <c r="F739" s="585">
        <v>436.36</v>
      </c>
      <c r="G739" s="585"/>
      <c r="H739" s="585"/>
      <c r="I739" s="592">
        <f>F739-G739-H739</f>
        <v>436.36</v>
      </c>
      <c r="J739" s="537" t="s">
        <v>156</v>
      </c>
      <c r="K739" s="537">
        <v>1</v>
      </c>
      <c r="L739" s="537"/>
      <c r="M739" s="537">
        <v>1</v>
      </c>
      <c r="N739" s="537">
        <v>1</v>
      </c>
      <c r="O739" s="537">
        <v>1</v>
      </c>
      <c r="P739" s="537"/>
      <c r="Q739" s="537">
        <v>1</v>
      </c>
      <c r="R739" s="537">
        <v>1</v>
      </c>
      <c r="S739" s="538"/>
      <c r="T739" s="537"/>
      <c r="U739" s="164" t="s">
        <v>2090</v>
      </c>
      <c r="V739" s="551">
        <f>480</f>
        <v>480</v>
      </c>
      <c r="W739" s="552"/>
      <c r="X739" s="553"/>
    </row>
    <row r="740" spans="1:24">
      <c r="A740" s="2"/>
      <c r="B740" s="87">
        <f t="shared" si="69"/>
        <v>6</v>
      </c>
      <c r="C740" s="554">
        <v>45887</v>
      </c>
      <c r="D740" s="555" t="s">
        <v>2091</v>
      </c>
      <c r="E740" s="555" t="s">
        <v>497</v>
      </c>
      <c r="F740" s="556">
        <v>17023</v>
      </c>
      <c r="G740" s="556">
        <f>39.7+4000</f>
        <v>4039.7</v>
      </c>
      <c r="H740" s="556"/>
      <c r="I740" s="562">
        <f>F740-G740-H740</f>
        <v>12983.3</v>
      </c>
      <c r="J740" s="558"/>
      <c r="K740" s="558">
        <v>1</v>
      </c>
      <c r="L740" s="558"/>
      <c r="M740" s="558"/>
      <c r="N740" s="558">
        <v>1</v>
      </c>
      <c r="O740" s="558">
        <v>1</v>
      </c>
      <c r="P740" s="558">
        <v>0</v>
      </c>
      <c r="Q740" s="558"/>
      <c r="R740" s="558"/>
      <c r="S740" s="559"/>
      <c r="T740" s="537"/>
      <c r="U740" s="164" t="s">
        <v>2092</v>
      </c>
      <c r="V740" s="551"/>
      <c r="W740" s="552"/>
      <c r="X740" s="553"/>
    </row>
    <row r="741" spans="1:24">
      <c r="A741" s="2"/>
      <c r="B741" s="87">
        <f t="shared" si="69"/>
        <v>7</v>
      </c>
      <c r="C741" s="295">
        <v>45888</v>
      </c>
      <c r="D741" s="10">
        <v>72428</v>
      </c>
      <c r="E741" s="10" t="s">
        <v>388</v>
      </c>
      <c r="F741" s="62">
        <v>1823</v>
      </c>
      <c r="G741" s="62">
        <v>39.700000000000003</v>
      </c>
      <c r="H741" s="62"/>
      <c r="I741" s="89">
        <f>F741-G741-H741</f>
        <v>1783.3</v>
      </c>
      <c r="J741" s="63" t="s">
        <v>205</v>
      </c>
      <c r="K741" s="63">
        <v>1</v>
      </c>
      <c r="L741" s="63"/>
      <c r="M741" s="63"/>
      <c r="N741" s="63">
        <v>1</v>
      </c>
      <c r="O741" s="63"/>
      <c r="P741" s="63"/>
      <c r="Q741" s="63">
        <v>1</v>
      </c>
      <c r="R741" s="63">
        <v>1</v>
      </c>
      <c r="S741" s="296"/>
      <c r="T741" s="63"/>
      <c r="U741" s="10"/>
      <c r="V741" s="90"/>
      <c r="W741" s="136"/>
      <c r="X741" s="137"/>
    </row>
    <row r="742" spans="1:24">
      <c r="A742" s="2"/>
      <c r="B742" s="87">
        <f t="shared" si="69"/>
        <v>8</v>
      </c>
      <c r="C742" s="274">
        <v>45889</v>
      </c>
      <c r="D742" s="276" t="s">
        <v>2093</v>
      </c>
      <c r="E742" s="276" t="s">
        <v>2080</v>
      </c>
      <c r="F742" s="277">
        <v>3261</v>
      </c>
      <c r="G742" s="277">
        <v>39.700000000000003</v>
      </c>
      <c r="H742" s="277"/>
      <c r="I742" s="278">
        <f>F742-G742-H742</f>
        <v>3221.3</v>
      </c>
      <c r="J742" s="279" t="s">
        <v>205</v>
      </c>
      <c r="K742" s="279">
        <v>1</v>
      </c>
      <c r="L742" s="279"/>
      <c r="M742" s="279"/>
      <c r="N742" s="279">
        <v>1</v>
      </c>
      <c r="O742" s="279"/>
      <c r="P742" s="279"/>
      <c r="Q742" s="279"/>
      <c r="R742" s="279"/>
      <c r="S742" s="280"/>
      <c r="T742" s="63"/>
      <c r="U742" s="10"/>
      <c r="V742" s="90"/>
      <c r="W742" s="136"/>
      <c r="X742" s="137"/>
    </row>
    <row r="743" spans="1:24">
      <c r="A743" s="2"/>
      <c r="B743" s="87">
        <f t="shared" si="69"/>
        <v>9</v>
      </c>
      <c r="C743" s="295">
        <v>45889</v>
      </c>
      <c r="D743" s="10">
        <v>72444</v>
      </c>
      <c r="E743" s="101" t="s">
        <v>206</v>
      </c>
      <c r="F743" s="62">
        <v>1261</v>
      </c>
      <c r="G743" s="62">
        <v>39.700000000000003</v>
      </c>
      <c r="H743" s="62"/>
      <c r="I743" s="89">
        <f>F743-G743-H743</f>
        <v>1221.3</v>
      </c>
      <c r="J743" s="63" t="s">
        <v>205</v>
      </c>
      <c r="K743" s="63">
        <v>1</v>
      </c>
      <c r="L743" s="63"/>
      <c r="M743" s="63"/>
      <c r="N743" s="63">
        <v>1</v>
      </c>
      <c r="O743" s="63"/>
      <c r="P743" s="63"/>
      <c r="Q743" s="63">
        <v>1</v>
      </c>
      <c r="R743" s="63">
        <v>1</v>
      </c>
      <c r="S743" s="296"/>
      <c r="T743" s="63"/>
      <c r="U743" s="10"/>
      <c r="V743" s="90"/>
      <c r="W743" s="136"/>
      <c r="X743" s="137"/>
    </row>
    <row r="744" spans="1:24">
      <c r="A744" s="2"/>
      <c r="B744" s="87">
        <f t="shared" si="69"/>
        <v>10</v>
      </c>
      <c r="C744" s="295">
        <v>45889</v>
      </c>
      <c r="D744" s="10">
        <v>72467</v>
      </c>
      <c r="E744" s="101" t="s">
        <v>225</v>
      </c>
      <c r="F744" s="62">
        <v>967.3</v>
      </c>
      <c r="G744" s="62">
        <v>39.700000000000003</v>
      </c>
      <c r="H744" s="62"/>
      <c r="I744" s="89">
        <f>F744-G744-H744</f>
        <v>927.59999999999991</v>
      </c>
      <c r="J744" s="63" t="s">
        <v>205</v>
      </c>
      <c r="K744" s="63">
        <v>1</v>
      </c>
      <c r="L744" s="63"/>
      <c r="M744" s="63"/>
      <c r="N744" s="63">
        <v>1</v>
      </c>
      <c r="O744" s="63"/>
      <c r="P744" s="63"/>
      <c r="Q744" s="63">
        <v>1</v>
      </c>
      <c r="R744" s="63">
        <v>1</v>
      </c>
      <c r="S744" s="296"/>
      <c r="T744" s="63"/>
      <c r="U744" s="10"/>
      <c r="V744" s="90"/>
      <c r="W744" s="136"/>
      <c r="X744" s="137"/>
    </row>
    <row r="745" spans="1:24">
      <c r="A745" s="2"/>
      <c r="B745" s="87">
        <f t="shared" si="69"/>
        <v>11</v>
      </c>
      <c r="C745" s="274">
        <v>45890</v>
      </c>
      <c r="D745" s="276">
        <v>72479</v>
      </c>
      <c r="E745" s="281" t="s">
        <v>158</v>
      </c>
      <c r="F745" s="277">
        <v>0</v>
      </c>
      <c r="G745" s="277"/>
      <c r="H745" s="277"/>
      <c r="I745" s="278">
        <f>F745-G745-H745</f>
        <v>0</v>
      </c>
      <c r="J745" s="279" t="s">
        <v>219</v>
      </c>
      <c r="K745" s="279">
        <v>1</v>
      </c>
      <c r="L745" s="279"/>
      <c r="M745" s="279"/>
      <c r="N745" s="279"/>
      <c r="O745" s="279"/>
      <c r="P745" s="279"/>
      <c r="Q745" s="279"/>
      <c r="R745" s="279"/>
      <c r="S745" s="280"/>
      <c r="T745" s="63"/>
      <c r="U745" s="10"/>
      <c r="V745" s="90"/>
      <c r="W745" s="136"/>
      <c r="X745" s="137"/>
    </row>
    <row r="746" spans="1:24">
      <c r="A746" s="2"/>
      <c r="B746" s="87">
        <f t="shared" si="69"/>
        <v>12</v>
      </c>
      <c r="C746" s="282">
        <v>45890</v>
      </c>
      <c r="D746" s="283">
        <v>72493</v>
      </c>
      <c r="E746" s="319" t="s">
        <v>168</v>
      </c>
      <c r="F746" s="284">
        <v>1261</v>
      </c>
      <c r="G746" s="284">
        <v>39.700000000000003</v>
      </c>
      <c r="H746" s="284"/>
      <c r="I746" s="285">
        <f>F746-G746-H746</f>
        <v>1221.3</v>
      </c>
      <c r="J746" s="286" t="s">
        <v>205</v>
      </c>
      <c r="K746" s="286">
        <v>1</v>
      </c>
      <c r="L746" s="286"/>
      <c r="M746" s="286"/>
      <c r="N746" s="286">
        <v>1</v>
      </c>
      <c r="O746" s="286"/>
      <c r="P746" s="286"/>
      <c r="Q746" s="286"/>
      <c r="R746" s="286"/>
      <c r="S746" s="287"/>
      <c r="T746" s="63"/>
      <c r="U746" s="10"/>
      <c r="V746" s="90"/>
      <c r="W746" s="136"/>
      <c r="X746" s="137"/>
    </row>
    <row r="747" spans="1:24">
      <c r="A747" s="2"/>
      <c r="B747" s="11"/>
      <c r="C747" s="36"/>
      <c r="D747" s="10"/>
      <c r="E747" s="10"/>
      <c r="F747" s="97">
        <f>SUM(F735:F746)</f>
        <v>38649.660000000003</v>
      </c>
      <c r="G747" s="97">
        <f>SUM(G735:G746)</f>
        <v>4357.2999999999993</v>
      </c>
      <c r="H747" s="97">
        <f>SUM(H735:H746)</f>
        <v>0</v>
      </c>
      <c r="I747" s="98">
        <f>SUM(I735:I746)</f>
        <v>34292.36</v>
      </c>
      <c r="J747" s="10"/>
      <c r="K747" s="10"/>
      <c r="L747" s="10"/>
      <c r="M747" s="10"/>
      <c r="N747" s="10"/>
      <c r="O747" s="10"/>
      <c r="P747" s="10"/>
      <c r="Q747" s="10"/>
      <c r="R747" s="10"/>
      <c r="S747" s="10"/>
      <c r="T747" s="63"/>
      <c r="U747" s="10"/>
      <c r="V747" s="138"/>
      <c r="W747" s="136"/>
      <c r="X747" s="137"/>
    </row>
    <row r="748" spans="1:24">
      <c r="A748" s="2"/>
      <c r="B748" s="26"/>
      <c r="C748" s="140"/>
      <c r="D748" s="141"/>
      <c r="E748" s="141"/>
      <c r="F748" s="141"/>
      <c r="G748" s="141"/>
      <c r="H748" s="141"/>
      <c r="I748" s="141"/>
      <c r="J748" s="141"/>
      <c r="K748" s="142"/>
      <c r="L748" s="142"/>
      <c r="M748" s="142"/>
      <c r="N748" s="142"/>
      <c r="O748" s="142"/>
      <c r="P748" s="142"/>
      <c r="Q748" s="142"/>
      <c r="R748" s="142"/>
      <c r="S748" s="142"/>
      <c r="T748" s="143">
        <f>SUM(T702:T747)</f>
        <v>4</v>
      </c>
      <c r="U748" s="141"/>
      <c r="V748" s="144">
        <f>SUM(V702:V747)</f>
        <v>11985.300000000001</v>
      </c>
      <c r="W748" s="145">
        <f>SUM(W702:W747)</f>
        <v>0</v>
      </c>
      <c r="X748" s="146">
        <f>SUM(X702:X747)</f>
        <v>0</v>
      </c>
    </row>
    <row r="751" spans="1:24">
      <c r="A751" s="3"/>
      <c r="B751" s="4" t="s">
        <v>1</v>
      </c>
      <c r="C751" s="5"/>
      <c r="D751" s="6"/>
      <c r="E751" s="6"/>
      <c r="F751" s="7" t="s">
        <v>2</v>
      </c>
      <c r="G751" s="590">
        <v>45900</v>
      </c>
      <c r="H751" s="7"/>
      <c r="I751" s="6"/>
      <c r="J751" s="6"/>
      <c r="K751" s="6"/>
      <c r="L751" s="6"/>
      <c r="M751" s="6"/>
      <c r="N751" s="6"/>
      <c r="O751" s="6"/>
      <c r="P751" s="6"/>
      <c r="Q751" s="6"/>
      <c r="R751" s="6"/>
      <c r="S751" s="6"/>
      <c r="T751" s="6"/>
      <c r="U751" s="9"/>
      <c r="V751" s="10"/>
      <c r="W751" s="10"/>
      <c r="X751" s="10"/>
    </row>
    <row r="752" spans="1:24">
      <c r="A752" s="2"/>
      <c r="B752" s="11"/>
      <c r="C752" s="10"/>
      <c r="D752" s="10"/>
      <c r="E752" s="10"/>
      <c r="F752" s="10"/>
      <c r="G752" s="7"/>
      <c r="H752" s="12"/>
      <c r="I752" s="10"/>
      <c r="J752" s="10"/>
      <c r="K752" s="13" t="s">
        <v>3</v>
      </c>
      <c r="L752" s="14"/>
      <c r="M752" s="15"/>
      <c r="N752" s="13" t="s">
        <v>4</v>
      </c>
      <c r="O752" s="14"/>
      <c r="P752" s="15"/>
      <c r="Q752" s="13" t="s">
        <v>5</v>
      </c>
      <c r="R752" s="14"/>
      <c r="S752" s="15"/>
      <c r="T752" s="16"/>
      <c r="U752" s="17"/>
      <c r="V752" s="10"/>
      <c r="W752" s="10"/>
      <c r="X752" s="10"/>
    </row>
    <row r="753" spans="1:24">
      <c r="A753" s="2"/>
      <c r="B753" s="18" t="s">
        <v>6</v>
      </c>
      <c r="C753" s="19">
        <f>C754+C755</f>
        <v>32</v>
      </c>
      <c r="D753" s="10"/>
      <c r="E753" s="18" t="s">
        <v>7</v>
      </c>
      <c r="F753" s="6"/>
      <c r="G753" s="9"/>
      <c r="H753" s="10"/>
      <c r="I753" s="10"/>
      <c r="J753" s="10"/>
      <c r="K753" s="20" t="s">
        <v>8</v>
      </c>
      <c r="L753" s="21" t="s">
        <v>9</v>
      </c>
      <c r="M753" s="21" t="s">
        <v>10</v>
      </c>
      <c r="N753" s="20" t="s">
        <v>11</v>
      </c>
      <c r="O753" s="21" t="s">
        <v>12</v>
      </c>
      <c r="P753" s="22" t="s">
        <v>13</v>
      </c>
      <c r="Q753" s="21" t="s">
        <v>11</v>
      </c>
      <c r="R753" s="21" t="s">
        <v>12</v>
      </c>
      <c r="S753" s="22" t="s">
        <v>13</v>
      </c>
      <c r="T753" s="23" t="s">
        <v>14</v>
      </c>
      <c r="U753" s="17"/>
      <c r="V753" s="10"/>
      <c r="W753" s="10"/>
      <c r="X753" s="10"/>
    </row>
    <row r="754" spans="1:24">
      <c r="A754" s="2"/>
      <c r="B754" s="24" t="s">
        <v>15</v>
      </c>
      <c r="C754" s="25">
        <f>P761</f>
        <v>13</v>
      </c>
      <c r="D754" s="10"/>
      <c r="E754" s="26" t="s">
        <v>16</v>
      </c>
      <c r="F754" s="27">
        <v>0.05</v>
      </c>
      <c r="G754" s="28"/>
      <c r="H754" s="10"/>
      <c r="I754" s="10"/>
      <c r="J754" s="18" t="s">
        <v>17</v>
      </c>
      <c r="K754" s="29">
        <f>K792</f>
        <v>13</v>
      </c>
      <c r="L754" s="29">
        <f>L792</f>
        <v>12</v>
      </c>
      <c r="M754" s="29">
        <f>M792</f>
        <v>13</v>
      </c>
      <c r="N754" s="29">
        <f>N792</f>
        <v>12</v>
      </c>
      <c r="O754" s="29">
        <f>O792</f>
        <v>12</v>
      </c>
      <c r="P754" s="29">
        <f>P792</f>
        <v>3</v>
      </c>
      <c r="Q754" s="29">
        <f>Q792</f>
        <v>13</v>
      </c>
      <c r="R754" s="29">
        <f>R792</f>
        <v>13</v>
      </c>
      <c r="S754" s="29">
        <f>S792</f>
        <v>9</v>
      </c>
      <c r="T754" s="30">
        <f>T837</f>
        <v>7</v>
      </c>
      <c r="U754" s="17"/>
      <c r="V754" s="10"/>
      <c r="W754" s="10"/>
      <c r="X754" s="10"/>
    </row>
    <row r="755" spans="1:24">
      <c r="A755" s="2"/>
      <c r="B755" s="24" t="s">
        <v>18</v>
      </c>
      <c r="C755" s="25">
        <f>P762</f>
        <v>19</v>
      </c>
      <c r="D755" s="10"/>
      <c r="E755" s="10"/>
      <c r="F755" s="10"/>
      <c r="G755" s="31"/>
      <c r="H755" s="10"/>
      <c r="I755" s="10"/>
      <c r="J755" s="32" t="s">
        <v>19</v>
      </c>
      <c r="K755" s="33">
        <f>K792/K791</f>
        <v>1</v>
      </c>
      <c r="L755" s="33">
        <f>L792/L791</f>
        <v>0.92307692307692313</v>
      </c>
      <c r="M755" s="33">
        <f>M792/M791</f>
        <v>1</v>
      </c>
      <c r="N755" s="33">
        <f>N792/N791</f>
        <v>0.92307692307692313</v>
      </c>
      <c r="O755" s="33">
        <f>O792/O791</f>
        <v>0.92307692307692313</v>
      </c>
      <c r="P755" s="33">
        <f>P792/P791</f>
        <v>0.23076923076923078</v>
      </c>
      <c r="Q755" s="33">
        <f>Q792/Q791</f>
        <v>1</v>
      </c>
      <c r="R755" s="33">
        <f>R792/R791</f>
        <v>1</v>
      </c>
      <c r="S755" s="33">
        <f>S792/S791</f>
        <v>0.69230769230769229</v>
      </c>
      <c r="T755" s="23"/>
      <c r="U755" s="17" t="s">
        <v>20</v>
      </c>
      <c r="V755" s="10"/>
      <c r="W755" s="10"/>
      <c r="X755" s="10"/>
    </row>
    <row r="756" spans="1:24">
      <c r="A756" s="2"/>
      <c r="B756" s="24" t="s">
        <v>21</v>
      </c>
      <c r="C756" s="34">
        <f>P763</f>
        <v>0.40625</v>
      </c>
      <c r="D756" s="10"/>
      <c r="E756" s="10"/>
      <c r="F756" s="10"/>
      <c r="G756" s="10"/>
      <c r="H756" s="10"/>
      <c r="I756" s="10"/>
      <c r="J756" s="10"/>
      <c r="K756" s="10"/>
      <c r="L756" s="10"/>
      <c r="M756" s="10"/>
      <c r="N756" s="10"/>
      <c r="O756" s="10"/>
      <c r="P756" s="10"/>
      <c r="Q756" s="10"/>
      <c r="R756" s="10"/>
      <c r="S756" s="10"/>
      <c r="T756" s="10"/>
      <c r="U756" s="17"/>
      <c r="V756" s="10"/>
      <c r="W756" s="10"/>
      <c r="X756" s="10"/>
    </row>
    <row r="757" spans="1:24">
      <c r="A757" s="2"/>
      <c r="B757" s="24"/>
      <c r="C757" s="25"/>
      <c r="D757" s="10"/>
      <c r="E757" s="10"/>
      <c r="F757" s="18" t="s">
        <v>22</v>
      </c>
      <c r="G757" s="19" t="s">
        <v>23</v>
      </c>
      <c r="H757" s="35" t="s">
        <v>24</v>
      </c>
      <c r="I757" s="10"/>
      <c r="J757" s="10"/>
      <c r="K757" s="36"/>
      <c r="L757" s="36"/>
      <c r="M757" s="36"/>
      <c r="N757" s="36"/>
      <c r="O757" s="36"/>
      <c r="P757" s="36"/>
      <c r="Q757" s="36"/>
      <c r="R757" s="10"/>
      <c r="S757" s="10"/>
      <c r="T757" s="10"/>
      <c r="U757" s="17"/>
      <c r="V757" s="10"/>
      <c r="W757" s="10"/>
      <c r="X757" s="10"/>
    </row>
    <row r="758" spans="1:24">
      <c r="A758" s="2"/>
      <c r="B758" s="32" t="s">
        <v>25</v>
      </c>
      <c r="C758" s="37">
        <f>P764</f>
        <v>1361.1007692307689</v>
      </c>
      <c r="D758" s="10"/>
      <c r="E758" s="18" t="s">
        <v>26</v>
      </c>
      <c r="F758" s="38">
        <f>P760</f>
        <v>17694.309999999998</v>
      </c>
      <c r="G758" s="39">
        <f>I791</f>
        <v>17694.309999999998</v>
      </c>
      <c r="H758" s="40"/>
      <c r="I758" s="41"/>
      <c r="J758" s="42"/>
      <c r="K758" s="43" t="s">
        <v>27</v>
      </c>
      <c r="L758" s="44"/>
      <c r="M758" s="44"/>
      <c r="N758" s="44"/>
      <c r="O758" s="44"/>
      <c r="P758" s="44"/>
      <c r="Q758" s="45"/>
      <c r="R758" s="46" t="s">
        <v>28</v>
      </c>
      <c r="S758" s="47" t="s">
        <v>29</v>
      </c>
      <c r="T758" s="10"/>
      <c r="U758" s="17"/>
      <c r="V758" s="10"/>
      <c r="W758" s="10"/>
      <c r="X758" s="10"/>
    </row>
    <row r="759" spans="1:24">
      <c r="A759" s="2"/>
      <c r="B759" s="11"/>
      <c r="C759" s="10"/>
      <c r="D759" s="10"/>
      <c r="E759" s="24" t="s">
        <v>30</v>
      </c>
      <c r="F759" s="48">
        <f>F754</f>
        <v>0.05</v>
      </c>
      <c r="G759" s="17"/>
      <c r="H759" s="40"/>
      <c r="I759" s="41"/>
      <c r="J759" s="42"/>
      <c r="K759" s="20" t="s">
        <v>31</v>
      </c>
      <c r="L759" s="21" t="s">
        <v>32</v>
      </c>
      <c r="M759" s="21" t="s">
        <v>33</v>
      </c>
      <c r="N759" s="21" t="s">
        <v>34</v>
      </c>
      <c r="O759" s="21" t="s">
        <v>35</v>
      </c>
      <c r="P759" s="21" t="s">
        <v>36</v>
      </c>
      <c r="Q759" s="49" t="s">
        <v>37</v>
      </c>
      <c r="R759" s="50" t="s">
        <v>38</v>
      </c>
      <c r="S759" s="50" t="s">
        <v>38</v>
      </c>
      <c r="T759" s="10"/>
      <c r="U759" s="17"/>
      <c r="V759" s="10"/>
      <c r="W759" s="10"/>
      <c r="X759" s="10"/>
    </row>
    <row r="760" spans="1:24">
      <c r="A760" s="2"/>
      <c r="B760" s="11"/>
      <c r="C760" s="10"/>
      <c r="D760" s="10"/>
      <c r="E760" s="51" t="s">
        <v>39</v>
      </c>
      <c r="F760" s="52">
        <f>F758*F759</f>
        <v>884.71549999999991</v>
      </c>
      <c r="G760" s="53" t="s">
        <v>40</v>
      </c>
      <c r="H760" s="54">
        <f>F760/1.12</f>
        <v>789.92455357142842</v>
      </c>
      <c r="I760" s="55"/>
      <c r="J760" s="42"/>
      <c r="K760" s="56">
        <f>I778+I779</f>
        <v>5018.21</v>
      </c>
      <c r="L760" s="57">
        <f>I780+I781+I782+I783</f>
        <v>6137.2</v>
      </c>
      <c r="M760" s="57">
        <f>I784+I785+I786</f>
        <v>3218.3</v>
      </c>
      <c r="N760" s="57">
        <f>I787</f>
        <v>960.3</v>
      </c>
      <c r="O760" s="57">
        <f>I788+I789+I790</f>
        <v>2360.3000000000002</v>
      </c>
      <c r="P760" s="57">
        <f>SUM(K760:O760)</f>
        <v>17694.309999999998</v>
      </c>
      <c r="Q760" s="58">
        <v>0</v>
      </c>
      <c r="R760" s="59">
        <v>0</v>
      </c>
      <c r="S760" s="59">
        <v>0</v>
      </c>
      <c r="T760" s="10"/>
      <c r="U760" s="17"/>
      <c r="V760" s="10"/>
      <c r="W760" s="10"/>
      <c r="X760" s="10"/>
    </row>
    <row r="761" spans="1:24">
      <c r="A761" s="2"/>
      <c r="B761" s="11"/>
      <c r="C761" s="10"/>
      <c r="D761" s="10"/>
      <c r="E761" s="24" t="s">
        <v>41</v>
      </c>
      <c r="F761" s="60">
        <f>Q760</f>
        <v>0</v>
      </c>
      <c r="G761" s="61" t="s">
        <v>40</v>
      </c>
      <c r="H761" s="62"/>
      <c r="I761" s="62"/>
      <c r="J761" s="10" t="s">
        <v>42</v>
      </c>
      <c r="K761" s="63">
        <v>2</v>
      </c>
      <c r="L761" s="63">
        <v>4</v>
      </c>
      <c r="M761" s="63">
        <v>3</v>
      </c>
      <c r="N761" s="63">
        <v>1</v>
      </c>
      <c r="O761" s="63">
        <v>3</v>
      </c>
      <c r="P761" s="21">
        <f>SUM(K761:O761)</f>
        <v>13</v>
      </c>
      <c r="Q761" s="64"/>
      <c r="R761" s="63"/>
      <c r="S761" s="10"/>
      <c r="T761" s="10"/>
      <c r="U761" s="17"/>
      <c r="V761" s="10"/>
      <c r="W761" s="10"/>
      <c r="X761" s="10"/>
    </row>
    <row r="762" spans="1:24">
      <c r="A762" s="2"/>
      <c r="B762" s="11"/>
      <c r="C762" s="10"/>
      <c r="D762" s="10"/>
      <c r="E762" s="51" t="s">
        <v>43</v>
      </c>
      <c r="F762" s="52">
        <f>F761*0.25</f>
        <v>0</v>
      </c>
      <c r="G762" s="53" t="s">
        <v>40</v>
      </c>
      <c r="H762" s="54">
        <f>F762/1.12</f>
        <v>0</v>
      </c>
      <c r="I762" s="10"/>
      <c r="J762" s="10" t="s">
        <v>44</v>
      </c>
      <c r="K762" s="63">
        <v>3</v>
      </c>
      <c r="L762" s="63">
        <v>5</v>
      </c>
      <c r="M762" s="63">
        <v>2</v>
      </c>
      <c r="N762" s="63">
        <v>5</v>
      </c>
      <c r="O762" s="63">
        <v>4</v>
      </c>
      <c r="P762" s="21">
        <f>SUM(K762:O762)</f>
        <v>19</v>
      </c>
      <c r="Q762" s="64"/>
      <c r="R762" s="63"/>
      <c r="S762" s="10"/>
      <c r="T762" s="10"/>
      <c r="U762" s="17"/>
      <c r="V762" s="10"/>
      <c r="W762" s="10"/>
      <c r="X762" s="10"/>
    </row>
    <row r="763" spans="1:24">
      <c r="A763" s="2"/>
      <c r="B763" s="11"/>
      <c r="C763" s="10"/>
      <c r="D763" s="10"/>
      <c r="E763" s="24" t="s">
        <v>45</v>
      </c>
      <c r="F763" s="60">
        <f>I800</f>
        <v>43671.1</v>
      </c>
      <c r="G763" s="61" t="s">
        <v>40</v>
      </c>
      <c r="H763" s="62"/>
      <c r="I763" s="10"/>
      <c r="J763" s="10" t="s">
        <v>46</v>
      </c>
      <c r="K763" s="31">
        <f>K761/(K761+K762)</f>
        <v>0.4</v>
      </c>
      <c r="L763" s="31">
        <f>L761/(L761+L762)</f>
        <v>0.44444444444444442</v>
      </c>
      <c r="M763" s="31">
        <f>M761/(M761+M762)</f>
        <v>0.6</v>
      </c>
      <c r="N763" s="31">
        <f>N761/(N761+N762)</f>
        <v>0.16666666666666666</v>
      </c>
      <c r="O763" s="31">
        <f>O761/(O761+O762)</f>
        <v>0.42857142857142855</v>
      </c>
      <c r="P763" s="31">
        <f>P761/(P761+P762)</f>
        <v>0.40625</v>
      </c>
      <c r="Q763" s="31" t="e">
        <f>Q761/(Q761+Q762)</f>
        <v>#DIV/0!</v>
      </c>
      <c r="R763" s="63"/>
      <c r="S763" s="10"/>
      <c r="T763" s="10"/>
      <c r="U763" s="17"/>
      <c r="V763" s="10"/>
      <c r="W763" s="10"/>
      <c r="X763" s="10"/>
    </row>
    <row r="764" spans="1:24">
      <c r="A764" s="2"/>
      <c r="B764" s="11"/>
      <c r="C764" s="10"/>
      <c r="D764" s="10"/>
      <c r="E764" s="51" t="s">
        <v>47</v>
      </c>
      <c r="F764" s="52">
        <f>(F763+F767-I798)*0.05</f>
        <v>2179.3165000000004</v>
      </c>
      <c r="G764" s="65" t="s">
        <v>40</v>
      </c>
      <c r="H764" s="54">
        <f>F764/1.12</f>
        <v>1945.8183035714287</v>
      </c>
      <c r="I764" s="42"/>
      <c r="J764" s="10" t="s">
        <v>48</v>
      </c>
      <c r="K764" s="66">
        <f>K760/K761</f>
        <v>2509.105</v>
      </c>
      <c r="L764" s="66">
        <f>L760/L761</f>
        <v>1534.3</v>
      </c>
      <c r="M764" s="66">
        <f>M760/M761</f>
        <v>1072.7666666666667</v>
      </c>
      <c r="N764" s="66">
        <f>N760/N761</f>
        <v>960.3</v>
      </c>
      <c r="O764" s="66">
        <f>O760/O761</f>
        <v>786.76666666666677</v>
      </c>
      <c r="P764" s="66">
        <f>P760/P761</f>
        <v>1361.1007692307689</v>
      </c>
      <c r="Q764" s="66" t="e">
        <f>Q760/Q761</f>
        <v>#DIV/0!</v>
      </c>
      <c r="R764" s="63"/>
      <c r="S764" s="10"/>
      <c r="T764" s="10"/>
      <c r="U764" s="17"/>
      <c r="V764" s="10"/>
      <c r="W764" s="10"/>
      <c r="X764" s="10"/>
    </row>
    <row r="765" spans="1:24">
      <c r="A765" s="2"/>
      <c r="B765" s="11"/>
      <c r="C765" s="10"/>
      <c r="D765" s="10"/>
      <c r="E765" s="67" t="s">
        <v>14</v>
      </c>
      <c r="F765" s="68">
        <f>6*50</f>
        <v>300</v>
      </c>
      <c r="G765" s="10"/>
      <c r="H765" s="54">
        <f>F765/1.12</f>
        <v>267.85714285714283</v>
      </c>
      <c r="I765" s="10"/>
      <c r="J765" s="10"/>
      <c r="K765" s="10"/>
      <c r="L765" s="10"/>
      <c r="M765" s="10"/>
      <c r="N765" s="10"/>
      <c r="O765" s="10"/>
      <c r="P765" s="10"/>
      <c r="Q765" s="10"/>
      <c r="R765" s="10"/>
      <c r="S765" s="10"/>
      <c r="T765" s="10"/>
      <c r="U765" s="17"/>
      <c r="V765" s="10"/>
      <c r="W765" s="10"/>
      <c r="X765" s="10"/>
    </row>
    <row r="766" spans="1:24">
      <c r="A766" s="2"/>
      <c r="B766" s="11"/>
      <c r="C766" s="10"/>
      <c r="D766" s="10"/>
      <c r="E766" s="67" t="s">
        <v>49</v>
      </c>
      <c r="F766" s="69">
        <f>T755</f>
        <v>0</v>
      </c>
      <c r="G766" s="10"/>
      <c r="H766" s="54"/>
      <c r="I766" s="55"/>
      <c r="J766" s="42"/>
      <c r="K766" s="764" t="s">
        <v>50</v>
      </c>
      <c r="L766" s="765"/>
      <c r="M766" s="765"/>
      <c r="N766" s="765"/>
      <c r="O766" s="765"/>
      <c r="P766" s="765"/>
      <c r="Q766" s="766"/>
      <c r="R766" s="70" t="s">
        <v>28</v>
      </c>
      <c r="S766" s="71" t="s">
        <v>29</v>
      </c>
      <c r="T766" s="10"/>
      <c r="U766" s="17"/>
      <c r="V766" s="10"/>
      <c r="W766" s="10"/>
      <c r="X766" s="10"/>
    </row>
    <row r="767" spans="1:24">
      <c r="A767" s="2"/>
      <c r="B767" s="11"/>
      <c r="C767" s="10"/>
      <c r="D767" s="10"/>
      <c r="E767" s="74" t="s">
        <v>2094</v>
      </c>
      <c r="F767" s="75">
        <v>-84.77</v>
      </c>
      <c r="G767" s="10"/>
      <c r="H767" s="10"/>
      <c r="I767" s="10"/>
      <c r="J767" s="42"/>
      <c r="K767" s="20" t="s">
        <v>31</v>
      </c>
      <c r="L767" s="21" t="s">
        <v>32</v>
      </c>
      <c r="M767" s="21" t="s">
        <v>33</v>
      </c>
      <c r="N767" s="21" t="s">
        <v>34</v>
      </c>
      <c r="O767" s="21" t="s">
        <v>35</v>
      </c>
      <c r="P767" s="21" t="s">
        <v>36</v>
      </c>
      <c r="Q767" s="49" t="s">
        <v>37</v>
      </c>
      <c r="R767" s="50" t="s">
        <v>38</v>
      </c>
      <c r="S767" s="50" t="s">
        <v>38</v>
      </c>
      <c r="T767" s="10"/>
      <c r="U767" s="17"/>
      <c r="V767" s="10"/>
      <c r="W767" s="10"/>
      <c r="X767" s="10"/>
    </row>
    <row r="768" spans="1:24">
      <c r="A768" s="2"/>
      <c r="B768" s="11"/>
      <c r="C768" s="10"/>
      <c r="D768" s="10"/>
      <c r="E768" s="12"/>
      <c r="F768" s="76"/>
      <c r="G768" s="10"/>
      <c r="H768" s="10"/>
      <c r="I768" s="10"/>
      <c r="J768" s="42"/>
      <c r="K768" s="56">
        <f>F778+F779</f>
        <v>6494</v>
      </c>
      <c r="L768" s="57">
        <f>F780+F781+F782+F783</f>
        <v>6496</v>
      </c>
      <c r="M768" s="57">
        <f>F784+F785+F786</f>
        <v>3458</v>
      </c>
      <c r="N768" s="57">
        <f>F787</f>
        <v>1000</v>
      </c>
      <c r="O768" s="57">
        <f>F788+F789+F790</f>
        <v>2400</v>
      </c>
      <c r="P768" s="57">
        <f>SUM(K768:O768)</f>
        <v>19848</v>
      </c>
      <c r="Q768" s="58">
        <v>0</v>
      </c>
      <c r="R768" s="59">
        <v>0</v>
      </c>
      <c r="S768" s="59">
        <v>0</v>
      </c>
      <c r="T768" s="10"/>
      <c r="U768" s="17"/>
      <c r="V768" s="10"/>
      <c r="W768" s="10"/>
      <c r="X768" s="10"/>
    </row>
    <row r="769" spans="1:24">
      <c r="A769" s="2"/>
      <c r="B769" s="11"/>
      <c r="C769" s="10"/>
      <c r="D769" s="10"/>
      <c r="E769" s="10"/>
      <c r="F769" s="10"/>
      <c r="G769" s="10"/>
      <c r="H769" s="10"/>
      <c r="I769" s="10"/>
      <c r="J769" s="10" t="s">
        <v>42</v>
      </c>
      <c r="K769" s="63">
        <f>K761</f>
        <v>2</v>
      </c>
      <c r="L769" s="63">
        <f>L761</f>
        <v>4</v>
      </c>
      <c r="M769" s="63">
        <f>M761</f>
        <v>3</v>
      </c>
      <c r="N769" s="63">
        <f>N761</f>
        <v>1</v>
      </c>
      <c r="O769" s="63">
        <f>O761</f>
        <v>3</v>
      </c>
      <c r="P769" s="63">
        <f>P761</f>
        <v>13</v>
      </c>
      <c r="Q769" s="63">
        <f>Q761</f>
        <v>0</v>
      </c>
      <c r="R769" s="63"/>
      <c r="S769" s="10"/>
      <c r="T769" s="10"/>
      <c r="U769" s="17"/>
      <c r="V769" s="10"/>
      <c r="W769" s="10"/>
      <c r="X769" s="10"/>
    </row>
    <row r="770" spans="1:24">
      <c r="A770" s="2"/>
      <c r="B770" s="11"/>
      <c r="C770" s="10"/>
      <c r="D770" s="10"/>
      <c r="E770" s="10"/>
      <c r="F770" s="10"/>
      <c r="G770" s="10"/>
      <c r="H770" s="10"/>
      <c r="I770" s="10"/>
      <c r="J770" s="10" t="s">
        <v>44</v>
      </c>
      <c r="K770" s="63">
        <f>K762</f>
        <v>3</v>
      </c>
      <c r="L770" s="63">
        <f>L762</f>
        <v>5</v>
      </c>
      <c r="M770" s="63">
        <f>M762</f>
        <v>2</v>
      </c>
      <c r="N770" s="63">
        <f>N762</f>
        <v>5</v>
      </c>
      <c r="O770" s="63">
        <f>O762</f>
        <v>4</v>
      </c>
      <c r="P770" s="63">
        <f>P762</f>
        <v>19</v>
      </c>
      <c r="Q770" s="63">
        <f>Q762</f>
        <v>0</v>
      </c>
      <c r="R770" s="63"/>
      <c r="S770" s="10"/>
      <c r="T770" s="10"/>
      <c r="U770" s="17"/>
      <c r="V770" s="10"/>
      <c r="W770" s="10"/>
      <c r="X770" s="10"/>
    </row>
    <row r="771" spans="1:24">
      <c r="A771" s="2"/>
      <c r="B771" s="11"/>
      <c r="C771" s="10"/>
      <c r="D771" s="10"/>
      <c r="E771" s="12"/>
      <c r="F771" s="76"/>
      <c r="G771" s="10"/>
      <c r="H771" s="10"/>
      <c r="I771" s="10"/>
      <c r="J771" s="10" t="s">
        <v>46</v>
      </c>
      <c r="K771" s="31">
        <f>K769/(K769+K770)</f>
        <v>0.4</v>
      </c>
      <c r="L771" s="31">
        <f>L769/(L769+L770)</f>
        <v>0.44444444444444442</v>
      </c>
      <c r="M771" s="31">
        <f>M769/(M769+M770)</f>
        <v>0.6</v>
      </c>
      <c r="N771" s="31">
        <f>N769/(N769+N770)</f>
        <v>0.16666666666666666</v>
      </c>
      <c r="O771" s="31">
        <f>O769/(O769+O770)</f>
        <v>0.42857142857142855</v>
      </c>
      <c r="P771" s="31">
        <f>P769/(P769+P770)</f>
        <v>0.40625</v>
      </c>
      <c r="Q771" s="31" t="e">
        <f>Q769/(Q769+Q770)</f>
        <v>#DIV/0!</v>
      </c>
      <c r="R771" s="63"/>
      <c r="S771" s="10"/>
      <c r="T771" s="10"/>
      <c r="U771" s="17"/>
      <c r="V771" s="10"/>
      <c r="W771" s="10"/>
      <c r="X771" s="10"/>
    </row>
    <row r="772" spans="1:24">
      <c r="A772" s="2"/>
      <c r="B772" s="11"/>
      <c r="C772" s="10"/>
      <c r="D772" s="10"/>
      <c r="E772" s="10"/>
      <c r="F772" s="10"/>
      <c r="G772" s="10"/>
      <c r="H772" s="10"/>
      <c r="I772" s="10"/>
      <c r="J772" s="10" t="s">
        <v>48</v>
      </c>
      <c r="K772" s="66">
        <f>K768/K769</f>
        <v>3247</v>
      </c>
      <c r="L772" s="66">
        <f>L768/L769</f>
        <v>1624</v>
      </c>
      <c r="M772" s="66">
        <f>M768/M769</f>
        <v>1152.6666666666667</v>
      </c>
      <c r="N772" s="66">
        <f>N768/N769</f>
        <v>1000</v>
      </c>
      <c r="O772" s="66">
        <f>O768/O769</f>
        <v>800</v>
      </c>
      <c r="P772" s="66">
        <f>P768/P769</f>
        <v>1526.7692307692307</v>
      </c>
      <c r="Q772" s="66" t="e">
        <f>Q768/Q769</f>
        <v>#DIV/0!</v>
      </c>
      <c r="R772" s="63"/>
      <c r="S772" s="10"/>
      <c r="T772" s="10"/>
      <c r="U772" s="17"/>
      <c r="V772" s="10"/>
      <c r="W772" s="10"/>
      <c r="X772" s="10"/>
    </row>
    <row r="773" spans="1:24">
      <c r="A773" s="2"/>
      <c r="B773" s="11"/>
      <c r="C773" s="10"/>
      <c r="D773" s="10"/>
      <c r="E773" s="10"/>
      <c r="F773" s="10"/>
      <c r="G773" s="10"/>
      <c r="H773" s="10"/>
      <c r="I773" s="10"/>
      <c r="J773" s="10"/>
      <c r="K773" s="10"/>
      <c r="L773" s="10"/>
      <c r="M773" s="10"/>
      <c r="N773" s="10"/>
      <c r="O773" s="10"/>
      <c r="P773" s="10"/>
      <c r="Q773" s="10"/>
      <c r="R773" s="10"/>
      <c r="S773" s="10"/>
      <c r="T773" s="10"/>
      <c r="U773" s="17"/>
      <c r="V773" s="10"/>
      <c r="W773" s="10"/>
      <c r="X773" s="10"/>
    </row>
    <row r="774" spans="1:24">
      <c r="A774" s="2"/>
      <c r="B774" s="11"/>
      <c r="C774" s="10"/>
      <c r="D774" s="10"/>
      <c r="E774" s="10"/>
      <c r="F774" s="10"/>
      <c r="G774" s="10"/>
      <c r="H774" s="10"/>
      <c r="I774" s="10"/>
      <c r="J774" s="10"/>
      <c r="K774" s="10"/>
      <c r="L774" s="10"/>
      <c r="M774" s="10"/>
      <c r="N774" s="10"/>
      <c r="O774" s="10"/>
      <c r="P774" s="10"/>
      <c r="Q774" s="10"/>
      <c r="R774" s="10"/>
      <c r="S774" s="10"/>
      <c r="T774" s="10"/>
      <c r="U774" s="17"/>
      <c r="V774" s="10"/>
      <c r="W774" s="10"/>
      <c r="X774" s="10"/>
    </row>
    <row r="775" spans="1:24">
      <c r="A775" s="2"/>
      <c r="B775" s="18" t="s">
        <v>51</v>
      </c>
      <c r="C775" s="14"/>
      <c r="D775" s="14"/>
      <c r="E775" s="14"/>
      <c r="F775" s="13" t="s">
        <v>52</v>
      </c>
      <c r="G775" s="14"/>
      <c r="H775" s="14"/>
      <c r="I775" s="14"/>
      <c r="J775" s="14"/>
      <c r="K775" s="13" t="s">
        <v>3</v>
      </c>
      <c r="L775" s="14"/>
      <c r="M775" s="14"/>
      <c r="N775" s="13" t="s">
        <v>4</v>
      </c>
      <c r="O775" s="14"/>
      <c r="P775" s="14"/>
      <c r="Q775" s="13" t="s">
        <v>5</v>
      </c>
      <c r="R775" s="14"/>
      <c r="S775" s="14"/>
      <c r="T775" s="18"/>
      <c r="U775" s="16" t="s">
        <v>53</v>
      </c>
      <c r="V775" s="77"/>
      <c r="W775" s="77"/>
      <c r="X775" s="77"/>
    </row>
    <row r="776" spans="1:24">
      <c r="A776" s="2"/>
      <c r="B776" s="24" t="s">
        <v>54</v>
      </c>
      <c r="C776" s="21" t="s">
        <v>55</v>
      </c>
      <c r="D776" s="21" t="s">
        <v>56</v>
      </c>
      <c r="E776" s="21" t="s">
        <v>57</v>
      </c>
      <c r="F776" s="20" t="s">
        <v>58</v>
      </c>
      <c r="G776" s="21" t="s">
        <v>59</v>
      </c>
      <c r="H776" s="21" t="s">
        <v>60</v>
      </c>
      <c r="I776" s="21" t="s">
        <v>26</v>
      </c>
      <c r="J776" s="22" t="s">
        <v>61</v>
      </c>
      <c r="K776" s="21" t="s">
        <v>8</v>
      </c>
      <c r="L776" s="21" t="s">
        <v>9</v>
      </c>
      <c r="M776" s="21" t="s">
        <v>10</v>
      </c>
      <c r="N776" s="20" t="s">
        <v>11</v>
      </c>
      <c r="O776" s="21" t="s">
        <v>12</v>
      </c>
      <c r="P776" s="22" t="s">
        <v>13</v>
      </c>
      <c r="Q776" s="21" t="s">
        <v>11</v>
      </c>
      <c r="R776" s="21" t="s">
        <v>12</v>
      </c>
      <c r="S776" s="21" t="s">
        <v>13</v>
      </c>
      <c r="T776" s="78" t="s">
        <v>14</v>
      </c>
      <c r="U776" s="30"/>
      <c r="V776" s="79" t="s">
        <v>62</v>
      </c>
      <c r="W776" s="80" t="s">
        <v>63</v>
      </c>
      <c r="X776" s="81" t="s">
        <v>64</v>
      </c>
    </row>
    <row r="777" spans="1:24">
      <c r="A777" s="2"/>
      <c r="B777" s="4" t="s">
        <v>65</v>
      </c>
      <c r="C777" s="6"/>
      <c r="D777" s="6"/>
      <c r="E777" s="6"/>
      <c r="F777" s="6"/>
      <c r="G777" s="6"/>
      <c r="H777" s="6"/>
      <c r="I777" s="82"/>
      <c r="J777" s="6"/>
      <c r="K777" s="6"/>
      <c r="L777" s="6"/>
      <c r="M777" s="6"/>
      <c r="N777" s="6"/>
      <c r="O777" s="6"/>
      <c r="P777" s="6"/>
      <c r="Q777" s="6"/>
      <c r="R777" s="6"/>
      <c r="S777" s="6"/>
      <c r="T777" s="83"/>
      <c r="U777" s="6"/>
      <c r="V777" s="84"/>
      <c r="W777" s="85"/>
      <c r="X777" s="86"/>
    </row>
    <row r="778" spans="1:24">
      <c r="A778" s="2"/>
      <c r="B778" s="87">
        <v>1</v>
      </c>
      <c r="C778" s="274">
        <v>45894</v>
      </c>
      <c r="D778" s="327" t="s">
        <v>2095</v>
      </c>
      <c r="E778" s="276" t="s">
        <v>354</v>
      </c>
      <c r="F778" s="277">
        <v>1261</v>
      </c>
      <c r="G778" s="277">
        <v>39.700000000000003</v>
      </c>
      <c r="H778" s="297"/>
      <c r="I778" s="278">
        <f>F778-G778-H778</f>
        <v>1221.3</v>
      </c>
      <c r="J778" s="279" t="s">
        <v>156</v>
      </c>
      <c r="K778" s="279">
        <v>1</v>
      </c>
      <c r="L778" s="279">
        <v>1</v>
      </c>
      <c r="M778" s="279">
        <v>1</v>
      </c>
      <c r="N778" s="279">
        <v>1</v>
      </c>
      <c r="O778" s="279">
        <v>1</v>
      </c>
      <c r="P778" s="279">
        <v>1</v>
      </c>
      <c r="Q778" s="279">
        <v>1</v>
      </c>
      <c r="R778" s="279">
        <v>1</v>
      </c>
      <c r="S778" s="280">
        <v>1</v>
      </c>
      <c r="T778" s="63"/>
      <c r="U778" s="10"/>
      <c r="V778" s="90">
        <f>138+1249.1</f>
        <v>1387.1</v>
      </c>
      <c r="W778" s="91"/>
      <c r="X778" s="92"/>
    </row>
    <row r="779" spans="1:24">
      <c r="A779" s="388" t="s">
        <v>2096</v>
      </c>
      <c r="B779" s="87">
        <f>B778+1</f>
        <v>2</v>
      </c>
      <c r="C779" s="295">
        <v>45894</v>
      </c>
      <c r="D779" s="323" t="s">
        <v>2097</v>
      </c>
      <c r="E779" s="10" t="s">
        <v>354</v>
      </c>
      <c r="F779" s="62">
        <v>5233</v>
      </c>
      <c r="G779" s="62">
        <f>39.7+(1146.39)+250</f>
        <v>1436.0900000000001</v>
      </c>
      <c r="H779" s="62"/>
      <c r="I779" s="324">
        <f>F779-G779-H779</f>
        <v>3796.91</v>
      </c>
      <c r="J779" s="63" t="s">
        <v>228</v>
      </c>
      <c r="K779" s="63">
        <v>1</v>
      </c>
      <c r="L779" s="63">
        <v>1</v>
      </c>
      <c r="M779" s="63">
        <v>1</v>
      </c>
      <c r="N779" s="63">
        <v>1</v>
      </c>
      <c r="O779" s="63">
        <v>1</v>
      </c>
      <c r="P779" s="325">
        <v>0</v>
      </c>
      <c r="Q779" s="63">
        <v>1</v>
      </c>
      <c r="R779" s="63">
        <v>1</v>
      </c>
      <c r="S779" s="326">
        <v>0</v>
      </c>
      <c r="T779" s="63"/>
      <c r="U779" s="94" t="s">
        <v>2098</v>
      </c>
      <c r="V779" s="90">
        <f>575+5181.3</f>
        <v>5756.3</v>
      </c>
      <c r="W779" s="91"/>
      <c r="X779" s="92"/>
    </row>
    <row r="780" spans="1:24">
      <c r="A780" s="2"/>
      <c r="B780" s="87">
        <f>B779+1</f>
        <v>3</v>
      </c>
      <c r="C780" s="274">
        <v>45895</v>
      </c>
      <c r="D780" s="327">
        <v>71862</v>
      </c>
      <c r="E780" s="276" t="s">
        <v>426</v>
      </c>
      <c r="F780" s="277">
        <v>1362</v>
      </c>
      <c r="G780" s="277">
        <v>39.700000000000003</v>
      </c>
      <c r="H780" s="277"/>
      <c r="I780" s="278">
        <f>F780-G780-H780</f>
        <v>1322.3</v>
      </c>
      <c r="J780" s="279" t="s">
        <v>156</v>
      </c>
      <c r="K780" s="279">
        <v>1</v>
      </c>
      <c r="L780" s="279">
        <v>1</v>
      </c>
      <c r="M780" s="279">
        <v>1</v>
      </c>
      <c r="N780" s="279">
        <v>1</v>
      </c>
      <c r="O780" s="279">
        <v>1</v>
      </c>
      <c r="P780" s="279">
        <v>1</v>
      </c>
      <c r="Q780" s="279">
        <v>1</v>
      </c>
      <c r="R780" s="279">
        <v>1</v>
      </c>
      <c r="S780" s="280">
        <v>1</v>
      </c>
      <c r="T780" s="21">
        <v>1</v>
      </c>
      <c r="U780" s="10"/>
      <c r="V780" s="90">
        <f>149+650+699.2</f>
        <v>1498.2</v>
      </c>
      <c r="W780" s="91"/>
      <c r="X780" s="92"/>
    </row>
    <row r="781" spans="1:24">
      <c r="A781" s="93"/>
      <c r="B781" s="87">
        <f t="shared" ref="B781:B790" si="70">B780+1</f>
        <v>4</v>
      </c>
      <c r="C781" s="295">
        <v>45895</v>
      </c>
      <c r="D781" s="323">
        <v>72600</v>
      </c>
      <c r="E781" s="10" t="s">
        <v>401</v>
      </c>
      <c r="F781" s="62">
        <v>1138</v>
      </c>
      <c r="G781" s="62">
        <v>39.700000000000003</v>
      </c>
      <c r="H781" s="62"/>
      <c r="I781" s="324">
        <f>F781-G781-H781</f>
        <v>1098.3</v>
      </c>
      <c r="J781" s="63" t="s">
        <v>156</v>
      </c>
      <c r="K781" s="63">
        <v>1</v>
      </c>
      <c r="L781" s="325">
        <v>0</v>
      </c>
      <c r="M781" s="63">
        <v>1</v>
      </c>
      <c r="N781" s="63">
        <v>1</v>
      </c>
      <c r="O781" s="63">
        <v>1</v>
      </c>
      <c r="P781" s="63">
        <v>1</v>
      </c>
      <c r="Q781" s="63">
        <v>1</v>
      </c>
      <c r="R781" s="63">
        <v>1</v>
      </c>
      <c r="S781" s="296">
        <v>1</v>
      </c>
      <c r="T781" s="63"/>
      <c r="U781" s="10"/>
      <c r="V781" s="90">
        <f>125+1126.8</f>
        <v>1251.8</v>
      </c>
      <c r="W781" s="91"/>
      <c r="X781" s="92"/>
    </row>
    <row r="782" spans="1:24">
      <c r="A782" s="2"/>
      <c r="B782" s="87">
        <f t="shared" si="70"/>
        <v>5</v>
      </c>
      <c r="C782" s="295">
        <v>45895</v>
      </c>
      <c r="D782" s="323">
        <v>72644</v>
      </c>
      <c r="E782" s="94" t="s">
        <v>271</v>
      </c>
      <c r="F782" s="62">
        <v>1135</v>
      </c>
      <c r="G782" s="62">
        <v>39.700000000000003</v>
      </c>
      <c r="H782" s="62"/>
      <c r="I782" s="324">
        <f>F782-G782-H782</f>
        <v>1095.3</v>
      </c>
      <c r="J782" s="63" t="s">
        <v>156</v>
      </c>
      <c r="K782" s="63">
        <v>1</v>
      </c>
      <c r="L782" s="63">
        <v>1</v>
      </c>
      <c r="M782" s="63">
        <v>1</v>
      </c>
      <c r="N782" s="63">
        <v>1</v>
      </c>
      <c r="O782" s="63">
        <v>1</v>
      </c>
      <c r="P782" s="325">
        <v>0</v>
      </c>
      <c r="Q782" s="63">
        <v>1</v>
      </c>
      <c r="R782" s="63">
        <v>1</v>
      </c>
      <c r="S782" s="326">
        <v>0</v>
      </c>
      <c r="T782" s="63"/>
      <c r="U782" s="10"/>
      <c r="V782" s="90">
        <f>124+1124.5</f>
        <v>1248.5</v>
      </c>
      <c r="W782" s="91"/>
      <c r="X782" s="92"/>
    </row>
    <row r="783" spans="1:24">
      <c r="A783" s="2"/>
      <c r="B783" s="87">
        <f>B782+1</f>
        <v>6</v>
      </c>
      <c r="C783" s="282">
        <v>45895</v>
      </c>
      <c r="D783" s="368" t="s">
        <v>2099</v>
      </c>
      <c r="E783" s="441" t="s">
        <v>271</v>
      </c>
      <c r="F783" s="284">
        <v>2861</v>
      </c>
      <c r="G783" s="284">
        <f>39.7+200</f>
        <v>239.7</v>
      </c>
      <c r="H783" s="284"/>
      <c r="I783" s="300">
        <f>F783-G783-H783</f>
        <v>2621.3000000000002</v>
      </c>
      <c r="J783" s="286" t="s">
        <v>156</v>
      </c>
      <c r="K783" s="286">
        <v>1</v>
      </c>
      <c r="L783" s="286">
        <v>1</v>
      </c>
      <c r="M783" s="286">
        <v>1</v>
      </c>
      <c r="N783" s="286">
        <v>1</v>
      </c>
      <c r="O783" s="286">
        <v>1</v>
      </c>
      <c r="P783" s="332">
        <v>0</v>
      </c>
      <c r="Q783" s="286">
        <v>1</v>
      </c>
      <c r="R783" s="286">
        <v>1</v>
      </c>
      <c r="S783" s="370">
        <v>0</v>
      </c>
      <c r="T783" s="63"/>
      <c r="U783" s="94" t="s">
        <v>2100</v>
      </c>
      <c r="V783" s="90">
        <f>314+2833.1</f>
        <v>3147.1</v>
      </c>
      <c r="W783" s="91"/>
      <c r="X783" s="92"/>
    </row>
    <row r="784" spans="1:24">
      <c r="A784" s="2"/>
      <c r="B784" s="87">
        <f>B783+1</f>
        <v>7</v>
      </c>
      <c r="C784" s="295">
        <v>45896</v>
      </c>
      <c r="D784" s="323">
        <v>72679</v>
      </c>
      <c r="E784" s="10" t="s">
        <v>178</v>
      </c>
      <c r="F784" s="62">
        <v>681</v>
      </c>
      <c r="G784" s="62"/>
      <c r="H784" s="62"/>
      <c r="I784" s="324">
        <f>F784-G784-H784</f>
        <v>681</v>
      </c>
      <c r="J784" s="63" t="s">
        <v>156</v>
      </c>
      <c r="K784" s="63">
        <v>1</v>
      </c>
      <c r="L784" s="63">
        <v>1</v>
      </c>
      <c r="M784" s="63">
        <v>1</v>
      </c>
      <c r="N784" s="325">
        <v>0</v>
      </c>
      <c r="O784" s="325">
        <v>0</v>
      </c>
      <c r="P784" s="325">
        <v>0</v>
      </c>
      <c r="Q784" s="63">
        <v>1</v>
      </c>
      <c r="R784" s="63">
        <v>1</v>
      </c>
      <c r="S784" s="296">
        <v>1</v>
      </c>
      <c r="T784" s="21">
        <v>1</v>
      </c>
      <c r="U784" s="10"/>
      <c r="V784" s="90">
        <f>74+675.1</f>
        <v>749.1</v>
      </c>
      <c r="W784" s="91"/>
      <c r="X784" s="92"/>
    </row>
    <row r="785" spans="1:25">
      <c r="A785" s="2"/>
      <c r="B785" s="87">
        <f>B784+1</f>
        <v>8</v>
      </c>
      <c r="C785" s="295">
        <v>45896</v>
      </c>
      <c r="D785" s="323">
        <v>72684</v>
      </c>
      <c r="E785" s="101" t="s">
        <v>509</v>
      </c>
      <c r="F785" s="62">
        <v>516</v>
      </c>
      <c r="G785" s="62"/>
      <c r="H785" s="62"/>
      <c r="I785" s="324">
        <f>F785-G785-H785</f>
        <v>516</v>
      </c>
      <c r="J785" s="63" t="s">
        <v>374</v>
      </c>
      <c r="K785" s="63">
        <v>1</v>
      </c>
      <c r="L785" s="63">
        <v>1</v>
      </c>
      <c r="M785" s="63">
        <v>1</v>
      </c>
      <c r="N785" s="63">
        <v>1</v>
      </c>
      <c r="O785" s="63">
        <v>1</v>
      </c>
      <c r="P785" s="325">
        <v>0</v>
      </c>
      <c r="Q785" s="63">
        <v>1</v>
      </c>
      <c r="R785" s="63">
        <v>1</v>
      </c>
      <c r="S785" s="296">
        <v>1</v>
      </c>
      <c r="T785" s="21">
        <v>1</v>
      </c>
      <c r="U785" s="10"/>
      <c r="V785" s="90">
        <v>567.6</v>
      </c>
      <c r="W785" s="91"/>
      <c r="X785" s="92"/>
    </row>
    <row r="786" spans="1:25">
      <c r="A786" s="2"/>
      <c r="B786" s="87">
        <f>B785+1</f>
        <v>9</v>
      </c>
      <c r="C786" s="282">
        <v>45896</v>
      </c>
      <c r="D786" s="368">
        <v>72688</v>
      </c>
      <c r="E786" s="319" t="s">
        <v>299</v>
      </c>
      <c r="F786" s="284">
        <v>2261</v>
      </c>
      <c r="G786" s="284">
        <f>39.7+200</f>
        <v>239.7</v>
      </c>
      <c r="H786" s="284"/>
      <c r="I786" s="300">
        <f>F786-G786-H786</f>
        <v>2021.3</v>
      </c>
      <c r="J786" s="286" t="s">
        <v>374</v>
      </c>
      <c r="K786" s="286">
        <v>1</v>
      </c>
      <c r="L786" s="286">
        <v>1</v>
      </c>
      <c r="M786" s="286">
        <v>1</v>
      </c>
      <c r="N786" s="286">
        <v>1</v>
      </c>
      <c r="O786" s="286">
        <v>1</v>
      </c>
      <c r="P786" s="332">
        <v>0</v>
      </c>
      <c r="Q786" s="286">
        <v>1</v>
      </c>
      <c r="R786" s="286">
        <v>1</v>
      </c>
      <c r="S786" s="287">
        <v>1</v>
      </c>
      <c r="T786" s="63"/>
      <c r="U786" s="10" t="s">
        <v>2101</v>
      </c>
      <c r="V786" s="90">
        <f>248+2239.1</f>
        <v>2487.1</v>
      </c>
      <c r="W786" s="91"/>
      <c r="X786" s="92"/>
    </row>
    <row r="787" spans="1:25">
      <c r="A787" s="2"/>
      <c r="B787" s="87">
        <f>B786+1</f>
        <v>10</v>
      </c>
      <c r="C787" s="295">
        <v>45897</v>
      </c>
      <c r="D787" s="323">
        <v>72734</v>
      </c>
      <c r="E787" s="10" t="s">
        <v>388</v>
      </c>
      <c r="F787" s="62">
        <v>1000</v>
      </c>
      <c r="G787" s="62">
        <v>39.700000000000003</v>
      </c>
      <c r="H787" s="88"/>
      <c r="I787" s="324">
        <f>F787-G787-H787</f>
        <v>960.3</v>
      </c>
      <c r="J787" s="63" t="s">
        <v>156</v>
      </c>
      <c r="K787" s="63">
        <v>1</v>
      </c>
      <c r="L787" s="63">
        <v>1</v>
      </c>
      <c r="M787" s="63">
        <v>1</v>
      </c>
      <c r="N787" s="63">
        <v>1</v>
      </c>
      <c r="O787" s="63">
        <v>1</v>
      </c>
      <c r="P787" s="325">
        <v>0</v>
      </c>
      <c r="Q787" s="63">
        <v>1</v>
      </c>
      <c r="R787" s="63">
        <v>1</v>
      </c>
      <c r="S787" s="296">
        <v>1</v>
      </c>
      <c r="T787" s="21">
        <v>1</v>
      </c>
      <c r="U787" s="10"/>
      <c r="V787" s="90">
        <f>100+1000</f>
        <v>1100</v>
      </c>
      <c r="W787" s="91"/>
      <c r="X787" s="92"/>
    </row>
    <row r="788" spans="1:25">
      <c r="A788" s="2"/>
      <c r="B788" s="87">
        <f t="shared" si="70"/>
        <v>11</v>
      </c>
      <c r="C788" s="274">
        <v>45898</v>
      </c>
      <c r="D788" s="327">
        <v>72766</v>
      </c>
      <c r="E788" s="276" t="s">
        <v>354</v>
      </c>
      <c r="F788" s="277">
        <v>581</v>
      </c>
      <c r="G788" s="277"/>
      <c r="H788" s="297"/>
      <c r="I788" s="321">
        <f>F788-G788-H788</f>
        <v>581</v>
      </c>
      <c r="J788" s="279" t="s">
        <v>156</v>
      </c>
      <c r="K788" s="279">
        <v>1</v>
      </c>
      <c r="L788" s="279">
        <v>1</v>
      </c>
      <c r="M788" s="279">
        <v>1</v>
      </c>
      <c r="N788" s="279">
        <v>1</v>
      </c>
      <c r="O788" s="279">
        <v>1</v>
      </c>
      <c r="P788" s="322">
        <v>0</v>
      </c>
      <c r="Q788" s="279">
        <v>1</v>
      </c>
      <c r="R788" s="279">
        <v>1</v>
      </c>
      <c r="S788" s="280">
        <v>1</v>
      </c>
      <c r="T788" s="21">
        <v>1</v>
      </c>
      <c r="U788" s="10" t="s">
        <v>2102</v>
      </c>
      <c r="V788" s="90">
        <v>639.1</v>
      </c>
      <c r="W788" s="91"/>
      <c r="X788" s="92"/>
    </row>
    <row r="789" spans="1:25">
      <c r="A789" s="2"/>
      <c r="B789" s="87">
        <f t="shared" si="70"/>
        <v>12</v>
      </c>
      <c r="C789" s="295">
        <v>45898</v>
      </c>
      <c r="D789" s="323">
        <v>72768</v>
      </c>
      <c r="E789" s="10" t="s">
        <v>206</v>
      </c>
      <c r="F789" s="62">
        <v>681</v>
      </c>
      <c r="G789" s="62"/>
      <c r="H789" s="88"/>
      <c r="I789" s="324">
        <f>F789-G789-H789</f>
        <v>681</v>
      </c>
      <c r="J789" s="63" t="s">
        <v>156</v>
      </c>
      <c r="K789" s="63">
        <v>1</v>
      </c>
      <c r="L789" s="63">
        <v>1</v>
      </c>
      <c r="M789" s="63">
        <v>1</v>
      </c>
      <c r="N789" s="63">
        <v>1</v>
      </c>
      <c r="O789" s="63">
        <v>1</v>
      </c>
      <c r="P789" s="325">
        <v>0</v>
      </c>
      <c r="Q789" s="63">
        <v>1</v>
      </c>
      <c r="R789" s="63">
        <v>1</v>
      </c>
      <c r="S789" s="296">
        <v>1</v>
      </c>
      <c r="T789" s="63"/>
      <c r="U789" s="10"/>
      <c r="V789" s="90">
        <f>74.9+674.2</f>
        <v>749.1</v>
      </c>
      <c r="W789" s="91"/>
      <c r="X789" s="92"/>
    </row>
    <row r="790" spans="1:25">
      <c r="A790" s="2"/>
      <c r="B790" s="87">
        <f t="shared" si="70"/>
        <v>13</v>
      </c>
      <c r="C790" s="282">
        <v>45898</v>
      </c>
      <c r="D790" s="368">
        <v>72793</v>
      </c>
      <c r="E790" s="283" t="s">
        <v>349</v>
      </c>
      <c r="F790" s="284">
        <v>1138</v>
      </c>
      <c r="G790" s="284">
        <v>39.700000000000003</v>
      </c>
      <c r="H790" s="315"/>
      <c r="I790" s="300">
        <f>F790-G790-H790</f>
        <v>1098.3</v>
      </c>
      <c r="J790" s="286" t="s">
        <v>156</v>
      </c>
      <c r="K790" s="286">
        <v>1</v>
      </c>
      <c r="L790" s="286">
        <v>1</v>
      </c>
      <c r="M790" s="286">
        <v>1</v>
      </c>
      <c r="N790" s="286">
        <v>1</v>
      </c>
      <c r="O790" s="286">
        <v>1</v>
      </c>
      <c r="P790" s="332">
        <v>0</v>
      </c>
      <c r="Q790" s="286">
        <v>1</v>
      </c>
      <c r="R790" s="286">
        <v>1</v>
      </c>
      <c r="S790" s="370">
        <v>0</v>
      </c>
      <c r="T790" s="21">
        <v>1</v>
      </c>
      <c r="U790" s="10"/>
      <c r="V790" s="90">
        <f>125+1126.8</f>
        <v>1251.8</v>
      </c>
      <c r="W790" s="91"/>
      <c r="X790" s="92"/>
    </row>
    <row r="791" spans="1:25">
      <c r="A791" s="2"/>
      <c r="B791" s="87"/>
      <c r="C791" s="36"/>
      <c r="D791" s="10"/>
      <c r="E791" s="10"/>
      <c r="F791" s="97">
        <f>SUM(F778:F790)</f>
        <v>19848</v>
      </c>
      <c r="G791" s="97">
        <f>SUM(G778:G790)</f>
        <v>2153.69</v>
      </c>
      <c r="H791" s="97">
        <f>SUM(H778:H790)</f>
        <v>0</v>
      </c>
      <c r="I791" s="98">
        <f>SUM(I778:I790)</f>
        <v>17694.309999999998</v>
      </c>
      <c r="J791" s="63"/>
      <c r="K791" s="63">
        <f>COUNT(K778:K790)</f>
        <v>13</v>
      </c>
      <c r="L791" s="63">
        <f>COUNT(L778:L790)</f>
        <v>13</v>
      </c>
      <c r="M791" s="63">
        <f>COUNT(M778:M790)</f>
        <v>13</v>
      </c>
      <c r="N791" s="63">
        <f>COUNT(N778:N790)</f>
        <v>13</v>
      </c>
      <c r="O791" s="63">
        <f>COUNT(O778:O790)</f>
        <v>13</v>
      </c>
      <c r="P791" s="63">
        <f>COUNT(P778:P790)</f>
        <v>13</v>
      </c>
      <c r="Q791" s="63">
        <f>COUNT(Q778:Q790)</f>
        <v>13</v>
      </c>
      <c r="R791" s="63">
        <f>COUNT(R778:R790)</f>
        <v>13</v>
      </c>
      <c r="S791" s="63">
        <f>COUNT(S778:S790)</f>
        <v>13</v>
      </c>
      <c r="T791" s="63"/>
      <c r="U791" s="10"/>
      <c r="V791" s="90"/>
      <c r="W791" s="91"/>
      <c r="X791" s="92"/>
    </row>
    <row r="792" spans="1:25">
      <c r="A792" s="2"/>
      <c r="B792" s="87"/>
      <c r="C792" s="36"/>
      <c r="D792" s="10"/>
      <c r="E792" s="10"/>
      <c r="F792" s="88"/>
      <c r="G792" s="88"/>
      <c r="H792" s="88"/>
      <c r="I792" s="99"/>
      <c r="J792" s="63"/>
      <c r="K792" s="21">
        <f>SUM(K778:K790)</f>
        <v>13</v>
      </c>
      <c r="L792" s="21">
        <f>SUM(L778:L790)</f>
        <v>12</v>
      </c>
      <c r="M792" s="21">
        <f>SUM(M778:M790)</f>
        <v>13</v>
      </c>
      <c r="N792" s="21">
        <f>SUM(N778:N790)</f>
        <v>12</v>
      </c>
      <c r="O792" s="21">
        <f>SUM(O778:O790)</f>
        <v>12</v>
      </c>
      <c r="P792" s="21">
        <f>SUM(P778:P790)</f>
        <v>3</v>
      </c>
      <c r="Q792" s="21">
        <f>SUM(Q778:Q790)</f>
        <v>13</v>
      </c>
      <c r="R792" s="21">
        <f>SUM(R778:R790)</f>
        <v>13</v>
      </c>
      <c r="S792" s="21">
        <f>SUM(S778:S790)</f>
        <v>9</v>
      </c>
      <c r="T792" s="63"/>
      <c r="U792" s="10"/>
      <c r="V792" s="90"/>
      <c r="W792" s="91"/>
      <c r="X792" s="92"/>
    </row>
    <row r="793" spans="1:25">
      <c r="A793" s="2"/>
      <c r="B793" s="11"/>
      <c r="C793" s="36"/>
      <c r="D793" s="10"/>
      <c r="E793" s="10"/>
      <c r="F793" s="88"/>
      <c r="G793" s="88"/>
      <c r="H793" s="88"/>
      <c r="I793" s="99"/>
      <c r="J793" s="63"/>
      <c r="K793" s="21"/>
      <c r="L793" s="21"/>
      <c r="M793" s="21"/>
      <c r="N793" s="21"/>
      <c r="O793" s="21"/>
      <c r="P793" s="21"/>
      <c r="Q793" s="21"/>
      <c r="R793" s="21"/>
      <c r="S793" s="21"/>
      <c r="T793" s="63"/>
      <c r="U793" s="94"/>
      <c r="V793" s="90"/>
      <c r="W793" s="91"/>
      <c r="X793" s="92"/>
    </row>
    <row r="794" spans="1:25">
      <c r="A794" s="2"/>
      <c r="B794" s="100" t="s">
        <v>67</v>
      </c>
      <c r="C794" s="36"/>
      <c r="D794" s="323"/>
      <c r="E794" s="10"/>
      <c r="F794" s="88"/>
      <c r="G794" s="62"/>
      <c r="H794" s="88"/>
      <c r="I794" s="99"/>
      <c r="J794" s="63"/>
      <c r="K794" s="2"/>
      <c r="L794" s="2"/>
      <c r="M794" s="2"/>
      <c r="N794" s="2"/>
      <c r="O794" s="2"/>
      <c r="P794" s="2"/>
      <c r="Q794" s="2"/>
      <c r="R794" s="2"/>
      <c r="S794" s="2"/>
      <c r="T794" s="63"/>
      <c r="U794" s="94"/>
      <c r="V794" s="90"/>
      <c r="W794" s="91"/>
      <c r="X794" s="92"/>
    </row>
    <row r="795" spans="1:25">
      <c r="A795" s="261" t="s">
        <v>2103</v>
      </c>
      <c r="B795" s="87">
        <v>1</v>
      </c>
      <c r="C795" s="262">
        <v>45890</v>
      </c>
      <c r="D795" s="263">
        <v>72155</v>
      </c>
      <c r="E795" s="271" t="s">
        <v>296</v>
      </c>
      <c r="F795" s="265">
        <v>681</v>
      </c>
      <c r="G795" s="265">
        <f>200</f>
        <v>200</v>
      </c>
      <c r="H795" s="265"/>
      <c r="I795" s="266">
        <f>F795-G795-H795</f>
        <v>481</v>
      </c>
      <c r="J795" s="267" t="s">
        <v>156</v>
      </c>
      <c r="K795" s="267">
        <v>1</v>
      </c>
      <c r="L795" s="267">
        <v>1</v>
      </c>
      <c r="M795" s="267">
        <v>1</v>
      </c>
      <c r="N795" s="267">
        <v>1</v>
      </c>
      <c r="O795" s="267">
        <v>1</v>
      </c>
      <c r="P795" s="314">
        <v>0</v>
      </c>
      <c r="Q795" s="314">
        <v>0</v>
      </c>
      <c r="R795" s="314">
        <v>0</v>
      </c>
      <c r="S795" s="366">
        <v>0</v>
      </c>
      <c r="T795" s="21">
        <v>1</v>
      </c>
      <c r="U795" s="94" t="s">
        <v>2104</v>
      </c>
      <c r="V795" s="90"/>
      <c r="W795" s="136"/>
      <c r="X795" s="137"/>
      <c r="Y795" s="260"/>
    </row>
    <row r="796" spans="1:25">
      <c r="A796" s="261" t="s">
        <v>2103</v>
      </c>
      <c r="B796" s="87">
        <f>B795+1</f>
        <v>2</v>
      </c>
      <c r="C796" s="274">
        <v>45812</v>
      </c>
      <c r="D796" s="320" t="s">
        <v>1866</v>
      </c>
      <c r="E796" s="276" t="s">
        <v>512</v>
      </c>
      <c r="F796" s="277">
        <v>18061</v>
      </c>
      <c r="G796" s="277">
        <f>39.7+1551+(62.91+128.26+27.45-20.83)+(10.95+18.17+8.58+185.26+145.2+166.5+178.78)+1500</f>
        <v>4001.93</v>
      </c>
      <c r="H796" s="277"/>
      <c r="I796" s="278">
        <f>F796-G796-H796</f>
        <v>14059.07</v>
      </c>
      <c r="J796" s="279" t="s">
        <v>228</v>
      </c>
      <c r="K796" s="279">
        <v>1</v>
      </c>
      <c r="L796" s="279">
        <v>1</v>
      </c>
      <c r="M796" s="279">
        <v>1</v>
      </c>
      <c r="N796" s="279">
        <v>1</v>
      </c>
      <c r="O796" s="279">
        <v>1</v>
      </c>
      <c r="P796" s="279">
        <v>1</v>
      </c>
      <c r="Q796" s="279">
        <v>1</v>
      </c>
      <c r="R796" s="279">
        <v>1</v>
      </c>
      <c r="S796" s="280">
        <v>1</v>
      </c>
      <c r="T796" s="63"/>
      <c r="U796" s="10" t="s">
        <v>1900</v>
      </c>
      <c r="V796" s="90"/>
      <c r="W796" s="136"/>
      <c r="X796" s="137"/>
      <c r="Y796" s="181"/>
    </row>
    <row r="797" spans="1:25">
      <c r="A797" s="261" t="s">
        <v>2103</v>
      </c>
      <c r="B797" s="87">
        <f>B796+1</f>
        <v>3</v>
      </c>
      <c r="C797" s="262">
        <v>45813</v>
      </c>
      <c r="D797" s="357" t="s">
        <v>1868</v>
      </c>
      <c r="E797" s="271" t="s">
        <v>512</v>
      </c>
      <c r="F797" s="265">
        <v>22614</v>
      </c>
      <c r="G797" s="265">
        <f>39.7+47.8+356+1430+(396.09)+(145.2-4.72-2.08+8.58-185.26+9.17+5.35+223.39)+2000</f>
        <v>4469.22</v>
      </c>
      <c r="H797" s="265"/>
      <c r="I797" s="266">
        <f>F797-G797-H797</f>
        <v>18144.78</v>
      </c>
      <c r="J797" s="267" t="s">
        <v>374</v>
      </c>
      <c r="K797" s="267">
        <v>1</v>
      </c>
      <c r="L797" s="267">
        <v>1</v>
      </c>
      <c r="M797" s="267">
        <v>1</v>
      </c>
      <c r="N797" s="267">
        <v>1</v>
      </c>
      <c r="O797" s="267">
        <v>1</v>
      </c>
      <c r="P797" s="314">
        <v>0</v>
      </c>
      <c r="Q797" s="314">
        <v>0</v>
      </c>
      <c r="R797" s="314">
        <v>0</v>
      </c>
      <c r="S797" s="366">
        <v>0</v>
      </c>
      <c r="T797" s="63"/>
      <c r="U797" s="10" t="s">
        <v>1901</v>
      </c>
      <c r="V797" s="90"/>
      <c r="W797" s="136"/>
      <c r="X797" s="137"/>
      <c r="Y797" s="260"/>
    </row>
    <row r="798" spans="1:25" s="381" customFormat="1">
      <c r="A798" s="371" t="s">
        <v>2105</v>
      </c>
      <c r="B798" s="372">
        <f>B797+1</f>
        <v>4</v>
      </c>
      <c r="C798" s="442">
        <v>45859</v>
      </c>
      <c r="D798" s="327">
        <v>71610</v>
      </c>
      <c r="E798" s="444" t="s">
        <v>354</v>
      </c>
      <c r="F798" s="445">
        <f>3261-3261</f>
        <v>0</v>
      </c>
      <c r="G798" s="445">
        <f>39.7-39.7</f>
        <v>0</v>
      </c>
      <c r="H798" s="445"/>
      <c r="I798" s="329">
        <f>F798-G798-H798</f>
        <v>0</v>
      </c>
      <c r="J798" s="322"/>
      <c r="K798" s="322">
        <v>1</v>
      </c>
      <c r="L798" s="322"/>
      <c r="M798" s="322"/>
      <c r="N798" s="322">
        <v>1</v>
      </c>
      <c r="O798" s="322">
        <v>1</v>
      </c>
      <c r="P798" s="322">
        <v>0</v>
      </c>
      <c r="Q798" s="322"/>
      <c r="R798" s="322"/>
      <c r="S798" s="328"/>
      <c r="T798" s="325"/>
      <c r="U798" s="430" t="s">
        <v>1999</v>
      </c>
      <c r="V798" s="377"/>
      <c r="W798" s="392"/>
      <c r="X798" s="379"/>
    </row>
    <row r="799" spans="1:25">
      <c r="A799" s="261" t="s">
        <v>2106</v>
      </c>
      <c r="B799" s="87">
        <f>B798+1</f>
        <v>5</v>
      </c>
      <c r="C799" s="262">
        <v>45888</v>
      </c>
      <c r="D799" s="357" t="s">
        <v>2081</v>
      </c>
      <c r="E799" s="271" t="s">
        <v>291</v>
      </c>
      <c r="F799" s="265">
        <v>12426.9</v>
      </c>
      <c r="G799" s="265">
        <f>39.7+(116.94+15.99)+(107.37+160.65)+1000</f>
        <v>1440.65</v>
      </c>
      <c r="H799" s="265"/>
      <c r="I799" s="272">
        <f>F799-G799-H799</f>
        <v>10986.25</v>
      </c>
      <c r="J799" s="267" t="s">
        <v>228</v>
      </c>
      <c r="K799" s="267">
        <v>1</v>
      </c>
      <c r="L799" s="267">
        <v>1</v>
      </c>
      <c r="M799" s="267">
        <v>1</v>
      </c>
      <c r="N799" s="267">
        <v>1</v>
      </c>
      <c r="O799" s="267">
        <v>1</v>
      </c>
      <c r="P799" s="267">
        <v>1</v>
      </c>
      <c r="Q799" s="267">
        <v>1</v>
      </c>
      <c r="R799" s="267">
        <v>1</v>
      </c>
      <c r="S799" s="269">
        <v>1</v>
      </c>
      <c r="T799" s="63"/>
      <c r="U799" s="94" t="s">
        <v>2107</v>
      </c>
      <c r="V799" s="90">
        <f>7000+2000+2208.39</f>
        <v>11208.39</v>
      </c>
      <c r="W799" s="136"/>
      <c r="X799" s="137"/>
      <c r="Y799" s="260"/>
    </row>
    <row r="800" spans="1:25">
      <c r="A800" s="2"/>
      <c r="B800" s="11"/>
      <c r="C800" s="36"/>
      <c r="D800" s="10"/>
      <c r="E800" s="10"/>
      <c r="F800" s="97">
        <f>SUM(F795:F799)</f>
        <v>53782.9</v>
      </c>
      <c r="G800" s="97">
        <f>SUM(G795:G799)</f>
        <v>10111.800000000001</v>
      </c>
      <c r="H800" s="97">
        <f>SUM(H795:H799)</f>
        <v>0</v>
      </c>
      <c r="I800" s="98">
        <f>SUM(I795:I799)</f>
        <v>43671.1</v>
      </c>
      <c r="J800" s="63"/>
      <c r="K800" s="21"/>
      <c r="L800" s="21"/>
      <c r="M800" s="21"/>
      <c r="N800" s="21"/>
      <c r="O800" s="21"/>
      <c r="P800" s="21"/>
      <c r="Q800" s="21"/>
      <c r="R800" s="21"/>
      <c r="S800" s="21"/>
      <c r="T800" s="63"/>
      <c r="U800" s="94"/>
      <c r="V800" s="90"/>
      <c r="W800" s="91"/>
      <c r="X800" s="92"/>
    </row>
    <row r="801" spans="1:25">
      <c r="A801" s="2"/>
      <c r="B801" s="11"/>
      <c r="C801" s="36"/>
      <c r="D801" s="10"/>
      <c r="E801" s="10"/>
      <c r="F801" s="88"/>
      <c r="G801" s="88"/>
      <c r="H801" s="88"/>
      <c r="I801" s="99"/>
      <c r="J801" s="63"/>
      <c r="K801" s="21"/>
      <c r="L801" s="21"/>
      <c r="M801" s="21"/>
      <c r="N801" s="21"/>
      <c r="O801" s="21"/>
      <c r="P801" s="21"/>
      <c r="Q801" s="21"/>
      <c r="R801" s="21"/>
      <c r="S801" s="21"/>
      <c r="T801" s="63"/>
      <c r="U801" s="94"/>
      <c r="V801" s="90"/>
      <c r="W801" s="91"/>
      <c r="X801" s="92"/>
    </row>
    <row r="802" spans="1:25" s="260" customFormat="1">
      <c r="A802" s="181"/>
      <c r="B802" s="100" t="s">
        <v>152</v>
      </c>
      <c r="C802" s="36"/>
      <c r="D802" s="10"/>
      <c r="E802" s="10"/>
      <c r="F802" s="88"/>
      <c r="G802" s="62"/>
      <c r="H802" s="88"/>
      <c r="I802" s="99"/>
      <c r="J802" s="63"/>
      <c r="K802" s="181"/>
      <c r="L802" s="181"/>
      <c r="M802" s="181"/>
      <c r="N802" s="181"/>
      <c r="O802" s="181"/>
      <c r="P802" s="181"/>
      <c r="Q802" s="181"/>
      <c r="R802" s="181"/>
      <c r="S802" s="181"/>
      <c r="T802" s="63"/>
      <c r="U802" s="10"/>
      <c r="V802" s="90"/>
      <c r="W802" s="91"/>
      <c r="X802" s="92"/>
    </row>
    <row r="803" spans="1:25" s="260" customFormat="1">
      <c r="A803" s="261">
        <v>0.05</v>
      </c>
      <c r="B803" s="87">
        <v>1</v>
      </c>
      <c r="C803" s="262">
        <v>45840</v>
      </c>
      <c r="D803" s="357" t="s">
        <v>1896</v>
      </c>
      <c r="E803" s="264" t="s">
        <v>354</v>
      </c>
      <c r="F803" s="265">
        <v>1681</v>
      </c>
      <c r="G803" s="265">
        <v>39.700000000000003</v>
      </c>
      <c r="H803" s="265"/>
      <c r="I803" s="266">
        <f>F803-G803-H803</f>
        <v>1641.3</v>
      </c>
      <c r="J803" s="267" t="s">
        <v>374</v>
      </c>
      <c r="K803" s="267">
        <v>1</v>
      </c>
      <c r="L803" s="267">
        <v>1</v>
      </c>
      <c r="M803" s="267">
        <v>1</v>
      </c>
      <c r="N803" s="267">
        <v>1</v>
      </c>
      <c r="O803" s="267">
        <v>1</v>
      </c>
      <c r="P803" s="314">
        <v>0</v>
      </c>
      <c r="Q803" s="267">
        <v>1</v>
      </c>
      <c r="R803" s="267">
        <v>1</v>
      </c>
      <c r="S803" s="366">
        <v>0</v>
      </c>
      <c r="T803" s="63"/>
      <c r="U803" s="10" t="s">
        <v>1897</v>
      </c>
      <c r="V803" s="90"/>
      <c r="W803" s="91"/>
      <c r="X803" s="92"/>
    </row>
    <row r="804" spans="1:25" s="260" customFormat="1">
      <c r="A804" s="494">
        <v>0.05</v>
      </c>
      <c r="B804" s="87">
        <f>B803+1</f>
        <v>2</v>
      </c>
      <c r="C804" s="262">
        <v>45849</v>
      </c>
      <c r="D804" s="263">
        <v>71382</v>
      </c>
      <c r="E804" s="271" t="s">
        <v>999</v>
      </c>
      <c r="F804" s="265">
        <v>1861</v>
      </c>
      <c r="G804" s="265">
        <v>39.700000000000003</v>
      </c>
      <c r="H804" s="265"/>
      <c r="I804" s="266">
        <f>F804-G804-H804</f>
        <v>1821.3</v>
      </c>
      <c r="J804" s="267" t="s">
        <v>374</v>
      </c>
      <c r="K804" s="267">
        <v>1</v>
      </c>
      <c r="L804" s="267"/>
      <c r="M804" s="267">
        <v>1</v>
      </c>
      <c r="N804" s="267">
        <v>1</v>
      </c>
      <c r="O804" s="267">
        <v>1</v>
      </c>
      <c r="P804" s="314">
        <v>0</v>
      </c>
      <c r="Q804" s="314">
        <v>0</v>
      </c>
      <c r="R804" s="314">
        <v>0</v>
      </c>
      <c r="S804" s="366">
        <v>0</v>
      </c>
      <c r="T804" s="63"/>
      <c r="U804" s="94" t="s">
        <v>2072</v>
      </c>
      <c r="V804" s="90"/>
      <c r="W804" s="136"/>
      <c r="X804" s="137"/>
    </row>
    <row r="805" spans="1:25" s="260" customFormat="1">
      <c r="A805" s="261">
        <v>0.05</v>
      </c>
      <c r="B805" s="87">
        <f>B804+1</f>
        <v>3</v>
      </c>
      <c r="C805" s="282">
        <v>45861</v>
      </c>
      <c r="D805" s="330" t="s">
        <v>1997</v>
      </c>
      <c r="E805" s="283" t="s">
        <v>270</v>
      </c>
      <c r="F805" s="423">
        <v>5133</v>
      </c>
      <c r="G805" s="284">
        <f>39.7+(1071.49)+250</f>
        <v>1361.19</v>
      </c>
      <c r="H805" s="284"/>
      <c r="I805" s="300">
        <f>F805-G805-H805</f>
        <v>3771.81</v>
      </c>
      <c r="J805" s="286" t="s">
        <v>156</v>
      </c>
      <c r="K805" s="286">
        <v>1</v>
      </c>
      <c r="L805" s="286">
        <v>1</v>
      </c>
      <c r="M805" s="286">
        <v>1</v>
      </c>
      <c r="N805" s="286">
        <v>1</v>
      </c>
      <c r="O805" s="286">
        <v>1</v>
      </c>
      <c r="P805" s="332">
        <v>0</v>
      </c>
      <c r="Q805" s="332">
        <v>0</v>
      </c>
      <c r="R805" s="332">
        <v>0</v>
      </c>
      <c r="S805" s="370">
        <v>0</v>
      </c>
      <c r="T805" s="63"/>
      <c r="U805" s="10" t="s">
        <v>1998</v>
      </c>
      <c r="V805" s="90"/>
      <c r="W805" s="91"/>
      <c r="X805" s="92"/>
    </row>
    <row r="806" spans="1:25" s="260" customFormat="1">
      <c r="A806" s="494" t="s">
        <v>1183</v>
      </c>
      <c r="B806" s="87">
        <f>B805+1</f>
        <v>4</v>
      </c>
      <c r="C806" s="262">
        <v>45867</v>
      </c>
      <c r="D806" s="357" t="s">
        <v>2029</v>
      </c>
      <c r="E806" s="264" t="s">
        <v>158</v>
      </c>
      <c r="F806" s="265">
        <v>4461</v>
      </c>
      <c r="G806" s="265">
        <f>39.7+300</f>
        <v>339.7</v>
      </c>
      <c r="H806" s="265"/>
      <c r="I806" s="266">
        <f>F806-G806-H806</f>
        <v>4121.3</v>
      </c>
      <c r="J806" s="267"/>
      <c r="K806" s="267">
        <v>1</v>
      </c>
      <c r="L806" s="267">
        <v>1</v>
      </c>
      <c r="M806" s="267"/>
      <c r="N806" s="267">
        <v>1</v>
      </c>
      <c r="O806" s="267">
        <v>1</v>
      </c>
      <c r="P806" s="314">
        <v>0</v>
      </c>
      <c r="Q806" s="314">
        <v>0</v>
      </c>
      <c r="R806" s="314">
        <v>0</v>
      </c>
      <c r="S806" s="366">
        <v>0</v>
      </c>
      <c r="T806" s="63"/>
      <c r="U806" s="10" t="s">
        <v>2030</v>
      </c>
      <c r="V806" s="90"/>
      <c r="W806" s="91"/>
      <c r="X806" s="92"/>
    </row>
    <row r="807" spans="1:25" s="342" customFormat="1">
      <c r="A807" s="494">
        <v>0.05</v>
      </c>
      <c r="B807" s="87">
        <f>B806+1</f>
        <v>5</v>
      </c>
      <c r="C807" s="262">
        <v>45876</v>
      </c>
      <c r="D807" s="357">
        <v>72143</v>
      </c>
      <c r="E807" s="264" t="s">
        <v>168</v>
      </c>
      <c r="F807" s="265">
        <v>1461</v>
      </c>
      <c r="G807" s="265">
        <v>39.700000000000003</v>
      </c>
      <c r="H807" s="265"/>
      <c r="I807" s="266">
        <f>F807-G807-H807</f>
        <v>1421.3</v>
      </c>
      <c r="J807" s="267" t="s">
        <v>228</v>
      </c>
      <c r="K807" s="267">
        <v>1</v>
      </c>
      <c r="L807" s="267">
        <v>1</v>
      </c>
      <c r="M807" s="267">
        <v>1</v>
      </c>
      <c r="N807" s="267">
        <v>1</v>
      </c>
      <c r="O807" s="267">
        <v>1</v>
      </c>
      <c r="P807" s="314">
        <v>0</v>
      </c>
      <c r="Q807" s="267">
        <v>1</v>
      </c>
      <c r="R807" s="267">
        <v>1</v>
      </c>
      <c r="S807" s="366">
        <v>0</v>
      </c>
      <c r="T807" s="63"/>
      <c r="U807" s="10"/>
      <c r="V807" s="90"/>
      <c r="W807" s="91"/>
      <c r="X807" s="92"/>
      <c r="Y807" s="260"/>
    </row>
    <row r="808" spans="1:25" s="260" customFormat="1">
      <c r="A808" s="181" t="s">
        <v>2108</v>
      </c>
      <c r="B808" s="87">
        <f t="shared" ref="B808" si="71">B807+1</f>
        <v>6</v>
      </c>
      <c r="C808" s="262">
        <v>45881</v>
      </c>
      <c r="D808" s="357" t="s">
        <v>2070</v>
      </c>
      <c r="E808" s="271" t="s">
        <v>572</v>
      </c>
      <c r="F808" s="265">
        <f>8614-947.54</f>
        <v>7666.46</v>
      </c>
      <c r="G808" s="265">
        <f>39.7+501.6+(1852.97+46.62)+250</f>
        <v>2690.89</v>
      </c>
      <c r="H808" s="265"/>
      <c r="I808" s="266">
        <f>F808-G808-H808</f>
        <v>4975.57</v>
      </c>
      <c r="J808" s="267" t="s">
        <v>156</v>
      </c>
      <c r="K808" s="267">
        <v>1</v>
      </c>
      <c r="L808" s="314">
        <v>0</v>
      </c>
      <c r="M808" s="267">
        <v>1</v>
      </c>
      <c r="N808" s="267">
        <v>1</v>
      </c>
      <c r="O808" s="267">
        <v>1</v>
      </c>
      <c r="P808" s="267">
        <v>1</v>
      </c>
      <c r="Q808" s="267">
        <v>1</v>
      </c>
      <c r="R808" s="267">
        <v>1</v>
      </c>
      <c r="S808" s="269">
        <v>1</v>
      </c>
      <c r="T808" s="63"/>
      <c r="U808" s="94" t="s">
        <v>2087</v>
      </c>
      <c r="V808" s="90"/>
      <c r="W808" s="91"/>
      <c r="X808" s="92"/>
    </row>
    <row r="809" spans="1:25" s="260" customFormat="1">
      <c r="A809" s="181"/>
      <c r="B809" s="11"/>
      <c r="C809" s="36"/>
      <c r="D809" s="10"/>
      <c r="E809" s="10"/>
      <c r="F809" s="98">
        <f>SUM(F803:F808)</f>
        <v>22263.46</v>
      </c>
      <c r="G809" s="98">
        <f>SUM(G803:G808)</f>
        <v>4510.88</v>
      </c>
      <c r="H809" s="98">
        <f>SUM(H803:H808)</f>
        <v>0</v>
      </c>
      <c r="I809" s="98">
        <f>SUM(I803:I808)</f>
        <v>17752.579999999998</v>
      </c>
      <c r="J809" s="63"/>
      <c r="K809" s="21"/>
      <c r="L809" s="21"/>
      <c r="M809" s="21"/>
      <c r="N809" s="21"/>
      <c r="O809" s="21"/>
      <c r="P809" s="21"/>
      <c r="Q809" s="21"/>
      <c r="R809" s="21"/>
      <c r="S809" s="21"/>
      <c r="T809" s="63"/>
      <c r="U809" s="10"/>
      <c r="V809" s="90"/>
      <c r="W809" s="91"/>
      <c r="X809" s="92"/>
    </row>
    <row r="810" spans="1:25" s="260" customFormat="1">
      <c r="A810" s="181"/>
      <c r="B810" s="11"/>
      <c r="C810" s="36"/>
      <c r="D810" s="10"/>
      <c r="E810" s="10"/>
      <c r="F810" s="88"/>
      <c r="G810" s="88"/>
      <c r="H810" s="88"/>
      <c r="I810" s="99"/>
      <c r="J810" s="63"/>
      <c r="K810" s="21"/>
      <c r="L810" s="21"/>
      <c r="M810" s="21"/>
      <c r="N810" s="21"/>
      <c r="O810" s="21"/>
      <c r="P810" s="21"/>
      <c r="Q810" s="21"/>
      <c r="R810" s="21"/>
      <c r="S810" s="21"/>
      <c r="T810" s="63"/>
      <c r="U810" s="10"/>
      <c r="V810" s="90"/>
      <c r="W810" s="91"/>
      <c r="X810" s="92"/>
    </row>
    <row r="811" spans="1:25" s="260" customFormat="1">
      <c r="B811" s="100" t="s">
        <v>202</v>
      </c>
      <c r="C811" s="36"/>
      <c r="D811" s="10"/>
      <c r="E811" s="181"/>
      <c r="F811" s="88"/>
      <c r="G811" s="88"/>
      <c r="H811" s="88"/>
      <c r="I811" s="99"/>
      <c r="J811" s="63"/>
      <c r="K811" s="21"/>
      <c r="L811" s="21"/>
      <c r="M811" s="21"/>
      <c r="N811" s="21"/>
      <c r="O811" s="21"/>
      <c r="P811" s="21"/>
      <c r="Q811" s="21"/>
      <c r="R811" s="21"/>
      <c r="S811" s="21"/>
      <c r="T811" s="63"/>
      <c r="U811" s="10"/>
      <c r="V811" s="90"/>
      <c r="W811" s="91"/>
      <c r="X811" s="92"/>
    </row>
    <row r="812" spans="1:25" s="260" customFormat="1">
      <c r="A812" s="494">
        <v>0.05</v>
      </c>
      <c r="B812" s="87">
        <v>1</v>
      </c>
      <c r="C812" s="274">
        <v>45848</v>
      </c>
      <c r="D812" s="327">
        <v>71381</v>
      </c>
      <c r="E812" s="276" t="s">
        <v>1530</v>
      </c>
      <c r="F812" s="277">
        <f>1223-85</f>
        <v>1138</v>
      </c>
      <c r="G812" s="277">
        <f>39.7</f>
        <v>39.700000000000003</v>
      </c>
      <c r="H812" s="277"/>
      <c r="I812" s="321">
        <f>F812-G812-H812</f>
        <v>1098.3</v>
      </c>
      <c r="J812" s="279" t="s">
        <v>156</v>
      </c>
      <c r="K812" s="279">
        <v>1</v>
      </c>
      <c r="L812" s="279"/>
      <c r="M812" s="279">
        <v>1</v>
      </c>
      <c r="N812" s="279">
        <v>1</v>
      </c>
      <c r="O812" s="279">
        <v>1</v>
      </c>
      <c r="P812" s="322">
        <v>0</v>
      </c>
      <c r="Q812" s="279"/>
      <c r="R812" s="279"/>
      <c r="S812" s="280"/>
      <c r="T812" s="63"/>
      <c r="U812" s="94"/>
      <c r="V812" s="90"/>
      <c r="W812" s="136"/>
      <c r="X812" s="137"/>
    </row>
    <row r="813" spans="1:25" s="260" customFormat="1">
      <c r="A813" s="261">
        <v>0.05</v>
      </c>
      <c r="B813" s="87">
        <f>B812+1</f>
        <v>2</v>
      </c>
      <c r="C813" s="262">
        <v>45889</v>
      </c>
      <c r="D813" s="357" t="s">
        <v>2083</v>
      </c>
      <c r="E813" s="271" t="s">
        <v>2080</v>
      </c>
      <c r="F813" s="265">
        <v>6814</v>
      </c>
      <c r="G813" s="265">
        <f>39.7+300</f>
        <v>339.7</v>
      </c>
      <c r="H813" s="265"/>
      <c r="I813" s="272">
        <f>F813-G813-H813</f>
        <v>6474.3</v>
      </c>
      <c r="J813" s="267" t="s">
        <v>374</v>
      </c>
      <c r="K813" s="267">
        <v>1</v>
      </c>
      <c r="L813" s="267"/>
      <c r="M813" s="267">
        <v>1</v>
      </c>
      <c r="N813" s="267">
        <v>1</v>
      </c>
      <c r="O813" s="267">
        <v>1</v>
      </c>
      <c r="P813" s="267">
        <v>0</v>
      </c>
      <c r="Q813" s="267"/>
      <c r="R813" s="267"/>
      <c r="S813" s="269"/>
      <c r="T813" s="63"/>
      <c r="U813" s="94" t="s">
        <v>2109</v>
      </c>
      <c r="V813" s="90"/>
      <c r="W813" s="136"/>
      <c r="X813" s="137"/>
    </row>
    <row r="814" spans="1:25" s="260" customFormat="1">
      <c r="B814" s="11"/>
      <c r="C814" s="36"/>
      <c r="D814" s="10"/>
      <c r="E814" s="10"/>
      <c r="F814" s="97">
        <f>SUM(F812:F813)</f>
        <v>7952</v>
      </c>
      <c r="G814" s="97">
        <f>SUM(G812:G813)</f>
        <v>379.4</v>
      </c>
      <c r="H814" s="97">
        <f>SUM(H812:H813)</f>
        <v>0</v>
      </c>
      <c r="I814" s="97">
        <f>SUM(I812:I813)</f>
        <v>7572.6</v>
      </c>
      <c r="J814" s="63"/>
      <c r="K814" s="21"/>
      <c r="L814" s="21"/>
      <c r="M814" s="21"/>
      <c r="N814" s="21"/>
      <c r="O814" s="21"/>
      <c r="P814" s="21"/>
      <c r="Q814" s="21"/>
      <c r="R814" s="21"/>
      <c r="S814" s="21"/>
      <c r="T814" s="63"/>
      <c r="U814" s="10"/>
      <c r="V814" s="90"/>
      <c r="W814" s="91"/>
      <c r="X814" s="92"/>
    </row>
    <row r="815" spans="1:25" s="260" customFormat="1">
      <c r="B815" s="11"/>
      <c r="C815" s="36"/>
      <c r="D815" s="10"/>
      <c r="E815" s="10"/>
      <c r="F815" s="88"/>
      <c r="G815" s="88"/>
      <c r="H815" s="88"/>
      <c r="I815" s="99"/>
      <c r="J815" s="10"/>
      <c r="K815" s="63"/>
      <c r="L815" s="63"/>
      <c r="M815" s="63"/>
      <c r="N815" s="63"/>
      <c r="O815" s="63"/>
      <c r="P815" s="63"/>
      <c r="Q815" s="63"/>
      <c r="R815" s="63"/>
      <c r="S815" s="63"/>
      <c r="T815" s="63"/>
      <c r="U815" s="10"/>
      <c r="V815" s="90"/>
      <c r="W815" s="91"/>
      <c r="X815" s="92"/>
    </row>
    <row r="816" spans="1:25">
      <c r="A816" s="2"/>
      <c r="B816" s="100" t="s">
        <v>72</v>
      </c>
      <c r="C816" s="36"/>
      <c r="D816" s="10"/>
      <c r="E816" s="10"/>
      <c r="F816" s="88"/>
      <c r="G816" s="88"/>
      <c r="H816" s="88"/>
      <c r="I816" s="99"/>
      <c r="J816" s="63"/>
      <c r="K816" s="63"/>
      <c r="L816" s="63"/>
      <c r="M816" s="63"/>
      <c r="N816" s="63"/>
      <c r="O816" s="63"/>
      <c r="P816" s="63"/>
      <c r="Q816" s="63"/>
      <c r="R816" s="63"/>
      <c r="S816" s="63"/>
      <c r="T816" s="63"/>
      <c r="U816" s="10"/>
      <c r="V816" s="90"/>
      <c r="W816" s="91"/>
      <c r="X816" s="92"/>
    </row>
    <row r="817" spans="1:24">
      <c r="A817" s="2"/>
      <c r="B817" s="87">
        <v>1</v>
      </c>
      <c r="C817" s="274">
        <v>45894</v>
      </c>
      <c r="D817" s="276">
        <v>72587</v>
      </c>
      <c r="E817" s="276" t="s">
        <v>354</v>
      </c>
      <c r="F817" s="277">
        <v>1333</v>
      </c>
      <c r="G817" s="277">
        <v>39.700000000000003</v>
      </c>
      <c r="H817" s="277"/>
      <c r="I817" s="278">
        <f>F817-G817-H817</f>
        <v>1293.3</v>
      </c>
      <c r="J817" s="279" t="s">
        <v>205</v>
      </c>
      <c r="K817" s="279">
        <v>1</v>
      </c>
      <c r="L817" s="279"/>
      <c r="M817" s="279"/>
      <c r="N817" s="279">
        <v>1</v>
      </c>
      <c r="O817" s="279"/>
      <c r="P817" s="279"/>
      <c r="Q817" s="279">
        <v>1</v>
      </c>
      <c r="R817" s="279">
        <v>1</v>
      </c>
      <c r="S817" s="280"/>
      <c r="T817" s="63"/>
      <c r="U817" s="3"/>
      <c r="V817" s="90"/>
      <c r="W817" s="91"/>
      <c r="X817" s="92"/>
    </row>
    <row r="818" spans="1:24">
      <c r="A818" s="2"/>
      <c r="B818" s="87">
        <f t="shared" ref="B818:B832" si="72">B817+1</f>
        <v>2</v>
      </c>
      <c r="C818" s="295">
        <v>45894</v>
      </c>
      <c r="D818" s="10">
        <v>72572</v>
      </c>
      <c r="E818" s="10" t="s">
        <v>565</v>
      </c>
      <c r="F818" s="62">
        <v>616</v>
      </c>
      <c r="G818" s="62"/>
      <c r="H818" s="62"/>
      <c r="I818" s="89">
        <f>F818-G818-H818</f>
        <v>616</v>
      </c>
      <c r="J818" s="63" t="s">
        <v>205</v>
      </c>
      <c r="K818" s="63">
        <v>1</v>
      </c>
      <c r="L818" s="63"/>
      <c r="M818" s="63"/>
      <c r="N818" s="63">
        <v>1</v>
      </c>
      <c r="O818" s="63"/>
      <c r="P818" s="63"/>
      <c r="Q818" s="63">
        <v>1</v>
      </c>
      <c r="R818" s="63">
        <v>1</v>
      </c>
      <c r="S818" s="296"/>
      <c r="T818" s="63"/>
      <c r="U818" s="10"/>
      <c r="V818" s="90"/>
      <c r="W818" s="136"/>
      <c r="X818" s="137"/>
    </row>
    <row r="819" spans="1:24">
      <c r="A819" s="2"/>
      <c r="B819" s="87">
        <f t="shared" si="72"/>
        <v>3</v>
      </c>
      <c r="C819" s="295">
        <v>45894</v>
      </c>
      <c r="D819" s="10">
        <v>72599</v>
      </c>
      <c r="E819" s="10" t="s">
        <v>837</v>
      </c>
      <c r="F819" s="62">
        <v>681</v>
      </c>
      <c r="G819" s="62"/>
      <c r="H819" s="62"/>
      <c r="I819" s="89">
        <f>F819-G819-H819</f>
        <v>681</v>
      </c>
      <c r="J819" s="63" t="s">
        <v>205</v>
      </c>
      <c r="K819" s="63">
        <v>1</v>
      </c>
      <c r="L819" s="63"/>
      <c r="M819" s="63"/>
      <c r="N819" s="63">
        <v>1</v>
      </c>
      <c r="O819" s="63"/>
      <c r="P819" s="63"/>
      <c r="Q819" s="63">
        <v>1</v>
      </c>
      <c r="R819" s="63">
        <v>1</v>
      </c>
      <c r="S819" s="296"/>
      <c r="T819" s="63"/>
      <c r="U819" s="10"/>
      <c r="V819" s="90"/>
      <c r="W819" s="136"/>
      <c r="X819" s="137"/>
    </row>
    <row r="820" spans="1:24">
      <c r="A820" s="2"/>
      <c r="B820" s="87">
        <f t="shared" si="72"/>
        <v>4</v>
      </c>
      <c r="C820" s="274">
        <v>45895</v>
      </c>
      <c r="D820" s="509" t="s">
        <v>2110</v>
      </c>
      <c r="E820" s="276" t="s">
        <v>401</v>
      </c>
      <c r="F820" s="277">
        <v>16214</v>
      </c>
      <c r="G820" s="277">
        <v>39.700000000000003</v>
      </c>
      <c r="H820" s="277"/>
      <c r="I820" s="278">
        <f>F820-G820-H820</f>
        <v>16174.3</v>
      </c>
      <c r="J820" s="279" t="s">
        <v>205</v>
      </c>
      <c r="K820" s="279">
        <v>1</v>
      </c>
      <c r="L820" s="279"/>
      <c r="M820" s="279"/>
      <c r="N820" s="279">
        <v>1</v>
      </c>
      <c r="O820" s="279"/>
      <c r="P820" s="279"/>
      <c r="Q820" s="279"/>
      <c r="R820" s="279"/>
      <c r="S820" s="280"/>
      <c r="T820" s="63"/>
      <c r="U820" s="10" t="s">
        <v>2111</v>
      </c>
      <c r="V820" s="90"/>
      <c r="W820" s="136"/>
      <c r="X820" s="137"/>
    </row>
    <row r="821" spans="1:24">
      <c r="A821" s="2"/>
      <c r="B821" s="87">
        <f t="shared" si="72"/>
        <v>5</v>
      </c>
      <c r="C821" s="295">
        <v>45895</v>
      </c>
      <c r="D821" s="10" t="s">
        <v>2112</v>
      </c>
      <c r="E821" s="10" t="s">
        <v>271</v>
      </c>
      <c r="F821" s="62">
        <v>2614</v>
      </c>
      <c r="G821" s="62">
        <v>39.700000000000003</v>
      </c>
      <c r="H821" s="62"/>
      <c r="I821" s="89">
        <f>F821-G821-H821</f>
        <v>2574.3000000000002</v>
      </c>
      <c r="J821" s="63" t="s">
        <v>205</v>
      </c>
      <c r="K821" s="63">
        <v>1</v>
      </c>
      <c r="L821" s="63"/>
      <c r="M821" s="63"/>
      <c r="N821" s="63">
        <v>1</v>
      </c>
      <c r="O821" s="63"/>
      <c r="P821" s="63"/>
      <c r="Q821" s="63">
        <v>1</v>
      </c>
      <c r="R821" s="63">
        <v>1</v>
      </c>
      <c r="S821" s="296"/>
      <c r="T821" s="63"/>
      <c r="U821" s="10"/>
      <c r="V821" s="90"/>
      <c r="W821" s="136"/>
      <c r="X821" s="137"/>
    </row>
    <row r="822" spans="1:24">
      <c r="A822" s="2"/>
      <c r="B822" s="87">
        <f t="shared" si="72"/>
        <v>6</v>
      </c>
      <c r="C822" s="295">
        <v>45895</v>
      </c>
      <c r="D822" s="10" t="s">
        <v>2113</v>
      </c>
      <c r="E822" s="10" t="s">
        <v>271</v>
      </c>
      <c r="F822" s="62">
        <v>2461</v>
      </c>
      <c r="G822" s="62">
        <v>39.700000000000003</v>
      </c>
      <c r="H822" s="62"/>
      <c r="I822" s="89">
        <f>F822-G822-H822</f>
        <v>2421.3000000000002</v>
      </c>
      <c r="J822" s="63" t="s">
        <v>205</v>
      </c>
      <c r="K822" s="63">
        <v>1</v>
      </c>
      <c r="L822" s="63"/>
      <c r="M822" s="63"/>
      <c r="N822" s="63">
        <v>1</v>
      </c>
      <c r="O822" s="63"/>
      <c r="P822" s="63"/>
      <c r="Q822" s="63">
        <v>1</v>
      </c>
      <c r="R822" s="63">
        <v>1</v>
      </c>
      <c r="S822" s="296"/>
      <c r="T822" s="63"/>
      <c r="U822" s="10"/>
      <c r="V822" s="90"/>
      <c r="W822" s="136"/>
      <c r="X822" s="137"/>
    </row>
    <row r="823" spans="1:24">
      <c r="A823" s="2"/>
      <c r="B823" s="87">
        <f t="shared" si="72"/>
        <v>7</v>
      </c>
      <c r="C823" s="295">
        <v>45895</v>
      </c>
      <c r="D823" s="10">
        <v>72642</v>
      </c>
      <c r="E823" s="101" t="s">
        <v>398</v>
      </c>
      <c r="F823" s="62">
        <v>0</v>
      </c>
      <c r="G823" s="62">
        <v>0</v>
      </c>
      <c r="H823" s="62"/>
      <c r="I823" s="89">
        <f>F823-G823-H823</f>
        <v>0</v>
      </c>
      <c r="J823" s="63" t="s">
        <v>219</v>
      </c>
      <c r="K823" s="63"/>
      <c r="L823" s="63"/>
      <c r="M823" s="63"/>
      <c r="N823" s="63"/>
      <c r="O823" s="63"/>
      <c r="P823" s="63"/>
      <c r="Q823" s="63"/>
      <c r="R823" s="63"/>
      <c r="S823" s="296"/>
      <c r="T823" s="63"/>
      <c r="U823" s="10"/>
      <c r="V823" s="90"/>
      <c r="W823" s="136"/>
      <c r="X823" s="137"/>
    </row>
    <row r="824" spans="1:24">
      <c r="A824" s="2"/>
      <c r="B824" s="87">
        <f t="shared" si="72"/>
        <v>8</v>
      </c>
      <c r="C824" s="295">
        <v>45895</v>
      </c>
      <c r="D824" s="10">
        <v>72652</v>
      </c>
      <c r="E824" s="101" t="s">
        <v>330</v>
      </c>
      <c r="F824" s="62">
        <v>396</v>
      </c>
      <c r="G824" s="62"/>
      <c r="H824" s="62"/>
      <c r="I824" s="89">
        <f>F824-G824-H824</f>
        <v>396</v>
      </c>
      <c r="J824" s="63" t="s">
        <v>205</v>
      </c>
      <c r="K824" s="63">
        <v>1</v>
      </c>
      <c r="L824" s="63"/>
      <c r="M824" s="63"/>
      <c r="N824" s="63">
        <v>1</v>
      </c>
      <c r="O824" s="63"/>
      <c r="P824" s="63"/>
      <c r="Q824" s="63">
        <v>1</v>
      </c>
      <c r="R824" s="63">
        <v>1</v>
      </c>
      <c r="S824" s="296"/>
      <c r="T824" s="63"/>
      <c r="U824" s="10"/>
      <c r="V824" s="90"/>
      <c r="W824" s="136"/>
      <c r="X824" s="137"/>
    </row>
    <row r="825" spans="1:24">
      <c r="A825" s="2"/>
      <c r="B825" s="87">
        <f>B824+1</f>
        <v>9</v>
      </c>
      <c r="C825" s="274">
        <v>45896</v>
      </c>
      <c r="D825" s="276">
        <v>72602</v>
      </c>
      <c r="E825" s="281" t="s">
        <v>509</v>
      </c>
      <c r="F825" s="277">
        <v>681</v>
      </c>
      <c r="G825" s="277"/>
      <c r="H825" s="277"/>
      <c r="I825" s="278">
        <f>F825-G825-H825</f>
        <v>681</v>
      </c>
      <c r="J825" s="279" t="s">
        <v>205</v>
      </c>
      <c r="K825" s="279">
        <v>1</v>
      </c>
      <c r="L825" s="279"/>
      <c r="M825" s="279"/>
      <c r="N825" s="279">
        <v>1</v>
      </c>
      <c r="O825" s="279"/>
      <c r="P825" s="279"/>
      <c r="Q825" s="279">
        <v>1</v>
      </c>
      <c r="R825" s="279">
        <v>1</v>
      </c>
      <c r="S825" s="280"/>
      <c r="T825" s="63"/>
      <c r="U825" s="10"/>
      <c r="V825" s="90"/>
      <c r="W825" s="136"/>
      <c r="X825" s="137"/>
    </row>
    <row r="826" spans="1:24">
      <c r="A826" s="2"/>
      <c r="B826" s="87">
        <f t="shared" si="72"/>
        <v>10</v>
      </c>
      <c r="C826" s="295">
        <v>45896</v>
      </c>
      <c r="D826" s="10">
        <v>72605</v>
      </c>
      <c r="E826" s="101" t="s">
        <v>999</v>
      </c>
      <c r="F826" s="62">
        <v>1261</v>
      </c>
      <c r="G826" s="62">
        <v>39.700000000000003</v>
      </c>
      <c r="H826" s="62"/>
      <c r="I826" s="89">
        <f>F826-G826-H826</f>
        <v>1221.3</v>
      </c>
      <c r="J826" s="63" t="s">
        <v>205</v>
      </c>
      <c r="K826" s="63">
        <v>1</v>
      </c>
      <c r="L826" s="63"/>
      <c r="M826" s="63"/>
      <c r="N826" s="63">
        <v>1</v>
      </c>
      <c r="O826" s="63"/>
      <c r="P826" s="63"/>
      <c r="Q826" s="63"/>
      <c r="R826" s="63"/>
      <c r="S826" s="296"/>
      <c r="T826" s="63"/>
      <c r="U826" s="10"/>
      <c r="V826" s="90"/>
      <c r="W826" s="136"/>
      <c r="X826" s="137"/>
    </row>
    <row r="827" spans="1:24">
      <c r="A827" s="2"/>
      <c r="B827" s="87">
        <f t="shared" si="72"/>
        <v>11</v>
      </c>
      <c r="C827" s="274">
        <v>45897</v>
      </c>
      <c r="D827" s="276">
        <v>72715</v>
      </c>
      <c r="E827" s="281" t="s">
        <v>354</v>
      </c>
      <c r="F827" s="277">
        <v>1628</v>
      </c>
      <c r="G827" s="277">
        <v>39.700000000000003</v>
      </c>
      <c r="H827" s="277"/>
      <c r="I827" s="278">
        <f>F827-G827-H827</f>
        <v>1588.3</v>
      </c>
      <c r="J827" s="279" t="s">
        <v>205</v>
      </c>
      <c r="K827" s="279">
        <v>1</v>
      </c>
      <c r="L827" s="279"/>
      <c r="M827" s="279"/>
      <c r="N827" s="279">
        <v>1</v>
      </c>
      <c r="O827" s="279"/>
      <c r="P827" s="279"/>
      <c r="Q827" s="279">
        <v>1</v>
      </c>
      <c r="R827" s="279">
        <v>1</v>
      </c>
      <c r="S827" s="280"/>
      <c r="T827" s="63"/>
      <c r="U827" s="10"/>
      <c r="V827" s="90"/>
      <c r="W827" s="136"/>
      <c r="X827" s="137"/>
    </row>
    <row r="828" spans="1:24">
      <c r="A828" s="2"/>
      <c r="B828" s="87">
        <f t="shared" si="72"/>
        <v>12</v>
      </c>
      <c r="C828" s="295">
        <v>45897</v>
      </c>
      <c r="D828" s="10">
        <v>72732</v>
      </c>
      <c r="E828" s="101" t="s">
        <v>168</v>
      </c>
      <c r="F828" s="62">
        <v>2035</v>
      </c>
      <c r="G828" s="62">
        <v>39.700000000000003</v>
      </c>
      <c r="H828" s="62"/>
      <c r="I828" s="89">
        <f>F828-G828-H828</f>
        <v>1995.3</v>
      </c>
      <c r="J828" s="63" t="s">
        <v>205</v>
      </c>
      <c r="K828" s="63">
        <v>1</v>
      </c>
      <c r="L828" s="63"/>
      <c r="M828" s="63"/>
      <c r="N828" s="63">
        <v>1</v>
      </c>
      <c r="O828" s="63"/>
      <c r="P828" s="63"/>
      <c r="Q828" s="63">
        <v>1</v>
      </c>
      <c r="R828" s="63">
        <v>1</v>
      </c>
      <c r="S828" s="296"/>
      <c r="T828" s="63"/>
      <c r="U828" s="10"/>
      <c r="V828" s="90"/>
      <c r="W828" s="136"/>
      <c r="X828" s="137"/>
    </row>
    <row r="829" spans="1:24">
      <c r="A829" s="2"/>
      <c r="B829" s="87">
        <f t="shared" si="72"/>
        <v>13</v>
      </c>
      <c r="C829" s="295">
        <v>45897</v>
      </c>
      <c r="D829" s="10" t="s">
        <v>2114</v>
      </c>
      <c r="E829" s="10" t="s">
        <v>2007</v>
      </c>
      <c r="F829" s="62">
        <v>3857</v>
      </c>
      <c r="G829" s="62">
        <v>39.700000000000003</v>
      </c>
      <c r="H829" s="62"/>
      <c r="I829" s="89">
        <f>F829-G829-H829</f>
        <v>3817.3</v>
      </c>
      <c r="J829" s="63" t="s">
        <v>205</v>
      </c>
      <c r="K829" s="63">
        <v>1</v>
      </c>
      <c r="L829" s="63"/>
      <c r="M829" s="63"/>
      <c r="N829" s="63">
        <v>1</v>
      </c>
      <c r="O829" s="63"/>
      <c r="P829" s="63"/>
      <c r="Q829" s="63">
        <v>1</v>
      </c>
      <c r="R829" s="63">
        <v>1</v>
      </c>
      <c r="S829" s="296"/>
      <c r="T829" s="63"/>
      <c r="U829" s="10"/>
      <c r="V829" s="90"/>
      <c r="W829" s="136"/>
      <c r="X829" s="137"/>
    </row>
    <row r="830" spans="1:24">
      <c r="A830" s="2"/>
      <c r="B830" s="87">
        <f t="shared" si="72"/>
        <v>14</v>
      </c>
      <c r="C830" s="295">
        <v>45897</v>
      </c>
      <c r="D830" s="10" t="s">
        <v>2115</v>
      </c>
      <c r="E830" s="10" t="s">
        <v>2007</v>
      </c>
      <c r="F830" s="62">
        <v>581</v>
      </c>
      <c r="G830" s="62"/>
      <c r="H830" s="62"/>
      <c r="I830" s="89">
        <f>F830-G830-H830</f>
        <v>581</v>
      </c>
      <c r="J830" s="63" t="s">
        <v>205</v>
      </c>
      <c r="K830" s="63">
        <v>1</v>
      </c>
      <c r="L830" s="63"/>
      <c r="M830" s="63"/>
      <c r="N830" s="63">
        <v>1</v>
      </c>
      <c r="O830" s="63"/>
      <c r="P830" s="63"/>
      <c r="Q830" s="63">
        <v>1</v>
      </c>
      <c r="R830" s="63">
        <v>1</v>
      </c>
      <c r="S830" s="296"/>
      <c r="T830" s="63"/>
      <c r="U830" s="10"/>
      <c r="V830" s="90"/>
      <c r="W830" s="136"/>
      <c r="X830" s="137"/>
    </row>
    <row r="831" spans="1:24">
      <c r="A831" s="2"/>
      <c r="B831" s="87">
        <f t="shared" si="72"/>
        <v>15</v>
      </c>
      <c r="C831" s="295">
        <v>45897</v>
      </c>
      <c r="D831" s="10">
        <v>72727</v>
      </c>
      <c r="E831" s="10" t="s">
        <v>209</v>
      </c>
      <c r="F831" s="62">
        <v>1138</v>
      </c>
      <c r="G831" s="62">
        <v>39.700000000000003</v>
      </c>
      <c r="H831" s="62"/>
      <c r="I831" s="89">
        <f>F831-G831-H831</f>
        <v>1098.3</v>
      </c>
      <c r="J831" s="63" t="s">
        <v>205</v>
      </c>
      <c r="K831" s="63">
        <v>1</v>
      </c>
      <c r="L831" s="63"/>
      <c r="M831" s="63"/>
      <c r="N831" s="63">
        <v>1</v>
      </c>
      <c r="O831" s="63"/>
      <c r="P831" s="63"/>
      <c r="Q831" s="63">
        <v>1</v>
      </c>
      <c r="R831" s="63">
        <v>1</v>
      </c>
      <c r="S831" s="296"/>
      <c r="T831" s="63"/>
      <c r="U831" s="10"/>
      <c r="V831" s="90"/>
      <c r="W831" s="136"/>
      <c r="X831" s="137"/>
    </row>
    <row r="832" spans="1:24">
      <c r="A832" s="2"/>
      <c r="B832" s="87">
        <f t="shared" si="72"/>
        <v>16</v>
      </c>
      <c r="C832" s="274">
        <v>45898</v>
      </c>
      <c r="D832" s="275" t="s">
        <v>2116</v>
      </c>
      <c r="E832" s="276" t="s">
        <v>354</v>
      </c>
      <c r="F832" s="277">
        <v>681</v>
      </c>
      <c r="G832" s="277"/>
      <c r="H832" s="277"/>
      <c r="I832" s="278">
        <f>F832-G832-H832</f>
        <v>681</v>
      </c>
      <c r="J832" s="279" t="s">
        <v>205</v>
      </c>
      <c r="K832" s="279">
        <v>1</v>
      </c>
      <c r="L832" s="279"/>
      <c r="M832" s="279"/>
      <c r="N832" s="279">
        <v>1</v>
      </c>
      <c r="O832" s="279"/>
      <c r="P832" s="279"/>
      <c r="Q832" s="279"/>
      <c r="R832" s="279"/>
      <c r="S832" s="280"/>
      <c r="T832" s="63"/>
      <c r="U832" s="10"/>
      <c r="V832" s="90"/>
      <c r="W832" s="136"/>
      <c r="X832" s="137"/>
    </row>
    <row r="833" spans="1:24">
      <c r="A833" s="2"/>
      <c r="B833" s="87">
        <f>B832+1</f>
        <v>17</v>
      </c>
      <c r="C833" s="295">
        <v>45898</v>
      </c>
      <c r="D833" s="10" t="s">
        <v>2117</v>
      </c>
      <c r="E833" s="10" t="s">
        <v>206</v>
      </c>
      <c r="F833" s="62">
        <v>5133</v>
      </c>
      <c r="G833" s="62">
        <v>39.700000000000003</v>
      </c>
      <c r="H833" s="62"/>
      <c r="I833" s="89">
        <f>F833-G833-H833</f>
        <v>5093.3</v>
      </c>
      <c r="J833" s="63" t="s">
        <v>205</v>
      </c>
      <c r="K833" s="63">
        <v>1</v>
      </c>
      <c r="L833" s="63"/>
      <c r="M833" s="63"/>
      <c r="N833" s="63">
        <v>1</v>
      </c>
      <c r="O833" s="63"/>
      <c r="P833" s="63"/>
      <c r="Q833" s="63"/>
      <c r="R833" s="63"/>
      <c r="S833" s="296"/>
      <c r="T833" s="63"/>
      <c r="U833" s="10"/>
      <c r="V833" s="90"/>
      <c r="W833" s="136"/>
      <c r="X833" s="137"/>
    </row>
    <row r="834" spans="1:24">
      <c r="A834" s="2"/>
      <c r="B834" s="87">
        <f>B833+1</f>
        <v>18</v>
      </c>
      <c r="C834" s="295">
        <v>45898</v>
      </c>
      <c r="D834" s="10" t="s">
        <v>2118</v>
      </c>
      <c r="E834" s="10" t="s">
        <v>349</v>
      </c>
      <c r="F834" s="62">
        <v>4861</v>
      </c>
      <c r="G834" s="62">
        <v>39.700000000000003</v>
      </c>
      <c r="H834" s="62"/>
      <c r="I834" s="89">
        <f>F834-G834-H834</f>
        <v>4821.3</v>
      </c>
      <c r="J834" s="63" t="s">
        <v>205</v>
      </c>
      <c r="K834" s="63">
        <v>1</v>
      </c>
      <c r="L834" s="63"/>
      <c r="M834" s="63"/>
      <c r="N834" s="63">
        <v>1</v>
      </c>
      <c r="O834" s="63"/>
      <c r="P834" s="63"/>
      <c r="Q834" s="63"/>
      <c r="R834" s="63"/>
      <c r="S834" s="296"/>
      <c r="T834" s="63"/>
      <c r="U834" s="10"/>
      <c r="V834" s="90"/>
      <c r="W834" s="136"/>
      <c r="X834" s="137"/>
    </row>
    <row r="835" spans="1:24">
      <c r="A835" s="388">
        <v>45905</v>
      </c>
      <c r="B835" s="87">
        <f>B834+1</f>
        <v>19</v>
      </c>
      <c r="C835" s="282">
        <v>45898</v>
      </c>
      <c r="D835" s="283">
        <v>72810</v>
      </c>
      <c r="E835" s="283" t="s">
        <v>1012</v>
      </c>
      <c r="F835" s="284">
        <v>1831.5</v>
      </c>
      <c r="G835" s="284">
        <v>39.700000000000003</v>
      </c>
      <c r="H835" s="284"/>
      <c r="I835" s="285">
        <f>F835-G835-H835</f>
        <v>1791.8</v>
      </c>
      <c r="J835" s="286" t="s">
        <v>156</v>
      </c>
      <c r="K835" s="286">
        <v>1</v>
      </c>
      <c r="L835" s="286"/>
      <c r="M835" s="286">
        <v>1</v>
      </c>
      <c r="N835" s="286">
        <v>1</v>
      </c>
      <c r="O835" s="286"/>
      <c r="P835" s="286"/>
      <c r="Q835" s="286">
        <v>1</v>
      </c>
      <c r="R835" s="286">
        <v>1</v>
      </c>
      <c r="S835" s="287"/>
      <c r="T835" s="63"/>
      <c r="U835" s="10" t="s">
        <v>2119</v>
      </c>
      <c r="V835" s="90">
        <v>203.5</v>
      </c>
      <c r="W835" s="136"/>
      <c r="X835" s="137"/>
    </row>
    <row r="836" spans="1:24">
      <c r="A836" s="2"/>
      <c r="B836" s="11"/>
      <c r="C836" s="36"/>
      <c r="D836" s="10"/>
      <c r="E836" s="10"/>
      <c r="F836" s="97">
        <f>SUM(F817:F835)</f>
        <v>48002.5</v>
      </c>
      <c r="G836" s="97">
        <f>SUM(G817:G835)</f>
        <v>476.39999999999992</v>
      </c>
      <c r="H836" s="97">
        <f>SUM(H817:H835)</f>
        <v>0</v>
      </c>
      <c r="I836" s="98">
        <f>SUM(I817:I835)</f>
        <v>47526.100000000006</v>
      </c>
      <c r="J836" s="10"/>
      <c r="K836" s="10"/>
      <c r="L836" s="10"/>
      <c r="M836" s="10"/>
      <c r="N836" s="10"/>
      <c r="O836" s="10"/>
      <c r="P836" s="10"/>
      <c r="Q836" s="10"/>
      <c r="R836" s="10"/>
      <c r="S836" s="10"/>
      <c r="T836" s="63"/>
      <c r="U836" s="10"/>
      <c r="V836" s="138"/>
      <c r="W836" s="136"/>
      <c r="X836" s="137"/>
    </row>
    <row r="837" spans="1:24">
      <c r="A837" s="2"/>
      <c r="B837" s="26"/>
      <c r="C837" s="140"/>
      <c r="D837" s="141"/>
      <c r="E837" s="141"/>
      <c r="F837" s="141"/>
      <c r="G837" s="141"/>
      <c r="H837" s="141"/>
      <c r="I837" s="141"/>
      <c r="J837" s="141"/>
      <c r="K837" s="142"/>
      <c r="L837" s="142"/>
      <c r="M837" s="142"/>
      <c r="N837" s="142"/>
      <c r="O837" s="142"/>
      <c r="P837" s="142"/>
      <c r="Q837" s="142"/>
      <c r="R837" s="142"/>
      <c r="S837" s="142"/>
      <c r="T837" s="143">
        <f>SUM(T778:T836)</f>
        <v>7</v>
      </c>
      <c r="U837" s="141"/>
      <c r="V837" s="144">
        <f>SUM(V778:V836)</f>
        <v>33244.689999999995</v>
      </c>
      <c r="W837" s="145">
        <f>SUM(W778:W836)</f>
        <v>0</v>
      </c>
      <c r="X837" s="146">
        <f>SUM(X778:X836)</f>
        <v>0</v>
      </c>
    </row>
    <row r="840" spans="1:24">
      <c r="B840" s="4" t="s">
        <v>1</v>
      </c>
      <c r="C840" s="5"/>
      <c r="D840" s="6"/>
      <c r="E840" s="6"/>
      <c r="F840" s="7" t="s">
        <v>2</v>
      </c>
      <c r="G840" s="8">
        <v>45907</v>
      </c>
      <c r="H840" s="7"/>
      <c r="I840" s="6"/>
      <c r="J840" s="6"/>
      <c r="K840" s="6"/>
      <c r="L840" s="6"/>
      <c r="M840" s="6"/>
      <c r="N840" s="6"/>
      <c r="O840" s="6"/>
      <c r="P840" s="6"/>
      <c r="Q840" s="6"/>
      <c r="R840" s="6"/>
      <c r="S840" s="6"/>
      <c r="T840" s="6"/>
      <c r="U840" s="9"/>
      <c r="V840" s="10"/>
      <c r="W840" s="10"/>
      <c r="X840" s="10"/>
    </row>
    <row r="841" spans="1:24">
      <c r="B841" s="11"/>
      <c r="C841" s="10"/>
      <c r="D841" s="10"/>
      <c r="E841" s="10"/>
      <c r="F841" s="10"/>
      <c r="G841" s="7"/>
      <c r="H841" s="12"/>
      <c r="I841" s="10"/>
      <c r="J841" s="10"/>
      <c r="K841" s="13" t="s">
        <v>3</v>
      </c>
      <c r="L841" s="14"/>
      <c r="M841" s="15"/>
      <c r="N841" s="13" t="s">
        <v>4</v>
      </c>
      <c r="O841" s="14"/>
      <c r="P841" s="15"/>
      <c r="Q841" s="13" t="s">
        <v>5</v>
      </c>
      <c r="R841" s="14"/>
      <c r="S841" s="15"/>
      <c r="T841" s="16"/>
      <c r="U841" s="17"/>
      <c r="V841" s="10"/>
      <c r="W841" s="10"/>
      <c r="X841" s="10"/>
    </row>
    <row r="842" spans="1:24">
      <c r="B842" s="18" t="s">
        <v>6</v>
      </c>
      <c r="C842" s="19">
        <f>C843+C844</f>
        <v>40</v>
      </c>
      <c r="D842" s="10"/>
      <c r="E842" s="18" t="s">
        <v>7</v>
      </c>
      <c r="F842" s="6"/>
      <c r="G842" s="9"/>
      <c r="H842" s="10"/>
      <c r="I842" s="10"/>
      <c r="J842" s="10"/>
      <c r="K842" s="20" t="s">
        <v>8</v>
      </c>
      <c r="L842" s="21" t="s">
        <v>9</v>
      </c>
      <c r="M842" s="21" t="s">
        <v>10</v>
      </c>
      <c r="N842" s="20" t="s">
        <v>11</v>
      </c>
      <c r="O842" s="21" t="s">
        <v>12</v>
      </c>
      <c r="P842" s="22" t="s">
        <v>13</v>
      </c>
      <c r="Q842" s="21" t="s">
        <v>11</v>
      </c>
      <c r="R842" s="21" t="s">
        <v>12</v>
      </c>
      <c r="S842" s="22" t="s">
        <v>13</v>
      </c>
      <c r="T842" s="23" t="s">
        <v>14</v>
      </c>
      <c r="U842" s="17"/>
      <c r="V842" s="10"/>
      <c r="W842" s="10"/>
      <c r="X842" s="10"/>
    </row>
    <row r="843" spans="1:24">
      <c r="B843" s="24" t="s">
        <v>15</v>
      </c>
      <c r="C843" s="25">
        <f>P850</f>
        <v>14</v>
      </c>
      <c r="D843" s="10"/>
      <c r="E843" s="26" t="s">
        <v>16</v>
      </c>
      <c r="F843" s="27">
        <v>0.05</v>
      </c>
      <c r="G843" s="28"/>
      <c r="H843" s="10"/>
      <c r="I843" s="10"/>
      <c r="J843" s="18" t="s">
        <v>17</v>
      </c>
      <c r="K843" s="29">
        <f>K877</f>
        <v>9</v>
      </c>
      <c r="L843" s="29">
        <f>L877</f>
        <v>8</v>
      </c>
      <c r="M843" s="29">
        <f>M877</f>
        <v>7</v>
      </c>
      <c r="N843" s="29">
        <f>N877</f>
        <v>9</v>
      </c>
      <c r="O843" s="29">
        <f>O877</f>
        <v>9</v>
      </c>
      <c r="P843" s="29">
        <f>P877</f>
        <v>1</v>
      </c>
      <c r="Q843" s="29">
        <f>Q877</f>
        <v>8</v>
      </c>
      <c r="R843" s="29">
        <f>R877</f>
        <v>8</v>
      </c>
      <c r="S843" s="29">
        <f>S877</f>
        <v>8</v>
      </c>
      <c r="T843" s="30">
        <f>T935</f>
        <v>2</v>
      </c>
      <c r="U843" s="17" t="s">
        <v>2120</v>
      </c>
      <c r="V843" s="10"/>
      <c r="W843" s="10"/>
      <c r="X843" s="10"/>
    </row>
    <row r="844" spans="1:24">
      <c r="B844" s="24" t="s">
        <v>18</v>
      </c>
      <c r="C844" s="25">
        <f>P851</f>
        <v>26</v>
      </c>
      <c r="D844" s="10"/>
      <c r="E844" s="10"/>
      <c r="F844" s="10"/>
      <c r="G844" s="31"/>
      <c r="H844" s="10"/>
      <c r="I844" s="10"/>
      <c r="J844" s="32" t="s">
        <v>19</v>
      </c>
      <c r="K844" s="33">
        <f>K877/K876</f>
        <v>1</v>
      </c>
      <c r="L844" s="33">
        <f>L877/L876</f>
        <v>0.88888888888888884</v>
      </c>
      <c r="M844" s="33">
        <f>M877/M876</f>
        <v>0.77777777777777779</v>
      </c>
      <c r="N844" s="33">
        <f>N877/N876</f>
        <v>1</v>
      </c>
      <c r="O844" s="33">
        <f>O877/O876</f>
        <v>1</v>
      </c>
      <c r="P844" s="33">
        <f>P877/P876</f>
        <v>0.1111111111111111</v>
      </c>
      <c r="Q844" s="33">
        <f>Q877/Q876</f>
        <v>0.88888888888888884</v>
      </c>
      <c r="R844" s="33">
        <f>R877/R876</f>
        <v>0.88888888888888884</v>
      </c>
      <c r="S844" s="33">
        <f>S877/S876</f>
        <v>0.88888888888888884</v>
      </c>
      <c r="T844" s="23"/>
      <c r="U844" s="17" t="s">
        <v>20</v>
      </c>
      <c r="V844" s="10"/>
      <c r="W844" s="10"/>
      <c r="X844" s="10"/>
    </row>
    <row r="845" spans="1:24">
      <c r="B845" s="24" t="s">
        <v>21</v>
      </c>
      <c r="C845" s="34">
        <f>P852</f>
        <v>0.35</v>
      </c>
      <c r="D845" s="10"/>
      <c r="E845" s="10"/>
      <c r="F845" s="10"/>
      <c r="G845" s="10"/>
      <c r="H845" s="10"/>
      <c r="I845" s="10"/>
      <c r="J845" s="10"/>
      <c r="K845" s="10"/>
      <c r="L845" s="10"/>
      <c r="M845" s="10"/>
      <c r="N845" s="10"/>
      <c r="O845" s="10"/>
      <c r="P845" s="10"/>
      <c r="Q845" s="10"/>
      <c r="R845" s="10"/>
      <c r="S845" s="10"/>
      <c r="T845" s="10"/>
      <c r="U845" s="17"/>
      <c r="V845" s="10"/>
      <c r="W845" s="10"/>
      <c r="X845" s="10"/>
    </row>
    <row r="846" spans="1:24">
      <c r="B846" s="24"/>
      <c r="C846" s="25"/>
      <c r="D846" s="10"/>
      <c r="E846" s="10"/>
      <c r="F846" s="18" t="s">
        <v>22</v>
      </c>
      <c r="G846" s="19" t="s">
        <v>23</v>
      </c>
      <c r="H846" s="35" t="s">
        <v>24</v>
      </c>
      <c r="I846" s="10"/>
      <c r="J846" s="10"/>
      <c r="K846" s="36"/>
      <c r="L846" s="36"/>
      <c r="M846" s="36"/>
      <c r="N846" s="36"/>
      <c r="O846" s="36"/>
      <c r="P846" s="36"/>
      <c r="Q846" s="36"/>
      <c r="R846" s="10"/>
      <c r="S846" s="10"/>
      <c r="T846" s="10"/>
      <c r="U846" s="17"/>
      <c r="V846" s="10"/>
      <c r="W846" s="10"/>
      <c r="X846" s="10"/>
    </row>
    <row r="847" spans="1:24" ht="17.25" customHeight="1">
      <c r="B847" s="32" t="s">
        <v>25</v>
      </c>
      <c r="C847" s="37">
        <f>P853</f>
        <v>3483.9978571428574</v>
      </c>
      <c r="D847" s="10"/>
      <c r="E847" s="18" t="s">
        <v>26</v>
      </c>
      <c r="F847" s="38">
        <f>P849</f>
        <v>48775.97</v>
      </c>
      <c r="G847" s="39">
        <f>I876+I886+I892</f>
        <v>48775.97</v>
      </c>
      <c r="H847" s="767" t="s">
        <v>2121</v>
      </c>
      <c r="I847" s="767"/>
      <c r="J847" s="767"/>
      <c r="K847" s="43" t="s">
        <v>27</v>
      </c>
      <c r="L847" s="44"/>
      <c r="M847" s="44"/>
      <c r="N847" s="44"/>
      <c r="O847" s="44"/>
      <c r="P847" s="44"/>
      <c r="Q847" s="45"/>
      <c r="R847" s="46" t="s">
        <v>28</v>
      </c>
      <c r="S847" s="47" t="s">
        <v>29</v>
      </c>
      <c r="T847" s="10"/>
      <c r="U847" s="17"/>
      <c r="V847" s="10"/>
      <c r="W847" s="10"/>
      <c r="X847" s="10"/>
    </row>
    <row r="848" spans="1:24">
      <c r="B848" s="11"/>
      <c r="C848" s="10"/>
      <c r="D848" s="10"/>
      <c r="E848" s="24" t="s">
        <v>30</v>
      </c>
      <c r="F848" s="48">
        <f>F843</f>
        <v>0.05</v>
      </c>
      <c r="G848" s="17"/>
      <c r="H848" s="767"/>
      <c r="I848" s="767"/>
      <c r="J848" s="767"/>
      <c r="K848" s="20" t="s">
        <v>31</v>
      </c>
      <c r="L848" s="21" t="s">
        <v>32</v>
      </c>
      <c r="M848" s="21" t="s">
        <v>33</v>
      </c>
      <c r="N848" s="21" t="s">
        <v>34</v>
      </c>
      <c r="O848" s="21" t="s">
        <v>35</v>
      </c>
      <c r="P848" s="21" t="s">
        <v>36</v>
      </c>
      <c r="Q848" s="49" t="s">
        <v>37</v>
      </c>
      <c r="R848" s="50" t="s">
        <v>38</v>
      </c>
      <c r="S848" s="50" t="s">
        <v>38</v>
      </c>
      <c r="T848" s="10"/>
      <c r="U848" s="17"/>
      <c r="V848" s="10"/>
      <c r="W848" s="10"/>
      <c r="X848" s="10"/>
    </row>
    <row r="849" spans="2:24">
      <c r="B849" s="11"/>
      <c r="C849" s="10"/>
      <c r="D849" s="10"/>
      <c r="E849" s="51" t="s">
        <v>39</v>
      </c>
      <c r="F849" s="52">
        <f>(F847-I872-I884-I885-I889-I890-I891)*F848</f>
        <v>501.8144999999999</v>
      </c>
      <c r="G849" s="53" t="s">
        <v>40</v>
      </c>
      <c r="H849" s="54">
        <f>F849/1.12</f>
        <v>448.04866071428557</v>
      </c>
      <c r="I849" s="570" t="s">
        <v>2122</v>
      </c>
      <c r="J849" s="42"/>
      <c r="K849" s="56">
        <f>I867+I868+I869</f>
        <v>2984.8999999999996</v>
      </c>
      <c r="L849" s="57">
        <f>I870+I884+I889</f>
        <v>9141.48</v>
      </c>
      <c r="M849" s="57">
        <f>I871+I885</f>
        <v>3627.54</v>
      </c>
      <c r="N849" s="57">
        <f>I872+I873+I890</f>
        <v>13767.8</v>
      </c>
      <c r="O849" s="57">
        <f>I874+I875+I891</f>
        <v>19254.25</v>
      </c>
      <c r="P849" s="57">
        <f>SUM(K849:O849)</f>
        <v>48775.97</v>
      </c>
      <c r="Q849" s="58">
        <v>0</v>
      </c>
      <c r="R849" s="59">
        <f>I886+I892</f>
        <v>37841.380000000005</v>
      </c>
      <c r="S849" s="59">
        <v>0</v>
      </c>
      <c r="T849" s="10"/>
      <c r="U849" s="17"/>
      <c r="V849" s="10"/>
      <c r="W849" s="10"/>
      <c r="X849" s="10"/>
    </row>
    <row r="850" spans="2:24">
      <c r="B850" s="11"/>
      <c r="C850" s="10"/>
      <c r="D850" s="10"/>
      <c r="E850" s="24" t="s">
        <v>41</v>
      </c>
      <c r="F850" s="60">
        <f>Q849</f>
        <v>0</v>
      </c>
      <c r="G850" s="61" t="s">
        <v>40</v>
      </c>
      <c r="H850" s="62"/>
      <c r="I850" s="62"/>
      <c r="J850" s="10" t="s">
        <v>42</v>
      </c>
      <c r="K850" s="63">
        <v>3</v>
      </c>
      <c r="L850" s="63">
        <v>3</v>
      </c>
      <c r="M850" s="63">
        <v>2</v>
      </c>
      <c r="N850" s="63">
        <v>3</v>
      </c>
      <c r="O850" s="63">
        <v>3</v>
      </c>
      <c r="P850" s="21">
        <f>SUM(K850:O850)</f>
        <v>14</v>
      </c>
      <c r="Q850" s="64"/>
      <c r="R850" s="63"/>
      <c r="S850" s="10"/>
      <c r="T850" s="10"/>
      <c r="U850" s="17"/>
      <c r="V850" s="10"/>
      <c r="W850" s="10"/>
      <c r="X850" s="10"/>
    </row>
    <row r="851" spans="2:24">
      <c r="B851" s="11"/>
      <c r="C851" s="10"/>
      <c r="D851" s="10"/>
      <c r="E851" s="51" t="s">
        <v>43</v>
      </c>
      <c r="F851" s="52">
        <f>F850*0.25</f>
        <v>0</v>
      </c>
      <c r="G851" s="53" t="s">
        <v>40</v>
      </c>
      <c r="H851" s="54">
        <f>F851/1.12</f>
        <v>0</v>
      </c>
      <c r="I851" s="10"/>
      <c r="J851" s="10" t="s">
        <v>44</v>
      </c>
      <c r="K851" s="63">
        <v>7</v>
      </c>
      <c r="L851" s="63">
        <v>5</v>
      </c>
      <c r="M851" s="63">
        <v>3</v>
      </c>
      <c r="N851" s="63">
        <v>7</v>
      </c>
      <c r="O851" s="63">
        <v>4</v>
      </c>
      <c r="P851" s="21">
        <f>SUM(K851:O851)</f>
        <v>26</v>
      </c>
      <c r="Q851" s="64"/>
      <c r="R851" s="63"/>
      <c r="S851" s="10"/>
      <c r="T851" s="10"/>
      <c r="U851" s="17"/>
      <c r="V851" s="10"/>
      <c r="W851" s="10"/>
      <c r="X851" s="10"/>
    </row>
    <row r="852" spans="2:24">
      <c r="B852" s="11"/>
      <c r="C852" s="10"/>
      <c r="D852" s="10"/>
      <c r="E852" s="24" t="s">
        <v>45</v>
      </c>
      <c r="F852" s="60">
        <f>I881</f>
        <v>0</v>
      </c>
      <c r="G852" s="61" t="s">
        <v>40</v>
      </c>
      <c r="H852" s="62"/>
      <c r="I852" s="10"/>
      <c r="J852" s="10" t="s">
        <v>46</v>
      </c>
      <c r="K852" s="31">
        <f>K850/(K850+K851)</f>
        <v>0.3</v>
      </c>
      <c r="L852" s="31">
        <f>L850/(L850+L851)</f>
        <v>0.375</v>
      </c>
      <c r="M852" s="31">
        <f>M850/(M850+M851)</f>
        <v>0.4</v>
      </c>
      <c r="N852" s="31">
        <f>N850/(N850+N851)</f>
        <v>0.3</v>
      </c>
      <c r="O852" s="31">
        <f>O850/(O850+O851)</f>
        <v>0.42857142857142855</v>
      </c>
      <c r="P852" s="31">
        <f>P850/(P850+P851)</f>
        <v>0.35</v>
      </c>
      <c r="Q852" s="31" t="e">
        <f>Q850/(Q850+Q851)</f>
        <v>#DIV/0!</v>
      </c>
      <c r="R852" s="63"/>
      <c r="S852" s="10"/>
      <c r="T852" s="10"/>
      <c r="U852" s="17"/>
      <c r="V852" s="10"/>
      <c r="W852" s="10"/>
      <c r="X852" s="10"/>
    </row>
    <row r="853" spans="2:24">
      <c r="B853" s="11"/>
      <c r="C853" s="10"/>
      <c r="D853" s="10"/>
      <c r="E853" s="51" t="s">
        <v>47</v>
      </c>
      <c r="F853" s="52">
        <f>(F852-I880)*0.05</f>
        <v>0</v>
      </c>
      <c r="G853" s="65" t="s">
        <v>40</v>
      </c>
      <c r="H853" s="54">
        <f>F853/1.12</f>
        <v>0</v>
      </c>
      <c r="I853" s="42"/>
      <c r="J853" s="10" t="s">
        <v>48</v>
      </c>
      <c r="K853" s="66">
        <f>K849/K850</f>
        <v>994.96666666666658</v>
      </c>
      <c r="L853" s="66">
        <f>L849/L850</f>
        <v>3047.16</v>
      </c>
      <c r="M853" s="66">
        <f>M849/M850</f>
        <v>1813.77</v>
      </c>
      <c r="N853" s="66">
        <f>N849/N850</f>
        <v>4589.2666666666664</v>
      </c>
      <c r="O853" s="66">
        <f>O849/O850</f>
        <v>6418.083333333333</v>
      </c>
      <c r="P853" s="66">
        <f>P849/P850</f>
        <v>3483.9978571428574</v>
      </c>
      <c r="Q853" s="66" t="e">
        <f>Q849/Q850</f>
        <v>#DIV/0!</v>
      </c>
      <c r="R853" s="63"/>
      <c r="S853" s="10"/>
      <c r="T853" s="10"/>
      <c r="U853" s="17"/>
      <c r="V853" s="10"/>
      <c r="W853" s="10"/>
      <c r="X853" s="10"/>
    </row>
    <row r="854" spans="2:24">
      <c r="B854" s="11"/>
      <c r="C854" s="10"/>
      <c r="D854" s="10"/>
      <c r="E854" s="67" t="s">
        <v>14</v>
      </c>
      <c r="F854" s="68"/>
      <c r="G854" s="10"/>
      <c r="H854" s="54">
        <f>F854/1.12</f>
        <v>0</v>
      </c>
      <c r="I854" s="10"/>
      <c r="J854" s="10"/>
      <c r="K854" s="10"/>
      <c r="L854" s="10"/>
      <c r="M854" s="10"/>
      <c r="N854" s="10"/>
      <c r="O854" s="10"/>
      <c r="P854" s="10"/>
      <c r="Q854" s="10"/>
      <c r="R854" s="10"/>
      <c r="S854" s="10"/>
      <c r="T854" s="10"/>
      <c r="U854" s="17"/>
      <c r="V854" s="10"/>
      <c r="W854" s="10"/>
      <c r="X854" s="10"/>
    </row>
    <row r="855" spans="2:24">
      <c r="B855" s="11"/>
      <c r="C855" s="10"/>
      <c r="D855" s="10"/>
      <c r="E855" s="155" t="s">
        <v>49</v>
      </c>
      <c r="F855" s="364">
        <f>T844</f>
        <v>0</v>
      </c>
      <c r="G855" s="10"/>
      <c r="H855" s="54"/>
      <c r="I855" s="55"/>
      <c r="J855" s="42"/>
      <c r="K855" s="764" t="s">
        <v>50</v>
      </c>
      <c r="L855" s="765"/>
      <c r="M855" s="765"/>
      <c r="N855" s="765"/>
      <c r="O855" s="765"/>
      <c r="P855" s="765"/>
      <c r="Q855" s="766"/>
      <c r="R855" s="70" t="s">
        <v>28</v>
      </c>
      <c r="S855" s="71" t="s">
        <v>29</v>
      </c>
      <c r="T855" s="10"/>
      <c r="U855" s="17"/>
      <c r="V855" s="10"/>
      <c r="W855" s="10"/>
      <c r="X855" s="10"/>
    </row>
    <row r="856" spans="2:24">
      <c r="B856" s="11"/>
      <c r="C856" s="10"/>
      <c r="D856" s="10"/>
      <c r="E856" s="12"/>
      <c r="F856" s="76"/>
      <c r="G856" s="10"/>
      <c r="H856" s="10"/>
      <c r="I856" s="10"/>
      <c r="J856" s="42"/>
      <c r="K856" s="20" t="s">
        <v>31</v>
      </c>
      <c r="L856" s="21" t="s">
        <v>32</v>
      </c>
      <c r="M856" s="21" t="s">
        <v>33</v>
      </c>
      <c r="N856" s="21" t="s">
        <v>34</v>
      </c>
      <c r="O856" s="21" t="s">
        <v>35</v>
      </c>
      <c r="P856" s="21" t="s">
        <v>36</v>
      </c>
      <c r="Q856" s="49" t="s">
        <v>37</v>
      </c>
      <c r="R856" s="50" t="s">
        <v>38</v>
      </c>
      <c r="S856" s="50" t="s">
        <v>38</v>
      </c>
      <c r="T856" s="10"/>
      <c r="U856" s="17"/>
      <c r="V856" s="10"/>
      <c r="W856" s="10"/>
      <c r="X856" s="10"/>
    </row>
    <row r="857" spans="2:24">
      <c r="B857" s="11"/>
      <c r="C857" s="10"/>
      <c r="D857" s="10"/>
      <c r="E857" s="10"/>
      <c r="F857" s="10"/>
      <c r="G857" s="10"/>
      <c r="H857" s="10"/>
      <c r="I857" s="10"/>
      <c r="J857" s="42"/>
      <c r="K857" s="56">
        <f>F867+F868+F869</f>
        <v>3304</v>
      </c>
      <c r="L857" s="57">
        <f>F870+F884+F889</f>
        <v>9328</v>
      </c>
      <c r="M857" s="57">
        <f>F871+F885</f>
        <v>6214</v>
      </c>
      <c r="N857" s="57">
        <f>F872+F873+F890</f>
        <v>15086.9</v>
      </c>
      <c r="O857" s="57">
        <f>F874+F875+F891</f>
        <v>21150</v>
      </c>
      <c r="P857" s="57">
        <f>SUM(K857:O857)</f>
        <v>55082.9</v>
      </c>
      <c r="Q857" s="58">
        <v>0</v>
      </c>
      <c r="R857" s="59">
        <f>F886+F892</f>
        <v>43356</v>
      </c>
      <c r="S857" s="59">
        <v>0</v>
      </c>
      <c r="T857" s="10"/>
      <c r="U857" s="17"/>
      <c r="V857" s="10"/>
      <c r="W857" s="10"/>
      <c r="X857" s="10"/>
    </row>
    <row r="858" spans="2:24">
      <c r="B858" s="11"/>
      <c r="C858" s="10"/>
      <c r="D858" s="10"/>
      <c r="E858" s="10"/>
      <c r="F858" s="10"/>
      <c r="G858" s="10"/>
      <c r="H858" s="10"/>
      <c r="I858" s="10"/>
      <c r="J858" s="10" t="s">
        <v>42</v>
      </c>
      <c r="K858" s="63">
        <f>K850</f>
        <v>3</v>
      </c>
      <c r="L858" s="63">
        <f>L850</f>
        <v>3</v>
      </c>
      <c r="M858" s="63">
        <f>M850</f>
        <v>2</v>
      </c>
      <c r="N858" s="63">
        <f>N850</f>
        <v>3</v>
      </c>
      <c r="O858" s="63">
        <f>O850</f>
        <v>3</v>
      </c>
      <c r="P858" s="63">
        <f>P850</f>
        <v>14</v>
      </c>
      <c r="Q858" s="63">
        <f>Q850</f>
        <v>0</v>
      </c>
      <c r="R858" s="63"/>
      <c r="S858" s="10"/>
      <c r="T858" s="10"/>
      <c r="U858" s="17"/>
      <c r="V858" s="10"/>
      <c r="W858" s="10"/>
      <c r="X858" s="10"/>
    </row>
    <row r="859" spans="2:24">
      <c r="B859" s="11"/>
      <c r="C859" s="10"/>
      <c r="D859" s="10"/>
      <c r="E859" s="10"/>
      <c r="F859" s="10"/>
      <c r="G859" s="10"/>
      <c r="H859" s="10"/>
      <c r="I859" s="10"/>
      <c r="J859" s="10" t="s">
        <v>44</v>
      </c>
      <c r="K859" s="63">
        <f>K851</f>
        <v>7</v>
      </c>
      <c r="L859" s="63">
        <f>L851</f>
        <v>5</v>
      </c>
      <c r="M859" s="63">
        <f>M851</f>
        <v>3</v>
      </c>
      <c r="N859" s="63">
        <f>N851</f>
        <v>7</v>
      </c>
      <c r="O859" s="63">
        <f>O851</f>
        <v>4</v>
      </c>
      <c r="P859" s="63">
        <f>P851</f>
        <v>26</v>
      </c>
      <c r="Q859" s="63">
        <f>Q851</f>
        <v>0</v>
      </c>
      <c r="R859" s="63"/>
      <c r="S859" s="10"/>
      <c r="T859" s="10"/>
      <c r="U859" s="17"/>
      <c r="V859" s="10"/>
      <c r="W859" s="10"/>
      <c r="X859" s="10"/>
    </row>
    <row r="860" spans="2:24">
      <c r="B860" s="11"/>
      <c r="C860" s="10"/>
      <c r="D860" s="10"/>
      <c r="E860" s="12"/>
      <c r="F860" s="76"/>
      <c r="G860" s="10"/>
      <c r="H860" s="10"/>
      <c r="I860" s="10"/>
      <c r="J860" s="10" t="s">
        <v>46</v>
      </c>
      <c r="K860" s="31">
        <f>K858/(K858+K859)</f>
        <v>0.3</v>
      </c>
      <c r="L860" s="31">
        <f>L858/(L858+L859)</f>
        <v>0.375</v>
      </c>
      <c r="M860" s="31">
        <f>M858/(M858+M859)</f>
        <v>0.4</v>
      </c>
      <c r="N860" s="31">
        <f>N858/(N858+N859)</f>
        <v>0.3</v>
      </c>
      <c r="O860" s="31">
        <f>O858/(O858+O859)</f>
        <v>0.42857142857142855</v>
      </c>
      <c r="P860" s="31">
        <f>P858/(P858+P859)</f>
        <v>0.35</v>
      </c>
      <c r="Q860" s="31" t="e">
        <f>Q858/(Q858+Q859)</f>
        <v>#DIV/0!</v>
      </c>
      <c r="R860" s="63"/>
      <c r="S860" s="10"/>
      <c r="T860" s="10"/>
      <c r="U860" s="17"/>
      <c r="V860" s="10"/>
      <c r="W860" s="10"/>
      <c r="X860" s="10"/>
    </row>
    <row r="861" spans="2:24">
      <c r="B861" s="11"/>
      <c r="C861" s="10"/>
      <c r="D861" s="10"/>
      <c r="E861" s="10"/>
      <c r="F861" s="10"/>
      <c r="G861" s="10"/>
      <c r="H861" s="10"/>
      <c r="I861" s="10"/>
      <c r="J861" s="10" t="s">
        <v>48</v>
      </c>
      <c r="K861" s="66">
        <f>K857/K858</f>
        <v>1101.3333333333333</v>
      </c>
      <c r="L861" s="66">
        <f>L857/L858</f>
        <v>3109.3333333333335</v>
      </c>
      <c r="M861" s="66">
        <f>M857/M858</f>
        <v>3107</v>
      </c>
      <c r="N861" s="66">
        <f>N857/N858</f>
        <v>5028.9666666666662</v>
      </c>
      <c r="O861" s="66">
        <f>O857/O858</f>
        <v>7050</v>
      </c>
      <c r="P861" s="66">
        <f>P857/P858</f>
        <v>3934.4928571428572</v>
      </c>
      <c r="Q861" s="66" t="e">
        <f>Q857/Q858</f>
        <v>#DIV/0!</v>
      </c>
      <c r="R861" s="63"/>
      <c r="S861" s="10"/>
      <c r="T861" s="10"/>
      <c r="U861" s="17"/>
      <c r="V861" s="10"/>
      <c r="W861" s="10"/>
      <c r="X861" s="10"/>
    </row>
    <row r="862" spans="2:24">
      <c r="B862" s="11"/>
      <c r="C862" s="10"/>
      <c r="D862" s="10"/>
      <c r="E862" s="10"/>
      <c r="F862" s="10"/>
      <c r="G862" s="10"/>
      <c r="H862" s="10"/>
      <c r="I862" s="10"/>
      <c r="J862" s="10"/>
      <c r="K862" s="10"/>
      <c r="L862" s="10"/>
      <c r="M862" s="10"/>
      <c r="N862" s="10"/>
      <c r="O862" s="10"/>
      <c r="P862" s="10"/>
      <c r="Q862" s="10"/>
      <c r="R862" s="10"/>
      <c r="S862" s="10"/>
      <c r="T862" s="10"/>
      <c r="U862" s="17"/>
      <c r="V862" s="10"/>
      <c r="W862" s="10"/>
      <c r="X862" s="10"/>
    </row>
    <row r="863" spans="2:24">
      <c r="B863" s="11"/>
      <c r="C863" s="10"/>
      <c r="D863" s="10"/>
      <c r="E863" s="10"/>
      <c r="F863" s="10"/>
      <c r="G863" s="10"/>
      <c r="H863" s="10"/>
      <c r="I863" s="10"/>
      <c r="J863" s="10"/>
      <c r="K863" s="10"/>
      <c r="L863" s="10"/>
      <c r="M863" s="10"/>
      <c r="N863" s="10"/>
      <c r="O863" s="10"/>
      <c r="P863" s="10"/>
      <c r="Q863" s="10"/>
      <c r="R863" s="10"/>
      <c r="S863" s="10"/>
      <c r="T863" s="10"/>
      <c r="U863" s="17"/>
      <c r="V863" s="10"/>
      <c r="W863" s="10"/>
      <c r="X863" s="10"/>
    </row>
    <row r="864" spans="2:24">
      <c r="B864" s="18" t="s">
        <v>51</v>
      </c>
      <c r="C864" s="14"/>
      <c r="D864" s="14"/>
      <c r="E864" s="14"/>
      <c r="F864" s="13" t="s">
        <v>52</v>
      </c>
      <c r="G864" s="14"/>
      <c r="H864" s="14"/>
      <c r="I864" s="14"/>
      <c r="J864" s="14"/>
      <c r="K864" s="13" t="s">
        <v>3</v>
      </c>
      <c r="L864" s="14"/>
      <c r="M864" s="14"/>
      <c r="N864" s="13" t="s">
        <v>4</v>
      </c>
      <c r="O864" s="14"/>
      <c r="P864" s="14"/>
      <c r="Q864" s="13" t="s">
        <v>5</v>
      </c>
      <c r="R864" s="14"/>
      <c r="S864" s="14"/>
      <c r="T864" s="18"/>
      <c r="U864" s="16" t="s">
        <v>53</v>
      </c>
      <c r="V864" s="77"/>
      <c r="W864" s="77"/>
      <c r="X864" s="77"/>
    </row>
    <row r="865" spans="1:25">
      <c r="B865" s="24" t="s">
        <v>54</v>
      </c>
      <c r="C865" s="21" t="s">
        <v>55</v>
      </c>
      <c r="D865" s="21" t="s">
        <v>56</v>
      </c>
      <c r="E865" s="21" t="s">
        <v>57</v>
      </c>
      <c r="F865" s="20" t="s">
        <v>58</v>
      </c>
      <c r="G865" s="21" t="s">
        <v>59</v>
      </c>
      <c r="H865" s="21" t="s">
        <v>60</v>
      </c>
      <c r="I865" s="21" t="s">
        <v>26</v>
      </c>
      <c r="J865" s="22" t="s">
        <v>61</v>
      </c>
      <c r="K865" s="21" t="s">
        <v>8</v>
      </c>
      <c r="L865" s="21" t="s">
        <v>9</v>
      </c>
      <c r="M865" s="21" t="s">
        <v>10</v>
      </c>
      <c r="N865" s="20" t="s">
        <v>11</v>
      </c>
      <c r="O865" s="21" t="s">
        <v>12</v>
      </c>
      <c r="P865" s="22" t="s">
        <v>13</v>
      </c>
      <c r="Q865" s="21" t="s">
        <v>11</v>
      </c>
      <c r="R865" s="21" t="s">
        <v>12</v>
      </c>
      <c r="S865" s="21" t="s">
        <v>13</v>
      </c>
      <c r="T865" s="78" t="s">
        <v>14</v>
      </c>
      <c r="U865" s="30"/>
      <c r="V865" s="79" t="s">
        <v>62</v>
      </c>
      <c r="W865" s="80" t="s">
        <v>63</v>
      </c>
      <c r="X865" s="81" t="s">
        <v>64</v>
      </c>
    </row>
    <row r="866" spans="1:25">
      <c r="B866" s="4" t="s">
        <v>65</v>
      </c>
      <c r="C866" s="6"/>
      <c r="D866" s="6"/>
      <c r="E866" s="6"/>
      <c r="F866" s="6"/>
      <c r="G866" s="6"/>
      <c r="H866" s="6"/>
      <c r="I866" s="82"/>
      <c r="J866" s="6"/>
      <c r="K866" s="6"/>
      <c r="L866" s="6"/>
      <c r="M866" s="6"/>
      <c r="N866" s="6"/>
      <c r="O866" s="6"/>
      <c r="P866" s="6"/>
      <c r="Q866" s="6"/>
      <c r="R866" s="6"/>
      <c r="S866" s="6"/>
      <c r="T866" s="83"/>
      <c r="U866" s="6"/>
      <c r="V866" s="84"/>
      <c r="W866" s="85"/>
      <c r="X866" s="86"/>
    </row>
    <row r="867" spans="1:25">
      <c r="B867" s="87">
        <v>1</v>
      </c>
      <c r="C867" s="274">
        <v>45901</v>
      </c>
      <c r="D867" s="327">
        <v>72822</v>
      </c>
      <c r="E867" s="276" t="s">
        <v>206</v>
      </c>
      <c r="F867" s="277">
        <v>1138</v>
      </c>
      <c r="G867" s="277">
        <f>39.7</f>
        <v>39.700000000000003</v>
      </c>
      <c r="H867" s="277"/>
      <c r="I867" s="321">
        <f>F867-G867-H867</f>
        <v>1098.3</v>
      </c>
      <c r="J867" s="279" t="s">
        <v>156</v>
      </c>
      <c r="K867" s="279">
        <v>1</v>
      </c>
      <c r="L867" s="279">
        <v>1</v>
      </c>
      <c r="M867" s="322">
        <v>0</v>
      </c>
      <c r="N867" s="279">
        <v>1</v>
      </c>
      <c r="O867" s="279">
        <v>1</v>
      </c>
      <c r="P867" s="322">
        <v>0</v>
      </c>
      <c r="Q867" s="279">
        <v>1</v>
      </c>
      <c r="R867" s="279">
        <v>1</v>
      </c>
      <c r="S867" s="280">
        <v>1</v>
      </c>
      <c r="T867" s="63"/>
      <c r="U867" s="94"/>
      <c r="V867" s="90">
        <f>125+1126.8</f>
        <v>1251.8</v>
      </c>
      <c r="W867" s="91"/>
      <c r="X867" s="92"/>
    </row>
    <row r="868" spans="1:25">
      <c r="B868" s="87">
        <f t="shared" ref="B868:B875" si="73">B867+1</f>
        <v>2</v>
      </c>
      <c r="C868" s="295">
        <v>45901</v>
      </c>
      <c r="D868" s="323">
        <v>72825</v>
      </c>
      <c r="E868" s="101" t="s">
        <v>334</v>
      </c>
      <c r="F868" s="62">
        <v>1028</v>
      </c>
      <c r="G868" s="62">
        <f>39.7</f>
        <v>39.700000000000003</v>
      </c>
      <c r="H868" s="62"/>
      <c r="I868" s="324">
        <f>F868-G868-H868</f>
        <v>988.3</v>
      </c>
      <c r="J868" s="63" t="s">
        <v>156</v>
      </c>
      <c r="K868" s="63">
        <v>1</v>
      </c>
      <c r="L868" s="63">
        <v>1</v>
      </c>
      <c r="M868" s="63">
        <v>1</v>
      </c>
      <c r="N868" s="63">
        <v>1</v>
      </c>
      <c r="O868" s="63">
        <v>1</v>
      </c>
      <c r="P868" s="325">
        <v>0</v>
      </c>
      <c r="Q868" s="63">
        <v>1</v>
      </c>
      <c r="R868" s="63">
        <v>1</v>
      </c>
      <c r="S868" s="296">
        <v>1</v>
      </c>
      <c r="T868" s="63"/>
      <c r="U868" s="10"/>
      <c r="V868" s="90">
        <f>113+1017.8</f>
        <v>1130.8</v>
      </c>
      <c r="W868" s="91"/>
      <c r="X868" s="92"/>
    </row>
    <row r="869" spans="1:25">
      <c r="A869" s="464">
        <v>45902</v>
      </c>
      <c r="B869" s="87">
        <f t="shared" si="73"/>
        <v>3</v>
      </c>
      <c r="C869" s="295">
        <v>45901</v>
      </c>
      <c r="D869" s="323">
        <v>72833</v>
      </c>
      <c r="E869" s="10" t="s">
        <v>349</v>
      </c>
      <c r="F869" s="62">
        <v>1138</v>
      </c>
      <c r="G869" s="62">
        <f>39.7+200</f>
        <v>239.7</v>
      </c>
      <c r="H869" s="62"/>
      <c r="I869" s="324">
        <f>F869-G869-H869</f>
        <v>898.3</v>
      </c>
      <c r="J869" s="63" t="s">
        <v>156</v>
      </c>
      <c r="K869" s="63">
        <v>1</v>
      </c>
      <c r="L869" s="63">
        <v>1</v>
      </c>
      <c r="M869" s="63">
        <v>1</v>
      </c>
      <c r="N869" s="63">
        <v>1</v>
      </c>
      <c r="O869" s="63">
        <v>1</v>
      </c>
      <c r="P869" s="63">
        <v>1</v>
      </c>
      <c r="Q869" s="63">
        <v>1</v>
      </c>
      <c r="R869" s="63">
        <v>1</v>
      </c>
      <c r="S869" s="296">
        <v>1</v>
      </c>
      <c r="T869" s="21">
        <v>1</v>
      </c>
      <c r="U869" s="94" t="s">
        <v>2123</v>
      </c>
      <c r="V869" s="90">
        <f>125+1126.8</f>
        <v>1251.8</v>
      </c>
      <c r="W869" s="91"/>
      <c r="X869" s="92"/>
    </row>
    <row r="870" spans="1:25">
      <c r="B870" s="87">
        <f t="shared" si="73"/>
        <v>4</v>
      </c>
      <c r="C870" s="274">
        <v>45902</v>
      </c>
      <c r="D870" s="327">
        <v>72866</v>
      </c>
      <c r="E870" s="404" t="s">
        <v>512</v>
      </c>
      <c r="F870" s="277">
        <v>2533</v>
      </c>
      <c r="G870" s="277">
        <f>39.7+(47.32)</f>
        <v>87.02000000000001</v>
      </c>
      <c r="H870" s="277"/>
      <c r="I870" s="321">
        <f>F870-G870-H870</f>
        <v>2445.98</v>
      </c>
      <c r="J870" s="279" t="s">
        <v>156</v>
      </c>
      <c r="K870" s="279">
        <v>1</v>
      </c>
      <c r="L870" s="279">
        <v>1</v>
      </c>
      <c r="M870" s="279">
        <v>1</v>
      </c>
      <c r="N870" s="279">
        <v>1</v>
      </c>
      <c r="O870" s="279">
        <v>1</v>
      </c>
      <c r="P870" s="322">
        <v>0</v>
      </c>
      <c r="Q870" s="279">
        <v>1</v>
      </c>
      <c r="R870" s="279">
        <v>1</v>
      </c>
      <c r="S870" s="280">
        <v>1</v>
      </c>
      <c r="T870" s="63"/>
      <c r="U870" s="10"/>
      <c r="V870" s="90">
        <f>278+2508.3</f>
        <v>2786.3</v>
      </c>
      <c r="W870" s="91"/>
      <c r="X870" s="92"/>
    </row>
    <row r="871" spans="1:25">
      <c r="B871" s="87">
        <f t="shared" si="73"/>
        <v>5</v>
      </c>
      <c r="C871" s="274">
        <v>45903</v>
      </c>
      <c r="D871" s="327">
        <v>72903</v>
      </c>
      <c r="E871" s="276" t="s">
        <v>979</v>
      </c>
      <c r="F871" s="277">
        <v>681</v>
      </c>
      <c r="G871" s="277"/>
      <c r="H871" s="297"/>
      <c r="I871" s="321">
        <f>F871-G871-H871</f>
        <v>681</v>
      </c>
      <c r="J871" s="279" t="s">
        <v>156</v>
      </c>
      <c r="K871" s="279">
        <v>1</v>
      </c>
      <c r="L871" s="279">
        <v>1</v>
      </c>
      <c r="M871" s="322">
        <v>0</v>
      </c>
      <c r="N871" s="279">
        <v>1</v>
      </c>
      <c r="O871" s="279">
        <v>1</v>
      </c>
      <c r="P871" s="322">
        <v>0</v>
      </c>
      <c r="Q871" s="279">
        <v>1</v>
      </c>
      <c r="R871" s="279">
        <v>1</v>
      </c>
      <c r="S871" s="280">
        <v>1</v>
      </c>
      <c r="T871" s="63"/>
      <c r="U871" s="10"/>
      <c r="V871" s="90">
        <f>74.9+53.2+621</f>
        <v>749.1</v>
      </c>
      <c r="W871" s="91"/>
      <c r="X871" s="92"/>
    </row>
    <row r="872" spans="1:25">
      <c r="A872" t="s">
        <v>2124</v>
      </c>
      <c r="B872" s="87">
        <f t="shared" si="73"/>
        <v>6</v>
      </c>
      <c r="C872" s="274">
        <v>45904</v>
      </c>
      <c r="D872" s="327">
        <v>72963</v>
      </c>
      <c r="E872" s="276" t="s">
        <v>426</v>
      </c>
      <c r="F872" s="277">
        <v>1138</v>
      </c>
      <c r="G872" s="277">
        <f>39.7+200</f>
        <v>239.7</v>
      </c>
      <c r="H872" s="297"/>
      <c r="I872" s="329">
        <f>F872-G872-H872</f>
        <v>898.3</v>
      </c>
      <c r="J872" s="279" t="s">
        <v>156</v>
      </c>
      <c r="K872" s="279">
        <v>1</v>
      </c>
      <c r="L872" s="279">
        <v>1</v>
      </c>
      <c r="M872" s="279">
        <v>1</v>
      </c>
      <c r="N872" s="279">
        <v>1</v>
      </c>
      <c r="O872" s="279">
        <v>1</v>
      </c>
      <c r="P872" s="322">
        <v>0</v>
      </c>
      <c r="Q872" s="279">
        <v>1</v>
      </c>
      <c r="R872" s="279">
        <v>1</v>
      </c>
      <c r="S872" s="280">
        <v>1</v>
      </c>
      <c r="T872" s="63"/>
      <c r="U872" s="10" t="s">
        <v>2125</v>
      </c>
      <c r="V872" s="90">
        <f>125+1126.8</f>
        <v>1251.8</v>
      </c>
      <c r="W872" s="91"/>
      <c r="X872" s="92"/>
    </row>
    <row r="873" spans="1:25">
      <c r="A873" t="s">
        <v>2126</v>
      </c>
      <c r="B873" s="87">
        <f t="shared" si="73"/>
        <v>7</v>
      </c>
      <c r="C873" s="295">
        <v>45904</v>
      </c>
      <c r="D873" s="323">
        <v>72991</v>
      </c>
      <c r="E873" s="10" t="s">
        <v>388</v>
      </c>
      <c r="F873" s="62">
        <v>1134.9000000000001</v>
      </c>
      <c r="G873" s="62">
        <f>39.7</f>
        <v>39.700000000000003</v>
      </c>
      <c r="H873" s="88"/>
      <c r="I873" s="324">
        <f>F873-G873-H873</f>
        <v>1095.2</v>
      </c>
      <c r="J873" s="63" t="s">
        <v>156</v>
      </c>
      <c r="K873" s="63">
        <v>1</v>
      </c>
      <c r="L873" s="63">
        <v>1</v>
      </c>
      <c r="M873" s="63">
        <v>1</v>
      </c>
      <c r="N873" s="63">
        <v>1</v>
      </c>
      <c r="O873" s="63">
        <v>1</v>
      </c>
      <c r="P873" s="325">
        <v>0</v>
      </c>
      <c r="Q873" s="325">
        <v>0</v>
      </c>
      <c r="R873" s="325">
        <v>0</v>
      </c>
      <c r="S873" s="326">
        <v>0</v>
      </c>
      <c r="T873" s="63"/>
      <c r="U873" s="10" t="s">
        <v>2127</v>
      </c>
      <c r="V873" s="90">
        <f>138+1110.39</f>
        <v>1248.3900000000001</v>
      </c>
      <c r="W873" s="91"/>
      <c r="X873" s="92"/>
    </row>
    <row r="874" spans="1:25">
      <c r="B874" s="87">
        <f t="shared" si="73"/>
        <v>8</v>
      </c>
      <c r="C874" s="274">
        <v>45905</v>
      </c>
      <c r="D874" s="327">
        <v>72977</v>
      </c>
      <c r="E874" s="276" t="s">
        <v>509</v>
      </c>
      <c r="F874" s="277">
        <v>1315</v>
      </c>
      <c r="G874" s="277">
        <f>39.7+(27.39)</f>
        <v>67.09</v>
      </c>
      <c r="H874" s="297"/>
      <c r="I874" s="321">
        <f>F874-G874-H874</f>
        <v>1247.9100000000001</v>
      </c>
      <c r="J874" s="279" t="s">
        <v>156</v>
      </c>
      <c r="K874" s="279">
        <v>1</v>
      </c>
      <c r="L874" s="279">
        <v>1</v>
      </c>
      <c r="M874" s="279">
        <v>1</v>
      </c>
      <c r="N874" s="279">
        <v>1</v>
      </c>
      <c r="O874" s="279">
        <v>1</v>
      </c>
      <c r="P874" s="322">
        <v>0</v>
      </c>
      <c r="Q874" s="279">
        <v>1</v>
      </c>
      <c r="R874" s="279">
        <v>1</v>
      </c>
      <c r="S874" s="280">
        <v>1</v>
      </c>
      <c r="T874" s="63"/>
      <c r="U874" s="10"/>
      <c r="V874" s="90">
        <f>144+1302.5</f>
        <v>1446.5</v>
      </c>
      <c r="W874" s="91"/>
      <c r="X874" s="92"/>
    </row>
    <row r="875" spans="1:25">
      <c r="B875" s="87">
        <f t="shared" si="73"/>
        <v>9</v>
      </c>
      <c r="C875" s="282">
        <v>45905</v>
      </c>
      <c r="D875" s="368">
        <v>73005</v>
      </c>
      <c r="E875" s="283" t="s">
        <v>2080</v>
      </c>
      <c r="F875" s="284">
        <v>1621</v>
      </c>
      <c r="G875" s="284">
        <f>39.7</f>
        <v>39.700000000000003</v>
      </c>
      <c r="H875" s="315"/>
      <c r="I875" s="300">
        <f>F875-G875-H875</f>
        <v>1581.3</v>
      </c>
      <c r="J875" s="286" t="s">
        <v>156</v>
      </c>
      <c r="K875" s="286">
        <v>1</v>
      </c>
      <c r="L875" s="332">
        <v>0</v>
      </c>
      <c r="M875" s="286">
        <v>1</v>
      </c>
      <c r="N875" s="286">
        <v>1</v>
      </c>
      <c r="O875" s="286">
        <v>1</v>
      </c>
      <c r="P875" s="332">
        <v>0</v>
      </c>
      <c r="Q875" s="286">
        <v>1</v>
      </c>
      <c r="R875" s="286">
        <v>1</v>
      </c>
      <c r="S875" s="287">
        <v>1</v>
      </c>
      <c r="T875" s="63"/>
      <c r="U875" s="10"/>
      <c r="V875" s="90">
        <f>178+1631.1</f>
        <v>1809.1</v>
      </c>
      <c r="W875" s="91"/>
      <c r="X875" s="92"/>
    </row>
    <row r="876" spans="1:25">
      <c r="B876" s="87"/>
      <c r="C876" s="36"/>
      <c r="D876" s="10"/>
      <c r="E876" s="10"/>
      <c r="F876" s="97">
        <f>SUM(F867:F875)</f>
        <v>11726.9</v>
      </c>
      <c r="G876" s="97">
        <f>SUM(G867:G875)</f>
        <v>792.31000000000006</v>
      </c>
      <c r="H876" s="97">
        <f>SUM(H867:H875)</f>
        <v>0</v>
      </c>
      <c r="I876" s="98">
        <f>SUM(I867:I875)</f>
        <v>10934.589999999998</v>
      </c>
      <c r="J876" s="63"/>
      <c r="K876" s="63">
        <f>COUNT(K867:K875)</f>
        <v>9</v>
      </c>
      <c r="L876" s="63">
        <f>COUNT(L867:L875)</f>
        <v>9</v>
      </c>
      <c r="M876" s="63">
        <f>COUNT(M867:M875)</f>
        <v>9</v>
      </c>
      <c r="N876" s="63">
        <f>COUNT(N867:N875)</f>
        <v>9</v>
      </c>
      <c r="O876" s="63">
        <f>COUNT(O867:O875)</f>
        <v>9</v>
      </c>
      <c r="P876" s="63">
        <f>COUNT(P867:P875)</f>
        <v>9</v>
      </c>
      <c r="Q876" s="63">
        <f>COUNT(Q867:Q875)</f>
        <v>9</v>
      </c>
      <c r="R876" s="63">
        <f>COUNT(R867:R875)</f>
        <v>9</v>
      </c>
      <c r="S876" s="63">
        <f>COUNT(S867:S875)</f>
        <v>9</v>
      </c>
      <c r="T876" s="63"/>
      <c r="U876" s="10"/>
      <c r="V876" s="90"/>
      <c r="W876" s="91"/>
      <c r="X876" s="92"/>
    </row>
    <row r="877" spans="1:25">
      <c r="B877" s="87"/>
      <c r="C877" s="36"/>
      <c r="D877" s="10"/>
      <c r="E877" s="10"/>
      <c r="F877" s="88"/>
      <c r="G877" s="88"/>
      <c r="H877" s="88"/>
      <c r="I877" s="99"/>
      <c r="J877" s="63"/>
      <c r="K877" s="21">
        <f>SUM(K867:K875)</f>
        <v>9</v>
      </c>
      <c r="L877" s="21">
        <f>SUM(L867:L875)</f>
        <v>8</v>
      </c>
      <c r="M877" s="21">
        <f>SUM(M867:M875)</f>
        <v>7</v>
      </c>
      <c r="N877" s="21">
        <f>SUM(N867:N875)</f>
        <v>9</v>
      </c>
      <c r="O877" s="21">
        <f>SUM(O867:O875)</f>
        <v>9</v>
      </c>
      <c r="P877" s="21">
        <f>SUM(P867:P875)</f>
        <v>1</v>
      </c>
      <c r="Q877" s="21">
        <f>SUM(Q867:Q875)</f>
        <v>8</v>
      </c>
      <c r="R877" s="21">
        <f>SUM(R867:R875)</f>
        <v>8</v>
      </c>
      <c r="S877" s="21">
        <f>SUM(S867:S875)</f>
        <v>8</v>
      </c>
      <c r="T877" s="63"/>
      <c r="U877" s="10"/>
      <c r="V877" s="90"/>
      <c r="W877" s="91"/>
      <c r="X877" s="92"/>
    </row>
    <row r="878" spans="1:25">
      <c r="B878" s="11"/>
      <c r="C878" s="36"/>
      <c r="D878" s="10"/>
      <c r="E878" s="10"/>
      <c r="F878" s="88"/>
      <c r="G878" s="88"/>
      <c r="H878" s="88"/>
      <c r="I878" s="99"/>
      <c r="J878" s="63"/>
      <c r="K878" s="21"/>
      <c r="L878" s="21"/>
      <c r="M878" s="21"/>
      <c r="N878" s="21"/>
      <c r="O878" s="21"/>
      <c r="P878" s="21"/>
      <c r="Q878" s="21"/>
      <c r="R878" s="21"/>
      <c r="S878" s="21"/>
      <c r="T878" s="63"/>
      <c r="U878" s="94"/>
      <c r="V878" s="90"/>
      <c r="W878" s="91"/>
      <c r="X878" s="92"/>
    </row>
    <row r="879" spans="1:25">
      <c r="B879" s="100" t="s">
        <v>67</v>
      </c>
      <c r="C879" s="36"/>
      <c r="D879" s="10"/>
      <c r="E879" s="10"/>
      <c r="F879" s="88"/>
      <c r="G879" s="62"/>
      <c r="H879" s="88"/>
      <c r="I879" s="99"/>
      <c r="J879" s="63"/>
      <c r="K879" s="2"/>
      <c r="L879" s="2"/>
      <c r="M879" s="2"/>
      <c r="N879" s="2"/>
      <c r="O879" s="2"/>
      <c r="P879" s="2"/>
      <c r="Q879" s="2"/>
      <c r="R879" s="2"/>
      <c r="S879" s="2"/>
      <c r="T879" s="63"/>
      <c r="U879" s="94"/>
      <c r="V879" s="90"/>
      <c r="W879" s="91"/>
      <c r="X879" s="92"/>
    </row>
    <row r="880" spans="1:25">
      <c r="A880" s="371" t="s">
        <v>2128</v>
      </c>
      <c r="B880" s="372">
        <v>1</v>
      </c>
      <c r="C880" s="373">
        <v>45889</v>
      </c>
      <c r="D880" s="357" t="s">
        <v>2083</v>
      </c>
      <c r="E880" s="391" t="s">
        <v>2080</v>
      </c>
      <c r="F880" s="375">
        <f>6814-6814</f>
        <v>0</v>
      </c>
      <c r="G880" s="375">
        <f>39.7+300-339.7</f>
        <v>0</v>
      </c>
      <c r="H880" s="375"/>
      <c r="I880" s="504">
        <f>F880-G880-H880</f>
        <v>0</v>
      </c>
      <c r="J880" s="314" t="s">
        <v>374</v>
      </c>
      <c r="K880" s="314">
        <v>1</v>
      </c>
      <c r="L880" s="314"/>
      <c r="M880" s="314">
        <v>1</v>
      </c>
      <c r="N880" s="314">
        <v>1</v>
      </c>
      <c r="O880" s="314">
        <v>1</v>
      </c>
      <c r="P880" s="314">
        <v>0</v>
      </c>
      <c r="Q880" s="314"/>
      <c r="R880" s="314"/>
      <c r="S880" s="366"/>
      <c r="T880" s="325"/>
      <c r="U880" s="430" t="s">
        <v>2129</v>
      </c>
      <c r="V880" s="377"/>
      <c r="W880" s="392"/>
      <c r="X880" s="379"/>
      <c r="Y880" s="381"/>
    </row>
    <row r="881" spans="1:25">
      <c r="B881" s="11"/>
      <c r="C881" s="36"/>
      <c r="D881" s="10"/>
      <c r="E881" s="10"/>
      <c r="F881" s="97">
        <f>SUM(F880:F880)</f>
        <v>0</v>
      </c>
      <c r="G881" s="97">
        <f>SUM(G880:G880)</f>
        <v>0</v>
      </c>
      <c r="H881" s="97">
        <f>SUM(H880:H880)</f>
        <v>0</v>
      </c>
      <c r="I881" s="98">
        <f>SUM(I880:I880)</f>
        <v>0</v>
      </c>
      <c r="J881" s="63"/>
      <c r="K881" s="21"/>
      <c r="L881" s="21"/>
      <c r="M881" s="21"/>
      <c r="N881" s="21"/>
      <c r="O881" s="21"/>
      <c r="P881" s="21"/>
      <c r="Q881" s="21"/>
      <c r="R881" s="21"/>
      <c r="S881" s="21"/>
      <c r="T881" s="63"/>
      <c r="U881" s="94"/>
      <c r="V881" s="90"/>
      <c r="W881" s="91"/>
      <c r="X881" s="92"/>
    </row>
    <row r="882" spans="1:25">
      <c r="B882" s="11"/>
      <c r="C882" s="36"/>
      <c r="D882" s="10"/>
      <c r="E882" s="10"/>
      <c r="F882" s="88"/>
      <c r="G882" s="88"/>
      <c r="H882" s="88"/>
      <c r="I882" s="99"/>
      <c r="J882" s="63"/>
      <c r="K882" s="21"/>
      <c r="L882" s="21"/>
      <c r="M882" s="21"/>
      <c r="N882" s="21"/>
      <c r="O882" s="21"/>
      <c r="P882" s="21"/>
      <c r="Q882" s="21"/>
      <c r="R882" s="21"/>
      <c r="S882" s="21"/>
      <c r="T882" s="63"/>
      <c r="U882" s="94"/>
      <c r="V882" s="90"/>
      <c r="W882" s="91"/>
      <c r="X882" s="92"/>
    </row>
    <row r="883" spans="1:25" s="342" customFormat="1">
      <c r="B883" s="121" t="s">
        <v>68</v>
      </c>
      <c r="C883" s="122"/>
      <c r="D883" s="123"/>
      <c r="E883" s="123"/>
      <c r="F883" s="124"/>
      <c r="G883" s="125"/>
      <c r="H883" s="124"/>
      <c r="I883" s="126"/>
      <c r="J883" s="127"/>
      <c r="K883" s="128"/>
      <c r="L883" s="128"/>
      <c r="M883" s="128"/>
      <c r="N883" s="128"/>
      <c r="O883" s="128"/>
      <c r="P883" s="128"/>
      <c r="Q883" s="128"/>
      <c r="R883" s="128"/>
      <c r="S883" s="128"/>
      <c r="T883" s="127"/>
      <c r="U883" s="123"/>
      <c r="V883" s="129"/>
      <c r="W883" s="130"/>
      <c r="X883" s="131"/>
    </row>
    <row r="884" spans="1:25">
      <c r="A884" s="342" t="s">
        <v>1183</v>
      </c>
      <c r="B884" s="333">
        <v>1</v>
      </c>
      <c r="C884" s="350">
        <v>45902</v>
      </c>
      <c r="D884" s="263">
        <v>72891</v>
      </c>
      <c r="E884" s="358" t="s">
        <v>162</v>
      </c>
      <c r="F884" s="352">
        <v>3433</v>
      </c>
      <c r="G884" s="352">
        <v>39.700000000000003</v>
      </c>
      <c r="H884" s="352"/>
      <c r="I884" s="353">
        <f>F884-G884-H884</f>
        <v>3393.3</v>
      </c>
      <c r="J884" s="354" t="s">
        <v>156</v>
      </c>
      <c r="K884" s="354">
        <v>1</v>
      </c>
      <c r="L884" s="354">
        <v>1</v>
      </c>
      <c r="M884" s="354">
        <v>1</v>
      </c>
      <c r="N884" s="354">
        <v>1</v>
      </c>
      <c r="O884" s="354">
        <v>1</v>
      </c>
      <c r="P884" s="314">
        <v>0</v>
      </c>
      <c r="Q884" s="354">
        <v>1</v>
      </c>
      <c r="R884" s="354">
        <v>1</v>
      </c>
      <c r="S884" s="355">
        <v>1</v>
      </c>
      <c r="T884" s="64"/>
      <c r="U884" s="135"/>
      <c r="V884" s="129">
        <f>377+3399.3</f>
        <v>3776.3</v>
      </c>
      <c r="W884" s="130"/>
      <c r="X884" s="131"/>
      <c r="Y884" s="342"/>
    </row>
    <row r="885" spans="1:25" s="342" customFormat="1">
      <c r="A885" s="342" t="s">
        <v>619</v>
      </c>
      <c r="B885" s="333">
        <f>B884+1</f>
        <v>2</v>
      </c>
      <c r="C885" s="350">
        <v>45903</v>
      </c>
      <c r="D885" s="263" t="s">
        <v>2130</v>
      </c>
      <c r="E885" s="358" t="s">
        <v>979</v>
      </c>
      <c r="F885" s="352">
        <v>5533</v>
      </c>
      <c r="G885" s="352">
        <f>39.7+(1471.41-16.4-3.76-8.58-2.51)</f>
        <v>1479.8600000000001</v>
      </c>
      <c r="H885" s="352">
        <f>F885*0.2</f>
        <v>1106.6000000000001</v>
      </c>
      <c r="I885" s="353">
        <f>F885-G885-H885</f>
        <v>2946.54</v>
      </c>
      <c r="J885" s="354" t="s">
        <v>313</v>
      </c>
      <c r="K885" s="354">
        <v>1</v>
      </c>
      <c r="L885" s="354">
        <v>1</v>
      </c>
      <c r="M885" s="354">
        <v>1</v>
      </c>
      <c r="N885" s="354">
        <v>1</v>
      </c>
      <c r="O885" s="354">
        <v>1</v>
      </c>
      <c r="P885" s="314">
        <v>0</v>
      </c>
      <c r="Q885" s="354">
        <v>1</v>
      </c>
      <c r="R885" s="354">
        <v>1</v>
      </c>
      <c r="S885" s="355">
        <v>1</v>
      </c>
      <c r="T885" s="64">
        <v>1</v>
      </c>
      <c r="U885" s="135" t="s">
        <v>2131</v>
      </c>
      <c r="V885" s="129"/>
      <c r="W885" s="130"/>
      <c r="X885" s="131"/>
    </row>
    <row r="886" spans="1:25" s="342" customFormat="1">
      <c r="B886" s="132"/>
      <c r="C886" s="122"/>
      <c r="D886" s="123"/>
      <c r="E886" s="123"/>
      <c r="F886" s="133">
        <f>SUM(F884:F885)</f>
        <v>8966</v>
      </c>
      <c r="G886" s="133">
        <f>SUM(G884:G885)</f>
        <v>1519.5600000000002</v>
      </c>
      <c r="H886" s="133">
        <f>SUM(H884:H885)</f>
        <v>1106.6000000000001</v>
      </c>
      <c r="I886" s="133">
        <f>SUM(I884:I885)</f>
        <v>6339.84</v>
      </c>
      <c r="J886" s="127"/>
      <c r="K886" s="64"/>
      <c r="L886" s="64"/>
      <c r="M886" s="64"/>
      <c r="N886" s="64"/>
      <c r="O886" s="64"/>
      <c r="P886" s="64"/>
      <c r="Q886" s="64"/>
      <c r="R886" s="64"/>
      <c r="S886" s="64"/>
      <c r="T886" s="127"/>
      <c r="U886" s="123"/>
      <c r="V886" s="129"/>
      <c r="W886" s="130"/>
      <c r="X886" s="131"/>
    </row>
    <row r="887" spans="1:25" s="342" customFormat="1">
      <c r="B887" s="132"/>
      <c r="C887" s="122"/>
      <c r="D887" s="123"/>
      <c r="E887" s="123"/>
      <c r="F887" s="124"/>
      <c r="G887" s="124"/>
      <c r="H887" s="124"/>
      <c r="I887" s="126"/>
      <c r="J887" s="127"/>
      <c r="K887" s="64"/>
      <c r="L887" s="64"/>
      <c r="M887" s="64"/>
      <c r="N887" s="64"/>
      <c r="O887" s="64"/>
      <c r="P887" s="64"/>
      <c r="Q887" s="64"/>
      <c r="R887" s="64"/>
      <c r="S887" s="64"/>
      <c r="T887" s="127"/>
      <c r="U887" s="135"/>
      <c r="V887" s="129"/>
      <c r="W887" s="130"/>
      <c r="X887" s="131"/>
    </row>
    <row r="888" spans="1:25" s="342" customFormat="1">
      <c r="B888" s="121" t="s">
        <v>70</v>
      </c>
      <c r="C888" s="122"/>
      <c r="D888" s="123"/>
      <c r="E888" s="128"/>
      <c r="F888" s="124"/>
      <c r="G888" s="124"/>
      <c r="H888" s="124"/>
      <c r="I888" s="126"/>
      <c r="J888" s="127"/>
      <c r="K888" s="64"/>
      <c r="L888" s="64"/>
      <c r="M888" s="64"/>
      <c r="N888" s="64"/>
      <c r="O888" s="64"/>
      <c r="P888" s="64"/>
      <c r="Q888" s="64"/>
      <c r="R888" s="64"/>
      <c r="S888" s="64"/>
      <c r="T888" s="127"/>
      <c r="U888" s="135"/>
      <c r="V888" s="129"/>
      <c r="W888" s="130"/>
      <c r="X888" s="131"/>
    </row>
    <row r="889" spans="1:25" s="342" customFormat="1">
      <c r="A889" s="492">
        <v>0.05</v>
      </c>
      <c r="B889" s="333">
        <v>1</v>
      </c>
      <c r="C889" s="334">
        <v>45902</v>
      </c>
      <c r="D889" s="327">
        <v>72830</v>
      </c>
      <c r="E889" s="335" t="s">
        <v>196</v>
      </c>
      <c r="F889" s="336">
        <f>3447-85</f>
        <v>3362</v>
      </c>
      <c r="G889" s="336">
        <f>39.7+(20.1)</f>
        <v>59.800000000000004</v>
      </c>
      <c r="H889" s="336"/>
      <c r="I889" s="337">
        <f>F889-G889-H889</f>
        <v>3302.2</v>
      </c>
      <c r="J889" s="338" t="s">
        <v>374</v>
      </c>
      <c r="K889" s="338">
        <v>1</v>
      </c>
      <c r="L889" s="338"/>
      <c r="M889" s="338">
        <v>1</v>
      </c>
      <c r="N889" s="338">
        <v>1</v>
      </c>
      <c r="O889" s="322">
        <v>0</v>
      </c>
      <c r="P889" s="322">
        <v>0</v>
      </c>
      <c r="Q889" s="338"/>
      <c r="R889" s="338"/>
      <c r="S889" s="339"/>
      <c r="T889" s="127"/>
      <c r="U889" s="135"/>
      <c r="V889" s="129">
        <f>93.5+369.82</f>
        <v>463.32</v>
      </c>
      <c r="W889" s="340"/>
      <c r="X889" s="341"/>
    </row>
    <row r="890" spans="1:25" s="342" customFormat="1">
      <c r="A890" s="492">
        <v>0.05</v>
      </c>
      <c r="B890" s="333">
        <f t="shared" ref="B890" si="74">B889+1</f>
        <v>2</v>
      </c>
      <c r="C890" s="334">
        <v>45904</v>
      </c>
      <c r="D890" s="327">
        <v>72887</v>
      </c>
      <c r="E890" s="335" t="s">
        <v>2132</v>
      </c>
      <c r="F890" s="336">
        <v>12814</v>
      </c>
      <c r="G890" s="336">
        <f>39.7+1000</f>
        <v>1039.7</v>
      </c>
      <c r="H890" s="336"/>
      <c r="I890" s="337">
        <f>F890-G890-H890</f>
        <v>11774.3</v>
      </c>
      <c r="J890" s="338"/>
      <c r="K890" s="338">
        <v>1</v>
      </c>
      <c r="L890" s="338"/>
      <c r="M890" s="338"/>
      <c r="N890" s="338">
        <v>1</v>
      </c>
      <c r="O890" s="338">
        <v>1</v>
      </c>
      <c r="P890" s="322">
        <v>0</v>
      </c>
      <c r="Q890" s="338"/>
      <c r="R890" s="338"/>
      <c r="S890" s="339"/>
      <c r="T890" s="64"/>
      <c r="U890" s="135"/>
      <c r="V890" s="129"/>
      <c r="W890" s="340"/>
      <c r="X890" s="341"/>
    </row>
    <row r="891" spans="1:25" s="342" customFormat="1">
      <c r="A891" s="492" t="s">
        <v>548</v>
      </c>
      <c r="B891" s="333">
        <f>B890+1</f>
        <v>3</v>
      </c>
      <c r="C891" s="350">
        <v>45905</v>
      </c>
      <c r="D891" s="357" t="s">
        <v>2133</v>
      </c>
      <c r="E891" s="358" t="s">
        <v>2080</v>
      </c>
      <c r="F891" s="352">
        <v>18214</v>
      </c>
      <c r="G891" s="352">
        <f>39.7+(31.37+44.21+173.68)+1500</f>
        <v>1788.96</v>
      </c>
      <c r="H891" s="352"/>
      <c r="I891" s="353">
        <f>F891-G891-H891</f>
        <v>16425.04</v>
      </c>
      <c r="J891" s="354" t="s">
        <v>156</v>
      </c>
      <c r="K891" s="354">
        <v>1</v>
      </c>
      <c r="L891" s="354">
        <v>1</v>
      </c>
      <c r="M891" s="354">
        <v>1</v>
      </c>
      <c r="N891" s="354">
        <v>1</v>
      </c>
      <c r="O891" s="354">
        <v>1</v>
      </c>
      <c r="P891" s="314">
        <v>0</v>
      </c>
      <c r="Q891" s="354">
        <v>1</v>
      </c>
      <c r="R891" s="354">
        <v>1</v>
      </c>
      <c r="S891" s="355">
        <v>1</v>
      </c>
      <c r="T891" s="127"/>
      <c r="U891" s="135" t="s">
        <v>2134</v>
      </c>
      <c r="V891" s="129">
        <f>2000+3000+5000</f>
        <v>10000</v>
      </c>
      <c r="W891" s="340"/>
      <c r="X891" s="341"/>
    </row>
    <row r="892" spans="1:25">
      <c r="B892" s="132"/>
      <c r="C892" s="122"/>
      <c r="D892" s="123"/>
      <c r="E892" s="123"/>
      <c r="F892" s="134">
        <f>SUM(F889:F891)</f>
        <v>34390</v>
      </c>
      <c r="G892" s="134">
        <f>SUM(G889:G891)</f>
        <v>2888.46</v>
      </c>
      <c r="H892" s="134">
        <f>SUM(H889:H891)</f>
        <v>0</v>
      </c>
      <c r="I892" s="134">
        <f>SUM(I889:I891)</f>
        <v>31501.54</v>
      </c>
      <c r="J892" s="127"/>
      <c r="K892" s="64"/>
      <c r="L892" s="64"/>
      <c r="M892" s="64"/>
      <c r="N892" s="64"/>
      <c r="O892" s="64"/>
      <c r="P892" s="64"/>
      <c r="Q892" s="64"/>
      <c r="R892" s="64"/>
      <c r="S892" s="64"/>
      <c r="T892" s="127"/>
      <c r="U892" s="135"/>
      <c r="V892" s="129"/>
      <c r="W892" s="130"/>
      <c r="X892" s="131"/>
    </row>
    <row r="893" spans="1:25">
      <c r="B893" s="11"/>
      <c r="C893" s="36"/>
      <c r="D893" s="10"/>
      <c r="E893" s="10"/>
      <c r="F893" s="88"/>
      <c r="G893" s="88"/>
      <c r="H893" s="88"/>
      <c r="I893" s="99"/>
      <c r="J893" s="63"/>
      <c r="K893" s="21"/>
      <c r="L893" s="21"/>
      <c r="M893" s="21"/>
      <c r="N893" s="21"/>
      <c r="O893" s="21"/>
      <c r="P893" s="21"/>
      <c r="Q893" s="21"/>
      <c r="R893" s="21"/>
      <c r="S893" s="21"/>
      <c r="T893" s="63"/>
      <c r="U893" s="94"/>
      <c r="V893" s="90"/>
      <c r="W893" s="91"/>
      <c r="X893" s="92"/>
    </row>
    <row r="894" spans="1:25" s="260" customFormat="1">
      <c r="A894" s="181"/>
      <c r="B894" s="100" t="s">
        <v>152</v>
      </c>
      <c r="C894" s="36"/>
      <c r="D894" s="10"/>
      <c r="E894" s="10"/>
      <c r="F894" s="88"/>
      <c r="G894" s="62"/>
      <c r="H894" s="88"/>
      <c r="I894" s="99"/>
      <c r="J894" s="63"/>
      <c r="K894" s="181"/>
      <c r="L894" s="181"/>
      <c r="M894" s="181"/>
      <c r="N894" s="181"/>
      <c r="O894" s="181"/>
      <c r="P894" s="181"/>
      <c r="Q894" s="181"/>
      <c r="R894" s="181"/>
      <c r="S894" s="181"/>
      <c r="T894" s="63"/>
      <c r="U894" s="10"/>
      <c r="V894" s="90"/>
      <c r="W894" s="91"/>
      <c r="X894" s="92"/>
    </row>
    <row r="895" spans="1:25" s="260" customFormat="1">
      <c r="A895" s="261">
        <v>0.05</v>
      </c>
      <c r="B895" s="87">
        <v>1</v>
      </c>
      <c r="C895" s="262">
        <v>45840</v>
      </c>
      <c r="D895" s="357" t="s">
        <v>1896</v>
      </c>
      <c r="E895" s="264" t="s">
        <v>354</v>
      </c>
      <c r="F895" s="265">
        <v>1681</v>
      </c>
      <c r="G895" s="265">
        <v>39.700000000000003</v>
      </c>
      <c r="H895" s="265"/>
      <c r="I895" s="266">
        <f>F895-G895-H895</f>
        <v>1641.3</v>
      </c>
      <c r="J895" s="267" t="s">
        <v>374</v>
      </c>
      <c r="K895" s="267">
        <v>1</v>
      </c>
      <c r="L895" s="267">
        <v>1</v>
      </c>
      <c r="M895" s="267">
        <v>1</v>
      </c>
      <c r="N895" s="267">
        <v>1</v>
      </c>
      <c r="O895" s="267">
        <v>1</v>
      </c>
      <c r="P895" s="314">
        <v>0</v>
      </c>
      <c r="Q895" s="267">
        <v>1</v>
      </c>
      <c r="R895" s="267">
        <v>1</v>
      </c>
      <c r="S895" s="366">
        <v>0</v>
      </c>
      <c r="T895" s="63"/>
      <c r="U895" s="10" t="s">
        <v>1897</v>
      </c>
      <c r="V895" s="90"/>
      <c r="W895" s="91"/>
      <c r="X895" s="92"/>
    </row>
    <row r="896" spans="1:25" s="260" customFormat="1">
      <c r="A896" s="494">
        <v>0.05</v>
      </c>
      <c r="B896" s="87">
        <f>B895+1</f>
        <v>2</v>
      </c>
      <c r="C896" s="262">
        <v>45849</v>
      </c>
      <c r="D896" s="263">
        <v>71382</v>
      </c>
      <c r="E896" s="271" t="s">
        <v>999</v>
      </c>
      <c r="F896" s="265">
        <v>1861</v>
      </c>
      <c r="G896" s="265">
        <v>39.700000000000003</v>
      </c>
      <c r="H896" s="265"/>
      <c r="I896" s="266">
        <f>F896-G896-H896</f>
        <v>1821.3</v>
      </c>
      <c r="J896" s="267" t="s">
        <v>374</v>
      </c>
      <c r="K896" s="267">
        <v>1</v>
      </c>
      <c r="L896" s="267"/>
      <c r="M896" s="267">
        <v>1</v>
      </c>
      <c r="N896" s="267">
        <v>1</v>
      </c>
      <c r="O896" s="267">
        <v>1</v>
      </c>
      <c r="P896" s="314">
        <v>0</v>
      </c>
      <c r="Q896" s="314">
        <v>0</v>
      </c>
      <c r="R896" s="314">
        <v>0</v>
      </c>
      <c r="S896" s="366">
        <v>0</v>
      </c>
      <c r="T896" s="63"/>
      <c r="U896" s="94" t="s">
        <v>2072</v>
      </c>
      <c r="V896" s="90"/>
      <c r="W896" s="136"/>
      <c r="X896" s="137"/>
    </row>
    <row r="897" spans="1:25" s="260" customFormat="1">
      <c r="A897" s="261">
        <v>0.05</v>
      </c>
      <c r="B897" s="87">
        <f>B896+1</f>
        <v>3</v>
      </c>
      <c r="C897" s="282">
        <v>45861</v>
      </c>
      <c r="D897" s="330" t="s">
        <v>1997</v>
      </c>
      <c r="E897" s="283" t="s">
        <v>270</v>
      </c>
      <c r="F897" s="423">
        <v>5133</v>
      </c>
      <c r="G897" s="284">
        <f>39.7+(1071.49)+250</f>
        <v>1361.19</v>
      </c>
      <c r="H897" s="284"/>
      <c r="I897" s="300">
        <f>F897-G897-H897</f>
        <v>3771.81</v>
      </c>
      <c r="J897" s="286" t="s">
        <v>156</v>
      </c>
      <c r="K897" s="286">
        <v>1</v>
      </c>
      <c r="L897" s="286">
        <v>1</v>
      </c>
      <c r="M897" s="286">
        <v>1</v>
      </c>
      <c r="N897" s="286">
        <v>1</v>
      </c>
      <c r="O897" s="286">
        <v>1</v>
      </c>
      <c r="P897" s="332">
        <v>0</v>
      </c>
      <c r="Q897" s="332">
        <v>0</v>
      </c>
      <c r="R897" s="332">
        <v>0</v>
      </c>
      <c r="S897" s="370">
        <v>0</v>
      </c>
      <c r="T897" s="63"/>
      <c r="U897" s="10" t="s">
        <v>1998</v>
      </c>
      <c r="V897" s="90"/>
      <c r="W897" s="91"/>
      <c r="X897" s="92"/>
    </row>
    <row r="898" spans="1:25" s="260" customFormat="1">
      <c r="A898" s="494" t="s">
        <v>1183</v>
      </c>
      <c r="B898" s="87">
        <f>B897+1</f>
        <v>4</v>
      </c>
      <c r="C898" s="262">
        <v>45867</v>
      </c>
      <c r="D898" s="357" t="s">
        <v>2029</v>
      </c>
      <c r="E898" s="264" t="s">
        <v>158</v>
      </c>
      <c r="F898" s="265">
        <v>4461</v>
      </c>
      <c r="G898" s="265">
        <f>39.7+300</f>
        <v>339.7</v>
      </c>
      <c r="H898" s="265"/>
      <c r="I898" s="266">
        <f>F898-G898-H898</f>
        <v>4121.3</v>
      </c>
      <c r="J898" s="267"/>
      <c r="K898" s="267">
        <v>1</v>
      </c>
      <c r="L898" s="267">
        <v>1</v>
      </c>
      <c r="M898" s="267"/>
      <c r="N898" s="267">
        <v>1</v>
      </c>
      <c r="O898" s="267">
        <v>1</v>
      </c>
      <c r="P898" s="314">
        <v>0</v>
      </c>
      <c r="Q898" s="314">
        <v>0</v>
      </c>
      <c r="R898" s="314">
        <v>0</v>
      </c>
      <c r="S898" s="366">
        <v>0</v>
      </c>
      <c r="T898" s="63"/>
      <c r="U898" s="10" t="s">
        <v>2030</v>
      </c>
      <c r="V898" s="90"/>
      <c r="W898" s="91"/>
      <c r="X898" s="92"/>
    </row>
    <row r="899" spans="1:25" s="342" customFormat="1">
      <c r="A899" s="494">
        <v>0.05</v>
      </c>
      <c r="B899" s="87">
        <f>B898+1</f>
        <v>5</v>
      </c>
      <c r="C899" s="262">
        <v>45876</v>
      </c>
      <c r="D899" s="357">
        <v>72143</v>
      </c>
      <c r="E899" s="264" t="s">
        <v>168</v>
      </c>
      <c r="F899" s="265">
        <v>1461</v>
      </c>
      <c r="G899" s="265">
        <v>39.700000000000003</v>
      </c>
      <c r="H899" s="265"/>
      <c r="I899" s="266">
        <f>F899-G899-H899</f>
        <v>1421.3</v>
      </c>
      <c r="J899" s="267" t="s">
        <v>228</v>
      </c>
      <c r="K899" s="267">
        <v>1</v>
      </c>
      <c r="L899" s="267">
        <v>1</v>
      </c>
      <c r="M899" s="267">
        <v>1</v>
      </c>
      <c r="N899" s="267">
        <v>1</v>
      </c>
      <c r="O899" s="267">
        <v>1</v>
      </c>
      <c r="P899" s="314">
        <v>0</v>
      </c>
      <c r="Q899" s="267">
        <v>1</v>
      </c>
      <c r="R899" s="267">
        <v>1</v>
      </c>
      <c r="S899" s="366">
        <v>0</v>
      </c>
      <c r="T899" s="63"/>
      <c r="U899" s="10"/>
      <c r="V899" s="90"/>
      <c r="W899" s="91"/>
      <c r="X899" s="92"/>
      <c r="Y899" s="260"/>
    </row>
    <row r="900" spans="1:25" s="260" customFormat="1">
      <c r="A900" s="181" t="s">
        <v>2108</v>
      </c>
      <c r="B900" s="87">
        <f t="shared" ref="B900" si="75">B899+1</f>
        <v>6</v>
      </c>
      <c r="C900" s="262">
        <v>45881</v>
      </c>
      <c r="D900" s="357" t="s">
        <v>2070</v>
      </c>
      <c r="E900" s="271" t="s">
        <v>572</v>
      </c>
      <c r="F900" s="265">
        <f>8614-947.54</f>
        <v>7666.46</v>
      </c>
      <c r="G900" s="265">
        <f>39.7+501.6+(1852.97+46.62)+250</f>
        <v>2690.89</v>
      </c>
      <c r="H900" s="265"/>
      <c r="I900" s="266">
        <f>F900-G900-H900</f>
        <v>4975.57</v>
      </c>
      <c r="J900" s="267" t="s">
        <v>156</v>
      </c>
      <c r="K900" s="267">
        <v>1</v>
      </c>
      <c r="L900" s="314">
        <v>0</v>
      </c>
      <c r="M900" s="267">
        <v>1</v>
      </c>
      <c r="N900" s="267">
        <v>1</v>
      </c>
      <c r="O900" s="267">
        <v>1</v>
      </c>
      <c r="P900" s="267">
        <v>1</v>
      </c>
      <c r="Q900" s="267">
        <v>1</v>
      </c>
      <c r="R900" s="267">
        <v>1</v>
      </c>
      <c r="S900" s="269">
        <v>1</v>
      </c>
      <c r="T900" s="63"/>
      <c r="U900" s="94" t="s">
        <v>2087</v>
      </c>
      <c r="V900" s="90"/>
      <c r="W900" s="91"/>
      <c r="X900" s="92"/>
    </row>
    <row r="901" spans="1:25" s="260" customFormat="1">
      <c r="A901" s="181"/>
      <c r="B901" s="11"/>
      <c r="C901" s="36"/>
      <c r="D901" s="10"/>
      <c r="E901" s="10"/>
      <c r="F901" s="98">
        <f>SUM(F895:F900)</f>
        <v>22263.46</v>
      </c>
      <c r="G901" s="98">
        <f>SUM(G895:G900)</f>
        <v>4510.88</v>
      </c>
      <c r="H901" s="98">
        <f>SUM(H895:H900)</f>
        <v>0</v>
      </c>
      <c r="I901" s="98">
        <f>SUM(I895:I900)</f>
        <v>17752.579999999998</v>
      </c>
      <c r="J901" s="63"/>
      <c r="K901" s="21"/>
      <c r="L901" s="21"/>
      <c r="M901" s="21"/>
      <c r="N901" s="21"/>
      <c r="O901" s="21"/>
      <c r="P901" s="21"/>
      <c r="Q901" s="21"/>
      <c r="R901" s="21"/>
      <c r="S901" s="21"/>
      <c r="T901" s="63"/>
      <c r="U901" s="10"/>
      <c r="V901" s="90"/>
      <c r="W901" s="91"/>
      <c r="X901" s="92"/>
    </row>
    <row r="902" spans="1:25" s="260" customFormat="1">
      <c r="A902" s="181"/>
      <c r="B902" s="11"/>
      <c r="C902" s="36"/>
      <c r="D902" s="10"/>
      <c r="E902" s="10"/>
      <c r="F902" s="88"/>
      <c r="G902" s="88"/>
      <c r="H902" s="88"/>
      <c r="I902" s="99"/>
      <c r="J902" s="63"/>
      <c r="K902" s="21"/>
      <c r="L902" s="21"/>
      <c r="M902" s="21"/>
      <c r="N902" s="21"/>
      <c r="O902" s="21"/>
      <c r="P902" s="21"/>
      <c r="Q902" s="21"/>
      <c r="R902" s="21"/>
      <c r="S902" s="21"/>
      <c r="T902" s="63"/>
      <c r="U902" s="10"/>
      <c r="V902" s="90"/>
      <c r="W902" s="91"/>
      <c r="X902" s="92"/>
    </row>
    <row r="903" spans="1:25" s="260" customFormat="1">
      <c r="B903" s="100" t="s">
        <v>202</v>
      </c>
      <c r="C903" s="36"/>
      <c r="D903" s="10"/>
      <c r="E903" s="181"/>
      <c r="F903" s="88"/>
      <c r="G903" s="88"/>
      <c r="H903" s="88"/>
      <c r="I903" s="99"/>
      <c r="J903" s="63"/>
      <c r="K903" s="21"/>
      <c r="L903" s="21"/>
      <c r="M903" s="21"/>
      <c r="N903" s="21"/>
      <c r="O903" s="21"/>
      <c r="P903" s="21"/>
      <c r="Q903" s="21"/>
      <c r="R903" s="21"/>
      <c r="S903" s="21"/>
      <c r="T903" s="63"/>
      <c r="U903" s="10"/>
      <c r="V903" s="90"/>
      <c r="W903" s="91"/>
      <c r="X903" s="92"/>
    </row>
    <row r="904" spans="1:25" s="260" customFormat="1">
      <c r="A904" s="494">
        <v>0.05</v>
      </c>
      <c r="B904" s="87">
        <v>1</v>
      </c>
      <c r="C904" s="262">
        <v>45848</v>
      </c>
      <c r="D904" s="263">
        <v>71381</v>
      </c>
      <c r="E904" s="271" t="s">
        <v>1530</v>
      </c>
      <c r="F904" s="265">
        <f>1223-85</f>
        <v>1138</v>
      </c>
      <c r="G904" s="265">
        <f>39.7</f>
        <v>39.700000000000003</v>
      </c>
      <c r="H904" s="265"/>
      <c r="I904" s="266">
        <f>F904-G904-H904</f>
        <v>1098.3</v>
      </c>
      <c r="J904" s="267" t="s">
        <v>156</v>
      </c>
      <c r="K904" s="267">
        <v>1</v>
      </c>
      <c r="L904" s="267"/>
      <c r="M904" s="267">
        <v>1</v>
      </c>
      <c r="N904" s="267">
        <v>1</v>
      </c>
      <c r="O904" s="267">
        <v>1</v>
      </c>
      <c r="P904" s="314">
        <v>0</v>
      </c>
      <c r="Q904" s="267"/>
      <c r="R904" s="267"/>
      <c r="S904" s="269"/>
      <c r="T904" s="63"/>
      <c r="U904" s="94"/>
      <c r="V904" s="90"/>
      <c r="W904" s="136"/>
      <c r="X904" s="137"/>
    </row>
    <row r="905" spans="1:25" s="260" customFormat="1">
      <c r="B905" s="11"/>
      <c r="C905" s="36"/>
      <c r="D905" s="10"/>
      <c r="E905" s="10"/>
      <c r="F905" s="97">
        <f>SUM(F904:F904)</f>
        <v>1138</v>
      </c>
      <c r="G905" s="97">
        <f>SUM(G904:G904)</f>
        <v>39.700000000000003</v>
      </c>
      <c r="H905" s="97">
        <f>SUM(H904:H904)</f>
        <v>0</v>
      </c>
      <c r="I905" s="97">
        <f>SUM(I904:I904)</f>
        <v>1098.3</v>
      </c>
      <c r="J905" s="63"/>
      <c r="K905" s="21"/>
      <c r="L905" s="21"/>
      <c r="M905" s="21"/>
      <c r="N905" s="21"/>
      <c r="O905" s="21"/>
      <c r="P905" s="21"/>
      <c r="Q905" s="21"/>
      <c r="R905" s="21"/>
      <c r="S905" s="21"/>
      <c r="T905" s="63"/>
      <c r="U905" s="10"/>
      <c r="V905" s="90"/>
      <c r="W905" s="91"/>
      <c r="X905" s="92"/>
    </row>
    <row r="906" spans="1:25" s="260" customFormat="1">
      <c r="B906" s="11"/>
      <c r="C906" s="36"/>
      <c r="D906" s="10"/>
      <c r="E906" s="10"/>
      <c r="F906" s="88"/>
      <c r="G906" s="88"/>
      <c r="H906" s="88"/>
      <c r="I906" s="99"/>
      <c r="J906" s="10"/>
      <c r="K906" s="63"/>
      <c r="L906" s="63"/>
      <c r="M906" s="63"/>
      <c r="N906" s="63"/>
      <c r="O906" s="63"/>
      <c r="P906" s="63"/>
      <c r="Q906" s="63"/>
      <c r="R906" s="63"/>
      <c r="S906" s="63"/>
      <c r="T906" s="63"/>
      <c r="U906" s="10"/>
      <c r="V906" s="90"/>
      <c r="W906" s="91"/>
      <c r="X906" s="92"/>
    </row>
    <row r="907" spans="1:25">
      <c r="B907" s="100" t="s">
        <v>72</v>
      </c>
      <c r="C907" s="36"/>
      <c r="D907" s="10"/>
      <c r="E907" s="10"/>
      <c r="F907" s="88"/>
      <c r="G907" s="88"/>
      <c r="H907" s="88"/>
      <c r="I907" s="99"/>
      <c r="J907" s="63"/>
      <c r="K907" s="63"/>
      <c r="L907" s="63"/>
      <c r="M907" s="63"/>
      <c r="N907" s="63"/>
      <c r="O907" s="63"/>
      <c r="P907" s="63"/>
      <c r="Q907" s="63"/>
      <c r="R907" s="63"/>
      <c r="S907" s="63"/>
      <c r="T907" s="63"/>
      <c r="U907" s="10"/>
      <c r="V907" s="90"/>
      <c r="W907" s="91"/>
      <c r="X907" s="92"/>
    </row>
    <row r="908" spans="1:25">
      <c r="B908" s="87">
        <v>1</v>
      </c>
      <c r="C908" s="274">
        <v>45901</v>
      </c>
      <c r="D908" s="275" t="s">
        <v>2135</v>
      </c>
      <c r="E908" s="276" t="s">
        <v>206</v>
      </c>
      <c r="F908" s="277">
        <v>12814</v>
      </c>
      <c r="G908" s="277">
        <v>39.700000000000003</v>
      </c>
      <c r="H908" s="277"/>
      <c r="I908" s="278">
        <f>F908-G908-H908</f>
        <v>12774.3</v>
      </c>
      <c r="J908" s="279" t="s">
        <v>205</v>
      </c>
      <c r="K908" s="279">
        <v>1</v>
      </c>
      <c r="L908" s="279"/>
      <c r="M908" s="279"/>
      <c r="N908" s="279">
        <v>1</v>
      </c>
      <c r="O908" s="279"/>
      <c r="P908" s="279"/>
      <c r="Q908" s="279"/>
      <c r="R908" s="279"/>
      <c r="S908" s="280"/>
      <c r="T908" s="63"/>
      <c r="U908" s="3"/>
      <c r="V908" s="90"/>
      <c r="W908" s="91"/>
      <c r="X908" s="92"/>
    </row>
    <row r="909" spans="1:25">
      <c r="B909" s="87">
        <f t="shared" ref="B909:B923" si="76">B908+1</f>
        <v>2</v>
      </c>
      <c r="C909" s="295">
        <v>45901</v>
      </c>
      <c r="D909" s="77">
        <v>72844</v>
      </c>
      <c r="E909" s="10" t="s">
        <v>2136</v>
      </c>
      <c r="F909" s="62">
        <v>1396</v>
      </c>
      <c r="G909" s="62">
        <v>39.700000000000003</v>
      </c>
      <c r="H909" s="62"/>
      <c r="I909" s="89">
        <f>F909-G909-H909</f>
        <v>1356.3</v>
      </c>
      <c r="J909" s="63" t="s">
        <v>374</v>
      </c>
      <c r="K909" s="63">
        <v>1</v>
      </c>
      <c r="L909" s="63"/>
      <c r="M909" s="63">
        <v>1</v>
      </c>
      <c r="N909" s="63">
        <v>1</v>
      </c>
      <c r="O909" s="63"/>
      <c r="P909" s="63"/>
      <c r="Q909" s="63">
        <v>1</v>
      </c>
      <c r="R909" s="63">
        <v>1</v>
      </c>
      <c r="S909" s="296"/>
      <c r="T909" s="63"/>
      <c r="U909" s="10" t="s">
        <v>2137</v>
      </c>
      <c r="V909" s="90">
        <v>203.5</v>
      </c>
      <c r="W909" s="136"/>
      <c r="X909" s="137"/>
    </row>
    <row r="910" spans="1:25">
      <c r="B910" s="87">
        <f t="shared" si="76"/>
        <v>3</v>
      </c>
      <c r="C910" s="295">
        <v>45901</v>
      </c>
      <c r="D910" s="77" t="s">
        <v>2138</v>
      </c>
      <c r="E910" s="10" t="s">
        <v>2139</v>
      </c>
      <c r="F910" s="62">
        <v>1281</v>
      </c>
      <c r="G910" s="62">
        <v>39.700000000000003</v>
      </c>
      <c r="H910" s="62"/>
      <c r="I910" s="89">
        <f>F910-G910-H910</f>
        <v>1241.3</v>
      </c>
      <c r="J910" s="63" t="s">
        <v>205</v>
      </c>
      <c r="K910" s="63">
        <v>1</v>
      </c>
      <c r="L910" s="63"/>
      <c r="M910" s="63"/>
      <c r="N910" s="63">
        <v>1</v>
      </c>
      <c r="O910" s="63"/>
      <c r="P910" s="63"/>
      <c r="Q910" s="63">
        <v>1</v>
      </c>
      <c r="R910" s="63">
        <v>1</v>
      </c>
      <c r="S910" s="296"/>
      <c r="T910" s="63"/>
      <c r="U910" s="10"/>
      <c r="V910" s="90"/>
      <c r="W910" s="136"/>
      <c r="X910" s="137"/>
    </row>
    <row r="911" spans="1:25">
      <c r="B911" s="87">
        <f t="shared" si="76"/>
        <v>4</v>
      </c>
      <c r="C911" s="295">
        <v>45901</v>
      </c>
      <c r="D911" s="77" t="s">
        <v>2140</v>
      </c>
      <c r="E911" s="10" t="s">
        <v>2139</v>
      </c>
      <c r="F911" s="62">
        <v>2614</v>
      </c>
      <c r="G911" s="62">
        <v>39.700000000000003</v>
      </c>
      <c r="H911" s="62"/>
      <c r="I911" s="89">
        <f>F911-G911-H911</f>
        <v>2574.3000000000002</v>
      </c>
      <c r="J911" s="63" t="s">
        <v>205</v>
      </c>
      <c r="K911" s="63">
        <v>1</v>
      </c>
      <c r="L911" s="63"/>
      <c r="M911" s="63"/>
      <c r="N911" s="63">
        <v>1</v>
      </c>
      <c r="O911" s="63"/>
      <c r="P911" s="63"/>
      <c r="Q911" s="63">
        <v>1</v>
      </c>
      <c r="R911" s="63">
        <v>1</v>
      </c>
      <c r="S911" s="296"/>
      <c r="T911" s="63"/>
      <c r="U911" s="10"/>
      <c r="V911" s="90"/>
      <c r="W911" s="136"/>
      <c r="X911" s="137"/>
    </row>
    <row r="912" spans="1:25">
      <c r="B912" s="87">
        <f t="shared" si="76"/>
        <v>5</v>
      </c>
      <c r="C912" s="295">
        <v>45901</v>
      </c>
      <c r="D912" s="77" t="s">
        <v>2141</v>
      </c>
      <c r="E912" s="10" t="s">
        <v>2139</v>
      </c>
      <c r="F912" s="62">
        <v>1138</v>
      </c>
      <c r="G912" s="62">
        <v>39.700000000000003</v>
      </c>
      <c r="H912" s="62"/>
      <c r="I912" s="89">
        <f>F912-G912-H912</f>
        <v>1098.3</v>
      </c>
      <c r="J912" s="63" t="s">
        <v>205</v>
      </c>
      <c r="K912" s="63">
        <v>1</v>
      </c>
      <c r="L912" s="63"/>
      <c r="M912" s="63"/>
      <c r="N912" s="63">
        <v>1</v>
      </c>
      <c r="O912" s="63"/>
      <c r="P912" s="63"/>
      <c r="Q912" s="63">
        <v>1</v>
      </c>
      <c r="R912" s="63">
        <v>1</v>
      </c>
      <c r="S912" s="296"/>
      <c r="T912" s="63"/>
      <c r="U912" s="10"/>
      <c r="V912" s="90"/>
      <c r="W912" s="136"/>
      <c r="X912" s="137"/>
    </row>
    <row r="913" spans="2:24">
      <c r="B913" s="87">
        <f t="shared" si="76"/>
        <v>6</v>
      </c>
      <c r="C913" s="295">
        <v>45901</v>
      </c>
      <c r="D913" s="77">
        <v>72809</v>
      </c>
      <c r="E913" s="101" t="s">
        <v>349</v>
      </c>
      <c r="F913" s="62">
        <v>1681</v>
      </c>
      <c r="G913" s="62">
        <v>39.700000000000003</v>
      </c>
      <c r="H913" s="62"/>
      <c r="I913" s="89">
        <f>F913-G913-H913</f>
        <v>1641.3</v>
      </c>
      <c r="J913" s="63" t="s">
        <v>205</v>
      </c>
      <c r="K913" s="63">
        <v>1</v>
      </c>
      <c r="L913" s="63"/>
      <c r="M913" s="63"/>
      <c r="N913" s="63">
        <v>1</v>
      </c>
      <c r="O913" s="63"/>
      <c r="P913" s="63"/>
      <c r="Q913" s="63">
        <v>1</v>
      </c>
      <c r="R913" s="63">
        <v>1</v>
      </c>
      <c r="S913" s="296"/>
      <c r="T913" s="63"/>
      <c r="U913" s="10"/>
      <c r="V913" s="90"/>
      <c r="W913" s="136"/>
      <c r="X913" s="137"/>
    </row>
    <row r="914" spans="2:24">
      <c r="B914" s="87">
        <f t="shared" si="76"/>
        <v>7</v>
      </c>
      <c r="C914" s="295">
        <v>45901</v>
      </c>
      <c r="D914" s="77" t="s">
        <v>2142</v>
      </c>
      <c r="E914" s="101" t="s">
        <v>334</v>
      </c>
      <c r="F914" s="62">
        <v>15076</v>
      </c>
      <c r="G914" s="62">
        <v>39.700000000000003</v>
      </c>
      <c r="H914" s="62"/>
      <c r="I914" s="89">
        <f>F914-G914-H914</f>
        <v>15036.3</v>
      </c>
      <c r="J914" s="63" t="s">
        <v>205</v>
      </c>
      <c r="K914" s="63">
        <v>1</v>
      </c>
      <c r="L914" s="63"/>
      <c r="M914" s="63"/>
      <c r="N914" s="63">
        <v>1</v>
      </c>
      <c r="O914" s="63"/>
      <c r="P914" s="63"/>
      <c r="Q914" s="63"/>
      <c r="R914" s="63"/>
      <c r="S914" s="296"/>
      <c r="T914" s="63"/>
      <c r="U914" s="10"/>
      <c r="V914" s="90"/>
      <c r="W914" s="136"/>
      <c r="X914" s="137"/>
    </row>
    <row r="915" spans="2:24">
      <c r="B915" s="87">
        <f t="shared" si="76"/>
        <v>8</v>
      </c>
      <c r="C915" s="274">
        <v>45902</v>
      </c>
      <c r="D915" s="275" t="s">
        <v>2143</v>
      </c>
      <c r="E915" s="404" t="s">
        <v>512</v>
      </c>
      <c r="F915" s="277">
        <v>10034.700000000001</v>
      </c>
      <c r="G915" s="277">
        <v>39.700000000000003</v>
      </c>
      <c r="H915" s="277"/>
      <c r="I915" s="278">
        <f>F915-G915-H915</f>
        <v>9995</v>
      </c>
      <c r="J915" s="279" t="s">
        <v>205</v>
      </c>
      <c r="K915" s="279">
        <v>1</v>
      </c>
      <c r="L915" s="279"/>
      <c r="M915" s="279"/>
      <c r="N915" s="279">
        <v>1</v>
      </c>
      <c r="O915" s="279"/>
      <c r="P915" s="279"/>
      <c r="Q915" s="279"/>
      <c r="R915" s="279"/>
      <c r="S915" s="280"/>
      <c r="T915" s="63"/>
      <c r="U915" s="10"/>
      <c r="V915" s="90"/>
      <c r="W915" s="136"/>
      <c r="X915" s="137"/>
    </row>
    <row r="916" spans="2:24">
      <c r="B916" s="87">
        <f t="shared" si="76"/>
        <v>9</v>
      </c>
      <c r="C916" s="295">
        <v>45902</v>
      </c>
      <c r="D916" s="77">
        <v>72868</v>
      </c>
      <c r="E916" s="94" t="s">
        <v>456</v>
      </c>
      <c r="F916" s="62">
        <v>861</v>
      </c>
      <c r="G916" s="62">
        <v>39.700000000000003</v>
      </c>
      <c r="H916" s="62"/>
      <c r="I916" s="89">
        <f>F916-G916-H916</f>
        <v>821.3</v>
      </c>
      <c r="J916" s="63" t="s">
        <v>205</v>
      </c>
      <c r="K916" s="63">
        <v>1</v>
      </c>
      <c r="L916" s="63"/>
      <c r="M916" s="63"/>
      <c r="N916" s="63">
        <v>1</v>
      </c>
      <c r="O916" s="63"/>
      <c r="P916" s="63"/>
      <c r="Q916" s="63">
        <v>1</v>
      </c>
      <c r="R916" s="63">
        <v>1</v>
      </c>
      <c r="S916" s="296"/>
      <c r="T916" s="63"/>
      <c r="U916" s="10"/>
      <c r="V916" s="90"/>
      <c r="W916" s="136"/>
      <c r="X916" s="137"/>
    </row>
    <row r="917" spans="2:24">
      <c r="B917" s="87">
        <f t="shared" si="76"/>
        <v>10</v>
      </c>
      <c r="C917" s="295">
        <v>45902</v>
      </c>
      <c r="D917" s="77" t="s">
        <v>2144</v>
      </c>
      <c r="E917" s="101" t="s">
        <v>572</v>
      </c>
      <c r="F917" s="62">
        <v>1138</v>
      </c>
      <c r="G917" s="62">
        <v>39.700000000000003</v>
      </c>
      <c r="H917" s="62"/>
      <c r="I917" s="89">
        <f>F917-G917-H917</f>
        <v>1098.3</v>
      </c>
      <c r="J917" s="63" t="s">
        <v>205</v>
      </c>
      <c r="K917" s="63">
        <v>1</v>
      </c>
      <c r="L917" s="63"/>
      <c r="M917" s="63"/>
      <c r="N917" s="63">
        <v>1</v>
      </c>
      <c r="O917" s="63"/>
      <c r="P917" s="63"/>
      <c r="Q917" s="63">
        <v>1</v>
      </c>
      <c r="R917" s="63">
        <v>1</v>
      </c>
      <c r="S917" s="296"/>
      <c r="T917" s="63"/>
      <c r="U917" s="10"/>
      <c r="V917" s="90"/>
      <c r="W917" s="136"/>
      <c r="X917" s="137"/>
    </row>
    <row r="918" spans="2:24">
      <c r="B918" s="87">
        <f t="shared" si="76"/>
        <v>11</v>
      </c>
      <c r="C918" s="295">
        <v>45902</v>
      </c>
      <c r="D918" s="77" t="s">
        <v>2145</v>
      </c>
      <c r="E918" s="101" t="s">
        <v>572</v>
      </c>
      <c r="F918" s="62">
        <v>7842</v>
      </c>
      <c r="G918" s="62">
        <v>39.700000000000003</v>
      </c>
      <c r="H918" s="62"/>
      <c r="I918" s="89">
        <f>F918-G918-H918</f>
        <v>7802.3</v>
      </c>
      <c r="J918" s="63" t="s">
        <v>205</v>
      </c>
      <c r="K918" s="63">
        <v>1</v>
      </c>
      <c r="L918" s="63"/>
      <c r="M918" s="63"/>
      <c r="N918" s="63">
        <v>1</v>
      </c>
      <c r="O918" s="63"/>
      <c r="P918" s="63"/>
      <c r="Q918" s="63">
        <v>1</v>
      </c>
      <c r="R918" s="63">
        <v>1</v>
      </c>
      <c r="S918" s="296"/>
      <c r="T918" s="63"/>
      <c r="U918" s="10"/>
      <c r="V918" s="90"/>
      <c r="W918" s="136"/>
      <c r="X918" s="137"/>
    </row>
    <row r="919" spans="2:24">
      <c r="B919" s="87">
        <f t="shared" si="76"/>
        <v>12</v>
      </c>
      <c r="C919" s="295">
        <v>45902</v>
      </c>
      <c r="D919" s="77">
        <v>72902</v>
      </c>
      <c r="E919" s="101" t="s">
        <v>296</v>
      </c>
      <c r="F919" s="62">
        <v>614</v>
      </c>
      <c r="G919" s="62"/>
      <c r="H919" s="62"/>
      <c r="I919" s="89">
        <f>F919-G919-H919</f>
        <v>614</v>
      </c>
      <c r="J919" s="63" t="s">
        <v>205</v>
      </c>
      <c r="K919" s="63">
        <v>1</v>
      </c>
      <c r="L919" s="63"/>
      <c r="M919" s="63"/>
      <c r="N919" s="63">
        <v>1</v>
      </c>
      <c r="O919" s="63"/>
      <c r="P919" s="63"/>
      <c r="Q919" s="63">
        <v>1</v>
      </c>
      <c r="R919" s="63">
        <v>1</v>
      </c>
      <c r="S919" s="296"/>
      <c r="T919" s="63"/>
      <c r="U919" s="10"/>
      <c r="V919" s="90"/>
      <c r="W919" s="136"/>
      <c r="X919" s="137"/>
    </row>
    <row r="920" spans="2:24">
      <c r="B920" s="87">
        <f t="shared" si="76"/>
        <v>13</v>
      </c>
      <c r="C920" s="274">
        <v>45903</v>
      </c>
      <c r="D920" s="276">
        <v>72895</v>
      </c>
      <c r="E920" s="281" t="s">
        <v>178</v>
      </c>
      <c r="F920" s="277">
        <v>481</v>
      </c>
      <c r="G920" s="277">
        <v>0</v>
      </c>
      <c r="H920" s="277"/>
      <c r="I920" s="278">
        <f>F920-G920-H920</f>
        <v>481</v>
      </c>
      <c r="J920" s="279" t="s">
        <v>205</v>
      </c>
      <c r="K920" s="279">
        <v>1</v>
      </c>
      <c r="L920" s="279"/>
      <c r="M920" s="279"/>
      <c r="N920" s="279">
        <v>1</v>
      </c>
      <c r="O920" s="279"/>
      <c r="P920" s="279"/>
      <c r="Q920" s="279">
        <v>1</v>
      </c>
      <c r="R920" s="279">
        <v>1</v>
      </c>
      <c r="S920" s="280"/>
      <c r="T920" s="63"/>
      <c r="U920" s="10"/>
      <c r="V920" s="90"/>
      <c r="W920" s="136"/>
      <c r="X920" s="137"/>
    </row>
    <row r="921" spans="2:24">
      <c r="B921" s="87">
        <f t="shared" si="76"/>
        <v>14</v>
      </c>
      <c r="C921" s="295">
        <v>45903</v>
      </c>
      <c r="D921" s="10">
        <v>72928</v>
      </c>
      <c r="E921" s="10" t="s">
        <v>206</v>
      </c>
      <c r="F921" s="62">
        <v>1659.35</v>
      </c>
      <c r="G921" s="62">
        <v>39.700000000000003</v>
      </c>
      <c r="H921" s="62"/>
      <c r="I921" s="89">
        <f>F921-G921-H921</f>
        <v>1619.6499999999999</v>
      </c>
      <c r="J921" s="63" t="s">
        <v>205</v>
      </c>
      <c r="K921" s="63">
        <v>1</v>
      </c>
      <c r="L921" s="63"/>
      <c r="M921" s="63"/>
      <c r="N921" s="63">
        <v>1</v>
      </c>
      <c r="O921" s="63"/>
      <c r="P921" s="63"/>
      <c r="Q921" s="63">
        <v>1</v>
      </c>
      <c r="R921" s="63">
        <v>1</v>
      </c>
      <c r="S921" s="296"/>
      <c r="T921" s="63"/>
      <c r="U921" s="10"/>
      <c r="V921" s="90"/>
      <c r="W921" s="136"/>
      <c r="X921" s="137"/>
    </row>
    <row r="922" spans="2:24">
      <c r="B922" s="87">
        <f t="shared" si="76"/>
        <v>15</v>
      </c>
      <c r="C922" s="295">
        <v>45903</v>
      </c>
      <c r="D922" s="10">
        <v>72848</v>
      </c>
      <c r="E922" s="10" t="s">
        <v>395</v>
      </c>
      <c r="F922" s="62">
        <v>12814</v>
      </c>
      <c r="G922" s="62">
        <v>39.700000000000003</v>
      </c>
      <c r="H922" s="62"/>
      <c r="I922" s="89">
        <f>F922-G922-H922</f>
        <v>12774.3</v>
      </c>
      <c r="J922" s="63" t="s">
        <v>205</v>
      </c>
      <c r="K922" s="63">
        <v>1</v>
      </c>
      <c r="L922" s="63"/>
      <c r="M922" s="63"/>
      <c r="N922" s="63">
        <v>1</v>
      </c>
      <c r="O922" s="63"/>
      <c r="P922" s="63"/>
      <c r="Q922" s="63"/>
      <c r="R922" s="63"/>
      <c r="S922" s="296"/>
      <c r="T922" s="63"/>
      <c r="U922" s="10"/>
      <c r="V922" s="90"/>
      <c r="W922" s="136"/>
      <c r="X922" s="137"/>
    </row>
    <row r="923" spans="2:24">
      <c r="B923" s="87">
        <f t="shared" si="76"/>
        <v>16</v>
      </c>
      <c r="C923" s="274">
        <v>45904</v>
      </c>
      <c r="D923" s="276">
        <v>72965</v>
      </c>
      <c r="E923" s="276" t="s">
        <v>1886</v>
      </c>
      <c r="F923" s="277">
        <v>1261</v>
      </c>
      <c r="G923" s="277">
        <v>39.700000000000003</v>
      </c>
      <c r="H923" s="277"/>
      <c r="I923" s="278">
        <f>F923-G923-H923</f>
        <v>1221.3</v>
      </c>
      <c r="J923" s="279" t="s">
        <v>156</v>
      </c>
      <c r="K923" s="279">
        <v>1</v>
      </c>
      <c r="L923" s="279"/>
      <c r="M923" s="279">
        <v>1</v>
      </c>
      <c r="N923" s="279">
        <v>1</v>
      </c>
      <c r="O923" s="279"/>
      <c r="P923" s="279"/>
      <c r="Q923" s="279"/>
      <c r="R923" s="279"/>
      <c r="S923" s="280"/>
      <c r="T923" s="63"/>
      <c r="U923" s="10"/>
      <c r="V923" s="90"/>
      <c r="W923" s="136"/>
      <c r="X923" s="137"/>
    </row>
    <row r="924" spans="2:24">
      <c r="B924" s="87">
        <f>B923+1</f>
        <v>17</v>
      </c>
      <c r="C924" s="295">
        <v>45904</v>
      </c>
      <c r="D924" s="77" t="s">
        <v>2146</v>
      </c>
      <c r="E924" s="10" t="s">
        <v>572</v>
      </c>
      <c r="F924" s="62">
        <v>1261</v>
      </c>
      <c r="G924" s="62">
        <v>39.700000000000003</v>
      </c>
      <c r="H924" s="62"/>
      <c r="I924" s="89">
        <f>F924-G924-H924</f>
        <v>1221.3</v>
      </c>
      <c r="J924" s="63" t="s">
        <v>205</v>
      </c>
      <c r="K924" s="63">
        <v>1</v>
      </c>
      <c r="L924" s="63"/>
      <c r="M924" s="63"/>
      <c r="N924" s="63">
        <v>1</v>
      </c>
      <c r="O924" s="63"/>
      <c r="P924" s="63"/>
      <c r="Q924" s="63">
        <v>1</v>
      </c>
      <c r="R924" s="63">
        <v>1</v>
      </c>
      <c r="S924" s="296"/>
      <c r="T924" s="63"/>
      <c r="U924" s="10"/>
      <c r="V924" s="90"/>
      <c r="W924" s="136"/>
      <c r="X924" s="137"/>
    </row>
    <row r="925" spans="2:24">
      <c r="B925" s="87">
        <f>B924+1</f>
        <v>18</v>
      </c>
      <c r="C925" s="295">
        <v>45904</v>
      </c>
      <c r="D925" s="77" t="s">
        <v>2147</v>
      </c>
      <c r="E925" s="10" t="s">
        <v>572</v>
      </c>
      <c r="F925" s="62">
        <v>6814</v>
      </c>
      <c r="G925" s="62">
        <v>39.700000000000003</v>
      </c>
      <c r="H925" s="62"/>
      <c r="I925" s="89">
        <f>F925-G925-H925</f>
        <v>6774.3</v>
      </c>
      <c r="J925" s="63" t="s">
        <v>205</v>
      </c>
      <c r="K925" s="63">
        <v>1</v>
      </c>
      <c r="L925" s="63"/>
      <c r="M925" s="63"/>
      <c r="N925" s="63">
        <v>1</v>
      </c>
      <c r="O925" s="63"/>
      <c r="P925" s="63"/>
      <c r="Q925" s="63">
        <v>1</v>
      </c>
      <c r="R925" s="63">
        <v>1</v>
      </c>
      <c r="S925" s="296"/>
      <c r="T925" s="63"/>
      <c r="U925" s="10"/>
      <c r="V925" s="90"/>
      <c r="W925" s="136"/>
      <c r="X925" s="137"/>
    </row>
    <row r="926" spans="2:24">
      <c r="B926" s="87">
        <f>B925+1</f>
        <v>19</v>
      </c>
      <c r="C926" s="295">
        <v>45904</v>
      </c>
      <c r="D926" s="10">
        <v>72975</v>
      </c>
      <c r="E926" s="10" t="s">
        <v>511</v>
      </c>
      <c r="F926" s="62">
        <v>2261</v>
      </c>
      <c r="G926" s="62">
        <v>39.700000000000003</v>
      </c>
      <c r="H926" s="62"/>
      <c r="I926" s="89">
        <f>F926-G926-H926</f>
        <v>2221.3000000000002</v>
      </c>
      <c r="J926" s="63" t="s">
        <v>205</v>
      </c>
      <c r="K926" s="63">
        <v>1</v>
      </c>
      <c r="L926" s="63"/>
      <c r="M926" s="63"/>
      <c r="N926" s="63">
        <v>1</v>
      </c>
      <c r="O926" s="63"/>
      <c r="P926" s="63"/>
      <c r="Q926" s="63">
        <v>1</v>
      </c>
      <c r="R926" s="63">
        <v>1</v>
      </c>
      <c r="S926" s="296"/>
      <c r="T926" s="63"/>
      <c r="U926" s="10"/>
      <c r="V926" s="90"/>
      <c r="W926" s="136"/>
      <c r="X926" s="137"/>
    </row>
    <row r="927" spans="2:24">
      <c r="B927" s="87">
        <f>B926+1</f>
        <v>20</v>
      </c>
      <c r="C927" s="295">
        <v>45904</v>
      </c>
      <c r="D927" s="10">
        <v>72990</v>
      </c>
      <c r="E927" s="10" t="s">
        <v>388</v>
      </c>
      <c r="F927" s="62">
        <v>1073</v>
      </c>
      <c r="G927" s="62">
        <v>39.700000000000003</v>
      </c>
      <c r="H927" s="62"/>
      <c r="I927" s="89">
        <f>F927-G927-H927</f>
        <v>1033.3</v>
      </c>
      <c r="J927" s="63" t="s">
        <v>205</v>
      </c>
      <c r="K927" s="63">
        <v>1</v>
      </c>
      <c r="L927" s="63"/>
      <c r="M927" s="63"/>
      <c r="N927" s="63">
        <v>1</v>
      </c>
      <c r="O927" s="63"/>
      <c r="P927" s="63"/>
      <c r="Q927" s="63">
        <v>1</v>
      </c>
      <c r="R927" s="63">
        <v>1</v>
      </c>
      <c r="S927" s="296"/>
      <c r="T927" s="63"/>
      <c r="U927" s="10"/>
      <c r="V927" s="90"/>
      <c r="W927" s="136"/>
      <c r="X927" s="137"/>
    </row>
    <row r="928" spans="2:24">
      <c r="B928" s="87">
        <f>B927+1</f>
        <v>21</v>
      </c>
      <c r="C928" s="295">
        <v>45904</v>
      </c>
      <c r="D928" s="10">
        <v>72994</v>
      </c>
      <c r="E928" s="10" t="s">
        <v>388</v>
      </c>
      <c r="F928" s="62">
        <v>1261</v>
      </c>
      <c r="G928" s="62">
        <v>39.700000000000003</v>
      </c>
      <c r="H928" s="62"/>
      <c r="I928" s="89">
        <f>F928-G928-H928</f>
        <v>1221.3</v>
      </c>
      <c r="J928" s="63" t="s">
        <v>156</v>
      </c>
      <c r="K928" s="63">
        <v>1</v>
      </c>
      <c r="L928" s="63"/>
      <c r="M928" s="63">
        <v>1</v>
      </c>
      <c r="N928" s="63">
        <v>1</v>
      </c>
      <c r="O928" s="63">
        <v>1</v>
      </c>
      <c r="P928" s="63">
        <v>0</v>
      </c>
      <c r="Q928" s="63"/>
      <c r="R928" s="63"/>
      <c r="S928" s="296"/>
      <c r="T928" s="63"/>
      <c r="U928" s="94" t="s">
        <v>2148</v>
      </c>
      <c r="V928" s="90">
        <f>138</f>
        <v>138</v>
      </c>
      <c r="W928" s="136"/>
      <c r="X928" s="137"/>
    </row>
    <row r="929" spans="2:25">
      <c r="B929" s="87">
        <f>B928+1</f>
        <v>22</v>
      </c>
      <c r="C929" s="295">
        <v>45904</v>
      </c>
      <c r="D929" s="10">
        <v>73000</v>
      </c>
      <c r="E929" s="10" t="s">
        <v>270</v>
      </c>
      <c r="F929" s="62">
        <v>1281</v>
      </c>
      <c r="G929" s="62">
        <v>39.700000000000003</v>
      </c>
      <c r="H929" s="62"/>
      <c r="I929" s="89">
        <f>F929-G929-H929</f>
        <v>1241.3</v>
      </c>
      <c r="J929" s="63" t="s">
        <v>205</v>
      </c>
      <c r="K929" s="63">
        <v>1</v>
      </c>
      <c r="L929" s="63"/>
      <c r="M929" s="63"/>
      <c r="N929" s="63">
        <v>1</v>
      </c>
      <c r="O929" s="63"/>
      <c r="P929" s="63"/>
      <c r="Q929" s="63">
        <v>1</v>
      </c>
      <c r="R929" s="63">
        <v>1</v>
      </c>
      <c r="S929" s="296"/>
      <c r="T929" s="63"/>
      <c r="U929" s="10"/>
      <c r="V929" s="90"/>
      <c r="W929" s="136"/>
      <c r="X929" s="137"/>
    </row>
    <row r="930" spans="2:25">
      <c r="B930" s="87">
        <f>B929+1</f>
        <v>23</v>
      </c>
      <c r="C930" s="274">
        <v>45905</v>
      </c>
      <c r="D930" s="276">
        <v>72981</v>
      </c>
      <c r="E930" s="276" t="s">
        <v>168</v>
      </c>
      <c r="F930" s="277">
        <v>681</v>
      </c>
      <c r="G930" s="277"/>
      <c r="H930" s="277"/>
      <c r="I930" s="278">
        <f>F930-G930-H930</f>
        <v>681</v>
      </c>
      <c r="J930" s="279" t="s">
        <v>205</v>
      </c>
      <c r="K930" s="279">
        <v>1</v>
      </c>
      <c r="L930" s="279"/>
      <c r="M930" s="279"/>
      <c r="N930" s="279">
        <v>1</v>
      </c>
      <c r="O930" s="279"/>
      <c r="P930" s="279"/>
      <c r="Q930" s="279">
        <v>1</v>
      </c>
      <c r="R930" s="279">
        <v>1</v>
      </c>
      <c r="S930" s="280"/>
      <c r="T930" s="63"/>
      <c r="U930" s="10"/>
      <c r="V930" s="90"/>
      <c r="W930" s="136"/>
      <c r="X930" s="137"/>
    </row>
    <row r="931" spans="2:25">
      <c r="B931" s="87">
        <f>B930+1</f>
        <v>24</v>
      </c>
      <c r="C931" s="295">
        <v>45905</v>
      </c>
      <c r="D931" s="10">
        <v>73030</v>
      </c>
      <c r="E931" s="10" t="s">
        <v>2149</v>
      </c>
      <c r="F931" s="62">
        <v>681</v>
      </c>
      <c r="G931" s="62"/>
      <c r="H931" s="62"/>
      <c r="I931" s="89">
        <f>F931-G931-H931</f>
        <v>681</v>
      </c>
      <c r="J931" s="63" t="s">
        <v>205</v>
      </c>
      <c r="K931" s="63">
        <v>1</v>
      </c>
      <c r="L931" s="63"/>
      <c r="M931" s="63"/>
      <c r="N931" s="63">
        <v>1</v>
      </c>
      <c r="O931" s="63"/>
      <c r="P931" s="63"/>
      <c r="Q931" s="63">
        <v>1</v>
      </c>
      <c r="R931" s="63">
        <v>1</v>
      </c>
      <c r="S931" s="296"/>
      <c r="T931" s="63"/>
      <c r="U931" s="10"/>
      <c r="V931" s="90"/>
      <c r="W931" s="136"/>
      <c r="X931" s="137"/>
    </row>
    <row r="932" spans="2:25">
      <c r="B932" s="87">
        <f>B931+1</f>
        <v>25</v>
      </c>
      <c r="C932" s="295">
        <v>45905</v>
      </c>
      <c r="D932" s="10">
        <v>73024</v>
      </c>
      <c r="E932" s="10" t="s">
        <v>334</v>
      </c>
      <c r="F932" s="62">
        <v>2541</v>
      </c>
      <c r="G932" s="62">
        <v>39.700000000000003</v>
      </c>
      <c r="H932" s="62"/>
      <c r="I932" s="89">
        <f>F932-G932-H932</f>
        <v>2501.3000000000002</v>
      </c>
      <c r="J932" s="63" t="s">
        <v>205</v>
      </c>
      <c r="K932" s="63">
        <v>1</v>
      </c>
      <c r="L932" s="63"/>
      <c r="M932" s="63"/>
      <c r="N932" s="63">
        <v>1</v>
      </c>
      <c r="O932" s="63"/>
      <c r="P932" s="63"/>
      <c r="Q932" s="63">
        <v>1</v>
      </c>
      <c r="R932" s="63">
        <v>1</v>
      </c>
      <c r="S932" s="296"/>
      <c r="T932" s="63"/>
      <c r="U932" s="10"/>
      <c r="V932" s="90"/>
      <c r="W932" s="136"/>
      <c r="X932" s="137"/>
    </row>
    <row r="933" spans="2:25">
      <c r="B933" s="87">
        <f>B932+1</f>
        <v>26</v>
      </c>
      <c r="C933" s="282">
        <v>45905</v>
      </c>
      <c r="D933" s="283">
        <v>73034</v>
      </c>
      <c r="E933" s="283" t="s">
        <v>299</v>
      </c>
      <c r="F933" s="284">
        <v>1261</v>
      </c>
      <c r="G933" s="284">
        <v>39.700000000000003</v>
      </c>
      <c r="H933" s="284"/>
      <c r="I933" s="285">
        <f>F933-G933-H933</f>
        <v>1221.3</v>
      </c>
      <c r="J933" s="286" t="s">
        <v>205</v>
      </c>
      <c r="K933" s="286">
        <v>1</v>
      </c>
      <c r="L933" s="286"/>
      <c r="M933" s="286"/>
      <c r="N933" s="286">
        <v>1</v>
      </c>
      <c r="O933" s="286"/>
      <c r="P933" s="286"/>
      <c r="Q933" s="286">
        <v>1</v>
      </c>
      <c r="R933" s="286">
        <v>1</v>
      </c>
      <c r="S933" s="287"/>
      <c r="T933" s="63"/>
      <c r="U933" s="10"/>
      <c r="V933" s="90"/>
      <c r="W933" s="136"/>
      <c r="X933" s="137"/>
    </row>
    <row r="934" spans="2:25">
      <c r="B934" s="11"/>
      <c r="C934" s="36"/>
      <c r="D934" s="10"/>
      <c r="E934" s="10"/>
      <c r="F934" s="97">
        <f>SUM(F908:F933)</f>
        <v>91820.049999999988</v>
      </c>
      <c r="G934" s="97">
        <f>SUM(G908:G933)</f>
        <v>873.40000000000032</v>
      </c>
      <c r="H934" s="97">
        <f>SUM(H908:H933)</f>
        <v>0</v>
      </c>
      <c r="I934" s="98">
        <f>SUM(I908:I933)</f>
        <v>90946.650000000023</v>
      </c>
      <c r="J934" s="10"/>
      <c r="K934" s="10"/>
      <c r="L934" s="10"/>
      <c r="M934" s="10"/>
      <c r="N934" s="10"/>
      <c r="O934" s="10"/>
      <c r="P934" s="10"/>
      <c r="Q934" s="10"/>
      <c r="R934" s="10"/>
      <c r="S934" s="10"/>
      <c r="T934" s="63"/>
      <c r="U934" s="10"/>
      <c r="V934" s="138"/>
      <c r="W934" s="136"/>
      <c r="X934" s="137"/>
    </row>
    <row r="935" spans="2:25">
      <c r="B935" s="26"/>
      <c r="C935" s="140"/>
      <c r="D935" s="141"/>
      <c r="E935" s="141"/>
      <c r="F935" s="141"/>
      <c r="G935" s="141"/>
      <c r="H935" s="141"/>
      <c r="I935" s="141"/>
      <c r="J935" s="141"/>
      <c r="K935" s="142"/>
      <c r="L935" s="142"/>
      <c r="M935" s="142"/>
      <c r="N935" s="142"/>
      <c r="O935" s="142"/>
      <c r="P935" s="142"/>
      <c r="Q935" s="142"/>
      <c r="R935" s="142"/>
      <c r="S935" s="142"/>
      <c r="T935" s="143">
        <f>SUM(T866:T934)</f>
        <v>2</v>
      </c>
      <c r="U935" s="141"/>
      <c r="V935" s="144">
        <f>SUM(V866:V934)</f>
        <v>27506.71</v>
      </c>
      <c r="W935" s="144">
        <f t="shared" ref="W935:X935" si="77">SUM(W866:W934)</f>
        <v>0</v>
      </c>
      <c r="X935" s="144">
        <f t="shared" si="77"/>
        <v>0</v>
      </c>
    </row>
    <row r="936" spans="2:25">
      <c r="B936" s="10"/>
      <c r="C936" s="36"/>
      <c r="D936" s="10"/>
      <c r="E936" s="10"/>
      <c r="F936" s="10"/>
      <c r="G936" s="10"/>
      <c r="H936" s="10"/>
      <c r="I936" s="10"/>
      <c r="J936" s="10"/>
      <c r="K936" s="147"/>
      <c r="L936" s="147"/>
      <c r="M936" s="147"/>
      <c r="N936" s="147"/>
      <c r="O936" s="147"/>
      <c r="P936" s="147"/>
      <c r="Q936" s="147"/>
      <c r="R936" s="147"/>
      <c r="S936" s="147"/>
      <c r="T936" s="21"/>
      <c r="U936" s="10"/>
      <c r="V936" s="99"/>
      <c r="W936" s="99"/>
      <c r="X936" s="99"/>
    </row>
    <row r="938" spans="2:25">
      <c r="B938" s="4" t="s">
        <v>1</v>
      </c>
      <c r="C938" s="5"/>
      <c r="D938" s="6"/>
      <c r="E938" s="6"/>
      <c r="F938" s="7" t="s">
        <v>2</v>
      </c>
      <c r="G938" s="608">
        <v>45914</v>
      </c>
      <c r="H938" s="7"/>
      <c r="I938" s="6"/>
      <c r="J938" s="6"/>
      <c r="K938" s="6"/>
      <c r="L938" s="6"/>
      <c r="M938" s="6"/>
      <c r="N938" s="6"/>
      <c r="O938" s="6"/>
      <c r="P938" s="6"/>
      <c r="Q938" s="6"/>
      <c r="R938" s="6"/>
      <c r="S938" s="6"/>
      <c r="T938" s="6"/>
      <c r="U938" s="9"/>
      <c r="V938" s="10"/>
      <c r="W938" s="10"/>
      <c r="X938" s="10"/>
      <c r="Y938" s="2"/>
    </row>
    <row r="939" spans="2:25">
      <c r="B939" s="11"/>
      <c r="C939" s="10"/>
      <c r="D939" s="10"/>
      <c r="E939" s="10"/>
      <c r="F939" s="10"/>
      <c r="G939" s="7"/>
      <c r="H939" s="12"/>
      <c r="I939" s="10"/>
      <c r="J939" s="10"/>
      <c r="K939" s="13" t="s">
        <v>3</v>
      </c>
      <c r="L939" s="14"/>
      <c r="M939" s="15"/>
      <c r="N939" s="13" t="s">
        <v>4</v>
      </c>
      <c r="O939" s="14"/>
      <c r="P939" s="15"/>
      <c r="Q939" s="13" t="s">
        <v>5</v>
      </c>
      <c r="R939" s="14"/>
      <c r="S939" s="15"/>
      <c r="T939" s="16"/>
      <c r="U939" s="17"/>
      <c r="V939" s="10"/>
      <c r="W939" s="10"/>
      <c r="X939" s="10"/>
      <c r="Y939" s="2"/>
    </row>
    <row r="940" spans="2:25">
      <c r="B940" s="18" t="s">
        <v>6</v>
      </c>
      <c r="C940" s="19">
        <f>C941+C942</f>
        <v>17</v>
      </c>
      <c r="D940" s="10"/>
      <c r="E940" s="18" t="s">
        <v>7</v>
      </c>
      <c r="F940" s="6"/>
      <c r="G940" s="9"/>
      <c r="H940" s="10"/>
      <c r="I940" s="10"/>
      <c r="J940" s="10"/>
      <c r="K940" s="20" t="s">
        <v>8</v>
      </c>
      <c r="L940" s="21" t="s">
        <v>9</v>
      </c>
      <c r="M940" s="21" t="s">
        <v>10</v>
      </c>
      <c r="N940" s="20" t="s">
        <v>11</v>
      </c>
      <c r="O940" s="21" t="s">
        <v>12</v>
      </c>
      <c r="P940" s="22" t="s">
        <v>13</v>
      </c>
      <c r="Q940" s="21" t="s">
        <v>11</v>
      </c>
      <c r="R940" s="21" t="s">
        <v>12</v>
      </c>
      <c r="S940" s="22" t="s">
        <v>13</v>
      </c>
      <c r="T940" s="23" t="s">
        <v>14</v>
      </c>
      <c r="U940" s="17"/>
      <c r="V940" s="10"/>
      <c r="W940" s="10"/>
      <c r="X940" s="10"/>
      <c r="Y940" s="2"/>
    </row>
    <row r="941" spans="2:25">
      <c r="B941" s="24" t="s">
        <v>15</v>
      </c>
      <c r="C941" s="25">
        <f>P948</f>
        <v>9</v>
      </c>
      <c r="D941" s="10"/>
      <c r="E941" s="26" t="s">
        <v>16</v>
      </c>
      <c r="F941" s="27">
        <v>0.05</v>
      </c>
      <c r="G941" s="28"/>
      <c r="H941" s="10"/>
      <c r="I941" s="10"/>
      <c r="J941" s="18" t="s">
        <v>17</v>
      </c>
      <c r="K941" s="29">
        <f>K973</f>
        <v>7</v>
      </c>
      <c r="L941" s="29">
        <f>L973</f>
        <v>7</v>
      </c>
      <c r="M941" s="29">
        <f>M973</f>
        <v>7</v>
      </c>
      <c r="N941" s="29">
        <f>N973</f>
        <v>7</v>
      </c>
      <c r="O941" s="29">
        <f>O973</f>
        <v>7</v>
      </c>
      <c r="P941" s="29">
        <f>P973</f>
        <v>1</v>
      </c>
      <c r="Q941" s="29">
        <f>Q973</f>
        <v>7</v>
      </c>
      <c r="R941" s="29">
        <f>R973</f>
        <v>7</v>
      </c>
      <c r="S941" s="29">
        <f>S973</f>
        <v>5</v>
      </c>
      <c r="T941" s="30">
        <f>T1023</f>
        <v>4</v>
      </c>
      <c r="U941" s="17"/>
      <c r="V941" s="10"/>
      <c r="W941" s="10"/>
      <c r="X941" s="10"/>
      <c r="Y941" s="2"/>
    </row>
    <row r="942" spans="2:25">
      <c r="B942" s="24" t="s">
        <v>18</v>
      </c>
      <c r="C942" s="25">
        <f>P949</f>
        <v>8</v>
      </c>
      <c r="D942" s="10"/>
      <c r="E942" s="10"/>
      <c r="F942" s="10"/>
      <c r="G942" s="31"/>
      <c r="H942" s="10"/>
      <c r="I942" s="10"/>
      <c r="J942" s="32" t="s">
        <v>19</v>
      </c>
      <c r="K942" s="33">
        <f>K973/K972</f>
        <v>1</v>
      </c>
      <c r="L942" s="33">
        <f>L973/L972</f>
        <v>1</v>
      </c>
      <c r="M942" s="33">
        <f>M973/M972</f>
        <v>1</v>
      </c>
      <c r="N942" s="33">
        <f>N973/N972</f>
        <v>1</v>
      </c>
      <c r="O942" s="33">
        <f>O973/O972</f>
        <v>1</v>
      </c>
      <c r="P942" s="33">
        <f>P973/P972</f>
        <v>0.14285714285714285</v>
      </c>
      <c r="Q942" s="33">
        <f>Q973/Q972</f>
        <v>1</v>
      </c>
      <c r="R942" s="33">
        <f>R973/R972</f>
        <v>1</v>
      </c>
      <c r="S942" s="33">
        <f>S973/S972</f>
        <v>0.7142857142857143</v>
      </c>
      <c r="T942" s="23"/>
      <c r="U942" s="17" t="s">
        <v>20</v>
      </c>
      <c r="V942" s="10"/>
      <c r="W942" s="10"/>
      <c r="X942" s="10"/>
      <c r="Y942" s="2"/>
    </row>
    <row r="943" spans="2:25">
      <c r="B943" s="24" t="s">
        <v>21</v>
      </c>
      <c r="C943" s="34">
        <f>P950</f>
        <v>0.52941176470588236</v>
      </c>
      <c r="D943" s="10"/>
      <c r="E943" s="10"/>
      <c r="F943" s="10"/>
      <c r="G943" s="10"/>
      <c r="H943" s="10"/>
      <c r="I943" s="10"/>
      <c r="J943" s="10"/>
      <c r="K943" s="10"/>
      <c r="L943" s="10"/>
      <c r="M943" s="10"/>
      <c r="N943" s="10"/>
      <c r="O943" s="10"/>
      <c r="P943" s="10"/>
      <c r="Q943" s="10"/>
      <c r="R943" s="10"/>
      <c r="S943" s="10"/>
      <c r="T943" s="10"/>
      <c r="U943" s="17"/>
      <c r="V943" s="10"/>
      <c r="W943" s="10"/>
      <c r="X943" s="10"/>
      <c r="Y943" s="2"/>
    </row>
    <row r="944" spans="2:25">
      <c r="B944" s="24"/>
      <c r="C944" s="25"/>
      <c r="D944" s="10"/>
      <c r="E944" s="10"/>
      <c r="F944" s="18" t="s">
        <v>22</v>
      </c>
      <c r="G944" s="19" t="s">
        <v>23</v>
      </c>
      <c r="H944" s="35" t="s">
        <v>24</v>
      </c>
      <c r="I944" s="10"/>
      <c r="J944" s="10"/>
      <c r="K944" s="36"/>
      <c r="L944" s="36"/>
      <c r="M944" s="36"/>
      <c r="N944" s="36"/>
      <c r="O944" s="36"/>
      <c r="P944" s="36"/>
      <c r="Q944" s="36"/>
      <c r="R944" s="10"/>
      <c r="S944" s="10"/>
      <c r="T944" s="10"/>
      <c r="U944" s="17"/>
      <c r="V944" s="10"/>
      <c r="W944" s="10"/>
      <c r="X944" s="10"/>
      <c r="Y944" s="2"/>
    </row>
    <row r="945" spans="2:25" ht="12.75" customHeight="1">
      <c r="B945" s="32" t="s">
        <v>25</v>
      </c>
      <c r="C945" s="37">
        <f>P951</f>
        <v>1449.0711111111111</v>
      </c>
      <c r="D945" s="10"/>
      <c r="E945" s="18" t="s">
        <v>26</v>
      </c>
      <c r="F945" s="38">
        <f>P947</f>
        <v>13041.64</v>
      </c>
      <c r="G945" s="39">
        <f>I972+I981+I985</f>
        <v>13041.64</v>
      </c>
      <c r="H945" s="767" t="s">
        <v>2150</v>
      </c>
      <c r="I945" s="767"/>
      <c r="J945" s="767"/>
      <c r="K945" s="43" t="s">
        <v>27</v>
      </c>
      <c r="L945" s="44"/>
      <c r="M945" s="44"/>
      <c r="N945" s="44"/>
      <c r="O945" s="44"/>
      <c r="P945" s="44"/>
      <c r="Q945" s="45"/>
      <c r="R945" s="46" t="s">
        <v>28</v>
      </c>
      <c r="S945" s="47" t="s">
        <v>29</v>
      </c>
      <c r="T945" s="10"/>
      <c r="U945" s="17"/>
      <c r="V945" s="10"/>
      <c r="W945" s="10"/>
      <c r="X945" s="10"/>
      <c r="Y945" s="2"/>
    </row>
    <row r="946" spans="2:25">
      <c r="B946" s="11"/>
      <c r="C946" s="10"/>
      <c r="D946" s="10"/>
      <c r="E946" s="24" t="s">
        <v>30</v>
      </c>
      <c r="F946" s="48">
        <f>F941</f>
        <v>0.05</v>
      </c>
      <c r="G946" s="17"/>
      <c r="H946" s="767"/>
      <c r="I946" s="767"/>
      <c r="J946" s="767"/>
      <c r="K946" s="20" t="s">
        <v>31</v>
      </c>
      <c r="L946" s="21" t="s">
        <v>32</v>
      </c>
      <c r="M946" s="21" t="s">
        <v>33</v>
      </c>
      <c r="N946" s="21" t="s">
        <v>34</v>
      </c>
      <c r="O946" s="21" t="s">
        <v>35</v>
      </c>
      <c r="P946" s="21" t="s">
        <v>36</v>
      </c>
      <c r="Q946" s="49" t="s">
        <v>37</v>
      </c>
      <c r="R946" s="50" t="s">
        <v>38</v>
      </c>
      <c r="S946" s="50" t="s">
        <v>38</v>
      </c>
      <c r="T946" s="10"/>
      <c r="U946" s="17"/>
      <c r="V946" s="10"/>
      <c r="W946" s="10"/>
      <c r="X946" s="10"/>
      <c r="Y946" s="2"/>
    </row>
    <row r="947" spans="2:25">
      <c r="B947" s="11"/>
      <c r="C947" s="10"/>
      <c r="D947" s="10"/>
      <c r="E947" s="51" t="s">
        <v>39</v>
      </c>
      <c r="F947" s="52">
        <f>(F945+F954+F955+F956-I971-I980-I984)*F946</f>
        <v>362.26950000000005</v>
      </c>
      <c r="G947" s="53" t="s">
        <v>40</v>
      </c>
      <c r="H947" s="54">
        <f>F947/1.12</f>
        <v>323.45491071428575</v>
      </c>
      <c r="I947" s="570" t="s">
        <v>2122</v>
      </c>
      <c r="J947" s="42"/>
      <c r="K947" s="56">
        <f>I965+I966+I980</f>
        <v>2412.6</v>
      </c>
      <c r="L947" s="57">
        <f>I967</f>
        <v>898.3</v>
      </c>
      <c r="M947" s="57">
        <f>I968+I969+I970</f>
        <v>6033.76</v>
      </c>
      <c r="N947" s="57">
        <f>I971+I984</f>
        <v>3696.98</v>
      </c>
      <c r="O947" s="57">
        <v>0</v>
      </c>
      <c r="P947" s="57">
        <f>SUM(K947:O947)</f>
        <v>13041.64</v>
      </c>
      <c r="Q947" s="58">
        <f>I976</f>
        <v>681</v>
      </c>
      <c r="R947" s="59">
        <f>I981+I985</f>
        <v>1421.3</v>
      </c>
      <c r="S947" s="59">
        <v>0</v>
      </c>
      <c r="T947" s="10"/>
      <c r="U947" s="17"/>
      <c r="V947" s="10"/>
      <c r="W947" s="10"/>
      <c r="X947" s="10"/>
      <c r="Y947" s="2"/>
    </row>
    <row r="948" spans="2:25">
      <c r="B948" s="11"/>
      <c r="C948" s="10"/>
      <c r="D948" s="10"/>
      <c r="E948" s="24" t="s">
        <v>41</v>
      </c>
      <c r="F948" s="60">
        <f>Q947</f>
        <v>681</v>
      </c>
      <c r="G948" s="61" t="s">
        <v>40</v>
      </c>
      <c r="H948" s="62"/>
      <c r="I948" s="584" t="s">
        <v>2151</v>
      </c>
      <c r="J948" s="10" t="s">
        <v>42</v>
      </c>
      <c r="K948" s="63">
        <v>3</v>
      </c>
      <c r="L948" s="63">
        <v>1</v>
      </c>
      <c r="M948" s="63">
        <v>3</v>
      </c>
      <c r="N948" s="63">
        <v>2</v>
      </c>
      <c r="O948" s="63">
        <v>0</v>
      </c>
      <c r="P948" s="21">
        <f>SUM(K948:O948)</f>
        <v>9</v>
      </c>
      <c r="Q948" s="64">
        <v>1</v>
      </c>
      <c r="R948" s="63"/>
      <c r="S948" s="10"/>
      <c r="T948" s="10"/>
      <c r="U948" s="17"/>
      <c r="V948" s="10"/>
      <c r="W948" s="10"/>
      <c r="X948" s="10"/>
      <c r="Y948" s="2"/>
    </row>
    <row r="949" spans="2:25">
      <c r="B949" s="11"/>
      <c r="C949" s="10"/>
      <c r="D949" s="10"/>
      <c r="E949" s="51" t="s">
        <v>43</v>
      </c>
      <c r="F949" s="52">
        <f>F948*0.25</f>
        <v>170.25</v>
      </c>
      <c r="G949" s="53" t="s">
        <v>40</v>
      </c>
      <c r="H949" s="484">
        <f>F949/1.12</f>
        <v>152.00892857142856</v>
      </c>
      <c r="I949" s="387">
        <f>5.5*60</f>
        <v>330</v>
      </c>
      <c r="J949" s="10" t="s">
        <v>44</v>
      </c>
      <c r="K949" s="63">
        <v>0</v>
      </c>
      <c r="L949" s="63">
        <v>3</v>
      </c>
      <c r="M949" s="63">
        <v>0</v>
      </c>
      <c r="N949" s="63">
        <v>3</v>
      </c>
      <c r="O949" s="63">
        <v>2</v>
      </c>
      <c r="P949" s="21">
        <f>SUM(K949:O949)</f>
        <v>8</v>
      </c>
      <c r="Q949" s="64">
        <v>5</v>
      </c>
      <c r="R949" s="63"/>
      <c r="S949" s="10"/>
      <c r="T949" s="10"/>
      <c r="U949" s="17"/>
      <c r="V949" s="10"/>
      <c r="W949" s="10"/>
      <c r="X949" s="10"/>
      <c r="Y949" s="2"/>
    </row>
    <row r="950" spans="2:25">
      <c r="B950" s="11"/>
      <c r="C950" s="10"/>
      <c r="D950" s="10"/>
      <c r="E950" s="24" t="s">
        <v>45</v>
      </c>
      <c r="F950" s="60"/>
      <c r="G950" s="61" t="s">
        <v>40</v>
      </c>
      <c r="H950" s="62"/>
      <c r="I950" s="10"/>
      <c r="J950" s="10" t="s">
        <v>46</v>
      </c>
      <c r="K950" s="31">
        <f>K948/(K948+K949)</f>
        <v>1</v>
      </c>
      <c r="L950" s="31">
        <f>L948/(L948+L949)</f>
        <v>0.25</v>
      </c>
      <c r="M950" s="31">
        <f>M948/(M948+M949)</f>
        <v>1</v>
      </c>
      <c r="N950" s="31">
        <f>N948/(N948+N949)</f>
        <v>0.4</v>
      </c>
      <c r="O950" s="31">
        <f>O948/(O948+O949)</f>
        <v>0</v>
      </c>
      <c r="P950" s="31">
        <f>P948/(P948+P949)</f>
        <v>0.52941176470588236</v>
      </c>
      <c r="Q950" s="31">
        <f>Q948/(Q948+Q949)</f>
        <v>0.16666666666666666</v>
      </c>
      <c r="R950" s="63"/>
      <c r="S950" s="10"/>
      <c r="T950" s="10"/>
      <c r="U950" s="17"/>
      <c r="V950" s="10"/>
      <c r="W950" s="10"/>
      <c r="X950" s="10"/>
      <c r="Y950" s="2"/>
    </row>
    <row r="951" spans="2:25">
      <c r="B951" s="11"/>
      <c r="C951" s="10"/>
      <c r="D951" s="10"/>
      <c r="E951" s="51" t="s">
        <v>47</v>
      </c>
      <c r="F951" s="52">
        <f>F950*0.05</f>
        <v>0</v>
      </c>
      <c r="G951" s="65" t="s">
        <v>40</v>
      </c>
      <c r="H951" s="54">
        <f>F951/1.12</f>
        <v>0</v>
      </c>
      <c r="I951" s="42"/>
      <c r="J951" s="10" t="s">
        <v>48</v>
      </c>
      <c r="K951" s="66">
        <f>K947/K948</f>
        <v>804.19999999999993</v>
      </c>
      <c r="L951" s="66">
        <f>L947/L948</f>
        <v>898.3</v>
      </c>
      <c r="M951" s="66">
        <f>M947/M948</f>
        <v>2011.2533333333333</v>
      </c>
      <c r="N951" s="66">
        <f>N947/N948</f>
        <v>1848.49</v>
      </c>
      <c r="O951" s="66" t="e">
        <f>O947/O948</f>
        <v>#DIV/0!</v>
      </c>
      <c r="P951" s="66">
        <f>P947/P948</f>
        <v>1449.0711111111111</v>
      </c>
      <c r="Q951" s="66">
        <f>Q947/Q948</f>
        <v>681</v>
      </c>
      <c r="R951" s="63"/>
      <c r="S951" s="10"/>
      <c r="T951" s="10"/>
      <c r="U951" s="17"/>
      <c r="V951" s="10"/>
      <c r="W951" s="10"/>
      <c r="X951" s="10"/>
      <c r="Y951" s="2"/>
    </row>
    <row r="952" spans="2:25">
      <c r="B952" s="11"/>
      <c r="C952" s="10"/>
      <c r="D952" s="10"/>
      <c r="E952" s="67" t="s">
        <v>14</v>
      </c>
      <c r="F952" s="68">
        <f>3*50</f>
        <v>150</v>
      </c>
      <c r="G952" s="10"/>
      <c r="H952" s="54">
        <f>F952/1.12</f>
        <v>133.92857142857142</v>
      </c>
      <c r="I952" s="10"/>
      <c r="J952" s="10"/>
      <c r="K952" s="10"/>
      <c r="L952" s="10"/>
      <c r="M952" s="10"/>
      <c r="N952" s="10"/>
      <c r="O952" s="10"/>
      <c r="P952" s="10"/>
      <c r="Q952" s="10"/>
      <c r="R952" s="10"/>
      <c r="S952" s="10"/>
      <c r="T952" s="10"/>
      <c r="U952" s="17"/>
      <c r="V952" s="10"/>
      <c r="W952" s="10"/>
      <c r="X952" s="10"/>
      <c r="Y952" s="2"/>
    </row>
    <row r="953" spans="2:25">
      <c r="B953" s="11"/>
      <c r="C953" s="10"/>
      <c r="D953" s="10"/>
      <c r="E953" s="67" t="s">
        <v>49</v>
      </c>
      <c r="F953" s="69">
        <f>T942</f>
        <v>0</v>
      </c>
      <c r="G953" s="10"/>
      <c r="H953" s="54"/>
      <c r="I953" s="55"/>
      <c r="J953" s="42"/>
      <c r="K953" s="764" t="s">
        <v>50</v>
      </c>
      <c r="L953" s="765"/>
      <c r="M953" s="765"/>
      <c r="N953" s="765"/>
      <c r="O953" s="765"/>
      <c r="P953" s="765"/>
      <c r="Q953" s="766"/>
      <c r="R953" s="70" t="s">
        <v>28</v>
      </c>
      <c r="S953" s="71" t="s">
        <v>29</v>
      </c>
      <c r="T953" s="10"/>
      <c r="U953" s="17"/>
      <c r="V953" s="10"/>
      <c r="W953" s="10"/>
      <c r="X953" s="10"/>
      <c r="Y953" s="2"/>
    </row>
    <row r="954" spans="2:25">
      <c r="B954" s="11"/>
      <c r="C954" s="10"/>
      <c r="D954" s="10"/>
      <c r="E954" s="74" t="s">
        <v>2152</v>
      </c>
      <c r="F954" s="73">
        <f>-544.5</f>
        <v>-544.5</v>
      </c>
      <c r="G954" s="10"/>
      <c r="H954" s="10"/>
      <c r="I954" s="10"/>
      <c r="J954" s="42"/>
      <c r="K954" s="20" t="s">
        <v>31</v>
      </c>
      <c r="L954" s="21" t="s">
        <v>32</v>
      </c>
      <c r="M954" s="21" t="s">
        <v>33</v>
      </c>
      <c r="N954" s="21" t="s">
        <v>34</v>
      </c>
      <c r="O954" s="21" t="s">
        <v>35</v>
      </c>
      <c r="P954" s="21" t="s">
        <v>36</v>
      </c>
      <c r="Q954" s="49" t="s">
        <v>37</v>
      </c>
      <c r="R954" s="50" t="s">
        <v>38</v>
      </c>
      <c r="S954" s="50" t="s">
        <v>38</v>
      </c>
      <c r="T954" s="10"/>
      <c r="U954" s="17"/>
      <c r="V954" s="10"/>
      <c r="W954" s="10"/>
      <c r="X954" s="10"/>
      <c r="Y954" s="2"/>
    </row>
    <row r="955" spans="2:25">
      <c r="B955" s="11"/>
      <c r="C955" s="10"/>
      <c r="D955" s="10"/>
      <c r="E955" s="74" t="s">
        <v>2153</v>
      </c>
      <c r="F955" s="73">
        <f>-544.5</f>
        <v>-544.5</v>
      </c>
      <c r="G955" s="10"/>
      <c r="H955" s="10"/>
      <c r="I955" s="10"/>
      <c r="J955" s="42"/>
      <c r="K955" s="56">
        <f>F965+F966+F980</f>
        <v>2892</v>
      </c>
      <c r="L955" s="57">
        <f>F967</f>
        <v>1138</v>
      </c>
      <c r="M955" s="57">
        <f>F968+F969+F970</f>
        <v>6818</v>
      </c>
      <c r="N955" s="57">
        <f>F971+F984</f>
        <v>4227</v>
      </c>
      <c r="O955" s="57">
        <v>0</v>
      </c>
      <c r="P955" s="57">
        <f>SUM(K955:O955)</f>
        <v>15075</v>
      </c>
      <c r="Q955" s="58">
        <f>F976</f>
        <v>681</v>
      </c>
      <c r="R955" s="59">
        <f>F981+F985</f>
        <v>1661</v>
      </c>
      <c r="S955" s="59">
        <v>0</v>
      </c>
      <c r="T955" s="10"/>
      <c r="U955" s="17"/>
      <c r="V955" s="10"/>
      <c r="W955" s="10"/>
      <c r="X955" s="10"/>
      <c r="Y955" s="2"/>
    </row>
    <row r="956" spans="2:25">
      <c r="B956" s="11"/>
      <c r="C956" s="10"/>
      <c r="D956" s="10"/>
      <c r="E956" s="74" t="s">
        <v>2154</v>
      </c>
      <c r="F956" s="75">
        <v>-111.97</v>
      </c>
      <c r="G956" s="10"/>
      <c r="H956" s="10"/>
      <c r="I956" s="10"/>
      <c r="J956" s="10" t="s">
        <v>42</v>
      </c>
      <c r="K956" s="63">
        <f>K948</f>
        <v>3</v>
      </c>
      <c r="L956" s="63">
        <f>L948</f>
        <v>1</v>
      </c>
      <c r="M956" s="63">
        <f>M948</f>
        <v>3</v>
      </c>
      <c r="N956" s="63">
        <f>N948</f>
        <v>2</v>
      </c>
      <c r="O956" s="63">
        <f>O948</f>
        <v>0</v>
      </c>
      <c r="P956" s="63">
        <f>P948</f>
        <v>9</v>
      </c>
      <c r="Q956" s="63">
        <f>Q948</f>
        <v>1</v>
      </c>
      <c r="R956" s="63"/>
      <c r="S956" s="10"/>
      <c r="T956" s="10"/>
      <c r="U956" s="17"/>
      <c r="V956" s="10"/>
      <c r="W956" s="10"/>
      <c r="X956" s="10"/>
      <c r="Y956" s="2"/>
    </row>
    <row r="957" spans="2:25">
      <c r="B957" s="11"/>
      <c r="C957" s="10"/>
      <c r="D957" s="10"/>
      <c r="E957" s="12"/>
      <c r="F957" s="76"/>
      <c r="G957" s="10"/>
      <c r="H957" s="10"/>
      <c r="I957" s="10"/>
      <c r="J957" s="10" t="s">
        <v>44</v>
      </c>
      <c r="K957" s="63">
        <f>K949</f>
        <v>0</v>
      </c>
      <c r="L957" s="63">
        <f>L949</f>
        <v>3</v>
      </c>
      <c r="M957" s="63">
        <f>M949</f>
        <v>0</v>
      </c>
      <c r="N957" s="63">
        <f>N949</f>
        <v>3</v>
      </c>
      <c r="O957" s="63">
        <f>O949</f>
        <v>2</v>
      </c>
      <c r="P957" s="63">
        <f>P949</f>
        <v>8</v>
      </c>
      <c r="Q957" s="63">
        <f>Q949</f>
        <v>5</v>
      </c>
      <c r="R957" s="63"/>
      <c r="S957" s="10"/>
      <c r="T957" s="10"/>
      <c r="U957" s="17"/>
      <c r="V957" s="10"/>
      <c r="W957" s="10"/>
      <c r="X957" s="10"/>
      <c r="Y957" s="2"/>
    </row>
    <row r="958" spans="2:25">
      <c r="B958" s="11"/>
      <c r="C958" s="10"/>
      <c r="D958" s="10"/>
      <c r="E958" s="10"/>
      <c r="F958" s="10"/>
      <c r="G958" s="10"/>
      <c r="H958" s="10"/>
      <c r="I958" s="10"/>
      <c r="J958" s="10" t="s">
        <v>46</v>
      </c>
      <c r="K958" s="31">
        <f>K956/(K956+K957)</f>
        <v>1</v>
      </c>
      <c r="L958" s="31">
        <f>L956/(L956+L957)</f>
        <v>0.25</v>
      </c>
      <c r="M958" s="31">
        <f>M956/(M956+M957)</f>
        <v>1</v>
      </c>
      <c r="N958" s="31">
        <f>N956/(N956+N957)</f>
        <v>0.4</v>
      </c>
      <c r="O958" s="31">
        <f>O956/(O956+O957)</f>
        <v>0</v>
      </c>
      <c r="P958" s="31">
        <f>P956/(P956+P957)</f>
        <v>0.52941176470588236</v>
      </c>
      <c r="Q958" s="31">
        <f>Q956/(Q956+Q957)</f>
        <v>0.16666666666666666</v>
      </c>
      <c r="R958" s="63"/>
      <c r="S958" s="10"/>
      <c r="T958" s="10"/>
      <c r="U958" s="17"/>
      <c r="V958" s="10"/>
      <c r="W958" s="10"/>
      <c r="X958" s="10"/>
      <c r="Y958" s="2"/>
    </row>
    <row r="959" spans="2:25">
      <c r="B959" s="11"/>
      <c r="C959" s="10"/>
      <c r="D959" s="10"/>
      <c r="E959" s="10"/>
      <c r="F959" s="10"/>
      <c r="G959" s="10"/>
      <c r="H959" s="10"/>
      <c r="I959" s="10"/>
      <c r="J959" s="10" t="s">
        <v>48</v>
      </c>
      <c r="K959" s="66">
        <f>K955/K956</f>
        <v>964</v>
      </c>
      <c r="L959" s="66">
        <f>L955/L956</f>
        <v>1138</v>
      </c>
      <c r="M959" s="66">
        <f>M955/M956</f>
        <v>2272.6666666666665</v>
      </c>
      <c r="N959" s="66">
        <f>N955/N956</f>
        <v>2113.5</v>
      </c>
      <c r="O959" s="66" t="e">
        <f>O955/O956</f>
        <v>#DIV/0!</v>
      </c>
      <c r="P959" s="66">
        <f>P955/P956</f>
        <v>1675</v>
      </c>
      <c r="Q959" s="66">
        <f>Q955/Q956</f>
        <v>681</v>
      </c>
      <c r="R959" s="63"/>
      <c r="S959" s="10"/>
      <c r="T959" s="10"/>
      <c r="U959" s="17"/>
      <c r="V959" s="10"/>
      <c r="W959" s="10"/>
      <c r="X959" s="10"/>
      <c r="Y959" s="2"/>
    </row>
    <row r="960" spans="2:25">
      <c r="B960" s="11"/>
      <c r="C960" s="10"/>
      <c r="D960" s="10"/>
      <c r="E960" s="10"/>
      <c r="F960" s="10"/>
      <c r="G960" s="10"/>
      <c r="H960" s="10"/>
      <c r="I960" s="10"/>
      <c r="J960" s="10"/>
      <c r="K960" s="10"/>
      <c r="L960" s="10"/>
      <c r="M960" s="10"/>
      <c r="N960" s="10"/>
      <c r="O960" s="10"/>
      <c r="P960" s="10"/>
      <c r="Q960" s="10"/>
      <c r="R960" s="10"/>
      <c r="S960" s="10"/>
      <c r="T960" s="10"/>
      <c r="U960" s="17"/>
      <c r="V960" s="10"/>
      <c r="W960" s="10"/>
      <c r="X960" s="10"/>
      <c r="Y960" s="2"/>
    </row>
    <row r="961" spans="1:25">
      <c r="B961" s="11"/>
      <c r="C961" s="10"/>
      <c r="D961" s="10"/>
      <c r="E961" s="10"/>
      <c r="F961" s="10"/>
      <c r="G961" s="10"/>
      <c r="H961" s="10"/>
      <c r="I961" s="10"/>
      <c r="J961" s="10"/>
      <c r="K961" s="10"/>
      <c r="L961" s="10"/>
      <c r="M961" s="10"/>
      <c r="N961" s="10"/>
      <c r="O961" s="10"/>
      <c r="P961" s="10"/>
      <c r="Q961" s="10"/>
      <c r="R961" s="10"/>
      <c r="S961" s="10"/>
      <c r="T961" s="10"/>
      <c r="U961" s="17"/>
      <c r="V961" s="10"/>
      <c r="W961" s="10"/>
      <c r="X961" s="10"/>
      <c r="Y961" s="2"/>
    </row>
    <row r="962" spans="1:25">
      <c r="B962" s="18" t="s">
        <v>51</v>
      </c>
      <c r="C962" s="14"/>
      <c r="D962" s="14"/>
      <c r="E962" s="14"/>
      <c r="F962" s="13" t="s">
        <v>52</v>
      </c>
      <c r="G962" s="14"/>
      <c r="H962" s="14"/>
      <c r="I962" s="14"/>
      <c r="J962" s="14"/>
      <c r="K962" s="13" t="s">
        <v>3</v>
      </c>
      <c r="L962" s="14"/>
      <c r="M962" s="14"/>
      <c r="N962" s="13" t="s">
        <v>4</v>
      </c>
      <c r="O962" s="14"/>
      <c r="P962" s="14"/>
      <c r="Q962" s="13" t="s">
        <v>5</v>
      </c>
      <c r="R962" s="14"/>
      <c r="S962" s="14"/>
      <c r="T962" s="18"/>
      <c r="U962" s="16" t="s">
        <v>53</v>
      </c>
      <c r="V962" s="77"/>
      <c r="W962" s="77"/>
      <c r="X962" s="77"/>
      <c r="Y962" s="2"/>
    </row>
    <row r="963" spans="1:25">
      <c r="B963" s="24" t="s">
        <v>54</v>
      </c>
      <c r="C963" s="21" t="s">
        <v>55</v>
      </c>
      <c r="D963" s="21" t="s">
        <v>56</v>
      </c>
      <c r="E963" s="21" t="s">
        <v>57</v>
      </c>
      <c r="F963" s="20" t="s">
        <v>58</v>
      </c>
      <c r="G963" s="21" t="s">
        <v>59</v>
      </c>
      <c r="H963" s="21" t="s">
        <v>60</v>
      </c>
      <c r="I963" s="21" t="s">
        <v>26</v>
      </c>
      <c r="J963" s="22" t="s">
        <v>61</v>
      </c>
      <c r="K963" s="21" t="s">
        <v>8</v>
      </c>
      <c r="L963" s="21" t="s">
        <v>9</v>
      </c>
      <c r="M963" s="21" t="s">
        <v>10</v>
      </c>
      <c r="N963" s="20" t="s">
        <v>11</v>
      </c>
      <c r="O963" s="21" t="s">
        <v>12</v>
      </c>
      <c r="P963" s="22" t="s">
        <v>13</v>
      </c>
      <c r="Q963" s="21" t="s">
        <v>11</v>
      </c>
      <c r="R963" s="21" t="s">
        <v>12</v>
      </c>
      <c r="S963" s="21" t="s">
        <v>13</v>
      </c>
      <c r="T963" s="78" t="s">
        <v>14</v>
      </c>
      <c r="U963" s="30"/>
      <c r="V963" s="79" t="s">
        <v>62</v>
      </c>
      <c r="W963" s="80" t="s">
        <v>63</v>
      </c>
      <c r="X963" s="81" t="s">
        <v>64</v>
      </c>
      <c r="Y963" s="2"/>
    </row>
    <row r="964" spans="1:25">
      <c r="B964" s="4" t="s">
        <v>65</v>
      </c>
      <c r="C964" s="6"/>
      <c r="D964" s="6"/>
      <c r="E964" s="6"/>
      <c r="F964" s="6"/>
      <c r="G964" s="6"/>
      <c r="H964" s="6"/>
      <c r="I964" s="82"/>
      <c r="J964" s="6"/>
      <c r="K964" s="6"/>
      <c r="L964" s="6"/>
      <c r="M964" s="6"/>
      <c r="N964" s="6"/>
      <c r="O964" s="6"/>
      <c r="P964" s="6"/>
      <c r="Q964" s="6"/>
      <c r="R964" s="6"/>
      <c r="S964" s="6"/>
      <c r="T964" s="83"/>
      <c r="U964" s="6"/>
      <c r="V964" s="84"/>
      <c r="W964" s="85"/>
      <c r="X964" s="86"/>
      <c r="Y964" s="2"/>
    </row>
    <row r="965" spans="1:25">
      <c r="B965" s="87">
        <v>1</v>
      </c>
      <c r="C965" s="274">
        <v>45908</v>
      </c>
      <c r="D965" s="327">
        <v>73054</v>
      </c>
      <c r="E965" s="276" t="s">
        <v>349</v>
      </c>
      <c r="F965" s="277">
        <v>616</v>
      </c>
      <c r="G965" s="277"/>
      <c r="H965" s="297"/>
      <c r="I965" s="321">
        <f>F965-G965-H965</f>
        <v>616</v>
      </c>
      <c r="J965" s="279" t="s">
        <v>156</v>
      </c>
      <c r="K965" s="279">
        <v>1</v>
      </c>
      <c r="L965" s="279">
        <v>1</v>
      </c>
      <c r="M965" s="279">
        <v>1</v>
      </c>
      <c r="N965" s="279">
        <v>1</v>
      </c>
      <c r="O965" s="279">
        <v>1</v>
      </c>
      <c r="P965" s="322">
        <v>0</v>
      </c>
      <c r="Q965" s="279">
        <v>1</v>
      </c>
      <c r="R965" s="279">
        <v>1</v>
      </c>
      <c r="S965" s="280">
        <v>1</v>
      </c>
      <c r="T965" s="63"/>
      <c r="U965" s="10"/>
      <c r="V965" s="90">
        <f>67+610.6</f>
        <v>677.6</v>
      </c>
      <c r="W965" s="91"/>
      <c r="X965" s="92"/>
      <c r="Y965" s="2"/>
    </row>
    <row r="966" spans="1:25">
      <c r="B966" s="87">
        <f t="shared" ref="B966:B969" si="78">B965+1</f>
        <v>2</v>
      </c>
      <c r="C966" s="295">
        <v>45908</v>
      </c>
      <c r="D966" s="323">
        <v>73082</v>
      </c>
      <c r="E966" s="10" t="s">
        <v>370</v>
      </c>
      <c r="F966" s="62">
        <v>1138</v>
      </c>
      <c r="G966" s="62">
        <f>39.7+200</f>
        <v>239.7</v>
      </c>
      <c r="H966" s="88"/>
      <c r="I966" s="324">
        <f>F966-G966-H966</f>
        <v>898.3</v>
      </c>
      <c r="J966" s="63" t="s">
        <v>156</v>
      </c>
      <c r="K966" s="63">
        <v>1</v>
      </c>
      <c r="L966" s="63">
        <v>1</v>
      </c>
      <c r="M966" s="63">
        <v>1</v>
      </c>
      <c r="N966" s="63">
        <v>1</v>
      </c>
      <c r="O966" s="63">
        <v>1</v>
      </c>
      <c r="P966" s="325">
        <v>0</v>
      </c>
      <c r="Q966" s="63">
        <v>1</v>
      </c>
      <c r="R966" s="63">
        <v>1</v>
      </c>
      <c r="S966" s="326">
        <v>0</v>
      </c>
      <c r="T966" s="63"/>
      <c r="U966" s="10" t="s">
        <v>2155</v>
      </c>
      <c r="V966" s="90">
        <f>125+1251.8</f>
        <v>1376.8</v>
      </c>
      <c r="W966" s="91"/>
      <c r="X966" s="92"/>
      <c r="Y966" s="2"/>
    </row>
    <row r="967" spans="1:25">
      <c r="B967" s="87">
        <f t="shared" si="78"/>
        <v>3</v>
      </c>
      <c r="C967" s="274">
        <v>45909</v>
      </c>
      <c r="D967" s="327">
        <v>73140</v>
      </c>
      <c r="E967" s="276" t="s">
        <v>581</v>
      </c>
      <c r="F967" s="277">
        <v>1138</v>
      </c>
      <c r="G967" s="277">
        <f>39.7+200</f>
        <v>239.7</v>
      </c>
      <c r="H967" s="277"/>
      <c r="I967" s="278">
        <f>F967-G967-H967</f>
        <v>898.3</v>
      </c>
      <c r="J967" s="279" t="s">
        <v>156</v>
      </c>
      <c r="K967" s="279">
        <v>1</v>
      </c>
      <c r="L967" s="279">
        <v>1</v>
      </c>
      <c r="M967" s="279">
        <v>1</v>
      </c>
      <c r="N967" s="279">
        <v>1</v>
      </c>
      <c r="O967" s="279">
        <v>1</v>
      </c>
      <c r="P967" s="279">
        <v>1</v>
      </c>
      <c r="Q967" s="279">
        <v>1</v>
      </c>
      <c r="R967" s="279">
        <v>1</v>
      </c>
      <c r="S967" s="280">
        <v>1</v>
      </c>
      <c r="T967" s="63"/>
      <c r="U967" s="10" t="s">
        <v>2156</v>
      </c>
      <c r="V967" s="90">
        <f>125+1126.8</f>
        <v>1251.8</v>
      </c>
      <c r="W967" s="91"/>
      <c r="X967" s="92"/>
      <c r="Y967" s="2"/>
    </row>
    <row r="968" spans="1:25">
      <c r="B968" s="87">
        <f t="shared" si="78"/>
        <v>4</v>
      </c>
      <c r="C968" s="274">
        <v>45910</v>
      </c>
      <c r="D968" s="327">
        <v>73138</v>
      </c>
      <c r="E968" s="404" t="s">
        <v>210</v>
      </c>
      <c r="F968" s="277">
        <v>1138</v>
      </c>
      <c r="G968" s="277">
        <f>39.7</f>
        <v>39.700000000000003</v>
      </c>
      <c r="H968" s="277"/>
      <c r="I968" s="321">
        <f>F968-G968-H968</f>
        <v>1098.3</v>
      </c>
      <c r="J968" s="279" t="s">
        <v>156</v>
      </c>
      <c r="K968" s="279">
        <v>1</v>
      </c>
      <c r="L968" s="279">
        <v>1</v>
      </c>
      <c r="M968" s="279">
        <v>1</v>
      </c>
      <c r="N968" s="279">
        <v>1</v>
      </c>
      <c r="O968" s="279">
        <v>1</v>
      </c>
      <c r="P968" s="322">
        <v>0</v>
      </c>
      <c r="Q968" s="279">
        <v>1</v>
      </c>
      <c r="R968" s="279">
        <v>1</v>
      </c>
      <c r="S968" s="280">
        <v>1</v>
      </c>
      <c r="T968" s="21">
        <v>1</v>
      </c>
      <c r="U968" s="10" t="s">
        <v>2157</v>
      </c>
      <c r="V968" s="90">
        <f>125+1126.8</f>
        <v>1251.8</v>
      </c>
      <c r="W968" s="91"/>
      <c r="X968" s="92"/>
      <c r="Y968" s="2"/>
    </row>
    <row r="969" spans="1:25">
      <c r="A969" t="s">
        <v>2158</v>
      </c>
      <c r="B969" s="87">
        <f t="shared" si="78"/>
        <v>5</v>
      </c>
      <c r="C969" s="295">
        <v>45910</v>
      </c>
      <c r="D969" s="323">
        <v>72814</v>
      </c>
      <c r="E969" s="10" t="s">
        <v>210</v>
      </c>
      <c r="F969" s="62">
        <v>1261</v>
      </c>
      <c r="G969" s="62">
        <f>39.7</f>
        <v>39.700000000000003</v>
      </c>
      <c r="H969" s="62"/>
      <c r="I969" s="324">
        <f>F969-G969-H969</f>
        <v>1221.3</v>
      </c>
      <c r="J969" s="63" t="s">
        <v>156</v>
      </c>
      <c r="K969" s="63">
        <v>1</v>
      </c>
      <c r="L969" s="63">
        <v>1</v>
      </c>
      <c r="M969" s="63">
        <v>1</v>
      </c>
      <c r="N969" s="63">
        <v>1</v>
      </c>
      <c r="O969" s="63">
        <v>1</v>
      </c>
      <c r="P969" s="325">
        <v>0</v>
      </c>
      <c r="Q969" s="63">
        <v>1</v>
      </c>
      <c r="R969" s="63">
        <v>1</v>
      </c>
      <c r="S969" s="326">
        <v>0</v>
      </c>
      <c r="T969" s="21">
        <v>1</v>
      </c>
      <c r="U969" s="10" t="s">
        <v>2159</v>
      </c>
      <c r="V969" s="90">
        <f>138+1249.1</f>
        <v>1387.1</v>
      </c>
      <c r="W969" s="91"/>
      <c r="X969" s="92"/>
      <c r="Y969" s="2"/>
    </row>
    <row r="970" spans="1:25">
      <c r="B970" s="87">
        <f>B969+1</f>
        <v>6</v>
      </c>
      <c r="C970" s="282">
        <v>45910</v>
      </c>
      <c r="D970" s="368">
        <v>73166</v>
      </c>
      <c r="E970" s="283" t="s">
        <v>979</v>
      </c>
      <c r="F970" s="284">
        <v>4419</v>
      </c>
      <c r="G970" s="284">
        <f>39.7+300+(18.98+26.97+119.68)+(103.01+32.64+1.6+62.26)</f>
        <v>704.83999999999992</v>
      </c>
      <c r="H970" s="284"/>
      <c r="I970" s="285">
        <f>F970-G970-H970</f>
        <v>3714.16</v>
      </c>
      <c r="J970" s="286" t="s">
        <v>156</v>
      </c>
      <c r="K970" s="286">
        <v>1</v>
      </c>
      <c r="L970" s="286">
        <v>1</v>
      </c>
      <c r="M970" s="286">
        <v>1</v>
      </c>
      <c r="N970" s="286">
        <v>1</v>
      </c>
      <c r="O970" s="286">
        <v>1</v>
      </c>
      <c r="P970" s="332">
        <v>0</v>
      </c>
      <c r="Q970" s="286">
        <v>1</v>
      </c>
      <c r="R970" s="286">
        <v>1</v>
      </c>
      <c r="S970" s="287">
        <v>1</v>
      </c>
      <c r="T970" s="63"/>
      <c r="U970" s="94" t="s">
        <v>2160</v>
      </c>
      <c r="V970" s="90">
        <f>486+4374.9</f>
        <v>4860.8999999999996</v>
      </c>
      <c r="W970" s="91"/>
      <c r="X970" s="92"/>
      <c r="Y970" s="2"/>
    </row>
    <row r="971" spans="1:25">
      <c r="A971" s="2" t="s">
        <v>2126</v>
      </c>
      <c r="B971" s="87">
        <f>B970+1</f>
        <v>7</v>
      </c>
      <c r="C971" s="282">
        <v>45911</v>
      </c>
      <c r="D971" s="368">
        <v>73062</v>
      </c>
      <c r="E971" s="283" t="s">
        <v>354</v>
      </c>
      <c r="F971" s="284">
        <v>3704</v>
      </c>
      <c r="G971" s="284">
        <f>39.7+(98.31+192.01)+200</f>
        <v>530.02</v>
      </c>
      <c r="H971" s="315"/>
      <c r="I971" s="331">
        <f>F971-G971-H971</f>
        <v>3173.98</v>
      </c>
      <c r="J971" s="286" t="s">
        <v>156</v>
      </c>
      <c r="K971" s="286">
        <v>1</v>
      </c>
      <c r="L971" s="286">
        <v>1</v>
      </c>
      <c r="M971" s="286">
        <v>1</v>
      </c>
      <c r="N971" s="286">
        <v>1</v>
      </c>
      <c r="O971" s="286">
        <v>1</v>
      </c>
      <c r="P971" s="332">
        <v>0</v>
      </c>
      <c r="Q971" s="286">
        <v>1</v>
      </c>
      <c r="R971" s="286">
        <v>1</v>
      </c>
      <c r="S971" s="287">
        <v>1</v>
      </c>
      <c r="T971" s="21">
        <v>1</v>
      </c>
      <c r="U971" s="10" t="s">
        <v>2161</v>
      </c>
      <c r="V971" s="90">
        <f>407+3667.4</f>
        <v>4074.4</v>
      </c>
      <c r="W971" s="91"/>
      <c r="X971" s="92"/>
      <c r="Y971" s="2"/>
    </row>
    <row r="972" spans="1:25">
      <c r="B972" s="87"/>
      <c r="C972" s="609"/>
      <c r="D972" s="10"/>
      <c r="E972" s="10"/>
      <c r="F972" s="97">
        <f>SUM(F965:F971)</f>
        <v>13414</v>
      </c>
      <c r="G972" s="97">
        <f>SUM(G965:G971)</f>
        <v>1793.6599999999999</v>
      </c>
      <c r="H972" s="97">
        <f>SUM(H965:H971)</f>
        <v>0</v>
      </c>
      <c r="I972" s="98">
        <f>SUM(I965:I971)</f>
        <v>11620.34</v>
      </c>
      <c r="J972" s="63"/>
      <c r="K972" s="63">
        <f>COUNT(K965:K971)</f>
        <v>7</v>
      </c>
      <c r="L972" s="63">
        <f>COUNT(L965:L971)</f>
        <v>7</v>
      </c>
      <c r="M972" s="63">
        <f>COUNT(M965:M971)</f>
        <v>7</v>
      </c>
      <c r="N972" s="63">
        <f>COUNT(N965:N971)</f>
        <v>7</v>
      </c>
      <c r="O972" s="63">
        <f>COUNT(O965:O971)</f>
        <v>7</v>
      </c>
      <c r="P972" s="63">
        <f>COUNT(P965:P971)</f>
        <v>7</v>
      </c>
      <c r="Q972" s="63">
        <f>COUNT(Q965:Q971)</f>
        <v>7</v>
      </c>
      <c r="R972" s="63">
        <f>COUNT(R965:R971)</f>
        <v>7</v>
      </c>
      <c r="S972" s="63">
        <f>COUNT(S965:S971)</f>
        <v>7</v>
      </c>
      <c r="T972" s="63"/>
      <c r="U972" s="10"/>
      <c r="V972" s="90"/>
      <c r="W972" s="91"/>
      <c r="X972" s="92"/>
      <c r="Y972" s="2"/>
    </row>
    <row r="973" spans="1:25">
      <c r="B973" s="87"/>
      <c r="C973" s="609"/>
      <c r="D973" s="10"/>
      <c r="E973" s="10"/>
      <c r="F973" s="88"/>
      <c r="G973" s="88"/>
      <c r="H973" s="88"/>
      <c r="I973" s="99"/>
      <c r="J973" s="63"/>
      <c r="K973" s="21">
        <f>SUM(K965:K971)</f>
        <v>7</v>
      </c>
      <c r="L973" s="21">
        <f>SUM(L965:L971)</f>
        <v>7</v>
      </c>
      <c r="M973" s="21">
        <f>SUM(M965:M971)</f>
        <v>7</v>
      </c>
      <c r="N973" s="21">
        <f>SUM(N965:N971)</f>
        <v>7</v>
      </c>
      <c r="O973" s="21">
        <f>SUM(O965:O971)</f>
        <v>7</v>
      </c>
      <c r="P973" s="21">
        <f>SUM(P965:P971)</f>
        <v>1</v>
      </c>
      <c r="Q973" s="21">
        <f>SUM(Q965:Q971)</f>
        <v>7</v>
      </c>
      <c r="R973" s="21">
        <f>SUM(R965:R971)</f>
        <v>7</v>
      </c>
      <c r="S973" s="21">
        <f>SUM(S965:S971)</f>
        <v>5</v>
      </c>
      <c r="T973" s="63"/>
      <c r="U973" s="10"/>
      <c r="V973" s="90"/>
      <c r="W973" s="91"/>
      <c r="X973" s="92"/>
      <c r="Y973" s="2"/>
    </row>
    <row r="974" spans="1:25">
      <c r="B974" s="11"/>
      <c r="C974" s="609"/>
      <c r="D974" s="10"/>
      <c r="E974" s="10"/>
      <c r="F974" s="88"/>
      <c r="G974" s="88"/>
      <c r="H974" s="88"/>
      <c r="I974" s="99"/>
      <c r="J974" s="63"/>
      <c r="K974" s="21"/>
      <c r="L974" s="21"/>
      <c r="M974" s="21"/>
      <c r="N974" s="21"/>
      <c r="O974" s="21"/>
      <c r="P974" s="21"/>
      <c r="Q974" s="21"/>
      <c r="R974" s="21"/>
      <c r="S974" s="21"/>
      <c r="T974" s="63"/>
      <c r="U974" s="10"/>
      <c r="V974" s="90"/>
      <c r="W974" s="91"/>
      <c r="X974" s="92"/>
      <c r="Y974" s="2"/>
    </row>
    <row r="975" spans="1:25">
      <c r="B975" s="100" t="s">
        <v>66</v>
      </c>
      <c r="C975" s="609"/>
      <c r="D975" s="10"/>
      <c r="E975" s="10"/>
      <c r="F975" s="88"/>
      <c r="G975" s="62"/>
      <c r="H975" s="88"/>
      <c r="I975" s="99"/>
      <c r="J975" s="63"/>
      <c r="K975" s="2"/>
      <c r="L975" s="2"/>
      <c r="M975" s="2"/>
      <c r="N975" s="2"/>
      <c r="O975" s="2"/>
      <c r="P975" s="2"/>
      <c r="Q975" s="2"/>
      <c r="R975" s="2"/>
      <c r="S975" s="2"/>
      <c r="T975" s="63"/>
      <c r="U975" s="94"/>
      <c r="V975" s="90"/>
      <c r="W975" s="91"/>
      <c r="X975" s="92"/>
      <c r="Y975" s="2"/>
    </row>
    <row r="976" spans="1:25">
      <c r="B976" s="87">
        <v>1</v>
      </c>
      <c r="C976" s="262">
        <v>45913</v>
      </c>
      <c r="D976" s="263" t="s">
        <v>2162</v>
      </c>
      <c r="E976" s="264" t="s">
        <v>2163</v>
      </c>
      <c r="F976" s="265">
        <v>681</v>
      </c>
      <c r="G976" s="265"/>
      <c r="H976" s="265"/>
      <c r="I976" s="272">
        <f>F976-G976-H976</f>
        <v>681</v>
      </c>
      <c r="J976" s="267" t="s">
        <v>156</v>
      </c>
      <c r="K976" s="267">
        <v>1</v>
      </c>
      <c r="L976" s="267">
        <v>1</v>
      </c>
      <c r="M976" s="267">
        <v>1</v>
      </c>
      <c r="N976" s="267">
        <v>1</v>
      </c>
      <c r="O976" s="267">
        <v>1</v>
      </c>
      <c r="P976" s="314">
        <v>0</v>
      </c>
      <c r="Q976" s="267">
        <v>1</v>
      </c>
      <c r="R976" s="267">
        <v>1</v>
      </c>
      <c r="S976" s="269">
        <v>1</v>
      </c>
      <c r="T976" s="63"/>
      <c r="U976" s="94" t="s">
        <v>2164</v>
      </c>
      <c r="V976" s="90">
        <f>74.9+674.2</f>
        <v>749.1</v>
      </c>
      <c r="W976" s="91"/>
      <c r="X976" s="92"/>
      <c r="Y976" s="2"/>
    </row>
    <row r="977" spans="1:25">
      <c r="B977" s="11"/>
      <c r="C977" s="609"/>
      <c r="D977" s="10"/>
      <c r="E977" s="10"/>
      <c r="F977" s="97">
        <f>SUM(F976:F976)</f>
        <v>681</v>
      </c>
      <c r="G977" s="97">
        <f>SUM(G976:G976)</f>
        <v>0</v>
      </c>
      <c r="H977" s="97">
        <f>SUM(H976:H976)</f>
        <v>0</v>
      </c>
      <c r="I977" s="98">
        <f>SUM(I976:I976)</f>
        <v>681</v>
      </c>
      <c r="J977" s="63"/>
      <c r="K977" s="21"/>
      <c r="L977" s="21"/>
      <c r="M977" s="21"/>
      <c r="N977" s="21"/>
      <c r="O977" s="21"/>
      <c r="P977" s="21"/>
      <c r="Q977" s="21"/>
      <c r="R977" s="21"/>
      <c r="S977" s="21"/>
      <c r="T977" s="63"/>
      <c r="U977" s="94"/>
      <c r="V977" s="90"/>
      <c r="W977" s="91"/>
      <c r="X977" s="92"/>
      <c r="Y977" s="2"/>
    </row>
    <row r="978" spans="1:25">
      <c r="B978" s="11"/>
      <c r="C978" s="609"/>
      <c r="D978" s="10"/>
      <c r="E978" s="10"/>
      <c r="F978" s="88"/>
      <c r="G978" s="88"/>
      <c r="H978" s="88"/>
      <c r="I978" s="99"/>
      <c r="J978" s="63"/>
      <c r="K978" s="21"/>
      <c r="L978" s="21"/>
      <c r="M978" s="21"/>
      <c r="N978" s="21"/>
      <c r="O978" s="21"/>
      <c r="P978" s="21"/>
      <c r="Q978" s="21"/>
      <c r="R978" s="21"/>
      <c r="S978" s="21"/>
      <c r="T978" s="63"/>
      <c r="U978" s="94"/>
      <c r="V978" s="90"/>
      <c r="W978" s="91"/>
      <c r="X978" s="92"/>
      <c r="Y978" s="2"/>
    </row>
    <row r="979" spans="1:25">
      <c r="B979" s="121" t="s">
        <v>68</v>
      </c>
      <c r="C979" s="611"/>
      <c r="D979" s="123"/>
      <c r="E979" s="123"/>
      <c r="F979" s="124"/>
      <c r="G979" s="125"/>
      <c r="H979" s="124"/>
      <c r="I979" s="126"/>
      <c r="J979" s="127"/>
      <c r="K979" s="128"/>
      <c r="L979" s="128"/>
      <c r="M979" s="128"/>
      <c r="N979" s="128"/>
      <c r="O979" s="128"/>
      <c r="P979" s="128"/>
      <c r="Q979" s="128"/>
      <c r="R979" s="128"/>
      <c r="S979" s="128"/>
      <c r="T979" s="127"/>
      <c r="U979" s="123"/>
      <c r="V979" s="129"/>
      <c r="W979" s="130"/>
      <c r="X979" s="131"/>
      <c r="Y979" s="128"/>
    </row>
    <row r="980" spans="1:25" s="381" customFormat="1">
      <c r="A980" s="381" t="s">
        <v>2165</v>
      </c>
      <c r="B980" s="372">
        <v>1</v>
      </c>
      <c r="C980" s="693">
        <v>45908</v>
      </c>
      <c r="D980" s="263">
        <v>73052</v>
      </c>
      <c r="E980" s="391" t="s">
        <v>388</v>
      </c>
      <c r="F980" s="375">
        <v>1138</v>
      </c>
      <c r="G980" s="375">
        <f>39.7+200</f>
        <v>239.7</v>
      </c>
      <c r="H980" s="375"/>
      <c r="I980" s="376">
        <f>F980-G980-H980</f>
        <v>898.3</v>
      </c>
      <c r="J980" s="314"/>
      <c r="K980" s="314">
        <v>1</v>
      </c>
      <c r="L980" s="314">
        <v>1</v>
      </c>
      <c r="M980" s="314"/>
      <c r="N980" s="314">
        <v>1</v>
      </c>
      <c r="O980" s="314">
        <v>1</v>
      </c>
      <c r="P980" s="314">
        <v>0</v>
      </c>
      <c r="Q980" s="314">
        <v>1</v>
      </c>
      <c r="R980" s="314">
        <v>0</v>
      </c>
      <c r="S980" s="366">
        <v>0</v>
      </c>
      <c r="T980" s="325"/>
      <c r="U980" s="42" t="s">
        <v>2155</v>
      </c>
      <c r="V980" s="377"/>
      <c r="W980" s="378"/>
      <c r="X980" s="393"/>
      <c r="Y980" s="380"/>
    </row>
    <row r="981" spans="1:25">
      <c r="B981" s="132"/>
      <c r="C981" s="611"/>
      <c r="D981" s="123"/>
      <c r="E981" s="123"/>
      <c r="F981" s="133">
        <f>SUM(F980:F980)</f>
        <v>1138</v>
      </c>
      <c r="G981" s="133">
        <f>SUM(G980:G980)</f>
        <v>239.7</v>
      </c>
      <c r="H981" s="133">
        <f>SUM(H980:H980)</f>
        <v>0</v>
      </c>
      <c r="I981" s="134">
        <f>SUM(I980:I980)</f>
        <v>898.3</v>
      </c>
      <c r="J981" s="127"/>
      <c r="K981" s="64"/>
      <c r="L981" s="64"/>
      <c r="M981" s="64"/>
      <c r="N981" s="64"/>
      <c r="O981" s="64"/>
      <c r="P981" s="64"/>
      <c r="Q981" s="64"/>
      <c r="R981" s="64"/>
      <c r="S981" s="64"/>
      <c r="T981" s="127"/>
      <c r="U981" s="123"/>
      <c r="V981" s="129"/>
      <c r="W981" s="130"/>
      <c r="X981" s="131"/>
      <c r="Y981" s="128"/>
    </row>
    <row r="982" spans="1:25">
      <c r="B982" s="11"/>
      <c r="C982" s="609"/>
      <c r="D982" s="10"/>
      <c r="E982" s="10"/>
      <c r="F982" s="88"/>
      <c r="G982" s="88"/>
      <c r="H982" s="88"/>
      <c r="I982" s="99"/>
      <c r="J982" s="63"/>
      <c r="K982" s="21"/>
      <c r="L982" s="21"/>
      <c r="M982" s="21"/>
      <c r="N982" s="21"/>
      <c r="O982" s="21"/>
      <c r="P982" s="21"/>
      <c r="Q982" s="21"/>
      <c r="R982" s="21"/>
      <c r="S982" s="21"/>
      <c r="T982" s="63"/>
      <c r="U982" s="94"/>
      <c r="V982" s="90"/>
      <c r="W982" s="91"/>
      <c r="X982" s="92"/>
      <c r="Y982" s="2"/>
    </row>
    <row r="983" spans="1:25">
      <c r="B983" s="121" t="s">
        <v>70</v>
      </c>
      <c r="C983" s="611"/>
      <c r="D983" s="123"/>
      <c r="E983" s="128"/>
      <c r="F983" s="124"/>
      <c r="G983" s="124"/>
      <c r="H983" s="124"/>
      <c r="I983" s="126"/>
      <c r="J983" s="127"/>
      <c r="K983" s="64"/>
      <c r="L983" s="64"/>
      <c r="M983" s="64"/>
      <c r="N983" s="64"/>
      <c r="O983" s="64"/>
      <c r="P983" s="64"/>
      <c r="Q983" s="64"/>
      <c r="R983" s="64"/>
      <c r="S983" s="64"/>
      <c r="T983" s="127"/>
      <c r="U983" s="135"/>
      <c r="V983" s="129"/>
      <c r="W983" s="130"/>
      <c r="X983" s="131"/>
      <c r="Y983" s="128"/>
    </row>
    <row r="984" spans="1:25" s="342" customFormat="1">
      <c r="A984" s="492">
        <v>0.05</v>
      </c>
      <c r="B984" s="333">
        <v>1</v>
      </c>
      <c r="C984" s="350">
        <v>45911</v>
      </c>
      <c r="D984" s="263">
        <v>72853</v>
      </c>
      <c r="E984" s="358" t="s">
        <v>786</v>
      </c>
      <c r="F984" s="352">
        <v>523</v>
      </c>
      <c r="G984" s="352"/>
      <c r="H984" s="352"/>
      <c r="I984" s="353">
        <f>F984-G984-H984</f>
        <v>523</v>
      </c>
      <c r="J984" s="354" t="s">
        <v>150</v>
      </c>
      <c r="K984" s="354">
        <v>1</v>
      </c>
      <c r="L984" s="354"/>
      <c r="M984" s="354">
        <v>1</v>
      </c>
      <c r="N984" s="354">
        <v>1</v>
      </c>
      <c r="O984" s="354">
        <v>1</v>
      </c>
      <c r="P984" s="354">
        <v>0</v>
      </c>
      <c r="Q984" s="354"/>
      <c r="R984" s="354"/>
      <c r="S984" s="355"/>
      <c r="T984" s="127"/>
      <c r="U984" s="135" t="s">
        <v>2166</v>
      </c>
      <c r="V984" s="129">
        <v>0</v>
      </c>
      <c r="W984" s="711">
        <v>50</v>
      </c>
      <c r="X984" s="341"/>
      <c r="Y984" s="128"/>
    </row>
    <row r="985" spans="1:25">
      <c r="B985" s="132"/>
      <c r="C985" s="611"/>
      <c r="D985" s="123"/>
      <c r="E985" s="123"/>
      <c r="F985" s="134">
        <f>SUM(F984:F984)</f>
        <v>523</v>
      </c>
      <c r="G985" s="134">
        <f>SUM(G984:G984)</f>
        <v>0</v>
      </c>
      <c r="H985" s="134">
        <f>SUM(H984:H984)</f>
        <v>0</v>
      </c>
      <c r="I985" s="134">
        <f>SUM(I984:I984)</f>
        <v>523</v>
      </c>
      <c r="J985" s="127"/>
      <c r="K985" s="64"/>
      <c r="L985" s="64"/>
      <c r="M985" s="64"/>
      <c r="N985" s="64"/>
      <c r="O985" s="64"/>
      <c r="P985" s="64"/>
      <c r="Q985" s="64"/>
      <c r="R985" s="64"/>
      <c r="S985" s="64"/>
      <c r="T985" s="127"/>
      <c r="U985" s="135"/>
      <c r="V985" s="129"/>
      <c r="W985" s="130"/>
      <c r="X985" s="131"/>
      <c r="Y985" s="128"/>
    </row>
    <row r="986" spans="1:25">
      <c r="B986" s="11"/>
      <c r="C986" s="609"/>
      <c r="D986" s="10"/>
      <c r="E986" s="10"/>
      <c r="F986" s="88"/>
      <c r="G986" s="88"/>
      <c r="H986" s="88"/>
      <c r="I986" s="99"/>
      <c r="J986" s="63"/>
      <c r="K986" s="21"/>
      <c r="L986" s="21"/>
      <c r="M986" s="21"/>
      <c r="N986" s="21"/>
      <c r="O986" s="21"/>
      <c r="P986" s="21"/>
      <c r="Q986" s="21"/>
      <c r="R986" s="21"/>
      <c r="S986" s="21"/>
      <c r="T986" s="63"/>
      <c r="U986" s="94"/>
      <c r="V986" s="90"/>
      <c r="W986" s="91"/>
      <c r="X986" s="92"/>
      <c r="Y986" s="2"/>
    </row>
    <row r="987" spans="1:25" s="260" customFormat="1">
      <c r="A987" s="181"/>
      <c r="B987" s="100" t="s">
        <v>152</v>
      </c>
      <c r="C987" s="36"/>
      <c r="D987" s="10"/>
      <c r="E987" s="10"/>
      <c r="F987" s="88"/>
      <c r="G987" s="62"/>
      <c r="H987" s="88"/>
      <c r="I987" s="99"/>
      <c r="J987" s="63"/>
      <c r="K987" s="181"/>
      <c r="L987" s="181"/>
      <c r="M987" s="181"/>
      <c r="N987" s="181"/>
      <c r="O987" s="181"/>
      <c r="P987" s="181"/>
      <c r="Q987" s="181"/>
      <c r="R987" s="181"/>
      <c r="S987" s="181"/>
      <c r="T987" s="63"/>
      <c r="U987" s="10"/>
      <c r="V987" s="90"/>
      <c r="W987" s="91"/>
      <c r="X987" s="92"/>
    </row>
    <row r="988" spans="1:25" s="260" customFormat="1">
      <c r="A988" s="261" t="s">
        <v>2167</v>
      </c>
      <c r="B988" s="87">
        <v>1</v>
      </c>
      <c r="C988" s="262">
        <v>45840</v>
      </c>
      <c r="D988" s="357" t="s">
        <v>1896</v>
      </c>
      <c r="E988" s="264" t="s">
        <v>354</v>
      </c>
      <c r="F988" s="265">
        <v>1681</v>
      </c>
      <c r="G988" s="265">
        <v>39.700000000000003</v>
      </c>
      <c r="H988" s="265"/>
      <c r="I988" s="266">
        <f>F988-G988-H988</f>
        <v>1641.3</v>
      </c>
      <c r="J988" s="267" t="s">
        <v>374</v>
      </c>
      <c r="K988" s="267">
        <v>1</v>
      </c>
      <c r="L988" s="267">
        <v>1</v>
      </c>
      <c r="M988" s="267">
        <v>1</v>
      </c>
      <c r="N988" s="267">
        <v>1</v>
      </c>
      <c r="O988" s="267">
        <v>1</v>
      </c>
      <c r="P988" s="314">
        <v>0</v>
      </c>
      <c r="Q988" s="267">
        <v>1</v>
      </c>
      <c r="R988" s="267">
        <v>1</v>
      </c>
      <c r="S988" s="366">
        <v>0</v>
      </c>
      <c r="T988" s="63"/>
      <c r="U988" s="10" t="s">
        <v>1897</v>
      </c>
      <c r="V988" s="90"/>
      <c r="W988" s="91"/>
      <c r="X988" s="92"/>
    </row>
    <row r="989" spans="1:25" s="260" customFormat="1">
      <c r="A989" s="494">
        <v>0.05</v>
      </c>
      <c r="B989" s="87">
        <f>B988+1</f>
        <v>2</v>
      </c>
      <c r="C989" s="262">
        <v>45849</v>
      </c>
      <c r="D989" s="263">
        <v>71382</v>
      </c>
      <c r="E989" s="271" t="s">
        <v>999</v>
      </c>
      <c r="F989" s="265">
        <v>1861</v>
      </c>
      <c r="G989" s="265">
        <v>39.700000000000003</v>
      </c>
      <c r="H989" s="265"/>
      <c r="I989" s="266">
        <f>F989-G989-H989</f>
        <v>1821.3</v>
      </c>
      <c r="J989" s="267" t="s">
        <v>374</v>
      </c>
      <c r="K989" s="267">
        <v>1</v>
      </c>
      <c r="L989" s="267"/>
      <c r="M989" s="267">
        <v>1</v>
      </c>
      <c r="N989" s="267">
        <v>1</v>
      </c>
      <c r="O989" s="267">
        <v>1</v>
      </c>
      <c r="P989" s="314">
        <v>0</v>
      </c>
      <c r="Q989" s="314">
        <v>0</v>
      </c>
      <c r="R989" s="314">
        <v>0</v>
      </c>
      <c r="S989" s="366">
        <v>0</v>
      </c>
      <c r="T989" s="63"/>
      <c r="U989" s="94" t="s">
        <v>2072</v>
      </c>
      <c r="V989" s="90"/>
      <c r="W989" s="136"/>
      <c r="X989" s="137"/>
    </row>
    <row r="990" spans="1:25" s="260" customFormat="1">
      <c r="A990" s="261">
        <v>0.05</v>
      </c>
      <c r="B990" s="87">
        <f>B989+1</f>
        <v>3</v>
      </c>
      <c r="C990" s="282">
        <v>45861</v>
      </c>
      <c r="D990" s="330" t="s">
        <v>1997</v>
      </c>
      <c r="E990" s="283" t="s">
        <v>270</v>
      </c>
      <c r="F990" s="423">
        <v>5133</v>
      </c>
      <c r="G990" s="284">
        <f>39.7+(1071.49)+250</f>
        <v>1361.19</v>
      </c>
      <c r="H990" s="284"/>
      <c r="I990" s="300">
        <f>F990-G990-H990</f>
        <v>3771.81</v>
      </c>
      <c r="J990" s="286" t="s">
        <v>156</v>
      </c>
      <c r="K990" s="286">
        <v>1</v>
      </c>
      <c r="L990" s="286">
        <v>1</v>
      </c>
      <c r="M990" s="286">
        <v>1</v>
      </c>
      <c r="N990" s="286">
        <v>1</v>
      </c>
      <c r="O990" s="286">
        <v>1</v>
      </c>
      <c r="P990" s="332">
        <v>0</v>
      </c>
      <c r="Q990" s="332">
        <v>0</v>
      </c>
      <c r="R990" s="332">
        <v>0</v>
      </c>
      <c r="S990" s="370">
        <v>0</v>
      </c>
      <c r="T990" s="63"/>
      <c r="U990" s="10" t="s">
        <v>1998</v>
      </c>
      <c r="V990" s="90"/>
      <c r="W990" s="91"/>
      <c r="X990" s="92"/>
    </row>
    <row r="991" spans="1:25" s="260" customFormat="1">
      <c r="A991" s="494" t="s">
        <v>1183</v>
      </c>
      <c r="B991" s="87">
        <f>B990+1</f>
        <v>4</v>
      </c>
      <c r="C991" s="262">
        <v>45867</v>
      </c>
      <c r="D991" s="357" t="s">
        <v>2029</v>
      </c>
      <c r="E991" s="264" t="s">
        <v>158</v>
      </c>
      <c r="F991" s="265">
        <v>4461</v>
      </c>
      <c r="G991" s="265">
        <f>39.7+300</f>
        <v>339.7</v>
      </c>
      <c r="H991" s="265"/>
      <c r="I991" s="266">
        <f>F991-G991-H991</f>
        <v>4121.3</v>
      </c>
      <c r="J991" s="267"/>
      <c r="K991" s="267">
        <v>1</v>
      </c>
      <c r="L991" s="267">
        <v>1</v>
      </c>
      <c r="M991" s="267"/>
      <c r="N991" s="267">
        <v>1</v>
      </c>
      <c r="O991" s="267">
        <v>1</v>
      </c>
      <c r="P991" s="314">
        <v>0</v>
      </c>
      <c r="Q991" s="314">
        <v>0</v>
      </c>
      <c r="R991" s="314">
        <v>0</v>
      </c>
      <c r="S991" s="366">
        <v>0</v>
      </c>
      <c r="T991" s="63"/>
      <c r="U991" s="10" t="s">
        <v>2030</v>
      </c>
      <c r="V991" s="90"/>
      <c r="W991" s="91"/>
      <c r="X991" s="92"/>
    </row>
    <row r="992" spans="1:25" s="342" customFormat="1">
      <c r="A992" s="494">
        <v>0.05</v>
      </c>
      <c r="B992" s="87">
        <f t="shared" ref="B992:B996" si="79">B991+1</f>
        <v>5</v>
      </c>
      <c r="C992" s="262">
        <v>45876</v>
      </c>
      <c r="D992" s="357">
        <v>72143</v>
      </c>
      <c r="E992" s="264" t="s">
        <v>168</v>
      </c>
      <c r="F992" s="265">
        <v>1461</v>
      </c>
      <c r="G992" s="265">
        <v>39.700000000000003</v>
      </c>
      <c r="H992" s="265"/>
      <c r="I992" s="266">
        <f>F992-G992-H992</f>
        <v>1421.3</v>
      </c>
      <c r="J992" s="267" t="s">
        <v>228</v>
      </c>
      <c r="K992" s="267">
        <v>1</v>
      </c>
      <c r="L992" s="267">
        <v>1</v>
      </c>
      <c r="M992" s="267">
        <v>1</v>
      </c>
      <c r="N992" s="267">
        <v>1</v>
      </c>
      <c r="O992" s="267">
        <v>1</v>
      </c>
      <c r="P992" s="314">
        <v>0</v>
      </c>
      <c r="Q992" s="267">
        <v>1</v>
      </c>
      <c r="R992" s="267">
        <v>1</v>
      </c>
      <c r="S992" s="366">
        <v>0</v>
      </c>
      <c r="T992" s="63"/>
      <c r="U992" s="10"/>
      <c r="V992" s="90"/>
      <c r="W992" s="91"/>
      <c r="X992" s="92"/>
      <c r="Y992" s="260"/>
    </row>
    <row r="993" spans="1:25" s="260" customFormat="1">
      <c r="A993" s="181" t="s">
        <v>1183</v>
      </c>
      <c r="B993" s="87">
        <f t="shared" si="79"/>
        <v>6</v>
      </c>
      <c r="C993" s="262">
        <v>45881</v>
      </c>
      <c r="D993" s="357" t="s">
        <v>2070</v>
      </c>
      <c r="E993" s="271" t="s">
        <v>572</v>
      </c>
      <c r="F993" s="265">
        <f>8614-947.54</f>
        <v>7666.46</v>
      </c>
      <c r="G993" s="265">
        <f>39.7+501.6+(1852.97+46.62)+250</f>
        <v>2690.89</v>
      </c>
      <c r="H993" s="265"/>
      <c r="I993" s="266">
        <f>F993-G993-H993</f>
        <v>4975.57</v>
      </c>
      <c r="J993" s="267" t="s">
        <v>156</v>
      </c>
      <c r="K993" s="267">
        <v>1</v>
      </c>
      <c r="L993" s="314">
        <v>0</v>
      </c>
      <c r="M993" s="267">
        <v>1</v>
      </c>
      <c r="N993" s="267">
        <v>1</v>
      </c>
      <c r="O993" s="267">
        <v>1</v>
      </c>
      <c r="P993" s="267">
        <v>1</v>
      </c>
      <c r="Q993" s="267">
        <v>1</v>
      </c>
      <c r="R993" s="267">
        <v>1</v>
      </c>
      <c r="S993" s="269">
        <v>1</v>
      </c>
      <c r="T993" s="63"/>
      <c r="U993" s="94" t="s">
        <v>2087</v>
      </c>
      <c r="V993" s="90"/>
      <c r="W993" s="91"/>
      <c r="X993" s="92"/>
    </row>
    <row r="994" spans="1:25">
      <c r="A994" s="260" t="s">
        <v>1183</v>
      </c>
      <c r="B994" s="87">
        <v>1</v>
      </c>
      <c r="C994" s="262">
        <v>45902</v>
      </c>
      <c r="D994" s="263">
        <v>72891</v>
      </c>
      <c r="E994" s="271" t="s">
        <v>162</v>
      </c>
      <c r="F994" s="265">
        <v>3433</v>
      </c>
      <c r="G994" s="265">
        <v>39.700000000000003</v>
      </c>
      <c r="H994" s="265"/>
      <c r="I994" s="266">
        <f>F994-G994-H994</f>
        <v>3393.3</v>
      </c>
      <c r="J994" s="267" t="s">
        <v>156</v>
      </c>
      <c r="K994" s="267">
        <v>1</v>
      </c>
      <c r="L994" s="267">
        <v>1</v>
      </c>
      <c r="M994" s="267">
        <v>1</v>
      </c>
      <c r="N994" s="267">
        <v>1</v>
      </c>
      <c r="O994" s="267">
        <v>1</v>
      </c>
      <c r="P994" s="314">
        <v>0</v>
      </c>
      <c r="Q994" s="267">
        <v>1</v>
      </c>
      <c r="R994" s="267">
        <v>1</v>
      </c>
      <c r="S994" s="269">
        <v>1</v>
      </c>
      <c r="T994" s="21"/>
      <c r="U994" s="94" t="s">
        <v>2168</v>
      </c>
      <c r="V994" s="90">
        <f>377+3399.3</f>
        <v>3776.3</v>
      </c>
      <c r="W994" s="91"/>
      <c r="X994" s="92"/>
      <c r="Y994" s="260"/>
    </row>
    <row r="995" spans="1:25" s="260" customFormat="1">
      <c r="A995" s="260" t="s">
        <v>1183</v>
      </c>
      <c r="B995" s="87">
        <f>B993+1</f>
        <v>7</v>
      </c>
      <c r="C995" s="262">
        <v>45903</v>
      </c>
      <c r="D995" s="263" t="s">
        <v>2130</v>
      </c>
      <c r="E995" s="271" t="s">
        <v>979</v>
      </c>
      <c r="F995" s="265">
        <v>5533</v>
      </c>
      <c r="G995" s="265">
        <f>39.7+(1471.41-16.4-3.76-8.58-2.51)</f>
        <v>1479.8600000000001</v>
      </c>
      <c r="H995" s="265">
        <f>271.51</f>
        <v>271.51</v>
      </c>
      <c r="I995" s="266">
        <f>F995-G995-H995</f>
        <v>3781.63</v>
      </c>
      <c r="J995" s="267" t="s">
        <v>313</v>
      </c>
      <c r="K995" s="267">
        <v>1</v>
      </c>
      <c r="L995" s="267">
        <v>1</v>
      </c>
      <c r="M995" s="267">
        <v>1</v>
      </c>
      <c r="N995" s="267">
        <v>1</v>
      </c>
      <c r="O995" s="267">
        <v>1</v>
      </c>
      <c r="P995" s="314">
        <v>0</v>
      </c>
      <c r="Q995" s="267">
        <v>1</v>
      </c>
      <c r="R995" s="267">
        <v>1</v>
      </c>
      <c r="S995" s="269">
        <v>1</v>
      </c>
      <c r="T995" s="21">
        <v>1</v>
      </c>
      <c r="U995" s="94" t="s">
        <v>2169</v>
      </c>
      <c r="V995" s="90">
        <f>608</f>
        <v>608</v>
      </c>
      <c r="W995" s="91"/>
      <c r="X995" s="92">
        <f>5206.79</f>
        <v>5206.79</v>
      </c>
    </row>
    <row r="996" spans="1:25" s="260" customFormat="1">
      <c r="A996" s="494" t="s">
        <v>548</v>
      </c>
      <c r="B996" s="87">
        <f t="shared" si="79"/>
        <v>8</v>
      </c>
      <c r="C996" s="262">
        <v>45905</v>
      </c>
      <c r="D996" s="357" t="s">
        <v>2133</v>
      </c>
      <c r="E996" s="271" t="s">
        <v>2080</v>
      </c>
      <c r="F996" s="265">
        <v>18214</v>
      </c>
      <c r="G996" s="265">
        <f>39.7+1151.6+(31.37+44.21+173.68+47.32)+1500</f>
        <v>2987.88</v>
      </c>
      <c r="H996" s="265"/>
      <c r="I996" s="266">
        <f>F996-G996-H996</f>
        <v>15226.119999999999</v>
      </c>
      <c r="J996" s="267" t="s">
        <v>156</v>
      </c>
      <c r="K996" s="267">
        <v>1</v>
      </c>
      <c r="L996" s="267">
        <v>1</v>
      </c>
      <c r="M996" s="267">
        <v>1</v>
      </c>
      <c r="N996" s="267">
        <v>1</v>
      </c>
      <c r="O996" s="267">
        <v>1</v>
      </c>
      <c r="P996" s="314">
        <v>0</v>
      </c>
      <c r="Q996" s="267">
        <v>1</v>
      </c>
      <c r="R996" s="267">
        <v>1</v>
      </c>
      <c r="S996" s="269">
        <v>1</v>
      </c>
      <c r="T996" s="63"/>
      <c r="U996" s="94" t="s">
        <v>2170</v>
      </c>
      <c r="V996" s="90">
        <f>3035.4+7000</f>
        <v>10035.4</v>
      </c>
      <c r="W996" s="136"/>
      <c r="X996" s="137"/>
    </row>
    <row r="997" spans="1:25" s="260" customFormat="1">
      <c r="A997" s="181"/>
      <c r="B997" s="11"/>
      <c r="C997" s="36"/>
      <c r="D997" s="10"/>
      <c r="E997" s="10"/>
      <c r="F997" s="98">
        <f>SUM(F988:F996)</f>
        <v>49443.46</v>
      </c>
      <c r="G997" s="98">
        <f>SUM(G988:G996)</f>
        <v>9018.32</v>
      </c>
      <c r="H997" s="98">
        <f>SUM(H988:H996)</f>
        <v>271.51</v>
      </c>
      <c r="I997" s="98">
        <f>SUM(I988:I996)</f>
        <v>40153.629999999997</v>
      </c>
      <c r="J997" s="63"/>
      <c r="K997" s="21"/>
      <c r="L997" s="21"/>
      <c r="M997" s="21"/>
      <c r="N997" s="21"/>
      <c r="O997" s="21"/>
      <c r="P997" s="21"/>
      <c r="Q997" s="21"/>
      <c r="R997" s="21"/>
      <c r="S997" s="21"/>
      <c r="T997" s="63"/>
      <c r="U997" s="10"/>
      <c r="V997" s="90"/>
      <c r="W997" s="91"/>
      <c r="X997" s="92"/>
    </row>
    <row r="998" spans="1:25" s="260" customFormat="1">
      <c r="A998" s="181"/>
      <c r="B998" s="11"/>
      <c r="C998" s="36"/>
      <c r="D998" s="10"/>
      <c r="E998" s="10"/>
      <c r="F998" s="88"/>
      <c r="G998" s="88"/>
      <c r="H998" s="88"/>
      <c r="I998" s="99"/>
      <c r="J998" s="63"/>
      <c r="K998" s="21"/>
      <c r="L998" s="21"/>
      <c r="M998" s="21"/>
      <c r="N998" s="21"/>
      <c r="O998" s="21"/>
      <c r="P998" s="21"/>
      <c r="Q998" s="21"/>
      <c r="R998" s="21"/>
      <c r="S998" s="21"/>
      <c r="T998" s="63"/>
      <c r="U998" s="10"/>
      <c r="V998" s="90"/>
      <c r="W998" s="91"/>
      <c r="X998" s="92"/>
    </row>
    <row r="999" spans="1:25" s="260" customFormat="1">
      <c r="B999" s="100" t="s">
        <v>202</v>
      </c>
      <c r="C999" s="36"/>
      <c r="D999" s="10"/>
      <c r="E999" s="181"/>
      <c r="F999" s="88"/>
      <c r="G999" s="88"/>
      <c r="H999" s="88"/>
      <c r="I999" s="99"/>
      <c r="J999" s="63"/>
      <c r="K999" s="21"/>
      <c r="L999" s="21"/>
      <c r="M999" s="21"/>
      <c r="N999" s="21"/>
      <c r="O999" s="21"/>
      <c r="P999" s="21"/>
      <c r="Q999" s="21"/>
      <c r="R999" s="21"/>
      <c r="S999" s="21"/>
      <c r="T999" s="63"/>
      <c r="U999" s="10"/>
      <c r="V999" s="90"/>
      <c r="W999" s="91"/>
      <c r="X999" s="92"/>
    </row>
    <row r="1000" spans="1:25" s="260" customFormat="1">
      <c r="A1000" s="494">
        <v>0.05</v>
      </c>
      <c r="B1000" s="87">
        <v>1</v>
      </c>
      <c r="C1000" s="262">
        <v>45848</v>
      </c>
      <c r="D1000" s="263">
        <v>71381</v>
      </c>
      <c r="E1000" s="271" t="s">
        <v>1530</v>
      </c>
      <c r="F1000" s="265">
        <f>1223-85</f>
        <v>1138</v>
      </c>
      <c r="G1000" s="265">
        <f>39.7</f>
        <v>39.700000000000003</v>
      </c>
      <c r="H1000" s="265"/>
      <c r="I1000" s="266">
        <f>F1000-G1000-H1000</f>
        <v>1098.3</v>
      </c>
      <c r="J1000" s="267" t="s">
        <v>156</v>
      </c>
      <c r="K1000" s="267">
        <v>1</v>
      </c>
      <c r="L1000" s="267"/>
      <c r="M1000" s="267">
        <v>1</v>
      </c>
      <c r="N1000" s="267">
        <v>1</v>
      </c>
      <c r="O1000" s="267">
        <v>1</v>
      </c>
      <c r="P1000" s="314">
        <v>0</v>
      </c>
      <c r="Q1000" s="267"/>
      <c r="R1000" s="267"/>
      <c r="S1000" s="269"/>
      <c r="T1000" s="63"/>
      <c r="U1000" s="94"/>
      <c r="V1000" s="90"/>
      <c r="W1000" s="136"/>
      <c r="X1000" s="137"/>
    </row>
    <row r="1001" spans="1:25" s="260" customFormat="1">
      <c r="A1001" s="494">
        <v>0.05</v>
      </c>
      <c r="B1001" s="87">
        <f>B1000+1</f>
        <v>2</v>
      </c>
      <c r="C1001" s="274">
        <v>45902</v>
      </c>
      <c r="D1001" s="327">
        <v>72830</v>
      </c>
      <c r="E1001" s="276" t="s">
        <v>196</v>
      </c>
      <c r="F1001" s="277">
        <f>3447-85</f>
        <v>3362</v>
      </c>
      <c r="G1001" s="277">
        <f>39.7+(20.1)</f>
        <v>59.800000000000004</v>
      </c>
      <c r="H1001" s="277"/>
      <c r="I1001" s="321">
        <f>F1001-G1001-H1001</f>
        <v>3302.2</v>
      </c>
      <c r="J1001" s="279" t="s">
        <v>374</v>
      </c>
      <c r="K1001" s="279">
        <v>1</v>
      </c>
      <c r="L1001" s="279"/>
      <c r="M1001" s="279">
        <v>1</v>
      </c>
      <c r="N1001" s="279">
        <v>1</v>
      </c>
      <c r="O1001" s="322">
        <v>0</v>
      </c>
      <c r="P1001" s="322">
        <v>0</v>
      </c>
      <c r="Q1001" s="279"/>
      <c r="R1001" s="279"/>
      <c r="S1001" s="280"/>
      <c r="T1001" s="63"/>
      <c r="U1001" s="94"/>
      <c r="V1001" s="90"/>
      <c r="W1001" s="136"/>
      <c r="X1001" s="137"/>
    </row>
    <row r="1002" spans="1:25" s="260" customFormat="1">
      <c r="A1002" s="494">
        <v>0.05</v>
      </c>
      <c r="B1002" s="87">
        <f t="shared" ref="B1002" si="80">B1001+1</f>
        <v>3</v>
      </c>
      <c r="C1002" s="262">
        <v>45904</v>
      </c>
      <c r="D1002" s="263">
        <v>72887</v>
      </c>
      <c r="E1002" s="271" t="s">
        <v>2132</v>
      </c>
      <c r="F1002" s="265">
        <v>12814</v>
      </c>
      <c r="G1002" s="265">
        <f>39.7+1000</f>
        <v>1039.7</v>
      </c>
      <c r="H1002" s="265"/>
      <c r="I1002" s="266">
        <f>F1002-G1002-H1002</f>
        <v>11774.3</v>
      </c>
      <c r="J1002" s="267"/>
      <c r="K1002" s="267">
        <v>1</v>
      </c>
      <c r="L1002" s="267"/>
      <c r="M1002" s="267"/>
      <c r="N1002" s="267">
        <v>1</v>
      </c>
      <c r="O1002" s="267">
        <v>1</v>
      </c>
      <c r="P1002" s="314">
        <v>0</v>
      </c>
      <c r="Q1002" s="267"/>
      <c r="R1002" s="267"/>
      <c r="S1002" s="269"/>
      <c r="T1002" s="21"/>
      <c r="U1002" s="94"/>
      <c r="V1002" s="90"/>
      <c r="W1002" s="136"/>
      <c r="X1002" s="137"/>
    </row>
    <row r="1003" spans="1:25" s="260" customFormat="1">
      <c r="B1003" s="11"/>
      <c r="C1003" s="36"/>
      <c r="D1003" s="10"/>
      <c r="E1003" s="10"/>
      <c r="F1003" s="97">
        <f>SUM(F1000:F1000)</f>
        <v>1138</v>
      </c>
      <c r="G1003" s="97">
        <f>SUM(G1000:G1000)</f>
        <v>39.700000000000003</v>
      </c>
      <c r="H1003" s="97">
        <f>SUM(H1000:H1000)</f>
        <v>0</v>
      </c>
      <c r="I1003" s="97">
        <f>SUM(I1000:I1000)</f>
        <v>1098.3</v>
      </c>
      <c r="J1003" s="63"/>
      <c r="K1003" s="21"/>
      <c r="L1003" s="21"/>
      <c r="M1003" s="21"/>
      <c r="N1003" s="21"/>
      <c r="O1003" s="21"/>
      <c r="P1003" s="21"/>
      <c r="Q1003" s="21"/>
      <c r="R1003" s="21"/>
      <c r="S1003" s="21"/>
      <c r="T1003" s="63"/>
      <c r="U1003" s="10"/>
      <c r="V1003" s="90"/>
      <c r="W1003" s="91"/>
      <c r="X1003" s="92"/>
    </row>
    <row r="1004" spans="1:25" s="260" customFormat="1">
      <c r="B1004" s="11"/>
      <c r="C1004" s="36"/>
      <c r="D1004" s="10"/>
      <c r="E1004" s="10"/>
      <c r="F1004" s="88"/>
      <c r="G1004" s="88"/>
      <c r="H1004" s="88"/>
      <c r="I1004" s="99"/>
      <c r="J1004" s="10"/>
      <c r="K1004" s="63"/>
      <c r="L1004" s="63"/>
      <c r="M1004" s="63"/>
      <c r="N1004" s="63"/>
      <c r="O1004" s="63"/>
      <c r="P1004" s="63"/>
      <c r="Q1004" s="63"/>
      <c r="R1004" s="63"/>
      <c r="S1004" s="63"/>
      <c r="T1004" s="63"/>
      <c r="U1004" s="10"/>
      <c r="V1004" s="90"/>
      <c r="W1004" s="91"/>
      <c r="X1004" s="92"/>
    </row>
    <row r="1005" spans="1:25">
      <c r="B1005" s="100" t="s">
        <v>72</v>
      </c>
      <c r="C1005" s="609"/>
      <c r="D1005" s="10"/>
      <c r="E1005" s="10"/>
      <c r="F1005" s="88"/>
      <c r="G1005" s="88"/>
      <c r="H1005" s="88"/>
      <c r="I1005" s="99"/>
      <c r="J1005" s="63"/>
      <c r="K1005" s="63"/>
      <c r="L1005" s="63"/>
      <c r="M1005" s="63"/>
      <c r="N1005" s="63"/>
      <c r="O1005" s="63"/>
      <c r="P1005" s="63"/>
      <c r="Q1005" s="63"/>
      <c r="R1005" s="63"/>
      <c r="S1005" s="63"/>
      <c r="T1005" s="63"/>
      <c r="U1005" s="10"/>
      <c r="V1005" s="90"/>
      <c r="W1005" s="91"/>
      <c r="X1005" s="92"/>
      <c r="Y1005" s="2"/>
    </row>
    <row r="1006" spans="1:25">
      <c r="B1006" s="87">
        <v>1</v>
      </c>
      <c r="C1006" s="274">
        <v>45909</v>
      </c>
      <c r="D1006" s="276">
        <v>73087</v>
      </c>
      <c r="E1006" s="276" t="s">
        <v>2171</v>
      </c>
      <c r="F1006" s="277">
        <v>3214</v>
      </c>
      <c r="G1006" s="277">
        <v>39.700000000000003</v>
      </c>
      <c r="H1006" s="277"/>
      <c r="I1006" s="278">
        <f>F1006-G1006-H1006</f>
        <v>3174.3</v>
      </c>
      <c r="J1006" s="279" t="s">
        <v>205</v>
      </c>
      <c r="K1006" s="279">
        <v>1</v>
      </c>
      <c r="L1006" s="279"/>
      <c r="M1006" s="279"/>
      <c r="N1006" s="279">
        <v>1</v>
      </c>
      <c r="O1006" s="279"/>
      <c r="P1006" s="279"/>
      <c r="Q1006" s="279">
        <v>1</v>
      </c>
      <c r="R1006" s="279">
        <v>1</v>
      </c>
      <c r="S1006" s="280"/>
      <c r="T1006" s="63"/>
      <c r="U1006" s="3"/>
      <c r="V1006" s="90"/>
      <c r="W1006" s="91"/>
      <c r="X1006" s="92"/>
      <c r="Y1006" s="2"/>
    </row>
    <row r="1007" spans="1:25">
      <c r="B1007" s="87">
        <f t="shared" ref="B1007:B1013" si="81">B1006+1</f>
        <v>2</v>
      </c>
      <c r="C1007" s="295">
        <v>45909</v>
      </c>
      <c r="D1007" s="10">
        <v>73077</v>
      </c>
      <c r="E1007" s="10" t="s">
        <v>2171</v>
      </c>
      <c r="F1007" s="62">
        <v>729</v>
      </c>
      <c r="G1007" s="62">
        <v>39.700000000000003</v>
      </c>
      <c r="H1007" s="62"/>
      <c r="I1007" s="89">
        <f>F1007-G1007-H1007</f>
        <v>689.3</v>
      </c>
      <c r="J1007" s="63" t="s">
        <v>156</v>
      </c>
      <c r="K1007" s="63">
        <v>1</v>
      </c>
      <c r="L1007" s="63"/>
      <c r="M1007" s="63">
        <v>1</v>
      </c>
      <c r="N1007" s="63">
        <v>1</v>
      </c>
      <c r="O1007" s="63"/>
      <c r="P1007" s="63"/>
      <c r="Q1007" s="63">
        <v>1</v>
      </c>
      <c r="R1007" s="63"/>
      <c r="S1007" s="296">
        <v>1</v>
      </c>
      <c r="T1007" s="63"/>
      <c r="U1007" s="10"/>
      <c r="V1007" s="90">
        <v>93.5</v>
      </c>
      <c r="W1007" s="136"/>
      <c r="X1007" s="137"/>
      <c r="Y1007" s="2"/>
    </row>
    <row r="1008" spans="1:25">
      <c r="B1008" s="87">
        <f t="shared" si="81"/>
        <v>3</v>
      </c>
      <c r="C1008" s="295">
        <v>45909</v>
      </c>
      <c r="D1008" s="10">
        <v>73124</v>
      </c>
      <c r="E1008" s="10" t="s">
        <v>299</v>
      </c>
      <c r="F1008" s="62">
        <v>796</v>
      </c>
      <c r="G1008" s="62">
        <v>39.700000000000003</v>
      </c>
      <c r="H1008" s="62"/>
      <c r="I1008" s="89">
        <f>F1008-G1008-H1008</f>
        <v>756.3</v>
      </c>
      <c r="J1008" s="63" t="s">
        <v>205</v>
      </c>
      <c r="K1008" s="63">
        <v>1</v>
      </c>
      <c r="L1008" s="63"/>
      <c r="M1008" s="63"/>
      <c r="N1008" s="63">
        <v>1</v>
      </c>
      <c r="O1008" s="63"/>
      <c r="P1008" s="63"/>
      <c r="Q1008" s="63">
        <v>1</v>
      </c>
      <c r="R1008" s="63">
        <v>1</v>
      </c>
      <c r="S1008" s="296"/>
      <c r="T1008" s="63"/>
      <c r="U1008" s="3"/>
      <c r="V1008" s="90"/>
      <c r="W1008" s="136"/>
      <c r="X1008" s="137"/>
      <c r="Y1008" s="2"/>
    </row>
    <row r="1009" spans="2:25">
      <c r="B1009" s="87">
        <f t="shared" si="81"/>
        <v>4</v>
      </c>
      <c r="C1009" s="274">
        <v>45911</v>
      </c>
      <c r="D1009" s="276" t="s">
        <v>2172</v>
      </c>
      <c r="E1009" s="276" t="s">
        <v>354</v>
      </c>
      <c r="F1009" s="277">
        <v>8614</v>
      </c>
      <c r="G1009" s="277">
        <v>39.700000000000003</v>
      </c>
      <c r="H1009" s="277"/>
      <c r="I1009" s="278">
        <f>F1009-G1009-H1009</f>
        <v>8574.2999999999993</v>
      </c>
      <c r="J1009" s="279" t="s">
        <v>205</v>
      </c>
      <c r="K1009" s="279">
        <v>1</v>
      </c>
      <c r="L1009" s="279"/>
      <c r="M1009" s="279"/>
      <c r="N1009" s="279">
        <v>1</v>
      </c>
      <c r="O1009" s="279"/>
      <c r="P1009" s="279"/>
      <c r="Q1009" s="279"/>
      <c r="R1009" s="279"/>
      <c r="S1009" s="280"/>
      <c r="T1009" s="63"/>
      <c r="U1009" s="10"/>
      <c r="V1009" s="90"/>
      <c r="W1009" s="136"/>
      <c r="X1009" s="137"/>
      <c r="Y1009" s="2"/>
    </row>
    <row r="1010" spans="2:25">
      <c r="B1010" s="87">
        <f t="shared" si="81"/>
        <v>5</v>
      </c>
      <c r="C1010" s="295">
        <v>45911</v>
      </c>
      <c r="D1010" s="10">
        <v>73183</v>
      </c>
      <c r="E1010" s="10" t="s">
        <v>155</v>
      </c>
      <c r="F1010" s="62">
        <v>1138</v>
      </c>
      <c r="G1010" s="62">
        <v>39.700000000000003</v>
      </c>
      <c r="H1010" s="62"/>
      <c r="I1010" s="89">
        <f>F1010-G1010-H1010</f>
        <v>1098.3</v>
      </c>
      <c r="J1010" s="63" t="s">
        <v>205</v>
      </c>
      <c r="K1010" s="63">
        <v>1</v>
      </c>
      <c r="L1010" s="63"/>
      <c r="M1010" s="63"/>
      <c r="N1010" s="63">
        <v>1</v>
      </c>
      <c r="O1010" s="63"/>
      <c r="P1010" s="63"/>
      <c r="Q1010" s="63">
        <v>1</v>
      </c>
      <c r="R1010" s="63">
        <v>1</v>
      </c>
      <c r="S1010" s="296"/>
      <c r="T1010" s="63"/>
      <c r="U1010" s="10"/>
      <c r="V1010" s="90"/>
      <c r="W1010" s="136"/>
      <c r="X1010" s="137"/>
      <c r="Y1010" s="2"/>
    </row>
    <row r="1011" spans="2:25">
      <c r="B1011" s="87">
        <f t="shared" si="81"/>
        <v>6</v>
      </c>
      <c r="C1011" s="295">
        <v>45911</v>
      </c>
      <c r="D1011" s="10">
        <v>73219</v>
      </c>
      <c r="E1011" s="101" t="s">
        <v>168</v>
      </c>
      <c r="F1011" s="62">
        <v>2861</v>
      </c>
      <c r="G1011" s="62">
        <v>39.700000000000003</v>
      </c>
      <c r="H1011" s="62"/>
      <c r="I1011" s="89">
        <f>F1011-G1011-H1011</f>
        <v>2821.3</v>
      </c>
      <c r="J1011" s="63" t="s">
        <v>156</v>
      </c>
      <c r="K1011" s="63">
        <v>1</v>
      </c>
      <c r="L1011" s="63"/>
      <c r="M1011" s="63">
        <v>1</v>
      </c>
      <c r="N1011" s="63"/>
      <c r="O1011" s="63"/>
      <c r="P1011" s="63"/>
      <c r="Q1011" s="63">
        <v>1</v>
      </c>
      <c r="R1011" s="63">
        <v>1</v>
      </c>
      <c r="S1011" s="296"/>
      <c r="T1011" s="63"/>
      <c r="U1011" s="10"/>
      <c r="V1011" s="90">
        <v>93.5</v>
      </c>
      <c r="W1011" s="136"/>
      <c r="X1011" s="137"/>
      <c r="Y1011" s="2"/>
    </row>
    <row r="1012" spans="2:25">
      <c r="B1012" s="87">
        <f t="shared" si="81"/>
        <v>7</v>
      </c>
      <c r="C1012" s="274">
        <v>45912</v>
      </c>
      <c r="D1012" s="276">
        <v>73261</v>
      </c>
      <c r="E1012" s="281" t="s">
        <v>159</v>
      </c>
      <c r="F1012" s="277">
        <v>1138</v>
      </c>
      <c r="G1012" s="277">
        <v>39.700000000000003</v>
      </c>
      <c r="H1012" s="277"/>
      <c r="I1012" s="278">
        <f>F1012-G1012-H1012</f>
        <v>1098.3</v>
      </c>
      <c r="J1012" s="279" t="s">
        <v>205</v>
      </c>
      <c r="K1012" s="279">
        <v>1</v>
      </c>
      <c r="L1012" s="279"/>
      <c r="M1012" s="279"/>
      <c r="N1012" s="279"/>
      <c r="O1012" s="279"/>
      <c r="P1012" s="279"/>
      <c r="Q1012" s="279">
        <v>1</v>
      </c>
      <c r="R1012" s="279">
        <v>1</v>
      </c>
      <c r="S1012" s="280"/>
      <c r="T1012" s="63"/>
      <c r="U1012" s="10"/>
      <c r="V1012" s="90"/>
      <c r="W1012" s="136"/>
      <c r="X1012" s="137"/>
      <c r="Y1012" s="2"/>
    </row>
    <row r="1013" spans="2:25">
      <c r="B1013" s="87">
        <f t="shared" si="81"/>
        <v>8</v>
      </c>
      <c r="C1013" s="282">
        <v>45912</v>
      </c>
      <c r="D1013" s="283">
        <v>73270</v>
      </c>
      <c r="E1013" s="319" t="s">
        <v>213</v>
      </c>
      <c r="F1013" s="284">
        <v>0</v>
      </c>
      <c r="G1013" s="284">
        <v>0</v>
      </c>
      <c r="H1013" s="284"/>
      <c r="I1013" s="285">
        <f>F1013-G1013-H1013</f>
        <v>0</v>
      </c>
      <c r="J1013" s="286" t="s">
        <v>205</v>
      </c>
      <c r="K1013" s="286">
        <v>1</v>
      </c>
      <c r="L1013" s="286"/>
      <c r="M1013" s="286"/>
      <c r="N1013" s="286"/>
      <c r="O1013" s="286"/>
      <c r="P1013" s="286"/>
      <c r="Q1013" s="286">
        <v>1</v>
      </c>
      <c r="R1013" s="286">
        <v>1</v>
      </c>
      <c r="S1013" s="287"/>
      <c r="T1013" s="63"/>
      <c r="U1013" s="10"/>
      <c r="V1013" s="90"/>
      <c r="W1013" s="136"/>
      <c r="X1013" s="137"/>
      <c r="Y1013" s="2"/>
    </row>
    <row r="1014" spans="2:25">
      <c r="B1014" s="11"/>
      <c r="C1014" s="609"/>
      <c r="D1014" s="10"/>
      <c r="E1014" s="10"/>
      <c r="F1014" s="97">
        <f>SUM(F1006:F1013)</f>
        <v>18490</v>
      </c>
      <c r="G1014" s="97">
        <f>SUM(G1006:G1013)</f>
        <v>277.89999999999998</v>
      </c>
      <c r="H1014" s="97">
        <f>SUM(H1006:H1013)</f>
        <v>0</v>
      </c>
      <c r="I1014" s="98">
        <f>SUM(I1006:I1013)</f>
        <v>18212.099999999999</v>
      </c>
      <c r="J1014" s="10"/>
      <c r="K1014" s="10"/>
      <c r="L1014" s="10"/>
      <c r="M1014" s="10"/>
      <c r="N1014" s="10"/>
      <c r="O1014" s="10"/>
      <c r="P1014" s="10"/>
      <c r="Q1014" s="10"/>
      <c r="R1014" s="10"/>
      <c r="S1014" s="10"/>
      <c r="T1014" s="63"/>
      <c r="U1014" s="10"/>
      <c r="V1014" s="138"/>
      <c r="W1014" s="136"/>
      <c r="X1014" s="137"/>
      <c r="Y1014" s="2"/>
    </row>
    <row r="1015" spans="2:25">
      <c r="B1015" s="11"/>
      <c r="C1015" s="609"/>
      <c r="D1015" s="10"/>
      <c r="E1015" s="10"/>
      <c r="F1015" s="88"/>
      <c r="G1015" s="88"/>
      <c r="H1015" s="88"/>
      <c r="I1015" s="99"/>
      <c r="J1015" s="10"/>
      <c r="K1015" s="10"/>
      <c r="L1015" s="10"/>
      <c r="M1015" s="10"/>
      <c r="N1015" s="10"/>
      <c r="O1015" s="10"/>
      <c r="P1015" s="10"/>
      <c r="Q1015" s="10"/>
      <c r="R1015" s="10"/>
      <c r="S1015" s="10"/>
      <c r="T1015" s="63"/>
      <c r="U1015" s="10"/>
      <c r="V1015" s="138"/>
      <c r="W1015" s="136"/>
      <c r="X1015" s="137"/>
      <c r="Y1015" s="2"/>
    </row>
    <row r="1016" spans="2:25">
      <c r="B1016" s="100" t="s">
        <v>73</v>
      </c>
      <c r="C1016" s="609"/>
      <c r="D1016" s="10"/>
      <c r="E1016" s="10"/>
      <c r="F1016" s="88"/>
      <c r="G1016" s="88"/>
      <c r="H1016" s="88"/>
      <c r="I1016" s="99"/>
      <c r="J1016" s="63"/>
      <c r="K1016" s="63"/>
      <c r="L1016" s="63"/>
      <c r="M1016" s="63"/>
      <c r="N1016" s="63"/>
      <c r="O1016" s="63"/>
      <c r="P1016" s="63"/>
      <c r="Q1016" s="63"/>
      <c r="R1016" s="63"/>
      <c r="S1016" s="63"/>
      <c r="T1016" s="63"/>
      <c r="U1016" s="94"/>
      <c r="V1016" s="90"/>
      <c r="W1016" s="91"/>
      <c r="X1016" s="92"/>
      <c r="Y1016" s="2"/>
    </row>
    <row r="1017" spans="2:25">
      <c r="B1017" s="87">
        <v>1</v>
      </c>
      <c r="C1017" s="274">
        <v>45913</v>
      </c>
      <c r="D1017" s="276">
        <v>73282</v>
      </c>
      <c r="E1017" s="276" t="s">
        <v>273</v>
      </c>
      <c r="F1017" s="277">
        <v>0</v>
      </c>
      <c r="G1017" s="277">
        <v>0</v>
      </c>
      <c r="H1017" s="277"/>
      <c r="I1017" s="278">
        <f>F1017-G1017-H1017</f>
        <v>0</v>
      </c>
      <c r="J1017" s="279" t="s">
        <v>219</v>
      </c>
      <c r="K1017" s="279"/>
      <c r="L1017" s="279"/>
      <c r="M1017" s="279"/>
      <c r="N1017" s="279"/>
      <c r="O1017" s="279"/>
      <c r="P1017" s="279"/>
      <c r="Q1017" s="279"/>
      <c r="R1017" s="279"/>
      <c r="S1017" s="280"/>
      <c r="T1017" s="63"/>
      <c r="U1017" s="139"/>
      <c r="V1017" s="90"/>
      <c r="W1017" s="91"/>
      <c r="X1017" s="92"/>
      <c r="Y1017" s="2"/>
    </row>
    <row r="1018" spans="2:25">
      <c r="B1018" s="87">
        <f>B1017+1</f>
        <v>2</v>
      </c>
      <c r="C1018" s="295">
        <v>45913</v>
      </c>
      <c r="D1018" s="10">
        <v>73254</v>
      </c>
      <c r="E1018" s="10" t="s">
        <v>1215</v>
      </c>
      <c r="F1018" s="62">
        <v>0</v>
      </c>
      <c r="G1018" s="62">
        <v>0</v>
      </c>
      <c r="H1018" s="62"/>
      <c r="I1018" s="89">
        <f>F1018-G1018-H1018</f>
        <v>0</v>
      </c>
      <c r="J1018" s="63" t="s">
        <v>219</v>
      </c>
      <c r="K1018" s="63"/>
      <c r="L1018" s="63"/>
      <c r="M1018" s="63"/>
      <c r="N1018" s="63"/>
      <c r="O1018" s="63"/>
      <c r="P1018" s="63"/>
      <c r="Q1018" s="63"/>
      <c r="R1018" s="63"/>
      <c r="S1018" s="296"/>
      <c r="T1018" s="63"/>
      <c r="U1018" s="94" t="s">
        <v>2173</v>
      </c>
      <c r="V1018" s="90"/>
      <c r="W1018" s="136"/>
      <c r="X1018" s="137"/>
      <c r="Y1018" s="2"/>
    </row>
    <row r="1019" spans="2:25">
      <c r="B1019" s="87">
        <f>B1018+1</f>
        <v>3</v>
      </c>
      <c r="C1019" s="295">
        <v>45913</v>
      </c>
      <c r="D1019" s="10">
        <v>73287</v>
      </c>
      <c r="E1019" s="10" t="s">
        <v>294</v>
      </c>
      <c r="F1019" s="62">
        <v>0</v>
      </c>
      <c r="G1019" s="62">
        <v>0</v>
      </c>
      <c r="H1019" s="62"/>
      <c r="I1019" s="89">
        <f>F1019-G1019-H1019</f>
        <v>0</v>
      </c>
      <c r="J1019" s="63" t="s">
        <v>156</v>
      </c>
      <c r="K1019" s="63"/>
      <c r="L1019" s="63"/>
      <c r="M1019" s="63">
        <v>1</v>
      </c>
      <c r="N1019" s="63"/>
      <c r="O1019" s="63"/>
      <c r="P1019" s="63"/>
      <c r="Q1019" s="63"/>
      <c r="R1019" s="63"/>
      <c r="S1019" s="296"/>
      <c r="T1019" s="63"/>
      <c r="U1019" s="94"/>
      <c r="V1019" s="90">
        <v>93.5</v>
      </c>
      <c r="W1019" s="136"/>
      <c r="X1019" s="137"/>
      <c r="Y1019" s="2"/>
    </row>
    <row r="1020" spans="2:25">
      <c r="B1020" s="87">
        <f>B1019+1</f>
        <v>4</v>
      </c>
      <c r="C1020" s="295">
        <v>45913</v>
      </c>
      <c r="D1020" s="10" t="s">
        <v>2174</v>
      </c>
      <c r="E1020" s="10" t="s">
        <v>2163</v>
      </c>
      <c r="F1020" s="62">
        <v>5133</v>
      </c>
      <c r="G1020" s="62">
        <v>39.700000000000003</v>
      </c>
      <c r="H1020" s="62"/>
      <c r="I1020" s="89">
        <f>F1020-G1020-H1020</f>
        <v>5093.3</v>
      </c>
      <c r="J1020" s="63" t="s">
        <v>205</v>
      </c>
      <c r="K1020" s="63">
        <v>1</v>
      </c>
      <c r="L1020" s="63"/>
      <c r="M1020" s="63"/>
      <c r="N1020" s="63">
        <v>1</v>
      </c>
      <c r="O1020" s="63"/>
      <c r="P1020" s="63"/>
      <c r="Q1020" s="63"/>
      <c r="R1020" s="63"/>
      <c r="S1020" s="296"/>
      <c r="T1020" s="63"/>
      <c r="U1020" s="94"/>
      <c r="V1020" s="90"/>
      <c r="W1020" s="136"/>
      <c r="X1020" s="137"/>
      <c r="Y1020" s="2"/>
    </row>
    <row r="1021" spans="2:25">
      <c r="B1021" s="87">
        <f>B1020+1</f>
        <v>5</v>
      </c>
      <c r="C1021" s="282">
        <v>45913</v>
      </c>
      <c r="D1021" s="283" t="s">
        <v>2175</v>
      </c>
      <c r="E1021" s="283" t="s">
        <v>2163</v>
      </c>
      <c r="F1021" s="284">
        <v>2861</v>
      </c>
      <c r="G1021" s="284">
        <v>39.700000000000003</v>
      </c>
      <c r="H1021" s="284"/>
      <c r="I1021" s="285">
        <f>F1021-G1021-H1021</f>
        <v>2821.3</v>
      </c>
      <c r="J1021" s="286" t="s">
        <v>205</v>
      </c>
      <c r="K1021" s="286">
        <v>1</v>
      </c>
      <c r="L1021" s="286"/>
      <c r="M1021" s="286"/>
      <c r="N1021" s="286">
        <v>1</v>
      </c>
      <c r="O1021" s="286"/>
      <c r="P1021" s="286"/>
      <c r="Q1021" s="286"/>
      <c r="R1021" s="286"/>
      <c r="S1021" s="287"/>
      <c r="T1021" s="63"/>
      <c r="U1021" s="94"/>
      <c r="V1021" s="90"/>
      <c r="W1021" s="136"/>
      <c r="X1021" s="137"/>
      <c r="Y1021" s="2"/>
    </row>
    <row r="1022" spans="2:25">
      <c r="B1022" s="11"/>
      <c r="C1022" s="609"/>
      <c r="D1022" s="10"/>
      <c r="E1022" s="10"/>
      <c r="F1022" s="97">
        <f>SUM(F1017:F1021)</f>
        <v>7994</v>
      </c>
      <c r="G1022" s="97">
        <f>SUM(G1017:G1021)</f>
        <v>79.400000000000006</v>
      </c>
      <c r="H1022" s="97">
        <f>SUM(H1017:H1021)</f>
        <v>0</v>
      </c>
      <c r="I1022" s="98">
        <f>SUM(I1017:I1021)</f>
        <v>7914.6</v>
      </c>
      <c r="J1022" s="10"/>
      <c r="K1022" s="10"/>
      <c r="L1022" s="10"/>
      <c r="M1022" s="10"/>
      <c r="N1022" s="10"/>
      <c r="O1022" s="10"/>
      <c r="P1022" s="10"/>
      <c r="Q1022" s="10"/>
      <c r="R1022" s="10"/>
      <c r="S1022" s="10"/>
      <c r="T1022" s="63"/>
      <c r="U1022" s="94"/>
      <c r="V1022" s="90"/>
      <c r="W1022" s="91"/>
      <c r="X1022" s="92"/>
      <c r="Y1022" s="2"/>
    </row>
    <row r="1023" spans="2:25">
      <c r="B1023" s="26"/>
      <c r="C1023" s="612"/>
      <c r="D1023" s="141"/>
      <c r="E1023" s="141"/>
      <c r="F1023" s="141"/>
      <c r="G1023" s="141"/>
      <c r="H1023" s="141"/>
      <c r="I1023" s="141"/>
      <c r="J1023" s="141"/>
      <c r="K1023" s="142"/>
      <c r="L1023" s="142"/>
      <c r="M1023" s="142"/>
      <c r="N1023" s="142"/>
      <c r="O1023" s="142"/>
      <c r="P1023" s="142"/>
      <c r="Q1023" s="142"/>
      <c r="R1023" s="142"/>
      <c r="S1023" s="142"/>
      <c r="T1023" s="143">
        <f>SUM(T965:T1022)</f>
        <v>4</v>
      </c>
      <c r="U1023" s="141"/>
      <c r="V1023" s="144">
        <f>SUM(V965:V1022)</f>
        <v>30329.699999999997</v>
      </c>
      <c r="W1023" s="145">
        <f>SUM(W965:W1022)</f>
        <v>50</v>
      </c>
      <c r="X1023" s="146">
        <f>SUM(X965:X1022)</f>
        <v>5206.79</v>
      </c>
      <c r="Y1023" s="2"/>
    </row>
    <row r="1024" spans="2:25">
      <c r="B1024" s="10"/>
      <c r="C1024" s="36"/>
      <c r="D1024" s="10"/>
      <c r="E1024" s="10"/>
      <c r="F1024" s="10"/>
      <c r="G1024" s="10"/>
      <c r="H1024" s="10"/>
      <c r="I1024" s="10"/>
      <c r="J1024" s="10"/>
      <c r="K1024" s="147"/>
      <c r="L1024" s="147"/>
      <c r="M1024" s="147"/>
      <c r="N1024" s="147"/>
      <c r="O1024" s="147"/>
      <c r="P1024" s="147"/>
      <c r="Q1024" s="147"/>
      <c r="R1024" s="147"/>
      <c r="S1024" s="147"/>
      <c r="T1024" s="21"/>
      <c r="U1024" s="10"/>
      <c r="V1024" s="99"/>
      <c r="W1024" s="99"/>
      <c r="X1024" s="99"/>
      <c r="Y1024" s="2"/>
    </row>
    <row r="1026" spans="1:24">
      <c r="A1026" s="613"/>
      <c r="B1026" s="4" t="s">
        <v>1</v>
      </c>
      <c r="C1026" s="5"/>
      <c r="D1026" s="6"/>
      <c r="E1026" s="6"/>
      <c r="F1026" s="7" t="s">
        <v>2</v>
      </c>
      <c r="G1026" s="608">
        <v>45921</v>
      </c>
      <c r="H1026" s="7"/>
      <c r="I1026" s="6"/>
      <c r="J1026" s="6"/>
      <c r="K1026" s="6"/>
      <c r="L1026" s="6"/>
      <c r="M1026" s="6"/>
      <c r="N1026" s="6"/>
      <c r="O1026" s="6"/>
      <c r="P1026" s="6"/>
      <c r="Q1026" s="6"/>
      <c r="R1026" s="6"/>
      <c r="S1026" s="6"/>
      <c r="T1026" s="6"/>
      <c r="U1026" s="9"/>
      <c r="V1026" s="10"/>
      <c r="W1026" s="10"/>
      <c r="X1026" s="10"/>
    </row>
    <row r="1027" spans="1:24">
      <c r="A1027" s="614"/>
      <c r="B1027" s="11"/>
      <c r="C1027" s="10"/>
      <c r="D1027" s="10"/>
      <c r="E1027" s="10"/>
      <c r="F1027" s="10"/>
      <c r="G1027" s="7"/>
      <c r="H1027" s="12"/>
      <c r="I1027" s="10"/>
      <c r="J1027" s="10"/>
      <c r="K1027" s="13" t="s">
        <v>3</v>
      </c>
      <c r="L1027" s="14"/>
      <c r="M1027" s="15"/>
      <c r="N1027" s="13" t="s">
        <v>4</v>
      </c>
      <c r="O1027" s="14"/>
      <c r="P1027" s="15"/>
      <c r="Q1027" s="13" t="s">
        <v>5</v>
      </c>
      <c r="R1027" s="14"/>
      <c r="S1027" s="15"/>
      <c r="T1027" s="16"/>
      <c r="U1027" s="17"/>
      <c r="V1027" s="10"/>
      <c r="W1027" s="10"/>
      <c r="X1027" s="10"/>
    </row>
    <row r="1028" spans="1:24">
      <c r="A1028" s="614"/>
      <c r="B1028" s="18" t="s">
        <v>6</v>
      </c>
      <c r="C1028" s="19">
        <f>C1029+C1030</f>
        <v>28</v>
      </c>
      <c r="D1028" s="10"/>
      <c r="E1028" s="18" t="s">
        <v>7</v>
      </c>
      <c r="F1028" s="6"/>
      <c r="G1028" s="9"/>
      <c r="H1028" s="10"/>
      <c r="I1028" s="10"/>
      <c r="J1028" s="10"/>
      <c r="K1028" s="20" t="s">
        <v>8</v>
      </c>
      <c r="L1028" s="21" t="s">
        <v>9</v>
      </c>
      <c r="M1028" s="21" t="s">
        <v>10</v>
      </c>
      <c r="N1028" s="20" t="s">
        <v>11</v>
      </c>
      <c r="O1028" s="21" t="s">
        <v>12</v>
      </c>
      <c r="P1028" s="22" t="s">
        <v>13</v>
      </c>
      <c r="Q1028" s="21" t="s">
        <v>11</v>
      </c>
      <c r="R1028" s="21" t="s">
        <v>12</v>
      </c>
      <c r="S1028" s="22" t="s">
        <v>13</v>
      </c>
      <c r="T1028" s="23" t="s">
        <v>14</v>
      </c>
      <c r="U1028" s="17"/>
      <c r="V1028" s="10"/>
      <c r="W1028" s="10"/>
      <c r="X1028" s="10"/>
    </row>
    <row r="1029" spans="1:24">
      <c r="A1029" s="614"/>
      <c r="B1029" s="24" t="s">
        <v>15</v>
      </c>
      <c r="C1029" s="25">
        <f>P1036</f>
        <v>12</v>
      </c>
      <c r="D1029" s="10"/>
      <c r="E1029" s="26" t="s">
        <v>16</v>
      </c>
      <c r="F1029" s="27">
        <v>0.05</v>
      </c>
      <c r="G1029" s="28"/>
      <c r="H1029" s="10"/>
      <c r="I1029" s="10"/>
      <c r="J1029" s="18" t="s">
        <v>17</v>
      </c>
      <c r="K1029" s="29">
        <f>K1065</f>
        <v>11</v>
      </c>
      <c r="L1029" s="29">
        <f>L1065</f>
        <v>9</v>
      </c>
      <c r="M1029" s="29">
        <f>M1065</f>
        <v>10</v>
      </c>
      <c r="N1029" s="29">
        <f>N1065</f>
        <v>11</v>
      </c>
      <c r="O1029" s="29">
        <f>O1065</f>
        <v>11</v>
      </c>
      <c r="P1029" s="29">
        <f>P1065</f>
        <v>1</v>
      </c>
      <c r="Q1029" s="29">
        <f>Q1065</f>
        <v>10</v>
      </c>
      <c r="R1029" s="29">
        <f>R1065</f>
        <v>10</v>
      </c>
      <c r="S1029" s="29">
        <f>S1065</f>
        <v>7</v>
      </c>
      <c r="T1029" s="30">
        <f>T1111</f>
        <v>6</v>
      </c>
      <c r="U1029" s="17"/>
      <c r="V1029" s="10"/>
      <c r="W1029" s="10"/>
      <c r="X1029" s="10"/>
    </row>
    <row r="1030" spans="1:24">
      <c r="A1030" s="614"/>
      <c r="B1030" s="24" t="s">
        <v>18</v>
      </c>
      <c r="C1030" s="25">
        <f>P1037</f>
        <v>16</v>
      </c>
      <c r="D1030" s="10"/>
      <c r="E1030" s="10"/>
      <c r="F1030" s="10"/>
      <c r="G1030" s="31"/>
      <c r="H1030" s="10"/>
      <c r="I1030" s="10"/>
      <c r="J1030" s="32" t="s">
        <v>19</v>
      </c>
      <c r="K1030" s="33">
        <f>K1065/K1064</f>
        <v>1</v>
      </c>
      <c r="L1030" s="33">
        <f>L1065/L1064</f>
        <v>0.81818181818181823</v>
      </c>
      <c r="M1030" s="33">
        <f>M1065/M1064</f>
        <v>0.90909090909090906</v>
      </c>
      <c r="N1030" s="33">
        <f>N1065/N1064</f>
        <v>1</v>
      </c>
      <c r="O1030" s="33">
        <f>O1065/O1064</f>
        <v>1</v>
      </c>
      <c r="P1030" s="33">
        <f>P1065/P1064</f>
        <v>9.0909090909090912E-2</v>
      </c>
      <c r="Q1030" s="33">
        <f>Q1065/Q1064</f>
        <v>0.90909090909090906</v>
      </c>
      <c r="R1030" s="33">
        <f>R1065/R1064</f>
        <v>0.90909090909090906</v>
      </c>
      <c r="S1030" s="33">
        <f>S1065/S1064</f>
        <v>0.63636363636363635</v>
      </c>
      <c r="T1030" s="23"/>
      <c r="U1030" s="17" t="s">
        <v>20</v>
      </c>
      <c r="V1030" s="10"/>
      <c r="W1030" s="10"/>
      <c r="X1030" s="10"/>
    </row>
    <row r="1031" spans="1:24">
      <c r="A1031" s="614"/>
      <c r="B1031" s="24" t="s">
        <v>21</v>
      </c>
      <c r="C1031" s="34">
        <f>P1038</f>
        <v>0.42857142857142855</v>
      </c>
      <c r="D1031" s="10"/>
      <c r="E1031" s="10"/>
      <c r="F1031" s="10"/>
      <c r="G1031" s="10"/>
      <c r="H1031" s="10"/>
      <c r="I1031" s="10"/>
      <c r="J1031" s="10"/>
      <c r="K1031" s="10"/>
      <c r="L1031" s="10"/>
      <c r="M1031" s="10"/>
      <c r="N1031" s="10"/>
      <c r="O1031" s="10"/>
      <c r="P1031" s="10"/>
      <c r="Q1031" s="10"/>
      <c r="R1031" s="10"/>
      <c r="S1031" s="10"/>
      <c r="T1031" s="10"/>
      <c r="U1031" s="17"/>
      <c r="V1031" s="10"/>
      <c r="W1031" s="10"/>
      <c r="X1031" s="10"/>
    </row>
    <row r="1032" spans="1:24">
      <c r="A1032" s="614"/>
      <c r="B1032" s="24"/>
      <c r="C1032" s="25"/>
      <c r="D1032" s="10"/>
      <c r="E1032" s="10"/>
      <c r="F1032" s="18" t="s">
        <v>22</v>
      </c>
      <c r="G1032" s="19" t="s">
        <v>23</v>
      </c>
      <c r="H1032" s="35" t="s">
        <v>24</v>
      </c>
      <c r="I1032" s="10"/>
      <c r="J1032" s="10"/>
      <c r="K1032" s="36"/>
      <c r="L1032" s="36"/>
      <c r="M1032" s="36"/>
      <c r="N1032" s="36"/>
      <c r="O1032" s="36"/>
      <c r="P1032" s="36"/>
      <c r="Q1032" s="36"/>
      <c r="R1032" s="10"/>
      <c r="S1032" s="10"/>
      <c r="T1032" s="10"/>
      <c r="U1032" s="17"/>
      <c r="V1032" s="10"/>
      <c r="W1032" s="10"/>
      <c r="X1032" s="10"/>
    </row>
    <row r="1033" spans="1:24">
      <c r="A1033" s="614"/>
      <c r="B1033" s="32" t="s">
        <v>25</v>
      </c>
      <c r="C1033" s="37">
        <f>P1039</f>
        <v>2272.0541666666663</v>
      </c>
      <c r="D1033" s="10"/>
      <c r="E1033" s="18" t="s">
        <v>26</v>
      </c>
      <c r="F1033" s="38">
        <f>P1035</f>
        <v>27264.649999999998</v>
      </c>
      <c r="G1033" s="39">
        <f>I1064+I1074</f>
        <v>27264.65</v>
      </c>
      <c r="H1033" s="40"/>
      <c r="I1033" s="41"/>
      <c r="J1033" s="42"/>
      <c r="K1033" s="43" t="s">
        <v>27</v>
      </c>
      <c r="L1033" s="44"/>
      <c r="M1033" s="44"/>
      <c r="N1033" s="44"/>
      <c r="O1033" s="44"/>
      <c r="P1033" s="44"/>
      <c r="Q1033" s="45"/>
      <c r="R1033" s="46" t="s">
        <v>28</v>
      </c>
      <c r="S1033" s="47" t="s">
        <v>29</v>
      </c>
      <c r="T1033" s="10"/>
      <c r="U1033" s="17"/>
      <c r="V1033" s="10"/>
      <c r="W1033" s="10"/>
      <c r="X1033" s="10"/>
    </row>
    <row r="1034" spans="1:24">
      <c r="A1034" s="614"/>
      <c r="B1034" s="11"/>
      <c r="C1034" s="10"/>
      <c r="D1034" s="10"/>
      <c r="E1034" s="24" t="s">
        <v>30</v>
      </c>
      <c r="F1034" s="48">
        <f>F1029</f>
        <v>0.05</v>
      </c>
      <c r="G1034" s="17"/>
      <c r="H1034" s="40"/>
      <c r="I1034" s="41"/>
      <c r="J1034" s="42"/>
      <c r="K1034" s="20" t="s">
        <v>31</v>
      </c>
      <c r="L1034" s="21" t="s">
        <v>32</v>
      </c>
      <c r="M1034" s="21" t="s">
        <v>33</v>
      </c>
      <c r="N1034" s="21" t="s">
        <v>34</v>
      </c>
      <c r="O1034" s="21" t="s">
        <v>35</v>
      </c>
      <c r="P1034" s="21" t="s">
        <v>36</v>
      </c>
      <c r="Q1034" s="49" t="s">
        <v>37</v>
      </c>
      <c r="R1034" s="50" t="s">
        <v>38</v>
      </c>
      <c r="S1034" s="50" t="s">
        <v>38</v>
      </c>
      <c r="T1034" s="10"/>
      <c r="U1034" s="17"/>
      <c r="V1034" s="10"/>
      <c r="W1034" s="10"/>
      <c r="X1034" s="10"/>
    </row>
    <row r="1035" spans="1:24">
      <c r="A1035" s="614"/>
      <c r="B1035" s="11"/>
      <c r="C1035" s="10"/>
      <c r="D1035" s="10"/>
      <c r="E1035" s="51" t="s">
        <v>39</v>
      </c>
      <c r="F1035" s="52">
        <f>(F1033-I1053-I1073)*F1034</f>
        <v>583.16199999999992</v>
      </c>
      <c r="G1035" s="53" t="s">
        <v>40</v>
      </c>
      <c r="H1035" s="54">
        <f>F1035/1.12</f>
        <v>520.68035714285702</v>
      </c>
      <c r="I1035" s="55"/>
      <c r="J1035" s="42"/>
      <c r="K1035" s="56">
        <f>I1053+I1054+I1055</f>
        <v>2460.87</v>
      </c>
      <c r="L1035" s="57">
        <f>I1056+I1057</f>
        <v>2791.1</v>
      </c>
      <c r="M1035" s="57">
        <f>I1058+I1059</f>
        <v>3599.28</v>
      </c>
      <c r="N1035" s="57">
        <f>I1060</f>
        <v>821.3</v>
      </c>
      <c r="O1035" s="57">
        <f>I1061+I1062+I1063+I1073</f>
        <v>17592.099999999999</v>
      </c>
      <c r="P1035" s="57">
        <f>SUM(K1035:O1035)</f>
        <v>27264.649999999998</v>
      </c>
      <c r="Q1035" s="58">
        <v>0</v>
      </c>
      <c r="R1035" s="59">
        <f>+I1074</f>
        <v>14534.84</v>
      </c>
      <c r="S1035" s="59">
        <v>0</v>
      </c>
      <c r="T1035" s="10"/>
      <c r="U1035" s="17"/>
      <c r="V1035" s="10"/>
      <c r="W1035" s="10"/>
      <c r="X1035" s="10"/>
    </row>
    <row r="1036" spans="1:24">
      <c r="A1036" s="614"/>
      <c r="B1036" s="11"/>
      <c r="C1036" s="10"/>
      <c r="D1036" s="10"/>
      <c r="E1036" s="24" t="s">
        <v>41</v>
      </c>
      <c r="F1036" s="60">
        <f>Q1035</f>
        <v>0</v>
      </c>
      <c r="G1036" s="61" t="s">
        <v>40</v>
      </c>
      <c r="H1036" s="62"/>
      <c r="I1036" s="62"/>
      <c r="J1036" s="10" t="s">
        <v>42</v>
      </c>
      <c r="K1036" s="63">
        <v>3</v>
      </c>
      <c r="L1036" s="63">
        <v>2</v>
      </c>
      <c r="M1036" s="63">
        <v>2</v>
      </c>
      <c r="N1036" s="63">
        <v>1</v>
      </c>
      <c r="O1036" s="63">
        <v>4</v>
      </c>
      <c r="P1036" s="21">
        <f>SUM(K1036:O1036)</f>
        <v>12</v>
      </c>
      <c r="Q1036" s="64"/>
      <c r="R1036" s="63"/>
      <c r="S1036" s="10"/>
      <c r="T1036" s="10"/>
      <c r="U1036" s="17"/>
      <c r="V1036" s="10"/>
      <c r="W1036" s="10"/>
      <c r="X1036" s="10"/>
    </row>
    <row r="1037" spans="1:24">
      <c r="A1037" s="614"/>
      <c r="B1037" s="11"/>
      <c r="C1037" s="10"/>
      <c r="D1037" s="10"/>
      <c r="E1037" s="51" t="s">
        <v>43</v>
      </c>
      <c r="F1037" s="52">
        <f>F1036*0.25</f>
        <v>0</v>
      </c>
      <c r="G1037" s="53" t="s">
        <v>40</v>
      </c>
      <c r="H1037" s="54">
        <f>F1037/1.12</f>
        <v>0</v>
      </c>
      <c r="I1037" s="10"/>
      <c r="J1037" s="10" t="s">
        <v>44</v>
      </c>
      <c r="K1037" s="63">
        <v>4</v>
      </c>
      <c r="L1037" s="63">
        <v>5</v>
      </c>
      <c r="M1037" s="63">
        <v>3</v>
      </c>
      <c r="N1037" s="63">
        <v>3</v>
      </c>
      <c r="O1037" s="63">
        <v>1</v>
      </c>
      <c r="P1037" s="21">
        <f>SUM(K1037:O1037)</f>
        <v>16</v>
      </c>
      <c r="Q1037" s="64"/>
      <c r="R1037" s="63"/>
      <c r="S1037" s="10"/>
      <c r="T1037" s="10"/>
      <c r="U1037" s="17"/>
      <c r="V1037" s="10"/>
      <c r="W1037" s="10"/>
      <c r="X1037" s="10"/>
    </row>
    <row r="1038" spans="1:24">
      <c r="A1038" s="614"/>
      <c r="B1038" s="11"/>
      <c r="C1038" s="10"/>
      <c r="D1038" s="10"/>
      <c r="E1038" s="24" t="s">
        <v>45</v>
      </c>
      <c r="F1038" s="60">
        <f>I1070</f>
        <v>16867.419999999998</v>
      </c>
      <c r="G1038" s="61" t="s">
        <v>40</v>
      </c>
      <c r="H1038" s="62"/>
      <c r="I1038" s="10"/>
      <c r="J1038" s="10" t="s">
        <v>46</v>
      </c>
      <c r="K1038" s="31">
        <f>K1036/(K1036+K1037)</f>
        <v>0.42857142857142855</v>
      </c>
      <c r="L1038" s="31">
        <f>L1036/(L1036+L1037)</f>
        <v>0.2857142857142857</v>
      </c>
      <c r="M1038" s="31">
        <f>M1036/(M1036+M1037)</f>
        <v>0.4</v>
      </c>
      <c r="N1038" s="31">
        <f>N1036/(N1036+N1037)</f>
        <v>0.25</v>
      </c>
      <c r="O1038" s="31">
        <f>O1036/(O1036+O1037)</f>
        <v>0.8</v>
      </c>
      <c r="P1038" s="31">
        <f>P1036/(P1036+P1037)</f>
        <v>0.42857142857142855</v>
      </c>
      <c r="Q1038" s="31" t="e">
        <f>Q1036/(Q1036+Q1037)</f>
        <v>#DIV/0!</v>
      </c>
      <c r="R1038" s="63"/>
      <c r="S1038" s="10"/>
      <c r="T1038" s="10"/>
      <c r="U1038" s="17"/>
      <c r="V1038" s="10"/>
      <c r="W1038" s="10"/>
      <c r="X1038" s="10"/>
    </row>
    <row r="1039" spans="1:24">
      <c r="A1039" s="614"/>
      <c r="B1039" s="11"/>
      <c r="C1039" s="10"/>
      <c r="D1039" s="10"/>
      <c r="E1039" s="51" t="s">
        <v>47</v>
      </c>
      <c r="F1039" s="52">
        <f>(F1038+F1044)*0.05</f>
        <v>837.10099999999989</v>
      </c>
      <c r="G1039" s="65" t="s">
        <v>40</v>
      </c>
      <c r="H1039" s="54">
        <f>F1039/1.12</f>
        <v>747.41160714285695</v>
      </c>
      <c r="I1039" s="42"/>
      <c r="J1039" s="10" t="s">
        <v>48</v>
      </c>
      <c r="K1039" s="66">
        <f>K1035/K1036</f>
        <v>820.29</v>
      </c>
      <c r="L1039" s="66">
        <f>L1035/L1036</f>
        <v>1395.55</v>
      </c>
      <c r="M1039" s="66">
        <f>M1035/M1036</f>
        <v>1799.64</v>
      </c>
      <c r="N1039" s="66">
        <f>N1035/N1036</f>
        <v>821.3</v>
      </c>
      <c r="O1039" s="66">
        <f>O1035/O1036</f>
        <v>4398.0249999999996</v>
      </c>
      <c r="P1039" s="66">
        <f>P1035/P1036</f>
        <v>2272.0541666666663</v>
      </c>
      <c r="Q1039" s="66" t="e">
        <f>Q1035/Q1036</f>
        <v>#DIV/0!</v>
      </c>
      <c r="R1039" s="63"/>
      <c r="S1039" s="10"/>
      <c r="T1039" s="10"/>
      <c r="U1039" s="17"/>
      <c r="V1039" s="10"/>
      <c r="W1039" s="10"/>
      <c r="X1039" s="10"/>
    </row>
    <row r="1040" spans="1:24">
      <c r="A1040" s="614"/>
      <c r="B1040" s="11"/>
      <c r="C1040" s="10"/>
      <c r="D1040" s="10"/>
      <c r="E1040" s="67" t="s">
        <v>14</v>
      </c>
      <c r="F1040" s="68">
        <f>5*50</f>
        <v>250</v>
      </c>
      <c r="G1040" s="10"/>
      <c r="H1040" s="54">
        <f>F1040/1.12</f>
        <v>223.21428571428569</v>
      </c>
      <c r="I1040" s="10"/>
      <c r="J1040" s="10"/>
      <c r="K1040" s="10"/>
      <c r="L1040" s="10"/>
      <c r="M1040" s="10"/>
      <c r="N1040" s="10"/>
      <c r="O1040" s="10"/>
      <c r="P1040" s="10"/>
      <c r="Q1040" s="10"/>
      <c r="R1040" s="10"/>
      <c r="S1040" s="10"/>
      <c r="T1040" s="10"/>
      <c r="U1040" s="17"/>
      <c r="V1040" s="10"/>
      <c r="W1040" s="10"/>
      <c r="X1040" s="10"/>
    </row>
    <row r="1041" spans="1:24">
      <c r="A1041" s="614"/>
      <c r="B1041" s="11"/>
      <c r="C1041" s="10"/>
      <c r="D1041" s="10"/>
      <c r="E1041" s="67" t="s">
        <v>49</v>
      </c>
      <c r="F1041" s="69">
        <f>T1030</f>
        <v>0</v>
      </c>
      <c r="G1041" s="10"/>
      <c r="H1041" s="54"/>
      <c r="I1041" s="55"/>
      <c r="J1041" s="42"/>
      <c r="K1041" s="764" t="s">
        <v>50</v>
      </c>
      <c r="L1041" s="765"/>
      <c r="M1041" s="765"/>
      <c r="N1041" s="765"/>
      <c r="O1041" s="765"/>
      <c r="P1041" s="765"/>
      <c r="Q1041" s="766"/>
      <c r="R1041" s="70" t="s">
        <v>28</v>
      </c>
      <c r="S1041" s="71" t="s">
        <v>29</v>
      </c>
      <c r="T1041" s="10"/>
      <c r="U1041" s="17"/>
      <c r="V1041" s="10"/>
      <c r="W1041" s="10"/>
      <c r="X1041" s="10"/>
    </row>
    <row r="1042" spans="1:24">
      <c r="A1042" s="614"/>
      <c r="B1042" s="11"/>
      <c r="C1042" s="10"/>
      <c r="D1042" s="10"/>
      <c r="E1042" s="67" t="s">
        <v>2176</v>
      </c>
      <c r="F1042" s="68">
        <f>$F$849</f>
        <v>501.8144999999999</v>
      </c>
      <c r="G1042" s="123"/>
      <c r="H1042" s="54">
        <f>F1042/1.12</f>
        <v>448.04866071428557</v>
      </c>
      <c r="I1042" s="10"/>
      <c r="J1042" s="42"/>
      <c r="K1042" s="20" t="s">
        <v>31</v>
      </c>
      <c r="L1042" s="21" t="s">
        <v>32</v>
      </c>
      <c r="M1042" s="21" t="s">
        <v>33</v>
      </c>
      <c r="N1042" s="21" t="s">
        <v>34</v>
      </c>
      <c r="O1042" s="21" t="s">
        <v>35</v>
      </c>
      <c r="P1042" s="21" t="s">
        <v>36</v>
      </c>
      <c r="Q1042" s="49" t="s">
        <v>37</v>
      </c>
      <c r="R1042" s="50" t="s">
        <v>38</v>
      </c>
      <c r="S1042" s="50" t="s">
        <v>38</v>
      </c>
      <c r="T1042" s="10"/>
      <c r="U1042" s="17"/>
      <c r="V1042" s="10"/>
      <c r="W1042" s="10"/>
      <c r="X1042" s="10"/>
    </row>
    <row r="1043" spans="1:24">
      <c r="A1043" s="614"/>
      <c r="B1043" s="11"/>
      <c r="C1043" s="10"/>
      <c r="D1043" s="10"/>
      <c r="E1043" s="67" t="s">
        <v>2177</v>
      </c>
      <c r="F1043" s="68">
        <f>$F$947</f>
        <v>362.26950000000005</v>
      </c>
      <c r="G1043" s="123"/>
      <c r="H1043" s="54">
        <f>F1043/1.12</f>
        <v>323.45491071428575</v>
      </c>
      <c r="I1043" s="10"/>
      <c r="J1043" s="42"/>
      <c r="K1043" s="56">
        <f>F1053+F1054+F1055</f>
        <v>2749</v>
      </c>
      <c r="L1043" s="57">
        <f>F1056+F1057</f>
        <v>2870.5</v>
      </c>
      <c r="M1043" s="57">
        <f>F1058+F1059</f>
        <v>3747</v>
      </c>
      <c r="N1043" s="57">
        <f>F1060</f>
        <v>861</v>
      </c>
      <c r="O1043" s="57">
        <f>F1061+F1062+F1063+F1073</f>
        <v>20504</v>
      </c>
      <c r="P1043" s="57">
        <f>SUM(K1043:O1043)</f>
        <v>30731.5</v>
      </c>
      <c r="Q1043" s="58">
        <v>0</v>
      </c>
      <c r="R1043" s="59">
        <f>+F1074</f>
        <v>17023</v>
      </c>
      <c r="S1043" s="59">
        <v>0</v>
      </c>
      <c r="T1043" s="10"/>
      <c r="U1043" s="17"/>
      <c r="V1043" s="10"/>
      <c r="W1043" s="10"/>
      <c r="X1043" s="10"/>
    </row>
    <row r="1044" spans="1:24">
      <c r="A1044" s="614"/>
      <c r="B1044" s="11"/>
      <c r="C1044" s="10"/>
      <c r="D1044" s="10"/>
      <c r="E1044" s="74" t="s">
        <v>2178</v>
      </c>
      <c r="F1044" s="75">
        <v>-125.4</v>
      </c>
      <c r="G1044" s="10"/>
      <c r="H1044" s="10"/>
      <c r="I1044" s="10"/>
      <c r="J1044" s="10" t="s">
        <v>42</v>
      </c>
      <c r="K1044" s="63">
        <f>K1036</f>
        <v>3</v>
      </c>
      <c r="L1044" s="63">
        <f>L1036</f>
        <v>2</v>
      </c>
      <c r="M1044" s="63">
        <f>M1036</f>
        <v>2</v>
      </c>
      <c r="N1044" s="63">
        <f>N1036</f>
        <v>1</v>
      </c>
      <c r="O1044" s="63">
        <f>O1036</f>
        <v>4</v>
      </c>
      <c r="P1044" s="63">
        <f>P1036</f>
        <v>12</v>
      </c>
      <c r="Q1044" s="63">
        <f>Q1036</f>
        <v>0</v>
      </c>
      <c r="R1044" s="63"/>
      <c r="S1044" s="10"/>
      <c r="T1044" s="10"/>
      <c r="U1044" s="17"/>
      <c r="V1044" s="10"/>
      <c r="W1044" s="10"/>
      <c r="X1044" s="10"/>
    </row>
    <row r="1045" spans="1:24">
      <c r="A1045" s="614"/>
      <c r="B1045" s="11"/>
      <c r="C1045" s="10"/>
      <c r="D1045" s="10"/>
      <c r="E1045" s="12"/>
      <c r="F1045" s="76"/>
      <c r="G1045" s="10"/>
      <c r="H1045" s="10"/>
      <c r="I1045" s="10"/>
      <c r="J1045" s="10" t="s">
        <v>44</v>
      </c>
      <c r="K1045" s="63">
        <f>K1037</f>
        <v>4</v>
      </c>
      <c r="L1045" s="63">
        <f>L1037</f>
        <v>5</v>
      </c>
      <c r="M1045" s="63">
        <f>M1037</f>
        <v>3</v>
      </c>
      <c r="N1045" s="63">
        <f>N1037</f>
        <v>3</v>
      </c>
      <c r="O1045" s="63">
        <f>O1037</f>
        <v>1</v>
      </c>
      <c r="P1045" s="63">
        <f>P1037</f>
        <v>16</v>
      </c>
      <c r="Q1045" s="63">
        <f>Q1037</f>
        <v>0</v>
      </c>
      <c r="R1045" s="63"/>
      <c r="S1045" s="10"/>
      <c r="T1045" s="10"/>
      <c r="U1045" s="17"/>
      <c r="V1045" s="10"/>
      <c r="W1045" s="10"/>
      <c r="X1045" s="10"/>
    </row>
    <row r="1046" spans="1:24">
      <c r="A1046" s="614"/>
      <c r="B1046" s="11"/>
      <c r="C1046" s="10"/>
      <c r="D1046" s="10"/>
      <c r="E1046" s="12"/>
      <c r="F1046" s="76"/>
      <c r="G1046" s="10"/>
      <c r="H1046" s="10"/>
      <c r="I1046" s="10"/>
      <c r="J1046" s="10" t="s">
        <v>46</v>
      </c>
      <c r="K1046" s="31">
        <f>K1044/(K1044+K1045)</f>
        <v>0.42857142857142855</v>
      </c>
      <c r="L1046" s="31">
        <f>L1044/(L1044+L1045)</f>
        <v>0.2857142857142857</v>
      </c>
      <c r="M1046" s="31">
        <f>M1044/(M1044+M1045)</f>
        <v>0.4</v>
      </c>
      <c r="N1046" s="31">
        <f>N1044/(N1044+N1045)</f>
        <v>0.25</v>
      </c>
      <c r="O1046" s="31">
        <f>O1044/(O1044+O1045)</f>
        <v>0.8</v>
      </c>
      <c r="P1046" s="31">
        <f>P1044/(P1044+P1045)</f>
        <v>0.42857142857142855</v>
      </c>
      <c r="Q1046" s="31" t="e">
        <f>Q1044/(Q1044+Q1045)</f>
        <v>#DIV/0!</v>
      </c>
      <c r="R1046" s="63"/>
      <c r="S1046" s="10"/>
      <c r="T1046" s="10"/>
      <c r="U1046" s="17"/>
      <c r="V1046" s="10"/>
      <c r="W1046" s="10"/>
      <c r="X1046" s="10"/>
    </row>
    <row r="1047" spans="1:24">
      <c r="A1047" s="614"/>
      <c r="B1047" s="11"/>
      <c r="C1047" s="10"/>
      <c r="D1047" s="10"/>
      <c r="E1047" s="10"/>
      <c r="F1047" s="10"/>
      <c r="G1047" s="10"/>
      <c r="H1047" s="10"/>
      <c r="I1047" s="10"/>
      <c r="J1047" s="10" t="s">
        <v>48</v>
      </c>
      <c r="K1047" s="66">
        <f>K1043/K1044</f>
        <v>916.33333333333337</v>
      </c>
      <c r="L1047" s="66">
        <f>L1043/L1044</f>
        <v>1435.25</v>
      </c>
      <c r="M1047" s="66">
        <f>M1043/M1044</f>
        <v>1873.5</v>
      </c>
      <c r="N1047" s="66">
        <f>N1043/N1044</f>
        <v>861</v>
      </c>
      <c r="O1047" s="66">
        <f>O1043/O1044</f>
        <v>5126</v>
      </c>
      <c r="P1047" s="66">
        <f>P1043/P1044</f>
        <v>2560.9583333333335</v>
      </c>
      <c r="Q1047" s="66" t="e">
        <f>Q1043/Q1044</f>
        <v>#DIV/0!</v>
      </c>
      <c r="R1047" s="63"/>
      <c r="S1047" s="10"/>
      <c r="T1047" s="10"/>
      <c r="U1047" s="17"/>
      <c r="V1047" s="10"/>
      <c r="W1047" s="10"/>
      <c r="X1047" s="10"/>
    </row>
    <row r="1048" spans="1:24">
      <c r="A1048" s="614"/>
      <c r="B1048" s="11"/>
      <c r="C1048" s="10"/>
      <c r="D1048" s="10"/>
      <c r="E1048" s="10"/>
      <c r="F1048" s="10"/>
      <c r="G1048" s="10"/>
      <c r="H1048" s="10"/>
      <c r="I1048" s="10"/>
      <c r="J1048" s="10"/>
      <c r="K1048" s="10"/>
      <c r="L1048" s="10"/>
      <c r="M1048" s="10"/>
      <c r="N1048" s="10"/>
      <c r="O1048" s="10"/>
      <c r="P1048" s="10"/>
      <c r="Q1048" s="10"/>
      <c r="R1048" s="10"/>
      <c r="S1048" s="10"/>
      <c r="T1048" s="10"/>
      <c r="U1048" s="17"/>
      <c r="V1048" s="10"/>
      <c r="W1048" s="10"/>
      <c r="X1048" s="10"/>
    </row>
    <row r="1049" spans="1:24">
      <c r="A1049" s="614"/>
      <c r="B1049" s="11"/>
      <c r="C1049" s="10"/>
      <c r="D1049" s="10"/>
      <c r="E1049" s="10"/>
      <c r="F1049" s="10"/>
      <c r="G1049" s="10"/>
      <c r="H1049" s="10"/>
      <c r="I1049" s="10"/>
      <c r="J1049" s="10"/>
      <c r="K1049" s="10"/>
      <c r="L1049" s="10"/>
      <c r="M1049" s="10"/>
      <c r="N1049" s="10"/>
      <c r="O1049" s="10"/>
      <c r="P1049" s="10"/>
      <c r="Q1049" s="10"/>
      <c r="R1049" s="10"/>
      <c r="S1049" s="10"/>
      <c r="T1049" s="10"/>
      <c r="U1049" s="17"/>
      <c r="V1049" s="10"/>
      <c r="W1049" s="10"/>
      <c r="X1049" s="10"/>
    </row>
    <row r="1050" spans="1:24">
      <c r="A1050" s="614"/>
      <c r="B1050" s="18" t="s">
        <v>51</v>
      </c>
      <c r="C1050" s="14"/>
      <c r="D1050" s="14"/>
      <c r="E1050" s="14"/>
      <c r="F1050" s="13" t="s">
        <v>52</v>
      </c>
      <c r="G1050" s="14"/>
      <c r="H1050" s="14"/>
      <c r="I1050" s="14"/>
      <c r="J1050" s="14"/>
      <c r="K1050" s="13" t="s">
        <v>3</v>
      </c>
      <c r="L1050" s="14"/>
      <c r="M1050" s="14"/>
      <c r="N1050" s="13" t="s">
        <v>4</v>
      </c>
      <c r="O1050" s="14"/>
      <c r="P1050" s="14"/>
      <c r="Q1050" s="13" t="s">
        <v>5</v>
      </c>
      <c r="R1050" s="14"/>
      <c r="S1050" s="14"/>
      <c r="T1050" s="18"/>
      <c r="U1050" s="16" t="s">
        <v>53</v>
      </c>
      <c r="V1050" s="77"/>
      <c r="W1050" s="77"/>
      <c r="X1050" s="77"/>
    </row>
    <row r="1051" spans="1:24">
      <c r="A1051" s="614"/>
      <c r="B1051" s="24" t="s">
        <v>54</v>
      </c>
      <c r="C1051" s="21" t="s">
        <v>55</v>
      </c>
      <c r="D1051" s="21" t="s">
        <v>56</v>
      </c>
      <c r="E1051" s="21" t="s">
        <v>57</v>
      </c>
      <c r="F1051" s="20" t="s">
        <v>58</v>
      </c>
      <c r="G1051" s="21" t="s">
        <v>59</v>
      </c>
      <c r="H1051" s="21" t="s">
        <v>60</v>
      </c>
      <c r="I1051" s="21" t="s">
        <v>26</v>
      </c>
      <c r="J1051" s="22" t="s">
        <v>61</v>
      </c>
      <c r="K1051" s="21" t="s">
        <v>8</v>
      </c>
      <c r="L1051" s="21" t="s">
        <v>9</v>
      </c>
      <c r="M1051" s="21" t="s">
        <v>10</v>
      </c>
      <c r="N1051" s="20" t="s">
        <v>11</v>
      </c>
      <c r="O1051" s="21" t="s">
        <v>12</v>
      </c>
      <c r="P1051" s="22" t="s">
        <v>13</v>
      </c>
      <c r="Q1051" s="21" t="s">
        <v>11</v>
      </c>
      <c r="R1051" s="21" t="s">
        <v>12</v>
      </c>
      <c r="S1051" s="21" t="s">
        <v>13</v>
      </c>
      <c r="T1051" s="78" t="s">
        <v>14</v>
      </c>
      <c r="U1051" s="30"/>
      <c r="V1051" s="79" t="s">
        <v>62</v>
      </c>
      <c r="W1051" s="80" t="s">
        <v>63</v>
      </c>
      <c r="X1051" s="81" t="s">
        <v>64</v>
      </c>
    </row>
    <row r="1052" spans="1:24">
      <c r="A1052" s="614"/>
      <c r="B1052" s="4" t="s">
        <v>65</v>
      </c>
      <c r="C1052" s="6"/>
      <c r="D1052" s="6"/>
      <c r="E1052" s="6"/>
      <c r="F1052" s="6"/>
      <c r="G1052" s="6"/>
      <c r="H1052" s="6"/>
      <c r="I1052" s="82"/>
      <c r="J1052" s="6"/>
      <c r="K1052" s="6"/>
      <c r="L1052" s="6"/>
      <c r="M1052" s="6"/>
      <c r="N1052" s="6"/>
      <c r="O1052" s="6"/>
      <c r="P1052" s="6"/>
      <c r="Q1052" s="6"/>
      <c r="R1052" s="6"/>
      <c r="S1052" s="6"/>
      <c r="T1052" s="83"/>
      <c r="U1052" s="6"/>
      <c r="V1052" s="84"/>
      <c r="W1052" s="85"/>
      <c r="X1052" s="86"/>
    </row>
    <row r="1053" spans="1:24">
      <c r="A1053" s="614" t="s">
        <v>2179</v>
      </c>
      <c r="B1053" s="87">
        <v>1</v>
      </c>
      <c r="C1053" s="274">
        <v>45915</v>
      </c>
      <c r="D1053" s="327">
        <v>73283</v>
      </c>
      <c r="E1053" s="276" t="s">
        <v>225</v>
      </c>
      <c r="F1053" s="277">
        <v>1315</v>
      </c>
      <c r="G1053" s="277">
        <f>39.7+(8.73)+200</f>
        <v>248.43</v>
      </c>
      <c r="H1053" s="297"/>
      <c r="I1053" s="329">
        <f>F1053-G1053-H1053</f>
        <v>1066.57</v>
      </c>
      <c r="J1053" s="279" t="s">
        <v>156</v>
      </c>
      <c r="K1053" s="279">
        <v>1</v>
      </c>
      <c r="L1053" s="279">
        <v>1</v>
      </c>
      <c r="M1053" s="279">
        <v>1</v>
      </c>
      <c r="N1053" s="279">
        <v>1</v>
      </c>
      <c r="O1053" s="279">
        <v>1</v>
      </c>
      <c r="P1053" s="322">
        <v>0</v>
      </c>
      <c r="Q1053" s="279">
        <v>1</v>
      </c>
      <c r="R1053" s="279">
        <v>1</v>
      </c>
      <c r="S1053" s="280">
        <v>1</v>
      </c>
      <c r="T1053" s="21">
        <v>1</v>
      </c>
      <c r="U1053" s="10" t="s">
        <v>2180</v>
      </c>
      <c r="V1053" s="90">
        <f>144+1302.5</f>
        <v>1446.5</v>
      </c>
      <c r="W1053" s="91"/>
      <c r="X1053" s="92"/>
    </row>
    <row r="1054" spans="1:24">
      <c r="A1054" s="614"/>
      <c r="B1054" s="87">
        <f t="shared" ref="B1054:B1063" si="82">B1053+1</f>
        <v>2</v>
      </c>
      <c r="C1054" s="295">
        <v>45915</v>
      </c>
      <c r="D1054" s="323">
        <v>73302</v>
      </c>
      <c r="E1054" s="10" t="s">
        <v>979</v>
      </c>
      <c r="F1054" s="62">
        <v>481</v>
      </c>
      <c r="G1054" s="62"/>
      <c r="H1054" s="62"/>
      <c r="I1054" s="324">
        <f>F1054-G1054-H1054</f>
        <v>481</v>
      </c>
      <c r="J1054" s="63" t="s">
        <v>156</v>
      </c>
      <c r="K1054" s="63">
        <v>1</v>
      </c>
      <c r="L1054" s="63">
        <v>1</v>
      </c>
      <c r="M1054" s="63">
        <v>1</v>
      </c>
      <c r="N1054" s="63">
        <v>1</v>
      </c>
      <c r="O1054" s="63">
        <v>1</v>
      </c>
      <c r="P1054" s="325">
        <v>0</v>
      </c>
      <c r="Q1054" s="63">
        <v>1</v>
      </c>
      <c r="R1054" s="63">
        <v>1</v>
      </c>
      <c r="S1054" s="326">
        <v>0</v>
      </c>
      <c r="T1054" s="63"/>
      <c r="U1054" s="10"/>
      <c r="V1054" s="90">
        <f>52.9+476.2</f>
        <v>529.1</v>
      </c>
      <c r="W1054" s="91"/>
      <c r="X1054" s="92"/>
    </row>
    <row r="1055" spans="1:24">
      <c r="A1055" s="613"/>
      <c r="B1055" s="87">
        <f t="shared" si="82"/>
        <v>3</v>
      </c>
      <c r="C1055" s="295">
        <v>45915</v>
      </c>
      <c r="D1055" s="323">
        <v>73323</v>
      </c>
      <c r="E1055" s="10" t="s">
        <v>369</v>
      </c>
      <c r="F1055" s="62">
        <f>1323-185-185</f>
        <v>953</v>
      </c>
      <c r="G1055" s="62">
        <f>39.7</f>
        <v>39.700000000000003</v>
      </c>
      <c r="H1055" s="62"/>
      <c r="I1055" s="324">
        <f>F1055-G1055-H1055</f>
        <v>913.3</v>
      </c>
      <c r="J1055" s="63" t="s">
        <v>156</v>
      </c>
      <c r="K1055" s="63">
        <v>1</v>
      </c>
      <c r="L1055" s="63">
        <v>1</v>
      </c>
      <c r="M1055" s="63">
        <v>1</v>
      </c>
      <c r="N1055" s="63">
        <v>1</v>
      </c>
      <c r="O1055" s="63">
        <v>1</v>
      </c>
      <c r="P1055" s="325">
        <v>0</v>
      </c>
      <c r="Q1055" s="63">
        <v>1</v>
      </c>
      <c r="R1055" s="63">
        <v>1</v>
      </c>
      <c r="S1055" s="326">
        <v>0</v>
      </c>
      <c r="T1055" s="63"/>
      <c r="U1055" s="10"/>
      <c r="V1055" s="90">
        <f>203.5+100+948.3</f>
        <v>1251.8</v>
      </c>
      <c r="W1055" s="91"/>
      <c r="X1055" s="92"/>
    </row>
    <row r="1056" spans="1:24">
      <c r="A1056" s="613"/>
      <c r="B1056" s="87">
        <f>B1055+1</f>
        <v>4</v>
      </c>
      <c r="C1056" s="274">
        <v>45916</v>
      </c>
      <c r="D1056" s="327">
        <v>73341</v>
      </c>
      <c r="E1056" s="281" t="s">
        <v>168</v>
      </c>
      <c r="F1056" s="277">
        <f>2260-203.5</f>
        <v>2056.5</v>
      </c>
      <c r="G1056" s="277">
        <f>39.7</f>
        <v>39.700000000000003</v>
      </c>
      <c r="H1056" s="277"/>
      <c r="I1056" s="321">
        <f>F1056-G1056-H1056</f>
        <v>2016.8</v>
      </c>
      <c r="J1056" s="279" t="s">
        <v>228</v>
      </c>
      <c r="K1056" s="279">
        <v>1</v>
      </c>
      <c r="L1056" s="279">
        <v>1</v>
      </c>
      <c r="M1056" s="279">
        <v>1</v>
      </c>
      <c r="N1056" s="279">
        <v>1</v>
      </c>
      <c r="O1056" s="279">
        <v>1</v>
      </c>
      <c r="P1056" s="279">
        <v>1</v>
      </c>
      <c r="Q1056" s="279">
        <v>1</v>
      </c>
      <c r="R1056" s="279">
        <v>1</v>
      </c>
      <c r="S1056" s="328">
        <v>0</v>
      </c>
      <c r="T1056" s="21">
        <v>1</v>
      </c>
      <c r="U1056" s="10"/>
      <c r="V1056" s="90">
        <f>203.5+228+2055.6</f>
        <v>2487.1</v>
      </c>
      <c r="W1056" s="91"/>
      <c r="X1056" s="92"/>
    </row>
    <row r="1057" spans="1:25">
      <c r="A1057" s="614" t="s">
        <v>2181</v>
      </c>
      <c r="B1057" s="87">
        <f>B1056+1</f>
        <v>5</v>
      </c>
      <c r="C1057" s="282">
        <v>45916</v>
      </c>
      <c r="D1057" s="368">
        <v>73320</v>
      </c>
      <c r="E1057" s="441" t="s">
        <v>168</v>
      </c>
      <c r="F1057" s="284">
        <v>814</v>
      </c>
      <c r="G1057" s="284">
        <f>39.7</f>
        <v>39.700000000000003</v>
      </c>
      <c r="H1057" s="284"/>
      <c r="I1057" s="300">
        <f>F1057-G1057-H1057</f>
        <v>774.3</v>
      </c>
      <c r="J1057" s="286" t="s">
        <v>156</v>
      </c>
      <c r="K1057" s="286">
        <v>1</v>
      </c>
      <c r="L1057" s="286">
        <v>1</v>
      </c>
      <c r="M1057" s="286">
        <v>1</v>
      </c>
      <c r="N1057" s="286">
        <v>1</v>
      </c>
      <c r="O1057" s="286">
        <v>1</v>
      </c>
      <c r="P1057" s="332">
        <v>0</v>
      </c>
      <c r="Q1057" s="286">
        <v>1</v>
      </c>
      <c r="R1057" s="286">
        <v>1</v>
      </c>
      <c r="S1057" s="287">
        <v>1</v>
      </c>
      <c r="T1057" s="21">
        <v>1</v>
      </c>
      <c r="U1057" s="10" t="s">
        <v>2182</v>
      </c>
      <c r="V1057" s="90">
        <f>89.5+805.9</f>
        <v>895.4</v>
      </c>
      <c r="W1057" s="91"/>
      <c r="X1057" s="92"/>
    </row>
    <row r="1058" spans="1:25">
      <c r="A1058" s="614"/>
      <c r="B1058" s="87">
        <f t="shared" si="82"/>
        <v>6</v>
      </c>
      <c r="C1058" s="295">
        <v>45917</v>
      </c>
      <c r="D1058" s="323">
        <v>73331</v>
      </c>
      <c r="E1058" s="10" t="s">
        <v>1248</v>
      </c>
      <c r="F1058" s="62">
        <v>1461</v>
      </c>
      <c r="G1058" s="62">
        <f>39.7+(68.32)</f>
        <v>108.02</v>
      </c>
      <c r="H1058" s="62"/>
      <c r="I1058" s="324">
        <f>F1058-G1058-H1058</f>
        <v>1352.98</v>
      </c>
      <c r="J1058" s="63" t="s">
        <v>156</v>
      </c>
      <c r="K1058" s="63">
        <v>1</v>
      </c>
      <c r="L1058" s="325">
        <v>0</v>
      </c>
      <c r="M1058" s="63">
        <v>1</v>
      </c>
      <c r="N1058" s="63">
        <v>1</v>
      </c>
      <c r="O1058" s="63">
        <v>1</v>
      </c>
      <c r="P1058" s="325">
        <v>0</v>
      </c>
      <c r="Q1058" s="63">
        <v>1</v>
      </c>
      <c r="R1058" s="63">
        <v>1</v>
      </c>
      <c r="S1058" s="296">
        <v>1</v>
      </c>
      <c r="T1058" s="63"/>
      <c r="U1058" s="10"/>
      <c r="V1058" s="90">
        <f>160+1447.1</f>
        <v>1607.1</v>
      </c>
      <c r="W1058" s="91"/>
      <c r="X1058" s="92"/>
    </row>
    <row r="1059" spans="1:25">
      <c r="A1059" s="614"/>
      <c r="B1059" s="87">
        <f t="shared" si="82"/>
        <v>7</v>
      </c>
      <c r="C1059" s="295">
        <v>45917</v>
      </c>
      <c r="D1059" s="323">
        <v>73237</v>
      </c>
      <c r="E1059" s="10" t="s">
        <v>155</v>
      </c>
      <c r="F1059" s="62">
        <v>2286</v>
      </c>
      <c r="G1059" s="62">
        <f>39.7</f>
        <v>39.700000000000003</v>
      </c>
      <c r="H1059" s="88"/>
      <c r="I1059" s="324">
        <f>F1059-G1059-H1059</f>
        <v>2246.3000000000002</v>
      </c>
      <c r="J1059" s="63" t="s">
        <v>156</v>
      </c>
      <c r="K1059" s="63">
        <v>1</v>
      </c>
      <c r="L1059" s="63">
        <v>1</v>
      </c>
      <c r="M1059" s="63">
        <v>1</v>
      </c>
      <c r="N1059" s="63">
        <v>1</v>
      </c>
      <c r="O1059" s="63">
        <v>1</v>
      </c>
      <c r="P1059" s="325">
        <v>0</v>
      </c>
      <c r="Q1059" s="63">
        <v>1</v>
      </c>
      <c r="R1059" s="63">
        <v>1</v>
      </c>
      <c r="S1059" s="296">
        <v>1</v>
      </c>
      <c r="T1059" s="63"/>
      <c r="U1059" s="10" t="s">
        <v>2183</v>
      </c>
      <c r="V1059" s="90">
        <f>251+2263.6</f>
        <v>2514.6</v>
      </c>
      <c r="W1059" s="91"/>
      <c r="X1059" s="92"/>
    </row>
    <row r="1060" spans="1:25">
      <c r="A1060" s="614"/>
      <c r="B1060" s="87">
        <f t="shared" si="82"/>
        <v>8</v>
      </c>
      <c r="C1060" s="274">
        <v>45918</v>
      </c>
      <c r="D1060" s="327">
        <v>73433</v>
      </c>
      <c r="E1060" s="276" t="s">
        <v>999</v>
      </c>
      <c r="F1060" s="277">
        <v>861</v>
      </c>
      <c r="G1060" s="277">
        <f>39.7</f>
        <v>39.700000000000003</v>
      </c>
      <c r="H1060" s="297"/>
      <c r="I1060" s="321">
        <f>F1060-G1060-H1060</f>
        <v>821.3</v>
      </c>
      <c r="J1060" s="279" t="s">
        <v>156</v>
      </c>
      <c r="K1060" s="279">
        <v>1</v>
      </c>
      <c r="L1060" s="279">
        <v>1</v>
      </c>
      <c r="M1060" s="279">
        <v>1</v>
      </c>
      <c r="N1060" s="279">
        <v>1</v>
      </c>
      <c r="O1060" s="279">
        <v>1</v>
      </c>
      <c r="P1060" s="322">
        <v>0</v>
      </c>
      <c r="Q1060" s="279">
        <v>1</v>
      </c>
      <c r="R1060" s="279">
        <v>1</v>
      </c>
      <c r="S1060" s="280">
        <v>1</v>
      </c>
      <c r="T1060" s="63"/>
      <c r="U1060" s="10" t="s">
        <v>2184</v>
      </c>
      <c r="V1060" s="90">
        <f>94+853.1</f>
        <v>947.1</v>
      </c>
      <c r="W1060" s="91"/>
      <c r="X1060" s="92"/>
    </row>
    <row r="1061" spans="1:25">
      <c r="A1061" s="614"/>
      <c r="B1061" s="87">
        <f t="shared" si="82"/>
        <v>9</v>
      </c>
      <c r="C1061" s="274">
        <v>45919</v>
      </c>
      <c r="D1061" s="327">
        <v>73204</v>
      </c>
      <c r="E1061" s="276" t="s">
        <v>225</v>
      </c>
      <c r="F1061" s="277">
        <v>1138</v>
      </c>
      <c r="G1061" s="277">
        <f>39.7</f>
        <v>39.700000000000003</v>
      </c>
      <c r="H1061" s="297"/>
      <c r="I1061" s="321">
        <f>F1061-G1061-H1061</f>
        <v>1098.3</v>
      </c>
      <c r="J1061" s="279" t="s">
        <v>156</v>
      </c>
      <c r="K1061" s="279">
        <v>1</v>
      </c>
      <c r="L1061" s="279">
        <v>1</v>
      </c>
      <c r="M1061" s="279">
        <v>1</v>
      </c>
      <c r="N1061" s="279">
        <v>1</v>
      </c>
      <c r="O1061" s="279">
        <v>1</v>
      </c>
      <c r="P1061" s="322">
        <v>0</v>
      </c>
      <c r="Q1061" s="322">
        <v>0</v>
      </c>
      <c r="R1061" s="322">
        <v>0</v>
      </c>
      <c r="S1061" s="328">
        <v>0</v>
      </c>
      <c r="T1061" s="63"/>
      <c r="U1061" s="10"/>
      <c r="V1061" s="90">
        <f>125+1126.8</f>
        <v>1251.8</v>
      </c>
      <c r="W1061" s="91"/>
      <c r="X1061" s="92"/>
    </row>
    <row r="1062" spans="1:25">
      <c r="A1062" s="614"/>
      <c r="B1062" s="87">
        <f t="shared" si="82"/>
        <v>10</v>
      </c>
      <c r="C1062" s="295">
        <v>45919</v>
      </c>
      <c r="D1062" s="323">
        <v>73447</v>
      </c>
      <c r="E1062" s="10" t="s">
        <v>509</v>
      </c>
      <c r="F1062" s="62">
        <v>421</v>
      </c>
      <c r="G1062" s="62">
        <f>39.7+(32.95)</f>
        <v>72.650000000000006</v>
      </c>
      <c r="H1062" s="88"/>
      <c r="I1062" s="324">
        <f>F1062-G1062-H1062</f>
        <v>348.35</v>
      </c>
      <c r="J1062" s="63" t="s">
        <v>156</v>
      </c>
      <c r="K1062" s="63">
        <v>1</v>
      </c>
      <c r="L1062" s="325">
        <v>0</v>
      </c>
      <c r="M1062" s="63">
        <v>1</v>
      </c>
      <c r="N1062" s="63">
        <v>1</v>
      </c>
      <c r="O1062" s="63">
        <v>1</v>
      </c>
      <c r="P1062" s="325">
        <v>0</v>
      </c>
      <c r="Q1062" s="63">
        <v>1</v>
      </c>
      <c r="R1062" s="63">
        <v>1</v>
      </c>
      <c r="S1062" s="296">
        <v>1</v>
      </c>
      <c r="T1062" s="21">
        <v>1</v>
      </c>
      <c r="U1062" s="10"/>
      <c r="V1062" s="90">
        <f>185+1667.4</f>
        <v>1852.4</v>
      </c>
      <c r="W1062" s="91"/>
      <c r="X1062" s="92"/>
    </row>
    <row r="1063" spans="1:25">
      <c r="A1063" s="614" t="s">
        <v>2185</v>
      </c>
      <c r="B1063" s="87">
        <f t="shared" si="82"/>
        <v>11</v>
      </c>
      <c r="C1063" s="282">
        <v>45919</v>
      </c>
      <c r="D1063" s="330" t="s">
        <v>2186</v>
      </c>
      <c r="E1063" s="283" t="s">
        <v>158</v>
      </c>
      <c r="F1063" s="284">
        <v>1922</v>
      </c>
      <c r="G1063" s="284">
        <f>39.7+161.6+(110.09)</f>
        <v>311.39</v>
      </c>
      <c r="H1063" s="315"/>
      <c r="I1063" s="300">
        <f>F1063-G1063-H1063</f>
        <v>1610.6100000000001</v>
      </c>
      <c r="J1063" s="286" t="s">
        <v>156</v>
      </c>
      <c r="K1063" s="286">
        <v>1</v>
      </c>
      <c r="L1063" s="286">
        <v>1</v>
      </c>
      <c r="M1063" s="332">
        <v>0</v>
      </c>
      <c r="N1063" s="286">
        <v>1</v>
      </c>
      <c r="O1063" s="286">
        <v>1</v>
      </c>
      <c r="P1063" s="332">
        <v>0</v>
      </c>
      <c r="Q1063" s="286">
        <v>1</v>
      </c>
      <c r="R1063" s="286">
        <v>1</v>
      </c>
      <c r="S1063" s="287">
        <v>1</v>
      </c>
      <c r="T1063" s="21">
        <v>1</v>
      </c>
      <c r="U1063" s="10" t="s">
        <v>2187</v>
      </c>
      <c r="V1063" s="90">
        <f>211+1903.2</f>
        <v>2114.1999999999998</v>
      </c>
      <c r="W1063" s="91"/>
      <c r="X1063" s="92"/>
    </row>
    <row r="1064" spans="1:25">
      <c r="A1064" s="614"/>
      <c r="B1064" s="87"/>
      <c r="C1064" s="36"/>
      <c r="D1064" s="10"/>
      <c r="E1064" s="10"/>
      <c r="F1064" s="97">
        <f>SUM(F1053:F1063)</f>
        <v>13708.5</v>
      </c>
      <c r="G1064" s="97">
        <f>SUM(G1053:G1063)</f>
        <v>978.69</v>
      </c>
      <c r="H1064" s="97">
        <f>SUM(H1053:H1063)</f>
        <v>0</v>
      </c>
      <c r="I1064" s="98">
        <f>SUM(I1053:I1063)</f>
        <v>12729.81</v>
      </c>
      <c r="J1064" s="63"/>
      <c r="K1064" s="63">
        <f>COUNT(K1053:K1063)</f>
        <v>11</v>
      </c>
      <c r="L1064" s="63">
        <f>COUNT(L1053:L1063)</f>
        <v>11</v>
      </c>
      <c r="M1064" s="63">
        <f>COUNT(M1053:M1063)</f>
        <v>11</v>
      </c>
      <c r="N1064" s="63">
        <f>COUNT(N1053:N1063)</f>
        <v>11</v>
      </c>
      <c r="O1064" s="63">
        <f>COUNT(O1053:O1063)</f>
        <v>11</v>
      </c>
      <c r="P1064" s="63">
        <f>COUNT(P1053:P1063)</f>
        <v>11</v>
      </c>
      <c r="Q1064" s="63">
        <f>COUNT(Q1053:Q1063)</f>
        <v>11</v>
      </c>
      <c r="R1064" s="63">
        <f>COUNT(R1053:R1063)</f>
        <v>11</v>
      </c>
      <c r="S1064" s="63">
        <f>COUNT(S1053:S1063)</f>
        <v>11</v>
      </c>
      <c r="T1064" s="63"/>
      <c r="U1064" s="10"/>
      <c r="V1064" s="90"/>
      <c r="W1064" s="91"/>
      <c r="X1064" s="92"/>
    </row>
    <row r="1065" spans="1:25">
      <c r="A1065" s="614"/>
      <c r="B1065" s="87"/>
      <c r="C1065" s="36"/>
      <c r="D1065" s="10"/>
      <c r="E1065" s="10"/>
      <c r="F1065" s="88"/>
      <c r="G1065" s="88"/>
      <c r="H1065" s="88"/>
      <c r="I1065" s="99"/>
      <c r="J1065" s="63"/>
      <c r="K1065" s="21">
        <f>SUM(K1053:K1063)</f>
        <v>11</v>
      </c>
      <c r="L1065" s="21">
        <f>SUM(L1053:L1063)</f>
        <v>9</v>
      </c>
      <c r="M1065" s="21">
        <f>SUM(M1053:M1063)</f>
        <v>10</v>
      </c>
      <c r="N1065" s="21">
        <f>SUM(N1053:N1063)</f>
        <v>11</v>
      </c>
      <c r="O1065" s="21">
        <f>SUM(O1053:O1063)</f>
        <v>11</v>
      </c>
      <c r="P1065" s="21">
        <f>SUM(P1053:P1063)</f>
        <v>1</v>
      </c>
      <c r="Q1065" s="21">
        <f>SUM(Q1053:Q1063)</f>
        <v>10</v>
      </c>
      <c r="R1065" s="21">
        <f>SUM(R1053:R1063)</f>
        <v>10</v>
      </c>
      <c r="S1065" s="21">
        <f>SUM(S1053:S1063)</f>
        <v>7</v>
      </c>
      <c r="T1065" s="63"/>
      <c r="U1065" s="10"/>
      <c r="V1065" s="90"/>
      <c r="W1065" s="91"/>
      <c r="X1065" s="92"/>
    </row>
    <row r="1066" spans="1:25">
      <c r="A1066" s="614"/>
      <c r="B1066" s="11"/>
      <c r="C1066" s="36"/>
      <c r="D1066" s="10"/>
      <c r="E1066" s="10"/>
      <c r="F1066" s="88"/>
      <c r="G1066" s="88"/>
      <c r="H1066" s="88"/>
      <c r="I1066" s="99"/>
      <c r="J1066" s="63"/>
      <c r="K1066" s="21"/>
      <c r="L1066" s="21"/>
      <c r="M1066" s="21"/>
      <c r="N1066" s="21"/>
      <c r="O1066" s="21"/>
      <c r="P1066" s="21"/>
      <c r="Q1066" s="21"/>
      <c r="R1066" s="21"/>
      <c r="S1066" s="21"/>
      <c r="T1066" s="63"/>
      <c r="U1066" s="94"/>
      <c r="V1066" s="90"/>
      <c r="W1066" s="91"/>
      <c r="X1066" s="92"/>
    </row>
    <row r="1067" spans="1:25">
      <c r="A1067" s="614"/>
      <c r="B1067" s="100" t="s">
        <v>67</v>
      </c>
      <c r="C1067" s="10"/>
      <c r="D1067" s="10"/>
      <c r="E1067" s="10"/>
      <c r="F1067" s="88"/>
      <c r="G1067" s="62"/>
      <c r="H1067" s="88"/>
      <c r="I1067" s="99"/>
      <c r="J1067" s="63"/>
      <c r="K1067" s="2"/>
      <c r="L1067" s="2"/>
      <c r="M1067" s="2"/>
      <c r="N1067" s="2"/>
      <c r="O1067" s="2"/>
      <c r="P1067" s="2"/>
      <c r="Q1067" s="2"/>
      <c r="R1067" s="2"/>
      <c r="S1067" s="2"/>
      <c r="T1067" s="63"/>
      <c r="U1067" s="94"/>
      <c r="V1067" s="90"/>
      <c r="W1067" s="91"/>
      <c r="X1067" s="92"/>
    </row>
    <row r="1068" spans="1:25">
      <c r="A1068" s="261" t="s">
        <v>2167</v>
      </c>
      <c r="B1068" s="87">
        <v>1</v>
      </c>
      <c r="C1068" s="262">
        <v>45840</v>
      </c>
      <c r="D1068" s="357" t="s">
        <v>1896</v>
      </c>
      <c r="E1068" s="264" t="s">
        <v>354</v>
      </c>
      <c r="F1068" s="265">
        <v>1681</v>
      </c>
      <c r="G1068" s="265">
        <v>39.700000000000003</v>
      </c>
      <c r="H1068" s="265"/>
      <c r="I1068" s="266">
        <f>F1068-G1068-H1068</f>
        <v>1641.3</v>
      </c>
      <c r="J1068" s="267" t="s">
        <v>374</v>
      </c>
      <c r="K1068" s="267">
        <v>1</v>
      </c>
      <c r="L1068" s="267">
        <v>1</v>
      </c>
      <c r="M1068" s="267">
        <v>1</v>
      </c>
      <c r="N1068" s="267">
        <v>1</v>
      </c>
      <c r="O1068" s="267">
        <v>1</v>
      </c>
      <c r="P1068" s="314">
        <v>0</v>
      </c>
      <c r="Q1068" s="267">
        <v>1</v>
      </c>
      <c r="R1068" s="267">
        <v>1</v>
      </c>
      <c r="S1068" s="366">
        <v>0</v>
      </c>
      <c r="T1068" s="63"/>
      <c r="U1068" s="10" t="s">
        <v>1897</v>
      </c>
      <c r="V1068" s="90"/>
      <c r="W1068" s="91"/>
      <c r="X1068" s="92"/>
      <c r="Y1068" s="260"/>
    </row>
    <row r="1069" spans="1:25">
      <c r="A1069" s="494" t="s">
        <v>548</v>
      </c>
      <c r="B1069" s="87">
        <f>B1068+1</f>
        <v>2</v>
      </c>
      <c r="C1069" s="262">
        <v>45905</v>
      </c>
      <c r="D1069" s="357" t="s">
        <v>2133</v>
      </c>
      <c r="E1069" s="271" t="s">
        <v>2080</v>
      </c>
      <c r="F1069" s="265">
        <v>18214</v>
      </c>
      <c r="G1069" s="265">
        <f>39.7+1151.6+(31.37+44.21+173.68+47.32)+1500</f>
        <v>2987.88</v>
      </c>
      <c r="H1069" s="265"/>
      <c r="I1069" s="266">
        <f>F1069-G1069-H1069</f>
        <v>15226.119999999999</v>
      </c>
      <c r="J1069" s="267" t="s">
        <v>156</v>
      </c>
      <c r="K1069" s="267">
        <v>1</v>
      </c>
      <c r="L1069" s="267">
        <v>1</v>
      </c>
      <c r="M1069" s="267">
        <v>1</v>
      </c>
      <c r="N1069" s="267">
        <v>1</v>
      </c>
      <c r="O1069" s="267">
        <v>1</v>
      </c>
      <c r="P1069" s="314">
        <v>0</v>
      </c>
      <c r="Q1069" s="267">
        <v>1</v>
      </c>
      <c r="R1069" s="267">
        <v>1</v>
      </c>
      <c r="S1069" s="269">
        <v>1</v>
      </c>
      <c r="T1069" s="63"/>
      <c r="U1069" s="94" t="s">
        <v>2188</v>
      </c>
      <c r="V1069" s="90"/>
      <c r="W1069" s="136"/>
      <c r="X1069" s="137"/>
      <c r="Y1069" s="260"/>
    </row>
    <row r="1070" spans="1:25">
      <c r="A1070" s="614"/>
      <c r="B1070" s="11"/>
      <c r="C1070" s="10"/>
      <c r="D1070" s="10"/>
      <c r="E1070" s="10"/>
      <c r="F1070" s="97">
        <f>SUM(F1068:F1069)</f>
        <v>19895</v>
      </c>
      <c r="G1070" s="97">
        <f>SUM(G1068:G1069)</f>
        <v>3027.58</v>
      </c>
      <c r="H1070" s="97">
        <f>SUM(H1068:H1069)</f>
        <v>0</v>
      </c>
      <c r="I1070" s="97">
        <f>SUM(I1068:I1069)</f>
        <v>16867.419999999998</v>
      </c>
      <c r="J1070" s="63"/>
      <c r="K1070" s="21"/>
      <c r="L1070" s="21"/>
      <c r="M1070" s="21"/>
      <c r="N1070" s="21"/>
      <c r="O1070" s="21"/>
      <c r="P1070" s="21"/>
      <c r="Q1070" s="21"/>
      <c r="R1070" s="21"/>
      <c r="S1070" s="21"/>
      <c r="T1070" s="63"/>
      <c r="U1070" s="94"/>
      <c r="V1070" s="90"/>
      <c r="W1070" s="91"/>
      <c r="X1070" s="92"/>
    </row>
    <row r="1071" spans="1:25">
      <c r="A1071" s="614"/>
      <c r="B1071" s="11"/>
      <c r="C1071" s="36"/>
      <c r="D1071" s="10"/>
      <c r="E1071" s="10"/>
      <c r="F1071" s="88"/>
      <c r="G1071" s="88"/>
      <c r="H1071" s="88"/>
      <c r="I1071" s="99"/>
      <c r="J1071" s="63"/>
      <c r="K1071" s="21"/>
      <c r="L1071" s="21"/>
      <c r="M1071" s="21"/>
      <c r="N1071" s="21"/>
      <c r="O1071" s="21"/>
      <c r="P1071" s="21"/>
      <c r="Q1071" s="21"/>
      <c r="R1071" s="21"/>
      <c r="S1071" s="21"/>
      <c r="T1071" s="63"/>
      <c r="U1071" s="94"/>
      <c r="V1071" s="90"/>
      <c r="W1071" s="91"/>
      <c r="X1071" s="92"/>
    </row>
    <row r="1072" spans="1:25">
      <c r="A1072" s="615"/>
      <c r="B1072" s="121" t="s">
        <v>70</v>
      </c>
      <c r="C1072" s="36"/>
      <c r="D1072" s="123"/>
      <c r="E1072" s="128"/>
      <c r="F1072" s="124"/>
      <c r="G1072" s="124"/>
      <c r="H1072" s="124"/>
      <c r="I1072" s="126"/>
      <c r="J1072" s="127"/>
      <c r="K1072" s="64"/>
      <c r="L1072" s="64"/>
      <c r="M1072" s="64"/>
      <c r="N1072" s="64"/>
      <c r="O1072" s="64"/>
      <c r="P1072" s="64"/>
      <c r="Q1072" s="64"/>
      <c r="R1072" s="64"/>
      <c r="S1072" s="64"/>
      <c r="T1072" s="127"/>
      <c r="U1072" s="135"/>
      <c r="V1072" s="129"/>
      <c r="W1072" s="130"/>
      <c r="X1072" s="131"/>
    </row>
    <row r="1073" spans="1:25" s="342" customFormat="1">
      <c r="A1073" s="356">
        <v>0.05</v>
      </c>
      <c r="B1073" s="333">
        <v>1</v>
      </c>
      <c r="C1073" s="350">
        <v>45919</v>
      </c>
      <c r="D1073" s="263" t="s">
        <v>2189</v>
      </c>
      <c r="E1073" s="358" t="s">
        <v>225</v>
      </c>
      <c r="F1073" s="352">
        <v>17023</v>
      </c>
      <c r="G1073" s="352">
        <f>39.7+313.4+(3.75)+(398.58+159.54+65.3+7.89)+1500</f>
        <v>2488.16</v>
      </c>
      <c r="H1073" s="352"/>
      <c r="I1073" s="353">
        <f>F1073-G1073-H1073</f>
        <v>14534.84</v>
      </c>
      <c r="J1073" s="354" t="s">
        <v>156</v>
      </c>
      <c r="K1073" s="354">
        <v>1</v>
      </c>
      <c r="L1073" s="354"/>
      <c r="M1073" s="354">
        <v>1</v>
      </c>
      <c r="N1073" s="354">
        <v>1</v>
      </c>
      <c r="O1073" s="354">
        <v>1</v>
      </c>
      <c r="P1073" s="354">
        <v>0</v>
      </c>
      <c r="Q1073" s="354"/>
      <c r="R1073" s="354"/>
      <c r="S1073" s="355"/>
      <c r="T1073" s="127"/>
      <c r="U1073" s="135" t="s">
        <v>2190</v>
      </c>
      <c r="V1073" s="129">
        <f>1800+1500</f>
        <v>3300</v>
      </c>
      <c r="W1073" s="340"/>
      <c r="X1073" s="341"/>
    </row>
    <row r="1074" spans="1:25">
      <c r="A1074" s="615"/>
      <c r="B1074" s="132"/>
      <c r="C1074" s="36"/>
      <c r="D1074" s="123"/>
      <c r="E1074" s="123"/>
      <c r="F1074" s="134">
        <f>SUM(F1073:F1073)</f>
        <v>17023</v>
      </c>
      <c r="G1074" s="134">
        <f>SUM(G1073:G1073)</f>
        <v>2488.16</v>
      </c>
      <c r="H1074" s="134">
        <f>SUM(H1073:H1073)</f>
        <v>0</v>
      </c>
      <c r="I1074" s="134">
        <f>SUM(I1073:I1073)</f>
        <v>14534.84</v>
      </c>
      <c r="J1074" s="127"/>
      <c r="K1074" s="64"/>
      <c r="L1074" s="64"/>
      <c r="M1074" s="64"/>
      <c r="N1074" s="64"/>
      <c r="O1074" s="64"/>
      <c r="P1074" s="64"/>
      <c r="Q1074" s="64"/>
      <c r="R1074" s="64"/>
      <c r="S1074" s="64"/>
      <c r="T1074" s="127"/>
      <c r="U1074" s="135"/>
      <c r="V1074" s="129"/>
      <c r="W1074" s="130"/>
      <c r="X1074" s="131"/>
    </row>
    <row r="1075" spans="1:25">
      <c r="A1075" s="614"/>
      <c r="B1075" s="11"/>
      <c r="C1075" s="609"/>
      <c r="D1075" s="10"/>
      <c r="E1075" s="10"/>
      <c r="F1075" s="88"/>
      <c r="G1075" s="88"/>
      <c r="H1075" s="88"/>
      <c r="I1075" s="99"/>
      <c r="J1075" s="63"/>
      <c r="K1075" s="21"/>
      <c r="L1075" s="21"/>
      <c r="M1075" s="21"/>
      <c r="N1075" s="21"/>
      <c r="O1075" s="21"/>
      <c r="P1075" s="21"/>
      <c r="Q1075" s="21"/>
      <c r="R1075" s="21"/>
      <c r="S1075" s="21"/>
      <c r="T1075" s="63"/>
      <c r="U1075" s="94"/>
      <c r="V1075" s="90"/>
      <c r="W1075" s="91"/>
      <c r="X1075" s="92"/>
    </row>
    <row r="1076" spans="1:25" s="260" customFormat="1">
      <c r="A1076" s="181"/>
      <c r="B1076" s="100" t="s">
        <v>152</v>
      </c>
      <c r="C1076" s="36"/>
      <c r="D1076" s="10"/>
      <c r="E1076" s="10"/>
      <c r="F1076" s="88"/>
      <c r="G1076" s="62"/>
      <c r="H1076" s="88"/>
      <c r="I1076" s="99"/>
      <c r="J1076" s="63"/>
      <c r="K1076" s="181"/>
      <c r="L1076" s="181"/>
      <c r="M1076" s="181"/>
      <c r="N1076" s="181"/>
      <c r="O1076" s="181"/>
      <c r="P1076" s="181"/>
      <c r="Q1076" s="181"/>
      <c r="R1076" s="181"/>
      <c r="S1076" s="181"/>
      <c r="T1076" s="63"/>
      <c r="U1076" s="10"/>
      <c r="V1076" s="90"/>
      <c r="W1076" s="91"/>
      <c r="X1076" s="92"/>
    </row>
    <row r="1077" spans="1:25" s="260" customFormat="1">
      <c r="A1077" s="494">
        <v>0.05</v>
      </c>
      <c r="B1077" s="87">
        <v>1</v>
      </c>
      <c r="C1077" s="262">
        <v>45849</v>
      </c>
      <c r="D1077" s="263">
        <v>71382</v>
      </c>
      <c r="E1077" s="271" t="s">
        <v>999</v>
      </c>
      <c r="F1077" s="265">
        <v>1861</v>
      </c>
      <c r="G1077" s="265">
        <f>39.7+544.5</f>
        <v>584.20000000000005</v>
      </c>
      <c r="H1077" s="265"/>
      <c r="I1077" s="266">
        <f>F1077-G1077-H1077</f>
        <v>1276.8</v>
      </c>
      <c r="J1077" s="267" t="s">
        <v>374</v>
      </c>
      <c r="K1077" s="267">
        <v>1</v>
      </c>
      <c r="L1077" s="267"/>
      <c r="M1077" s="267">
        <v>1</v>
      </c>
      <c r="N1077" s="267">
        <v>1</v>
      </c>
      <c r="O1077" s="267">
        <v>1</v>
      </c>
      <c r="P1077" s="314">
        <v>0</v>
      </c>
      <c r="Q1077" s="314">
        <v>0</v>
      </c>
      <c r="R1077" s="314">
        <v>0</v>
      </c>
      <c r="S1077" s="366">
        <v>0</v>
      </c>
      <c r="T1077" s="63"/>
      <c r="U1077" s="94" t="s">
        <v>2072</v>
      </c>
      <c r="V1077" s="90"/>
      <c r="W1077" s="136"/>
      <c r="X1077" s="137"/>
    </row>
    <row r="1078" spans="1:25" s="260" customFormat="1">
      <c r="A1078" s="261">
        <v>0.05</v>
      </c>
      <c r="B1078" s="87">
        <f>B1077+1</f>
        <v>2</v>
      </c>
      <c r="C1078" s="282">
        <v>45861</v>
      </c>
      <c r="D1078" s="330" t="s">
        <v>1997</v>
      </c>
      <c r="E1078" s="283" t="s">
        <v>270</v>
      </c>
      <c r="F1078" s="423">
        <v>5133</v>
      </c>
      <c r="G1078" s="284">
        <f>39.7+(1071.49)+250</f>
        <v>1361.19</v>
      </c>
      <c r="H1078" s="284"/>
      <c r="I1078" s="300">
        <f>F1078-G1078-H1078</f>
        <v>3771.81</v>
      </c>
      <c r="J1078" s="286" t="s">
        <v>156</v>
      </c>
      <c r="K1078" s="286">
        <v>1</v>
      </c>
      <c r="L1078" s="286">
        <v>1</v>
      </c>
      <c r="M1078" s="286">
        <v>1</v>
      </c>
      <c r="N1078" s="286">
        <v>1</v>
      </c>
      <c r="O1078" s="286">
        <v>1</v>
      </c>
      <c r="P1078" s="332">
        <v>0</v>
      </c>
      <c r="Q1078" s="332">
        <v>0</v>
      </c>
      <c r="R1078" s="332">
        <v>0</v>
      </c>
      <c r="S1078" s="370">
        <v>0</v>
      </c>
      <c r="T1078" s="63"/>
      <c r="U1078" s="10" t="s">
        <v>1998</v>
      </c>
      <c r="V1078" s="90"/>
      <c r="W1078" s="91"/>
      <c r="X1078" s="92"/>
    </row>
    <row r="1079" spans="1:25" s="260" customFormat="1">
      <c r="A1079" s="494" t="s">
        <v>1183</v>
      </c>
      <c r="B1079" s="87">
        <f t="shared" ref="B1079:B1084" si="83">B1078+1</f>
        <v>3</v>
      </c>
      <c r="C1079" s="262">
        <v>45867</v>
      </c>
      <c r="D1079" s="357" t="s">
        <v>2029</v>
      </c>
      <c r="E1079" s="264" t="s">
        <v>158</v>
      </c>
      <c r="F1079" s="265">
        <v>4461</v>
      </c>
      <c r="G1079" s="265">
        <f>39.7+300</f>
        <v>339.7</v>
      </c>
      <c r="H1079" s="265"/>
      <c r="I1079" s="266">
        <f>F1079-G1079-H1079</f>
        <v>4121.3</v>
      </c>
      <c r="J1079" s="267"/>
      <c r="K1079" s="267">
        <v>1</v>
      </c>
      <c r="L1079" s="267">
        <v>1</v>
      </c>
      <c r="M1079" s="267"/>
      <c r="N1079" s="267">
        <v>1</v>
      </c>
      <c r="O1079" s="267">
        <v>1</v>
      </c>
      <c r="P1079" s="314">
        <v>0</v>
      </c>
      <c r="Q1079" s="314">
        <v>0</v>
      </c>
      <c r="R1079" s="314">
        <v>0</v>
      </c>
      <c r="S1079" s="366">
        <v>0</v>
      </c>
      <c r="T1079" s="63"/>
      <c r="U1079" s="10" t="s">
        <v>2030</v>
      </c>
      <c r="V1079" s="90"/>
      <c r="W1079" s="91"/>
      <c r="X1079" s="92"/>
    </row>
    <row r="1080" spans="1:25" s="342" customFormat="1">
      <c r="A1080" s="494">
        <v>0.05</v>
      </c>
      <c r="B1080" s="87">
        <f t="shared" si="83"/>
        <v>4</v>
      </c>
      <c r="C1080" s="262">
        <v>45876</v>
      </c>
      <c r="D1080" s="357">
        <v>72143</v>
      </c>
      <c r="E1080" s="264" t="s">
        <v>168</v>
      </c>
      <c r="F1080" s="265">
        <v>1461</v>
      </c>
      <c r="G1080" s="265">
        <v>39.700000000000003</v>
      </c>
      <c r="H1080" s="265"/>
      <c r="I1080" s="266">
        <f>F1080-G1080-H1080</f>
        <v>1421.3</v>
      </c>
      <c r="J1080" s="267" t="s">
        <v>228</v>
      </c>
      <c r="K1080" s="267">
        <v>1</v>
      </c>
      <c r="L1080" s="267">
        <v>1</v>
      </c>
      <c r="M1080" s="267">
        <v>1</v>
      </c>
      <c r="N1080" s="267">
        <v>1</v>
      </c>
      <c r="O1080" s="267">
        <v>1</v>
      </c>
      <c r="P1080" s="314">
        <v>0</v>
      </c>
      <c r="Q1080" s="267">
        <v>1</v>
      </c>
      <c r="R1080" s="267">
        <v>1</v>
      </c>
      <c r="S1080" s="366">
        <v>0</v>
      </c>
      <c r="T1080" s="63"/>
      <c r="U1080" s="10"/>
      <c r="V1080" s="90"/>
      <c r="W1080" s="91"/>
      <c r="X1080" s="92"/>
      <c r="Y1080" s="260"/>
    </row>
    <row r="1081" spans="1:25" s="260" customFormat="1">
      <c r="A1081" s="181" t="s">
        <v>1183</v>
      </c>
      <c r="B1081" s="87">
        <f t="shared" si="83"/>
        <v>5</v>
      </c>
      <c r="C1081" s="262">
        <v>45881</v>
      </c>
      <c r="D1081" s="357" t="s">
        <v>2070</v>
      </c>
      <c r="E1081" s="271" t="s">
        <v>572</v>
      </c>
      <c r="F1081" s="265">
        <f>8614-947.54</f>
        <v>7666.46</v>
      </c>
      <c r="G1081" s="265">
        <f>39.7+501.6+(1852.97+46.62)+250</f>
        <v>2690.89</v>
      </c>
      <c r="H1081" s="265"/>
      <c r="I1081" s="266">
        <f>F1081-G1081-H1081</f>
        <v>4975.57</v>
      </c>
      <c r="J1081" s="267" t="s">
        <v>156</v>
      </c>
      <c r="K1081" s="267">
        <v>1</v>
      </c>
      <c r="L1081" s="314">
        <v>0</v>
      </c>
      <c r="M1081" s="267">
        <v>1</v>
      </c>
      <c r="N1081" s="267">
        <v>1</v>
      </c>
      <c r="O1081" s="267">
        <v>1</v>
      </c>
      <c r="P1081" s="267">
        <v>1</v>
      </c>
      <c r="Q1081" s="267">
        <v>1</v>
      </c>
      <c r="R1081" s="267">
        <v>1</v>
      </c>
      <c r="S1081" s="269">
        <v>1</v>
      </c>
      <c r="T1081" s="63"/>
      <c r="U1081" s="94" t="s">
        <v>2191</v>
      </c>
      <c r="V1081" s="90"/>
      <c r="W1081" s="91"/>
      <c r="X1081" s="92"/>
    </row>
    <row r="1082" spans="1:25">
      <c r="A1082" s="260" t="s">
        <v>1183</v>
      </c>
      <c r="B1082" s="87">
        <f t="shared" si="83"/>
        <v>6</v>
      </c>
      <c r="C1082" s="262">
        <v>45902</v>
      </c>
      <c r="D1082" s="263">
        <v>72891</v>
      </c>
      <c r="E1082" s="271" t="s">
        <v>162</v>
      </c>
      <c r="F1082" s="265">
        <v>3433</v>
      </c>
      <c r="G1082" s="265">
        <v>39.700000000000003</v>
      </c>
      <c r="H1082" s="265"/>
      <c r="I1082" s="266">
        <f>F1082-G1082-H1082</f>
        <v>3393.3</v>
      </c>
      <c r="J1082" s="267" t="s">
        <v>156</v>
      </c>
      <c r="K1082" s="267">
        <v>1</v>
      </c>
      <c r="L1082" s="267">
        <v>1</v>
      </c>
      <c r="M1082" s="267">
        <v>1</v>
      </c>
      <c r="N1082" s="267">
        <v>1</v>
      </c>
      <c r="O1082" s="267">
        <v>1</v>
      </c>
      <c r="P1082" s="314">
        <v>0</v>
      </c>
      <c r="Q1082" s="267">
        <v>1</v>
      </c>
      <c r="R1082" s="267">
        <v>1</v>
      </c>
      <c r="S1082" s="269">
        <v>1</v>
      </c>
      <c r="T1082" s="21"/>
      <c r="U1082" s="94" t="s">
        <v>2192</v>
      </c>
      <c r="V1082" s="90"/>
      <c r="W1082" s="91"/>
      <c r="X1082" s="92"/>
      <c r="Y1082" s="260"/>
    </row>
    <row r="1083" spans="1:25" s="260" customFormat="1">
      <c r="A1083" s="260" t="s">
        <v>1183</v>
      </c>
      <c r="B1083" s="87">
        <f t="shared" si="83"/>
        <v>7</v>
      </c>
      <c r="C1083" s="262">
        <v>45903</v>
      </c>
      <c r="D1083" s="263" t="s">
        <v>2130</v>
      </c>
      <c r="E1083" s="271" t="s">
        <v>979</v>
      </c>
      <c r="F1083" s="265">
        <v>5533</v>
      </c>
      <c r="G1083" s="265">
        <f>39.7+(1471.41-16.4-3.76-8.58-2.51)</f>
        <v>1479.8600000000001</v>
      </c>
      <c r="H1083" s="265">
        <f>271.51</f>
        <v>271.51</v>
      </c>
      <c r="I1083" s="266">
        <f>F1083-G1083-H1083</f>
        <v>3781.63</v>
      </c>
      <c r="J1083" s="267" t="s">
        <v>313</v>
      </c>
      <c r="K1083" s="267">
        <v>1</v>
      </c>
      <c r="L1083" s="267">
        <v>1</v>
      </c>
      <c r="M1083" s="267">
        <v>1</v>
      </c>
      <c r="N1083" s="267">
        <v>1</v>
      </c>
      <c r="O1083" s="267">
        <v>1</v>
      </c>
      <c r="P1083" s="314">
        <v>0</v>
      </c>
      <c r="Q1083" s="267">
        <v>1</v>
      </c>
      <c r="R1083" s="267">
        <v>1</v>
      </c>
      <c r="S1083" s="269">
        <v>1</v>
      </c>
      <c r="T1083" s="21">
        <v>1</v>
      </c>
      <c r="U1083" s="94" t="s">
        <v>2169</v>
      </c>
      <c r="V1083" s="90"/>
      <c r="W1083" s="91"/>
      <c r="X1083" s="92"/>
    </row>
    <row r="1084" spans="1:25">
      <c r="A1084" s="494">
        <v>0.05</v>
      </c>
      <c r="B1084" s="87">
        <f t="shared" si="83"/>
        <v>8</v>
      </c>
      <c r="C1084" s="262">
        <v>45911</v>
      </c>
      <c r="D1084" s="263">
        <v>72853</v>
      </c>
      <c r="E1084" s="271" t="s">
        <v>786</v>
      </c>
      <c r="F1084" s="265">
        <v>523</v>
      </c>
      <c r="G1084" s="265"/>
      <c r="H1084" s="265"/>
      <c r="I1084" s="266">
        <f>F1084-G1084-H1084</f>
        <v>523</v>
      </c>
      <c r="J1084" s="267" t="s">
        <v>150</v>
      </c>
      <c r="K1084" s="267">
        <v>1</v>
      </c>
      <c r="L1084" s="267">
        <v>1</v>
      </c>
      <c r="M1084" s="267">
        <v>1</v>
      </c>
      <c r="N1084" s="267">
        <v>1</v>
      </c>
      <c r="O1084" s="267">
        <v>1</v>
      </c>
      <c r="P1084" s="314">
        <v>0</v>
      </c>
      <c r="Q1084" s="267">
        <v>1</v>
      </c>
      <c r="R1084" s="267">
        <v>1</v>
      </c>
      <c r="S1084" s="269">
        <v>1</v>
      </c>
      <c r="T1084" s="63"/>
      <c r="U1084" s="94" t="s">
        <v>2166</v>
      </c>
      <c r="V1084" s="90"/>
      <c r="W1084" s="456">
        <f>50</f>
        <v>50</v>
      </c>
      <c r="X1084" s="137"/>
      <c r="Y1084" s="181"/>
    </row>
    <row r="1085" spans="1:25" s="260" customFormat="1">
      <c r="A1085" s="181"/>
      <c r="B1085" s="11"/>
      <c r="C1085" s="36"/>
      <c r="D1085" s="10"/>
      <c r="E1085" s="10"/>
      <c r="F1085" s="98">
        <f>SUM(F1077:F1084)</f>
        <v>30071.46</v>
      </c>
      <c r="G1085" s="98">
        <f>SUM(G1077:G1084)</f>
        <v>6535.24</v>
      </c>
      <c r="H1085" s="98">
        <f>SUM(H1077:H1084)</f>
        <v>271.51</v>
      </c>
      <c r="I1085" s="98">
        <f>SUM(I1077:I1084)</f>
        <v>23264.71</v>
      </c>
      <c r="J1085" s="63"/>
      <c r="K1085" s="21"/>
      <c r="L1085" s="21"/>
      <c r="M1085" s="21"/>
      <c r="N1085" s="21"/>
      <c r="O1085" s="21"/>
      <c r="P1085" s="21"/>
      <c r="Q1085" s="21"/>
      <c r="R1085" s="21"/>
      <c r="S1085" s="21"/>
      <c r="T1085" s="63"/>
      <c r="U1085" s="10"/>
      <c r="V1085" s="90"/>
      <c r="W1085" s="91"/>
      <c r="X1085" s="92"/>
    </row>
    <row r="1086" spans="1:25" s="260" customFormat="1">
      <c r="A1086" s="181"/>
      <c r="B1086" s="11"/>
      <c r="C1086" s="36"/>
      <c r="D1086" s="10"/>
      <c r="E1086" s="10"/>
      <c r="F1086" s="88"/>
      <c r="G1086" s="88"/>
      <c r="H1086" s="88"/>
      <c r="I1086" s="99"/>
      <c r="J1086" s="63"/>
      <c r="K1086" s="21"/>
      <c r="L1086" s="21"/>
      <c r="M1086" s="21"/>
      <c r="N1086" s="21"/>
      <c r="O1086" s="21"/>
      <c r="P1086" s="21"/>
      <c r="Q1086" s="21"/>
      <c r="R1086" s="21"/>
      <c r="S1086" s="21"/>
      <c r="T1086" s="63"/>
      <c r="U1086" s="10"/>
      <c r="V1086" s="90"/>
      <c r="W1086" s="91"/>
      <c r="X1086" s="92"/>
    </row>
    <row r="1087" spans="1:25" s="260" customFormat="1">
      <c r="B1087" s="100" t="s">
        <v>202</v>
      </c>
      <c r="C1087" s="36"/>
      <c r="D1087" s="10"/>
      <c r="E1087" s="181"/>
      <c r="F1087" s="88"/>
      <c r="G1087" s="88"/>
      <c r="H1087" s="88"/>
      <c r="I1087" s="99"/>
      <c r="J1087" s="63"/>
      <c r="K1087" s="21"/>
      <c r="L1087" s="21"/>
      <c r="M1087" s="21"/>
      <c r="N1087" s="21"/>
      <c r="O1087" s="21"/>
      <c r="P1087" s="21"/>
      <c r="Q1087" s="21"/>
      <c r="R1087" s="21"/>
      <c r="S1087" s="21"/>
      <c r="T1087" s="63"/>
      <c r="U1087" s="10"/>
      <c r="V1087" s="90"/>
      <c r="W1087" s="91"/>
      <c r="X1087" s="92"/>
    </row>
    <row r="1088" spans="1:25" s="260" customFormat="1">
      <c r="A1088" s="494">
        <v>0.05</v>
      </c>
      <c r="B1088" s="87">
        <v>1</v>
      </c>
      <c r="C1088" s="262">
        <v>45848</v>
      </c>
      <c r="D1088" s="263">
        <v>71381</v>
      </c>
      <c r="E1088" s="271" t="s">
        <v>1530</v>
      </c>
      <c r="F1088" s="265">
        <f>1223-85</f>
        <v>1138</v>
      </c>
      <c r="G1088" s="265">
        <f>39.7</f>
        <v>39.700000000000003</v>
      </c>
      <c r="H1088" s="265"/>
      <c r="I1088" s="266">
        <f>F1088-G1088-H1088</f>
        <v>1098.3</v>
      </c>
      <c r="J1088" s="267" t="s">
        <v>156</v>
      </c>
      <c r="K1088" s="267">
        <v>1</v>
      </c>
      <c r="L1088" s="267"/>
      <c r="M1088" s="267">
        <v>1</v>
      </c>
      <c r="N1088" s="267">
        <v>1</v>
      </c>
      <c r="O1088" s="267">
        <v>1</v>
      </c>
      <c r="P1088" s="314">
        <v>0</v>
      </c>
      <c r="Q1088" s="267"/>
      <c r="R1088" s="267"/>
      <c r="S1088" s="269"/>
      <c r="T1088" s="63"/>
      <c r="U1088" s="94"/>
      <c r="V1088" s="90"/>
      <c r="W1088" s="136"/>
      <c r="X1088" s="137"/>
    </row>
    <row r="1089" spans="1:24" s="260" customFormat="1">
      <c r="A1089" s="494">
        <v>0.05</v>
      </c>
      <c r="B1089" s="87">
        <f>B1088+1</f>
        <v>2</v>
      </c>
      <c r="C1089" s="274">
        <v>45902</v>
      </c>
      <c r="D1089" s="327">
        <v>72830</v>
      </c>
      <c r="E1089" s="276" t="s">
        <v>196</v>
      </c>
      <c r="F1089" s="277">
        <f>3447-85</f>
        <v>3362</v>
      </c>
      <c r="G1089" s="277">
        <f>39.7+(20.1)</f>
        <v>59.800000000000004</v>
      </c>
      <c r="H1089" s="277"/>
      <c r="I1089" s="321">
        <f>F1089-G1089-H1089</f>
        <v>3302.2</v>
      </c>
      <c r="J1089" s="279" t="s">
        <v>374</v>
      </c>
      <c r="K1089" s="279">
        <v>1</v>
      </c>
      <c r="L1089" s="279"/>
      <c r="M1089" s="279">
        <v>1</v>
      </c>
      <c r="N1089" s="279">
        <v>1</v>
      </c>
      <c r="O1089" s="322">
        <v>0</v>
      </c>
      <c r="P1089" s="322">
        <v>0</v>
      </c>
      <c r="Q1089" s="279"/>
      <c r="R1089" s="279"/>
      <c r="S1089" s="280"/>
      <c r="T1089" s="63"/>
      <c r="U1089" s="94"/>
      <c r="V1089" s="90"/>
      <c r="W1089" s="136"/>
      <c r="X1089" s="137"/>
    </row>
    <row r="1090" spans="1:24" s="260" customFormat="1">
      <c r="A1090" s="494">
        <v>0.05</v>
      </c>
      <c r="B1090" s="87">
        <f t="shared" ref="B1090" si="84">B1089+1</f>
        <v>3</v>
      </c>
      <c r="C1090" s="262">
        <v>45904</v>
      </c>
      <c r="D1090" s="263">
        <v>72887</v>
      </c>
      <c r="E1090" s="271" t="s">
        <v>2132</v>
      </c>
      <c r="F1090" s="265">
        <v>12814</v>
      </c>
      <c r="G1090" s="265">
        <f>39.7+1000</f>
        <v>1039.7</v>
      </c>
      <c r="H1090" s="265"/>
      <c r="I1090" s="266">
        <f>F1090-G1090-H1090</f>
        <v>11774.3</v>
      </c>
      <c r="J1090" s="267"/>
      <c r="K1090" s="267">
        <v>1</v>
      </c>
      <c r="L1090" s="267"/>
      <c r="M1090" s="267"/>
      <c r="N1090" s="267">
        <v>1</v>
      </c>
      <c r="O1090" s="267">
        <v>1</v>
      </c>
      <c r="P1090" s="314">
        <v>0</v>
      </c>
      <c r="Q1090" s="267"/>
      <c r="R1090" s="267"/>
      <c r="S1090" s="269"/>
      <c r="T1090" s="21"/>
      <c r="U1090" s="94"/>
      <c r="V1090" s="90"/>
      <c r="W1090" s="136"/>
      <c r="X1090" s="137"/>
    </row>
    <row r="1091" spans="1:24" s="260" customFormat="1">
      <c r="B1091" s="11"/>
      <c r="C1091" s="36"/>
      <c r="D1091" s="10"/>
      <c r="E1091" s="10"/>
      <c r="F1091" s="97">
        <f>SUM(F1088:F1090)</f>
        <v>17314</v>
      </c>
      <c r="G1091" s="97">
        <f>SUM(G1088:G1090)</f>
        <v>1139.2</v>
      </c>
      <c r="H1091" s="97">
        <f>SUM(H1088:H1090)</f>
        <v>0</v>
      </c>
      <c r="I1091" s="97">
        <f>SUM(I1088:I1090)</f>
        <v>16174.8</v>
      </c>
      <c r="J1091" s="63"/>
      <c r="K1091" s="21"/>
      <c r="L1091" s="21"/>
      <c r="M1091" s="21"/>
      <c r="N1091" s="21"/>
      <c r="O1091" s="21"/>
      <c r="P1091" s="21"/>
      <c r="Q1091" s="21"/>
      <c r="R1091" s="21"/>
      <c r="S1091" s="21"/>
      <c r="T1091" s="63"/>
      <c r="U1091" s="10"/>
      <c r="V1091" s="90"/>
      <c r="W1091" s="91"/>
      <c r="X1091" s="92"/>
    </row>
    <row r="1092" spans="1:24" s="260" customFormat="1">
      <c r="B1092" s="11"/>
      <c r="C1092" s="36"/>
      <c r="D1092" s="10"/>
      <c r="E1092" s="10"/>
      <c r="F1092" s="88"/>
      <c r="G1092" s="88"/>
      <c r="H1092" s="88"/>
      <c r="I1092" s="99"/>
      <c r="J1092" s="10"/>
      <c r="K1092" s="63"/>
      <c r="L1092" s="63"/>
      <c r="M1092" s="63"/>
      <c r="N1092" s="63"/>
      <c r="O1092" s="63"/>
      <c r="P1092" s="63"/>
      <c r="Q1092" s="63"/>
      <c r="R1092" s="63"/>
      <c r="S1092" s="63"/>
      <c r="T1092" s="63"/>
      <c r="U1092" s="10"/>
      <c r="V1092" s="90"/>
      <c r="W1092" s="91"/>
      <c r="X1092" s="92"/>
    </row>
    <row r="1093" spans="1:24">
      <c r="A1093" s="614"/>
      <c r="B1093" s="100" t="s">
        <v>72</v>
      </c>
      <c r="C1093" s="609"/>
      <c r="D1093" s="10"/>
      <c r="E1093" s="10"/>
      <c r="F1093" s="88"/>
      <c r="G1093" s="88"/>
      <c r="H1093" s="88"/>
      <c r="I1093" s="99"/>
      <c r="J1093" s="63"/>
      <c r="K1093" s="63"/>
      <c r="L1093" s="63"/>
      <c r="M1093" s="63"/>
      <c r="N1093" s="63"/>
      <c r="O1093" s="63"/>
      <c r="P1093" s="63"/>
      <c r="Q1093" s="63"/>
      <c r="R1093" s="63"/>
      <c r="S1093" s="63"/>
      <c r="T1093" s="63"/>
      <c r="U1093" s="10"/>
      <c r="V1093" s="90"/>
      <c r="W1093" s="91"/>
      <c r="X1093" s="92"/>
    </row>
    <row r="1094" spans="1:24">
      <c r="A1094" s="614"/>
      <c r="B1094" s="87">
        <v>1</v>
      </c>
      <c r="C1094" s="274">
        <v>45915</v>
      </c>
      <c r="D1094" s="275" t="s">
        <v>2193</v>
      </c>
      <c r="E1094" s="276" t="s">
        <v>979</v>
      </c>
      <c r="F1094" s="277">
        <v>4819</v>
      </c>
      <c r="G1094" s="277">
        <v>39.700000000000003</v>
      </c>
      <c r="H1094" s="277"/>
      <c r="I1094" s="278">
        <f>F1094-G1094-H1094</f>
        <v>4779.3</v>
      </c>
      <c r="J1094" s="279" t="s">
        <v>205</v>
      </c>
      <c r="K1094" s="279">
        <v>1</v>
      </c>
      <c r="L1094" s="279"/>
      <c r="M1094" s="279"/>
      <c r="N1094" s="279">
        <v>1</v>
      </c>
      <c r="O1094" s="279"/>
      <c r="P1094" s="279"/>
      <c r="Q1094" s="279"/>
      <c r="R1094" s="279"/>
      <c r="S1094" s="280"/>
      <c r="T1094" s="63"/>
      <c r="U1094" s="3"/>
      <c r="V1094" s="90"/>
      <c r="W1094" s="91"/>
      <c r="X1094" s="92"/>
    </row>
    <row r="1095" spans="1:24">
      <c r="A1095" s="614"/>
      <c r="B1095" s="87">
        <f t="shared" ref="B1095:B1109" si="85">B1094+1</f>
        <v>2</v>
      </c>
      <c r="C1095" s="295">
        <v>45915</v>
      </c>
      <c r="D1095" s="539" t="s">
        <v>2194</v>
      </c>
      <c r="E1095" s="10" t="s">
        <v>369</v>
      </c>
      <c r="F1095" s="62">
        <v>16214</v>
      </c>
      <c r="G1095" s="62">
        <v>39.700000000000003</v>
      </c>
      <c r="H1095" s="62"/>
      <c r="I1095" s="89">
        <f>F1095-G1095-H1095</f>
        <v>16174.3</v>
      </c>
      <c r="J1095" s="63" t="s">
        <v>205</v>
      </c>
      <c r="K1095" s="63">
        <v>1</v>
      </c>
      <c r="L1095" s="63"/>
      <c r="M1095" s="63"/>
      <c r="N1095" s="63">
        <v>1</v>
      </c>
      <c r="O1095" s="63"/>
      <c r="P1095" s="63"/>
      <c r="Q1095" s="63"/>
      <c r="R1095" s="63"/>
      <c r="S1095" s="296"/>
      <c r="T1095" s="63"/>
      <c r="U1095" s="10"/>
      <c r="V1095" s="90"/>
      <c r="W1095" s="136"/>
      <c r="X1095" s="137"/>
    </row>
    <row r="1096" spans="1:24">
      <c r="A1096" s="614"/>
      <c r="B1096" s="87">
        <f t="shared" si="85"/>
        <v>3</v>
      </c>
      <c r="C1096" s="295">
        <v>45915</v>
      </c>
      <c r="D1096" s="77">
        <v>73310</v>
      </c>
      <c r="E1096" s="10" t="s">
        <v>334</v>
      </c>
      <c r="F1096" s="62">
        <v>1138</v>
      </c>
      <c r="G1096" s="62">
        <v>39.700000000000003</v>
      </c>
      <c r="H1096" s="62"/>
      <c r="I1096" s="89">
        <f>F1096-G1096-H1096</f>
        <v>1098.3</v>
      </c>
      <c r="J1096" s="63" t="s">
        <v>205</v>
      </c>
      <c r="K1096" s="63">
        <v>1</v>
      </c>
      <c r="L1096" s="63"/>
      <c r="M1096" s="63"/>
      <c r="N1096" s="63">
        <v>1</v>
      </c>
      <c r="O1096" s="63"/>
      <c r="P1096" s="63"/>
      <c r="Q1096" s="63">
        <v>1</v>
      </c>
      <c r="R1096" s="63">
        <v>1</v>
      </c>
      <c r="S1096" s="296"/>
      <c r="T1096" s="63"/>
      <c r="U1096" s="10"/>
      <c r="V1096" s="90"/>
      <c r="W1096" s="136"/>
      <c r="X1096" s="137"/>
    </row>
    <row r="1097" spans="1:24">
      <c r="A1097" s="614"/>
      <c r="B1097" s="87">
        <f t="shared" si="85"/>
        <v>4</v>
      </c>
      <c r="C1097" s="295">
        <v>45915</v>
      </c>
      <c r="D1097" s="77">
        <v>73280</v>
      </c>
      <c r="E1097" s="10" t="s">
        <v>471</v>
      </c>
      <c r="F1097" s="62">
        <v>2861</v>
      </c>
      <c r="G1097" s="62">
        <v>39.700000000000003</v>
      </c>
      <c r="H1097" s="62"/>
      <c r="I1097" s="89">
        <f>F1097-G1097-H1097</f>
        <v>2821.3</v>
      </c>
      <c r="J1097" s="63" t="s">
        <v>205</v>
      </c>
      <c r="K1097" s="63">
        <v>1</v>
      </c>
      <c r="L1097" s="63"/>
      <c r="M1097" s="63"/>
      <c r="N1097" s="63">
        <v>1</v>
      </c>
      <c r="O1097" s="63"/>
      <c r="P1097" s="63"/>
      <c r="Q1097" s="63">
        <v>1</v>
      </c>
      <c r="R1097" s="63">
        <v>1</v>
      </c>
      <c r="S1097" s="296"/>
      <c r="T1097" s="63"/>
      <c r="U1097" s="10"/>
      <c r="V1097" s="90"/>
      <c r="W1097" s="136"/>
      <c r="X1097" s="137"/>
    </row>
    <row r="1098" spans="1:24">
      <c r="A1098" s="614"/>
      <c r="B1098" s="87">
        <f t="shared" si="85"/>
        <v>5</v>
      </c>
      <c r="C1098" s="274">
        <v>45916</v>
      </c>
      <c r="D1098" s="275" t="s">
        <v>2195</v>
      </c>
      <c r="E1098" s="281" t="s">
        <v>168</v>
      </c>
      <c r="F1098" s="277">
        <v>12814</v>
      </c>
      <c r="G1098" s="277">
        <v>39.700000000000003</v>
      </c>
      <c r="H1098" s="277"/>
      <c r="I1098" s="278">
        <f>F1098-G1098-H1098</f>
        <v>12774.3</v>
      </c>
      <c r="J1098" s="279" t="s">
        <v>205</v>
      </c>
      <c r="K1098" s="279">
        <v>1</v>
      </c>
      <c r="L1098" s="279"/>
      <c r="M1098" s="279"/>
      <c r="N1098" s="279">
        <v>1</v>
      </c>
      <c r="O1098" s="279"/>
      <c r="P1098" s="279"/>
      <c r="Q1098" s="279"/>
      <c r="R1098" s="279"/>
      <c r="S1098" s="280"/>
      <c r="T1098" s="63"/>
      <c r="U1098" s="10"/>
      <c r="V1098" s="90"/>
      <c r="W1098" s="136"/>
      <c r="X1098" s="137"/>
    </row>
    <row r="1099" spans="1:24">
      <c r="A1099" s="614"/>
      <c r="B1099" s="87">
        <f t="shared" si="85"/>
        <v>6</v>
      </c>
      <c r="C1099" s="295">
        <v>45916</v>
      </c>
      <c r="D1099" s="77" t="s">
        <v>2196</v>
      </c>
      <c r="E1099" s="94" t="s">
        <v>168</v>
      </c>
      <c r="F1099" s="62">
        <v>1286</v>
      </c>
      <c r="G1099" s="62">
        <v>39.700000000000003</v>
      </c>
      <c r="H1099" s="62"/>
      <c r="I1099" s="89">
        <f>F1099-G1099-H1099</f>
        <v>1246.3</v>
      </c>
      <c r="J1099" s="63" t="s">
        <v>205</v>
      </c>
      <c r="K1099" s="63">
        <v>1</v>
      </c>
      <c r="L1099" s="63"/>
      <c r="M1099" s="63"/>
      <c r="N1099" s="63">
        <v>1</v>
      </c>
      <c r="O1099" s="63"/>
      <c r="P1099" s="63"/>
      <c r="Q1099" s="63"/>
      <c r="R1099" s="63"/>
      <c r="S1099" s="296"/>
      <c r="T1099" s="63"/>
      <c r="U1099" s="10"/>
      <c r="V1099" s="90"/>
      <c r="W1099" s="136"/>
      <c r="X1099" s="137"/>
    </row>
    <row r="1100" spans="1:24">
      <c r="A1100" s="614"/>
      <c r="B1100" s="87">
        <f t="shared" si="85"/>
        <v>7</v>
      </c>
      <c r="C1100" s="295">
        <v>45916</v>
      </c>
      <c r="D1100" s="77">
        <v>73356</v>
      </c>
      <c r="E1100" s="101" t="s">
        <v>273</v>
      </c>
      <c r="F1100" s="62">
        <v>1138</v>
      </c>
      <c r="G1100" s="62">
        <v>39.700000000000003</v>
      </c>
      <c r="H1100" s="62"/>
      <c r="I1100" s="89">
        <f>F1100-G1100-H1100</f>
        <v>1098.3</v>
      </c>
      <c r="J1100" s="63" t="s">
        <v>205</v>
      </c>
      <c r="K1100" s="63">
        <v>1</v>
      </c>
      <c r="L1100" s="63"/>
      <c r="M1100" s="63"/>
      <c r="N1100" s="63">
        <v>1</v>
      </c>
      <c r="O1100" s="63"/>
      <c r="P1100" s="63"/>
      <c r="Q1100" s="63">
        <v>1</v>
      </c>
      <c r="R1100" s="63">
        <v>1</v>
      </c>
      <c r="S1100" s="296"/>
      <c r="T1100" s="63"/>
      <c r="U1100" s="10"/>
      <c r="V1100" s="90"/>
      <c r="W1100" s="136"/>
      <c r="X1100" s="137"/>
    </row>
    <row r="1101" spans="1:24">
      <c r="A1101" s="614"/>
      <c r="B1101" s="87">
        <f t="shared" si="85"/>
        <v>8</v>
      </c>
      <c r="C1101" s="295">
        <v>45916</v>
      </c>
      <c r="D1101" s="77">
        <v>73342</v>
      </c>
      <c r="E1101" s="101" t="s">
        <v>155</v>
      </c>
      <c r="F1101" s="62">
        <v>616</v>
      </c>
      <c r="G1101" s="62"/>
      <c r="H1101" s="62"/>
      <c r="I1101" s="89">
        <f>F1101-G1101-H1101</f>
        <v>616</v>
      </c>
      <c r="J1101" s="63" t="s">
        <v>205</v>
      </c>
      <c r="K1101" s="63">
        <v>1</v>
      </c>
      <c r="L1101" s="63"/>
      <c r="M1101" s="63"/>
      <c r="N1101" s="63">
        <v>1</v>
      </c>
      <c r="O1101" s="63"/>
      <c r="P1101" s="63"/>
      <c r="Q1101" s="63">
        <v>1</v>
      </c>
      <c r="R1101" s="63">
        <v>1</v>
      </c>
      <c r="S1101" s="296"/>
      <c r="T1101" s="63"/>
      <c r="U1101" s="10"/>
      <c r="V1101" s="90"/>
      <c r="W1101" s="136"/>
      <c r="X1101" s="137"/>
    </row>
    <row r="1102" spans="1:24">
      <c r="A1102" s="614" t="s">
        <v>383</v>
      </c>
      <c r="B1102" s="87">
        <f>B1101+1</f>
        <v>9</v>
      </c>
      <c r="C1102" s="282">
        <v>45916</v>
      </c>
      <c r="D1102" s="302">
        <v>73360</v>
      </c>
      <c r="E1102" s="283" t="s">
        <v>512</v>
      </c>
      <c r="F1102" s="284">
        <v>18161</v>
      </c>
      <c r="G1102" s="284">
        <f>39.7+(45.83+123.37)+1500</f>
        <v>1708.9</v>
      </c>
      <c r="H1102" s="284"/>
      <c r="I1102" s="285">
        <f>F1102-G1102-H1102</f>
        <v>16452.099999999999</v>
      </c>
      <c r="J1102" s="286" t="s">
        <v>156</v>
      </c>
      <c r="K1102" s="286">
        <v>1</v>
      </c>
      <c r="L1102" s="286"/>
      <c r="M1102" s="286">
        <v>1</v>
      </c>
      <c r="N1102" s="286">
        <v>1</v>
      </c>
      <c r="O1102" s="286">
        <v>1</v>
      </c>
      <c r="P1102" s="286">
        <v>0</v>
      </c>
      <c r="Q1102" s="286"/>
      <c r="R1102" s="286"/>
      <c r="S1102" s="287"/>
      <c r="T1102" s="63"/>
      <c r="U1102" s="94" t="s">
        <v>2197</v>
      </c>
      <c r="V1102" s="90">
        <f>1900</f>
        <v>1900</v>
      </c>
      <c r="W1102" s="136"/>
      <c r="X1102" s="137"/>
    </row>
    <row r="1103" spans="1:24" s="260" customFormat="1">
      <c r="A1103" s="704"/>
      <c r="B1103" s="87">
        <f>B1102+1</f>
        <v>10</v>
      </c>
      <c r="C1103" s="274">
        <v>45917</v>
      </c>
      <c r="D1103" s="276" t="s">
        <v>2198</v>
      </c>
      <c r="E1103" s="276" t="s">
        <v>1248</v>
      </c>
      <c r="F1103" s="277">
        <v>6814</v>
      </c>
      <c r="G1103" s="277">
        <f>39.7</f>
        <v>39.700000000000003</v>
      </c>
      <c r="H1103" s="277"/>
      <c r="I1103" s="278">
        <f>F1103-G1103-H1103</f>
        <v>6774.3</v>
      </c>
      <c r="J1103" s="279" t="s">
        <v>156</v>
      </c>
      <c r="K1103" s="279">
        <v>1</v>
      </c>
      <c r="L1103" s="279"/>
      <c r="M1103" s="279">
        <v>1</v>
      </c>
      <c r="N1103" s="279">
        <v>1</v>
      </c>
      <c r="O1103" s="279">
        <v>1</v>
      </c>
      <c r="P1103" s="279">
        <v>0</v>
      </c>
      <c r="Q1103" s="279"/>
      <c r="R1103" s="279"/>
      <c r="S1103" s="280"/>
      <c r="T1103" s="63"/>
      <c r="U1103" s="94" t="s">
        <v>2199</v>
      </c>
      <c r="V1103" s="90">
        <f>749</f>
        <v>749</v>
      </c>
      <c r="W1103" s="136"/>
      <c r="X1103" s="137"/>
    </row>
    <row r="1104" spans="1:24">
      <c r="A1104" s="614"/>
      <c r="B1104" s="87">
        <f>B1103+1</f>
        <v>11</v>
      </c>
      <c r="C1104" s="295">
        <v>45917</v>
      </c>
      <c r="D1104" s="77">
        <v>73367</v>
      </c>
      <c r="E1104" s="101" t="s">
        <v>155</v>
      </c>
      <c r="F1104" s="62">
        <v>1138</v>
      </c>
      <c r="G1104" s="62">
        <f>39.7</f>
        <v>39.700000000000003</v>
      </c>
      <c r="H1104" s="62"/>
      <c r="I1104" s="89">
        <f>F1104-G1104-H1104</f>
        <v>1098.3</v>
      </c>
      <c r="J1104" s="63" t="s">
        <v>205</v>
      </c>
      <c r="K1104" s="63">
        <v>1</v>
      </c>
      <c r="L1104" s="63"/>
      <c r="M1104" s="63"/>
      <c r="N1104" s="63">
        <v>1</v>
      </c>
      <c r="O1104" s="63"/>
      <c r="P1104" s="63"/>
      <c r="Q1104" s="63">
        <v>1</v>
      </c>
      <c r="R1104" s="63">
        <v>1</v>
      </c>
      <c r="S1104" s="296"/>
      <c r="T1104" s="63"/>
      <c r="U1104" s="10"/>
      <c r="V1104" s="90"/>
      <c r="W1104" s="136"/>
      <c r="X1104" s="137"/>
    </row>
    <row r="1105" spans="1:24">
      <c r="A1105" s="614"/>
      <c r="B1105" s="87">
        <f t="shared" si="85"/>
        <v>12</v>
      </c>
      <c r="C1105" s="295">
        <v>45917</v>
      </c>
      <c r="D1105" s="77" t="s">
        <v>2200</v>
      </c>
      <c r="E1105" s="10" t="s">
        <v>155</v>
      </c>
      <c r="F1105" s="62">
        <v>12814</v>
      </c>
      <c r="G1105" s="62"/>
      <c r="H1105" s="62"/>
      <c r="I1105" s="89">
        <f>F1105-G1105-H1105</f>
        <v>12814</v>
      </c>
      <c r="J1105" s="63" t="s">
        <v>205</v>
      </c>
      <c r="K1105" s="63">
        <v>1</v>
      </c>
      <c r="L1105" s="63"/>
      <c r="M1105" s="63"/>
      <c r="N1105" s="63">
        <v>1</v>
      </c>
      <c r="O1105" s="63"/>
      <c r="P1105" s="63"/>
      <c r="Q1105" s="63"/>
      <c r="R1105" s="63"/>
      <c r="S1105" s="296"/>
      <c r="T1105" s="63"/>
      <c r="U1105" s="10"/>
      <c r="V1105" s="90"/>
      <c r="W1105" s="136"/>
      <c r="X1105" s="137"/>
    </row>
    <row r="1106" spans="1:24">
      <c r="A1106" s="614"/>
      <c r="B1106" s="87">
        <f t="shared" si="85"/>
        <v>13</v>
      </c>
      <c r="C1106" s="274">
        <v>45918</v>
      </c>
      <c r="D1106" s="275">
        <v>73416</v>
      </c>
      <c r="E1106" s="281" t="s">
        <v>659</v>
      </c>
      <c r="F1106" s="277">
        <v>1138</v>
      </c>
      <c r="G1106" s="277">
        <v>39.700000000000003</v>
      </c>
      <c r="H1106" s="277"/>
      <c r="I1106" s="278">
        <f>F1106-G1106-H1106</f>
        <v>1098.3</v>
      </c>
      <c r="J1106" s="279" t="s">
        <v>205</v>
      </c>
      <c r="K1106" s="279">
        <v>1</v>
      </c>
      <c r="L1106" s="279"/>
      <c r="M1106" s="279"/>
      <c r="N1106" s="279">
        <v>1</v>
      </c>
      <c r="O1106" s="279"/>
      <c r="P1106" s="279"/>
      <c r="Q1106" s="279">
        <v>1</v>
      </c>
      <c r="R1106" s="279">
        <v>1</v>
      </c>
      <c r="S1106" s="280"/>
      <c r="T1106" s="63"/>
      <c r="U1106" s="10"/>
      <c r="V1106" s="90"/>
      <c r="W1106" s="136"/>
      <c r="X1106" s="137"/>
    </row>
    <row r="1107" spans="1:24">
      <c r="A1107" s="614"/>
      <c r="B1107" s="87">
        <f t="shared" si="85"/>
        <v>14</v>
      </c>
      <c r="C1107" s="295">
        <v>45918</v>
      </c>
      <c r="D1107" s="77">
        <v>73427</v>
      </c>
      <c r="E1107" s="101" t="s">
        <v>354</v>
      </c>
      <c r="F1107" s="62">
        <v>2261</v>
      </c>
      <c r="G1107" s="62">
        <v>39.700000000000003</v>
      </c>
      <c r="H1107" s="62"/>
      <c r="I1107" s="89">
        <f>F1107-G1107-H1107</f>
        <v>2221.3000000000002</v>
      </c>
      <c r="J1107" s="63" t="s">
        <v>205</v>
      </c>
      <c r="K1107" s="63">
        <v>1</v>
      </c>
      <c r="L1107" s="63"/>
      <c r="M1107" s="63"/>
      <c r="N1107" s="63">
        <v>1</v>
      </c>
      <c r="O1107" s="63"/>
      <c r="P1107" s="63"/>
      <c r="Q1107" s="63">
        <v>1</v>
      </c>
      <c r="R1107" s="63">
        <v>1</v>
      </c>
      <c r="S1107" s="296"/>
      <c r="T1107" s="63"/>
      <c r="U1107" s="10"/>
      <c r="V1107" s="90"/>
      <c r="W1107" s="136"/>
      <c r="X1107" s="137"/>
    </row>
    <row r="1108" spans="1:24">
      <c r="A1108" s="614"/>
      <c r="B1108" s="87">
        <f t="shared" si="85"/>
        <v>15</v>
      </c>
      <c r="C1108" s="295">
        <v>45918</v>
      </c>
      <c r="D1108" s="77">
        <v>73431</v>
      </c>
      <c r="E1108" s="101" t="s">
        <v>270</v>
      </c>
      <c r="F1108" s="62">
        <v>1461</v>
      </c>
      <c r="G1108" s="62">
        <v>39.700000000000003</v>
      </c>
      <c r="H1108" s="62"/>
      <c r="I1108" s="89">
        <f>F1108-G1108-H1108</f>
        <v>1421.3</v>
      </c>
      <c r="J1108" s="63" t="s">
        <v>205</v>
      </c>
      <c r="K1108" s="63"/>
      <c r="L1108" s="63"/>
      <c r="M1108" s="63"/>
      <c r="N1108" s="63">
        <v>1</v>
      </c>
      <c r="O1108" s="63"/>
      <c r="P1108" s="63"/>
      <c r="Q1108" s="63">
        <v>1</v>
      </c>
      <c r="R1108" s="63">
        <v>1</v>
      </c>
      <c r="S1108" s="296"/>
      <c r="T1108" s="63"/>
      <c r="U1108" s="10"/>
      <c r="V1108" s="90"/>
      <c r="W1108" s="136"/>
      <c r="X1108" s="137"/>
    </row>
    <row r="1109" spans="1:24">
      <c r="A1109" s="614"/>
      <c r="B1109" s="87">
        <f t="shared" si="85"/>
        <v>16</v>
      </c>
      <c r="C1109" s="262">
        <v>45919</v>
      </c>
      <c r="D1109" s="273">
        <v>73448</v>
      </c>
      <c r="E1109" s="271" t="s">
        <v>407</v>
      </c>
      <c r="F1109" s="265">
        <v>1094</v>
      </c>
      <c r="G1109" s="265">
        <v>39.700000000000003</v>
      </c>
      <c r="H1109" s="265"/>
      <c r="I1109" s="272">
        <f>F1109-G1109-H1109</f>
        <v>1054.3</v>
      </c>
      <c r="J1109" s="267" t="s">
        <v>205</v>
      </c>
      <c r="K1109" s="267">
        <v>1</v>
      </c>
      <c r="L1109" s="267"/>
      <c r="M1109" s="267"/>
      <c r="N1109" s="267">
        <v>1</v>
      </c>
      <c r="O1109" s="267"/>
      <c r="P1109" s="267"/>
      <c r="Q1109" s="267">
        <v>1</v>
      </c>
      <c r="R1109" s="267">
        <v>1</v>
      </c>
      <c r="S1109" s="269"/>
      <c r="T1109" s="63"/>
      <c r="U1109" s="10"/>
      <c r="V1109" s="90"/>
      <c r="W1109" s="136"/>
      <c r="X1109" s="137"/>
    </row>
    <row r="1110" spans="1:24">
      <c r="A1110" s="614"/>
      <c r="B1110" s="11"/>
      <c r="C1110" s="609"/>
      <c r="D1110" s="10"/>
      <c r="E1110" s="10"/>
      <c r="F1110" s="97">
        <f>SUM(F1094:F1109)</f>
        <v>85767</v>
      </c>
      <c r="G1110" s="97">
        <f>SUM(G1094:G1109)</f>
        <v>2224.9999999999995</v>
      </c>
      <c r="H1110" s="97">
        <f>SUM(H1094:H1109)</f>
        <v>0</v>
      </c>
      <c r="I1110" s="98">
        <f>SUM(I1094:I1109)</f>
        <v>83542.000000000029</v>
      </c>
      <c r="J1110" s="10"/>
      <c r="K1110" s="10"/>
      <c r="L1110" s="10"/>
      <c r="M1110" s="10"/>
      <c r="N1110" s="10"/>
      <c r="O1110" s="10"/>
      <c r="P1110" s="10"/>
      <c r="Q1110" s="10"/>
      <c r="R1110" s="10"/>
      <c r="S1110" s="10"/>
      <c r="T1110" s="63"/>
      <c r="U1110" s="10"/>
      <c r="V1110" s="138"/>
      <c r="W1110" s="136"/>
      <c r="X1110" s="137"/>
    </row>
    <row r="1111" spans="1:24">
      <c r="A1111" s="614"/>
      <c r="B1111" s="26"/>
      <c r="C1111" s="612"/>
      <c r="D1111" s="141"/>
      <c r="E1111" s="141"/>
      <c r="F1111" s="141"/>
      <c r="G1111" s="141"/>
      <c r="H1111" s="141"/>
      <c r="I1111" s="141"/>
      <c r="J1111" s="141"/>
      <c r="K1111" s="142"/>
      <c r="L1111" s="142"/>
      <c r="M1111" s="142"/>
      <c r="N1111" s="142"/>
      <c r="O1111" s="142"/>
      <c r="P1111" s="142"/>
      <c r="Q1111" s="142"/>
      <c r="R1111" s="142"/>
      <c r="S1111" s="142"/>
      <c r="T1111" s="143">
        <f>SUM(T1052:T1110)</f>
        <v>6</v>
      </c>
      <c r="U1111" s="141"/>
      <c r="V1111" s="144">
        <f>SUM(V1052:V1110)</f>
        <v>22846.1</v>
      </c>
      <c r="W1111" s="144">
        <f>SUM(W1052:W1110)</f>
        <v>50</v>
      </c>
      <c r="X1111" s="144">
        <f>SUM(X1052:X1110)</f>
        <v>0</v>
      </c>
    </row>
    <row r="1114" spans="1:24">
      <c r="B1114" s="4" t="s">
        <v>1</v>
      </c>
      <c r="C1114" s="5"/>
      <c r="D1114" s="6"/>
      <c r="E1114" s="6"/>
      <c r="F1114" s="7" t="s">
        <v>2</v>
      </c>
      <c r="G1114" s="608">
        <v>45928</v>
      </c>
      <c r="H1114" s="7"/>
      <c r="I1114" s="6"/>
      <c r="J1114" s="6"/>
      <c r="K1114" s="6"/>
      <c r="L1114" s="6"/>
      <c r="M1114" s="6"/>
      <c r="N1114" s="6"/>
      <c r="O1114" s="6"/>
      <c r="P1114" s="6"/>
      <c r="Q1114" s="6"/>
      <c r="R1114" s="6"/>
      <c r="S1114" s="6"/>
      <c r="T1114" s="6"/>
      <c r="U1114" s="9"/>
      <c r="V1114" s="10"/>
      <c r="W1114" s="10"/>
      <c r="X1114" s="10"/>
    </row>
    <row r="1115" spans="1:24">
      <c r="B1115" s="11"/>
      <c r="C1115" s="10"/>
      <c r="D1115" s="10"/>
      <c r="E1115" s="10"/>
      <c r="F1115" s="10"/>
      <c r="G1115" s="7"/>
      <c r="H1115" s="12"/>
      <c r="I1115" s="10"/>
      <c r="J1115" s="10"/>
      <c r="K1115" s="13" t="s">
        <v>3</v>
      </c>
      <c r="L1115" s="14"/>
      <c r="M1115" s="15"/>
      <c r="N1115" s="13" t="s">
        <v>4</v>
      </c>
      <c r="O1115" s="14"/>
      <c r="P1115" s="15"/>
      <c r="Q1115" s="13" t="s">
        <v>5</v>
      </c>
      <c r="R1115" s="14"/>
      <c r="S1115" s="15"/>
      <c r="T1115" s="16"/>
      <c r="U1115" s="17"/>
      <c r="V1115" s="10"/>
      <c r="W1115" s="10"/>
      <c r="X1115" s="10"/>
    </row>
    <row r="1116" spans="1:24">
      <c r="B1116" s="18" t="s">
        <v>6</v>
      </c>
      <c r="C1116" s="19">
        <f>C1117+C1118</f>
        <v>30</v>
      </c>
      <c r="D1116" s="10"/>
      <c r="E1116" s="18" t="s">
        <v>7</v>
      </c>
      <c r="F1116" s="6"/>
      <c r="G1116" s="9"/>
      <c r="H1116" s="10"/>
      <c r="I1116" s="10"/>
      <c r="J1116" s="10"/>
      <c r="K1116" s="20" t="s">
        <v>8</v>
      </c>
      <c r="L1116" s="21" t="s">
        <v>9</v>
      </c>
      <c r="M1116" s="21" t="s">
        <v>10</v>
      </c>
      <c r="N1116" s="20" t="s">
        <v>11</v>
      </c>
      <c r="O1116" s="21" t="s">
        <v>12</v>
      </c>
      <c r="P1116" s="22" t="s">
        <v>13</v>
      </c>
      <c r="Q1116" s="21" t="s">
        <v>11</v>
      </c>
      <c r="R1116" s="21" t="s">
        <v>12</v>
      </c>
      <c r="S1116" s="22" t="s">
        <v>13</v>
      </c>
      <c r="T1116" s="23" t="s">
        <v>14</v>
      </c>
      <c r="U1116" s="17"/>
      <c r="V1116" s="10"/>
      <c r="W1116" s="10"/>
      <c r="X1116" s="10"/>
    </row>
    <row r="1117" spans="1:24">
      <c r="B1117" s="24" t="s">
        <v>15</v>
      </c>
      <c r="C1117" s="25">
        <f>P1124</f>
        <v>21</v>
      </c>
      <c r="D1117" s="10"/>
      <c r="E1117" s="26" t="s">
        <v>16</v>
      </c>
      <c r="F1117" s="27">
        <v>0.05</v>
      </c>
      <c r="G1117" s="28"/>
      <c r="H1117" s="10"/>
      <c r="I1117" s="10"/>
      <c r="J1117" s="18" t="s">
        <v>17</v>
      </c>
      <c r="K1117" s="29">
        <f>K1160</f>
        <v>18</v>
      </c>
      <c r="L1117" s="29">
        <f>L1160</f>
        <v>17</v>
      </c>
      <c r="M1117" s="29">
        <f>M1160</f>
        <v>18</v>
      </c>
      <c r="N1117" s="29">
        <f>N1160</f>
        <v>18</v>
      </c>
      <c r="O1117" s="29">
        <f>O1160</f>
        <v>18</v>
      </c>
      <c r="P1117" s="29">
        <f>P1160</f>
        <v>0</v>
      </c>
      <c r="Q1117" s="29">
        <f>Q1160</f>
        <v>15</v>
      </c>
      <c r="R1117" s="29">
        <f>R1160</f>
        <v>15</v>
      </c>
      <c r="S1117" s="29">
        <f>S1160</f>
        <v>14</v>
      </c>
      <c r="T1117" s="30">
        <f>T1200</f>
        <v>7</v>
      </c>
      <c r="U1117" s="17" t="s">
        <v>2201</v>
      </c>
      <c r="V1117" s="10"/>
      <c r="W1117" s="10"/>
      <c r="X1117" s="10"/>
    </row>
    <row r="1118" spans="1:24">
      <c r="B1118" s="24" t="s">
        <v>18</v>
      </c>
      <c r="C1118" s="25">
        <f>P1125</f>
        <v>9</v>
      </c>
      <c r="D1118" s="10"/>
      <c r="E1118" s="10"/>
      <c r="F1118" s="10"/>
      <c r="G1118" s="31"/>
      <c r="H1118" s="10"/>
      <c r="I1118" s="10"/>
      <c r="J1118" s="32" t="s">
        <v>19</v>
      </c>
      <c r="K1118" s="33">
        <f>K1160/K1159</f>
        <v>1</v>
      </c>
      <c r="L1118" s="33">
        <f>L1160/L1159</f>
        <v>0.94444444444444442</v>
      </c>
      <c r="M1118" s="33">
        <f>M1160/M1159</f>
        <v>1</v>
      </c>
      <c r="N1118" s="33">
        <f>N1160/N1159</f>
        <v>1</v>
      </c>
      <c r="O1118" s="33">
        <f>O1160/O1159</f>
        <v>1</v>
      </c>
      <c r="P1118" s="33">
        <f>P1160/P1159</f>
        <v>0</v>
      </c>
      <c r="Q1118" s="33">
        <f>Q1160/Q1159</f>
        <v>0.83333333333333337</v>
      </c>
      <c r="R1118" s="33">
        <f>R1160/R1159</f>
        <v>0.83333333333333337</v>
      </c>
      <c r="S1118" s="33">
        <f>S1160/S1159</f>
        <v>0.77777777777777779</v>
      </c>
      <c r="T1118" s="23"/>
      <c r="U1118" s="17" t="s">
        <v>20</v>
      </c>
      <c r="V1118" s="10"/>
      <c r="W1118" s="10"/>
      <c r="X1118" s="10"/>
    </row>
    <row r="1119" spans="1:24">
      <c r="B1119" s="24" t="s">
        <v>21</v>
      </c>
      <c r="C1119" s="34">
        <f>P1126</f>
        <v>0.7</v>
      </c>
      <c r="D1119" s="10"/>
      <c r="E1119" s="10"/>
      <c r="F1119" s="10"/>
      <c r="G1119" s="10"/>
      <c r="H1119" s="10"/>
      <c r="I1119" s="10"/>
      <c r="J1119" s="10"/>
      <c r="K1119" s="10"/>
      <c r="L1119" s="10"/>
      <c r="M1119" s="10"/>
      <c r="N1119" s="10"/>
      <c r="O1119" s="10"/>
      <c r="P1119" s="10"/>
      <c r="Q1119" s="10"/>
      <c r="R1119" s="10"/>
      <c r="S1119" s="10"/>
      <c r="T1119" s="10"/>
      <c r="U1119" s="17"/>
      <c r="V1119" s="10"/>
      <c r="W1119" s="10"/>
      <c r="X1119" s="10"/>
    </row>
    <row r="1120" spans="1:24">
      <c r="B1120" s="24"/>
      <c r="C1120" s="25"/>
      <c r="D1120" s="10"/>
      <c r="E1120" s="10"/>
      <c r="F1120" s="18" t="s">
        <v>22</v>
      </c>
      <c r="G1120" s="19" t="s">
        <v>23</v>
      </c>
      <c r="H1120" s="35" t="s">
        <v>24</v>
      </c>
      <c r="I1120" s="10"/>
      <c r="J1120" s="10"/>
      <c r="K1120" s="36"/>
      <c r="L1120" s="36"/>
      <c r="M1120" s="36"/>
      <c r="N1120" s="36"/>
      <c r="O1120" s="36"/>
      <c r="P1120" s="36"/>
      <c r="Q1120" s="36"/>
      <c r="R1120" s="10"/>
      <c r="S1120" s="10"/>
      <c r="T1120" s="10"/>
      <c r="U1120" s="17"/>
      <c r="V1120" s="10"/>
      <c r="W1120" s="10"/>
      <c r="X1120" s="10"/>
    </row>
    <row r="1121" spans="2:24">
      <c r="B1121" s="32" t="s">
        <v>25</v>
      </c>
      <c r="C1121" s="37">
        <f>P1127</f>
        <v>1543.1780952380955</v>
      </c>
      <c r="D1121" s="10"/>
      <c r="E1121" s="18" t="s">
        <v>26</v>
      </c>
      <c r="F1121" s="38">
        <f>P1123</f>
        <v>32406.740000000005</v>
      </c>
      <c r="G1121" s="39">
        <f>I1159+I1165+I1169</f>
        <v>32406.739999999994</v>
      </c>
      <c r="H1121" s="40"/>
      <c r="I1121" s="41"/>
      <c r="J1121" s="42"/>
      <c r="K1121" s="43" t="s">
        <v>27</v>
      </c>
      <c r="L1121" s="44"/>
      <c r="M1121" s="44"/>
      <c r="N1121" s="44"/>
      <c r="O1121" s="44"/>
      <c r="P1121" s="44"/>
      <c r="Q1121" s="45"/>
      <c r="R1121" s="46" t="s">
        <v>28</v>
      </c>
      <c r="S1121" s="47" t="s">
        <v>29</v>
      </c>
      <c r="T1121" s="10"/>
      <c r="U1121" s="17"/>
      <c r="V1121" s="10"/>
      <c r="W1121" s="10"/>
      <c r="X1121" s="10"/>
    </row>
    <row r="1122" spans="2:24">
      <c r="B1122" s="11"/>
      <c r="C1122" s="10"/>
      <c r="D1122" s="10"/>
      <c r="E1122" s="24" t="s">
        <v>30</v>
      </c>
      <c r="F1122" s="48">
        <f>F1117</f>
        <v>0.05</v>
      </c>
      <c r="G1122" s="17"/>
      <c r="H1122" s="40"/>
      <c r="I1122" s="41"/>
      <c r="J1122" s="42"/>
      <c r="K1122" s="20" t="s">
        <v>31</v>
      </c>
      <c r="L1122" s="21" t="s">
        <v>32</v>
      </c>
      <c r="M1122" s="21" t="s">
        <v>33</v>
      </c>
      <c r="N1122" s="21" t="s">
        <v>34</v>
      </c>
      <c r="O1122" s="21" t="s">
        <v>35</v>
      </c>
      <c r="P1122" s="21" t="s">
        <v>36</v>
      </c>
      <c r="Q1122" s="49" t="s">
        <v>37</v>
      </c>
      <c r="R1122" s="50" t="s">
        <v>38</v>
      </c>
      <c r="S1122" s="50" t="s">
        <v>38</v>
      </c>
      <c r="T1122" s="10"/>
      <c r="U1122" s="17"/>
      <c r="V1122" s="10"/>
      <c r="W1122" s="10"/>
      <c r="X1122" s="10"/>
    </row>
    <row r="1123" spans="2:24">
      <c r="B1123" s="11"/>
      <c r="C1123" s="10"/>
      <c r="D1123" s="10"/>
      <c r="E1123" s="51" t="s">
        <v>39</v>
      </c>
      <c r="F1123" s="52">
        <f>(F1121+F1130-I1142-I1143-I1158-I1163-I1164-I1168)*F1122</f>
        <v>988.15700000000038</v>
      </c>
      <c r="G1123" s="53" t="s">
        <v>40</v>
      </c>
      <c r="H1123" s="54">
        <f>F1123/1.12</f>
        <v>882.28303571428592</v>
      </c>
      <c r="I1123" s="55"/>
      <c r="J1123" s="42"/>
      <c r="K1123" s="56">
        <f>I1141+I1142+I1143+I1144+I1145+I1146+I1163</f>
        <v>9501.59</v>
      </c>
      <c r="L1123" s="57">
        <f>I1147+I1148+I1149+I1150+I1151+I1168</f>
        <v>12050.1</v>
      </c>
      <c r="M1123" s="57">
        <f>I1152+I1153+I1164</f>
        <v>4327.3999999999996</v>
      </c>
      <c r="N1123" s="57">
        <f>I1154+I1155+I1156+I1157+I1158</f>
        <v>6527.6500000000005</v>
      </c>
      <c r="O1123" s="57">
        <v>0</v>
      </c>
      <c r="P1123" s="57">
        <f>SUM(K1123:O1123)</f>
        <v>32406.740000000005</v>
      </c>
      <c r="Q1123" s="58">
        <v>0</v>
      </c>
      <c r="R1123" s="59">
        <f>I1165+I1169</f>
        <v>9995.7999999999993</v>
      </c>
      <c r="S1123" s="59">
        <f>0</f>
        <v>0</v>
      </c>
      <c r="T1123" s="10"/>
      <c r="U1123" s="17"/>
      <c r="V1123" s="10"/>
      <c r="W1123" s="10"/>
      <c r="X1123" s="10"/>
    </row>
    <row r="1124" spans="2:24">
      <c r="B1124" s="11"/>
      <c r="C1124" s="10"/>
      <c r="D1124" s="10"/>
      <c r="E1124" s="24" t="s">
        <v>41</v>
      </c>
      <c r="F1124" s="60">
        <f>Q1123</f>
        <v>0</v>
      </c>
      <c r="G1124" s="61" t="s">
        <v>40</v>
      </c>
      <c r="H1124" s="62"/>
      <c r="I1124" s="62"/>
      <c r="J1124" s="10" t="s">
        <v>42</v>
      </c>
      <c r="K1124" s="63">
        <v>7</v>
      </c>
      <c r="L1124" s="63">
        <v>6</v>
      </c>
      <c r="M1124" s="63">
        <v>3</v>
      </c>
      <c r="N1124" s="63">
        <v>5</v>
      </c>
      <c r="O1124" s="63">
        <v>0</v>
      </c>
      <c r="P1124" s="21">
        <f>SUM(K1124:O1124)</f>
        <v>21</v>
      </c>
      <c r="Q1124" s="64"/>
      <c r="R1124" s="63"/>
      <c r="S1124" s="10"/>
      <c r="T1124" s="10"/>
      <c r="U1124" s="17"/>
      <c r="V1124" s="10"/>
      <c r="W1124" s="10"/>
      <c r="X1124" s="10"/>
    </row>
    <row r="1125" spans="2:24">
      <c r="B1125" s="11"/>
      <c r="C1125" s="10"/>
      <c r="D1125" s="10"/>
      <c r="E1125" s="51" t="s">
        <v>43</v>
      </c>
      <c r="F1125" s="52">
        <f>F1124*0.25</f>
        <v>0</v>
      </c>
      <c r="G1125" s="53" t="s">
        <v>40</v>
      </c>
      <c r="H1125" s="54">
        <f>F1125/1.12</f>
        <v>0</v>
      </c>
      <c r="I1125" s="10"/>
      <c r="J1125" s="10" t="s">
        <v>44</v>
      </c>
      <c r="K1125" s="63">
        <v>2</v>
      </c>
      <c r="L1125" s="63">
        <v>3</v>
      </c>
      <c r="M1125" s="63">
        <v>1</v>
      </c>
      <c r="N1125" s="63">
        <v>3</v>
      </c>
      <c r="O1125" s="63">
        <v>0</v>
      </c>
      <c r="P1125" s="21">
        <f>SUM(K1125:O1125)</f>
        <v>9</v>
      </c>
      <c r="Q1125" s="64"/>
      <c r="R1125" s="63"/>
      <c r="S1125" s="10"/>
      <c r="T1125" s="10"/>
      <c r="U1125" s="17"/>
      <c r="V1125" s="10"/>
      <c r="W1125" s="10"/>
      <c r="X1125" s="10"/>
    </row>
    <row r="1126" spans="2:24">
      <c r="B1126" s="11"/>
      <c r="C1126" s="10"/>
      <c r="D1126" s="10"/>
      <c r="E1126" s="24" t="s">
        <v>45</v>
      </c>
      <c r="F1126" s="60"/>
      <c r="G1126" s="61" t="s">
        <v>40</v>
      </c>
      <c r="H1126" s="62"/>
      <c r="I1126" s="10"/>
      <c r="J1126" s="10" t="s">
        <v>46</v>
      </c>
      <c r="K1126" s="31">
        <f>K1124/(K1124+K1125)</f>
        <v>0.77777777777777779</v>
      </c>
      <c r="L1126" s="31">
        <f>L1124/(L1124+L1125)</f>
        <v>0.66666666666666663</v>
      </c>
      <c r="M1126" s="31">
        <f>M1124/(M1124+M1125)</f>
        <v>0.75</v>
      </c>
      <c r="N1126" s="31">
        <f>N1124/(N1124+N1125)</f>
        <v>0.625</v>
      </c>
      <c r="O1126" s="31" t="e">
        <f>O1124/(O1124+O1125)</f>
        <v>#DIV/0!</v>
      </c>
      <c r="P1126" s="31">
        <f>P1124/(P1124+P1125)</f>
        <v>0.7</v>
      </c>
      <c r="Q1126" s="31" t="e">
        <f>Q1124/(Q1124+Q1125)</f>
        <v>#DIV/0!</v>
      </c>
      <c r="R1126" s="63"/>
      <c r="S1126" s="10"/>
      <c r="T1126" s="10"/>
      <c r="U1126" s="17"/>
      <c r="V1126" s="10"/>
      <c r="W1126" s="10"/>
      <c r="X1126" s="10"/>
    </row>
    <row r="1127" spans="2:24">
      <c r="B1127" s="11"/>
      <c r="C1127" s="10"/>
      <c r="D1127" s="10"/>
      <c r="E1127" s="51" t="s">
        <v>47</v>
      </c>
      <c r="F1127" s="52">
        <f>F1126*0.05</f>
        <v>0</v>
      </c>
      <c r="G1127" s="65" t="s">
        <v>40</v>
      </c>
      <c r="H1127" s="54">
        <f>F1127/1.12</f>
        <v>0</v>
      </c>
      <c r="I1127" s="42"/>
      <c r="J1127" s="10" t="s">
        <v>48</v>
      </c>
      <c r="K1127" s="66">
        <f>K1123/K1124</f>
        <v>1357.3700000000001</v>
      </c>
      <c r="L1127" s="66">
        <f>L1123/L1124</f>
        <v>2008.3500000000001</v>
      </c>
      <c r="M1127" s="66">
        <f>M1123/M1124</f>
        <v>1442.4666666666665</v>
      </c>
      <c r="N1127" s="66">
        <f>N1123/N1124</f>
        <v>1305.5300000000002</v>
      </c>
      <c r="O1127" s="66" t="e">
        <f>O1123/O1124</f>
        <v>#DIV/0!</v>
      </c>
      <c r="P1127" s="66">
        <f>P1123/P1124</f>
        <v>1543.1780952380955</v>
      </c>
      <c r="Q1127" s="66" t="e">
        <f>Q1123/Q1124</f>
        <v>#DIV/0!</v>
      </c>
      <c r="R1127" s="63"/>
      <c r="S1127" s="10"/>
      <c r="T1127" s="10"/>
      <c r="U1127" s="17"/>
      <c r="V1127" s="10"/>
      <c r="W1127" s="10"/>
      <c r="X1127" s="10"/>
    </row>
    <row r="1128" spans="2:24">
      <c r="B1128" s="11"/>
      <c r="C1128" s="10"/>
      <c r="D1128" s="10"/>
      <c r="E1128" s="67" t="s">
        <v>14</v>
      </c>
      <c r="F1128" s="68">
        <f>6*50</f>
        <v>300</v>
      </c>
      <c r="G1128" s="10"/>
      <c r="H1128" s="54">
        <f>F1128/1.12</f>
        <v>267.85714285714283</v>
      </c>
      <c r="I1128" s="10"/>
      <c r="J1128" s="10"/>
      <c r="K1128" s="10"/>
      <c r="L1128" s="10"/>
      <c r="M1128" s="10"/>
      <c r="N1128" s="10"/>
      <c r="O1128" s="10"/>
      <c r="P1128" s="10"/>
      <c r="Q1128" s="10"/>
      <c r="R1128" s="10"/>
      <c r="S1128" s="10"/>
      <c r="T1128" s="10"/>
      <c r="U1128" s="17"/>
      <c r="V1128" s="10"/>
      <c r="W1128" s="10"/>
      <c r="X1128" s="10"/>
    </row>
    <row r="1129" spans="2:24">
      <c r="B1129" s="11"/>
      <c r="C1129" s="10"/>
      <c r="D1129" s="10"/>
      <c r="E1129" s="67" t="s">
        <v>49</v>
      </c>
      <c r="F1129" s="69">
        <f>T1118</f>
        <v>0</v>
      </c>
      <c r="G1129" s="10"/>
      <c r="H1129" s="54"/>
      <c r="I1129" s="55"/>
      <c r="J1129" s="42"/>
      <c r="K1129" s="764" t="s">
        <v>50</v>
      </c>
      <c r="L1129" s="765"/>
      <c r="M1129" s="765"/>
      <c r="N1129" s="765"/>
      <c r="O1129" s="765"/>
      <c r="P1129" s="765"/>
      <c r="Q1129" s="766"/>
      <c r="R1129" s="70" t="s">
        <v>28</v>
      </c>
      <c r="S1129" s="71" t="s">
        <v>29</v>
      </c>
      <c r="T1129" s="10"/>
      <c r="U1129" s="17"/>
      <c r="V1129" s="10"/>
      <c r="W1129" s="10"/>
      <c r="X1129" s="10"/>
    </row>
    <row r="1130" spans="2:24">
      <c r="B1130" s="11"/>
      <c r="C1130" s="10"/>
      <c r="D1130" s="10"/>
      <c r="E1130" s="74" t="s">
        <v>2202</v>
      </c>
      <c r="F1130" s="75">
        <v>-15.2</v>
      </c>
      <c r="G1130" s="10"/>
      <c r="H1130" s="10"/>
      <c r="I1130" s="10"/>
      <c r="J1130" s="42"/>
      <c r="K1130" s="20" t="s">
        <v>31</v>
      </c>
      <c r="L1130" s="21" t="s">
        <v>32</v>
      </c>
      <c r="M1130" s="21" t="s">
        <v>33</v>
      </c>
      <c r="N1130" s="21" t="s">
        <v>34</v>
      </c>
      <c r="O1130" s="21" t="s">
        <v>35</v>
      </c>
      <c r="P1130" s="21" t="s">
        <v>36</v>
      </c>
      <c r="Q1130" s="49" t="s">
        <v>37</v>
      </c>
      <c r="R1130" s="50" t="s">
        <v>38</v>
      </c>
      <c r="S1130" s="50" t="s">
        <v>38</v>
      </c>
      <c r="T1130" s="10"/>
      <c r="U1130" s="17"/>
      <c r="V1130" s="10"/>
      <c r="W1130" s="10"/>
      <c r="X1130" s="10"/>
    </row>
    <row r="1131" spans="2:24">
      <c r="B1131" s="11"/>
      <c r="C1131" s="10"/>
      <c r="D1131" s="10"/>
      <c r="E1131" s="12"/>
      <c r="F1131" s="76"/>
      <c r="G1131" s="10"/>
      <c r="H1131" s="10"/>
      <c r="I1131" s="10"/>
      <c r="J1131" s="42"/>
      <c r="K1131" s="56">
        <f>F1141+F1142+F1143+F1144+F1145+F1146+F1163</f>
        <v>11856.5</v>
      </c>
      <c r="L1131" s="57">
        <f>F1147+F1148+F1149+F1150+F1151+F1168</f>
        <v>15613</v>
      </c>
      <c r="M1131" s="57">
        <f>F1152+F1153+F1164</f>
        <v>4934.8999999999996</v>
      </c>
      <c r="N1131" s="57">
        <f>F1154+F1155+F1156+F1157+F1158</f>
        <v>6700</v>
      </c>
      <c r="O1131" s="57">
        <v>0</v>
      </c>
      <c r="P1131" s="57">
        <f>SUM(K1131:O1131)</f>
        <v>39104.400000000001</v>
      </c>
      <c r="Q1131" s="58">
        <v>0</v>
      </c>
      <c r="R1131" s="59">
        <f>F1165+F1169</f>
        <v>14380.4</v>
      </c>
      <c r="S1131" s="59">
        <f>0</f>
        <v>0</v>
      </c>
      <c r="T1131" s="10"/>
      <c r="U1131" s="17"/>
      <c r="V1131" s="10"/>
      <c r="W1131" s="10"/>
      <c r="X1131" s="10"/>
    </row>
    <row r="1132" spans="2:24">
      <c r="B1132" s="11"/>
      <c r="C1132" s="10"/>
      <c r="D1132" s="10"/>
      <c r="E1132" s="10"/>
      <c r="F1132" s="10"/>
      <c r="G1132" s="10"/>
      <c r="H1132" s="10"/>
      <c r="I1132" s="10"/>
      <c r="J1132" s="10" t="s">
        <v>42</v>
      </c>
      <c r="K1132" s="63">
        <f>K1124</f>
        <v>7</v>
      </c>
      <c r="L1132" s="63">
        <f>L1124</f>
        <v>6</v>
      </c>
      <c r="M1132" s="63">
        <f>M1124</f>
        <v>3</v>
      </c>
      <c r="N1132" s="63">
        <f>N1124</f>
        <v>5</v>
      </c>
      <c r="O1132" s="63">
        <f>O1124</f>
        <v>0</v>
      </c>
      <c r="P1132" s="63">
        <f>P1124</f>
        <v>21</v>
      </c>
      <c r="Q1132" s="63">
        <f>Q1124</f>
        <v>0</v>
      </c>
      <c r="R1132" s="63"/>
      <c r="S1132" s="10"/>
      <c r="T1132" s="10"/>
      <c r="U1132" s="17"/>
      <c r="V1132" s="10"/>
      <c r="W1132" s="10"/>
      <c r="X1132" s="10"/>
    </row>
    <row r="1133" spans="2:24">
      <c r="B1133" s="11"/>
      <c r="C1133" s="10"/>
      <c r="D1133" s="10"/>
      <c r="E1133" s="10"/>
      <c r="F1133" s="10"/>
      <c r="G1133" s="10"/>
      <c r="H1133" s="10"/>
      <c r="I1133" s="10"/>
      <c r="J1133" s="10" t="s">
        <v>44</v>
      </c>
      <c r="K1133" s="63">
        <f>K1125</f>
        <v>2</v>
      </c>
      <c r="L1133" s="63">
        <f>L1125</f>
        <v>3</v>
      </c>
      <c r="M1133" s="63">
        <f>M1125</f>
        <v>1</v>
      </c>
      <c r="N1133" s="63">
        <f>N1125</f>
        <v>3</v>
      </c>
      <c r="O1133" s="63">
        <f>O1125</f>
        <v>0</v>
      </c>
      <c r="P1133" s="63">
        <f>P1125</f>
        <v>9</v>
      </c>
      <c r="Q1133" s="63">
        <f>Q1125</f>
        <v>0</v>
      </c>
      <c r="R1133" s="63"/>
      <c r="S1133" s="10"/>
      <c r="T1133" s="10"/>
      <c r="U1133" s="17"/>
      <c r="V1133" s="10"/>
      <c r="W1133" s="10"/>
      <c r="X1133" s="10"/>
    </row>
    <row r="1134" spans="2:24">
      <c r="B1134" s="11"/>
      <c r="C1134" s="10"/>
      <c r="D1134" s="10"/>
      <c r="E1134" s="12"/>
      <c r="F1134" s="76"/>
      <c r="G1134" s="10"/>
      <c r="H1134" s="10"/>
      <c r="I1134" s="10"/>
      <c r="J1134" s="10" t="s">
        <v>46</v>
      </c>
      <c r="K1134" s="31">
        <f>K1132/(K1132+K1133)</f>
        <v>0.77777777777777779</v>
      </c>
      <c r="L1134" s="31">
        <f>L1132/(L1132+L1133)</f>
        <v>0.66666666666666663</v>
      </c>
      <c r="M1134" s="31">
        <f>M1132/(M1132+M1133)</f>
        <v>0.75</v>
      </c>
      <c r="N1134" s="31">
        <f>N1132/(N1132+N1133)</f>
        <v>0.625</v>
      </c>
      <c r="O1134" s="31" t="e">
        <f>O1132/(O1132+O1133)</f>
        <v>#DIV/0!</v>
      </c>
      <c r="P1134" s="31">
        <f>P1132/(P1132+P1133)</f>
        <v>0.7</v>
      </c>
      <c r="Q1134" s="31" t="e">
        <f>Q1132/(Q1132+Q1133)</f>
        <v>#DIV/0!</v>
      </c>
      <c r="R1134" s="63"/>
      <c r="S1134" s="10"/>
      <c r="T1134" s="10"/>
      <c r="U1134" s="17"/>
      <c r="V1134" s="10"/>
      <c r="W1134" s="10"/>
      <c r="X1134" s="10"/>
    </row>
    <row r="1135" spans="2:24">
      <c r="B1135" s="11"/>
      <c r="C1135" s="10"/>
      <c r="D1135" s="10"/>
      <c r="E1135" s="10"/>
      <c r="F1135" s="10"/>
      <c r="G1135" s="10"/>
      <c r="H1135" s="10"/>
      <c r="I1135" s="10"/>
      <c r="J1135" s="10" t="s">
        <v>48</v>
      </c>
      <c r="K1135" s="66">
        <f>K1131/K1132</f>
        <v>1693.7857142857142</v>
      </c>
      <c r="L1135" s="66">
        <f>L1131/L1132</f>
        <v>2602.1666666666665</v>
      </c>
      <c r="M1135" s="66">
        <f>M1131/M1132</f>
        <v>1644.9666666666665</v>
      </c>
      <c r="N1135" s="66">
        <f>N1131/N1132</f>
        <v>1340</v>
      </c>
      <c r="O1135" s="66" t="e">
        <f>O1131/O1132</f>
        <v>#DIV/0!</v>
      </c>
      <c r="P1135" s="66">
        <f>P1131/P1132</f>
        <v>1862.1142857142859</v>
      </c>
      <c r="Q1135" s="66" t="e">
        <f>Q1131/Q1132</f>
        <v>#DIV/0!</v>
      </c>
      <c r="R1135" s="63"/>
      <c r="S1135" s="10"/>
      <c r="T1135" s="10"/>
      <c r="U1135" s="17"/>
      <c r="V1135" s="10"/>
      <c r="W1135" s="10"/>
      <c r="X1135" s="10"/>
    </row>
    <row r="1136" spans="2:24">
      <c r="B1136" s="11"/>
      <c r="C1136" s="10"/>
      <c r="D1136" s="10"/>
      <c r="E1136" s="10"/>
      <c r="F1136" s="10"/>
      <c r="G1136" s="10"/>
      <c r="H1136" s="10"/>
      <c r="I1136" s="10"/>
      <c r="J1136" s="10"/>
      <c r="K1136" s="10"/>
      <c r="L1136" s="10"/>
      <c r="M1136" s="10"/>
      <c r="N1136" s="10"/>
      <c r="O1136" s="10"/>
      <c r="P1136" s="10"/>
      <c r="Q1136" s="10"/>
      <c r="R1136" s="10"/>
      <c r="S1136" s="10"/>
      <c r="T1136" s="10"/>
      <c r="U1136" s="17"/>
      <c r="V1136" s="10"/>
      <c r="W1136" s="10"/>
      <c r="X1136" s="10"/>
    </row>
    <row r="1137" spans="1:24">
      <c r="B1137" s="11"/>
      <c r="C1137" s="10"/>
      <c r="D1137" s="10"/>
      <c r="E1137" s="10"/>
      <c r="F1137" s="10"/>
      <c r="G1137" s="10"/>
      <c r="H1137" s="10"/>
      <c r="I1137" s="10"/>
      <c r="J1137" s="10"/>
      <c r="K1137" s="10"/>
      <c r="L1137" s="10"/>
      <c r="M1137" s="10"/>
      <c r="N1137" s="10"/>
      <c r="O1137" s="10"/>
      <c r="P1137" s="10"/>
      <c r="Q1137" s="10"/>
      <c r="R1137" s="10"/>
      <c r="S1137" s="10"/>
      <c r="T1137" s="10"/>
      <c r="U1137" s="17"/>
      <c r="V1137" s="10"/>
      <c r="W1137" s="10"/>
      <c r="X1137" s="10"/>
    </row>
    <row r="1138" spans="1:24">
      <c r="B1138" s="18" t="s">
        <v>51</v>
      </c>
      <c r="C1138" s="14"/>
      <c r="D1138" s="14"/>
      <c r="E1138" s="14"/>
      <c r="F1138" s="13" t="s">
        <v>52</v>
      </c>
      <c r="G1138" s="14"/>
      <c r="H1138" s="14"/>
      <c r="I1138" s="14"/>
      <c r="J1138" s="14"/>
      <c r="K1138" s="13" t="s">
        <v>3</v>
      </c>
      <c r="L1138" s="14"/>
      <c r="M1138" s="14"/>
      <c r="N1138" s="13" t="s">
        <v>4</v>
      </c>
      <c r="O1138" s="14"/>
      <c r="P1138" s="14"/>
      <c r="Q1138" s="13" t="s">
        <v>5</v>
      </c>
      <c r="R1138" s="14"/>
      <c r="S1138" s="14"/>
      <c r="T1138" s="18"/>
      <c r="U1138" s="16" t="s">
        <v>53</v>
      </c>
      <c r="V1138" s="77"/>
      <c r="W1138" s="77"/>
      <c r="X1138" s="77"/>
    </row>
    <row r="1139" spans="1:24">
      <c r="B1139" s="24" t="s">
        <v>54</v>
      </c>
      <c r="C1139" s="21" t="s">
        <v>55</v>
      </c>
      <c r="D1139" s="21" t="s">
        <v>56</v>
      </c>
      <c r="E1139" s="21" t="s">
        <v>57</v>
      </c>
      <c r="F1139" s="20" t="s">
        <v>58</v>
      </c>
      <c r="G1139" s="21" t="s">
        <v>59</v>
      </c>
      <c r="H1139" s="21" t="s">
        <v>60</v>
      </c>
      <c r="I1139" s="21" t="s">
        <v>26</v>
      </c>
      <c r="J1139" s="22" t="s">
        <v>61</v>
      </c>
      <c r="K1139" s="21" t="s">
        <v>8</v>
      </c>
      <c r="L1139" s="21" t="s">
        <v>9</v>
      </c>
      <c r="M1139" s="21" t="s">
        <v>10</v>
      </c>
      <c r="N1139" s="20" t="s">
        <v>11</v>
      </c>
      <c r="O1139" s="21" t="s">
        <v>12</v>
      </c>
      <c r="P1139" s="22" t="s">
        <v>13</v>
      </c>
      <c r="Q1139" s="21" t="s">
        <v>11</v>
      </c>
      <c r="R1139" s="21" t="s">
        <v>12</v>
      </c>
      <c r="S1139" s="21" t="s">
        <v>13</v>
      </c>
      <c r="T1139" s="78" t="s">
        <v>14</v>
      </c>
      <c r="U1139" s="30"/>
      <c r="V1139" s="79" t="s">
        <v>62</v>
      </c>
      <c r="W1139" s="80" t="s">
        <v>63</v>
      </c>
      <c r="X1139" s="81" t="s">
        <v>64</v>
      </c>
    </row>
    <row r="1140" spans="1:24">
      <c r="B1140" s="4" t="s">
        <v>65</v>
      </c>
      <c r="C1140" s="6"/>
      <c r="D1140" s="82"/>
      <c r="E1140" s="6"/>
      <c r="F1140" s="6"/>
      <c r="G1140" s="6"/>
      <c r="H1140" s="6"/>
      <c r="I1140" s="82"/>
      <c r="J1140" s="6"/>
      <c r="K1140" s="6"/>
      <c r="L1140" s="6"/>
      <c r="M1140" s="6"/>
      <c r="N1140" s="6"/>
      <c r="O1140" s="6"/>
      <c r="P1140" s="6"/>
      <c r="Q1140" s="6"/>
      <c r="R1140" s="6"/>
      <c r="S1140" s="6"/>
      <c r="T1140" s="83"/>
      <c r="U1140" s="6"/>
      <c r="V1140" s="84"/>
      <c r="W1140" s="85"/>
      <c r="X1140" s="86"/>
    </row>
    <row r="1141" spans="1:24">
      <c r="B1141" s="87">
        <v>1</v>
      </c>
      <c r="C1141" s="274">
        <v>45922</v>
      </c>
      <c r="D1141" s="320">
        <v>73479</v>
      </c>
      <c r="E1141" s="276" t="s">
        <v>168</v>
      </c>
      <c r="F1141" s="277">
        <v>2614</v>
      </c>
      <c r="G1141" s="277">
        <f>39.7+(219.01)+200</f>
        <v>458.71</v>
      </c>
      <c r="H1141" s="297"/>
      <c r="I1141" s="321">
        <f>F1141-G1141-H1141</f>
        <v>2155.29</v>
      </c>
      <c r="J1141" s="279" t="s">
        <v>156</v>
      </c>
      <c r="K1141" s="279">
        <v>1</v>
      </c>
      <c r="L1141" s="279">
        <v>1</v>
      </c>
      <c r="M1141" s="279">
        <v>1</v>
      </c>
      <c r="N1141" s="279">
        <v>1</v>
      </c>
      <c r="O1141" s="279">
        <v>1</v>
      </c>
      <c r="P1141" s="322">
        <v>0</v>
      </c>
      <c r="Q1141" s="279">
        <v>1</v>
      </c>
      <c r="R1141" s="279">
        <v>1</v>
      </c>
      <c r="S1141" s="280">
        <v>1</v>
      </c>
      <c r="T1141" s="63"/>
      <c r="U1141" s="10" t="s">
        <v>2203</v>
      </c>
      <c r="V1141" s="90">
        <f>287+2588.4</f>
        <v>2875.4</v>
      </c>
      <c r="W1141" s="91"/>
      <c r="X1141" s="92"/>
    </row>
    <row r="1142" spans="1:24">
      <c r="A1142" t="s">
        <v>230</v>
      </c>
      <c r="B1142" s="87">
        <f t="shared" ref="B1142:B1158" si="86">B1141+1</f>
        <v>2</v>
      </c>
      <c r="C1142" s="295">
        <v>45922</v>
      </c>
      <c r="D1142" s="346" t="s">
        <v>2204</v>
      </c>
      <c r="E1142" s="10" t="s">
        <v>456</v>
      </c>
      <c r="F1142" s="62">
        <v>861</v>
      </c>
      <c r="G1142" s="62">
        <f>39.7</f>
        <v>39.700000000000003</v>
      </c>
      <c r="H1142" s="62"/>
      <c r="I1142" s="369">
        <f>F1142-G1142-H1142</f>
        <v>821.3</v>
      </c>
      <c r="J1142" s="63" t="s">
        <v>156</v>
      </c>
      <c r="K1142" s="63">
        <v>1</v>
      </c>
      <c r="L1142" s="63">
        <v>1</v>
      </c>
      <c r="M1142" s="63">
        <v>1</v>
      </c>
      <c r="N1142" s="63">
        <v>1</v>
      </c>
      <c r="O1142" s="63">
        <v>1</v>
      </c>
      <c r="P1142" s="325">
        <v>0</v>
      </c>
      <c r="Q1142" s="63">
        <v>1</v>
      </c>
      <c r="R1142" s="63">
        <v>1</v>
      </c>
      <c r="S1142" s="296">
        <v>1</v>
      </c>
      <c r="T1142" s="63"/>
      <c r="U1142" s="10"/>
      <c r="V1142" s="90">
        <f>94+853.1</f>
        <v>947.1</v>
      </c>
      <c r="W1142" s="91"/>
      <c r="X1142" s="92"/>
    </row>
    <row r="1143" spans="1:24">
      <c r="A1143" t="s">
        <v>230</v>
      </c>
      <c r="B1143" s="87">
        <f t="shared" si="86"/>
        <v>3</v>
      </c>
      <c r="C1143" s="295">
        <v>45922</v>
      </c>
      <c r="D1143" s="346" t="s">
        <v>2205</v>
      </c>
      <c r="E1143" s="10" t="s">
        <v>456</v>
      </c>
      <c r="F1143" s="62">
        <v>481</v>
      </c>
      <c r="G1143" s="62"/>
      <c r="H1143" s="62"/>
      <c r="I1143" s="369">
        <f>F1143-G1143-H1143</f>
        <v>481</v>
      </c>
      <c r="J1143" s="63" t="s">
        <v>156</v>
      </c>
      <c r="K1143" s="63">
        <v>1</v>
      </c>
      <c r="L1143" s="63">
        <v>1</v>
      </c>
      <c r="M1143" s="63">
        <v>1</v>
      </c>
      <c r="N1143" s="63">
        <v>1</v>
      </c>
      <c r="O1143" s="63">
        <v>1</v>
      </c>
      <c r="P1143" s="325">
        <v>0</v>
      </c>
      <c r="Q1143" s="63">
        <v>1</v>
      </c>
      <c r="R1143" s="63">
        <v>1</v>
      </c>
      <c r="S1143" s="296">
        <v>1</v>
      </c>
      <c r="T1143" s="63"/>
      <c r="U1143" s="10"/>
      <c r="V1143" s="90">
        <v>529.1</v>
      </c>
      <c r="W1143" s="91"/>
      <c r="X1143" s="92"/>
    </row>
    <row r="1144" spans="1:24">
      <c r="B1144" s="87">
        <f t="shared" si="86"/>
        <v>4</v>
      </c>
      <c r="C1144" s="295">
        <v>45922</v>
      </c>
      <c r="D1144" s="346">
        <v>73511</v>
      </c>
      <c r="E1144" s="94" t="s">
        <v>155</v>
      </c>
      <c r="F1144" s="62">
        <v>461</v>
      </c>
      <c r="G1144" s="62"/>
      <c r="H1144" s="62"/>
      <c r="I1144" s="324">
        <f>F1144-G1144-H1144</f>
        <v>461</v>
      </c>
      <c r="J1144" s="63" t="s">
        <v>156</v>
      </c>
      <c r="K1144" s="63">
        <v>1</v>
      </c>
      <c r="L1144" s="63">
        <v>1</v>
      </c>
      <c r="M1144" s="63">
        <v>1</v>
      </c>
      <c r="N1144" s="63">
        <v>1</v>
      </c>
      <c r="O1144" s="63">
        <v>1</v>
      </c>
      <c r="P1144" s="325">
        <v>0</v>
      </c>
      <c r="Q1144" s="63">
        <v>1</v>
      </c>
      <c r="R1144" s="63">
        <v>1</v>
      </c>
      <c r="S1144" s="296">
        <v>1</v>
      </c>
      <c r="T1144" s="63"/>
      <c r="U1144" s="10"/>
      <c r="V1144" s="90">
        <f>50+457.1</f>
        <v>507.1</v>
      </c>
      <c r="W1144" s="91"/>
      <c r="X1144" s="92"/>
    </row>
    <row r="1145" spans="1:24">
      <c r="B1145" s="87">
        <f t="shared" si="86"/>
        <v>5</v>
      </c>
      <c r="C1145" s="295">
        <v>45922</v>
      </c>
      <c r="D1145" s="346" t="s">
        <v>2206</v>
      </c>
      <c r="E1145" s="10" t="s">
        <v>206</v>
      </c>
      <c r="F1145" s="62">
        <v>1644</v>
      </c>
      <c r="G1145" s="62">
        <f>39.7</f>
        <v>39.700000000000003</v>
      </c>
      <c r="H1145" s="62"/>
      <c r="I1145" s="324">
        <f>F1145-G1145-H1145</f>
        <v>1604.3</v>
      </c>
      <c r="J1145" s="63" t="s">
        <v>236</v>
      </c>
      <c r="K1145" s="63">
        <v>1</v>
      </c>
      <c r="L1145" s="63">
        <v>1</v>
      </c>
      <c r="M1145" s="63">
        <v>1</v>
      </c>
      <c r="N1145" s="63">
        <v>1</v>
      </c>
      <c r="O1145" s="63">
        <v>1</v>
      </c>
      <c r="P1145" s="325">
        <v>0</v>
      </c>
      <c r="Q1145" s="63">
        <v>1</v>
      </c>
      <c r="R1145" s="63">
        <v>1</v>
      </c>
      <c r="S1145" s="296">
        <v>1</v>
      </c>
      <c r="T1145" s="63"/>
      <c r="U1145" s="10" t="s">
        <v>2207</v>
      </c>
      <c r="V1145" s="90">
        <f>180+28.4</f>
        <v>208.4</v>
      </c>
      <c r="W1145" s="440">
        <v>1600</v>
      </c>
      <c r="X1145" s="92"/>
    </row>
    <row r="1146" spans="1:24">
      <c r="B1146" s="87">
        <f t="shared" si="86"/>
        <v>6</v>
      </c>
      <c r="C1146" s="295">
        <v>45922</v>
      </c>
      <c r="D1146" s="346" t="s">
        <v>2208</v>
      </c>
      <c r="E1146" s="10" t="s">
        <v>206</v>
      </c>
      <c r="F1146" s="62">
        <v>621</v>
      </c>
      <c r="G1146" s="62"/>
      <c r="H1146" s="88"/>
      <c r="I1146" s="324">
        <f>F1146-G1146-H1146</f>
        <v>621</v>
      </c>
      <c r="J1146" s="63" t="s">
        <v>236</v>
      </c>
      <c r="K1146" s="63">
        <v>1</v>
      </c>
      <c r="L1146" s="63">
        <v>1</v>
      </c>
      <c r="M1146" s="63">
        <v>1</v>
      </c>
      <c r="N1146" s="63">
        <v>1</v>
      </c>
      <c r="O1146" s="63">
        <v>1</v>
      </c>
      <c r="P1146" s="325">
        <v>0</v>
      </c>
      <c r="Q1146" s="63">
        <v>1</v>
      </c>
      <c r="R1146" s="63">
        <v>1</v>
      </c>
      <c r="S1146" s="296">
        <v>1</v>
      </c>
      <c r="T1146" s="63"/>
      <c r="U1146" s="10" t="s">
        <v>2209</v>
      </c>
      <c r="V1146" s="90">
        <v>33.1</v>
      </c>
      <c r="W1146" s="440">
        <v>650</v>
      </c>
      <c r="X1146" s="92"/>
    </row>
    <row r="1147" spans="1:24">
      <c r="B1147" s="87">
        <f t="shared" si="86"/>
        <v>7</v>
      </c>
      <c r="C1147" s="274">
        <v>45923</v>
      </c>
      <c r="D1147" s="320">
        <v>73566</v>
      </c>
      <c r="E1147" s="276" t="s">
        <v>158</v>
      </c>
      <c r="F1147" s="277">
        <v>1264</v>
      </c>
      <c r="G1147" s="277">
        <f>39.7</f>
        <v>39.700000000000003</v>
      </c>
      <c r="H1147" s="297"/>
      <c r="I1147" s="321">
        <f>F1147-G1147-H1147</f>
        <v>1224.3</v>
      </c>
      <c r="J1147" s="279" t="s">
        <v>156</v>
      </c>
      <c r="K1147" s="279">
        <v>1</v>
      </c>
      <c r="L1147" s="279">
        <v>1</v>
      </c>
      <c r="M1147" s="279">
        <v>1</v>
      </c>
      <c r="N1147" s="279">
        <v>1</v>
      </c>
      <c r="O1147" s="279">
        <v>1</v>
      </c>
      <c r="P1147" s="322">
        <v>0</v>
      </c>
      <c r="Q1147" s="322">
        <v>0</v>
      </c>
      <c r="R1147" s="322">
        <v>0</v>
      </c>
      <c r="S1147" s="328">
        <v>0</v>
      </c>
      <c r="T1147" s="63">
        <v>1</v>
      </c>
      <c r="U1147" s="10"/>
      <c r="V1147" s="90">
        <f>139+1251.4</f>
        <v>1390.4</v>
      </c>
      <c r="W1147" s="91"/>
      <c r="X1147" s="92"/>
    </row>
    <row r="1148" spans="1:24">
      <c r="B1148" s="87">
        <f t="shared" si="86"/>
        <v>8</v>
      </c>
      <c r="C1148" s="295">
        <v>45923</v>
      </c>
      <c r="D1148" s="346">
        <v>73357</v>
      </c>
      <c r="E1148" s="10" t="s">
        <v>168</v>
      </c>
      <c r="F1148" s="62">
        <v>1261</v>
      </c>
      <c r="G1148" s="62">
        <f>39.7</f>
        <v>39.700000000000003</v>
      </c>
      <c r="H1148" s="88"/>
      <c r="I1148" s="324">
        <f>F1148-G1148-H1148</f>
        <v>1221.3</v>
      </c>
      <c r="J1148" s="63" t="s">
        <v>156</v>
      </c>
      <c r="K1148" s="63">
        <v>1</v>
      </c>
      <c r="L1148" s="63">
        <v>1</v>
      </c>
      <c r="M1148" s="63">
        <v>1</v>
      </c>
      <c r="N1148" s="63">
        <v>1</v>
      </c>
      <c r="O1148" s="63">
        <v>1</v>
      </c>
      <c r="P1148" s="325">
        <v>0</v>
      </c>
      <c r="Q1148" s="63">
        <v>1</v>
      </c>
      <c r="R1148" s="63">
        <v>1</v>
      </c>
      <c r="S1148" s="296">
        <v>1</v>
      </c>
      <c r="T1148" s="63"/>
      <c r="U1148" s="10"/>
      <c r="V1148" s="90">
        <f>138+1249.1</f>
        <v>1387.1</v>
      </c>
      <c r="W1148" s="91"/>
      <c r="X1148" s="92"/>
    </row>
    <row r="1149" spans="1:24">
      <c r="B1149" s="87">
        <f t="shared" si="86"/>
        <v>9</v>
      </c>
      <c r="C1149" s="295">
        <v>45923</v>
      </c>
      <c r="D1149" s="346">
        <v>73584</v>
      </c>
      <c r="E1149" s="10" t="s">
        <v>168</v>
      </c>
      <c r="F1149" s="62">
        <v>861</v>
      </c>
      <c r="G1149" s="62">
        <f>39.7</f>
        <v>39.700000000000003</v>
      </c>
      <c r="H1149" s="88"/>
      <c r="I1149" s="324">
        <f>F1149-G1149-H1149</f>
        <v>821.3</v>
      </c>
      <c r="J1149" s="63" t="s">
        <v>156</v>
      </c>
      <c r="K1149" s="63">
        <v>1</v>
      </c>
      <c r="L1149" s="63">
        <v>1</v>
      </c>
      <c r="M1149" s="63">
        <v>1</v>
      </c>
      <c r="N1149" s="63">
        <v>1</v>
      </c>
      <c r="O1149" s="63">
        <v>1</v>
      </c>
      <c r="P1149" s="325">
        <v>0</v>
      </c>
      <c r="Q1149" s="63">
        <v>1</v>
      </c>
      <c r="R1149" s="63">
        <v>1</v>
      </c>
      <c r="S1149" s="296">
        <v>1</v>
      </c>
      <c r="T1149" s="63"/>
      <c r="U1149" s="10"/>
      <c r="V1149" s="90">
        <v>947.1</v>
      </c>
      <c r="W1149" s="91"/>
      <c r="X1149" s="92"/>
    </row>
    <row r="1150" spans="1:24">
      <c r="B1150" s="87">
        <f t="shared" si="86"/>
        <v>10</v>
      </c>
      <c r="C1150" s="295">
        <v>45923</v>
      </c>
      <c r="D1150" s="323" t="s">
        <v>2210</v>
      </c>
      <c r="E1150" s="10" t="s">
        <v>168</v>
      </c>
      <c r="F1150" s="62">
        <v>4132</v>
      </c>
      <c r="G1150" s="62">
        <f>39.7+(111.9+1212.8)</f>
        <v>1364.4</v>
      </c>
      <c r="H1150" s="62"/>
      <c r="I1150" s="324">
        <f>F1150-G1150-H1150</f>
        <v>2767.6</v>
      </c>
      <c r="J1150" s="63" t="s">
        <v>156</v>
      </c>
      <c r="K1150" s="63">
        <v>1</v>
      </c>
      <c r="L1150" s="63">
        <v>1</v>
      </c>
      <c r="M1150" s="63">
        <v>1</v>
      </c>
      <c r="N1150" s="63">
        <v>1</v>
      </c>
      <c r="O1150" s="63">
        <v>1</v>
      </c>
      <c r="P1150" s="325">
        <v>0</v>
      </c>
      <c r="Q1150" s="63">
        <v>1</v>
      </c>
      <c r="R1150" s="63">
        <v>1</v>
      </c>
      <c r="S1150" s="326">
        <v>0</v>
      </c>
      <c r="T1150" s="63"/>
      <c r="U1150" s="94"/>
      <c r="V1150" s="90">
        <f>454+4091.2</f>
        <v>4545.2</v>
      </c>
      <c r="W1150" s="91"/>
      <c r="X1150" s="92"/>
    </row>
    <row r="1151" spans="1:24">
      <c r="B1151" s="87">
        <f t="shared" si="86"/>
        <v>11</v>
      </c>
      <c r="C1151" s="282">
        <v>45923</v>
      </c>
      <c r="D1151" s="330">
        <v>73529</v>
      </c>
      <c r="E1151" s="283" t="s">
        <v>388</v>
      </c>
      <c r="F1151" s="284">
        <v>1281</v>
      </c>
      <c r="G1151" s="284">
        <f>39.7</f>
        <v>39.700000000000003</v>
      </c>
      <c r="H1151" s="315"/>
      <c r="I1151" s="300">
        <f>F1151-G1151-H1151</f>
        <v>1241.3</v>
      </c>
      <c r="J1151" s="286" t="s">
        <v>156</v>
      </c>
      <c r="K1151" s="286">
        <v>1</v>
      </c>
      <c r="L1151" s="286">
        <v>1</v>
      </c>
      <c r="M1151" s="286">
        <v>1</v>
      </c>
      <c r="N1151" s="286">
        <v>1</v>
      </c>
      <c r="O1151" s="286">
        <v>1</v>
      </c>
      <c r="P1151" s="332">
        <v>0</v>
      </c>
      <c r="Q1151" s="286">
        <v>1</v>
      </c>
      <c r="R1151" s="286">
        <v>1</v>
      </c>
      <c r="S1151" s="287">
        <v>1</v>
      </c>
      <c r="T1151" s="21">
        <v>1</v>
      </c>
      <c r="U1151" s="10" t="s">
        <v>2211</v>
      </c>
      <c r="V1151" s="90">
        <f>140+1269.1</f>
        <v>1409.1</v>
      </c>
      <c r="W1151" s="91"/>
      <c r="X1151" s="92"/>
    </row>
    <row r="1152" spans="1:24">
      <c r="B1152" s="87">
        <f t="shared" si="86"/>
        <v>12</v>
      </c>
      <c r="C1152" s="295">
        <v>45924</v>
      </c>
      <c r="D1152" s="346">
        <v>73619</v>
      </c>
      <c r="E1152" s="10" t="s">
        <v>809</v>
      </c>
      <c r="F1152" s="95">
        <v>1082</v>
      </c>
      <c r="G1152" s="62">
        <f>39.7</f>
        <v>39.700000000000003</v>
      </c>
      <c r="H1152" s="62"/>
      <c r="I1152" s="324">
        <f>F1152-G1152-H1152</f>
        <v>1042.3</v>
      </c>
      <c r="J1152" s="63" t="s">
        <v>156</v>
      </c>
      <c r="K1152" s="63">
        <v>1</v>
      </c>
      <c r="L1152" s="63">
        <v>1</v>
      </c>
      <c r="M1152" s="63">
        <v>1</v>
      </c>
      <c r="N1152" s="63">
        <v>1</v>
      </c>
      <c r="O1152" s="63">
        <v>1</v>
      </c>
      <c r="P1152" s="325">
        <v>0</v>
      </c>
      <c r="Q1152" s="325">
        <v>0</v>
      </c>
      <c r="R1152" s="325">
        <v>0</v>
      </c>
      <c r="S1152" s="326">
        <v>0</v>
      </c>
      <c r="T1152" s="21">
        <v>1</v>
      </c>
      <c r="U1152" s="10"/>
      <c r="V1152" s="90">
        <f>119+1071.2</f>
        <v>1190.2</v>
      </c>
      <c r="W1152" s="91"/>
      <c r="X1152" s="92"/>
    </row>
    <row r="1153" spans="1:24">
      <c r="B1153" s="87">
        <f t="shared" si="86"/>
        <v>13</v>
      </c>
      <c r="C1153" s="295">
        <v>45924</v>
      </c>
      <c r="D1153" s="346">
        <v>73638</v>
      </c>
      <c r="E1153" s="10" t="s">
        <v>426</v>
      </c>
      <c r="F1153" s="95">
        <v>1461</v>
      </c>
      <c r="G1153" s="62">
        <f>39.7</f>
        <v>39.700000000000003</v>
      </c>
      <c r="H1153" s="62"/>
      <c r="I1153" s="324">
        <f>F1153-G1153-H1153</f>
        <v>1421.3</v>
      </c>
      <c r="J1153" s="63" t="s">
        <v>156</v>
      </c>
      <c r="K1153" s="63">
        <v>1</v>
      </c>
      <c r="L1153" s="63">
        <v>1</v>
      </c>
      <c r="M1153" s="63">
        <v>1</v>
      </c>
      <c r="N1153" s="63">
        <v>1</v>
      </c>
      <c r="O1153" s="63">
        <v>1</v>
      </c>
      <c r="P1153" s="325">
        <v>0</v>
      </c>
      <c r="Q1153" s="63">
        <v>1</v>
      </c>
      <c r="R1153" s="63">
        <v>1</v>
      </c>
      <c r="S1153" s="296">
        <v>1</v>
      </c>
      <c r="T1153" s="21">
        <v>1</v>
      </c>
      <c r="U1153" s="10"/>
      <c r="V1153" s="90">
        <f>160+1447.1</f>
        <v>1607.1</v>
      </c>
      <c r="W1153" s="91"/>
      <c r="X1153" s="92"/>
    </row>
    <row r="1154" spans="1:24">
      <c r="B1154" s="87">
        <f t="shared" si="86"/>
        <v>14</v>
      </c>
      <c r="C1154" s="274">
        <v>45925</v>
      </c>
      <c r="D1154" s="320">
        <v>73671</v>
      </c>
      <c r="E1154" s="276" t="s">
        <v>158</v>
      </c>
      <c r="F1154" s="447">
        <v>1082</v>
      </c>
      <c r="G1154" s="277">
        <f>39.7</f>
        <v>39.700000000000003</v>
      </c>
      <c r="H1154" s="277"/>
      <c r="I1154" s="321">
        <f>F1154-G1154-H1154</f>
        <v>1042.3</v>
      </c>
      <c r="J1154" s="279" t="s">
        <v>156</v>
      </c>
      <c r="K1154" s="279">
        <v>1</v>
      </c>
      <c r="L1154" s="322">
        <v>0</v>
      </c>
      <c r="M1154" s="279">
        <v>1</v>
      </c>
      <c r="N1154" s="279">
        <v>1</v>
      </c>
      <c r="O1154" s="279">
        <v>1</v>
      </c>
      <c r="P1154" s="322">
        <v>0</v>
      </c>
      <c r="Q1154" s="279">
        <v>1</v>
      </c>
      <c r="R1154" s="279">
        <v>1</v>
      </c>
      <c r="S1154" s="280">
        <v>1</v>
      </c>
      <c r="T1154" s="21">
        <v>1</v>
      </c>
      <c r="U1154" s="10"/>
      <c r="V1154" s="90">
        <f>119+1071.2</f>
        <v>1190.2</v>
      </c>
      <c r="W1154" s="91"/>
      <c r="X1154" s="92"/>
    </row>
    <row r="1155" spans="1:24">
      <c r="B1155" s="87">
        <f t="shared" si="86"/>
        <v>15</v>
      </c>
      <c r="C1155" s="295">
        <v>45925</v>
      </c>
      <c r="D1155" s="346">
        <v>73520</v>
      </c>
      <c r="E1155" s="10" t="s">
        <v>370</v>
      </c>
      <c r="F1155" s="95">
        <v>2286</v>
      </c>
      <c r="G1155" s="62">
        <f>39.7+(13.55)</f>
        <v>53.25</v>
      </c>
      <c r="H1155" s="62"/>
      <c r="I1155" s="324">
        <f>F1155-G1155-H1155</f>
        <v>2232.75</v>
      </c>
      <c r="J1155" s="63" t="s">
        <v>236</v>
      </c>
      <c r="K1155" s="63">
        <v>1</v>
      </c>
      <c r="L1155" s="63">
        <v>1</v>
      </c>
      <c r="M1155" s="63">
        <v>1</v>
      </c>
      <c r="N1155" s="63">
        <v>1</v>
      </c>
      <c r="O1155" s="63">
        <v>1</v>
      </c>
      <c r="P1155" s="325">
        <v>0</v>
      </c>
      <c r="Q1155" s="63">
        <v>1</v>
      </c>
      <c r="R1155" s="63">
        <v>1</v>
      </c>
      <c r="S1155" s="296">
        <v>1</v>
      </c>
      <c r="T1155" s="21">
        <v>1</v>
      </c>
      <c r="U1155" s="10" t="s">
        <v>2212</v>
      </c>
      <c r="V1155" s="90">
        <f>1400+214.6</f>
        <v>1614.6</v>
      </c>
      <c r="W1155" s="440">
        <f>50*13+100*2+20*1+10*2</f>
        <v>890</v>
      </c>
      <c r="X1155" s="92"/>
    </row>
    <row r="1156" spans="1:24">
      <c r="B1156" s="87">
        <f t="shared" si="86"/>
        <v>16</v>
      </c>
      <c r="C1156" s="295">
        <v>45925</v>
      </c>
      <c r="D1156" s="346">
        <v>73672</v>
      </c>
      <c r="E1156" s="10" t="s">
        <v>206</v>
      </c>
      <c r="F1156" s="95">
        <v>681</v>
      </c>
      <c r="G1156" s="62"/>
      <c r="H1156" s="62"/>
      <c r="I1156" s="324">
        <f>F1156-G1156-H1156</f>
        <v>681</v>
      </c>
      <c r="J1156" s="63" t="s">
        <v>156</v>
      </c>
      <c r="K1156" s="63">
        <v>1</v>
      </c>
      <c r="L1156" s="63">
        <v>1</v>
      </c>
      <c r="M1156" s="63">
        <v>1</v>
      </c>
      <c r="N1156" s="63">
        <v>1</v>
      </c>
      <c r="O1156" s="63">
        <v>1</v>
      </c>
      <c r="P1156" s="325">
        <v>0</v>
      </c>
      <c r="Q1156" s="325">
        <v>0</v>
      </c>
      <c r="R1156" s="325">
        <v>0</v>
      </c>
      <c r="S1156" s="326">
        <v>0</v>
      </c>
      <c r="T1156" s="21"/>
      <c r="U1156" s="10"/>
      <c r="V1156" s="90">
        <f>74+675.1</f>
        <v>749.1</v>
      </c>
      <c r="W1156" s="96"/>
      <c r="X1156" s="92"/>
    </row>
    <row r="1157" spans="1:24">
      <c r="B1157" s="87">
        <f t="shared" si="86"/>
        <v>17</v>
      </c>
      <c r="C1157" s="295">
        <v>45925</v>
      </c>
      <c r="D1157" s="346">
        <v>73699</v>
      </c>
      <c r="E1157" s="10" t="s">
        <v>206</v>
      </c>
      <c r="F1157" s="95">
        <v>1281</v>
      </c>
      <c r="G1157" s="62">
        <f>39.7</f>
        <v>39.700000000000003</v>
      </c>
      <c r="H1157" s="62"/>
      <c r="I1157" s="324">
        <f>F1157-G1157-H1157</f>
        <v>1241.3</v>
      </c>
      <c r="J1157" s="63" t="s">
        <v>156</v>
      </c>
      <c r="K1157" s="63">
        <v>1</v>
      </c>
      <c r="L1157" s="63">
        <v>1</v>
      </c>
      <c r="M1157" s="63">
        <v>1</v>
      </c>
      <c r="N1157" s="63">
        <v>1</v>
      </c>
      <c r="O1157" s="63">
        <v>1</v>
      </c>
      <c r="P1157" s="325">
        <v>0</v>
      </c>
      <c r="Q1157" s="63">
        <v>1</v>
      </c>
      <c r="R1157" s="63">
        <v>1</v>
      </c>
      <c r="S1157" s="296">
        <v>1</v>
      </c>
      <c r="T1157" s="21"/>
      <c r="U1157" s="10"/>
      <c r="V1157" s="90">
        <f>140+1269.1</f>
        <v>1409.1</v>
      </c>
      <c r="W1157" s="96"/>
      <c r="X1157" s="92"/>
    </row>
    <row r="1158" spans="1:24">
      <c r="A1158" t="s">
        <v>2213</v>
      </c>
      <c r="B1158" s="87">
        <f t="shared" si="86"/>
        <v>18</v>
      </c>
      <c r="C1158" s="282">
        <v>45925</v>
      </c>
      <c r="D1158" s="330" t="s">
        <v>2214</v>
      </c>
      <c r="E1158" s="283" t="s">
        <v>671</v>
      </c>
      <c r="F1158" s="423">
        <f>1281+89</f>
        <v>1370</v>
      </c>
      <c r="G1158" s="284">
        <f>39.7</f>
        <v>39.700000000000003</v>
      </c>
      <c r="H1158" s="284"/>
      <c r="I1158" s="331">
        <f>F1158-G1158-H1158</f>
        <v>1330.3</v>
      </c>
      <c r="J1158" s="286" t="s">
        <v>156</v>
      </c>
      <c r="K1158" s="286">
        <v>1</v>
      </c>
      <c r="L1158" s="286">
        <v>1</v>
      </c>
      <c r="M1158" s="286">
        <v>1</v>
      </c>
      <c r="N1158" s="286">
        <v>1</v>
      </c>
      <c r="O1158" s="286">
        <v>1</v>
      </c>
      <c r="P1158" s="332">
        <v>0</v>
      </c>
      <c r="Q1158" s="286">
        <v>1</v>
      </c>
      <c r="R1158" s="286">
        <v>1</v>
      </c>
      <c r="S1158" s="287">
        <v>1</v>
      </c>
      <c r="T1158" s="21"/>
      <c r="U1158" s="10" t="s">
        <v>2215</v>
      </c>
      <c r="V1158" s="90">
        <f>140+1269.1</f>
        <v>1409.1</v>
      </c>
      <c r="W1158" s="96"/>
      <c r="X1158" s="92"/>
    </row>
    <row r="1159" spans="1:24">
      <c r="B1159" s="87"/>
      <c r="C1159" s="36"/>
      <c r="D1159" s="77"/>
      <c r="E1159" s="10"/>
      <c r="F1159" s="97">
        <f>SUM(F1141:F1158)</f>
        <v>24724</v>
      </c>
      <c r="G1159" s="97">
        <f>SUM(G1141:G1158)</f>
        <v>2313.059999999999</v>
      </c>
      <c r="H1159" s="97">
        <f>SUM(H1141:H1158)</f>
        <v>0</v>
      </c>
      <c r="I1159" s="98">
        <f>SUM(I1141:I1158)</f>
        <v>22410.939999999995</v>
      </c>
      <c r="J1159" s="63"/>
      <c r="K1159" s="63">
        <f>COUNT(K1141:K1158)</f>
        <v>18</v>
      </c>
      <c r="L1159" s="63">
        <f>COUNT(L1141:L1158)</f>
        <v>18</v>
      </c>
      <c r="M1159" s="63">
        <f>COUNT(M1141:M1158)</f>
        <v>18</v>
      </c>
      <c r="N1159" s="63">
        <f>COUNT(N1141:N1158)</f>
        <v>18</v>
      </c>
      <c r="O1159" s="63">
        <f>COUNT(O1141:O1158)</f>
        <v>18</v>
      </c>
      <c r="P1159" s="63">
        <f>COUNT(P1141:P1158)</f>
        <v>18</v>
      </c>
      <c r="Q1159" s="63">
        <f>COUNT(Q1141:Q1158)</f>
        <v>18</v>
      </c>
      <c r="R1159" s="63">
        <f>COUNT(R1141:R1158)</f>
        <v>18</v>
      </c>
      <c r="S1159" s="63">
        <f>COUNT(S1141:S1158)</f>
        <v>18</v>
      </c>
      <c r="T1159" s="63"/>
      <c r="U1159" s="10"/>
      <c r="V1159" s="90"/>
      <c r="W1159" s="91"/>
      <c r="X1159" s="92"/>
    </row>
    <row r="1160" spans="1:24">
      <c r="B1160" s="87"/>
      <c r="C1160" s="36"/>
      <c r="D1160" s="10"/>
      <c r="E1160" s="10"/>
      <c r="F1160" s="88"/>
      <c r="G1160" s="88"/>
      <c r="H1160" s="88"/>
      <c r="I1160" s="99"/>
      <c r="J1160" s="63"/>
      <c r="K1160" s="21">
        <f>SUM(K1141:K1158)</f>
        <v>18</v>
      </c>
      <c r="L1160" s="21">
        <f>SUM(L1141:L1158)</f>
        <v>17</v>
      </c>
      <c r="M1160" s="21">
        <f>SUM(M1141:M1158)</f>
        <v>18</v>
      </c>
      <c r="N1160" s="21">
        <f>SUM(N1141:N1158)</f>
        <v>18</v>
      </c>
      <c r="O1160" s="21">
        <f>SUM(O1141:O1158)</f>
        <v>18</v>
      </c>
      <c r="P1160" s="21">
        <f>SUM(P1141:P1158)</f>
        <v>0</v>
      </c>
      <c r="Q1160" s="21">
        <f>SUM(Q1141:Q1158)</f>
        <v>15</v>
      </c>
      <c r="R1160" s="21">
        <f>SUM(R1141:R1158)</f>
        <v>15</v>
      </c>
      <c r="S1160" s="21">
        <f>SUM(S1141:S1158)</f>
        <v>14</v>
      </c>
      <c r="T1160" s="63"/>
      <c r="U1160" s="10"/>
      <c r="V1160" s="90"/>
      <c r="W1160" s="91"/>
      <c r="X1160" s="92"/>
    </row>
    <row r="1161" spans="1:24">
      <c r="B1161" s="11"/>
      <c r="C1161" s="36"/>
      <c r="D1161" s="10"/>
      <c r="E1161" s="10"/>
      <c r="F1161" s="88"/>
      <c r="G1161" s="88"/>
      <c r="H1161" s="88"/>
      <c r="I1161" s="99"/>
      <c r="J1161" s="63"/>
      <c r="K1161" s="21"/>
      <c r="L1161" s="21"/>
      <c r="M1161" s="21"/>
      <c r="N1161" s="21"/>
      <c r="O1161" s="21"/>
      <c r="P1161" s="21"/>
      <c r="Q1161" s="21"/>
      <c r="R1161" s="21"/>
      <c r="S1161" s="21"/>
      <c r="T1161" s="63"/>
      <c r="U1161" s="94"/>
      <c r="V1161" s="90"/>
      <c r="W1161" s="91"/>
      <c r="X1161" s="92"/>
    </row>
    <row r="1162" spans="1:24">
      <c r="B1162" s="121" t="s">
        <v>68</v>
      </c>
      <c r="C1162" s="36"/>
      <c r="D1162" s="123"/>
      <c r="E1162" s="123"/>
      <c r="F1162" s="124"/>
      <c r="G1162" s="125"/>
      <c r="H1162" s="124"/>
      <c r="I1162" s="126"/>
      <c r="J1162" s="127"/>
      <c r="K1162" s="128"/>
      <c r="L1162" s="128"/>
      <c r="M1162" s="128"/>
      <c r="N1162" s="128"/>
      <c r="O1162" s="128"/>
      <c r="P1162" s="128"/>
      <c r="Q1162" s="128"/>
      <c r="R1162" s="128"/>
      <c r="S1162" s="128"/>
      <c r="T1162" s="127"/>
      <c r="U1162" s="123"/>
      <c r="V1162" s="129"/>
      <c r="W1162" s="130"/>
      <c r="X1162" s="131"/>
    </row>
    <row r="1163" spans="1:24" s="342" customFormat="1">
      <c r="A1163" s="342" t="s">
        <v>2216</v>
      </c>
      <c r="B1163" s="333">
        <v>1</v>
      </c>
      <c r="C1163" s="334">
        <v>45922</v>
      </c>
      <c r="D1163" s="327" t="s">
        <v>2217</v>
      </c>
      <c r="E1163" s="550" t="s">
        <v>155</v>
      </c>
      <c r="F1163" s="336">
        <v>5174.5</v>
      </c>
      <c r="G1163" s="336">
        <f>39.7+(8.54)+(1349.28+169.28)+250</f>
        <v>1816.8</v>
      </c>
      <c r="H1163" s="336"/>
      <c r="I1163" s="337">
        <f>F1163-G1163-H1163</f>
        <v>3357.7</v>
      </c>
      <c r="J1163" s="338" t="s">
        <v>156</v>
      </c>
      <c r="K1163" s="338">
        <v>1</v>
      </c>
      <c r="L1163" s="338">
        <v>1</v>
      </c>
      <c r="M1163" s="338">
        <v>1</v>
      </c>
      <c r="N1163" s="338">
        <v>1</v>
      </c>
      <c r="O1163" s="338">
        <v>1</v>
      </c>
      <c r="P1163" s="322">
        <v>0</v>
      </c>
      <c r="Q1163" s="322">
        <v>0</v>
      </c>
      <c r="R1163" s="322">
        <v>0</v>
      </c>
      <c r="S1163" s="328">
        <v>0</v>
      </c>
      <c r="T1163" s="127"/>
      <c r="U1163" s="135" t="s">
        <v>2218</v>
      </c>
      <c r="V1163" s="129">
        <f>1000+2500+600</f>
        <v>4100</v>
      </c>
      <c r="W1163" s="130"/>
      <c r="X1163" s="131"/>
    </row>
    <row r="1164" spans="1:24" s="342" customFormat="1">
      <c r="A1164" s="342" t="s">
        <v>2219</v>
      </c>
      <c r="B1164" s="333">
        <f t="shared" ref="B1164" si="87">B1163+1</f>
        <v>2</v>
      </c>
      <c r="C1164" s="350">
        <v>45924</v>
      </c>
      <c r="D1164" s="263">
        <v>73596</v>
      </c>
      <c r="E1164" s="351" t="s">
        <v>296</v>
      </c>
      <c r="F1164" s="352">
        <v>2391.9</v>
      </c>
      <c r="G1164" s="352">
        <f>39.7+(206.34+82.06)+200</f>
        <v>528.09999999999991</v>
      </c>
      <c r="H1164" s="352"/>
      <c r="I1164" s="353">
        <f>F1164-G1164-H1164</f>
        <v>1863.8000000000002</v>
      </c>
      <c r="J1164" s="354" t="s">
        <v>228</v>
      </c>
      <c r="K1164" s="354">
        <v>1</v>
      </c>
      <c r="L1164" s="354">
        <v>1</v>
      </c>
      <c r="M1164" s="354">
        <v>1</v>
      </c>
      <c r="N1164" s="354">
        <v>1</v>
      </c>
      <c r="O1164" s="354">
        <v>1</v>
      </c>
      <c r="P1164" s="314">
        <v>0</v>
      </c>
      <c r="Q1164" s="354">
        <v>1</v>
      </c>
      <c r="R1164" s="354">
        <v>1</v>
      </c>
      <c r="S1164" s="355">
        <v>1</v>
      </c>
      <c r="T1164" s="127"/>
      <c r="U1164" s="123" t="s">
        <v>2220</v>
      </c>
      <c r="V1164" s="129">
        <f>300+2631.09</f>
        <v>2931.09</v>
      </c>
      <c r="W1164" s="130"/>
      <c r="X1164" s="131"/>
    </row>
    <row r="1165" spans="1:24">
      <c r="B1165" s="132"/>
      <c r="C1165" s="36"/>
      <c r="D1165" s="123"/>
      <c r="E1165" s="123"/>
      <c r="F1165" s="133">
        <f>SUM(F1163:F1164)</f>
        <v>7566.4</v>
      </c>
      <c r="G1165" s="133">
        <f>SUM(G1163:G1164)</f>
        <v>2344.8999999999996</v>
      </c>
      <c r="H1165" s="133">
        <f>SUM(H1163:H1164)</f>
        <v>0</v>
      </c>
      <c r="I1165" s="134">
        <f>SUM(I1163:I1164)</f>
        <v>5221.5</v>
      </c>
      <c r="J1165" s="127"/>
      <c r="K1165" s="64"/>
      <c r="L1165" s="64"/>
      <c r="M1165" s="64"/>
      <c r="N1165" s="64"/>
      <c r="O1165" s="64"/>
      <c r="P1165" s="64"/>
      <c r="Q1165" s="64"/>
      <c r="R1165" s="64"/>
      <c r="S1165" s="64"/>
      <c r="T1165" s="127"/>
      <c r="U1165" s="123"/>
      <c r="V1165" s="129"/>
      <c r="W1165" s="130"/>
      <c r="X1165" s="131"/>
    </row>
    <row r="1166" spans="1:24">
      <c r="B1166" s="11"/>
      <c r="C1166" s="36"/>
      <c r="D1166" s="10"/>
      <c r="E1166" s="10"/>
      <c r="F1166" s="88"/>
      <c r="G1166" s="88"/>
      <c r="H1166" s="88"/>
      <c r="I1166" s="99"/>
      <c r="J1166" s="63"/>
      <c r="K1166" s="21"/>
      <c r="L1166" s="21"/>
      <c r="M1166" s="21"/>
      <c r="N1166" s="21"/>
      <c r="O1166" s="21"/>
      <c r="P1166" s="21"/>
      <c r="Q1166" s="21"/>
      <c r="R1166" s="21"/>
      <c r="S1166" s="21"/>
      <c r="T1166" s="63"/>
      <c r="U1166" s="10"/>
      <c r="V1166" s="90"/>
      <c r="W1166" s="91"/>
      <c r="X1166" s="92"/>
    </row>
    <row r="1167" spans="1:24">
      <c r="B1167" s="121" t="s">
        <v>70</v>
      </c>
      <c r="C1167" s="36"/>
      <c r="D1167" s="123"/>
      <c r="E1167" s="128"/>
      <c r="F1167" s="124"/>
      <c r="G1167" s="124"/>
      <c r="H1167" s="124"/>
      <c r="I1167" s="126"/>
      <c r="J1167" s="127"/>
      <c r="K1167" s="64"/>
      <c r="L1167" s="64"/>
      <c r="M1167" s="64"/>
      <c r="N1167" s="64"/>
      <c r="O1167" s="64"/>
      <c r="P1167" s="64"/>
      <c r="Q1167" s="64"/>
      <c r="R1167" s="64"/>
      <c r="S1167" s="64"/>
      <c r="T1167" s="127"/>
      <c r="U1167" s="135"/>
      <c r="V1167" s="129"/>
      <c r="W1167" s="130"/>
      <c r="X1167" s="131"/>
    </row>
    <row r="1168" spans="1:24" s="342" customFormat="1">
      <c r="A1168" s="492">
        <v>0.05</v>
      </c>
      <c r="B1168" s="333">
        <v>1</v>
      </c>
      <c r="C1168" s="350">
        <v>45923</v>
      </c>
      <c r="D1168" s="263" t="s">
        <v>2221</v>
      </c>
      <c r="E1168" s="358" t="s">
        <v>168</v>
      </c>
      <c r="F1168" s="352">
        <v>6814</v>
      </c>
      <c r="G1168" s="352">
        <f>39.7+2000</f>
        <v>2039.7</v>
      </c>
      <c r="H1168" s="352"/>
      <c r="I1168" s="353">
        <f>F1168-G1168-H1168</f>
        <v>4774.3</v>
      </c>
      <c r="J1168" s="354" t="s">
        <v>156</v>
      </c>
      <c r="K1168" s="354">
        <v>1</v>
      </c>
      <c r="L1168" s="354"/>
      <c r="M1168" s="354">
        <v>1</v>
      </c>
      <c r="N1168" s="354">
        <v>1</v>
      </c>
      <c r="O1168" s="354">
        <v>1</v>
      </c>
      <c r="P1168" s="314">
        <v>0</v>
      </c>
      <c r="Q1168" s="354"/>
      <c r="R1168" s="354"/>
      <c r="S1168" s="355"/>
      <c r="T1168" s="127"/>
      <c r="U1168" s="135"/>
      <c r="V1168" s="129">
        <f>749</f>
        <v>749</v>
      </c>
      <c r="W1168" s="340"/>
      <c r="X1168" s="341"/>
    </row>
    <row r="1169" spans="1:25">
      <c r="B1169" s="132"/>
      <c r="C1169" s="36"/>
      <c r="D1169" s="123"/>
      <c r="E1169" s="123"/>
      <c r="F1169" s="134">
        <f>SUM(F1168:F1168)</f>
        <v>6814</v>
      </c>
      <c r="G1169" s="134">
        <f>SUM(G1168:G1168)</f>
        <v>2039.7</v>
      </c>
      <c r="H1169" s="134">
        <f>SUM(H1168:H1168)</f>
        <v>0</v>
      </c>
      <c r="I1169" s="134">
        <f>SUM(I1168:I1168)</f>
        <v>4774.3</v>
      </c>
      <c r="J1169" s="127"/>
      <c r="K1169" s="64"/>
      <c r="L1169" s="64"/>
      <c r="M1169" s="64"/>
      <c r="N1169" s="64"/>
      <c r="O1169" s="64"/>
      <c r="P1169" s="64"/>
      <c r="Q1169" s="64"/>
      <c r="R1169" s="64"/>
      <c r="S1169" s="64"/>
      <c r="T1169" s="127"/>
      <c r="U1169" s="135"/>
      <c r="V1169" s="129"/>
      <c r="W1169" s="130"/>
      <c r="X1169" s="131"/>
    </row>
    <row r="1170" spans="1:25">
      <c r="B1170" s="11"/>
      <c r="C1170" s="36"/>
      <c r="D1170" s="10"/>
      <c r="E1170" s="10"/>
      <c r="F1170" s="88"/>
      <c r="G1170" s="88"/>
      <c r="H1170" s="88"/>
      <c r="I1170" s="99"/>
      <c r="J1170" s="10"/>
      <c r="K1170" s="63"/>
      <c r="L1170" s="63"/>
      <c r="M1170" s="63"/>
      <c r="N1170" s="63"/>
      <c r="O1170" s="63"/>
      <c r="P1170" s="63"/>
      <c r="Q1170" s="63"/>
      <c r="R1170" s="63"/>
      <c r="S1170" s="63"/>
      <c r="T1170" s="63"/>
      <c r="U1170" s="94"/>
      <c r="V1170" s="90"/>
      <c r="W1170" s="91"/>
      <c r="X1170" s="92"/>
    </row>
    <row r="1171" spans="1:25" s="260" customFormat="1">
      <c r="A1171" s="181"/>
      <c r="B1171" s="100" t="s">
        <v>152</v>
      </c>
      <c r="C1171" s="36"/>
      <c r="D1171" s="10"/>
      <c r="E1171" s="10"/>
      <c r="F1171" s="88"/>
      <c r="G1171" s="62"/>
      <c r="H1171" s="88"/>
      <c r="I1171" s="99"/>
      <c r="J1171" s="63"/>
      <c r="K1171" s="181"/>
      <c r="L1171" s="181"/>
      <c r="M1171" s="181"/>
      <c r="N1171" s="181"/>
      <c r="O1171" s="181"/>
      <c r="P1171" s="181"/>
      <c r="Q1171" s="181"/>
      <c r="R1171" s="181"/>
      <c r="S1171" s="181"/>
      <c r="T1171" s="63"/>
      <c r="U1171" s="10"/>
      <c r="V1171" s="90"/>
      <c r="W1171" s="91"/>
      <c r="X1171" s="92"/>
    </row>
    <row r="1172" spans="1:25" s="260" customFormat="1">
      <c r="A1172" s="494">
        <v>0.05</v>
      </c>
      <c r="B1172" s="87">
        <v>1</v>
      </c>
      <c r="C1172" s="262">
        <v>45849</v>
      </c>
      <c r="D1172" s="263">
        <v>71382</v>
      </c>
      <c r="E1172" s="271" t="s">
        <v>999</v>
      </c>
      <c r="F1172" s="265">
        <v>1861</v>
      </c>
      <c r="G1172" s="265">
        <f>39.7+544.5</f>
        <v>584.20000000000005</v>
      </c>
      <c r="H1172" s="265"/>
      <c r="I1172" s="266">
        <f>F1172-G1172-H1172</f>
        <v>1276.8</v>
      </c>
      <c r="J1172" s="267" t="s">
        <v>374</v>
      </c>
      <c r="K1172" s="267">
        <v>1</v>
      </c>
      <c r="L1172" s="267"/>
      <c r="M1172" s="267">
        <v>1</v>
      </c>
      <c r="N1172" s="267">
        <v>1</v>
      </c>
      <c r="O1172" s="267">
        <v>1</v>
      </c>
      <c r="P1172" s="314">
        <v>0</v>
      </c>
      <c r="Q1172" s="314">
        <v>0</v>
      </c>
      <c r="R1172" s="314">
        <v>0</v>
      </c>
      <c r="S1172" s="366">
        <v>0</v>
      </c>
      <c r="T1172" s="63"/>
      <c r="U1172" s="94" t="s">
        <v>2072</v>
      </c>
      <c r="V1172" s="90"/>
      <c r="W1172" s="136"/>
      <c r="X1172" s="137"/>
    </row>
    <row r="1173" spans="1:25" s="260" customFormat="1">
      <c r="A1173" s="261">
        <v>0.05</v>
      </c>
      <c r="B1173" s="87">
        <f>B1172+1</f>
        <v>2</v>
      </c>
      <c r="C1173" s="282">
        <v>45861</v>
      </c>
      <c r="D1173" s="330" t="s">
        <v>1997</v>
      </c>
      <c r="E1173" s="283" t="s">
        <v>270</v>
      </c>
      <c r="F1173" s="423">
        <v>5133</v>
      </c>
      <c r="G1173" s="284">
        <f>39.7+(1071.49)+250</f>
        <v>1361.19</v>
      </c>
      <c r="H1173" s="284"/>
      <c r="I1173" s="300">
        <f>F1173-G1173-H1173</f>
        <v>3771.81</v>
      </c>
      <c r="J1173" s="286" t="s">
        <v>156</v>
      </c>
      <c r="K1173" s="286">
        <v>1</v>
      </c>
      <c r="L1173" s="286">
        <v>1</v>
      </c>
      <c r="M1173" s="286">
        <v>1</v>
      </c>
      <c r="N1173" s="286">
        <v>1</v>
      </c>
      <c r="O1173" s="286">
        <v>1</v>
      </c>
      <c r="P1173" s="332">
        <v>0</v>
      </c>
      <c r="Q1173" s="332">
        <v>0</v>
      </c>
      <c r="R1173" s="332">
        <v>0</v>
      </c>
      <c r="S1173" s="370">
        <v>0</v>
      </c>
      <c r="T1173" s="63"/>
      <c r="U1173" s="10" t="s">
        <v>2222</v>
      </c>
      <c r="V1173" s="90"/>
      <c r="W1173" s="91"/>
      <c r="X1173" s="92"/>
    </row>
    <row r="1174" spans="1:25" s="260" customFormat="1">
      <c r="A1174" s="494" t="s">
        <v>1183</v>
      </c>
      <c r="B1174" s="87">
        <f>B1173+1</f>
        <v>3</v>
      </c>
      <c r="C1174" s="262">
        <v>45867</v>
      </c>
      <c r="D1174" s="357" t="s">
        <v>2029</v>
      </c>
      <c r="E1174" s="264" t="s">
        <v>158</v>
      </c>
      <c r="F1174" s="265">
        <v>4461</v>
      </c>
      <c r="G1174" s="265">
        <f>39.7+300</f>
        <v>339.7</v>
      </c>
      <c r="H1174" s="265"/>
      <c r="I1174" s="266">
        <f>F1174-G1174-H1174</f>
        <v>4121.3</v>
      </c>
      <c r="J1174" s="267"/>
      <c r="K1174" s="267">
        <v>1</v>
      </c>
      <c r="L1174" s="267">
        <v>1</v>
      </c>
      <c r="M1174" s="267"/>
      <c r="N1174" s="267">
        <v>1</v>
      </c>
      <c r="O1174" s="267">
        <v>1</v>
      </c>
      <c r="P1174" s="314">
        <v>0</v>
      </c>
      <c r="Q1174" s="314">
        <v>0</v>
      </c>
      <c r="R1174" s="314">
        <v>0</v>
      </c>
      <c r="S1174" s="366">
        <v>0</v>
      </c>
      <c r="T1174" s="63"/>
      <c r="U1174" s="10" t="s">
        <v>2030</v>
      </c>
      <c r="V1174" s="90"/>
      <c r="W1174" s="91"/>
      <c r="X1174" s="92"/>
    </row>
    <row r="1175" spans="1:25" s="342" customFormat="1">
      <c r="A1175" s="494">
        <v>0.05</v>
      </c>
      <c r="B1175" s="87">
        <f>B1174+1</f>
        <v>4</v>
      </c>
      <c r="C1175" s="262">
        <v>45876</v>
      </c>
      <c r="D1175" s="357">
        <v>72143</v>
      </c>
      <c r="E1175" s="264" t="s">
        <v>168</v>
      </c>
      <c r="F1175" s="265">
        <v>1461</v>
      </c>
      <c r="G1175" s="265">
        <v>39.700000000000003</v>
      </c>
      <c r="H1175" s="265"/>
      <c r="I1175" s="266">
        <f>F1175-G1175-H1175</f>
        <v>1421.3</v>
      </c>
      <c r="J1175" s="267" t="s">
        <v>228</v>
      </c>
      <c r="K1175" s="267">
        <v>1</v>
      </c>
      <c r="L1175" s="267">
        <v>1</v>
      </c>
      <c r="M1175" s="267">
        <v>1</v>
      </c>
      <c r="N1175" s="267">
        <v>1</v>
      </c>
      <c r="O1175" s="267">
        <v>1</v>
      </c>
      <c r="P1175" s="314">
        <v>0</v>
      </c>
      <c r="Q1175" s="267">
        <v>1</v>
      </c>
      <c r="R1175" s="267">
        <v>1</v>
      </c>
      <c r="S1175" s="366">
        <v>0</v>
      </c>
      <c r="T1175" s="63"/>
      <c r="U1175" s="10"/>
      <c r="V1175" s="90"/>
      <c r="W1175" s="91"/>
      <c r="X1175" s="92"/>
      <c r="Y1175" s="260"/>
    </row>
    <row r="1176" spans="1:25" s="260" customFormat="1">
      <c r="A1176" s="181" t="s">
        <v>1183</v>
      </c>
      <c r="B1176" s="87">
        <f>B1175+1</f>
        <v>5</v>
      </c>
      <c r="C1176" s="262">
        <v>45881</v>
      </c>
      <c r="D1176" s="357" t="s">
        <v>2070</v>
      </c>
      <c r="E1176" s="271" t="s">
        <v>572</v>
      </c>
      <c r="F1176" s="265">
        <f>8614-947.54</f>
        <v>7666.46</v>
      </c>
      <c r="G1176" s="265">
        <f>39.7+501.6+(1852.97+46.62)+250</f>
        <v>2690.89</v>
      </c>
      <c r="H1176" s="265"/>
      <c r="I1176" s="266">
        <f>F1176-G1176-H1176</f>
        <v>4975.57</v>
      </c>
      <c r="J1176" s="267" t="s">
        <v>156</v>
      </c>
      <c r="K1176" s="267">
        <v>1</v>
      </c>
      <c r="L1176" s="314">
        <v>0</v>
      </c>
      <c r="M1176" s="267">
        <v>1</v>
      </c>
      <c r="N1176" s="267">
        <v>1</v>
      </c>
      <c r="O1176" s="267">
        <v>1</v>
      </c>
      <c r="P1176" s="267">
        <v>1</v>
      </c>
      <c r="Q1176" s="267">
        <v>1</v>
      </c>
      <c r="R1176" s="267">
        <v>1</v>
      </c>
      <c r="S1176" s="269">
        <v>1</v>
      </c>
      <c r="T1176" s="63"/>
      <c r="U1176" s="94" t="s">
        <v>2191</v>
      </c>
      <c r="V1176" s="90"/>
      <c r="W1176" s="91"/>
      <c r="X1176" s="92"/>
    </row>
    <row r="1177" spans="1:25">
      <c r="A1177" s="260" t="s">
        <v>1183</v>
      </c>
      <c r="B1177" s="87">
        <f>B1176+1</f>
        <v>6</v>
      </c>
      <c r="C1177" s="262">
        <v>45902</v>
      </c>
      <c r="D1177" s="263">
        <v>72891</v>
      </c>
      <c r="E1177" s="271" t="s">
        <v>162</v>
      </c>
      <c r="F1177" s="265">
        <v>3433</v>
      </c>
      <c r="G1177" s="265">
        <v>39.700000000000003</v>
      </c>
      <c r="H1177" s="265"/>
      <c r="I1177" s="266">
        <f>F1177-G1177-H1177</f>
        <v>3393.3</v>
      </c>
      <c r="J1177" s="267" t="s">
        <v>156</v>
      </c>
      <c r="K1177" s="267">
        <v>1</v>
      </c>
      <c r="L1177" s="267">
        <v>1</v>
      </c>
      <c r="M1177" s="267">
        <v>1</v>
      </c>
      <c r="N1177" s="267">
        <v>1</v>
      </c>
      <c r="O1177" s="267">
        <v>1</v>
      </c>
      <c r="P1177" s="314">
        <v>0</v>
      </c>
      <c r="Q1177" s="267">
        <v>1</v>
      </c>
      <c r="R1177" s="267">
        <v>1</v>
      </c>
      <c r="S1177" s="269">
        <v>1</v>
      </c>
      <c r="T1177" s="21"/>
      <c r="U1177" s="94" t="s">
        <v>2192</v>
      </c>
      <c r="V1177" s="90"/>
      <c r="W1177" s="91"/>
      <c r="X1177" s="92"/>
      <c r="Y1177" s="260"/>
    </row>
    <row r="1178" spans="1:25" s="260" customFormat="1">
      <c r="A1178" s="260" t="s">
        <v>1183</v>
      </c>
      <c r="B1178" s="87">
        <f>B1177+1</f>
        <v>7</v>
      </c>
      <c r="C1178" s="262">
        <v>45903</v>
      </c>
      <c r="D1178" s="263" t="s">
        <v>2130</v>
      </c>
      <c r="E1178" s="271" t="s">
        <v>979</v>
      </c>
      <c r="F1178" s="265">
        <v>5533</v>
      </c>
      <c r="G1178" s="265">
        <f>39.7+(1471.41-16.4-3.76-8.58-2.51)</f>
        <v>1479.8600000000001</v>
      </c>
      <c r="H1178" s="265">
        <f>271.51</f>
        <v>271.51</v>
      </c>
      <c r="I1178" s="266">
        <f>F1178-G1178-H1178</f>
        <v>3781.63</v>
      </c>
      <c r="J1178" s="267" t="s">
        <v>313</v>
      </c>
      <c r="K1178" s="267">
        <v>1</v>
      </c>
      <c r="L1178" s="267">
        <v>1</v>
      </c>
      <c r="M1178" s="267">
        <v>1</v>
      </c>
      <c r="N1178" s="267">
        <v>1</v>
      </c>
      <c r="O1178" s="267">
        <v>1</v>
      </c>
      <c r="P1178" s="314">
        <v>0</v>
      </c>
      <c r="Q1178" s="267">
        <v>1</v>
      </c>
      <c r="R1178" s="267">
        <v>1</v>
      </c>
      <c r="S1178" s="269">
        <v>1</v>
      </c>
      <c r="T1178" s="21">
        <v>1</v>
      </c>
      <c r="U1178" s="94" t="s">
        <v>2169</v>
      </c>
      <c r="V1178" s="90"/>
      <c r="W1178" s="91"/>
      <c r="X1178" s="92"/>
    </row>
    <row r="1179" spans="1:25">
      <c r="A1179" s="494">
        <v>0.05</v>
      </c>
      <c r="B1179" s="87">
        <f>B1178+1</f>
        <v>8</v>
      </c>
      <c r="C1179" s="262">
        <v>45911</v>
      </c>
      <c r="D1179" s="263">
        <v>72853</v>
      </c>
      <c r="E1179" s="271" t="s">
        <v>786</v>
      </c>
      <c r="F1179" s="265">
        <v>523</v>
      </c>
      <c r="G1179" s="265"/>
      <c r="H1179" s="265"/>
      <c r="I1179" s="266">
        <f>F1179-G1179-H1179</f>
        <v>523</v>
      </c>
      <c r="J1179" s="267" t="s">
        <v>150</v>
      </c>
      <c r="K1179" s="267">
        <v>1</v>
      </c>
      <c r="L1179" s="267">
        <v>1</v>
      </c>
      <c r="M1179" s="267">
        <v>1</v>
      </c>
      <c r="N1179" s="267">
        <v>1</v>
      </c>
      <c r="O1179" s="267">
        <v>1</v>
      </c>
      <c r="P1179" s="314">
        <v>0</v>
      </c>
      <c r="Q1179" s="267">
        <v>1</v>
      </c>
      <c r="R1179" s="267">
        <v>1</v>
      </c>
      <c r="S1179" s="269">
        <v>1</v>
      </c>
      <c r="T1179" s="63"/>
      <c r="U1179" s="94" t="s">
        <v>2166</v>
      </c>
      <c r="V1179" s="90"/>
      <c r="W1179" s="91"/>
      <c r="X1179" s="137"/>
      <c r="Y1179" s="181"/>
    </row>
    <row r="1180" spans="1:25" s="260" customFormat="1">
      <c r="A1180" s="181"/>
      <c r="B1180" s="11"/>
      <c r="C1180" s="36"/>
      <c r="D1180" s="10"/>
      <c r="E1180" s="10"/>
      <c r="F1180" s="98">
        <f>SUM(F1172:F1179)</f>
        <v>30071.46</v>
      </c>
      <c r="G1180" s="98">
        <f>SUM(G1172:G1179)</f>
        <v>6535.24</v>
      </c>
      <c r="H1180" s="98">
        <f>SUM(H1172:H1179)</f>
        <v>271.51</v>
      </c>
      <c r="I1180" s="98">
        <f>SUM(I1172:I1179)</f>
        <v>23264.71</v>
      </c>
      <c r="J1180" s="63"/>
      <c r="K1180" s="21"/>
      <c r="L1180" s="21"/>
      <c r="M1180" s="21"/>
      <c r="N1180" s="21"/>
      <c r="O1180" s="21"/>
      <c r="P1180" s="21"/>
      <c r="Q1180" s="21"/>
      <c r="R1180" s="21"/>
      <c r="S1180" s="21"/>
      <c r="T1180" s="63"/>
      <c r="U1180" s="10"/>
      <c r="V1180" s="90"/>
      <c r="W1180" s="91"/>
      <c r="X1180" s="92"/>
    </row>
    <row r="1181" spans="1:25" s="260" customFormat="1">
      <c r="A1181" s="181"/>
      <c r="B1181" s="11"/>
      <c r="C1181" s="36"/>
      <c r="D1181" s="10"/>
      <c r="E1181" s="10"/>
      <c r="F1181" s="88"/>
      <c r="G1181" s="88"/>
      <c r="H1181" s="88"/>
      <c r="I1181" s="99"/>
      <c r="J1181" s="63"/>
      <c r="K1181" s="21"/>
      <c r="L1181" s="21"/>
      <c r="M1181" s="21"/>
      <c r="N1181" s="21"/>
      <c r="O1181" s="21"/>
      <c r="P1181" s="21"/>
      <c r="Q1181" s="21"/>
      <c r="R1181" s="21"/>
      <c r="S1181" s="21"/>
      <c r="T1181" s="63"/>
      <c r="U1181" s="10"/>
      <c r="V1181" s="90"/>
      <c r="W1181" s="91"/>
      <c r="X1181" s="92"/>
    </row>
    <row r="1182" spans="1:25" s="260" customFormat="1">
      <c r="B1182" s="100" t="s">
        <v>202</v>
      </c>
      <c r="C1182" s="36"/>
      <c r="D1182" s="10"/>
      <c r="E1182" s="181"/>
      <c r="F1182" s="88"/>
      <c r="G1182" s="88"/>
      <c r="H1182" s="88"/>
      <c r="I1182" s="99"/>
      <c r="J1182" s="63"/>
      <c r="K1182" s="21"/>
      <c r="L1182" s="21"/>
      <c r="M1182" s="21"/>
      <c r="N1182" s="21"/>
      <c r="O1182" s="21"/>
      <c r="P1182" s="21"/>
      <c r="Q1182" s="21"/>
      <c r="R1182" s="21"/>
      <c r="S1182" s="21"/>
      <c r="T1182" s="63"/>
      <c r="U1182" s="10"/>
      <c r="V1182" s="90"/>
      <c r="W1182" s="91"/>
      <c r="X1182" s="92"/>
    </row>
    <row r="1183" spans="1:25" s="260" customFormat="1">
      <c r="A1183" s="494">
        <v>0.05</v>
      </c>
      <c r="B1183" s="87">
        <v>1</v>
      </c>
      <c r="C1183" s="262">
        <v>45848</v>
      </c>
      <c r="D1183" s="263">
        <v>71381</v>
      </c>
      <c r="E1183" s="271" t="s">
        <v>1530</v>
      </c>
      <c r="F1183" s="265">
        <f>1223-85</f>
        <v>1138</v>
      </c>
      <c r="G1183" s="265">
        <f>39.7</f>
        <v>39.700000000000003</v>
      </c>
      <c r="H1183" s="265"/>
      <c r="I1183" s="266">
        <f>F1183-G1183-H1183</f>
        <v>1098.3</v>
      </c>
      <c r="J1183" s="267" t="s">
        <v>156</v>
      </c>
      <c r="K1183" s="267">
        <v>1</v>
      </c>
      <c r="L1183" s="267"/>
      <c r="M1183" s="267">
        <v>1</v>
      </c>
      <c r="N1183" s="267">
        <v>1</v>
      </c>
      <c r="O1183" s="267">
        <v>1</v>
      </c>
      <c r="P1183" s="314">
        <v>0</v>
      </c>
      <c r="Q1183" s="267"/>
      <c r="R1183" s="267"/>
      <c r="S1183" s="269"/>
      <c r="T1183" s="63"/>
      <c r="U1183" s="94"/>
      <c r="V1183" s="90"/>
      <c r="W1183" s="136"/>
      <c r="X1183" s="137"/>
    </row>
    <row r="1184" spans="1:25" s="260" customFormat="1">
      <c r="A1184" s="494">
        <v>0.05</v>
      </c>
      <c r="B1184" s="87">
        <f>B1183+1</f>
        <v>2</v>
      </c>
      <c r="C1184" s="274">
        <v>45902</v>
      </c>
      <c r="D1184" s="327">
        <v>72830</v>
      </c>
      <c r="E1184" s="276" t="s">
        <v>196</v>
      </c>
      <c r="F1184" s="277">
        <f>3447-85</f>
        <v>3362</v>
      </c>
      <c r="G1184" s="277">
        <f>39.7+(20.1)</f>
        <v>59.800000000000004</v>
      </c>
      <c r="H1184" s="277"/>
      <c r="I1184" s="321">
        <f>F1184-G1184-H1184</f>
        <v>3302.2</v>
      </c>
      <c r="J1184" s="279" t="s">
        <v>374</v>
      </c>
      <c r="K1184" s="279">
        <v>1</v>
      </c>
      <c r="L1184" s="279"/>
      <c r="M1184" s="279">
        <v>1</v>
      </c>
      <c r="N1184" s="279">
        <v>1</v>
      </c>
      <c r="O1184" s="322">
        <v>0</v>
      </c>
      <c r="P1184" s="322">
        <v>0</v>
      </c>
      <c r="Q1184" s="279"/>
      <c r="R1184" s="279"/>
      <c r="S1184" s="280"/>
      <c r="T1184" s="63"/>
      <c r="U1184" s="94"/>
      <c r="V1184" s="90"/>
      <c r="W1184" s="136"/>
      <c r="X1184" s="137"/>
    </row>
    <row r="1185" spans="1:25" s="260" customFormat="1">
      <c r="A1185" s="494">
        <v>0.05</v>
      </c>
      <c r="B1185" s="87">
        <f>B1184+1</f>
        <v>3</v>
      </c>
      <c r="C1185" s="262">
        <v>45904</v>
      </c>
      <c r="D1185" s="263">
        <v>72887</v>
      </c>
      <c r="E1185" s="271" t="s">
        <v>2132</v>
      </c>
      <c r="F1185" s="265">
        <v>12814</v>
      </c>
      <c r="G1185" s="265">
        <f>39.7+1000</f>
        <v>1039.7</v>
      </c>
      <c r="H1185" s="265"/>
      <c r="I1185" s="266">
        <f>F1185-G1185-H1185</f>
        <v>11774.3</v>
      </c>
      <c r="J1185" s="267"/>
      <c r="K1185" s="267">
        <v>1</v>
      </c>
      <c r="L1185" s="267"/>
      <c r="M1185" s="267"/>
      <c r="N1185" s="267">
        <v>1</v>
      </c>
      <c r="O1185" s="267">
        <v>1</v>
      </c>
      <c r="P1185" s="314">
        <v>0</v>
      </c>
      <c r="Q1185" s="267"/>
      <c r="R1185" s="267"/>
      <c r="S1185" s="269"/>
      <c r="T1185" s="21"/>
      <c r="U1185" s="94"/>
      <c r="V1185" s="90"/>
      <c r="W1185" s="136"/>
      <c r="X1185" s="137"/>
    </row>
    <row r="1186" spans="1:25" s="342" customFormat="1">
      <c r="A1186" s="494">
        <v>0.05</v>
      </c>
      <c r="B1186" s="87">
        <f>B1185+1</f>
        <v>4</v>
      </c>
      <c r="C1186" s="262">
        <v>45919</v>
      </c>
      <c r="D1186" s="263" t="s">
        <v>2189</v>
      </c>
      <c r="E1186" s="271" t="s">
        <v>225</v>
      </c>
      <c r="F1186" s="265">
        <v>17023</v>
      </c>
      <c r="G1186" s="265">
        <f>39.7+313.4+280.4+(3.75+52.5-57.57)+(398.58+159.54+65.3+7.89)+1500</f>
        <v>2763.49</v>
      </c>
      <c r="H1186" s="265"/>
      <c r="I1186" s="266">
        <f>F1186-G1186-H1186</f>
        <v>14259.51</v>
      </c>
      <c r="J1186" s="267" t="s">
        <v>156</v>
      </c>
      <c r="K1186" s="267">
        <v>1</v>
      </c>
      <c r="L1186" s="267"/>
      <c r="M1186" s="267">
        <v>1</v>
      </c>
      <c r="N1186" s="267">
        <v>1</v>
      </c>
      <c r="O1186" s="267">
        <v>1</v>
      </c>
      <c r="P1186" s="314">
        <v>0</v>
      </c>
      <c r="Q1186" s="267"/>
      <c r="R1186" s="267"/>
      <c r="S1186" s="269"/>
      <c r="T1186" s="21"/>
      <c r="U1186" s="94" t="s">
        <v>2223</v>
      </c>
      <c r="V1186" s="90">
        <f>1800+1500</f>
        <v>3300</v>
      </c>
      <c r="W1186" s="136"/>
      <c r="X1186" s="137"/>
      <c r="Y1186" s="260"/>
    </row>
    <row r="1187" spans="1:25" s="260" customFormat="1">
      <c r="B1187" s="11"/>
      <c r="C1187" s="36"/>
      <c r="D1187" s="10"/>
      <c r="E1187" s="10"/>
      <c r="F1187" s="97">
        <f>SUM(F1183:F1186)</f>
        <v>34337</v>
      </c>
      <c r="G1187" s="97">
        <f>SUM(G1183:G1186)</f>
        <v>3902.6899999999996</v>
      </c>
      <c r="H1187" s="97">
        <f>SUM(H1183:H1186)</f>
        <v>0</v>
      </c>
      <c r="I1187" s="97">
        <f>SUM(I1183:I1186)</f>
        <v>30434.309999999998</v>
      </c>
      <c r="J1187" s="63"/>
      <c r="K1187" s="21"/>
      <c r="L1187" s="21"/>
      <c r="M1187" s="21"/>
      <c r="N1187" s="21"/>
      <c r="O1187" s="21"/>
      <c r="P1187" s="21"/>
      <c r="Q1187" s="21"/>
      <c r="R1187" s="21"/>
      <c r="S1187" s="21"/>
      <c r="T1187" s="63"/>
      <c r="U1187" s="10"/>
      <c r="V1187" s="90"/>
      <c r="W1187" s="91"/>
      <c r="X1187" s="92"/>
    </row>
    <row r="1188" spans="1:25" s="260" customFormat="1">
      <c r="B1188" s="11"/>
      <c r="C1188" s="36"/>
      <c r="D1188" s="10"/>
      <c r="E1188" s="10"/>
      <c r="F1188" s="88"/>
      <c r="G1188" s="88"/>
      <c r="H1188" s="88"/>
      <c r="I1188" s="99"/>
      <c r="J1188" s="10"/>
      <c r="K1188" s="63"/>
      <c r="L1188" s="63"/>
      <c r="M1188" s="63"/>
      <c r="N1188" s="63"/>
      <c r="O1188" s="63"/>
      <c r="P1188" s="63"/>
      <c r="Q1188" s="63"/>
      <c r="R1188" s="63"/>
      <c r="S1188" s="63"/>
      <c r="T1188" s="63"/>
      <c r="U1188" s="10"/>
      <c r="V1188" s="90"/>
      <c r="W1188" s="91"/>
      <c r="X1188" s="92"/>
    </row>
    <row r="1189" spans="1:25">
      <c r="B1189" s="100" t="s">
        <v>72</v>
      </c>
      <c r="C1189" s="609"/>
      <c r="D1189" s="10"/>
      <c r="E1189" s="10"/>
      <c r="F1189" s="88"/>
      <c r="G1189" s="88"/>
      <c r="H1189" s="88"/>
      <c r="I1189" s="99"/>
      <c r="J1189" s="63"/>
      <c r="K1189" s="63"/>
      <c r="L1189" s="63"/>
      <c r="M1189" s="63"/>
      <c r="N1189" s="63"/>
      <c r="O1189" s="63"/>
      <c r="P1189" s="63"/>
      <c r="Q1189" s="63"/>
      <c r="R1189" s="63"/>
      <c r="S1189" s="63"/>
      <c r="T1189" s="63"/>
      <c r="U1189" s="10"/>
      <c r="V1189" s="90"/>
      <c r="W1189" s="91"/>
      <c r="X1189" s="92"/>
    </row>
    <row r="1190" spans="1:25">
      <c r="B1190" s="87">
        <v>1</v>
      </c>
      <c r="C1190" s="274">
        <v>45922</v>
      </c>
      <c r="D1190" s="276">
        <v>73338</v>
      </c>
      <c r="E1190" s="276" t="s">
        <v>239</v>
      </c>
      <c r="F1190" s="277">
        <v>4261</v>
      </c>
      <c r="G1190" s="277">
        <v>39.700000000000003</v>
      </c>
      <c r="H1190" s="277"/>
      <c r="I1190" s="278">
        <f>F1190-G1190-H1190</f>
        <v>4221.3</v>
      </c>
      <c r="J1190" s="279" t="s">
        <v>156</v>
      </c>
      <c r="K1190" s="279">
        <v>1</v>
      </c>
      <c r="L1190" s="279"/>
      <c r="M1190" s="279">
        <v>1</v>
      </c>
      <c r="N1190" s="279">
        <v>1</v>
      </c>
      <c r="O1190" s="279"/>
      <c r="P1190" s="279"/>
      <c r="Q1190" s="279"/>
      <c r="R1190" s="279"/>
      <c r="S1190" s="280"/>
      <c r="T1190" s="63"/>
      <c r="U1190" s="3"/>
      <c r="V1190" s="90">
        <v>93.5</v>
      </c>
      <c r="W1190" s="91"/>
      <c r="X1190" s="92"/>
    </row>
    <row r="1191" spans="1:25">
      <c r="B1191" s="87">
        <f t="shared" ref="B1191:B1198" si="88">B1190+1</f>
        <v>2</v>
      </c>
      <c r="C1191" s="295">
        <v>45922</v>
      </c>
      <c r="D1191" s="77" t="s">
        <v>2224</v>
      </c>
      <c r="E1191" s="10" t="s">
        <v>206</v>
      </c>
      <c r="F1191" s="62">
        <v>12146</v>
      </c>
      <c r="G1191" s="62">
        <v>39.700000000000003</v>
      </c>
      <c r="H1191" s="62"/>
      <c r="I1191" s="89">
        <f>F1191-G1191-H1191</f>
        <v>12106.3</v>
      </c>
      <c r="J1191" s="63" t="s">
        <v>205</v>
      </c>
      <c r="K1191" s="63">
        <v>1</v>
      </c>
      <c r="L1191" s="63"/>
      <c r="M1191" s="63"/>
      <c r="N1191" s="63">
        <v>1</v>
      </c>
      <c r="O1191" s="63"/>
      <c r="P1191" s="63"/>
      <c r="Q1191" s="63"/>
      <c r="R1191" s="63"/>
      <c r="S1191" s="296"/>
      <c r="T1191" s="63"/>
      <c r="U1191" s="10"/>
      <c r="V1191" s="90"/>
      <c r="W1191" s="136"/>
      <c r="X1191" s="137"/>
    </row>
    <row r="1192" spans="1:25">
      <c r="B1192" s="87">
        <f t="shared" si="88"/>
        <v>3</v>
      </c>
      <c r="C1192" s="274">
        <v>45923</v>
      </c>
      <c r="D1192" s="276">
        <v>73563</v>
      </c>
      <c r="E1192" s="276" t="s">
        <v>370</v>
      </c>
      <c r="F1192" s="277">
        <v>1861</v>
      </c>
      <c r="G1192" s="277">
        <v>39.700000000000003</v>
      </c>
      <c r="H1192" s="277"/>
      <c r="I1192" s="278">
        <f>F1192-G1192-H1192</f>
        <v>1821.3</v>
      </c>
      <c r="J1192" s="279" t="s">
        <v>156</v>
      </c>
      <c r="K1192" s="279">
        <v>1</v>
      </c>
      <c r="L1192" s="279"/>
      <c r="M1192" s="279">
        <v>1</v>
      </c>
      <c r="N1192" s="279">
        <v>1</v>
      </c>
      <c r="O1192" s="279">
        <v>1</v>
      </c>
      <c r="P1192" s="279"/>
      <c r="Q1192" s="279"/>
      <c r="R1192" s="279"/>
      <c r="S1192" s="280"/>
      <c r="T1192" s="63"/>
      <c r="U1192" s="10"/>
      <c r="V1192" s="90">
        <v>204</v>
      </c>
      <c r="W1192" s="136"/>
      <c r="X1192" s="137"/>
    </row>
    <row r="1193" spans="1:25">
      <c r="B1193" s="87">
        <f t="shared" si="88"/>
        <v>4</v>
      </c>
      <c r="C1193" s="295">
        <v>45923</v>
      </c>
      <c r="D1193" s="10">
        <v>73524</v>
      </c>
      <c r="E1193" s="10" t="s">
        <v>388</v>
      </c>
      <c r="F1193" s="62">
        <v>861</v>
      </c>
      <c r="G1193" s="62">
        <v>39.700000000000003</v>
      </c>
      <c r="H1193" s="62"/>
      <c r="I1193" s="89">
        <f>F1193-G1193-H1193</f>
        <v>821.3</v>
      </c>
      <c r="J1193" s="63" t="s">
        <v>205</v>
      </c>
      <c r="K1193" s="63"/>
      <c r="L1193" s="63"/>
      <c r="M1193" s="63">
        <v>1</v>
      </c>
      <c r="N1193" s="63"/>
      <c r="O1193" s="63"/>
      <c r="P1193" s="63"/>
      <c r="Q1193" s="63">
        <v>1</v>
      </c>
      <c r="R1193" s="63">
        <v>1</v>
      </c>
      <c r="S1193" s="296"/>
      <c r="T1193" s="63"/>
      <c r="U1193" s="10"/>
      <c r="V1193" s="90"/>
      <c r="W1193" s="136"/>
      <c r="X1193" s="137"/>
    </row>
    <row r="1194" spans="1:25">
      <c r="B1194" s="87">
        <f t="shared" si="88"/>
        <v>5</v>
      </c>
      <c r="C1194" s="295">
        <v>45923</v>
      </c>
      <c r="D1194" s="10">
        <v>73559</v>
      </c>
      <c r="E1194" s="10" t="s">
        <v>225</v>
      </c>
      <c r="F1194" s="62">
        <v>0</v>
      </c>
      <c r="G1194" s="62">
        <v>0</v>
      </c>
      <c r="H1194" s="62"/>
      <c r="I1194" s="89">
        <f>F1194-G1194-H1194</f>
        <v>0</v>
      </c>
      <c r="J1194" s="63" t="s">
        <v>205</v>
      </c>
      <c r="K1194" s="63">
        <v>1</v>
      </c>
      <c r="L1194" s="63"/>
      <c r="M1194" s="63"/>
      <c r="N1194" s="63"/>
      <c r="O1194" s="63"/>
      <c r="P1194" s="63"/>
      <c r="Q1194" s="63"/>
      <c r="R1194" s="63"/>
      <c r="S1194" s="296"/>
      <c r="T1194" s="63"/>
      <c r="U1194" s="10"/>
      <c r="V1194" s="90"/>
      <c r="W1194" s="136"/>
      <c r="X1194" s="137"/>
    </row>
    <row r="1195" spans="1:25">
      <c r="B1195" s="87">
        <f t="shared" si="88"/>
        <v>6</v>
      </c>
      <c r="C1195" s="274">
        <v>45924</v>
      </c>
      <c r="D1195" s="276">
        <v>73663</v>
      </c>
      <c r="E1195" s="281" t="s">
        <v>168</v>
      </c>
      <c r="F1195" s="277">
        <v>8614</v>
      </c>
      <c r="G1195" s="277">
        <v>39.700000000000003</v>
      </c>
      <c r="H1195" s="277"/>
      <c r="I1195" s="278">
        <f>F1195-G1195-H1195</f>
        <v>8574.2999999999993</v>
      </c>
      <c r="J1195" s="279" t="s">
        <v>156</v>
      </c>
      <c r="K1195" s="279">
        <v>1</v>
      </c>
      <c r="L1195" s="279"/>
      <c r="M1195" s="279">
        <v>1</v>
      </c>
      <c r="N1195" s="279">
        <v>1</v>
      </c>
      <c r="O1195" s="279"/>
      <c r="P1195" s="279"/>
      <c r="Q1195" s="279">
        <v>1</v>
      </c>
      <c r="R1195" s="279">
        <v>1</v>
      </c>
      <c r="S1195" s="280"/>
      <c r="T1195" s="63"/>
      <c r="U1195" s="10"/>
      <c r="V1195" s="90"/>
      <c r="W1195" s="136"/>
      <c r="X1195" s="137"/>
    </row>
    <row r="1196" spans="1:25">
      <c r="B1196" s="87">
        <f t="shared" si="88"/>
        <v>7</v>
      </c>
      <c r="C1196" s="274">
        <v>45926</v>
      </c>
      <c r="D1196" s="276">
        <v>73658</v>
      </c>
      <c r="E1196" s="281" t="s">
        <v>334</v>
      </c>
      <c r="F1196" s="277">
        <v>2814</v>
      </c>
      <c r="G1196" s="277">
        <v>39.700000000000003</v>
      </c>
      <c r="H1196" s="277"/>
      <c r="I1196" s="278">
        <f>F1196-G1196-H1196</f>
        <v>2774.3</v>
      </c>
      <c r="J1196" s="279" t="s">
        <v>205</v>
      </c>
      <c r="K1196" s="279">
        <v>1</v>
      </c>
      <c r="L1196" s="279"/>
      <c r="M1196" s="279"/>
      <c r="N1196" s="279">
        <v>1</v>
      </c>
      <c r="O1196" s="279"/>
      <c r="P1196" s="279"/>
      <c r="Q1196" s="279">
        <v>1</v>
      </c>
      <c r="R1196" s="279">
        <v>1</v>
      </c>
      <c r="S1196" s="280"/>
      <c r="T1196" s="63"/>
      <c r="U1196" s="10"/>
      <c r="V1196" s="90"/>
      <c r="W1196" s="136"/>
      <c r="X1196" s="137"/>
    </row>
    <row r="1197" spans="1:25">
      <c r="B1197" s="87">
        <f t="shared" si="88"/>
        <v>8</v>
      </c>
      <c r="C1197" s="295">
        <v>45926</v>
      </c>
      <c r="D1197" s="77" t="s">
        <v>2225</v>
      </c>
      <c r="E1197" s="10" t="s">
        <v>370</v>
      </c>
      <c r="F1197" s="62">
        <v>12814</v>
      </c>
      <c r="G1197" s="62">
        <f>39.7</f>
        <v>39.700000000000003</v>
      </c>
      <c r="H1197" s="62"/>
      <c r="I1197" s="89">
        <f>F1197-G1197-H1197</f>
        <v>12774.3</v>
      </c>
      <c r="J1197" s="63" t="s">
        <v>205</v>
      </c>
      <c r="K1197" s="63">
        <v>1</v>
      </c>
      <c r="L1197" s="63"/>
      <c r="M1197" s="63"/>
      <c r="N1197" s="63">
        <v>1</v>
      </c>
      <c r="O1197" s="63">
        <v>1</v>
      </c>
      <c r="P1197" s="63">
        <v>1</v>
      </c>
      <c r="Q1197" s="63"/>
      <c r="R1197" s="63"/>
      <c r="S1197" s="296"/>
      <c r="T1197" s="63"/>
      <c r="U1197" s="10"/>
      <c r="V1197" s="90"/>
      <c r="W1197" s="136"/>
      <c r="X1197" s="137"/>
    </row>
    <row r="1198" spans="1:25">
      <c r="B1198" s="87">
        <f t="shared" si="88"/>
        <v>9</v>
      </c>
      <c r="C1198" s="282">
        <v>45926</v>
      </c>
      <c r="D1198" s="283">
        <v>73677</v>
      </c>
      <c r="E1198" s="319" t="s">
        <v>2163</v>
      </c>
      <c r="F1198" s="284">
        <v>681</v>
      </c>
      <c r="G1198" s="284"/>
      <c r="H1198" s="284"/>
      <c r="I1198" s="285">
        <f>F1198-G1198-H1198</f>
        <v>681</v>
      </c>
      <c r="J1198" s="286" t="s">
        <v>205</v>
      </c>
      <c r="K1198" s="286">
        <v>1</v>
      </c>
      <c r="L1198" s="286"/>
      <c r="M1198" s="286"/>
      <c r="N1198" s="286">
        <v>1</v>
      </c>
      <c r="O1198" s="286"/>
      <c r="P1198" s="286"/>
      <c r="Q1198" s="286"/>
      <c r="R1198" s="286"/>
      <c r="S1198" s="287"/>
      <c r="T1198" s="63"/>
      <c r="U1198" s="10"/>
      <c r="V1198" s="90"/>
      <c r="W1198" s="136"/>
      <c r="X1198" s="137"/>
    </row>
    <row r="1199" spans="1:25">
      <c r="B1199" s="11"/>
      <c r="C1199" s="36"/>
      <c r="D1199" s="10"/>
      <c r="E1199" s="10"/>
      <c r="F1199" s="97">
        <f>SUM(F1190:F1198)</f>
        <v>44052</v>
      </c>
      <c r="G1199" s="97">
        <f>SUM(G1190:G1198)</f>
        <v>277.89999999999998</v>
      </c>
      <c r="H1199" s="97">
        <f>SUM(H1190:H1198)</f>
        <v>0</v>
      </c>
      <c r="I1199" s="98">
        <f>SUM(I1190:I1198)</f>
        <v>43774.099999999991</v>
      </c>
      <c r="J1199" s="10"/>
      <c r="K1199" s="10"/>
      <c r="L1199" s="10"/>
      <c r="M1199" s="10"/>
      <c r="N1199" s="10"/>
      <c r="O1199" s="10"/>
      <c r="P1199" s="10"/>
      <c r="Q1199" s="10"/>
      <c r="R1199" s="10"/>
      <c r="S1199" s="10"/>
      <c r="T1199" s="63"/>
      <c r="U1199" s="10"/>
      <c r="V1199" s="138"/>
      <c r="W1199" s="136"/>
      <c r="X1199" s="137"/>
    </row>
    <row r="1200" spans="1:25">
      <c r="B1200" s="26"/>
      <c r="C1200" s="612"/>
      <c r="D1200" s="141"/>
      <c r="E1200" s="141"/>
      <c r="F1200" s="141"/>
      <c r="G1200" s="141"/>
      <c r="H1200" s="141"/>
      <c r="I1200" s="141"/>
      <c r="J1200" s="141"/>
      <c r="K1200" s="142"/>
      <c r="L1200" s="142"/>
      <c r="M1200" s="142"/>
      <c r="N1200" s="142"/>
      <c r="O1200" s="142"/>
      <c r="P1200" s="142"/>
      <c r="Q1200" s="142"/>
      <c r="R1200" s="142"/>
      <c r="S1200" s="142"/>
      <c r="T1200" s="143">
        <f>SUM(T1140:T1199)</f>
        <v>7</v>
      </c>
      <c r="U1200" s="141"/>
      <c r="V1200" s="144">
        <f>SUM(V1140:V1199)</f>
        <v>35326.089999999997</v>
      </c>
      <c r="W1200" s="144">
        <f>SUM(W1140:W1199)</f>
        <v>3140</v>
      </c>
      <c r="X1200" s="144">
        <f>SUM(X1140:X1199)</f>
        <v>0</v>
      </c>
    </row>
    <row r="1201" spans="1:24">
      <c r="B1201" s="10"/>
      <c r="C1201" s="36"/>
      <c r="D1201" s="10"/>
      <c r="E1201" s="10"/>
      <c r="F1201" s="10"/>
      <c r="G1201" s="10"/>
      <c r="H1201" s="10"/>
      <c r="I1201" s="10"/>
      <c r="J1201" s="10"/>
      <c r="K1201" s="147"/>
      <c r="L1201" s="147"/>
      <c r="M1201" s="147"/>
      <c r="N1201" s="147"/>
      <c r="O1201" s="147"/>
      <c r="P1201" s="147"/>
      <c r="Q1201" s="147"/>
      <c r="R1201" s="147"/>
      <c r="S1201" s="147"/>
      <c r="T1201" s="21"/>
      <c r="U1201" s="10"/>
      <c r="V1201" s="99"/>
      <c r="W1201" s="99"/>
      <c r="X1201" s="99"/>
    </row>
    <row r="1203" spans="1:24">
      <c r="A1203" s="613"/>
      <c r="B1203" s="4" t="s">
        <v>1</v>
      </c>
      <c r="C1203" s="5"/>
      <c r="D1203" s="6"/>
      <c r="E1203" s="6"/>
      <c r="F1203" s="7" t="s">
        <v>2</v>
      </c>
      <c r="G1203" s="608">
        <v>45935</v>
      </c>
      <c r="H1203" s="7"/>
      <c r="I1203" s="6"/>
      <c r="J1203" s="6"/>
      <c r="K1203" s="6"/>
      <c r="L1203" s="6"/>
      <c r="M1203" s="6"/>
      <c r="N1203" s="6"/>
      <c r="O1203" s="6"/>
      <c r="P1203" s="6"/>
      <c r="Q1203" s="6"/>
      <c r="R1203" s="6"/>
      <c r="S1203" s="6"/>
      <c r="T1203" s="6"/>
      <c r="U1203" s="9"/>
      <c r="V1203" s="10"/>
      <c r="W1203" s="10"/>
      <c r="X1203" s="10"/>
    </row>
    <row r="1204" spans="1:24">
      <c r="A1204" s="614"/>
      <c r="B1204" s="11"/>
      <c r="C1204" s="10"/>
      <c r="D1204" s="10"/>
      <c r="E1204" s="10"/>
      <c r="F1204" s="10"/>
      <c r="G1204" s="7"/>
      <c r="H1204" s="12"/>
      <c r="I1204" s="10"/>
      <c r="J1204" s="10"/>
      <c r="K1204" s="13" t="s">
        <v>3</v>
      </c>
      <c r="L1204" s="14"/>
      <c r="M1204" s="15"/>
      <c r="N1204" s="13" t="s">
        <v>4</v>
      </c>
      <c r="O1204" s="14"/>
      <c r="P1204" s="15"/>
      <c r="Q1204" s="13" t="s">
        <v>5</v>
      </c>
      <c r="R1204" s="14"/>
      <c r="S1204" s="15"/>
      <c r="T1204" s="16"/>
      <c r="U1204" s="17"/>
      <c r="V1204" s="10"/>
      <c r="W1204" s="10"/>
      <c r="X1204" s="10"/>
    </row>
    <row r="1205" spans="1:24">
      <c r="A1205" s="614"/>
      <c r="B1205" s="18" t="s">
        <v>6</v>
      </c>
      <c r="C1205" s="19">
        <f>C1206+C1207</f>
        <v>37</v>
      </c>
      <c r="D1205" s="10"/>
      <c r="E1205" s="18" t="s">
        <v>7</v>
      </c>
      <c r="F1205" s="6"/>
      <c r="G1205" s="9"/>
      <c r="H1205" s="10"/>
      <c r="I1205" s="10"/>
      <c r="J1205" s="10"/>
      <c r="K1205" s="20" t="s">
        <v>8</v>
      </c>
      <c r="L1205" s="21" t="s">
        <v>9</v>
      </c>
      <c r="M1205" s="21" t="s">
        <v>10</v>
      </c>
      <c r="N1205" s="20" t="s">
        <v>11</v>
      </c>
      <c r="O1205" s="21" t="s">
        <v>12</v>
      </c>
      <c r="P1205" s="22" t="s">
        <v>13</v>
      </c>
      <c r="Q1205" s="21" t="s">
        <v>11</v>
      </c>
      <c r="R1205" s="21" t="s">
        <v>12</v>
      </c>
      <c r="S1205" s="22" t="s">
        <v>13</v>
      </c>
      <c r="T1205" s="23" t="s">
        <v>14</v>
      </c>
      <c r="U1205" s="17"/>
      <c r="V1205" s="10"/>
      <c r="W1205" s="10"/>
      <c r="X1205" s="10"/>
    </row>
    <row r="1206" spans="1:24">
      <c r="A1206" s="614"/>
      <c r="B1206" s="24" t="s">
        <v>15</v>
      </c>
      <c r="C1206" s="25">
        <f>P1213</f>
        <v>20</v>
      </c>
      <c r="D1206" s="10"/>
      <c r="E1206" s="26" t="s">
        <v>16</v>
      </c>
      <c r="F1206" s="27">
        <v>0.05</v>
      </c>
      <c r="G1206" s="28"/>
      <c r="H1206" s="10"/>
      <c r="I1206" s="10"/>
      <c r="J1206" s="18" t="s">
        <v>17</v>
      </c>
      <c r="K1206" s="29">
        <f>K1246</f>
        <v>15</v>
      </c>
      <c r="L1206" s="29">
        <f>L1246</f>
        <v>12</v>
      </c>
      <c r="M1206" s="29">
        <f>M1246</f>
        <v>15</v>
      </c>
      <c r="N1206" s="29">
        <f>N1246</f>
        <v>15</v>
      </c>
      <c r="O1206" s="29">
        <f>O1246</f>
        <v>15</v>
      </c>
      <c r="P1206" s="29">
        <f>P1246</f>
        <v>0</v>
      </c>
      <c r="Q1206" s="29">
        <f>Q1246</f>
        <v>13</v>
      </c>
      <c r="R1206" s="29">
        <f>R1246</f>
        <v>12</v>
      </c>
      <c r="S1206" s="29">
        <f>S1246</f>
        <v>11</v>
      </c>
      <c r="T1206" s="30">
        <f>T1299</f>
        <v>4</v>
      </c>
      <c r="U1206" s="17"/>
      <c r="V1206" s="10"/>
      <c r="W1206" s="10"/>
      <c r="X1206" s="10"/>
    </row>
    <row r="1207" spans="1:24">
      <c r="A1207" s="614"/>
      <c r="B1207" s="24" t="s">
        <v>18</v>
      </c>
      <c r="C1207" s="25">
        <f>P1214</f>
        <v>17</v>
      </c>
      <c r="D1207" s="10"/>
      <c r="E1207" s="10"/>
      <c r="F1207" s="10"/>
      <c r="G1207" s="31"/>
      <c r="H1207" s="10"/>
      <c r="I1207" s="10"/>
      <c r="J1207" s="32" t="s">
        <v>19</v>
      </c>
      <c r="K1207" s="33">
        <f>K1246/K1245</f>
        <v>1</v>
      </c>
      <c r="L1207" s="33">
        <f>L1246/L1245</f>
        <v>0.8</v>
      </c>
      <c r="M1207" s="33">
        <f>M1246/M1245</f>
        <v>1</v>
      </c>
      <c r="N1207" s="33">
        <f>N1246/N1245</f>
        <v>1</v>
      </c>
      <c r="O1207" s="33">
        <f>O1246/O1245</f>
        <v>1</v>
      </c>
      <c r="P1207" s="33">
        <f>P1246/P1245</f>
        <v>0</v>
      </c>
      <c r="Q1207" s="33">
        <f>Q1246/Q1245</f>
        <v>0.8666666666666667</v>
      </c>
      <c r="R1207" s="33">
        <f>R1246/R1245</f>
        <v>0.8</v>
      </c>
      <c r="S1207" s="33">
        <f>S1246/S1245</f>
        <v>0.73333333333333328</v>
      </c>
      <c r="T1207" s="23"/>
      <c r="U1207" s="17" t="s">
        <v>20</v>
      </c>
      <c r="V1207" s="10"/>
      <c r="W1207" s="10"/>
      <c r="X1207" s="10"/>
    </row>
    <row r="1208" spans="1:24">
      <c r="A1208" s="614"/>
      <c r="B1208" s="24" t="s">
        <v>21</v>
      </c>
      <c r="C1208" s="34">
        <f>P1215</f>
        <v>0.54054054054054057</v>
      </c>
      <c r="D1208" s="10"/>
      <c r="E1208" s="10"/>
      <c r="F1208" s="10"/>
      <c r="G1208" s="10"/>
      <c r="H1208" s="10"/>
      <c r="I1208" s="10"/>
      <c r="J1208" s="10"/>
      <c r="K1208" s="10"/>
      <c r="L1208" s="10"/>
      <c r="M1208" s="10"/>
      <c r="N1208" s="10"/>
      <c r="O1208" s="10"/>
      <c r="P1208" s="10"/>
      <c r="Q1208" s="10"/>
      <c r="R1208" s="10"/>
      <c r="S1208" s="10"/>
      <c r="T1208" s="10"/>
      <c r="U1208" s="17"/>
      <c r="V1208" s="10"/>
      <c r="W1208" s="10"/>
      <c r="X1208" s="10"/>
    </row>
    <row r="1209" spans="1:24">
      <c r="A1209" s="614"/>
      <c r="B1209" s="24"/>
      <c r="C1209" s="25"/>
      <c r="D1209" s="10"/>
      <c r="E1209" s="10"/>
      <c r="F1209" s="18" t="s">
        <v>22</v>
      </c>
      <c r="G1209" s="19" t="s">
        <v>23</v>
      </c>
      <c r="H1209" s="35" t="s">
        <v>24</v>
      </c>
      <c r="I1209" s="10"/>
      <c r="J1209" s="10"/>
      <c r="K1209" s="36"/>
      <c r="L1209" s="36"/>
      <c r="M1209" s="36"/>
      <c r="N1209" s="36"/>
      <c r="O1209" s="36"/>
      <c r="P1209" s="36"/>
      <c r="Q1209" s="36"/>
      <c r="R1209" s="10"/>
      <c r="S1209" s="10"/>
      <c r="T1209" s="10"/>
      <c r="U1209" s="17"/>
      <c r="V1209" s="10"/>
      <c r="W1209" s="10"/>
      <c r="X1209" s="10"/>
    </row>
    <row r="1210" spans="1:24" ht="16.5" customHeight="1">
      <c r="A1210" s="614"/>
      <c r="B1210" s="32" t="s">
        <v>25</v>
      </c>
      <c r="C1210" s="37">
        <f>P1216</f>
        <v>2487.0500000000002</v>
      </c>
      <c r="D1210" s="10"/>
      <c r="E1210" s="18" t="s">
        <v>26</v>
      </c>
      <c r="F1210" s="38">
        <f>P1212</f>
        <v>49741</v>
      </c>
      <c r="G1210" s="39">
        <f>I1245+I1253+I1257</f>
        <v>49740.999999999993</v>
      </c>
      <c r="H1210" s="767" t="s">
        <v>624</v>
      </c>
      <c r="I1210" s="767"/>
      <c r="J1210" s="767"/>
      <c r="K1210" s="43" t="s">
        <v>27</v>
      </c>
      <c r="L1210" s="44"/>
      <c r="M1210" s="44"/>
      <c r="N1210" s="44"/>
      <c r="O1210" s="44"/>
      <c r="P1210" s="44"/>
      <c r="Q1210" s="45"/>
      <c r="R1210" s="46" t="s">
        <v>28</v>
      </c>
      <c r="S1210" s="47" t="s">
        <v>29</v>
      </c>
      <c r="T1210" s="10"/>
      <c r="U1210" s="17"/>
      <c r="V1210" s="10"/>
      <c r="W1210" s="10"/>
      <c r="X1210" s="10"/>
    </row>
    <row r="1211" spans="1:24">
      <c r="A1211" s="614"/>
      <c r="B1211" s="11"/>
      <c r="C1211" s="10"/>
      <c r="D1211" s="10"/>
      <c r="E1211" s="24" t="s">
        <v>30</v>
      </c>
      <c r="F1211" s="48">
        <f>F1206</f>
        <v>0.05</v>
      </c>
      <c r="G1211" s="17"/>
      <c r="H1211" s="767"/>
      <c r="I1211" s="767"/>
      <c r="J1211" s="767"/>
      <c r="K1211" s="20" t="s">
        <v>31</v>
      </c>
      <c r="L1211" s="21" t="s">
        <v>32</v>
      </c>
      <c r="M1211" s="21" t="s">
        <v>33</v>
      </c>
      <c r="N1211" s="21" t="s">
        <v>34</v>
      </c>
      <c r="O1211" s="21" t="s">
        <v>35</v>
      </c>
      <c r="P1211" s="21" t="s">
        <v>36</v>
      </c>
      <c r="Q1211" s="49" t="s">
        <v>37</v>
      </c>
      <c r="R1211" s="50" t="s">
        <v>38</v>
      </c>
      <c r="S1211" s="50" t="s">
        <v>38</v>
      </c>
      <c r="T1211" s="10"/>
      <c r="U1211" s="17"/>
      <c r="V1211" s="10"/>
      <c r="W1211" s="10"/>
      <c r="X1211" s="10"/>
    </row>
    <row r="1212" spans="1:24">
      <c r="A1212" s="614"/>
      <c r="B1212" s="11"/>
      <c r="C1212" s="10"/>
      <c r="D1212" s="10"/>
      <c r="E1212" s="51" t="s">
        <v>39</v>
      </c>
      <c r="F1212" s="52">
        <f>(F1210-I1235-I1249-I1250-I1251-I1252-I1240-I1256)*F1211</f>
        <v>1221.346</v>
      </c>
      <c r="G1212" s="53" t="s">
        <v>40</v>
      </c>
      <c r="H1212" s="484">
        <f>F1212/1.12</f>
        <v>1090.4875</v>
      </c>
      <c r="I1212" s="55"/>
      <c r="J1212" s="42"/>
      <c r="K1212" s="56">
        <f>I1230</f>
        <v>1124.3</v>
      </c>
      <c r="L1212" s="57">
        <f>I1231+I1232+I1249</f>
        <v>4137.87</v>
      </c>
      <c r="M1212" s="57">
        <f>I1233+I1234+I1250</f>
        <v>3422.6000000000004</v>
      </c>
      <c r="N1212" s="57">
        <f>I1235+I1236+I1237+I1239+I1252+I1251+I1240+I1238</f>
        <v>13320.18</v>
      </c>
      <c r="O1212" s="57">
        <f>I1241+I1243+I1244+I1242+I1256</f>
        <v>27736.050000000003</v>
      </c>
      <c r="P1212" s="57">
        <f>SUM(K1212:O1212)</f>
        <v>49741</v>
      </c>
      <c r="Q1212" s="58">
        <v>0</v>
      </c>
      <c r="R1212" s="59">
        <f>I1253+I1257</f>
        <v>21555.360000000001</v>
      </c>
      <c r="S1212" s="59">
        <v>0</v>
      </c>
      <c r="T1212" s="10"/>
      <c r="U1212" s="17"/>
      <c r="V1212" s="10"/>
      <c r="W1212" s="10"/>
      <c r="X1212" s="10"/>
    </row>
    <row r="1213" spans="1:24">
      <c r="A1213" s="614"/>
      <c r="B1213" s="11"/>
      <c r="C1213" s="10"/>
      <c r="D1213" s="10"/>
      <c r="E1213" s="24" t="s">
        <v>41</v>
      </c>
      <c r="F1213" s="60">
        <f>Q1212</f>
        <v>0</v>
      </c>
      <c r="G1213" s="61" t="s">
        <v>40</v>
      </c>
      <c r="H1213" s="62"/>
      <c r="I1213" s="62"/>
      <c r="J1213" s="10" t="s">
        <v>42</v>
      </c>
      <c r="K1213" s="63">
        <v>1</v>
      </c>
      <c r="L1213" s="63">
        <v>3</v>
      </c>
      <c r="M1213" s="63">
        <v>3</v>
      </c>
      <c r="N1213" s="63">
        <v>8</v>
      </c>
      <c r="O1213" s="63">
        <v>5</v>
      </c>
      <c r="P1213" s="21">
        <f>SUM(K1213:O1213)</f>
        <v>20</v>
      </c>
      <c r="Q1213" s="64">
        <v>0</v>
      </c>
      <c r="R1213" s="63"/>
      <c r="S1213" s="10"/>
      <c r="T1213" s="10"/>
      <c r="U1213" s="17"/>
      <c r="V1213" s="10"/>
      <c r="W1213" s="10"/>
      <c r="X1213" s="10"/>
    </row>
    <row r="1214" spans="1:24">
      <c r="A1214" s="614"/>
      <c r="B1214" s="11"/>
      <c r="C1214" s="10"/>
      <c r="D1214" s="10"/>
      <c r="E1214" s="51" t="s">
        <v>43</v>
      </c>
      <c r="F1214" s="52">
        <f>F1213*0.25</f>
        <v>0</v>
      </c>
      <c r="G1214" s="53" t="s">
        <v>40</v>
      </c>
      <c r="H1214" s="54">
        <f>F1214/1.12</f>
        <v>0</v>
      </c>
      <c r="I1214" s="10"/>
      <c r="J1214" s="10" t="s">
        <v>44</v>
      </c>
      <c r="K1214" s="63">
        <v>4</v>
      </c>
      <c r="L1214" s="63">
        <v>5</v>
      </c>
      <c r="M1214" s="63">
        <v>3</v>
      </c>
      <c r="N1214" s="63">
        <v>2</v>
      </c>
      <c r="O1214" s="63">
        <v>3</v>
      </c>
      <c r="P1214" s="21">
        <f>SUM(K1214:O1214)</f>
        <v>17</v>
      </c>
      <c r="Q1214" s="64">
        <v>0</v>
      </c>
      <c r="R1214" s="63"/>
      <c r="S1214" s="10"/>
      <c r="T1214" s="10"/>
      <c r="U1214" s="17"/>
      <c r="V1214" s="10"/>
      <c r="W1214" s="10"/>
      <c r="X1214" s="10"/>
    </row>
    <row r="1215" spans="1:24">
      <c r="A1215" s="614"/>
      <c r="B1215" s="11"/>
      <c r="C1215" s="10"/>
      <c r="D1215" s="10"/>
      <c r="E1215" s="24" t="s">
        <v>45</v>
      </c>
      <c r="F1215" s="60"/>
      <c r="G1215" s="61" t="s">
        <v>40</v>
      </c>
      <c r="H1215" s="62"/>
      <c r="I1215" s="10"/>
      <c r="J1215" s="10" t="s">
        <v>46</v>
      </c>
      <c r="K1215" s="31">
        <f>K1213/(K1213+K1214)</f>
        <v>0.2</v>
      </c>
      <c r="L1215" s="31">
        <f>L1213/(L1213+L1214)</f>
        <v>0.375</v>
      </c>
      <c r="M1215" s="31">
        <f>M1213/(M1213+M1214)</f>
        <v>0.5</v>
      </c>
      <c r="N1215" s="31">
        <f>N1213/(N1213+N1214)</f>
        <v>0.8</v>
      </c>
      <c r="O1215" s="31">
        <f>O1213/(O1213+O1214)</f>
        <v>0.625</v>
      </c>
      <c r="P1215" s="31">
        <f>P1213/(P1213+P1214)</f>
        <v>0.54054054054054057</v>
      </c>
      <c r="Q1215" s="31" t="e">
        <f>Q1213/(Q1213+Q1214)</f>
        <v>#DIV/0!</v>
      </c>
      <c r="R1215" s="63"/>
      <c r="S1215" s="10"/>
      <c r="T1215" s="10"/>
      <c r="U1215" s="17"/>
      <c r="V1215" s="10"/>
      <c r="W1215" s="10"/>
      <c r="X1215" s="10"/>
    </row>
    <row r="1216" spans="1:24">
      <c r="A1216" s="614"/>
      <c r="B1216" s="11"/>
      <c r="C1216" s="10"/>
      <c r="D1216" s="10"/>
      <c r="E1216" s="51" t="s">
        <v>47</v>
      </c>
      <c r="F1216" s="52">
        <f>F1215*0.05</f>
        <v>0</v>
      </c>
      <c r="G1216" s="65" t="s">
        <v>40</v>
      </c>
      <c r="H1216" s="54">
        <f>F1216/1.12</f>
        <v>0</v>
      </c>
      <c r="I1216" s="42"/>
      <c r="J1216" s="10" t="s">
        <v>48</v>
      </c>
      <c r="K1216" s="66">
        <f>K1212/K1213</f>
        <v>1124.3</v>
      </c>
      <c r="L1216" s="66">
        <f>L1212/L1213</f>
        <v>1379.29</v>
      </c>
      <c r="M1216" s="66">
        <f>M1212/M1213</f>
        <v>1140.8666666666668</v>
      </c>
      <c r="N1216" s="66">
        <f>N1212/N1213</f>
        <v>1665.0225</v>
      </c>
      <c r="O1216" s="66">
        <f>O1212/O1213</f>
        <v>5547.2100000000009</v>
      </c>
      <c r="P1216" s="66">
        <f>P1212/P1213</f>
        <v>2487.0500000000002</v>
      </c>
      <c r="Q1216" s="66" t="e">
        <f>Q1212/Q1213</f>
        <v>#DIV/0!</v>
      </c>
      <c r="R1216" s="63"/>
      <c r="S1216" s="10"/>
      <c r="T1216" s="10"/>
      <c r="U1216" s="17"/>
      <c r="V1216" s="10"/>
      <c r="W1216" s="10"/>
      <c r="X1216" s="10"/>
    </row>
    <row r="1217" spans="1:24">
      <c r="A1217" s="614"/>
      <c r="B1217" s="11"/>
      <c r="C1217" s="10"/>
      <c r="D1217" s="10"/>
      <c r="E1217" s="67" t="s">
        <v>14</v>
      </c>
      <c r="F1217" s="68">
        <f>5*50</f>
        <v>250</v>
      </c>
      <c r="G1217" s="10"/>
      <c r="H1217" s="54">
        <f>F1217/1.12</f>
        <v>223.21428571428569</v>
      </c>
      <c r="I1217" s="10"/>
      <c r="J1217" s="10"/>
      <c r="K1217" s="10"/>
      <c r="L1217" s="10"/>
      <c r="M1217" s="10"/>
      <c r="N1217" s="10"/>
      <c r="O1217" s="10"/>
      <c r="P1217" s="10"/>
      <c r="Q1217" s="10"/>
      <c r="R1217" s="10"/>
      <c r="S1217" s="10"/>
      <c r="T1217" s="10"/>
      <c r="U1217" s="17"/>
      <c r="V1217" s="10"/>
      <c r="W1217" s="10"/>
      <c r="X1217" s="10"/>
    </row>
    <row r="1218" spans="1:24">
      <c r="A1218" s="614"/>
      <c r="B1218" s="11"/>
      <c r="C1218" s="10"/>
      <c r="D1218" s="10"/>
      <c r="E1218" s="67" t="s">
        <v>49</v>
      </c>
      <c r="F1218" s="69">
        <f>T1207</f>
        <v>0</v>
      </c>
      <c r="G1218" s="10"/>
      <c r="H1218" s="54"/>
      <c r="I1218" s="55"/>
      <c r="J1218" s="42"/>
      <c r="K1218" s="764" t="s">
        <v>50</v>
      </c>
      <c r="L1218" s="765"/>
      <c r="M1218" s="765"/>
      <c r="N1218" s="765"/>
      <c r="O1218" s="765"/>
      <c r="P1218" s="765"/>
      <c r="Q1218" s="766"/>
      <c r="R1218" s="70" t="s">
        <v>28</v>
      </c>
      <c r="S1218" s="71" t="s">
        <v>29</v>
      </c>
      <c r="T1218" s="10"/>
      <c r="U1218" s="17"/>
      <c r="V1218" s="10"/>
      <c r="W1218" s="10"/>
      <c r="X1218" s="10"/>
    </row>
    <row r="1219" spans="1:24">
      <c r="A1219" s="614"/>
      <c r="B1219" s="11"/>
      <c r="C1219" s="10"/>
      <c r="D1219" s="10"/>
      <c r="E1219" s="485" t="s">
        <v>2226</v>
      </c>
      <c r="F1219" s="403">
        <v>35.450000000000003</v>
      </c>
      <c r="G1219" s="10"/>
      <c r="H1219" s="10"/>
      <c r="I1219" s="10"/>
      <c r="J1219" s="42"/>
      <c r="K1219" s="20" t="s">
        <v>31</v>
      </c>
      <c r="L1219" s="21" t="s">
        <v>32</v>
      </c>
      <c r="M1219" s="21" t="s">
        <v>33</v>
      </c>
      <c r="N1219" s="21" t="s">
        <v>34</v>
      </c>
      <c r="O1219" s="21" t="s">
        <v>35</v>
      </c>
      <c r="P1219" s="21" t="s">
        <v>36</v>
      </c>
      <c r="Q1219" s="49" t="s">
        <v>37</v>
      </c>
      <c r="R1219" s="50" t="s">
        <v>38</v>
      </c>
      <c r="S1219" s="50" t="s">
        <v>38</v>
      </c>
      <c r="T1219" s="10"/>
      <c r="U1219" s="17"/>
      <c r="V1219" s="10"/>
      <c r="W1219" s="10"/>
      <c r="X1219" s="10"/>
    </row>
    <row r="1220" spans="1:24">
      <c r="A1220" s="614"/>
      <c r="B1220" s="11"/>
      <c r="C1220" s="10"/>
      <c r="D1220" s="10"/>
      <c r="E1220" s="12"/>
      <c r="F1220" s="76"/>
      <c r="G1220" s="10"/>
      <c r="H1220" s="10"/>
      <c r="I1220" s="10"/>
      <c r="J1220" s="42"/>
      <c r="K1220" s="56">
        <f>F1230</f>
        <v>1264</v>
      </c>
      <c r="L1220" s="57">
        <f>F1231+F1232+F1249</f>
        <v>4573.8500000000004</v>
      </c>
      <c r="M1220" s="57">
        <f>F1233+F1234+F1250</f>
        <v>3702</v>
      </c>
      <c r="N1220" s="57">
        <f>F1235+F1236+F1237+F1239+F1251+F1252+F1240+F1238</f>
        <v>14636</v>
      </c>
      <c r="O1220" s="57">
        <f>F1241+F1243+F1244+F1242+F1256</f>
        <v>33406</v>
      </c>
      <c r="P1220" s="57">
        <f>SUM(K1220:O1220)</f>
        <v>57581.85</v>
      </c>
      <c r="Q1220" s="58">
        <v>0</v>
      </c>
      <c r="R1220" s="59">
        <f>F1253+F1257</f>
        <v>25437.85</v>
      </c>
      <c r="S1220" s="59">
        <v>0</v>
      </c>
      <c r="T1220" s="10"/>
      <c r="U1220" s="17"/>
      <c r="V1220" s="10"/>
      <c r="W1220" s="10"/>
      <c r="X1220" s="10"/>
    </row>
    <row r="1221" spans="1:24">
      <c r="A1221" s="614"/>
      <c r="B1221" s="11"/>
      <c r="C1221" s="10"/>
      <c r="D1221" s="10"/>
      <c r="E1221" s="12"/>
      <c r="F1221" s="76"/>
      <c r="G1221" s="10"/>
      <c r="H1221" s="10"/>
      <c r="I1221" s="10"/>
      <c r="J1221" s="10" t="s">
        <v>42</v>
      </c>
      <c r="K1221" s="63">
        <f>K1213</f>
        <v>1</v>
      </c>
      <c r="L1221" s="63">
        <f>L1213</f>
        <v>3</v>
      </c>
      <c r="M1221" s="63">
        <f>M1213</f>
        <v>3</v>
      </c>
      <c r="N1221" s="63">
        <f>N1213</f>
        <v>8</v>
      </c>
      <c r="O1221" s="63">
        <f>O1213</f>
        <v>5</v>
      </c>
      <c r="P1221" s="63">
        <f>P1213</f>
        <v>20</v>
      </c>
      <c r="Q1221" s="63">
        <f>Q1213</f>
        <v>0</v>
      </c>
      <c r="R1221" s="63"/>
      <c r="S1221" s="10"/>
      <c r="T1221" s="10"/>
      <c r="U1221" s="17"/>
      <c r="V1221" s="10"/>
      <c r="W1221" s="10"/>
      <c r="X1221" s="10"/>
    </row>
    <row r="1222" spans="1:24">
      <c r="A1222" s="614"/>
      <c r="B1222" s="11"/>
      <c r="C1222" s="10"/>
      <c r="D1222" s="10"/>
      <c r="E1222" s="12"/>
      <c r="F1222" s="76"/>
      <c r="G1222" s="10"/>
      <c r="H1222" s="10"/>
      <c r="I1222" s="10"/>
      <c r="J1222" s="10" t="s">
        <v>44</v>
      </c>
      <c r="K1222" s="63">
        <f>K1214</f>
        <v>4</v>
      </c>
      <c r="L1222" s="63">
        <f>L1214</f>
        <v>5</v>
      </c>
      <c r="M1222" s="63">
        <f>M1214</f>
        <v>3</v>
      </c>
      <c r="N1222" s="63">
        <f>N1214</f>
        <v>2</v>
      </c>
      <c r="O1222" s="63">
        <f>O1214</f>
        <v>3</v>
      </c>
      <c r="P1222" s="63">
        <f>P1214</f>
        <v>17</v>
      </c>
      <c r="Q1222" s="63">
        <f>Q1214</f>
        <v>0</v>
      </c>
      <c r="R1222" s="63"/>
      <c r="S1222" s="10"/>
      <c r="T1222" s="10"/>
      <c r="U1222" s="17"/>
      <c r="V1222" s="10"/>
      <c r="W1222" s="10"/>
      <c r="X1222" s="10"/>
    </row>
    <row r="1223" spans="1:24">
      <c r="A1223" s="614"/>
      <c r="B1223" s="11"/>
      <c r="C1223" s="10"/>
      <c r="D1223" s="10"/>
      <c r="E1223" s="12"/>
      <c r="F1223" s="76"/>
      <c r="G1223" s="10"/>
      <c r="H1223" s="10"/>
      <c r="I1223" s="10"/>
      <c r="J1223" s="10" t="s">
        <v>46</v>
      </c>
      <c r="K1223" s="31">
        <f>K1221/(K1221+K1222)</f>
        <v>0.2</v>
      </c>
      <c r="L1223" s="31">
        <f>L1221/(L1221+L1222)</f>
        <v>0.375</v>
      </c>
      <c r="M1223" s="31">
        <f>M1221/(M1221+M1222)</f>
        <v>0.5</v>
      </c>
      <c r="N1223" s="31">
        <f>N1221/(N1221+N1222)</f>
        <v>0.8</v>
      </c>
      <c r="O1223" s="31">
        <f>O1221/(O1221+O1222)</f>
        <v>0.625</v>
      </c>
      <c r="P1223" s="31">
        <f>P1221/(P1221+P1222)</f>
        <v>0.54054054054054057</v>
      </c>
      <c r="Q1223" s="31" t="e">
        <f>Q1221/(Q1221+Q1222)</f>
        <v>#DIV/0!</v>
      </c>
      <c r="R1223" s="63"/>
      <c r="S1223" s="10"/>
      <c r="T1223" s="10"/>
      <c r="U1223" s="17"/>
      <c r="V1223" s="10"/>
      <c r="W1223" s="10"/>
      <c r="X1223" s="10"/>
    </row>
    <row r="1224" spans="1:24">
      <c r="A1224" s="614"/>
      <c r="B1224" s="11"/>
      <c r="C1224" s="10"/>
      <c r="D1224" s="10"/>
      <c r="E1224" s="10"/>
      <c r="F1224" s="10"/>
      <c r="G1224" s="10"/>
      <c r="H1224" s="10"/>
      <c r="I1224" s="10"/>
      <c r="J1224" s="10" t="s">
        <v>48</v>
      </c>
      <c r="K1224" s="66">
        <f>K1220/K1221</f>
        <v>1264</v>
      </c>
      <c r="L1224" s="66">
        <f>L1220/L1221</f>
        <v>1524.6166666666668</v>
      </c>
      <c r="M1224" s="66">
        <f>M1220/M1221</f>
        <v>1234</v>
      </c>
      <c r="N1224" s="66">
        <f>N1220/N1221</f>
        <v>1829.5</v>
      </c>
      <c r="O1224" s="66">
        <f>O1220/O1221</f>
        <v>6681.2</v>
      </c>
      <c r="P1224" s="66">
        <f>P1220/P1221</f>
        <v>2879.0924999999997</v>
      </c>
      <c r="Q1224" s="66" t="e">
        <f>Q1220/Q1221</f>
        <v>#DIV/0!</v>
      </c>
      <c r="R1224" s="63"/>
      <c r="S1224" s="10"/>
      <c r="T1224" s="10"/>
      <c r="U1224" s="17"/>
      <c r="V1224" s="10"/>
      <c r="W1224" s="10"/>
      <c r="X1224" s="10"/>
    </row>
    <row r="1225" spans="1:24">
      <c r="A1225" s="614"/>
      <c r="B1225" s="11"/>
      <c r="C1225" s="10"/>
      <c r="D1225" s="10"/>
      <c r="E1225" s="10"/>
      <c r="F1225" s="10"/>
      <c r="G1225" s="10"/>
      <c r="H1225" s="10"/>
      <c r="I1225" s="10"/>
      <c r="J1225" s="10"/>
      <c r="K1225" s="10"/>
      <c r="L1225" s="10"/>
      <c r="M1225" s="10"/>
      <c r="N1225" s="10"/>
      <c r="O1225" s="10"/>
      <c r="P1225" s="10"/>
      <c r="Q1225" s="10"/>
      <c r="R1225" s="10"/>
      <c r="S1225" s="10"/>
      <c r="T1225" s="10"/>
      <c r="U1225" s="17"/>
      <c r="V1225" s="10"/>
      <c r="W1225" s="10"/>
      <c r="X1225" s="10"/>
    </row>
    <row r="1226" spans="1:24">
      <c r="A1226" s="614"/>
      <c r="B1226" s="11"/>
      <c r="C1226" s="10"/>
      <c r="D1226" s="10"/>
      <c r="E1226" s="10"/>
      <c r="F1226" s="10"/>
      <c r="G1226" s="10"/>
      <c r="H1226" s="10"/>
      <c r="I1226" s="10"/>
      <c r="J1226" s="10"/>
      <c r="K1226" s="10"/>
      <c r="L1226" s="10"/>
      <c r="M1226" s="10"/>
      <c r="N1226" s="10"/>
      <c r="O1226" s="10"/>
      <c r="P1226" s="10"/>
      <c r="Q1226" s="10"/>
      <c r="R1226" s="10"/>
      <c r="S1226" s="10"/>
      <c r="T1226" s="10"/>
      <c r="U1226" s="17"/>
      <c r="V1226" s="10"/>
      <c r="W1226" s="10"/>
      <c r="X1226" s="10"/>
    </row>
    <row r="1227" spans="1:24">
      <c r="A1227" s="614"/>
      <c r="B1227" s="18" t="s">
        <v>51</v>
      </c>
      <c r="C1227" s="14"/>
      <c r="D1227" s="14"/>
      <c r="E1227" s="14"/>
      <c r="F1227" s="13" t="s">
        <v>52</v>
      </c>
      <c r="G1227" s="14"/>
      <c r="H1227" s="14"/>
      <c r="I1227" s="14"/>
      <c r="J1227" s="14"/>
      <c r="K1227" s="13" t="s">
        <v>3</v>
      </c>
      <c r="L1227" s="14"/>
      <c r="M1227" s="14"/>
      <c r="N1227" s="13" t="s">
        <v>4</v>
      </c>
      <c r="O1227" s="14"/>
      <c r="P1227" s="14"/>
      <c r="Q1227" s="13" t="s">
        <v>5</v>
      </c>
      <c r="R1227" s="14"/>
      <c r="S1227" s="14"/>
      <c r="T1227" s="18"/>
      <c r="U1227" s="16" t="s">
        <v>53</v>
      </c>
      <c r="V1227" s="77"/>
      <c r="W1227" s="77"/>
      <c r="X1227" s="77"/>
    </row>
    <row r="1228" spans="1:24">
      <c r="A1228" s="614"/>
      <c r="B1228" s="24" t="s">
        <v>54</v>
      </c>
      <c r="C1228" s="21" t="s">
        <v>55</v>
      </c>
      <c r="D1228" s="21" t="s">
        <v>56</v>
      </c>
      <c r="E1228" s="21" t="s">
        <v>57</v>
      </c>
      <c r="F1228" s="20" t="s">
        <v>58</v>
      </c>
      <c r="G1228" s="21" t="s">
        <v>59</v>
      </c>
      <c r="H1228" s="21" t="s">
        <v>60</v>
      </c>
      <c r="I1228" s="21" t="s">
        <v>26</v>
      </c>
      <c r="J1228" s="22" t="s">
        <v>61</v>
      </c>
      <c r="K1228" s="21" t="s">
        <v>8</v>
      </c>
      <c r="L1228" s="21" t="s">
        <v>9</v>
      </c>
      <c r="M1228" s="21" t="s">
        <v>10</v>
      </c>
      <c r="N1228" s="20" t="s">
        <v>11</v>
      </c>
      <c r="O1228" s="21" t="s">
        <v>12</v>
      </c>
      <c r="P1228" s="22" t="s">
        <v>13</v>
      </c>
      <c r="Q1228" s="21" t="s">
        <v>11</v>
      </c>
      <c r="R1228" s="21" t="s">
        <v>12</v>
      </c>
      <c r="S1228" s="21" t="s">
        <v>13</v>
      </c>
      <c r="T1228" s="78" t="s">
        <v>14</v>
      </c>
      <c r="U1228" s="30"/>
      <c r="V1228" s="79" t="s">
        <v>62</v>
      </c>
      <c r="W1228" s="80" t="s">
        <v>63</v>
      </c>
      <c r="X1228" s="81" t="s">
        <v>64</v>
      </c>
    </row>
    <row r="1229" spans="1:24">
      <c r="A1229" s="614"/>
      <c r="B1229" s="4" t="s">
        <v>65</v>
      </c>
      <c r="C1229" s="6"/>
      <c r="D1229" s="6"/>
      <c r="E1229" s="6"/>
      <c r="F1229" s="6"/>
      <c r="G1229" s="6"/>
      <c r="H1229" s="6"/>
      <c r="I1229" s="82"/>
      <c r="J1229" s="6"/>
      <c r="K1229" s="6"/>
      <c r="L1229" s="6"/>
      <c r="M1229" s="6"/>
      <c r="N1229" s="6"/>
      <c r="O1229" s="6"/>
      <c r="P1229" s="6"/>
      <c r="Q1229" s="6"/>
      <c r="R1229" s="6"/>
      <c r="S1229" s="6"/>
      <c r="T1229" s="83"/>
      <c r="U1229" s="6"/>
      <c r="V1229" s="84"/>
      <c r="W1229" s="85"/>
      <c r="X1229" s="86"/>
    </row>
    <row r="1230" spans="1:24">
      <c r="A1230" s="614"/>
      <c r="B1230" s="87">
        <v>1</v>
      </c>
      <c r="C1230" s="274">
        <v>45929</v>
      </c>
      <c r="D1230" s="327">
        <v>73777</v>
      </c>
      <c r="E1230" s="276" t="s">
        <v>456</v>
      </c>
      <c r="F1230" s="277">
        <f>1349-85</f>
        <v>1264</v>
      </c>
      <c r="G1230" s="277">
        <f>39.7+(1*100)</f>
        <v>139.69999999999999</v>
      </c>
      <c r="H1230" s="297"/>
      <c r="I1230" s="321">
        <f>F1230-G1230-H1230</f>
        <v>1124.3</v>
      </c>
      <c r="J1230" s="279" t="s">
        <v>156</v>
      </c>
      <c r="K1230" s="279">
        <v>1</v>
      </c>
      <c r="L1230" s="279">
        <v>1</v>
      </c>
      <c r="M1230" s="279">
        <v>1</v>
      </c>
      <c r="N1230" s="279">
        <v>1</v>
      </c>
      <c r="O1230" s="279">
        <v>1</v>
      </c>
      <c r="P1230" s="322">
        <v>0</v>
      </c>
      <c r="Q1230" s="279">
        <v>1</v>
      </c>
      <c r="R1230" s="279">
        <v>1</v>
      </c>
      <c r="S1230" s="280">
        <v>1</v>
      </c>
      <c r="T1230" s="63"/>
      <c r="U1230" s="10"/>
      <c r="V1230" s="90">
        <f>93.5+129+1167.9</f>
        <v>1390.4</v>
      </c>
      <c r="W1230" s="91"/>
      <c r="X1230" s="92"/>
    </row>
    <row r="1231" spans="1:24">
      <c r="A1231" s="614"/>
      <c r="B1231" s="87">
        <f t="shared" ref="B1231:B1244" si="89">B1230+1</f>
        <v>2</v>
      </c>
      <c r="C1231" s="274">
        <v>45930</v>
      </c>
      <c r="D1231" s="327">
        <v>73822</v>
      </c>
      <c r="E1231" s="404" t="s">
        <v>354</v>
      </c>
      <c r="F1231" s="277">
        <v>1461</v>
      </c>
      <c r="G1231" s="277">
        <f>39.7+(208.38+48.2)</f>
        <v>296.27999999999997</v>
      </c>
      <c r="H1231" s="277"/>
      <c r="I1231" s="321">
        <f>F1231-G1231-H1231</f>
        <v>1164.72</v>
      </c>
      <c r="J1231" s="279" t="s">
        <v>156</v>
      </c>
      <c r="K1231" s="279">
        <v>1</v>
      </c>
      <c r="L1231" s="279">
        <v>1</v>
      </c>
      <c r="M1231" s="279">
        <v>1</v>
      </c>
      <c r="N1231" s="279">
        <v>1</v>
      </c>
      <c r="O1231" s="279">
        <v>1</v>
      </c>
      <c r="P1231" s="322">
        <v>0</v>
      </c>
      <c r="Q1231" s="279">
        <v>1</v>
      </c>
      <c r="R1231" s="279">
        <v>1</v>
      </c>
      <c r="S1231" s="280">
        <v>1</v>
      </c>
      <c r="T1231" s="63"/>
      <c r="U1231" s="10"/>
      <c r="V1231" s="90">
        <f>160+1447.1</f>
        <v>1607.1</v>
      </c>
      <c r="W1231" s="91"/>
      <c r="X1231" s="92"/>
    </row>
    <row r="1232" spans="1:24">
      <c r="A1232" s="613"/>
      <c r="B1232" s="87">
        <f t="shared" si="89"/>
        <v>3</v>
      </c>
      <c r="C1232" s="295">
        <v>45930</v>
      </c>
      <c r="D1232" s="323" t="s">
        <v>2227</v>
      </c>
      <c r="E1232" s="10" t="s">
        <v>349</v>
      </c>
      <c r="F1232" s="62">
        <v>681</v>
      </c>
      <c r="G1232" s="62"/>
      <c r="H1232" s="62"/>
      <c r="I1232" s="324">
        <f>F1232-G1232-H1232</f>
        <v>681</v>
      </c>
      <c r="J1232" s="63" t="s">
        <v>156</v>
      </c>
      <c r="K1232" s="63">
        <v>1</v>
      </c>
      <c r="L1232" s="63">
        <v>1</v>
      </c>
      <c r="M1232" s="63">
        <v>1</v>
      </c>
      <c r="N1232" s="63">
        <v>1</v>
      </c>
      <c r="O1232" s="63">
        <v>1</v>
      </c>
      <c r="P1232" s="325">
        <v>0</v>
      </c>
      <c r="Q1232" s="63">
        <v>1</v>
      </c>
      <c r="R1232" s="63">
        <v>1</v>
      </c>
      <c r="S1232" s="296">
        <v>1</v>
      </c>
      <c r="T1232" s="63"/>
      <c r="U1232" s="10"/>
      <c r="V1232" s="90">
        <f>74.9+674.2</f>
        <v>749.1</v>
      </c>
      <c r="W1232" s="91"/>
      <c r="X1232" s="92"/>
    </row>
    <row r="1233" spans="1:24">
      <c r="A1233" s="614"/>
      <c r="B1233" s="87">
        <f>B1232+1</f>
        <v>4</v>
      </c>
      <c r="C1233" s="274">
        <v>45931</v>
      </c>
      <c r="D1233" s="327">
        <v>73892</v>
      </c>
      <c r="E1233" s="276" t="s">
        <v>572</v>
      </c>
      <c r="F1233" s="277">
        <v>461</v>
      </c>
      <c r="G1233" s="277"/>
      <c r="H1233" s="277"/>
      <c r="I1233" s="321">
        <f>F1233-G1233-H1233</f>
        <v>461</v>
      </c>
      <c r="J1233" s="279" t="s">
        <v>156</v>
      </c>
      <c r="K1233" s="279">
        <v>1</v>
      </c>
      <c r="L1233" s="279">
        <v>1</v>
      </c>
      <c r="M1233" s="279">
        <v>1</v>
      </c>
      <c r="N1233" s="279">
        <v>1</v>
      </c>
      <c r="O1233" s="279">
        <v>1</v>
      </c>
      <c r="P1233" s="322">
        <v>0</v>
      </c>
      <c r="Q1233" s="279">
        <v>1</v>
      </c>
      <c r="R1233" s="279">
        <v>1</v>
      </c>
      <c r="S1233" s="280">
        <v>1</v>
      </c>
      <c r="T1233" s="21">
        <v>1</v>
      </c>
      <c r="U1233" s="10"/>
      <c r="V1233" s="90">
        <v>507.1</v>
      </c>
      <c r="W1233" s="91"/>
      <c r="X1233" s="92"/>
    </row>
    <row r="1234" spans="1:24">
      <c r="A1234" s="614"/>
      <c r="B1234" s="87">
        <f t="shared" si="89"/>
        <v>5</v>
      </c>
      <c r="C1234" s="295">
        <v>45931</v>
      </c>
      <c r="D1234" s="323">
        <v>73912</v>
      </c>
      <c r="E1234" s="10" t="s">
        <v>225</v>
      </c>
      <c r="F1234" s="62">
        <f>2401-185</f>
        <v>2216</v>
      </c>
      <c r="G1234" s="62">
        <f>39.7+200</f>
        <v>239.7</v>
      </c>
      <c r="H1234" s="88"/>
      <c r="I1234" s="324">
        <f>F1234-G1234-H1234</f>
        <v>1976.3</v>
      </c>
      <c r="J1234" s="63" t="s">
        <v>156</v>
      </c>
      <c r="K1234" s="63">
        <v>1</v>
      </c>
      <c r="L1234" s="63">
        <v>1</v>
      </c>
      <c r="M1234" s="63">
        <v>1</v>
      </c>
      <c r="N1234" s="63">
        <v>1</v>
      </c>
      <c r="O1234" s="63">
        <v>1</v>
      </c>
      <c r="P1234" s="325">
        <v>0</v>
      </c>
      <c r="Q1234" s="63">
        <v>1</v>
      </c>
      <c r="R1234" s="63">
        <v>1</v>
      </c>
      <c r="S1234" s="296">
        <v>1</v>
      </c>
      <c r="T1234" s="21">
        <v>1</v>
      </c>
      <c r="U1234" s="10" t="s">
        <v>2228</v>
      </c>
      <c r="V1234" s="90">
        <f>203.5+243+2194.6</f>
        <v>2641.1</v>
      </c>
      <c r="W1234" s="91"/>
      <c r="X1234" s="92"/>
    </row>
    <row r="1235" spans="1:24">
      <c r="A1235" s="614" t="s">
        <v>230</v>
      </c>
      <c r="B1235" s="87">
        <f t="shared" si="89"/>
        <v>6</v>
      </c>
      <c r="C1235" s="274">
        <v>45932</v>
      </c>
      <c r="D1235" s="327">
        <v>73895</v>
      </c>
      <c r="E1235" s="281" t="s">
        <v>155</v>
      </c>
      <c r="F1235" s="277">
        <v>2861</v>
      </c>
      <c r="G1235" s="277">
        <f>39.7+(86.88)+200</f>
        <v>326.58</v>
      </c>
      <c r="H1235" s="297"/>
      <c r="I1235" s="329">
        <f>F1235-G1235-H1235</f>
        <v>2534.42</v>
      </c>
      <c r="J1235" s="279" t="s">
        <v>156</v>
      </c>
      <c r="K1235" s="279">
        <v>1</v>
      </c>
      <c r="L1235" s="279">
        <v>1</v>
      </c>
      <c r="M1235" s="279">
        <v>1</v>
      </c>
      <c r="N1235" s="279">
        <v>1</v>
      </c>
      <c r="O1235" s="279">
        <v>1</v>
      </c>
      <c r="P1235" s="322">
        <v>0</v>
      </c>
      <c r="Q1235" s="279">
        <v>1</v>
      </c>
      <c r="R1235" s="279">
        <v>1</v>
      </c>
      <c r="S1235" s="328">
        <v>0</v>
      </c>
      <c r="T1235" s="63"/>
      <c r="U1235" s="10" t="s">
        <v>2229</v>
      </c>
      <c r="V1235" s="90">
        <f>314+2833.1</f>
        <v>3147.1</v>
      </c>
      <c r="W1235" s="91"/>
      <c r="X1235" s="92"/>
    </row>
    <row r="1236" spans="1:24">
      <c r="A1236" s="614"/>
      <c r="B1236" s="87">
        <f t="shared" si="89"/>
        <v>7</v>
      </c>
      <c r="C1236" s="295">
        <v>45932</v>
      </c>
      <c r="D1236" s="323">
        <v>73845</v>
      </c>
      <c r="E1236" s="10" t="s">
        <v>210</v>
      </c>
      <c r="F1236" s="62">
        <v>1138</v>
      </c>
      <c r="G1236" s="62">
        <f>39.7</f>
        <v>39.700000000000003</v>
      </c>
      <c r="H1236" s="88"/>
      <c r="I1236" s="324">
        <f>F1236-G1236-H1236</f>
        <v>1098.3</v>
      </c>
      <c r="J1236" s="63" t="s">
        <v>156</v>
      </c>
      <c r="K1236" s="63">
        <v>1</v>
      </c>
      <c r="L1236" s="325">
        <v>0</v>
      </c>
      <c r="M1236" s="63">
        <v>1</v>
      </c>
      <c r="N1236" s="63">
        <v>1</v>
      </c>
      <c r="O1236" s="63">
        <v>1</v>
      </c>
      <c r="P1236" s="325">
        <v>0</v>
      </c>
      <c r="Q1236" s="63">
        <v>1</v>
      </c>
      <c r="R1236" s="63">
        <v>1</v>
      </c>
      <c r="S1236" s="296">
        <v>1</v>
      </c>
      <c r="T1236" s="63"/>
      <c r="U1236" s="10"/>
      <c r="V1236" s="90">
        <f>150+1101.8</f>
        <v>1251.8</v>
      </c>
      <c r="W1236" s="91"/>
      <c r="X1236" s="92"/>
    </row>
    <row r="1237" spans="1:24">
      <c r="A1237" s="614"/>
      <c r="B1237" s="87">
        <f t="shared" si="89"/>
        <v>8</v>
      </c>
      <c r="C1237" s="295">
        <v>45932</v>
      </c>
      <c r="D1237" s="323">
        <v>73737</v>
      </c>
      <c r="E1237" s="10" t="s">
        <v>511</v>
      </c>
      <c r="F1237" s="62">
        <v>681</v>
      </c>
      <c r="G1237" s="62"/>
      <c r="H1237" s="88"/>
      <c r="I1237" s="324">
        <f>F1237-G1237-H1237</f>
        <v>681</v>
      </c>
      <c r="J1237" s="63" t="s">
        <v>156</v>
      </c>
      <c r="K1237" s="63">
        <v>1</v>
      </c>
      <c r="L1237" s="63">
        <v>1</v>
      </c>
      <c r="M1237" s="63">
        <v>1</v>
      </c>
      <c r="N1237" s="63">
        <v>1</v>
      </c>
      <c r="O1237" s="63">
        <v>1</v>
      </c>
      <c r="P1237" s="325">
        <v>0</v>
      </c>
      <c r="Q1237" s="63">
        <v>1</v>
      </c>
      <c r="R1237" s="63">
        <v>1</v>
      </c>
      <c r="S1237" s="296">
        <v>1</v>
      </c>
      <c r="T1237" s="63"/>
      <c r="U1237" s="10"/>
      <c r="V1237" s="90">
        <f>74+675.1</f>
        <v>749.1</v>
      </c>
      <c r="W1237" s="91"/>
      <c r="X1237" s="92"/>
    </row>
    <row r="1238" spans="1:24">
      <c r="A1238" s="614"/>
      <c r="B1238" s="87">
        <f>B1237+1</f>
        <v>9</v>
      </c>
      <c r="C1238" s="295">
        <v>45932</v>
      </c>
      <c r="D1238" s="323">
        <v>73988</v>
      </c>
      <c r="E1238" s="10" t="s">
        <v>268</v>
      </c>
      <c r="F1238" s="62">
        <f>2446-185</f>
        <v>2261</v>
      </c>
      <c r="G1238" s="62">
        <f>39.7</f>
        <v>39.700000000000003</v>
      </c>
      <c r="H1238" s="62"/>
      <c r="I1238" s="369">
        <f>F1238-G1238-H1238</f>
        <v>2221.3000000000002</v>
      </c>
      <c r="J1238" s="63" t="s">
        <v>156</v>
      </c>
      <c r="K1238" s="63">
        <v>1</v>
      </c>
      <c r="L1238" s="63">
        <v>1</v>
      </c>
      <c r="M1238" s="63">
        <v>1</v>
      </c>
      <c r="N1238" s="63">
        <v>1</v>
      </c>
      <c r="O1238" s="63">
        <v>1</v>
      </c>
      <c r="P1238" s="325">
        <v>0</v>
      </c>
      <c r="Q1238" s="325">
        <v>0</v>
      </c>
      <c r="R1238" s="325">
        <v>0</v>
      </c>
      <c r="S1238" s="326">
        <v>0</v>
      </c>
      <c r="T1238" s="63"/>
      <c r="U1238" s="94" t="s">
        <v>2230</v>
      </c>
      <c r="V1238" s="90">
        <f>203.5+248+2239.1</f>
        <v>2690.6</v>
      </c>
      <c r="W1238" s="91"/>
      <c r="X1238" s="92"/>
    </row>
    <row r="1239" spans="1:24">
      <c r="A1239" s="614"/>
      <c r="B1239" s="87">
        <f>B1238+1</f>
        <v>10</v>
      </c>
      <c r="C1239" s="295">
        <v>45932</v>
      </c>
      <c r="D1239" s="323">
        <v>73944</v>
      </c>
      <c r="E1239" s="10" t="s">
        <v>354</v>
      </c>
      <c r="F1239" s="62">
        <v>1264</v>
      </c>
      <c r="G1239" s="62">
        <f>39.7</f>
        <v>39.700000000000003</v>
      </c>
      <c r="H1239" s="88"/>
      <c r="I1239" s="369">
        <f>F1239-G1239-H1239</f>
        <v>1224.3</v>
      </c>
      <c r="J1239" s="63" t="s">
        <v>156</v>
      </c>
      <c r="K1239" s="63">
        <v>1</v>
      </c>
      <c r="L1239" s="63">
        <v>1</v>
      </c>
      <c r="M1239" s="63">
        <v>1</v>
      </c>
      <c r="N1239" s="63">
        <v>1</v>
      </c>
      <c r="O1239" s="63">
        <v>1</v>
      </c>
      <c r="P1239" s="325">
        <v>0</v>
      </c>
      <c r="Q1239" s="63">
        <v>1</v>
      </c>
      <c r="R1239" s="63">
        <v>1</v>
      </c>
      <c r="S1239" s="296">
        <v>1</v>
      </c>
      <c r="T1239" s="21"/>
      <c r="U1239" s="94" t="s">
        <v>2230</v>
      </c>
      <c r="V1239" s="90">
        <f>139+1251.4</f>
        <v>1390.4</v>
      </c>
      <c r="W1239" s="91"/>
      <c r="X1239" s="92"/>
    </row>
    <row r="1240" spans="1:24">
      <c r="A1240" s="614"/>
      <c r="B1240" s="87">
        <f>B1239+1</f>
        <v>11</v>
      </c>
      <c r="C1240" s="282">
        <v>45932</v>
      </c>
      <c r="D1240" s="330">
        <v>73998</v>
      </c>
      <c r="E1240" s="283" t="s">
        <v>428</v>
      </c>
      <c r="F1240" s="423">
        <f>1419-155</f>
        <v>1264</v>
      </c>
      <c r="G1240" s="284">
        <f>39.7</f>
        <v>39.700000000000003</v>
      </c>
      <c r="H1240" s="284"/>
      <c r="I1240" s="331">
        <f>F1240-G1240-H1240</f>
        <v>1224.3</v>
      </c>
      <c r="J1240" s="286" t="s">
        <v>156</v>
      </c>
      <c r="K1240" s="286">
        <v>1</v>
      </c>
      <c r="L1240" s="286">
        <v>1</v>
      </c>
      <c r="M1240" s="286">
        <v>1</v>
      </c>
      <c r="N1240" s="286">
        <v>1</v>
      </c>
      <c r="O1240" s="286">
        <v>1</v>
      </c>
      <c r="P1240" s="332">
        <v>0</v>
      </c>
      <c r="Q1240" s="332">
        <v>0</v>
      </c>
      <c r="R1240" s="332">
        <v>0</v>
      </c>
      <c r="S1240" s="370">
        <v>0</v>
      </c>
      <c r="T1240" s="21">
        <v>1</v>
      </c>
      <c r="U1240" s="94" t="s">
        <v>2230</v>
      </c>
      <c r="V1240" s="90">
        <f>170.5+130+1090.4</f>
        <v>1390.9</v>
      </c>
      <c r="W1240" s="91"/>
      <c r="X1240" s="92"/>
    </row>
    <row r="1241" spans="1:24">
      <c r="A1241" s="614"/>
      <c r="B1241" s="87">
        <f>B1240+1</f>
        <v>12</v>
      </c>
      <c r="C1241" s="274">
        <v>45933</v>
      </c>
      <c r="D1241" s="276">
        <v>73987</v>
      </c>
      <c r="E1241" s="276" t="s">
        <v>2132</v>
      </c>
      <c r="F1241" s="447">
        <v>1138</v>
      </c>
      <c r="G1241" s="277">
        <f>39.7</f>
        <v>39.700000000000003</v>
      </c>
      <c r="H1241" s="277"/>
      <c r="I1241" s="321">
        <f>F1241-G1241-H1241</f>
        <v>1098.3</v>
      </c>
      <c r="J1241" s="279" t="s">
        <v>156</v>
      </c>
      <c r="K1241" s="279">
        <v>1</v>
      </c>
      <c r="L1241" s="322">
        <v>0</v>
      </c>
      <c r="M1241" s="279">
        <v>1</v>
      </c>
      <c r="N1241" s="279">
        <v>1</v>
      </c>
      <c r="O1241" s="279">
        <v>1</v>
      </c>
      <c r="P1241" s="322">
        <v>0</v>
      </c>
      <c r="Q1241" s="279">
        <v>1</v>
      </c>
      <c r="R1241" s="279">
        <v>1</v>
      </c>
      <c r="S1241" s="280">
        <v>1</v>
      </c>
      <c r="T1241" s="63"/>
      <c r="U1241" s="10"/>
      <c r="V1241" s="90">
        <f>125+1126.8</f>
        <v>1251.8</v>
      </c>
      <c r="W1241" s="91"/>
      <c r="X1241" s="92"/>
    </row>
    <row r="1242" spans="1:24">
      <c r="A1242" s="614"/>
      <c r="B1242" s="87">
        <f>B1241+1</f>
        <v>13</v>
      </c>
      <c r="C1242" s="295">
        <v>45933</v>
      </c>
      <c r="D1242" s="10" t="s">
        <v>2231</v>
      </c>
      <c r="E1242" s="10" t="s">
        <v>268</v>
      </c>
      <c r="F1242" s="62">
        <v>12814</v>
      </c>
      <c r="G1242" s="62">
        <f>39.7+(104.59+1246.21+404.29-76.89)+1000</f>
        <v>2717.8999999999996</v>
      </c>
      <c r="H1242" s="62"/>
      <c r="I1242" s="324">
        <f>F1242-G1242-H1242</f>
        <v>10096.1</v>
      </c>
      <c r="J1242" s="63" t="s">
        <v>228</v>
      </c>
      <c r="K1242" s="63">
        <v>1</v>
      </c>
      <c r="L1242" s="325">
        <v>0</v>
      </c>
      <c r="M1242" s="63">
        <v>1</v>
      </c>
      <c r="N1242" s="63">
        <v>1</v>
      </c>
      <c r="O1242" s="63">
        <v>1</v>
      </c>
      <c r="P1242" s="325">
        <v>0</v>
      </c>
      <c r="Q1242" s="63">
        <v>1</v>
      </c>
      <c r="R1242" s="325">
        <v>0</v>
      </c>
      <c r="S1242" s="326">
        <v>0</v>
      </c>
      <c r="T1242" s="63"/>
      <c r="U1242" s="94" t="s">
        <v>2232</v>
      </c>
      <c r="V1242" s="90">
        <f>1600+12495.4</f>
        <v>14095.4</v>
      </c>
      <c r="W1242" s="91"/>
      <c r="X1242" s="92"/>
    </row>
    <row r="1243" spans="1:24">
      <c r="A1243" s="614"/>
      <c r="B1243" s="87">
        <f>B1242+1</f>
        <v>14</v>
      </c>
      <c r="C1243" s="295">
        <v>45933</v>
      </c>
      <c r="D1243" s="10">
        <v>73917</v>
      </c>
      <c r="E1243" s="10" t="s">
        <v>2171</v>
      </c>
      <c r="F1243" s="95">
        <v>2261</v>
      </c>
      <c r="G1243" s="62">
        <f>39.7</f>
        <v>39.700000000000003</v>
      </c>
      <c r="H1243" s="62"/>
      <c r="I1243" s="324">
        <f>F1243-G1243-H1243</f>
        <v>2221.3000000000002</v>
      </c>
      <c r="J1243" s="63" t="s">
        <v>156</v>
      </c>
      <c r="K1243" s="63">
        <v>1</v>
      </c>
      <c r="L1243" s="63">
        <v>1</v>
      </c>
      <c r="M1243" s="63">
        <v>1</v>
      </c>
      <c r="N1243" s="63">
        <v>1</v>
      </c>
      <c r="O1243" s="63">
        <v>1</v>
      </c>
      <c r="P1243" s="325">
        <v>0</v>
      </c>
      <c r="Q1243" s="63">
        <v>1</v>
      </c>
      <c r="R1243" s="63">
        <v>1</v>
      </c>
      <c r="S1243" s="296">
        <v>1</v>
      </c>
      <c r="T1243" s="63"/>
      <c r="U1243" s="10"/>
      <c r="V1243" s="90">
        <f>248+2236.1</f>
        <v>2484.1</v>
      </c>
      <c r="W1243" s="91"/>
      <c r="X1243" s="92"/>
    </row>
    <row r="1244" spans="1:24">
      <c r="A1244" s="614"/>
      <c r="B1244" s="87">
        <f t="shared" si="89"/>
        <v>15</v>
      </c>
      <c r="C1244" s="282">
        <v>45933</v>
      </c>
      <c r="D1244" s="283">
        <v>73931</v>
      </c>
      <c r="E1244" s="283" t="s">
        <v>155</v>
      </c>
      <c r="F1244" s="423">
        <v>379</v>
      </c>
      <c r="G1244" s="284"/>
      <c r="H1244" s="284"/>
      <c r="I1244" s="300">
        <f>F1244-G1244-H1244</f>
        <v>379</v>
      </c>
      <c r="J1244" s="286" t="s">
        <v>156</v>
      </c>
      <c r="K1244" s="286">
        <v>1</v>
      </c>
      <c r="L1244" s="286">
        <v>1</v>
      </c>
      <c r="M1244" s="286">
        <v>1</v>
      </c>
      <c r="N1244" s="286">
        <v>1</v>
      </c>
      <c r="O1244" s="286">
        <v>1</v>
      </c>
      <c r="P1244" s="332">
        <v>0</v>
      </c>
      <c r="Q1244" s="286">
        <v>1</v>
      </c>
      <c r="R1244" s="286">
        <v>1</v>
      </c>
      <c r="S1244" s="287">
        <v>1</v>
      </c>
      <c r="T1244" s="21">
        <v>1</v>
      </c>
      <c r="U1244" s="10"/>
      <c r="V1244" s="90">
        <v>416</v>
      </c>
      <c r="W1244" s="91"/>
      <c r="X1244" s="92"/>
    </row>
    <row r="1245" spans="1:24">
      <c r="A1245" s="614"/>
      <c r="B1245" s="87"/>
      <c r="C1245" s="609"/>
      <c r="D1245" s="10"/>
      <c r="E1245" s="10"/>
      <c r="F1245" s="97">
        <f>SUM(F1230:F1244)</f>
        <v>32144</v>
      </c>
      <c r="G1245" s="97">
        <f>SUM(G1230:G1244)</f>
        <v>3958.3599999999997</v>
      </c>
      <c r="H1245" s="97">
        <f>SUM(H1230:H1244)</f>
        <v>0</v>
      </c>
      <c r="I1245" s="98">
        <f>SUM(I1230:I1244)</f>
        <v>28185.639999999996</v>
      </c>
      <c r="J1245" s="63"/>
      <c r="K1245" s="63">
        <f>COUNT(K1230:K1244)</f>
        <v>15</v>
      </c>
      <c r="L1245" s="63">
        <f>COUNT(L1230:L1244)</f>
        <v>15</v>
      </c>
      <c r="M1245" s="63">
        <f>COUNT(M1230:M1244)</f>
        <v>15</v>
      </c>
      <c r="N1245" s="63">
        <f>COUNT(N1230:N1244)</f>
        <v>15</v>
      </c>
      <c r="O1245" s="63">
        <f>COUNT(O1230:O1244)</f>
        <v>15</v>
      </c>
      <c r="P1245" s="63">
        <f>COUNT(P1230:P1244)</f>
        <v>15</v>
      </c>
      <c r="Q1245" s="63">
        <f>COUNT(Q1230:Q1244)</f>
        <v>15</v>
      </c>
      <c r="R1245" s="63">
        <f>COUNT(R1230:R1244)</f>
        <v>15</v>
      </c>
      <c r="S1245" s="63">
        <f>COUNT(S1230:S1244)</f>
        <v>15</v>
      </c>
      <c r="T1245" s="63"/>
      <c r="U1245" s="10"/>
      <c r="V1245" s="90"/>
      <c r="W1245" s="91"/>
      <c r="X1245" s="92"/>
    </row>
    <row r="1246" spans="1:24">
      <c r="A1246" s="614"/>
      <c r="B1246" s="87"/>
      <c r="C1246" s="609"/>
      <c r="D1246" s="10"/>
      <c r="E1246" s="10"/>
      <c r="F1246" s="88"/>
      <c r="G1246" s="88"/>
      <c r="H1246" s="88"/>
      <c r="I1246" s="99"/>
      <c r="J1246" s="63"/>
      <c r="K1246" s="21">
        <f>SUM(K1230:K1244)</f>
        <v>15</v>
      </c>
      <c r="L1246" s="21">
        <f>SUM(L1230:L1244)</f>
        <v>12</v>
      </c>
      <c r="M1246" s="21">
        <f>SUM(M1230:M1244)</f>
        <v>15</v>
      </c>
      <c r="N1246" s="21">
        <f>SUM(N1230:N1244)</f>
        <v>15</v>
      </c>
      <c r="O1246" s="21">
        <f>SUM(O1230:O1244)</f>
        <v>15</v>
      </c>
      <c r="P1246" s="21">
        <f>SUM(P1230:P1244)</f>
        <v>0</v>
      </c>
      <c r="Q1246" s="21">
        <f>SUM(Q1230:Q1244)</f>
        <v>13</v>
      </c>
      <c r="R1246" s="21">
        <f>SUM(R1230:R1244)</f>
        <v>12</v>
      </c>
      <c r="S1246" s="21">
        <f>SUM(S1230:S1244)</f>
        <v>11</v>
      </c>
      <c r="T1246" s="63"/>
      <c r="U1246" s="10"/>
      <c r="V1246" s="90"/>
      <c r="W1246" s="91"/>
      <c r="X1246" s="92"/>
    </row>
    <row r="1247" spans="1:24">
      <c r="A1247" s="614"/>
      <c r="B1247" s="11"/>
      <c r="C1247" s="609"/>
      <c r="D1247" s="10"/>
      <c r="E1247" s="10"/>
      <c r="F1247" s="88"/>
      <c r="G1247" s="88"/>
      <c r="H1247" s="88"/>
      <c r="I1247" s="99"/>
      <c r="J1247" s="63"/>
      <c r="K1247" s="21"/>
      <c r="L1247" s="21"/>
      <c r="M1247" s="21"/>
      <c r="N1247" s="21"/>
      <c r="O1247" s="21"/>
      <c r="P1247" s="21"/>
      <c r="Q1247" s="21"/>
      <c r="R1247" s="21"/>
      <c r="S1247" s="21"/>
      <c r="T1247" s="63"/>
      <c r="U1247" s="94"/>
      <c r="V1247" s="90"/>
      <c r="W1247" s="91"/>
      <c r="X1247" s="92"/>
    </row>
    <row r="1248" spans="1:24">
      <c r="A1248" s="615"/>
      <c r="B1248" s="121" t="s">
        <v>68</v>
      </c>
      <c r="C1248" s="611"/>
      <c r="D1248" s="123"/>
      <c r="E1248" s="123"/>
      <c r="F1248" s="124"/>
      <c r="G1248" s="125"/>
      <c r="H1248" s="124"/>
      <c r="I1248" s="126"/>
      <c r="J1248" s="127"/>
      <c r="K1248" s="128"/>
      <c r="L1248" s="128"/>
      <c r="M1248" s="128"/>
      <c r="N1248" s="128"/>
      <c r="O1248" s="128"/>
      <c r="P1248" s="128"/>
      <c r="Q1248" s="128"/>
      <c r="R1248" s="128"/>
      <c r="S1248" s="128"/>
      <c r="T1248" s="127"/>
      <c r="U1248" s="123"/>
      <c r="V1248" s="129"/>
      <c r="W1248" s="130"/>
      <c r="X1248" s="131"/>
    </row>
    <row r="1249" spans="1:25" s="342" customFormat="1">
      <c r="A1249" s="494">
        <v>0.05</v>
      </c>
      <c r="B1249" s="333">
        <v>1</v>
      </c>
      <c r="C1249" s="334">
        <v>45930</v>
      </c>
      <c r="D1249" s="320" t="s">
        <v>2233</v>
      </c>
      <c r="E1249" s="335" t="s">
        <v>349</v>
      </c>
      <c r="F1249" s="336">
        <v>2431.85</v>
      </c>
      <c r="G1249" s="336">
        <f>39.7+(1*100)</f>
        <v>139.69999999999999</v>
      </c>
      <c r="H1249" s="502"/>
      <c r="I1249" s="337">
        <f>F1249-G1249-H1249</f>
        <v>2292.15</v>
      </c>
      <c r="J1249" s="338" t="s">
        <v>156</v>
      </c>
      <c r="K1249" s="338">
        <v>1</v>
      </c>
      <c r="L1249" s="322">
        <v>0</v>
      </c>
      <c r="M1249" s="338">
        <v>1</v>
      </c>
      <c r="N1249" s="338">
        <v>1</v>
      </c>
      <c r="O1249" s="338">
        <v>1</v>
      </c>
      <c r="P1249" s="322">
        <v>0</v>
      </c>
      <c r="Q1249" s="338">
        <v>1</v>
      </c>
      <c r="R1249" s="338">
        <v>1</v>
      </c>
      <c r="S1249" s="339">
        <v>1</v>
      </c>
      <c r="T1249" s="127"/>
      <c r="U1249" s="135"/>
      <c r="V1249" s="129">
        <f>260+2340.14</f>
        <v>2600.14</v>
      </c>
      <c r="W1249" s="130"/>
      <c r="X1249" s="131"/>
    </row>
    <row r="1250" spans="1:25" s="342" customFormat="1">
      <c r="A1250" s="494">
        <v>0.05</v>
      </c>
      <c r="B1250" s="333">
        <f t="shared" ref="B1250:B1253" si="90">B1249+1</f>
        <v>2</v>
      </c>
      <c r="C1250" s="334">
        <v>45931</v>
      </c>
      <c r="D1250" s="320">
        <v>73858</v>
      </c>
      <c r="E1250" s="335" t="s">
        <v>572</v>
      </c>
      <c r="F1250" s="336">
        <v>1025</v>
      </c>
      <c r="G1250" s="336">
        <f>39.7</f>
        <v>39.700000000000003</v>
      </c>
      <c r="H1250" s="336"/>
      <c r="I1250" s="337">
        <f>F1250-G1250-H1250</f>
        <v>985.3</v>
      </c>
      <c r="J1250" s="338" t="s">
        <v>817</v>
      </c>
      <c r="K1250" s="338">
        <v>1</v>
      </c>
      <c r="L1250" s="338">
        <v>1</v>
      </c>
      <c r="M1250" s="338">
        <v>1</v>
      </c>
      <c r="N1250" s="338">
        <v>1</v>
      </c>
      <c r="O1250" s="338">
        <v>1</v>
      </c>
      <c r="P1250" s="322">
        <v>0</v>
      </c>
      <c r="Q1250" s="322">
        <v>0</v>
      </c>
      <c r="R1250" s="322">
        <v>0</v>
      </c>
      <c r="S1250" s="328">
        <v>0</v>
      </c>
      <c r="T1250" s="127"/>
      <c r="U1250" s="123" t="s">
        <v>2234</v>
      </c>
      <c r="V1250" s="129">
        <v>413.75</v>
      </c>
      <c r="W1250" s="710">
        <v>150</v>
      </c>
      <c r="X1250" s="131"/>
    </row>
    <row r="1251" spans="1:25" s="342" customFormat="1">
      <c r="A1251" s="494">
        <v>0.05</v>
      </c>
      <c r="B1251" s="333">
        <f t="shared" si="90"/>
        <v>3</v>
      </c>
      <c r="C1251" s="334">
        <v>45932</v>
      </c>
      <c r="D1251" s="327">
        <v>73254</v>
      </c>
      <c r="E1251" s="394" t="s">
        <v>1215</v>
      </c>
      <c r="F1251" s="336">
        <f>2899-85</f>
        <v>2814</v>
      </c>
      <c r="G1251" s="336">
        <f>39.7+(307.1+324.82-290.91)</f>
        <v>380.71000000000004</v>
      </c>
      <c r="H1251" s="336"/>
      <c r="I1251" s="337">
        <f>F1251-G1251-H1251</f>
        <v>2433.29</v>
      </c>
      <c r="J1251" s="338" t="s">
        <v>374</v>
      </c>
      <c r="K1251" s="338">
        <v>1</v>
      </c>
      <c r="L1251" s="338">
        <v>1</v>
      </c>
      <c r="M1251" s="338">
        <v>1</v>
      </c>
      <c r="N1251" s="338">
        <v>1</v>
      </c>
      <c r="O1251" s="338">
        <v>1</v>
      </c>
      <c r="P1251" s="338">
        <v>1</v>
      </c>
      <c r="Q1251" s="338">
        <v>1</v>
      </c>
      <c r="R1251" s="322">
        <v>0</v>
      </c>
      <c r="S1251" s="328">
        <v>0</v>
      </c>
      <c r="T1251" s="127"/>
      <c r="U1251" s="123" t="s">
        <v>2235</v>
      </c>
      <c r="V1251" s="129">
        <f>93.5+281.4</f>
        <v>374.9</v>
      </c>
      <c r="W1251" s="130"/>
      <c r="X1251" s="131"/>
      <c r="Y1251" s="128"/>
    </row>
    <row r="1252" spans="1:25" s="342" customFormat="1">
      <c r="A1252" s="494">
        <v>0.05</v>
      </c>
      <c r="B1252" s="333">
        <f t="shared" si="90"/>
        <v>4</v>
      </c>
      <c r="C1252" s="395">
        <v>45932</v>
      </c>
      <c r="D1252" s="330">
        <v>73883</v>
      </c>
      <c r="E1252" s="454" t="s">
        <v>786</v>
      </c>
      <c r="F1252" s="397">
        <v>2353</v>
      </c>
      <c r="G1252" s="397">
        <f>39.7+(210.03)+200</f>
        <v>449.73</v>
      </c>
      <c r="H1252" s="397"/>
      <c r="I1252" s="398">
        <f>F1252-G1252-H1252</f>
        <v>1903.27</v>
      </c>
      <c r="J1252" s="399" t="s">
        <v>374</v>
      </c>
      <c r="K1252" s="399">
        <v>1</v>
      </c>
      <c r="L1252" s="399">
        <v>1</v>
      </c>
      <c r="M1252" s="399">
        <v>1</v>
      </c>
      <c r="N1252" s="399">
        <v>1</v>
      </c>
      <c r="O1252" s="399">
        <v>1</v>
      </c>
      <c r="P1252" s="332">
        <v>0</v>
      </c>
      <c r="Q1252" s="399">
        <v>1</v>
      </c>
      <c r="R1252" s="399">
        <v>1</v>
      </c>
      <c r="S1252" s="370">
        <v>0</v>
      </c>
      <c r="T1252" s="127"/>
      <c r="U1252" s="123" t="s">
        <v>2236</v>
      </c>
      <c r="V1252" s="129">
        <f>250+2338.3</f>
        <v>2588.3000000000002</v>
      </c>
      <c r="W1252" s="130"/>
      <c r="X1252" s="131"/>
    </row>
    <row r="1253" spans="1:25" s="342" customFormat="1">
      <c r="A1253" s="615"/>
      <c r="B1253" s="132"/>
      <c r="C1253" s="122"/>
      <c r="D1253" s="123"/>
      <c r="E1253" s="123"/>
      <c r="F1253" s="134">
        <f>SUM(F1249:F1252)</f>
        <v>8623.85</v>
      </c>
      <c r="G1253" s="134">
        <f>SUM(G1249:G1252)</f>
        <v>1009.84</v>
      </c>
      <c r="H1253" s="134">
        <f>SUM(H1249:H1252)</f>
        <v>0</v>
      </c>
      <c r="I1253" s="134">
        <f>SUM(I1249:I1252)</f>
        <v>7614.01</v>
      </c>
      <c r="J1253" s="127"/>
      <c r="K1253" s="64"/>
      <c r="L1253" s="64"/>
      <c r="M1253" s="64"/>
      <c r="N1253" s="64"/>
      <c r="O1253" s="64"/>
      <c r="P1253" s="64"/>
      <c r="Q1253" s="64"/>
      <c r="R1253" s="64"/>
      <c r="S1253" s="64"/>
      <c r="T1253" s="127"/>
      <c r="U1253" s="123"/>
      <c r="V1253" s="129"/>
      <c r="W1253" s="130"/>
      <c r="X1253" s="131"/>
    </row>
    <row r="1254" spans="1:25" s="342" customFormat="1">
      <c r="A1254" s="615"/>
      <c r="B1254" s="132"/>
      <c r="C1254" s="122"/>
      <c r="D1254" s="123"/>
      <c r="E1254" s="123"/>
      <c r="F1254" s="124"/>
      <c r="G1254" s="124"/>
      <c r="H1254" s="124"/>
      <c r="I1254" s="126"/>
      <c r="J1254" s="127"/>
      <c r="K1254" s="64"/>
      <c r="L1254" s="64"/>
      <c r="M1254" s="64"/>
      <c r="N1254" s="64"/>
      <c r="O1254" s="64"/>
      <c r="P1254" s="64"/>
      <c r="Q1254" s="64"/>
      <c r="R1254" s="64"/>
      <c r="S1254" s="64"/>
      <c r="T1254" s="127"/>
      <c r="U1254" s="135"/>
      <c r="V1254" s="129"/>
      <c r="W1254" s="130"/>
      <c r="X1254" s="131"/>
    </row>
    <row r="1255" spans="1:25" s="342" customFormat="1">
      <c r="A1255" s="615"/>
      <c r="B1255" s="121" t="s">
        <v>70</v>
      </c>
      <c r="C1255" s="122"/>
      <c r="D1255" s="123"/>
      <c r="E1255" s="128"/>
      <c r="F1255" s="124"/>
      <c r="G1255" s="124"/>
      <c r="H1255" s="124"/>
      <c r="I1255" s="126"/>
      <c r="J1255" s="127"/>
      <c r="K1255" s="64"/>
      <c r="L1255" s="64"/>
      <c r="M1255" s="64"/>
      <c r="N1255" s="64"/>
      <c r="O1255" s="64"/>
      <c r="P1255" s="64"/>
      <c r="Q1255" s="64"/>
      <c r="R1255" s="64"/>
      <c r="S1255" s="64"/>
      <c r="T1255" s="127"/>
      <c r="U1255" s="135"/>
      <c r="V1255" s="129"/>
      <c r="W1255" s="130"/>
      <c r="X1255" s="131"/>
    </row>
    <row r="1256" spans="1:25" s="342" customFormat="1">
      <c r="A1256" s="494" t="s">
        <v>2237</v>
      </c>
      <c r="B1256" s="333">
        <v>1</v>
      </c>
      <c r="C1256" s="350">
        <v>45933</v>
      </c>
      <c r="D1256" s="358" t="s">
        <v>2238</v>
      </c>
      <c r="E1256" s="358" t="s">
        <v>2132</v>
      </c>
      <c r="F1256" s="352">
        <v>16814</v>
      </c>
      <c r="G1256" s="352">
        <f>39.7+(228.4)+(119.12+612.84+132.75+179.85+59.99)+1500</f>
        <v>2872.65</v>
      </c>
      <c r="H1256" s="352"/>
      <c r="I1256" s="353">
        <f>F1256-G1256-H1256</f>
        <v>13941.35</v>
      </c>
      <c r="J1256" s="354" t="s">
        <v>156</v>
      </c>
      <c r="K1256" s="354">
        <v>1</v>
      </c>
      <c r="L1256" s="354">
        <v>1</v>
      </c>
      <c r="M1256" s="354">
        <v>1</v>
      </c>
      <c r="N1256" s="354">
        <v>1</v>
      </c>
      <c r="O1256" s="354">
        <v>1</v>
      </c>
      <c r="P1256" s="314">
        <v>0</v>
      </c>
      <c r="Q1256" s="354">
        <v>1</v>
      </c>
      <c r="R1256" s="354">
        <v>1</v>
      </c>
      <c r="S1256" s="355">
        <v>1</v>
      </c>
      <c r="T1256" s="127"/>
      <c r="U1256" s="135" t="s">
        <v>2239</v>
      </c>
      <c r="V1256" s="129">
        <f>1800+4000+4000</f>
        <v>9800</v>
      </c>
      <c r="W1256" s="340"/>
      <c r="X1256" s="341"/>
    </row>
    <row r="1257" spans="1:25">
      <c r="A1257" s="615"/>
      <c r="B1257" s="132"/>
      <c r="C1257" s="36"/>
      <c r="D1257" s="123"/>
      <c r="E1257" s="123"/>
      <c r="F1257" s="134">
        <f>SUM(F1256:F1256)</f>
        <v>16814</v>
      </c>
      <c r="G1257" s="134">
        <f>SUM(G1256:G1256)</f>
        <v>2872.65</v>
      </c>
      <c r="H1257" s="134">
        <f>SUM(H1256:H1256)</f>
        <v>0</v>
      </c>
      <c r="I1257" s="134">
        <f>SUM(I1256:I1256)</f>
        <v>13941.35</v>
      </c>
      <c r="J1257" s="127"/>
      <c r="K1257" s="64"/>
      <c r="L1257" s="64"/>
      <c r="M1257" s="64"/>
      <c r="N1257" s="64"/>
      <c r="O1257" s="64"/>
      <c r="P1257" s="64"/>
      <c r="Q1257" s="64"/>
      <c r="R1257" s="64"/>
      <c r="S1257" s="64"/>
      <c r="T1257" s="127"/>
      <c r="U1257" s="135"/>
      <c r="V1257" s="129"/>
      <c r="W1257" s="130"/>
      <c r="X1257" s="131"/>
    </row>
    <row r="1258" spans="1:25">
      <c r="A1258" s="614"/>
      <c r="B1258" s="11"/>
      <c r="C1258" s="609"/>
      <c r="D1258" s="10"/>
      <c r="E1258" s="10"/>
      <c r="F1258" s="88"/>
      <c r="G1258" s="88"/>
      <c r="H1258" s="88"/>
      <c r="I1258" s="99"/>
      <c r="J1258" s="63"/>
      <c r="K1258" s="21"/>
      <c r="L1258" s="21"/>
      <c r="M1258" s="21"/>
      <c r="N1258" s="21"/>
      <c r="O1258" s="21"/>
      <c r="P1258" s="21"/>
      <c r="Q1258" s="21"/>
      <c r="R1258" s="21"/>
      <c r="S1258" s="21"/>
      <c r="T1258" s="63"/>
      <c r="U1258" s="94"/>
      <c r="V1258" s="90"/>
      <c r="W1258" s="91"/>
      <c r="X1258" s="92"/>
    </row>
    <row r="1259" spans="1:25" s="260" customFormat="1">
      <c r="A1259" s="181"/>
      <c r="B1259" s="100" t="s">
        <v>152</v>
      </c>
      <c r="C1259" s="36"/>
      <c r="D1259" s="10"/>
      <c r="E1259" s="10"/>
      <c r="F1259" s="88"/>
      <c r="G1259" s="62"/>
      <c r="H1259" s="88"/>
      <c r="I1259" s="99"/>
      <c r="J1259" s="63"/>
      <c r="K1259" s="181"/>
      <c r="L1259" s="181"/>
      <c r="M1259" s="181"/>
      <c r="N1259" s="181"/>
      <c r="O1259" s="181"/>
      <c r="P1259" s="181"/>
      <c r="Q1259" s="181"/>
      <c r="R1259" s="181"/>
      <c r="S1259" s="181"/>
      <c r="T1259" s="63"/>
      <c r="U1259" s="10"/>
      <c r="V1259" s="90"/>
      <c r="W1259" s="91"/>
      <c r="X1259" s="92"/>
    </row>
    <row r="1260" spans="1:25" s="260" customFormat="1">
      <c r="A1260" s="494">
        <v>0.05</v>
      </c>
      <c r="B1260" s="87">
        <v>1</v>
      </c>
      <c r="C1260" s="262">
        <v>45849</v>
      </c>
      <c r="D1260" s="271">
        <v>71382</v>
      </c>
      <c r="E1260" s="271" t="s">
        <v>999</v>
      </c>
      <c r="F1260" s="265">
        <v>1861</v>
      </c>
      <c r="G1260" s="265">
        <f>39.7+544.5</f>
        <v>584.20000000000005</v>
      </c>
      <c r="H1260" s="265"/>
      <c r="I1260" s="266">
        <f>F1260-G1260-H1260</f>
        <v>1276.8</v>
      </c>
      <c r="J1260" s="267" t="s">
        <v>374</v>
      </c>
      <c r="K1260" s="267">
        <v>1</v>
      </c>
      <c r="L1260" s="267"/>
      <c r="M1260" s="267">
        <v>1</v>
      </c>
      <c r="N1260" s="267">
        <v>1</v>
      </c>
      <c r="O1260" s="267">
        <v>1</v>
      </c>
      <c r="P1260" s="314">
        <v>0</v>
      </c>
      <c r="Q1260" s="314">
        <v>0</v>
      </c>
      <c r="R1260" s="314">
        <v>0</v>
      </c>
      <c r="S1260" s="366">
        <v>0</v>
      </c>
      <c r="T1260" s="63"/>
      <c r="U1260" s="94" t="s">
        <v>2072</v>
      </c>
      <c r="V1260" s="90"/>
      <c r="W1260" s="136"/>
      <c r="X1260" s="137"/>
    </row>
    <row r="1261" spans="1:25" s="260" customFormat="1">
      <c r="A1261" s="261">
        <v>0.05</v>
      </c>
      <c r="B1261" s="87">
        <f>B1260+1</f>
        <v>2</v>
      </c>
      <c r="C1261" s="282">
        <v>45861</v>
      </c>
      <c r="D1261" s="302" t="s">
        <v>1997</v>
      </c>
      <c r="E1261" s="283" t="s">
        <v>270</v>
      </c>
      <c r="F1261" s="423">
        <v>5133</v>
      </c>
      <c r="G1261" s="284">
        <f>39.7+(1071.49)+250</f>
        <v>1361.19</v>
      </c>
      <c r="H1261" s="284"/>
      <c r="I1261" s="300">
        <f>F1261-G1261-H1261</f>
        <v>3771.81</v>
      </c>
      <c r="J1261" s="286" t="s">
        <v>156</v>
      </c>
      <c r="K1261" s="286">
        <v>1</v>
      </c>
      <c r="L1261" s="286">
        <v>1</v>
      </c>
      <c r="M1261" s="286">
        <v>1</v>
      </c>
      <c r="N1261" s="286">
        <v>1</v>
      </c>
      <c r="O1261" s="286">
        <v>1</v>
      </c>
      <c r="P1261" s="332">
        <v>0</v>
      </c>
      <c r="Q1261" s="332">
        <v>0</v>
      </c>
      <c r="R1261" s="332">
        <v>0</v>
      </c>
      <c r="S1261" s="370">
        <v>0</v>
      </c>
      <c r="T1261" s="63"/>
      <c r="U1261" s="10" t="s">
        <v>2222</v>
      </c>
      <c r="V1261" s="90"/>
      <c r="W1261" s="91"/>
      <c r="X1261" s="92"/>
    </row>
    <row r="1262" spans="1:25" s="260" customFormat="1">
      <c r="A1262" s="494" t="s">
        <v>1183</v>
      </c>
      <c r="B1262" s="87">
        <f>B1261+1</f>
        <v>3</v>
      </c>
      <c r="C1262" s="262">
        <v>45867</v>
      </c>
      <c r="D1262" s="273" t="s">
        <v>2029</v>
      </c>
      <c r="E1262" s="264" t="s">
        <v>158</v>
      </c>
      <c r="F1262" s="265">
        <v>4461</v>
      </c>
      <c r="G1262" s="265">
        <f>39.7+300</f>
        <v>339.7</v>
      </c>
      <c r="H1262" s="265"/>
      <c r="I1262" s="266">
        <f>F1262-G1262-H1262</f>
        <v>4121.3</v>
      </c>
      <c r="J1262" s="267"/>
      <c r="K1262" s="267">
        <v>1</v>
      </c>
      <c r="L1262" s="267">
        <v>1</v>
      </c>
      <c r="M1262" s="267"/>
      <c r="N1262" s="267">
        <v>1</v>
      </c>
      <c r="O1262" s="267">
        <v>1</v>
      </c>
      <c r="P1262" s="314">
        <v>0</v>
      </c>
      <c r="Q1262" s="314">
        <v>0</v>
      </c>
      <c r="R1262" s="314">
        <v>0</v>
      </c>
      <c r="S1262" s="366">
        <v>0</v>
      </c>
      <c r="T1262" s="63"/>
      <c r="U1262" s="10" t="s">
        <v>2030</v>
      </c>
      <c r="V1262" s="90"/>
      <c r="W1262" s="91"/>
      <c r="X1262" s="92"/>
    </row>
    <row r="1263" spans="1:25" s="342" customFormat="1">
      <c r="A1263" s="494">
        <v>0.05</v>
      </c>
      <c r="B1263" s="87">
        <f>B1262+1</f>
        <v>4</v>
      </c>
      <c r="C1263" s="262">
        <v>45876</v>
      </c>
      <c r="D1263" s="273">
        <v>72143</v>
      </c>
      <c r="E1263" s="264" t="s">
        <v>168</v>
      </c>
      <c r="F1263" s="265">
        <v>1461</v>
      </c>
      <c r="G1263" s="265">
        <v>39.700000000000003</v>
      </c>
      <c r="H1263" s="265"/>
      <c r="I1263" s="266">
        <f>F1263-G1263-H1263</f>
        <v>1421.3</v>
      </c>
      <c r="J1263" s="267" t="s">
        <v>228</v>
      </c>
      <c r="K1263" s="267">
        <v>1</v>
      </c>
      <c r="L1263" s="267">
        <v>1</v>
      </c>
      <c r="M1263" s="267">
        <v>1</v>
      </c>
      <c r="N1263" s="267">
        <v>1</v>
      </c>
      <c r="O1263" s="267">
        <v>1</v>
      </c>
      <c r="P1263" s="314">
        <v>0</v>
      </c>
      <c r="Q1263" s="267">
        <v>1</v>
      </c>
      <c r="R1263" s="267">
        <v>1</v>
      </c>
      <c r="S1263" s="366">
        <v>0</v>
      </c>
      <c r="T1263" s="63"/>
      <c r="U1263" s="10"/>
      <c r="V1263" s="90"/>
      <c r="W1263" s="91"/>
      <c r="X1263" s="92"/>
      <c r="Y1263" s="260"/>
    </row>
    <row r="1264" spans="1:25" s="260" customFormat="1">
      <c r="A1264" s="181" t="s">
        <v>1183</v>
      </c>
      <c r="B1264" s="87">
        <f>B1263+1</f>
        <v>5</v>
      </c>
      <c r="C1264" s="262">
        <v>45881</v>
      </c>
      <c r="D1264" s="273" t="s">
        <v>2070</v>
      </c>
      <c r="E1264" s="271" t="s">
        <v>572</v>
      </c>
      <c r="F1264" s="265">
        <f>8614-947.54</f>
        <v>7666.46</v>
      </c>
      <c r="G1264" s="265">
        <f>39.7+501.6+(1852.97+46.62)+250</f>
        <v>2690.89</v>
      </c>
      <c r="H1264" s="265"/>
      <c r="I1264" s="266">
        <f>F1264-G1264-H1264</f>
        <v>4975.57</v>
      </c>
      <c r="J1264" s="267" t="s">
        <v>156</v>
      </c>
      <c r="K1264" s="267">
        <v>1</v>
      </c>
      <c r="L1264" s="314">
        <v>0</v>
      </c>
      <c r="M1264" s="267">
        <v>1</v>
      </c>
      <c r="N1264" s="267">
        <v>1</v>
      </c>
      <c r="O1264" s="267">
        <v>1</v>
      </c>
      <c r="P1264" s="267">
        <v>1</v>
      </c>
      <c r="Q1264" s="267">
        <v>1</v>
      </c>
      <c r="R1264" s="267">
        <v>1</v>
      </c>
      <c r="S1264" s="269">
        <v>1</v>
      </c>
      <c r="T1264" s="63"/>
      <c r="U1264" s="94" t="s">
        <v>2191</v>
      </c>
      <c r="V1264" s="90"/>
      <c r="W1264" s="91"/>
      <c r="X1264" s="92"/>
    </row>
    <row r="1265" spans="1:25">
      <c r="A1265" s="260" t="s">
        <v>1183</v>
      </c>
      <c r="B1265" s="87">
        <f>B1264+1</f>
        <v>6</v>
      </c>
      <c r="C1265" s="262">
        <v>45902</v>
      </c>
      <c r="D1265" s="271">
        <v>72891</v>
      </c>
      <c r="E1265" s="271" t="s">
        <v>162</v>
      </c>
      <c r="F1265" s="265">
        <v>3433</v>
      </c>
      <c r="G1265" s="265">
        <v>39.700000000000003</v>
      </c>
      <c r="H1265" s="265"/>
      <c r="I1265" s="266">
        <f>F1265-G1265-H1265</f>
        <v>3393.3</v>
      </c>
      <c r="J1265" s="267" t="s">
        <v>156</v>
      </c>
      <c r="K1265" s="267">
        <v>1</v>
      </c>
      <c r="L1265" s="267">
        <v>1</v>
      </c>
      <c r="M1265" s="267">
        <v>1</v>
      </c>
      <c r="N1265" s="267">
        <v>1</v>
      </c>
      <c r="O1265" s="267">
        <v>1</v>
      </c>
      <c r="P1265" s="314">
        <v>0</v>
      </c>
      <c r="Q1265" s="267">
        <v>1</v>
      </c>
      <c r="R1265" s="267">
        <v>1</v>
      </c>
      <c r="S1265" s="269">
        <v>1</v>
      </c>
      <c r="T1265" s="21"/>
      <c r="U1265" s="94" t="s">
        <v>2192</v>
      </c>
      <c r="V1265" s="90"/>
      <c r="W1265" s="91"/>
      <c r="X1265" s="92"/>
      <c r="Y1265" s="260"/>
    </row>
    <row r="1266" spans="1:25" s="260" customFormat="1">
      <c r="A1266" s="260" t="s">
        <v>1183</v>
      </c>
      <c r="B1266" s="87">
        <f>B1265+1</f>
        <v>7</v>
      </c>
      <c r="C1266" s="262">
        <v>45903</v>
      </c>
      <c r="D1266" s="271" t="s">
        <v>2130</v>
      </c>
      <c r="E1266" s="271" t="s">
        <v>979</v>
      </c>
      <c r="F1266" s="265">
        <v>5533</v>
      </c>
      <c r="G1266" s="265">
        <f>39.7+(1471.41-16.4-3.76-8.58-2.51)</f>
        <v>1479.8600000000001</v>
      </c>
      <c r="H1266" s="265">
        <f>271.51</f>
        <v>271.51</v>
      </c>
      <c r="I1266" s="266">
        <f>F1266-G1266-H1266</f>
        <v>3781.63</v>
      </c>
      <c r="J1266" s="267" t="s">
        <v>313</v>
      </c>
      <c r="K1266" s="267">
        <v>1</v>
      </c>
      <c r="L1266" s="267">
        <v>1</v>
      </c>
      <c r="M1266" s="267">
        <v>1</v>
      </c>
      <c r="N1266" s="267">
        <v>1</v>
      </c>
      <c r="O1266" s="267">
        <v>1</v>
      </c>
      <c r="P1266" s="314">
        <v>0</v>
      </c>
      <c r="Q1266" s="267">
        <v>1</v>
      </c>
      <c r="R1266" s="267">
        <v>1</v>
      </c>
      <c r="S1266" s="269">
        <v>1</v>
      </c>
      <c r="T1266" s="21"/>
      <c r="U1266" s="94" t="s">
        <v>2240</v>
      </c>
      <c r="V1266" s="90"/>
      <c r="W1266" s="91"/>
      <c r="X1266" s="92"/>
    </row>
    <row r="1267" spans="1:25">
      <c r="A1267" s="494">
        <v>0.05</v>
      </c>
      <c r="B1267" s="87">
        <f>B1266+1</f>
        <v>8</v>
      </c>
      <c r="C1267" s="262">
        <v>45911</v>
      </c>
      <c r="D1267" s="271">
        <v>72853</v>
      </c>
      <c r="E1267" s="271" t="s">
        <v>786</v>
      </c>
      <c r="F1267" s="265">
        <v>523</v>
      </c>
      <c r="G1267" s="265"/>
      <c r="H1267" s="265"/>
      <c r="I1267" s="266">
        <f>F1267-G1267-H1267</f>
        <v>523</v>
      </c>
      <c r="J1267" s="267" t="s">
        <v>150</v>
      </c>
      <c r="K1267" s="267">
        <v>1</v>
      </c>
      <c r="L1267" s="267">
        <v>1</v>
      </c>
      <c r="M1267" s="267">
        <v>1</v>
      </c>
      <c r="N1267" s="267">
        <v>1</v>
      </c>
      <c r="O1267" s="267">
        <v>1</v>
      </c>
      <c r="P1267" s="314">
        <v>0</v>
      </c>
      <c r="Q1267" s="267">
        <v>1</v>
      </c>
      <c r="R1267" s="267">
        <v>1</v>
      </c>
      <c r="S1267" s="269">
        <v>1</v>
      </c>
      <c r="T1267" s="63"/>
      <c r="U1267" s="94" t="s">
        <v>2166</v>
      </c>
      <c r="V1267" s="90"/>
      <c r="W1267" s="91"/>
      <c r="X1267" s="137"/>
      <c r="Y1267" s="181"/>
    </row>
    <row r="1268" spans="1:25" s="260" customFormat="1">
      <c r="A1268" s="260" t="s">
        <v>2216</v>
      </c>
      <c r="B1268" s="87">
        <f t="shared" ref="B1268:B1269" si="91">B1267+1</f>
        <v>9</v>
      </c>
      <c r="C1268" s="274">
        <v>45922</v>
      </c>
      <c r="D1268" s="276" t="s">
        <v>2217</v>
      </c>
      <c r="E1268" s="404" t="s">
        <v>155</v>
      </c>
      <c r="F1268" s="277">
        <v>5174.5</v>
      </c>
      <c r="G1268" s="277">
        <f>39.7+(8.54)+(1349.28+169.28)+250</f>
        <v>1816.8</v>
      </c>
      <c r="H1268" s="277"/>
      <c r="I1268" s="321">
        <f>F1268-G1268-H1268</f>
        <v>3357.7</v>
      </c>
      <c r="J1268" s="279" t="s">
        <v>156</v>
      </c>
      <c r="K1268" s="279">
        <v>1</v>
      </c>
      <c r="L1268" s="279">
        <v>1</v>
      </c>
      <c r="M1268" s="279">
        <v>1</v>
      </c>
      <c r="N1268" s="279">
        <v>1</v>
      </c>
      <c r="O1268" s="279">
        <v>1</v>
      </c>
      <c r="P1268" s="322">
        <v>0</v>
      </c>
      <c r="Q1268" s="322">
        <v>0</v>
      </c>
      <c r="R1268" s="322">
        <v>0</v>
      </c>
      <c r="S1268" s="328">
        <v>0</v>
      </c>
      <c r="T1268" s="63"/>
      <c r="U1268" s="94" t="s">
        <v>2218</v>
      </c>
      <c r="V1268" s="90"/>
      <c r="W1268" s="91"/>
      <c r="X1268" s="92"/>
    </row>
    <row r="1269" spans="1:25" s="260" customFormat="1">
      <c r="A1269" s="260" t="s">
        <v>2219</v>
      </c>
      <c r="B1269" s="87">
        <f t="shared" si="91"/>
        <v>10</v>
      </c>
      <c r="C1269" s="262">
        <v>45924</v>
      </c>
      <c r="D1269" s="271">
        <v>73596</v>
      </c>
      <c r="E1269" s="264" t="s">
        <v>296</v>
      </c>
      <c r="F1269" s="265">
        <v>2391.9</v>
      </c>
      <c r="G1269" s="265">
        <f>39.7+(206.34+82.06)+200</f>
        <v>528.09999999999991</v>
      </c>
      <c r="H1269" s="265"/>
      <c r="I1269" s="266">
        <f>F1269-G1269-H1269</f>
        <v>1863.8000000000002</v>
      </c>
      <c r="J1269" s="267" t="s">
        <v>228</v>
      </c>
      <c r="K1269" s="267">
        <v>1</v>
      </c>
      <c r="L1269" s="267">
        <v>1</v>
      </c>
      <c r="M1269" s="267">
        <v>1</v>
      </c>
      <c r="N1269" s="267">
        <v>1</v>
      </c>
      <c r="O1269" s="267">
        <v>1</v>
      </c>
      <c r="P1269" s="314">
        <v>0</v>
      </c>
      <c r="Q1269" s="267">
        <v>1</v>
      </c>
      <c r="R1269" s="267">
        <v>1</v>
      </c>
      <c r="S1269" s="269">
        <v>1</v>
      </c>
      <c r="T1269" s="63"/>
      <c r="U1269" s="10" t="s">
        <v>2220</v>
      </c>
      <c r="V1269" s="90"/>
      <c r="W1269" s="91"/>
      <c r="X1269" s="92"/>
    </row>
    <row r="1270" spans="1:25" s="260" customFormat="1">
      <c r="A1270" s="181"/>
      <c r="B1270" s="11"/>
      <c r="C1270" s="36"/>
      <c r="D1270" s="10"/>
      <c r="E1270" s="10"/>
      <c r="F1270" s="98">
        <f>SUM(F1260:F1269)</f>
        <v>37637.86</v>
      </c>
      <c r="G1270" s="98">
        <f>SUM(G1260:G1269)</f>
        <v>8880.14</v>
      </c>
      <c r="H1270" s="98">
        <f>SUM(H1260:H1269)</f>
        <v>271.51</v>
      </c>
      <c r="I1270" s="98">
        <f>SUM(I1260:I1269)</f>
        <v>28486.21</v>
      </c>
      <c r="J1270" s="63"/>
      <c r="K1270" s="21"/>
      <c r="L1270" s="21"/>
      <c r="M1270" s="21"/>
      <c r="N1270" s="21"/>
      <c r="O1270" s="21"/>
      <c r="P1270" s="21"/>
      <c r="Q1270" s="21"/>
      <c r="R1270" s="21"/>
      <c r="S1270" s="21"/>
      <c r="T1270" s="63"/>
      <c r="U1270" s="10"/>
      <c r="V1270" s="90"/>
      <c r="W1270" s="91"/>
      <c r="X1270" s="92"/>
    </row>
    <row r="1271" spans="1:25" s="260" customFormat="1">
      <c r="A1271" s="181"/>
      <c r="B1271" s="11"/>
      <c r="C1271" s="36"/>
      <c r="D1271" s="10"/>
      <c r="E1271" s="10"/>
      <c r="F1271" s="88"/>
      <c r="G1271" s="88"/>
      <c r="H1271" s="88"/>
      <c r="I1271" s="99"/>
      <c r="J1271" s="63"/>
      <c r="K1271" s="21"/>
      <c r="L1271" s="21"/>
      <c r="M1271" s="21"/>
      <c r="N1271" s="21"/>
      <c r="O1271" s="21"/>
      <c r="P1271" s="21"/>
      <c r="Q1271" s="21"/>
      <c r="R1271" s="21"/>
      <c r="S1271" s="21"/>
      <c r="T1271" s="63"/>
      <c r="U1271" s="10"/>
      <c r="V1271" s="90"/>
      <c r="W1271" s="91"/>
      <c r="X1271" s="92"/>
    </row>
    <row r="1272" spans="1:25" s="260" customFormat="1">
      <c r="B1272" s="100" t="s">
        <v>202</v>
      </c>
      <c r="C1272" s="36"/>
      <c r="D1272" s="10"/>
      <c r="E1272" s="181"/>
      <c r="F1272" s="88"/>
      <c r="G1272" s="88"/>
      <c r="H1272" s="88"/>
      <c r="I1272" s="99"/>
      <c r="J1272" s="63"/>
      <c r="K1272" s="21"/>
      <c r="L1272" s="21"/>
      <c r="M1272" s="21"/>
      <c r="N1272" s="21"/>
      <c r="O1272" s="21"/>
      <c r="P1272" s="21"/>
      <c r="Q1272" s="21"/>
      <c r="R1272" s="21"/>
      <c r="S1272" s="21"/>
      <c r="T1272" s="63"/>
      <c r="U1272" s="10"/>
      <c r="V1272" s="90"/>
      <c r="W1272" s="91"/>
      <c r="X1272" s="92"/>
    </row>
    <row r="1273" spans="1:25" s="260" customFormat="1">
      <c r="A1273" s="494">
        <v>0.05</v>
      </c>
      <c r="B1273" s="87">
        <v>1</v>
      </c>
      <c r="C1273" s="262">
        <v>45848</v>
      </c>
      <c r="D1273" s="271">
        <v>71381</v>
      </c>
      <c r="E1273" s="271" t="s">
        <v>1530</v>
      </c>
      <c r="F1273" s="265">
        <f>1223-85</f>
        <v>1138</v>
      </c>
      <c r="G1273" s="265">
        <f>39.7</f>
        <v>39.700000000000003</v>
      </c>
      <c r="H1273" s="265"/>
      <c r="I1273" s="266">
        <f>F1273-G1273-H1273</f>
        <v>1098.3</v>
      </c>
      <c r="J1273" s="267" t="s">
        <v>156</v>
      </c>
      <c r="K1273" s="267">
        <v>1</v>
      </c>
      <c r="L1273" s="267"/>
      <c r="M1273" s="267">
        <v>1</v>
      </c>
      <c r="N1273" s="267">
        <v>1</v>
      </c>
      <c r="O1273" s="267">
        <v>1</v>
      </c>
      <c r="P1273" s="314">
        <v>0</v>
      </c>
      <c r="Q1273" s="267"/>
      <c r="R1273" s="267"/>
      <c r="S1273" s="269"/>
      <c r="T1273" s="63"/>
      <c r="U1273" s="94"/>
      <c r="V1273" s="90"/>
      <c r="W1273" s="136"/>
      <c r="X1273" s="137"/>
    </row>
    <row r="1274" spans="1:25" s="260" customFormat="1">
      <c r="A1274" s="494">
        <v>0.05</v>
      </c>
      <c r="B1274" s="87">
        <f>B1273+1</f>
        <v>2</v>
      </c>
      <c r="C1274" s="274">
        <v>45902</v>
      </c>
      <c r="D1274" s="276">
        <v>72830</v>
      </c>
      <c r="E1274" s="276" t="s">
        <v>196</v>
      </c>
      <c r="F1274" s="277">
        <f>3447-85</f>
        <v>3362</v>
      </c>
      <c r="G1274" s="277">
        <f>39.7+(20.1)</f>
        <v>59.800000000000004</v>
      </c>
      <c r="H1274" s="277"/>
      <c r="I1274" s="321">
        <f>F1274-G1274-H1274</f>
        <v>3302.2</v>
      </c>
      <c r="J1274" s="279" t="s">
        <v>374</v>
      </c>
      <c r="K1274" s="279">
        <v>1</v>
      </c>
      <c r="L1274" s="279"/>
      <c r="M1274" s="279">
        <v>1</v>
      </c>
      <c r="N1274" s="279">
        <v>1</v>
      </c>
      <c r="O1274" s="322">
        <v>0</v>
      </c>
      <c r="P1274" s="322">
        <v>0</v>
      </c>
      <c r="Q1274" s="279"/>
      <c r="R1274" s="279"/>
      <c r="S1274" s="280"/>
      <c r="T1274" s="63"/>
      <c r="U1274" s="94"/>
      <c r="V1274" s="90"/>
      <c r="W1274" s="136"/>
      <c r="X1274" s="137"/>
    </row>
    <row r="1275" spans="1:25" s="260" customFormat="1">
      <c r="A1275" s="494">
        <v>0.05</v>
      </c>
      <c r="B1275" s="87">
        <f>B1274+1</f>
        <v>3</v>
      </c>
      <c r="C1275" s="262">
        <v>45904</v>
      </c>
      <c r="D1275" s="271">
        <v>72887</v>
      </c>
      <c r="E1275" s="271" t="s">
        <v>2132</v>
      </c>
      <c r="F1275" s="265">
        <v>12814</v>
      </c>
      <c r="G1275" s="265">
        <f>39.7+1000</f>
        <v>1039.7</v>
      </c>
      <c r="H1275" s="265"/>
      <c r="I1275" s="266">
        <f>F1275-G1275-H1275</f>
        <v>11774.3</v>
      </c>
      <c r="J1275" s="267"/>
      <c r="K1275" s="267">
        <v>1</v>
      </c>
      <c r="L1275" s="267"/>
      <c r="M1275" s="267"/>
      <c r="N1275" s="267">
        <v>1</v>
      </c>
      <c r="O1275" s="267">
        <v>1</v>
      </c>
      <c r="P1275" s="314">
        <v>0</v>
      </c>
      <c r="Q1275" s="267"/>
      <c r="R1275" s="267"/>
      <c r="S1275" s="269"/>
      <c r="T1275" s="21"/>
      <c r="U1275" s="94"/>
      <c r="V1275" s="90"/>
      <c r="W1275" s="136"/>
      <c r="X1275" s="137"/>
    </row>
    <row r="1276" spans="1:25" s="342" customFormat="1">
      <c r="A1276" s="494">
        <v>0.05</v>
      </c>
      <c r="B1276" s="87">
        <f>B1275+1</f>
        <v>4</v>
      </c>
      <c r="C1276" s="262">
        <v>45919</v>
      </c>
      <c r="D1276" s="271" t="s">
        <v>2189</v>
      </c>
      <c r="E1276" s="271" t="s">
        <v>225</v>
      </c>
      <c r="F1276" s="265">
        <v>17023</v>
      </c>
      <c r="G1276" s="265">
        <f>39.7+313.4+78+(3.75+52.5-57.57+55.3+187.06)+(398.58+159.54+65.3+7.89+65.01+153.3+61.29)+1500</f>
        <v>3083.0499999999997</v>
      </c>
      <c r="H1276" s="265"/>
      <c r="I1276" s="266">
        <f>F1276-G1276-H1276</f>
        <v>13939.95</v>
      </c>
      <c r="J1276" s="267" t="s">
        <v>156</v>
      </c>
      <c r="K1276" s="267">
        <v>1</v>
      </c>
      <c r="L1276" s="267"/>
      <c r="M1276" s="267">
        <v>1</v>
      </c>
      <c r="N1276" s="267">
        <v>1</v>
      </c>
      <c r="O1276" s="267">
        <v>1</v>
      </c>
      <c r="P1276" s="314">
        <v>0</v>
      </c>
      <c r="Q1276" s="267"/>
      <c r="R1276" s="267"/>
      <c r="S1276" s="269"/>
      <c r="T1276" s="21"/>
      <c r="U1276" s="94" t="s">
        <v>2241</v>
      </c>
      <c r="V1276" s="90"/>
      <c r="W1276" s="136"/>
      <c r="X1276" s="137"/>
      <c r="Y1276" s="260"/>
    </row>
    <row r="1277" spans="1:25" s="342" customFormat="1">
      <c r="A1277" s="494">
        <v>0.05</v>
      </c>
      <c r="B1277" s="87">
        <f>B1276+1</f>
        <v>5</v>
      </c>
      <c r="C1277" s="262">
        <v>45923</v>
      </c>
      <c r="D1277" s="271" t="s">
        <v>2221</v>
      </c>
      <c r="E1277" s="271" t="s">
        <v>168</v>
      </c>
      <c r="F1277" s="265">
        <v>6814</v>
      </c>
      <c r="G1277" s="265">
        <f>39.7+2000</f>
        <v>2039.7</v>
      </c>
      <c r="H1277" s="265"/>
      <c r="I1277" s="266">
        <f>F1277-G1277-H1277</f>
        <v>4774.3</v>
      </c>
      <c r="J1277" s="267" t="s">
        <v>156</v>
      </c>
      <c r="K1277" s="267">
        <v>1</v>
      </c>
      <c r="L1277" s="267"/>
      <c r="M1277" s="267">
        <v>1</v>
      </c>
      <c r="N1277" s="267">
        <v>1</v>
      </c>
      <c r="O1277" s="267">
        <v>1</v>
      </c>
      <c r="P1277" s="314">
        <v>0</v>
      </c>
      <c r="Q1277" s="267"/>
      <c r="R1277" s="267"/>
      <c r="S1277" s="269"/>
      <c r="T1277" s="21"/>
      <c r="U1277" s="94"/>
      <c r="V1277" s="90"/>
      <c r="W1277" s="136"/>
      <c r="X1277" s="137"/>
      <c r="Y1277" s="260"/>
    </row>
    <row r="1278" spans="1:25" s="260" customFormat="1">
      <c r="B1278" s="11"/>
      <c r="C1278" s="36"/>
      <c r="D1278" s="10"/>
      <c r="E1278" s="10"/>
      <c r="F1278" s="97">
        <f>SUM(F1273:F1277)</f>
        <v>41151</v>
      </c>
      <c r="G1278" s="97">
        <f>SUM(G1273:G1277)</f>
        <v>6261.95</v>
      </c>
      <c r="H1278" s="97">
        <f>SUM(H1273:H1277)</f>
        <v>0</v>
      </c>
      <c r="I1278" s="97">
        <f>SUM(I1273:I1277)</f>
        <v>34889.050000000003</v>
      </c>
      <c r="J1278" s="63"/>
      <c r="K1278" s="21"/>
      <c r="L1278" s="21"/>
      <c r="M1278" s="21"/>
      <c r="N1278" s="21"/>
      <c r="O1278" s="21"/>
      <c r="P1278" s="21"/>
      <c r="Q1278" s="21"/>
      <c r="R1278" s="21"/>
      <c r="S1278" s="21"/>
      <c r="T1278" s="63"/>
      <c r="U1278" s="10"/>
      <c r="V1278" s="90"/>
      <c r="W1278" s="91"/>
      <c r="X1278" s="92"/>
    </row>
    <row r="1279" spans="1:25" s="260" customFormat="1">
      <c r="B1279" s="11"/>
      <c r="C1279" s="36"/>
      <c r="D1279" s="10"/>
      <c r="E1279" s="10"/>
      <c r="F1279" s="88"/>
      <c r="G1279" s="88"/>
      <c r="H1279" s="88"/>
      <c r="I1279" s="99"/>
      <c r="J1279" s="10"/>
      <c r="K1279" s="63"/>
      <c r="L1279" s="63"/>
      <c r="M1279" s="63"/>
      <c r="N1279" s="63"/>
      <c r="O1279" s="63"/>
      <c r="P1279" s="63"/>
      <c r="Q1279" s="63"/>
      <c r="R1279" s="63"/>
      <c r="S1279" s="63"/>
      <c r="T1279" s="63"/>
      <c r="U1279" s="10"/>
      <c r="V1279" s="90"/>
      <c r="W1279" s="91"/>
      <c r="X1279" s="92"/>
    </row>
    <row r="1280" spans="1:25">
      <c r="A1280" s="614"/>
      <c r="B1280" s="100" t="s">
        <v>72</v>
      </c>
      <c r="C1280" s="609"/>
      <c r="D1280" s="10"/>
      <c r="E1280" s="10"/>
      <c r="F1280" s="88"/>
      <c r="G1280" s="88"/>
      <c r="H1280" s="88"/>
      <c r="I1280" s="99"/>
      <c r="J1280" s="63"/>
      <c r="K1280" s="63"/>
      <c r="L1280" s="63"/>
      <c r="M1280" s="63"/>
      <c r="N1280" s="63"/>
      <c r="O1280" s="63"/>
      <c r="P1280" s="63"/>
      <c r="Q1280" s="63"/>
      <c r="R1280" s="63"/>
      <c r="S1280" s="63"/>
      <c r="T1280" s="63"/>
      <c r="U1280" s="10"/>
      <c r="V1280" s="90"/>
      <c r="W1280" s="91"/>
      <c r="X1280" s="92"/>
    </row>
    <row r="1281" spans="1:24">
      <c r="A1281" s="614"/>
      <c r="B1281" s="87">
        <v>1</v>
      </c>
      <c r="C1281" s="274">
        <v>45929</v>
      </c>
      <c r="D1281" s="276">
        <v>73728</v>
      </c>
      <c r="E1281" s="276" t="s">
        <v>786</v>
      </c>
      <c r="F1281" s="277">
        <v>1261</v>
      </c>
      <c r="G1281" s="277">
        <v>39.700000000000003</v>
      </c>
      <c r="H1281" s="277"/>
      <c r="I1281" s="278">
        <f>F1281-G1281-H1281</f>
        <v>1221.3</v>
      </c>
      <c r="J1281" s="279" t="s">
        <v>205</v>
      </c>
      <c r="K1281" s="279">
        <v>1</v>
      </c>
      <c r="L1281" s="279"/>
      <c r="M1281" s="279"/>
      <c r="N1281" s="279">
        <v>1</v>
      </c>
      <c r="O1281" s="279"/>
      <c r="P1281" s="279"/>
      <c r="Q1281" s="279">
        <v>1</v>
      </c>
      <c r="R1281" s="279">
        <v>1</v>
      </c>
      <c r="S1281" s="280"/>
      <c r="T1281" s="63"/>
      <c r="U1281" s="3"/>
      <c r="V1281" s="90"/>
      <c r="W1281" s="91"/>
      <c r="X1281" s="92"/>
    </row>
    <row r="1282" spans="1:24">
      <c r="A1282" s="614"/>
      <c r="B1282" s="87">
        <f t="shared" ref="B1282:B1297" si="92">B1281+1</f>
        <v>2</v>
      </c>
      <c r="C1282" s="295">
        <v>45929</v>
      </c>
      <c r="D1282" s="10">
        <v>73752</v>
      </c>
      <c r="E1282" s="10" t="s">
        <v>462</v>
      </c>
      <c r="F1282" s="62">
        <v>28061</v>
      </c>
      <c r="G1282" s="62">
        <v>39.700000000000003</v>
      </c>
      <c r="H1282" s="62"/>
      <c r="I1282" s="89">
        <f>F1282-G1282-H1282</f>
        <v>28021.3</v>
      </c>
      <c r="J1282" s="63" t="s">
        <v>205</v>
      </c>
      <c r="K1282" s="63">
        <v>1</v>
      </c>
      <c r="L1282" s="63"/>
      <c r="M1282" s="63"/>
      <c r="N1282" s="63">
        <v>1</v>
      </c>
      <c r="O1282" s="63"/>
      <c r="P1282" s="63"/>
      <c r="Q1282" s="63">
        <v>1</v>
      </c>
      <c r="R1282" s="63">
        <v>1</v>
      </c>
      <c r="S1282" s="296"/>
      <c r="T1282" s="63"/>
      <c r="U1282" s="10"/>
      <c r="V1282" s="90"/>
      <c r="W1282" s="136"/>
      <c r="X1282" s="137"/>
    </row>
    <row r="1283" spans="1:24">
      <c r="A1283" s="614"/>
      <c r="B1283" s="87">
        <f t="shared" si="92"/>
        <v>3</v>
      </c>
      <c r="C1283" s="295">
        <v>45929</v>
      </c>
      <c r="D1283" s="10">
        <v>73755</v>
      </c>
      <c r="E1283" s="10" t="s">
        <v>426</v>
      </c>
      <c r="F1283" s="62">
        <v>8216</v>
      </c>
      <c r="G1283" s="62">
        <v>39.700000000000003</v>
      </c>
      <c r="H1283" s="62"/>
      <c r="I1283" s="89">
        <f>F1283-G1283-H1283</f>
        <v>8176.3</v>
      </c>
      <c r="J1283" s="63" t="s">
        <v>205</v>
      </c>
      <c r="K1283" s="63">
        <v>1</v>
      </c>
      <c r="L1283" s="63"/>
      <c r="M1283" s="63"/>
      <c r="N1283" s="63">
        <v>1</v>
      </c>
      <c r="O1283" s="63"/>
      <c r="P1283" s="63"/>
      <c r="Q1283" s="63">
        <v>1</v>
      </c>
      <c r="R1283" s="63">
        <v>1</v>
      </c>
      <c r="S1283" s="296"/>
      <c r="T1283" s="63"/>
      <c r="U1283" s="10"/>
      <c r="V1283" s="90"/>
      <c r="W1283" s="136"/>
      <c r="X1283" s="137"/>
    </row>
    <row r="1284" spans="1:24">
      <c r="A1284" s="614"/>
      <c r="B1284" s="87">
        <f t="shared" si="92"/>
        <v>4</v>
      </c>
      <c r="C1284" s="295">
        <v>45929</v>
      </c>
      <c r="D1284" s="10">
        <v>73739</v>
      </c>
      <c r="E1284" s="10" t="s">
        <v>512</v>
      </c>
      <c r="F1284" s="62">
        <v>12814</v>
      </c>
      <c r="G1284" s="62">
        <v>39.700000000000003</v>
      </c>
      <c r="H1284" s="62"/>
      <c r="I1284" s="89">
        <f>F1284-G1284-H1284</f>
        <v>12774.3</v>
      </c>
      <c r="J1284" s="63" t="s">
        <v>205</v>
      </c>
      <c r="K1284" s="63">
        <v>1</v>
      </c>
      <c r="L1284" s="63"/>
      <c r="M1284" s="63"/>
      <c r="N1284" s="63">
        <v>1</v>
      </c>
      <c r="O1284" s="63"/>
      <c r="P1284" s="63"/>
      <c r="Q1284" s="63">
        <v>1</v>
      </c>
      <c r="R1284" s="63">
        <v>1</v>
      </c>
      <c r="S1284" s="296"/>
      <c r="T1284" s="63"/>
      <c r="U1284" s="10"/>
      <c r="V1284" s="90"/>
      <c r="W1284" s="136"/>
      <c r="X1284" s="137"/>
    </row>
    <row r="1285" spans="1:24">
      <c r="A1285" s="614"/>
      <c r="B1285" s="87">
        <f t="shared" si="92"/>
        <v>5</v>
      </c>
      <c r="C1285" s="274">
        <v>45930</v>
      </c>
      <c r="D1285" s="276">
        <v>73795</v>
      </c>
      <c r="E1285" s="276" t="s">
        <v>456</v>
      </c>
      <c r="F1285" s="277">
        <v>3977.1</v>
      </c>
      <c r="G1285" s="277">
        <f>39.7</f>
        <v>39.700000000000003</v>
      </c>
      <c r="H1285" s="277"/>
      <c r="I1285" s="278">
        <f>F1285-G1285-H1285</f>
        <v>3937.4</v>
      </c>
      <c r="J1285" s="279" t="s">
        <v>205</v>
      </c>
      <c r="K1285" s="279">
        <v>1</v>
      </c>
      <c r="L1285" s="279"/>
      <c r="M1285" s="279"/>
      <c r="N1285" s="279">
        <v>1</v>
      </c>
      <c r="O1285" s="279"/>
      <c r="P1285" s="279"/>
      <c r="Q1285" s="279">
        <v>1</v>
      </c>
      <c r="R1285" s="279">
        <v>1</v>
      </c>
      <c r="S1285" s="280"/>
      <c r="T1285" s="63"/>
      <c r="U1285" s="10"/>
      <c r="V1285" s="90"/>
      <c r="W1285" s="136"/>
      <c r="X1285" s="137"/>
    </row>
    <row r="1286" spans="1:24">
      <c r="A1286" s="614"/>
      <c r="B1286" s="87">
        <f t="shared" si="92"/>
        <v>6</v>
      </c>
      <c r="C1286" s="295">
        <v>45930</v>
      </c>
      <c r="D1286" s="10" t="s">
        <v>2242</v>
      </c>
      <c r="E1286" s="10" t="s">
        <v>349</v>
      </c>
      <c r="F1286" s="62">
        <v>1138</v>
      </c>
      <c r="G1286" s="62">
        <f>39.7</f>
        <v>39.700000000000003</v>
      </c>
      <c r="H1286" s="62"/>
      <c r="I1286" s="89">
        <f>F1286-G1286-H1286</f>
        <v>1098.3</v>
      </c>
      <c r="J1286" s="63" t="s">
        <v>205</v>
      </c>
      <c r="K1286" s="63">
        <v>1</v>
      </c>
      <c r="L1286" s="63"/>
      <c r="M1286" s="63"/>
      <c r="N1286" s="63">
        <v>1</v>
      </c>
      <c r="O1286" s="63"/>
      <c r="P1286" s="63"/>
      <c r="Q1286" s="63"/>
      <c r="R1286" s="63"/>
      <c r="S1286" s="296"/>
      <c r="T1286" s="63"/>
      <c r="U1286" s="10"/>
      <c r="V1286" s="90"/>
      <c r="W1286" s="136"/>
      <c r="X1286" s="137"/>
    </row>
    <row r="1287" spans="1:24">
      <c r="A1287" s="614"/>
      <c r="B1287" s="87">
        <f>B1286+1</f>
        <v>7</v>
      </c>
      <c r="C1287" s="295">
        <v>45930</v>
      </c>
      <c r="D1287" s="10" t="s">
        <v>2243</v>
      </c>
      <c r="E1287" s="10" t="s">
        <v>349</v>
      </c>
      <c r="F1287" s="62">
        <v>13101.28</v>
      </c>
      <c r="G1287" s="62">
        <f>39.7</f>
        <v>39.700000000000003</v>
      </c>
      <c r="H1287" s="62"/>
      <c r="I1287" s="89">
        <f>F1287-G1287-H1287</f>
        <v>13061.58</v>
      </c>
      <c r="J1287" s="63" t="s">
        <v>156</v>
      </c>
      <c r="K1287" s="63">
        <v>1</v>
      </c>
      <c r="L1287" s="63"/>
      <c r="M1287" s="63">
        <v>0</v>
      </c>
      <c r="N1287" s="63">
        <v>1</v>
      </c>
      <c r="O1287" s="63">
        <v>1</v>
      </c>
      <c r="P1287" s="63">
        <v>0</v>
      </c>
      <c r="Q1287" s="63"/>
      <c r="R1287" s="63"/>
      <c r="S1287" s="296"/>
      <c r="T1287" s="63"/>
      <c r="U1287" s="94" t="s">
        <v>2244</v>
      </c>
      <c r="V1287" s="90">
        <f>1400</f>
        <v>1400</v>
      </c>
      <c r="W1287" s="136"/>
      <c r="X1287" s="137"/>
    </row>
    <row r="1288" spans="1:24">
      <c r="A1288" s="614"/>
      <c r="B1288" s="87">
        <f>B1287+1</f>
        <v>8</v>
      </c>
      <c r="C1288" s="295">
        <v>45930</v>
      </c>
      <c r="D1288" s="10" t="s">
        <v>2245</v>
      </c>
      <c r="E1288" s="101" t="s">
        <v>489</v>
      </c>
      <c r="F1288" s="62">
        <v>1138</v>
      </c>
      <c r="G1288" s="62">
        <v>39.700000000000003</v>
      </c>
      <c r="H1288" s="62"/>
      <c r="I1288" s="89">
        <f>F1288-G1288-H1288</f>
        <v>1098.3</v>
      </c>
      <c r="J1288" s="63" t="s">
        <v>205</v>
      </c>
      <c r="K1288" s="63">
        <v>1</v>
      </c>
      <c r="L1288" s="63"/>
      <c r="M1288" s="63"/>
      <c r="N1288" s="63">
        <v>1</v>
      </c>
      <c r="O1288" s="63"/>
      <c r="P1288" s="63"/>
      <c r="Q1288" s="63">
        <v>1</v>
      </c>
      <c r="R1288" s="63">
        <v>1</v>
      </c>
      <c r="S1288" s="296"/>
      <c r="T1288" s="63"/>
      <c r="U1288" s="10"/>
      <c r="V1288" s="90"/>
      <c r="W1288" s="136"/>
      <c r="X1288" s="137"/>
    </row>
    <row r="1289" spans="1:24">
      <c r="A1289" s="614"/>
      <c r="B1289" s="87">
        <f t="shared" si="92"/>
        <v>9</v>
      </c>
      <c r="C1289" s="295">
        <v>45930</v>
      </c>
      <c r="D1289" s="10" t="s">
        <v>2246</v>
      </c>
      <c r="E1289" s="101" t="s">
        <v>489</v>
      </c>
      <c r="F1289" s="62">
        <v>814</v>
      </c>
      <c r="G1289" s="62">
        <v>39.700000000000003</v>
      </c>
      <c r="H1289" s="62"/>
      <c r="I1289" s="89">
        <f>F1289-G1289-H1289</f>
        <v>774.3</v>
      </c>
      <c r="J1289" s="63" t="s">
        <v>205</v>
      </c>
      <c r="K1289" s="63">
        <v>1</v>
      </c>
      <c r="L1289" s="63"/>
      <c r="M1289" s="63"/>
      <c r="N1289" s="63">
        <v>1</v>
      </c>
      <c r="O1289" s="63"/>
      <c r="P1289" s="63"/>
      <c r="Q1289" s="63">
        <v>1</v>
      </c>
      <c r="R1289" s="63">
        <v>1</v>
      </c>
      <c r="S1289" s="296"/>
      <c r="T1289" s="63"/>
      <c r="U1289" s="10"/>
      <c r="V1289" s="90"/>
      <c r="W1289" s="136"/>
      <c r="X1289" s="137"/>
    </row>
    <row r="1290" spans="1:24">
      <c r="A1290" s="614"/>
      <c r="B1290" s="87">
        <f t="shared" si="92"/>
        <v>10</v>
      </c>
      <c r="C1290" s="274">
        <v>45931</v>
      </c>
      <c r="D1290" s="276" t="s">
        <v>2247</v>
      </c>
      <c r="E1290" s="276" t="s">
        <v>572</v>
      </c>
      <c r="F1290" s="277">
        <v>15789</v>
      </c>
      <c r="G1290" s="277">
        <v>39.700000000000003</v>
      </c>
      <c r="H1290" s="277"/>
      <c r="I1290" s="278">
        <f>F1290-G1290-H1290</f>
        <v>15749.3</v>
      </c>
      <c r="J1290" s="279" t="s">
        <v>205</v>
      </c>
      <c r="K1290" s="279">
        <v>1</v>
      </c>
      <c r="L1290" s="279"/>
      <c r="M1290" s="279"/>
      <c r="N1290" s="279">
        <v>1</v>
      </c>
      <c r="O1290" s="279"/>
      <c r="P1290" s="279"/>
      <c r="Q1290" s="279"/>
      <c r="R1290" s="279"/>
      <c r="S1290" s="280"/>
      <c r="T1290" s="63"/>
      <c r="U1290" s="10"/>
      <c r="V1290" s="90"/>
      <c r="W1290" s="136"/>
      <c r="X1290" s="137"/>
    </row>
    <row r="1291" spans="1:24">
      <c r="A1291" s="614"/>
      <c r="B1291" s="87">
        <f t="shared" si="92"/>
        <v>11</v>
      </c>
      <c r="C1291" s="295">
        <v>45931</v>
      </c>
      <c r="D1291" s="10">
        <v>73878</v>
      </c>
      <c r="E1291" s="101" t="s">
        <v>2080</v>
      </c>
      <c r="F1291" s="62">
        <v>1681</v>
      </c>
      <c r="G1291" s="62">
        <v>39.700000000000003</v>
      </c>
      <c r="H1291" s="62"/>
      <c r="I1291" s="89">
        <f>F1291-G1291-H1291</f>
        <v>1641.3</v>
      </c>
      <c r="J1291" s="63" t="s">
        <v>205</v>
      </c>
      <c r="K1291" s="63">
        <v>1</v>
      </c>
      <c r="L1291" s="63"/>
      <c r="M1291" s="63"/>
      <c r="N1291" s="63">
        <v>1</v>
      </c>
      <c r="O1291" s="63"/>
      <c r="P1291" s="63"/>
      <c r="Q1291" s="63">
        <v>1</v>
      </c>
      <c r="R1291" s="63">
        <v>1</v>
      </c>
      <c r="S1291" s="296"/>
      <c r="T1291" s="63"/>
      <c r="U1291" s="10"/>
      <c r="V1291" s="90"/>
      <c r="W1291" s="136"/>
      <c r="X1291" s="137"/>
    </row>
    <row r="1292" spans="1:24">
      <c r="A1292" s="614"/>
      <c r="B1292" s="87">
        <f t="shared" si="92"/>
        <v>12</v>
      </c>
      <c r="C1292" s="295">
        <v>45931</v>
      </c>
      <c r="D1292" s="10">
        <v>73850</v>
      </c>
      <c r="E1292" s="101" t="s">
        <v>168</v>
      </c>
      <c r="F1292" s="62">
        <v>461</v>
      </c>
      <c r="G1292" s="62"/>
      <c r="H1292" s="62"/>
      <c r="I1292" s="89">
        <f>F1292-G1292-H1292</f>
        <v>461</v>
      </c>
      <c r="J1292" s="63" t="s">
        <v>205</v>
      </c>
      <c r="K1292" s="63"/>
      <c r="L1292" s="63"/>
      <c r="M1292" s="63"/>
      <c r="N1292" s="63">
        <v>1</v>
      </c>
      <c r="O1292" s="63"/>
      <c r="P1292" s="63"/>
      <c r="Q1292" s="63">
        <v>1</v>
      </c>
      <c r="R1292" s="63">
        <v>1</v>
      </c>
      <c r="S1292" s="296"/>
      <c r="T1292" s="63"/>
      <c r="U1292" s="10"/>
      <c r="V1292" s="90"/>
      <c r="W1292" s="136"/>
      <c r="X1292" s="137"/>
    </row>
    <row r="1293" spans="1:24">
      <c r="A1293" s="614"/>
      <c r="B1293" s="87">
        <f t="shared" si="92"/>
        <v>13</v>
      </c>
      <c r="C1293" s="274">
        <v>45932</v>
      </c>
      <c r="D1293" s="276">
        <v>73796</v>
      </c>
      <c r="E1293" s="281" t="s">
        <v>2040</v>
      </c>
      <c r="F1293" s="277">
        <v>2035</v>
      </c>
      <c r="G1293" s="277">
        <v>39.700000000000003</v>
      </c>
      <c r="H1293" s="277"/>
      <c r="I1293" s="278">
        <f>F1293-G1293-H1293</f>
        <v>1995.3</v>
      </c>
      <c r="J1293" s="279" t="s">
        <v>205</v>
      </c>
      <c r="K1293" s="279">
        <v>1</v>
      </c>
      <c r="L1293" s="279"/>
      <c r="M1293" s="279"/>
      <c r="N1293" s="279">
        <v>1</v>
      </c>
      <c r="O1293" s="279"/>
      <c r="P1293" s="279"/>
      <c r="Q1293" s="279">
        <v>1</v>
      </c>
      <c r="R1293" s="279">
        <v>1</v>
      </c>
      <c r="S1293" s="280"/>
      <c r="T1293" s="63"/>
      <c r="U1293" s="10"/>
      <c r="V1293" s="90"/>
      <c r="W1293" s="136"/>
      <c r="X1293" s="137"/>
    </row>
    <row r="1294" spans="1:24">
      <c r="A1294" s="614"/>
      <c r="B1294" s="87">
        <f t="shared" si="92"/>
        <v>14</v>
      </c>
      <c r="C1294" s="295">
        <v>45932</v>
      </c>
      <c r="D1294" s="10" t="s">
        <v>2248</v>
      </c>
      <c r="E1294" s="10" t="s">
        <v>210</v>
      </c>
      <c r="F1294" s="62">
        <v>12814</v>
      </c>
      <c r="G1294" s="62">
        <v>39.700000000000003</v>
      </c>
      <c r="H1294" s="62"/>
      <c r="I1294" s="89">
        <f>F1294-G1294-H1294</f>
        <v>12774.3</v>
      </c>
      <c r="J1294" s="63" t="s">
        <v>205</v>
      </c>
      <c r="K1294" s="63">
        <v>1</v>
      </c>
      <c r="L1294" s="63"/>
      <c r="M1294" s="63"/>
      <c r="N1294" s="63">
        <v>1</v>
      </c>
      <c r="O1294" s="63"/>
      <c r="P1294" s="63"/>
      <c r="Q1294" s="63"/>
      <c r="R1294" s="63"/>
      <c r="S1294" s="296"/>
      <c r="T1294" s="63"/>
      <c r="U1294" s="10"/>
      <c r="V1294" s="90"/>
      <c r="W1294" s="136"/>
      <c r="X1294" s="137"/>
    </row>
    <row r="1295" spans="1:24">
      <c r="A1295" s="614"/>
      <c r="B1295" s="87">
        <f t="shared" si="92"/>
        <v>15</v>
      </c>
      <c r="C1295" s="274">
        <v>45933</v>
      </c>
      <c r="D1295" s="276">
        <v>73871</v>
      </c>
      <c r="E1295" s="276" t="s">
        <v>388</v>
      </c>
      <c r="F1295" s="277">
        <v>0</v>
      </c>
      <c r="G1295" s="277">
        <v>0</v>
      </c>
      <c r="H1295" s="277"/>
      <c r="I1295" s="278">
        <f>F1295-G1295-H1295</f>
        <v>0</v>
      </c>
      <c r="J1295" s="279" t="s">
        <v>219</v>
      </c>
      <c r="K1295" s="279">
        <v>1</v>
      </c>
      <c r="L1295" s="279"/>
      <c r="M1295" s="279"/>
      <c r="N1295" s="279"/>
      <c r="O1295" s="279"/>
      <c r="P1295" s="279"/>
      <c r="Q1295" s="279"/>
      <c r="R1295" s="279"/>
      <c r="S1295" s="280"/>
      <c r="T1295" s="63"/>
      <c r="U1295" s="10"/>
      <c r="V1295" s="90"/>
      <c r="W1295" s="136"/>
      <c r="X1295" s="137"/>
    </row>
    <row r="1296" spans="1:24">
      <c r="A1296" s="614"/>
      <c r="B1296" s="87">
        <f t="shared" si="92"/>
        <v>16</v>
      </c>
      <c r="C1296" s="295">
        <v>45933</v>
      </c>
      <c r="D1296" s="10">
        <v>74004</v>
      </c>
      <c r="E1296" s="10" t="s">
        <v>206</v>
      </c>
      <c r="F1296" s="62">
        <v>1315</v>
      </c>
      <c r="G1296" s="62">
        <v>39.700000000000003</v>
      </c>
      <c r="H1296" s="62"/>
      <c r="I1296" s="89">
        <f>F1296-G1296-H1296</f>
        <v>1275.3</v>
      </c>
      <c r="J1296" s="63" t="s">
        <v>205</v>
      </c>
      <c r="K1296" s="63">
        <v>1</v>
      </c>
      <c r="L1296" s="63"/>
      <c r="M1296" s="63"/>
      <c r="N1296" s="63">
        <v>1</v>
      </c>
      <c r="O1296" s="63"/>
      <c r="P1296" s="63"/>
      <c r="Q1296" s="63">
        <v>1</v>
      </c>
      <c r="R1296" s="63">
        <v>1</v>
      </c>
      <c r="S1296" s="296"/>
      <c r="T1296" s="63"/>
      <c r="U1296" s="10"/>
      <c r="V1296" s="90"/>
      <c r="W1296" s="136"/>
      <c r="X1296" s="137"/>
    </row>
    <row r="1297" spans="1:24">
      <c r="A1297" s="614"/>
      <c r="B1297" s="87">
        <f t="shared" si="92"/>
        <v>17</v>
      </c>
      <c r="C1297" s="282">
        <v>45933</v>
      </c>
      <c r="D1297" s="283">
        <v>74013</v>
      </c>
      <c r="E1297" s="283" t="s">
        <v>206</v>
      </c>
      <c r="F1297" s="284">
        <v>0</v>
      </c>
      <c r="G1297" s="284">
        <v>0</v>
      </c>
      <c r="H1297" s="284"/>
      <c r="I1297" s="285">
        <f>F1297-G1297-H1297</f>
        <v>0</v>
      </c>
      <c r="J1297" s="286" t="s">
        <v>205</v>
      </c>
      <c r="K1297" s="286">
        <v>1</v>
      </c>
      <c r="L1297" s="286"/>
      <c r="M1297" s="286"/>
      <c r="N1297" s="286"/>
      <c r="O1297" s="286"/>
      <c r="P1297" s="286"/>
      <c r="Q1297" s="286"/>
      <c r="R1297" s="286"/>
      <c r="S1297" s="287"/>
      <c r="T1297" s="63"/>
      <c r="U1297" s="10"/>
      <c r="V1297" s="90"/>
      <c r="W1297" s="136"/>
      <c r="X1297" s="137"/>
    </row>
    <row r="1298" spans="1:24">
      <c r="A1298" s="614"/>
      <c r="B1298" s="11"/>
      <c r="C1298" s="36"/>
      <c r="D1298" s="10"/>
      <c r="E1298" s="10"/>
      <c r="F1298" s="97">
        <f>SUM(F1281:F1297)</f>
        <v>104615.38</v>
      </c>
      <c r="G1298" s="97">
        <f>SUM(G1281:G1297)</f>
        <v>555.79999999999995</v>
      </c>
      <c r="H1298" s="97">
        <f>SUM(H1281:H1297)</f>
        <v>0</v>
      </c>
      <c r="I1298" s="98">
        <f>SUM(I1281:I1297)</f>
        <v>104059.58000000002</v>
      </c>
      <c r="J1298" s="10"/>
      <c r="K1298" s="10"/>
      <c r="L1298" s="10"/>
      <c r="M1298" s="10"/>
      <c r="N1298" s="10"/>
      <c r="O1298" s="10"/>
      <c r="P1298" s="10"/>
      <c r="Q1298" s="10"/>
      <c r="R1298" s="10"/>
      <c r="S1298" s="10"/>
      <c r="T1298" s="63"/>
      <c r="U1298" s="10"/>
      <c r="V1298" s="138"/>
      <c r="W1298" s="136"/>
      <c r="X1298" s="137"/>
    </row>
    <row r="1299" spans="1:24">
      <c r="A1299" s="614"/>
      <c r="B1299" s="26"/>
      <c r="C1299" s="612"/>
      <c r="D1299" s="141"/>
      <c r="E1299" s="141"/>
      <c r="F1299" s="141"/>
      <c r="G1299" s="141"/>
      <c r="H1299" s="141"/>
      <c r="I1299" s="141"/>
      <c r="J1299" s="141"/>
      <c r="K1299" s="142"/>
      <c r="L1299" s="142"/>
      <c r="M1299" s="142"/>
      <c r="N1299" s="142"/>
      <c r="O1299" s="142"/>
      <c r="P1299" s="142"/>
      <c r="Q1299" s="142"/>
      <c r="R1299" s="142"/>
      <c r="S1299" s="142"/>
      <c r="T1299" s="143">
        <f>SUM(T1229:T1298)</f>
        <v>4</v>
      </c>
      <c r="U1299" s="141"/>
      <c r="V1299" s="144">
        <f>SUM(V1229:V1298)</f>
        <v>52939.090000000004</v>
      </c>
      <c r="W1299" s="144">
        <f t="shared" ref="W1299:X1299" si="93">SUM(W1229:W1298)</f>
        <v>150</v>
      </c>
      <c r="X1299" s="144">
        <f t="shared" si="93"/>
        <v>0</v>
      </c>
    </row>
    <row r="1302" spans="1:24">
      <c r="B1302" s="4" t="s">
        <v>1</v>
      </c>
      <c r="C1302" s="5"/>
      <c r="D1302" s="6"/>
      <c r="E1302" s="6"/>
      <c r="F1302" s="7" t="s">
        <v>2</v>
      </c>
      <c r="G1302" s="608">
        <v>45942</v>
      </c>
      <c r="H1302" s="7"/>
      <c r="I1302" s="6"/>
      <c r="J1302" s="6"/>
      <c r="K1302" s="6"/>
      <c r="L1302" s="6"/>
      <c r="M1302" s="6"/>
      <c r="N1302" s="6"/>
      <c r="O1302" s="6"/>
      <c r="P1302" s="6"/>
      <c r="Q1302" s="6"/>
      <c r="R1302" s="6"/>
      <c r="S1302" s="6"/>
      <c r="T1302" s="6"/>
      <c r="U1302" s="9"/>
      <c r="V1302" s="10"/>
      <c r="W1302" s="10"/>
      <c r="X1302" s="10"/>
    </row>
    <row r="1303" spans="1:24">
      <c r="B1303" s="11"/>
      <c r="C1303" s="10"/>
      <c r="D1303" s="10"/>
      <c r="E1303" s="10"/>
      <c r="F1303" s="10"/>
      <c r="G1303" s="7"/>
      <c r="H1303" s="12"/>
      <c r="I1303" s="10"/>
      <c r="J1303" s="10"/>
      <c r="K1303" s="13" t="s">
        <v>3</v>
      </c>
      <c r="L1303" s="14"/>
      <c r="M1303" s="15"/>
      <c r="N1303" s="13" t="s">
        <v>4</v>
      </c>
      <c r="O1303" s="14"/>
      <c r="P1303" s="15"/>
      <c r="Q1303" s="13" t="s">
        <v>5</v>
      </c>
      <c r="R1303" s="14"/>
      <c r="S1303" s="15"/>
      <c r="T1303" s="16"/>
      <c r="U1303" s="17"/>
      <c r="V1303" s="10"/>
      <c r="W1303" s="10"/>
      <c r="X1303" s="10"/>
    </row>
    <row r="1304" spans="1:24">
      <c r="B1304" s="18" t="s">
        <v>6</v>
      </c>
      <c r="C1304" s="19">
        <f>C1305+C1306</f>
        <v>9</v>
      </c>
      <c r="D1304" s="10"/>
      <c r="E1304" s="18" t="s">
        <v>7</v>
      </c>
      <c r="F1304" s="6"/>
      <c r="G1304" s="9"/>
      <c r="H1304" s="10"/>
      <c r="I1304" s="10"/>
      <c r="J1304" s="10"/>
      <c r="K1304" s="20" t="s">
        <v>8</v>
      </c>
      <c r="L1304" s="21" t="s">
        <v>9</v>
      </c>
      <c r="M1304" s="21" t="s">
        <v>10</v>
      </c>
      <c r="N1304" s="20" t="s">
        <v>11</v>
      </c>
      <c r="O1304" s="21" t="s">
        <v>12</v>
      </c>
      <c r="P1304" s="22" t="s">
        <v>13</v>
      </c>
      <c r="Q1304" s="21" t="s">
        <v>11</v>
      </c>
      <c r="R1304" s="21" t="s">
        <v>12</v>
      </c>
      <c r="S1304" s="22" t="s">
        <v>13</v>
      </c>
      <c r="T1304" s="23" t="s">
        <v>14</v>
      </c>
      <c r="U1304" s="17"/>
      <c r="V1304" s="10"/>
      <c r="W1304" s="10"/>
      <c r="X1304" s="10"/>
    </row>
    <row r="1305" spans="1:24">
      <c r="B1305" s="24" t="s">
        <v>15</v>
      </c>
      <c r="C1305" s="25">
        <f>P1312</f>
        <v>5</v>
      </c>
      <c r="D1305" s="10"/>
      <c r="E1305" s="26" t="s">
        <v>16</v>
      </c>
      <c r="F1305" s="27">
        <v>0.05</v>
      </c>
      <c r="G1305" s="28"/>
      <c r="H1305" s="10"/>
      <c r="I1305" s="10"/>
      <c r="J1305" s="18" t="s">
        <v>17</v>
      </c>
      <c r="K1305" s="29">
        <f>K1331</f>
        <v>1</v>
      </c>
      <c r="L1305" s="29">
        <f>L1331</f>
        <v>1</v>
      </c>
      <c r="M1305" s="29">
        <f>M1331</f>
        <v>1</v>
      </c>
      <c r="N1305" s="29">
        <f>N1331</f>
        <v>1</v>
      </c>
      <c r="O1305" s="29">
        <f>O1331</f>
        <v>1</v>
      </c>
      <c r="P1305" s="29">
        <f>P1331</f>
        <v>0</v>
      </c>
      <c r="Q1305" s="29">
        <f>Q1331</f>
        <v>1</v>
      </c>
      <c r="R1305" s="29">
        <f>R1331</f>
        <v>1</v>
      </c>
      <c r="S1305" s="29">
        <f>S1331</f>
        <v>1</v>
      </c>
      <c r="T1305" s="30">
        <f>T1375</f>
        <v>0</v>
      </c>
      <c r="U1305" s="17"/>
      <c r="V1305" s="10"/>
      <c r="W1305" s="10"/>
      <c r="X1305" s="10"/>
    </row>
    <row r="1306" spans="1:24">
      <c r="B1306" s="24" t="s">
        <v>18</v>
      </c>
      <c r="C1306" s="25">
        <f>P1313</f>
        <v>4</v>
      </c>
      <c r="D1306" s="10"/>
      <c r="E1306" s="10"/>
      <c r="F1306" s="10"/>
      <c r="G1306" s="31"/>
      <c r="H1306" s="10"/>
      <c r="I1306" s="10"/>
      <c r="J1306" s="32" t="s">
        <v>19</v>
      </c>
      <c r="K1306" s="33">
        <f>K1331/K1330</f>
        <v>1</v>
      </c>
      <c r="L1306" s="33">
        <f>L1331/L1330</f>
        <v>1</v>
      </c>
      <c r="M1306" s="33">
        <f>M1331/M1330</f>
        <v>1</v>
      </c>
      <c r="N1306" s="33">
        <f>N1331/N1330</f>
        <v>1</v>
      </c>
      <c r="O1306" s="33">
        <f>O1331/O1330</f>
        <v>1</v>
      </c>
      <c r="P1306" s="33">
        <f>P1331/P1330</f>
        <v>0</v>
      </c>
      <c r="Q1306" s="33">
        <f>Q1331/Q1330</f>
        <v>1</v>
      </c>
      <c r="R1306" s="33">
        <f>R1331/R1330</f>
        <v>1</v>
      </c>
      <c r="S1306" s="33">
        <f>S1331/S1330</f>
        <v>1</v>
      </c>
      <c r="T1306" s="23"/>
      <c r="U1306" s="17" t="s">
        <v>20</v>
      </c>
      <c r="V1306" s="10"/>
      <c r="W1306" s="10"/>
      <c r="X1306" s="10"/>
    </row>
    <row r="1307" spans="1:24">
      <c r="B1307" s="24" t="s">
        <v>21</v>
      </c>
      <c r="C1307" s="34">
        <f>P1314</f>
        <v>0.55555555555555558</v>
      </c>
      <c r="D1307" s="10"/>
      <c r="E1307" s="10"/>
      <c r="F1307" s="10"/>
      <c r="G1307" s="10"/>
      <c r="H1307" s="10"/>
      <c r="I1307" s="10"/>
      <c r="J1307" s="10"/>
      <c r="K1307" s="10"/>
      <c r="L1307" s="10"/>
      <c r="M1307" s="10"/>
      <c r="N1307" s="10"/>
      <c r="O1307" s="10"/>
      <c r="P1307" s="10"/>
      <c r="Q1307" s="10"/>
      <c r="R1307" s="10"/>
      <c r="S1307" s="10"/>
      <c r="T1307" s="10"/>
      <c r="U1307" s="17"/>
      <c r="V1307" s="10"/>
      <c r="W1307" s="10"/>
      <c r="X1307" s="10"/>
    </row>
    <row r="1308" spans="1:24">
      <c r="B1308" s="24"/>
      <c r="C1308" s="25"/>
      <c r="D1308" s="10"/>
      <c r="E1308" s="10"/>
      <c r="F1308" s="18" t="s">
        <v>22</v>
      </c>
      <c r="G1308" s="19" t="s">
        <v>23</v>
      </c>
      <c r="H1308" s="35" t="s">
        <v>24</v>
      </c>
      <c r="I1308" s="10"/>
      <c r="J1308" s="10"/>
      <c r="K1308" s="36"/>
      <c r="L1308" s="36"/>
      <c r="M1308" s="36"/>
      <c r="N1308" s="36"/>
      <c r="O1308" s="36"/>
      <c r="P1308" s="36"/>
      <c r="Q1308" s="36"/>
      <c r="R1308" s="10"/>
      <c r="S1308" s="10"/>
      <c r="T1308" s="10"/>
      <c r="U1308" s="17"/>
      <c r="V1308" s="10"/>
      <c r="W1308" s="10"/>
      <c r="X1308" s="10"/>
    </row>
    <row r="1309" spans="1:24" ht="17.25" customHeight="1">
      <c r="B1309" s="32" t="s">
        <v>25</v>
      </c>
      <c r="C1309" s="37">
        <f>P1315</f>
        <v>2058.2040000000002</v>
      </c>
      <c r="D1309" s="10"/>
      <c r="E1309" s="18" t="s">
        <v>26</v>
      </c>
      <c r="F1309" s="38">
        <f>P1311</f>
        <v>10291.02</v>
      </c>
      <c r="G1309" s="39">
        <f>I1330+I1335+I1341</f>
        <v>10291.02</v>
      </c>
      <c r="H1309" s="767" t="s">
        <v>851</v>
      </c>
      <c r="I1309" s="767"/>
      <c r="J1309" s="767"/>
      <c r="K1309" s="43" t="s">
        <v>27</v>
      </c>
      <c r="L1309" s="44"/>
      <c r="M1309" s="44"/>
      <c r="N1309" s="44"/>
      <c r="O1309" s="44"/>
      <c r="P1309" s="44"/>
      <c r="Q1309" s="45"/>
      <c r="R1309" s="46" t="s">
        <v>28</v>
      </c>
      <c r="S1309" s="47" t="s">
        <v>29</v>
      </c>
      <c r="T1309" s="10"/>
      <c r="U1309" s="17"/>
      <c r="V1309" s="10"/>
      <c r="W1309" s="10"/>
      <c r="X1309" s="10"/>
    </row>
    <row r="1310" spans="1:24">
      <c r="B1310" s="11"/>
      <c r="C1310" s="10"/>
      <c r="D1310" s="10"/>
      <c r="E1310" s="24" t="s">
        <v>30</v>
      </c>
      <c r="F1310" s="48">
        <f>F1305</f>
        <v>0.05</v>
      </c>
      <c r="G1310" s="17"/>
      <c r="H1310" s="767"/>
      <c r="I1310" s="767"/>
      <c r="J1310" s="767"/>
      <c r="K1310" s="20" t="s">
        <v>31</v>
      </c>
      <c r="L1310" s="21" t="s">
        <v>32</v>
      </c>
      <c r="M1310" s="21" t="s">
        <v>33</v>
      </c>
      <c r="N1310" s="21" t="s">
        <v>34</v>
      </c>
      <c r="O1310" s="21" t="s">
        <v>35</v>
      </c>
      <c r="P1310" s="21" t="s">
        <v>36</v>
      </c>
      <c r="Q1310" s="49" t="s">
        <v>37</v>
      </c>
      <c r="R1310" s="50" t="s">
        <v>38</v>
      </c>
      <c r="S1310" s="50" t="s">
        <v>38</v>
      </c>
      <c r="T1310" s="10"/>
      <c r="U1310" s="17"/>
      <c r="V1310" s="10"/>
      <c r="W1310" s="10"/>
      <c r="X1310" s="10"/>
    </row>
    <row r="1311" spans="1:24">
      <c r="B1311" s="11"/>
      <c r="C1311" s="10"/>
      <c r="D1311" s="10"/>
      <c r="E1311" s="51" t="s">
        <v>39</v>
      </c>
      <c r="F1311" s="52">
        <f>(F1309-I1334-I1338-I1339-I1340)*F1310</f>
        <v>34.049999999999976</v>
      </c>
      <c r="G1311" s="53" t="s">
        <v>40</v>
      </c>
      <c r="H1311" s="484">
        <f>F1311/1.12</f>
        <v>30.40178571428569</v>
      </c>
      <c r="I1311" s="55"/>
      <c r="J1311" s="42"/>
      <c r="K1311" s="56">
        <v>0</v>
      </c>
      <c r="L1311" s="57">
        <v>0</v>
      </c>
      <c r="M1311" s="57">
        <v>0</v>
      </c>
      <c r="N1311" s="57">
        <f>I1334</f>
        <v>2272.11</v>
      </c>
      <c r="O1311" s="57">
        <f>I1329+I1338+I1339+I1340</f>
        <v>8018.9100000000008</v>
      </c>
      <c r="P1311" s="57">
        <f>SUM(K1311:O1311)</f>
        <v>10291.02</v>
      </c>
      <c r="Q1311" s="58">
        <v>0</v>
      </c>
      <c r="R1311" s="59">
        <f>I1335+I1341</f>
        <v>9610.02</v>
      </c>
      <c r="S1311" s="59">
        <v>0</v>
      </c>
      <c r="T1311" s="10"/>
      <c r="U1311" s="17"/>
      <c r="V1311" s="10"/>
      <c r="W1311" s="10"/>
      <c r="X1311" s="10"/>
    </row>
    <row r="1312" spans="1:24">
      <c r="B1312" s="11"/>
      <c r="C1312" s="10"/>
      <c r="D1312" s="10"/>
      <c r="E1312" s="24" t="s">
        <v>41</v>
      </c>
      <c r="F1312" s="60">
        <f>Q1311</f>
        <v>0</v>
      </c>
      <c r="G1312" s="61" t="s">
        <v>40</v>
      </c>
      <c r="H1312" s="62"/>
      <c r="I1312" s="62"/>
      <c r="J1312" s="10" t="s">
        <v>42</v>
      </c>
      <c r="K1312" s="63">
        <v>0</v>
      </c>
      <c r="L1312" s="63">
        <v>0</v>
      </c>
      <c r="M1312" s="63">
        <v>0</v>
      </c>
      <c r="N1312" s="63">
        <v>1</v>
      </c>
      <c r="O1312" s="63">
        <v>4</v>
      </c>
      <c r="P1312" s="21">
        <f>SUM(K1312:O1312)</f>
        <v>5</v>
      </c>
      <c r="Q1312" s="64"/>
      <c r="R1312" s="63"/>
      <c r="S1312" s="10"/>
      <c r="T1312" s="10"/>
      <c r="U1312" s="17"/>
      <c r="V1312" s="10"/>
      <c r="W1312" s="10"/>
      <c r="X1312" s="10"/>
    </row>
    <row r="1313" spans="2:24">
      <c r="B1313" s="11"/>
      <c r="C1313" s="10"/>
      <c r="D1313" s="10"/>
      <c r="E1313" s="51" t="s">
        <v>43</v>
      </c>
      <c r="F1313" s="52">
        <f>F1312*0.25</f>
        <v>0</v>
      </c>
      <c r="G1313" s="53" t="s">
        <v>40</v>
      </c>
      <c r="H1313" s="54">
        <f>F1313/1.12</f>
        <v>0</v>
      </c>
      <c r="I1313" s="10"/>
      <c r="J1313" s="10" t="s">
        <v>44</v>
      </c>
      <c r="K1313" s="63">
        <v>0</v>
      </c>
      <c r="L1313" s="63">
        <v>0</v>
      </c>
      <c r="M1313" s="63">
        <v>0</v>
      </c>
      <c r="N1313" s="63">
        <v>2</v>
      </c>
      <c r="O1313" s="63">
        <v>2</v>
      </c>
      <c r="P1313" s="21">
        <f>SUM(K1313:O1313)</f>
        <v>4</v>
      </c>
      <c r="Q1313" s="64"/>
      <c r="R1313" s="63"/>
      <c r="S1313" s="10"/>
      <c r="T1313" s="10"/>
      <c r="U1313" s="17"/>
      <c r="V1313" s="10"/>
      <c r="W1313" s="10"/>
      <c r="X1313" s="10"/>
    </row>
    <row r="1314" spans="2:24">
      <c r="B1314" s="11"/>
      <c r="C1314" s="10"/>
      <c r="D1314" s="10"/>
      <c r="E1314" s="24" t="s">
        <v>45</v>
      </c>
      <c r="F1314" s="60"/>
      <c r="G1314" s="61" t="s">
        <v>40</v>
      </c>
      <c r="H1314" s="62"/>
      <c r="I1314" s="10"/>
      <c r="J1314" s="10" t="s">
        <v>46</v>
      </c>
      <c r="K1314" s="31" t="e">
        <f>K1312/(K1312+K1313)</f>
        <v>#DIV/0!</v>
      </c>
      <c r="L1314" s="31" t="e">
        <f>L1312/(L1312+L1313)</f>
        <v>#DIV/0!</v>
      </c>
      <c r="M1314" s="31" t="e">
        <f>M1312/(M1312+M1313)</f>
        <v>#DIV/0!</v>
      </c>
      <c r="N1314" s="31">
        <f>N1312/(N1312+N1313)</f>
        <v>0.33333333333333331</v>
      </c>
      <c r="O1314" s="31">
        <f>O1312/(O1312+O1313)</f>
        <v>0.66666666666666663</v>
      </c>
      <c r="P1314" s="31">
        <f>P1312/(P1312+P1313)</f>
        <v>0.55555555555555558</v>
      </c>
      <c r="Q1314" s="31" t="e">
        <f>Q1312/(Q1312+Q1313)</f>
        <v>#DIV/0!</v>
      </c>
      <c r="R1314" s="63"/>
      <c r="S1314" s="10"/>
      <c r="T1314" s="10"/>
      <c r="U1314" s="17"/>
      <c r="V1314" s="10"/>
      <c r="W1314" s="10"/>
      <c r="X1314" s="10"/>
    </row>
    <row r="1315" spans="2:24">
      <c r="B1315" s="11"/>
      <c r="C1315" s="10"/>
      <c r="D1315" s="10"/>
      <c r="E1315" s="51" t="s">
        <v>47</v>
      </c>
      <c r="F1315" s="52">
        <f>F1314*0.05</f>
        <v>0</v>
      </c>
      <c r="G1315" s="65" t="s">
        <v>40</v>
      </c>
      <c r="H1315" s="54">
        <f>F1315/1.12</f>
        <v>0</v>
      </c>
      <c r="I1315" s="42"/>
      <c r="J1315" s="10" t="s">
        <v>48</v>
      </c>
      <c r="K1315" s="66" t="e">
        <f>K1311/K1312</f>
        <v>#DIV/0!</v>
      </c>
      <c r="L1315" s="66" t="e">
        <f>L1311/L1312</f>
        <v>#DIV/0!</v>
      </c>
      <c r="M1315" s="66" t="e">
        <f>M1311/M1312</f>
        <v>#DIV/0!</v>
      </c>
      <c r="N1315" s="66">
        <f>N1311/N1312</f>
        <v>2272.11</v>
      </c>
      <c r="O1315" s="66">
        <f>O1311/O1312</f>
        <v>2004.7275000000002</v>
      </c>
      <c r="P1315" s="66">
        <f>P1311/P1312</f>
        <v>2058.2040000000002</v>
      </c>
      <c r="Q1315" s="66" t="e">
        <f>Q1311/Q1312</f>
        <v>#DIV/0!</v>
      </c>
      <c r="R1315" s="63"/>
      <c r="S1315" s="10"/>
      <c r="T1315" s="10"/>
      <c r="U1315" s="17"/>
      <c r="V1315" s="10"/>
      <c r="W1315" s="10"/>
      <c r="X1315" s="10"/>
    </row>
    <row r="1316" spans="2:24">
      <c r="B1316" s="11"/>
      <c r="C1316" s="10"/>
      <c r="D1316" s="10"/>
      <c r="E1316" s="67" t="s">
        <v>14</v>
      </c>
      <c r="F1316" s="68"/>
      <c r="G1316" s="10"/>
      <c r="H1316" s="54">
        <f>F1316/1.12</f>
        <v>0</v>
      </c>
      <c r="I1316" s="10"/>
      <c r="J1316" s="10"/>
      <c r="K1316" s="10"/>
      <c r="L1316" s="10"/>
      <c r="M1316" s="10"/>
      <c r="N1316" s="10"/>
      <c r="O1316" s="10"/>
      <c r="P1316" s="10"/>
      <c r="Q1316" s="10"/>
      <c r="R1316" s="10"/>
      <c r="S1316" s="10"/>
      <c r="T1316" s="10"/>
      <c r="U1316" s="17"/>
      <c r="V1316" s="10"/>
      <c r="W1316" s="10"/>
      <c r="X1316" s="10"/>
    </row>
    <row r="1317" spans="2:24">
      <c r="B1317" s="11"/>
      <c r="C1317" s="10"/>
      <c r="D1317" s="10"/>
      <c r="E1317" s="155" t="s">
        <v>49</v>
      </c>
      <c r="F1317" s="364">
        <f>T1306</f>
        <v>0</v>
      </c>
      <c r="G1317" s="10"/>
      <c r="H1317" s="54"/>
      <c r="I1317" s="55"/>
      <c r="J1317" s="42"/>
      <c r="K1317" s="764" t="s">
        <v>50</v>
      </c>
      <c r="L1317" s="765"/>
      <c r="M1317" s="765"/>
      <c r="N1317" s="765"/>
      <c r="O1317" s="765"/>
      <c r="P1317" s="765"/>
      <c r="Q1317" s="766"/>
      <c r="R1317" s="70" t="s">
        <v>28</v>
      </c>
      <c r="S1317" s="71" t="s">
        <v>29</v>
      </c>
      <c r="T1317" s="10"/>
      <c r="U1317" s="17"/>
      <c r="V1317" s="10"/>
      <c r="W1317" s="10"/>
      <c r="X1317" s="10"/>
    </row>
    <row r="1318" spans="2:24">
      <c r="B1318" s="11"/>
      <c r="C1318" s="10"/>
      <c r="D1318" s="10"/>
      <c r="E1318" s="12"/>
      <c r="F1318" s="76"/>
      <c r="G1318" s="10"/>
      <c r="H1318" s="10"/>
      <c r="I1318" s="10"/>
      <c r="J1318" s="42"/>
      <c r="K1318" s="20" t="s">
        <v>31</v>
      </c>
      <c r="L1318" s="21" t="s">
        <v>32</v>
      </c>
      <c r="M1318" s="21" t="s">
        <v>33</v>
      </c>
      <c r="N1318" s="21" t="s">
        <v>34</v>
      </c>
      <c r="O1318" s="21" t="s">
        <v>35</v>
      </c>
      <c r="P1318" s="21" t="s">
        <v>36</v>
      </c>
      <c r="Q1318" s="49" t="s">
        <v>37</v>
      </c>
      <c r="R1318" s="50" t="s">
        <v>38</v>
      </c>
      <c r="S1318" s="50" t="s">
        <v>38</v>
      </c>
      <c r="T1318" s="10"/>
      <c r="U1318" s="17"/>
      <c r="V1318" s="10"/>
      <c r="W1318" s="10"/>
      <c r="X1318" s="10"/>
    </row>
    <row r="1319" spans="2:24">
      <c r="B1319" s="11"/>
      <c r="C1319" s="10"/>
      <c r="D1319" s="10"/>
      <c r="E1319" s="10"/>
      <c r="F1319" s="10"/>
      <c r="G1319" s="10"/>
      <c r="H1319" s="10"/>
      <c r="I1319" s="10"/>
      <c r="J1319" s="42"/>
      <c r="K1319" s="56">
        <v>0</v>
      </c>
      <c r="L1319" s="57">
        <v>0</v>
      </c>
      <c r="M1319" s="57">
        <v>0</v>
      </c>
      <c r="N1319" s="57">
        <f>F1334</f>
        <v>2614</v>
      </c>
      <c r="O1319" s="57">
        <f>F1329+F1338+F1339+F1340</f>
        <v>10217</v>
      </c>
      <c r="P1319" s="57">
        <f>SUM(K1319:O1319)</f>
        <v>12831</v>
      </c>
      <c r="Q1319" s="58">
        <v>0</v>
      </c>
      <c r="R1319" s="59">
        <f>F1335+F1341</f>
        <v>12150</v>
      </c>
      <c r="S1319" s="59">
        <v>0</v>
      </c>
      <c r="T1319" s="10"/>
      <c r="U1319" s="17"/>
      <c r="V1319" s="10"/>
      <c r="W1319" s="10"/>
      <c r="X1319" s="10"/>
    </row>
    <row r="1320" spans="2:24">
      <c r="B1320" s="11"/>
      <c r="C1320" s="10"/>
      <c r="D1320" s="10"/>
      <c r="E1320" s="10"/>
      <c r="F1320" s="10"/>
      <c r="G1320" s="10"/>
      <c r="H1320" s="10"/>
      <c r="I1320" s="10"/>
      <c r="J1320" s="10" t="s">
        <v>42</v>
      </c>
      <c r="K1320" s="63">
        <f>K1312</f>
        <v>0</v>
      </c>
      <c r="L1320" s="63">
        <f>L1312</f>
        <v>0</v>
      </c>
      <c r="M1320" s="63">
        <f>M1312</f>
        <v>0</v>
      </c>
      <c r="N1320" s="63">
        <f>N1312</f>
        <v>1</v>
      </c>
      <c r="O1320" s="63">
        <f>O1312</f>
        <v>4</v>
      </c>
      <c r="P1320" s="63">
        <f>P1312</f>
        <v>5</v>
      </c>
      <c r="Q1320" s="63">
        <f>Q1312</f>
        <v>0</v>
      </c>
      <c r="R1320" s="63"/>
      <c r="S1320" s="10"/>
      <c r="T1320" s="10"/>
      <c r="U1320" s="17"/>
      <c r="V1320" s="10"/>
      <c r="W1320" s="10"/>
      <c r="X1320" s="10"/>
    </row>
    <row r="1321" spans="2:24">
      <c r="B1321" s="11"/>
      <c r="C1321" s="10"/>
      <c r="D1321" s="10"/>
      <c r="E1321" s="10"/>
      <c r="F1321" s="10"/>
      <c r="G1321" s="10"/>
      <c r="H1321" s="10"/>
      <c r="I1321" s="10"/>
      <c r="J1321" s="10" t="s">
        <v>44</v>
      </c>
      <c r="K1321" s="63">
        <f>K1313</f>
        <v>0</v>
      </c>
      <c r="L1321" s="63">
        <f>L1313</f>
        <v>0</v>
      </c>
      <c r="M1321" s="63">
        <f>M1313</f>
        <v>0</v>
      </c>
      <c r="N1321" s="63">
        <f>N1313</f>
        <v>2</v>
      </c>
      <c r="O1321" s="63">
        <f>O1313</f>
        <v>2</v>
      </c>
      <c r="P1321" s="63">
        <f>P1313</f>
        <v>4</v>
      </c>
      <c r="Q1321" s="63">
        <f>Q1313</f>
        <v>0</v>
      </c>
      <c r="R1321" s="63"/>
      <c r="S1321" s="10"/>
      <c r="T1321" s="10"/>
      <c r="U1321" s="17"/>
      <c r="V1321" s="10"/>
      <c r="W1321" s="10"/>
      <c r="X1321" s="10"/>
    </row>
    <row r="1322" spans="2:24">
      <c r="B1322" s="11"/>
      <c r="C1322" s="10"/>
      <c r="D1322" s="10"/>
      <c r="E1322" s="12"/>
      <c r="F1322" s="76"/>
      <c r="G1322" s="10"/>
      <c r="H1322" s="10"/>
      <c r="I1322" s="10"/>
      <c r="J1322" s="10" t="s">
        <v>46</v>
      </c>
      <c r="K1322" s="31" t="e">
        <f>K1320/(K1320+K1321)</f>
        <v>#DIV/0!</v>
      </c>
      <c r="L1322" s="31" t="e">
        <f>L1320/(L1320+L1321)</f>
        <v>#DIV/0!</v>
      </c>
      <c r="M1322" s="31" t="e">
        <f>M1320/(M1320+M1321)</f>
        <v>#DIV/0!</v>
      </c>
      <c r="N1322" s="31">
        <f>N1320/(N1320+N1321)</f>
        <v>0.33333333333333331</v>
      </c>
      <c r="O1322" s="31">
        <f>O1320/(O1320+O1321)</f>
        <v>0.66666666666666663</v>
      </c>
      <c r="P1322" s="31">
        <f>P1320/(P1320+P1321)</f>
        <v>0.55555555555555558</v>
      </c>
      <c r="Q1322" s="31" t="e">
        <f>Q1320/(Q1320+Q1321)</f>
        <v>#DIV/0!</v>
      </c>
      <c r="R1322" s="63"/>
      <c r="S1322" s="10"/>
      <c r="T1322" s="10"/>
      <c r="U1322" s="17"/>
      <c r="V1322" s="10"/>
      <c r="W1322" s="10"/>
      <c r="X1322" s="10"/>
    </row>
    <row r="1323" spans="2:24">
      <c r="B1323" s="11"/>
      <c r="C1323" s="10"/>
      <c r="D1323" s="10"/>
      <c r="E1323" s="10"/>
      <c r="F1323" s="10"/>
      <c r="G1323" s="10"/>
      <c r="H1323" s="10"/>
      <c r="I1323" s="10"/>
      <c r="J1323" s="10" t="s">
        <v>48</v>
      </c>
      <c r="K1323" s="66" t="e">
        <f>K1319/K1320</f>
        <v>#DIV/0!</v>
      </c>
      <c r="L1323" s="66" t="e">
        <f>L1319/L1320</f>
        <v>#DIV/0!</v>
      </c>
      <c r="M1323" s="66" t="e">
        <f>M1319/M1320</f>
        <v>#DIV/0!</v>
      </c>
      <c r="N1323" s="66">
        <f>N1319/N1320</f>
        <v>2614</v>
      </c>
      <c r="O1323" s="66">
        <f>O1319/O1320</f>
        <v>2554.25</v>
      </c>
      <c r="P1323" s="66">
        <f>P1319/P1320</f>
        <v>2566.1999999999998</v>
      </c>
      <c r="Q1323" s="66" t="e">
        <f>Q1319/Q1320</f>
        <v>#DIV/0!</v>
      </c>
      <c r="R1323" s="63"/>
      <c r="S1323" s="10"/>
      <c r="T1323" s="10"/>
      <c r="U1323" s="17"/>
      <c r="V1323" s="10"/>
      <c r="W1323" s="10"/>
      <c r="X1323" s="10"/>
    </row>
    <row r="1324" spans="2:24">
      <c r="B1324" s="11"/>
      <c r="C1324" s="10"/>
      <c r="D1324" s="10"/>
      <c r="E1324" s="10"/>
      <c r="F1324" s="10"/>
      <c r="G1324" s="10"/>
      <c r="H1324" s="10"/>
      <c r="I1324" s="10"/>
      <c r="J1324" s="10"/>
      <c r="K1324" s="10"/>
      <c r="L1324" s="10"/>
      <c r="M1324" s="10"/>
      <c r="N1324" s="10"/>
      <c r="O1324" s="10"/>
      <c r="P1324" s="10"/>
      <c r="Q1324" s="10"/>
      <c r="R1324" s="10"/>
      <c r="S1324" s="10"/>
      <c r="T1324" s="10"/>
      <c r="U1324" s="17"/>
      <c r="V1324" s="10"/>
      <c r="W1324" s="10"/>
      <c r="X1324" s="10"/>
    </row>
    <row r="1325" spans="2:24">
      <c r="B1325" s="11"/>
      <c r="C1325" s="10"/>
      <c r="D1325" s="10"/>
      <c r="E1325" s="10"/>
      <c r="F1325" s="10"/>
      <c r="G1325" s="10"/>
      <c r="H1325" s="10"/>
      <c r="I1325" s="10"/>
      <c r="J1325" s="10"/>
      <c r="K1325" s="10"/>
      <c r="L1325" s="10"/>
      <c r="M1325" s="10"/>
      <c r="N1325" s="10"/>
      <c r="O1325" s="10"/>
      <c r="P1325" s="10"/>
      <c r="Q1325" s="10"/>
      <c r="R1325" s="10"/>
      <c r="S1325" s="10"/>
      <c r="T1325" s="10"/>
      <c r="U1325" s="17"/>
      <c r="V1325" s="10"/>
      <c r="W1325" s="10"/>
      <c r="X1325" s="10"/>
    </row>
    <row r="1326" spans="2:24">
      <c r="B1326" s="18" t="s">
        <v>51</v>
      </c>
      <c r="C1326" s="14"/>
      <c r="D1326" s="14"/>
      <c r="E1326" s="14"/>
      <c r="F1326" s="13" t="s">
        <v>52</v>
      </c>
      <c r="G1326" s="14"/>
      <c r="H1326" s="14"/>
      <c r="I1326" s="14"/>
      <c r="J1326" s="14"/>
      <c r="K1326" s="13" t="s">
        <v>3</v>
      </c>
      <c r="L1326" s="14"/>
      <c r="M1326" s="14"/>
      <c r="N1326" s="13" t="s">
        <v>4</v>
      </c>
      <c r="O1326" s="14"/>
      <c r="P1326" s="14"/>
      <c r="Q1326" s="13" t="s">
        <v>5</v>
      </c>
      <c r="R1326" s="14"/>
      <c r="S1326" s="14"/>
      <c r="T1326" s="18"/>
      <c r="U1326" s="16" t="s">
        <v>53</v>
      </c>
      <c r="V1326" s="77"/>
      <c r="W1326" s="77"/>
      <c r="X1326" s="77"/>
    </row>
    <row r="1327" spans="2:24">
      <c r="B1327" s="24" t="s">
        <v>54</v>
      </c>
      <c r="C1327" s="21" t="s">
        <v>55</v>
      </c>
      <c r="D1327" s="21" t="s">
        <v>56</v>
      </c>
      <c r="E1327" s="21" t="s">
        <v>57</v>
      </c>
      <c r="F1327" s="20" t="s">
        <v>58</v>
      </c>
      <c r="G1327" s="21" t="s">
        <v>59</v>
      </c>
      <c r="H1327" s="21" t="s">
        <v>60</v>
      </c>
      <c r="I1327" s="21" t="s">
        <v>26</v>
      </c>
      <c r="J1327" s="22" t="s">
        <v>61</v>
      </c>
      <c r="K1327" s="21" t="s">
        <v>8</v>
      </c>
      <c r="L1327" s="21" t="s">
        <v>9</v>
      </c>
      <c r="M1327" s="21" t="s">
        <v>10</v>
      </c>
      <c r="N1327" s="20" t="s">
        <v>11</v>
      </c>
      <c r="O1327" s="21" t="s">
        <v>12</v>
      </c>
      <c r="P1327" s="22" t="s">
        <v>13</v>
      </c>
      <c r="Q1327" s="21" t="s">
        <v>11</v>
      </c>
      <c r="R1327" s="21" t="s">
        <v>12</v>
      </c>
      <c r="S1327" s="21" t="s">
        <v>13</v>
      </c>
      <c r="T1327" s="78" t="s">
        <v>14</v>
      </c>
      <c r="U1327" s="30"/>
      <c r="V1327" s="79" t="s">
        <v>62</v>
      </c>
      <c r="W1327" s="80" t="s">
        <v>63</v>
      </c>
      <c r="X1327" s="81" t="s">
        <v>64</v>
      </c>
    </row>
    <row r="1328" spans="2:24">
      <c r="B1328" s="4" t="s">
        <v>65</v>
      </c>
      <c r="C1328" s="6"/>
      <c r="D1328" s="6"/>
      <c r="E1328" s="6"/>
      <c r="F1328" s="6"/>
      <c r="G1328" s="6"/>
      <c r="H1328" s="6"/>
      <c r="I1328" s="82"/>
      <c r="J1328" s="6"/>
      <c r="K1328" s="6"/>
      <c r="L1328" s="6"/>
      <c r="M1328" s="6"/>
      <c r="N1328" s="6"/>
      <c r="O1328" s="6"/>
      <c r="P1328" s="6"/>
      <c r="Q1328" s="6"/>
      <c r="R1328" s="6"/>
      <c r="S1328" s="6"/>
      <c r="T1328" s="83"/>
      <c r="U1328" s="6"/>
      <c r="V1328" s="84"/>
      <c r="W1328" s="85"/>
      <c r="X1328" s="86"/>
    </row>
    <row r="1329" spans="1:24">
      <c r="B1329" s="87">
        <v>1</v>
      </c>
      <c r="C1329" s="262">
        <v>45940</v>
      </c>
      <c r="D1329" s="271">
        <v>74289</v>
      </c>
      <c r="E1329" s="271" t="s">
        <v>572</v>
      </c>
      <c r="F1329" s="265">
        <v>681</v>
      </c>
      <c r="G1329" s="265"/>
      <c r="H1329" s="365"/>
      <c r="I1329" s="272">
        <f>F1329-G1329-H1329</f>
        <v>681</v>
      </c>
      <c r="J1329" s="267" t="s">
        <v>156</v>
      </c>
      <c r="K1329" s="267">
        <v>1</v>
      </c>
      <c r="L1329" s="267">
        <v>1</v>
      </c>
      <c r="M1329" s="267">
        <v>1</v>
      </c>
      <c r="N1329" s="267">
        <v>1</v>
      </c>
      <c r="O1329" s="267">
        <v>1</v>
      </c>
      <c r="P1329" s="314">
        <v>0</v>
      </c>
      <c r="Q1329" s="267">
        <v>1</v>
      </c>
      <c r="R1329" s="267">
        <v>1</v>
      </c>
      <c r="S1329" s="269">
        <v>1</v>
      </c>
      <c r="T1329" s="63"/>
      <c r="U1329" s="10"/>
      <c r="V1329" s="90">
        <f>74+675.1</f>
        <v>749.1</v>
      </c>
      <c r="W1329" s="91"/>
      <c r="X1329" s="92"/>
    </row>
    <row r="1330" spans="1:24">
      <c r="B1330" s="87"/>
      <c r="C1330" s="36"/>
      <c r="D1330" s="10"/>
      <c r="E1330" s="10"/>
      <c r="F1330" s="97">
        <f>SUM(F1329:F1329)</f>
        <v>681</v>
      </c>
      <c r="G1330" s="97">
        <f>SUM(G1329:G1329)</f>
        <v>0</v>
      </c>
      <c r="H1330" s="97">
        <f>SUM(H1329:H1329)</f>
        <v>0</v>
      </c>
      <c r="I1330" s="98">
        <f>SUM(I1329:I1329)</f>
        <v>681</v>
      </c>
      <c r="J1330" s="63"/>
      <c r="K1330" s="63">
        <f>COUNT(K1329:K1329)</f>
        <v>1</v>
      </c>
      <c r="L1330" s="63">
        <f>COUNT(L1329:L1329)</f>
        <v>1</v>
      </c>
      <c r="M1330" s="63">
        <f>COUNT(M1329:M1329)</f>
        <v>1</v>
      </c>
      <c r="N1330" s="63">
        <f>COUNT(N1329:N1329)</f>
        <v>1</v>
      </c>
      <c r="O1330" s="63">
        <f>COUNT(O1329:O1329)</f>
        <v>1</v>
      </c>
      <c r="P1330" s="63">
        <f>COUNT(P1329:P1329)</f>
        <v>1</v>
      </c>
      <c r="Q1330" s="63">
        <f>COUNT(Q1329:Q1329)</f>
        <v>1</v>
      </c>
      <c r="R1330" s="63">
        <f>COUNT(R1329:R1329)</f>
        <v>1</v>
      </c>
      <c r="S1330" s="63">
        <f>COUNT(S1329:S1329)</f>
        <v>1</v>
      </c>
      <c r="T1330" s="63"/>
      <c r="U1330" s="10"/>
      <c r="V1330" s="90"/>
      <c r="W1330" s="91"/>
      <c r="X1330" s="92"/>
    </row>
    <row r="1331" spans="1:24">
      <c r="B1331" s="87"/>
      <c r="C1331" s="36"/>
      <c r="D1331" s="10"/>
      <c r="E1331" s="10"/>
      <c r="F1331" s="88"/>
      <c r="G1331" s="88"/>
      <c r="H1331" s="88"/>
      <c r="I1331" s="99"/>
      <c r="J1331" s="63"/>
      <c r="K1331" s="21">
        <f>SUM(K1329:K1329)</f>
        <v>1</v>
      </c>
      <c r="L1331" s="21">
        <f>SUM(L1329:L1329)</f>
        <v>1</v>
      </c>
      <c r="M1331" s="21">
        <f>SUM(M1329:M1329)</f>
        <v>1</v>
      </c>
      <c r="N1331" s="21">
        <f>SUM(N1329:N1329)</f>
        <v>1</v>
      </c>
      <c r="O1331" s="21">
        <f>SUM(O1329:O1329)</f>
        <v>1</v>
      </c>
      <c r="P1331" s="21">
        <f>SUM(P1329:P1329)</f>
        <v>0</v>
      </c>
      <c r="Q1331" s="21">
        <f>SUM(Q1329:Q1329)</f>
        <v>1</v>
      </c>
      <c r="R1331" s="21">
        <f>SUM(R1329:R1329)</f>
        <v>1</v>
      </c>
      <c r="S1331" s="21">
        <f>SUM(S1329:S1329)</f>
        <v>1</v>
      </c>
      <c r="T1331" s="63"/>
      <c r="U1331" s="10"/>
      <c r="V1331" s="90"/>
      <c r="W1331" s="91"/>
      <c r="X1331" s="92"/>
    </row>
    <row r="1332" spans="1:24">
      <c r="B1332" s="11"/>
      <c r="C1332" s="609"/>
      <c r="D1332" s="10"/>
      <c r="E1332" s="10"/>
      <c r="F1332" s="88"/>
      <c r="G1332" s="88"/>
      <c r="H1332" s="88"/>
      <c r="I1332" s="99"/>
      <c r="J1332" s="63"/>
      <c r="K1332" s="21"/>
      <c r="L1332" s="21"/>
      <c r="M1332" s="21"/>
      <c r="N1332" s="21"/>
      <c r="O1332" s="21"/>
      <c r="P1332" s="21"/>
      <c r="Q1332" s="21"/>
      <c r="R1332" s="21"/>
      <c r="S1332" s="21"/>
      <c r="T1332" s="63"/>
      <c r="U1332" s="94"/>
      <c r="V1332" s="90"/>
      <c r="W1332" s="91"/>
      <c r="X1332" s="92"/>
    </row>
    <row r="1333" spans="1:24" s="342" customFormat="1">
      <c r="B1333" s="121" t="s">
        <v>68</v>
      </c>
      <c r="C1333" s="611"/>
      <c r="D1333" s="123"/>
      <c r="E1333" s="123"/>
      <c r="F1333" s="124"/>
      <c r="G1333" s="125"/>
      <c r="H1333" s="124"/>
      <c r="I1333" s="126"/>
      <c r="J1333" s="127"/>
      <c r="K1333" s="128"/>
      <c r="L1333" s="128"/>
      <c r="M1333" s="128"/>
      <c r="N1333" s="128"/>
      <c r="O1333" s="128"/>
      <c r="P1333" s="128"/>
      <c r="Q1333" s="128"/>
      <c r="R1333" s="128"/>
      <c r="S1333" s="128"/>
      <c r="T1333" s="127"/>
      <c r="U1333" s="123"/>
      <c r="V1333" s="129"/>
      <c r="W1333" s="130"/>
      <c r="X1333" s="131"/>
    </row>
    <row r="1334" spans="1:24" s="342" customFormat="1">
      <c r="A1334" s="128" t="s">
        <v>619</v>
      </c>
      <c r="B1334" s="333">
        <v>1</v>
      </c>
      <c r="C1334" s="350">
        <v>45939</v>
      </c>
      <c r="D1334" s="358">
        <v>74184</v>
      </c>
      <c r="E1334" s="351" t="s">
        <v>225</v>
      </c>
      <c r="F1334" s="352">
        <v>2614</v>
      </c>
      <c r="G1334" s="352">
        <f>39.7+(49.06+253.13)</f>
        <v>341.89</v>
      </c>
      <c r="H1334" s="352"/>
      <c r="I1334" s="353">
        <f>F1334-G1334-H1334</f>
        <v>2272.11</v>
      </c>
      <c r="J1334" s="354" t="s">
        <v>156</v>
      </c>
      <c r="K1334" s="354">
        <v>1</v>
      </c>
      <c r="L1334" s="354">
        <v>1</v>
      </c>
      <c r="M1334" s="354">
        <v>1</v>
      </c>
      <c r="N1334" s="354">
        <v>1</v>
      </c>
      <c r="O1334" s="354">
        <v>1</v>
      </c>
      <c r="P1334" s="314">
        <v>0</v>
      </c>
      <c r="Q1334" s="314">
        <v>0</v>
      </c>
      <c r="R1334" s="314">
        <v>0</v>
      </c>
      <c r="S1334" s="366">
        <v>0</v>
      </c>
      <c r="T1334" s="127"/>
      <c r="U1334" s="123" t="s">
        <v>2249</v>
      </c>
      <c r="V1334" s="129">
        <f>287</f>
        <v>287</v>
      </c>
      <c r="W1334" s="130"/>
      <c r="X1334" s="131"/>
    </row>
    <row r="1335" spans="1:24" s="342" customFormat="1">
      <c r="B1335" s="132"/>
      <c r="C1335" s="122"/>
      <c r="D1335" s="123"/>
      <c r="E1335" s="123"/>
      <c r="F1335" s="133">
        <f>SUM(F1334:F1334)</f>
        <v>2614</v>
      </c>
      <c r="G1335" s="133">
        <f>SUM(G1334:G1334)</f>
        <v>341.89</v>
      </c>
      <c r="H1335" s="133">
        <f>SUM(H1334:H1334)</f>
        <v>0</v>
      </c>
      <c r="I1335" s="134">
        <f>SUM(I1334:I1334)</f>
        <v>2272.11</v>
      </c>
      <c r="J1335" s="127"/>
      <c r="K1335" s="64"/>
      <c r="L1335" s="64"/>
      <c r="M1335" s="64"/>
      <c r="N1335" s="64"/>
      <c r="O1335" s="64"/>
      <c r="P1335" s="64"/>
      <c r="Q1335" s="64"/>
      <c r="R1335" s="64"/>
      <c r="S1335" s="64"/>
      <c r="T1335" s="127"/>
      <c r="U1335" s="123"/>
      <c r="V1335" s="129"/>
      <c r="W1335" s="130"/>
      <c r="X1335" s="131"/>
    </row>
    <row r="1336" spans="1:24" s="342" customFormat="1">
      <c r="B1336" s="132"/>
      <c r="C1336" s="122"/>
      <c r="D1336" s="123"/>
      <c r="E1336" s="123"/>
      <c r="F1336" s="124"/>
      <c r="G1336" s="124"/>
      <c r="H1336" s="124"/>
      <c r="I1336" s="126"/>
      <c r="J1336" s="127"/>
      <c r="K1336" s="64"/>
      <c r="L1336" s="64"/>
      <c r="M1336" s="64"/>
      <c r="N1336" s="64"/>
      <c r="O1336" s="64"/>
      <c r="P1336" s="64"/>
      <c r="Q1336" s="64"/>
      <c r="R1336" s="64"/>
      <c r="S1336" s="64"/>
      <c r="T1336" s="127"/>
      <c r="U1336" s="135"/>
      <c r="V1336" s="129"/>
      <c r="W1336" s="130"/>
      <c r="X1336" s="131"/>
    </row>
    <row r="1337" spans="1:24" s="342" customFormat="1">
      <c r="B1337" s="121" t="s">
        <v>70</v>
      </c>
      <c r="C1337" s="122"/>
      <c r="D1337" s="123"/>
      <c r="E1337" s="128"/>
      <c r="F1337" s="124"/>
      <c r="G1337" s="124"/>
      <c r="H1337" s="124"/>
      <c r="I1337" s="126"/>
      <c r="J1337" s="127"/>
      <c r="K1337" s="64"/>
      <c r="L1337" s="64"/>
      <c r="M1337" s="64"/>
      <c r="N1337" s="64"/>
      <c r="O1337" s="64"/>
      <c r="P1337" s="64"/>
      <c r="Q1337" s="64"/>
      <c r="R1337" s="64"/>
      <c r="S1337" s="64"/>
      <c r="T1337" s="127"/>
      <c r="U1337" s="135"/>
      <c r="V1337" s="129"/>
      <c r="W1337" s="130"/>
      <c r="X1337" s="131"/>
    </row>
    <row r="1338" spans="1:24" s="342" customFormat="1">
      <c r="A1338" s="492">
        <v>0.05</v>
      </c>
      <c r="B1338" s="333">
        <v>1</v>
      </c>
      <c r="C1338" s="334">
        <v>45940</v>
      </c>
      <c r="D1338" s="335" t="s">
        <v>2250</v>
      </c>
      <c r="E1338" s="335" t="s">
        <v>572</v>
      </c>
      <c r="F1338" s="336">
        <v>5814</v>
      </c>
      <c r="G1338" s="336">
        <f>39.7+(47.63)+(141.82+789.54)</f>
        <v>1018.6899999999999</v>
      </c>
      <c r="H1338" s="336"/>
      <c r="I1338" s="337">
        <f>F1338-G1338-H1338</f>
        <v>4795.3100000000004</v>
      </c>
      <c r="J1338" s="338" t="s">
        <v>228</v>
      </c>
      <c r="K1338" s="338">
        <v>1</v>
      </c>
      <c r="L1338" s="338"/>
      <c r="M1338" s="338">
        <v>1</v>
      </c>
      <c r="N1338" s="338">
        <v>1</v>
      </c>
      <c r="O1338" s="338">
        <v>1</v>
      </c>
      <c r="P1338" s="322">
        <v>0</v>
      </c>
      <c r="Q1338" s="338"/>
      <c r="R1338" s="338"/>
      <c r="S1338" s="339"/>
      <c r="T1338" s="127"/>
      <c r="U1338" s="135" t="s">
        <v>2251</v>
      </c>
      <c r="V1338" s="129">
        <f>639+5000</f>
        <v>5639</v>
      </c>
      <c r="W1338" s="340"/>
      <c r="X1338" s="341"/>
    </row>
    <row r="1339" spans="1:24" s="342" customFormat="1">
      <c r="A1339" s="356">
        <v>0.05</v>
      </c>
      <c r="B1339" s="333">
        <f t="shared" ref="B1339:B1340" si="94">B1338+1</f>
        <v>2</v>
      </c>
      <c r="C1339" s="345">
        <v>45940</v>
      </c>
      <c r="D1339" s="123">
        <v>74286</v>
      </c>
      <c r="E1339" s="123" t="s">
        <v>210</v>
      </c>
      <c r="F1339" s="125">
        <v>1861</v>
      </c>
      <c r="G1339" s="125">
        <f>39.7+550</f>
        <v>589.70000000000005</v>
      </c>
      <c r="H1339" s="125"/>
      <c r="I1339" s="347">
        <f>F1339-G1339-H1339</f>
        <v>1271.3</v>
      </c>
      <c r="J1339" s="127" t="s">
        <v>156</v>
      </c>
      <c r="K1339" s="127">
        <v>1</v>
      </c>
      <c r="L1339" s="127"/>
      <c r="M1339" s="127">
        <v>1</v>
      </c>
      <c r="N1339" s="127">
        <v>1</v>
      </c>
      <c r="O1339" s="127">
        <v>1</v>
      </c>
      <c r="P1339" s="325">
        <v>0</v>
      </c>
      <c r="Q1339" s="127"/>
      <c r="R1339" s="127"/>
      <c r="S1339" s="349"/>
      <c r="T1339" s="127"/>
      <c r="U1339" s="135" t="s">
        <v>2252</v>
      </c>
      <c r="V1339" s="129">
        <f>204.7</f>
        <v>204.7</v>
      </c>
      <c r="W1339" s="340"/>
      <c r="X1339" s="341"/>
    </row>
    <row r="1340" spans="1:24" s="342" customFormat="1">
      <c r="A1340" s="491">
        <v>0.05</v>
      </c>
      <c r="B1340" s="333">
        <f t="shared" si="94"/>
        <v>3</v>
      </c>
      <c r="C1340" s="395">
        <v>45940</v>
      </c>
      <c r="D1340" s="396">
        <v>74313</v>
      </c>
      <c r="E1340" s="396" t="s">
        <v>225</v>
      </c>
      <c r="F1340" s="397">
        <v>1861</v>
      </c>
      <c r="G1340" s="397">
        <f>39.7+550</f>
        <v>589.70000000000005</v>
      </c>
      <c r="H1340" s="397"/>
      <c r="I1340" s="398">
        <f>F1340-G1340-H1340</f>
        <v>1271.3</v>
      </c>
      <c r="J1340" s="399" t="s">
        <v>156</v>
      </c>
      <c r="K1340" s="399">
        <v>1</v>
      </c>
      <c r="L1340" s="399"/>
      <c r="M1340" s="399">
        <v>1</v>
      </c>
      <c r="N1340" s="399">
        <v>1</v>
      </c>
      <c r="O1340" s="399">
        <v>1</v>
      </c>
      <c r="P1340" s="332">
        <v>0</v>
      </c>
      <c r="Q1340" s="399"/>
      <c r="R1340" s="399"/>
      <c r="S1340" s="400"/>
      <c r="T1340" s="127"/>
      <c r="U1340" s="135" t="s">
        <v>2253</v>
      </c>
      <c r="V1340" s="129">
        <f>204</f>
        <v>204</v>
      </c>
      <c r="W1340" s="340"/>
      <c r="X1340" s="341"/>
    </row>
    <row r="1341" spans="1:24" s="342" customFormat="1">
      <c r="B1341" s="132"/>
      <c r="C1341" s="122"/>
      <c r="D1341" s="123"/>
      <c r="E1341" s="123"/>
      <c r="F1341" s="133">
        <f>SUM(F1338:F1340)</f>
        <v>9536</v>
      </c>
      <c r="G1341" s="133">
        <f>SUM(G1338:G1340)</f>
        <v>2198.09</v>
      </c>
      <c r="H1341" s="133">
        <f>SUM(H1338:H1340)</f>
        <v>0</v>
      </c>
      <c r="I1341" s="134">
        <f>SUM(I1338:I1340)</f>
        <v>7337.9100000000008</v>
      </c>
      <c r="J1341" s="127"/>
      <c r="K1341" s="64"/>
      <c r="L1341" s="64"/>
      <c r="M1341" s="64"/>
      <c r="N1341" s="64"/>
      <c r="O1341" s="64"/>
      <c r="P1341" s="64"/>
      <c r="Q1341" s="64"/>
      <c r="R1341" s="64"/>
      <c r="S1341" s="64"/>
      <c r="T1341" s="127"/>
      <c r="U1341" s="135"/>
      <c r="V1341" s="129"/>
      <c r="W1341" s="130"/>
      <c r="X1341" s="131"/>
    </row>
    <row r="1342" spans="1:24">
      <c r="B1342" s="11"/>
      <c r="C1342" s="36"/>
      <c r="D1342" s="10"/>
      <c r="E1342" s="10"/>
      <c r="F1342" s="88"/>
      <c r="G1342" s="88"/>
      <c r="H1342" s="88"/>
      <c r="I1342" s="99"/>
      <c r="J1342" s="63"/>
      <c r="K1342" s="21"/>
      <c r="L1342" s="21"/>
      <c r="M1342" s="21"/>
      <c r="N1342" s="21"/>
      <c r="O1342" s="21"/>
      <c r="P1342" s="21"/>
      <c r="Q1342" s="21"/>
      <c r="R1342" s="21"/>
      <c r="S1342" s="21"/>
      <c r="T1342" s="63"/>
      <c r="U1342" s="94"/>
      <c r="V1342" s="90"/>
      <c r="W1342" s="91"/>
      <c r="X1342" s="92"/>
    </row>
    <row r="1343" spans="1:24" s="260" customFormat="1">
      <c r="A1343" s="181"/>
      <c r="B1343" s="100" t="s">
        <v>152</v>
      </c>
      <c r="C1343" s="36"/>
      <c r="D1343" s="10"/>
      <c r="E1343" s="10"/>
      <c r="F1343" s="88"/>
      <c r="G1343" s="62"/>
      <c r="H1343" s="88"/>
      <c r="I1343" s="99"/>
      <c r="J1343" s="63"/>
      <c r="K1343" s="181"/>
      <c r="L1343" s="181"/>
      <c r="M1343" s="181"/>
      <c r="N1343" s="181"/>
      <c r="O1343" s="181"/>
      <c r="P1343" s="181"/>
      <c r="Q1343" s="181"/>
      <c r="R1343" s="181"/>
      <c r="S1343" s="181"/>
      <c r="T1343" s="63"/>
      <c r="U1343" s="10"/>
      <c r="V1343" s="90"/>
      <c r="W1343" s="91"/>
      <c r="X1343" s="92"/>
    </row>
    <row r="1344" spans="1:24" s="260" customFormat="1">
      <c r="A1344" s="494">
        <v>0.05</v>
      </c>
      <c r="B1344" s="87">
        <v>1</v>
      </c>
      <c r="C1344" s="262">
        <v>45849</v>
      </c>
      <c r="D1344" s="271">
        <v>71382</v>
      </c>
      <c r="E1344" s="271" t="s">
        <v>999</v>
      </c>
      <c r="F1344" s="265">
        <v>1861</v>
      </c>
      <c r="G1344" s="265">
        <f>39.7+544.5</f>
        <v>584.20000000000005</v>
      </c>
      <c r="H1344" s="265"/>
      <c r="I1344" s="266">
        <f>F1344-G1344-H1344</f>
        <v>1276.8</v>
      </c>
      <c r="J1344" s="267" t="s">
        <v>374</v>
      </c>
      <c r="K1344" s="267">
        <v>1</v>
      </c>
      <c r="L1344" s="267"/>
      <c r="M1344" s="267">
        <v>1</v>
      </c>
      <c r="N1344" s="267">
        <v>1</v>
      </c>
      <c r="O1344" s="267">
        <v>1</v>
      </c>
      <c r="P1344" s="314">
        <v>0</v>
      </c>
      <c r="Q1344" s="314">
        <v>0</v>
      </c>
      <c r="R1344" s="314">
        <v>0</v>
      </c>
      <c r="S1344" s="366">
        <v>0</v>
      </c>
      <c r="T1344" s="63"/>
      <c r="U1344" s="94" t="s">
        <v>2072</v>
      </c>
      <c r="V1344" s="90"/>
      <c r="W1344" s="136"/>
      <c r="X1344" s="137"/>
    </row>
    <row r="1345" spans="1:25" s="260" customFormat="1">
      <c r="A1345" s="261">
        <v>0.05</v>
      </c>
      <c r="B1345" s="87">
        <f>B1344+1</f>
        <v>2</v>
      </c>
      <c r="C1345" s="282">
        <v>45861</v>
      </c>
      <c r="D1345" s="302" t="s">
        <v>1997</v>
      </c>
      <c r="E1345" s="283" t="s">
        <v>270</v>
      </c>
      <c r="F1345" s="423">
        <v>5133</v>
      </c>
      <c r="G1345" s="284">
        <f>39.7+(1071.49)+250</f>
        <v>1361.19</v>
      </c>
      <c r="H1345" s="284"/>
      <c r="I1345" s="300">
        <f>F1345-G1345-H1345</f>
        <v>3771.81</v>
      </c>
      <c r="J1345" s="286" t="s">
        <v>156</v>
      </c>
      <c r="K1345" s="286">
        <v>1</v>
      </c>
      <c r="L1345" s="286">
        <v>1</v>
      </c>
      <c r="M1345" s="286">
        <v>1</v>
      </c>
      <c r="N1345" s="286">
        <v>1</v>
      </c>
      <c r="O1345" s="286">
        <v>1</v>
      </c>
      <c r="P1345" s="332">
        <v>0</v>
      </c>
      <c r="Q1345" s="332">
        <v>0</v>
      </c>
      <c r="R1345" s="332">
        <v>0</v>
      </c>
      <c r="S1345" s="370">
        <v>0</v>
      </c>
      <c r="T1345" s="63"/>
      <c r="U1345" s="10" t="s">
        <v>2222</v>
      </c>
      <c r="V1345" s="90"/>
      <c r="W1345" s="91"/>
      <c r="X1345" s="92"/>
    </row>
    <row r="1346" spans="1:25" s="260" customFormat="1">
      <c r="A1346" s="494" t="s">
        <v>1183</v>
      </c>
      <c r="B1346" s="87">
        <f>B1345+1</f>
        <v>3</v>
      </c>
      <c r="C1346" s="262">
        <v>45867</v>
      </c>
      <c r="D1346" s="273" t="s">
        <v>2029</v>
      </c>
      <c r="E1346" s="264" t="s">
        <v>158</v>
      </c>
      <c r="F1346" s="265">
        <v>4461</v>
      </c>
      <c r="G1346" s="265">
        <f>39.7+300</f>
        <v>339.7</v>
      </c>
      <c r="H1346" s="265"/>
      <c r="I1346" s="266">
        <f>F1346-G1346-H1346</f>
        <v>4121.3</v>
      </c>
      <c r="J1346" s="267"/>
      <c r="K1346" s="267">
        <v>1</v>
      </c>
      <c r="L1346" s="267">
        <v>1</v>
      </c>
      <c r="M1346" s="267"/>
      <c r="N1346" s="267">
        <v>1</v>
      </c>
      <c r="O1346" s="267">
        <v>1</v>
      </c>
      <c r="P1346" s="314">
        <v>0</v>
      </c>
      <c r="Q1346" s="314">
        <v>0</v>
      </c>
      <c r="R1346" s="314">
        <v>0</v>
      </c>
      <c r="S1346" s="366">
        <v>0</v>
      </c>
      <c r="T1346" s="63"/>
      <c r="U1346" s="10" t="s">
        <v>2030</v>
      </c>
      <c r="V1346" s="90"/>
      <c r="W1346" s="91"/>
      <c r="X1346" s="92"/>
    </row>
    <row r="1347" spans="1:25" s="342" customFormat="1">
      <c r="A1347" s="494">
        <v>0.05</v>
      </c>
      <c r="B1347" s="87">
        <f>B1346+1</f>
        <v>4</v>
      </c>
      <c r="C1347" s="262">
        <v>45876</v>
      </c>
      <c r="D1347" s="273">
        <v>72143</v>
      </c>
      <c r="E1347" s="264" t="s">
        <v>168</v>
      </c>
      <c r="F1347" s="265">
        <v>1461</v>
      </c>
      <c r="G1347" s="265">
        <v>39.700000000000003</v>
      </c>
      <c r="H1347" s="265"/>
      <c r="I1347" s="266">
        <f>F1347-G1347-H1347</f>
        <v>1421.3</v>
      </c>
      <c r="J1347" s="267" t="s">
        <v>228</v>
      </c>
      <c r="K1347" s="267">
        <v>1</v>
      </c>
      <c r="L1347" s="267">
        <v>1</v>
      </c>
      <c r="M1347" s="267">
        <v>1</v>
      </c>
      <c r="N1347" s="267">
        <v>1</v>
      </c>
      <c r="O1347" s="267">
        <v>1</v>
      </c>
      <c r="P1347" s="314">
        <v>0</v>
      </c>
      <c r="Q1347" s="267">
        <v>1</v>
      </c>
      <c r="R1347" s="267">
        <v>1</v>
      </c>
      <c r="S1347" s="366">
        <v>0</v>
      </c>
      <c r="T1347" s="63"/>
      <c r="U1347" s="10"/>
      <c r="V1347" s="90"/>
      <c r="W1347" s="91"/>
      <c r="X1347" s="92"/>
      <c r="Y1347" s="260"/>
    </row>
    <row r="1348" spans="1:25" s="260" customFormat="1">
      <c r="A1348" s="181" t="s">
        <v>1183</v>
      </c>
      <c r="B1348" s="87">
        <f>B1347+1</f>
        <v>5</v>
      </c>
      <c r="C1348" s="262">
        <v>45881</v>
      </c>
      <c r="D1348" s="273" t="s">
        <v>2070</v>
      </c>
      <c r="E1348" s="271" t="s">
        <v>572</v>
      </c>
      <c r="F1348" s="265">
        <f>8614-947.54</f>
        <v>7666.46</v>
      </c>
      <c r="G1348" s="265">
        <f>39.7+501.6+(1852.97+46.62)+250</f>
        <v>2690.89</v>
      </c>
      <c r="H1348" s="265"/>
      <c r="I1348" s="266">
        <f>F1348-G1348-H1348</f>
        <v>4975.57</v>
      </c>
      <c r="J1348" s="267" t="s">
        <v>156</v>
      </c>
      <c r="K1348" s="267">
        <v>1</v>
      </c>
      <c r="L1348" s="314">
        <v>0</v>
      </c>
      <c r="M1348" s="267">
        <v>1</v>
      </c>
      <c r="N1348" s="267">
        <v>1</v>
      </c>
      <c r="O1348" s="267">
        <v>1</v>
      </c>
      <c r="P1348" s="267">
        <v>1</v>
      </c>
      <c r="Q1348" s="267">
        <v>1</v>
      </c>
      <c r="R1348" s="267">
        <v>1</v>
      </c>
      <c r="S1348" s="269">
        <v>1</v>
      </c>
      <c r="T1348" s="63"/>
      <c r="U1348" s="94" t="s">
        <v>2191</v>
      </c>
      <c r="V1348" s="90"/>
      <c r="W1348" s="91"/>
      <c r="X1348" s="92"/>
    </row>
    <row r="1349" spans="1:25">
      <c r="A1349" s="260" t="s">
        <v>1183</v>
      </c>
      <c r="B1349" s="87">
        <f>B1348+1</f>
        <v>6</v>
      </c>
      <c r="C1349" s="262">
        <v>45902</v>
      </c>
      <c r="D1349" s="271">
        <v>72891</v>
      </c>
      <c r="E1349" s="271" t="s">
        <v>162</v>
      </c>
      <c r="F1349" s="265">
        <v>3433</v>
      </c>
      <c r="G1349" s="265">
        <v>39.700000000000003</v>
      </c>
      <c r="H1349" s="265"/>
      <c r="I1349" s="266">
        <f>F1349-G1349-H1349</f>
        <v>3393.3</v>
      </c>
      <c r="J1349" s="267" t="s">
        <v>156</v>
      </c>
      <c r="K1349" s="267">
        <v>1</v>
      </c>
      <c r="L1349" s="267">
        <v>1</v>
      </c>
      <c r="M1349" s="267">
        <v>1</v>
      </c>
      <c r="N1349" s="267">
        <v>1</v>
      </c>
      <c r="O1349" s="267">
        <v>1</v>
      </c>
      <c r="P1349" s="314">
        <v>0</v>
      </c>
      <c r="Q1349" s="267">
        <v>1</v>
      </c>
      <c r="R1349" s="267">
        <v>1</v>
      </c>
      <c r="S1349" s="269">
        <v>1</v>
      </c>
      <c r="T1349" s="21"/>
      <c r="U1349" s="94" t="s">
        <v>2192</v>
      </c>
      <c r="V1349" s="90"/>
      <c r="W1349" s="91"/>
      <c r="X1349" s="92"/>
      <c r="Y1349" s="260"/>
    </row>
    <row r="1350" spans="1:25" s="260" customFormat="1">
      <c r="A1350" s="260" t="s">
        <v>1183</v>
      </c>
      <c r="B1350" s="87">
        <f>B1349+1</f>
        <v>7</v>
      </c>
      <c r="C1350" s="262">
        <v>45903</v>
      </c>
      <c r="D1350" s="271" t="s">
        <v>2130</v>
      </c>
      <c r="E1350" s="271" t="s">
        <v>979</v>
      </c>
      <c r="F1350" s="265">
        <v>5533</v>
      </c>
      <c r="G1350" s="265">
        <f>39.7+(1471.41-16.4-3.76-8.58-2.51)</f>
        <v>1479.8600000000001</v>
      </c>
      <c r="H1350" s="265">
        <f>271.51</f>
        <v>271.51</v>
      </c>
      <c r="I1350" s="266">
        <f>F1350-G1350-H1350</f>
        <v>3781.63</v>
      </c>
      <c r="J1350" s="267" t="s">
        <v>313</v>
      </c>
      <c r="K1350" s="267">
        <v>1</v>
      </c>
      <c r="L1350" s="267">
        <v>1</v>
      </c>
      <c r="M1350" s="267">
        <v>1</v>
      </c>
      <c r="N1350" s="267">
        <v>1</v>
      </c>
      <c r="O1350" s="267">
        <v>1</v>
      </c>
      <c r="P1350" s="314">
        <v>0</v>
      </c>
      <c r="Q1350" s="267">
        <v>1</v>
      </c>
      <c r="R1350" s="267">
        <v>1</v>
      </c>
      <c r="S1350" s="269">
        <v>1</v>
      </c>
      <c r="T1350" s="21"/>
      <c r="U1350" s="94" t="s">
        <v>2240</v>
      </c>
      <c r="V1350" s="90"/>
      <c r="W1350" s="91"/>
      <c r="X1350" s="92"/>
    </row>
    <row r="1351" spans="1:25">
      <c r="A1351" s="494">
        <v>0.05</v>
      </c>
      <c r="B1351" s="87">
        <f>B1350+1</f>
        <v>8</v>
      </c>
      <c r="C1351" s="262">
        <v>45911</v>
      </c>
      <c r="D1351" s="271">
        <v>72853</v>
      </c>
      <c r="E1351" s="271" t="s">
        <v>786</v>
      </c>
      <c r="F1351" s="265">
        <v>523</v>
      </c>
      <c r="G1351" s="265"/>
      <c r="H1351" s="265"/>
      <c r="I1351" s="266">
        <f>F1351-G1351-H1351</f>
        <v>523</v>
      </c>
      <c r="J1351" s="267" t="s">
        <v>150</v>
      </c>
      <c r="K1351" s="267">
        <v>1</v>
      </c>
      <c r="L1351" s="267">
        <v>1</v>
      </c>
      <c r="M1351" s="267">
        <v>1</v>
      </c>
      <c r="N1351" s="267">
        <v>1</v>
      </c>
      <c r="O1351" s="267">
        <v>1</v>
      </c>
      <c r="P1351" s="314">
        <v>0</v>
      </c>
      <c r="Q1351" s="267">
        <v>1</v>
      </c>
      <c r="R1351" s="267">
        <v>1</v>
      </c>
      <c r="S1351" s="269">
        <v>1</v>
      </c>
      <c r="T1351" s="63"/>
      <c r="U1351" s="94" t="s">
        <v>2166</v>
      </c>
      <c r="V1351" s="90"/>
      <c r="W1351" s="91"/>
      <c r="X1351" s="137"/>
      <c r="Y1351" s="181"/>
    </row>
    <row r="1352" spans="1:25" s="260" customFormat="1">
      <c r="A1352" s="260" t="s">
        <v>2216</v>
      </c>
      <c r="B1352" s="87">
        <f t="shared" ref="B1352:B1358" si="95">B1351+1</f>
        <v>9</v>
      </c>
      <c r="C1352" s="274">
        <v>45922</v>
      </c>
      <c r="D1352" s="276" t="s">
        <v>2217</v>
      </c>
      <c r="E1352" s="404" t="s">
        <v>155</v>
      </c>
      <c r="F1352" s="277">
        <v>5174.5</v>
      </c>
      <c r="G1352" s="277">
        <f>39.7+(8.54)+(1349.28+169.28)+250</f>
        <v>1816.8</v>
      </c>
      <c r="H1352" s="277"/>
      <c r="I1352" s="321">
        <f>F1352-G1352-H1352</f>
        <v>3357.7</v>
      </c>
      <c r="J1352" s="279" t="s">
        <v>156</v>
      </c>
      <c r="K1352" s="279">
        <v>1</v>
      </c>
      <c r="L1352" s="279">
        <v>1</v>
      </c>
      <c r="M1352" s="279">
        <v>1</v>
      </c>
      <c r="N1352" s="279">
        <v>1</v>
      </c>
      <c r="O1352" s="279">
        <v>1</v>
      </c>
      <c r="P1352" s="322">
        <v>0</v>
      </c>
      <c r="Q1352" s="322">
        <v>0</v>
      </c>
      <c r="R1352" s="322">
        <v>0</v>
      </c>
      <c r="S1352" s="328">
        <v>0</v>
      </c>
      <c r="T1352" s="63"/>
      <c r="U1352" s="94" t="s">
        <v>2218</v>
      </c>
      <c r="V1352" s="90"/>
      <c r="W1352" s="91"/>
      <c r="X1352" s="92"/>
    </row>
    <row r="1353" spans="1:25" s="260" customFormat="1">
      <c r="A1353" s="260" t="s">
        <v>2219</v>
      </c>
      <c r="B1353" s="87">
        <f t="shared" si="95"/>
        <v>10</v>
      </c>
      <c r="C1353" s="262">
        <v>45924</v>
      </c>
      <c r="D1353" s="271">
        <v>73596</v>
      </c>
      <c r="E1353" s="264" t="s">
        <v>296</v>
      </c>
      <c r="F1353" s="265">
        <v>2391.9</v>
      </c>
      <c r="G1353" s="265">
        <f>39.7+(206.34+82.06)+200</f>
        <v>528.09999999999991</v>
      </c>
      <c r="H1353" s="265"/>
      <c r="I1353" s="266">
        <f>F1353-G1353-H1353</f>
        <v>1863.8000000000002</v>
      </c>
      <c r="J1353" s="267" t="s">
        <v>228</v>
      </c>
      <c r="K1353" s="267">
        <v>1</v>
      </c>
      <c r="L1353" s="267">
        <v>1</v>
      </c>
      <c r="M1353" s="267">
        <v>1</v>
      </c>
      <c r="N1353" s="267">
        <v>1</v>
      </c>
      <c r="O1353" s="267">
        <v>1</v>
      </c>
      <c r="P1353" s="314">
        <v>0</v>
      </c>
      <c r="Q1353" s="267">
        <v>1</v>
      </c>
      <c r="R1353" s="267">
        <v>1</v>
      </c>
      <c r="S1353" s="269">
        <v>1</v>
      </c>
      <c r="T1353" s="63"/>
      <c r="U1353" s="10" t="s">
        <v>2220</v>
      </c>
      <c r="V1353" s="90"/>
      <c r="W1353" s="91"/>
      <c r="X1353" s="92"/>
    </row>
    <row r="1354" spans="1:25" s="260" customFormat="1">
      <c r="A1354" s="494">
        <v>0.05</v>
      </c>
      <c r="B1354" s="87">
        <f t="shared" si="95"/>
        <v>11</v>
      </c>
      <c r="C1354" s="274">
        <v>45930</v>
      </c>
      <c r="D1354" s="275" t="s">
        <v>2233</v>
      </c>
      <c r="E1354" s="276" t="s">
        <v>349</v>
      </c>
      <c r="F1354" s="277">
        <v>2431.85</v>
      </c>
      <c r="G1354" s="277">
        <f>39.7+(1*100)</f>
        <v>139.69999999999999</v>
      </c>
      <c r="H1354" s="297"/>
      <c r="I1354" s="321">
        <f>F1354-G1354-H1354</f>
        <v>2292.15</v>
      </c>
      <c r="J1354" s="279" t="s">
        <v>156</v>
      </c>
      <c r="K1354" s="279">
        <v>1</v>
      </c>
      <c r="L1354" s="279">
        <v>0</v>
      </c>
      <c r="M1354" s="279">
        <v>1</v>
      </c>
      <c r="N1354" s="279">
        <v>1</v>
      </c>
      <c r="O1354" s="279">
        <v>1</v>
      </c>
      <c r="P1354" s="322">
        <v>0</v>
      </c>
      <c r="Q1354" s="279">
        <v>1</v>
      </c>
      <c r="R1354" s="279">
        <v>1</v>
      </c>
      <c r="S1354" s="280">
        <v>1</v>
      </c>
      <c r="T1354" s="63"/>
      <c r="U1354" s="94"/>
      <c r="V1354" s="90"/>
      <c r="W1354" s="91"/>
      <c r="X1354" s="92"/>
    </row>
    <row r="1355" spans="1:25" s="260" customFormat="1">
      <c r="A1355" s="494">
        <v>0.05</v>
      </c>
      <c r="B1355" s="87">
        <f t="shared" si="95"/>
        <v>12</v>
      </c>
      <c r="C1355" s="274">
        <v>45931</v>
      </c>
      <c r="D1355" s="275">
        <v>73858</v>
      </c>
      <c r="E1355" s="276" t="s">
        <v>572</v>
      </c>
      <c r="F1355" s="277">
        <v>1025</v>
      </c>
      <c r="G1355" s="277">
        <f>39.7</f>
        <v>39.700000000000003</v>
      </c>
      <c r="H1355" s="277"/>
      <c r="I1355" s="321">
        <f>F1355-G1355-H1355</f>
        <v>985.3</v>
      </c>
      <c r="J1355" s="279" t="s">
        <v>817</v>
      </c>
      <c r="K1355" s="279">
        <v>1</v>
      </c>
      <c r="L1355" s="279">
        <v>1</v>
      </c>
      <c r="M1355" s="279">
        <v>1</v>
      </c>
      <c r="N1355" s="279">
        <v>1</v>
      </c>
      <c r="O1355" s="279">
        <v>1</v>
      </c>
      <c r="P1355" s="322">
        <v>0</v>
      </c>
      <c r="Q1355" s="322">
        <v>0</v>
      </c>
      <c r="R1355" s="322">
        <v>0</v>
      </c>
      <c r="S1355" s="328">
        <v>0</v>
      </c>
      <c r="T1355" s="63"/>
      <c r="U1355" s="10" t="s">
        <v>2234</v>
      </c>
      <c r="V1355" s="90"/>
      <c r="W1355" s="91"/>
      <c r="X1355" s="92"/>
    </row>
    <row r="1356" spans="1:25" s="260" customFormat="1">
      <c r="A1356" s="494">
        <v>0.05</v>
      </c>
      <c r="B1356" s="87">
        <f t="shared" si="95"/>
        <v>13</v>
      </c>
      <c r="C1356" s="274">
        <v>45932</v>
      </c>
      <c r="D1356" s="276">
        <v>73254</v>
      </c>
      <c r="E1356" s="281" t="s">
        <v>1215</v>
      </c>
      <c r="F1356" s="277">
        <f>2899-85</f>
        <v>2814</v>
      </c>
      <c r="G1356" s="277">
        <f>39.7+(307.1+324.82-290.91)</f>
        <v>380.71000000000004</v>
      </c>
      <c r="H1356" s="277"/>
      <c r="I1356" s="321">
        <f>F1356-G1356-H1356</f>
        <v>2433.29</v>
      </c>
      <c r="J1356" s="279" t="s">
        <v>374</v>
      </c>
      <c r="K1356" s="279">
        <v>1</v>
      </c>
      <c r="L1356" s="279">
        <v>1</v>
      </c>
      <c r="M1356" s="279">
        <v>1</v>
      </c>
      <c r="N1356" s="279">
        <v>1</v>
      </c>
      <c r="O1356" s="279">
        <v>1</v>
      </c>
      <c r="P1356" s="279">
        <v>1</v>
      </c>
      <c r="Q1356" s="279">
        <v>1</v>
      </c>
      <c r="R1356" s="322">
        <v>0</v>
      </c>
      <c r="S1356" s="328">
        <v>0</v>
      </c>
      <c r="T1356" s="63"/>
      <c r="U1356" s="10" t="s">
        <v>2235</v>
      </c>
      <c r="V1356" s="90"/>
      <c r="W1356" s="91"/>
      <c r="X1356" s="92"/>
      <c r="Y1356" s="181"/>
    </row>
    <row r="1357" spans="1:25" s="260" customFormat="1">
      <c r="A1357" s="494">
        <v>0.05</v>
      </c>
      <c r="B1357" s="87">
        <f t="shared" si="95"/>
        <v>14</v>
      </c>
      <c r="C1357" s="282">
        <v>45932</v>
      </c>
      <c r="D1357" s="302">
        <v>73883</v>
      </c>
      <c r="E1357" s="319" t="s">
        <v>786</v>
      </c>
      <c r="F1357" s="284">
        <v>2353</v>
      </c>
      <c r="G1357" s="284">
        <f>39.7+(210.03)+200</f>
        <v>449.73</v>
      </c>
      <c r="H1357" s="284"/>
      <c r="I1357" s="300">
        <f>F1357-G1357-H1357</f>
        <v>1903.27</v>
      </c>
      <c r="J1357" s="286" t="s">
        <v>374</v>
      </c>
      <c r="K1357" s="286">
        <v>1</v>
      </c>
      <c r="L1357" s="286">
        <v>1</v>
      </c>
      <c r="M1357" s="286">
        <v>1</v>
      </c>
      <c r="N1357" s="286">
        <v>1</v>
      </c>
      <c r="O1357" s="286">
        <v>1</v>
      </c>
      <c r="P1357" s="332">
        <v>0</v>
      </c>
      <c r="Q1357" s="286">
        <v>1</v>
      </c>
      <c r="R1357" s="286">
        <v>1</v>
      </c>
      <c r="S1357" s="370">
        <v>0</v>
      </c>
      <c r="T1357" s="63"/>
      <c r="U1357" s="10" t="s">
        <v>2236</v>
      </c>
      <c r="V1357" s="90"/>
      <c r="W1357" s="91"/>
      <c r="X1357" s="92"/>
    </row>
    <row r="1358" spans="1:25" s="260" customFormat="1">
      <c r="A1358" s="494" t="s">
        <v>2237</v>
      </c>
      <c r="B1358" s="87">
        <f t="shared" si="95"/>
        <v>15</v>
      </c>
      <c r="C1358" s="262">
        <v>45933</v>
      </c>
      <c r="D1358" s="271" t="s">
        <v>2238</v>
      </c>
      <c r="E1358" s="271" t="s">
        <v>2132</v>
      </c>
      <c r="F1358" s="265">
        <v>16814</v>
      </c>
      <c r="G1358" s="265">
        <f>39.7+(228.4)+(119.12+612.84+132.75+179.85+59.99)+1500</f>
        <v>2872.65</v>
      </c>
      <c r="H1358" s="265"/>
      <c r="I1358" s="266">
        <f>F1358-G1358-H1358</f>
        <v>13941.35</v>
      </c>
      <c r="J1358" s="267" t="s">
        <v>156</v>
      </c>
      <c r="K1358" s="267">
        <v>1</v>
      </c>
      <c r="L1358" s="267">
        <v>1</v>
      </c>
      <c r="M1358" s="267">
        <v>1</v>
      </c>
      <c r="N1358" s="267">
        <v>1</v>
      </c>
      <c r="O1358" s="267">
        <v>1</v>
      </c>
      <c r="P1358" s="314">
        <v>0</v>
      </c>
      <c r="Q1358" s="267">
        <v>1</v>
      </c>
      <c r="R1358" s="267">
        <v>1</v>
      </c>
      <c r="S1358" s="269">
        <v>1</v>
      </c>
      <c r="T1358" s="63"/>
      <c r="U1358" s="94" t="s">
        <v>2239</v>
      </c>
      <c r="V1358" s="90"/>
      <c r="W1358" s="136"/>
      <c r="X1358" s="137"/>
    </row>
    <row r="1359" spans="1:25" s="260" customFormat="1">
      <c r="A1359" s="181"/>
      <c r="B1359" s="11"/>
      <c r="C1359" s="36"/>
      <c r="D1359" s="10"/>
      <c r="E1359" s="10"/>
      <c r="F1359" s="98">
        <f>SUM(F1344:F1358)</f>
        <v>63075.71</v>
      </c>
      <c r="G1359" s="98">
        <f>SUM(G1344:G1358)</f>
        <v>12762.63</v>
      </c>
      <c r="H1359" s="98">
        <f>SUM(H1344:H1358)</f>
        <v>271.51</v>
      </c>
      <c r="I1359" s="98">
        <f>SUM(I1344:I1358)</f>
        <v>50041.569999999992</v>
      </c>
      <c r="J1359" s="63"/>
      <c r="K1359" s="21"/>
      <c r="L1359" s="21"/>
      <c r="M1359" s="21"/>
      <c r="N1359" s="21"/>
      <c r="O1359" s="21"/>
      <c r="P1359" s="21"/>
      <c r="Q1359" s="21"/>
      <c r="R1359" s="21"/>
      <c r="S1359" s="21"/>
      <c r="T1359" s="63"/>
      <c r="U1359" s="10"/>
      <c r="V1359" s="90"/>
      <c r="W1359" s="91"/>
      <c r="X1359" s="92"/>
    </row>
    <row r="1360" spans="1:25" s="260" customFormat="1">
      <c r="A1360" s="181"/>
      <c r="B1360" s="11"/>
      <c r="C1360" s="36"/>
      <c r="D1360" s="10"/>
      <c r="E1360" s="10"/>
      <c r="F1360" s="88"/>
      <c r="G1360" s="88"/>
      <c r="H1360" s="88"/>
      <c r="I1360" s="99"/>
      <c r="J1360" s="63"/>
      <c r="K1360" s="21"/>
      <c r="L1360" s="21"/>
      <c r="M1360" s="21"/>
      <c r="N1360" s="21"/>
      <c r="O1360" s="21"/>
      <c r="P1360" s="21"/>
      <c r="Q1360" s="21"/>
      <c r="R1360" s="21"/>
      <c r="S1360" s="21"/>
      <c r="T1360" s="63"/>
      <c r="U1360" s="10"/>
      <c r="V1360" s="90"/>
      <c r="W1360" s="91"/>
      <c r="X1360" s="92"/>
    </row>
    <row r="1361" spans="1:25" s="260" customFormat="1">
      <c r="B1361" s="100" t="s">
        <v>202</v>
      </c>
      <c r="C1361" s="36"/>
      <c r="D1361" s="10"/>
      <c r="E1361" s="181"/>
      <c r="F1361" s="88"/>
      <c r="G1361" s="88"/>
      <c r="H1361" s="88"/>
      <c r="I1361" s="99"/>
      <c r="J1361" s="63"/>
      <c r="K1361" s="21"/>
      <c r="L1361" s="21"/>
      <c r="M1361" s="21"/>
      <c r="N1361" s="21"/>
      <c r="O1361" s="21"/>
      <c r="P1361" s="21"/>
      <c r="Q1361" s="21"/>
      <c r="R1361" s="21"/>
      <c r="S1361" s="21"/>
      <c r="T1361" s="63"/>
      <c r="U1361" s="10"/>
      <c r="V1361" s="90"/>
      <c r="W1361" s="91"/>
      <c r="X1361" s="92"/>
    </row>
    <row r="1362" spans="1:25" s="260" customFormat="1">
      <c r="A1362" s="494">
        <v>0.05</v>
      </c>
      <c r="B1362" s="87">
        <v>1</v>
      </c>
      <c r="C1362" s="262">
        <v>45848</v>
      </c>
      <c r="D1362" s="271">
        <v>71381</v>
      </c>
      <c r="E1362" s="271" t="s">
        <v>1530</v>
      </c>
      <c r="F1362" s="265">
        <f>1223-85</f>
        <v>1138</v>
      </c>
      <c r="G1362" s="265">
        <f>39.7</f>
        <v>39.700000000000003</v>
      </c>
      <c r="H1362" s="265"/>
      <c r="I1362" s="266">
        <f>F1362-G1362-H1362</f>
        <v>1098.3</v>
      </c>
      <c r="J1362" s="267" t="s">
        <v>156</v>
      </c>
      <c r="K1362" s="267">
        <v>1</v>
      </c>
      <c r="L1362" s="267"/>
      <c r="M1362" s="267">
        <v>1</v>
      </c>
      <c r="N1362" s="267">
        <v>1</v>
      </c>
      <c r="O1362" s="267">
        <v>1</v>
      </c>
      <c r="P1362" s="314">
        <v>0</v>
      </c>
      <c r="Q1362" s="267"/>
      <c r="R1362" s="267"/>
      <c r="S1362" s="269"/>
      <c r="T1362" s="63"/>
      <c r="U1362" s="94"/>
      <c r="V1362" s="90"/>
      <c r="W1362" s="136"/>
      <c r="X1362" s="137"/>
    </row>
    <row r="1363" spans="1:25" s="260" customFormat="1">
      <c r="A1363" s="494">
        <v>0.05</v>
      </c>
      <c r="B1363" s="87">
        <f>B1362+1</f>
        <v>2</v>
      </c>
      <c r="C1363" s="274">
        <v>45902</v>
      </c>
      <c r="D1363" s="276">
        <v>72830</v>
      </c>
      <c r="E1363" s="276" t="s">
        <v>196</v>
      </c>
      <c r="F1363" s="277">
        <f>3447-85</f>
        <v>3362</v>
      </c>
      <c r="G1363" s="277">
        <f>39.7+(20.1)</f>
        <v>59.800000000000004</v>
      </c>
      <c r="H1363" s="277"/>
      <c r="I1363" s="321">
        <f>F1363-G1363-H1363</f>
        <v>3302.2</v>
      </c>
      <c r="J1363" s="279" t="s">
        <v>374</v>
      </c>
      <c r="K1363" s="279">
        <v>1</v>
      </c>
      <c r="L1363" s="279"/>
      <c r="M1363" s="279">
        <v>1</v>
      </c>
      <c r="N1363" s="279">
        <v>1</v>
      </c>
      <c r="O1363" s="322">
        <v>0</v>
      </c>
      <c r="P1363" s="322">
        <v>0</v>
      </c>
      <c r="Q1363" s="279"/>
      <c r="R1363" s="279"/>
      <c r="S1363" s="280"/>
      <c r="T1363" s="63"/>
      <c r="U1363" s="94"/>
      <c r="V1363" s="90"/>
      <c r="W1363" s="136"/>
      <c r="X1363" s="137"/>
    </row>
    <row r="1364" spans="1:25" s="260" customFormat="1">
      <c r="A1364" s="494">
        <v>0.05</v>
      </c>
      <c r="B1364" s="87">
        <f>B1363+1</f>
        <v>3</v>
      </c>
      <c r="C1364" s="262">
        <v>45904</v>
      </c>
      <c r="D1364" s="271">
        <v>72887</v>
      </c>
      <c r="E1364" s="271" t="s">
        <v>2132</v>
      </c>
      <c r="F1364" s="265">
        <v>12814</v>
      </c>
      <c r="G1364" s="265">
        <f>39.7+1000</f>
        <v>1039.7</v>
      </c>
      <c r="H1364" s="265"/>
      <c r="I1364" s="266">
        <f>F1364-G1364-H1364</f>
        <v>11774.3</v>
      </c>
      <c r="J1364" s="267"/>
      <c r="K1364" s="267">
        <v>1</v>
      </c>
      <c r="L1364" s="267"/>
      <c r="M1364" s="267"/>
      <c r="N1364" s="267">
        <v>1</v>
      </c>
      <c r="O1364" s="267">
        <v>1</v>
      </c>
      <c r="P1364" s="314">
        <v>0</v>
      </c>
      <c r="Q1364" s="267"/>
      <c r="R1364" s="267"/>
      <c r="S1364" s="269"/>
      <c r="T1364" s="21"/>
      <c r="U1364" s="94"/>
      <c r="V1364" s="90"/>
      <c r="W1364" s="136"/>
      <c r="X1364" s="137"/>
    </row>
    <row r="1365" spans="1:25" s="342" customFormat="1">
      <c r="A1365" s="494">
        <v>0.05</v>
      </c>
      <c r="B1365" s="87">
        <f>B1364+1</f>
        <v>4</v>
      </c>
      <c r="C1365" s="262">
        <v>45919</v>
      </c>
      <c r="D1365" s="271" t="s">
        <v>2189</v>
      </c>
      <c r="E1365" s="271" t="s">
        <v>225</v>
      </c>
      <c r="F1365" s="265">
        <v>17023</v>
      </c>
      <c r="G1365" s="265">
        <f>39.7+313.4+78+(3.75+52.5-57.57+55.3+187.06)+(398.58+159.54+65.3+7.89+65.01+153.3+61.29)+1500</f>
        <v>3083.0499999999997</v>
      </c>
      <c r="H1365" s="265"/>
      <c r="I1365" s="266">
        <f>F1365-G1365-H1365</f>
        <v>13939.95</v>
      </c>
      <c r="J1365" s="267" t="s">
        <v>156</v>
      </c>
      <c r="K1365" s="267">
        <v>1</v>
      </c>
      <c r="L1365" s="267"/>
      <c r="M1365" s="267">
        <v>1</v>
      </c>
      <c r="N1365" s="267">
        <v>1</v>
      </c>
      <c r="O1365" s="267">
        <v>1</v>
      </c>
      <c r="P1365" s="314">
        <v>0</v>
      </c>
      <c r="Q1365" s="267"/>
      <c r="R1365" s="267"/>
      <c r="S1365" s="269"/>
      <c r="T1365" s="21"/>
      <c r="U1365" s="94" t="s">
        <v>2241</v>
      </c>
      <c r="V1365" s="90"/>
      <c r="W1365" s="136"/>
      <c r="X1365" s="137"/>
      <c r="Y1365" s="260"/>
    </row>
    <row r="1366" spans="1:25" s="342" customFormat="1">
      <c r="A1366" s="494">
        <v>0.05</v>
      </c>
      <c r="B1366" s="87">
        <f>B1365+1</f>
        <v>5</v>
      </c>
      <c r="C1366" s="262">
        <v>45923</v>
      </c>
      <c r="D1366" s="271" t="s">
        <v>2221</v>
      </c>
      <c r="E1366" s="271" t="s">
        <v>168</v>
      </c>
      <c r="F1366" s="265">
        <v>6814</v>
      </c>
      <c r="G1366" s="265">
        <f>39.7+2000</f>
        <v>2039.7</v>
      </c>
      <c r="H1366" s="265"/>
      <c r="I1366" s="266">
        <f>F1366-G1366-H1366</f>
        <v>4774.3</v>
      </c>
      <c r="J1366" s="267" t="s">
        <v>156</v>
      </c>
      <c r="K1366" s="267">
        <v>1</v>
      </c>
      <c r="L1366" s="267"/>
      <c r="M1366" s="267">
        <v>1</v>
      </c>
      <c r="N1366" s="267">
        <v>1</v>
      </c>
      <c r="O1366" s="267">
        <v>1</v>
      </c>
      <c r="P1366" s="314">
        <v>0</v>
      </c>
      <c r="Q1366" s="267"/>
      <c r="R1366" s="267"/>
      <c r="S1366" s="269"/>
      <c r="T1366" s="21"/>
      <c r="U1366" s="94"/>
      <c r="V1366" s="90"/>
      <c r="W1366" s="136"/>
      <c r="X1366" s="137"/>
      <c r="Y1366" s="260"/>
    </row>
    <row r="1367" spans="1:25" s="260" customFormat="1">
      <c r="B1367" s="11"/>
      <c r="C1367" s="36"/>
      <c r="D1367" s="10"/>
      <c r="E1367" s="10"/>
      <c r="F1367" s="97">
        <f>SUM(F1362:F1366)</f>
        <v>41151</v>
      </c>
      <c r="G1367" s="97">
        <f>SUM(G1362:G1366)</f>
        <v>6261.95</v>
      </c>
      <c r="H1367" s="97">
        <f>SUM(H1362:H1366)</f>
        <v>0</v>
      </c>
      <c r="I1367" s="97">
        <f>SUM(I1362:I1366)</f>
        <v>34889.050000000003</v>
      </c>
      <c r="J1367" s="63"/>
      <c r="K1367" s="21"/>
      <c r="L1367" s="21"/>
      <c r="M1367" s="21"/>
      <c r="N1367" s="21"/>
      <c r="O1367" s="21"/>
      <c r="P1367" s="21"/>
      <c r="Q1367" s="21"/>
      <c r="R1367" s="21"/>
      <c r="S1367" s="21"/>
      <c r="T1367" s="63"/>
      <c r="U1367" s="10"/>
      <c r="V1367" s="90"/>
      <c r="W1367" s="91"/>
      <c r="X1367" s="92"/>
    </row>
    <row r="1368" spans="1:25" s="260" customFormat="1">
      <c r="B1368" s="11"/>
      <c r="C1368" s="36"/>
      <c r="D1368" s="10"/>
      <c r="E1368" s="10"/>
      <c r="F1368" s="88"/>
      <c r="G1368" s="88"/>
      <c r="H1368" s="88"/>
      <c r="I1368" s="99"/>
      <c r="J1368" s="10"/>
      <c r="K1368" s="63"/>
      <c r="L1368" s="63"/>
      <c r="M1368" s="63"/>
      <c r="N1368" s="63"/>
      <c r="O1368" s="63"/>
      <c r="P1368" s="63"/>
      <c r="Q1368" s="63"/>
      <c r="R1368" s="63"/>
      <c r="S1368" s="63"/>
      <c r="T1368" s="63"/>
      <c r="U1368" s="10"/>
      <c r="V1368" s="90"/>
      <c r="W1368" s="91"/>
      <c r="X1368" s="92"/>
    </row>
    <row r="1369" spans="1:25">
      <c r="B1369" s="100" t="s">
        <v>72</v>
      </c>
      <c r="C1369" s="36"/>
      <c r="D1369" s="10"/>
      <c r="E1369" s="10"/>
      <c r="F1369" s="88"/>
      <c r="G1369" s="88"/>
      <c r="H1369" s="88"/>
      <c r="I1369" s="99"/>
      <c r="J1369" s="63"/>
      <c r="K1369" s="63"/>
      <c r="L1369" s="63"/>
      <c r="M1369" s="63"/>
      <c r="N1369" s="63"/>
      <c r="O1369" s="63"/>
      <c r="P1369" s="63"/>
      <c r="Q1369" s="63"/>
      <c r="R1369" s="63"/>
      <c r="S1369" s="63"/>
      <c r="T1369" s="63"/>
      <c r="U1369" s="10"/>
      <c r="V1369" s="90"/>
      <c r="W1369" s="91"/>
      <c r="X1369" s="92"/>
    </row>
    <row r="1370" spans="1:25">
      <c r="B1370" s="87">
        <v>1</v>
      </c>
      <c r="C1370" s="274">
        <v>45939</v>
      </c>
      <c r="D1370" s="276">
        <v>74161</v>
      </c>
      <c r="E1370" s="276" t="s">
        <v>354</v>
      </c>
      <c r="F1370" s="277">
        <v>1073</v>
      </c>
      <c r="G1370" s="277">
        <v>39.700000000000003</v>
      </c>
      <c r="H1370" s="277"/>
      <c r="I1370" s="278">
        <f>F1370-G1370-H1370</f>
        <v>1033.3</v>
      </c>
      <c r="J1370" s="279" t="s">
        <v>205</v>
      </c>
      <c r="K1370" s="279">
        <v>1</v>
      </c>
      <c r="L1370" s="279"/>
      <c r="M1370" s="279"/>
      <c r="N1370" s="279">
        <v>1</v>
      </c>
      <c r="O1370" s="279"/>
      <c r="P1370" s="279"/>
      <c r="Q1370" s="279">
        <v>1</v>
      </c>
      <c r="R1370" s="279">
        <v>1</v>
      </c>
      <c r="S1370" s="280"/>
      <c r="T1370" s="63"/>
      <c r="U1370" s="3"/>
      <c r="V1370" s="90"/>
      <c r="W1370" s="91"/>
      <c r="X1370" s="92"/>
    </row>
    <row r="1371" spans="1:25">
      <c r="B1371" s="87">
        <f t="shared" ref="B1371:B1373" si="96">B1370+1</f>
        <v>2</v>
      </c>
      <c r="C1371" s="295">
        <v>45939</v>
      </c>
      <c r="D1371" s="10">
        <v>74267</v>
      </c>
      <c r="E1371" s="10" t="s">
        <v>239</v>
      </c>
      <c r="F1371" s="62">
        <v>681</v>
      </c>
      <c r="G1371" s="62"/>
      <c r="H1371" s="62"/>
      <c r="I1371" s="89">
        <f>F1371-G1371-H1371</f>
        <v>681</v>
      </c>
      <c r="J1371" s="63" t="s">
        <v>205</v>
      </c>
      <c r="K1371" s="63">
        <v>1</v>
      </c>
      <c r="L1371" s="63"/>
      <c r="M1371" s="63"/>
      <c r="N1371" s="63">
        <v>1</v>
      </c>
      <c r="O1371" s="63"/>
      <c r="P1371" s="63"/>
      <c r="Q1371" s="63">
        <v>1</v>
      </c>
      <c r="R1371" s="63">
        <v>1</v>
      </c>
      <c r="S1371" s="296"/>
      <c r="T1371" s="63"/>
      <c r="U1371" s="10"/>
      <c r="V1371" s="90"/>
      <c r="W1371" s="136"/>
      <c r="X1371" s="137"/>
    </row>
    <row r="1372" spans="1:25">
      <c r="B1372" s="87">
        <f t="shared" si="96"/>
        <v>3</v>
      </c>
      <c r="C1372" s="274">
        <v>45940</v>
      </c>
      <c r="D1372" s="276">
        <v>73478</v>
      </c>
      <c r="E1372" s="276" t="s">
        <v>168</v>
      </c>
      <c r="F1372" s="277">
        <v>1819</v>
      </c>
      <c r="G1372" s="277">
        <v>39.700000000000003</v>
      </c>
      <c r="H1372" s="277"/>
      <c r="I1372" s="278">
        <f>F1372-G1372-H1372</f>
        <v>1779.3</v>
      </c>
      <c r="J1372" s="279" t="s">
        <v>205</v>
      </c>
      <c r="K1372" s="279">
        <v>1</v>
      </c>
      <c r="L1372" s="279"/>
      <c r="M1372" s="279"/>
      <c r="N1372" s="279">
        <v>1</v>
      </c>
      <c r="O1372" s="279"/>
      <c r="P1372" s="279"/>
      <c r="Q1372" s="279"/>
      <c r="R1372" s="279"/>
      <c r="S1372" s="280"/>
      <c r="T1372" s="63"/>
      <c r="U1372" s="10"/>
      <c r="V1372" s="90"/>
      <c r="W1372" s="136"/>
      <c r="X1372" s="137"/>
    </row>
    <row r="1373" spans="1:25">
      <c r="B1373" s="87">
        <f t="shared" si="96"/>
        <v>4</v>
      </c>
      <c r="C1373" s="282">
        <v>45940</v>
      </c>
      <c r="D1373" s="283">
        <v>74266</v>
      </c>
      <c r="E1373" s="283" t="s">
        <v>979</v>
      </c>
      <c r="F1373" s="284">
        <v>681</v>
      </c>
      <c r="G1373" s="284"/>
      <c r="H1373" s="284"/>
      <c r="I1373" s="285">
        <f>F1373-G1373-H1373</f>
        <v>681</v>
      </c>
      <c r="J1373" s="286" t="s">
        <v>205</v>
      </c>
      <c r="K1373" s="286">
        <v>1</v>
      </c>
      <c r="L1373" s="286"/>
      <c r="M1373" s="286"/>
      <c r="N1373" s="286">
        <v>1</v>
      </c>
      <c r="O1373" s="286"/>
      <c r="P1373" s="286"/>
      <c r="Q1373" s="286">
        <v>1</v>
      </c>
      <c r="R1373" s="286">
        <v>1</v>
      </c>
      <c r="S1373" s="287"/>
      <c r="T1373" s="63"/>
      <c r="U1373" s="10"/>
      <c r="V1373" s="90"/>
      <c r="W1373" s="136"/>
      <c r="X1373" s="137"/>
    </row>
    <row r="1374" spans="1:25">
      <c r="B1374" s="11"/>
      <c r="C1374" s="36"/>
      <c r="D1374" s="10"/>
      <c r="E1374" s="10"/>
      <c r="F1374" s="97">
        <f>SUM(F1370:F1373)</f>
        <v>4254</v>
      </c>
      <c r="G1374" s="97">
        <f>SUM(G1370:G1373)</f>
        <v>79.400000000000006</v>
      </c>
      <c r="H1374" s="97">
        <f>SUM(H1370:H1373)</f>
        <v>0</v>
      </c>
      <c r="I1374" s="98">
        <f>SUM(I1370:I1373)</f>
        <v>4174.6000000000004</v>
      </c>
      <c r="J1374" s="10"/>
      <c r="K1374" s="10"/>
      <c r="L1374" s="10"/>
      <c r="M1374" s="10"/>
      <c r="N1374" s="10"/>
      <c r="O1374" s="10"/>
      <c r="P1374" s="10"/>
      <c r="Q1374" s="10"/>
      <c r="R1374" s="10"/>
      <c r="S1374" s="10"/>
      <c r="T1374" s="63"/>
      <c r="U1374" s="10"/>
      <c r="V1374" s="138"/>
      <c r="W1374" s="136"/>
      <c r="X1374" s="137"/>
    </row>
    <row r="1375" spans="1:25">
      <c r="B1375" s="26"/>
      <c r="C1375" s="612"/>
      <c r="D1375" s="141"/>
      <c r="E1375" s="141"/>
      <c r="F1375" s="141"/>
      <c r="G1375" s="141"/>
      <c r="H1375" s="141"/>
      <c r="I1375" s="141"/>
      <c r="J1375" s="141"/>
      <c r="K1375" s="142"/>
      <c r="L1375" s="142"/>
      <c r="M1375" s="142"/>
      <c r="N1375" s="142"/>
      <c r="O1375" s="142"/>
      <c r="P1375" s="142"/>
      <c r="Q1375" s="142"/>
      <c r="R1375" s="142"/>
      <c r="S1375" s="142"/>
      <c r="T1375" s="143">
        <f>SUM(T1328:T1374)</f>
        <v>0</v>
      </c>
      <c r="U1375" s="141"/>
      <c r="V1375" s="144">
        <f>SUM(V1328:V1374)</f>
        <v>7083.8</v>
      </c>
      <c r="W1375" s="144">
        <f>SUM(W1328:W1374)</f>
        <v>0</v>
      </c>
      <c r="X1375" s="144">
        <f>SUM(X1328:X1374)</f>
        <v>0</v>
      </c>
    </row>
    <row r="1376" spans="1:25">
      <c r="B1376" s="10"/>
      <c r="C1376" s="36"/>
      <c r="D1376" s="10"/>
      <c r="E1376" s="10"/>
      <c r="F1376" s="10"/>
      <c r="G1376" s="10"/>
      <c r="H1376" s="10"/>
      <c r="I1376" s="10"/>
      <c r="J1376" s="10"/>
      <c r="K1376" s="147"/>
      <c r="L1376" s="147"/>
      <c r="M1376" s="147"/>
      <c r="N1376" s="147"/>
      <c r="O1376" s="147"/>
      <c r="P1376" s="147"/>
      <c r="Q1376" s="147"/>
      <c r="R1376" s="147"/>
      <c r="S1376" s="147"/>
      <c r="T1376" s="21"/>
      <c r="U1376" s="10"/>
      <c r="V1376" s="99"/>
      <c r="W1376" s="99"/>
      <c r="X1376" s="99"/>
    </row>
    <row r="1378" spans="1:24">
      <c r="A1378" s="613"/>
      <c r="B1378" s="4" t="s">
        <v>1</v>
      </c>
      <c r="C1378" s="5"/>
      <c r="D1378" s="6"/>
      <c r="E1378" s="6"/>
      <c r="F1378" s="7" t="s">
        <v>2</v>
      </c>
      <c r="G1378" s="608">
        <v>45949</v>
      </c>
      <c r="H1378" s="7"/>
      <c r="I1378" s="6"/>
      <c r="J1378" s="6"/>
      <c r="K1378" s="6"/>
      <c r="L1378" s="6"/>
      <c r="M1378" s="6"/>
      <c r="N1378" s="6"/>
      <c r="O1378" s="6"/>
      <c r="P1378" s="6"/>
      <c r="Q1378" s="6"/>
      <c r="R1378" s="6"/>
      <c r="S1378" s="6"/>
      <c r="T1378" s="6"/>
      <c r="U1378" s="9"/>
      <c r="V1378" s="10"/>
      <c r="W1378" s="10"/>
      <c r="X1378" s="10"/>
    </row>
    <row r="1379" spans="1:24">
      <c r="A1379" s="614"/>
      <c r="B1379" s="11"/>
      <c r="C1379" s="10"/>
      <c r="D1379" s="10"/>
      <c r="E1379" s="10"/>
      <c r="F1379" s="10"/>
      <c r="G1379" s="7"/>
      <c r="H1379" s="12"/>
      <c r="I1379" s="10"/>
      <c r="J1379" s="10"/>
      <c r="K1379" s="13" t="s">
        <v>3</v>
      </c>
      <c r="L1379" s="14"/>
      <c r="M1379" s="15"/>
      <c r="N1379" s="13" t="s">
        <v>4</v>
      </c>
      <c r="O1379" s="14"/>
      <c r="P1379" s="15"/>
      <c r="Q1379" s="13" t="s">
        <v>5</v>
      </c>
      <c r="R1379" s="14"/>
      <c r="S1379" s="15"/>
      <c r="T1379" s="16"/>
      <c r="U1379" s="17"/>
      <c r="V1379" s="10"/>
      <c r="W1379" s="10"/>
      <c r="X1379" s="10"/>
    </row>
    <row r="1380" spans="1:24">
      <c r="A1380" s="614"/>
      <c r="B1380" s="18" t="s">
        <v>6</v>
      </c>
      <c r="C1380" s="19">
        <f>C1381+C1382</f>
        <v>10</v>
      </c>
      <c r="D1380" s="10"/>
      <c r="E1380" s="18" t="s">
        <v>7</v>
      </c>
      <c r="F1380" s="6"/>
      <c r="G1380" s="9"/>
      <c r="H1380" s="10"/>
      <c r="I1380" s="10"/>
      <c r="J1380" s="10"/>
      <c r="K1380" s="20" t="s">
        <v>8</v>
      </c>
      <c r="L1380" s="21" t="s">
        <v>9</v>
      </c>
      <c r="M1380" s="21" t="s">
        <v>10</v>
      </c>
      <c r="N1380" s="20" t="s">
        <v>11</v>
      </c>
      <c r="O1380" s="21" t="s">
        <v>12</v>
      </c>
      <c r="P1380" s="22" t="s">
        <v>13</v>
      </c>
      <c r="Q1380" s="21" t="s">
        <v>11</v>
      </c>
      <c r="R1380" s="21" t="s">
        <v>12</v>
      </c>
      <c r="S1380" s="22" t="s">
        <v>13</v>
      </c>
      <c r="T1380" s="23" t="s">
        <v>14</v>
      </c>
      <c r="U1380" s="17"/>
      <c r="V1380" s="10"/>
      <c r="W1380" s="10"/>
      <c r="X1380" s="10"/>
    </row>
    <row r="1381" spans="1:24">
      <c r="A1381" s="614"/>
      <c r="B1381" s="24" t="s">
        <v>15</v>
      </c>
      <c r="C1381" s="25">
        <f>P1388</f>
        <v>5</v>
      </c>
      <c r="D1381" s="10"/>
      <c r="E1381" s="26" t="s">
        <v>16</v>
      </c>
      <c r="F1381" s="27">
        <v>0.05</v>
      </c>
      <c r="G1381" s="28"/>
      <c r="H1381" s="10"/>
      <c r="I1381" s="10"/>
      <c r="J1381" s="18" t="s">
        <v>17</v>
      </c>
      <c r="K1381" s="29">
        <f>K1411</f>
        <v>5</v>
      </c>
      <c r="L1381" s="29">
        <f>L1411</f>
        <v>5</v>
      </c>
      <c r="M1381" s="29">
        <f>M1411</f>
        <v>5</v>
      </c>
      <c r="N1381" s="29">
        <f>N1411</f>
        <v>5</v>
      </c>
      <c r="O1381" s="29">
        <f>O1411</f>
        <v>5</v>
      </c>
      <c r="P1381" s="29">
        <f>P1411</f>
        <v>1</v>
      </c>
      <c r="Q1381" s="29">
        <f>Q1411</f>
        <v>4</v>
      </c>
      <c r="R1381" s="29">
        <f>R1411</f>
        <v>4</v>
      </c>
      <c r="S1381" s="29">
        <f>S1411</f>
        <v>2</v>
      </c>
      <c r="T1381" s="30">
        <f>T1450</f>
        <v>0</v>
      </c>
      <c r="U1381" s="17"/>
      <c r="V1381" s="10"/>
      <c r="W1381" s="10"/>
      <c r="X1381" s="10"/>
    </row>
    <row r="1382" spans="1:24">
      <c r="A1382" s="614"/>
      <c r="B1382" s="24" t="s">
        <v>18</v>
      </c>
      <c r="C1382" s="25">
        <f>P1389</f>
        <v>5</v>
      </c>
      <c r="D1382" s="10"/>
      <c r="E1382" s="10"/>
      <c r="F1382" s="10"/>
      <c r="G1382" s="31"/>
      <c r="H1382" s="10"/>
      <c r="I1382" s="10"/>
      <c r="J1382" s="32" t="s">
        <v>19</v>
      </c>
      <c r="K1382" s="33">
        <f>K1411/K1410</f>
        <v>1</v>
      </c>
      <c r="L1382" s="33">
        <f>L1411/L1410</f>
        <v>1</v>
      </c>
      <c r="M1382" s="33">
        <f>M1411/M1410</f>
        <v>1</v>
      </c>
      <c r="N1382" s="33">
        <f>N1411/N1410</f>
        <v>1</v>
      </c>
      <c r="O1382" s="33">
        <f>O1411/O1410</f>
        <v>1</v>
      </c>
      <c r="P1382" s="33">
        <f>P1411/P1410</f>
        <v>0.2</v>
      </c>
      <c r="Q1382" s="33">
        <f>Q1411/Q1410</f>
        <v>0.8</v>
      </c>
      <c r="R1382" s="33">
        <f>R1411/R1410</f>
        <v>0.8</v>
      </c>
      <c r="S1382" s="33">
        <f>S1411/S1410</f>
        <v>0.4</v>
      </c>
      <c r="T1382" s="23"/>
      <c r="U1382" s="17" t="s">
        <v>20</v>
      </c>
      <c r="V1382" s="10"/>
      <c r="W1382" s="10"/>
      <c r="X1382" s="10"/>
    </row>
    <row r="1383" spans="1:24">
      <c r="A1383" s="614"/>
      <c r="B1383" s="24" t="s">
        <v>21</v>
      </c>
      <c r="C1383" s="34">
        <f>P1390</f>
        <v>0.5</v>
      </c>
      <c r="D1383" s="10"/>
      <c r="E1383" s="10"/>
      <c r="F1383" s="10"/>
      <c r="G1383" s="10"/>
      <c r="H1383" s="10"/>
      <c r="I1383" s="10"/>
      <c r="J1383" s="10"/>
      <c r="K1383" s="10"/>
      <c r="L1383" s="10"/>
      <c r="M1383" s="10"/>
      <c r="N1383" s="10"/>
      <c r="O1383" s="10"/>
      <c r="P1383" s="10"/>
      <c r="Q1383" s="10"/>
      <c r="R1383" s="10"/>
      <c r="S1383" s="10"/>
      <c r="T1383" s="10"/>
      <c r="U1383" s="17"/>
      <c r="V1383" s="10"/>
      <c r="W1383" s="10"/>
      <c r="X1383" s="10"/>
    </row>
    <row r="1384" spans="1:24">
      <c r="A1384" s="614"/>
      <c r="B1384" s="24"/>
      <c r="C1384" s="25"/>
      <c r="D1384" s="10"/>
      <c r="E1384" s="10"/>
      <c r="F1384" s="18" t="s">
        <v>22</v>
      </c>
      <c r="G1384" s="19" t="s">
        <v>23</v>
      </c>
      <c r="H1384" s="35" t="s">
        <v>24</v>
      </c>
      <c r="I1384" s="10"/>
      <c r="J1384" s="10"/>
      <c r="K1384" s="36"/>
      <c r="L1384" s="36"/>
      <c r="M1384" s="36"/>
      <c r="N1384" s="36"/>
      <c r="O1384" s="36"/>
      <c r="P1384" s="36"/>
      <c r="Q1384" s="36"/>
      <c r="R1384" s="10"/>
      <c r="S1384" s="10"/>
      <c r="T1384" s="10"/>
      <c r="U1384" s="17"/>
      <c r="V1384" s="10"/>
      <c r="W1384" s="10"/>
      <c r="X1384" s="10"/>
    </row>
    <row r="1385" spans="1:24" ht="18" customHeight="1">
      <c r="A1385" s="614"/>
      <c r="B1385" s="32" t="s">
        <v>25</v>
      </c>
      <c r="C1385" s="37">
        <f>P1391</f>
        <v>1831.636</v>
      </c>
      <c r="D1385" s="10"/>
      <c r="E1385" s="18" t="s">
        <v>26</v>
      </c>
      <c r="F1385" s="38">
        <f>P1387</f>
        <v>9158.18</v>
      </c>
      <c r="G1385" s="39">
        <f>I1410</f>
        <v>9158.18</v>
      </c>
      <c r="H1385" s="767" t="s">
        <v>2254</v>
      </c>
      <c r="I1385" s="767"/>
      <c r="J1385" s="767"/>
      <c r="K1385" s="43" t="s">
        <v>27</v>
      </c>
      <c r="L1385" s="44"/>
      <c r="M1385" s="44"/>
      <c r="N1385" s="44"/>
      <c r="O1385" s="44"/>
      <c r="P1385" s="44"/>
      <c r="Q1385" s="45"/>
      <c r="R1385" s="46" t="s">
        <v>28</v>
      </c>
      <c r="S1385" s="47" t="s">
        <v>29</v>
      </c>
      <c r="T1385" s="10"/>
      <c r="U1385" s="17"/>
      <c r="V1385" s="10"/>
      <c r="W1385" s="10"/>
      <c r="X1385" s="10"/>
    </row>
    <row r="1386" spans="1:24">
      <c r="A1386" s="614"/>
      <c r="B1386" s="11"/>
      <c r="C1386" s="10"/>
      <c r="D1386" s="10"/>
      <c r="E1386" s="24" t="s">
        <v>30</v>
      </c>
      <c r="F1386" s="48">
        <f>F1381</f>
        <v>0.05</v>
      </c>
      <c r="G1386" s="17"/>
      <c r="H1386" s="767"/>
      <c r="I1386" s="767"/>
      <c r="J1386" s="767"/>
      <c r="K1386" s="20" t="s">
        <v>31</v>
      </c>
      <c r="L1386" s="21" t="s">
        <v>32</v>
      </c>
      <c r="M1386" s="21" t="s">
        <v>33</v>
      </c>
      <c r="N1386" s="21" t="s">
        <v>34</v>
      </c>
      <c r="O1386" s="21" t="s">
        <v>35</v>
      </c>
      <c r="P1386" s="21" t="s">
        <v>36</v>
      </c>
      <c r="Q1386" s="49" t="s">
        <v>37</v>
      </c>
      <c r="R1386" s="50" t="s">
        <v>38</v>
      </c>
      <c r="S1386" s="50" t="s">
        <v>38</v>
      </c>
      <c r="T1386" s="10"/>
      <c r="U1386" s="17"/>
      <c r="V1386" s="10"/>
      <c r="W1386" s="10"/>
      <c r="X1386" s="10"/>
    </row>
    <row r="1387" spans="1:24">
      <c r="A1387" s="614"/>
      <c r="B1387" s="11"/>
      <c r="C1387" s="10"/>
      <c r="D1387" s="10"/>
      <c r="E1387" s="51" t="s">
        <v>39</v>
      </c>
      <c r="F1387" s="52">
        <f>(F1385-I1406)*F1386</f>
        <v>353.66250000000002</v>
      </c>
      <c r="G1387" s="53" t="s">
        <v>40</v>
      </c>
      <c r="H1387" s="484">
        <f>F1387/1.12</f>
        <v>315.77008928571428</v>
      </c>
      <c r="I1387" s="55"/>
      <c r="J1387" s="42"/>
      <c r="K1387" s="56">
        <v>0</v>
      </c>
      <c r="L1387" s="57">
        <f>I1405+I1406+I1407+I1408+I1409</f>
        <v>9158.18</v>
      </c>
      <c r="M1387" s="57">
        <v>0</v>
      </c>
      <c r="N1387" s="57">
        <v>0</v>
      </c>
      <c r="O1387" s="57">
        <v>0</v>
      </c>
      <c r="P1387" s="57">
        <f>SUM(K1387:O1387)</f>
        <v>9158.18</v>
      </c>
      <c r="Q1387" s="58">
        <v>0</v>
      </c>
      <c r="R1387" s="59">
        <v>0</v>
      </c>
      <c r="S1387" s="59">
        <v>0</v>
      </c>
      <c r="T1387" s="10"/>
      <c r="U1387" s="17"/>
      <c r="V1387" s="10"/>
      <c r="W1387" s="10"/>
      <c r="X1387" s="10"/>
    </row>
    <row r="1388" spans="1:24">
      <c r="A1388" s="614"/>
      <c r="B1388" s="11"/>
      <c r="C1388" s="10"/>
      <c r="D1388" s="10"/>
      <c r="E1388" s="24" t="s">
        <v>41</v>
      </c>
      <c r="F1388" s="60">
        <f>Q1387</f>
        <v>0</v>
      </c>
      <c r="G1388" s="61" t="s">
        <v>40</v>
      </c>
      <c r="H1388" s="62"/>
      <c r="I1388" s="62"/>
      <c r="J1388" s="10" t="s">
        <v>42</v>
      </c>
      <c r="K1388" s="63">
        <v>0</v>
      </c>
      <c r="L1388" s="63">
        <v>5</v>
      </c>
      <c r="M1388" s="63">
        <v>0</v>
      </c>
      <c r="N1388" s="63">
        <v>0</v>
      </c>
      <c r="O1388" s="63">
        <v>0</v>
      </c>
      <c r="P1388" s="21">
        <f>SUM(K1388:O1388)</f>
        <v>5</v>
      </c>
      <c r="Q1388" s="64"/>
      <c r="R1388" s="63"/>
      <c r="S1388" s="10"/>
      <c r="T1388" s="10"/>
      <c r="U1388" s="17"/>
      <c r="V1388" s="10"/>
      <c r="W1388" s="10"/>
      <c r="X1388" s="10"/>
    </row>
    <row r="1389" spans="1:24">
      <c r="A1389" s="614"/>
      <c r="B1389" s="11"/>
      <c r="C1389" s="10"/>
      <c r="D1389" s="10"/>
      <c r="E1389" s="51" t="s">
        <v>43</v>
      </c>
      <c r="F1389" s="52">
        <f>F1388*0.25</f>
        <v>0</v>
      </c>
      <c r="G1389" s="53" t="s">
        <v>40</v>
      </c>
      <c r="H1389" s="54">
        <f>F1389/1.12</f>
        <v>0</v>
      </c>
      <c r="I1389" s="10"/>
      <c r="J1389" s="10" t="s">
        <v>44</v>
      </c>
      <c r="K1389" s="63">
        <v>2</v>
      </c>
      <c r="L1389" s="63">
        <v>3</v>
      </c>
      <c r="M1389" s="63">
        <v>0</v>
      </c>
      <c r="N1389" s="63">
        <v>0</v>
      </c>
      <c r="O1389" s="63">
        <v>0</v>
      </c>
      <c r="P1389" s="21">
        <f>SUM(K1389:O1389)</f>
        <v>5</v>
      </c>
      <c r="Q1389" s="64"/>
      <c r="R1389" s="63"/>
      <c r="S1389" s="10"/>
      <c r="T1389" s="10"/>
      <c r="U1389" s="17"/>
      <c r="V1389" s="10"/>
      <c r="W1389" s="10"/>
      <c r="X1389" s="10"/>
    </row>
    <row r="1390" spans="1:24">
      <c r="A1390" s="614"/>
      <c r="B1390" s="11"/>
      <c r="C1390" s="10"/>
      <c r="D1390" s="10"/>
      <c r="E1390" s="24" t="s">
        <v>45</v>
      </c>
      <c r="F1390" s="60"/>
      <c r="G1390" s="61" t="s">
        <v>40</v>
      </c>
      <c r="H1390" s="62"/>
      <c r="I1390" s="10"/>
      <c r="J1390" s="10" t="s">
        <v>46</v>
      </c>
      <c r="K1390" s="31">
        <f>K1388/(K1388+K1389)</f>
        <v>0</v>
      </c>
      <c r="L1390" s="31">
        <f>L1388/(L1388+L1389)</f>
        <v>0.625</v>
      </c>
      <c r="M1390" s="31" t="e">
        <f>M1388/(M1388+M1389)</f>
        <v>#DIV/0!</v>
      </c>
      <c r="N1390" s="31" t="e">
        <f>N1388/(N1388+N1389)</f>
        <v>#DIV/0!</v>
      </c>
      <c r="O1390" s="31" t="e">
        <f>O1388/(O1388+O1389)</f>
        <v>#DIV/0!</v>
      </c>
      <c r="P1390" s="31">
        <f>P1388/(P1388+P1389)</f>
        <v>0.5</v>
      </c>
      <c r="Q1390" s="31" t="e">
        <f>Q1388/(Q1388+Q1389)</f>
        <v>#DIV/0!</v>
      </c>
      <c r="R1390" s="63"/>
      <c r="S1390" s="10"/>
      <c r="T1390" s="10"/>
      <c r="U1390" s="17"/>
      <c r="V1390" s="10"/>
      <c r="W1390" s="10"/>
      <c r="X1390" s="10"/>
    </row>
    <row r="1391" spans="1:24">
      <c r="A1391" s="614"/>
      <c r="B1391" s="11"/>
      <c r="C1391" s="10"/>
      <c r="D1391" s="10"/>
      <c r="E1391" s="51" t="s">
        <v>47</v>
      </c>
      <c r="F1391" s="52">
        <f>F1390*0.05</f>
        <v>0</v>
      </c>
      <c r="G1391" s="65" t="s">
        <v>40</v>
      </c>
      <c r="H1391" s="54">
        <f>F1391/1.12</f>
        <v>0</v>
      </c>
      <c r="I1391" s="42"/>
      <c r="J1391" s="10" t="s">
        <v>48</v>
      </c>
      <c r="K1391" s="66" t="e">
        <f>K1387/K1388</f>
        <v>#DIV/0!</v>
      </c>
      <c r="L1391" s="66">
        <f>L1387/L1388</f>
        <v>1831.636</v>
      </c>
      <c r="M1391" s="66" t="e">
        <f>M1387/M1388</f>
        <v>#DIV/0!</v>
      </c>
      <c r="N1391" s="66" t="e">
        <f>N1387/N1388</f>
        <v>#DIV/0!</v>
      </c>
      <c r="O1391" s="66" t="e">
        <f>O1387/O1388</f>
        <v>#DIV/0!</v>
      </c>
      <c r="P1391" s="66">
        <f>P1387/P1388</f>
        <v>1831.636</v>
      </c>
      <c r="Q1391" s="66" t="e">
        <f>Q1387/Q1388</f>
        <v>#DIV/0!</v>
      </c>
      <c r="R1391" s="63"/>
      <c r="S1391" s="10"/>
      <c r="T1391" s="10"/>
      <c r="U1391" s="17"/>
      <c r="V1391" s="10"/>
      <c r="W1391" s="10"/>
      <c r="X1391" s="10"/>
    </row>
    <row r="1392" spans="1:24">
      <c r="A1392" s="614"/>
      <c r="B1392" s="11"/>
      <c r="C1392" s="10"/>
      <c r="D1392" s="10"/>
      <c r="E1392" s="67" t="s">
        <v>14</v>
      </c>
      <c r="F1392" s="68"/>
      <c r="G1392" s="10"/>
      <c r="H1392" s="54">
        <f>F1392/1.12</f>
        <v>0</v>
      </c>
      <c r="I1392" s="10"/>
      <c r="J1392" s="10"/>
      <c r="K1392" s="10"/>
      <c r="L1392" s="10"/>
      <c r="M1392" s="10"/>
      <c r="N1392" s="10"/>
      <c r="O1392" s="10"/>
      <c r="P1392" s="10"/>
      <c r="Q1392" s="10"/>
      <c r="R1392" s="10"/>
      <c r="S1392" s="10"/>
      <c r="T1392" s="10"/>
      <c r="U1392" s="17"/>
      <c r="V1392" s="10"/>
      <c r="W1392" s="10"/>
      <c r="X1392" s="10"/>
    </row>
    <row r="1393" spans="1:24">
      <c r="A1393" s="614"/>
      <c r="B1393" s="11"/>
      <c r="C1393" s="10"/>
      <c r="D1393" s="10"/>
      <c r="E1393" s="155" t="s">
        <v>49</v>
      </c>
      <c r="F1393" s="364">
        <f>T1382</f>
        <v>0</v>
      </c>
      <c r="G1393" s="10"/>
      <c r="H1393" s="54"/>
      <c r="I1393" s="55"/>
      <c r="J1393" s="42"/>
      <c r="K1393" s="764" t="s">
        <v>50</v>
      </c>
      <c r="L1393" s="765"/>
      <c r="M1393" s="765"/>
      <c r="N1393" s="765"/>
      <c r="O1393" s="765"/>
      <c r="P1393" s="765"/>
      <c r="Q1393" s="766"/>
      <c r="R1393" s="70" t="s">
        <v>28</v>
      </c>
      <c r="S1393" s="71" t="s">
        <v>29</v>
      </c>
      <c r="T1393" s="10"/>
      <c r="U1393" s="17"/>
      <c r="V1393" s="10"/>
      <c r="W1393" s="10"/>
      <c r="X1393" s="10"/>
    </row>
    <row r="1394" spans="1:24">
      <c r="A1394" s="614"/>
      <c r="B1394" s="11"/>
      <c r="C1394" s="10"/>
      <c r="D1394" s="10"/>
      <c r="E1394" s="12"/>
      <c r="F1394" s="76"/>
      <c r="G1394" s="10"/>
      <c r="H1394" s="10"/>
      <c r="I1394" s="10"/>
      <c r="J1394" s="42"/>
      <c r="K1394" s="20" t="s">
        <v>31</v>
      </c>
      <c r="L1394" s="21" t="s">
        <v>32</v>
      </c>
      <c r="M1394" s="21" t="s">
        <v>33</v>
      </c>
      <c r="N1394" s="21" t="s">
        <v>34</v>
      </c>
      <c r="O1394" s="21" t="s">
        <v>35</v>
      </c>
      <c r="P1394" s="21" t="s">
        <v>36</v>
      </c>
      <c r="Q1394" s="49" t="s">
        <v>37</v>
      </c>
      <c r="R1394" s="50" t="s">
        <v>38</v>
      </c>
      <c r="S1394" s="50" t="s">
        <v>38</v>
      </c>
      <c r="T1394" s="10"/>
      <c r="U1394" s="17"/>
      <c r="V1394" s="10"/>
      <c r="W1394" s="10"/>
      <c r="X1394" s="10"/>
    </row>
    <row r="1395" spans="1:24">
      <c r="A1395" s="614"/>
      <c r="B1395" s="11"/>
      <c r="C1395" s="10"/>
      <c r="D1395" s="10"/>
      <c r="E1395" s="10"/>
      <c r="F1395" s="10"/>
      <c r="G1395" s="10"/>
      <c r="H1395" s="10"/>
      <c r="I1395" s="10"/>
      <c r="J1395" s="42"/>
      <c r="K1395" s="56">
        <v>0</v>
      </c>
      <c r="L1395" s="57">
        <f>F1405+F1406+F1407+F1408+F1409</f>
        <v>9536</v>
      </c>
      <c r="M1395" s="57">
        <v>0</v>
      </c>
      <c r="N1395" s="57">
        <v>0</v>
      </c>
      <c r="O1395" s="57">
        <v>0</v>
      </c>
      <c r="P1395" s="57">
        <f>SUM(K1395:O1395)</f>
        <v>9536</v>
      </c>
      <c r="Q1395" s="58">
        <v>0</v>
      </c>
      <c r="R1395" s="59">
        <v>0</v>
      </c>
      <c r="S1395" s="59">
        <v>0</v>
      </c>
      <c r="T1395" s="10"/>
      <c r="U1395" s="17"/>
      <c r="V1395" s="10"/>
      <c r="W1395" s="10"/>
      <c r="X1395" s="10"/>
    </row>
    <row r="1396" spans="1:24">
      <c r="A1396" s="614"/>
      <c r="B1396" s="11"/>
      <c r="C1396" s="10"/>
      <c r="D1396" s="10"/>
      <c r="E1396" s="10"/>
      <c r="F1396" s="10"/>
      <c r="G1396" s="10"/>
      <c r="H1396" s="10"/>
      <c r="I1396" s="10"/>
      <c r="J1396" s="10" t="s">
        <v>42</v>
      </c>
      <c r="K1396" s="63">
        <f>K1388</f>
        <v>0</v>
      </c>
      <c r="L1396" s="63">
        <f>L1388</f>
        <v>5</v>
      </c>
      <c r="M1396" s="63">
        <f>M1388</f>
        <v>0</v>
      </c>
      <c r="N1396" s="63">
        <f>N1388</f>
        <v>0</v>
      </c>
      <c r="O1396" s="63">
        <f>O1388</f>
        <v>0</v>
      </c>
      <c r="P1396" s="63">
        <f>P1388</f>
        <v>5</v>
      </c>
      <c r="Q1396" s="63">
        <f>Q1388</f>
        <v>0</v>
      </c>
      <c r="R1396" s="63"/>
      <c r="S1396" s="10"/>
      <c r="T1396" s="10"/>
      <c r="U1396" s="17"/>
      <c r="V1396" s="10"/>
      <c r="W1396" s="10"/>
      <c r="X1396" s="10"/>
    </row>
    <row r="1397" spans="1:24">
      <c r="A1397" s="614"/>
      <c r="B1397" s="11"/>
      <c r="C1397" s="10"/>
      <c r="D1397" s="10"/>
      <c r="E1397" s="10"/>
      <c r="F1397" s="10"/>
      <c r="G1397" s="10"/>
      <c r="H1397" s="10"/>
      <c r="I1397" s="10"/>
      <c r="J1397" s="10" t="s">
        <v>44</v>
      </c>
      <c r="K1397" s="63">
        <f>K1389</f>
        <v>2</v>
      </c>
      <c r="L1397" s="63">
        <f>L1389</f>
        <v>3</v>
      </c>
      <c r="M1397" s="63">
        <f>M1389</f>
        <v>0</v>
      </c>
      <c r="N1397" s="63">
        <f>N1389</f>
        <v>0</v>
      </c>
      <c r="O1397" s="63">
        <f>O1389</f>
        <v>0</v>
      </c>
      <c r="P1397" s="63">
        <f>P1389</f>
        <v>5</v>
      </c>
      <c r="Q1397" s="63">
        <f>Q1389</f>
        <v>0</v>
      </c>
      <c r="R1397" s="63"/>
      <c r="S1397" s="10"/>
      <c r="T1397" s="10"/>
      <c r="U1397" s="17"/>
      <c r="V1397" s="10"/>
      <c r="W1397" s="10"/>
      <c r="X1397" s="10"/>
    </row>
    <row r="1398" spans="1:24">
      <c r="A1398" s="614"/>
      <c r="B1398" s="11"/>
      <c r="C1398" s="10"/>
      <c r="D1398" s="10"/>
      <c r="E1398" s="12"/>
      <c r="F1398" s="76"/>
      <c r="G1398" s="10"/>
      <c r="H1398" s="10"/>
      <c r="I1398" s="10"/>
      <c r="J1398" s="10" t="s">
        <v>46</v>
      </c>
      <c r="K1398" s="31">
        <f>K1396/(K1396+K1397)</f>
        <v>0</v>
      </c>
      <c r="L1398" s="31">
        <f>L1396/(L1396+L1397)</f>
        <v>0.625</v>
      </c>
      <c r="M1398" s="31" t="e">
        <f>M1396/(M1396+M1397)</f>
        <v>#DIV/0!</v>
      </c>
      <c r="N1398" s="31" t="e">
        <f>N1396/(N1396+N1397)</f>
        <v>#DIV/0!</v>
      </c>
      <c r="O1398" s="31" t="e">
        <f>O1396/(O1396+O1397)</f>
        <v>#DIV/0!</v>
      </c>
      <c r="P1398" s="31">
        <f>P1396/(P1396+P1397)</f>
        <v>0.5</v>
      </c>
      <c r="Q1398" s="31" t="e">
        <f>Q1396/(Q1396+Q1397)</f>
        <v>#DIV/0!</v>
      </c>
      <c r="R1398" s="63"/>
      <c r="S1398" s="10"/>
      <c r="T1398" s="10"/>
      <c r="U1398" s="17"/>
      <c r="V1398" s="10"/>
      <c r="W1398" s="10"/>
      <c r="X1398" s="10"/>
    </row>
    <row r="1399" spans="1:24">
      <c r="A1399" s="614"/>
      <c r="B1399" s="11"/>
      <c r="C1399" s="10"/>
      <c r="D1399" s="10"/>
      <c r="E1399" s="10"/>
      <c r="F1399" s="10"/>
      <c r="G1399" s="10"/>
      <c r="H1399" s="10"/>
      <c r="I1399" s="10"/>
      <c r="J1399" s="10" t="s">
        <v>48</v>
      </c>
      <c r="K1399" s="66" t="e">
        <f>K1395/K1396</f>
        <v>#DIV/0!</v>
      </c>
      <c r="L1399" s="66">
        <f>L1395/L1396</f>
        <v>1907.2</v>
      </c>
      <c r="M1399" s="66" t="e">
        <f>M1395/M1396</f>
        <v>#DIV/0!</v>
      </c>
      <c r="N1399" s="66" t="e">
        <f>N1395/N1396</f>
        <v>#DIV/0!</v>
      </c>
      <c r="O1399" s="66" t="e">
        <f>O1395/O1396</f>
        <v>#DIV/0!</v>
      </c>
      <c r="P1399" s="66">
        <f>P1395/P1396</f>
        <v>1907.2</v>
      </c>
      <c r="Q1399" s="66" t="e">
        <f>Q1395/Q1396</f>
        <v>#DIV/0!</v>
      </c>
      <c r="R1399" s="63"/>
      <c r="S1399" s="10"/>
      <c r="T1399" s="10"/>
      <c r="U1399" s="17"/>
      <c r="V1399" s="10"/>
      <c r="W1399" s="10"/>
      <c r="X1399" s="10"/>
    </row>
    <row r="1400" spans="1:24">
      <c r="A1400" s="614"/>
      <c r="B1400" s="11"/>
      <c r="C1400" s="10"/>
      <c r="D1400" s="10"/>
      <c r="E1400" s="10"/>
      <c r="F1400" s="10"/>
      <c r="G1400" s="10"/>
      <c r="H1400" s="10"/>
      <c r="I1400" s="10"/>
      <c r="J1400" s="10"/>
      <c r="K1400" s="10"/>
      <c r="L1400" s="10"/>
      <c r="M1400" s="10"/>
      <c r="N1400" s="10"/>
      <c r="O1400" s="10"/>
      <c r="P1400" s="10"/>
      <c r="Q1400" s="10"/>
      <c r="R1400" s="10"/>
      <c r="S1400" s="10"/>
      <c r="T1400" s="10"/>
      <c r="U1400" s="17"/>
      <c r="V1400" s="10"/>
      <c r="W1400" s="10"/>
      <c r="X1400" s="10"/>
    </row>
    <row r="1401" spans="1:24">
      <c r="A1401" s="614"/>
      <c r="B1401" s="11"/>
      <c r="C1401" s="10"/>
      <c r="D1401" s="10"/>
      <c r="E1401" s="10"/>
      <c r="F1401" s="10"/>
      <c r="G1401" s="10"/>
      <c r="H1401" s="10"/>
      <c r="I1401" s="10"/>
      <c r="J1401" s="10"/>
      <c r="K1401" s="10"/>
      <c r="L1401" s="10"/>
      <c r="M1401" s="10"/>
      <c r="N1401" s="10"/>
      <c r="O1401" s="10"/>
      <c r="P1401" s="10"/>
      <c r="Q1401" s="10"/>
      <c r="R1401" s="10"/>
      <c r="S1401" s="10"/>
      <c r="T1401" s="10"/>
      <c r="U1401" s="17"/>
      <c r="V1401" s="10"/>
      <c r="W1401" s="10"/>
      <c r="X1401" s="10"/>
    </row>
    <row r="1402" spans="1:24">
      <c r="A1402" s="614"/>
      <c r="B1402" s="18" t="s">
        <v>51</v>
      </c>
      <c r="C1402" s="14"/>
      <c r="D1402" s="14"/>
      <c r="E1402" s="14"/>
      <c r="F1402" s="13" t="s">
        <v>52</v>
      </c>
      <c r="G1402" s="14"/>
      <c r="H1402" s="14"/>
      <c r="I1402" s="14"/>
      <c r="J1402" s="14"/>
      <c r="K1402" s="13" t="s">
        <v>3</v>
      </c>
      <c r="L1402" s="14"/>
      <c r="M1402" s="14"/>
      <c r="N1402" s="13" t="s">
        <v>4</v>
      </c>
      <c r="O1402" s="14"/>
      <c r="P1402" s="14"/>
      <c r="Q1402" s="13" t="s">
        <v>5</v>
      </c>
      <c r="R1402" s="14"/>
      <c r="S1402" s="14"/>
      <c r="T1402" s="18"/>
      <c r="U1402" s="16" t="s">
        <v>53</v>
      </c>
      <c r="V1402" s="77"/>
      <c r="W1402" s="77"/>
      <c r="X1402" s="77"/>
    </row>
    <row r="1403" spans="1:24">
      <c r="A1403" s="614"/>
      <c r="B1403" s="24" t="s">
        <v>54</v>
      </c>
      <c r="C1403" s="21" t="s">
        <v>55</v>
      </c>
      <c r="D1403" s="21" t="s">
        <v>56</v>
      </c>
      <c r="E1403" s="21" t="s">
        <v>57</v>
      </c>
      <c r="F1403" s="20" t="s">
        <v>58</v>
      </c>
      <c r="G1403" s="21" t="s">
        <v>59</v>
      </c>
      <c r="H1403" s="21" t="s">
        <v>60</v>
      </c>
      <c r="I1403" s="21" t="s">
        <v>26</v>
      </c>
      <c r="J1403" s="22" t="s">
        <v>61</v>
      </c>
      <c r="K1403" s="21" t="s">
        <v>8</v>
      </c>
      <c r="L1403" s="21" t="s">
        <v>9</v>
      </c>
      <c r="M1403" s="21" t="s">
        <v>10</v>
      </c>
      <c r="N1403" s="20" t="s">
        <v>11</v>
      </c>
      <c r="O1403" s="21" t="s">
        <v>12</v>
      </c>
      <c r="P1403" s="22" t="s">
        <v>13</v>
      </c>
      <c r="Q1403" s="21" t="s">
        <v>11</v>
      </c>
      <c r="R1403" s="21" t="s">
        <v>12</v>
      </c>
      <c r="S1403" s="21" t="s">
        <v>13</v>
      </c>
      <c r="T1403" s="78" t="s">
        <v>14</v>
      </c>
      <c r="U1403" s="30"/>
      <c r="V1403" s="79" t="s">
        <v>62</v>
      </c>
      <c r="W1403" s="80" t="s">
        <v>63</v>
      </c>
      <c r="X1403" s="81" t="s">
        <v>64</v>
      </c>
    </row>
    <row r="1404" spans="1:24">
      <c r="A1404" s="614"/>
      <c r="B1404" s="4" t="s">
        <v>65</v>
      </c>
      <c r="C1404" s="6"/>
      <c r="D1404" s="6"/>
      <c r="E1404" s="6"/>
      <c r="F1404" s="6"/>
      <c r="G1404" s="6"/>
      <c r="H1404" s="6"/>
      <c r="I1404" s="82"/>
      <c r="J1404" s="6"/>
      <c r="K1404" s="6"/>
      <c r="L1404" s="6"/>
      <c r="M1404" s="6"/>
      <c r="N1404" s="6"/>
      <c r="O1404" s="6"/>
      <c r="P1404" s="6"/>
      <c r="Q1404" s="6"/>
      <c r="R1404" s="6"/>
      <c r="S1404" s="6"/>
      <c r="T1404" s="83"/>
      <c r="U1404" s="6"/>
      <c r="V1404" s="84"/>
      <c r="W1404" s="85"/>
      <c r="X1404" s="86"/>
    </row>
    <row r="1405" spans="1:24">
      <c r="A1405" s="614"/>
      <c r="B1405" s="87">
        <v>1</v>
      </c>
      <c r="C1405" s="274">
        <v>45944</v>
      </c>
      <c r="D1405" s="276">
        <v>74376</v>
      </c>
      <c r="E1405" s="276" t="s">
        <v>210</v>
      </c>
      <c r="F1405" s="277">
        <v>1138</v>
      </c>
      <c r="G1405" s="277">
        <f>39.7</f>
        <v>39.700000000000003</v>
      </c>
      <c r="H1405" s="297"/>
      <c r="I1405" s="321">
        <f>F1405-G1405-H1405</f>
        <v>1098.3</v>
      </c>
      <c r="J1405" s="279" t="s">
        <v>156</v>
      </c>
      <c r="K1405" s="279">
        <v>1</v>
      </c>
      <c r="L1405" s="279">
        <v>1</v>
      </c>
      <c r="M1405" s="279">
        <v>1</v>
      </c>
      <c r="N1405" s="279">
        <v>1</v>
      </c>
      <c r="O1405" s="279">
        <v>1</v>
      </c>
      <c r="P1405" s="322">
        <v>0</v>
      </c>
      <c r="Q1405" s="279">
        <v>1</v>
      </c>
      <c r="R1405" s="279">
        <v>1</v>
      </c>
      <c r="S1405" s="328">
        <v>0</v>
      </c>
      <c r="T1405" s="63"/>
      <c r="U1405" s="10" t="s">
        <v>2255</v>
      </c>
      <c r="V1405" s="90">
        <f>125+1126.8</f>
        <v>1251.8</v>
      </c>
      <c r="W1405" s="91"/>
      <c r="X1405" s="92"/>
    </row>
    <row r="1406" spans="1:24">
      <c r="A1406" s="614" t="s">
        <v>230</v>
      </c>
      <c r="B1406" s="87">
        <f>B1405+1</f>
        <v>2</v>
      </c>
      <c r="C1406" s="295">
        <v>45944</v>
      </c>
      <c r="D1406" s="10">
        <v>74396</v>
      </c>
      <c r="E1406" s="10" t="s">
        <v>210</v>
      </c>
      <c r="F1406" s="62">
        <v>2276</v>
      </c>
      <c r="G1406" s="62">
        <f>39.7+(151.37)</f>
        <v>191.07</v>
      </c>
      <c r="H1406" s="62"/>
      <c r="I1406" s="369">
        <f>F1406-G1406-H1406</f>
        <v>2084.9299999999998</v>
      </c>
      <c r="J1406" s="63" t="s">
        <v>156</v>
      </c>
      <c r="K1406" s="63">
        <v>1</v>
      </c>
      <c r="L1406" s="63">
        <v>1</v>
      </c>
      <c r="M1406" s="63">
        <v>1</v>
      </c>
      <c r="N1406" s="63">
        <v>1</v>
      </c>
      <c r="O1406" s="63">
        <v>1</v>
      </c>
      <c r="P1406" s="325">
        <v>0</v>
      </c>
      <c r="Q1406" s="63">
        <v>1</v>
      </c>
      <c r="R1406" s="63">
        <v>1</v>
      </c>
      <c r="S1406" s="326">
        <v>0</v>
      </c>
      <c r="T1406" s="63"/>
      <c r="U1406" s="10"/>
      <c r="V1406" s="90">
        <f>251+2252.6</f>
        <v>2503.6</v>
      </c>
      <c r="W1406" s="91"/>
      <c r="X1406" s="92"/>
    </row>
    <row r="1407" spans="1:24">
      <c r="A1407" s="613"/>
      <c r="B1407" s="87">
        <f>B1406+1</f>
        <v>3</v>
      </c>
      <c r="C1407" s="295">
        <v>45944</v>
      </c>
      <c r="D1407" s="3">
        <v>74418</v>
      </c>
      <c r="E1407" s="10" t="s">
        <v>577</v>
      </c>
      <c r="F1407" s="62">
        <v>1138</v>
      </c>
      <c r="G1407" s="62">
        <f>39.7</f>
        <v>39.700000000000003</v>
      </c>
      <c r="H1407" s="62"/>
      <c r="I1407" s="89">
        <f>F1407-G1407-H1407</f>
        <v>1098.3</v>
      </c>
      <c r="J1407" s="63" t="s">
        <v>156</v>
      </c>
      <c r="K1407" s="63">
        <v>1</v>
      </c>
      <c r="L1407" s="63">
        <v>1</v>
      </c>
      <c r="M1407" s="63">
        <v>1</v>
      </c>
      <c r="N1407" s="63">
        <v>1</v>
      </c>
      <c r="O1407" s="63">
        <v>1</v>
      </c>
      <c r="P1407" s="63">
        <v>1</v>
      </c>
      <c r="Q1407" s="63">
        <v>1</v>
      </c>
      <c r="R1407" s="63">
        <v>1</v>
      </c>
      <c r="S1407" s="296">
        <v>1</v>
      </c>
      <c r="T1407" s="63"/>
      <c r="U1407" s="94" t="s">
        <v>2256</v>
      </c>
      <c r="V1407" s="90">
        <f>125+1126.8</f>
        <v>1251.8</v>
      </c>
      <c r="W1407" s="91"/>
      <c r="X1407" s="92"/>
    </row>
    <row r="1408" spans="1:24">
      <c r="A1408" s="614"/>
      <c r="B1408" s="87">
        <f>B1407+1</f>
        <v>4</v>
      </c>
      <c r="C1408" s="295">
        <v>45944</v>
      </c>
      <c r="D1408" s="10">
        <v>74416</v>
      </c>
      <c r="E1408" s="94" t="s">
        <v>155</v>
      </c>
      <c r="F1408" s="62">
        <v>523</v>
      </c>
      <c r="G1408" s="62"/>
      <c r="H1408" s="62"/>
      <c r="I1408" s="324">
        <f>F1408-G1408-H1408</f>
        <v>523</v>
      </c>
      <c r="J1408" s="63" t="s">
        <v>156</v>
      </c>
      <c r="K1408" s="63">
        <v>1</v>
      </c>
      <c r="L1408" s="63">
        <v>1</v>
      </c>
      <c r="M1408" s="63">
        <v>1</v>
      </c>
      <c r="N1408" s="63">
        <v>1</v>
      </c>
      <c r="O1408" s="63">
        <v>1</v>
      </c>
      <c r="P1408" s="325">
        <v>0</v>
      </c>
      <c r="Q1408" s="63">
        <v>1</v>
      </c>
      <c r="R1408" s="63">
        <v>1</v>
      </c>
      <c r="S1408" s="296">
        <v>1</v>
      </c>
      <c r="T1408" s="63"/>
      <c r="U1408" s="10" t="s">
        <v>2255</v>
      </c>
      <c r="V1408" s="90">
        <f>57+518.3</f>
        <v>575.29999999999995</v>
      </c>
      <c r="W1408" s="91"/>
      <c r="X1408" s="92"/>
    </row>
    <row r="1409" spans="1:25">
      <c r="A1409" s="614"/>
      <c r="B1409" s="87">
        <f>B1408+1</f>
        <v>5</v>
      </c>
      <c r="C1409" s="282">
        <v>45944</v>
      </c>
      <c r="D1409" s="283">
        <v>74427</v>
      </c>
      <c r="E1409" s="319" t="s">
        <v>168</v>
      </c>
      <c r="F1409" s="284">
        <v>4461</v>
      </c>
      <c r="G1409" s="284">
        <f>39.7+(41.51+26.14)</f>
        <v>107.35000000000001</v>
      </c>
      <c r="H1409" s="284"/>
      <c r="I1409" s="300">
        <f>F1409-G1409-H1409</f>
        <v>4353.6499999999996</v>
      </c>
      <c r="J1409" s="286" t="s">
        <v>374</v>
      </c>
      <c r="K1409" s="286">
        <v>1</v>
      </c>
      <c r="L1409" s="286">
        <v>1</v>
      </c>
      <c r="M1409" s="286">
        <v>1</v>
      </c>
      <c r="N1409" s="286">
        <v>1</v>
      </c>
      <c r="O1409" s="286">
        <v>1</v>
      </c>
      <c r="P1409" s="332">
        <v>0</v>
      </c>
      <c r="Q1409" s="332">
        <v>0</v>
      </c>
      <c r="R1409" s="332">
        <v>0</v>
      </c>
      <c r="S1409" s="370">
        <v>0</v>
      </c>
      <c r="T1409" s="63"/>
      <c r="U1409" s="10"/>
      <c r="V1409" s="90">
        <f>490+4417.1</f>
        <v>4907.1000000000004</v>
      </c>
      <c r="W1409" s="91"/>
      <c r="X1409" s="92"/>
    </row>
    <row r="1410" spans="1:25">
      <c r="A1410" s="614"/>
      <c r="B1410" s="87"/>
      <c r="C1410" s="36"/>
      <c r="D1410" s="10"/>
      <c r="E1410" s="10"/>
      <c r="F1410" s="97">
        <f>SUM(F1405:F1409)</f>
        <v>9536</v>
      </c>
      <c r="G1410" s="97">
        <f>SUM(G1405:G1409)</f>
        <v>377.82</v>
      </c>
      <c r="H1410" s="97">
        <f>SUM(H1405:H1409)</f>
        <v>0</v>
      </c>
      <c r="I1410" s="98">
        <f>SUM(I1405:I1409)</f>
        <v>9158.18</v>
      </c>
      <c r="J1410" s="63"/>
      <c r="K1410" s="63">
        <f>COUNT(K1405:K1409)</f>
        <v>5</v>
      </c>
      <c r="L1410" s="63">
        <f>COUNT(L1405:L1409)</f>
        <v>5</v>
      </c>
      <c r="M1410" s="63">
        <f>COUNT(M1405:M1409)</f>
        <v>5</v>
      </c>
      <c r="N1410" s="63">
        <f>COUNT(N1405:N1409)</f>
        <v>5</v>
      </c>
      <c r="O1410" s="63">
        <f>COUNT(O1405:O1409)</f>
        <v>5</v>
      </c>
      <c r="P1410" s="63">
        <f>COUNT(P1405:P1409)</f>
        <v>5</v>
      </c>
      <c r="Q1410" s="63">
        <f>COUNT(Q1405:Q1409)</f>
        <v>5</v>
      </c>
      <c r="R1410" s="63">
        <f>COUNT(R1405:R1409)</f>
        <v>5</v>
      </c>
      <c r="S1410" s="63">
        <f>COUNT(S1405:S1409)</f>
        <v>5</v>
      </c>
      <c r="T1410" s="63"/>
      <c r="U1410" s="10"/>
      <c r="V1410" s="90"/>
      <c r="W1410" s="91"/>
      <c r="X1410" s="92"/>
    </row>
    <row r="1411" spans="1:25">
      <c r="A1411" s="614"/>
      <c r="B1411" s="87"/>
      <c r="C1411" s="609"/>
      <c r="D1411" s="10"/>
      <c r="E1411" s="10"/>
      <c r="F1411" s="88"/>
      <c r="G1411" s="88"/>
      <c r="H1411" s="88"/>
      <c r="I1411" s="99"/>
      <c r="J1411" s="63"/>
      <c r="K1411" s="21">
        <f>SUM(K1405:K1409)</f>
        <v>5</v>
      </c>
      <c r="L1411" s="21">
        <f>SUM(L1405:L1409)</f>
        <v>5</v>
      </c>
      <c r="M1411" s="21">
        <f>SUM(M1405:M1409)</f>
        <v>5</v>
      </c>
      <c r="N1411" s="21">
        <f>SUM(N1405:N1409)</f>
        <v>5</v>
      </c>
      <c r="O1411" s="21">
        <f>SUM(O1405:O1409)</f>
        <v>5</v>
      </c>
      <c r="P1411" s="21">
        <f>SUM(P1405:P1409)</f>
        <v>1</v>
      </c>
      <c r="Q1411" s="21">
        <f>SUM(Q1405:Q1409)</f>
        <v>4</v>
      </c>
      <c r="R1411" s="21">
        <f>SUM(R1405:R1409)</f>
        <v>4</v>
      </c>
      <c r="S1411" s="21">
        <f>SUM(S1405:S1409)</f>
        <v>2</v>
      </c>
      <c r="T1411" s="63"/>
      <c r="U1411" s="10"/>
      <c r="V1411" s="90"/>
      <c r="W1411" s="91"/>
      <c r="X1411" s="92"/>
    </row>
    <row r="1412" spans="1:25">
      <c r="A1412" s="614"/>
      <c r="B1412" s="11"/>
      <c r="C1412" s="609"/>
      <c r="D1412" s="10"/>
      <c r="E1412" s="10"/>
      <c r="F1412" s="88"/>
      <c r="G1412" s="88"/>
      <c r="H1412" s="88"/>
      <c r="I1412" s="99"/>
      <c r="J1412" s="63"/>
      <c r="K1412" s="21"/>
      <c r="L1412" s="21"/>
      <c r="M1412" s="21"/>
      <c r="N1412" s="21"/>
      <c r="O1412" s="21"/>
      <c r="P1412" s="21"/>
      <c r="Q1412" s="21"/>
      <c r="R1412" s="21"/>
      <c r="S1412" s="21"/>
      <c r="T1412" s="63"/>
      <c r="U1412" s="94"/>
      <c r="V1412" s="90"/>
      <c r="W1412" s="91"/>
      <c r="X1412" s="92"/>
    </row>
    <row r="1413" spans="1:25" s="260" customFormat="1">
      <c r="A1413" s="181"/>
      <c r="B1413" s="100" t="s">
        <v>152</v>
      </c>
      <c r="C1413" s="36"/>
      <c r="D1413" s="10"/>
      <c r="E1413" s="10"/>
      <c r="F1413" s="88"/>
      <c r="G1413" s="62"/>
      <c r="H1413" s="88"/>
      <c r="I1413" s="99"/>
      <c r="J1413" s="63"/>
      <c r="K1413" s="181"/>
      <c r="L1413" s="181"/>
      <c r="M1413" s="181"/>
      <c r="N1413" s="181"/>
      <c r="O1413" s="181"/>
      <c r="P1413" s="181"/>
      <c r="Q1413" s="181"/>
      <c r="R1413" s="181"/>
      <c r="S1413" s="181"/>
      <c r="T1413" s="63"/>
      <c r="U1413" s="10"/>
      <c r="V1413" s="90"/>
      <c r="W1413" s="91"/>
      <c r="X1413" s="92"/>
    </row>
    <row r="1414" spans="1:25" s="260" customFormat="1">
      <c r="A1414" s="494">
        <v>0.05</v>
      </c>
      <c r="B1414" s="87">
        <v>1</v>
      </c>
      <c r="C1414" s="262">
        <v>45849</v>
      </c>
      <c r="D1414" s="271">
        <v>71382</v>
      </c>
      <c r="E1414" s="271" t="s">
        <v>999</v>
      </c>
      <c r="F1414" s="265">
        <v>1861</v>
      </c>
      <c r="G1414" s="265">
        <f>39.7+544.5</f>
        <v>584.20000000000005</v>
      </c>
      <c r="H1414" s="265"/>
      <c r="I1414" s="266">
        <f>F1414-G1414-H1414</f>
        <v>1276.8</v>
      </c>
      <c r="J1414" s="267" t="s">
        <v>374</v>
      </c>
      <c r="K1414" s="267">
        <v>1</v>
      </c>
      <c r="L1414" s="267"/>
      <c r="M1414" s="267">
        <v>1</v>
      </c>
      <c r="N1414" s="267">
        <v>1</v>
      </c>
      <c r="O1414" s="267">
        <v>1</v>
      </c>
      <c r="P1414" s="314">
        <v>0</v>
      </c>
      <c r="Q1414" s="314">
        <v>0</v>
      </c>
      <c r="R1414" s="314">
        <v>0</v>
      </c>
      <c r="S1414" s="366">
        <v>0</v>
      </c>
      <c r="T1414" s="63"/>
      <c r="U1414" s="94" t="s">
        <v>2072</v>
      </c>
      <c r="V1414" s="90"/>
      <c r="W1414" s="136"/>
      <c r="X1414" s="137"/>
    </row>
    <row r="1415" spans="1:25" s="260" customFormat="1">
      <c r="A1415" s="261">
        <v>0.05</v>
      </c>
      <c r="B1415" s="87">
        <f>B1414+1</f>
        <v>2</v>
      </c>
      <c r="C1415" s="282">
        <v>45861</v>
      </c>
      <c r="D1415" s="302" t="s">
        <v>1997</v>
      </c>
      <c r="E1415" s="283" t="s">
        <v>270</v>
      </c>
      <c r="F1415" s="423">
        <v>5133</v>
      </c>
      <c r="G1415" s="284">
        <f>39.7+(1071.49)+250</f>
        <v>1361.19</v>
      </c>
      <c r="H1415" s="284"/>
      <c r="I1415" s="300">
        <f>F1415-G1415-H1415</f>
        <v>3771.81</v>
      </c>
      <c r="J1415" s="286" t="s">
        <v>156</v>
      </c>
      <c r="K1415" s="286">
        <v>1</v>
      </c>
      <c r="L1415" s="286">
        <v>1</v>
      </c>
      <c r="M1415" s="286">
        <v>1</v>
      </c>
      <c r="N1415" s="286">
        <v>1</v>
      </c>
      <c r="O1415" s="286">
        <v>1</v>
      </c>
      <c r="P1415" s="332">
        <v>0</v>
      </c>
      <c r="Q1415" s="332">
        <v>0</v>
      </c>
      <c r="R1415" s="332">
        <v>0</v>
      </c>
      <c r="S1415" s="370">
        <v>0</v>
      </c>
      <c r="T1415" s="63"/>
      <c r="U1415" s="10" t="s">
        <v>2222</v>
      </c>
      <c r="V1415" s="90"/>
      <c r="W1415" s="91"/>
      <c r="X1415" s="92"/>
    </row>
    <row r="1416" spans="1:25" s="260" customFormat="1">
      <c r="A1416" s="494" t="s">
        <v>1183</v>
      </c>
      <c r="B1416" s="87">
        <f>B1415+1</f>
        <v>3</v>
      </c>
      <c r="C1416" s="262">
        <v>45867</v>
      </c>
      <c r="D1416" s="273" t="s">
        <v>2029</v>
      </c>
      <c r="E1416" s="264" t="s">
        <v>158</v>
      </c>
      <c r="F1416" s="265">
        <v>4461</v>
      </c>
      <c r="G1416" s="265">
        <f>39.7+300</f>
        <v>339.7</v>
      </c>
      <c r="H1416" s="265"/>
      <c r="I1416" s="266">
        <f>F1416-G1416-H1416</f>
        <v>4121.3</v>
      </c>
      <c r="J1416" s="267"/>
      <c r="K1416" s="267">
        <v>1</v>
      </c>
      <c r="L1416" s="267">
        <v>1</v>
      </c>
      <c r="M1416" s="267"/>
      <c r="N1416" s="267">
        <v>1</v>
      </c>
      <c r="O1416" s="267">
        <v>1</v>
      </c>
      <c r="P1416" s="314">
        <v>0</v>
      </c>
      <c r="Q1416" s="314">
        <v>0</v>
      </c>
      <c r="R1416" s="314">
        <v>0</v>
      </c>
      <c r="S1416" s="366">
        <v>0</v>
      </c>
      <c r="T1416" s="63"/>
      <c r="U1416" s="10" t="s">
        <v>2030</v>
      </c>
      <c r="V1416" s="90"/>
      <c r="W1416" s="91"/>
      <c r="X1416" s="92"/>
    </row>
    <row r="1417" spans="1:25" s="342" customFormat="1">
      <c r="A1417" s="494">
        <v>0.05</v>
      </c>
      <c r="B1417" s="87">
        <f>B1416+1</f>
        <v>4</v>
      </c>
      <c r="C1417" s="262">
        <v>45876</v>
      </c>
      <c r="D1417" s="273">
        <v>72143</v>
      </c>
      <c r="E1417" s="264" t="s">
        <v>168</v>
      </c>
      <c r="F1417" s="265">
        <v>1461</v>
      </c>
      <c r="G1417" s="265">
        <v>39.700000000000003</v>
      </c>
      <c r="H1417" s="265"/>
      <c r="I1417" s="266">
        <f>F1417-G1417-H1417</f>
        <v>1421.3</v>
      </c>
      <c r="J1417" s="267" t="s">
        <v>228</v>
      </c>
      <c r="K1417" s="267">
        <v>1</v>
      </c>
      <c r="L1417" s="267">
        <v>1</v>
      </c>
      <c r="M1417" s="267">
        <v>1</v>
      </c>
      <c r="N1417" s="267">
        <v>1</v>
      </c>
      <c r="O1417" s="267">
        <v>1</v>
      </c>
      <c r="P1417" s="314">
        <v>0</v>
      </c>
      <c r="Q1417" s="267">
        <v>1</v>
      </c>
      <c r="R1417" s="267">
        <v>1</v>
      </c>
      <c r="S1417" s="366">
        <v>0</v>
      </c>
      <c r="T1417" s="63"/>
      <c r="U1417" s="10"/>
      <c r="V1417" s="90"/>
      <c r="W1417" s="91"/>
      <c r="X1417" s="92"/>
      <c r="Y1417" s="260"/>
    </row>
    <row r="1418" spans="1:25" s="260" customFormat="1">
      <c r="A1418" s="181" t="s">
        <v>1183</v>
      </c>
      <c r="B1418" s="87">
        <f>B1417+1</f>
        <v>5</v>
      </c>
      <c r="C1418" s="262">
        <v>45881</v>
      </c>
      <c r="D1418" s="273" t="s">
        <v>2070</v>
      </c>
      <c r="E1418" s="271" t="s">
        <v>572</v>
      </c>
      <c r="F1418" s="265">
        <f>8614-947.54</f>
        <v>7666.46</v>
      </c>
      <c r="G1418" s="265">
        <f>39.7+501.6+(1852.97+46.62)+250</f>
        <v>2690.89</v>
      </c>
      <c r="H1418" s="265"/>
      <c r="I1418" s="266">
        <f>F1418-G1418-H1418</f>
        <v>4975.57</v>
      </c>
      <c r="J1418" s="267" t="s">
        <v>156</v>
      </c>
      <c r="K1418" s="267">
        <v>1</v>
      </c>
      <c r="L1418" s="314">
        <v>0</v>
      </c>
      <c r="M1418" s="267">
        <v>1</v>
      </c>
      <c r="N1418" s="267">
        <v>1</v>
      </c>
      <c r="O1418" s="267">
        <v>1</v>
      </c>
      <c r="P1418" s="267">
        <v>1</v>
      </c>
      <c r="Q1418" s="267">
        <v>1</v>
      </c>
      <c r="R1418" s="267">
        <v>1</v>
      </c>
      <c r="S1418" s="269">
        <v>1</v>
      </c>
      <c r="T1418" s="63"/>
      <c r="U1418" s="94" t="s">
        <v>2191</v>
      </c>
      <c r="V1418" s="90"/>
      <c r="W1418" s="91"/>
      <c r="X1418" s="92"/>
    </row>
    <row r="1419" spans="1:25">
      <c r="A1419" s="260" t="s">
        <v>1183</v>
      </c>
      <c r="B1419" s="87">
        <f>B1418+1</f>
        <v>6</v>
      </c>
      <c r="C1419" s="262">
        <v>45902</v>
      </c>
      <c r="D1419" s="271">
        <v>72891</v>
      </c>
      <c r="E1419" s="271" t="s">
        <v>162</v>
      </c>
      <c r="F1419" s="265">
        <v>3433</v>
      </c>
      <c r="G1419" s="265">
        <v>39.700000000000003</v>
      </c>
      <c r="H1419" s="265"/>
      <c r="I1419" s="266">
        <f>F1419-G1419-H1419</f>
        <v>3393.3</v>
      </c>
      <c r="J1419" s="267" t="s">
        <v>156</v>
      </c>
      <c r="K1419" s="267">
        <v>1</v>
      </c>
      <c r="L1419" s="267">
        <v>1</v>
      </c>
      <c r="M1419" s="267">
        <v>1</v>
      </c>
      <c r="N1419" s="267">
        <v>1</v>
      </c>
      <c r="O1419" s="267">
        <v>1</v>
      </c>
      <c r="P1419" s="314">
        <v>0</v>
      </c>
      <c r="Q1419" s="267">
        <v>1</v>
      </c>
      <c r="R1419" s="267">
        <v>1</v>
      </c>
      <c r="S1419" s="269">
        <v>1</v>
      </c>
      <c r="T1419" s="21"/>
      <c r="U1419" s="94" t="s">
        <v>2192</v>
      </c>
      <c r="V1419" s="90"/>
      <c r="W1419" s="91"/>
      <c r="X1419" s="92"/>
      <c r="Y1419" s="260"/>
    </row>
    <row r="1420" spans="1:25" s="260" customFormat="1">
      <c r="A1420" s="260" t="s">
        <v>1183</v>
      </c>
      <c r="B1420" s="87">
        <f>B1419+1</f>
        <v>7</v>
      </c>
      <c r="C1420" s="262">
        <v>45903</v>
      </c>
      <c r="D1420" s="271" t="s">
        <v>2130</v>
      </c>
      <c r="E1420" s="271" t="s">
        <v>979</v>
      </c>
      <c r="F1420" s="265">
        <v>5533</v>
      </c>
      <c r="G1420" s="265">
        <f>39.7+(1471.41-16.4-3.76-8.58-2.51)</f>
        <v>1479.8600000000001</v>
      </c>
      <c r="H1420" s="265">
        <f>271.51</f>
        <v>271.51</v>
      </c>
      <c r="I1420" s="266">
        <f>F1420-G1420-H1420</f>
        <v>3781.63</v>
      </c>
      <c r="J1420" s="267" t="s">
        <v>313</v>
      </c>
      <c r="K1420" s="267">
        <v>1</v>
      </c>
      <c r="L1420" s="267">
        <v>1</v>
      </c>
      <c r="M1420" s="267">
        <v>1</v>
      </c>
      <c r="N1420" s="267">
        <v>1</v>
      </c>
      <c r="O1420" s="267">
        <v>1</v>
      </c>
      <c r="P1420" s="314">
        <v>0</v>
      </c>
      <c r="Q1420" s="267">
        <v>1</v>
      </c>
      <c r="R1420" s="267">
        <v>1</v>
      </c>
      <c r="S1420" s="269">
        <v>1</v>
      </c>
      <c r="T1420" s="21"/>
      <c r="U1420" s="94" t="s">
        <v>2240</v>
      </c>
      <c r="V1420" s="90"/>
      <c r="W1420" s="91"/>
      <c r="X1420" s="92"/>
    </row>
    <row r="1421" spans="1:25">
      <c r="A1421" s="494">
        <v>0.05</v>
      </c>
      <c r="B1421" s="87">
        <f>B1420+1</f>
        <v>8</v>
      </c>
      <c r="C1421" s="262">
        <v>45911</v>
      </c>
      <c r="D1421" s="271">
        <v>72853</v>
      </c>
      <c r="E1421" s="271" t="s">
        <v>786</v>
      </c>
      <c r="F1421" s="265">
        <v>523</v>
      </c>
      <c r="G1421" s="265"/>
      <c r="H1421" s="265"/>
      <c r="I1421" s="266">
        <f>F1421-G1421-H1421</f>
        <v>523</v>
      </c>
      <c r="J1421" s="267" t="s">
        <v>150</v>
      </c>
      <c r="K1421" s="267">
        <v>1</v>
      </c>
      <c r="L1421" s="267">
        <v>1</v>
      </c>
      <c r="M1421" s="267">
        <v>1</v>
      </c>
      <c r="N1421" s="267">
        <v>1</v>
      </c>
      <c r="O1421" s="267">
        <v>1</v>
      </c>
      <c r="P1421" s="314">
        <v>0</v>
      </c>
      <c r="Q1421" s="267">
        <v>1</v>
      </c>
      <c r="R1421" s="267">
        <v>1</v>
      </c>
      <c r="S1421" s="269">
        <v>1</v>
      </c>
      <c r="T1421" s="63"/>
      <c r="U1421" s="94" t="s">
        <v>2166</v>
      </c>
      <c r="V1421" s="90"/>
      <c r="W1421" s="91"/>
      <c r="X1421" s="137"/>
      <c r="Y1421" s="181"/>
    </row>
    <row r="1422" spans="1:25" s="260" customFormat="1">
      <c r="A1422" s="260" t="s">
        <v>2216</v>
      </c>
      <c r="B1422" s="87">
        <f t="shared" ref="B1422:B1429" si="97">B1421+1</f>
        <v>9</v>
      </c>
      <c r="C1422" s="274">
        <v>45922</v>
      </c>
      <c r="D1422" s="276" t="s">
        <v>2217</v>
      </c>
      <c r="E1422" s="404" t="s">
        <v>155</v>
      </c>
      <c r="F1422" s="277">
        <v>5174.5</v>
      </c>
      <c r="G1422" s="277">
        <f>39.7+(8.54)+(1349.28+169.28)+250</f>
        <v>1816.8</v>
      </c>
      <c r="H1422" s="277"/>
      <c r="I1422" s="321">
        <f>F1422-G1422-H1422</f>
        <v>3357.7</v>
      </c>
      <c r="J1422" s="279" t="s">
        <v>156</v>
      </c>
      <c r="K1422" s="279">
        <v>1</v>
      </c>
      <c r="L1422" s="279">
        <v>1</v>
      </c>
      <c r="M1422" s="279">
        <v>1</v>
      </c>
      <c r="N1422" s="279">
        <v>1</v>
      </c>
      <c r="O1422" s="279">
        <v>1</v>
      </c>
      <c r="P1422" s="322">
        <v>0</v>
      </c>
      <c r="Q1422" s="322">
        <v>0</v>
      </c>
      <c r="R1422" s="322">
        <v>0</v>
      </c>
      <c r="S1422" s="328">
        <v>0</v>
      </c>
      <c r="T1422" s="63"/>
      <c r="U1422" s="94" t="s">
        <v>2218</v>
      </c>
      <c r="V1422" s="90"/>
      <c r="W1422" s="91"/>
      <c r="X1422" s="92"/>
    </row>
    <row r="1423" spans="1:25" s="260" customFormat="1">
      <c r="A1423" s="260" t="s">
        <v>2219</v>
      </c>
      <c r="B1423" s="87">
        <f t="shared" si="97"/>
        <v>10</v>
      </c>
      <c r="C1423" s="262">
        <v>45924</v>
      </c>
      <c r="D1423" s="271">
        <v>73596</v>
      </c>
      <c r="E1423" s="264" t="s">
        <v>296</v>
      </c>
      <c r="F1423" s="265">
        <v>2391.9</v>
      </c>
      <c r="G1423" s="265">
        <f>39.7+(206.34+82.06)+200</f>
        <v>528.09999999999991</v>
      </c>
      <c r="H1423" s="265"/>
      <c r="I1423" s="266">
        <f t="shared" ref="I1423:I1425" si="98">F1423-G1423-H1423</f>
        <v>1863.8000000000002</v>
      </c>
      <c r="J1423" s="267" t="s">
        <v>228</v>
      </c>
      <c r="K1423" s="267">
        <v>1</v>
      </c>
      <c r="L1423" s="267">
        <v>1</v>
      </c>
      <c r="M1423" s="267">
        <v>1</v>
      </c>
      <c r="N1423" s="267">
        <v>1</v>
      </c>
      <c r="O1423" s="267">
        <v>1</v>
      </c>
      <c r="P1423" s="314">
        <v>0</v>
      </c>
      <c r="Q1423" s="267">
        <v>1</v>
      </c>
      <c r="R1423" s="267">
        <v>1</v>
      </c>
      <c r="S1423" s="269">
        <v>1</v>
      </c>
      <c r="T1423" s="63"/>
      <c r="U1423" s="10" t="s">
        <v>2220</v>
      </c>
      <c r="V1423" s="90"/>
      <c r="W1423" s="91"/>
      <c r="X1423" s="92"/>
    </row>
    <row r="1424" spans="1:25" s="260" customFormat="1">
      <c r="A1424" s="494">
        <v>0.05</v>
      </c>
      <c r="B1424" s="87">
        <f t="shared" si="97"/>
        <v>11</v>
      </c>
      <c r="C1424" s="274">
        <v>45930</v>
      </c>
      <c r="D1424" s="275" t="s">
        <v>2233</v>
      </c>
      <c r="E1424" s="276" t="s">
        <v>349</v>
      </c>
      <c r="F1424" s="277">
        <v>2431.85</v>
      </c>
      <c r="G1424" s="277">
        <f>39.7+(1*100)</f>
        <v>139.69999999999999</v>
      </c>
      <c r="H1424" s="297"/>
      <c r="I1424" s="321">
        <f t="shared" si="98"/>
        <v>2292.15</v>
      </c>
      <c r="J1424" s="279" t="s">
        <v>156</v>
      </c>
      <c r="K1424" s="279">
        <v>1</v>
      </c>
      <c r="L1424" s="279">
        <v>0</v>
      </c>
      <c r="M1424" s="279">
        <v>1</v>
      </c>
      <c r="N1424" s="279">
        <v>1</v>
      </c>
      <c r="O1424" s="279">
        <v>1</v>
      </c>
      <c r="P1424" s="322">
        <v>0</v>
      </c>
      <c r="Q1424" s="279">
        <v>1</v>
      </c>
      <c r="R1424" s="279">
        <v>1</v>
      </c>
      <c r="S1424" s="280">
        <v>1</v>
      </c>
      <c r="T1424" s="63"/>
      <c r="U1424" s="94"/>
      <c r="V1424" s="90"/>
      <c r="W1424" s="91"/>
      <c r="X1424" s="92"/>
    </row>
    <row r="1425" spans="1:25" s="260" customFormat="1">
      <c r="A1425" s="494">
        <v>0.05</v>
      </c>
      <c r="B1425" s="87">
        <f t="shared" si="97"/>
        <v>12</v>
      </c>
      <c r="C1425" s="274">
        <v>45931</v>
      </c>
      <c r="D1425" s="275">
        <v>73858</v>
      </c>
      <c r="E1425" s="276" t="s">
        <v>572</v>
      </c>
      <c r="F1425" s="277">
        <v>1025</v>
      </c>
      <c r="G1425" s="277">
        <f>39.7</f>
        <v>39.700000000000003</v>
      </c>
      <c r="H1425" s="277"/>
      <c r="I1425" s="321">
        <f t="shared" si="98"/>
        <v>985.3</v>
      </c>
      <c r="J1425" s="279" t="s">
        <v>817</v>
      </c>
      <c r="K1425" s="279">
        <v>1</v>
      </c>
      <c r="L1425" s="279">
        <v>1</v>
      </c>
      <c r="M1425" s="279">
        <v>1</v>
      </c>
      <c r="N1425" s="279">
        <v>1</v>
      </c>
      <c r="O1425" s="279">
        <v>1</v>
      </c>
      <c r="P1425" s="322">
        <v>0</v>
      </c>
      <c r="Q1425" s="322">
        <v>0</v>
      </c>
      <c r="R1425" s="322">
        <v>0</v>
      </c>
      <c r="S1425" s="328">
        <v>0</v>
      </c>
      <c r="T1425" s="63"/>
      <c r="U1425" s="10" t="s">
        <v>2234</v>
      </c>
      <c r="V1425" s="90"/>
      <c r="W1425" s="91"/>
      <c r="X1425" s="92"/>
    </row>
    <row r="1426" spans="1:25" s="260" customFormat="1">
      <c r="A1426" s="494">
        <v>0.05</v>
      </c>
      <c r="B1426" s="87">
        <f t="shared" si="97"/>
        <v>13</v>
      </c>
      <c r="C1426" s="274">
        <v>45932</v>
      </c>
      <c r="D1426" s="276">
        <v>73254</v>
      </c>
      <c r="E1426" s="281" t="s">
        <v>1215</v>
      </c>
      <c r="F1426" s="277">
        <f>2899-85</f>
        <v>2814</v>
      </c>
      <c r="G1426" s="277">
        <f>39.7+(307.1+324.82-290.91)</f>
        <v>380.71000000000004</v>
      </c>
      <c r="H1426" s="277"/>
      <c r="I1426" s="321">
        <f>F1426-G1426-H1426</f>
        <v>2433.29</v>
      </c>
      <c r="J1426" s="279" t="s">
        <v>374</v>
      </c>
      <c r="K1426" s="279">
        <v>1</v>
      </c>
      <c r="L1426" s="279">
        <v>1</v>
      </c>
      <c r="M1426" s="279">
        <v>1</v>
      </c>
      <c r="N1426" s="279">
        <v>1</v>
      </c>
      <c r="O1426" s="279">
        <v>1</v>
      </c>
      <c r="P1426" s="279">
        <v>1</v>
      </c>
      <c r="Q1426" s="279">
        <v>1</v>
      </c>
      <c r="R1426" s="322">
        <v>0</v>
      </c>
      <c r="S1426" s="328">
        <v>0</v>
      </c>
      <c r="T1426" s="63"/>
      <c r="U1426" s="10" t="s">
        <v>2235</v>
      </c>
      <c r="V1426" s="90"/>
      <c r="W1426" s="91"/>
      <c r="X1426" s="92"/>
      <c r="Y1426" s="181"/>
    </row>
    <row r="1427" spans="1:25" s="260" customFormat="1">
      <c r="A1427" s="494">
        <v>0.05</v>
      </c>
      <c r="B1427" s="87">
        <f t="shared" si="97"/>
        <v>14</v>
      </c>
      <c r="C1427" s="282">
        <v>45932</v>
      </c>
      <c r="D1427" s="302">
        <v>73883</v>
      </c>
      <c r="E1427" s="319" t="s">
        <v>786</v>
      </c>
      <c r="F1427" s="284">
        <v>2353</v>
      </c>
      <c r="G1427" s="284">
        <f>39.7+(210.03)+200</f>
        <v>449.73</v>
      </c>
      <c r="H1427" s="284"/>
      <c r="I1427" s="300">
        <f t="shared" ref="I1427" si="99">F1427-G1427-H1427</f>
        <v>1903.27</v>
      </c>
      <c r="J1427" s="286" t="s">
        <v>374</v>
      </c>
      <c r="K1427" s="286">
        <v>1</v>
      </c>
      <c r="L1427" s="286">
        <v>1</v>
      </c>
      <c r="M1427" s="286">
        <v>1</v>
      </c>
      <c r="N1427" s="286">
        <v>1</v>
      </c>
      <c r="O1427" s="286">
        <v>1</v>
      </c>
      <c r="P1427" s="332">
        <v>0</v>
      </c>
      <c r="Q1427" s="286">
        <v>1</v>
      </c>
      <c r="R1427" s="286">
        <v>1</v>
      </c>
      <c r="S1427" s="370">
        <v>0</v>
      </c>
      <c r="T1427" s="63"/>
      <c r="U1427" s="10" t="s">
        <v>2236</v>
      </c>
      <c r="V1427" s="90"/>
      <c r="W1427" s="91"/>
      <c r="X1427" s="92"/>
    </row>
    <row r="1428" spans="1:25" s="260" customFormat="1">
      <c r="A1428" s="494" t="s">
        <v>2237</v>
      </c>
      <c r="B1428" s="87">
        <f t="shared" si="97"/>
        <v>15</v>
      </c>
      <c r="C1428" s="262">
        <v>45933</v>
      </c>
      <c r="D1428" s="271" t="s">
        <v>2238</v>
      </c>
      <c r="E1428" s="271" t="s">
        <v>2132</v>
      </c>
      <c r="F1428" s="265">
        <v>16814</v>
      </c>
      <c r="G1428" s="265">
        <f>39.7+(228.4)+(119.12+612.84+132.75+179.85+59.99)+1500</f>
        <v>2872.65</v>
      </c>
      <c r="H1428" s="265"/>
      <c r="I1428" s="266">
        <f>F1428-G1428-H1428</f>
        <v>13941.35</v>
      </c>
      <c r="J1428" s="267" t="s">
        <v>156</v>
      </c>
      <c r="K1428" s="267">
        <v>1</v>
      </c>
      <c r="L1428" s="267">
        <v>1</v>
      </c>
      <c r="M1428" s="267">
        <v>1</v>
      </c>
      <c r="N1428" s="267">
        <v>1</v>
      </c>
      <c r="O1428" s="267">
        <v>1</v>
      </c>
      <c r="P1428" s="314">
        <v>0</v>
      </c>
      <c r="Q1428" s="267">
        <v>1</v>
      </c>
      <c r="R1428" s="267">
        <v>1</v>
      </c>
      <c r="S1428" s="269">
        <v>1</v>
      </c>
      <c r="T1428" s="63"/>
      <c r="U1428" s="94" t="s">
        <v>2239</v>
      </c>
      <c r="V1428" s="90"/>
      <c r="W1428" s="136"/>
      <c r="X1428" s="137"/>
    </row>
    <row r="1429" spans="1:25" s="260" customFormat="1">
      <c r="A1429" s="181" t="s">
        <v>619</v>
      </c>
      <c r="B1429" s="87">
        <f t="shared" si="97"/>
        <v>16</v>
      </c>
      <c r="C1429" s="262">
        <v>45939</v>
      </c>
      <c r="D1429" s="271">
        <v>74184</v>
      </c>
      <c r="E1429" s="264" t="s">
        <v>225</v>
      </c>
      <c r="F1429" s="265">
        <v>2614</v>
      </c>
      <c r="G1429" s="265">
        <f>39.7+(49.06+253.13)</f>
        <v>341.89</v>
      </c>
      <c r="H1429" s="265"/>
      <c r="I1429" s="266">
        <f t="shared" ref="I1429" si="100">F1429-G1429-H1429</f>
        <v>2272.11</v>
      </c>
      <c r="J1429" s="267" t="s">
        <v>156</v>
      </c>
      <c r="K1429" s="267">
        <v>1</v>
      </c>
      <c r="L1429" s="267">
        <v>1</v>
      </c>
      <c r="M1429" s="267">
        <v>1</v>
      </c>
      <c r="N1429" s="267">
        <v>1</v>
      </c>
      <c r="O1429" s="267">
        <v>1</v>
      </c>
      <c r="P1429" s="314">
        <v>0</v>
      </c>
      <c r="Q1429" s="314">
        <v>0</v>
      </c>
      <c r="R1429" s="314">
        <v>0</v>
      </c>
      <c r="S1429" s="366">
        <v>0</v>
      </c>
      <c r="T1429" s="63"/>
      <c r="U1429" s="10" t="s">
        <v>2257</v>
      </c>
      <c r="V1429" s="90"/>
      <c r="W1429" s="91"/>
      <c r="X1429" s="92"/>
    </row>
    <row r="1430" spans="1:25" s="260" customFormat="1">
      <c r="A1430" s="181"/>
      <c r="B1430" s="11"/>
      <c r="C1430" s="36"/>
      <c r="D1430" s="10"/>
      <c r="E1430" s="10"/>
      <c r="F1430" s="98">
        <f>SUM(F1414:F1429)</f>
        <v>65689.709999999992</v>
      </c>
      <c r="G1430" s="98">
        <f t="shared" ref="G1430:I1430" si="101">SUM(G1414:G1429)</f>
        <v>13104.519999999999</v>
      </c>
      <c r="H1430" s="98">
        <f t="shared" si="101"/>
        <v>271.51</v>
      </c>
      <c r="I1430" s="98">
        <f t="shared" si="101"/>
        <v>52313.679999999993</v>
      </c>
      <c r="J1430" s="63"/>
      <c r="K1430" s="21"/>
      <c r="L1430" s="21"/>
      <c r="M1430" s="21"/>
      <c r="N1430" s="21"/>
      <c r="O1430" s="21"/>
      <c r="P1430" s="21"/>
      <c r="Q1430" s="21"/>
      <c r="R1430" s="21"/>
      <c r="S1430" s="21"/>
      <c r="T1430" s="63"/>
      <c r="U1430" s="10"/>
      <c r="V1430" s="90"/>
      <c r="W1430" s="91"/>
      <c r="X1430" s="92"/>
    </row>
    <row r="1431" spans="1:25" s="260" customFormat="1">
      <c r="A1431" s="181"/>
      <c r="B1431" s="11"/>
      <c r="C1431" s="36"/>
      <c r="D1431" s="10"/>
      <c r="E1431" s="10"/>
      <c r="F1431" s="88"/>
      <c r="G1431" s="88"/>
      <c r="H1431" s="88"/>
      <c r="I1431" s="99"/>
      <c r="J1431" s="63"/>
      <c r="K1431" s="21"/>
      <c r="L1431" s="21"/>
      <c r="M1431" s="21"/>
      <c r="N1431" s="21"/>
      <c r="O1431" s="21"/>
      <c r="P1431" s="21"/>
      <c r="Q1431" s="21"/>
      <c r="R1431" s="21"/>
      <c r="S1431" s="21"/>
      <c r="T1431" s="63"/>
      <c r="U1431" s="10"/>
      <c r="V1431" s="90"/>
      <c r="W1431" s="91"/>
      <c r="X1431" s="92"/>
    </row>
    <row r="1432" spans="1:25" s="260" customFormat="1">
      <c r="B1432" s="100" t="s">
        <v>202</v>
      </c>
      <c r="C1432" s="36"/>
      <c r="D1432" s="10"/>
      <c r="E1432" s="181"/>
      <c r="F1432" s="88"/>
      <c r="G1432" s="88"/>
      <c r="H1432" s="88"/>
      <c r="I1432" s="99"/>
      <c r="J1432" s="63"/>
      <c r="K1432" s="21"/>
      <c r="L1432" s="21"/>
      <c r="M1432" s="21"/>
      <c r="N1432" s="21"/>
      <c r="O1432" s="21"/>
      <c r="P1432" s="21"/>
      <c r="Q1432" s="21"/>
      <c r="R1432" s="21"/>
      <c r="S1432" s="21"/>
      <c r="T1432" s="63"/>
      <c r="U1432" s="10"/>
      <c r="V1432" s="90"/>
      <c r="W1432" s="91"/>
      <c r="X1432" s="92"/>
    </row>
    <row r="1433" spans="1:25" s="260" customFormat="1">
      <c r="A1433" s="494">
        <v>0.05</v>
      </c>
      <c r="B1433" s="87">
        <v>1</v>
      </c>
      <c r="C1433" s="262">
        <v>45848</v>
      </c>
      <c r="D1433" s="271">
        <v>71381</v>
      </c>
      <c r="E1433" s="271" t="s">
        <v>1530</v>
      </c>
      <c r="F1433" s="265">
        <f>1223-85</f>
        <v>1138</v>
      </c>
      <c r="G1433" s="265">
        <f>39.7</f>
        <v>39.700000000000003</v>
      </c>
      <c r="H1433" s="265"/>
      <c r="I1433" s="266">
        <f>F1433-G1433-H1433</f>
        <v>1098.3</v>
      </c>
      <c r="J1433" s="267" t="s">
        <v>156</v>
      </c>
      <c r="K1433" s="267">
        <v>1</v>
      </c>
      <c r="L1433" s="267"/>
      <c r="M1433" s="267">
        <v>1</v>
      </c>
      <c r="N1433" s="267">
        <v>1</v>
      </c>
      <c r="O1433" s="267">
        <v>1</v>
      </c>
      <c r="P1433" s="314">
        <v>0</v>
      </c>
      <c r="Q1433" s="267"/>
      <c r="R1433" s="267"/>
      <c r="S1433" s="269"/>
      <c r="T1433" s="63"/>
      <c r="U1433" s="94"/>
      <c r="V1433" s="90"/>
      <c r="W1433" s="136"/>
      <c r="X1433" s="137"/>
    </row>
    <row r="1434" spans="1:25" s="260" customFormat="1">
      <c r="A1434" s="494">
        <v>0.05</v>
      </c>
      <c r="B1434" s="87">
        <f>B1433+1</f>
        <v>2</v>
      </c>
      <c r="C1434" s="274">
        <v>45902</v>
      </c>
      <c r="D1434" s="276">
        <v>72830</v>
      </c>
      <c r="E1434" s="276" t="s">
        <v>196</v>
      </c>
      <c r="F1434" s="277">
        <f>3447-85</f>
        <v>3362</v>
      </c>
      <c r="G1434" s="277">
        <f>39.7+(20.1)</f>
        <v>59.800000000000004</v>
      </c>
      <c r="H1434" s="277"/>
      <c r="I1434" s="321">
        <f>F1434-G1434-H1434</f>
        <v>3302.2</v>
      </c>
      <c r="J1434" s="279" t="s">
        <v>374</v>
      </c>
      <c r="K1434" s="279">
        <v>1</v>
      </c>
      <c r="L1434" s="279"/>
      <c r="M1434" s="279">
        <v>1</v>
      </c>
      <c r="N1434" s="279">
        <v>1</v>
      </c>
      <c r="O1434" s="322">
        <v>0</v>
      </c>
      <c r="P1434" s="322">
        <v>0</v>
      </c>
      <c r="Q1434" s="279"/>
      <c r="R1434" s="279"/>
      <c r="S1434" s="280"/>
      <c r="T1434" s="63"/>
      <c r="U1434" s="94"/>
      <c r="V1434" s="90"/>
      <c r="W1434" s="136"/>
      <c r="X1434" s="137"/>
    </row>
    <row r="1435" spans="1:25" s="260" customFormat="1">
      <c r="A1435" s="494">
        <v>0.05</v>
      </c>
      <c r="B1435" s="87">
        <f>B1434+1</f>
        <v>3</v>
      </c>
      <c r="C1435" s="262">
        <v>45904</v>
      </c>
      <c r="D1435" s="271">
        <v>72887</v>
      </c>
      <c r="E1435" s="271" t="s">
        <v>2132</v>
      </c>
      <c r="F1435" s="265">
        <v>12814</v>
      </c>
      <c r="G1435" s="265">
        <f>39.7+1000</f>
        <v>1039.7</v>
      </c>
      <c r="H1435" s="265"/>
      <c r="I1435" s="266">
        <f>F1435-G1435-H1435</f>
        <v>11774.3</v>
      </c>
      <c r="J1435" s="267"/>
      <c r="K1435" s="267">
        <v>1</v>
      </c>
      <c r="L1435" s="267"/>
      <c r="M1435" s="267"/>
      <c r="N1435" s="267">
        <v>1</v>
      </c>
      <c r="O1435" s="267">
        <v>1</v>
      </c>
      <c r="P1435" s="314">
        <v>0</v>
      </c>
      <c r="Q1435" s="267"/>
      <c r="R1435" s="267"/>
      <c r="S1435" s="269"/>
      <c r="T1435" s="21"/>
      <c r="U1435" s="94"/>
      <c r="V1435" s="90"/>
      <c r="W1435" s="136"/>
      <c r="X1435" s="137"/>
    </row>
    <row r="1436" spans="1:25" s="342" customFormat="1">
      <c r="A1436" s="494">
        <v>0.05</v>
      </c>
      <c r="B1436" s="87">
        <f>B1435+1</f>
        <v>4</v>
      </c>
      <c r="C1436" s="262">
        <v>45919</v>
      </c>
      <c r="D1436" s="271" t="s">
        <v>2189</v>
      </c>
      <c r="E1436" s="271" t="s">
        <v>225</v>
      </c>
      <c r="F1436" s="265">
        <v>17023</v>
      </c>
      <c r="G1436" s="265">
        <f>39.7+313.4+78+(3.75+52.5-57.57+55.3+187.06)+(398.58+159.54+65.3+7.89+65.01+153.3+61.29)+1500</f>
        <v>3083.0499999999997</v>
      </c>
      <c r="H1436" s="265"/>
      <c r="I1436" s="266">
        <f>F1436-G1436-H1436</f>
        <v>13939.95</v>
      </c>
      <c r="J1436" s="267" t="s">
        <v>156</v>
      </c>
      <c r="K1436" s="267">
        <v>1</v>
      </c>
      <c r="L1436" s="267"/>
      <c r="M1436" s="267">
        <v>1</v>
      </c>
      <c r="N1436" s="267">
        <v>1</v>
      </c>
      <c r="O1436" s="267">
        <v>1</v>
      </c>
      <c r="P1436" s="314">
        <v>0</v>
      </c>
      <c r="Q1436" s="267"/>
      <c r="R1436" s="267"/>
      <c r="S1436" s="269"/>
      <c r="T1436" s="21"/>
      <c r="U1436" s="94" t="s">
        <v>2241</v>
      </c>
      <c r="V1436" s="90"/>
      <c r="W1436" s="136"/>
      <c r="X1436" s="137"/>
      <c r="Y1436" s="260"/>
    </row>
    <row r="1437" spans="1:25" s="342" customFormat="1">
      <c r="A1437" s="494">
        <v>0.05</v>
      </c>
      <c r="B1437" s="87">
        <f>B1436+1</f>
        <v>5</v>
      </c>
      <c r="C1437" s="262">
        <v>45923</v>
      </c>
      <c r="D1437" s="271" t="s">
        <v>2221</v>
      </c>
      <c r="E1437" s="271" t="s">
        <v>168</v>
      </c>
      <c r="F1437" s="265">
        <v>6814</v>
      </c>
      <c r="G1437" s="265">
        <f>39.7+2000</f>
        <v>2039.7</v>
      </c>
      <c r="H1437" s="265"/>
      <c r="I1437" s="266">
        <f t="shared" ref="I1437" si="102">F1437-G1437-H1437</f>
        <v>4774.3</v>
      </c>
      <c r="J1437" s="267" t="s">
        <v>156</v>
      </c>
      <c r="K1437" s="267">
        <v>1</v>
      </c>
      <c r="L1437" s="267"/>
      <c r="M1437" s="267">
        <v>1</v>
      </c>
      <c r="N1437" s="267">
        <v>1</v>
      </c>
      <c r="O1437" s="267">
        <v>1</v>
      </c>
      <c r="P1437" s="314">
        <v>0</v>
      </c>
      <c r="Q1437" s="267"/>
      <c r="R1437" s="267"/>
      <c r="S1437" s="269"/>
      <c r="T1437" s="21"/>
      <c r="U1437" s="94"/>
      <c r="V1437" s="90"/>
      <c r="W1437" s="136"/>
      <c r="X1437" s="137"/>
      <c r="Y1437" s="260"/>
    </row>
    <row r="1438" spans="1:25" s="260" customFormat="1">
      <c r="A1438" s="494">
        <v>0.05</v>
      </c>
      <c r="B1438" s="87">
        <f t="shared" ref="B1438:B1440" si="103">B1437+1</f>
        <v>6</v>
      </c>
      <c r="C1438" s="274">
        <v>45940</v>
      </c>
      <c r="D1438" s="276" t="s">
        <v>2250</v>
      </c>
      <c r="E1438" s="276" t="s">
        <v>572</v>
      </c>
      <c r="F1438" s="277">
        <v>5814</v>
      </c>
      <c r="G1438" s="277">
        <f>39.7+(47.63)+(141.82+789.54)</f>
        <v>1018.6899999999999</v>
      </c>
      <c r="H1438" s="277"/>
      <c r="I1438" s="321">
        <f>F1438-G1438-H1438</f>
        <v>4795.3100000000004</v>
      </c>
      <c r="J1438" s="279" t="s">
        <v>228</v>
      </c>
      <c r="K1438" s="279">
        <v>1</v>
      </c>
      <c r="L1438" s="279"/>
      <c r="M1438" s="279">
        <v>1</v>
      </c>
      <c r="N1438" s="279">
        <v>1</v>
      </c>
      <c r="O1438" s="279">
        <v>1</v>
      </c>
      <c r="P1438" s="322">
        <v>0</v>
      </c>
      <c r="Q1438" s="279"/>
      <c r="R1438" s="279"/>
      <c r="S1438" s="280"/>
      <c r="T1438" s="63"/>
      <c r="U1438" s="94" t="s">
        <v>2251</v>
      </c>
      <c r="V1438" s="90"/>
      <c r="W1438" s="136"/>
      <c r="X1438" s="137"/>
    </row>
    <row r="1439" spans="1:25" s="260" customFormat="1">
      <c r="A1439" s="261">
        <v>0.05</v>
      </c>
      <c r="B1439" s="87">
        <f t="shared" si="103"/>
        <v>7</v>
      </c>
      <c r="C1439" s="295">
        <v>45940</v>
      </c>
      <c r="D1439" s="10">
        <v>74286</v>
      </c>
      <c r="E1439" s="10" t="s">
        <v>210</v>
      </c>
      <c r="F1439" s="62">
        <v>1861</v>
      </c>
      <c r="G1439" s="62">
        <f>39.7+550</f>
        <v>589.70000000000005</v>
      </c>
      <c r="H1439" s="62"/>
      <c r="I1439" s="324">
        <f t="shared" ref="I1439" si="104">F1439-G1439-H1439</f>
        <v>1271.3</v>
      </c>
      <c r="J1439" s="63" t="s">
        <v>156</v>
      </c>
      <c r="K1439" s="63">
        <v>1</v>
      </c>
      <c r="L1439" s="63"/>
      <c r="M1439" s="63">
        <v>1</v>
      </c>
      <c r="N1439" s="63">
        <v>1</v>
      </c>
      <c r="O1439" s="63">
        <v>1</v>
      </c>
      <c r="P1439" s="325">
        <v>0</v>
      </c>
      <c r="Q1439" s="63"/>
      <c r="R1439" s="63"/>
      <c r="S1439" s="296"/>
      <c r="T1439" s="63"/>
      <c r="U1439" s="94" t="s">
        <v>2258</v>
      </c>
      <c r="V1439" s="90"/>
      <c r="W1439" s="136"/>
      <c r="X1439" s="137"/>
    </row>
    <row r="1440" spans="1:25" s="260" customFormat="1">
      <c r="A1440" s="31">
        <v>0.05</v>
      </c>
      <c r="B1440" s="87">
        <f t="shared" si="103"/>
        <v>8</v>
      </c>
      <c r="C1440" s="282">
        <v>45940</v>
      </c>
      <c r="D1440" s="283">
        <v>74313</v>
      </c>
      <c r="E1440" s="283" t="s">
        <v>225</v>
      </c>
      <c r="F1440" s="284">
        <v>1861</v>
      </c>
      <c r="G1440" s="284">
        <f>39.7+550</f>
        <v>589.70000000000005</v>
      </c>
      <c r="H1440" s="284"/>
      <c r="I1440" s="300">
        <f>F1440-G1440-H1440</f>
        <v>1271.3</v>
      </c>
      <c r="J1440" s="286" t="s">
        <v>156</v>
      </c>
      <c r="K1440" s="286">
        <v>1</v>
      </c>
      <c r="L1440" s="286"/>
      <c r="M1440" s="286">
        <v>1</v>
      </c>
      <c r="N1440" s="286">
        <v>1</v>
      </c>
      <c r="O1440" s="286">
        <v>1</v>
      </c>
      <c r="P1440" s="332">
        <v>0</v>
      </c>
      <c r="Q1440" s="286"/>
      <c r="R1440" s="286"/>
      <c r="S1440" s="287"/>
      <c r="T1440" s="63"/>
      <c r="U1440" s="94" t="s">
        <v>2253</v>
      </c>
      <c r="V1440" s="90"/>
      <c r="W1440" s="136"/>
      <c r="X1440" s="137"/>
    </row>
    <row r="1441" spans="1:25" s="260" customFormat="1">
      <c r="B1441" s="11"/>
      <c r="C1441" s="36"/>
      <c r="D1441" s="10"/>
      <c r="E1441" s="10"/>
      <c r="F1441" s="97">
        <f>SUM(F1433:F1440)</f>
        <v>50687</v>
      </c>
      <c r="G1441" s="97">
        <f t="shared" ref="G1441:I1441" si="105">SUM(G1433:G1440)</f>
        <v>8460.0399999999991</v>
      </c>
      <c r="H1441" s="97">
        <f t="shared" si="105"/>
        <v>0</v>
      </c>
      <c r="I1441" s="97">
        <f t="shared" si="105"/>
        <v>42226.960000000006</v>
      </c>
      <c r="J1441" s="63"/>
      <c r="K1441" s="21"/>
      <c r="L1441" s="21"/>
      <c r="M1441" s="21"/>
      <c r="N1441" s="21"/>
      <c r="O1441" s="21"/>
      <c r="P1441" s="21"/>
      <c r="Q1441" s="21"/>
      <c r="R1441" s="21"/>
      <c r="S1441" s="21"/>
      <c r="T1441" s="63"/>
      <c r="U1441" s="10"/>
      <c r="V1441" s="90"/>
      <c r="W1441" s="91"/>
      <c r="X1441" s="92"/>
    </row>
    <row r="1442" spans="1:25" s="260" customFormat="1">
      <c r="B1442" s="11"/>
      <c r="C1442" s="36"/>
      <c r="D1442" s="10"/>
      <c r="E1442" s="10"/>
      <c r="F1442" s="88"/>
      <c r="G1442" s="88"/>
      <c r="H1442" s="88"/>
      <c r="I1442" s="99"/>
      <c r="J1442" s="10"/>
      <c r="K1442" s="63"/>
      <c r="L1442" s="63"/>
      <c r="M1442" s="63"/>
      <c r="N1442" s="63"/>
      <c r="O1442" s="63"/>
      <c r="P1442" s="63"/>
      <c r="Q1442" s="63"/>
      <c r="R1442" s="63"/>
      <c r="S1442" s="63"/>
      <c r="T1442" s="63"/>
      <c r="U1442" s="10"/>
      <c r="V1442" s="90"/>
      <c r="W1442" s="91"/>
      <c r="X1442" s="92"/>
    </row>
    <row r="1443" spans="1:25">
      <c r="A1443" s="614"/>
      <c r="B1443" s="100" t="s">
        <v>72</v>
      </c>
      <c r="C1443" s="36"/>
      <c r="D1443" s="10"/>
      <c r="E1443" s="10"/>
      <c r="F1443" s="88"/>
      <c r="G1443" s="88"/>
      <c r="H1443" s="88"/>
      <c r="I1443" s="99"/>
      <c r="J1443" s="63"/>
      <c r="K1443" s="63"/>
      <c r="L1443" s="63"/>
      <c r="M1443" s="63"/>
      <c r="N1443" s="63"/>
      <c r="O1443" s="63"/>
      <c r="P1443" s="63"/>
      <c r="Q1443" s="63"/>
      <c r="R1443" s="63"/>
      <c r="S1443" s="63"/>
      <c r="T1443" s="63"/>
      <c r="U1443" s="10"/>
      <c r="V1443" s="90"/>
      <c r="W1443" s="91"/>
      <c r="X1443" s="92"/>
    </row>
    <row r="1444" spans="1:25">
      <c r="A1444" s="614"/>
      <c r="B1444" s="87">
        <v>1</v>
      </c>
      <c r="C1444" s="274">
        <v>45943</v>
      </c>
      <c r="D1444" s="276">
        <v>74350</v>
      </c>
      <c r="E1444" s="276" t="s">
        <v>809</v>
      </c>
      <c r="F1444" s="277">
        <v>681</v>
      </c>
      <c r="G1444" s="277"/>
      <c r="H1444" s="277"/>
      <c r="I1444" s="278">
        <f>F1444-G1444-H1444</f>
        <v>681</v>
      </c>
      <c r="J1444" s="279" t="s">
        <v>205</v>
      </c>
      <c r="K1444" s="279"/>
      <c r="L1444" s="279"/>
      <c r="M1444" s="279"/>
      <c r="N1444" s="279">
        <v>1</v>
      </c>
      <c r="O1444" s="279"/>
      <c r="P1444" s="279"/>
      <c r="Q1444" s="279"/>
      <c r="R1444" s="279"/>
      <c r="S1444" s="280"/>
      <c r="T1444" s="63"/>
      <c r="U1444" s="3"/>
      <c r="V1444" s="90"/>
      <c r="W1444" s="91"/>
      <c r="X1444" s="92"/>
    </row>
    <row r="1445" spans="1:25">
      <c r="A1445" s="614"/>
      <c r="B1445" s="87">
        <f>B1444+1</f>
        <v>2</v>
      </c>
      <c r="C1445" s="295">
        <v>45943</v>
      </c>
      <c r="D1445" s="10">
        <v>74345</v>
      </c>
      <c r="E1445" s="10" t="s">
        <v>2259</v>
      </c>
      <c r="F1445" s="62">
        <v>1138</v>
      </c>
      <c r="G1445" s="62">
        <f>39.7</f>
        <v>39.700000000000003</v>
      </c>
      <c r="H1445" s="62"/>
      <c r="I1445" s="89">
        <f>F1445-G1445-H1445</f>
        <v>1098.3</v>
      </c>
      <c r="J1445" s="63" t="s">
        <v>205</v>
      </c>
      <c r="K1445" s="63">
        <v>1</v>
      </c>
      <c r="L1445" s="63"/>
      <c r="M1445" s="63"/>
      <c r="N1445" s="63">
        <v>1</v>
      </c>
      <c r="O1445" s="63"/>
      <c r="P1445" s="63"/>
      <c r="Q1445" s="63">
        <v>1</v>
      </c>
      <c r="R1445" s="63">
        <v>1</v>
      </c>
      <c r="S1445" s="296"/>
      <c r="T1445" s="63"/>
      <c r="U1445" s="10"/>
      <c r="V1445" s="90"/>
      <c r="W1445" s="136"/>
      <c r="X1445" s="137"/>
    </row>
    <row r="1446" spans="1:25">
      <c r="A1446" s="614"/>
      <c r="B1446" s="87">
        <f>B1445+1</f>
        <v>3</v>
      </c>
      <c r="C1446" s="274">
        <v>45944</v>
      </c>
      <c r="D1446" s="276">
        <v>74115</v>
      </c>
      <c r="E1446" s="276" t="s">
        <v>456</v>
      </c>
      <c r="F1446" s="277">
        <v>0</v>
      </c>
      <c r="G1446" s="277">
        <v>0</v>
      </c>
      <c r="H1446" s="277"/>
      <c r="I1446" s="278">
        <f>F1446-G1446-H1446</f>
        <v>0</v>
      </c>
      <c r="J1446" s="279" t="s">
        <v>205</v>
      </c>
      <c r="K1446" s="279"/>
      <c r="L1446" s="279"/>
      <c r="M1446" s="279"/>
      <c r="N1446" s="279"/>
      <c r="O1446" s="279"/>
      <c r="P1446" s="279"/>
      <c r="Q1446" s="279"/>
      <c r="R1446" s="279"/>
      <c r="S1446" s="280"/>
      <c r="T1446" s="63"/>
      <c r="U1446" s="10"/>
      <c r="V1446" s="90"/>
      <c r="W1446" s="136"/>
      <c r="X1446" s="137"/>
    </row>
    <row r="1447" spans="1:25">
      <c r="A1447" s="614"/>
      <c r="B1447" s="87">
        <f>B1446+1</f>
        <v>4</v>
      </c>
      <c r="C1447" s="295">
        <v>45944</v>
      </c>
      <c r="D1447" s="10">
        <v>74335</v>
      </c>
      <c r="E1447" s="10" t="s">
        <v>2136</v>
      </c>
      <c r="F1447" s="62">
        <v>416</v>
      </c>
      <c r="G1447" s="62"/>
      <c r="H1447" s="62"/>
      <c r="I1447" s="89">
        <f>F1447-G1447-H1447</f>
        <v>416</v>
      </c>
      <c r="J1447" s="63" t="s">
        <v>205</v>
      </c>
      <c r="K1447" s="63">
        <v>1</v>
      </c>
      <c r="L1447" s="63"/>
      <c r="M1447" s="63"/>
      <c r="N1447" s="63">
        <v>1</v>
      </c>
      <c r="O1447" s="63"/>
      <c r="P1447" s="63"/>
      <c r="Q1447" s="63">
        <v>1</v>
      </c>
      <c r="R1447" s="63">
        <v>1</v>
      </c>
      <c r="S1447" s="296"/>
      <c r="T1447" s="63"/>
      <c r="U1447" s="10"/>
      <c r="V1447" s="90"/>
      <c r="W1447" s="136"/>
      <c r="X1447" s="137"/>
    </row>
    <row r="1448" spans="1:25">
      <c r="A1448" s="614"/>
      <c r="B1448" s="87">
        <f>B1447+1</f>
        <v>5</v>
      </c>
      <c r="C1448" s="282">
        <v>45944</v>
      </c>
      <c r="D1448" s="283">
        <v>74441</v>
      </c>
      <c r="E1448" s="283" t="s">
        <v>262</v>
      </c>
      <c r="F1448" s="284">
        <v>1134</v>
      </c>
      <c r="G1448" s="284">
        <v>39.700000000000003</v>
      </c>
      <c r="H1448" s="284"/>
      <c r="I1448" s="285">
        <f>F1448-G1448-H1448</f>
        <v>1094.3</v>
      </c>
      <c r="J1448" s="286" t="s">
        <v>205</v>
      </c>
      <c r="K1448" s="286">
        <v>1</v>
      </c>
      <c r="L1448" s="286"/>
      <c r="M1448" s="286"/>
      <c r="N1448" s="286">
        <v>1</v>
      </c>
      <c r="O1448" s="286"/>
      <c r="P1448" s="286"/>
      <c r="Q1448" s="286">
        <v>1</v>
      </c>
      <c r="R1448" s="286">
        <v>1</v>
      </c>
      <c r="S1448" s="287"/>
      <c r="T1448" s="63"/>
      <c r="U1448" s="10"/>
      <c r="V1448" s="90"/>
      <c r="W1448" s="136"/>
      <c r="X1448" s="137"/>
    </row>
    <row r="1449" spans="1:25">
      <c r="A1449" s="614"/>
      <c r="B1449" s="11"/>
      <c r="C1449" s="36"/>
      <c r="D1449" s="10"/>
      <c r="E1449" s="10"/>
      <c r="F1449" s="97">
        <f>SUM(F1444:F1448)</f>
        <v>3369</v>
      </c>
      <c r="G1449" s="97">
        <f>SUM(G1444:G1448)</f>
        <v>79.400000000000006</v>
      </c>
      <c r="H1449" s="97">
        <f>SUM(H1444:H1448)</f>
        <v>0</v>
      </c>
      <c r="I1449" s="98">
        <f>SUM(I1444:I1448)</f>
        <v>3289.6000000000004</v>
      </c>
      <c r="J1449" s="10"/>
      <c r="K1449" s="10"/>
      <c r="L1449" s="10"/>
      <c r="M1449" s="10"/>
      <c r="N1449" s="10"/>
      <c r="O1449" s="10"/>
      <c r="P1449" s="10"/>
      <c r="Q1449" s="10"/>
      <c r="R1449" s="10"/>
      <c r="S1449" s="10"/>
      <c r="T1449" s="63"/>
      <c r="U1449" s="10"/>
      <c r="V1449" s="138"/>
      <c r="W1449" s="136"/>
      <c r="X1449" s="137"/>
    </row>
    <row r="1450" spans="1:25">
      <c r="A1450" s="614"/>
      <c r="B1450" s="26"/>
      <c r="C1450" s="612"/>
      <c r="D1450" s="141"/>
      <c r="E1450" s="141"/>
      <c r="F1450" s="141"/>
      <c r="G1450" s="141"/>
      <c r="H1450" s="141"/>
      <c r="I1450" s="141"/>
      <c r="J1450" s="141"/>
      <c r="K1450" s="142"/>
      <c r="L1450" s="142"/>
      <c r="M1450" s="142"/>
      <c r="N1450" s="142"/>
      <c r="O1450" s="142"/>
      <c r="P1450" s="142"/>
      <c r="Q1450" s="142"/>
      <c r="R1450" s="142"/>
      <c r="S1450" s="142"/>
      <c r="T1450" s="143">
        <f>SUM(T1404:T1449)</f>
        <v>0</v>
      </c>
      <c r="U1450" s="141"/>
      <c r="V1450" s="144">
        <f>SUM(V1404:V1449)</f>
        <v>10489.6</v>
      </c>
      <c r="W1450" s="144">
        <f t="shared" ref="W1450:X1450" si="106">SUM(W1404:W1449)</f>
        <v>0</v>
      </c>
      <c r="X1450" s="144">
        <f t="shared" si="106"/>
        <v>0</v>
      </c>
    </row>
    <row r="1453" spans="1:25">
      <c r="B1453" s="4" t="s">
        <v>1</v>
      </c>
      <c r="C1453" s="5"/>
      <c r="D1453" s="6"/>
      <c r="E1453" s="6"/>
      <c r="F1453" s="7" t="s">
        <v>2</v>
      </c>
      <c r="G1453" s="608">
        <v>45956</v>
      </c>
      <c r="H1453" s="7"/>
      <c r="I1453" s="6"/>
      <c r="J1453" s="6"/>
      <c r="K1453" s="6"/>
      <c r="L1453" s="6"/>
      <c r="M1453" s="6"/>
      <c r="N1453" s="6"/>
      <c r="O1453" s="6"/>
      <c r="P1453" s="6"/>
      <c r="Q1453" s="6"/>
      <c r="R1453" s="6"/>
      <c r="S1453" s="6"/>
      <c r="T1453" s="6"/>
      <c r="U1453" s="9"/>
      <c r="V1453" s="10"/>
      <c r="W1453" s="10"/>
      <c r="X1453" s="10"/>
      <c r="Y1453" s="2"/>
    </row>
    <row r="1454" spans="1:25">
      <c r="B1454" s="11"/>
      <c r="C1454" s="10"/>
      <c r="D1454" s="10"/>
      <c r="E1454" s="10"/>
      <c r="F1454" s="10"/>
      <c r="G1454" s="7"/>
      <c r="H1454" s="12"/>
      <c r="I1454" s="10"/>
      <c r="J1454" s="10"/>
      <c r="K1454" s="13" t="s">
        <v>3</v>
      </c>
      <c r="L1454" s="14"/>
      <c r="M1454" s="15"/>
      <c r="N1454" s="13" t="s">
        <v>4</v>
      </c>
      <c r="O1454" s="14"/>
      <c r="P1454" s="15"/>
      <c r="Q1454" s="13" t="s">
        <v>5</v>
      </c>
      <c r="R1454" s="14"/>
      <c r="S1454" s="15"/>
      <c r="T1454" s="16"/>
      <c r="U1454" s="17"/>
      <c r="V1454" s="10"/>
      <c r="W1454" s="10"/>
      <c r="X1454" s="10"/>
      <c r="Y1454" s="2"/>
    </row>
    <row r="1455" spans="1:25">
      <c r="B1455" s="18" t="s">
        <v>6</v>
      </c>
      <c r="C1455" s="19">
        <f>C1456+C1457</f>
        <v>0</v>
      </c>
      <c r="D1455" s="10"/>
      <c r="E1455" s="18" t="s">
        <v>7</v>
      </c>
      <c r="F1455" s="6"/>
      <c r="G1455" s="9"/>
      <c r="H1455" s="10"/>
      <c r="I1455" s="10"/>
      <c r="J1455" s="10"/>
      <c r="K1455" s="20" t="s">
        <v>8</v>
      </c>
      <c r="L1455" s="21" t="s">
        <v>9</v>
      </c>
      <c r="M1455" s="21" t="s">
        <v>10</v>
      </c>
      <c r="N1455" s="20" t="s">
        <v>11</v>
      </c>
      <c r="O1455" s="21" t="s">
        <v>12</v>
      </c>
      <c r="P1455" s="22" t="s">
        <v>13</v>
      </c>
      <c r="Q1455" s="21" t="s">
        <v>11</v>
      </c>
      <c r="R1455" s="21" t="s">
        <v>12</v>
      </c>
      <c r="S1455" s="22" t="s">
        <v>13</v>
      </c>
      <c r="T1455" s="23" t="s">
        <v>14</v>
      </c>
      <c r="U1455" s="17"/>
      <c r="V1455" s="10"/>
      <c r="W1455" s="10"/>
      <c r="X1455" s="10"/>
      <c r="Y1455" s="2"/>
    </row>
    <row r="1456" spans="1:25">
      <c r="B1456" s="24" t="s">
        <v>15</v>
      </c>
      <c r="C1456" s="25">
        <f>P1463</f>
        <v>0</v>
      </c>
      <c r="D1456" s="10"/>
      <c r="E1456" s="26" t="s">
        <v>16</v>
      </c>
      <c r="F1456" s="27">
        <v>0.05</v>
      </c>
      <c r="G1456" s="28"/>
      <c r="H1456" s="10"/>
      <c r="I1456" s="10"/>
      <c r="J1456" s="18" t="s">
        <v>17</v>
      </c>
      <c r="K1456" s="29">
        <f>K1482</f>
        <v>0</v>
      </c>
      <c r="L1456" s="29">
        <f t="shared" ref="L1456:S1456" si="107">L1482</f>
        <v>0</v>
      </c>
      <c r="M1456" s="29">
        <f t="shared" si="107"/>
        <v>0</v>
      </c>
      <c r="N1456" s="29">
        <f t="shared" si="107"/>
        <v>0</v>
      </c>
      <c r="O1456" s="29">
        <f t="shared" si="107"/>
        <v>0</v>
      </c>
      <c r="P1456" s="29">
        <f t="shared" si="107"/>
        <v>0</v>
      </c>
      <c r="Q1456" s="29">
        <f t="shared" si="107"/>
        <v>0</v>
      </c>
      <c r="R1456" s="29">
        <f t="shared" si="107"/>
        <v>0</v>
      </c>
      <c r="S1456" s="29">
        <f t="shared" si="107"/>
        <v>0</v>
      </c>
      <c r="T1456" s="30">
        <f>T1513</f>
        <v>0</v>
      </c>
      <c r="U1456" s="17"/>
      <c r="V1456" s="10"/>
      <c r="W1456" s="10"/>
      <c r="X1456" s="10"/>
      <c r="Y1456" s="2"/>
    </row>
    <row r="1457" spans="2:25">
      <c r="B1457" s="24" t="s">
        <v>18</v>
      </c>
      <c r="C1457" s="25">
        <f>P1464</f>
        <v>0</v>
      </c>
      <c r="D1457" s="10"/>
      <c r="E1457" s="10"/>
      <c r="F1457" s="10"/>
      <c r="G1457" s="31"/>
      <c r="H1457" s="10"/>
      <c r="I1457" s="10"/>
      <c r="J1457" s="32" t="s">
        <v>19</v>
      </c>
      <c r="K1457" s="33" t="e">
        <f>K1482/K1481</f>
        <v>#DIV/0!</v>
      </c>
      <c r="L1457" s="33" t="e">
        <f t="shared" ref="L1457:S1457" si="108">L1482/L1481</f>
        <v>#DIV/0!</v>
      </c>
      <c r="M1457" s="33" t="e">
        <f t="shared" si="108"/>
        <v>#DIV/0!</v>
      </c>
      <c r="N1457" s="33" t="e">
        <f t="shared" si="108"/>
        <v>#DIV/0!</v>
      </c>
      <c r="O1457" s="33" t="e">
        <f t="shared" si="108"/>
        <v>#DIV/0!</v>
      </c>
      <c r="P1457" s="33" t="e">
        <f t="shared" si="108"/>
        <v>#DIV/0!</v>
      </c>
      <c r="Q1457" s="33" t="e">
        <f t="shared" si="108"/>
        <v>#DIV/0!</v>
      </c>
      <c r="R1457" s="33" t="e">
        <f t="shared" si="108"/>
        <v>#DIV/0!</v>
      </c>
      <c r="S1457" s="33" t="e">
        <f t="shared" si="108"/>
        <v>#DIV/0!</v>
      </c>
      <c r="T1457" s="23"/>
      <c r="U1457" s="17" t="s">
        <v>20</v>
      </c>
      <c r="V1457" s="10"/>
      <c r="W1457" s="10"/>
      <c r="X1457" s="10"/>
      <c r="Y1457" s="2"/>
    </row>
    <row r="1458" spans="2:25">
      <c r="B1458" s="24" t="s">
        <v>21</v>
      </c>
      <c r="C1458" s="34" t="e">
        <f>P1465</f>
        <v>#DIV/0!</v>
      </c>
      <c r="D1458" s="10"/>
      <c r="E1458" s="10"/>
      <c r="F1458" s="10"/>
      <c r="G1458" s="10"/>
      <c r="H1458" s="10"/>
      <c r="I1458" s="10"/>
      <c r="J1458" s="10"/>
      <c r="K1458" s="10"/>
      <c r="L1458" s="10"/>
      <c r="M1458" s="10"/>
      <c r="N1458" s="10"/>
      <c r="O1458" s="10"/>
      <c r="P1458" s="10"/>
      <c r="Q1458" s="10"/>
      <c r="R1458" s="10"/>
      <c r="S1458" s="10"/>
      <c r="T1458" s="10"/>
      <c r="U1458" s="17"/>
      <c r="V1458" s="10"/>
      <c r="W1458" s="10"/>
      <c r="X1458" s="10"/>
      <c r="Y1458" s="2"/>
    </row>
    <row r="1459" spans="2:25">
      <c r="B1459" s="24"/>
      <c r="C1459" s="25"/>
      <c r="D1459" s="10"/>
      <c r="E1459" s="10"/>
      <c r="F1459" s="18" t="s">
        <v>22</v>
      </c>
      <c r="G1459" s="19" t="s">
        <v>23</v>
      </c>
      <c r="H1459" s="35" t="s">
        <v>24</v>
      </c>
      <c r="I1459" s="10"/>
      <c r="J1459" s="10"/>
      <c r="K1459" s="36"/>
      <c r="L1459" s="36"/>
      <c r="M1459" s="36"/>
      <c r="N1459" s="36"/>
      <c r="O1459" s="36"/>
      <c r="P1459" s="36"/>
      <c r="Q1459" s="36"/>
      <c r="R1459" s="10"/>
      <c r="S1459" s="10"/>
      <c r="T1459" s="10"/>
      <c r="U1459" s="17"/>
      <c r="V1459" s="10"/>
      <c r="W1459" s="10"/>
      <c r="X1459" s="10"/>
      <c r="Y1459" s="2"/>
    </row>
    <row r="1460" spans="2:25">
      <c r="B1460" s="32" t="s">
        <v>25</v>
      </c>
      <c r="C1460" s="37" t="e">
        <f>P1466</f>
        <v>#DIV/0!</v>
      </c>
      <c r="D1460" s="10"/>
      <c r="E1460" s="18" t="s">
        <v>26</v>
      </c>
      <c r="F1460" s="38">
        <f>P1462</f>
        <v>0</v>
      </c>
      <c r="G1460" s="39">
        <f>I1481</f>
        <v>0</v>
      </c>
      <c r="H1460" s="40"/>
      <c r="I1460" s="41"/>
      <c r="J1460" s="42"/>
      <c r="K1460" s="43" t="s">
        <v>27</v>
      </c>
      <c r="L1460" s="44"/>
      <c r="M1460" s="44"/>
      <c r="N1460" s="44"/>
      <c r="O1460" s="44"/>
      <c r="P1460" s="44"/>
      <c r="Q1460" s="45"/>
      <c r="R1460" s="46" t="s">
        <v>28</v>
      </c>
      <c r="S1460" s="47" t="s">
        <v>29</v>
      </c>
      <c r="T1460" s="10"/>
      <c r="U1460" s="17"/>
      <c r="V1460" s="10"/>
      <c r="W1460" s="10"/>
      <c r="X1460" s="10"/>
      <c r="Y1460" s="2"/>
    </row>
    <row r="1461" spans="2:25">
      <c r="B1461" s="11"/>
      <c r="C1461" s="10"/>
      <c r="D1461" s="10"/>
      <c r="E1461" s="24" t="s">
        <v>30</v>
      </c>
      <c r="F1461" s="48">
        <f>F1456</f>
        <v>0.05</v>
      </c>
      <c r="G1461" s="17"/>
      <c r="H1461" s="40"/>
      <c r="I1461" s="41"/>
      <c r="J1461" s="42"/>
      <c r="K1461" s="20" t="s">
        <v>31</v>
      </c>
      <c r="L1461" s="21" t="s">
        <v>32</v>
      </c>
      <c r="M1461" s="21" t="s">
        <v>33</v>
      </c>
      <c r="N1461" s="21" t="s">
        <v>34</v>
      </c>
      <c r="O1461" s="21" t="s">
        <v>35</v>
      </c>
      <c r="P1461" s="21" t="s">
        <v>36</v>
      </c>
      <c r="Q1461" s="49" t="s">
        <v>37</v>
      </c>
      <c r="R1461" s="50" t="s">
        <v>38</v>
      </c>
      <c r="S1461" s="50" t="s">
        <v>38</v>
      </c>
      <c r="T1461" s="10"/>
      <c r="U1461" s="17"/>
      <c r="V1461" s="10"/>
      <c r="W1461" s="10"/>
      <c r="X1461" s="10"/>
      <c r="Y1461" s="2"/>
    </row>
    <row r="1462" spans="2:25">
      <c r="B1462" s="11"/>
      <c r="C1462" s="10"/>
      <c r="D1462" s="10"/>
      <c r="E1462" s="51" t="s">
        <v>39</v>
      </c>
      <c r="F1462" s="52">
        <f>F1460*F1461</f>
        <v>0</v>
      </c>
      <c r="G1462" s="53" t="s">
        <v>40</v>
      </c>
      <c r="H1462" s="54">
        <f>F1462/1.12</f>
        <v>0</v>
      </c>
      <c r="I1462" s="55"/>
      <c r="J1462" s="42"/>
      <c r="K1462" s="56">
        <v>0</v>
      </c>
      <c r="L1462" s="57">
        <v>0</v>
      </c>
      <c r="M1462" s="57">
        <v>0</v>
      </c>
      <c r="N1462" s="57">
        <v>0</v>
      </c>
      <c r="O1462" s="57">
        <v>0</v>
      </c>
      <c r="P1462" s="57">
        <f>SUM(K1462:O1462)</f>
        <v>0</v>
      </c>
      <c r="Q1462" s="58">
        <v>0</v>
      </c>
      <c r="R1462" s="59">
        <f>0</f>
        <v>0</v>
      </c>
      <c r="S1462" s="59">
        <f>0</f>
        <v>0</v>
      </c>
      <c r="T1462" s="10"/>
      <c r="U1462" s="17"/>
      <c r="V1462" s="10"/>
      <c r="W1462" s="10"/>
      <c r="X1462" s="10"/>
      <c r="Y1462" s="2"/>
    </row>
    <row r="1463" spans="2:25">
      <c r="B1463" s="11"/>
      <c r="C1463" s="10"/>
      <c r="D1463" s="10"/>
      <c r="E1463" s="24" t="s">
        <v>41</v>
      </c>
      <c r="F1463" s="60">
        <f>Q1462</f>
        <v>0</v>
      </c>
      <c r="G1463" s="61" t="s">
        <v>40</v>
      </c>
      <c r="H1463" s="62"/>
      <c r="I1463" s="62"/>
      <c r="J1463" s="10" t="s">
        <v>42</v>
      </c>
      <c r="K1463" s="63">
        <v>0</v>
      </c>
      <c r="L1463" s="63">
        <v>0</v>
      </c>
      <c r="M1463" s="63">
        <v>0</v>
      </c>
      <c r="N1463" s="63">
        <v>0</v>
      </c>
      <c r="O1463" s="63">
        <v>0</v>
      </c>
      <c r="P1463" s="21">
        <f>SUM(K1463:O1463)</f>
        <v>0</v>
      </c>
      <c r="Q1463" s="64"/>
      <c r="R1463" s="63"/>
      <c r="S1463" s="10"/>
      <c r="T1463" s="10"/>
      <c r="U1463" s="17"/>
      <c r="V1463" s="10"/>
      <c r="W1463" s="10"/>
      <c r="X1463" s="10"/>
      <c r="Y1463" s="2"/>
    </row>
    <row r="1464" spans="2:25">
      <c r="B1464" s="11"/>
      <c r="C1464" s="10"/>
      <c r="D1464" s="10"/>
      <c r="E1464" s="51" t="s">
        <v>43</v>
      </c>
      <c r="F1464" s="52">
        <f>F1463*0.25</f>
        <v>0</v>
      </c>
      <c r="G1464" s="53" t="s">
        <v>40</v>
      </c>
      <c r="H1464" s="54">
        <f>F1464/1.12</f>
        <v>0</v>
      </c>
      <c r="I1464" s="10"/>
      <c r="J1464" s="10" t="s">
        <v>44</v>
      </c>
      <c r="K1464" s="63">
        <v>0</v>
      </c>
      <c r="L1464" s="63">
        <v>0</v>
      </c>
      <c r="M1464" s="63">
        <v>0</v>
      </c>
      <c r="N1464" s="63">
        <v>0</v>
      </c>
      <c r="O1464" s="63">
        <v>0</v>
      </c>
      <c r="P1464" s="21">
        <f>SUM(K1464:O1464)</f>
        <v>0</v>
      </c>
      <c r="Q1464" s="64"/>
      <c r="R1464" s="63"/>
      <c r="S1464" s="10"/>
      <c r="T1464" s="10"/>
      <c r="U1464" s="17"/>
      <c r="V1464" s="10"/>
      <c r="W1464" s="10"/>
      <c r="X1464" s="10"/>
      <c r="Y1464" s="2"/>
    </row>
    <row r="1465" spans="2:25">
      <c r="B1465" s="11"/>
      <c r="C1465" s="10"/>
      <c r="D1465" s="10"/>
      <c r="E1465" s="24" t="s">
        <v>45</v>
      </c>
      <c r="F1465" s="60"/>
      <c r="G1465" s="61" t="s">
        <v>40</v>
      </c>
      <c r="H1465" s="62"/>
      <c r="I1465" s="10"/>
      <c r="J1465" s="10" t="s">
        <v>46</v>
      </c>
      <c r="K1465" s="31" t="e">
        <f t="shared" ref="K1465:Q1465" si="109">K1463/(K1463+K1464)</f>
        <v>#DIV/0!</v>
      </c>
      <c r="L1465" s="31" t="e">
        <f t="shared" si="109"/>
        <v>#DIV/0!</v>
      </c>
      <c r="M1465" s="31" t="e">
        <f t="shared" si="109"/>
        <v>#DIV/0!</v>
      </c>
      <c r="N1465" s="31" t="e">
        <f t="shared" si="109"/>
        <v>#DIV/0!</v>
      </c>
      <c r="O1465" s="31" t="e">
        <f t="shared" si="109"/>
        <v>#DIV/0!</v>
      </c>
      <c r="P1465" s="31" t="e">
        <f t="shared" si="109"/>
        <v>#DIV/0!</v>
      </c>
      <c r="Q1465" s="31" t="e">
        <f t="shared" si="109"/>
        <v>#DIV/0!</v>
      </c>
      <c r="R1465" s="63"/>
      <c r="S1465" s="10"/>
      <c r="T1465" s="10"/>
      <c r="U1465" s="17"/>
      <c r="V1465" s="10"/>
      <c r="W1465" s="10"/>
      <c r="X1465" s="10"/>
      <c r="Y1465" s="2"/>
    </row>
    <row r="1466" spans="2:25">
      <c r="B1466" s="11"/>
      <c r="C1466" s="10"/>
      <c r="D1466" s="10"/>
      <c r="E1466" s="51" t="s">
        <v>47</v>
      </c>
      <c r="F1466" s="52">
        <f>F1465*0.05</f>
        <v>0</v>
      </c>
      <c r="G1466" s="65" t="s">
        <v>40</v>
      </c>
      <c r="H1466" s="54">
        <f>F1466/1.12</f>
        <v>0</v>
      </c>
      <c r="I1466" s="42"/>
      <c r="J1466" s="10" t="s">
        <v>48</v>
      </c>
      <c r="K1466" s="66" t="e">
        <f>K1462/K1463</f>
        <v>#DIV/0!</v>
      </c>
      <c r="L1466" s="66" t="e">
        <f t="shared" ref="L1466:Q1466" si="110">L1462/L1463</f>
        <v>#DIV/0!</v>
      </c>
      <c r="M1466" s="66" t="e">
        <f t="shared" si="110"/>
        <v>#DIV/0!</v>
      </c>
      <c r="N1466" s="66" t="e">
        <f t="shared" si="110"/>
        <v>#DIV/0!</v>
      </c>
      <c r="O1466" s="66" t="e">
        <f t="shared" si="110"/>
        <v>#DIV/0!</v>
      </c>
      <c r="P1466" s="66" t="e">
        <f t="shared" si="110"/>
        <v>#DIV/0!</v>
      </c>
      <c r="Q1466" s="66" t="e">
        <f t="shared" si="110"/>
        <v>#DIV/0!</v>
      </c>
      <c r="R1466" s="63"/>
      <c r="S1466" s="10"/>
      <c r="T1466" s="10"/>
      <c r="U1466" s="17"/>
      <c r="V1466" s="10"/>
      <c r="W1466" s="10"/>
      <c r="X1466" s="10"/>
      <c r="Y1466" s="2"/>
    </row>
    <row r="1467" spans="2:25">
      <c r="B1467" s="11"/>
      <c r="C1467" s="10"/>
      <c r="D1467" s="10"/>
      <c r="E1467" s="67" t="s">
        <v>14</v>
      </c>
      <c r="F1467" s="68"/>
      <c r="G1467" s="10"/>
      <c r="H1467" s="54">
        <f>F1467/1.12</f>
        <v>0</v>
      </c>
      <c r="I1467" s="10"/>
      <c r="J1467" s="10"/>
      <c r="K1467" s="10"/>
      <c r="L1467" s="10"/>
      <c r="M1467" s="10"/>
      <c r="N1467" s="10"/>
      <c r="O1467" s="10"/>
      <c r="P1467" s="10"/>
      <c r="Q1467" s="10"/>
      <c r="R1467" s="10"/>
      <c r="S1467" s="10"/>
      <c r="T1467" s="10"/>
      <c r="U1467" s="17"/>
      <c r="V1467" s="10"/>
      <c r="W1467" s="10"/>
      <c r="X1467" s="10"/>
      <c r="Y1467" s="2"/>
    </row>
    <row r="1468" spans="2:25">
      <c r="B1468" s="11"/>
      <c r="C1468" s="10"/>
      <c r="D1468" s="10"/>
      <c r="E1468" s="155" t="s">
        <v>49</v>
      </c>
      <c r="F1468" s="364">
        <f>T1457</f>
        <v>0</v>
      </c>
      <c r="G1468" s="10"/>
      <c r="H1468" s="54"/>
      <c r="I1468" s="55"/>
      <c r="J1468" s="42"/>
      <c r="K1468" s="764" t="s">
        <v>50</v>
      </c>
      <c r="L1468" s="765"/>
      <c r="M1468" s="765"/>
      <c r="N1468" s="765"/>
      <c r="O1468" s="765"/>
      <c r="P1468" s="765"/>
      <c r="Q1468" s="766"/>
      <c r="R1468" s="70" t="s">
        <v>28</v>
      </c>
      <c r="S1468" s="71" t="s">
        <v>29</v>
      </c>
      <c r="T1468" s="10"/>
      <c r="U1468" s="17"/>
      <c r="V1468" s="10"/>
      <c r="W1468" s="10"/>
      <c r="X1468" s="10"/>
      <c r="Y1468" s="2"/>
    </row>
    <row r="1469" spans="2:25">
      <c r="B1469" s="11"/>
      <c r="C1469" s="10"/>
      <c r="D1469" s="10"/>
      <c r="E1469" s="10"/>
      <c r="F1469" s="10"/>
      <c r="G1469" s="10"/>
      <c r="H1469" s="10"/>
      <c r="I1469" s="10"/>
      <c r="J1469" s="42"/>
      <c r="K1469" s="20" t="s">
        <v>31</v>
      </c>
      <c r="L1469" s="21" t="s">
        <v>32</v>
      </c>
      <c r="M1469" s="21" t="s">
        <v>33</v>
      </c>
      <c r="N1469" s="21" t="s">
        <v>34</v>
      </c>
      <c r="O1469" s="21" t="s">
        <v>35</v>
      </c>
      <c r="P1469" s="21" t="s">
        <v>36</v>
      </c>
      <c r="Q1469" s="49" t="s">
        <v>37</v>
      </c>
      <c r="R1469" s="50" t="s">
        <v>38</v>
      </c>
      <c r="S1469" s="50" t="s">
        <v>38</v>
      </c>
      <c r="T1469" s="10"/>
      <c r="U1469" s="17"/>
      <c r="V1469" s="10"/>
      <c r="W1469" s="10"/>
      <c r="X1469" s="10"/>
      <c r="Y1469" s="2"/>
    </row>
    <row r="1470" spans="2:25">
      <c r="B1470" s="11"/>
      <c r="C1470" s="10"/>
      <c r="D1470" s="10"/>
      <c r="E1470" s="10"/>
      <c r="F1470" s="10"/>
      <c r="G1470" s="10"/>
      <c r="H1470" s="10"/>
      <c r="I1470" s="10"/>
      <c r="J1470" s="42"/>
      <c r="K1470" s="56">
        <v>0</v>
      </c>
      <c r="L1470" s="57">
        <v>0</v>
      </c>
      <c r="M1470" s="57">
        <v>0</v>
      </c>
      <c r="N1470" s="57">
        <v>0</v>
      </c>
      <c r="O1470" s="57">
        <v>0</v>
      </c>
      <c r="P1470" s="57">
        <f>SUM(K1470:O1470)</f>
        <v>0</v>
      </c>
      <c r="Q1470" s="58">
        <v>0</v>
      </c>
      <c r="R1470" s="59">
        <f>0</f>
        <v>0</v>
      </c>
      <c r="S1470" s="59">
        <f>0</f>
        <v>0</v>
      </c>
      <c r="T1470" s="10"/>
      <c r="U1470" s="17"/>
      <c r="V1470" s="10"/>
      <c r="W1470" s="10"/>
      <c r="X1470" s="10"/>
      <c r="Y1470" s="2"/>
    </row>
    <row r="1471" spans="2:25">
      <c r="B1471" s="11"/>
      <c r="C1471" s="10"/>
      <c r="D1471" s="10"/>
      <c r="E1471" s="10"/>
      <c r="F1471" s="10"/>
      <c r="G1471" s="10"/>
      <c r="H1471" s="10"/>
      <c r="I1471" s="10"/>
      <c r="J1471" s="10" t="s">
        <v>42</v>
      </c>
      <c r="K1471" s="63">
        <f>K1463</f>
        <v>0</v>
      </c>
      <c r="L1471" s="63">
        <f t="shared" ref="L1471:Q1472" si="111">L1463</f>
        <v>0</v>
      </c>
      <c r="M1471" s="63">
        <f t="shared" si="111"/>
        <v>0</v>
      </c>
      <c r="N1471" s="63">
        <f t="shared" si="111"/>
        <v>0</v>
      </c>
      <c r="O1471" s="63">
        <f t="shared" si="111"/>
        <v>0</v>
      </c>
      <c r="P1471" s="63">
        <f t="shared" si="111"/>
        <v>0</v>
      </c>
      <c r="Q1471" s="63">
        <f t="shared" si="111"/>
        <v>0</v>
      </c>
      <c r="R1471" s="63"/>
      <c r="S1471" s="10"/>
      <c r="T1471" s="10"/>
      <c r="U1471" s="17"/>
      <c r="V1471" s="10"/>
      <c r="W1471" s="10"/>
      <c r="X1471" s="10"/>
      <c r="Y1471" s="2"/>
    </row>
    <row r="1472" spans="2:25">
      <c r="B1472" s="11"/>
      <c r="C1472" s="10"/>
      <c r="D1472" s="10"/>
      <c r="E1472" s="10"/>
      <c r="F1472" s="10"/>
      <c r="G1472" s="10"/>
      <c r="H1472" s="10"/>
      <c r="I1472" s="10"/>
      <c r="J1472" s="10" t="s">
        <v>44</v>
      </c>
      <c r="K1472" s="63">
        <f>K1464</f>
        <v>0</v>
      </c>
      <c r="L1472" s="63">
        <f t="shared" si="111"/>
        <v>0</v>
      </c>
      <c r="M1472" s="63">
        <f t="shared" si="111"/>
        <v>0</v>
      </c>
      <c r="N1472" s="63">
        <f t="shared" si="111"/>
        <v>0</v>
      </c>
      <c r="O1472" s="63">
        <f t="shared" si="111"/>
        <v>0</v>
      </c>
      <c r="P1472" s="63">
        <f t="shared" si="111"/>
        <v>0</v>
      </c>
      <c r="Q1472" s="63">
        <f t="shared" si="111"/>
        <v>0</v>
      </c>
      <c r="R1472" s="63"/>
      <c r="S1472" s="10"/>
      <c r="T1472" s="10"/>
      <c r="U1472" s="17"/>
      <c r="V1472" s="10"/>
      <c r="W1472" s="10"/>
      <c r="X1472" s="10"/>
      <c r="Y1472" s="2"/>
    </row>
    <row r="1473" spans="1:25">
      <c r="B1473" s="11"/>
      <c r="C1473" s="10"/>
      <c r="D1473" s="10"/>
      <c r="E1473" s="10"/>
      <c r="F1473" s="10"/>
      <c r="G1473" s="10"/>
      <c r="H1473" s="10"/>
      <c r="I1473" s="10"/>
      <c r="J1473" s="10" t="s">
        <v>46</v>
      </c>
      <c r="K1473" s="31" t="e">
        <f t="shared" ref="K1473:Q1473" si="112">K1471/(K1471+K1472)</f>
        <v>#DIV/0!</v>
      </c>
      <c r="L1473" s="31" t="e">
        <f t="shared" si="112"/>
        <v>#DIV/0!</v>
      </c>
      <c r="M1473" s="31" t="e">
        <f t="shared" si="112"/>
        <v>#DIV/0!</v>
      </c>
      <c r="N1473" s="31" t="e">
        <f t="shared" si="112"/>
        <v>#DIV/0!</v>
      </c>
      <c r="O1473" s="31" t="e">
        <f t="shared" si="112"/>
        <v>#DIV/0!</v>
      </c>
      <c r="P1473" s="31" t="e">
        <f t="shared" si="112"/>
        <v>#DIV/0!</v>
      </c>
      <c r="Q1473" s="31" t="e">
        <f t="shared" si="112"/>
        <v>#DIV/0!</v>
      </c>
      <c r="R1473" s="63"/>
      <c r="S1473" s="10"/>
      <c r="T1473" s="10"/>
      <c r="U1473" s="17"/>
      <c r="V1473" s="10"/>
      <c r="W1473" s="10"/>
      <c r="X1473" s="10"/>
      <c r="Y1473" s="2"/>
    </row>
    <row r="1474" spans="1:25">
      <c r="B1474" s="11"/>
      <c r="C1474" s="10"/>
      <c r="D1474" s="10"/>
      <c r="E1474" s="10"/>
      <c r="F1474" s="10"/>
      <c r="G1474" s="10"/>
      <c r="H1474" s="10"/>
      <c r="I1474" s="10"/>
      <c r="J1474" s="10" t="s">
        <v>48</v>
      </c>
      <c r="K1474" s="66" t="e">
        <f t="shared" ref="K1474:Q1474" si="113">K1470/K1471</f>
        <v>#DIV/0!</v>
      </c>
      <c r="L1474" s="66" t="e">
        <f t="shared" si="113"/>
        <v>#DIV/0!</v>
      </c>
      <c r="M1474" s="66" t="e">
        <f t="shared" si="113"/>
        <v>#DIV/0!</v>
      </c>
      <c r="N1474" s="66" t="e">
        <f t="shared" si="113"/>
        <v>#DIV/0!</v>
      </c>
      <c r="O1474" s="66" t="e">
        <f t="shared" si="113"/>
        <v>#DIV/0!</v>
      </c>
      <c r="P1474" s="66" t="e">
        <f t="shared" si="113"/>
        <v>#DIV/0!</v>
      </c>
      <c r="Q1474" s="66" t="e">
        <f t="shared" si="113"/>
        <v>#DIV/0!</v>
      </c>
      <c r="R1474" s="63"/>
      <c r="S1474" s="10"/>
      <c r="T1474" s="10"/>
      <c r="U1474" s="17"/>
      <c r="V1474" s="10"/>
      <c r="W1474" s="10"/>
      <c r="X1474" s="10"/>
      <c r="Y1474" s="2"/>
    </row>
    <row r="1475" spans="1:25">
      <c r="B1475" s="11"/>
      <c r="C1475" s="10"/>
      <c r="D1475" s="10"/>
      <c r="E1475" s="10"/>
      <c r="F1475" s="10"/>
      <c r="G1475" s="10"/>
      <c r="H1475" s="10"/>
      <c r="I1475" s="10"/>
      <c r="J1475" s="10"/>
      <c r="K1475" s="10"/>
      <c r="L1475" s="10"/>
      <c r="M1475" s="10"/>
      <c r="N1475" s="10"/>
      <c r="O1475" s="10"/>
      <c r="P1475" s="10"/>
      <c r="Q1475" s="10"/>
      <c r="R1475" s="10"/>
      <c r="S1475" s="10"/>
      <c r="T1475" s="10"/>
      <c r="U1475" s="17"/>
      <c r="V1475" s="10"/>
      <c r="W1475" s="10"/>
      <c r="X1475" s="10"/>
      <c r="Y1475" s="2"/>
    </row>
    <row r="1476" spans="1:25">
      <c r="B1476" s="11"/>
      <c r="C1476" s="10"/>
      <c r="D1476" s="10"/>
      <c r="E1476" s="10"/>
      <c r="F1476" s="10"/>
      <c r="G1476" s="10"/>
      <c r="H1476" s="10"/>
      <c r="I1476" s="10"/>
      <c r="J1476" s="10"/>
      <c r="K1476" s="10"/>
      <c r="L1476" s="10"/>
      <c r="M1476" s="10"/>
      <c r="N1476" s="10"/>
      <c r="O1476" s="10"/>
      <c r="P1476" s="10"/>
      <c r="Q1476" s="10"/>
      <c r="R1476" s="10"/>
      <c r="S1476" s="10"/>
      <c r="T1476" s="10"/>
      <c r="U1476" s="17"/>
      <c r="V1476" s="10"/>
      <c r="W1476" s="10"/>
      <c r="X1476" s="10"/>
      <c r="Y1476" s="2"/>
    </row>
    <row r="1477" spans="1:25">
      <c r="B1477" s="18" t="s">
        <v>51</v>
      </c>
      <c r="C1477" s="14"/>
      <c r="D1477" s="14"/>
      <c r="E1477" s="14"/>
      <c r="F1477" s="13" t="s">
        <v>52</v>
      </c>
      <c r="G1477" s="14"/>
      <c r="H1477" s="14"/>
      <c r="I1477" s="14"/>
      <c r="J1477" s="14"/>
      <c r="K1477" s="13" t="s">
        <v>3</v>
      </c>
      <c r="L1477" s="14"/>
      <c r="M1477" s="14"/>
      <c r="N1477" s="13" t="s">
        <v>4</v>
      </c>
      <c r="O1477" s="14"/>
      <c r="P1477" s="14"/>
      <c r="Q1477" s="13" t="s">
        <v>5</v>
      </c>
      <c r="R1477" s="14"/>
      <c r="S1477" s="14"/>
      <c r="T1477" s="18"/>
      <c r="U1477" s="16" t="s">
        <v>53</v>
      </c>
      <c r="V1477" s="77"/>
      <c r="W1477" s="77"/>
      <c r="X1477" s="77"/>
      <c r="Y1477" s="2"/>
    </row>
    <row r="1478" spans="1:25">
      <c r="B1478" s="24" t="s">
        <v>54</v>
      </c>
      <c r="C1478" s="21" t="s">
        <v>55</v>
      </c>
      <c r="D1478" s="21" t="s">
        <v>56</v>
      </c>
      <c r="E1478" s="21" t="s">
        <v>57</v>
      </c>
      <c r="F1478" s="20" t="s">
        <v>58</v>
      </c>
      <c r="G1478" s="21" t="s">
        <v>59</v>
      </c>
      <c r="H1478" s="21" t="s">
        <v>60</v>
      </c>
      <c r="I1478" s="21" t="s">
        <v>26</v>
      </c>
      <c r="J1478" s="22" t="s">
        <v>61</v>
      </c>
      <c r="K1478" s="21" t="s">
        <v>8</v>
      </c>
      <c r="L1478" s="21" t="s">
        <v>9</v>
      </c>
      <c r="M1478" s="21" t="s">
        <v>10</v>
      </c>
      <c r="N1478" s="20" t="s">
        <v>11</v>
      </c>
      <c r="O1478" s="21" t="s">
        <v>12</v>
      </c>
      <c r="P1478" s="22" t="s">
        <v>13</v>
      </c>
      <c r="Q1478" s="21" t="s">
        <v>11</v>
      </c>
      <c r="R1478" s="21" t="s">
        <v>12</v>
      </c>
      <c r="S1478" s="21" t="s">
        <v>13</v>
      </c>
      <c r="T1478" s="78" t="s">
        <v>14</v>
      </c>
      <c r="U1478" s="30"/>
      <c r="V1478" s="79" t="s">
        <v>62</v>
      </c>
      <c r="W1478" s="80" t="s">
        <v>63</v>
      </c>
      <c r="X1478" s="81" t="s">
        <v>64</v>
      </c>
      <c r="Y1478" s="2"/>
    </row>
    <row r="1479" spans="1:25">
      <c r="B1479" s="4" t="s">
        <v>65</v>
      </c>
      <c r="C1479" s="6"/>
      <c r="D1479" s="6"/>
      <c r="E1479" s="6"/>
      <c r="F1479" s="6"/>
      <c r="G1479" s="6"/>
      <c r="H1479" s="6"/>
      <c r="I1479" s="82"/>
      <c r="J1479" s="6"/>
      <c r="K1479" s="6"/>
      <c r="L1479" s="6"/>
      <c r="M1479" s="6"/>
      <c r="N1479" s="6"/>
      <c r="O1479" s="6"/>
      <c r="P1479" s="6"/>
      <c r="Q1479" s="6"/>
      <c r="R1479" s="6"/>
      <c r="S1479" s="6"/>
      <c r="T1479" s="83"/>
      <c r="U1479" s="6"/>
      <c r="V1479" s="84"/>
      <c r="W1479" s="85"/>
      <c r="X1479" s="86"/>
      <c r="Y1479" s="2"/>
    </row>
    <row r="1480" spans="1:25">
      <c r="B1480" s="87">
        <v>1</v>
      </c>
      <c r="C1480" s="712"/>
      <c r="D1480" s="271"/>
      <c r="E1480" s="271"/>
      <c r="F1480" s="265"/>
      <c r="G1480" s="265"/>
      <c r="H1480" s="365"/>
      <c r="I1480" s="272">
        <f t="shared" ref="I1480" si="114">F1480-G1480-H1480</f>
        <v>0</v>
      </c>
      <c r="J1480" s="267"/>
      <c r="K1480" s="267"/>
      <c r="L1480" s="267"/>
      <c r="M1480" s="267"/>
      <c r="N1480" s="267"/>
      <c r="O1480" s="267"/>
      <c r="P1480" s="267"/>
      <c r="Q1480" s="267"/>
      <c r="R1480" s="267"/>
      <c r="S1480" s="269"/>
      <c r="T1480" s="63"/>
      <c r="U1480" s="10"/>
      <c r="V1480" s="90"/>
      <c r="W1480" s="91"/>
      <c r="X1480" s="92"/>
      <c r="Y1480" s="2"/>
    </row>
    <row r="1481" spans="1:25">
      <c r="B1481" s="87"/>
      <c r="C1481" s="609"/>
      <c r="D1481" s="10"/>
      <c r="E1481" s="10"/>
      <c r="F1481" s="97">
        <f>SUM(F1480:F1480)</f>
        <v>0</v>
      </c>
      <c r="G1481" s="97">
        <f>SUM(G1480:G1480)</f>
        <v>0</v>
      </c>
      <c r="H1481" s="97">
        <f>SUM(H1480:H1480)</f>
        <v>0</v>
      </c>
      <c r="I1481" s="98">
        <f>SUM(I1480:I1480)</f>
        <v>0</v>
      </c>
      <c r="J1481" s="63"/>
      <c r="K1481" s="63">
        <f>COUNT(K1480:K1480)</f>
        <v>0</v>
      </c>
      <c r="L1481" s="63">
        <f>COUNT(L1480:L1480)</f>
        <v>0</v>
      </c>
      <c r="M1481" s="63">
        <f>COUNT(M1480:M1480)</f>
        <v>0</v>
      </c>
      <c r="N1481" s="63">
        <f>COUNT(N1480:N1480)</f>
        <v>0</v>
      </c>
      <c r="O1481" s="63">
        <f>COUNT(O1480:O1480)</f>
        <v>0</v>
      </c>
      <c r="P1481" s="63">
        <f>COUNT(P1480:P1480)</f>
        <v>0</v>
      </c>
      <c r="Q1481" s="63">
        <f>COUNT(Q1480:Q1480)</f>
        <v>0</v>
      </c>
      <c r="R1481" s="63">
        <f>COUNT(R1480:R1480)</f>
        <v>0</v>
      </c>
      <c r="S1481" s="63">
        <f>COUNT(S1480:S1480)</f>
        <v>0</v>
      </c>
      <c r="T1481" s="63"/>
      <c r="U1481" s="10"/>
      <c r="V1481" s="90"/>
      <c r="W1481" s="91"/>
      <c r="X1481" s="92"/>
      <c r="Y1481" s="2"/>
    </row>
    <row r="1482" spans="1:25">
      <c r="B1482" s="87"/>
      <c r="C1482" s="609"/>
      <c r="D1482" s="10"/>
      <c r="E1482" s="10"/>
      <c r="F1482" s="88"/>
      <c r="G1482" s="88"/>
      <c r="H1482" s="88"/>
      <c r="I1482" s="99"/>
      <c r="J1482" s="63"/>
      <c r="K1482" s="21">
        <f>SUM(K1480:K1480)</f>
        <v>0</v>
      </c>
      <c r="L1482" s="21">
        <f>SUM(L1480:L1480)</f>
        <v>0</v>
      </c>
      <c r="M1482" s="21">
        <f>SUM(M1480:M1480)</f>
        <v>0</v>
      </c>
      <c r="N1482" s="21">
        <f>SUM(N1480:N1480)</f>
        <v>0</v>
      </c>
      <c r="O1482" s="21">
        <f>SUM(O1480:O1480)</f>
        <v>0</v>
      </c>
      <c r="P1482" s="21">
        <f>SUM(P1480:P1480)</f>
        <v>0</v>
      </c>
      <c r="Q1482" s="21">
        <f>SUM(Q1480:Q1480)</f>
        <v>0</v>
      </c>
      <c r="R1482" s="21">
        <f>SUM(R1480:R1480)</f>
        <v>0</v>
      </c>
      <c r="S1482" s="21">
        <f>SUM(S1480:S1480)</f>
        <v>0</v>
      </c>
      <c r="T1482" s="63"/>
      <c r="U1482" s="10"/>
      <c r="V1482" s="90"/>
      <c r="W1482" s="91"/>
      <c r="X1482" s="92"/>
      <c r="Y1482" s="2"/>
    </row>
    <row r="1483" spans="1:25">
      <c r="B1483" s="11"/>
      <c r="C1483" s="609"/>
      <c r="D1483" s="10"/>
      <c r="E1483" s="10"/>
      <c r="F1483" s="88"/>
      <c r="G1483" s="88"/>
      <c r="H1483" s="88"/>
      <c r="I1483" s="99"/>
      <c r="J1483" s="63"/>
      <c r="K1483" s="21"/>
      <c r="L1483" s="21"/>
      <c r="M1483" s="21"/>
      <c r="N1483" s="21"/>
      <c r="O1483" s="21"/>
      <c r="P1483" s="21"/>
      <c r="Q1483" s="21"/>
      <c r="R1483" s="21"/>
      <c r="S1483" s="21"/>
      <c r="T1483" s="63"/>
      <c r="U1483" s="94"/>
      <c r="V1483" s="90"/>
      <c r="W1483" s="91"/>
      <c r="X1483" s="92"/>
      <c r="Y1483" s="2"/>
    </row>
    <row r="1484" spans="1:25" s="260" customFormat="1">
      <c r="A1484" s="181"/>
      <c r="B1484" s="100" t="s">
        <v>152</v>
      </c>
      <c r="C1484" s="36"/>
      <c r="D1484" s="10"/>
      <c r="E1484" s="10"/>
      <c r="F1484" s="88"/>
      <c r="G1484" s="62"/>
      <c r="H1484" s="88"/>
      <c r="I1484" s="99"/>
      <c r="J1484" s="63"/>
      <c r="K1484" s="181"/>
      <c r="L1484" s="181"/>
      <c r="M1484" s="181"/>
      <c r="N1484" s="181"/>
      <c r="O1484" s="181"/>
      <c r="P1484" s="181"/>
      <c r="Q1484" s="181"/>
      <c r="R1484" s="181"/>
      <c r="S1484" s="181"/>
      <c r="T1484" s="63"/>
      <c r="U1484" s="10"/>
      <c r="V1484" s="90"/>
      <c r="W1484" s="91"/>
      <c r="X1484" s="92"/>
    </row>
    <row r="1485" spans="1:25" s="260" customFormat="1">
      <c r="A1485" s="494">
        <v>0.05</v>
      </c>
      <c r="B1485" s="87">
        <v>1</v>
      </c>
      <c r="C1485" s="262">
        <v>45849</v>
      </c>
      <c r="D1485" s="271">
        <v>71382</v>
      </c>
      <c r="E1485" s="271" t="s">
        <v>999</v>
      </c>
      <c r="F1485" s="265">
        <v>1861</v>
      </c>
      <c r="G1485" s="265">
        <f>39.7+544.5</f>
        <v>584.20000000000005</v>
      </c>
      <c r="H1485" s="265"/>
      <c r="I1485" s="266">
        <f>F1485-G1485-H1485</f>
        <v>1276.8</v>
      </c>
      <c r="J1485" s="267" t="s">
        <v>374</v>
      </c>
      <c r="K1485" s="267">
        <v>1</v>
      </c>
      <c r="L1485" s="267"/>
      <c r="M1485" s="267">
        <v>1</v>
      </c>
      <c r="N1485" s="267">
        <v>1</v>
      </c>
      <c r="O1485" s="267">
        <v>1</v>
      </c>
      <c r="P1485" s="314">
        <v>0</v>
      </c>
      <c r="Q1485" s="314">
        <v>0</v>
      </c>
      <c r="R1485" s="314">
        <v>0</v>
      </c>
      <c r="S1485" s="366">
        <v>0</v>
      </c>
      <c r="T1485" s="63"/>
      <c r="U1485" s="94" t="s">
        <v>2072</v>
      </c>
      <c r="V1485" s="90"/>
      <c r="W1485" s="136"/>
      <c r="X1485" s="137"/>
    </row>
    <row r="1486" spans="1:25" s="260" customFormat="1">
      <c r="A1486" s="261">
        <v>0.05</v>
      </c>
      <c r="B1486" s="87">
        <f>B1485+1</f>
        <v>2</v>
      </c>
      <c r="C1486" s="282">
        <v>45861</v>
      </c>
      <c r="D1486" s="302" t="s">
        <v>1997</v>
      </c>
      <c r="E1486" s="283" t="s">
        <v>270</v>
      </c>
      <c r="F1486" s="423">
        <v>5133</v>
      </c>
      <c r="G1486" s="284">
        <f>39.7+(1071.49)+250</f>
        <v>1361.19</v>
      </c>
      <c r="H1486" s="284"/>
      <c r="I1486" s="300">
        <f>F1486-G1486-H1486</f>
        <v>3771.81</v>
      </c>
      <c r="J1486" s="286" t="s">
        <v>156</v>
      </c>
      <c r="K1486" s="286">
        <v>1</v>
      </c>
      <c r="L1486" s="286">
        <v>1</v>
      </c>
      <c r="M1486" s="286">
        <v>1</v>
      </c>
      <c r="N1486" s="286">
        <v>1</v>
      </c>
      <c r="O1486" s="286">
        <v>1</v>
      </c>
      <c r="P1486" s="332">
        <v>0</v>
      </c>
      <c r="Q1486" s="332">
        <v>0</v>
      </c>
      <c r="R1486" s="332">
        <v>0</v>
      </c>
      <c r="S1486" s="370">
        <v>0</v>
      </c>
      <c r="T1486" s="63"/>
      <c r="U1486" s="10" t="s">
        <v>2222</v>
      </c>
      <c r="V1486" s="90"/>
      <c r="W1486" s="91"/>
      <c r="X1486" s="92"/>
    </row>
    <row r="1487" spans="1:25" s="260" customFormat="1">
      <c r="A1487" s="494" t="s">
        <v>1183</v>
      </c>
      <c r="B1487" s="87">
        <f>B1486+1</f>
        <v>3</v>
      </c>
      <c r="C1487" s="262">
        <v>45867</v>
      </c>
      <c r="D1487" s="273" t="s">
        <v>2029</v>
      </c>
      <c r="E1487" s="264" t="s">
        <v>158</v>
      </c>
      <c r="F1487" s="265">
        <v>4461</v>
      </c>
      <c r="G1487" s="265">
        <f>39.7+300</f>
        <v>339.7</v>
      </c>
      <c r="H1487" s="265"/>
      <c r="I1487" s="266">
        <f>F1487-G1487-H1487</f>
        <v>4121.3</v>
      </c>
      <c r="J1487" s="267"/>
      <c r="K1487" s="267">
        <v>1</v>
      </c>
      <c r="L1487" s="267">
        <v>1</v>
      </c>
      <c r="M1487" s="267"/>
      <c r="N1487" s="267">
        <v>1</v>
      </c>
      <c r="O1487" s="267">
        <v>1</v>
      </c>
      <c r="P1487" s="314">
        <v>0</v>
      </c>
      <c r="Q1487" s="314">
        <v>0</v>
      </c>
      <c r="R1487" s="314">
        <v>0</v>
      </c>
      <c r="S1487" s="366">
        <v>0</v>
      </c>
      <c r="T1487" s="63"/>
      <c r="U1487" s="10" t="s">
        <v>2030</v>
      </c>
      <c r="V1487" s="90"/>
      <c r="W1487" s="91"/>
      <c r="X1487" s="92"/>
    </row>
    <row r="1488" spans="1:25" s="342" customFormat="1">
      <c r="A1488" s="494">
        <v>0.05</v>
      </c>
      <c r="B1488" s="87">
        <f>B1487+1</f>
        <v>4</v>
      </c>
      <c r="C1488" s="262">
        <v>45876</v>
      </c>
      <c r="D1488" s="273">
        <v>72143</v>
      </c>
      <c r="E1488" s="264" t="s">
        <v>168</v>
      </c>
      <c r="F1488" s="265">
        <v>1461</v>
      </c>
      <c r="G1488" s="265">
        <v>39.700000000000003</v>
      </c>
      <c r="H1488" s="265"/>
      <c r="I1488" s="266">
        <f>F1488-G1488-H1488</f>
        <v>1421.3</v>
      </c>
      <c r="J1488" s="267" t="s">
        <v>228</v>
      </c>
      <c r="K1488" s="267">
        <v>1</v>
      </c>
      <c r="L1488" s="267">
        <v>1</v>
      </c>
      <c r="M1488" s="267">
        <v>1</v>
      </c>
      <c r="N1488" s="267">
        <v>1</v>
      </c>
      <c r="O1488" s="267">
        <v>1</v>
      </c>
      <c r="P1488" s="314">
        <v>0</v>
      </c>
      <c r="Q1488" s="267">
        <v>1</v>
      </c>
      <c r="R1488" s="267">
        <v>1</v>
      </c>
      <c r="S1488" s="366">
        <v>0</v>
      </c>
      <c r="T1488" s="63"/>
      <c r="U1488" s="10"/>
      <c r="V1488" s="90"/>
      <c r="W1488" s="91"/>
      <c r="X1488" s="92"/>
      <c r="Y1488" s="260"/>
    </row>
    <row r="1489" spans="1:25" s="260" customFormat="1">
      <c r="A1489" s="181" t="s">
        <v>1183</v>
      </c>
      <c r="B1489" s="87">
        <f>B1488+1</f>
        <v>5</v>
      </c>
      <c r="C1489" s="262">
        <v>45881</v>
      </c>
      <c r="D1489" s="273" t="s">
        <v>2070</v>
      </c>
      <c r="E1489" s="271" t="s">
        <v>572</v>
      </c>
      <c r="F1489" s="265">
        <f>8614-947.54</f>
        <v>7666.46</v>
      </c>
      <c r="G1489" s="265">
        <f>39.7+501.6+(1852.97+46.62)+250</f>
        <v>2690.89</v>
      </c>
      <c r="H1489" s="265"/>
      <c r="I1489" s="266">
        <f>F1489-G1489-H1489</f>
        <v>4975.57</v>
      </c>
      <c r="J1489" s="267" t="s">
        <v>156</v>
      </c>
      <c r="K1489" s="267">
        <v>1</v>
      </c>
      <c r="L1489" s="314">
        <v>0</v>
      </c>
      <c r="M1489" s="267">
        <v>1</v>
      </c>
      <c r="N1489" s="267">
        <v>1</v>
      </c>
      <c r="O1489" s="267">
        <v>1</v>
      </c>
      <c r="P1489" s="267">
        <v>1</v>
      </c>
      <c r="Q1489" s="267">
        <v>1</v>
      </c>
      <c r="R1489" s="267">
        <v>1</v>
      </c>
      <c r="S1489" s="269">
        <v>1</v>
      </c>
      <c r="T1489" s="63"/>
      <c r="U1489" s="94" t="s">
        <v>2191</v>
      </c>
      <c r="V1489" s="90"/>
      <c r="W1489" s="91"/>
      <c r="X1489" s="92"/>
    </row>
    <row r="1490" spans="1:25">
      <c r="A1490" s="260" t="s">
        <v>1183</v>
      </c>
      <c r="B1490" s="87">
        <f>B1489+1</f>
        <v>6</v>
      </c>
      <c r="C1490" s="262">
        <v>45902</v>
      </c>
      <c r="D1490" s="271">
        <v>72891</v>
      </c>
      <c r="E1490" s="271" t="s">
        <v>162</v>
      </c>
      <c r="F1490" s="265">
        <v>3433</v>
      </c>
      <c r="G1490" s="265">
        <v>39.700000000000003</v>
      </c>
      <c r="H1490" s="265"/>
      <c r="I1490" s="266">
        <f>F1490-G1490-H1490</f>
        <v>3393.3</v>
      </c>
      <c r="J1490" s="267" t="s">
        <v>156</v>
      </c>
      <c r="K1490" s="267">
        <v>1</v>
      </c>
      <c r="L1490" s="267">
        <v>1</v>
      </c>
      <c r="M1490" s="267">
        <v>1</v>
      </c>
      <c r="N1490" s="267">
        <v>1</v>
      </c>
      <c r="O1490" s="267">
        <v>1</v>
      </c>
      <c r="P1490" s="314">
        <v>0</v>
      </c>
      <c r="Q1490" s="267">
        <v>1</v>
      </c>
      <c r="R1490" s="267">
        <v>1</v>
      </c>
      <c r="S1490" s="269">
        <v>1</v>
      </c>
      <c r="T1490" s="21"/>
      <c r="U1490" s="94" t="s">
        <v>2192</v>
      </c>
      <c r="V1490" s="90"/>
      <c r="W1490" s="91"/>
      <c r="X1490" s="92"/>
      <c r="Y1490" s="260"/>
    </row>
    <row r="1491" spans="1:25" s="260" customFormat="1">
      <c r="A1491" s="260" t="s">
        <v>1183</v>
      </c>
      <c r="B1491" s="87">
        <f>B1490+1</f>
        <v>7</v>
      </c>
      <c r="C1491" s="262">
        <v>45903</v>
      </c>
      <c r="D1491" s="271" t="s">
        <v>2130</v>
      </c>
      <c r="E1491" s="271" t="s">
        <v>979</v>
      </c>
      <c r="F1491" s="265">
        <v>5533</v>
      </c>
      <c r="G1491" s="265">
        <f>39.7+(1471.41-16.4-3.76-8.58-2.51)</f>
        <v>1479.8600000000001</v>
      </c>
      <c r="H1491" s="265">
        <f>271.51</f>
        <v>271.51</v>
      </c>
      <c r="I1491" s="266">
        <f>F1491-G1491-H1491</f>
        <v>3781.63</v>
      </c>
      <c r="J1491" s="267" t="s">
        <v>313</v>
      </c>
      <c r="K1491" s="267">
        <v>1</v>
      </c>
      <c r="L1491" s="267">
        <v>1</v>
      </c>
      <c r="M1491" s="267">
        <v>1</v>
      </c>
      <c r="N1491" s="267">
        <v>1</v>
      </c>
      <c r="O1491" s="267">
        <v>1</v>
      </c>
      <c r="P1491" s="314">
        <v>0</v>
      </c>
      <c r="Q1491" s="267">
        <v>1</v>
      </c>
      <c r="R1491" s="267">
        <v>1</v>
      </c>
      <c r="S1491" s="269">
        <v>1</v>
      </c>
      <c r="T1491" s="21"/>
      <c r="U1491" s="94" t="s">
        <v>2240</v>
      </c>
      <c r="V1491" s="90"/>
      <c r="W1491" s="91"/>
      <c r="X1491" s="92"/>
    </row>
    <row r="1492" spans="1:25">
      <c r="A1492" s="494">
        <v>0.05</v>
      </c>
      <c r="B1492" s="87">
        <f>B1491+1</f>
        <v>8</v>
      </c>
      <c r="C1492" s="262">
        <v>45911</v>
      </c>
      <c r="D1492" s="271">
        <v>72853</v>
      </c>
      <c r="E1492" s="271" t="s">
        <v>786</v>
      </c>
      <c r="F1492" s="265">
        <v>523</v>
      </c>
      <c r="G1492" s="265"/>
      <c r="H1492" s="265"/>
      <c r="I1492" s="266">
        <f>F1492-G1492-H1492</f>
        <v>523</v>
      </c>
      <c r="J1492" s="267" t="s">
        <v>150</v>
      </c>
      <c r="K1492" s="267">
        <v>1</v>
      </c>
      <c r="L1492" s="267">
        <v>1</v>
      </c>
      <c r="M1492" s="267">
        <v>1</v>
      </c>
      <c r="N1492" s="267">
        <v>1</v>
      </c>
      <c r="O1492" s="267">
        <v>1</v>
      </c>
      <c r="P1492" s="314">
        <v>0</v>
      </c>
      <c r="Q1492" s="267">
        <v>1</v>
      </c>
      <c r="R1492" s="267">
        <v>1</v>
      </c>
      <c r="S1492" s="269">
        <v>1</v>
      </c>
      <c r="T1492" s="63"/>
      <c r="U1492" s="94" t="s">
        <v>2166</v>
      </c>
      <c r="V1492" s="90"/>
      <c r="W1492" s="91"/>
      <c r="X1492" s="137"/>
      <c r="Y1492" s="181"/>
    </row>
    <row r="1493" spans="1:25" s="260" customFormat="1">
      <c r="A1493" s="260" t="s">
        <v>2216</v>
      </c>
      <c r="B1493" s="87">
        <f t="shared" ref="B1493:B1500" si="115">B1492+1</f>
        <v>9</v>
      </c>
      <c r="C1493" s="274">
        <v>45922</v>
      </c>
      <c r="D1493" s="276" t="s">
        <v>2217</v>
      </c>
      <c r="E1493" s="404" t="s">
        <v>155</v>
      </c>
      <c r="F1493" s="277">
        <v>5174.5</v>
      </c>
      <c r="G1493" s="277">
        <f>39.7+(8.54)+(1349.28+169.28)+250</f>
        <v>1816.8</v>
      </c>
      <c r="H1493" s="277"/>
      <c r="I1493" s="321">
        <f>F1493-G1493-H1493</f>
        <v>3357.7</v>
      </c>
      <c r="J1493" s="279" t="s">
        <v>156</v>
      </c>
      <c r="K1493" s="279">
        <v>1</v>
      </c>
      <c r="L1493" s="279">
        <v>1</v>
      </c>
      <c r="M1493" s="279">
        <v>1</v>
      </c>
      <c r="N1493" s="279">
        <v>1</v>
      </c>
      <c r="O1493" s="279">
        <v>1</v>
      </c>
      <c r="P1493" s="322">
        <v>0</v>
      </c>
      <c r="Q1493" s="322">
        <v>0</v>
      </c>
      <c r="R1493" s="322">
        <v>0</v>
      </c>
      <c r="S1493" s="328">
        <v>0</v>
      </c>
      <c r="T1493" s="63"/>
      <c r="U1493" s="94" t="s">
        <v>2218</v>
      </c>
      <c r="V1493" s="90"/>
      <c r="W1493" s="91"/>
      <c r="X1493" s="92"/>
    </row>
    <row r="1494" spans="1:25" s="260" customFormat="1">
      <c r="A1494" s="260" t="s">
        <v>2219</v>
      </c>
      <c r="B1494" s="87">
        <f t="shared" si="115"/>
        <v>10</v>
      </c>
      <c r="C1494" s="262">
        <v>45924</v>
      </c>
      <c r="D1494" s="271">
        <v>73596</v>
      </c>
      <c r="E1494" s="264" t="s">
        <v>296</v>
      </c>
      <c r="F1494" s="265">
        <v>2391.9</v>
      </c>
      <c r="G1494" s="265">
        <f>39.7+(206.34+82.06)+200</f>
        <v>528.09999999999991</v>
      </c>
      <c r="H1494" s="265"/>
      <c r="I1494" s="266">
        <f t="shared" ref="I1494:I1496" si="116">F1494-G1494-H1494</f>
        <v>1863.8000000000002</v>
      </c>
      <c r="J1494" s="267" t="s">
        <v>228</v>
      </c>
      <c r="K1494" s="267">
        <v>1</v>
      </c>
      <c r="L1494" s="267">
        <v>1</v>
      </c>
      <c r="M1494" s="267">
        <v>1</v>
      </c>
      <c r="N1494" s="267">
        <v>1</v>
      </c>
      <c r="O1494" s="267">
        <v>1</v>
      </c>
      <c r="P1494" s="314">
        <v>0</v>
      </c>
      <c r="Q1494" s="267">
        <v>1</v>
      </c>
      <c r="R1494" s="267">
        <v>1</v>
      </c>
      <c r="S1494" s="269">
        <v>1</v>
      </c>
      <c r="T1494" s="63"/>
      <c r="U1494" s="10" t="s">
        <v>2220</v>
      </c>
      <c r="V1494" s="90"/>
      <c r="W1494" s="91"/>
      <c r="X1494" s="92"/>
    </row>
    <row r="1495" spans="1:25" s="260" customFormat="1">
      <c r="A1495" s="494">
        <v>0.05</v>
      </c>
      <c r="B1495" s="87">
        <f t="shared" si="115"/>
        <v>11</v>
      </c>
      <c r="C1495" s="274">
        <v>45930</v>
      </c>
      <c r="D1495" s="275" t="s">
        <v>2233</v>
      </c>
      <c r="E1495" s="276" t="s">
        <v>349</v>
      </c>
      <c r="F1495" s="277">
        <v>2431.85</v>
      </c>
      <c r="G1495" s="277">
        <f>39.7+(1*100)</f>
        <v>139.69999999999999</v>
      </c>
      <c r="H1495" s="297"/>
      <c r="I1495" s="321">
        <f t="shared" si="116"/>
        <v>2292.15</v>
      </c>
      <c r="J1495" s="279" t="s">
        <v>156</v>
      </c>
      <c r="K1495" s="279">
        <v>1</v>
      </c>
      <c r="L1495" s="279">
        <v>0</v>
      </c>
      <c r="M1495" s="279">
        <v>1</v>
      </c>
      <c r="N1495" s="279">
        <v>1</v>
      </c>
      <c r="O1495" s="279">
        <v>1</v>
      </c>
      <c r="P1495" s="322">
        <v>0</v>
      </c>
      <c r="Q1495" s="279">
        <v>1</v>
      </c>
      <c r="R1495" s="279">
        <v>1</v>
      </c>
      <c r="S1495" s="280">
        <v>1</v>
      </c>
      <c r="T1495" s="63"/>
      <c r="U1495" s="94"/>
      <c r="V1495" s="90"/>
      <c r="W1495" s="91"/>
      <c r="X1495" s="92"/>
    </row>
    <row r="1496" spans="1:25" s="260" customFormat="1">
      <c r="A1496" s="494">
        <v>0.05</v>
      </c>
      <c r="B1496" s="87">
        <f t="shared" si="115"/>
        <v>12</v>
      </c>
      <c r="C1496" s="274">
        <v>45931</v>
      </c>
      <c r="D1496" s="275">
        <v>73858</v>
      </c>
      <c r="E1496" s="276" t="s">
        <v>572</v>
      </c>
      <c r="F1496" s="277">
        <v>1025</v>
      </c>
      <c r="G1496" s="277">
        <f>39.7</f>
        <v>39.700000000000003</v>
      </c>
      <c r="H1496" s="277"/>
      <c r="I1496" s="321">
        <f t="shared" si="116"/>
        <v>985.3</v>
      </c>
      <c r="J1496" s="279" t="s">
        <v>817</v>
      </c>
      <c r="K1496" s="279">
        <v>1</v>
      </c>
      <c r="L1496" s="279">
        <v>1</v>
      </c>
      <c r="M1496" s="279">
        <v>1</v>
      </c>
      <c r="N1496" s="279">
        <v>1</v>
      </c>
      <c r="O1496" s="279">
        <v>1</v>
      </c>
      <c r="P1496" s="322">
        <v>0</v>
      </c>
      <c r="Q1496" s="322">
        <v>0</v>
      </c>
      <c r="R1496" s="322">
        <v>0</v>
      </c>
      <c r="S1496" s="328">
        <v>0</v>
      </c>
      <c r="T1496" s="63"/>
      <c r="U1496" s="10" t="s">
        <v>2234</v>
      </c>
      <c r="V1496" s="90"/>
      <c r="W1496" s="91"/>
      <c r="X1496" s="92"/>
    </row>
    <row r="1497" spans="1:25" s="260" customFormat="1">
      <c r="A1497" s="494">
        <v>0.05</v>
      </c>
      <c r="B1497" s="87">
        <f t="shared" si="115"/>
        <v>13</v>
      </c>
      <c r="C1497" s="274">
        <v>45932</v>
      </c>
      <c r="D1497" s="276">
        <v>73254</v>
      </c>
      <c r="E1497" s="281" t="s">
        <v>1215</v>
      </c>
      <c r="F1497" s="277">
        <f>2899-85</f>
        <v>2814</v>
      </c>
      <c r="G1497" s="277">
        <f>39.7+(307.1+324.82-290.91)</f>
        <v>380.71000000000004</v>
      </c>
      <c r="H1497" s="277"/>
      <c r="I1497" s="321">
        <f>F1497-G1497-H1497</f>
        <v>2433.29</v>
      </c>
      <c r="J1497" s="279" t="s">
        <v>374</v>
      </c>
      <c r="K1497" s="279">
        <v>1</v>
      </c>
      <c r="L1497" s="279">
        <v>1</v>
      </c>
      <c r="M1497" s="279">
        <v>1</v>
      </c>
      <c r="N1497" s="279">
        <v>1</v>
      </c>
      <c r="O1497" s="279">
        <v>1</v>
      </c>
      <c r="P1497" s="279">
        <v>1</v>
      </c>
      <c r="Q1497" s="279">
        <v>1</v>
      </c>
      <c r="R1497" s="322">
        <v>0</v>
      </c>
      <c r="S1497" s="328">
        <v>0</v>
      </c>
      <c r="T1497" s="63"/>
      <c r="U1497" s="10" t="s">
        <v>2235</v>
      </c>
      <c r="V1497" s="90"/>
      <c r="W1497" s="91"/>
      <c r="X1497" s="92"/>
      <c r="Y1497" s="181"/>
    </row>
    <row r="1498" spans="1:25" s="260" customFormat="1">
      <c r="A1498" s="494">
        <v>0.05</v>
      </c>
      <c r="B1498" s="87">
        <f t="shared" si="115"/>
        <v>14</v>
      </c>
      <c r="C1498" s="282">
        <v>45932</v>
      </c>
      <c r="D1498" s="302">
        <v>73883</v>
      </c>
      <c r="E1498" s="319" t="s">
        <v>786</v>
      </c>
      <c r="F1498" s="284">
        <v>2353</v>
      </c>
      <c r="G1498" s="284">
        <f>39.7+(210.03)+200</f>
        <v>449.73</v>
      </c>
      <c r="H1498" s="284"/>
      <c r="I1498" s="300">
        <f t="shared" ref="I1498" si="117">F1498-G1498-H1498</f>
        <v>1903.27</v>
      </c>
      <c r="J1498" s="286" t="s">
        <v>374</v>
      </c>
      <c r="K1498" s="286">
        <v>1</v>
      </c>
      <c r="L1498" s="286">
        <v>1</v>
      </c>
      <c r="M1498" s="286">
        <v>1</v>
      </c>
      <c r="N1498" s="286">
        <v>1</v>
      </c>
      <c r="O1498" s="286">
        <v>1</v>
      </c>
      <c r="P1498" s="332">
        <v>0</v>
      </c>
      <c r="Q1498" s="286">
        <v>1</v>
      </c>
      <c r="R1498" s="286">
        <v>1</v>
      </c>
      <c r="S1498" s="370">
        <v>0</v>
      </c>
      <c r="T1498" s="63"/>
      <c r="U1498" s="10" t="s">
        <v>2236</v>
      </c>
      <c r="V1498" s="90"/>
      <c r="W1498" s="91"/>
      <c r="X1498" s="92"/>
    </row>
    <row r="1499" spans="1:25" s="260" customFormat="1">
      <c r="A1499" s="494" t="s">
        <v>2237</v>
      </c>
      <c r="B1499" s="87">
        <f t="shared" si="115"/>
        <v>15</v>
      </c>
      <c r="C1499" s="262">
        <v>45933</v>
      </c>
      <c r="D1499" s="271" t="s">
        <v>2238</v>
      </c>
      <c r="E1499" s="271" t="s">
        <v>2132</v>
      </c>
      <c r="F1499" s="265">
        <v>16814</v>
      </c>
      <c r="G1499" s="265">
        <f>39.7+(228.4)+(119.12+612.84+132.75+179.85+59.99)+1500</f>
        <v>2872.65</v>
      </c>
      <c r="H1499" s="265"/>
      <c r="I1499" s="266">
        <f>F1499-G1499-H1499</f>
        <v>13941.35</v>
      </c>
      <c r="J1499" s="267" t="s">
        <v>156</v>
      </c>
      <c r="K1499" s="267">
        <v>1</v>
      </c>
      <c r="L1499" s="267">
        <v>1</v>
      </c>
      <c r="M1499" s="267">
        <v>1</v>
      </c>
      <c r="N1499" s="267">
        <v>1</v>
      </c>
      <c r="O1499" s="267">
        <v>1</v>
      </c>
      <c r="P1499" s="314">
        <v>0</v>
      </c>
      <c r="Q1499" s="267">
        <v>1</v>
      </c>
      <c r="R1499" s="267">
        <v>1</v>
      </c>
      <c r="S1499" s="269">
        <v>1</v>
      </c>
      <c r="T1499" s="63"/>
      <c r="U1499" s="94" t="s">
        <v>2239</v>
      </c>
      <c r="V1499" s="90"/>
      <c r="W1499" s="136"/>
      <c r="X1499" s="137"/>
    </row>
    <row r="1500" spans="1:25" s="260" customFormat="1">
      <c r="A1500" s="181" t="s">
        <v>619</v>
      </c>
      <c r="B1500" s="87">
        <f t="shared" si="115"/>
        <v>16</v>
      </c>
      <c r="C1500" s="262">
        <v>45939</v>
      </c>
      <c r="D1500" s="271">
        <v>74184</v>
      </c>
      <c r="E1500" s="264" t="s">
        <v>225</v>
      </c>
      <c r="F1500" s="265">
        <v>2614</v>
      </c>
      <c r="G1500" s="265">
        <f>39.7+(49.06+253.13)</f>
        <v>341.89</v>
      </c>
      <c r="H1500" s="265"/>
      <c r="I1500" s="266">
        <f t="shared" ref="I1500" si="118">F1500-G1500-H1500</f>
        <v>2272.11</v>
      </c>
      <c r="J1500" s="267" t="s">
        <v>156</v>
      </c>
      <c r="K1500" s="267">
        <v>1</v>
      </c>
      <c r="L1500" s="267">
        <v>1</v>
      </c>
      <c r="M1500" s="267">
        <v>1</v>
      </c>
      <c r="N1500" s="267">
        <v>1</v>
      </c>
      <c r="O1500" s="267">
        <v>1</v>
      </c>
      <c r="P1500" s="314">
        <v>0</v>
      </c>
      <c r="Q1500" s="314">
        <v>0</v>
      </c>
      <c r="R1500" s="314">
        <v>0</v>
      </c>
      <c r="S1500" s="366">
        <v>0</v>
      </c>
      <c r="T1500" s="63"/>
      <c r="U1500" s="10" t="s">
        <v>2257</v>
      </c>
      <c r="V1500" s="90"/>
      <c r="W1500" s="91"/>
      <c r="X1500" s="92"/>
    </row>
    <row r="1501" spans="1:25" s="260" customFormat="1">
      <c r="A1501" s="181"/>
      <c r="B1501" s="11"/>
      <c r="C1501" s="36"/>
      <c r="D1501" s="10"/>
      <c r="E1501" s="10"/>
      <c r="F1501" s="98">
        <f>SUM(F1485:F1500)</f>
        <v>65689.709999999992</v>
      </c>
      <c r="G1501" s="98">
        <f t="shared" ref="G1501:I1501" si="119">SUM(G1485:G1500)</f>
        <v>13104.519999999999</v>
      </c>
      <c r="H1501" s="98">
        <f t="shared" si="119"/>
        <v>271.51</v>
      </c>
      <c r="I1501" s="98">
        <f t="shared" si="119"/>
        <v>52313.679999999993</v>
      </c>
      <c r="J1501" s="63"/>
      <c r="K1501" s="21"/>
      <c r="L1501" s="21"/>
      <c r="M1501" s="21"/>
      <c r="N1501" s="21"/>
      <c r="O1501" s="21"/>
      <c r="P1501" s="21"/>
      <c r="Q1501" s="21"/>
      <c r="R1501" s="21"/>
      <c r="S1501" s="21"/>
      <c r="T1501" s="63"/>
      <c r="U1501" s="10"/>
      <c r="V1501" s="90"/>
      <c r="W1501" s="91"/>
      <c r="X1501" s="92"/>
    </row>
    <row r="1502" spans="1:25" s="260" customFormat="1">
      <c r="A1502" s="181"/>
      <c r="B1502" s="11"/>
      <c r="C1502" s="36"/>
      <c r="D1502" s="10"/>
      <c r="E1502" s="10"/>
      <c r="F1502" s="88"/>
      <c r="G1502" s="88"/>
      <c r="H1502" s="88"/>
      <c r="I1502" s="99"/>
      <c r="J1502" s="63"/>
      <c r="K1502" s="21"/>
      <c r="L1502" s="21"/>
      <c r="M1502" s="21"/>
      <c r="N1502" s="21"/>
      <c r="O1502" s="21"/>
      <c r="P1502" s="21"/>
      <c r="Q1502" s="21"/>
      <c r="R1502" s="21"/>
      <c r="S1502" s="21"/>
      <c r="T1502" s="63"/>
      <c r="U1502" s="10"/>
      <c r="V1502" s="90"/>
      <c r="W1502" s="91"/>
      <c r="X1502" s="92"/>
    </row>
    <row r="1503" spans="1:25" s="260" customFormat="1">
      <c r="B1503" s="100" t="s">
        <v>202</v>
      </c>
      <c r="C1503" s="36"/>
      <c r="D1503" s="10"/>
      <c r="E1503" s="181"/>
      <c r="F1503" s="88"/>
      <c r="G1503" s="88"/>
      <c r="H1503" s="88"/>
      <c r="I1503" s="99"/>
      <c r="J1503" s="63"/>
      <c r="K1503" s="21"/>
      <c r="L1503" s="21"/>
      <c r="M1503" s="21"/>
      <c r="N1503" s="21"/>
      <c r="O1503" s="21"/>
      <c r="P1503" s="21"/>
      <c r="Q1503" s="21"/>
      <c r="R1503" s="21"/>
      <c r="S1503" s="21"/>
      <c r="T1503" s="63"/>
      <c r="U1503" s="10"/>
      <c r="V1503" s="90"/>
      <c r="W1503" s="91"/>
      <c r="X1503" s="92"/>
    </row>
    <row r="1504" spans="1:25" s="260" customFormat="1">
      <c r="A1504" s="494">
        <v>0.05</v>
      </c>
      <c r="B1504" s="87">
        <v>1</v>
      </c>
      <c r="C1504" s="262">
        <v>45848</v>
      </c>
      <c r="D1504" s="271">
        <v>71381</v>
      </c>
      <c r="E1504" s="271" t="s">
        <v>1530</v>
      </c>
      <c r="F1504" s="265">
        <f>1223-85</f>
        <v>1138</v>
      </c>
      <c r="G1504" s="265">
        <f>39.7</f>
        <v>39.700000000000003</v>
      </c>
      <c r="H1504" s="265"/>
      <c r="I1504" s="266">
        <f>F1504-G1504-H1504</f>
        <v>1098.3</v>
      </c>
      <c r="J1504" s="267" t="s">
        <v>156</v>
      </c>
      <c r="K1504" s="267">
        <v>1</v>
      </c>
      <c r="L1504" s="267"/>
      <c r="M1504" s="267">
        <v>1</v>
      </c>
      <c r="N1504" s="267">
        <v>1</v>
      </c>
      <c r="O1504" s="267">
        <v>1</v>
      </c>
      <c r="P1504" s="314">
        <v>0</v>
      </c>
      <c r="Q1504" s="267"/>
      <c r="R1504" s="267"/>
      <c r="S1504" s="269"/>
      <c r="T1504" s="63"/>
      <c r="U1504" s="94"/>
      <c r="V1504" s="90"/>
      <c r="W1504" s="136"/>
      <c r="X1504" s="137"/>
    </row>
    <row r="1505" spans="1:25" s="260" customFormat="1">
      <c r="A1505" s="494">
        <v>0.05</v>
      </c>
      <c r="B1505" s="87">
        <f>B1504+1</f>
        <v>2</v>
      </c>
      <c r="C1505" s="274">
        <v>45902</v>
      </c>
      <c r="D1505" s="276">
        <v>72830</v>
      </c>
      <c r="E1505" s="276" t="s">
        <v>196</v>
      </c>
      <c r="F1505" s="277">
        <f>3447-85</f>
        <v>3362</v>
      </c>
      <c r="G1505" s="277">
        <f>39.7+(20.1)</f>
        <v>59.800000000000004</v>
      </c>
      <c r="H1505" s="277"/>
      <c r="I1505" s="321">
        <f>F1505-G1505-H1505</f>
        <v>3302.2</v>
      </c>
      <c r="J1505" s="279" t="s">
        <v>374</v>
      </c>
      <c r="K1505" s="279">
        <v>1</v>
      </c>
      <c r="L1505" s="279"/>
      <c r="M1505" s="279">
        <v>1</v>
      </c>
      <c r="N1505" s="279">
        <v>1</v>
      </c>
      <c r="O1505" s="322">
        <v>0</v>
      </c>
      <c r="P1505" s="322">
        <v>0</v>
      </c>
      <c r="Q1505" s="279"/>
      <c r="R1505" s="279"/>
      <c r="S1505" s="280"/>
      <c r="T1505" s="63"/>
      <c r="U1505" s="94"/>
      <c r="V1505" s="90"/>
      <c r="W1505" s="136"/>
      <c r="X1505" s="137"/>
    </row>
    <row r="1506" spans="1:25" s="260" customFormat="1">
      <c r="A1506" s="494">
        <v>0.05</v>
      </c>
      <c r="B1506" s="87">
        <f>B1505+1</f>
        <v>3</v>
      </c>
      <c r="C1506" s="262">
        <v>45904</v>
      </c>
      <c r="D1506" s="271">
        <v>72887</v>
      </c>
      <c r="E1506" s="271" t="s">
        <v>2132</v>
      </c>
      <c r="F1506" s="265">
        <v>12814</v>
      </c>
      <c r="G1506" s="265">
        <f>39.7+1000</f>
        <v>1039.7</v>
      </c>
      <c r="H1506" s="265"/>
      <c r="I1506" s="266">
        <f>F1506-G1506-H1506</f>
        <v>11774.3</v>
      </c>
      <c r="J1506" s="267"/>
      <c r="K1506" s="267">
        <v>1</v>
      </c>
      <c r="L1506" s="267"/>
      <c r="M1506" s="267"/>
      <c r="N1506" s="267">
        <v>1</v>
      </c>
      <c r="O1506" s="267">
        <v>1</v>
      </c>
      <c r="P1506" s="314">
        <v>0</v>
      </c>
      <c r="Q1506" s="267"/>
      <c r="R1506" s="267"/>
      <c r="S1506" s="269"/>
      <c r="T1506" s="21"/>
      <c r="U1506" s="94"/>
      <c r="V1506" s="90"/>
      <c r="W1506" s="136"/>
      <c r="X1506" s="137"/>
    </row>
    <row r="1507" spans="1:25" s="342" customFormat="1">
      <c r="A1507" s="494">
        <v>0.05</v>
      </c>
      <c r="B1507" s="87">
        <f>B1506+1</f>
        <v>4</v>
      </c>
      <c r="C1507" s="262">
        <v>45919</v>
      </c>
      <c r="D1507" s="271" t="s">
        <v>2189</v>
      </c>
      <c r="E1507" s="271" t="s">
        <v>225</v>
      </c>
      <c r="F1507" s="265">
        <v>17023</v>
      </c>
      <c r="G1507" s="265">
        <f>39.7+313.4+78+(3.75+52.5-57.57+55.3+187.06)+(398.58+159.54+65.3+7.89+65.01+153.3+61.29)+1500</f>
        <v>3083.0499999999997</v>
      </c>
      <c r="H1507" s="265"/>
      <c r="I1507" s="266">
        <f>F1507-G1507-H1507</f>
        <v>13939.95</v>
      </c>
      <c r="J1507" s="267" t="s">
        <v>156</v>
      </c>
      <c r="K1507" s="267">
        <v>1</v>
      </c>
      <c r="L1507" s="267"/>
      <c r="M1507" s="267">
        <v>1</v>
      </c>
      <c r="N1507" s="267">
        <v>1</v>
      </c>
      <c r="O1507" s="267">
        <v>1</v>
      </c>
      <c r="P1507" s="314">
        <v>0</v>
      </c>
      <c r="Q1507" s="267"/>
      <c r="R1507" s="267"/>
      <c r="S1507" s="269"/>
      <c r="T1507" s="21"/>
      <c r="U1507" s="94" t="s">
        <v>2241</v>
      </c>
      <c r="V1507" s="90"/>
      <c r="W1507" s="136"/>
      <c r="X1507" s="137"/>
      <c r="Y1507" s="260"/>
    </row>
    <row r="1508" spans="1:25" s="342" customFormat="1">
      <c r="A1508" s="494">
        <v>0.05</v>
      </c>
      <c r="B1508" s="87">
        <f>B1507+1</f>
        <v>5</v>
      </c>
      <c r="C1508" s="262">
        <v>45923</v>
      </c>
      <c r="D1508" s="271" t="s">
        <v>2221</v>
      </c>
      <c r="E1508" s="271" t="s">
        <v>168</v>
      </c>
      <c r="F1508" s="265">
        <v>6814</v>
      </c>
      <c r="G1508" s="265">
        <f>39.7+2000</f>
        <v>2039.7</v>
      </c>
      <c r="H1508" s="265"/>
      <c r="I1508" s="266">
        <f t="shared" ref="I1508" si="120">F1508-G1508-H1508</f>
        <v>4774.3</v>
      </c>
      <c r="J1508" s="267" t="s">
        <v>156</v>
      </c>
      <c r="K1508" s="267">
        <v>1</v>
      </c>
      <c r="L1508" s="267"/>
      <c r="M1508" s="267">
        <v>1</v>
      </c>
      <c r="N1508" s="267">
        <v>1</v>
      </c>
      <c r="O1508" s="267">
        <v>1</v>
      </c>
      <c r="P1508" s="314">
        <v>0</v>
      </c>
      <c r="Q1508" s="267"/>
      <c r="R1508" s="267"/>
      <c r="S1508" s="269"/>
      <c r="T1508" s="21"/>
      <c r="U1508" s="94"/>
      <c r="V1508" s="90"/>
      <c r="W1508" s="136"/>
      <c r="X1508" s="137"/>
      <c r="Y1508" s="260"/>
    </row>
    <row r="1509" spans="1:25" s="260" customFormat="1">
      <c r="A1509" s="494">
        <v>0.05</v>
      </c>
      <c r="B1509" s="87">
        <f t="shared" ref="B1509:B1511" si="121">B1508+1</f>
        <v>6</v>
      </c>
      <c r="C1509" s="274">
        <v>45940</v>
      </c>
      <c r="D1509" s="276" t="s">
        <v>2250</v>
      </c>
      <c r="E1509" s="276" t="s">
        <v>572</v>
      </c>
      <c r="F1509" s="277">
        <v>5814</v>
      </c>
      <c r="G1509" s="277">
        <f>39.7+(47.63)+(141.82+789.54)</f>
        <v>1018.6899999999999</v>
      </c>
      <c r="H1509" s="277"/>
      <c r="I1509" s="321">
        <f>F1509-G1509-H1509</f>
        <v>4795.3100000000004</v>
      </c>
      <c r="J1509" s="279" t="s">
        <v>228</v>
      </c>
      <c r="K1509" s="279">
        <v>1</v>
      </c>
      <c r="L1509" s="279"/>
      <c r="M1509" s="279">
        <v>1</v>
      </c>
      <c r="N1509" s="279">
        <v>1</v>
      </c>
      <c r="O1509" s="279">
        <v>1</v>
      </c>
      <c r="P1509" s="322">
        <v>0</v>
      </c>
      <c r="Q1509" s="279"/>
      <c r="R1509" s="279"/>
      <c r="S1509" s="280"/>
      <c r="T1509" s="63"/>
      <c r="U1509" s="94" t="s">
        <v>2251</v>
      </c>
      <c r="V1509" s="90"/>
      <c r="W1509" s="136"/>
      <c r="X1509" s="137"/>
    </row>
    <row r="1510" spans="1:25" s="260" customFormat="1">
      <c r="A1510" s="261">
        <v>0.05</v>
      </c>
      <c r="B1510" s="87">
        <f t="shared" si="121"/>
        <v>7</v>
      </c>
      <c r="C1510" s="295">
        <v>45940</v>
      </c>
      <c r="D1510" s="10">
        <v>74286</v>
      </c>
      <c r="E1510" s="10" t="s">
        <v>210</v>
      </c>
      <c r="F1510" s="62">
        <v>1861</v>
      </c>
      <c r="G1510" s="62">
        <f>39.7+550</f>
        <v>589.70000000000005</v>
      </c>
      <c r="H1510" s="62"/>
      <c r="I1510" s="324">
        <f t="shared" ref="I1510" si="122">F1510-G1510-H1510</f>
        <v>1271.3</v>
      </c>
      <c r="J1510" s="63" t="s">
        <v>156</v>
      </c>
      <c r="K1510" s="63">
        <v>1</v>
      </c>
      <c r="L1510" s="63"/>
      <c r="M1510" s="63">
        <v>1</v>
      </c>
      <c r="N1510" s="63">
        <v>1</v>
      </c>
      <c r="O1510" s="63">
        <v>1</v>
      </c>
      <c r="P1510" s="325">
        <v>0</v>
      </c>
      <c r="Q1510" s="63"/>
      <c r="R1510" s="63"/>
      <c r="S1510" s="296"/>
      <c r="T1510" s="63"/>
      <c r="U1510" s="94" t="s">
        <v>2258</v>
      </c>
      <c r="V1510" s="90"/>
      <c r="W1510" s="136"/>
      <c r="X1510" s="137"/>
    </row>
    <row r="1511" spans="1:25" s="260" customFormat="1">
      <c r="A1511" s="31">
        <v>0.05</v>
      </c>
      <c r="B1511" s="87">
        <f t="shared" si="121"/>
        <v>8</v>
      </c>
      <c r="C1511" s="282">
        <v>45940</v>
      </c>
      <c r="D1511" s="283">
        <v>74313</v>
      </c>
      <c r="E1511" s="283" t="s">
        <v>225</v>
      </c>
      <c r="F1511" s="284">
        <v>1861</v>
      </c>
      <c r="G1511" s="284">
        <f>39.7+550</f>
        <v>589.70000000000005</v>
      </c>
      <c r="H1511" s="284"/>
      <c r="I1511" s="300">
        <f>F1511-G1511-H1511</f>
        <v>1271.3</v>
      </c>
      <c r="J1511" s="286" t="s">
        <v>156</v>
      </c>
      <c r="K1511" s="286">
        <v>1</v>
      </c>
      <c r="L1511" s="286"/>
      <c r="M1511" s="286">
        <v>1</v>
      </c>
      <c r="N1511" s="286">
        <v>1</v>
      </c>
      <c r="O1511" s="286">
        <v>1</v>
      </c>
      <c r="P1511" s="332">
        <v>0</v>
      </c>
      <c r="Q1511" s="286"/>
      <c r="R1511" s="286"/>
      <c r="S1511" s="287"/>
      <c r="T1511" s="63"/>
      <c r="U1511" s="94" t="s">
        <v>2253</v>
      </c>
      <c r="V1511" s="90"/>
      <c r="W1511" s="136"/>
      <c r="X1511" s="137"/>
    </row>
    <row r="1512" spans="1:25" s="260" customFormat="1">
      <c r="B1512" s="11"/>
      <c r="C1512" s="36"/>
      <c r="D1512" s="10"/>
      <c r="E1512" s="10"/>
      <c r="F1512" s="97">
        <f>SUM(F1504:F1511)</f>
        <v>50687</v>
      </c>
      <c r="G1512" s="97">
        <f t="shared" ref="G1512:I1512" si="123">SUM(G1504:G1511)</f>
        <v>8460.0399999999991</v>
      </c>
      <c r="H1512" s="97">
        <f t="shared" si="123"/>
        <v>0</v>
      </c>
      <c r="I1512" s="97">
        <f t="shared" si="123"/>
        <v>42226.960000000006</v>
      </c>
      <c r="J1512" s="63"/>
      <c r="K1512" s="21"/>
      <c r="L1512" s="21"/>
      <c r="M1512" s="21"/>
      <c r="N1512" s="21"/>
      <c r="O1512" s="21"/>
      <c r="P1512" s="21"/>
      <c r="Q1512" s="21"/>
      <c r="R1512" s="21"/>
      <c r="S1512" s="21"/>
      <c r="T1512" s="63"/>
      <c r="U1512" s="10"/>
      <c r="V1512" s="90"/>
      <c r="W1512" s="91"/>
      <c r="X1512" s="92"/>
    </row>
    <row r="1513" spans="1:25">
      <c r="B1513" s="26"/>
      <c r="C1513" s="612"/>
      <c r="D1513" s="141"/>
      <c r="E1513" s="141"/>
      <c r="F1513" s="141"/>
      <c r="G1513" s="141"/>
      <c r="H1513" s="141"/>
      <c r="I1513" s="141"/>
      <c r="J1513" s="141"/>
      <c r="K1513" s="142"/>
      <c r="L1513" s="142"/>
      <c r="M1513" s="142"/>
      <c r="N1513" s="142"/>
      <c r="O1513" s="142"/>
      <c r="P1513" s="142"/>
      <c r="Q1513" s="142"/>
      <c r="R1513" s="142"/>
      <c r="S1513" s="142"/>
      <c r="T1513" s="143">
        <f>SUM(T1480:T1512)</f>
        <v>0</v>
      </c>
      <c r="U1513" s="141"/>
      <c r="V1513" s="144">
        <f>SUM(V1480:V1512)</f>
        <v>0</v>
      </c>
      <c r="W1513" s="145">
        <f>SUM(W1480:W1512)</f>
        <v>0</v>
      </c>
      <c r="X1513" s="146">
        <f>SUM(X1480:X1512)</f>
        <v>0</v>
      </c>
      <c r="Y1513" s="2"/>
    </row>
    <row r="1514" spans="1:25">
      <c r="B1514" s="10"/>
      <c r="C1514" s="36"/>
      <c r="D1514" s="10"/>
      <c r="E1514" s="10"/>
      <c r="F1514" s="10"/>
      <c r="G1514" s="10"/>
      <c r="H1514" s="10"/>
      <c r="I1514" s="10"/>
      <c r="J1514" s="10"/>
      <c r="K1514" s="147"/>
      <c r="L1514" s="147"/>
      <c r="M1514" s="147"/>
      <c r="N1514" s="147"/>
      <c r="O1514" s="147"/>
      <c r="P1514" s="147"/>
      <c r="Q1514" s="147"/>
      <c r="R1514" s="147"/>
      <c r="S1514" s="147"/>
      <c r="T1514" s="21"/>
      <c r="U1514" s="10"/>
      <c r="V1514" s="99"/>
      <c r="W1514" s="99"/>
      <c r="X1514" s="99"/>
      <c r="Y1514" s="2"/>
    </row>
    <row r="1516" spans="1:25">
      <c r="A1516" s="613"/>
      <c r="B1516" s="4" t="s">
        <v>1</v>
      </c>
      <c r="C1516" s="5"/>
      <c r="D1516" s="6"/>
      <c r="E1516" s="6"/>
      <c r="F1516" s="7" t="s">
        <v>2</v>
      </c>
      <c r="G1516" s="608">
        <v>45963</v>
      </c>
      <c r="H1516" s="7"/>
      <c r="I1516" s="6"/>
      <c r="J1516" s="6"/>
      <c r="K1516" s="6"/>
      <c r="L1516" s="6"/>
      <c r="M1516" s="6"/>
      <c r="N1516" s="6"/>
      <c r="O1516" s="6"/>
      <c r="P1516" s="6"/>
      <c r="Q1516" s="6"/>
      <c r="R1516" s="6"/>
      <c r="S1516" s="6"/>
      <c r="T1516" s="6"/>
      <c r="U1516" s="9"/>
      <c r="V1516" s="10"/>
      <c r="W1516" s="10"/>
      <c r="X1516" s="10"/>
    </row>
    <row r="1517" spans="1:25">
      <c r="A1517" s="614"/>
      <c r="B1517" s="11"/>
      <c r="C1517" s="10"/>
      <c r="D1517" s="10"/>
      <c r="E1517" s="10"/>
      <c r="F1517" s="10"/>
      <c r="G1517" s="7"/>
      <c r="H1517" s="12"/>
      <c r="I1517" s="10"/>
      <c r="J1517" s="10"/>
      <c r="K1517" s="13" t="s">
        <v>3</v>
      </c>
      <c r="L1517" s="14"/>
      <c r="M1517" s="15"/>
      <c r="N1517" s="13" t="s">
        <v>4</v>
      </c>
      <c r="O1517" s="14"/>
      <c r="P1517" s="15"/>
      <c r="Q1517" s="13" t="s">
        <v>5</v>
      </c>
      <c r="R1517" s="14"/>
      <c r="S1517" s="15"/>
      <c r="T1517" s="16"/>
      <c r="U1517" s="17"/>
      <c r="V1517" s="10"/>
      <c r="W1517" s="10"/>
      <c r="X1517" s="10"/>
    </row>
    <row r="1518" spans="1:25">
      <c r="A1518" s="614"/>
      <c r="B1518" s="18" t="s">
        <v>6</v>
      </c>
      <c r="C1518" s="19">
        <f>C1519+C1520</f>
        <v>35</v>
      </c>
      <c r="D1518" s="10"/>
      <c r="E1518" s="18" t="s">
        <v>7</v>
      </c>
      <c r="F1518" s="6"/>
      <c r="G1518" s="9"/>
      <c r="H1518" s="10"/>
      <c r="I1518" s="10"/>
      <c r="J1518" s="10"/>
      <c r="K1518" s="20" t="s">
        <v>8</v>
      </c>
      <c r="L1518" s="21" t="s">
        <v>9</v>
      </c>
      <c r="M1518" s="21" t="s">
        <v>10</v>
      </c>
      <c r="N1518" s="20" t="s">
        <v>11</v>
      </c>
      <c r="O1518" s="21" t="s">
        <v>12</v>
      </c>
      <c r="P1518" s="22" t="s">
        <v>13</v>
      </c>
      <c r="Q1518" s="21" t="s">
        <v>11</v>
      </c>
      <c r="R1518" s="21" t="s">
        <v>12</v>
      </c>
      <c r="S1518" s="22" t="s">
        <v>13</v>
      </c>
      <c r="T1518" s="23" t="s">
        <v>14</v>
      </c>
      <c r="U1518" s="17"/>
      <c r="V1518" s="10"/>
      <c r="W1518" s="10"/>
      <c r="X1518" s="10"/>
    </row>
    <row r="1519" spans="1:25">
      <c r="A1519" s="614"/>
      <c r="B1519" s="24" t="s">
        <v>15</v>
      </c>
      <c r="C1519" s="25">
        <f>P1526</f>
        <v>16</v>
      </c>
      <c r="D1519" s="10"/>
      <c r="E1519" s="26" t="s">
        <v>16</v>
      </c>
      <c r="F1519" s="27">
        <v>0.05</v>
      </c>
      <c r="G1519" s="28"/>
      <c r="H1519" s="10"/>
      <c r="I1519" s="10"/>
      <c r="J1519" s="18" t="s">
        <v>17</v>
      </c>
      <c r="K1519" s="29">
        <f>K1557</f>
        <v>12</v>
      </c>
      <c r="L1519" s="29">
        <f t="shared" ref="L1519:S1519" si="124">L1557</f>
        <v>12</v>
      </c>
      <c r="M1519" s="29">
        <f t="shared" si="124"/>
        <v>12</v>
      </c>
      <c r="N1519" s="29">
        <f t="shared" si="124"/>
        <v>12</v>
      </c>
      <c r="O1519" s="29">
        <f t="shared" si="124"/>
        <v>12</v>
      </c>
      <c r="P1519" s="29">
        <f t="shared" si="124"/>
        <v>0</v>
      </c>
      <c r="Q1519" s="29">
        <f t="shared" si="124"/>
        <v>11</v>
      </c>
      <c r="R1519" s="29">
        <f t="shared" si="124"/>
        <v>11</v>
      </c>
      <c r="S1519" s="29">
        <f t="shared" si="124"/>
        <v>11</v>
      </c>
      <c r="T1519" s="30">
        <f>T1646</f>
        <v>7</v>
      </c>
      <c r="U1519" s="17"/>
      <c r="V1519" s="10"/>
      <c r="W1519" s="10"/>
      <c r="X1519" s="10"/>
    </row>
    <row r="1520" spans="1:25">
      <c r="A1520" s="614"/>
      <c r="B1520" s="24" t="s">
        <v>18</v>
      </c>
      <c r="C1520" s="25">
        <f>P1527</f>
        <v>19</v>
      </c>
      <c r="D1520" s="10"/>
      <c r="E1520" s="10"/>
      <c r="F1520" s="10"/>
      <c r="G1520" s="31"/>
      <c r="H1520" s="10"/>
      <c r="I1520" s="10"/>
      <c r="J1520" s="32" t="s">
        <v>19</v>
      </c>
      <c r="K1520" s="33">
        <f>K1557/K1556</f>
        <v>1</v>
      </c>
      <c r="L1520" s="33">
        <f t="shared" ref="L1520:S1520" si="125">L1557/L1556</f>
        <v>1</v>
      </c>
      <c r="M1520" s="33">
        <f t="shared" si="125"/>
        <v>1</v>
      </c>
      <c r="N1520" s="33">
        <f t="shared" si="125"/>
        <v>1</v>
      </c>
      <c r="O1520" s="33">
        <f t="shared" si="125"/>
        <v>1</v>
      </c>
      <c r="P1520" s="33">
        <f t="shared" si="125"/>
        <v>0</v>
      </c>
      <c r="Q1520" s="33">
        <f t="shared" si="125"/>
        <v>0.91666666666666663</v>
      </c>
      <c r="R1520" s="33">
        <f t="shared" si="125"/>
        <v>0.91666666666666663</v>
      </c>
      <c r="S1520" s="33">
        <f t="shared" si="125"/>
        <v>0.91666666666666663</v>
      </c>
      <c r="T1520" s="23">
        <v>1</v>
      </c>
      <c r="U1520" s="17" t="s">
        <v>20</v>
      </c>
      <c r="V1520" s="10"/>
      <c r="W1520" s="10"/>
      <c r="X1520" s="10"/>
    </row>
    <row r="1521" spans="1:24">
      <c r="A1521" s="614"/>
      <c r="B1521" s="24" t="s">
        <v>21</v>
      </c>
      <c r="C1521" s="34">
        <f>P1528</f>
        <v>0.45714285714285713</v>
      </c>
      <c r="D1521" s="10"/>
      <c r="E1521" s="10"/>
      <c r="F1521" s="10"/>
      <c r="G1521" s="10"/>
      <c r="H1521" s="10"/>
      <c r="I1521" s="10"/>
      <c r="J1521" s="10"/>
      <c r="K1521" s="10"/>
      <c r="L1521" s="10"/>
      <c r="M1521" s="10"/>
      <c r="N1521" s="10"/>
      <c r="O1521" s="10"/>
      <c r="P1521" s="10"/>
      <c r="Q1521" s="10"/>
      <c r="R1521" s="10"/>
      <c r="S1521" s="10"/>
      <c r="T1521" s="10"/>
      <c r="U1521" s="17"/>
      <c r="V1521" s="10"/>
      <c r="W1521" s="10"/>
      <c r="X1521" s="10"/>
    </row>
    <row r="1522" spans="1:24">
      <c r="A1522" s="614"/>
      <c r="B1522" s="24"/>
      <c r="C1522" s="25"/>
      <c r="D1522" s="10"/>
      <c r="E1522" s="10"/>
      <c r="F1522" s="18" t="s">
        <v>22</v>
      </c>
      <c r="G1522" s="19" t="s">
        <v>23</v>
      </c>
      <c r="H1522" s="35" t="s">
        <v>24</v>
      </c>
      <c r="I1522" s="10"/>
      <c r="J1522" s="10"/>
      <c r="K1522" s="36"/>
      <c r="L1522" s="36"/>
      <c r="M1522" s="36"/>
      <c r="N1522" s="36"/>
      <c r="O1522" s="36"/>
      <c r="P1522" s="36"/>
      <c r="Q1522" s="36"/>
      <c r="R1522" s="10"/>
      <c r="S1522" s="10"/>
      <c r="T1522" s="10"/>
      <c r="U1522" s="17"/>
      <c r="V1522" s="10"/>
      <c r="W1522" s="10"/>
      <c r="X1522" s="10"/>
    </row>
    <row r="1523" spans="1:24">
      <c r="A1523" s="614"/>
      <c r="B1523" s="32" t="s">
        <v>25</v>
      </c>
      <c r="C1523" s="37">
        <f>P1529</f>
        <v>1703.2543750000002</v>
      </c>
      <c r="D1523" s="10"/>
      <c r="E1523" s="18" t="s">
        <v>26</v>
      </c>
      <c r="F1523" s="38">
        <f>P1525</f>
        <v>27252.070000000003</v>
      </c>
      <c r="G1523" s="39">
        <f>I1556+I1579+I1584</f>
        <v>27252.069999999996</v>
      </c>
      <c r="H1523" s="40"/>
      <c r="I1523" s="41"/>
      <c r="J1523" s="42"/>
      <c r="K1523" s="43" t="s">
        <v>27</v>
      </c>
      <c r="L1523" s="44"/>
      <c r="M1523" s="44"/>
      <c r="N1523" s="44"/>
      <c r="O1523" s="44"/>
      <c r="P1523" s="44"/>
      <c r="Q1523" s="45"/>
      <c r="R1523" s="46" t="s">
        <v>28</v>
      </c>
      <c r="S1523" s="47" t="s">
        <v>29</v>
      </c>
      <c r="T1523" s="10"/>
      <c r="U1523" s="17"/>
      <c r="V1523" s="10"/>
      <c r="W1523" s="10"/>
      <c r="X1523" s="10"/>
    </row>
    <row r="1524" spans="1:24">
      <c r="A1524" s="614"/>
      <c r="B1524" s="11"/>
      <c r="C1524" s="10"/>
      <c r="D1524" s="10"/>
      <c r="E1524" s="24" t="s">
        <v>30</v>
      </c>
      <c r="F1524" s="48">
        <f>F1519</f>
        <v>0.05</v>
      </c>
      <c r="G1524" s="17"/>
      <c r="H1524" s="40"/>
      <c r="I1524" s="41"/>
      <c r="J1524" s="42"/>
      <c r="K1524" s="20" t="s">
        <v>31</v>
      </c>
      <c r="L1524" s="21" t="s">
        <v>32</v>
      </c>
      <c r="M1524" s="21" t="s">
        <v>33</v>
      </c>
      <c r="N1524" s="21" t="s">
        <v>34</v>
      </c>
      <c r="O1524" s="21" t="s">
        <v>35</v>
      </c>
      <c r="P1524" s="21" t="s">
        <v>36</v>
      </c>
      <c r="Q1524" s="49" t="s">
        <v>37</v>
      </c>
      <c r="R1524" s="50" t="s">
        <v>38</v>
      </c>
      <c r="S1524" s="50" t="s">
        <v>38</v>
      </c>
      <c r="T1524" s="10"/>
      <c r="U1524" s="17"/>
      <c r="V1524" s="10"/>
      <c r="W1524" s="10"/>
      <c r="X1524" s="10"/>
    </row>
    <row r="1525" spans="1:24">
      <c r="A1525" s="614"/>
      <c r="B1525" s="11"/>
      <c r="C1525" s="10"/>
      <c r="D1525" s="10"/>
      <c r="E1525" s="51" t="s">
        <v>39</v>
      </c>
      <c r="F1525" s="52">
        <f>F1523*F1524</f>
        <v>1362.6035000000002</v>
      </c>
      <c r="G1525" s="53" t="s">
        <v>40</v>
      </c>
      <c r="H1525" s="54">
        <f>F1525/1.12</f>
        <v>1216.6102678571428</v>
      </c>
      <c r="I1525" s="55"/>
      <c r="J1525" s="42"/>
      <c r="K1525" s="56">
        <f>I1544+I1545+I1546+I1547+I1548+I1549</f>
        <v>7691.0700000000006</v>
      </c>
      <c r="L1525" s="57">
        <f>I1577+I1550</f>
        <v>5399.6</v>
      </c>
      <c r="M1525" s="57">
        <f>I1551+I1582</f>
        <v>5477.6</v>
      </c>
      <c r="N1525" s="57">
        <f>I1552+I1553+I1578+I1583</f>
        <v>7587.6</v>
      </c>
      <c r="O1525" s="57">
        <f>I1554+I1555</f>
        <v>1096.1999999999998</v>
      </c>
      <c r="P1525" s="57">
        <f>SUM(K1525:O1525)</f>
        <v>27252.070000000003</v>
      </c>
      <c r="Q1525" s="58">
        <f>I1560+I1561+I1562+I1587</f>
        <v>17355.650000000001</v>
      </c>
      <c r="R1525" s="59">
        <f>I1579+I1584</f>
        <v>9785.6</v>
      </c>
      <c r="S1525" s="59">
        <f>+I1588</f>
        <v>10907.75</v>
      </c>
      <c r="T1525" s="10"/>
      <c r="U1525" s="17"/>
      <c r="V1525" s="10"/>
      <c r="W1525" s="10"/>
      <c r="X1525" s="10"/>
    </row>
    <row r="1526" spans="1:24">
      <c r="A1526" s="614"/>
      <c r="B1526" s="11"/>
      <c r="C1526" s="10"/>
      <c r="D1526" s="10"/>
      <c r="E1526" s="24" t="s">
        <v>41</v>
      </c>
      <c r="F1526" s="60">
        <f>Q1525</f>
        <v>17355.650000000001</v>
      </c>
      <c r="G1526" s="61" t="s">
        <v>40</v>
      </c>
      <c r="H1526" s="62"/>
      <c r="I1526" s="62"/>
      <c r="J1526" s="10" t="s">
        <v>42</v>
      </c>
      <c r="K1526" s="63">
        <v>6</v>
      </c>
      <c r="L1526" s="63">
        <v>2</v>
      </c>
      <c r="M1526" s="63">
        <v>2</v>
      </c>
      <c r="N1526" s="63">
        <v>4</v>
      </c>
      <c r="O1526" s="63">
        <v>2</v>
      </c>
      <c r="P1526" s="21">
        <f>SUM(K1526:O1526)</f>
        <v>16</v>
      </c>
      <c r="Q1526" s="64">
        <v>4</v>
      </c>
      <c r="R1526" s="63"/>
      <c r="S1526" s="10"/>
      <c r="T1526" s="10"/>
      <c r="U1526" s="17"/>
      <c r="V1526" s="10"/>
      <c r="W1526" s="10"/>
      <c r="X1526" s="10"/>
    </row>
    <row r="1527" spans="1:24">
      <c r="A1527" s="614"/>
      <c r="B1527" s="11"/>
      <c r="C1527" s="10"/>
      <c r="D1527" s="10"/>
      <c r="E1527" s="51" t="s">
        <v>43</v>
      </c>
      <c r="F1527" s="52">
        <f>F1526*0.25</f>
        <v>4338.9125000000004</v>
      </c>
      <c r="G1527" s="53" t="s">
        <v>40</v>
      </c>
      <c r="H1527" s="54">
        <f>F1527/1.12</f>
        <v>3874.0290178571427</v>
      </c>
      <c r="I1527" s="10"/>
      <c r="J1527" s="10" t="s">
        <v>44</v>
      </c>
      <c r="K1527" s="63">
        <v>3</v>
      </c>
      <c r="L1527" s="63">
        <v>2</v>
      </c>
      <c r="M1527" s="63">
        <v>4</v>
      </c>
      <c r="N1527" s="63">
        <v>6</v>
      </c>
      <c r="O1527" s="63">
        <v>4</v>
      </c>
      <c r="P1527" s="21">
        <f>SUM(K1527:O1527)</f>
        <v>19</v>
      </c>
      <c r="Q1527" s="64">
        <v>2</v>
      </c>
      <c r="R1527" s="63"/>
      <c r="S1527" s="10"/>
      <c r="T1527" s="10"/>
      <c r="U1527" s="17"/>
      <c r="V1527" s="10"/>
      <c r="W1527" s="10"/>
      <c r="X1527" s="10"/>
    </row>
    <row r="1528" spans="1:24">
      <c r="A1528" s="614"/>
      <c r="B1528" s="11"/>
      <c r="C1528" s="10"/>
      <c r="D1528" s="10"/>
      <c r="E1528" s="24" t="s">
        <v>45</v>
      </c>
      <c r="F1528" s="60"/>
      <c r="G1528" s="61" t="s">
        <v>40</v>
      </c>
      <c r="H1528" s="62"/>
      <c r="I1528" s="10"/>
      <c r="J1528" s="10" t="s">
        <v>46</v>
      </c>
      <c r="K1528" s="31">
        <f t="shared" ref="K1528:Q1528" si="126">K1526/(K1526+K1527)</f>
        <v>0.66666666666666663</v>
      </c>
      <c r="L1528" s="31">
        <f t="shared" si="126"/>
        <v>0.5</v>
      </c>
      <c r="M1528" s="31">
        <f t="shared" si="126"/>
        <v>0.33333333333333331</v>
      </c>
      <c r="N1528" s="31">
        <f t="shared" si="126"/>
        <v>0.4</v>
      </c>
      <c r="O1528" s="31">
        <f t="shared" si="126"/>
        <v>0.33333333333333331</v>
      </c>
      <c r="P1528" s="31">
        <f t="shared" si="126"/>
        <v>0.45714285714285713</v>
      </c>
      <c r="Q1528" s="31">
        <f t="shared" si="126"/>
        <v>0.66666666666666663</v>
      </c>
      <c r="R1528" s="63"/>
      <c r="S1528" s="10"/>
      <c r="T1528" s="10"/>
      <c r="U1528" s="17"/>
      <c r="V1528" s="10"/>
      <c r="W1528" s="10"/>
      <c r="X1528" s="10"/>
    </row>
    <row r="1529" spans="1:24">
      <c r="A1529" s="614"/>
      <c r="B1529" s="11"/>
      <c r="C1529" s="10"/>
      <c r="D1529" s="10"/>
      <c r="E1529" s="51" t="s">
        <v>47</v>
      </c>
      <c r="F1529" s="52">
        <f>F1528*0.05</f>
        <v>0</v>
      </c>
      <c r="G1529" s="65" t="s">
        <v>40</v>
      </c>
      <c r="H1529" s="54">
        <f>F1529/1.12</f>
        <v>0</v>
      </c>
      <c r="I1529" s="42"/>
      <c r="J1529" s="10" t="s">
        <v>48</v>
      </c>
      <c r="K1529" s="66">
        <f>K1525/K1526</f>
        <v>1281.845</v>
      </c>
      <c r="L1529" s="66">
        <f t="shared" ref="L1529:Q1529" si="127">L1525/L1526</f>
        <v>2699.8</v>
      </c>
      <c r="M1529" s="66">
        <f t="shared" si="127"/>
        <v>2738.8</v>
      </c>
      <c r="N1529" s="66">
        <f t="shared" si="127"/>
        <v>1896.9</v>
      </c>
      <c r="O1529" s="66">
        <f t="shared" si="127"/>
        <v>548.09999999999991</v>
      </c>
      <c r="P1529" s="66">
        <f t="shared" si="127"/>
        <v>1703.2543750000002</v>
      </c>
      <c r="Q1529" s="66">
        <f t="shared" si="127"/>
        <v>4338.9125000000004</v>
      </c>
      <c r="R1529" s="63"/>
      <c r="S1529" s="10"/>
      <c r="T1529" s="10"/>
      <c r="U1529" s="17"/>
      <c r="V1529" s="10"/>
      <c r="W1529" s="10"/>
      <c r="X1529" s="10"/>
    </row>
    <row r="1530" spans="1:24">
      <c r="A1530" s="614"/>
      <c r="B1530" s="11"/>
      <c r="C1530" s="10"/>
      <c r="D1530" s="10"/>
      <c r="E1530" s="67" t="s">
        <v>14</v>
      </c>
      <c r="F1530" s="68">
        <f>7*50</f>
        <v>350</v>
      </c>
      <c r="G1530" s="10"/>
      <c r="H1530" s="54">
        <f>F1530/1.12</f>
        <v>312.49999999999994</v>
      </c>
      <c r="I1530" s="10"/>
      <c r="J1530" s="10"/>
      <c r="K1530" s="10"/>
      <c r="L1530" s="10"/>
      <c r="M1530" s="10"/>
      <c r="N1530" s="10"/>
      <c r="O1530" s="10"/>
      <c r="P1530" s="10"/>
      <c r="Q1530" s="10"/>
      <c r="R1530" s="10"/>
      <c r="S1530" s="10"/>
      <c r="T1530" s="10"/>
      <c r="U1530" s="17"/>
      <c r="V1530" s="10"/>
      <c r="W1530" s="10"/>
      <c r="X1530" s="10"/>
    </row>
    <row r="1531" spans="1:24">
      <c r="A1531" s="614"/>
      <c r="B1531" s="11"/>
      <c r="C1531" s="10"/>
      <c r="D1531" s="10"/>
      <c r="E1531" s="67" t="s">
        <v>49</v>
      </c>
      <c r="F1531" s="69">
        <f>T1520</f>
        <v>1</v>
      </c>
      <c r="G1531" s="10"/>
      <c r="H1531" s="54"/>
      <c r="I1531" s="55"/>
      <c r="J1531" s="42"/>
      <c r="K1531" s="764" t="s">
        <v>50</v>
      </c>
      <c r="L1531" s="765"/>
      <c r="M1531" s="765"/>
      <c r="N1531" s="765"/>
      <c r="O1531" s="765"/>
      <c r="P1531" s="765"/>
      <c r="Q1531" s="766"/>
      <c r="R1531" s="70" t="s">
        <v>28</v>
      </c>
      <c r="S1531" s="71" t="s">
        <v>29</v>
      </c>
      <c r="T1531" s="10"/>
      <c r="U1531" s="17"/>
      <c r="V1531" s="10"/>
      <c r="W1531" s="10"/>
      <c r="X1531" s="10"/>
    </row>
    <row r="1532" spans="1:24">
      <c r="A1532" s="614"/>
      <c r="B1532" s="11"/>
      <c r="C1532" s="10"/>
      <c r="D1532" s="10"/>
      <c r="E1532" s="307" t="s">
        <v>649</v>
      </c>
      <c r="F1532" s="308">
        <f>$F$1212</f>
        <v>1221.346</v>
      </c>
      <c r="G1532" s="305"/>
      <c r="H1532" s="306">
        <f>F1532/1.12</f>
        <v>1090.4875</v>
      </c>
      <c r="I1532" s="10"/>
      <c r="J1532" s="42"/>
      <c r="K1532" s="20" t="s">
        <v>31</v>
      </c>
      <c r="L1532" s="21" t="s">
        <v>32</v>
      </c>
      <c r="M1532" s="21" t="s">
        <v>33</v>
      </c>
      <c r="N1532" s="21" t="s">
        <v>34</v>
      </c>
      <c r="O1532" s="21" t="s">
        <v>35</v>
      </c>
      <c r="P1532" s="21" t="s">
        <v>36</v>
      </c>
      <c r="Q1532" s="49" t="s">
        <v>37</v>
      </c>
      <c r="R1532" s="50" t="s">
        <v>38</v>
      </c>
      <c r="S1532" s="50" t="s">
        <v>38</v>
      </c>
      <c r="T1532" s="10"/>
      <c r="U1532" s="17"/>
      <c r="V1532" s="10"/>
      <c r="W1532" s="10"/>
      <c r="X1532" s="10"/>
    </row>
    <row r="1533" spans="1:24">
      <c r="A1533" s="614"/>
      <c r="B1533" s="11"/>
      <c r="C1533" s="10"/>
      <c r="D1533" s="10"/>
      <c r="E1533" s="307" t="s">
        <v>906</v>
      </c>
      <c r="F1533" s="308">
        <f>$F$1311</f>
        <v>34.049999999999976</v>
      </c>
      <c r="G1533" s="305"/>
      <c r="H1533" s="306">
        <f>F1533/1.12</f>
        <v>30.40178571428569</v>
      </c>
      <c r="I1533" s="10"/>
      <c r="J1533" s="42"/>
      <c r="K1533" s="56">
        <f>F1544+F1545+F1546+F1547+F1548+F1549</f>
        <v>8306</v>
      </c>
      <c r="L1533" s="57">
        <f>F1577+F1550</f>
        <v>5776</v>
      </c>
      <c r="M1533" s="57">
        <f>F1551+F1582</f>
        <v>5557</v>
      </c>
      <c r="N1533" s="57">
        <f>F1552+F1553+F1578+F1583</f>
        <v>8841.27</v>
      </c>
      <c r="O1533" s="57">
        <f>F1554+F1555</f>
        <v>1135.9000000000001</v>
      </c>
      <c r="P1533" s="57">
        <f>SUM(K1533:O1533)</f>
        <v>29616.170000000002</v>
      </c>
      <c r="Q1533" s="58">
        <f>F1560+F1561+F1562+F1587</f>
        <v>18710.099999999999</v>
      </c>
      <c r="R1533" s="59">
        <f>F1579+F1584</f>
        <v>11039.27</v>
      </c>
      <c r="S1533" s="59">
        <f>+F1588</f>
        <v>12143.1</v>
      </c>
      <c r="T1533" s="10"/>
      <c r="U1533" s="17"/>
      <c r="V1533" s="10"/>
      <c r="W1533" s="10"/>
      <c r="X1533" s="10"/>
    </row>
    <row r="1534" spans="1:24">
      <c r="A1534" s="614"/>
      <c r="B1534" s="11"/>
      <c r="C1534" s="10"/>
      <c r="D1534" s="10"/>
      <c r="E1534" s="307" t="s">
        <v>907</v>
      </c>
      <c r="F1534" s="308">
        <f>$F$1387</f>
        <v>353.66250000000002</v>
      </c>
      <c r="G1534" s="305"/>
      <c r="H1534" s="306">
        <f>F1534/1.12</f>
        <v>315.77008928571428</v>
      </c>
      <c r="I1534" s="10"/>
      <c r="J1534" s="10" t="s">
        <v>42</v>
      </c>
      <c r="K1534" s="63">
        <f>K1526</f>
        <v>6</v>
      </c>
      <c r="L1534" s="63">
        <f t="shared" ref="L1534:Q1535" si="128">L1526</f>
        <v>2</v>
      </c>
      <c r="M1534" s="63">
        <f t="shared" si="128"/>
        <v>2</v>
      </c>
      <c r="N1534" s="63">
        <f t="shared" si="128"/>
        <v>4</v>
      </c>
      <c r="O1534" s="63">
        <f t="shared" si="128"/>
        <v>2</v>
      </c>
      <c r="P1534" s="63">
        <f t="shared" si="128"/>
        <v>16</v>
      </c>
      <c r="Q1534" s="63">
        <f t="shared" si="128"/>
        <v>4</v>
      </c>
      <c r="R1534" s="63"/>
      <c r="S1534" s="10"/>
      <c r="T1534" s="10"/>
      <c r="U1534" s="17"/>
      <c r="V1534" s="10"/>
      <c r="W1534" s="10"/>
      <c r="X1534" s="10"/>
    </row>
    <row r="1535" spans="1:24">
      <c r="A1535" s="614"/>
      <c r="B1535" s="11"/>
      <c r="C1535" s="10"/>
      <c r="D1535" s="10"/>
      <c r="E1535" s="74" t="s">
        <v>2260</v>
      </c>
      <c r="F1535" s="75">
        <v>-19.48</v>
      </c>
      <c r="G1535" s="10"/>
      <c r="H1535" s="10"/>
      <c r="I1535" s="10"/>
      <c r="J1535" s="10" t="s">
        <v>44</v>
      </c>
      <c r="K1535" s="63">
        <f>K1527</f>
        <v>3</v>
      </c>
      <c r="L1535" s="63">
        <f t="shared" si="128"/>
        <v>2</v>
      </c>
      <c r="M1535" s="63">
        <f t="shared" si="128"/>
        <v>4</v>
      </c>
      <c r="N1535" s="63">
        <f t="shared" si="128"/>
        <v>6</v>
      </c>
      <c r="O1535" s="63">
        <f t="shared" si="128"/>
        <v>4</v>
      </c>
      <c r="P1535" s="63">
        <f t="shared" si="128"/>
        <v>19</v>
      </c>
      <c r="Q1535" s="63">
        <f t="shared" si="128"/>
        <v>2</v>
      </c>
      <c r="R1535" s="63"/>
      <c r="S1535" s="10"/>
      <c r="T1535" s="10"/>
      <c r="U1535" s="17"/>
      <c r="V1535" s="10"/>
      <c r="W1535" s="10"/>
      <c r="X1535" s="10"/>
    </row>
    <row r="1536" spans="1:24">
      <c r="A1536" s="614"/>
      <c r="B1536" s="11"/>
      <c r="C1536" s="10"/>
      <c r="D1536" s="10"/>
      <c r="E1536" s="74" t="s">
        <v>2261</v>
      </c>
      <c r="F1536" s="75">
        <f>-53.6</f>
        <v>-53.6</v>
      </c>
      <c r="G1536" s="10"/>
      <c r="H1536" s="10"/>
      <c r="I1536" s="10"/>
      <c r="J1536" s="10" t="s">
        <v>46</v>
      </c>
      <c r="K1536" s="31">
        <f t="shared" ref="K1536:Q1536" si="129">K1534/(K1534+K1535)</f>
        <v>0.66666666666666663</v>
      </c>
      <c r="L1536" s="31">
        <f t="shared" si="129"/>
        <v>0.5</v>
      </c>
      <c r="M1536" s="31">
        <f t="shared" si="129"/>
        <v>0.33333333333333331</v>
      </c>
      <c r="N1536" s="31">
        <f t="shared" si="129"/>
        <v>0.4</v>
      </c>
      <c r="O1536" s="31">
        <f t="shared" si="129"/>
        <v>0.33333333333333331</v>
      </c>
      <c r="P1536" s="31">
        <f t="shared" si="129"/>
        <v>0.45714285714285713</v>
      </c>
      <c r="Q1536" s="31">
        <f t="shared" si="129"/>
        <v>0.66666666666666663</v>
      </c>
      <c r="R1536" s="63"/>
      <c r="S1536" s="10"/>
      <c r="T1536" s="10"/>
      <c r="U1536" s="17"/>
      <c r="V1536" s="10"/>
      <c r="W1536" s="10"/>
      <c r="X1536" s="10"/>
    </row>
    <row r="1537" spans="1:24">
      <c r="A1537" s="614"/>
      <c r="B1537" s="11"/>
      <c r="C1537" s="10"/>
      <c r="D1537" s="10"/>
      <c r="E1537" s="74" t="s">
        <v>2262</v>
      </c>
      <c r="F1537" s="75">
        <v>-345.38</v>
      </c>
      <c r="G1537" s="10"/>
      <c r="H1537" s="10"/>
      <c r="I1537" s="10"/>
      <c r="J1537" s="10" t="s">
        <v>48</v>
      </c>
      <c r="K1537" s="66">
        <f t="shared" ref="K1537:Q1537" si="130">K1533/K1534</f>
        <v>1384.3333333333333</v>
      </c>
      <c r="L1537" s="66">
        <f t="shared" si="130"/>
        <v>2888</v>
      </c>
      <c r="M1537" s="66">
        <f t="shared" si="130"/>
        <v>2778.5</v>
      </c>
      <c r="N1537" s="66">
        <f t="shared" si="130"/>
        <v>2210.3175000000001</v>
      </c>
      <c r="O1537" s="66">
        <f t="shared" si="130"/>
        <v>567.95000000000005</v>
      </c>
      <c r="P1537" s="66">
        <f t="shared" si="130"/>
        <v>1851.0106250000001</v>
      </c>
      <c r="Q1537" s="66">
        <f t="shared" si="130"/>
        <v>4677.5249999999996</v>
      </c>
      <c r="R1537" s="63"/>
      <c r="S1537" s="10"/>
      <c r="T1537" s="10"/>
      <c r="U1537" s="17"/>
      <c r="V1537" s="10"/>
      <c r="W1537" s="10"/>
      <c r="X1537" s="10"/>
    </row>
    <row r="1538" spans="1:24">
      <c r="A1538" s="614"/>
      <c r="B1538" s="11"/>
      <c r="C1538" s="10"/>
      <c r="D1538" s="10"/>
      <c r="E1538" s="10"/>
      <c r="F1538" s="10"/>
      <c r="G1538" s="10"/>
      <c r="H1538" s="10"/>
      <c r="I1538" s="10"/>
      <c r="J1538" s="10"/>
      <c r="K1538" s="10"/>
      <c r="L1538" s="10"/>
      <c r="M1538" s="10"/>
      <c r="N1538" s="10"/>
      <c r="O1538" s="10"/>
      <c r="P1538" s="10"/>
      <c r="Q1538" s="10"/>
      <c r="R1538" s="10"/>
      <c r="S1538" s="10"/>
      <c r="T1538" s="10"/>
      <c r="U1538" s="17"/>
      <c r="V1538" s="10"/>
      <c r="W1538" s="10"/>
      <c r="X1538" s="10"/>
    </row>
    <row r="1539" spans="1:24">
      <c r="A1539" s="614"/>
      <c r="B1539" s="11"/>
      <c r="C1539" s="10"/>
      <c r="D1539" s="10"/>
      <c r="E1539" s="12"/>
      <c r="F1539" s="76"/>
      <c r="G1539" s="10"/>
      <c r="H1539" s="10"/>
      <c r="I1539" s="10"/>
      <c r="J1539" s="10"/>
      <c r="K1539" s="10"/>
      <c r="L1539" s="10"/>
      <c r="M1539" s="10"/>
      <c r="N1539" s="10"/>
      <c r="O1539" s="10"/>
      <c r="P1539" s="10"/>
      <c r="Q1539" s="10"/>
      <c r="R1539" s="10"/>
      <c r="S1539" s="10"/>
      <c r="T1539" s="10"/>
      <c r="U1539" s="17"/>
      <c r="V1539" s="10"/>
      <c r="W1539" s="10"/>
      <c r="X1539" s="10"/>
    </row>
    <row r="1540" spans="1:24">
      <c r="A1540" s="614"/>
      <c r="B1540" s="11"/>
      <c r="C1540" s="10"/>
      <c r="D1540" s="10"/>
      <c r="E1540" s="10"/>
      <c r="F1540" s="10"/>
      <c r="G1540" s="10"/>
      <c r="H1540" s="10"/>
      <c r="I1540" s="10"/>
      <c r="J1540" s="10"/>
      <c r="K1540" s="10"/>
      <c r="L1540" s="10"/>
      <c r="M1540" s="10"/>
      <c r="N1540" s="10"/>
      <c r="O1540" s="10"/>
      <c r="P1540" s="10"/>
      <c r="Q1540" s="10"/>
      <c r="R1540" s="10"/>
      <c r="S1540" s="10"/>
      <c r="T1540" s="10"/>
      <c r="U1540" s="17"/>
      <c r="V1540" s="10"/>
      <c r="W1540" s="10"/>
      <c r="X1540" s="10"/>
    </row>
    <row r="1541" spans="1:24">
      <c r="A1541" s="614"/>
      <c r="B1541" s="18" t="s">
        <v>51</v>
      </c>
      <c r="C1541" s="14"/>
      <c r="D1541" s="14"/>
      <c r="E1541" s="14"/>
      <c r="F1541" s="13" t="s">
        <v>52</v>
      </c>
      <c r="G1541" s="14"/>
      <c r="H1541" s="14"/>
      <c r="I1541" s="14"/>
      <c r="J1541" s="14"/>
      <c r="K1541" s="13" t="s">
        <v>3</v>
      </c>
      <c r="L1541" s="14"/>
      <c r="M1541" s="14"/>
      <c r="N1541" s="13" t="s">
        <v>4</v>
      </c>
      <c r="O1541" s="14"/>
      <c r="P1541" s="14"/>
      <c r="Q1541" s="13" t="s">
        <v>5</v>
      </c>
      <c r="R1541" s="14"/>
      <c r="S1541" s="14"/>
      <c r="T1541" s="18"/>
      <c r="U1541" s="16" t="s">
        <v>53</v>
      </c>
      <c r="V1541" s="77"/>
      <c r="W1541" s="77"/>
      <c r="X1541" s="77"/>
    </row>
    <row r="1542" spans="1:24">
      <c r="A1542" s="614"/>
      <c r="B1542" s="24" t="s">
        <v>54</v>
      </c>
      <c r="C1542" s="21" t="s">
        <v>55</v>
      </c>
      <c r="D1542" s="21" t="s">
        <v>56</v>
      </c>
      <c r="E1542" s="21" t="s">
        <v>57</v>
      </c>
      <c r="F1542" s="20" t="s">
        <v>58</v>
      </c>
      <c r="G1542" s="21" t="s">
        <v>59</v>
      </c>
      <c r="H1542" s="21" t="s">
        <v>60</v>
      </c>
      <c r="I1542" s="21" t="s">
        <v>26</v>
      </c>
      <c r="J1542" s="22" t="s">
        <v>61</v>
      </c>
      <c r="K1542" s="21" t="s">
        <v>8</v>
      </c>
      <c r="L1542" s="21" t="s">
        <v>9</v>
      </c>
      <c r="M1542" s="21" t="s">
        <v>10</v>
      </c>
      <c r="N1542" s="20" t="s">
        <v>11</v>
      </c>
      <c r="O1542" s="21" t="s">
        <v>12</v>
      </c>
      <c r="P1542" s="22" t="s">
        <v>13</v>
      </c>
      <c r="Q1542" s="21" t="s">
        <v>11</v>
      </c>
      <c r="R1542" s="21" t="s">
        <v>12</v>
      </c>
      <c r="S1542" s="21" t="s">
        <v>13</v>
      </c>
      <c r="T1542" s="78" t="s">
        <v>14</v>
      </c>
      <c r="U1542" s="30"/>
      <c r="V1542" s="79" t="s">
        <v>62</v>
      </c>
      <c r="W1542" s="80" t="s">
        <v>63</v>
      </c>
      <c r="X1542" s="81" t="s">
        <v>64</v>
      </c>
    </row>
    <row r="1543" spans="1:24">
      <c r="A1543" s="614"/>
      <c r="B1543" s="4" t="s">
        <v>65</v>
      </c>
      <c r="C1543" s="6"/>
      <c r="D1543" s="6"/>
      <c r="E1543" s="6"/>
      <c r="F1543" s="6"/>
      <c r="G1543" s="6"/>
      <c r="H1543" s="6"/>
      <c r="I1543" s="82"/>
      <c r="J1543" s="6"/>
      <c r="K1543" s="6"/>
      <c r="L1543" s="6"/>
      <c r="M1543" s="6"/>
      <c r="N1543" s="6"/>
      <c r="O1543" s="6"/>
      <c r="P1543" s="6"/>
      <c r="Q1543" s="6"/>
      <c r="R1543" s="6"/>
      <c r="S1543" s="6"/>
      <c r="T1543" s="83"/>
      <c r="U1543" s="6"/>
      <c r="V1543" s="84"/>
      <c r="W1543" s="85"/>
      <c r="X1543" s="86"/>
    </row>
    <row r="1544" spans="1:24">
      <c r="A1544" s="614"/>
      <c r="B1544" s="87">
        <v>1</v>
      </c>
      <c r="C1544" s="274">
        <v>45957</v>
      </c>
      <c r="D1544" s="276">
        <v>74795</v>
      </c>
      <c r="E1544" s="276" t="s">
        <v>354</v>
      </c>
      <c r="F1544" s="277">
        <v>2814</v>
      </c>
      <c r="G1544" s="277">
        <f>39.7+220+(154.31)</f>
        <v>414.01</v>
      </c>
      <c r="H1544" s="297"/>
      <c r="I1544" s="278">
        <f t="shared" ref="I1544:I1555" si="131">F1544-G1544-H1544</f>
        <v>2399.9899999999998</v>
      </c>
      <c r="J1544" s="279" t="s">
        <v>156</v>
      </c>
      <c r="K1544" s="279">
        <v>1</v>
      </c>
      <c r="L1544" s="279">
        <v>1</v>
      </c>
      <c r="M1544" s="279">
        <v>1</v>
      </c>
      <c r="N1544" s="279">
        <v>1</v>
      </c>
      <c r="O1544" s="279">
        <v>1</v>
      </c>
      <c r="P1544" s="322">
        <v>0</v>
      </c>
      <c r="Q1544" s="279">
        <v>1</v>
      </c>
      <c r="R1544" s="279">
        <v>1</v>
      </c>
      <c r="S1544" s="280">
        <v>1</v>
      </c>
      <c r="T1544" s="63"/>
      <c r="U1544" s="10" t="s">
        <v>2263</v>
      </c>
      <c r="V1544" s="90">
        <f>300+2795.4</f>
        <v>3095.4</v>
      </c>
      <c r="W1544" s="91"/>
      <c r="X1544" s="92"/>
    </row>
    <row r="1545" spans="1:24">
      <c r="A1545" s="613" t="s">
        <v>230</v>
      </c>
      <c r="B1545" s="87">
        <f t="shared" ref="B1545:B1555" si="132">B1544+1</f>
        <v>2</v>
      </c>
      <c r="C1545" s="295">
        <v>45957</v>
      </c>
      <c r="D1545" s="10" t="s">
        <v>2264</v>
      </c>
      <c r="E1545" s="10" t="s">
        <v>225</v>
      </c>
      <c r="F1545" s="62">
        <v>681</v>
      </c>
      <c r="G1545" s="62"/>
      <c r="H1545" s="62"/>
      <c r="I1545" s="369">
        <f t="shared" si="131"/>
        <v>681</v>
      </c>
      <c r="J1545" s="63" t="s">
        <v>156</v>
      </c>
      <c r="K1545" s="63">
        <v>1</v>
      </c>
      <c r="L1545" s="63">
        <v>1</v>
      </c>
      <c r="M1545" s="63">
        <v>1</v>
      </c>
      <c r="N1545" s="63">
        <v>1</v>
      </c>
      <c r="O1545" s="63">
        <v>1</v>
      </c>
      <c r="P1545" s="325">
        <v>0</v>
      </c>
      <c r="Q1545" s="63">
        <v>1</v>
      </c>
      <c r="R1545" s="63">
        <v>1</v>
      </c>
      <c r="S1545" s="296">
        <v>1</v>
      </c>
      <c r="T1545" s="63"/>
      <c r="U1545" s="10"/>
      <c r="V1545" s="90">
        <f>74.9+674.2</f>
        <v>749.1</v>
      </c>
      <c r="W1545" s="91"/>
      <c r="X1545" s="92"/>
    </row>
    <row r="1546" spans="1:24">
      <c r="A1546" s="613" t="s">
        <v>230</v>
      </c>
      <c r="B1546" s="87">
        <f t="shared" si="132"/>
        <v>3</v>
      </c>
      <c r="C1546" s="295">
        <v>45957</v>
      </c>
      <c r="D1546" s="10" t="s">
        <v>2265</v>
      </c>
      <c r="E1546" s="10" t="s">
        <v>225</v>
      </c>
      <c r="F1546" s="62">
        <v>1286</v>
      </c>
      <c r="G1546" s="62">
        <f>39.7+(48.03-2.7-1.67-1.54)</f>
        <v>81.819999999999993</v>
      </c>
      <c r="H1546" s="62"/>
      <c r="I1546" s="369">
        <f t="shared" si="131"/>
        <v>1204.18</v>
      </c>
      <c r="J1546" s="63" t="s">
        <v>156</v>
      </c>
      <c r="K1546" s="63">
        <v>1</v>
      </c>
      <c r="L1546" s="63">
        <v>1</v>
      </c>
      <c r="M1546" s="63">
        <v>1</v>
      </c>
      <c r="N1546" s="63">
        <v>1</v>
      </c>
      <c r="O1546" s="63">
        <v>1</v>
      </c>
      <c r="P1546" s="325">
        <v>0</v>
      </c>
      <c r="Q1546" s="63">
        <v>1</v>
      </c>
      <c r="R1546" s="63">
        <v>1</v>
      </c>
      <c r="S1546" s="296">
        <v>1</v>
      </c>
      <c r="T1546" s="21">
        <v>1</v>
      </c>
      <c r="U1546" s="10" t="s">
        <v>2266</v>
      </c>
      <c r="V1546" s="90">
        <f>200+1214.6</f>
        <v>1414.6</v>
      </c>
      <c r="W1546" s="91"/>
      <c r="X1546" s="92"/>
    </row>
    <row r="1547" spans="1:24">
      <c r="A1547" s="614"/>
      <c r="B1547" s="87">
        <f t="shared" si="132"/>
        <v>4</v>
      </c>
      <c r="C1547" s="295">
        <v>45957</v>
      </c>
      <c r="D1547" s="10">
        <v>74853</v>
      </c>
      <c r="E1547" s="94" t="s">
        <v>2080</v>
      </c>
      <c r="F1547" s="62">
        <v>1264</v>
      </c>
      <c r="G1547" s="62">
        <f>39.7</f>
        <v>39.700000000000003</v>
      </c>
      <c r="H1547" s="62"/>
      <c r="I1547" s="89">
        <f t="shared" si="131"/>
        <v>1224.3</v>
      </c>
      <c r="J1547" s="63" t="s">
        <v>156</v>
      </c>
      <c r="K1547" s="63">
        <v>1</v>
      </c>
      <c r="L1547" s="63">
        <v>1</v>
      </c>
      <c r="M1547" s="63">
        <v>1</v>
      </c>
      <c r="N1547" s="63">
        <v>1</v>
      </c>
      <c r="O1547" s="63">
        <v>1</v>
      </c>
      <c r="P1547" s="325">
        <v>0</v>
      </c>
      <c r="Q1547" s="63">
        <v>1</v>
      </c>
      <c r="R1547" s="63">
        <v>1</v>
      </c>
      <c r="S1547" s="296">
        <v>1</v>
      </c>
      <c r="T1547" s="63"/>
      <c r="U1547" s="10" t="s">
        <v>2267</v>
      </c>
      <c r="V1547" s="90">
        <f>139+1251.4</f>
        <v>1390.4</v>
      </c>
      <c r="W1547" s="91"/>
      <c r="X1547" s="92"/>
    </row>
    <row r="1548" spans="1:24">
      <c r="A1548" s="614"/>
      <c r="B1548" s="87">
        <f t="shared" si="132"/>
        <v>5</v>
      </c>
      <c r="C1548" s="295">
        <v>45957</v>
      </c>
      <c r="D1548" s="10">
        <v>74869</v>
      </c>
      <c r="E1548" s="10" t="s">
        <v>572</v>
      </c>
      <c r="F1548" s="62">
        <v>1261</v>
      </c>
      <c r="G1548" s="62">
        <v>39.700000000000003</v>
      </c>
      <c r="H1548" s="62"/>
      <c r="I1548" s="89">
        <f t="shared" si="131"/>
        <v>1221.3</v>
      </c>
      <c r="J1548" s="63" t="s">
        <v>156</v>
      </c>
      <c r="K1548" s="63">
        <v>1</v>
      </c>
      <c r="L1548" s="63">
        <v>1</v>
      </c>
      <c r="M1548" s="63">
        <v>1</v>
      </c>
      <c r="N1548" s="63">
        <v>1</v>
      </c>
      <c r="O1548" s="63">
        <v>1</v>
      </c>
      <c r="P1548" s="325">
        <v>0</v>
      </c>
      <c r="Q1548" s="63">
        <v>1</v>
      </c>
      <c r="R1548" s="63">
        <v>1</v>
      </c>
      <c r="S1548" s="296">
        <v>1</v>
      </c>
      <c r="U1548" s="10" t="s">
        <v>2263</v>
      </c>
      <c r="V1548" s="90">
        <f>138+1249.1</f>
        <v>1387.1</v>
      </c>
      <c r="W1548" s="91"/>
      <c r="X1548" s="92"/>
    </row>
    <row r="1549" spans="1:24">
      <c r="A1549" s="614"/>
      <c r="B1549" s="87">
        <f t="shared" si="132"/>
        <v>6</v>
      </c>
      <c r="C1549" s="295">
        <v>45957</v>
      </c>
      <c r="D1549" s="10">
        <v>74859</v>
      </c>
      <c r="E1549" s="10" t="s">
        <v>168</v>
      </c>
      <c r="F1549" s="62">
        <v>1000</v>
      </c>
      <c r="G1549" s="62">
        <f>39.7</f>
        <v>39.700000000000003</v>
      </c>
      <c r="H1549" s="88"/>
      <c r="I1549" s="89">
        <f t="shared" si="131"/>
        <v>960.3</v>
      </c>
      <c r="J1549" s="63" t="s">
        <v>156</v>
      </c>
      <c r="K1549" s="63">
        <v>1</v>
      </c>
      <c r="L1549" s="63">
        <v>1</v>
      </c>
      <c r="M1549" s="63">
        <v>1</v>
      </c>
      <c r="N1549" s="63">
        <v>1</v>
      </c>
      <c r="O1549" s="63">
        <v>1</v>
      </c>
      <c r="P1549" s="325">
        <v>0</v>
      </c>
      <c r="Q1549" s="325">
        <v>0</v>
      </c>
      <c r="R1549" s="325">
        <v>0</v>
      </c>
      <c r="S1549" s="326">
        <v>0</v>
      </c>
      <c r="T1549" s="21">
        <v>1</v>
      </c>
      <c r="U1549" s="10"/>
      <c r="V1549" s="90">
        <f>110+990</f>
        <v>1100</v>
      </c>
      <c r="W1549" s="91"/>
      <c r="X1549" s="92"/>
    </row>
    <row r="1550" spans="1:24">
      <c r="A1550" s="614"/>
      <c r="B1550" s="87">
        <f>B1549+1</f>
        <v>7</v>
      </c>
      <c r="C1550" s="274">
        <v>45958</v>
      </c>
      <c r="D1550" s="276">
        <v>74873</v>
      </c>
      <c r="E1550" s="276" t="s">
        <v>168</v>
      </c>
      <c r="F1550" s="277">
        <f>4546-85</f>
        <v>4461</v>
      </c>
      <c r="G1550" s="277">
        <f>39.7+297</f>
        <v>336.7</v>
      </c>
      <c r="H1550" s="277"/>
      <c r="I1550" s="278">
        <f>F1550-G1550-H1550</f>
        <v>4124.3</v>
      </c>
      <c r="J1550" s="279" t="s">
        <v>228</v>
      </c>
      <c r="K1550" s="279">
        <v>1</v>
      </c>
      <c r="L1550" s="279">
        <v>1</v>
      </c>
      <c r="M1550" s="279">
        <v>1</v>
      </c>
      <c r="N1550" s="279">
        <v>1</v>
      </c>
      <c r="O1550" s="279">
        <v>1</v>
      </c>
      <c r="P1550" s="279">
        <v>0</v>
      </c>
      <c r="Q1550" s="279">
        <v>1</v>
      </c>
      <c r="R1550" s="279">
        <v>1</v>
      </c>
      <c r="S1550" s="280">
        <v>1</v>
      </c>
      <c r="T1550" s="63"/>
      <c r="U1550" s="94" t="s">
        <v>2268</v>
      </c>
      <c r="V1550" s="90">
        <f>93.5+500.06+4407.04</f>
        <v>5000.6000000000004</v>
      </c>
      <c r="W1550" s="91"/>
      <c r="X1550" s="92"/>
    </row>
    <row r="1551" spans="1:24">
      <c r="A1551" s="614"/>
      <c r="B1551" s="87">
        <f>B1550+1</f>
        <v>8</v>
      </c>
      <c r="C1551" s="274">
        <v>45959</v>
      </c>
      <c r="D1551" s="276">
        <v>74927</v>
      </c>
      <c r="E1551" s="276" t="s">
        <v>835</v>
      </c>
      <c r="F1551" s="277">
        <f>1323-185</f>
        <v>1138</v>
      </c>
      <c r="G1551" s="277">
        <f>39.7</f>
        <v>39.700000000000003</v>
      </c>
      <c r="H1551" s="297"/>
      <c r="I1551" s="278">
        <f t="shared" si="131"/>
        <v>1098.3</v>
      </c>
      <c r="J1551" s="279" t="s">
        <v>156</v>
      </c>
      <c r="K1551" s="279">
        <v>1</v>
      </c>
      <c r="L1551" s="279">
        <v>1</v>
      </c>
      <c r="M1551" s="279">
        <v>1</v>
      </c>
      <c r="N1551" s="279">
        <v>1</v>
      </c>
      <c r="O1551" s="279">
        <v>1</v>
      </c>
      <c r="P1551" s="322">
        <v>0</v>
      </c>
      <c r="Q1551" s="279">
        <v>1</v>
      </c>
      <c r="R1551" s="279">
        <v>1</v>
      </c>
      <c r="S1551" s="280">
        <v>1</v>
      </c>
      <c r="T1551" s="63"/>
      <c r="U1551" s="10" t="s">
        <v>2269</v>
      </c>
      <c r="V1551" s="90">
        <f>203.5+1048.3</f>
        <v>1251.8</v>
      </c>
      <c r="W1551" s="91"/>
      <c r="X1551" s="92"/>
    </row>
    <row r="1552" spans="1:24">
      <c r="A1552" s="614"/>
      <c r="B1552" s="87">
        <f t="shared" si="132"/>
        <v>9</v>
      </c>
      <c r="C1552" s="274">
        <v>45960</v>
      </c>
      <c r="D1552" s="276">
        <v>74938</v>
      </c>
      <c r="E1552" s="276" t="s">
        <v>155</v>
      </c>
      <c r="F1552" s="277">
        <v>1861</v>
      </c>
      <c r="G1552" s="277">
        <f>39.7</f>
        <v>39.700000000000003</v>
      </c>
      <c r="H1552" s="297"/>
      <c r="I1552" s="278">
        <f t="shared" si="131"/>
        <v>1821.3</v>
      </c>
      <c r="J1552" s="279" t="s">
        <v>156</v>
      </c>
      <c r="K1552" s="279">
        <v>1</v>
      </c>
      <c r="L1552" s="279">
        <v>1</v>
      </c>
      <c r="M1552" s="279">
        <v>1</v>
      </c>
      <c r="N1552" s="279">
        <v>1</v>
      </c>
      <c r="O1552" s="279">
        <v>1</v>
      </c>
      <c r="P1552" s="322">
        <v>0</v>
      </c>
      <c r="Q1552" s="279">
        <v>1</v>
      </c>
      <c r="R1552" s="279">
        <v>1</v>
      </c>
      <c r="S1552" s="280">
        <v>1</v>
      </c>
      <c r="T1552" s="21">
        <v>1</v>
      </c>
      <c r="U1552" s="10"/>
      <c r="V1552" s="90">
        <f>180+1662.39</f>
        <v>1842.39</v>
      </c>
      <c r="W1552" s="91"/>
      <c r="X1552" s="92"/>
    </row>
    <row r="1553" spans="1:24">
      <c r="A1553" s="614"/>
      <c r="B1553" s="87">
        <f t="shared" si="132"/>
        <v>10</v>
      </c>
      <c r="C1553" s="295">
        <v>45960</v>
      </c>
      <c r="D1553" s="10">
        <v>74955</v>
      </c>
      <c r="E1553" s="10" t="s">
        <v>513</v>
      </c>
      <c r="F1553" s="62">
        <v>1675</v>
      </c>
      <c r="G1553" s="62">
        <f>39.7</f>
        <v>39.700000000000003</v>
      </c>
      <c r="H1553" s="88"/>
      <c r="I1553" s="89">
        <f t="shared" si="131"/>
        <v>1635.3</v>
      </c>
      <c r="J1553" s="63" t="s">
        <v>156</v>
      </c>
      <c r="K1553" s="63">
        <v>1</v>
      </c>
      <c r="L1553" s="63">
        <v>1</v>
      </c>
      <c r="M1553" s="63">
        <v>1</v>
      </c>
      <c r="N1553" s="63">
        <v>1</v>
      </c>
      <c r="O1553" s="63">
        <v>1</v>
      </c>
      <c r="P1553" s="325">
        <v>0</v>
      </c>
      <c r="Q1553" s="63">
        <v>1</v>
      </c>
      <c r="R1553" s="63">
        <v>1</v>
      </c>
      <c r="S1553" s="296">
        <v>1</v>
      </c>
      <c r="T1553" s="21"/>
      <c r="U1553" s="10" t="s">
        <v>2270</v>
      </c>
      <c r="V1553" s="90">
        <v>1842.5</v>
      </c>
      <c r="W1553" s="91"/>
      <c r="X1553" s="92"/>
    </row>
    <row r="1554" spans="1:24">
      <c r="A1554" s="614"/>
      <c r="B1554" s="87">
        <f>B1553+1</f>
        <v>11</v>
      </c>
      <c r="C1554" s="274">
        <v>45961</v>
      </c>
      <c r="D1554" s="276">
        <v>74998</v>
      </c>
      <c r="E1554" s="276" t="s">
        <v>206</v>
      </c>
      <c r="F1554" s="277">
        <v>522.9</v>
      </c>
      <c r="G1554" s="277"/>
      <c r="H1554" s="297"/>
      <c r="I1554" s="278">
        <f t="shared" si="131"/>
        <v>522.9</v>
      </c>
      <c r="J1554" s="279" t="s">
        <v>156</v>
      </c>
      <c r="K1554" s="279">
        <v>1</v>
      </c>
      <c r="L1554" s="279">
        <v>1</v>
      </c>
      <c r="M1554" s="279">
        <v>1</v>
      </c>
      <c r="N1554" s="279">
        <v>1</v>
      </c>
      <c r="O1554" s="279">
        <v>1</v>
      </c>
      <c r="P1554" s="322">
        <v>0</v>
      </c>
      <c r="Q1554" s="279">
        <v>1</v>
      </c>
      <c r="R1554" s="279">
        <v>1</v>
      </c>
      <c r="S1554" s="280">
        <v>1</v>
      </c>
      <c r="T1554" s="21">
        <v>1</v>
      </c>
      <c r="U1554" s="10"/>
      <c r="V1554" s="90">
        <f>63+512.19</f>
        <v>575.19000000000005</v>
      </c>
      <c r="W1554" s="91"/>
      <c r="X1554" s="92"/>
    </row>
    <row r="1555" spans="1:24">
      <c r="A1555" s="614"/>
      <c r="B1555" s="87">
        <f t="shared" si="132"/>
        <v>12</v>
      </c>
      <c r="C1555" s="282">
        <v>45961</v>
      </c>
      <c r="D1555" s="283">
        <v>75041</v>
      </c>
      <c r="E1555" s="283" t="s">
        <v>444</v>
      </c>
      <c r="F1555" s="423">
        <v>613</v>
      </c>
      <c r="G1555" s="284">
        <f>39.7</f>
        <v>39.700000000000003</v>
      </c>
      <c r="H1555" s="284"/>
      <c r="I1555" s="285">
        <f t="shared" si="131"/>
        <v>573.29999999999995</v>
      </c>
      <c r="J1555" s="286" t="s">
        <v>156</v>
      </c>
      <c r="K1555" s="286">
        <v>1</v>
      </c>
      <c r="L1555" s="286">
        <v>1</v>
      </c>
      <c r="M1555" s="286">
        <v>1</v>
      </c>
      <c r="N1555" s="286">
        <v>1</v>
      </c>
      <c r="O1555" s="286">
        <v>1</v>
      </c>
      <c r="P1555" s="332">
        <v>0</v>
      </c>
      <c r="Q1555" s="286">
        <v>1</v>
      </c>
      <c r="R1555" s="286">
        <v>1</v>
      </c>
      <c r="S1555" s="287">
        <v>1</v>
      </c>
      <c r="T1555" s="21">
        <v>1</v>
      </c>
      <c r="U1555" s="10"/>
      <c r="V1555" s="90">
        <f>67+607.3</f>
        <v>674.3</v>
      </c>
      <c r="W1555" s="91"/>
      <c r="X1555" s="92"/>
    </row>
    <row r="1556" spans="1:24">
      <c r="A1556" s="614"/>
      <c r="B1556" s="87"/>
      <c r="C1556" s="36"/>
      <c r="D1556" s="10"/>
      <c r="E1556" s="10"/>
      <c r="F1556" s="97">
        <f>SUM(F1544:F1555)</f>
        <v>18576.900000000001</v>
      </c>
      <c r="G1556" s="97">
        <f>SUM(G1544:G1555)</f>
        <v>1110.4300000000003</v>
      </c>
      <c r="H1556" s="97">
        <f>SUM(H1544:H1555)</f>
        <v>0</v>
      </c>
      <c r="I1556" s="98">
        <f>SUM(I1544:I1555)</f>
        <v>17466.469999999998</v>
      </c>
      <c r="J1556" s="63"/>
      <c r="K1556" s="63">
        <f>COUNT(K1544:K1555)</f>
        <v>12</v>
      </c>
      <c r="L1556" s="63">
        <f>COUNT(L1544:L1555)</f>
        <v>12</v>
      </c>
      <c r="M1556" s="63">
        <f>COUNT(M1544:M1555)</f>
        <v>12</v>
      </c>
      <c r="N1556" s="63">
        <f>COUNT(N1544:N1555)</f>
        <v>12</v>
      </c>
      <c r="O1556" s="63">
        <f>COUNT(O1544:O1555)</f>
        <v>12</v>
      </c>
      <c r="P1556" s="63">
        <f>COUNT(P1544:P1555)</f>
        <v>12</v>
      </c>
      <c r="Q1556" s="63">
        <f>COUNT(Q1544:Q1555)</f>
        <v>12</v>
      </c>
      <c r="R1556" s="63">
        <f>COUNT(R1544:R1555)</f>
        <v>12</v>
      </c>
      <c r="S1556" s="63">
        <f>COUNT(S1544:S1555)</f>
        <v>12</v>
      </c>
      <c r="T1556" s="63"/>
      <c r="U1556" s="10"/>
      <c r="V1556" s="90"/>
      <c r="W1556" s="91"/>
      <c r="X1556" s="92"/>
    </row>
    <row r="1557" spans="1:24">
      <c r="A1557" s="614"/>
      <c r="B1557" s="87"/>
      <c r="C1557" s="36"/>
      <c r="D1557" s="10"/>
      <c r="E1557" s="10"/>
      <c r="F1557" s="88"/>
      <c r="G1557" s="88"/>
      <c r="H1557" s="88"/>
      <c r="I1557" s="99"/>
      <c r="J1557" s="63"/>
      <c r="K1557" s="21">
        <f>SUM(K1544:K1555)</f>
        <v>12</v>
      </c>
      <c r="L1557" s="21">
        <f>SUM(L1544:L1555)</f>
        <v>12</v>
      </c>
      <c r="M1557" s="21">
        <f>SUM(M1544:M1555)</f>
        <v>12</v>
      </c>
      <c r="N1557" s="21">
        <f>SUM(N1544:N1555)</f>
        <v>12</v>
      </c>
      <c r="O1557" s="21">
        <f>SUM(O1544:O1555)</f>
        <v>12</v>
      </c>
      <c r="P1557" s="21">
        <f>SUM(P1544:P1555)</f>
        <v>0</v>
      </c>
      <c r="Q1557" s="21">
        <f>SUM(Q1544:Q1555)</f>
        <v>11</v>
      </c>
      <c r="R1557" s="21">
        <f>SUM(R1544:R1555)</f>
        <v>11</v>
      </c>
      <c r="S1557" s="21">
        <f>SUM(S1544:S1555)</f>
        <v>11</v>
      </c>
      <c r="T1557" s="63"/>
      <c r="U1557" s="10"/>
      <c r="V1557" s="90"/>
      <c r="W1557" s="91"/>
      <c r="X1557" s="92"/>
    </row>
    <row r="1558" spans="1:24">
      <c r="A1558" s="614"/>
      <c r="B1558" s="11"/>
      <c r="C1558" s="36"/>
      <c r="D1558" s="10"/>
      <c r="E1558" s="10"/>
      <c r="F1558" s="88"/>
      <c r="G1558" s="88"/>
      <c r="H1558" s="88"/>
      <c r="I1558" s="99"/>
      <c r="J1558" s="63"/>
      <c r="K1558" s="21"/>
      <c r="L1558" s="21"/>
      <c r="M1558" s="21"/>
      <c r="N1558" s="21"/>
      <c r="O1558" s="21"/>
      <c r="P1558" s="21"/>
      <c r="Q1558" s="21"/>
      <c r="R1558" s="21"/>
      <c r="S1558" s="21"/>
      <c r="T1558" s="63"/>
      <c r="U1558" s="10"/>
      <c r="V1558" s="90"/>
      <c r="W1558" s="91"/>
      <c r="X1558" s="92"/>
    </row>
    <row r="1559" spans="1:24">
      <c r="A1559" s="614"/>
      <c r="B1559" s="100" t="s">
        <v>66</v>
      </c>
      <c r="C1559" s="36"/>
      <c r="D1559" s="10"/>
      <c r="E1559" s="10"/>
      <c r="F1559" s="88"/>
      <c r="G1559" s="62"/>
      <c r="H1559" s="88"/>
      <c r="I1559" s="99"/>
      <c r="J1559" s="63"/>
      <c r="K1559" s="2"/>
      <c r="L1559" s="2"/>
      <c r="M1559" s="2"/>
      <c r="N1559" s="2"/>
      <c r="O1559" s="2"/>
      <c r="P1559" s="2"/>
      <c r="Q1559" s="2"/>
      <c r="R1559" s="2"/>
      <c r="S1559" s="2"/>
      <c r="T1559" s="63"/>
      <c r="U1559" s="94"/>
      <c r="V1559" s="90"/>
      <c r="W1559" s="91"/>
      <c r="X1559" s="92"/>
    </row>
    <row r="1560" spans="1:24">
      <c r="A1560" s="614"/>
      <c r="B1560" s="87">
        <v>1</v>
      </c>
      <c r="C1560" s="274">
        <v>45962</v>
      </c>
      <c r="D1560" s="276">
        <v>75046</v>
      </c>
      <c r="E1560" s="281" t="s">
        <v>1538</v>
      </c>
      <c r="F1560" s="277">
        <f>1053-85</f>
        <v>968</v>
      </c>
      <c r="G1560" s="277">
        <f>39.7</f>
        <v>39.700000000000003</v>
      </c>
      <c r="H1560" s="277"/>
      <c r="I1560" s="278">
        <f t="shared" ref="I1560:I1562" si="133">F1560-G1560-H1560</f>
        <v>928.3</v>
      </c>
      <c r="J1560" s="279" t="s">
        <v>156</v>
      </c>
      <c r="K1560" s="279">
        <v>1</v>
      </c>
      <c r="L1560" s="279">
        <v>1</v>
      </c>
      <c r="M1560" s="279">
        <v>1</v>
      </c>
      <c r="N1560" s="279">
        <v>1</v>
      </c>
      <c r="O1560" s="279">
        <v>1</v>
      </c>
      <c r="P1560" s="279">
        <v>0</v>
      </c>
      <c r="Q1560" s="279">
        <v>1</v>
      </c>
      <c r="R1560" s="279">
        <v>1</v>
      </c>
      <c r="S1560" s="280">
        <v>0</v>
      </c>
      <c r="T1560" s="63"/>
      <c r="U1560" s="94"/>
      <c r="V1560" s="90">
        <f>93.5+106+958.8</f>
        <v>1158.3</v>
      </c>
      <c r="W1560" s="91"/>
      <c r="X1560" s="92"/>
    </row>
    <row r="1561" spans="1:24">
      <c r="A1561" s="614"/>
      <c r="B1561" s="87">
        <f t="shared" ref="B1561:B1562" si="134">B1560+1</f>
        <v>2</v>
      </c>
      <c r="C1561" s="295">
        <v>45962</v>
      </c>
      <c r="D1561" s="10">
        <v>75053</v>
      </c>
      <c r="E1561" s="101" t="s">
        <v>1030</v>
      </c>
      <c r="F1561" s="62">
        <f>1223-85</f>
        <v>1138</v>
      </c>
      <c r="G1561" s="62">
        <f>39.7</f>
        <v>39.700000000000003</v>
      </c>
      <c r="H1561" s="62"/>
      <c r="I1561" s="89">
        <f t="shared" si="133"/>
        <v>1098.3</v>
      </c>
      <c r="J1561" s="63" t="s">
        <v>156</v>
      </c>
      <c r="K1561" s="63">
        <v>1</v>
      </c>
      <c r="L1561" s="63">
        <v>1</v>
      </c>
      <c r="M1561" s="63">
        <v>1</v>
      </c>
      <c r="N1561" s="63">
        <v>1</v>
      </c>
      <c r="O1561" s="63">
        <v>1</v>
      </c>
      <c r="P1561" s="63">
        <v>0</v>
      </c>
      <c r="Q1561" s="63">
        <v>1</v>
      </c>
      <c r="R1561" s="63">
        <v>1</v>
      </c>
      <c r="S1561" s="296">
        <v>1</v>
      </c>
      <c r="T1561" s="63"/>
      <c r="U1561" s="94"/>
      <c r="V1561" s="90">
        <f>93.5+125+1126.8</f>
        <v>1345.3</v>
      </c>
      <c r="W1561" s="91"/>
      <c r="X1561" s="92"/>
    </row>
    <row r="1562" spans="1:24">
      <c r="A1562" s="614"/>
      <c r="B1562" s="87">
        <f t="shared" si="134"/>
        <v>3</v>
      </c>
      <c r="C1562" s="282">
        <v>45962</v>
      </c>
      <c r="D1562" s="283">
        <v>75054</v>
      </c>
      <c r="E1562" s="319" t="s">
        <v>1156</v>
      </c>
      <c r="F1562" s="284">
        <f>4546-85</f>
        <v>4461</v>
      </c>
      <c r="G1562" s="284">
        <f>39.7</f>
        <v>39.700000000000003</v>
      </c>
      <c r="H1562" s="284"/>
      <c r="I1562" s="285">
        <f t="shared" si="133"/>
        <v>4421.3</v>
      </c>
      <c r="J1562" s="286" t="s">
        <v>156</v>
      </c>
      <c r="K1562" s="286">
        <v>1</v>
      </c>
      <c r="L1562" s="286">
        <v>1</v>
      </c>
      <c r="M1562" s="286">
        <v>1</v>
      </c>
      <c r="N1562" s="286">
        <v>1</v>
      </c>
      <c r="O1562" s="286">
        <v>1</v>
      </c>
      <c r="P1562" s="286">
        <v>0</v>
      </c>
      <c r="Q1562" s="286">
        <v>1</v>
      </c>
      <c r="R1562" s="286">
        <v>1</v>
      </c>
      <c r="S1562" s="287">
        <v>1</v>
      </c>
      <c r="T1562" s="21">
        <v>1</v>
      </c>
      <c r="U1562" s="94" t="s">
        <v>2271</v>
      </c>
      <c r="V1562" s="90">
        <f>93.5+490+4417.1</f>
        <v>5000.6000000000004</v>
      </c>
      <c r="W1562" s="91"/>
      <c r="X1562" s="92"/>
    </row>
    <row r="1563" spans="1:24">
      <c r="A1563" s="614"/>
      <c r="B1563" s="11"/>
      <c r="C1563" s="609"/>
      <c r="D1563" s="10"/>
      <c r="E1563" s="10"/>
      <c r="F1563" s="97">
        <f>SUM(F1560:F1562)</f>
        <v>6567</v>
      </c>
      <c r="G1563" s="97">
        <f>SUM(G1560:G1562)</f>
        <v>119.10000000000001</v>
      </c>
      <c r="H1563" s="97">
        <f>SUM(H1560:H1562)</f>
        <v>0</v>
      </c>
      <c r="I1563" s="98">
        <f>SUM(I1560:I1562)</f>
        <v>6447.9</v>
      </c>
      <c r="J1563" s="63"/>
      <c r="K1563" s="21"/>
      <c r="L1563" s="21"/>
      <c r="M1563" s="21"/>
      <c r="N1563" s="21"/>
      <c r="O1563" s="21"/>
      <c r="P1563" s="21"/>
      <c r="Q1563" s="21"/>
      <c r="R1563" s="21"/>
      <c r="S1563" s="21"/>
      <c r="T1563" s="63"/>
      <c r="U1563" s="94"/>
      <c r="V1563" s="90"/>
      <c r="W1563" s="91"/>
      <c r="X1563" s="92"/>
    </row>
    <row r="1564" spans="1:24">
      <c r="A1564" s="614"/>
      <c r="B1564" s="11"/>
      <c r="C1564" s="609"/>
      <c r="D1564" s="10"/>
      <c r="E1564" s="10"/>
      <c r="F1564" s="88"/>
      <c r="G1564" s="88"/>
      <c r="H1564" s="88"/>
      <c r="I1564" s="99"/>
      <c r="J1564" s="63"/>
      <c r="K1564" s="21"/>
      <c r="L1564" s="21"/>
      <c r="M1564" s="21"/>
      <c r="N1564" s="21"/>
      <c r="O1564" s="21"/>
      <c r="P1564" s="21"/>
      <c r="Q1564" s="21"/>
      <c r="R1564" s="21"/>
      <c r="S1564" s="21"/>
      <c r="T1564" s="63"/>
      <c r="U1564" s="94"/>
      <c r="V1564" s="90"/>
      <c r="W1564" s="91"/>
      <c r="X1564" s="92"/>
    </row>
    <row r="1565" spans="1:24">
      <c r="A1565" s="614"/>
      <c r="B1565" s="100" t="s">
        <v>67</v>
      </c>
      <c r="C1565" s="609"/>
      <c r="D1565" s="10"/>
      <c r="E1565" s="10"/>
      <c r="F1565" s="88"/>
      <c r="G1565" s="62"/>
      <c r="H1565" s="88"/>
      <c r="I1565" s="99"/>
      <c r="J1565" s="63"/>
      <c r="K1565" s="2"/>
      <c r="L1565" s="2"/>
      <c r="M1565" s="2"/>
      <c r="N1565" s="2"/>
      <c r="O1565" s="2"/>
      <c r="P1565" s="2"/>
      <c r="Q1565" s="2"/>
      <c r="R1565" s="2"/>
      <c r="S1565" s="2"/>
      <c r="T1565" s="63"/>
      <c r="U1565" s="94"/>
      <c r="V1565" s="90"/>
      <c r="W1565" s="91"/>
      <c r="X1565" s="92"/>
    </row>
    <row r="1566" spans="1:24">
      <c r="A1566" s="614"/>
      <c r="B1566" s="87">
        <v>1</v>
      </c>
      <c r="C1566" s="609"/>
      <c r="D1566" s="10"/>
      <c r="E1566" s="101"/>
      <c r="F1566" s="62"/>
      <c r="G1566" s="62"/>
      <c r="H1566" s="62"/>
      <c r="I1566" s="89">
        <f t="shared" ref="I1566:I1573" si="135">F1566-G1566-H1566</f>
        <v>0</v>
      </c>
      <c r="J1566" s="63"/>
      <c r="K1566" s="63"/>
      <c r="L1566" s="63"/>
      <c r="M1566" s="63"/>
      <c r="N1566" s="63"/>
      <c r="O1566" s="63"/>
      <c r="P1566" s="63"/>
      <c r="Q1566" s="63"/>
      <c r="R1566" s="63"/>
      <c r="S1566" s="63"/>
      <c r="T1566" s="63"/>
      <c r="U1566" s="94"/>
      <c r="V1566" s="90"/>
      <c r="W1566" s="91"/>
      <c r="X1566" s="92"/>
    </row>
    <row r="1567" spans="1:24">
      <c r="A1567" s="614"/>
      <c r="B1567" s="87">
        <f t="shared" ref="B1567:B1573" si="136">B1566+1</f>
        <v>2</v>
      </c>
      <c r="C1567" s="609"/>
      <c r="D1567" s="10"/>
      <c r="E1567" s="101"/>
      <c r="F1567" s="62"/>
      <c r="G1567" s="62"/>
      <c r="H1567" s="62"/>
      <c r="I1567" s="89">
        <f t="shared" si="135"/>
        <v>0</v>
      </c>
      <c r="J1567" s="63"/>
      <c r="K1567" s="63"/>
      <c r="L1567" s="63"/>
      <c r="M1567" s="63"/>
      <c r="N1567" s="63"/>
      <c r="O1567" s="63"/>
      <c r="P1567" s="63"/>
      <c r="Q1567" s="63"/>
      <c r="R1567" s="63"/>
      <c r="S1567" s="63"/>
      <c r="T1567" s="63"/>
      <c r="U1567" s="94"/>
      <c r="V1567" s="90"/>
      <c r="W1567" s="91"/>
      <c r="X1567" s="92"/>
    </row>
    <row r="1568" spans="1:24">
      <c r="A1568" s="614"/>
      <c r="B1568" s="87">
        <f t="shared" si="136"/>
        <v>3</v>
      </c>
      <c r="C1568" s="609"/>
      <c r="D1568" s="10"/>
      <c r="E1568" s="101"/>
      <c r="F1568" s="62"/>
      <c r="G1568" s="62"/>
      <c r="H1568" s="62"/>
      <c r="I1568" s="89">
        <f t="shared" si="135"/>
        <v>0</v>
      </c>
      <c r="J1568" s="63"/>
      <c r="K1568" s="63"/>
      <c r="L1568" s="63"/>
      <c r="M1568" s="63"/>
      <c r="N1568" s="63"/>
      <c r="O1568" s="63"/>
      <c r="P1568" s="63"/>
      <c r="Q1568" s="63"/>
      <c r="R1568" s="63"/>
      <c r="S1568" s="63"/>
      <c r="T1568" s="63"/>
      <c r="U1568" s="94"/>
      <c r="V1568" s="90"/>
      <c r="W1568" s="91"/>
      <c r="X1568" s="92"/>
    </row>
    <row r="1569" spans="1:24">
      <c r="A1569" s="614"/>
      <c r="B1569" s="87">
        <f t="shared" si="136"/>
        <v>4</v>
      </c>
      <c r="C1569" s="609"/>
      <c r="D1569" s="10"/>
      <c r="E1569" s="101"/>
      <c r="F1569" s="62"/>
      <c r="G1569" s="62"/>
      <c r="H1569" s="62"/>
      <c r="I1569" s="89">
        <f t="shared" si="135"/>
        <v>0</v>
      </c>
      <c r="J1569" s="63"/>
      <c r="K1569" s="63"/>
      <c r="L1569" s="63"/>
      <c r="M1569" s="63"/>
      <c r="N1569" s="63"/>
      <c r="O1569" s="63"/>
      <c r="P1569" s="63"/>
      <c r="Q1569" s="63"/>
      <c r="R1569" s="63"/>
      <c r="S1569" s="63"/>
      <c r="T1569" s="63"/>
      <c r="U1569" s="94"/>
      <c r="V1569" s="90"/>
      <c r="W1569" s="91"/>
      <c r="X1569" s="92"/>
    </row>
    <row r="1570" spans="1:24">
      <c r="A1570" s="614"/>
      <c r="B1570" s="87">
        <f t="shared" si="136"/>
        <v>5</v>
      </c>
      <c r="C1570" s="609"/>
      <c r="D1570" s="10"/>
      <c r="E1570" s="101"/>
      <c r="F1570" s="62"/>
      <c r="G1570" s="62"/>
      <c r="H1570" s="62"/>
      <c r="I1570" s="89">
        <f t="shared" si="135"/>
        <v>0</v>
      </c>
      <c r="J1570" s="63"/>
      <c r="K1570" s="63"/>
      <c r="L1570" s="63"/>
      <c r="M1570" s="63"/>
      <c r="N1570" s="63"/>
      <c r="O1570" s="63"/>
      <c r="P1570" s="63"/>
      <c r="Q1570" s="63"/>
      <c r="R1570" s="63"/>
      <c r="S1570" s="63"/>
      <c r="T1570" s="63"/>
      <c r="U1570" s="94"/>
      <c r="V1570" s="90"/>
      <c r="W1570" s="91"/>
      <c r="X1570" s="92"/>
    </row>
    <row r="1571" spans="1:24">
      <c r="A1571" s="614"/>
      <c r="B1571" s="87">
        <f t="shared" si="136"/>
        <v>6</v>
      </c>
      <c r="C1571" s="609"/>
      <c r="D1571" s="10"/>
      <c r="E1571" s="101"/>
      <c r="F1571" s="62"/>
      <c r="G1571" s="62"/>
      <c r="H1571" s="62"/>
      <c r="I1571" s="89">
        <f t="shared" si="135"/>
        <v>0</v>
      </c>
      <c r="J1571" s="63"/>
      <c r="K1571" s="63"/>
      <c r="L1571" s="63"/>
      <c r="M1571" s="63"/>
      <c r="N1571" s="63"/>
      <c r="O1571" s="63"/>
      <c r="P1571" s="63"/>
      <c r="Q1571" s="63"/>
      <c r="R1571" s="63"/>
      <c r="S1571" s="63"/>
      <c r="T1571" s="63"/>
      <c r="U1571" s="94"/>
      <c r="V1571" s="90"/>
      <c r="W1571" s="91"/>
      <c r="X1571" s="92"/>
    </row>
    <row r="1572" spans="1:24">
      <c r="A1572" s="614"/>
      <c r="B1572" s="87">
        <f t="shared" si="136"/>
        <v>7</v>
      </c>
      <c r="C1572" s="609"/>
      <c r="D1572" s="10"/>
      <c r="E1572" s="101"/>
      <c r="F1572" s="62"/>
      <c r="G1572" s="62"/>
      <c r="H1572" s="62"/>
      <c r="I1572" s="89">
        <f t="shared" si="135"/>
        <v>0</v>
      </c>
      <c r="J1572" s="63"/>
      <c r="K1572" s="63"/>
      <c r="L1572" s="63"/>
      <c r="M1572" s="63"/>
      <c r="N1572" s="63"/>
      <c r="O1572" s="63"/>
      <c r="P1572" s="63"/>
      <c r="Q1572" s="63"/>
      <c r="R1572" s="63"/>
      <c r="S1572" s="63"/>
      <c r="T1572" s="63"/>
      <c r="U1572" s="94"/>
      <c r="V1572" s="90"/>
      <c r="W1572" s="91"/>
      <c r="X1572" s="92"/>
    </row>
    <row r="1573" spans="1:24">
      <c r="A1573" s="614"/>
      <c r="B1573" s="87">
        <f t="shared" si="136"/>
        <v>8</v>
      </c>
      <c r="C1573" s="609"/>
      <c r="D1573" s="10"/>
      <c r="E1573" s="101"/>
      <c r="F1573" s="62"/>
      <c r="G1573" s="62"/>
      <c r="H1573" s="62"/>
      <c r="I1573" s="89">
        <f t="shared" si="135"/>
        <v>0</v>
      </c>
      <c r="J1573" s="63"/>
      <c r="K1573" s="63"/>
      <c r="L1573" s="63"/>
      <c r="M1573" s="63"/>
      <c r="N1573" s="63"/>
      <c r="O1573" s="63"/>
      <c r="P1573" s="63"/>
      <c r="Q1573" s="63"/>
      <c r="R1573" s="63"/>
      <c r="S1573" s="63"/>
      <c r="T1573" s="63"/>
      <c r="U1573" s="94"/>
      <c r="V1573" s="90"/>
      <c r="W1573" s="91"/>
      <c r="X1573" s="92"/>
    </row>
    <row r="1574" spans="1:24">
      <c r="A1574" s="614"/>
      <c r="B1574" s="11"/>
      <c r="C1574" s="609"/>
      <c r="D1574" s="10"/>
      <c r="E1574" s="10"/>
      <c r="F1574" s="97">
        <f>SUM(F1566:F1573)</f>
        <v>0</v>
      </c>
      <c r="G1574" s="97">
        <f>SUM(G1566:G1573)</f>
        <v>0</v>
      </c>
      <c r="H1574" s="97">
        <f>SUM(H1566:H1573)</f>
        <v>0</v>
      </c>
      <c r="I1574" s="98">
        <f>SUM(I1566:I1573)</f>
        <v>0</v>
      </c>
      <c r="J1574" s="63"/>
      <c r="K1574" s="21"/>
      <c r="L1574" s="21"/>
      <c r="M1574" s="21"/>
      <c r="N1574" s="21"/>
      <c r="O1574" s="21"/>
      <c r="P1574" s="21"/>
      <c r="Q1574" s="21"/>
      <c r="R1574" s="21"/>
      <c r="S1574" s="21"/>
      <c r="T1574" s="63"/>
      <c r="U1574" s="94"/>
      <c r="V1574" s="90"/>
      <c r="W1574" s="91"/>
      <c r="X1574" s="92"/>
    </row>
    <row r="1575" spans="1:24">
      <c r="A1575" s="614"/>
      <c r="B1575" s="11"/>
      <c r="C1575" s="609"/>
      <c r="D1575" s="10"/>
      <c r="E1575" s="10"/>
      <c r="F1575" s="88"/>
      <c r="G1575" s="88"/>
      <c r="H1575" s="88"/>
      <c r="I1575" s="99"/>
      <c r="J1575" s="63"/>
      <c r="K1575" s="21"/>
      <c r="L1575" s="21"/>
      <c r="M1575" s="21"/>
      <c r="N1575" s="21"/>
      <c r="O1575" s="21"/>
      <c r="P1575" s="21"/>
      <c r="Q1575" s="21"/>
      <c r="R1575" s="21"/>
      <c r="S1575" s="21"/>
      <c r="T1575" s="63"/>
      <c r="U1575" s="94"/>
      <c r="V1575" s="90"/>
      <c r="W1575" s="91"/>
      <c r="X1575" s="92"/>
    </row>
    <row r="1576" spans="1:24">
      <c r="A1576" s="615"/>
      <c r="B1576" s="121" t="s">
        <v>68</v>
      </c>
      <c r="C1576" s="611"/>
      <c r="D1576" s="123"/>
      <c r="E1576" s="123"/>
      <c r="F1576" s="124"/>
      <c r="G1576" s="125"/>
      <c r="H1576" s="124"/>
      <c r="I1576" s="126"/>
      <c r="J1576" s="127"/>
      <c r="K1576" s="128"/>
      <c r="L1576" s="128"/>
      <c r="M1576" s="128"/>
      <c r="N1576" s="128"/>
      <c r="O1576" s="128"/>
      <c r="P1576" s="128"/>
      <c r="Q1576" s="128"/>
      <c r="R1576" s="128"/>
      <c r="S1576" s="128"/>
      <c r="T1576" s="127"/>
      <c r="U1576" s="123"/>
      <c r="V1576" s="129"/>
      <c r="W1576" s="130"/>
      <c r="X1576" s="131"/>
    </row>
    <row r="1577" spans="1:24" s="342" customFormat="1">
      <c r="A1577" s="615"/>
      <c r="B1577" s="333">
        <v>1</v>
      </c>
      <c r="C1577" s="334">
        <v>45958</v>
      </c>
      <c r="D1577" s="335">
        <v>74895</v>
      </c>
      <c r="E1577" s="394" t="s">
        <v>168</v>
      </c>
      <c r="F1577" s="336">
        <v>1315</v>
      </c>
      <c r="G1577" s="336">
        <f>39.7</f>
        <v>39.700000000000003</v>
      </c>
      <c r="H1577" s="336"/>
      <c r="I1577" s="337">
        <f t="shared" ref="I1577:I1578" si="137">F1577-G1577-H1577</f>
        <v>1275.3</v>
      </c>
      <c r="J1577" s="338" t="s">
        <v>156</v>
      </c>
      <c r="K1577" s="338">
        <v>1</v>
      </c>
      <c r="L1577" s="338">
        <v>1</v>
      </c>
      <c r="M1577" s="338">
        <v>1</v>
      </c>
      <c r="N1577" s="338">
        <v>1</v>
      </c>
      <c r="O1577" s="338">
        <v>1</v>
      </c>
      <c r="P1577" s="338">
        <v>1</v>
      </c>
      <c r="Q1577" s="338">
        <v>1</v>
      </c>
      <c r="R1577" s="322">
        <v>0</v>
      </c>
      <c r="S1577" s="328">
        <v>0</v>
      </c>
      <c r="T1577" s="135" t="s">
        <v>2272</v>
      </c>
      <c r="U1577" s="123" t="s">
        <v>2273</v>
      </c>
      <c r="V1577" s="129">
        <f>140+1166.5</f>
        <v>1306.5</v>
      </c>
      <c r="W1577" s="130"/>
      <c r="X1577" s="131"/>
    </row>
    <row r="1578" spans="1:24" s="342" customFormat="1">
      <c r="A1578" s="615"/>
      <c r="B1578" s="333">
        <f>B1577+1</f>
        <v>2</v>
      </c>
      <c r="C1578" s="350">
        <v>45960</v>
      </c>
      <c r="D1578" s="358">
        <v>74951</v>
      </c>
      <c r="E1578" s="358" t="s">
        <v>155</v>
      </c>
      <c r="F1578" s="352">
        <v>1138</v>
      </c>
      <c r="G1578" s="352">
        <f>39.7</f>
        <v>39.700000000000003</v>
      </c>
      <c r="H1578" s="486"/>
      <c r="I1578" s="353">
        <f t="shared" si="137"/>
        <v>1098.3</v>
      </c>
      <c r="J1578" s="354" t="s">
        <v>156</v>
      </c>
      <c r="K1578" s="354">
        <v>1</v>
      </c>
      <c r="L1578" s="354">
        <v>1</v>
      </c>
      <c r="M1578" s="354">
        <v>1</v>
      </c>
      <c r="N1578" s="354">
        <v>1</v>
      </c>
      <c r="O1578" s="354">
        <v>1</v>
      </c>
      <c r="P1578" s="314">
        <v>0</v>
      </c>
      <c r="Q1578" s="354">
        <v>1</v>
      </c>
      <c r="R1578" s="354">
        <v>1</v>
      </c>
      <c r="S1578" s="355">
        <v>1</v>
      </c>
      <c r="T1578" s="64">
        <v>1</v>
      </c>
      <c r="U1578" s="123"/>
      <c r="V1578" s="129">
        <f>125+980</f>
        <v>1105</v>
      </c>
      <c r="W1578" s="130"/>
      <c r="X1578" s="131"/>
    </row>
    <row r="1579" spans="1:24">
      <c r="A1579" s="615"/>
      <c r="B1579" s="132"/>
      <c r="C1579" s="36"/>
      <c r="D1579" s="123"/>
      <c r="E1579" s="123"/>
      <c r="F1579" s="133">
        <f>SUM(F1577:F1578)</f>
        <v>2453</v>
      </c>
      <c r="G1579" s="133">
        <f>SUM(G1577:G1578)</f>
        <v>79.400000000000006</v>
      </c>
      <c r="H1579" s="133">
        <f>SUM(H1577:H1578)</f>
        <v>0</v>
      </c>
      <c r="I1579" s="134">
        <f>SUM(I1577:I1578)</f>
        <v>2373.6</v>
      </c>
      <c r="J1579" s="127"/>
      <c r="K1579" s="64"/>
      <c r="L1579" s="64"/>
      <c r="M1579" s="64"/>
      <c r="N1579" s="64"/>
      <c r="O1579" s="64"/>
      <c r="P1579" s="64"/>
      <c r="Q1579" s="64"/>
      <c r="R1579" s="64"/>
      <c r="S1579" s="64"/>
      <c r="T1579" s="127"/>
      <c r="U1579" s="123"/>
      <c r="V1579" s="129"/>
      <c r="W1579" s="130"/>
      <c r="X1579" s="131"/>
    </row>
    <row r="1580" spans="1:24">
      <c r="A1580" s="614"/>
      <c r="B1580" s="11"/>
      <c r="C1580" s="36"/>
      <c r="D1580" s="10"/>
      <c r="E1580" s="10"/>
      <c r="F1580" s="88"/>
      <c r="G1580" s="88"/>
      <c r="H1580" s="88"/>
      <c r="I1580" s="99"/>
      <c r="J1580" s="63"/>
      <c r="K1580" s="21"/>
      <c r="L1580" s="21"/>
      <c r="M1580" s="21"/>
      <c r="N1580" s="21"/>
      <c r="O1580" s="21"/>
      <c r="P1580" s="21"/>
      <c r="Q1580" s="21"/>
      <c r="R1580" s="21"/>
      <c r="S1580" s="21"/>
      <c r="T1580" s="63"/>
      <c r="U1580" s="94"/>
      <c r="V1580" s="90"/>
      <c r="W1580" s="91"/>
      <c r="X1580" s="92"/>
    </row>
    <row r="1581" spans="1:24">
      <c r="A1581" s="615"/>
      <c r="B1581" s="121" t="s">
        <v>70</v>
      </c>
      <c r="C1581" s="36"/>
      <c r="D1581" s="123"/>
      <c r="E1581" s="128"/>
      <c r="F1581" s="124"/>
      <c r="G1581" s="124"/>
      <c r="H1581" s="124"/>
      <c r="I1581" s="126"/>
      <c r="J1581" s="127"/>
      <c r="K1581" s="64"/>
      <c r="L1581" s="64"/>
      <c r="M1581" s="64"/>
      <c r="N1581" s="64"/>
      <c r="O1581" s="64"/>
      <c r="P1581" s="64"/>
      <c r="Q1581" s="64"/>
      <c r="R1581" s="64"/>
      <c r="S1581" s="64"/>
      <c r="T1581" s="127"/>
      <c r="U1581" s="135"/>
      <c r="V1581" s="129"/>
      <c r="W1581" s="130"/>
      <c r="X1581" s="131"/>
    </row>
    <row r="1582" spans="1:24" s="342" customFormat="1">
      <c r="A1582" s="615"/>
      <c r="B1582" s="333">
        <v>1</v>
      </c>
      <c r="C1582" s="350">
        <v>45959</v>
      </c>
      <c r="D1582" s="358" t="s">
        <v>2274</v>
      </c>
      <c r="E1582" s="358" t="s">
        <v>835</v>
      </c>
      <c r="F1582" s="352">
        <v>4419</v>
      </c>
      <c r="G1582" s="352">
        <f>39.7</f>
        <v>39.700000000000003</v>
      </c>
      <c r="H1582" s="352"/>
      <c r="I1582" s="353">
        <f>F1582-G1582-H1582</f>
        <v>4379.3</v>
      </c>
      <c r="J1582" s="354" t="s">
        <v>228</v>
      </c>
      <c r="K1582" s="354">
        <v>1</v>
      </c>
      <c r="L1582" s="354"/>
      <c r="M1582" s="354">
        <v>1</v>
      </c>
      <c r="N1582" s="354">
        <v>1</v>
      </c>
      <c r="O1582" s="354">
        <v>1</v>
      </c>
      <c r="P1582" s="314">
        <v>0</v>
      </c>
      <c r="Q1582" s="314">
        <v>0</v>
      </c>
      <c r="R1582" s="314">
        <v>0</v>
      </c>
      <c r="S1582" s="366">
        <v>0</v>
      </c>
      <c r="T1582" s="127"/>
      <c r="U1582" s="123" t="s">
        <v>2275</v>
      </c>
      <c r="V1582" s="129">
        <f>486+4000</f>
        <v>4486</v>
      </c>
      <c r="W1582" s="340"/>
      <c r="X1582" s="341"/>
    </row>
    <row r="1583" spans="1:24" s="342" customFormat="1">
      <c r="A1583" s="615" t="s">
        <v>383</v>
      </c>
      <c r="B1583" s="333">
        <f>B1582+1</f>
        <v>2</v>
      </c>
      <c r="C1583" s="395">
        <v>45960</v>
      </c>
      <c r="D1583" s="396" t="s">
        <v>2276</v>
      </c>
      <c r="E1583" s="396" t="s">
        <v>513</v>
      </c>
      <c r="F1583" s="397">
        <v>4167.2700000000004</v>
      </c>
      <c r="G1583" s="397">
        <f>39.7+(34.27+1060.6)</f>
        <v>1134.57</v>
      </c>
      <c r="H1583" s="397"/>
      <c r="I1583" s="398">
        <f>F1583-G1583-H1583</f>
        <v>3032.7000000000007</v>
      </c>
      <c r="J1583" s="399" t="s">
        <v>156</v>
      </c>
      <c r="K1583" s="399">
        <v>1</v>
      </c>
      <c r="L1583" s="399"/>
      <c r="M1583" s="399">
        <v>1</v>
      </c>
      <c r="N1583" s="399">
        <v>1</v>
      </c>
      <c r="O1583" s="399">
        <v>1</v>
      </c>
      <c r="P1583" s="332">
        <v>0</v>
      </c>
      <c r="Q1583" s="399">
        <v>0</v>
      </c>
      <c r="R1583" s="399">
        <v>0</v>
      </c>
      <c r="S1583" s="400">
        <v>0</v>
      </c>
      <c r="T1583" s="127"/>
      <c r="U1583" s="135" t="s">
        <v>2277</v>
      </c>
      <c r="V1583" s="129">
        <f>184+2400+2000</f>
        <v>4584</v>
      </c>
      <c r="W1583" s="340"/>
      <c r="X1583" s="341"/>
    </row>
    <row r="1584" spans="1:24">
      <c r="A1584" s="615"/>
      <c r="B1584" s="132"/>
      <c r="C1584" s="36"/>
      <c r="D1584" s="123"/>
      <c r="E1584" s="123"/>
      <c r="F1584" s="134">
        <f>SUM(F1582:F1583)</f>
        <v>8586.27</v>
      </c>
      <c r="G1584" s="134">
        <f>SUM(G1582:G1583)</f>
        <v>1174.27</v>
      </c>
      <c r="H1584" s="134">
        <f>SUM(H1582:H1583)</f>
        <v>0</v>
      </c>
      <c r="I1584" s="134">
        <f>SUM(I1582:I1583)</f>
        <v>7412.0000000000009</v>
      </c>
      <c r="J1584" s="127"/>
      <c r="K1584" s="64"/>
      <c r="L1584" s="64"/>
      <c r="M1584" s="64"/>
      <c r="N1584" s="64"/>
      <c r="O1584" s="64"/>
      <c r="P1584" s="64"/>
      <c r="Q1584" s="64"/>
      <c r="R1584" s="64"/>
      <c r="S1584" s="64"/>
      <c r="T1584" s="127"/>
      <c r="U1584" s="135"/>
      <c r="V1584" s="129"/>
      <c r="W1584" s="130"/>
      <c r="X1584" s="131"/>
    </row>
    <row r="1585" spans="1:25">
      <c r="A1585" s="614"/>
      <c r="B1585" s="11"/>
      <c r="C1585" s="36"/>
      <c r="D1585" s="10"/>
      <c r="E1585" s="10"/>
      <c r="F1585" s="88"/>
      <c r="G1585" s="88"/>
      <c r="H1585" s="88"/>
      <c r="I1585" s="99"/>
      <c r="J1585" s="10"/>
      <c r="K1585" s="63"/>
      <c r="L1585" s="63"/>
      <c r="M1585" s="63"/>
      <c r="N1585" s="63"/>
      <c r="O1585" s="63"/>
      <c r="P1585" s="63"/>
      <c r="Q1585" s="63"/>
      <c r="R1585" s="63"/>
      <c r="S1585" s="63"/>
      <c r="T1585" s="63"/>
      <c r="U1585" s="94"/>
      <c r="V1585" s="90"/>
      <c r="W1585" s="91"/>
      <c r="X1585" s="92"/>
    </row>
    <row r="1586" spans="1:25">
      <c r="A1586" s="615"/>
      <c r="B1586" s="121" t="s">
        <v>71</v>
      </c>
      <c r="C1586" s="36"/>
      <c r="D1586" s="123"/>
      <c r="E1586" s="128"/>
      <c r="F1586" s="124"/>
      <c r="G1586" s="124"/>
      <c r="H1586" s="124"/>
      <c r="I1586" s="126"/>
      <c r="J1586" s="127"/>
      <c r="K1586" s="64"/>
      <c r="L1586" s="64"/>
      <c r="M1586" s="64"/>
      <c r="N1586" s="64"/>
      <c r="O1586" s="64"/>
      <c r="P1586" s="64"/>
      <c r="Q1586" s="64"/>
      <c r="R1586" s="64"/>
      <c r="S1586" s="64"/>
      <c r="T1586" s="127"/>
      <c r="U1586" s="135"/>
      <c r="V1586" s="129"/>
      <c r="W1586" s="130"/>
      <c r="X1586" s="131"/>
    </row>
    <row r="1587" spans="1:25">
      <c r="A1587" s="614"/>
      <c r="B1587" s="87">
        <v>1</v>
      </c>
      <c r="C1587" s="262">
        <v>45962</v>
      </c>
      <c r="D1587" s="271" t="s">
        <v>2278</v>
      </c>
      <c r="E1587" s="264" t="s">
        <v>1030</v>
      </c>
      <c r="F1587" s="265">
        <v>12143.1</v>
      </c>
      <c r="G1587" s="265">
        <f>39.7+(195.65)+1000</f>
        <v>1235.3499999999999</v>
      </c>
      <c r="H1587" s="265"/>
      <c r="I1587" s="272">
        <f t="shared" ref="I1587" si="138">F1587-G1587-H1587</f>
        <v>10907.75</v>
      </c>
      <c r="J1587" s="267" t="s">
        <v>156</v>
      </c>
      <c r="K1587" s="267">
        <v>1</v>
      </c>
      <c r="L1587" s="267"/>
      <c r="M1587" s="267">
        <v>1</v>
      </c>
      <c r="N1587" s="267">
        <v>1</v>
      </c>
      <c r="O1587" s="267">
        <v>1</v>
      </c>
      <c r="P1587" s="267">
        <v>0</v>
      </c>
      <c r="Q1587" s="267"/>
      <c r="R1587" s="267"/>
      <c r="S1587" s="269"/>
      <c r="T1587" s="63"/>
      <c r="U1587" s="94" t="s">
        <v>2279</v>
      </c>
      <c r="V1587" s="90">
        <f>1300+1000</f>
        <v>2300</v>
      </c>
      <c r="W1587" s="136"/>
      <c r="X1587" s="137"/>
    </row>
    <row r="1588" spans="1:25">
      <c r="A1588" s="615"/>
      <c r="B1588" s="132"/>
      <c r="C1588" s="611"/>
      <c r="D1588" s="123"/>
      <c r="E1588" s="123"/>
      <c r="F1588" s="133">
        <f>SUM(F1587:F1587)</f>
        <v>12143.1</v>
      </c>
      <c r="G1588" s="133">
        <f>SUM(G1587:G1587)</f>
        <v>1235.3499999999999</v>
      </c>
      <c r="H1588" s="133">
        <f>SUM(H1587:H1587)</f>
        <v>0</v>
      </c>
      <c r="I1588" s="134">
        <f>SUM(I1587:I1587)</f>
        <v>10907.75</v>
      </c>
      <c r="J1588" s="127"/>
      <c r="K1588" s="64"/>
      <c r="L1588" s="64"/>
      <c r="M1588" s="64"/>
      <c r="N1588" s="64"/>
      <c r="O1588" s="64"/>
      <c r="P1588" s="64"/>
      <c r="Q1588" s="64"/>
      <c r="R1588" s="64"/>
      <c r="S1588" s="64"/>
      <c r="T1588" s="127"/>
      <c r="U1588" s="135"/>
      <c r="V1588" s="129"/>
      <c r="W1588" s="130"/>
      <c r="X1588" s="131"/>
    </row>
    <row r="1589" spans="1:25">
      <c r="A1589" s="614"/>
      <c r="B1589" s="11"/>
      <c r="C1589" s="609"/>
      <c r="D1589" s="10"/>
      <c r="E1589" s="10"/>
      <c r="F1589" s="88"/>
      <c r="G1589" s="88"/>
      <c r="H1589" s="88"/>
      <c r="I1589" s="99"/>
      <c r="J1589" s="63"/>
      <c r="K1589" s="21"/>
      <c r="L1589" s="21"/>
      <c r="M1589" s="21"/>
      <c r="N1589" s="21"/>
      <c r="O1589" s="21"/>
      <c r="P1589" s="21"/>
      <c r="Q1589" s="21"/>
      <c r="R1589" s="21"/>
      <c r="S1589" s="21"/>
      <c r="T1589" s="63"/>
      <c r="U1589" s="94"/>
      <c r="V1589" s="90"/>
      <c r="W1589" s="91"/>
      <c r="X1589" s="92"/>
    </row>
    <row r="1590" spans="1:25" s="260" customFormat="1">
      <c r="A1590" s="181"/>
      <c r="B1590" s="100" t="s">
        <v>152</v>
      </c>
      <c r="C1590" s="36"/>
      <c r="D1590" s="10"/>
      <c r="E1590" s="10"/>
      <c r="F1590" s="88"/>
      <c r="G1590" s="62"/>
      <c r="H1590" s="88"/>
      <c r="I1590" s="99"/>
      <c r="J1590" s="63"/>
      <c r="K1590" s="181"/>
      <c r="L1590" s="181"/>
      <c r="M1590" s="181"/>
      <c r="N1590" s="181"/>
      <c r="O1590" s="181"/>
      <c r="P1590" s="181"/>
      <c r="Q1590" s="181"/>
      <c r="R1590" s="181"/>
      <c r="S1590" s="181"/>
      <c r="T1590" s="63"/>
      <c r="U1590" s="10"/>
      <c r="V1590" s="90"/>
      <c r="W1590" s="91"/>
      <c r="X1590" s="92"/>
    </row>
    <row r="1591" spans="1:25" s="260" customFormat="1">
      <c r="A1591" s="494">
        <v>0.05</v>
      </c>
      <c r="B1591" s="87">
        <v>1</v>
      </c>
      <c r="C1591" s="262">
        <v>45849</v>
      </c>
      <c r="D1591" s="271">
        <v>71382</v>
      </c>
      <c r="E1591" s="271" t="s">
        <v>999</v>
      </c>
      <c r="F1591" s="265">
        <v>1861</v>
      </c>
      <c r="G1591" s="265">
        <f>39.7+544.5</f>
        <v>584.20000000000005</v>
      </c>
      <c r="H1591" s="265"/>
      <c r="I1591" s="266">
        <f>F1591-G1591-H1591</f>
        <v>1276.8</v>
      </c>
      <c r="J1591" s="267" t="s">
        <v>374</v>
      </c>
      <c r="K1591" s="267">
        <v>1</v>
      </c>
      <c r="L1591" s="267"/>
      <c r="M1591" s="267">
        <v>1</v>
      </c>
      <c r="N1591" s="267">
        <v>1</v>
      </c>
      <c r="O1591" s="267">
        <v>1</v>
      </c>
      <c r="P1591" s="314">
        <v>0</v>
      </c>
      <c r="Q1591" s="314">
        <v>0</v>
      </c>
      <c r="R1591" s="314">
        <v>0</v>
      </c>
      <c r="S1591" s="366">
        <v>0</v>
      </c>
      <c r="T1591" s="63"/>
      <c r="U1591" s="94" t="s">
        <v>2072</v>
      </c>
      <c r="V1591" s="90"/>
      <c r="W1591" s="136"/>
      <c r="X1591" s="137"/>
    </row>
    <row r="1592" spans="1:25" s="260" customFormat="1">
      <c r="A1592" s="261">
        <v>0.05</v>
      </c>
      <c r="B1592" s="87">
        <f>B1591+1</f>
        <v>2</v>
      </c>
      <c r="C1592" s="282">
        <v>45861</v>
      </c>
      <c r="D1592" s="302" t="s">
        <v>1997</v>
      </c>
      <c r="E1592" s="283" t="s">
        <v>270</v>
      </c>
      <c r="F1592" s="423">
        <v>5133</v>
      </c>
      <c r="G1592" s="284">
        <f>39.7+(1071.49)+250</f>
        <v>1361.19</v>
      </c>
      <c r="H1592" s="284"/>
      <c r="I1592" s="300">
        <f>F1592-G1592-H1592</f>
        <v>3771.81</v>
      </c>
      <c r="J1592" s="286" t="s">
        <v>156</v>
      </c>
      <c r="K1592" s="286">
        <v>1</v>
      </c>
      <c r="L1592" s="286">
        <v>1</v>
      </c>
      <c r="M1592" s="286">
        <v>1</v>
      </c>
      <c r="N1592" s="286">
        <v>1</v>
      </c>
      <c r="O1592" s="286">
        <v>1</v>
      </c>
      <c r="P1592" s="332">
        <v>0</v>
      </c>
      <c r="Q1592" s="332">
        <v>0</v>
      </c>
      <c r="R1592" s="332">
        <v>0</v>
      </c>
      <c r="S1592" s="370">
        <v>0</v>
      </c>
      <c r="T1592" s="63"/>
      <c r="U1592" s="10" t="s">
        <v>2222</v>
      </c>
      <c r="V1592" s="90"/>
      <c r="W1592" s="91"/>
      <c r="X1592" s="92"/>
    </row>
    <row r="1593" spans="1:25" s="260" customFormat="1">
      <c r="A1593" s="494" t="s">
        <v>1183</v>
      </c>
      <c r="B1593" s="87">
        <f>B1592+1</f>
        <v>3</v>
      </c>
      <c r="C1593" s="262">
        <v>45867</v>
      </c>
      <c r="D1593" s="273" t="s">
        <v>2029</v>
      </c>
      <c r="E1593" s="264" t="s">
        <v>158</v>
      </c>
      <c r="F1593" s="265">
        <v>4461</v>
      </c>
      <c r="G1593" s="265">
        <f>39.7+300</f>
        <v>339.7</v>
      </c>
      <c r="H1593" s="265"/>
      <c r="I1593" s="266">
        <f>F1593-G1593-H1593</f>
        <v>4121.3</v>
      </c>
      <c r="J1593" s="267"/>
      <c r="K1593" s="267">
        <v>1</v>
      </c>
      <c r="L1593" s="267">
        <v>1</v>
      </c>
      <c r="M1593" s="267"/>
      <c r="N1593" s="267">
        <v>1</v>
      </c>
      <c r="O1593" s="267">
        <v>1</v>
      </c>
      <c r="P1593" s="314">
        <v>0</v>
      </c>
      <c r="Q1593" s="314">
        <v>0</v>
      </c>
      <c r="R1593" s="314">
        <v>0</v>
      </c>
      <c r="S1593" s="366">
        <v>0</v>
      </c>
      <c r="T1593" s="63"/>
      <c r="U1593" s="10" t="s">
        <v>2030</v>
      </c>
      <c r="V1593" s="90"/>
      <c r="W1593" s="91"/>
      <c r="X1593" s="92"/>
    </row>
    <row r="1594" spans="1:25" s="342" customFormat="1">
      <c r="A1594" s="494">
        <v>0.05</v>
      </c>
      <c r="B1594" s="87">
        <f>B1593+1</f>
        <v>4</v>
      </c>
      <c r="C1594" s="262">
        <v>45876</v>
      </c>
      <c r="D1594" s="273">
        <v>72143</v>
      </c>
      <c r="E1594" s="264" t="s">
        <v>168</v>
      </c>
      <c r="F1594" s="265">
        <v>1461</v>
      </c>
      <c r="G1594" s="265">
        <v>39.700000000000003</v>
      </c>
      <c r="H1594" s="265"/>
      <c r="I1594" s="266">
        <f>F1594-G1594-H1594</f>
        <v>1421.3</v>
      </c>
      <c r="J1594" s="267" t="s">
        <v>228</v>
      </c>
      <c r="K1594" s="267">
        <v>1</v>
      </c>
      <c r="L1594" s="267">
        <v>1</v>
      </c>
      <c r="M1594" s="267">
        <v>1</v>
      </c>
      <c r="N1594" s="267">
        <v>1</v>
      </c>
      <c r="O1594" s="267">
        <v>1</v>
      </c>
      <c r="P1594" s="314">
        <v>0</v>
      </c>
      <c r="Q1594" s="267">
        <v>1</v>
      </c>
      <c r="R1594" s="267">
        <v>1</v>
      </c>
      <c r="S1594" s="366">
        <v>0</v>
      </c>
      <c r="T1594" s="63"/>
      <c r="U1594" s="10"/>
      <c r="V1594" s="90"/>
      <c r="W1594" s="91"/>
      <c r="X1594" s="92"/>
      <c r="Y1594" s="260"/>
    </row>
    <row r="1595" spans="1:25" s="260" customFormat="1">
      <c r="A1595" s="181" t="s">
        <v>1183</v>
      </c>
      <c r="B1595" s="87">
        <f>B1594+1</f>
        <v>5</v>
      </c>
      <c r="C1595" s="262">
        <v>45881</v>
      </c>
      <c r="D1595" s="273" t="s">
        <v>2070</v>
      </c>
      <c r="E1595" s="271" t="s">
        <v>572</v>
      </c>
      <c r="F1595" s="265">
        <f>8614-947.54</f>
        <v>7666.46</v>
      </c>
      <c r="G1595" s="265">
        <f>39.7+501.6+(1852.97+46.62)+250</f>
        <v>2690.89</v>
      </c>
      <c r="H1595" s="265"/>
      <c r="I1595" s="266">
        <f>F1595-G1595-H1595</f>
        <v>4975.57</v>
      </c>
      <c r="J1595" s="267" t="s">
        <v>156</v>
      </c>
      <c r="K1595" s="267">
        <v>1</v>
      </c>
      <c r="L1595" s="314">
        <v>0</v>
      </c>
      <c r="M1595" s="267">
        <v>1</v>
      </c>
      <c r="N1595" s="267">
        <v>1</v>
      </c>
      <c r="O1595" s="267">
        <v>1</v>
      </c>
      <c r="P1595" s="267">
        <v>1</v>
      </c>
      <c r="Q1595" s="267">
        <v>1</v>
      </c>
      <c r="R1595" s="267">
        <v>1</v>
      </c>
      <c r="S1595" s="269">
        <v>1</v>
      </c>
      <c r="T1595" s="63"/>
      <c r="U1595" s="10" t="s">
        <v>2280</v>
      </c>
      <c r="V1595" s="90"/>
      <c r="W1595" s="91"/>
      <c r="X1595" s="92"/>
    </row>
    <row r="1596" spans="1:25">
      <c r="A1596" s="260" t="s">
        <v>1183</v>
      </c>
      <c r="B1596" s="87">
        <f>B1595+1</f>
        <v>6</v>
      </c>
      <c r="C1596" s="262">
        <v>45902</v>
      </c>
      <c r="D1596" s="271">
        <v>72891</v>
      </c>
      <c r="E1596" s="271" t="s">
        <v>162</v>
      </c>
      <c r="F1596" s="265">
        <v>3433</v>
      </c>
      <c r="G1596" s="265">
        <v>39.700000000000003</v>
      </c>
      <c r="H1596" s="265"/>
      <c r="I1596" s="266">
        <f>F1596-G1596-H1596</f>
        <v>3393.3</v>
      </c>
      <c r="J1596" s="267" t="s">
        <v>156</v>
      </c>
      <c r="K1596" s="267">
        <v>1</v>
      </c>
      <c r="L1596" s="267">
        <v>1</v>
      </c>
      <c r="M1596" s="267">
        <v>1</v>
      </c>
      <c r="N1596" s="267">
        <v>1</v>
      </c>
      <c r="O1596" s="267">
        <v>1</v>
      </c>
      <c r="P1596" s="314">
        <v>0</v>
      </c>
      <c r="Q1596" s="267">
        <v>1</v>
      </c>
      <c r="R1596" s="267">
        <v>1</v>
      </c>
      <c r="S1596" s="269">
        <v>1</v>
      </c>
      <c r="T1596" s="21"/>
      <c r="U1596" s="94" t="s">
        <v>2192</v>
      </c>
      <c r="V1596" s="90"/>
      <c r="W1596" s="91"/>
      <c r="X1596" s="92"/>
      <c r="Y1596" s="260"/>
    </row>
    <row r="1597" spans="1:25" s="260" customFormat="1">
      <c r="A1597" s="260" t="s">
        <v>1183</v>
      </c>
      <c r="B1597" s="87">
        <f>B1596+1</f>
        <v>7</v>
      </c>
      <c r="C1597" s="262">
        <v>45903</v>
      </c>
      <c r="D1597" s="271" t="s">
        <v>2130</v>
      </c>
      <c r="E1597" s="271" t="s">
        <v>979</v>
      </c>
      <c r="F1597" s="265">
        <v>5533</v>
      </c>
      <c r="G1597" s="265">
        <f>39.7+(1471.41-16.4-3.76-8.58-2.51)</f>
        <v>1479.8600000000001</v>
      </c>
      <c r="H1597" s="265">
        <f>271.51</f>
        <v>271.51</v>
      </c>
      <c r="I1597" s="266">
        <f>F1597-G1597-H1597</f>
        <v>3781.63</v>
      </c>
      <c r="J1597" s="267" t="s">
        <v>313</v>
      </c>
      <c r="K1597" s="267">
        <v>1</v>
      </c>
      <c r="L1597" s="267">
        <v>1</v>
      </c>
      <c r="M1597" s="267">
        <v>1</v>
      </c>
      <c r="N1597" s="267">
        <v>1</v>
      </c>
      <c r="O1597" s="267">
        <v>1</v>
      </c>
      <c r="P1597" s="314">
        <v>0</v>
      </c>
      <c r="Q1597" s="267">
        <v>1</v>
      </c>
      <c r="R1597" s="267">
        <v>1</v>
      </c>
      <c r="S1597" s="269">
        <v>1</v>
      </c>
      <c r="T1597" s="21"/>
      <c r="U1597" s="94" t="s">
        <v>2240</v>
      </c>
      <c r="V1597" s="90"/>
      <c r="W1597" s="91"/>
      <c r="X1597" s="92"/>
    </row>
    <row r="1598" spans="1:25">
      <c r="A1598" s="494">
        <v>0.05</v>
      </c>
      <c r="B1598" s="87">
        <f>B1597+1</f>
        <v>8</v>
      </c>
      <c r="C1598" s="262">
        <v>45911</v>
      </c>
      <c r="D1598" s="271">
        <v>72853</v>
      </c>
      <c r="E1598" s="271" t="s">
        <v>786</v>
      </c>
      <c r="F1598" s="265">
        <v>523</v>
      </c>
      <c r="G1598" s="265"/>
      <c r="H1598" s="265"/>
      <c r="I1598" s="266">
        <f>F1598-G1598-H1598</f>
        <v>523</v>
      </c>
      <c r="J1598" s="267" t="s">
        <v>150</v>
      </c>
      <c r="K1598" s="267">
        <v>1</v>
      </c>
      <c r="L1598" s="267">
        <v>1</v>
      </c>
      <c r="M1598" s="267">
        <v>1</v>
      </c>
      <c r="N1598" s="267">
        <v>1</v>
      </c>
      <c r="O1598" s="267">
        <v>1</v>
      </c>
      <c r="P1598" s="314">
        <v>0</v>
      </c>
      <c r="Q1598" s="267">
        <v>1</v>
      </c>
      <c r="R1598" s="267">
        <v>1</v>
      </c>
      <c r="S1598" s="269">
        <v>1</v>
      </c>
      <c r="T1598" s="63"/>
      <c r="U1598" s="94" t="s">
        <v>2166</v>
      </c>
      <c r="V1598" s="90"/>
      <c r="W1598" s="91"/>
      <c r="X1598" s="137"/>
      <c r="Y1598" s="181"/>
    </row>
    <row r="1599" spans="1:25" s="260" customFormat="1">
      <c r="A1599" s="260" t="s">
        <v>2216</v>
      </c>
      <c r="B1599" s="87">
        <f t="shared" ref="B1599:B1606" si="139">B1598+1</f>
        <v>9</v>
      </c>
      <c r="C1599" s="274">
        <v>45922</v>
      </c>
      <c r="D1599" s="276" t="s">
        <v>2217</v>
      </c>
      <c r="E1599" s="404" t="s">
        <v>155</v>
      </c>
      <c r="F1599" s="277">
        <v>5174.5</v>
      </c>
      <c r="G1599" s="277">
        <f>39.7+(8.54)+(1349.28+169.28)+250</f>
        <v>1816.8</v>
      </c>
      <c r="H1599" s="277"/>
      <c r="I1599" s="321">
        <f>F1599-G1599-H1599</f>
        <v>3357.7</v>
      </c>
      <c r="J1599" s="279" t="s">
        <v>156</v>
      </c>
      <c r="K1599" s="279">
        <v>1</v>
      </c>
      <c r="L1599" s="279">
        <v>1</v>
      </c>
      <c r="M1599" s="279">
        <v>1</v>
      </c>
      <c r="N1599" s="279">
        <v>1</v>
      </c>
      <c r="O1599" s="279">
        <v>1</v>
      </c>
      <c r="P1599" s="322">
        <v>0</v>
      </c>
      <c r="Q1599" s="322">
        <v>0</v>
      </c>
      <c r="R1599" s="322">
        <v>0</v>
      </c>
      <c r="S1599" s="328">
        <v>0</v>
      </c>
      <c r="T1599" s="63"/>
      <c r="U1599" s="94" t="s">
        <v>2218</v>
      </c>
      <c r="V1599" s="90"/>
      <c r="W1599" s="91"/>
      <c r="X1599" s="92"/>
    </row>
    <row r="1600" spans="1:25" s="260" customFormat="1">
      <c r="A1600" s="260" t="s">
        <v>2219</v>
      </c>
      <c r="B1600" s="87">
        <f t="shared" si="139"/>
        <v>10</v>
      </c>
      <c r="C1600" s="262">
        <v>45924</v>
      </c>
      <c r="D1600" s="271">
        <v>73596</v>
      </c>
      <c r="E1600" s="264" t="s">
        <v>296</v>
      </c>
      <c r="F1600" s="265">
        <v>2391.9</v>
      </c>
      <c r="G1600" s="265">
        <f>39.7+(206.34+82.06)+200</f>
        <v>528.09999999999991</v>
      </c>
      <c r="H1600" s="265"/>
      <c r="I1600" s="266">
        <f t="shared" ref="I1600:I1602" si="140">F1600-G1600-H1600</f>
        <v>1863.8000000000002</v>
      </c>
      <c r="J1600" s="267" t="s">
        <v>228</v>
      </c>
      <c r="K1600" s="267">
        <v>1</v>
      </c>
      <c r="L1600" s="267">
        <v>1</v>
      </c>
      <c r="M1600" s="267">
        <v>1</v>
      </c>
      <c r="N1600" s="267">
        <v>1</v>
      </c>
      <c r="O1600" s="267">
        <v>1</v>
      </c>
      <c r="P1600" s="314">
        <v>0</v>
      </c>
      <c r="Q1600" s="267">
        <v>1</v>
      </c>
      <c r="R1600" s="267">
        <v>1</v>
      </c>
      <c r="S1600" s="269">
        <v>1</v>
      </c>
      <c r="T1600" s="63"/>
      <c r="U1600" s="10" t="s">
        <v>2220</v>
      </c>
      <c r="V1600" s="90"/>
      <c r="W1600" s="91"/>
      <c r="X1600" s="92"/>
    </row>
    <row r="1601" spans="1:25" s="260" customFormat="1">
      <c r="A1601" s="494">
        <v>0.05</v>
      </c>
      <c r="B1601" s="87">
        <f t="shared" si="139"/>
        <v>11</v>
      </c>
      <c r="C1601" s="274">
        <v>45930</v>
      </c>
      <c r="D1601" s="275" t="s">
        <v>2233</v>
      </c>
      <c r="E1601" s="276" t="s">
        <v>349</v>
      </c>
      <c r="F1601" s="277">
        <v>2431.85</v>
      </c>
      <c r="G1601" s="277">
        <f>39.7+(1*100)</f>
        <v>139.69999999999999</v>
      </c>
      <c r="H1601" s="297"/>
      <c r="I1601" s="321">
        <f t="shared" si="140"/>
        <v>2292.15</v>
      </c>
      <c r="J1601" s="279" t="s">
        <v>156</v>
      </c>
      <c r="K1601" s="279">
        <v>1</v>
      </c>
      <c r="L1601" s="279">
        <v>0</v>
      </c>
      <c r="M1601" s="279">
        <v>1</v>
      </c>
      <c r="N1601" s="279">
        <v>1</v>
      </c>
      <c r="O1601" s="279">
        <v>1</v>
      </c>
      <c r="P1601" s="322">
        <v>0</v>
      </c>
      <c r="Q1601" s="279">
        <v>1</v>
      </c>
      <c r="R1601" s="279">
        <v>1</v>
      </c>
      <c r="S1601" s="280">
        <v>1</v>
      </c>
      <c r="T1601" s="63"/>
      <c r="U1601" s="94"/>
      <c r="V1601" s="90"/>
      <c r="W1601" s="91"/>
      <c r="X1601" s="92"/>
    </row>
    <row r="1602" spans="1:25" s="260" customFormat="1">
      <c r="A1602" s="494">
        <v>0.05</v>
      </c>
      <c r="B1602" s="87">
        <f t="shared" si="139"/>
        <v>12</v>
      </c>
      <c r="C1602" s="274">
        <v>45931</v>
      </c>
      <c r="D1602" s="275">
        <v>73858</v>
      </c>
      <c r="E1602" s="276" t="s">
        <v>572</v>
      </c>
      <c r="F1602" s="277">
        <v>1025</v>
      </c>
      <c r="G1602" s="277">
        <f>39.7</f>
        <v>39.700000000000003</v>
      </c>
      <c r="H1602" s="277"/>
      <c r="I1602" s="321">
        <f t="shared" si="140"/>
        <v>985.3</v>
      </c>
      <c r="J1602" s="279" t="s">
        <v>817</v>
      </c>
      <c r="K1602" s="279">
        <v>1</v>
      </c>
      <c r="L1602" s="279">
        <v>1</v>
      </c>
      <c r="M1602" s="279">
        <v>1</v>
      </c>
      <c r="N1602" s="279">
        <v>1</v>
      </c>
      <c r="O1602" s="279">
        <v>1</v>
      </c>
      <c r="P1602" s="322">
        <v>0</v>
      </c>
      <c r="Q1602" s="322">
        <v>0</v>
      </c>
      <c r="R1602" s="322">
        <v>0</v>
      </c>
      <c r="S1602" s="328">
        <v>0</v>
      </c>
      <c r="T1602" s="63"/>
      <c r="U1602" s="10" t="s">
        <v>2234</v>
      </c>
      <c r="V1602" s="90"/>
      <c r="W1602" s="91"/>
      <c r="X1602" s="92"/>
    </row>
    <row r="1603" spans="1:25" s="260" customFormat="1">
      <c r="A1603" s="494">
        <v>0.05</v>
      </c>
      <c r="B1603" s="87">
        <f t="shared" si="139"/>
        <v>13</v>
      </c>
      <c r="C1603" s="274">
        <v>45932</v>
      </c>
      <c r="D1603" s="276">
        <v>73254</v>
      </c>
      <c r="E1603" s="281" t="s">
        <v>1215</v>
      </c>
      <c r="F1603" s="277">
        <f>2899-85</f>
        <v>2814</v>
      </c>
      <c r="G1603" s="277">
        <f>39.7+(307.1+324.82-290.91)</f>
        <v>380.71000000000004</v>
      </c>
      <c r="H1603" s="277"/>
      <c r="I1603" s="321">
        <f>F1603-G1603-H1603</f>
        <v>2433.29</v>
      </c>
      <c r="J1603" s="279" t="s">
        <v>374</v>
      </c>
      <c r="K1603" s="279">
        <v>1</v>
      </c>
      <c r="L1603" s="279">
        <v>1</v>
      </c>
      <c r="M1603" s="279">
        <v>1</v>
      </c>
      <c r="N1603" s="279">
        <v>1</v>
      </c>
      <c r="O1603" s="279">
        <v>1</v>
      </c>
      <c r="P1603" s="279">
        <v>1</v>
      </c>
      <c r="Q1603" s="279">
        <v>1</v>
      </c>
      <c r="R1603" s="322">
        <v>0</v>
      </c>
      <c r="S1603" s="328">
        <v>0</v>
      </c>
      <c r="T1603" s="63"/>
      <c r="U1603" s="10" t="s">
        <v>2235</v>
      </c>
      <c r="V1603" s="90"/>
      <c r="W1603" s="91"/>
      <c r="X1603" s="92"/>
      <c r="Y1603" s="181"/>
    </row>
    <row r="1604" spans="1:25" s="260" customFormat="1">
      <c r="A1604" s="494">
        <v>0.05</v>
      </c>
      <c r="B1604" s="87">
        <f t="shared" si="139"/>
        <v>14</v>
      </c>
      <c r="C1604" s="282">
        <v>45932</v>
      </c>
      <c r="D1604" s="302">
        <v>73883</v>
      </c>
      <c r="E1604" s="319" t="s">
        <v>786</v>
      </c>
      <c r="F1604" s="284">
        <v>2353</v>
      </c>
      <c r="G1604" s="284">
        <f>39.7+(210.03)+200</f>
        <v>449.73</v>
      </c>
      <c r="H1604" s="284"/>
      <c r="I1604" s="300">
        <f t="shared" ref="I1604" si="141">F1604-G1604-H1604</f>
        <v>1903.27</v>
      </c>
      <c r="J1604" s="286" t="s">
        <v>374</v>
      </c>
      <c r="K1604" s="286">
        <v>1</v>
      </c>
      <c r="L1604" s="286">
        <v>1</v>
      </c>
      <c r="M1604" s="286">
        <v>1</v>
      </c>
      <c r="N1604" s="286">
        <v>1</v>
      </c>
      <c r="O1604" s="286">
        <v>1</v>
      </c>
      <c r="P1604" s="332">
        <v>0</v>
      </c>
      <c r="Q1604" s="286">
        <v>1</v>
      </c>
      <c r="R1604" s="286">
        <v>1</v>
      </c>
      <c r="S1604" s="370">
        <v>0</v>
      </c>
      <c r="T1604" s="63"/>
      <c r="U1604" s="10" t="s">
        <v>2236</v>
      </c>
      <c r="V1604" s="90"/>
      <c r="W1604" s="91"/>
      <c r="X1604" s="92"/>
    </row>
    <row r="1605" spans="1:25" s="260" customFormat="1">
      <c r="A1605" s="494" t="s">
        <v>2237</v>
      </c>
      <c r="B1605" s="87">
        <f t="shared" si="139"/>
        <v>15</v>
      </c>
      <c r="C1605" s="262">
        <v>45933</v>
      </c>
      <c r="D1605" s="271" t="s">
        <v>2238</v>
      </c>
      <c r="E1605" s="271" t="s">
        <v>2132</v>
      </c>
      <c r="F1605" s="265">
        <v>16814</v>
      </c>
      <c r="G1605" s="265">
        <f>39.7+(228.4)+(119.12+612.84+132.75+179.85+59.99)+1500</f>
        <v>2872.65</v>
      </c>
      <c r="H1605" s="265"/>
      <c r="I1605" s="266">
        <f>F1605-G1605-H1605</f>
        <v>13941.35</v>
      </c>
      <c r="J1605" s="267" t="s">
        <v>156</v>
      </c>
      <c r="K1605" s="267">
        <v>1</v>
      </c>
      <c r="L1605" s="267">
        <v>1</v>
      </c>
      <c r="M1605" s="267">
        <v>1</v>
      </c>
      <c r="N1605" s="267">
        <v>1</v>
      </c>
      <c r="O1605" s="267">
        <v>1</v>
      </c>
      <c r="P1605" s="314">
        <v>0</v>
      </c>
      <c r="Q1605" s="267">
        <v>1</v>
      </c>
      <c r="R1605" s="267">
        <v>1</v>
      </c>
      <c r="S1605" s="269">
        <v>1</v>
      </c>
      <c r="T1605" s="63"/>
      <c r="U1605" s="94" t="s">
        <v>2239</v>
      </c>
      <c r="V1605" s="90"/>
      <c r="W1605" s="136"/>
      <c r="X1605" s="137"/>
    </row>
    <row r="1606" spans="1:25" s="260" customFormat="1">
      <c r="A1606" s="181" t="s">
        <v>619</v>
      </c>
      <c r="B1606" s="87">
        <f t="shared" si="139"/>
        <v>16</v>
      </c>
      <c r="C1606" s="262">
        <v>45939</v>
      </c>
      <c r="D1606" s="271">
        <v>74184</v>
      </c>
      <c r="E1606" s="264" t="s">
        <v>225</v>
      </c>
      <c r="F1606" s="265">
        <v>2614</v>
      </c>
      <c r="G1606" s="265">
        <f>39.7+(49.06+253.13)</f>
        <v>341.89</v>
      </c>
      <c r="H1606" s="265"/>
      <c r="I1606" s="266">
        <f t="shared" ref="I1606" si="142">F1606-G1606-H1606</f>
        <v>2272.11</v>
      </c>
      <c r="J1606" s="267" t="s">
        <v>156</v>
      </c>
      <c r="K1606" s="267">
        <v>1</v>
      </c>
      <c r="L1606" s="267">
        <v>1</v>
      </c>
      <c r="M1606" s="267">
        <v>1</v>
      </c>
      <c r="N1606" s="267">
        <v>1</v>
      </c>
      <c r="O1606" s="267">
        <v>1</v>
      </c>
      <c r="P1606" s="314">
        <v>0</v>
      </c>
      <c r="Q1606" s="314">
        <v>0</v>
      </c>
      <c r="R1606" s="314">
        <v>0</v>
      </c>
      <c r="S1606" s="366">
        <v>0</v>
      </c>
      <c r="T1606" s="63"/>
      <c r="U1606" s="10" t="s">
        <v>2257</v>
      </c>
      <c r="V1606" s="90"/>
      <c r="W1606" s="91"/>
      <c r="X1606" s="92"/>
    </row>
    <row r="1607" spans="1:25" s="260" customFormat="1">
      <c r="A1607" s="181"/>
      <c r="B1607" s="11"/>
      <c r="C1607" s="36"/>
      <c r="D1607" s="10"/>
      <c r="E1607" s="10"/>
      <c r="F1607" s="98">
        <f>SUM(F1591:F1606)</f>
        <v>65689.709999999992</v>
      </c>
      <c r="G1607" s="98">
        <f t="shared" ref="G1607:I1607" si="143">SUM(G1591:G1606)</f>
        <v>13104.519999999999</v>
      </c>
      <c r="H1607" s="98">
        <f t="shared" si="143"/>
        <v>271.51</v>
      </c>
      <c r="I1607" s="98">
        <f t="shared" si="143"/>
        <v>52313.679999999993</v>
      </c>
      <c r="J1607" s="63"/>
      <c r="K1607" s="21"/>
      <c r="L1607" s="21"/>
      <c r="M1607" s="21"/>
      <c r="N1607" s="21"/>
      <c r="O1607" s="21"/>
      <c r="P1607" s="21"/>
      <c r="Q1607" s="21"/>
      <c r="R1607" s="21"/>
      <c r="S1607" s="21"/>
      <c r="T1607" s="63"/>
      <c r="U1607" s="10"/>
      <c r="V1607" s="90"/>
      <c r="W1607" s="91"/>
      <c r="X1607" s="92"/>
    </row>
    <row r="1608" spans="1:25" s="260" customFormat="1">
      <c r="A1608" s="181"/>
      <c r="B1608" s="11"/>
      <c r="C1608" s="36"/>
      <c r="D1608" s="10"/>
      <c r="E1608" s="10"/>
      <c r="F1608" s="88"/>
      <c r="G1608" s="88"/>
      <c r="H1608" s="88"/>
      <c r="I1608" s="99"/>
      <c r="J1608" s="63"/>
      <c r="K1608" s="21"/>
      <c r="L1608" s="21"/>
      <c r="M1608" s="21"/>
      <c r="N1608" s="21"/>
      <c r="O1608" s="21"/>
      <c r="P1608" s="21"/>
      <c r="Q1608" s="21"/>
      <c r="R1608" s="21"/>
      <c r="S1608" s="21"/>
      <c r="T1608" s="63"/>
      <c r="U1608" s="10"/>
      <c r="V1608" s="90"/>
      <c r="W1608" s="91"/>
      <c r="X1608" s="92"/>
    </row>
    <row r="1609" spans="1:25" s="260" customFormat="1">
      <c r="B1609" s="100" t="s">
        <v>202</v>
      </c>
      <c r="C1609" s="36"/>
      <c r="D1609" s="10"/>
      <c r="E1609" s="181"/>
      <c r="F1609" s="88"/>
      <c r="G1609" s="88"/>
      <c r="H1609" s="88"/>
      <c r="I1609" s="99"/>
      <c r="J1609" s="63"/>
      <c r="K1609" s="21"/>
      <c r="L1609" s="21"/>
      <c r="M1609" s="21"/>
      <c r="N1609" s="21"/>
      <c r="O1609" s="21"/>
      <c r="P1609" s="21"/>
      <c r="Q1609" s="21"/>
      <c r="R1609" s="21"/>
      <c r="S1609" s="21"/>
      <c r="T1609" s="63"/>
      <c r="U1609" s="10"/>
      <c r="V1609" s="90"/>
      <c r="W1609" s="91"/>
      <c r="X1609" s="92"/>
    </row>
    <row r="1610" spans="1:25" s="260" customFormat="1">
      <c r="A1610" s="494">
        <v>0.05</v>
      </c>
      <c r="B1610" s="87">
        <v>1</v>
      </c>
      <c r="C1610" s="262">
        <v>45848</v>
      </c>
      <c r="D1610" s="271">
        <v>71381</v>
      </c>
      <c r="E1610" s="271" t="s">
        <v>1530</v>
      </c>
      <c r="F1610" s="265">
        <f>1223-85</f>
        <v>1138</v>
      </c>
      <c r="G1610" s="265">
        <f>39.7</f>
        <v>39.700000000000003</v>
      </c>
      <c r="H1610" s="265"/>
      <c r="I1610" s="266">
        <f>F1610-G1610-H1610</f>
        <v>1098.3</v>
      </c>
      <c r="J1610" s="267" t="s">
        <v>156</v>
      </c>
      <c r="K1610" s="267">
        <v>1</v>
      </c>
      <c r="L1610" s="267"/>
      <c r="M1610" s="267">
        <v>1</v>
      </c>
      <c r="N1610" s="267">
        <v>1</v>
      </c>
      <c r="O1610" s="267">
        <v>1</v>
      </c>
      <c r="P1610" s="314">
        <v>0</v>
      </c>
      <c r="Q1610" s="267"/>
      <c r="R1610" s="267"/>
      <c r="S1610" s="269"/>
      <c r="T1610" s="63"/>
      <c r="U1610" s="94"/>
      <c r="V1610" s="90"/>
      <c r="W1610" s="136"/>
      <c r="X1610" s="137"/>
    </row>
    <row r="1611" spans="1:25" s="260" customFormat="1">
      <c r="A1611" s="494">
        <v>0.05</v>
      </c>
      <c r="B1611" s="87">
        <f>B1610+1</f>
        <v>2</v>
      </c>
      <c r="C1611" s="274">
        <v>45902</v>
      </c>
      <c r="D1611" s="276">
        <v>72830</v>
      </c>
      <c r="E1611" s="276" t="s">
        <v>196</v>
      </c>
      <c r="F1611" s="277">
        <f>3447-85</f>
        <v>3362</v>
      </c>
      <c r="G1611" s="277">
        <f>39.7+(20.1)</f>
        <v>59.800000000000004</v>
      </c>
      <c r="H1611" s="277"/>
      <c r="I1611" s="321">
        <f>F1611-G1611-H1611</f>
        <v>3302.2</v>
      </c>
      <c r="J1611" s="279" t="s">
        <v>374</v>
      </c>
      <c r="K1611" s="279">
        <v>1</v>
      </c>
      <c r="L1611" s="279"/>
      <c r="M1611" s="279">
        <v>1</v>
      </c>
      <c r="N1611" s="279">
        <v>1</v>
      </c>
      <c r="O1611" s="322">
        <v>0</v>
      </c>
      <c r="P1611" s="322">
        <v>0</v>
      </c>
      <c r="Q1611" s="279"/>
      <c r="R1611" s="279"/>
      <c r="S1611" s="280"/>
      <c r="T1611" s="63"/>
      <c r="U1611" s="94"/>
      <c r="V1611" s="90"/>
      <c r="W1611" s="136"/>
      <c r="X1611" s="137"/>
    </row>
    <row r="1612" spans="1:25" s="260" customFormat="1">
      <c r="A1612" s="494">
        <v>0.05</v>
      </c>
      <c r="B1612" s="87">
        <f>B1611+1</f>
        <v>3</v>
      </c>
      <c r="C1612" s="262">
        <v>45904</v>
      </c>
      <c r="D1612" s="271">
        <v>72887</v>
      </c>
      <c r="E1612" s="271" t="s">
        <v>2132</v>
      </c>
      <c r="F1612" s="265">
        <v>12814</v>
      </c>
      <c r="G1612" s="265">
        <f>39.7+1000</f>
        <v>1039.7</v>
      </c>
      <c r="H1612" s="265"/>
      <c r="I1612" s="266">
        <f>F1612-G1612-H1612</f>
        <v>11774.3</v>
      </c>
      <c r="J1612" s="267"/>
      <c r="K1612" s="267">
        <v>1</v>
      </c>
      <c r="L1612" s="267"/>
      <c r="M1612" s="267"/>
      <c r="N1612" s="267">
        <v>1</v>
      </c>
      <c r="O1612" s="267">
        <v>1</v>
      </c>
      <c r="P1612" s="314">
        <v>0</v>
      </c>
      <c r="Q1612" s="267"/>
      <c r="R1612" s="267"/>
      <c r="S1612" s="269"/>
      <c r="T1612" s="21"/>
      <c r="U1612" s="94"/>
      <c r="V1612" s="90"/>
      <c r="W1612" s="136"/>
      <c r="X1612" s="137"/>
    </row>
    <row r="1613" spans="1:25" s="342" customFormat="1">
      <c r="A1613" s="494">
        <v>0.05</v>
      </c>
      <c r="B1613" s="87">
        <f>B1612+1</f>
        <v>4</v>
      </c>
      <c r="C1613" s="262">
        <v>45919</v>
      </c>
      <c r="D1613" s="271" t="s">
        <v>2189</v>
      </c>
      <c r="E1613" s="271" t="s">
        <v>225</v>
      </c>
      <c r="F1613" s="265">
        <v>17023</v>
      </c>
      <c r="G1613" s="265">
        <f>39.7+313.4+78+(3.75+52.5-57.57+55.3+187.06)+(398.58+159.54+65.3+7.89+65.01+153.3+61.29)+1500</f>
        <v>3083.0499999999997</v>
      </c>
      <c r="H1613" s="265"/>
      <c r="I1613" s="266">
        <f>F1613-G1613-H1613</f>
        <v>13939.95</v>
      </c>
      <c r="J1613" s="267" t="s">
        <v>156</v>
      </c>
      <c r="K1613" s="267">
        <v>1</v>
      </c>
      <c r="L1613" s="267"/>
      <c r="M1613" s="267">
        <v>1</v>
      </c>
      <c r="N1613" s="267">
        <v>1</v>
      </c>
      <c r="O1613" s="267">
        <v>1</v>
      </c>
      <c r="P1613" s="314">
        <v>0</v>
      </c>
      <c r="Q1613" s="267"/>
      <c r="R1613" s="267"/>
      <c r="S1613" s="269"/>
      <c r="T1613" s="21"/>
      <c r="U1613" s="94" t="s">
        <v>2241</v>
      </c>
      <c r="V1613" s="90"/>
      <c r="W1613" s="136"/>
      <c r="X1613" s="137"/>
      <c r="Y1613" s="260"/>
    </row>
    <row r="1614" spans="1:25" s="342" customFormat="1">
      <c r="A1614" s="494">
        <v>0.05</v>
      </c>
      <c r="B1614" s="87">
        <f>B1613+1</f>
        <v>5</v>
      </c>
      <c r="C1614" s="262">
        <v>45923</v>
      </c>
      <c r="D1614" s="271" t="s">
        <v>2221</v>
      </c>
      <c r="E1614" s="271" t="s">
        <v>168</v>
      </c>
      <c r="F1614" s="265">
        <v>6814</v>
      </c>
      <c r="G1614" s="265">
        <f>39.7+2000</f>
        <v>2039.7</v>
      </c>
      <c r="H1614" s="265"/>
      <c r="I1614" s="266">
        <f t="shared" ref="I1614" si="144">F1614-G1614-H1614</f>
        <v>4774.3</v>
      </c>
      <c r="J1614" s="267" t="s">
        <v>156</v>
      </c>
      <c r="K1614" s="267">
        <v>1</v>
      </c>
      <c r="L1614" s="267"/>
      <c r="M1614" s="267">
        <v>1</v>
      </c>
      <c r="N1614" s="267">
        <v>1</v>
      </c>
      <c r="O1614" s="267">
        <v>1</v>
      </c>
      <c r="P1614" s="314">
        <v>0</v>
      </c>
      <c r="Q1614" s="267"/>
      <c r="R1614" s="267"/>
      <c r="S1614" s="269"/>
      <c r="T1614" s="21"/>
      <c r="U1614" s="94"/>
      <c r="V1614" s="90"/>
      <c r="W1614" s="136"/>
      <c r="X1614" s="137"/>
      <c r="Y1614" s="260"/>
    </row>
    <row r="1615" spans="1:25" s="260" customFormat="1">
      <c r="A1615" s="494">
        <v>0.05</v>
      </c>
      <c r="B1615" s="87">
        <f t="shared" ref="B1615:B1617" si="145">B1614+1</f>
        <v>6</v>
      </c>
      <c r="C1615" s="274">
        <v>45940</v>
      </c>
      <c r="D1615" s="276" t="s">
        <v>2250</v>
      </c>
      <c r="E1615" s="276" t="s">
        <v>572</v>
      </c>
      <c r="F1615" s="277">
        <v>5814</v>
      </c>
      <c r="G1615" s="277">
        <f>39.7+(47.63)+(141.82+789.54)</f>
        <v>1018.6899999999999</v>
      </c>
      <c r="H1615" s="277"/>
      <c r="I1615" s="321">
        <f>F1615-G1615-H1615</f>
        <v>4795.3100000000004</v>
      </c>
      <c r="J1615" s="279" t="s">
        <v>228</v>
      </c>
      <c r="K1615" s="279">
        <v>1</v>
      </c>
      <c r="L1615" s="279"/>
      <c r="M1615" s="279">
        <v>1</v>
      </c>
      <c r="N1615" s="279">
        <v>1</v>
      </c>
      <c r="O1615" s="279">
        <v>1</v>
      </c>
      <c r="P1615" s="322">
        <v>0</v>
      </c>
      <c r="Q1615" s="279"/>
      <c r="R1615" s="279"/>
      <c r="S1615" s="280"/>
      <c r="T1615" s="63"/>
      <c r="U1615" s="94" t="s">
        <v>2251</v>
      </c>
      <c r="V1615" s="90"/>
      <c r="W1615" s="136"/>
      <c r="X1615" s="137"/>
    </row>
    <row r="1616" spans="1:25" s="260" customFormat="1">
      <c r="A1616" s="261">
        <v>0.05</v>
      </c>
      <c r="B1616" s="87">
        <f t="shared" si="145"/>
        <v>7</v>
      </c>
      <c r="C1616" s="295">
        <v>45940</v>
      </c>
      <c r="D1616" s="10">
        <v>74286</v>
      </c>
      <c r="E1616" s="10" t="s">
        <v>210</v>
      </c>
      <c r="F1616" s="62">
        <v>1861</v>
      </c>
      <c r="G1616" s="62">
        <f>39.7+550</f>
        <v>589.70000000000005</v>
      </c>
      <c r="H1616" s="62"/>
      <c r="I1616" s="324">
        <f t="shared" ref="I1616" si="146">F1616-G1616-H1616</f>
        <v>1271.3</v>
      </c>
      <c r="J1616" s="63" t="s">
        <v>156</v>
      </c>
      <c r="K1616" s="63">
        <v>1</v>
      </c>
      <c r="L1616" s="63"/>
      <c r="M1616" s="63">
        <v>1</v>
      </c>
      <c r="N1616" s="63">
        <v>1</v>
      </c>
      <c r="O1616" s="63">
        <v>1</v>
      </c>
      <c r="P1616" s="325">
        <v>0</v>
      </c>
      <c r="Q1616" s="63"/>
      <c r="R1616" s="63"/>
      <c r="S1616" s="296"/>
      <c r="T1616" s="63"/>
      <c r="U1616" s="94" t="s">
        <v>2258</v>
      </c>
      <c r="V1616" s="90"/>
      <c r="W1616" s="136"/>
      <c r="X1616" s="137"/>
    </row>
    <row r="1617" spans="1:24" s="260" customFormat="1">
      <c r="A1617" s="31">
        <v>0.05</v>
      </c>
      <c r="B1617" s="87">
        <f t="shared" si="145"/>
        <v>8</v>
      </c>
      <c r="C1617" s="282">
        <v>45940</v>
      </c>
      <c r="D1617" s="283">
        <v>74313</v>
      </c>
      <c r="E1617" s="283" t="s">
        <v>225</v>
      </c>
      <c r="F1617" s="284">
        <v>1861</v>
      </c>
      <c r="G1617" s="284">
        <f>39.7+550</f>
        <v>589.70000000000005</v>
      </c>
      <c r="H1617" s="284"/>
      <c r="I1617" s="300">
        <f>F1617-G1617-H1617</f>
        <v>1271.3</v>
      </c>
      <c r="J1617" s="286" t="s">
        <v>156</v>
      </c>
      <c r="K1617" s="286">
        <v>1</v>
      </c>
      <c r="L1617" s="286"/>
      <c r="M1617" s="286">
        <v>1</v>
      </c>
      <c r="N1617" s="286">
        <v>1</v>
      </c>
      <c r="O1617" s="286">
        <v>1</v>
      </c>
      <c r="P1617" s="332">
        <v>0</v>
      </c>
      <c r="Q1617" s="286"/>
      <c r="R1617" s="286"/>
      <c r="S1617" s="287"/>
      <c r="T1617" s="63"/>
      <c r="U1617" s="94" t="s">
        <v>2253</v>
      </c>
      <c r="V1617" s="90"/>
      <c r="W1617" s="136"/>
      <c r="X1617" s="137"/>
    </row>
    <row r="1618" spans="1:24" s="260" customFormat="1">
      <c r="B1618" s="11"/>
      <c r="C1618" s="36"/>
      <c r="D1618" s="10"/>
      <c r="E1618" s="10"/>
      <c r="F1618" s="97">
        <f>SUM(F1610:F1617)</f>
        <v>50687</v>
      </c>
      <c r="G1618" s="97">
        <f t="shared" ref="G1618:I1618" si="147">SUM(G1610:G1617)</f>
        <v>8460.0399999999991</v>
      </c>
      <c r="H1618" s="97">
        <f t="shared" si="147"/>
        <v>0</v>
      </c>
      <c r="I1618" s="97">
        <f t="shared" si="147"/>
        <v>42226.960000000006</v>
      </c>
      <c r="J1618" s="63"/>
      <c r="K1618" s="21"/>
      <c r="L1618" s="21"/>
      <c r="M1618" s="21"/>
      <c r="N1618" s="21"/>
      <c r="O1618" s="21"/>
      <c r="P1618" s="21"/>
      <c r="Q1618" s="21"/>
      <c r="R1618" s="21"/>
      <c r="S1618" s="21"/>
      <c r="T1618" s="63"/>
      <c r="U1618" s="10"/>
      <c r="V1618" s="90"/>
      <c r="W1618" s="91"/>
      <c r="X1618" s="92"/>
    </row>
    <row r="1619" spans="1:24" s="260" customFormat="1">
      <c r="B1619" s="11"/>
      <c r="C1619" s="36"/>
      <c r="D1619" s="10"/>
      <c r="E1619" s="10"/>
      <c r="F1619" s="88"/>
      <c r="G1619" s="88"/>
      <c r="H1619" s="88"/>
      <c r="I1619" s="88"/>
      <c r="J1619" s="63"/>
      <c r="K1619" s="21"/>
      <c r="L1619" s="21"/>
      <c r="M1619" s="21"/>
      <c r="N1619" s="21"/>
      <c r="O1619" s="21"/>
      <c r="P1619" s="21"/>
      <c r="Q1619" s="21"/>
      <c r="R1619" s="21"/>
      <c r="S1619" s="21"/>
      <c r="T1619" s="63"/>
      <c r="U1619" s="10"/>
      <c r="V1619" s="90"/>
      <c r="W1619" s="91"/>
      <c r="X1619" s="92"/>
    </row>
    <row r="1620" spans="1:24">
      <c r="A1620" s="614"/>
      <c r="B1620" s="100" t="s">
        <v>72</v>
      </c>
      <c r="C1620" s="609"/>
      <c r="D1620" s="10"/>
      <c r="E1620" s="10"/>
      <c r="F1620" s="88"/>
      <c r="G1620" s="88"/>
      <c r="H1620" s="88"/>
      <c r="I1620" s="99"/>
      <c r="J1620" s="63"/>
      <c r="K1620" s="63"/>
      <c r="L1620" s="63"/>
      <c r="M1620" s="63"/>
      <c r="N1620" s="63"/>
      <c r="O1620" s="63"/>
      <c r="P1620" s="63"/>
      <c r="Q1620" s="63"/>
      <c r="R1620" s="63"/>
      <c r="S1620" s="63"/>
      <c r="T1620" s="63"/>
      <c r="U1620" s="10"/>
      <c r="V1620" s="90"/>
      <c r="W1620" s="91"/>
      <c r="X1620" s="92"/>
    </row>
    <row r="1621" spans="1:24">
      <c r="A1621" s="614"/>
      <c r="B1621" s="87">
        <v>1</v>
      </c>
      <c r="C1621" s="274">
        <v>45957</v>
      </c>
      <c r="D1621" s="276" t="s">
        <v>2281</v>
      </c>
      <c r="E1621" s="276" t="s">
        <v>354</v>
      </c>
      <c r="F1621" s="277">
        <v>18161</v>
      </c>
      <c r="G1621" s="277">
        <v>39.700000000000003</v>
      </c>
      <c r="H1621" s="277"/>
      <c r="I1621" s="278">
        <f t="shared" ref="I1621:I1639" si="148">F1621-G1621-H1621</f>
        <v>18121.3</v>
      </c>
      <c r="J1621" s="279" t="s">
        <v>205</v>
      </c>
      <c r="K1621" s="279">
        <v>1</v>
      </c>
      <c r="L1621" s="279"/>
      <c r="M1621" s="279"/>
      <c r="N1621" s="279">
        <v>1</v>
      </c>
      <c r="O1621" s="279"/>
      <c r="P1621" s="279"/>
      <c r="Q1621" s="279"/>
      <c r="R1621" s="279"/>
      <c r="S1621" s="280"/>
      <c r="T1621" s="63"/>
      <c r="U1621" s="3"/>
      <c r="V1621" s="90"/>
      <c r="W1621" s="91"/>
      <c r="X1621" s="92"/>
    </row>
    <row r="1622" spans="1:24">
      <c r="A1622" s="614"/>
      <c r="B1622" s="87">
        <f t="shared" ref="B1622:B1639" si="149">B1621+1</f>
        <v>2</v>
      </c>
      <c r="C1622" s="295">
        <v>45957</v>
      </c>
      <c r="D1622" s="10" t="s">
        <v>2282</v>
      </c>
      <c r="E1622" s="10" t="s">
        <v>572</v>
      </c>
      <c r="F1622" s="62">
        <v>12821</v>
      </c>
      <c r="G1622" s="62">
        <v>39.700000000000003</v>
      </c>
      <c r="H1622" s="62"/>
      <c r="I1622" s="89">
        <f t="shared" si="148"/>
        <v>12781.3</v>
      </c>
      <c r="J1622" s="63" t="s">
        <v>205</v>
      </c>
      <c r="K1622" s="63">
        <v>1</v>
      </c>
      <c r="L1622" s="63"/>
      <c r="M1622" s="63"/>
      <c r="N1622" s="63">
        <v>1</v>
      </c>
      <c r="O1622" s="63"/>
      <c r="P1622" s="63"/>
      <c r="Q1622" s="63"/>
      <c r="R1622" s="63"/>
      <c r="S1622" s="296"/>
      <c r="T1622" s="63"/>
      <c r="U1622" s="10"/>
      <c r="V1622" s="90"/>
      <c r="W1622" s="136"/>
      <c r="X1622" s="137"/>
    </row>
    <row r="1623" spans="1:24">
      <c r="A1623" s="614"/>
      <c r="B1623" s="87">
        <f t="shared" si="149"/>
        <v>3</v>
      </c>
      <c r="C1623" s="295">
        <v>45957</v>
      </c>
      <c r="D1623" s="10" t="s">
        <v>2283</v>
      </c>
      <c r="E1623" s="10" t="s">
        <v>168</v>
      </c>
      <c r="F1623" s="62">
        <v>16814</v>
      </c>
      <c r="G1623" s="62">
        <v>39.700000000000003</v>
      </c>
      <c r="H1623" s="62"/>
      <c r="I1623" s="89">
        <f t="shared" si="148"/>
        <v>16774.3</v>
      </c>
      <c r="J1623" s="63" t="s">
        <v>205</v>
      </c>
      <c r="K1623" s="63">
        <v>1</v>
      </c>
      <c r="L1623" s="63"/>
      <c r="M1623" s="63"/>
      <c r="N1623" s="63">
        <v>1</v>
      </c>
      <c r="O1623" s="63"/>
      <c r="P1623" s="63"/>
      <c r="Q1623" s="63"/>
      <c r="R1623" s="63"/>
      <c r="S1623" s="296"/>
      <c r="T1623" s="63"/>
      <c r="U1623" s="10"/>
      <c r="V1623" s="90"/>
      <c r="W1623" s="136"/>
      <c r="X1623" s="137"/>
    </row>
    <row r="1624" spans="1:24">
      <c r="A1624" s="614"/>
      <c r="B1624" s="87">
        <f t="shared" si="149"/>
        <v>4</v>
      </c>
      <c r="C1624" s="274">
        <v>45958</v>
      </c>
      <c r="D1624" s="276">
        <v>74903</v>
      </c>
      <c r="E1624" s="276" t="s">
        <v>209</v>
      </c>
      <c r="F1624" s="277">
        <v>1138</v>
      </c>
      <c r="G1624" s="277">
        <v>39.700000000000003</v>
      </c>
      <c r="H1624" s="277"/>
      <c r="I1624" s="278">
        <f t="shared" si="148"/>
        <v>1098.3</v>
      </c>
      <c r="J1624" s="279" t="s">
        <v>205</v>
      </c>
      <c r="K1624" s="279">
        <v>1</v>
      </c>
      <c r="L1624" s="279"/>
      <c r="M1624" s="279"/>
      <c r="N1624" s="279">
        <v>1</v>
      </c>
      <c r="O1624" s="279"/>
      <c r="P1624" s="279"/>
      <c r="Q1624" s="279">
        <v>1</v>
      </c>
      <c r="R1624" s="279">
        <v>1</v>
      </c>
      <c r="S1624" s="280"/>
      <c r="T1624" s="63"/>
      <c r="U1624" s="10"/>
      <c r="V1624" s="90"/>
      <c r="W1624" s="136"/>
      <c r="X1624" s="137"/>
    </row>
    <row r="1625" spans="1:24">
      <c r="A1625" s="614"/>
      <c r="B1625" s="87">
        <f t="shared" si="149"/>
        <v>5</v>
      </c>
      <c r="C1625" s="295">
        <v>45958</v>
      </c>
      <c r="D1625" s="10">
        <v>74736</v>
      </c>
      <c r="E1625" s="10" t="s">
        <v>262</v>
      </c>
      <c r="F1625" s="62">
        <v>2861</v>
      </c>
      <c r="G1625" s="62">
        <v>39.700000000000003</v>
      </c>
      <c r="H1625" s="62"/>
      <c r="I1625" s="89">
        <f t="shared" si="148"/>
        <v>2821.3</v>
      </c>
      <c r="J1625" s="63" t="s">
        <v>205</v>
      </c>
      <c r="K1625" s="63">
        <v>1</v>
      </c>
      <c r="L1625" s="63"/>
      <c r="M1625" s="63"/>
      <c r="N1625" s="63">
        <v>1</v>
      </c>
      <c r="O1625" s="63"/>
      <c r="P1625" s="63"/>
      <c r="Q1625" s="63">
        <v>1</v>
      </c>
      <c r="R1625" s="63">
        <v>1</v>
      </c>
      <c r="S1625" s="296"/>
      <c r="T1625" s="63"/>
      <c r="U1625" s="10"/>
      <c r="V1625" s="90"/>
      <c r="W1625" s="136"/>
      <c r="X1625" s="137"/>
    </row>
    <row r="1626" spans="1:24">
      <c r="A1626" s="614"/>
      <c r="B1626" s="87">
        <f t="shared" si="149"/>
        <v>6</v>
      </c>
      <c r="C1626" s="274">
        <v>45959</v>
      </c>
      <c r="D1626" s="276">
        <v>74856</v>
      </c>
      <c r="E1626" s="281" t="s">
        <v>334</v>
      </c>
      <c r="F1626" s="277">
        <v>2861</v>
      </c>
      <c r="G1626" s="277">
        <f>39.7</f>
        <v>39.700000000000003</v>
      </c>
      <c r="H1626" s="277"/>
      <c r="I1626" s="278">
        <f t="shared" si="148"/>
        <v>2821.3</v>
      </c>
      <c r="J1626" s="279" t="s">
        <v>205</v>
      </c>
      <c r="K1626" s="279">
        <v>1</v>
      </c>
      <c r="L1626" s="279"/>
      <c r="M1626" s="279"/>
      <c r="N1626" s="279">
        <v>1</v>
      </c>
      <c r="O1626" s="279">
        <v>1</v>
      </c>
      <c r="P1626" s="279"/>
      <c r="Q1626" s="279">
        <v>1</v>
      </c>
      <c r="R1626" s="279">
        <v>1</v>
      </c>
      <c r="S1626" s="280"/>
      <c r="T1626" s="63"/>
      <c r="U1626" s="10"/>
      <c r="V1626" s="90"/>
      <c r="W1626" s="136"/>
      <c r="X1626" s="137"/>
    </row>
    <row r="1627" spans="1:24">
      <c r="A1627" s="614"/>
      <c r="B1627" s="87">
        <f t="shared" si="149"/>
        <v>7</v>
      </c>
      <c r="C1627" s="295">
        <v>45959</v>
      </c>
      <c r="D1627" s="10" t="s">
        <v>2284</v>
      </c>
      <c r="E1627" s="101" t="s">
        <v>168</v>
      </c>
      <c r="F1627" s="62">
        <v>22614</v>
      </c>
      <c r="G1627" s="62">
        <v>39.700000000000003</v>
      </c>
      <c r="H1627" s="62"/>
      <c r="I1627" s="89">
        <f t="shared" ref="I1627" si="150">F1627-G1627-H1627</f>
        <v>22574.3</v>
      </c>
      <c r="J1627" s="63" t="s">
        <v>205</v>
      </c>
      <c r="K1627" s="63">
        <v>1</v>
      </c>
      <c r="L1627" s="63"/>
      <c r="M1627" s="63"/>
      <c r="N1627" s="63">
        <v>1</v>
      </c>
      <c r="O1627" s="63"/>
      <c r="P1627" s="63"/>
      <c r="Q1627" s="63"/>
      <c r="R1627" s="63"/>
      <c r="S1627" s="296"/>
      <c r="T1627" s="63"/>
      <c r="U1627" s="10"/>
      <c r="V1627" s="90"/>
      <c r="W1627" s="136"/>
      <c r="X1627" s="137"/>
    </row>
    <row r="1628" spans="1:24">
      <c r="A1628" s="614"/>
      <c r="B1628" s="87">
        <f>B1627+1</f>
        <v>8</v>
      </c>
      <c r="C1628" s="295">
        <v>45959</v>
      </c>
      <c r="D1628" s="10">
        <v>74919</v>
      </c>
      <c r="E1628" s="10" t="s">
        <v>572</v>
      </c>
      <c r="F1628" s="62">
        <v>1272.73</v>
      </c>
      <c r="G1628" s="62">
        <f>39.7</f>
        <v>39.700000000000003</v>
      </c>
      <c r="H1628" s="62"/>
      <c r="I1628" s="89">
        <f t="shared" ref="I1628" si="151">F1628-G1628-H1628</f>
        <v>1233.03</v>
      </c>
      <c r="J1628" s="63" t="s">
        <v>156</v>
      </c>
      <c r="K1628" s="63">
        <v>1</v>
      </c>
      <c r="L1628" s="63"/>
      <c r="M1628" s="63">
        <v>1</v>
      </c>
      <c r="N1628" s="63">
        <v>1</v>
      </c>
      <c r="O1628" s="63">
        <v>1</v>
      </c>
      <c r="P1628" s="63">
        <v>0</v>
      </c>
      <c r="Q1628" s="63"/>
      <c r="R1628" s="63"/>
      <c r="S1628" s="296"/>
      <c r="T1628" s="63"/>
      <c r="U1628" s="94" t="s">
        <v>2285</v>
      </c>
      <c r="V1628" s="90">
        <f>140</f>
        <v>140</v>
      </c>
      <c r="W1628" s="136"/>
      <c r="X1628" s="137"/>
    </row>
    <row r="1629" spans="1:24">
      <c r="A1629" s="614"/>
      <c r="B1629" s="87">
        <f>B1628+1</f>
        <v>9</v>
      </c>
      <c r="C1629" s="295">
        <v>45959</v>
      </c>
      <c r="D1629" s="10">
        <v>74933</v>
      </c>
      <c r="E1629" s="101" t="s">
        <v>572</v>
      </c>
      <c r="F1629" s="62">
        <v>1861</v>
      </c>
      <c r="G1629" s="62">
        <v>39.700000000000003</v>
      </c>
      <c r="H1629" s="62"/>
      <c r="I1629" s="89">
        <f t="shared" si="148"/>
        <v>1821.3</v>
      </c>
      <c r="J1629" s="63" t="s">
        <v>205</v>
      </c>
      <c r="K1629" s="63">
        <v>1</v>
      </c>
      <c r="L1629" s="63"/>
      <c r="M1629" s="63"/>
      <c r="N1629" s="63">
        <v>1</v>
      </c>
      <c r="O1629" s="63">
        <v>1</v>
      </c>
      <c r="P1629" s="63"/>
      <c r="Q1629" s="63">
        <v>1</v>
      </c>
      <c r="R1629" s="63">
        <v>1</v>
      </c>
      <c r="S1629" s="296"/>
      <c r="T1629" s="63"/>
      <c r="U1629" s="10"/>
      <c r="V1629" s="90"/>
      <c r="W1629" s="136"/>
      <c r="X1629" s="137"/>
    </row>
    <row r="1630" spans="1:24">
      <c r="A1630" s="614"/>
      <c r="B1630" s="87">
        <f t="shared" si="149"/>
        <v>10</v>
      </c>
      <c r="C1630" s="274">
        <v>45960</v>
      </c>
      <c r="D1630" s="275">
        <v>74823</v>
      </c>
      <c r="E1630" s="281" t="s">
        <v>2132</v>
      </c>
      <c r="F1630" s="277">
        <v>1261</v>
      </c>
      <c r="G1630" s="277">
        <v>39.700000000000003</v>
      </c>
      <c r="H1630" s="277"/>
      <c r="I1630" s="278">
        <f t="shared" si="148"/>
        <v>1221.3</v>
      </c>
      <c r="J1630" s="279" t="s">
        <v>205</v>
      </c>
      <c r="K1630" s="279">
        <v>1</v>
      </c>
      <c r="L1630" s="279"/>
      <c r="M1630" s="279"/>
      <c r="N1630" s="279">
        <v>1</v>
      </c>
      <c r="O1630" s="279"/>
      <c r="P1630" s="279"/>
      <c r="Q1630" s="279">
        <v>1</v>
      </c>
      <c r="R1630" s="279">
        <v>1</v>
      </c>
      <c r="S1630" s="280"/>
      <c r="T1630" s="63"/>
      <c r="U1630" s="10"/>
      <c r="V1630" s="90"/>
      <c r="W1630" s="136"/>
      <c r="X1630" s="137"/>
    </row>
    <row r="1631" spans="1:24">
      <c r="A1631" s="614"/>
      <c r="B1631" s="87">
        <f t="shared" si="149"/>
        <v>11</v>
      </c>
      <c r="C1631" s="295">
        <v>45960</v>
      </c>
      <c r="D1631" s="77">
        <v>74928</v>
      </c>
      <c r="E1631" s="101" t="s">
        <v>155</v>
      </c>
      <c r="F1631" s="62">
        <v>681</v>
      </c>
      <c r="G1631" s="62"/>
      <c r="H1631" s="62"/>
      <c r="I1631" s="89">
        <f t="shared" si="148"/>
        <v>681</v>
      </c>
      <c r="J1631" s="63" t="s">
        <v>205</v>
      </c>
      <c r="K1631" s="63">
        <v>1</v>
      </c>
      <c r="L1631" s="63"/>
      <c r="M1631" s="63"/>
      <c r="N1631" s="63">
        <v>1</v>
      </c>
      <c r="O1631" s="63"/>
      <c r="P1631" s="63"/>
      <c r="Q1631" s="63">
        <v>1</v>
      </c>
      <c r="R1631" s="63">
        <v>1</v>
      </c>
      <c r="S1631" s="296"/>
      <c r="T1631" s="63"/>
      <c r="U1631" s="10"/>
      <c r="V1631" s="90"/>
      <c r="W1631" s="136"/>
      <c r="X1631" s="137"/>
    </row>
    <row r="1632" spans="1:24">
      <c r="A1632" s="614"/>
      <c r="B1632" s="87">
        <f t="shared" si="149"/>
        <v>12</v>
      </c>
      <c r="C1632" s="295">
        <v>45960</v>
      </c>
      <c r="D1632" s="77">
        <v>74941</v>
      </c>
      <c r="E1632" s="101" t="s">
        <v>512</v>
      </c>
      <c r="F1632" s="62">
        <v>681</v>
      </c>
      <c r="G1632" s="62"/>
      <c r="H1632" s="62"/>
      <c r="I1632" s="89">
        <f t="shared" si="148"/>
        <v>681</v>
      </c>
      <c r="J1632" s="63" t="s">
        <v>205</v>
      </c>
      <c r="K1632" s="63">
        <v>1</v>
      </c>
      <c r="L1632" s="63"/>
      <c r="M1632" s="63"/>
      <c r="N1632" s="63">
        <v>1</v>
      </c>
      <c r="O1632" s="63"/>
      <c r="P1632" s="63"/>
      <c r="Q1632" s="63">
        <v>1</v>
      </c>
      <c r="R1632" s="63">
        <v>1</v>
      </c>
      <c r="S1632" s="296"/>
      <c r="T1632" s="63"/>
      <c r="U1632" s="10"/>
      <c r="V1632" s="90"/>
      <c r="W1632" s="136"/>
      <c r="X1632" s="137"/>
    </row>
    <row r="1633" spans="1:24">
      <c r="A1633" s="614"/>
      <c r="B1633" s="87">
        <f t="shared" si="149"/>
        <v>13</v>
      </c>
      <c r="C1633" s="295">
        <v>45960</v>
      </c>
      <c r="D1633" s="77" t="s">
        <v>2286</v>
      </c>
      <c r="E1633" s="10" t="s">
        <v>155</v>
      </c>
      <c r="F1633" s="62">
        <v>2861</v>
      </c>
      <c r="G1633" s="62">
        <v>39.700000000000003</v>
      </c>
      <c r="H1633" s="62"/>
      <c r="I1633" s="89">
        <f t="shared" si="148"/>
        <v>2821.3</v>
      </c>
      <c r="J1633" s="63" t="s">
        <v>205</v>
      </c>
      <c r="K1633" s="63">
        <v>1</v>
      </c>
      <c r="L1633" s="63"/>
      <c r="M1633" s="63"/>
      <c r="N1633" s="63">
        <v>1</v>
      </c>
      <c r="O1633" s="63"/>
      <c r="P1633" s="63"/>
      <c r="Q1633" s="63"/>
      <c r="R1633" s="63"/>
      <c r="S1633" s="296"/>
      <c r="T1633" s="63"/>
      <c r="U1633" s="10"/>
      <c r="V1633" s="90"/>
      <c r="W1633" s="136"/>
      <c r="X1633" s="137"/>
    </row>
    <row r="1634" spans="1:24">
      <c r="A1634" s="614"/>
      <c r="B1634" s="87">
        <f t="shared" si="149"/>
        <v>14</v>
      </c>
      <c r="C1634" s="295">
        <v>45960</v>
      </c>
      <c r="D1634" s="77">
        <v>74968</v>
      </c>
      <c r="E1634" s="10" t="s">
        <v>572</v>
      </c>
      <c r="F1634" s="62">
        <v>1995</v>
      </c>
      <c r="G1634" s="62">
        <v>39.700000000000003</v>
      </c>
      <c r="H1634" s="62"/>
      <c r="I1634" s="89">
        <f t="shared" si="148"/>
        <v>1955.3</v>
      </c>
      <c r="J1634" s="63" t="s">
        <v>205</v>
      </c>
      <c r="K1634" s="63">
        <v>1</v>
      </c>
      <c r="L1634" s="63"/>
      <c r="M1634" s="63"/>
      <c r="N1634" s="63">
        <v>1</v>
      </c>
      <c r="O1634" s="63"/>
      <c r="P1634" s="63"/>
      <c r="Q1634" s="63"/>
      <c r="R1634" s="63"/>
      <c r="S1634" s="296"/>
      <c r="T1634" s="63"/>
      <c r="U1634" s="10"/>
      <c r="V1634" s="90"/>
      <c r="W1634" s="136"/>
      <c r="X1634" s="137"/>
    </row>
    <row r="1635" spans="1:24">
      <c r="A1635" s="614"/>
      <c r="B1635" s="87">
        <f>B1634+1</f>
        <v>15</v>
      </c>
      <c r="C1635" s="282">
        <v>45960</v>
      </c>
      <c r="D1635" s="283">
        <v>74520</v>
      </c>
      <c r="E1635" s="283" t="s">
        <v>456</v>
      </c>
      <c r="F1635" s="284">
        <v>1861</v>
      </c>
      <c r="G1635" s="284">
        <f>39.7+550</f>
        <v>589.70000000000005</v>
      </c>
      <c r="H1635" s="284"/>
      <c r="I1635" s="285">
        <f>F1635-G1635-H1635</f>
        <v>1271.3</v>
      </c>
      <c r="J1635" s="286" t="s">
        <v>156</v>
      </c>
      <c r="K1635" s="286">
        <v>1</v>
      </c>
      <c r="L1635" s="286"/>
      <c r="M1635" s="286">
        <v>1</v>
      </c>
      <c r="N1635" s="286">
        <v>1</v>
      </c>
      <c r="O1635" s="286">
        <v>1</v>
      </c>
      <c r="P1635" s="286">
        <v>0</v>
      </c>
      <c r="Q1635" s="286"/>
      <c r="R1635" s="286"/>
      <c r="S1635" s="287"/>
      <c r="T1635" s="63"/>
      <c r="U1635" s="94" t="s">
        <v>2287</v>
      </c>
      <c r="V1635" s="90">
        <f>200</f>
        <v>200</v>
      </c>
      <c r="W1635" s="136"/>
      <c r="X1635" s="137"/>
    </row>
    <row r="1636" spans="1:24">
      <c r="A1636" s="614"/>
      <c r="B1636" s="87">
        <f>B1635+1</f>
        <v>16</v>
      </c>
      <c r="C1636" s="295">
        <v>45961</v>
      </c>
      <c r="D1636" s="77">
        <v>74983</v>
      </c>
      <c r="E1636" s="10" t="s">
        <v>671</v>
      </c>
      <c r="F1636" s="62">
        <v>1458</v>
      </c>
      <c r="G1636" s="62">
        <v>39.700000000000003</v>
      </c>
      <c r="H1636" s="62"/>
      <c r="I1636" s="89">
        <f t="shared" si="148"/>
        <v>1418.3</v>
      </c>
      <c r="J1636" s="63" t="s">
        <v>205</v>
      </c>
      <c r="K1636" s="63">
        <v>1</v>
      </c>
      <c r="L1636" s="63"/>
      <c r="M1636" s="63"/>
      <c r="N1636" s="63">
        <v>1</v>
      </c>
      <c r="O1636" s="63"/>
      <c r="P1636" s="63"/>
      <c r="Q1636" s="63">
        <v>1</v>
      </c>
      <c r="R1636" s="63">
        <v>1</v>
      </c>
      <c r="S1636" s="296"/>
      <c r="T1636" s="63"/>
      <c r="U1636" s="10"/>
      <c r="V1636" s="90"/>
      <c r="W1636" s="136"/>
      <c r="X1636" s="137"/>
    </row>
    <row r="1637" spans="1:24">
      <c r="A1637" s="614"/>
      <c r="B1637" s="87">
        <f t="shared" si="149"/>
        <v>17</v>
      </c>
      <c r="C1637" s="295">
        <v>45961</v>
      </c>
      <c r="D1637" s="77">
        <v>75026</v>
      </c>
      <c r="E1637" s="10" t="s">
        <v>158</v>
      </c>
      <c r="F1637" s="62">
        <v>2413</v>
      </c>
      <c r="G1637" s="62">
        <v>39.700000000000003</v>
      </c>
      <c r="H1637" s="62"/>
      <c r="I1637" s="89">
        <f t="shared" si="148"/>
        <v>2373.3000000000002</v>
      </c>
      <c r="J1637" s="63" t="s">
        <v>205</v>
      </c>
      <c r="K1637" s="63">
        <v>1</v>
      </c>
      <c r="L1637" s="63"/>
      <c r="M1637" s="63"/>
      <c r="N1637" s="63">
        <v>1</v>
      </c>
      <c r="O1637" s="63"/>
      <c r="P1637" s="63"/>
      <c r="Q1637" s="63"/>
      <c r="R1637" s="63"/>
      <c r="S1637" s="296"/>
      <c r="T1637" s="63"/>
      <c r="U1637" s="10"/>
      <c r="V1637" s="90"/>
      <c r="W1637" s="136"/>
      <c r="X1637" s="137"/>
    </row>
    <row r="1638" spans="1:24">
      <c r="A1638" s="614"/>
      <c r="B1638" s="87">
        <f t="shared" si="149"/>
        <v>18</v>
      </c>
      <c r="C1638" s="295">
        <v>45961</v>
      </c>
      <c r="D1638" s="77">
        <v>75042</v>
      </c>
      <c r="E1638" s="10" t="s">
        <v>572</v>
      </c>
      <c r="F1638" s="62">
        <v>2967</v>
      </c>
      <c r="G1638" s="62">
        <v>39.700000000000003</v>
      </c>
      <c r="H1638" s="62"/>
      <c r="I1638" s="89">
        <f t="shared" si="148"/>
        <v>2927.3</v>
      </c>
      <c r="J1638" s="63" t="s">
        <v>205</v>
      </c>
      <c r="K1638" s="63">
        <v>1</v>
      </c>
      <c r="L1638" s="63"/>
      <c r="M1638" s="63"/>
      <c r="N1638" s="63">
        <v>1</v>
      </c>
      <c r="O1638" s="63"/>
      <c r="P1638" s="63"/>
      <c r="Q1638" s="63">
        <v>1</v>
      </c>
      <c r="R1638" s="63">
        <v>1</v>
      </c>
      <c r="S1638" s="296"/>
      <c r="T1638" s="63"/>
      <c r="U1638" s="10"/>
      <c r="V1638" s="90"/>
      <c r="W1638" s="136"/>
      <c r="X1638" s="137"/>
    </row>
    <row r="1639" spans="1:24">
      <c r="A1639" s="614"/>
      <c r="B1639" s="87">
        <f t="shared" si="149"/>
        <v>19</v>
      </c>
      <c r="C1639" s="282">
        <v>45961</v>
      </c>
      <c r="D1639" s="302" t="s">
        <v>2288</v>
      </c>
      <c r="E1639" s="283" t="s">
        <v>444</v>
      </c>
      <c r="F1639" s="284">
        <v>1138</v>
      </c>
      <c r="G1639" s="284">
        <v>39.700000000000003</v>
      </c>
      <c r="H1639" s="284"/>
      <c r="I1639" s="285">
        <f t="shared" si="148"/>
        <v>1098.3</v>
      </c>
      <c r="J1639" s="286" t="s">
        <v>205</v>
      </c>
      <c r="K1639" s="286">
        <v>1</v>
      </c>
      <c r="L1639" s="286"/>
      <c r="M1639" s="286"/>
      <c r="N1639" s="286">
        <v>1</v>
      </c>
      <c r="O1639" s="286"/>
      <c r="P1639" s="286"/>
      <c r="Q1639" s="286"/>
      <c r="R1639" s="286"/>
      <c r="S1639" s="287"/>
      <c r="T1639" s="63"/>
      <c r="U1639" s="10"/>
      <c r="V1639" s="90"/>
      <c r="W1639" s="136"/>
      <c r="X1639" s="137"/>
    </row>
    <row r="1640" spans="1:24">
      <c r="A1640" s="614"/>
      <c r="B1640" s="11"/>
      <c r="C1640" s="36"/>
      <c r="D1640" s="10"/>
      <c r="E1640" s="10"/>
      <c r="F1640" s="97">
        <f>SUM(F1621:F1639)</f>
        <v>97719.73</v>
      </c>
      <c r="G1640" s="97">
        <f>SUM(G1621:G1639)</f>
        <v>1224.9000000000001</v>
      </c>
      <c r="H1640" s="97">
        <f>SUM(H1621:H1639)</f>
        <v>0</v>
      </c>
      <c r="I1640" s="98">
        <f>SUM(I1621:I1639)</f>
        <v>96494.830000000031</v>
      </c>
      <c r="J1640" s="10"/>
      <c r="K1640" s="10"/>
      <c r="L1640" s="10"/>
      <c r="M1640" s="10"/>
      <c r="N1640" s="10"/>
      <c r="O1640" s="10"/>
      <c r="P1640" s="10"/>
      <c r="Q1640" s="10"/>
      <c r="R1640" s="10"/>
      <c r="S1640" s="10"/>
      <c r="T1640" s="63"/>
      <c r="U1640" s="10"/>
      <c r="V1640" s="138"/>
      <c r="W1640" s="136"/>
      <c r="X1640" s="137"/>
    </row>
    <row r="1641" spans="1:24">
      <c r="A1641" s="614"/>
      <c r="B1641" s="11"/>
      <c r="C1641" s="36"/>
      <c r="D1641" s="10"/>
      <c r="E1641" s="10"/>
      <c r="F1641" s="88"/>
      <c r="G1641" s="88"/>
      <c r="H1641" s="88"/>
      <c r="I1641" s="99"/>
      <c r="J1641" s="10"/>
      <c r="K1641" s="10"/>
      <c r="L1641" s="10"/>
      <c r="M1641" s="10"/>
      <c r="N1641" s="10"/>
      <c r="O1641" s="10"/>
      <c r="P1641" s="10"/>
      <c r="Q1641" s="10"/>
      <c r="R1641" s="10"/>
      <c r="S1641" s="10"/>
      <c r="T1641" s="63"/>
      <c r="U1641" s="10"/>
      <c r="V1641" s="138"/>
      <c r="W1641" s="136"/>
      <c r="X1641" s="137"/>
    </row>
    <row r="1642" spans="1:24">
      <c r="A1642" s="614"/>
      <c r="B1642" s="100" t="s">
        <v>73</v>
      </c>
      <c r="C1642" s="36"/>
      <c r="D1642" s="10"/>
      <c r="E1642" s="10"/>
      <c r="F1642" s="88"/>
      <c r="G1642" s="88"/>
      <c r="H1642" s="88"/>
      <c r="I1642" s="99"/>
      <c r="J1642" s="63"/>
      <c r="K1642" s="63"/>
      <c r="L1642" s="63"/>
      <c r="M1642" s="63"/>
      <c r="N1642" s="63"/>
      <c r="O1642" s="63"/>
      <c r="P1642" s="63"/>
      <c r="Q1642" s="63"/>
      <c r="R1642" s="63"/>
      <c r="S1642" s="63"/>
      <c r="T1642" s="63"/>
      <c r="U1642" s="94"/>
      <c r="V1642" s="90"/>
      <c r="W1642" s="91"/>
      <c r="X1642" s="92"/>
    </row>
    <row r="1643" spans="1:24">
      <c r="A1643" s="614"/>
      <c r="B1643" s="87">
        <v>1</v>
      </c>
      <c r="C1643" s="274">
        <v>45962</v>
      </c>
      <c r="D1643" s="276" t="s">
        <v>2289</v>
      </c>
      <c r="E1643" s="281" t="s">
        <v>1538</v>
      </c>
      <c r="F1643" s="277">
        <v>1475</v>
      </c>
      <c r="G1643" s="277">
        <f>39.7</f>
        <v>39.700000000000003</v>
      </c>
      <c r="H1643" s="277"/>
      <c r="I1643" s="278">
        <f t="shared" ref="I1643:I1644" si="152">F1643-G1643-H1643</f>
        <v>1435.3</v>
      </c>
      <c r="J1643" s="279" t="s">
        <v>205</v>
      </c>
      <c r="K1643" s="279">
        <v>1</v>
      </c>
      <c r="L1643" s="279"/>
      <c r="M1643" s="279"/>
      <c r="N1643" s="279">
        <v>1</v>
      </c>
      <c r="O1643" s="279"/>
      <c r="P1643" s="279"/>
      <c r="Q1643" s="279"/>
      <c r="R1643" s="279"/>
      <c r="S1643" s="280"/>
      <c r="T1643" s="63"/>
      <c r="U1643" s="139"/>
      <c r="V1643" s="90"/>
      <c r="W1643" s="91"/>
      <c r="X1643" s="92"/>
    </row>
    <row r="1644" spans="1:24">
      <c r="A1644" s="614"/>
      <c r="B1644" s="87">
        <f>B1643+1</f>
        <v>2</v>
      </c>
      <c r="C1644" s="282">
        <v>45962</v>
      </c>
      <c r="D1644" s="283">
        <v>75050</v>
      </c>
      <c r="E1644" s="283" t="s">
        <v>155</v>
      </c>
      <c r="F1644" s="284">
        <v>6158</v>
      </c>
      <c r="G1644" s="284">
        <v>39.700000000000003</v>
      </c>
      <c r="H1644" s="284"/>
      <c r="I1644" s="285">
        <f t="shared" si="152"/>
        <v>6118.3</v>
      </c>
      <c r="J1644" s="286" t="s">
        <v>156</v>
      </c>
      <c r="K1644" s="286">
        <v>1</v>
      </c>
      <c r="L1644" s="286"/>
      <c r="M1644" s="286">
        <v>1</v>
      </c>
      <c r="N1644" s="286">
        <v>1</v>
      </c>
      <c r="O1644" s="286"/>
      <c r="P1644" s="286"/>
      <c r="Q1644" s="286"/>
      <c r="R1644" s="286"/>
      <c r="S1644" s="287"/>
      <c r="T1644" s="63"/>
      <c r="U1644" s="94"/>
      <c r="V1644" s="90">
        <v>93.5</v>
      </c>
      <c r="W1644" s="136"/>
      <c r="X1644" s="137"/>
    </row>
    <row r="1645" spans="1:24">
      <c r="A1645" s="614"/>
      <c r="B1645" s="11"/>
      <c r="C1645" s="609"/>
      <c r="D1645" s="10"/>
      <c r="E1645" s="10"/>
      <c r="F1645" s="97">
        <f>SUM(F1643:F1644)</f>
        <v>7633</v>
      </c>
      <c r="G1645" s="97">
        <f>SUM(G1643:G1644)</f>
        <v>79.400000000000006</v>
      </c>
      <c r="H1645" s="97">
        <f>SUM(H1643:H1644)</f>
        <v>0</v>
      </c>
      <c r="I1645" s="98">
        <f>SUM(I1643:I1644)</f>
        <v>7553.6</v>
      </c>
      <c r="J1645" s="10"/>
      <c r="K1645" s="10"/>
      <c r="L1645" s="10"/>
      <c r="M1645" s="10"/>
      <c r="N1645" s="10"/>
      <c r="O1645" s="10"/>
      <c r="P1645" s="10"/>
      <c r="Q1645" s="10"/>
      <c r="R1645" s="10"/>
      <c r="S1645" s="10"/>
      <c r="T1645" s="63"/>
      <c r="U1645" s="94"/>
      <c r="V1645" s="90"/>
      <c r="W1645" s="91"/>
      <c r="X1645" s="92"/>
    </row>
    <row r="1646" spans="1:24">
      <c r="A1646" s="614"/>
      <c r="B1646" s="26"/>
      <c r="C1646" s="612"/>
      <c r="D1646" s="141"/>
      <c r="E1646" s="141"/>
      <c r="F1646" s="141"/>
      <c r="G1646" s="141"/>
      <c r="H1646" s="141"/>
      <c r="I1646" s="141"/>
      <c r="J1646" s="141"/>
      <c r="K1646" s="142"/>
      <c r="L1646" s="142"/>
      <c r="M1646" s="142"/>
      <c r="N1646" s="142"/>
      <c r="O1646" s="142"/>
      <c r="P1646" s="142"/>
      <c r="Q1646" s="142"/>
      <c r="R1646" s="142"/>
      <c r="S1646" s="142"/>
      <c r="T1646" s="143">
        <f>SUM(T1543:T1645)</f>
        <v>7</v>
      </c>
      <c r="U1646" s="141"/>
      <c r="V1646" s="144">
        <f>SUM(V1543:V1645)</f>
        <v>42042.579999999994</v>
      </c>
      <c r="W1646" s="144">
        <f t="shared" ref="W1646:X1646" si="153">SUM(W1543:W1645)</f>
        <v>0</v>
      </c>
      <c r="X1646" s="144">
        <f t="shared" si="153"/>
        <v>0</v>
      </c>
    </row>
    <row r="1649" spans="2:25">
      <c r="B1649" s="4" t="s">
        <v>1</v>
      </c>
      <c r="C1649" s="5"/>
      <c r="D1649" s="6"/>
      <c r="E1649" s="6"/>
      <c r="F1649" s="7" t="s">
        <v>2</v>
      </c>
      <c r="G1649" s="608">
        <v>45970</v>
      </c>
      <c r="H1649" s="7"/>
      <c r="I1649" s="6"/>
      <c r="J1649" s="6"/>
      <c r="K1649" s="6"/>
      <c r="L1649" s="6"/>
      <c r="M1649" s="6"/>
      <c r="N1649" s="6"/>
      <c r="O1649" s="6"/>
      <c r="P1649" s="6"/>
      <c r="Q1649" s="6"/>
      <c r="R1649" s="6"/>
      <c r="S1649" s="6"/>
      <c r="T1649" s="6"/>
      <c r="U1649" s="9"/>
      <c r="V1649" s="10"/>
      <c r="W1649" s="10"/>
      <c r="X1649" s="10"/>
      <c r="Y1649" s="2"/>
    </row>
    <row r="1650" spans="2:25">
      <c r="B1650" s="11"/>
      <c r="C1650" s="10"/>
      <c r="D1650" s="10"/>
      <c r="E1650" s="10"/>
      <c r="F1650" s="10"/>
      <c r="G1650" s="7"/>
      <c r="H1650" s="12"/>
      <c r="I1650" s="10"/>
      <c r="J1650" s="10"/>
      <c r="K1650" s="13" t="s">
        <v>3</v>
      </c>
      <c r="L1650" s="14"/>
      <c r="M1650" s="15"/>
      <c r="N1650" s="13" t="s">
        <v>4</v>
      </c>
      <c r="O1650" s="14"/>
      <c r="P1650" s="15"/>
      <c r="Q1650" s="13" t="s">
        <v>5</v>
      </c>
      <c r="R1650" s="14"/>
      <c r="S1650" s="15"/>
      <c r="T1650" s="16"/>
      <c r="U1650" s="17"/>
      <c r="V1650" s="10"/>
      <c r="W1650" s="10"/>
      <c r="X1650" s="10"/>
      <c r="Y1650" s="2"/>
    </row>
    <row r="1651" spans="2:25">
      <c r="B1651" s="18" t="s">
        <v>6</v>
      </c>
      <c r="C1651" s="19">
        <f>C1652+C1653</f>
        <v>10</v>
      </c>
      <c r="D1651" s="10"/>
      <c r="E1651" s="18" t="s">
        <v>7</v>
      </c>
      <c r="F1651" s="6"/>
      <c r="G1651" s="9"/>
      <c r="H1651" s="10"/>
      <c r="I1651" s="10"/>
      <c r="J1651" s="10"/>
      <c r="K1651" s="20" t="s">
        <v>8</v>
      </c>
      <c r="L1651" s="21" t="s">
        <v>9</v>
      </c>
      <c r="M1651" s="21" t="s">
        <v>10</v>
      </c>
      <c r="N1651" s="20" t="s">
        <v>11</v>
      </c>
      <c r="O1651" s="21" t="s">
        <v>12</v>
      </c>
      <c r="P1651" s="22" t="s">
        <v>13</v>
      </c>
      <c r="Q1651" s="21" t="s">
        <v>11</v>
      </c>
      <c r="R1651" s="21" t="s">
        <v>12</v>
      </c>
      <c r="S1651" s="22" t="s">
        <v>13</v>
      </c>
      <c r="T1651" s="23" t="s">
        <v>14</v>
      </c>
      <c r="U1651" s="17"/>
      <c r="V1651" s="10"/>
      <c r="W1651" s="10"/>
      <c r="X1651" s="10"/>
      <c r="Y1651" s="2"/>
    </row>
    <row r="1652" spans="2:25">
      <c r="B1652" s="24" t="s">
        <v>15</v>
      </c>
      <c r="C1652" s="25">
        <f>P1659</f>
        <v>2</v>
      </c>
      <c r="D1652" s="10"/>
      <c r="E1652" s="26" t="s">
        <v>16</v>
      </c>
      <c r="F1652" s="27">
        <v>0.05</v>
      </c>
      <c r="G1652" s="28"/>
      <c r="H1652" s="10"/>
      <c r="I1652" s="10"/>
      <c r="J1652" s="18" t="s">
        <v>17</v>
      </c>
      <c r="K1652" s="29">
        <f>K1693</f>
        <v>1</v>
      </c>
      <c r="L1652" s="29">
        <f t="shared" ref="L1652:S1652" si="154">L1693</f>
        <v>1</v>
      </c>
      <c r="M1652" s="29">
        <f t="shared" si="154"/>
        <v>1</v>
      </c>
      <c r="N1652" s="29">
        <f t="shared" si="154"/>
        <v>1</v>
      </c>
      <c r="O1652" s="29">
        <f t="shared" si="154"/>
        <v>1</v>
      </c>
      <c r="P1652" s="29">
        <f t="shared" si="154"/>
        <v>0</v>
      </c>
      <c r="Q1652" s="29">
        <f t="shared" si="154"/>
        <v>1</v>
      </c>
      <c r="R1652" s="29">
        <f t="shared" si="154"/>
        <v>1</v>
      </c>
      <c r="S1652" s="29">
        <f t="shared" si="154"/>
        <v>1</v>
      </c>
      <c r="T1652" s="30">
        <f>T1790</f>
        <v>0</v>
      </c>
      <c r="U1652" s="17"/>
      <c r="V1652" s="10"/>
      <c r="W1652" s="10"/>
      <c r="X1652" s="10"/>
      <c r="Y1652" s="2"/>
    </row>
    <row r="1653" spans="2:25">
      <c r="B1653" s="24" t="s">
        <v>18</v>
      </c>
      <c r="C1653" s="25">
        <f>P1660</f>
        <v>8</v>
      </c>
      <c r="D1653" s="10"/>
      <c r="E1653" s="10"/>
      <c r="F1653" s="10"/>
      <c r="G1653" s="31"/>
      <c r="H1653" s="10"/>
      <c r="I1653" s="10"/>
      <c r="J1653" s="32" t="s">
        <v>19</v>
      </c>
      <c r="K1653" s="33">
        <f>K1693/K1692</f>
        <v>1</v>
      </c>
      <c r="L1653" s="33">
        <f t="shared" ref="L1653:S1653" si="155">L1693/L1692</f>
        <v>1</v>
      </c>
      <c r="M1653" s="33">
        <f t="shared" si="155"/>
        <v>1</v>
      </c>
      <c r="N1653" s="33">
        <f t="shared" si="155"/>
        <v>1</v>
      </c>
      <c r="O1653" s="33">
        <f t="shared" si="155"/>
        <v>1</v>
      </c>
      <c r="P1653" s="33">
        <f t="shared" si="155"/>
        <v>0</v>
      </c>
      <c r="Q1653" s="33">
        <f t="shared" si="155"/>
        <v>1</v>
      </c>
      <c r="R1653" s="33">
        <f t="shared" si="155"/>
        <v>1</v>
      </c>
      <c r="S1653" s="33">
        <f t="shared" si="155"/>
        <v>1</v>
      </c>
      <c r="T1653" s="23"/>
      <c r="U1653" s="17" t="s">
        <v>20</v>
      </c>
      <c r="V1653" s="10"/>
      <c r="W1653" s="10"/>
      <c r="X1653" s="10"/>
      <c r="Y1653" s="2"/>
    </row>
    <row r="1654" spans="2:25">
      <c r="B1654" s="24" t="s">
        <v>21</v>
      </c>
      <c r="C1654" s="34">
        <f>P1661</f>
        <v>0.2</v>
      </c>
      <c r="D1654" s="10"/>
      <c r="E1654" s="10"/>
      <c r="F1654" s="10"/>
      <c r="G1654" s="10"/>
      <c r="H1654" s="10"/>
      <c r="I1654" s="10"/>
      <c r="J1654" s="10"/>
      <c r="K1654" s="10"/>
      <c r="L1654" s="10"/>
      <c r="M1654" s="10"/>
      <c r="N1654" s="10"/>
      <c r="O1654" s="10"/>
      <c r="P1654" s="10"/>
      <c r="Q1654" s="10"/>
      <c r="R1654" s="10"/>
      <c r="S1654" s="10"/>
      <c r="T1654" s="10"/>
      <c r="U1654" s="17"/>
      <c r="V1654" s="10"/>
      <c r="W1654" s="10"/>
      <c r="X1654" s="10"/>
      <c r="Y1654" s="2"/>
    </row>
    <row r="1655" spans="2:25">
      <c r="B1655" s="24"/>
      <c r="C1655" s="25"/>
      <c r="D1655" s="10"/>
      <c r="E1655" s="10"/>
      <c r="F1655" s="18" t="s">
        <v>22</v>
      </c>
      <c r="G1655" s="19" t="s">
        <v>23</v>
      </c>
      <c r="H1655" s="35" t="s">
        <v>24</v>
      </c>
      <c r="I1655" s="10"/>
      <c r="J1655" s="10"/>
      <c r="K1655" s="36"/>
      <c r="L1655" s="36"/>
      <c r="M1655" s="36"/>
      <c r="N1655" s="36"/>
      <c r="O1655" s="36"/>
      <c r="P1655" s="36"/>
      <c r="Q1655" s="36"/>
      <c r="R1655" s="10"/>
      <c r="S1655" s="10"/>
      <c r="T1655" s="10"/>
      <c r="U1655" s="17"/>
      <c r="V1655" s="10"/>
      <c r="W1655" s="10"/>
      <c r="X1655" s="10"/>
      <c r="Y1655" s="2"/>
    </row>
    <row r="1656" spans="2:25">
      <c r="B1656" s="32" t="s">
        <v>25</v>
      </c>
      <c r="C1656" s="37">
        <f>P1662</f>
        <v>1410.8</v>
      </c>
      <c r="D1656" s="10"/>
      <c r="E1656" s="18" t="s">
        <v>26</v>
      </c>
      <c r="F1656" s="38">
        <f>P1658</f>
        <v>2821.6</v>
      </c>
      <c r="G1656" s="39">
        <f>I1692+I1726+I1748</f>
        <v>2821.6</v>
      </c>
      <c r="H1656" s="40"/>
      <c r="I1656" s="41"/>
      <c r="J1656" s="42"/>
      <c r="K1656" s="43" t="s">
        <v>27</v>
      </c>
      <c r="L1656" s="44"/>
      <c r="M1656" s="44"/>
      <c r="N1656" s="44"/>
      <c r="O1656" s="44"/>
      <c r="P1656" s="44"/>
      <c r="Q1656" s="45"/>
      <c r="R1656" s="46" t="s">
        <v>28</v>
      </c>
      <c r="S1656" s="47" t="s">
        <v>29</v>
      </c>
      <c r="T1656" s="10"/>
      <c r="U1656" s="17"/>
      <c r="V1656" s="10"/>
      <c r="W1656" s="10"/>
      <c r="X1656" s="10"/>
      <c r="Y1656" s="2"/>
    </row>
    <row r="1657" spans="2:25">
      <c r="B1657" s="11"/>
      <c r="C1657" s="10"/>
      <c r="D1657" s="10"/>
      <c r="E1657" s="24" t="s">
        <v>30</v>
      </c>
      <c r="F1657" s="48">
        <f>F1652</f>
        <v>0.05</v>
      </c>
      <c r="G1657" s="17"/>
      <c r="H1657" s="40"/>
      <c r="I1657" s="41"/>
      <c r="J1657" s="42"/>
      <c r="K1657" s="20" t="s">
        <v>31</v>
      </c>
      <c r="L1657" s="21" t="s">
        <v>32</v>
      </c>
      <c r="M1657" s="21" t="s">
        <v>33</v>
      </c>
      <c r="N1657" s="21" t="s">
        <v>34</v>
      </c>
      <c r="O1657" s="21" t="s">
        <v>35</v>
      </c>
      <c r="P1657" s="21" t="s">
        <v>36</v>
      </c>
      <c r="Q1657" s="49" t="s">
        <v>37</v>
      </c>
      <c r="R1657" s="50" t="s">
        <v>38</v>
      </c>
      <c r="S1657" s="50" t="s">
        <v>38</v>
      </c>
      <c r="T1657" s="10"/>
      <c r="U1657" s="17"/>
      <c r="V1657" s="10"/>
      <c r="W1657" s="10"/>
      <c r="X1657" s="10"/>
      <c r="Y1657" s="2"/>
    </row>
    <row r="1658" spans="2:25">
      <c r="B1658" s="11"/>
      <c r="C1658" s="10"/>
      <c r="D1658" s="10"/>
      <c r="E1658" s="51" t="s">
        <v>39</v>
      </c>
      <c r="F1658" s="52">
        <f>F1656*F1657</f>
        <v>141.08000000000001</v>
      </c>
      <c r="G1658" s="53" t="s">
        <v>40</v>
      </c>
      <c r="H1658" s="54">
        <f>F1658/1.12</f>
        <v>125.96428571428571</v>
      </c>
      <c r="I1658" s="55"/>
      <c r="J1658" s="42"/>
      <c r="K1658" s="56">
        <f>I1676+I1740</f>
        <v>2821.6</v>
      </c>
      <c r="L1658" s="57"/>
      <c r="M1658" s="57"/>
      <c r="N1658" s="57"/>
      <c r="O1658" s="57"/>
      <c r="P1658" s="57">
        <f>SUM(K1658:O1658)</f>
        <v>2821.6</v>
      </c>
      <c r="Q1658" s="58">
        <v>0</v>
      </c>
      <c r="R1658" s="59">
        <f>I1726+I1748</f>
        <v>1635.3</v>
      </c>
      <c r="S1658" s="59">
        <f>I1737+I1759</f>
        <v>0</v>
      </c>
      <c r="T1658" s="10"/>
      <c r="U1658" s="17"/>
      <c r="V1658" s="10"/>
      <c r="W1658" s="10"/>
      <c r="X1658" s="10"/>
      <c r="Y1658" s="2"/>
    </row>
    <row r="1659" spans="2:25">
      <c r="B1659" s="11"/>
      <c r="C1659" s="10"/>
      <c r="D1659" s="10"/>
      <c r="E1659" s="24" t="s">
        <v>41</v>
      </c>
      <c r="F1659" s="60">
        <f>Q1658</f>
        <v>0</v>
      </c>
      <c r="G1659" s="61" t="s">
        <v>40</v>
      </c>
      <c r="H1659" s="62"/>
      <c r="I1659" s="62"/>
      <c r="J1659" s="10" t="s">
        <v>42</v>
      </c>
      <c r="K1659" s="63">
        <v>2</v>
      </c>
      <c r="L1659" s="63"/>
      <c r="M1659" s="63"/>
      <c r="N1659" s="63"/>
      <c r="O1659" s="63"/>
      <c r="P1659" s="21">
        <f>SUM(K1659:O1659)</f>
        <v>2</v>
      </c>
      <c r="Q1659" s="64"/>
      <c r="R1659" s="63"/>
      <c r="S1659" s="10"/>
      <c r="T1659" s="10"/>
      <c r="U1659" s="17"/>
      <c r="V1659" s="10"/>
      <c r="W1659" s="10"/>
      <c r="X1659" s="10"/>
      <c r="Y1659" s="2"/>
    </row>
    <row r="1660" spans="2:25">
      <c r="B1660" s="11"/>
      <c r="C1660" s="10"/>
      <c r="D1660" s="10"/>
      <c r="E1660" s="51" t="s">
        <v>43</v>
      </c>
      <c r="F1660" s="52">
        <f>F1659*0.25</f>
        <v>0</v>
      </c>
      <c r="G1660" s="53" t="s">
        <v>40</v>
      </c>
      <c r="H1660" s="54">
        <f>F1660/1.12</f>
        <v>0</v>
      </c>
      <c r="I1660" s="10"/>
      <c r="J1660" s="10" t="s">
        <v>44</v>
      </c>
      <c r="K1660" s="63">
        <v>8</v>
      </c>
      <c r="L1660" s="63"/>
      <c r="M1660" s="63"/>
      <c r="N1660" s="63"/>
      <c r="O1660" s="63"/>
      <c r="P1660" s="21">
        <f>SUM(K1660:O1660)</f>
        <v>8</v>
      </c>
      <c r="Q1660" s="64"/>
      <c r="R1660" s="63"/>
      <c r="S1660" s="10"/>
      <c r="T1660" s="10"/>
      <c r="U1660" s="17"/>
      <c r="V1660" s="10"/>
      <c r="W1660" s="10"/>
      <c r="X1660" s="10"/>
      <c r="Y1660" s="2"/>
    </row>
    <row r="1661" spans="2:25">
      <c r="B1661" s="11"/>
      <c r="C1661" s="10"/>
      <c r="D1661" s="10"/>
      <c r="E1661" s="24" t="s">
        <v>45</v>
      </c>
      <c r="F1661" s="60"/>
      <c r="G1661" s="61" t="s">
        <v>40</v>
      </c>
      <c r="H1661" s="62"/>
      <c r="I1661" s="10"/>
      <c r="J1661" s="10" t="s">
        <v>46</v>
      </c>
      <c r="K1661" s="31">
        <f t="shared" ref="K1661:Q1661" si="156">K1659/(K1659+K1660)</f>
        <v>0.2</v>
      </c>
      <c r="L1661" s="31" t="e">
        <f t="shared" si="156"/>
        <v>#DIV/0!</v>
      </c>
      <c r="M1661" s="31" t="e">
        <f t="shared" si="156"/>
        <v>#DIV/0!</v>
      </c>
      <c r="N1661" s="31" t="e">
        <f t="shared" si="156"/>
        <v>#DIV/0!</v>
      </c>
      <c r="O1661" s="31" t="e">
        <f t="shared" si="156"/>
        <v>#DIV/0!</v>
      </c>
      <c r="P1661" s="31">
        <f t="shared" si="156"/>
        <v>0.2</v>
      </c>
      <c r="Q1661" s="31" t="e">
        <f t="shared" si="156"/>
        <v>#DIV/0!</v>
      </c>
      <c r="R1661" s="63"/>
      <c r="S1661" s="10"/>
      <c r="T1661" s="10"/>
      <c r="U1661" s="17"/>
      <c r="V1661" s="10"/>
      <c r="W1661" s="10"/>
      <c r="X1661" s="10"/>
      <c r="Y1661" s="2"/>
    </row>
    <row r="1662" spans="2:25">
      <c r="B1662" s="11"/>
      <c r="C1662" s="10"/>
      <c r="D1662" s="10"/>
      <c r="E1662" s="51" t="s">
        <v>47</v>
      </c>
      <c r="F1662" s="52">
        <f>F1661*0.05</f>
        <v>0</v>
      </c>
      <c r="G1662" s="65" t="s">
        <v>40</v>
      </c>
      <c r="H1662" s="54">
        <f>F1662/1.12</f>
        <v>0</v>
      </c>
      <c r="I1662" s="42"/>
      <c r="J1662" s="10" t="s">
        <v>48</v>
      </c>
      <c r="K1662" s="66">
        <f>K1658/K1659</f>
        <v>1410.8</v>
      </c>
      <c r="L1662" s="66" t="e">
        <f t="shared" ref="L1662:Q1662" si="157">L1658/L1659</f>
        <v>#DIV/0!</v>
      </c>
      <c r="M1662" s="66" t="e">
        <f t="shared" si="157"/>
        <v>#DIV/0!</v>
      </c>
      <c r="N1662" s="66" t="e">
        <f t="shared" si="157"/>
        <v>#DIV/0!</v>
      </c>
      <c r="O1662" s="66" t="e">
        <f t="shared" si="157"/>
        <v>#DIV/0!</v>
      </c>
      <c r="P1662" s="66">
        <f t="shared" si="157"/>
        <v>1410.8</v>
      </c>
      <c r="Q1662" s="66" t="e">
        <f t="shared" si="157"/>
        <v>#DIV/0!</v>
      </c>
      <c r="R1662" s="63"/>
      <c r="S1662" s="10"/>
      <c r="T1662" s="10"/>
      <c r="U1662" s="17"/>
      <c r="V1662" s="10"/>
      <c r="W1662" s="10"/>
      <c r="X1662" s="10"/>
      <c r="Y1662" s="2"/>
    </row>
    <row r="1663" spans="2:25">
      <c r="B1663" s="11"/>
      <c r="C1663" s="10"/>
      <c r="D1663" s="10"/>
      <c r="E1663" s="67" t="s">
        <v>14</v>
      </c>
      <c r="F1663" s="68"/>
      <c r="G1663" s="10"/>
      <c r="H1663" s="54">
        <f>F1663/1.12</f>
        <v>0</v>
      </c>
      <c r="I1663" s="10"/>
      <c r="J1663" s="10"/>
      <c r="K1663" s="10"/>
      <c r="L1663" s="10"/>
      <c r="M1663" s="10"/>
      <c r="N1663" s="10"/>
      <c r="O1663" s="10"/>
      <c r="P1663" s="10"/>
      <c r="Q1663" s="10"/>
      <c r="R1663" s="10"/>
      <c r="S1663" s="10"/>
      <c r="T1663" s="10"/>
      <c r="U1663" s="17"/>
      <c r="V1663" s="10"/>
      <c r="W1663" s="10"/>
      <c r="X1663" s="10"/>
      <c r="Y1663" s="2"/>
    </row>
    <row r="1664" spans="2:25">
      <c r="B1664" s="11"/>
      <c r="C1664" s="10"/>
      <c r="D1664" s="10"/>
      <c r="E1664" s="67" t="s">
        <v>49</v>
      </c>
      <c r="F1664" s="69">
        <f>T1653</f>
        <v>0</v>
      </c>
      <c r="G1664" s="10"/>
      <c r="H1664" s="54"/>
      <c r="I1664" s="55"/>
      <c r="J1664" s="42"/>
      <c r="K1664" s="764" t="s">
        <v>50</v>
      </c>
      <c r="L1664" s="765"/>
      <c r="M1664" s="765"/>
      <c r="N1664" s="765"/>
      <c r="O1664" s="765"/>
      <c r="P1664" s="765"/>
      <c r="Q1664" s="766"/>
      <c r="R1664" s="70" t="s">
        <v>28</v>
      </c>
      <c r="S1664" s="71" t="s">
        <v>29</v>
      </c>
      <c r="T1664" s="10"/>
      <c r="U1664" s="17"/>
      <c r="V1664" s="10"/>
      <c r="W1664" s="10"/>
      <c r="X1664" s="10"/>
      <c r="Y1664" s="2"/>
    </row>
    <row r="1665" spans="2:25">
      <c r="B1665" s="11"/>
      <c r="C1665" s="10"/>
      <c r="D1665" s="10"/>
      <c r="E1665" s="72"/>
      <c r="F1665" s="73"/>
      <c r="G1665" s="10"/>
      <c r="H1665" s="10"/>
      <c r="I1665" s="10"/>
      <c r="J1665" s="42"/>
      <c r="K1665" s="20" t="s">
        <v>31</v>
      </c>
      <c r="L1665" s="21" t="s">
        <v>32</v>
      </c>
      <c r="M1665" s="21" t="s">
        <v>33</v>
      </c>
      <c r="N1665" s="21" t="s">
        <v>34</v>
      </c>
      <c r="O1665" s="21" t="s">
        <v>35</v>
      </c>
      <c r="P1665" s="21" t="s">
        <v>36</v>
      </c>
      <c r="Q1665" s="49" t="s">
        <v>37</v>
      </c>
      <c r="R1665" s="50" t="s">
        <v>38</v>
      </c>
      <c r="S1665" s="50" t="s">
        <v>38</v>
      </c>
      <c r="T1665" s="10"/>
      <c r="U1665" s="17"/>
      <c r="V1665" s="10"/>
      <c r="W1665" s="10"/>
      <c r="X1665" s="10"/>
      <c r="Y1665" s="2"/>
    </row>
    <row r="1666" spans="2:25">
      <c r="B1666" s="11"/>
      <c r="C1666" s="10"/>
      <c r="D1666" s="10"/>
      <c r="E1666" s="72"/>
      <c r="F1666" s="73"/>
      <c r="G1666" s="10"/>
      <c r="H1666" s="10"/>
      <c r="I1666" s="10"/>
      <c r="J1666" s="42"/>
      <c r="K1666" s="56">
        <f>F1676+F1740</f>
        <v>2901</v>
      </c>
      <c r="L1666" s="57"/>
      <c r="M1666" s="57"/>
      <c r="N1666" s="57"/>
      <c r="O1666" s="57"/>
      <c r="P1666" s="57">
        <f>SUM(K1666:O1666)</f>
        <v>2901</v>
      </c>
      <c r="Q1666" s="58">
        <v>0</v>
      </c>
      <c r="R1666" s="59">
        <f>F1726+F1748</f>
        <v>1675</v>
      </c>
      <c r="S1666" s="59">
        <f>F1737+F1759</f>
        <v>0</v>
      </c>
      <c r="T1666" s="10"/>
      <c r="U1666" s="17"/>
      <c r="V1666" s="10"/>
      <c r="W1666" s="10"/>
      <c r="X1666" s="10"/>
      <c r="Y1666" s="2"/>
    </row>
    <row r="1667" spans="2:25">
      <c r="B1667" s="11"/>
      <c r="C1667" s="10"/>
      <c r="D1667" s="10"/>
      <c r="E1667" s="72"/>
      <c r="F1667" s="73"/>
      <c r="G1667" s="10"/>
      <c r="H1667" s="10"/>
      <c r="I1667" s="10"/>
      <c r="J1667" s="10" t="s">
        <v>42</v>
      </c>
      <c r="K1667" s="63">
        <f>K1659</f>
        <v>2</v>
      </c>
      <c r="L1667" s="63">
        <f t="shared" ref="L1667:Q1668" si="158">L1659</f>
        <v>0</v>
      </c>
      <c r="M1667" s="63">
        <f t="shared" si="158"/>
        <v>0</v>
      </c>
      <c r="N1667" s="63">
        <f t="shared" si="158"/>
        <v>0</v>
      </c>
      <c r="O1667" s="63">
        <f t="shared" si="158"/>
        <v>0</v>
      </c>
      <c r="P1667" s="63">
        <f t="shared" si="158"/>
        <v>2</v>
      </c>
      <c r="Q1667" s="63">
        <f t="shared" si="158"/>
        <v>0</v>
      </c>
      <c r="R1667" s="63"/>
      <c r="S1667" s="10"/>
      <c r="T1667" s="10"/>
      <c r="U1667" s="17"/>
      <c r="V1667" s="10"/>
      <c r="W1667" s="10"/>
      <c r="X1667" s="10"/>
      <c r="Y1667" s="2"/>
    </row>
    <row r="1668" spans="2:25">
      <c r="B1668" s="11"/>
      <c r="C1668" s="10"/>
      <c r="D1668" s="10"/>
      <c r="E1668" s="74"/>
      <c r="F1668" s="75"/>
      <c r="G1668" s="10"/>
      <c r="H1668" s="10"/>
      <c r="I1668" s="10"/>
      <c r="J1668" s="10" t="s">
        <v>44</v>
      </c>
      <c r="K1668" s="63">
        <f>K1660</f>
        <v>8</v>
      </c>
      <c r="L1668" s="63">
        <f t="shared" si="158"/>
        <v>0</v>
      </c>
      <c r="M1668" s="63">
        <f t="shared" si="158"/>
        <v>0</v>
      </c>
      <c r="N1668" s="63">
        <f t="shared" si="158"/>
        <v>0</v>
      </c>
      <c r="O1668" s="63">
        <f t="shared" si="158"/>
        <v>0</v>
      </c>
      <c r="P1668" s="63">
        <f t="shared" si="158"/>
        <v>8</v>
      </c>
      <c r="Q1668" s="63">
        <f t="shared" si="158"/>
        <v>0</v>
      </c>
      <c r="R1668" s="63"/>
      <c r="S1668" s="10"/>
      <c r="T1668" s="10"/>
      <c r="U1668" s="17"/>
      <c r="V1668" s="10"/>
      <c r="W1668" s="10"/>
      <c r="X1668" s="10"/>
      <c r="Y1668" s="2"/>
    </row>
    <row r="1669" spans="2:25">
      <c r="B1669" s="11"/>
      <c r="C1669" s="10"/>
      <c r="D1669" s="10"/>
      <c r="E1669" s="12"/>
      <c r="F1669" s="76"/>
      <c r="G1669" s="10"/>
      <c r="H1669" s="10"/>
      <c r="I1669" s="10"/>
      <c r="J1669" s="10" t="s">
        <v>46</v>
      </c>
      <c r="K1669" s="31">
        <f t="shared" ref="K1669:Q1669" si="159">K1667/(K1667+K1668)</f>
        <v>0.2</v>
      </c>
      <c r="L1669" s="31" t="e">
        <f t="shared" si="159"/>
        <v>#DIV/0!</v>
      </c>
      <c r="M1669" s="31" t="e">
        <f t="shared" si="159"/>
        <v>#DIV/0!</v>
      </c>
      <c r="N1669" s="31" t="e">
        <f t="shared" si="159"/>
        <v>#DIV/0!</v>
      </c>
      <c r="O1669" s="31" t="e">
        <f t="shared" si="159"/>
        <v>#DIV/0!</v>
      </c>
      <c r="P1669" s="31">
        <f t="shared" si="159"/>
        <v>0.2</v>
      </c>
      <c r="Q1669" s="31" t="e">
        <f t="shared" si="159"/>
        <v>#DIV/0!</v>
      </c>
      <c r="R1669" s="63"/>
      <c r="S1669" s="10"/>
      <c r="T1669" s="10"/>
      <c r="U1669" s="17"/>
      <c r="V1669" s="10"/>
      <c r="W1669" s="10"/>
      <c r="X1669" s="10"/>
      <c r="Y1669" s="2"/>
    </row>
    <row r="1670" spans="2:25">
      <c r="B1670" s="11"/>
      <c r="C1670" s="10"/>
      <c r="D1670" s="10"/>
      <c r="E1670" s="10"/>
      <c r="F1670" s="10"/>
      <c r="G1670" s="10"/>
      <c r="H1670" s="10"/>
      <c r="I1670" s="10"/>
      <c r="J1670" s="10" t="s">
        <v>48</v>
      </c>
      <c r="K1670" s="66">
        <f t="shared" ref="K1670:Q1670" si="160">K1666/K1667</f>
        <v>1450.5</v>
      </c>
      <c r="L1670" s="66" t="e">
        <f t="shared" si="160"/>
        <v>#DIV/0!</v>
      </c>
      <c r="M1670" s="66" t="e">
        <f t="shared" si="160"/>
        <v>#DIV/0!</v>
      </c>
      <c r="N1670" s="66" t="e">
        <f t="shared" si="160"/>
        <v>#DIV/0!</v>
      </c>
      <c r="O1670" s="66" t="e">
        <f t="shared" si="160"/>
        <v>#DIV/0!</v>
      </c>
      <c r="P1670" s="66">
        <f t="shared" si="160"/>
        <v>1450.5</v>
      </c>
      <c r="Q1670" s="66" t="e">
        <f t="shared" si="160"/>
        <v>#DIV/0!</v>
      </c>
      <c r="R1670" s="63"/>
      <c r="S1670" s="10"/>
      <c r="T1670" s="10"/>
      <c r="U1670" s="17"/>
      <c r="V1670" s="10"/>
      <c r="W1670" s="10"/>
      <c r="X1670" s="10"/>
      <c r="Y1670" s="2"/>
    </row>
    <row r="1671" spans="2:25">
      <c r="B1671" s="11"/>
      <c r="C1671" s="10"/>
      <c r="D1671" s="10"/>
      <c r="E1671" s="10"/>
      <c r="F1671" s="10"/>
      <c r="G1671" s="10"/>
      <c r="H1671" s="10"/>
      <c r="I1671" s="10"/>
      <c r="J1671" s="10"/>
      <c r="K1671" s="10"/>
      <c r="L1671" s="10"/>
      <c r="M1671" s="10"/>
      <c r="N1671" s="10"/>
      <c r="O1671" s="10"/>
      <c r="P1671" s="10"/>
      <c r="Q1671" s="10"/>
      <c r="R1671" s="10"/>
      <c r="S1671" s="10"/>
      <c r="T1671" s="10"/>
      <c r="U1671" s="17"/>
      <c r="V1671" s="10"/>
      <c r="W1671" s="10"/>
      <c r="X1671" s="10"/>
      <c r="Y1671" s="2"/>
    </row>
    <row r="1672" spans="2:25">
      <c r="B1672" s="11"/>
      <c r="C1672" s="10"/>
      <c r="D1672" s="10"/>
      <c r="E1672" s="10"/>
      <c r="F1672" s="10"/>
      <c r="G1672" s="10"/>
      <c r="H1672" s="10"/>
      <c r="I1672" s="10"/>
      <c r="J1672" s="10"/>
      <c r="K1672" s="10"/>
      <c r="L1672" s="10"/>
      <c r="M1672" s="10"/>
      <c r="N1672" s="10"/>
      <c r="O1672" s="10"/>
      <c r="P1672" s="10"/>
      <c r="Q1672" s="10"/>
      <c r="R1672" s="10"/>
      <c r="S1672" s="10"/>
      <c r="T1672" s="10"/>
      <c r="U1672" s="17"/>
      <c r="V1672" s="10"/>
      <c r="W1672" s="10"/>
      <c r="X1672" s="10"/>
      <c r="Y1672" s="2"/>
    </row>
    <row r="1673" spans="2:25">
      <c r="B1673" s="18" t="s">
        <v>51</v>
      </c>
      <c r="C1673" s="14"/>
      <c r="D1673" s="14"/>
      <c r="E1673" s="14"/>
      <c r="F1673" s="13" t="s">
        <v>52</v>
      </c>
      <c r="G1673" s="14"/>
      <c r="H1673" s="14"/>
      <c r="I1673" s="14"/>
      <c r="J1673" s="14"/>
      <c r="K1673" s="13" t="s">
        <v>3</v>
      </c>
      <c r="L1673" s="14"/>
      <c r="M1673" s="14"/>
      <c r="N1673" s="13" t="s">
        <v>4</v>
      </c>
      <c r="O1673" s="14"/>
      <c r="P1673" s="14"/>
      <c r="Q1673" s="13" t="s">
        <v>5</v>
      </c>
      <c r="R1673" s="14"/>
      <c r="S1673" s="14"/>
      <c r="T1673" s="18"/>
      <c r="U1673" s="16" t="s">
        <v>53</v>
      </c>
      <c r="V1673" s="77"/>
      <c r="W1673" s="77"/>
      <c r="X1673" s="77"/>
      <c r="Y1673" s="2"/>
    </row>
    <row r="1674" spans="2:25">
      <c r="B1674" s="24" t="s">
        <v>54</v>
      </c>
      <c r="C1674" s="21" t="s">
        <v>55</v>
      </c>
      <c r="D1674" s="21" t="s">
        <v>56</v>
      </c>
      <c r="E1674" s="21" t="s">
        <v>57</v>
      </c>
      <c r="F1674" s="20" t="s">
        <v>58</v>
      </c>
      <c r="G1674" s="21" t="s">
        <v>59</v>
      </c>
      <c r="H1674" s="21" t="s">
        <v>60</v>
      </c>
      <c r="I1674" s="21" t="s">
        <v>26</v>
      </c>
      <c r="J1674" s="22" t="s">
        <v>61</v>
      </c>
      <c r="K1674" s="21" t="s">
        <v>8</v>
      </c>
      <c r="L1674" s="21" t="s">
        <v>9</v>
      </c>
      <c r="M1674" s="21" t="s">
        <v>10</v>
      </c>
      <c r="N1674" s="20" t="s">
        <v>11</v>
      </c>
      <c r="O1674" s="21" t="s">
        <v>12</v>
      </c>
      <c r="P1674" s="22" t="s">
        <v>13</v>
      </c>
      <c r="Q1674" s="21" t="s">
        <v>11</v>
      </c>
      <c r="R1674" s="21" t="s">
        <v>12</v>
      </c>
      <c r="S1674" s="21" t="s">
        <v>13</v>
      </c>
      <c r="T1674" s="78" t="s">
        <v>14</v>
      </c>
      <c r="U1674" s="30"/>
      <c r="V1674" s="79" t="s">
        <v>62</v>
      </c>
      <c r="W1674" s="80" t="s">
        <v>63</v>
      </c>
      <c r="X1674" s="81" t="s">
        <v>64</v>
      </c>
      <c r="Y1674" s="2"/>
    </row>
    <row r="1675" spans="2:25">
      <c r="B1675" s="4" t="s">
        <v>65</v>
      </c>
      <c r="C1675" s="6"/>
      <c r="D1675" s="6"/>
      <c r="E1675" s="6"/>
      <c r="F1675" s="6"/>
      <c r="G1675" s="6"/>
      <c r="H1675" s="6"/>
      <c r="I1675" s="82"/>
      <c r="J1675" s="6"/>
      <c r="K1675" s="6"/>
      <c r="L1675" s="6"/>
      <c r="M1675" s="6"/>
      <c r="N1675" s="6"/>
      <c r="O1675" s="6"/>
      <c r="P1675" s="6"/>
      <c r="Q1675" s="6"/>
      <c r="R1675" s="6"/>
      <c r="S1675" s="6"/>
      <c r="T1675" s="83"/>
      <c r="U1675" s="6"/>
      <c r="V1675" s="84"/>
      <c r="W1675" s="85"/>
      <c r="X1675" s="86"/>
      <c r="Y1675" s="2"/>
    </row>
    <row r="1676" spans="2:25">
      <c r="B1676" s="87">
        <v>1</v>
      </c>
      <c r="C1676" s="262">
        <v>45964</v>
      </c>
      <c r="D1676" s="271">
        <v>75057</v>
      </c>
      <c r="E1676" s="271" t="s">
        <v>1863</v>
      </c>
      <c r="F1676" s="265">
        <v>1226</v>
      </c>
      <c r="G1676" s="265">
        <f>39.7</f>
        <v>39.700000000000003</v>
      </c>
      <c r="H1676" s="365"/>
      <c r="I1676" s="272">
        <f t="shared" ref="I1676:I1691" si="161">F1676-G1676-H1676</f>
        <v>1186.3</v>
      </c>
      <c r="J1676" s="267" t="s">
        <v>150</v>
      </c>
      <c r="K1676" s="267">
        <v>1</v>
      </c>
      <c r="L1676" s="267">
        <v>1</v>
      </c>
      <c r="M1676" s="267">
        <v>1</v>
      </c>
      <c r="N1676" s="267">
        <v>1</v>
      </c>
      <c r="O1676" s="267">
        <v>1</v>
      </c>
      <c r="P1676" s="267">
        <v>0</v>
      </c>
      <c r="Q1676" s="267">
        <v>1</v>
      </c>
      <c r="R1676" s="267">
        <v>1</v>
      </c>
      <c r="S1676" s="269">
        <v>1</v>
      </c>
      <c r="T1676" s="63"/>
      <c r="U1676" s="10"/>
      <c r="V1676" s="90">
        <v>0</v>
      </c>
      <c r="W1676" s="367">
        <f>150+1200</f>
        <v>1350</v>
      </c>
      <c r="X1676" s="92"/>
      <c r="Y1676" s="2"/>
    </row>
    <row r="1677" spans="2:25">
      <c r="B1677" s="87">
        <f t="shared" ref="B1677:B1691" si="162">B1676+1</f>
        <v>2</v>
      </c>
      <c r="C1677" s="36"/>
      <c r="D1677" s="10"/>
      <c r="E1677" s="10"/>
      <c r="F1677" s="62"/>
      <c r="G1677" s="62"/>
      <c r="H1677" s="62"/>
      <c r="I1677" s="89">
        <f t="shared" si="161"/>
        <v>0</v>
      </c>
      <c r="J1677" s="63"/>
      <c r="K1677" s="63"/>
      <c r="L1677" s="63"/>
      <c r="M1677" s="63"/>
      <c r="N1677" s="63"/>
      <c r="O1677" s="63"/>
      <c r="P1677" s="63"/>
      <c r="Q1677" s="63"/>
      <c r="R1677" s="63"/>
      <c r="S1677" s="63"/>
      <c r="T1677" s="63"/>
      <c r="U1677" s="10"/>
      <c r="V1677" s="90"/>
      <c r="W1677" s="91"/>
      <c r="X1677" s="92"/>
      <c r="Y1677" s="2"/>
    </row>
    <row r="1678" spans="2:25">
      <c r="B1678" s="87">
        <f t="shared" si="162"/>
        <v>3</v>
      </c>
      <c r="C1678" s="36"/>
      <c r="D1678" s="3"/>
      <c r="E1678" s="10"/>
      <c r="F1678" s="62"/>
      <c r="G1678" s="62"/>
      <c r="H1678" s="62"/>
      <c r="I1678" s="89">
        <f t="shared" si="161"/>
        <v>0</v>
      </c>
      <c r="J1678" s="63"/>
      <c r="K1678" s="63"/>
      <c r="L1678" s="63"/>
      <c r="M1678" s="63"/>
      <c r="N1678" s="63"/>
      <c r="O1678" s="63"/>
      <c r="P1678" s="63"/>
      <c r="Q1678" s="63"/>
      <c r="R1678" s="63"/>
      <c r="S1678" s="63"/>
      <c r="T1678" s="63"/>
      <c r="U1678" s="10"/>
      <c r="V1678" s="90"/>
      <c r="W1678" s="91"/>
      <c r="X1678" s="92"/>
      <c r="Y1678" s="2"/>
    </row>
    <row r="1679" spans="2:25">
      <c r="B1679" s="87">
        <f t="shared" si="162"/>
        <v>4</v>
      </c>
      <c r="C1679" s="36"/>
      <c r="D1679" s="10"/>
      <c r="E1679" s="94"/>
      <c r="F1679" s="62"/>
      <c r="G1679" s="62"/>
      <c r="H1679" s="62"/>
      <c r="I1679" s="89">
        <f t="shared" si="161"/>
        <v>0</v>
      </c>
      <c r="J1679" s="63"/>
      <c r="K1679" s="63"/>
      <c r="L1679" s="63"/>
      <c r="M1679" s="63"/>
      <c r="N1679" s="63"/>
      <c r="O1679" s="63"/>
      <c r="P1679" s="63"/>
      <c r="Q1679" s="63"/>
      <c r="R1679" s="63"/>
      <c r="S1679" s="63"/>
      <c r="T1679" s="63"/>
      <c r="U1679" s="10"/>
      <c r="V1679" s="90"/>
      <c r="W1679" s="91"/>
      <c r="X1679" s="92"/>
      <c r="Y1679" s="2"/>
    </row>
    <row r="1680" spans="2:25">
      <c r="B1680" s="87">
        <f t="shared" si="162"/>
        <v>5</v>
      </c>
      <c r="C1680" s="36"/>
      <c r="D1680" s="10"/>
      <c r="E1680" s="10"/>
      <c r="F1680" s="62"/>
      <c r="G1680" s="62"/>
      <c r="H1680" s="62"/>
      <c r="I1680" s="89">
        <f t="shared" si="161"/>
        <v>0</v>
      </c>
      <c r="J1680" s="63"/>
      <c r="K1680" s="63"/>
      <c r="L1680" s="63"/>
      <c r="M1680" s="63"/>
      <c r="N1680" s="63"/>
      <c r="O1680" s="63"/>
      <c r="P1680" s="63"/>
      <c r="Q1680" s="63"/>
      <c r="R1680" s="63"/>
      <c r="S1680" s="63"/>
      <c r="T1680" s="63"/>
      <c r="U1680" s="10"/>
      <c r="V1680" s="90"/>
      <c r="W1680" s="91"/>
      <c r="X1680" s="92"/>
      <c r="Y1680" s="2"/>
    </row>
    <row r="1681" spans="2:25">
      <c r="B1681" s="87">
        <f t="shared" si="162"/>
        <v>6</v>
      </c>
      <c r="C1681" s="36"/>
      <c r="D1681" s="10"/>
      <c r="E1681" s="10"/>
      <c r="F1681" s="62"/>
      <c r="G1681" s="62"/>
      <c r="H1681" s="88"/>
      <c r="I1681" s="89">
        <f t="shared" si="161"/>
        <v>0</v>
      </c>
      <c r="J1681" s="63"/>
      <c r="K1681" s="63"/>
      <c r="L1681" s="63"/>
      <c r="M1681" s="63"/>
      <c r="N1681" s="63"/>
      <c r="O1681" s="63"/>
      <c r="P1681" s="63"/>
      <c r="Q1681" s="63"/>
      <c r="R1681" s="63"/>
      <c r="S1681" s="63"/>
      <c r="T1681" s="63"/>
      <c r="U1681" s="10"/>
      <c r="V1681" s="90"/>
      <c r="W1681" s="91"/>
      <c r="X1681" s="92"/>
      <c r="Y1681" s="2"/>
    </row>
    <row r="1682" spans="2:25">
      <c r="B1682" s="87">
        <f t="shared" si="162"/>
        <v>7</v>
      </c>
      <c r="C1682" s="36"/>
      <c r="D1682" s="10"/>
      <c r="E1682" s="10"/>
      <c r="F1682" s="62"/>
      <c r="G1682" s="62"/>
      <c r="H1682" s="88"/>
      <c r="I1682" s="89">
        <f t="shared" si="161"/>
        <v>0</v>
      </c>
      <c r="J1682" s="63"/>
      <c r="K1682" s="63"/>
      <c r="L1682" s="63"/>
      <c r="M1682" s="63"/>
      <c r="N1682" s="63"/>
      <c r="O1682" s="63"/>
      <c r="P1682" s="63"/>
      <c r="Q1682" s="63"/>
      <c r="R1682" s="63"/>
      <c r="S1682" s="63"/>
      <c r="T1682" s="63"/>
      <c r="U1682" s="10"/>
      <c r="V1682" s="90"/>
      <c r="W1682" s="91"/>
      <c r="X1682" s="92"/>
      <c r="Y1682" s="2"/>
    </row>
    <row r="1683" spans="2:25">
      <c r="B1683" s="87">
        <f t="shared" si="162"/>
        <v>8</v>
      </c>
      <c r="C1683" s="36"/>
      <c r="D1683" s="10"/>
      <c r="E1683" s="10"/>
      <c r="F1683" s="62"/>
      <c r="G1683" s="62"/>
      <c r="H1683" s="88"/>
      <c r="I1683" s="89">
        <f t="shared" si="161"/>
        <v>0</v>
      </c>
      <c r="J1683" s="63"/>
      <c r="K1683" s="63"/>
      <c r="L1683" s="63"/>
      <c r="M1683" s="63"/>
      <c r="N1683" s="63"/>
      <c r="O1683" s="63"/>
      <c r="P1683" s="63"/>
      <c r="Q1683" s="63"/>
      <c r="R1683" s="63"/>
      <c r="S1683" s="63"/>
      <c r="T1683" s="63"/>
      <c r="U1683" s="10"/>
      <c r="V1683" s="90"/>
      <c r="W1683" s="91"/>
      <c r="X1683" s="92"/>
      <c r="Y1683" s="2"/>
    </row>
    <row r="1684" spans="2:25">
      <c r="B1684" s="87">
        <f t="shared" si="162"/>
        <v>9</v>
      </c>
      <c r="C1684" s="36"/>
      <c r="D1684" s="10"/>
      <c r="E1684" s="10"/>
      <c r="F1684" s="62"/>
      <c r="G1684" s="62"/>
      <c r="H1684" s="88"/>
      <c r="I1684" s="89">
        <f t="shared" si="161"/>
        <v>0</v>
      </c>
      <c r="J1684" s="63"/>
      <c r="K1684" s="63"/>
      <c r="L1684" s="63"/>
      <c r="M1684" s="63"/>
      <c r="N1684" s="63"/>
      <c r="O1684" s="63"/>
      <c r="P1684" s="63"/>
      <c r="Q1684" s="63"/>
      <c r="R1684" s="63"/>
      <c r="S1684" s="63"/>
      <c r="T1684" s="63"/>
      <c r="U1684" s="10"/>
      <c r="V1684" s="90"/>
      <c r="W1684" s="91"/>
      <c r="X1684" s="92"/>
      <c r="Y1684" s="2"/>
    </row>
    <row r="1685" spans="2:25">
      <c r="B1685" s="87">
        <f t="shared" si="162"/>
        <v>10</v>
      </c>
      <c r="C1685" s="36"/>
      <c r="D1685" s="10"/>
      <c r="E1685" s="10"/>
      <c r="F1685" s="62"/>
      <c r="G1685" s="62"/>
      <c r="H1685" s="88"/>
      <c r="I1685" s="89">
        <f t="shared" si="161"/>
        <v>0</v>
      </c>
      <c r="J1685" s="63"/>
      <c r="K1685" s="63"/>
      <c r="L1685" s="63"/>
      <c r="M1685" s="63"/>
      <c r="N1685" s="63"/>
      <c r="O1685" s="63"/>
      <c r="P1685" s="63"/>
      <c r="Q1685" s="63"/>
      <c r="R1685" s="63"/>
      <c r="S1685" s="63"/>
      <c r="T1685" s="63"/>
      <c r="U1685" s="10"/>
      <c r="V1685" s="90"/>
      <c r="W1685" s="91"/>
      <c r="X1685" s="92"/>
      <c r="Y1685" s="2"/>
    </row>
    <row r="1686" spans="2:25">
      <c r="B1686" s="87">
        <f t="shared" si="162"/>
        <v>11</v>
      </c>
      <c r="C1686" s="36"/>
      <c r="D1686" s="10"/>
      <c r="E1686" s="10"/>
      <c r="F1686" s="95"/>
      <c r="G1686" s="62"/>
      <c r="H1686" s="62"/>
      <c r="I1686" s="89">
        <f t="shared" si="161"/>
        <v>0</v>
      </c>
      <c r="J1686" s="63"/>
      <c r="K1686" s="63"/>
      <c r="L1686" s="63"/>
      <c r="M1686" s="63"/>
      <c r="N1686" s="63"/>
      <c r="O1686" s="63"/>
      <c r="P1686" s="63"/>
      <c r="Q1686" s="63"/>
      <c r="R1686" s="63"/>
      <c r="S1686" s="63"/>
      <c r="T1686" s="63"/>
      <c r="U1686" s="10"/>
      <c r="V1686" s="90"/>
      <c r="W1686" s="91"/>
      <c r="X1686" s="92"/>
      <c r="Y1686" s="2"/>
    </row>
    <row r="1687" spans="2:25">
      <c r="B1687" s="87">
        <f t="shared" si="162"/>
        <v>12</v>
      </c>
      <c r="C1687" s="36"/>
      <c r="D1687" s="10"/>
      <c r="E1687" s="10"/>
      <c r="F1687" s="95"/>
      <c r="G1687" s="62"/>
      <c r="H1687" s="62"/>
      <c r="I1687" s="89">
        <f t="shared" si="161"/>
        <v>0</v>
      </c>
      <c r="J1687" s="63"/>
      <c r="K1687" s="63"/>
      <c r="L1687" s="63"/>
      <c r="M1687" s="63"/>
      <c r="N1687" s="63"/>
      <c r="O1687" s="63"/>
      <c r="P1687" s="63"/>
      <c r="Q1687" s="63"/>
      <c r="R1687" s="63"/>
      <c r="S1687" s="63"/>
      <c r="T1687" s="63"/>
      <c r="U1687" s="10"/>
      <c r="V1687" s="90"/>
      <c r="W1687" s="91"/>
      <c r="X1687" s="92"/>
      <c r="Y1687" s="2"/>
    </row>
    <row r="1688" spans="2:25">
      <c r="B1688" s="87">
        <f t="shared" si="162"/>
        <v>13</v>
      </c>
      <c r="C1688" s="36"/>
      <c r="D1688" s="10"/>
      <c r="E1688" s="10"/>
      <c r="F1688" s="95"/>
      <c r="G1688" s="62"/>
      <c r="H1688" s="62"/>
      <c r="I1688" s="89">
        <f t="shared" si="161"/>
        <v>0</v>
      </c>
      <c r="J1688" s="63"/>
      <c r="K1688" s="63"/>
      <c r="L1688" s="63"/>
      <c r="M1688" s="63"/>
      <c r="N1688" s="63"/>
      <c r="O1688" s="63"/>
      <c r="P1688" s="63"/>
      <c r="Q1688" s="63"/>
      <c r="R1688" s="63"/>
      <c r="S1688" s="63"/>
      <c r="T1688" s="63"/>
      <c r="U1688" s="10"/>
      <c r="V1688" s="90"/>
      <c r="W1688" s="91"/>
      <c r="X1688" s="92"/>
      <c r="Y1688" s="2"/>
    </row>
    <row r="1689" spans="2:25">
      <c r="B1689" s="87">
        <f t="shared" si="162"/>
        <v>14</v>
      </c>
      <c r="C1689" s="36"/>
      <c r="D1689" s="10"/>
      <c r="E1689" s="10"/>
      <c r="F1689" s="95"/>
      <c r="G1689" s="62"/>
      <c r="H1689" s="62"/>
      <c r="I1689" s="89">
        <f t="shared" si="161"/>
        <v>0</v>
      </c>
      <c r="J1689" s="63"/>
      <c r="K1689" s="63"/>
      <c r="L1689" s="63"/>
      <c r="M1689" s="63"/>
      <c r="N1689" s="63"/>
      <c r="O1689" s="63"/>
      <c r="P1689" s="63"/>
      <c r="Q1689" s="63"/>
      <c r="R1689" s="63"/>
      <c r="S1689" s="63"/>
      <c r="T1689" s="63"/>
      <c r="U1689" s="10"/>
      <c r="V1689" s="90"/>
      <c r="W1689" s="91"/>
      <c r="X1689" s="92"/>
      <c r="Y1689" s="2"/>
    </row>
    <row r="1690" spans="2:25">
      <c r="B1690" s="87">
        <f t="shared" si="162"/>
        <v>15</v>
      </c>
      <c r="C1690" s="36"/>
      <c r="D1690" s="10"/>
      <c r="E1690" s="10"/>
      <c r="F1690" s="95"/>
      <c r="G1690" s="62"/>
      <c r="H1690" s="62"/>
      <c r="I1690" s="89">
        <f t="shared" si="161"/>
        <v>0</v>
      </c>
      <c r="J1690" s="63"/>
      <c r="K1690" s="63"/>
      <c r="L1690" s="63"/>
      <c r="M1690" s="63"/>
      <c r="N1690" s="63"/>
      <c r="O1690" s="63"/>
      <c r="P1690" s="63"/>
      <c r="Q1690" s="63"/>
      <c r="R1690" s="63"/>
      <c r="S1690" s="63"/>
      <c r="T1690" s="63"/>
      <c r="U1690" s="10"/>
      <c r="V1690" s="90"/>
      <c r="W1690" s="96"/>
      <c r="X1690" s="92"/>
      <c r="Y1690" s="2"/>
    </row>
    <row r="1691" spans="2:25">
      <c r="B1691" s="87">
        <f t="shared" si="162"/>
        <v>16</v>
      </c>
      <c r="C1691" s="36"/>
      <c r="D1691" s="10"/>
      <c r="E1691" s="10"/>
      <c r="F1691" s="95"/>
      <c r="G1691" s="62"/>
      <c r="H1691" s="62"/>
      <c r="I1691" s="89">
        <f t="shared" si="161"/>
        <v>0</v>
      </c>
      <c r="J1691" s="63"/>
      <c r="K1691" s="63"/>
      <c r="L1691" s="63"/>
      <c r="M1691" s="63"/>
      <c r="N1691" s="63"/>
      <c r="O1691" s="63"/>
      <c r="P1691" s="63"/>
      <c r="Q1691" s="63"/>
      <c r="R1691" s="63"/>
      <c r="S1691" s="63"/>
      <c r="T1691" s="63"/>
      <c r="U1691" s="10"/>
      <c r="V1691" s="90"/>
      <c r="W1691" s="96"/>
      <c r="X1691" s="92"/>
      <c r="Y1691" s="2"/>
    </row>
    <row r="1692" spans="2:25">
      <c r="B1692" s="87"/>
      <c r="C1692" s="36"/>
      <c r="D1692" s="10"/>
      <c r="E1692" s="10"/>
      <c r="F1692" s="97">
        <f>SUM(F1676:F1691)</f>
        <v>1226</v>
      </c>
      <c r="G1692" s="97">
        <f>SUM(G1676:G1691)</f>
        <v>39.700000000000003</v>
      </c>
      <c r="H1692" s="97">
        <f>SUM(H1676:H1691)</f>
        <v>0</v>
      </c>
      <c r="I1692" s="98">
        <f>SUM(I1676:I1691)</f>
        <v>1186.3</v>
      </c>
      <c r="J1692" s="63"/>
      <c r="K1692" s="63">
        <f t="shared" ref="K1692:S1692" si="163">COUNT(K1676:K1691)</f>
        <v>1</v>
      </c>
      <c r="L1692" s="63">
        <f t="shared" si="163"/>
        <v>1</v>
      </c>
      <c r="M1692" s="63">
        <f t="shared" si="163"/>
        <v>1</v>
      </c>
      <c r="N1692" s="63">
        <f t="shared" si="163"/>
        <v>1</v>
      </c>
      <c r="O1692" s="63">
        <f t="shared" si="163"/>
        <v>1</v>
      </c>
      <c r="P1692" s="63">
        <f t="shared" si="163"/>
        <v>1</v>
      </c>
      <c r="Q1692" s="63">
        <f t="shared" si="163"/>
        <v>1</v>
      </c>
      <c r="R1692" s="63">
        <f t="shared" si="163"/>
        <v>1</v>
      </c>
      <c r="S1692" s="63">
        <f t="shared" si="163"/>
        <v>1</v>
      </c>
      <c r="T1692" s="63"/>
      <c r="U1692" s="10"/>
      <c r="V1692" s="90"/>
      <c r="W1692" s="91"/>
      <c r="X1692" s="92"/>
      <c r="Y1692" s="2"/>
    </row>
    <row r="1693" spans="2:25">
      <c r="B1693" s="87"/>
      <c r="C1693" s="36"/>
      <c r="D1693" s="10"/>
      <c r="E1693" s="10"/>
      <c r="F1693" s="88"/>
      <c r="G1693" s="88"/>
      <c r="H1693" s="88"/>
      <c r="I1693" s="99"/>
      <c r="J1693" s="63"/>
      <c r="K1693" s="21">
        <f t="shared" ref="K1693:S1693" si="164">SUM(K1676:K1691)</f>
        <v>1</v>
      </c>
      <c r="L1693" s="21">
        <f t="shared" si="164"/>
        <v>1</v>
      </c>
      <c r="M1693" s="21">
        <f t="shared" si="164"/>
        <v>1</v>
      </c>
      <c r="N1693" s="21">
        <f t="shared" si="164"/>
        <v>1</v>
      </c>
      <c r="O1693" s="21">
        <f t="shared" si="164"/>
        <v>1</v>
      </c>
      <c r="P1693" s="21">
        <f t="shared" si="164"/>
        <v>0</v>
      </c>
      <c r="Q1693" s="21">
        <f t="shared" si="164"/>
        <v>1</v>
      </c>
      <c r="R1693" s="21">
        <f t="shared" si="164"/>
        <v>1</v>
      </c>
      <c r="S1693" s="21">
        <f t="shared" si="164"/>
        <v>1</v>
      </c>
      <c r="T1693" s="63"/>
      <c r="U1693" s="10"/>
      <c r="V1693" s="90"/>
      <c r="W1693" s="91"/>
      <c r="X1693" s="92"/>
      <c r="Y1693" s="2"/>
    </row>
    <row r="1694" spans="2:25">
      <c r="B1694" s="11"/>
      <c r="C1694" s="36"/>
      <c r="D1694" s="10"/>
      <c r="E1694" s="10"/>
      <c r="F1694" s="88"/>
      <c r="G1694" s="88"/>
      <c r="H1694" s="88"/>
      <c r="I1694" s="99"/>
      <c r="J1694" s="63"/>
      <c r="K1694" s="21"/>
      <c r="L1694" s="21"/>
      <c r="M1694" s="21"/>
      <c r="N1694" s="21"/>
      <c r="O1694" s="21"/>
      <c r="P1694" s="21"/>
      <c r="Q1694" s="21"/>
      <c r="R1694" s="21"/>
      <c r="S1694" s="21"/>
      <c r="T1694" s="63"/>
      <c r="U1694" s="10"/>
      <c r="V1694" s="90"/>
      <c r="W1694" s="91"/>
      <c r="X1694" s="92"/>
      <c r="Y1694" s="2"/>
    </row>
    <row r="1695" spans="2:25">
      <c r="B1695" s="100" t="s">
        <v>66</v>
      </c>
      <c r="C1695" s="36"/>
      <c r="D1695" s="10"/>
      <c r="E1695" s="10"/>
      <c r="F1695" s="88"/>
      <c r="G1695" s="62"/>
      <c r="H1695" s="88"/>
      <c r="I1695" s="99"/>
      <c r="J1695" s="63"/>
      <c r="K1695" s="2"/>
      <c r="L1695" s="2"/>
      <c r="M1695" s="2"/>
      <c r="N1695" s="2"/>
      <c r="O1695" s="2"/>
      <c r="P1695" s="2"/>
      <c r="Q1695" s="2"/>
      <c r="R1695" s="2"/>
      <c r="S1695" s="2"/>
      <c r="T1695" s="63"/>
      <c r="U1695" s="94"/>
      <c r="V1695" s="90"/>
      <c r="W1695" s="91"/>
      <c r="X1695" s="92"/>
      <c r="Y1695" s="2"/>
    </row>
    <row r="1696" spans="2:25">
      <c r="B1696" s="87">
        <v>1</v>
      </c>
      <c r="C1696" s="36"/>
      <c r="D1696" s="10"/>
      <c r="E1696" s="101"/>
      <c r="F1696" s="62"/>
      <c r="G1696" s="62"/>
      <c r="H1696" s="62"/>
      <c r="I1696" s="89">
        <f t="shared" ref="I1696:I1703" si="165">F1696-G1696-H1696</f>
        <v>0</v>
      </c>
      <c r="J1696" s="63"/>
      <c r="K1696" s="63"/>
      <c r="L1696" s="63"/>
      <c r="M1696" s="63"/>
      <c r="N1696" s="63"/>
      <c r="O1696" s="63"/>
      <c r="P1696" s="63"/>
      <c r="Q1696" s="63"/>
      <c r="R1696" s="63"/>
      <c r="S1696" s="63"/>
      <c r="T1696" s="63"/>
      <c r="U1696" s="94"/>
      <c r="V1696" s="90"/>
      <c r="W1696" s="91"/>
      <c r="X1696" s="92"/>
      <c r="Y1696" s="2"/>
    </row>
    <row r="1697" spans="2:25">
      <c r="B1697" s="87">
        <f t="shared" ref="B1697:B1703" si="166">B1696+1</f>
        <v>2</v>
      </c>
      <c r="C1697" s="36"/>
      <c r="D1697" s="10"/>
      <c r="E1697" s="101"/>
      <c r="F1697" s="62"/>
      <c r="G1697" s="62"/>
      <c r="H1697" s="62"/>
      <c r="I1697" s="89">
        <f t="shared" si="165"/>
        <v>0</v>
      </c>
      <c r="J1697" s="63"/>
      <c r="K1697" s="63"/>
      <c r="L1697" s="63"/>
      <c r="M1697" s="63"/>
      <c r="N1697" s="63"/>
      <c r="O1697" s="63"/>
      <c r="P1697" s="63"/>
      <c r="Q1697" s="63"/>
      <c r="R1697" s="63"/>
      <c r="S1697" s="63"/>
      <c r="T1697" s="63"/>
      <c r="U1697" s="94"/>
      <c r="V1697" s="90"/>
      <c r="W1697" s="91"/>
      <c r="X1697" s="92"/>
      <c r="Y1697" s="2"/>
    </row>
    <row r="1698" spans="2:25">
      <c r="B1698" s="87">
        <f t="shared" si="166"/>
        <v>3</v>
      </c>
      <c r="C1698" s="36"/>
      <c r="D1698" s="10"/>
      <c r="E1698" s="101"/>
      <c r="F1698" s="62"/>
      <c r="G1698" s="62"/>
      <c r="H1698" s="62"/>
      <c r="I1698" s="89">
        <f t="shared" si="165"/>
        <v>0</v>
      </c>
      <c r="J1698" s="63"/>
      <c r="K1698" s="63"/>
      <c r="L1698" s="63"/>
      <c r="M1698" s="63"/>
      <c r="N1698" s="63"/>
      <c r="O1698" s="63"/>
      <c r="P1698" s="63"/>
      <c r="Q1698" s="63"/>
      <c r="R1698" s="63"/>
      <c r="S1698" s="63"/>
      <c r="T1698" s="63"/>
      <c r="U1698" s="94"/>
      <c r="V1698" s="90"/>
      <c r="W1698" s="91"/>
      <c r="X1698" s="92"/>
      <c r="Y1698" s="2"/>
    </row>
    <row r="1699" spans="2:25">
      <c r="B1699" s="87">
        <f t="shared" si="166"/>
        <v>4</v>
      </c>
      <c r="C1699" s="36"/>
      <c r="D1699" s="10"/>
      <c r="E1699" s="101"/>
      <c r="F1699" s="62"/>
      <c r="G1699" s="62"/>
      <c r="H1699" s="62"/>
      <c r="I1699" s="89">
        <f t="shared" si="165"/>
        <v>0</v>
      </c>
      <c r="J1699" s="63"/>
      <c r="K1699" s="63"/>
      <c r="L1699" s="63"/>
      <c r="M1699" s="63"/>
      <c r="N1699" s="63"/>
      <c r="O1699" s="63"/>
      <c r="P1699" s="63"/>
      <c r="Q1699" s="63"/>
      <c r="R1699" s="63"/>
      <c r="S1699" s="63"/>
      <c r="T1699" s="63"/>
      <c r="U1699" s="94"/>
      <c r="V1699" s="90"/>
      <c r="W1699" s="91"/>
      <c r="X1699" s="92"/>
      <c r="Y1699" s="2"/>
    </row>
    <row r="1700" spans="2:25">
      <c r="B1700" s="87">
        <f t="shared" si="166"/>
        <v>5</v>
      </c>
      <c r="C1700" s="36"/>
      <c r="D1700" s="10"/>
      <c r="E1700" s="101"/>
      <c r="F1700" s="62"/>
      <c r="G1700" s="62"/>
      <c r="H1700" s="62"/>
      <c r="I1700" s="89">
        <f t="shared" si="165"/>
        <v>0</v>
      </c>
      <c r="J1700" s="63"/>
      <c r="K1700" s="63"/>
      <c r="L1700" s="63"/>
      <c r="M1700" s="63"/>
      <c r="N1700" s="63"/>
      <c r="O1700" s="63"/>
      <c r="P1700" s="63"/>
      <c r="Q1700" s="63"/>
      <c r="R1700" s="63"/>
      <c r="S1700" s="63"/>
      <c r="T1700" s="63"/>
      <c r="U1700" s="94"/>
      <c r="V1700" s="90"/>
      <c r="W1700" s="91"/>
      <c r="X1700" s="92"/>
      <c r="Y1700" s="2"/>
    </row>
    <row r="1701" spans="2:25">
      <c r="B1701" s="87">
        <f t="shared" si="166"/>
        <v>6</v>
      </c>
      <c r="C1701" s="36"/>
      <c r="D1701" s="10"/>
      <c r="E1701" s="101"/>
      <c r="F1701" s="62"/>
      <c r="G1701" s="62"/>
      <c r="H1701" s="62"/>
      <c r="I1701" s="89">
        <f t="shared" si="165"/>
        <v>0</v>
      </c>
      <c r="J1701" s="63"/>
      <c r="K1701" s="63"/>
      <c r="L1701" s="63"/>
      <c r="M1701" s="63"/>
      <c r="N1701" s="63"/>
      <c r="O1701" s="63"/>
      <c r="P1701" s="63"/>
      <c r="Q1701" s="63"/>
      <c r="R1701" s="63"/>
      <c r="S1701" s="63"/>
      <c r="T1701" s="63"/>
      <c r="U1701" s="94"/>
      <c r="V1701" s="90"/>
      <c r="W1701" s="91"/>
      <c r="X1701" s="92"/>
      <c r="Y1701" s="2"/>
    </row>
    <row r="1702" spans="2:25">
      <c r="B1702" s="87">
        <f t="shared" si="166"/>
        <v>7</v>
      </c>
      <c r="C1702" s="36"/>
      <c r="D1702" s="10"/>
      <c r="E1702" s="101"/>
      <c r="F1702" s="62"/>
      <c r="G1702" s="62"/>
      <c r="H1702" s="62"/>
      <c r="I1702" s="89">
        <f t="shared" si="165"/>
        <v>0</v>
      </c>
      <c r="J1702" s="63"/>
      <c r="K1702" s="63"/>
      <c r="L1702" s="63"/>
      <c r="M1702" s="63"/>
      <c r="N1702" s="63"/>
      <c r="O1702" s="63"/>
      <c r="P1702" s="63"/>
      <c r="Q1702" s="63"/>
      <c r="R1702" s="63"/>
      <c r="S1702" s="63"/>
      <c r="T1702" s="63"/>
      <c r="U1702" s="94"/>
      <c r="V1702" s="90"/>
      <c r="W1702" s="91"/>
      <c r="X1702" s="92"/>
      <c r="Y1702" s="2"/>
    </row>
    <row r="1703" spans="2:25">
      <c r="B1703" s="87">
        <f t="shared" si="166"/>
        <v>8</v>
      </c>
      <c r="C1703" s="36"/>
      <c r="D1703" s="10"/>
      <c r="E1703" s="101"/>
      <c r="F1703" s="62"/>
      <c r="G1703" s="62"/>
      <c r="H1703" s="62"/>
      <c r="I1703" s="89">
        <f t="shared" si="165"/>
        <v>0</v>
      </c>
      <c r="J1703" s="63"/>
      <c r="K1703" s="63"/>
      <c r="L1703" s="63"/>
      <c r="M1703" s="63"/>
      <c r="N1703" s="63"/>
      <c r="O1703" s="63"/>
      <c r="P1703" s="63"/>
      <c r="Q1703" s="63"/>
      <c r="R1703" s="63"/>
      <c r="S1703" s="63"/>
      <c r="T1703" s="63"/>
      <c r="U1703" s="94"/>
      <c r="V1703" s="90"/>
      <c r="W1703" s="91"/>
      <c r="X1703" s="92"/>
      <c r="Y1703" s="2"/>
    </row>
    <row r="1704" spans="2:25">
      <c r="B1704" s="11"/>
      <c r="C1704" s="609"/>
      <c r="D1704" s="10"/>
      <c r="E1704" s="10"/>
      <c r="F1704" s="97">
        <f>SUM(F1696:F1703)</f>
        <v>0</v>
      </c>
      <c r="G1704" s="97">
        <f>SUM(G1696:G1703)</f>
        <v>0</v>
      </c>
      <c r="H1704" s="97">
        <f>SUM(H1696:H1703)</f>
        <v>0</v>
      </c>
      <c r="I1704" s="98">
        <f>SUM(I1696:I1703)</f>
        <v>0</v>
      </c>
      <c r="J1704" s="63"/>
      <c r="K1704" s="21"/>
      <c r="L1704" s="21"/>
      <c r="M1704" s="21"/>
      <c r="N1704" s="21"/>
      <c r="O1704" s="21"/>
      <c r="P1704" s="21"/>
      <c r="Q1704" s="21"/>
      <c r="R1704" s="21"/>
      <c r="S1704" s="21"/>
      <c r="T1704" s="63"/>
      <c r="U1704" s="94"/>
      <c r="V1704" s="90"/>
      <c r="W1704" s="91"/>
      <c r="X1704" s="92"/>
      <c r="Y1704" s="2"/>
    </row>
    <row r="1705" spans="2:25">
      <c r="B1705" s="11"/>
      <c r="C1705" s="609"/>
      <c r="D1705" s="10"/>
      <c r="E1705" s="10"/>
      <c r="F1705" s="88"/>
      <c r="G1705" s="88"/>
      <c r="H1705" s="88"/>
      <c r="I1705" s="99"/>
      <c r="J1705" s="63"/>
      <c r="K1705" s="21"/>
      <c r="L1705" s="21"/>
      <c r="M1705" s="21"/>
      <c r="N1705" s="21"/>
      <c r="O1705" s="21"/>
      <c r="P1705" s="21"/>
      <c r="Q1705" s="21"/>
      <c r="R1705" s="21"/>
      <c r="S1705" s="21"/>
      <c r="T1705" s="63"/>
      <c r="U1705" s="94"/>
      <c r="V1705" s="90"/>
      <c r="W1705" s="91"/>
      <c r="X1705" s="92"/>
      <c r="Y1705" s="2"/>
    </row>
    <row r="1706" spans="2:25">
      <c r="B1706" s="102" t="s">
        <v>67</v>
      </c>
      <c r="C1706" s="610"/>
      <c r="D1706" s="104"/>
      <c r="E1706" s="104"/>
      <c r="F1706" s="105"/>
      <c r="G1706" s="106"/>
      <c r="H1706" s="105"/>
      <c r="I1706" s="107"/>
      <c r="J1706" s="108"/>
      <c r="K1706" s="109"/>
      <c r="L1706" s="109"/>
      <c r="M1706" s="109"/>
      <c r="N1706" s="109"/>
      <c r="O1706" s="109"/>
      <c r="P1706" s="109"/>
      <c r="Q1706" s="109"/>
      <c r="R1706" s="109"/>
      <c r="S1706" s="109"/>
      <c r="T1706" s="108"/>
      <c r="U1706" s="110"/>
      <c r="V1706" s="111"/>
      <c r="W1706" s="112"/>
      <c r="X1706" s="113"/>
      <c r="Y1706" s="2"/>
    </row>
    <row r="1707" spans="2:25">
      <c r="B1707" s="114">
        <v>1</v>
      </c>
      <c r="C1707" s="610"/>
      <c r="D1707" s="104"/>
      <c r="E1707" s="115"/>
      <c r="F1707" s="106"/>
      <c r="G1707" s="106"/>
      <c r="H1707" s="106"/>
      <c r="I1707" s="116">
        <f t="shared" ref="I1707:I1714" si="167">F1707-G1707-H1707</f>
        <v>0</v>
      </c>
      <c r="J1707" s="108"/>
      <c r="K1707" s="108"/>
      <c r="L1707" s="108"/>
      <c r="M1707" s="108"/>
      <c r="N1707" s="108"/>
      <c r="O1707" s="108"/>
      <c r="P1707" s="108"/>
      <c r="Q1707" s="108"/>
      <c r="R1707" s="108"/>
      <c r="S1707" s="108"/>
      <c r="T1707" s="108"/>
      <c r="U1707" s="110"/>
      <c r="V1707" s="111"/>
      <c r="W1707" s="112"/>
      <c r="X1707" s="113"/>
      <c r="Y1707" s="2"/>
    </row>
    <row r="1708" spans="2:25">
      <c r="B1708" s="114">
        <f t="shared" ref="B1708:B1714" si="168">B1707+1</f>
        <v>2</v>
      </c>
      <c r="C1708" s="610"/>
      <c r="D1708" s="104"/>
      <c r="E1708" s="115"/>
      <c r="F1708" s="106"/>
      <c r="G1708" s="106"/>
      <c r="H1708" s="106"/>
      <c r="I1708" s="116">
        <f t="shared" si="167"/>
        <v>0</v>
      </c>
      <c r="J1708" s="108"/>
      <c r="K1708" s="108"/>
      <c r="L1708" s="108"/>
      <c r="M1708" s="108"/>
      <c r="N1708" s="108"/>
      <c r="O1708" s="108"/>
      <c r="P1708" s="108"/>
      <c r="Q1708" s="108"/>
      <c r="R1708" s="108"/>
      <c r="S1708" s="108"/>
      <c r="T1708" s="108"/>
      <c r="U1708" s="110"/>
      <c r="V1708" s="111"/>
      <c r="W1708" s="112"/>
      <c r="X1708" s="113"/>
      <c r="Y1708" s="2"/>
    </row>
    <row r="1709" spans="2:25">
      <c r="B1709" s="114">
        <f t="shared" si="168"/>
        <v>3</v>
      </c>
      <c r="C1709" s="610"/>
      <c r="D1709" s="104"/>
      <c r="E1709" s="115"/>
      <c r="F1709" s="106"/>
      <c r="G1709" s="106"/>
      <c r="H1709" s="106"/>
      <c r="I1709" s="116">
        <f t="shared" si="167"/>
        <v>0</v>
      </c>
      <c r="J1709" s="108"/>
      <c r="K1709" s="108"/>
      <c r="L1709" s="108"/>
      <c r="M1709" s="108"/>
      <c r="N1709" s="108"/>
      <c r="O1709" s="108"/>
      <c r="P1709" s="108"/>
      <c r="Q1709" s="108"/>
      <c r="R1709" s="108"/>
      <c r="S1709" s="108"/>
      <c r="T1709" s="108"/>
      <c r="U1709" s="110"/>
      <c r="V1709" s="111"/>
      <c r="W1709" s="112"/>
      <c r="X1709" s="113"/>
      <c r="Y1709" s="2"/>
    </row>
    <row r="1710" spans="2:25">
      <c r="B1710" s="114">
        <f t="shared" si="168"/>
        <v>4</v>
      </c>
      <c r="C1710" s="610"/>
      <c r="D1710" s="104"/>
      <c r="E1710" s="115"/>
      <c r="F1710" s="106"/>
      <c r="G1710" s="106"/>
      <c r="H1710" s="106"/>
      <c r="I1710" s="116">
        <f t="shared" si="167"/>
        <v>0</v>
      </c>
      <c r="J1710" s="108"/>
      <c r="K1710" s="108"/>
      <c r="L1710" s="108"/>
      <c r="M1710" s="108"/>
      <c r="N1710" s="108"/>
      <c r="O1710" s="108"/>
      <c r="P1710" s="108"/>
      <c r="Q1710" s="108"/>
      <c r="R1710" s="108"/>
      <c r="S1710" s="108"/>
      <c r="T1710" s="108"/>
      <c r="U1710" s="110"/>
      <c r="V1710" s="111"/>
      <c r="W1710" s="112"/>
      <c r="X1710" s="113"/>
      <c r="Y1710" s="2"/>
    </row>
    <row r="1711" spans="2:25">
      <c r="B1711" s="114">
        <f t="shared" si="168"/>
        <v>5</v>
      </c>
      <c r="C1711" s="610"/>
      <c r="D1711" s="104"/>
      <c r="E1711" s="115"/>
      <c r="F1711" s="106"/>
      <c r="G1711" s="106"/>
      <c r="H1711" s="106"/>
      <c r="I1711" s="116">
        <f t="shared" si="167"/>
        <v>0</v>
      </c>
      <c r="J1711" s="108"/>
      <c r="K1711" s="108"/>
      <c r="L1711" s="108"/>
      <c r="M1711" s="108"/>
      <c r="N1711" s="108"/>
      <c r="O1711" s="108"/>
      <c r="P1711" s="108"/>
      <c r="Q1711" s="108"/>
      <c r="R1711" s="108"/>
      <c r="S1711" s="108"/>
      <c r="T1711" s="108"/>
      <c r="U1711" s="110"/>
      <c r="V1711" s="111"/>
      <c r="W1711" s="112"/>
      <c r="X1711" s="113"/>
      <c r="Y1711" s="2"/>
    </row>
    <row r="1712" spans="2:25">
      <c r="B1712" s="114">
        <f t="shared" si="168"/>
        <v>6</v>
      </c>
      <c r="C1712" s="610"/>
      <c r="D1712" s="104"/>
      <c r="E1712" s="115"/>
      <c r="F1712" s="106"/>
      <c r="G1712" s="106"/>
      <c r="H1712" s="106"/>
      <c r="I1712" s="116">
        <f t="shared" si="167"/>
        <v>0</v>
      </c>
      <c r="J1712" s="108"/>
      <c r="K1712" s="108"/>
      <c r="L1712" s="108"/>
      <c r="M1712" s="108"/>
      <c r="N1712" s="108"/>
      <c r="O1712" s="108"/>
      <c r="P1712" s="108"/>
      <c r="Q1712" s="108"/>
      <c r="R1712" s="108"/>
      <c r="S1712" s="108"/>
      <c r="T1712" s="108"/>
      <c r="U1712" s="110"/>
      <c r="V1712" s="111"/>
      <c r="W1712" s="112"/>
      <c r="X1712" s="113"/>
      <c r="Y1712" s="2"/>
    </row>
    <row r="1713" spans="2:25">
      <c r="B1713" s="114">
        <f t="shared" si="168"/>
        <v>7</v>
      </c>
      <c r="C1713" s="610"/>
      <c r="D1713" s="104"/>
      <c r="E1713" s="115"/>
      <c r="F1713" s="106"/>
      <c r="G1713" s="106"/>
      <c r="H1713" s="106"/>
      <c r="I1713" s="116">
        <f t="shared" si="167"/>
        <v>0</v>
      </c>
      <c r="J1713" s="108"/>
      <c r="K1713" s="108"/>
      <c r="L1713" s="108"/>
      <c r="M1713" s="108"/>
      <c r="N1713" s="108"/>
      <c r="O1713" s="108"/>
      <c r="P1713" s="108"/>
      <c r="Q1713" s="108"/>
      <c r="R1713" s="108"/>
      <c r="S1713" s="108"/>
      <c r="T1713" s="108"/>
      <c r="U1713" s="110"/>
      <c r="V1713" s="111"/>
      <c r="W1713" s="112"/>
      <c r="X1713" s="113"/>
      <c r="Y1713" s="2"/>
    </row>
    <row r="1714" spans="2:25">
      <c r="B1714" s="114">
        <f t="shared" si="168"/>
        <v>8</v>
      </c>
      <c r="C1714" s="610"/>
      <c r="D1714" s="104"/>
      <c r="E1714" s="115"/>
      <c r="F1714" s="106"/>
      <c r="G1714" s="106"/>
      <c r="H1714" s="106"/>
      <c r="I1714" s="116">
        <f t="shared" si="167"/>
        <v>0</v>
      </c>
      <c r="J1714" s="108"/>
      <c r="K1714" s="108"/>
      <c r="L1714" s="108"/>
      <c r="M1714" s="108"/>
      <c r="N1714" s="108"/>
      <c r="O1714" s="108"/>
      <c r="P1714" s="108"/>
      <c r="Q1714" s="108"/>
      <c r="R1714" s="108"/>
      <c r="S1714" s="108"/>
      <c r="T1714" s="108"/>
      <c r="U1714" s="110"/>
      <c r="V1714" s="111"/>
      <c r="W1714" s="112"/>
      <c r="X1714" s="113"/>
      <c r="Y1714" s="2"/>
    </row>
    <row r="1715" spans="2:25">
      <c r="B1715" s="117"/>
      <c r="C1715" s="610"/>
      <c r="D1715" s="104"/>
      <c r="E1715" s="104"/>
      <c r="F1715" s="118">
        <f>SUM(F1707:F1714)</f>
        <v>0</v>
      </c>
      <c r="G1715" s="118">
        <f>SUM(G1707:G1714)</f>
        <v>0</v>
      </c>
      <c r="H1715" s="118">
        <f>SUM(H1707:H1714)</f>
        <v>0</v>
      </c>
      <c r="I1715" s="119">
        <f>SUM(I1707:I1714)</f>
        <v>0</v>
      </c>
      <c r="J1715" s="108"/>
      <c r="K1715" s="120"/>
      <c r="L1715" s="120"/>
      <c r="M1715" s="120"/>
      <c r="N1715" s="120"/>
      <c r="O1715" s="120"/>
      <c r="P1715" s="120"/>
      <c r="Q1715" s="120"/>
      <c r="R1715" s="120"/>
      <c r="S1715" s="120"/>
      <c r="T1715" s="108"/>
      <c r="U1715" s="110"/>
      <c r="V1715" s="111"/>
      <c r="W1715" s="112"/>
      <c r="X1715" s="113"/>
      <c r="Y1715" s="2"/>
    </row>
    <row r="1716" spans="2:25">
      <c r="B1716" s="11"/>
      <c r="C1716" s="609"/>
      <c r="D1716" s="10"/>
      <c r="E1716" s="10"/>
      <c r="F1716" s="88"/>
      <c r="G1716" s="88"/>
      <c r="H1716" s="88"/>
      <c r="I1716" s="99"/>
      <c r="J1716" s="63"/>
      <c r="K1716" s="21"/>
      <c r="L1716" s="21"/>
      <c r="M1716" s="21"/>
      <c r="N1716" s="21"/>
      <c r="O1716" s="21"/>
      <c r="P1716" s="21"/>
      <c r="Q1716" s="21"/>
      <c r="R1716" s="21"/>
      <c r="S1716" s="21"/>
      <c r="T1716" s="63"/>
      <c r="U1716" s="94"/>
      <c r="V1716" s="90"/>
      <c r="W1716" s="91"/>
      <c r="X1716" s="92"/>
      <c r="Y1716" s="2"/>
    </row>
    <row r="1717" spans="2:25">
      <c r="B1717" s="121" t="s">
        <v>68</v>
      </c>
      <c r="C1717" s="611"/>
      <c r="D1717" s="123"/>
      <c r="E1717" s="123"/>
      <c r="F1717" s="124"/>
      <c r="G1717" s="125"/>
      <c r="H1717" s="124"/>
      <c r="I1717" s="126"/>
      <c r="J1717" s="127"/>
      <c r="K1717" s="128"/>
      <c r="L1717" s="128"/>
      <c r="M1717" s="128"/>
      <c r="N1717" s="128"/>
      <c r="O1717" s="128"/>
      <c r="P1717" s="128"/>
      <c r="Q1717" s="128"/>
      <c r="R1717" s="128"/>
      <c r="S1717" s="128"/>
      <c r="T1717" s="127"/>
      <c r="U1717" s="123"/>
      <c r="V1717" s="129"/>
      <c r="W1717" s="130"/>
      <c r="X1717" s="131"/>
      <c r="Y1717" s="128"/>
    </row>
    <row r="1718" spans="2:25">
      <c r="B1718" s="87">
        <v>1</v>
      </c>
      <c r="C1718" s="36"/>
      <c r="D1718" s="10"/>
      <c r="E1718" s="101"/>
      <c r="F1718" s="62"/>
      <c r="G1718" s="62"/>
      <c r="H1718" s="62"/>
      <c r="I1718" s="89">
        <f t="shared" ref="I1718:I1725" si="169">F1718-G1718-H1718</f>
        <v>0</v>
      </c>
      <c r="J1718" s="63"/>
      <c r="K1718" s="63"/>
      <c r="L1718" s="63"/>
      <c r="M1718" s="63"/>
      <c r="N1718" s="63"/>
      <c r="O1718" s="63"/>
      <c r="P1718" s="63"/>
      <c r="Q1718" s="63"/>
      <c r="R1718" s="63"/>
      <c r="S1718" s="63"/>
      <c r="T1718" s="63"/>
      <c r="U1718" s="10"/>
      <c r="V1718" s="90"/>
      <c r="W1718" s="91"/>
      <c r="X1718" s="92"/>
      <c r="Y1718" s="2"/>
    </row>
    <row r="1719" spans="2:25">
      <c r="B1719" s="87">
        <f t="shared" ref="B1719:B1725" si="170">B1718+1</f>
        <v>2</v>
      </c>
      <c r="C1719" s="36"/>
      <c r="D1719" s="10"/>
      <c r="E1719" s="101"/>
      <c r="F1719" s="62"/>
      <c r="G1719" s="62"/>
      <c r="H1719" s="62"/>
      <c r="I1719" s="89">
        <f t="shared" si="169"/>
        <v>0</v>
      </c>
      <c r="J1719" s="63"/>
      <c r="K1719" s="63"/>
      <c r="L1719" s="63"/>
      <c r="M1719" s="63"/>
      <c r="N1719" s="63"/>
      <c r="O1719" s="63"/>
      <c r="P1719" s="63"/>
      <c r="Q1719" s="63"/>
      <c r="R1719" s="63"/>
      <c r="S1719" s="63"/>
      <c r="T1719" s="63"/>
      <c r="U1719" s="10"/>
      <c r="V1719" s="90"/>
      <c r="W1719" s="91"/>
      <c r="X1719" s="92"/>
      <c r="Y1719" s="2"/>
    </row>
    <row r="1720" spans="2:25">
      <c r="B1720" s="87">
        <f t="shared" si="170"/>
        <v>3</v>
      </c>
      <c r="C1720" s="36"/>
      <c r="D1720" s="10"/>
      <c r="E1720" s="101"/>
      <c r="F1720" s="62"/>
      <c r="G1720" s="62"/>
      <c r="H1720" s="62"/>
      <c r="I1720" s="89">
        <f t="shared" si="169"/>
        <v>0</v>
      </c>
      <c r="J1720" s="63"/>
      <c r="K1720" s="63"/>
      <c r="L1720" s="63"/>
      <c r="M1720" s="63"/>
      <c r="N1720" s="63"/>
      <c r="O1720" s="63"/>
      <c r="P1720" s="63"/>
      <c r="Q1720" s="63"/>
      <c r="R1720" s="63"/>
      <c r="S1720" s="63"/>
      <c r="T1720" s="63"/>
      <c r="U1720" s="10"/>
      <c r="V1720" s="90"/>
      <c r="W1720" s="91"/>
      <c r="X1720" s="92"/>
      <c r="Y1720" s="2"/>
    </row>
    <row r="1721" spans="2:25">
      <c r="B1721" s="87">
        <f t="shared" si="170"/>
        <v>4</v>
      </c>
      <c r="C1721" s="36"/>
      <c r="D1721" s="10"/>
      <c r="E1721" s="101"/>
      <c r="F1721" s="62"/>
      <c r="G1721" s="62"/>
      <c r="H1721" s="62"/>
      <c r="I1721" s="89">
        <f t="shared" si="169"/>
        <v>0</v>
      </c>
      <c r="J1721" s="63"/>
      <c r="K1721" s="63"/>
      <c r="L1721" s="63"/>
      <c r="M1721" s="63"/>
      <c r="N1721" s="63"/>
      <c r="O1721" s="63"/>
      <c r="P1721" s="63"/>
      <c r="Q1721" s="63"/>
      <c r="R1721" s="63"/>
      <c r="S1721" s="63"/>
      <c r="T1721" s="63"/>
      <c r="U1721" s="10"/>
      <c r="V1721" s="90"/>
      <c r="W1721" s="91"/>
      <c r="X1721" s="92"/>
      <c r="Y1721" s="2"/>
    </row>
    <row r="1722" spans="2:25">
      <c r="B1722" s="87">
        <f t="shared" si="170"/>
        <v>5</v>
      </c>
      <c r="C1722" s="36"/>
      <c r="D1722" s="10"/>
      <c r="E1722" s="101"/>
      <c r="F1722" s="62"/>
      <c r="G1722" s="62"/>
      <c r="H1722" s="62"/>
      <c r="I1722" s="89">
        <f t="shared" si="169"/>
        <v>0</v>
      </c>
      <c r="J1722" s="63"/>
      <c r="K1722" s="63"/>
      <c r="L1722" s="63"/>
      <c r="M1722" s="63"/>
      <c r="N1722" s="63"/>
      <c r="O1722" s="63"/>
      <c r="P1722" s="63"/>
      <c r="Q1722" s="63"/>
      <c r="R1722" s="63"/>
      <c r="S1722" s="63"/>
      <c r="T1722" s="63"/>
      <c r="U1722" s="10"/>
      <c r="V1722" s="90"/>
      <c r="W1722" s="91"/>
      <c r="X1722" s="92"/>
      <c r="Y1722" s="2"/>
    </row>
    <row r="1723" spans="2:25">
      <c r="B1723" s="87">
        <f t="shared" si="170"/>
        <v>6</v>
      </c>
      <c r="C1723" s="36"/>
      <c r="D1723" s="10"/>
      <c r="E1723" s="101"/>
      <c r="F1723" s="62"/>
      <c r="G1723" s="62"/>
      <c r="H1723" s="62"/>
      <c r="I1723" s="89">
        <f t="shared" si="169"/>
        <v>0</v>
      </c>
      <c r="J1723" s="63"/>
      <c r="K1723" s="63"/>
      <c r="L1723" s="63"/>
      <c r="M1723" s="63"/>
      <c r="N1723" s="63"/>
      <c r="O1723" s="63"/>
      <c r="P1723" s="63"/>
      <c r="Q1723" s="63"/>
      <c r="R1723" s="63"/>
      <c r="S1723" s="63"/>
      <c r="T1723" s="63"/>
      <c r="U1723" s="10"/>
      <c r="V1723" s="90"/>
      <c r="W1723" s="91"/>
      <c r="X1723" s="92"/>
      <c r="Y1723" s="2"/>
    </row>
    <row r="1724" spans="2:25">
      <c r="B1724" s="87">
        <f t="shared" si="170"/>
        <v>7</v>
      </c>
      <c r="C1724" s="36"/>
      <c r="D1724" s="10"/>
      <c r="E1724" s="101"/>
      <c r="F1724" s="62"/>
      <c r="G1724" s="62"/>
      <c r="H1724" s="62"/>
      <c r="I1724" s="89">
        <f t="shared" si="169"/>
        <v>0</v>
      </c>
      <c r="J1724" s="63"/>
      <c r="K1724" s="63"/>
      <c r="L1724" s="63"/>
      <c r="M1724" s="63"/>
      <c r="N1724" s="63"/>
      <c r="O1724" s="63"/>
      <c r="P1724" s="63"/>
      <c r="Q1724" s="63"/>
      <c r="R1724" s="63"/>
      <c r="S1724" s="63"/>
      <c r="T1724" s="63"/>
      <c r="U1724" s="10"/>
      <c r="V1724" s="90"/>
      <c r="W1724" s="91"/>
      <c r="X1724" s="92"/>
      <c r="Y1724" s="2"/>
    </row>
    <row r="1725" spans="2:25">
      <c r="B1725" s="87">
        <f t="shared" si="170"/>
        <v>8</v>
      </c>
      <c r="C1725" s="36"/>
      <c r="D1725" s="10"/>
      <c r="E1725" s="101"/>
      <c r="F1725" s="62"/>
      <c r="G1725" s="62"/>
      <c r="H1725" s="62"/>
      <c r="I1725" s="89">
        <f t="shared" si="169"/>
        <v>0</v>
      </c>
      <c r="J1725" s="63"/>
      <c r="K1725" s="63"/>
      <c r="L1725" s="63"/>
      <c r="M1725" s="63"/>
      <c r="N1725" s="63"/>
      <c r="O1725" s="63"/>
      <c r="P1725" s="63"/>
      <c r="Q1725" s="63"/>
      <c r="R1725" s="63"/>
      <c r="S1725" s="63"/>
      <c r="T1725" s="63"/>
      <c r="U1725" s="10"/>
      <c r="V1725" s="90"/>
      <c r="W1725" s="91"/>
      <c r="X1725" s="92"/>
      <c r="Y1725" s="2"/>
    </row>
    <row r="1726" spans="2:25">
      <c r="B1726" s="132"/>
      <c r="C1726" s="36"/>
      <c r="D1726" s="123"/>
      <c r="E1726" s="123"/>
      <c r="F1726" s="133">
        <f>SUM(F1718:F1725)</f>
        <v>0</v>
      </c>
      <c r="G1726" s="133">
        <f>SUM(G1718:G1725)</f>
        <v>0</v>
      </c>
      <c r="H1726" s="133">
        <f>SUM(H1718:H1725)</f>
        <v>0</v>
      </c>
      <c r="I1726" s="134">
        <f>SUM(I1718:I1725)</f>
        <v>0</v>
      </c>
      <c r="J1726" s="127"/>
      <c r="K1726" s="64"/>
      <c r="L1726" s="64"/>
      <c r="M1726" s="64"/>
      <c r="N1726" s="64"/>
      <c r="O1726" s="64"/>
      <c r="P1726" s="64"/>
      <c r="Q1726" s="64"/>
      <c r="R1726" s="64"/>
      <c r="S1726" s="64"/>
      <c r="T1726" s="127"/>
      <c r="U1726" s="123"/>
      <c r="V1726" s="129"/>
      <c r="W1726" s="130"/>
      <c r="X1726" s="131"/>
      <c r="Y1726" s="128"/>
    </row>
    <row r="1727" spans="2:25">
      <c r="B1727" s="11"/>
      <c r="C1727" s="36"/>
      <c r="D1727" s="10"/>
      <c r="E1727" s="10"/>
      <c r="F1727" s="88"/>
      <c r="G1727" s="88"/>
      <c r="H1727" s="88"/>
      <c r="I1727" s="99"/>
      <c r="J1727" s="63"/>
      <c r="K1727" s="21"/>
      <c r="L1727" s="21"/>
      <c r="M1727" s="21"/>
      <c r="N1727" s="21"/>
      <c r="O1727" s="21"/>
      <c r="P1727" s="21"/>
      <c r="Q1727" s="21"/>
      <c r="R1727" s="21"/>
      <c r="S1727" s="21"/>
      <c r="T1727" s="63"/>
      <c r="U1727" s="10"/>
      <c r="V1727" s="90"/>
      <c r="W1727" s="91"/>
      <c r="X1727" s="92"/>
      <c r="Y1727" s="2"/>
    </row>
    <row r="1728" spans="2:25">
      <c r="B1728" s="121" t="s">
        <v>69</v>
      </c>
      <c r="C1728" s="36"/>
      <c r="D1728" s="123"/>
      <c r="E1728" s="123"/>
      <c r="F1728" s="124"/>
      <c r="G1728" s="125"/>
      <c r="H1728" s="124"/>
      <c r="I1728" s="126"/>
      <c r="J1728" s="127"/>
      <c r="K1728" s="128"/>
      <c r="L1728" s="128"/>
      <c r="M1728" s="128"/>
      <c r="N1728" s="128"/>
      <c r="O1728" s="128"/>
      <c r="P1728" s="128"/>
      <c r="Q1728" s="128"/>
      <c r="R1728" s="128"/>
      <c r="S1728" s="128"/>
      <c r="T1728" s="127"/>
      <c r="U1728" s="135"/>
      <c r="V1728" s="129"/>
      <c r="W1728" s="130"/>
      <c r="X1728" s="131"/>
      <c r="Y1728" s="128"/>
    </row>
    <row r="1729" spans="1:25">
      <c r="B1729" s="87">
        <v>1</v>
      </c>
      <c r="C1729" s="36"/>
      <c r="D1729" s="10"/>
      <c r="E1729" s="101"/>
      <c r="F1729" s="62"/>
      <c r="G1729" s="62"/>
      <c r="H1729" s="62"/>
      <c r="I1729" s="89">
        <f t="shared" ref="I1729:I1736" si="171">F1729-G1729-H1729</f>
        <v>0</v>
      </c>
      <c r="J1729" s="63"/>
      <c r="K1729" s="63"/>
      <c r="L1729" s="63"/>
      <c r="M1729" s="63"/>
      <c r="N1729" s="63"/>
      <c r="O1729" s="63"/>
      <c r="P1729" s="63"/>
      <c r="Q1729" s="63"/>
      <c r="R1729" s="63"/>
      <c r="S1729" s="63"/>
      <c r="T1729" s="63"/>
      <c r="U1729" s="94"/>
      <c r="V1729" s="90"/>
      <c r="W1729" s="91"/>
      <c r="X1729" s="92"/>
      <c r="Y1729" s="2"/>
    </row>
    <row r="1730" spans="1:25">
      <c r="B1730" s="87">
        <f t="shared" ref="B1730:B1736" si="172">B1729+1</f>
        <v>2</v>
      </c>
      <c r="C1730" s="36"/>
      <c r="D1730" s="10"/>
      <c r="E1730" s="101"/>
      <c r="F1730" s="62"/>
      <c r="G1730" s="62"/>
      <c r="H1730" s="62"/>
      <c r="I1730" s="89">
        <f t="shared" si="171"/>
        <v>0</v>
      </c>
      <c r="J1730" s="63"/>
      <c r="K1730" s="63"/>
      <c r="L1730" s="63"/>
      <c r="M1730" s="63"/>
      <c r="N1730" s="63"/>
      <c r="O1730" s="63"/>
      <c r="P1730" s="63"/>
      <c r="Q1730" s="63"/>
      <c r="R1730" s="63"/>
      <c r="S1730" s="63"/>
      <c r="T1730" s="63"/>
      <c r="U1730" s="94"/>
      <c r="V1730" s="90"/>
      <c r="W1730" s="91"/>
      <c r="X1730" s="92"/>
      <c r="Y1730" s="2"/>
    </row>
    <row r="1731" spans="1:25">
      <c r="B1731" s="87">
        <f t="shared" si="172"/>
        <v>3</v>
      </c>
      <c r="C1731" s="36"/>
      <c r="D1731" s="10"/>
      <c r="E1731" s="101"/>
      <c r="F1731" s="62"/>
      <c r="G1731" s="62"/>
      <c r="H1731" s="62"/>
      <c r="I1731" s="89">
        <f t="shared" si="171"/>
        <v>0</v>
      </c>
      <c r="J1731" s="63"/>
      <c r="K1731" s="63"/>
      <c r="L1731" s="63"/>
      <c r="M1731" s="63"/>
      <c r="N1731" s="63"/>
      <c r="O1731" s="63"/>
      <c r="P1731" s="63"/>
      <c r="Q1731" s="63"/>
      <c r="R1731" s="63"/>
      <c r="S1731" s="63"/>
      <c r="T1731" s="63"/>
      <c r="U1731" s="94"/>
      <c r="V1731" s="90"/>
      <c r="W1731" s="91"/>
      <c r="X1731" s="92"/>
      <c r="Y1731" s="2"/>
    </row>
    <row r="1732" spans="1:25">
      <c r="B1732" s="87">
        <f t="shared" si="172"/>
        <v>4</v>
      </c>
      <c r="C1732" s="36"/>
      <c r="D1732" s="10"/>
      <c r="E1732" s="101"/>
      <c r="F1732" s="62"/>
      <c r="G1732" s="62"/>
      <c r="H1732" s="62"/>
      <c r="I1732" s="89">
        <f t="shared" si="171"/>
        <v>0</v>
      </c>
      <c r="J1732" s="63"/>
      <c r="K1732" s="63"/>
      <c r="L1732" s="63"/>
      <c r="M1732" s="63"/>
      <c r="N1732" s="63"/>
      <c r="O1732" s="63"/>
      <c r="P1732" s="63"/>
      <c r="Q1732" s="63"/>
      <c r="R1732" s="63"/>
      <c r="S1732" s="63"/>
      <c r="T1732" s="63"/>
      <c r="U1732" s="94"/>
      <c r="V1732" s="90"/>
      <c r="W1732" s="91"/>
      <c r="X1732" s="92"/>
      <c r="Y1732" s="2"/>
    </row>
    <row r="1733" spans="1:25">
      <c r="B1733" s="87">
        <f t="shared" si="172"/>
        <v>5</v>
      </c>
      <c r="C1733" s="36"/>
      <c r="D1733" s="10"/>
      <c r="E1733" s="101"/>
      <c r="F1733" s="62"/>
      <c r="G1733" s="62"/>
      <c r="H1733" s="62"/>
      <c r="I1733" s="89">
        <f t="shared" si="171"/>
        <v>0</v>
      </c>
      <c r="J1733" s="63"/>
      <c r="K1733" s="63"/>
      <c r="L1733" s="63"/>
      <c r="M1733" s="63"/>
      <c r="N1733" s="63"/>
      <c r="O1733" s="63"/>
      <c r="P1733" s="63"/>
      <c r="Q1733" s="63"/>
      <c r="R1733" s="63"/>
      <c r="S1733" s="63"/>
      <c r="T1733" s="63"/>
      <c r="U1733" s="94"/>
      <c r="V1733" s="90"/>
      <c r="W1733" s="91"/>
      <c r="X1733" s="92"/>
      <c r="Y1733" s="2"/>
    </row>
    <row r="1734" spans="1:25">
      <c r="B1734" s="87">
        <f t="shared" si="172"/>
        <v>6</v>
      </c>
      <c r="C1734" s="36"/>
      <c r="D1734" s="10"/>
      <c r="E1734" s="101"/>
      <c r="F1734" s="62"/>
      <c r="G1734" s="62"/>
      <c r="H1734" s="62"/>
      <c r="I1734" s="89">
        <f t="shared" si="171"/>
        <v>0</v>
      </c>
      <c r="J1734" s="63"/>
      <c r="K1734" s="63"/>
      <c r="L1734" s="63"/>
      <c r="M1734" s="63"/>
      <c r="N1734" s="63"/>
      <c r="O1734" s="63"/>
      <c r="P1734" s="63"/>
      <c r="Q1734" s="63"/>
      <c r="R1734" s="63"/>
      <c r="S1734" s="63"/>
      <c r="T1734" s="63"/>
      <c r="U1734" s="94"/>
      <c r="V1734" s="90"/>
      <c r="W1734" s="91"/>
      <c r="X1734" s="92"/>
      <c r="Y1734" s="2"/>
    </row>
    <row r="1735" spans="1:25">
      <c r="B1735" s="87">
        <f t="shared" si="172"/>
        <v>7</v>
      </c>
      <c r="C1735" s="36"/>
      <c r="D1735" s="10"/>
      <c r="E1735" s="101"/>
      <c r="F1735" s="62"/>
      <c r="G1735" s="62"/>
      <c r="H1735" s="62"/>
      <c r="I1735" s="89">
        <f t="shared" si="171"/>
        <v>0</v>
      </c>
      <c r="J1735" s="63"/>
      <c r="K1735" s="63"/>
      <c r="L1735" s="63"/>
      <c r="M1735" s="63"/>
      <c r="N1735" s="63"/>
      <c r="O1735" s="63"/>
      <c r="P1735" s="63"/>
      <c r="Q1735" s="63"/>
      <c r="R1735" s="63"/>
      <c r="S1735" s="63"/>
      <c r="T1735" s="63"/>
      <c r="U1735" s="94"/>
      <c r="V1735" s="90"/>
      <c r="W1735" s="91"/>
      <c r="X1735" s="92"/>
      <c r="Y1735" s="2"/>
    </row>
    <row r="1736" spans="1:25">
      <c r="B1736" s="87">
        <f t="shared" si="172"/>
        <v>8</v>
      </c>
      <c r="C1736" s="36"/>
      <c r="D1736" s="10"/>
      <c r="E1736" s="101"/>
      <c r="F1736" s="62"/>
      <c r="G1736" s="62"/>
      <c r="H1736" s="62"/>
      <c r="I1736" s="89">
        <f t="shared" si="171"/>
        <v>0</v>
      </c>
      <c r="J1736" s="63"/>
      <c r="K1736" s="63"/>
      <c r="L1736" s="63"/>
      <c r="M1736" s="63"/>
      <c r="N1736" s="63"/>
      <c r="O1736" s="63"/>
      <c r="P1736" s="63"/>
      <c r="Q1736" s="63"/>
      <c r="R1736" s="63"/>
      <c r="S1736" s="63"/>
      <c r="T1736" s="63"/>
      <c r="U1736" s="94"/>
      <c r="V1736" s="90"/>
      <c r="W1736" s="91"/>
      <c r="X1736" s="92"/>
      <c r="Y1736" s="2"/>
    </row>
    <row r="1737" spans="1:25">
      <c r="B1737" s="132"/>
      <c r="C1737" s="36"/>
      <c r="D1737" s="123"/>
      <c r="E1737" s="123"/>
      <c r="F1737" s="133">
        <f>SUM(F1729:F1736)</f>
        <v>0</v>
      </c>
      <c r="G1737" s="133">
        <f>SUM(G1729:G1736)</f>
        <v>0</v>
      </c>
      <c r="H1737" s="133">
        <f>SUM(H1729:H1736)</f>
        <v>0</v>
      </c>
      <c r="I1737" s="134">
        <f>SUM(I1729:I1736)</f>
        <v>0</v>
      </c>
      <c r="J1737" s="127"/>
      <c r="K1737" s="64"/>
      <c r="L1737" s="64"/>
      <c r="M1737" s="64"/>
      <c r="N1737" s="64"/>
      <c r="O1737" s="64"/>
      <c r="P1737" s="64"/>
      <c r="Q1737" s="64"/>
      <c r="R1737" s="64"/>
      <c r="S1737" s="64"/>
      <c r="T1737" s="127"/>
      <c r="U1737" s="135"/>
      <c r="V1737" s="129"/>
      <c r="W1737" s="130"/>
      <c r="X1737" s="131"/>
      <c r="Y1737" s="128"/>
    </row>
    <row r="1738" spans="1:25">
      <c r="B1738" s="11"/>
      <c r="C1738" s="36"/>
      <c r="D1738" s="10"/>
      <c r="E1738" s="10"/>
      <c r="F1738" s="88"/>
      <c r="G1738" s="88"/>
      <c r="H1738" s="88"/>
      <c r="I1738" s="99"/>
      <c r="J1738" s="63"/>
      <c r="K1738" s="21"/>
      <c r="L1738" s="21"/>
      <c r="M1738" s="21"/>
      <c r="N1738" s="21"/>
      <c r="O1738" s="21"/>
      <c r="P1738" s="21"/>
      <c r="Q1738" s="21"/>
      <c r="R1738" s="21"/>
      <c r="S1738" s="21"/>
      <c r="T1738" s="63"/>
      <c r="U1738" s="94"/>
      <c r="V1738" s="90"/>
      <c r="W1738" s="91"/>
      <c r="X1738" s="92"/>
      <c r="Y1738" s="2"/>
    </row>
    <row r="1739" spans="1:25">
      <c r="B1739" s="121" t="s">
        <v>70</v>
      </c>
      <c r="C1739" s="36"/>
      <c r="D1739" s="123"/>
      <c r="E1739" s="128"/>
      <c r="F1739" s="124"/>
      <c r="G1739" s="124"/>
      <c r="H1739" s="124"/>
      <c r="I1739" s="126"/>
      <c r="J1739" s="127"/>
      <c r="K1739" s="64"/>
      <c r="L1739" s="64"/>
      <c r="M1739" s="64"/>
      <c r="N1739" s="64"/>
      <c r="O1739" s="64"/>
      <c r="P1739" s="64"/>
      <c r="Q1739" s="64"/>
      <c r="R1739" s="64"/>
      <c r="S1739" s="64"/>
      <c r="T1739" s="127"/>
      <c r="U1739" s="135"/>
      <c r="V1739" s="129"/>
      <c r="W1739" s="130"/>
      <c r="X1739" s="131"/>
      <c r="Y1739" s="128"/>
    </row>
    <row r="1740" spans="1:25">
      <c r="A1740" s="2" t="s">
        <v>1333</v>
      </c>
      <c r="B1740" s="87">
        <v>1</v>
      </c>
      <c r="C1740" s="262">
        <v>45964</v>
      </c>
      <c r="D1740" s="271">
        <v>75082</v>
      </c>
      <c r="E1740" s="271" t="s">
        <v>225</v>
      </c>
      <c r="F1740" s="265">
        <v>1675</v>
      </c>
      <c r="G1740" s="265">
        <f>39.7</f>
        <v>39.700000000000003</v>
      </c>
      <c r="H1740" s="265"/>
      <c r="I1740" s="272">
        <f>F1740-G1740-H1740</f>
        <v>1635.3</v>
      </c>
      <c r="J1740" s="267" t="s">
        <v>150</v>
      </c>
      <c r="K1740" s="267">
        <v>1</v>
      </c>
      <c r="L1740" s="267"/>
      <c r="M1740" s="267">
        <v>1</v>
      </c>
      <c r="N1740" s="267">
        <v>1</v>
      </c>
      <c r="O1740" s="267">
        <v>1</v>
      </c>
      <c r="P1740" s="267">
        <v>0</v>
      </c>
      <c r="Q1740" s="267"/>
      <c r="R1740" s="267"/>
      <c r="S1740" s="269"/>
      <c r="T1740" s="63"/>
      <c r="U1740" s="94" t="s">
        <v>2290</v>
      </c>
      <c r="V1740" s="90"/>
      <c r="W1740" s="465">
        <f>180</f>
        <v>180</v>
      </c>
      <c r="X1740" s="137"/>
      <c r="Y1740" s="2"/>
    </row>
    <row r="1741" spans="1:25">
      <c r="B1741" s="87">
        <f t="shared" ref="B1741:B1747" si="173">B1740+1</f>
        <v>2</v>
      </c>
      <c r="C1741" s="36"/>
      <c r="D1741" s="10"/>
      <c r="E1741" s="10"/>
      <c r="F1741" s="62"/>
      <c r="G1741" s="62"/>
      <c r="H1741" s="62"/>
      <c r="I1741" s="89">
        <f t="shared" ref="I1741" si="174">F1741-G1741-H1741</f>
        <v>0</v>
      </c>
      <c r="J1741" s="63"/>
      <c r="K1741" s="63"/>
      <c r="L1741" s="63"/>
      <c r="M1741" s="63"/>
      <c r="N1741" s="63"/>
      <c r="O1741" s="63"/>
      <c r="P1741" s="63"/>
      <c r="Q1741" s="63"/>
      <c r="R1741" s="63"/>
      <c r="S1741" s="63"/>
      <c r="T1741" s="63"/>
      <c r="U1741" s="94"/>
      <c r="V1741" s="90"/>
      <c r="W1741" s="136"/>
      <c r="X1741" s="137"/>
      <c r="Y1741" s="2"/>
    </row>
    <row r="1742" spans="1:25">
      <c r="B1742" s="87">
        <f t="shared" si="173"/>
        <v>3</v>
      </c>
      <c r="C1742" s="36"/>
      <c r="D1742" s="10"/>
      <c r="E1742" s="10"/>
      <c r="F1742" s="62"/>
      <c r="G1742" s="62"/>
      <c r="H1742" s="62"/>
      <c r="I1742" s="89">
        <f>F1742-G1742-H1742</f>
        <v>0</v>
      </c>
      <c r="J1742" s="63"/>
      <c r="K1742" s="63"/>
      <c r="L1742" s="63"/>
      <c r="M1742" s="63"/>
      <c r="N1742" s="63"/>
      <c r="O1742" s="63"/>
      <c r="P1742" s="63"/>
      <c r="Q1742" s="63"/>
      <c r="R1742" s="63"/>
      <c r="S1742" s="63"/>
      <c r="T1742" s="63"/>
      <c r="U1742" s="94"/>
      <c r="V1742" s="90"/>
      <c r="W1742" s="136"/>
      <c r="X1742" s="137"/>
      <c r="Y1742" s="2"/>
    </row>
    <row r="1743" spans="1:25">
      <c r="B1743" s="87">
        <f t="shared" si="173"/>
        <v>4</v>
      </c>
      <c r="C1743" s="36"/>
      <c r="D1743" s="10"/>
      <c r="E1743" s="10"/>
      <c r="F1743" s="62"/>
      <c r="G1743" s="62"/>
      <c r="H1743" s="62"/>
      <c r="I1743" s="89">
        <f>F1743-G1743-H1743</f>
        <v>0</v>
      </c>
      <c r="J1743" s="63"/>
      <c r="K1743" s="63"/>
      <c r="L1743" s="63"/>
      <c r="M1743" s="63"/>
      <c r="N1743" s="63"/>
      <c r="O1743" s="63"/>
      <c r="P1743" s="63"/>
      <c r="Q1743" s="63"/>
      <c r="R1743" s="63"/>
      <c r="S1743" s="63"/>
      <c r="T1743" s="63"/>
      <c r="U1743" s="94"/>
      <c r="V1743" s="90"/>
      <c r="W1743" s="136"/>
      <c r="X1743" s="137"/>
      <c r="Y1743" s="2"/>
    </row>
    <row r="1744" spans="1:25">
      <c r="B1744" s="87">
        <f t="shared" si="173"/>
        <v>5</v>
      </c>
      <c r="C1744" s="36"/>
      <c r="D1744" s="10"/>
      <c r="E1744" s="10"/>
      <c r="F1744" s="62"/>
      <c r="G1744" s="62"/>
      <c r="H1744" s="62"/>
      <c r="I1744" s="89">
        <f>F1744-G1744-H1744</f>
        <v>0</v>
      </c>
      <c r="J1744" s="63"/>
      <c r="K1744" s="63"/>
      <c r="L1744" s="63"/>
      <c r="M1744" s="63"/>
      <c r="N1744" s="63"/>
      <c r="O1744" s="63"/>
      <c r="P1744" s="63"/>
      <c r="Q1744" s="63"/>
      <c r="R1744" s="63"/>
      <c r="S1744" s="63"/>
      <c r="T1744" s="63"/>
      <c r="U1744" s="94"/>
      <c r="V1744" s="90"/>
      <c r="W1744" s="136"/>
      <c r="X1744" s="137"/>
      <c r="Y1744" s="2"/>
    </row>
    <row r="1745" spans="2:25">
      <c r="B1745" s="87">
        <f t="shared" si="173"/>
        <v>6</v>
      </c>
      <c r="C1745" s="36"/>
      <c r="D1745" s="10"/>
      <c r="E1745" s="10"/>
      <c r="F1745" s="62"/>
      <c r="G1745" s="62"/>
      <c r="H1745" s="62"/>
      <c r="I1745" s="89">
        <f>F1745-G1745-H1745</f>
        <v>0</v>
      </c>
      <c r="J1745" s="63"/>
      <c r="K1745" s="63"/>
      <c r="L1745" s="63"/>
      <c r="M1745" s="63"/>
      <c r="N1745" s="63"/>
      <c r="O1745" s="63"/>
      <c r="P1745" s="63"/>
      <c r="Q1745" s="63"/>
      <c r="R1745" s="63"/>
      <c r="S1745" s="63"/>
      <c r="T1745" s="63"/>
      <c r="U1745" s="94"/>
      <c r="V1745" s="90"/>
      <c r="W1745" s="136"/>
      <c r="X1745" s="137"/>
      <c r="Y1745" s="2"/>
    </row>
    <row r="1746" spans="2:25">
      <c r="B1746" s="87">
        <f t="shared" si="173"/>
        <v>7</v>
      </c>
      <c r="C1746" s="36"/>
      <c r="D1746" s="10"/>
      <c r="E1746" s="10"/>
      <c r="F1746" s="62"/>
      <c r="G1746" s="62"/>
      <c r="H1746" s="62"/>
      <c r="I1746" s="89">
        <f t="shared" ref="I1746:I1747" si="175">F1746-G1746-H1746</f>
        <v>0</v>
      </c>
      <c r="J1746" s="63"/>
      <c r="K1746" s="63"/>
      <c r="L1746" s="63"/>
      <c r="M1746" s="63"/>
      <c r="N1746" s="63"/>
      <c r="O1746" s="63"/>
      <c r="P1746" s="63"/>
      <c r="Q1746" s="63"/>
      <c r="R1746" s="63"/>
      <c r="S1746" s="63"/>
      <c r="T1746" s="63"/>
      <c r="U1746" s="94"/>
      <c r="V1746" s="90"/>
      <c r="W1746" s="136"/>
      <c r="X1746" s="137"/>
      <c r="Y1746" s="2"/>
    </row>
    <row r="1747" spans="2:25">
      <c r="B1747" s="87">
        <f t="shared" si="173"/>
        <v>8</v>
      </c>
      <c r="C1747" s="36"/>
      <c r="D1747" s="10"/>
      <c r="E1747" s="10"/>
      <c r="F1747" s="62"/>
      <c r="G1747" s="62"/>
      <c r="H1747" s="62"/>
      <c r="I1747" s="89">
        <f t="shared" si="175"/>
        <v>0</v>
      </c>
      <c r="J1747" s="63"/>
      <c r="K1747" s="63"/>
      <c r="L1747" s="63"/>
      <c r="M1747" s="63"/>
      <c r="N1747" s="63"/>
      <c r="O1747" s="63"/>
      <c r="P1747" s="63"/>
      <c r="Q1747" s="63"/>
      <c r="R1747" s="63"/>
      <c r="S1747" s="63"/>
      <c r="T1747" s="63"/>
      <c r="U1747" s="94"/>
      <c r="V1747" s="90"/>
      <c r="W1747" s="136"/>
      <c r="X1747" s="137"/>
      <c r="Y1747" s="2"/>
    </row>
    <row r="1748" spans="2:25">
      <c r="B1748" s="132"/>
      <c r="C1748" s="36"/>
      <c r="D1748" s="123"/>
      <c r="E1748" s="123"/>
      <c r="F1748" s="133">
        <f>SUM(F1740:F1747)</f>
        <v>1675</v>
      </c>
      <c r="G1748" s="133">
        <f t="shared" ref="G1748:I1748" si="176">SUM(G1740:G1747)</f>
        <v>39.700000000000003</v>
      </c>
      <c r="H1748" s="133">
        <f t="shared" si="176"/>
        <v>0</v>
      </c>
      <c r="I1748" s="134">
        <f t="shared" si="176"/>
        <v>1635.3</v>
      </c>
      <c r="J1748" s="127"/>
      <c r="K1748" s="64"/>
      <c r="L1748" s="64"/>
      <c r="M1748" s="64"/>
      <c r="N1748" s="64"/>
      <c r="O1748" s="64"/>
      <c r="P1748" s="64"/>
      <c r="Q1748" s="64"/>
      <c r="R1748" s="64"/>
      <c r="S1748" s="64"/>
      <c r="T1748" s="127"/>
      <c r="U1748" s="135"/>
      <c r="V1748" s="129"/>
      <c r="W1748" s="130"/>
      <c r="X1748" s="131"/>
      <c r="Y1748" s="128"/>
    </row>
    <row r="1749" spans="2:25">
      <c r="B1749" s="11"/>
      <c r="C1749" s="36"/>
      <c r="D1749" s="10"/>
      <c r="E1749" s="10"/>
      <c r="F1749" s="88"/>
      <c r="G1749" s="88"/>
      <c r="H1749" s="88"/>
      <c r="I1749" s="99"/>
      <c r="J1749" s="10"/>
      <c r="K1749" s="63"/>
      <c r="L1749" s="63"/>
      <c r="M1749" s="63"/>
      <c r="N1749" s="63"/>
      <c r="O1749" s="63"/>
      <c r="P1749" s="63"/>
      <c r="Q1749" s="63"/>
      <c r="R1749" s="63"/>
      <c r="S1749" s="63"/>
      <c r="T1749" s="63"/>
      <c r="U1749" s="94"/>
      <c r="V1749" s="90"/>
      <c r="W1749" s="91"/>
      <c r="X1749" s="92"/>
      <c r="Y1749" s="2"/>
    </row>
    <row r="1750" spans="2:25">
      <c r="B1750" s="121" t="s">
        <v>71</v>
      </c>
      <c r="C1750" s="36"/>
      <c r="D1750" s="123"/>
      <c r="E1750" s="128"/>
      <c r="F1750" s="124"/>
      <c r="G1750" s="124"/>
      <c r="H1750" s="124"/>
      <c r="I1750" s="126"/>
      <c r="J1750" s="127"/>
      <c r="K1750" s="64"/>
      <c r="L1750" s="64"/>
      <c r="M1750" s="64"/>
      <c r="N1750" s="64"/>
      <c r="O1750" s="64"/>
      <c r="P1750" s="64"/>
      <c r="Q1750" s="64"/>
      <c r="R1750" s="64"/>
      <c r="S1750" s="64"/>
      <c r="T1750" s="127"/>
      <c r="U1750" s="135"/>
      <c r="V1750" s="129"/>
      <c r="W1750" s="130"/>
      <c r="X1750" s="131"/>
      <c r="Y1750" s="128"/>
    </row>
    <row r="1751" spans="2:25">
      <c r="B1751" s="87">
        <v>1</v>
      </c>
      <c r="C1751" s="36"/>
      <c r="D1751" s="10"/>
      <c r="E1751" s="10"/>
      <c r="F1751" s="62"/>
      <c r="G1751" s="62"/>
      <c r="H1751" s="62"/>
      <c r="I1751" s="89">
        <f t="shared" ref="I1751:I1758" si="177">F1751-G1751-H1751</f>
        <v>0</v>
      </c>
      <c r="J1751" s="63"/>
      <c r="K1751" s="63"/>
      <c r="L1751" s="63"/>
      <c r="M1751" s="63"/>
      <c r="N1751" s="63"/>
      <c r="O1751" s="63"/>
      <c r="P1751" s="63"/>
      <c r="Q1751" s="63"/>
      <c r="R1751" s="63"/>
      <c r="S1751" s="63"/>
      <c r="T1751" s="63"/>
      <c r="U1751" s="94"/>
      <c r="V1751" s="90"/>
      <c r="W1751" s="136"/>
      <c r="X1751" s="137"/>
      <c r="Y1751" s="2"/>
    </row>
    <row r="1752" spans="2:25">
      <c r="B1752" s="87">
        <f t="shared" ref="B1752:B1758" si="178">B1751+1</f>
        <v>2</v>
      </c>
      <c r="C1752" s="36"/>
      <c r="D1752" s="10"/>
      <c r="E1752" s="10"/>
      <c r="F1752" s="62"/>
      <c r="G1752" s="62"/>
      <c r="H1752" s="62"/>
      <c r="I1752" s="89">
        <f t="shared" si="177"/>
        <v>0</v>
      </c>
      <c r="J1752" s="63"/>
      <c r="K1752" s="63"/>
      <c r="L1752" s="63"/>
      <c r="M1752" s="63"/>
      <c r="N1752" s="63"/>
      <c r="O1752" s="63"/>
      <c r="P1752" s="63"/>
      <c r="Q1752" s="63"/>
      <c r="R1752" s="63"/>
      <c r="S1752" s="63"/>
      <c r="T1752" s="63"/>
      <c r="U1752" s="94"/>
      <c r="V1752" s="90"/>
      <c r="W1752" s="136"/>
      <c r="X1752" s="137"/>
      <c r="Y1752" s="2"/>
    </row>
    <row r="1753" spans="2:25">
      <c r="B1753" s="87">
        <f t="shared" si="178"/>
        <v>3</v>
      </c>
      <c r="C1753" s="36"/>
      <c r="D1753" s="10"/>
      <c r="E1753" s="10"/>
      <c r="F1753" s="62"/>
      <c r="G1753" s="62"/>
      <c r="H1753" s="62"/>
      <c r="I1753" s="89">
        <f t="shared" si="177"/>
        <v>0</v>
      </c>
      <c r="J1753" s="63"/>
      <c r="K1753" s="63"/>
      <c r="L1753" s="63"/>
      <c r="M1753" s="63"/>
      <c r="N1753" s="63"/>
      <c r="O1753" s="63"/>
      <c r="P1753" s="63"/>
      <c r="Q1753" s="63"/>
      <c r="R1753" s="63"/>
      <c r="S1753" s="63"/>
      <c r="T1753" s="63"/>
      <c r="U1753" s="94"/>
      <c r="V1753" s="90"/>
      <c r="W1753" s="136"/>
      <c r="X1753" s="137"/>
      <c r="Y1753" s="2"/>
    </row>
    <row r="1754" spans="2:25">
      <c r="B1754" s="87">
        <f t="shared" si="178"/>
        <v>4</v>
      </c>
      <c r="C1754" s="36"/>
      <c r="D1754" s="10"/>
      <c r="E1754" s="10"/>
      <c r="F1754" s="62"/>
      <c r="G1754" s="62"/>
      <c r="H1754" s="62"/>
      <c r="I1754" s="89">
        <f t="shared" si="177"/>
        <v>0</v>
      </c>
      <c r="J1754" s="63"/>
      <c r="K1754" s="63"/>
      <c r="L1754" s="63"/>
      <c r="M1754" s="63"/>
      <c r="N1754" s="63"/>
      <c r="O1754" s="63"/>
      <c r="P1754" s="63"/>
      <c r="Q1754" s="63"/>
      <c r="R1754" s="63"/>
      <c r="S1754" s="63"/>
      <c r="T1754" s="63"/>
      <c r="U1754" s="94"/>
      <c r="V1754" s="90"/>
      <c r="W1754" s="136"/>
      <c r="X1754" s="137"/>
      <c r="Y1754" s="2"/>
    </row>
    <row r="1755" spans="2:25">
      <c r="B1755" s="87">
        <f t="shared" si="178"/>
        <v>5</v>
      </c>
      <c r="C1755" s="36"/>
      <c r="D1755" s="10"/>
      <c r="E1755" s="10"/>
      <c r="F1755" s="62"/>
      <c r="G1755" s="62"/>
      <c r="H1755" s="62"/>
      <c r="I1755" s="89">
        <f t="shared" si="177"/>
        <v>0</v>
      </c>
      <c r="J1755" s="63"/>
      <c r="K1755" s="63"/>
      <c r="L1755" s="63"/>
      <c r="M1755" s="63"/>
      <c r="N1755" s="63"/>
      <c r="O1755" s="63"/>
      <c r="P1755" s="63"/>
      <c r="Q1755" s="63"/>
      <c r="R1755" s="63"/>
      <c r="S1755" s="63"/>
      <c r="T1755" s="63"/>
      <c r="U1755" s="94"/>
      <c r="V1755" s="90"/>
      <c r="W1755" s="136"/>
      <c r="X1755" s="137"/>
      <c r="Y1755" s="2"/>
    </row>
    <row r="1756" spans="2:25">
      <c r="B1756" s="87">
        <f t="shared" si="178"/>
        <v>6</v>
      </c>
      <c r="C1756" s="36"/>
      <c r="D1756" s="10"/>
      <c r="E1756" s="10"/>
      <c r="F1756" s="62"/>
      <c r="G1756" s="62"/>
      <c r="H1756" s="62"/>
      <c r="I1756" s="89">
        <f t="shared" si="177"/>
        <v>0</v>
      </c>
      <c r="J1756" s="63"/>
      <c r="K1756" s="63"/>
      <c r="L1756" s="63"/>
      <c r="M1756" s="63"/>
      <c r="N1756" s="63"/>
      <c r="O1756" s="63"/>
      <c r="P1756" s="63"/>
      <c r="Q1756" s="63"/>
      <c r="R1756" s="63"/>
      <c r="S1756" s="63"/>
      <c r="T1756" s="63"/>
      <c r="U1756" s="94"/>
      <c r="V1756" s="90"/>
      <c r="W1756" s="136"/>
      <c r="X1756" s="137"/>
      <c r="Y1756" s="2"/>
    </row>
    <row r="1757" spans="2:25">
      <c r="B1757" s="87">
        <f t="shared" si="178"/>
        <v>7</v>
      </c>
      <c r="C1757" s="36"/>
      <c r="D1757" s="10"/>
      <c r="E1757" s="10"/>
      <c r="F1757" s="62"/>
      <c r="G1757" s="62"/>
      <c r="H1757" s="62"/>
      <c r="I1757" s="89">
        <f t="shared" si="177"/>
        <v>0</v>
      </c>
      <c r="J1757" s="63"/>
      <c r="K1757" s="63"/>
      <c r="L1757" s="63"/>
      <c r="M1757" s="63"/>
      <c r="N1757" s="63"/>
      <c r="O1757" s="63"/>
      <c r="P1757" s="63"/>
      <c r="Q1757" s="63"/>
      <c r="R1757" s="63"/>
      <c r="S1757" s="63"/>
      <c r="T1757" s="63"/>
      <c r="U1757" s="94"/>
      <c r="V1757" s="90"/>
      <c r="W1757" s="136"/>
      <c r="X1757" s="137"/>
      <c r="Y1757" s="2"/>
    </row>
    <row r="1758" spans="2:25">
      <c r="B1758" s="87">
        <f t="shared" si="178"/>
        <v>8</v>
      </c>
      <c r="C1758" s="36"/>
      <c r="D1758" s="10"/>
      <c r="E1758" s="10"/>
      <c r="F1758" s="62"/>
      <c r="G1758" s="62"/>
      <c r="H1758" s="62"/>
      <c r="I1758" s="89">
        <f t="shared" si="177"/>
        <v>0</v>
      </c>
      <c r="J1758" s="63"/>
      <c r="K1758" s="63"/>
      <c r="L1758" s="63"/>
      <c r="M1758" s="63"/>
      <c r="N1758" s="63"/>
      <c r="O1758" s="63"/>
      <c r="P1758" s="63"/>
      <c r="Q1758" s="63"/>
      <c r="R1758" s="63"/>
      <c r="S1758" s="63"/>
      <c r="T1758" s="63"/>
      <c r="U1758" s="94"/>
      <c r="V1758" s="90"/>
      <c r="W1758" s="136"/>
      <c r="X1758" s="137"/>
      <c r="Y1758" s="2"/>
    </row>
    <row r="1759" spans="2:25">
      <c r="B1759" s="132"/>
      <c r="C1759" s="36"/>
      <c r="D1759" s="123"/>
      <c r="E1759" s="123"/>
      <c r="F1759" s="133">
        <f>SUM(F1751:F1758)</f>
        <v>0</v>
      </c>
      <c r="G1759" s="133">
        <f>SUM(G1751:G1758)</f>
        <v>0</v>
      </c>
      <c r="H1759" s="133">
        <f>SUM(H1751:H1758)</f>
        <v>0</v>
      </c>
      <c r="I1759" s="134">
        <f>SUM(I1751:I1758)</f>
        <v>0</v>
      </c>
      <c r="J1759" s="127"/>
      <c r="K1759" s="64"/>
      <c r="L1759" s="64"/>
      <c r="M1759" s="64"/>
      <c r="N1759" s="64"/>
      <c r="O1759" s="64"/>
      <c r="P1759" s="64"/>
      <c r="Q1759" s="64"/>
      <c r="R1759" s="64"/>
      <c r="S1759" s="64"/>
      <c r="T1759" s="127"/>
      <c r="U1759" s="135"/>
      <c r="V1759" s="129"/>
      <c r="W1759" s="130"/>
      <c r="X1759" s="131"/>
      <c r="Y1759" s="128"/>
    </row>
    <row r="1760" spans="2:25">
      <c r="B1760" s="11"/>
      <c r="C1760" s="36"/>
      <c r="D1760" s="10"/>
      <c r="E1760" s="10"/>
      <c r="F1760" s="88"/>
      <c r="G1760" s="88"/>
      <c r="H1760" s="88"/>
      <c r="I1760" s="99"/>
      <c r="J1760" s="63"/>
      <c r="K1760" s="21"/>
      <c r="L1760" s="21"/>
      <c r="M1760" s="21"/>
      <c r="N1760" s="21"/>
      <c r="O1760" s="21"/>
      <c r="P1760" s="21"/>
      <c r="Q1760" s="21"/>
      <c r="R1760" s="21"/>
      <c r="S1760" s="21"/>
      <c r="T1760" s="63"/>
      <c r="U1760" s="94"/>
      <c r="V1760" s="90"/>
      <c r="W1760" s="91"/>
      <c r="X1760" s="92"/>
      <c r="Y1760" s="2"/>
    </row>
    <row r="1761" spans="2:25">
      <c r="B1761" s="100" t="s">
        <v>72</v>
      </c>
      <c r="C1761" s="36"/>
      <c r="D1761" s="10"/>
      <c r="E1761" s="10"/>
      <c r="F1761" s="88"/>
      <c r="G1761" s="88"/>
      <c r="H1761" s="88"/>
      <c r="I1761" s="99"/>
      <c r="J1761" s="63"/>
      <c r="K1761" s="63"/>
      <c r="L1761" s="63"/>
      <c r="M1761" s="63"/>
      <c r="N1761" s="63"/>
      <c r="O1761" s="63"/>
      <c r="P1761" s="63"/>
      <c r="Q1761" s="63"/>
      <c r="R1761" s="63"/>
      <c r="S1761" s="63"/>
      <c r="T1761" s="63"/>
      <c r="U1761" s="10"/>
      <c r="V1761" s="90"/>
      <c r="W1761" s="91"/>
      <c r="X1761" s="92"/>
      <c r="Y1761" s="2"/>
    </row>
    <row r="1762" spans="2:25">
      <c r="B1762" s="87">
        <v>1</v>
      </c>
      <c r="C1762" s="274">
        <v>45964</v>
      </c>
      <c r="D1762" s="276">
        <v>74945</v>
      </c>
      <c r="E1762" s="276" t="s">
        <v>322</v>
      </c>
      <c r="F1762" s="277">
        <v>1861</v>
      </c>
      <c r="G1762" s="277">
        <v>39.700000000000003</v>
      </c>
      <c r="H1762" s="277"/>
      <c r="I1762" s="278">
        <f t="shared" ref="I1762:I1779" si="179">F1762-G1762-H1762</f>
        <v>1821.3</v>
      </c>
      <c r="J1762" s="279" t="s">
        <v>205</v>
      </c>
      <c r="K1762" s="279">
        <v>1</v>
      </c>
      <c r="L1762" s="279"/>
      <c r="M1762" s="279"/>
      <c r="N1762" s="279">
        <v>1</v>
      </c>
      <c r="O1762" s="279"/>
      <c r="P1762" s="279"/>
      <c r="Q1762" s="279">
        <v>1</v>
      </c>
      <c r="R1762" s="279">
        <v>1</v>
      </c>
      <c r="S1762" s="280"/>
      <c r="T1762" s="63"/>
      <c r="U1762" s="3"/>
      <c r="V1762" s="90"/>
      <c r="W1762" s="91"/>
      <c r="X1762" s="92"/>
      <c r="Y1762" s="2"/>
    </row>
    <row r="1763" spans="2:25">
      <c r="B1763" s="87">
        <f t="shared" ref="B1763:B1779" si="180">B1762+1</f>
        <v>2</v>
      </c>
      <c r="C1763" s="295">
        <v>45964</v>
      </c>
      <c r="D1763" s="77" t="s">
        <v>2291</v>
      </c>
      <c r="E1763" s="10" t="s">
        <v>1863</v>
      </c>
      <c r="F1763" s="62">
        <v>14593</v>
      </c>
      <c r="G1763" s="62">
        <v>39.700000000000003</v>
      </c>
      <c r="H1763" s="62"/>
      <c r="I1763" s="89">
        <f t="shared" si="179"/>
        <v>14553.3</v>
      </c>
      <c r="J1763" s="63" t="s">
        <v>205</v>
      </c>
      <c r="K1763" s="63">
        <v>1</v>
      </c>
      <c r="L1763" s="63"/>
      <c r="M1763" s="63"/>
      <c r="N1763" s="63">
        <v>1</v>
      </c>
      <c r="O1763" s="63"/>
      <c r="P1763" s="63"/>
      <c r="Q1763" s="63"/>
      <c r="R1763" s="63"/>
      <c r="S1763" s="296"/>
      <c r="T1763" s="63"/>
      <c r="U1763" s="10"/>
      <c r="V1763" s="90"/>
      <c r="W1763" s="136"/>
      <c r="X1763" s="137"/>
      <c r="Y1763" s="2"/>
    </row>
    <row r="1764" spans="2:25">
      <c r="B1764" s="87">
        <f t="shared" si="180"/>
        <v>3</v>
      </c>
      <c r="C1764" s="295">
        <v>45964</v>
      </c>
      <c r="D1764" s="10">
        <v>75049</v>
      </c>
      <c r="E1764" s="10" t="s">
        <v>155</v>
      </c>
      <c r="F1764" s="62">
        <v>3978</v>
      </c>
      <c r="G1764" s="62">
        <v>39.700000000000003</v>
      </c>
      <c r="H1764" s="62"/>
      <c r="I1764" s="89">
        <f t="shared" si="179"/>
        <v>3938.3</v>
      </c>
      <c r="J1764" s="63" t="s">
        <v>205</v>
      </c>
      <c r="K1764" s="63">
        <v>1</v>
      </c>
      <c r="L1764" s="63"/>
      <c r="M1764" s="63"/>
      <c r="N1764" s="63">
        <v>1</v>
      </c>
      <c r="O1764" s="63"/>
      <c r="P1764" s="63"/>
      <c r="Q1764" s="63">
        <v>1</v>
      </c>
      <c r="R1764" s="63">
        <v>1</v>
      </c>
      <c r="S1764" s="296"/>
      <c r="T1764" s="63"/>
      <c r="U1764" s="10"/>
      <c r="V1764" s="90"/>
      <c r="W1764" s="136"/>
      <c r="X1764" s="137"/>
      <c r="Y1764" s="2"/>
    </row>
    <row r="1765" spans="2:25">
      <c r="B1765" s="87">
        <f t="shared" si="180"/>
        <v>4</v>
      </c>
      <c r="C1765" s="295">
        <v>45964</v>
      </c>
      <c r="D1765" s="10">
        <v>75088</v>
      </c>
      <c r="E1765" s="10" t="s">
        <v>155</v>
      </c>
      <c r="F1765" s="62">
        <v>0</v>
      </c>
      <c r="G1765" s="62">
        <v>0</v>
      </c>
      <c r="H1765" s="62"/>
      <c r="I1765" s="89">
        <f t="shared" si="179"/>
        <v>0</v>
      </c>
      <c r="J1765" s="63" t="s">
        <v>156</v>
      </c>
      <c r="K1765" s="63">
        <v>1</v>
      </c>
      <c r="L1765" s="63"/>
      <c r="M1765" s="63">
        <v>1</v>
      </c>
      <c r="N1765" s="63"/>
      <c r="O1765" s="63"/>
      <c r="P1765" s="63"/>
      <c r="Q1765" s="63"/>
      <c r="R1765" s="63"/>
      <c r="S1765" s="296"/>
      <c r="T1765" s="63"/>
      <c r="U1765" s="10"/>
      <c r="V1765" s="90">
        <v>203.5</v>
      </c>
      <c r="W1765" s="136"/>
      <c r="X1765" s="137"/>
      <c r="Y1765" s="2"/>
    </row>
    <row r="1766" spans="2:25">
      <c r="B1766" s="87">
        <f t="shared" si="180"/>
        <v>5</v>
      </c>
      <c r="C1766" s="295">
        <v>45964</v>
      </c>
      <c r="D1766" s="10" t="s">
        <v>2292</v>
      </c>
      <c r="E1766" s="10" t="s">
        <v>168</v>
      </c>
      <c r="F1766" s="62">
        <v>1134</v>
      </c>
      <c r="G1766" s="62">
        <v>39.700000000000003</v>
      </c>
      <c r="H1766" s="62"/>
      <c r="I1766" s="89">
        <f t="shared" si="179"/>
        <v>1094.3</v>
      </c>
      <c r="J1766" s="63" t="s">
        <v>205</v>
      </c>
      <c r="K1766" s="63">
        <v>1</v>
      </c>
      <c r="L1766" s="63"/>
      <c r="M1766" s="63"/>
      <c r="N1766" s="63">
        <v>1</v>
      </c>
      <c r="O1766" s="63"/>
      <c r="P1766" s="63"/>
      <c r="Q1766" s="63">
        <v>1</v>
      </c>
      <c r="R1766" s="63">
        <v>1</v>
      </c>
      <c r="S1766" s="296"/>
      <c r="T1766" s="63"/>
      <c r="U1766" s="10"/>
      <c r="V1766" s="90"/>
      <c r="W1766" s="136"/>
      <c r="X1766" s="137"/>
      <c r="Y1766" s="2"/>
    </row>
    <row r="1767" spans="2:25">
      <c r="B1767" s="87">
        <f t="shared" si="180"/>
        <v>6</v>
      </c>
      <c r="C1767" s="295">
        <v>45964</v>
      </c>
      <c r="D1767" s="10" t="s">
        <v>2293</v>
      </c>
      <c r="E1767" s="10" t="s">
        <v>168</v>
      </c>
      <c r="F1767" s="62">
        <v>1681</v>
      </c>
      <c r="G1767" s="62">
        <v>39.700000000000003</v>
      </c>
      <c r="H1767" s="62"/>
      <c r="I1767" s="89">
        <f t="shared" si="179"/>
        <v>1641.3</v>
      </c>
      <c r="J1767" s="63" t="s">
        <v>205</v>
      </c>
      <c r="K1767" s="63">
        <v>1</v>
      </c>
      <c r="L1767" s="63"/>
      <c r="M1767" s="63"/>
      <c r="N1767" s="63">
        <v>1</v>
      </c>
      <c r="O1767" s="63"/>
      <c r="P1767" s="63"/>
      <c r="Q1767" s="63">
        <v>1</v>
      </c>
      <c r="R1767" s="63">
        <v>1</v>
      </c>
      <c r="S1767" s="296"/>
      <c r="T1767" s="63"/>
      <c r="U1767" s="10"/>
      <c r="V1767" s="90"/>
      <c r="W1767" s="136"/>
      <c r="X1767" s="137"/>
      <c r="Y1767" s="2"/>
    </row>
    <row r="1768" spans="2:25">
      <c r="B1768" s="87">
        <f t="shared" si="180"/>
        <v>7</v>
      </c>
      <c r="C1768" s="295">
        <v>45964</v>
      </c>
      <c r="D1768" s="10">
        <v>75091</v>
      </c>
      <c r="E1768" s="101" t="s">
        <v>751</v>
      </c>
      <c r="F1768" s="62">
        <v>1461</v>
      </c>
      <c r="G1768" s="62">
        <v>39.700000000000003</v>
      </c>
      <c r="H1768" s="62"/>
      <c r="I1768" s="89">
        <f t="shared" si="179"/>
        <v>1421.3</v>
      </c>
      <c r="J1768" s="63" t="s">
        <v>205</v>
      </c>
      <c r="K1768" s="63">
        <v>1</v>
      </c>
      <c r="L1768" s="63"/>
      <c r="M1768" s="63"/>
      <c r="N1768" s="63">
        <v>1</v>
      </c>
      <c r="O1768" s="63"/>
      <c r="P1768" s="63"/>
      <c r="Q1768" s="63">
        <v>1</v>
      </c>
      <c r="R1768" s="63">
        <v>1</v>
      </c>
      <c r="S1768" s="296"/>
      <c r="T1768" s="63"/>
      <c r="U1768" s="10"/>
      <c r="V1768" s="90"/>
      <c r="W1768" s="136"/>
      <c r="X1768" s="137"/>
      <c r="Y1768" s="2"/>
    </row>
    <row r="1769" spans="2:25">
      <c r="B1769" s="87">
        <f t="shared" si="180"/>
        <v>8</v>
      </c>
      <c r="C1769" s="282">
        <v>45964</v>
      </c>
      <c r="D1769" s="283">
        <v>75109</v>
      </c>
      <c r="E1769" s="319" t="s">
        <v>512</v>
      </c>
      <c r="F1769" s="284">
        <v>0</v>
      </c>
      <c r="G1769" s="284">
        <v>0</v>
      </c>
      <c r="H1769" s="284"/>
      <c r="I1769" s="285">
        <f t="shared" si="179"/>
        <v>0</v>
      </c>
      <c r="J1769" s="286" t="s">
        <v>219</v>
      </c>
      <c r="K1769" s="286"/>
      <c r="L1769" s="286"/>
      <c r="M1769" s="286"/>
      <c r="N1769" s="286"/>
      <c r="O1769" s="286"/>
      <c r="P1769" s="286"/>
      <c r="Q1769" s="286"/>
      <c r="R1769" s="286"/>
      <c r="S1769" s="287"/>
      <c r="T1769" s="63"/>
      <c r="U1769" s="10"/>
      <c r="V1769" s="90"/>
      <c r="W1769" s="136"/>
      <c r="X1769" s="137"/>
      <c r="Y1769" s="2"/>
    </row>
    <row r="1770" spans="2:25">
      <c r="B1770" s="87">
        <f t="shared" si="180"/>
        <v>9</v>
      </c>
      <c r="C1770" s="36"/>
      <c r="D1770" s="10"/>
      <c r="E1770" s="101"/>
      <c r="F1770" s="62"/>
      <c r="G1770" s="62"/>
      <c r="H1770" s="62"/>
      <c r="I1770" s="89">
        <f t="shared" si="179"/>
        <v>0</v>
      </c>
      <c r="J1770" s="63"/>
      <c r="K1770" s="63"/>
      <c r="L1770" s="63"/>
      <c r="M1770" s="63"/>
      <c r="N1770" s="63"/>
      <c r="O1770" s="63"/>
      <c r="P1770" s="63"/>
      <c r="Q1770" s="63"/>
      <c r="R1770" s="63"/>
      <c r="S1770" s="63"/>
      <c r="T1770" s="63"/>
      <c r="U1770" s="10"/>
      <c r="V1770" s="90"/>
      <c r="W1770" s="136"/>
      <c r="X1770" s="137"/>
      <c r="Y1770" s="2"/>
    </row>
    <row r="1771" spans="2:25">
      <c r="B1771" s="87">
        <f t="shared" si="180"/>
        <v>10</v>
      </c>
      <c r="C1771" s="36"/>
      <c r="D1771" s="10"/>
      <c r="E1771" s="101"/>
      <c r="F1771" s="62"/>
      <c r="G1771" s="62"/>
      <c r="H1771" s="62"/>
      <c r="I1771" s="89">
        <f t="shared" si="179"/>
        <v>0</v>
      </c>
      <c r="J1771" s="63"/>
      <c r="K1771" s="63"/>
      <c r="L1771" s="63"/>
      <c r="M1771" s="63"/>
      <c r="N1771" s="63"/>
      <c r="O1771" s="63"/>
      <c r="P1771" s="63"/>
      <c r="Q1771" s="63"/>
      <c r="R1771" s="63"/>
      <c r="S1771" s="63"/>
      <c r="T1771" s="63"/>
      <c r="U1771" s="10"/>
      <c r="V1771" s="90"/>
      <c r="W1771" s="136"/>
      <c r="X1771" s="137"/>
      <c r="Y1771" s="2"/>
    </row>
    <row r="1772" spans="2:25">
      <c r="B1772" s="87">
        <f t="shared" si="180"/>
        <v>11</v>
      </c>
      <c r="C1772" s="36"/>
      <c r="D1772" s="10"/>
      <c r="E1772" s="101"/>
      <c r="F1772" s="62"/>
      <c r="G1772" s="62"/>
      <c r="H1772" s="62"/>
      <c r="I1772" s="89">
        <f t="shared" si="179"/>
        <v>0</v>
      </c>
      <c r="J1772" s="63"/>
      <c r="K1772" s="63"/>
      <c r="L1772" s="63"/>
      <c r="M1772" s="63"/>
      <c r="N1772" s="63"/>
      <c r="O1772" s="63"/>
      <c r="P1772" s="63"/>
      <c r="Q1772" s="63"/>
      <c r="R1772" s="63"/>
      <c r="S1772" s="63"/>
      <c r="T1772" s="63"/>
      <c r="U1772" s="10"/>
      <c r="V1772" s="90"/>
      <c r="W1772" s="136"/>
      <c r="X1772" s="137"/>
      <c r="Y1772" s="2"/>
    </row>
    <row r="1773" spans="2:25">
      <c r="B1773" s="87">
        <f t="shared" si="180"/>
        <v>12</v>
      </c>
      <c r="C1773" s="36"/>
      <c r="D1773" s="10"/>
      <c r="E1773" s="101"/>
      <c r="F1773" s="62"/>
      <c r="G1773" s="62"/>
      <c r="H1773" s="62"/>
      <c r="I1773" s="89">
        <f t="shared" si="179"/>
        <v>0</v>
      </c>
      <c r="J1773" s="63"/>
      <c r="K1773" s="63"/>
      <c r="L1773" s="63"/>
      <c r="M1773" s="63"/>
      <c r="N1773" s="63"/>
      <c r="O1773" s="63"/>
      <c r="P1773" s="63"/>
      <c r="Q1773" s="63"/>
      <c r="R1773" s="63"/>
      <c r="S1773" s="63"/>
      <c r="T1773" s="63"/>
      <c r="U1773" s="10"/>
      <c r="V1773" s="90"/>
      <c r="W1773" s="136"/>
      <c r="X1773" s="137"/>
      <c r="Y1773" s="2"/>
    </row>
    <row r="1774" spans="2:25">
      <c r="B1774" s="87">
        <f t="shared" si="180"/>
        <v>13</v>
      </c>
      <c r="C1774" s="36"/>
      <c r="D1774" s="10"/>
      <c r="E1774" s="101"/>
      <c r="F1774" s="62"/>
      <c r="G1774" s="62"/>
      <c r="H1774" s="62"/>
      <c r="I1774" s="89">
        <f t="shared" si="179"/>
        <v>0</v>
      </c>
      <c r="J1774" s="63"/>
      <c r="K1774" s="63"/>
      <c r="L1774" s="63"/>
      <c r="M1774" s="63"/>
      <c r="N1774" s="63"/>
      <c r="O1774" s="63"/>
      <c r="P1774" s="63"/>
      <c r="Q1774" s="63"/>
      <c r="R1774" s="63"/>
      <c r="S1774" s="63"/>
      <c r="T1774" s="63"/>
      <c r="U1774" s="10"/>
      <c r="V1774" s="90"/>
      <c r="W1774" s="136"/>
      <c r="X1774" s="137"/>
      <c r="Y1774" s="2"/>
    </row>
    <row r="1775" spans="2:25">
      <c r="B1775" s="87">
        <f t="shared" si="180"/>
        <v>14</v>
      </c>
      <c r="C1775" s="36"/>
      <c r="D1775" s="10"/>
      <c r="E1775" s="10"/>
      <c r="F1775" s="62"/>
      <c r="G1775" s="62"/>
      <c r="H1775" s="62"/>
      <c r="I1775" s="89">
        <f t="shared" si="179"/>
        <v>0</v>
      </c>
      <c r="J1775" s="63"/>
      <c r="K1775" s="63"/>
      <c r="L1775" s="63"/>
      <c r="M1775" s="63"/>
      <c r="N1775" s="63"/>
      <c r="O1775" s="63"/>
      <c r="P1775" s="63"/>
      <c r="Q1775" s="63"/>
      <c r="R1775" s="63"/>
      <c r="S1775" s="63"/>
      <c r="T1775" s="63"/>
      <c r="U1775" s="10"/>
      <c r="V1775" s="90"/>
      <c r="W1775" s="136"/>
      <c r="X1775" s="137"/>
      <c r="Y1775" s="2"/>
    </row>
    <row r="1776" spans="2:25">
      <c r="B1776" s="87">
        <f t="shared" si="180"/>
        <v>15</v>
      </c>
      <c r="C1776" s="36"/>
      <c r="D1776" s="10"/>
      <c r="E1776" s="10"/>
      <c r="F1776" s="62"/>
      <c r="G1776" s="62"/>
      <c r="H1776" s="62"/>
      <c r="I1776" s="89">
        <f t="shared" si="179"/>
        <v>0</v>
      </c>
      <c r="J1776" s="63"/>
      <c r="K1776" s="63"/>
      <c r="L1776" s="63"/>
      <c r="M1776" s="63"/>
      <c r="N1776" s="63"/>
      <c r="O1776" s="63"/>
      <c r="P1776" s="63"/>
      <c r="Q1776" s="63"/>
      <c r="R1776" s="63"/>
      <c r="S1776" s="63"/>
      <c r="T1776" s="63"/>
      <c r="U1776" s="10"/>
      <c r="V1776" s="90"/>
      <c r="W1776" s="136"/>
      <c r="X1776" s="137"/>
      <c r="Y1776" s="2"/>
    </row>
    <row r="1777" spans="2:25">
      <c r="B1777" s="87">
        <f t="shared" si="180"/>
        <v>16</v>
      </c>
      <c r="C1777" s="36"/>
      <c r="D1777" s="10"/>
      <c r="E1777" s="10"/>
      <c r="F1777" s="62"/>
      <c r="G1777" s="62"/>
      <c r="H1777" s="62"/>
      <c r="I1777" s="89">
        <f t="shared" si="179"/>
        <v>0</v>
      </c>
      <c r="J1777" s="63"/>
      <c r="K1777" s="63"/>
      <c r="L1777" s="63"/>
      <c r="M1777" s="63"/>
      <c r="N1777" s="63"/>
      <c r="O1777" s="63"/>
      <c r="P1777" s="63"/>
      <c r="Q1777" s="63"/>
      <c r="R1777" s="63"/>
      <c r="S1777" s="63"/>
      <c r="T1777" s="63"/>
      <c r="U1777" s="10"/>
      <c r="V1777" s="90"/>
      <c r="W1777" s="136"/>
      <c r="X1777" s="137"/>
      <c r="Y1777" s="2"/>
    </row>
    <row r="1778" spans="2:25">
      <c r="B1778" s="87">
        <f t="shared" si="180"/>
        <v>17</v>
      </c>
      <c r="C1778" s="36"/>
      <c r="D1778" s="10"/>
      <c r="E1778" s="10"/>
      <c r="F1778" s="62"/>
      <c r="G1778" s="62"/>
      <c r="H1778" s="62"/>
      <c r="I1778" s="89">
        <f t="shared" si="179"/>
        <v>0</v>
      </c>
      <c r="J1778" s="63"/>
      <c r="K1778" s="63"/>
      <c r="L1778" s="63"/>
      <c r="M1778" s="63"/>
      <c r="N1778" s="63"/>
      <c r="O1778" s="63"/>
      <c r="P1778" s="63"/>
      <c r="Q1778" s="63"/>
      <c r="R1778" s="63"/>
      <c r="S1778" s="63"/>
      <c r="T1778" s="63"/>
      <c r="U1778" s="10"/>
      <c r="V1778" s="90"/>
      <c r="W1778" s="136"/>
      <c r="X1778" s="137"/>
      <c r="Y1778" s="2"/>
    </row>
    <row r="1779" spans="2:25">
      <c r="B1779" s="87">
        <f t="shared" si="180"/>
        <v>18</v>
      </c>
      <c r="C1779" s="36"/>
      <c r="D1779" s="10"/>
      <c r="E1779" s="10"/>
      <c r="F1779" s="62"/>
      <c r="G1779" s="62"/>
      <c r="H1779" s="62"/>
      <c r="I1779" s="89">
        <f t="shared" si="179"/>
        <v>0</v>
      </c>
      <c r="J1779" s="63"/>
      <c r="K1779" s="63"/>
      <c r="L1779" s="63"/>
      <c r="M1779" s="63"/>
      <c r="N1779" s="63"/>
      <c r="O1779" s="63"/>
      <c r="P1779" s="63"/>
      <c r="Q1779" s="63"/>
      <c r="R1779" s="63"/>
      <c r="S1779" s="63"/>
      <c r="T1779" s="63"/>
      <c r="U1779" s="10"/>
      <c r="V1779" s="90"/>
      <c r="W1779" s="136"/>
      <c r="X1779" s="137"/>
      <c r="Y1779" s="2"/>
    </row>
    <row r="1780" spans="2:25">
      <c r="B1780" s="11"/>
      <c r="C1780" s="36"/>
      <c r="D1780" s="10"/>
      <c r="E1780" s="10"/>
      <c r="F1780" s="97">
        <f>SUM(F1762:F1779)</f>
        <v>24708</v>
      </c>
      <c r="G1780" s="97">
        <f>SUM(G1762:G1779)</f>
        <v>238.2</v>
      </c>
      <c r="H1780" s="97">
        <f>SUM(H1762:H1779)</f>
        <v>0</v>
      </c>
      <c r="I1780" s="98">
        <f>SUM(I1762:I1779)</f>
        <v>24469.799999999996</v>
      </c>
      <c r="J1780" s="10"/>
      <c r="K1780" s="10"/>
      <c r="L1780" s="10"/>
      <c r="M1780" s="10"/>
      <c r="N1780" s="10"/>
      <c r="O1780" s="10"/>
      <c r="P1780" s="10"/>
      <c r="Q1780" s="10"/>
      <c r="R1780" s="10"/>
      <c r="S1780" s="10"/>
      <c r="T1780" s="63"/>
      <c r="U1780" s="10"/>
      <c r="V1780" s="138"/>
      <c r="W1780" s="136"/>
      <c r="X1780" s="137"/>
      <c r="Y1780" s="2"/>
    </row>
    <row r="1781" spans="2:25">
      <c r="B1781" s="11"/>
      <c r="C1781" s="36"/>
      <c r="D1781" s="10"/>
      <c r="E1781" s="10"/>
      <c r="F1781" s="88"/>
      <c r="G1781" s="88"/>
      <c r="H1781" s="88"/>
      <c r="I1781" s="99"/>
      <c r="J1781" s="10"/>
      <c r="K1781" s="10"/>
      <c r="L1781" s="10"/>
      <c r="M1781" s="10"/>
      <c r="N1781" s="10"/>
      <c r="O1781" s="10"/>
      <c r="P1781" s="10"/>
      <c r="Q1781" s="10"/>
      <c r="R1781" s="10"/>
      <c r="S1781" s="10"/>
      <c r="T1781" s="63"/>
      <c r="U1781" s="10"/>
      <c r="V1781" s="138"/>
      <c r="W1781" s="136"/>
      <c r="X1781" s="137"/>
      <c r="Y1781" s="2"/>
    </row>
    <row r="1782" spans="2:25">
      <c r="B1782" s="100" t="s">
        <v>73</v>
      </c>
      <c r="C1782" s="36"/>
      <c r="D1782" s="10"/>
      <c r="E1782" s="10"/>
      <c r="F1782" s="88"/>
      <c r="G1782" s="88"/>
      <c r="H1782" s="88"/>
      <c r="I1782" s="99"/>
      <c r="J1782" s="63"/>
      <c r="K1782" s="63"/>
      <c r="L1782" s="63"/>
      <c r="M1782" s="63"/>
      <c r="N1782" s="63"/>
      <c r="O1782" s="63"/>
      <c r="P1782" s="63"/>
      <c r="Q1782" s="63"/>
      <c r="R1782" s="63"/>
      <c r="S1782" s="63"/>
      <c r="T1782" s="63"/>
      <c r="U1782" s="94"/>
      <c r="V1782" s="90"/>
      <c r="W1782" s="91"/>
      <c r="X1782" s="92"/>
      <c r="Y1782" s="2"/>
    </row>
    <row r="1783" spans="2:25">
      <c r="B1783" s="87">
        <v>1</v>
      </c>
      <c r="C1783" s="36"/>
      <c r="D1783" s="10"/>
      <c r="E1783" s="10"/>
      <c r="F1783" s="62"/>
      <c r="G1783" s="62"/>
      <c r="H1783" s="62"/>
      <c r="I1783" s="89">
        <f t="shared" ref="I1783:I1788" si="181">F1783-G1783-H1783</f>
        <v>0</v>
      </c>
      <c r="J1783" s="63"/>
      <c r="K1783" s="63"/>
      <c r="L1783" s="63"/>
      <c r="M1783" s="63"/>
      <c r="N1783" s="63"/>
      <c r="O1783" s="63"/>
      <c r="P1783" s="63"/>
      <c r="Q1783" s="63"/>
      <c r="R1783" s="63"/>
      <c r="S1783" s="63"/>
      <c r="T1783" s="63"/>
      <c r="U1783" s="139"/>
      <c r="V1783" s="90"/>
      <c r="W1783" s="91"/>
      <c r="X1783" s="92"/>
      <c r="Y1783" s="2"/>
    </row>
    <row r="1784" spans="2:25">
      <c r="B1784" s="87">
        <f>B1783+1</f>
        <v>2</v>
      </c>
      <c r="C1784" s="36"/>
      <c r="D1784" s="10"/>
      <c r="E1784" s="10"/>
      <c r="F1784" s="62"/>
      <c r="G1784" s="62"/>
      <c r="H1784" s="62"/>
      <c r="I1784" s="89">
        <f t="shared" si="181"/>
        <v>0</v>
      </c>
      <c r="J1784" s="63"/>
      <c r="K1784" s="63"/>
      <c r="L1784" s="63"/>
      <c r="M1784" s="63"/>
      <c r="N1784" s="63"/>
      <c r="O1784" s="63"/>
      <c r="P1784" s="63"/>
      <c r="Q1784" s="63"/>
      <c r="R1784" s="63"/>
      <c r="S1784" s="63"/>
      <c r="T1784" s="63"/>
      <c r="U1784" s="94"/>
      <c r="V1784" s="90"/>
      <c r="W1784" s="136"/>
      <c r="X1784" s="137"/>
      <c r="Y1784" s="2"/>
    </row>
    <row r="1785" spans="2:25">
      <c r="B1785" s="87">
        <f>B1784+1</f>
        <v>3</v>
      </c>
      <c r="C1785" s="36"/>
      <c r="D1785" s="10"/>
      <c r="E1785" s="10"/>
      <c r="F1785" s="62"/>
      <c r="G1785" s="62"/>
      <c r="H1785" s="62"/>
      <c r="I1785" s="89">
        <f t="shared" si="181"/>
        <v>0</v>
      </c>
      <c r="J1785" s="63"/>
      <c r="K1785" s="63"/>
      <c r="L1785" s="63"/>
      <c r="M1785" s="63"/>
      <c r="N1785" s="63"/>
      <c r="O1785" s="63"/>
      <c r="P1785" s="63"/>
      <c r="Q1785" s="63"/>
      <c r="R1785" s="63"/>
      <c r="S1785" s="63"/>
      <c r="T1785" s="63"/>
      <c r="U1785" s="94"/>
      <c r="V1785" s="90"/>
      <c r="W1785" s="136"/>
      <c r="X1785" s="137"/>
      <c r="Y1785" s="2"/>
    </row>
    <row r="1786" spans="2:25">
      <c r="B1786" s="87">
        <f>B1785+1</f>
        <v>4</v>
      </c>
      <c r="C1786" s="36"/>
      <c r="D1786" s="10"/>
      <c r="E1786" s="10"/>
      <c r="F1786" s="62"/>
      <c r="G1786" s="62"/>
      <c r="H1786" s="62"/>
      <c r="I1786" s="89">
        <f t="shared" si="181"/>
        <v>0</v>
      </c>
      <c r="J1786" s="63"/>
      <c r="K1786" s="63"/>
      <c r="L1786" s="63"/>
      <c r="M1786" s="63"/>
      <c r="N1786" s="63"/>
      <c r="O1786" s="63"/>
      <c r="P1786" s="63"/>
      <c r="Q1786" s="63"/>
      <c r="R1786" s="63"/>
      <c r="S1786" s="63"/>
      <c r="T1786" s="63"/>
      <c r="U1786" s="94"/>
      <c r="V1786" s="90"/>
      <c r="W1786" s="136"/>
      <c r="X1786" s="137"/>
      <c r="Y1786" s="2"/>
    </row>
    <row r="1787" spans="2:25">
      <c r="B1787" s="87">
        <f>B1786+1</f>
        <v>5</v>
      </c>
      <c r="C1787" s="36"/>
      <c r="D1787" s="10"/>
      <c r="E1787" s="10"/>
      <c r="F1787" s="62"/>
      <c r="G1787" s="62"/>
      <c r="H1787" s="62"/>
      <c r="I1787" s="89">
        <f t="shared" si="181"/>
        <v>0</v>
      </c>
      <c r="J1787" s="63"/>
      <c r="K1787" s="63"/>
      <c r="L1787" s="63"/>
      <c r="M1787" s="63"/>
      <c r="N1787" s="63"/>
      <c r="O1787" s="63"/>
      <c r="P1787" s="63"/>
      <c r="Q1787" s="63"/>
      <c r="R1787" s="63"/>
      <c r="S1787" s="63"/>
      <c r="T1787" s="63"/>
      <c r="U1787" s="94"/>
      <c r="V1787" s="90"/>
      <c r="W1787" s="136"/>
      <c r="X1787" s="137"/>
      <c r="Y1787" s="2"/>
    </row>
    <row r="1788" spans="2:25">
      <c r="B1788" s="87">
        <f>B1787+1</f>
        <v>6</v>
      </c>
      <c r="C1788" s="36"/>
      <c r="D1788" s="10"/>
      <c r="E1788" s="101"/>
      <c r="F1788" s="62"/>
      <c r="G1788" s="62"/>
      <c r="H1788" s="62"/>
      <c r="I1788" s="89">
        <f t="shared" si="181"/>
        <v>0</v>
      </c>
      <c r="J1788" s="63"/>
      <c r="K1788" s="63"/>
      <c r="L1788" s="63"/>
      <c r="M1788" s="63"/>
      <c r="N1788" s="63"/>
      <c r="O1788" s="63"/>
      <c r="P1788" s="63"/>
      <c r="Q1788" s="63"/>
      <c r="R1788" s="63"/>
      <c r="S1788" s="63"/>
      <c r="T1788" s="63"/>
      <c r="U1788" s="94"/>
      <c r="V1788" s="90"/>
      <c r="W1788" s="136"/>
      <c r="X1788" s="137"/>
      <c r="Y1788" s="2"/>
    </row>
    <row r="1789" spans="2:25">
      <c r="B1789" s="11"/>
      <c r="C1789" s="609"/>
      <c r="D1789" s="10"/>
      <c r="E1789" s="10"/>
      <c r="F1789" s="97">
        <f>SUM(F1783:F1788)</f>
        <v>0</v>
      </c>
      <c r="G1789" s="97">
        <f>SUM(G1783:G1788)</f>
        <v>0</v>
      </c>
      <c r="H1789" s="97">
        <f>SUM(H1783:H1788)</f>
        <v>0</v>
      </c>
      <c r="I1789" s="98">
        <f>SUM(I1783:I1788)</f>
        <v>0</v>
      </c>
      <c r="J1789" s="10"/>
      <c r="K1789" s="10"/>
      <c r="L1789" s="10"/>
      <c r="M1789" s="10"/>
      <c r="N1789" s="10"/>
      <c r="O1789" s="10"/>
      <c r="P1789" s="10"/>
      <c r="Q1789" s="10"/>
      <c r="R1789" s="10"/>
      <c r="S1789" s="10"/>
      <c r="T1789" s="63"/>
      <c r="U1789" s="94"/>
      <c r="V1789" s="90"/>
      <c r="W1789" s="91"/>
      <c r="X1789" s="92"/>
      <c r="Y1789" s="2"/>
    </row>
    <row r="1790" spans="2:25">
      <c r="B1790" s="26"/>
      <c r="C1790" s="612"/>
      <c r="D1790" s="141"/>
      <c r="E1790" s="141"/>
      <c r="F1790" s="141"/>
      <c r="G1790" s="141"/>
      <c r="H1790" s="141"/>
      <c r="I1790" s="141"/>
      <c r="J1790" s="141"/>
      <c r="K1790" s="142"/>
      <c r="L1790" s="142"/>
      <c r="M1790" s="142"/>
      <c r="N1790" s="142"/>
      <c r="O1790" s="142"/>
      <c r="P1790" s="142"/>
      <c r="Q1790" s="142"/>
      <c r="R1790" s="142"/>
      <c r="S1790" s="142"/>
      <c r="T1790" s="143">
        <f>SUM(T1676:T1789)</f>
        <v>0</v>
      </c>
      <c r="U1790" s="141"/>
      <c r="V1790" s="144">
        <f>SUM(V1676:V1789)</f>
        <v>203.5</v>
      </c>
      <c r="W1790" s="145">
        <f>SUM(W1676:W1789)</f>
        <v>1530</v>
      </c>
      <c r="X1790" s="146">
        <f>SUM(X1676:X1789)</f>
        <v>0</v>
      </c>
      <c r="Y1790" s="2"/>
    </row>
    <row r="1791" spans="2:25">
      <c r="B1791" s="10"/>
      <c r="C1791" s="36"/>
      <c r="D1791" s="10"/>
      <c r="E1791" s="10"/>
      <c r="F1791" s="10"/>
      <c r="G1791" s="10"/>
      <c r="H1791" s="10"/>
      <c r="I1791" s="10"/>
      <c r="J1791" s="10"/>
      <c r="K1791" s="147"/>
      <c r="L1791" s="147"/>
      <c r="M1791" s="147"/>
      <c r="N1791" s="147"/>
      <c r="O1791" s="147"/>
      <c r="P1791" s="147"/>
      <c r="Q1791" s="147"/>
      <c r="R1791" s="147"/>
      <c r="S1791" s="147"/>
      <c r="T1791" s="21"/>
      <c r="U1791" s="10"/>
      <c r="V1791" s="99"/>
      <c r="W1791" s="99"/>
      <c r="X1791" s="99"/>
      <c r="Y1791" s="2"/>
    </row>
  </sheetData>
  <mergeCells count="27">
    <mergeCell ref="H1385:J1386"/>
    <mergeCell ref="K1041:Q1041"/>
    <mergeCell ref="H945:J946"/>
    <mergeCell ref="K953:Q953"/>
    <mergeCell ref="K855:Q855"/>
    <mergeCell ref="H1309:J1310"/>
    <mergeCell ref="K18:Q18"/>
    <mergeCell ref="K186:Q186"/>
    <mergeCell ref="K276:Q276"/>
    <mergeCell ref="K362:Q362"/>
    <mergeCell ref="K101:Q101"/>
    <mergeCell ref="K1664:Q1664"/>
    <mergeCell ref="K455:Q455"/>
    <mergeCell ref="K690:Q690"/>
    <mergeCell ref="H620:J621"/>
    <mergeCell ref="K628:Q628"/>
    <mergeCell ref="H529:J530"/>
    <mergeCell ref="K537:Q537"/>
    <mergeCell ref="K1531:Q1531"/>
    <mergeCell ref="K766:Q766"/>
    <mergeCell ref="K1218:Q1218"/>
    <mergeCell ref="K1129:Q1129"/>
    <mergeCell ref="H1210:J1211"/>
    <mergeCell ref="K1468:Q1468"/>
    <mergeCell ref="K1393:Q1393"/>
    <mergeCell ref="K1317:Q1317"/>
    <mergeCell ref="H847:J848"/>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B27D3-5092-4369-92E8-5D2EAE9AE02E}">
  <sheetPr>
    <tabColor rgb="FFFFFF00"/>
  </sheetPr>
  <dimension ref="A3:AC560"/>
  <sheetViews>
    <sheetView topLeftCell="A384" workbookViewId="0">
      <selection activeCell="P435" sqref="P435"/>
    </sheetView>
  </sheetViews>
  <sheetFormatPr defaultRowHeight="15"/>
  <cols>
    <col min="3" max="3" width="13.140625" customWidth="1"/>
    <col min="4" max="4" width="15.28515625" customWidth="1"/>
    <col min="5" max="5" width="21.5703125" customWidth="1"/>
    <col min="6" max="6" width="12" customWidth="1"/>
    <col min="7" max="7" width="10" bestFit="1" customWidth="1"/>
    <col min="9" max="9" width="10.28515625" customWidth="1"/>
    <col min="14" max="14" width="11.28515625" customWidth="1"/>
    <col min="16" max="16" width="10.7109375" customWidth="1"/>
    <col min="18" max="18" width="11.28515625" customWidth="1"/>
    <col min="21" max="21" width="9.7109375" customWidth="1"/>
    <col min="22" max="22" width="11.5703125" customWidth="1"/>
  </cols>
  <sheetData>
    <row r="3" spans="1:24">
      <c r="A3" s="3"/>
      <c r="B3" s="4" t="s">
        <v>1</v>
      </c>
      <c r="C3" s="5"/>
      <c r="D3" s="6"/>
      <c r="E3" s="6"/>
      <c r="F3" s="7" t="s">
        <v>2</v>
      </c>
      <c r="G3" s="8">
        <v>45851</v>
      </c>
      <c r="H3" s="7"/>
      <c r="I3" s="6"/>
      <c r="J3" s="6"/>
      <c r="K3" s="6"/>
      <c r="L3" s="6"/>
      <c r="M3" s="6"/>
      <c r="N3" s="6"/>
      <c r="O3" s="6"/>
      <c r="P3" s="6"/>
      <c r="Q3" s="6"/>
      <c r="R3" s="6"/>
      <c r="S3" s="6"/>
      <c r="T3" s="6"/>
      <c r="U3" s="9"/>
      <c r="V3" s="10"/>
      <c r="W3" s="10"/>
      <c r="X3" s="10"/>
    </row>
    <row r="4" spans="1:24">
      <c r="A4" s="2"/>
      <c r="B4" s="11"/>
      <c r="C4" s="10"/>
      <c r="D4" s="10"/>
      <c r="E4" s="10"/>
      <c r="F4" s="10"/>
      <c r="G4" s="7"/>
      <c r="H4" s="12"/>
      <c r="I4" s="10"/>
      <c r="J4" s="10"/>
      <c r="K4" s="13" t="s">
        <v>3</v>
      </c>
      <c r="L4" s="14"/>
      <c r="M4" s="15"/>
      <c r="N4" s="13" t="s">
        <v>4</v>
      </c>
      <c r="O4" s="14"/>
      <c r="P4" s="15"/>
      <c r="Q4" s="13" t="s">
        <v>5</v>
      </c>
      <c r="R4" s="14"/>
      <c r="S4" s="15"/>
      <c r="T4" s="16"/>
      <c r="U4" s="17"/>
      <c r="V4" s="10"/>
      <c r="W4" s="10"/>
      <c r="X4" s="10"/>
    </row>
    <row r="5" spans="1:24">
      <c r="A5" s="2"/>
      <c r="B5" s="18" t="s">
        <v>6</v>
      </c>
      <c r="C5" s="19">
        <f>C6+C7</f>
        <v>2</v>
      </c>
      <c r="D5" s="10"/>
      <c r="E5" s="18" t="s">
        <v>7</v>
      </c>
      <c r="F5" s="6"/>
      <c r="G5" s="9"/>
      <c r="H5" s="10"/>
      <c r="I5" s="10"/>
      <c r="J5" s="10"/>
      <c r="K5" s="20" t="s">
        <v>8</v>
      </c>
      <c r="L5" s="21" t="s">
        <v>9</v>
      </c>
      <c r="M5" s="21" t="s">
        <v>10</v>
      </c>
      <c r="N5" s="20" t="s">
        <v>11</v>
      </c>
      <c r="O5" s="21" t="s">
        <v>12</v>
      </c>
      <c r="P5" s="22" t="s">
        <v>13</v>
      </c>
      <c r="Q5" s="21" t="s">
        <v>11</v>
      </c>
      <c r="R5" s="21" t="s">
        <v>12</v>
      </c>
      <c r="S5" s="22" t="s">
        <v>13</v>
      </c>
      <c r="T5" s="23" t="s">
        <v>14</v>
      </c>
      <c r="U5" s="17"/>
      <c r="V5" s="10"/>
      <c r="W5" s="10"/>
      <c r="X5" s="10"/>
    </row>
    <row r="6" spans="1:24">
      <c r="A6" s="2"/>
      <c r="B6" s="24" t="s">
        <v>15</v>
      </c>
      <c r="C6" s="25">
        <f>P13</f>
        <v>0</v>
      </c>
      <c r="D6" s="10"/>
      <c r="E6" s="26" t="s">
        <v>16</v>
      </c>
      <c r="F6" s="27">
        <v>0.05</v>
      </c>
      <c r="G6" s="28"/>
      <c r="H6" s="10"/>
      <c r="I6" s="10"/>
      <c r="J6" s="18" t="s">
        <v>17</v>
      </c>
      <c r="K6" s="29">
        <f>K32</f>
        <v>0</v>
      </c>
      <c r="L6" s="29">
        <f t="shared" ref="L6:S6" si="0">L32</f>
        <v>0</v>
      </c>
      <c r="M6" s="29">
        <f t="shared" si="0"/>
        <v>0</v>
      </c>
      <c r="N6" s="29">
        <f t="shared" si="0"/>
        <v>0</v>
      </c>
      <c r="O6" s="29">
        <f t="shared" si="0"/>
        <v>0</v>
      </c>
      <c r="P6" s="29">
        <f t="shared" si="0"/>
        <v>0</v>
      </c>
      <c r="Q6" s="29">
        <f t="shared" si="0"/>
        <v>0</v>
      </c>
      <c r="R6" s="29">
        <f t="shared" si="0"/>
        <v>0</v>
      </c>
      <c r="S6" s="29">
        <f t="shared" si="0"/>
        <v>0</v>
      </c>
      <c r="T6" s="30">
        <f>T38</f>
        <v>0</v>
      </c>
      <c r="U6" s="17"/>
      <c r="V6" s="10"/>
      <c r="W6" s="10"/>
      <c r="X6" s="10"/>
    </row>
    <row r="7" spans="1:24">
      <c r="A7" s="2"/>
      <c r="B7" s="24" t="s">
        <v>18</v>
      </c>
      <c r="C7" s="25">
        <f>P14</f>
        <v>2</v>
      </c>
      <c r="D7" s="10"/>
      <c r="E7" s="10"/>
      <c r="F7" s="10"/>
      <c r="G7" s="31"/>
      <c r="H7" s="10"/>
      <c r="I7" s="10"/>
      <c r="J7" s="32" t="s">
        <v>19</v>
      </c>
      <c r="K7" s="33" t="e">
        <f>K32/K31</f>
        <v>#DIV/0!</v>
      </c>
      <c r="L7" s="33" t="e">
        <f t="shared" ref="L7:S7" si="1">L32/L31</f>
        <v>#DIV/0!</v>
      </c>
      <c r="M7" s="33" t="e">
        <f t="shared" si="1"/>
        <v>#DIV/0!</v>
      </c>
      <c r="N7" s="33" t="e">
        <f t="shared" si="1"/>
        <v>#DIV/0!</v>
      </c>
      <c r="O7" s="33" t="e">
        <f t="shared" si="1"/>
        <v>#DIV/0!</v>
      </c>
      <c r="P7" s="33" t="e">
        <f t="shared" si="1"/>
        <v>#DIV/0!</v>
      </c>
      <c r="Q7" s="33" t="e">
        <f t="shared" si="1"/>
        <v>#DIV/0!</v>
      </c>
      <c r="R7" s="33" t="e">
        <f t="shared" si="1"/>
        <v>#DIV/0!</v>
      </c>
      <c r="S7" s="33" t="e">
        <f t="shared" si="1"/>
        <v>#DIV/0!</v>
      </c>
      <c r="T7" s="23"/>
      <c r="U7" s="17" t="s">
        <v>20</v>
      </c>
      <c r="V7" s="10"/>
      <c r="W7" s="10"/>
      <c r="X7" s="10"/>
    </row>
    <row r="8" spans="1:24">
      <c r="A8" s="2"/>
      <c r="B8" s="24" t="s">
        <v>21</v>
      </c>
      <c r="C8" s="34">
        <f>P15</f>
        <v>0</v>
      </c>
      <c r="D8" s="10"/>
      <c r="E8" s="10"/>
      <c r="F8" s="10"/>
      <c r="G8" s="10"/>
      <c r="H8" s="10"/>
      <c r="I8" s="10"/>
      <c r="J8" s="10"/>
      <c r="K8" s="10"/>
      <c r="L8" s="10"/>
      <c r="M8" s="10"/>
      <c r="N8" s="10"/>
      <c r="O8" s="10"/>
      <c r="P8" s="10"/>
      <c r="Q8" s="10"/>
      <c r="R8" s="10"/>
      <c r="S8" s="10"/>
      <c r="T8" s="10"/>
      <c r="U8" s="17"/>
      <c r="V8" s="10"/>
      <c r="W8" s="10"/>
      <c r="X8" s="10"/>
    </row>
    <row r="9" spans="1:24">
      <c r="A9" s="2"/>
      <c r="B9" s="24"/>
      <c r="C9" s="25"/>
      <c r="D9" s="10"/>
      <c r="E9" s="10"/>
      <c r="F9" s="18" t="s">
        <v>22</v>
      </c>
      <c r="G9" s="19" t="s">
        <v>23</v>
      </c>
      <c r="H9" s="35" t="s">
        <v>24</v>
      </c>
      <c r="I9" s="10"/>
      <c r="J9" s="10"/>
      <c r="K9" s="36"/>
      <c r="L9" s="36"/>
      <c r="M9" s="36"/>
      <c r="N9" s="36"/>
      <c r="O9" s="36"/>
      <c r="P9" s="36"/>
      <c r="Q9" s="36"/>
      <c r="R9" s="10"/>
      <c r="S9" s="10"/>
      <c r="T9" s="10"/>
      <c r="U9" s="17"/>
      <c r="V9" s="10"/>
      <c r="W9" s="10"/>
      <c r="X9" s="10"/>
    </row>
    <row r="10" spans="1:24">
      <c r="A10" s="2"/>
      <c r="B10" s="32" t="s">
        <v>25</v>
      </c>
      <c r="C10" s="37" t="e">
        <f>P16</f>
        <v>#DIV/0!</v>
      </c>
      <c r="D10" s="10"/>
      <c r="E10" s="18" t="s">
        <v>26</v>
      </c>
      <c r="F10" s="38">
        <f>P12</f>
        <v>0</v>
      </c>
      <c r="G10" s="39">
        <f>I31</f>
        <v>0</v>
      </c>
      <c r="H10" s="40"/>
      <c r="I10" s="41"/>
      <c r="J10" s="42"/>
      <c r="K10" s="43" t="s">
        <v>27</v>
      </c>
      <c r="L10" s="44"/>
      <c r="M10" s="44"/>
      <c r="N10" s="44"/>
      <c r="O10" s="44"/>
      <c r="P10" s="44"/>
      <c r="Q10" s="45"/>
      <c r="R10" s="46" t="s">
        <v>28</v>
      </c>
      <c r="S10" s="47" t="s">
        <v>29</v>
      </c>
      <c r="T10" s="10"/>
      <c r="U10" s="17"/>
      <c r="V10" s="10"/>
      <c r="W10" s="10"/>
      <c r="X10" s="10"/>
    </row>
    <row r="11" spans="1:24">
      <c r="A11" s="2"/>
      <c r="B11" s="11"/>
      <c r="C11" s="10"/>
      <c r="D11" s="10"/>
      <c r="E11" s="24" t="s">
        <v>30</v>
      </c>
      <c r="F11" s="48">
        <f>F6</f>
        <v>0.05</v>
      </c>
      <c r="G11" s="17"/>
      <c r="H11" s="40"/>
      <c r="I11" s="41"/>
      <c r="J11" s="42"/>
      <c r="K11" s="20" t="s">
        <v>31</v>
      </c>
      <c r="L11" s="21" t="s">
        <v>32</v>
      </c>
      <c r="M11" s="21" t="s">
        <v>33</v>
      </c>
      <c r="N11" s="21" t="s">
        <v>34</v>
      </c>
      <c r="O11" s="21" t="s">
        <v>35</v>
      </c>
      <c r="P11" s="21" t="s">
        <v>36</v>
      </c>
      <c r="Q11" s="49" t="s">
        <v>37</v>
      </c>
      <c r="R11" s="50" t="s">
        <v>38</v>
      </c>
      <c r="S11" s="50" t="s">
        <v>38</v>
      </c>
      <c r="T11" s="10"/>
      <c r="U11" s="17"/>
      <c r="V11" s="10"/>
      <c r="W11" s="10"/>
      <c r="X11" s="10"/>
    </row>
    <row r="12" spans="1:24">
      <c r="A12" s="2"/>
      <c r="B12" s="11"/>
      <c r="C12" s="10"/>
      <c r="D12" s="10"/>
      <c r="E12" s="51" t="s">
        <v>39</v>
      </c>
      <c r="F12" s="52">
        <f>F10*F11</f>
        <v>0</v>
      </c>
      <c r="G12" s="53" t="s">
        <v>40</v>
      </c>
      <c r="H12" s="54">
        <f>F12/1.12</f>
        <v>0</v>
      </c>
      <c r="I12" s="55"/>
      <c r="J12" s="42"/>
      <c r="K12" s="56"/>
      <c r="L12" s="57"/>
      <c r="M12" s="57"/>
      <c r="N12" s="57"/>
      <c r="O12" s="57"/>
      <c r="P12" s="57">
        <f>SUM(K12:O12)</f>
        <v>0</v>
      </c>
      <c r="Q12" s="58">
        <v>0</v>
      </c>
      <c r="R12" s="59">
        <f>0</f>
        <v>0</v>
      </c>
      <c r="S12" s="59">
        <f>0</f>
        <v>0</v>
      </c>
      <c r="T12" s="10"/>
      <c r="U12" s="17"/>
      <c r="V12" s="10"/>
      <c r="W12" s="10"/>
      <c r="X12" s="10"/>
    </row>
    <row r="13" spans="1:24">
      <c r="A13" s="2"/>
      <c r="B13" s="11"/>
      <c r="C13" s="10"/>
      <c r="D13" s="10"/>
      <c r="E13" s="24" t="s">
        <v>41</v>
      </c>
      <c r="F13" s="60">
        <f>Q12</f>
        <v>0</v>
      </c>
      <c r="G13" s="61" t="s">
        <v>40</v>
      </c>
      <c r="H13" s="62"/>
      <c r="I13" s="62"/>
      <c r="J13" s="10" t="s">
        <v>42</v>
      </c>
      <c r="K13" s="63"/>
      <c r="L13" s="63"/>
      <c r="M13" s="63">
        <v>0</v>
      </c>
      <c r="N13" s="63"/>
      <c r="O13" s="63"/>
      <c r="P13" s="21">
        <f>SUM(K13:O13)</f>
        <v>0</v>
      </c>
      <c r="Q13" s="64"/>
      <c r="R13" s="63"/>
      <c r="S13" s="10"/>
      <c r="T13" s="10"/>
      <c r="U13" s="17"/>
      <c r="V13" s="10"/>
      <c r="W13" s="10"/>
      <c r="X13" s="10"/>
    </row>
    <row r="14" spans="1:24">
      <c r="A14" s="2"/>
      <c r="B14" s="11"/>
      <c r="C14" s="10"/>
      <c r="D14" s="10"/>
      <c r="E14" s="51" t="s">
        <v>43</v>
      </c>
      <c r="F14" s="52">
        <f>F13*0.25</f>
        <v>0</v>
      </c>
      <c r="G14" s="53" t="s">
        <v>40</v>
      </c>
      <c r="H14" s="54">
        <f>F14/1.12</f>
        <v>0</v>
      </c>
      <c r="I14" s="10"/>
      <c r="J14" s="10" t="s">
        <v>44</v>
      </c>
      <c r="K14" s="63"/>
      <c r="L14" s="63"/>
      <c r="M14" s="63">
        <v>2</v>
      </c>
      <c r="N14" s="63"/>
      <c r="O14" s="63"/>
      <c r="P14" s="21">
        <f>SUM(K14:O14)</f>
        <v>2</v>
      </c>
      <c r="Q14" s="64"/>
      <c r="R14" s="63"/>
      <c r="S14" s="10"/>
      <c r="T14" s="10"/>
      <c r="U14" s="17"/>
      <c r="V14" s="10"/>
      <c r="W14" s="10"/>
      <c r="X14" s="10"/>
    </row>
    <row r="15" spans="1:24">
      <c r="A15" s="2"/>
      <c r="B15" s="11"/>
      <c r="C15" s="10"/>
      <c r="D15" s="10"/>
      <c r="E15" s="24" t="s">
        <v>45</v>
      </c>
      <c r="F15" s="60"/>
      <c r="G15" s="61" t="s">
        <v>40</v>
      </c>
      <c r="H15" s="62"/>
      <c r="I15" s="10"/>
      <c r="J15" s="10" t="s">
        <v>46</v>
      </c>
      <c r="K15" s="31" t="e">
        <f t="shared" ref="K15:Q15" si="2">K13/(K13+K14)</f>
        <v>#DIV/0!</v>
      </c>
      <c r="L15" s="31" t="e">
        <f t="shared" si="2"/>
        <v>#DIV/0!</v>
      </c>
      <c r="M15" s="31">
        <f t="shared" si="2"/>
        <v>0</v>
      </c>
      <c r="N15" s="31" t="e">
        <f t="shared" si="2"/>
        <v>#DIV/0!</v>
      </c>
      <c r="O15" s="31" t="e">
        <f t="shared" si="2"/>
        <v>#DIV/0!</v>
      </c>
      <c r="P15" s="31">
        <f t="shared" si="2"/>
        <v>0</v>
      </c>
      <c r="Q15" s="31" t="e">
        <f t="shared" si="2"/>
        <v>#DIV/0!</v>
      </c>
      <c r="R15" s="63"/>
      <c r="S15" s="10"/>
      <c r="T15" s="10"/>
      <c r="U15" s="17"/>
      <c r="V15" s="10"/>
      <c r="W15" s="10"/>
      <c r="X15" s="10"/>
    </row>
    <row r="16" spans="1:24">
      <c r="A16" s="2"/>
      <c r="B16" s="11"/>
      <c r="C16" s="10"/>
      <c r="D16" s="10"/>
      <c r="E16" s="51" t="s">
        <v>47</v>
      </c>
      <c r="F16" s="52">
        <f>F15*0.05</f>
        <v>0</v>
      </c>
      <c r="G16" s="65" t="s">
        <v>40</v>
      </c>
      <c r="H16" s="54">
        <f>F16/1.12</f>
        <v>0</v>
      </c>
      <c r="I16" s="42"/>
      <c r="J16" s="10" t="s">
        <v>48</v>
      </c>
      <c r="K16" s="66" t="e">
        <f>K12/K13</f>
        <v>#DIV/0!</v>
      </c>
      <c r="L16" s="66" t="e">
        <f t="shared" ref="L16:Q16" si="3">L12/L13</f>
        <v>#DIV/0!</v>
      </c>
      <c r="M16" s="66" t="e">
        <f t="shared" si="3"/>
        <v>#DIV/0!</v>
      </c>
      <c r="N16" s="66" t="e">
        <f t="shared" si="3"/>
        <v>#DIV/0!</v>
      </c>
      <c r="O16" s="66" t="e">
        <f t="shared" si="3"/>
        <v>#DIV/0!</v>
      </c>
      <c r="P16" s="66" t="e">
        <f t="shared" si="3"/>
        <v>#DIV/0!</v>
      </c>
      <c r="Q16" s="66" t="e">
        <f t="shared" si="3"/>
        <v>#DIV/0!</v>
      </c>
      <c r="R16" s="63"/>
      <c r="S16" s="10"/>
      <c r="T16" s="10"/>
      <c r="U16" s="17"/>
      <c r="V16" s="10"/>
      <c r="W16" s="10"/>
      <c r="X16" s="10"/>
    </row>
    <row r="17" spans="1:24">
      <c r="A17" s="2"/>
      <c r="B17" s="11"/>
      <c r="C17" s="10"/>
      <c r="D17" s="10"/>
      <c r="E17" s="67" t="s">
        <v>14</v>
      </c>
      <c r="F17" s="68"/>
      <c r="G17" s="10"/>
      <c r="H17" s="54">
        <f>F17/1.12</f>
        <v>0</v>
      </c>
      <c r="I17" s="10"/>
      <c r="J17" s="10"/>
      <c r="K17" s="10"/>
      <c r="L17" s="10"/>
      <c r="M17" s="10"/>
      <c r="N17" s="10"/>
      <c r="O17" s="10"/>
      <c r="P17" s="10"/>
      <c r="Q17" s="10"/>
      <c r="R17" s="10"/>
      <c r="S17" s="10"/>
      <c r="T17" s="10"/>
      <c r="U17" s="17"/>
      <c r="V17" s="10"/>
      <c r="W17" s="10"/>
      <c r="X17" s="10"/>
    </row>
    <row r="18" spans="1:24" ht="15" customHeight="1">
      <c r="A18" s="2"/>
      <c r="B18" s="11"/>
      <c r="C18" s="10"/>
      <c r="D18" s="10"/>
      <c r="E18" s="155" t="s">
        <v>49</v>
      </c>
      <c r="F18" s="364">
        <f>T7</f>
        <v>0</v>
      </c>
      <c r="G18" s="10"/>
      <c r="H18" s="54"/>
      <c r="I18" s="55"/>
      <c r="J18" s="42"/>
      <c r="K18" s="764" t="s">
        <v>50</v>
      </c>
      <c r="L18" s="765"/>
      <c r="M18" s="765"/>
      <c r="N18" s="765"/>
      <c r="O18" s="765"/>
      <c r="P18" s="765"/>
      <c r="Q18" s="766"/>
      <c r="R18" s="70" t="s">
        <v>28</v>
      </c>
      <c r="S18" s="71" t="s">
        <v>29</v>
      </c>
      <c r="T18" s="10"/>
      <c r="U18" s="17"/>
      <c r="V18" s="10"/>
      <c r="W18" s="10"/>
      <c r="X18" s="10"/>
    </row>
    <row r="19" spans="1:24">
      <c r="A19" s="2"/>
      <c r="B19" s="11"/>
      <c r="C19" s="10"/>
      <c r="D19" s="10"/>
      <c r="E19" s="12"/>
      <c r="F19" s="76"/>
      <c r="G19" s="10"/>
      <c r="H19" s="10"/>
      <c r="I19" s="10"/>
      <c r="J19" s="42"/>
      <c r="K19" s="20" t="s">
        <v>31</v>
      </c>
      <c r="L19" s="21" t="s">
        <v>32</v>
      </c>
      <c r="M19" s="21" t="s">
        <v>33</v>
      </c>
      <c r="N19" s="21" t="s">
        <v>34</v>
      </c>
      <c r="O19" s="21" t="s">
        <v>35</v>
      </c>
      <c r="P19" s="21" t="s">
        <v>36</v>
      </c>
      <c r="Q19" s="49" t="s">
        <v>37</v>
      </c>
      <c r="R19" s="50" t="s">
        <v>38</v>
      </c>
      <c r="S19" s="50" t="s">
        <v>38</v>
      </c>
      <c r="T19" s="10"/>
      <c r="U19" s="17"/>
      <c r="V19" s="10"/>
      <c r="W19" s="10"/>
      <c r="X19" s="10"/>
    </row>
    <row r="20" spans="1:24">
      <c r="A20" s="2"/>
      <c r="B20" s="11"/>
      <c r="C20" s="10"/>
      <c r="D20" s="10"/>
      <c r="E20" s="10"/>
      <c r="F20" s="10"/>
      <c r="G20" s="10"/>
      <c r="H20" s="10"/>
      <c r="I20" s="10"/>
      <c r="J20" s="42"/>
      <c r="K20" s="56"/>
      <c r="L20" s="57"/>
      <c r="M20" s="57"/>
      <c r="N20" s="57"/>
      <c r="O20" s="57"/>
      <c r="P20" s="57">
        <f>SUM(K20:O20)</f>
        <v>0</v>
      </c>
      <c r="Q20" s="58">
        <v>0</v>
      </c>
      <c r="R20" s="59">
        <f>0</f>
        <v>0</v>
      </c>
      <c r="S20" s="59">
        <f>0</f>
        <v>0</v>
      </c>
      <c r="T20" s="10"/>
      <c r="U20" s="17"/>
      <c r="V20" s="10"/>
      <c r="W20" s="10"/>
      <c r="X20" s="10"/>
    </row>
    <row r="21" spans="1:24">
      <c r="A21" s="2"/>
      <c r="B21" s="11"/>
      <c r="C21" s="10"/>
      <c r="D21" s="10"/>
      <c r="E21" s="10"/>
      <c r="F21" s="10"/>
      <c r="G21" s="10"/>
      <c r="H21" s="10"/>
      <c r="I21" s="10"/>
      <c r="J21" s="10" t="s">
        <v>42</v>
      </c>
      <c r="K21" s="63">
        <f>K13</f>
        <v>0</v>
      </c>
      <c r="L21" s="63">
        <f t="shared" ref="L21:Q22" si="4">L13</f>
        <v>0</v>
      </c>
      <c r="M21" s="63">
        <f t="shared" si="4"/>
        <v>0</v>
      </c>
      <c r="N21" s="63">
        <f t="shared" si="4"/>
        <v>0</v>
      </c>
      <c r="O21" s="63">
        <f t="shared" si="4"/>
        <v>0</v>
      </c>
      <c r="P21" s="63">
        <f t="shared" si="4"/>
        <v>0</v>
      </c>
      <c r="Q21" s="63">
        <f t="shared" si="4"/>
        <v>0</v>
      </c>
      <c r="R21" s="63"/>
      <c r="S21" s="10"/>
      <c r="T21" s="10"/>
      <c r="U21" s="17"/>
      <c r="V21" s="10"/>
      <c r="W21" s="10"/>
      <c r="X21" s="10"/>
    </row>
    <row r="22" spans="1:24">
      <c r="A22" s="2"/>
      <c r="B22" s="11"/>
      <c r="C22" s="10"/>
      <c r="D22" s="10"/>
      <c r="E22" s="10"/>
      <c r="F22" s="10"/>
      <c r="G22" s="10"/>
      <c r="H22" s="10"/>
      <c r="I22" s="10"/>
      <c r="J22" s="10" t="s">
        <v>44</v>
      </c>
      <c r="K22" s="63">
        <f>K14</f>
        <v>0</v>
      </c>
      <c r="L22" s="63">
        <f t="shared" si="4"/>
        <v>0</v>
      </c>
      <c r="M22" s="63">
        <f t="shared" si="4"/>
        <v>2</v>
      </c>
      <c r="N22" s="63">
        <f t="shared" si="4"/>
        <v>0</v>
      </c>
      <c r="O22" s="63">
        <f t="shared" si="4"/>
        <v>0</v>
      </c>
      <c r="P22" s="63">
        <f t="shared" si="4"/>
        <v>2</v>
      </c>
      <c r="Q22" s="63">
        <f t="shared" si="4"/>
        <v>0</v>
      </c>
      <c r="R22" s="63"/>
      <c r="S22" s="10"/>
      <c r="T22" s="10"/>
      <c r="U22" s="17"/>
      <c r="V22" s="10"/>
      <c r="W22" s="10"/>
      <c r="X22" s="10"/>
    </row>
    <row r="23" spans="1:24">
      <c r="A23" s="2"/>
      <c r="B23" s="11"/>
      <c r="C23" s="10"/>
      <c r="D23" s="10"/>
      <c r="E23" s="12"/>
      <c r="F23" s="76"/>
      <c r="G23" s="10"/>
      <c r="H23" s="10"/>
      <c r="I23" s="10"/>
      <c r="J23" s="10" t="s">
        <v>46</v>
      </c>
      <c r="K23" s="31" t="e">
        <f t="shared" ref="K23:Q23" si="5">K21/(K21+K22)</f>
        <v>#DIV/0!</v>
      </c>
      <c r="L23" s="31" t="e">
        <f t="shared" si="5"/>
        <v>#DIV/0!</v>
      </c>
      <c r="M23" s="31">
        <f t="shared" si="5"/>
        <v>0</v>
      </c>
      <c r="N23" s="31" t="e">
        <f t="shared" si="5"/>
        <v>#DIV/0!</v>
      </c>
      <c r="O23" s="31" t="e">
        <f t="shared" si="5"/>
        <v>#DIV/0!</v>
      </c>
      <c r="P23" s="31">
        <f t="shared" si="5"/>
        <v>0</v>
      </c>
      <c r="Q23" s="31" t="e">
        <f t="shared" si="5"/>
        <v>#DIV/0!</v>
      </c>
      <c r="R23" s="63"/>
      <c r="S23" s="10"/>
      <c r="T23" s="10"/>
      <c r="U23" s="17"/>
      <c r="V23" s="10"/>
      <c r="W23" s="10"/>
      <c r="X23" s="10"/>
    </row>
    <row r="24" spans="1:24">
      <c r="A24" s="2"/>
      <c r="B24" s="11"/>
      <c r="C24" s="10"/>
      <c r="D24" s="10"/>
      <c r="E24" s="10"/>
      <c r="F24" s="10"/>
      <c r="G24" s="10"/>
      <c r="H24" s="10"/>
      <c r="I24" s="10"/>
      <c r="J24" s="10" t="s">
        <v>48</v>
      </c>
      <c r="K24" s="66" t="e">
        <f t="shared" ref="K24:Q24" si="6">K20/K21</f>
        <v>#DIV/0!</v>
      </c>
      <c r="L24" s="66" t="e">
        <f t="shared" si="6"/>
        <v>#DIV/0!</v>
      </c>
      <c r="M24" s="66" t="e">
        <f t="shared" si="6"/>
        <v>#DIV/0!</v>
      </c>
      <c r="N24" s="66" t="e">
        <f t="shared" si="6"/>
        <v>#DIV/0!</v>
      </c>
      <c r="O24" s="66" t="e">
        <f t="shared" si="6"/>
        <v>#DIV/0!</v>
      </c>
      <c r="P24" s="66" t="e">
        <f t="shared" si="6"/>
        <v>#DIV/0!</v>
      </c>
      <c r="Q24" s="66" t="e">
        <f t="shared" si="6"/>
        <v>#DIV/0!</v>
      </c>
      <c r="R24" s="63"/>
      <c r="S24" s="10"/>
      <c r="T24" s="10"/>
      <c r="U24" s="17"/>
      <c r="V24" s="10"/>
      <c r="W24" s="10"/>
      <c r="X24" s="10"/>
    </row>
    <row r="25" spans="1:24">
      <c r="A25" s="2"/>
      <c r="B25" s="11"/>
      <c r="C25" s="10"/>
      <c r="D25" s="10"/>
      <c r="E25" s="10"/>
      <c r="F25" s="10"/>
      <c r="G25" s="10"/>
      <c r="H25" s="10"/>
      <c r="I25" s="10"/>
      <c r="J25" s="10"/>
      <c r="K25" s="10"/>
      <c r="L25" s="10"/>
      <c r="M25" s="10"/>
      <c r="N25" s="10"/>
      <c r="O25" s="10"/>
      <c r="P25" s="10"/>
      <c r="Q25" s="10"/>
      <c r="R25" s="10"/>
      <c r="S25" s="10"/>
      <c r="T25" s="10"/>
      <c r="U25" s="17"/>
      <c r="V25" s="10"/>
      <c r="W25" s="10"/>
      <c r="X25" s="10"/>
    </row>
    <row r="26" spans="1:24">
      <c r="A26" s="2"/>
      <c r="B26" s="11"/>
      <c r="C26" s="10"/>
      <c r="D26" s="10"/>
      <c r="E26" s="10"/>
      <c r="F26" s="10"/>
      <c r="G26" s="10"/>
      <c r="H26" s="10"/>
      <c r="I26" s="10"/>
      <c r="J26" s="10"/>
      <c r="K26" s="10"/>
      <c r="L26" s="10"/>
      <c r="M26" s="10"/>
      <c r="N26" s="10"/>
      <c r="O26" s="10"/>
      <c r="P26" s="10"/>
      <c r="Q26" s="10"/>
      <c r="R26" s="10"/>
      <c r="S26" s="10"/>
      <c r="T26" s="10"/>
      <c r="U26" s="17"/>
      <c r="V26" s="10"/>
      <c r="W26" s="10"/>
      <c r="X26" s="10"/>
    </row>
    <row r="27" spans="1:24">
      <c r="A27" s="2"/>
      <c r="B27" s="18" t="s">
        <v>51</v>
      </c>
      <c r="C27" s="14"/>
      <c r="D27" s="14"/>
      <c r="E27" s="14"/>
      <c r="F27" s="13" t="s">
        <v>52</v>
      </c>
      <c r="G27" s="14"/>
      <c r="H27" s="14"/>
      <c r="I27" s="14"/>
      <c r="J27" s="14"/>
      <c r="K27" s="13" t="s">
        <v>3</v>
      </c>
      <c r="L27" s="14"/>
      <c r="M27" s="14"/>
      <c r="N27" s="13" t="s">
        <v>4</v>
      </c>
      <c r="O27" s="14"/>
      <c r="P27" s="14"/>
      <c r="Q27" s="13" t="s">
        <v>5</v>
      </c>
      <c r="R27" s="14"/>
      <c r="S27" s="14"/>
      <c r="T27" s="18"/>
      <c r="U27" s="16" t="s">
        <v>53</v>
      </c>
      <c r="V27" s="77"/>
      <c r="W27" s="77"/>
      <c r="X27" s="77"/>
    </row>
    <row r="28" spans="1:24">
      <c r="A28" s="2"/>
      <c r="B28" s="24" t="s">
        <v>54</v>
      </c>
      <c r="C28" s="21" t="s">
        <v>55</v>
      </c>
      <c r="D28" s="21" t="s">
        <v>56</v>
      </c>
      <c r="E28" s="21" t="s">
        <v>57</v>
      </c>
      <c r="F28" s="20" t="s">
        <v>58</v>
      </c>
      <c r="G28" s="21" t="s">
        <v>59</v>
      </c>
      <c r="H28" s="21" t="s">
        <v>60</v>
      </c>
      <c r="I28" s="21" t="s">
        <v>26</v>
      </c>
      <c r="J28" s="22" t="s">
        <v>61</v>
      </c>
      <c r="K28" s="21" t="s">
        <v>8</v>
      </c>
      <c r="L28" s="21" t="s">
        <v>9</v>
      </c>
      <c r="M28" s="21" t="s">
        <v>10</v>
      </c>
      <c r="N28" s="20" t="s">
        <v>11</v>
      </c>
      <c r="O28" s="21" t="s">
        <v>12</v>
      </c>
      <c r="P28" s="22" t="s">
        <v>13</v>
      </c>
      <c r="Q28" s="21" t="s">
        <v>11</v>
      </c>
      <c r="R28" s="21" t="s">
        <v>12</v>
      </c>
      <c r="S28" s="21" t="s">
        <v>13</v>
      </c>
      <c r="T28" s="78" t="s">
        <v>14</v>
      </c>
      <c r="U28" s="30"/>
      <c r="V28" s="79" t="s">
        <v>62</v>
      </c>
      <c r="W28" s="80" t="s">
        <v>63</v>
      </c>
      <c r="X28" s="81" t="s">
        <v>64</v>
      </c>
    </row>
    <row r="29" spans="1:24">
      <c r="A29" s="2"/>
      <c r="B29" s="4" t="s">
        <v>65</v>
      </c>
      <c r="C29" s="6"/>
      <c r="D29" s="6"/>
      <c r="E29" s="6"/>
      <c r="F29" s="6"/>
      <c r="G29" s="6"/>
      <c r="H29" s="6"/>
      <c r="I29" s="82"/>
      <c r="J29" s="6"/>
      <c r="K29" s="6"/>
      <c r="L29" s="6"/>
      <c r="M29" s="6"/>
      <c r="N29" s="6"/>
      <c r="O29" s="6"/>
      <c r="P29" s="6"/>
      <c r="Q29" s="6"/>
      <c r="R29" s="6"/>
      <c r="S29" s="6"/>
      <c r="T29" s="83"/>
      <c r="U29" s="6"/>
      <c r="V29" s="84"/>
      <c r="W29" s="85"/>
      <c r="X29" s="86"/>
    </row>
    <row r="30" spans="1:24">
      <c r="A30" s="2"/>
      <c r="B30" s="87">
        <v>1</v>
      </c>
      <c r="C30" s="262"/>
      <c r="D30" s="271"/>
      <c r="E30" s="271"/>
      <c r="F30" s="265"/>
      <c r="G30" s="265"/>
      <c r="H30" s="365"/>
      <c r="I30" s="272">
        <f t="shared" ref="I30" si="7">F30-G30-H30</f>
        <v>0</v>
      </c>
      <c r="J30" s="267"/>
      <c r="K30" s="267"/>
      <c r="L30" s="267"/>
      <c r="M30" s="267"/>
      <c r="N30" s="267"/>
      <c r="O30" s="267"/>
      <c r="P30" s="267"/>
      <c r="Q30" s="267"/>
      <c r="R30" s="267"/>
      <c r="S30" s="267"/>
      <c r="T30" s="269"/>
      <c r="U30" s="10"/>
      <c r="V30" s="90"/>
      <c r="W30" s="91"/>
      <c r="X30" s="92"/>
    </row>
    <row r="31" spans="1:24">
      <c r="A31" s="2"/>
      <c r="B31" s="87"/>
      <c r="C31" s="36"/>
      <c r="D31" s="10"/>
      <c r="E31" s="10"/>
      <c r="F31" s="97">
        <f>SUM(F30:F30)</f>
        <v>0</v>
      </c>
      <c r="G31" s="97">
        <f>SUM(G30:G30)</f>
        <v>0</v>
      </c>
      <c r="H31" s="97">
        <f>SUM(H30:H30)</f>
        <v>0</v>
      </c>
      <c r="I31" s="98">
        <f>SUM(I30:I30)</f>
        <v>0</v>
      </c>
      <c r="J31" s="63"/>
      <c r="K31" s="63">
        <f t="shared" ref="K31:S31" si="8">COUNT(K30:K30)</f>
        <v>0</v>
      </c>
      <c r="L31" s="63">
        <f t="shared" si="8"/>
        <v>0</v>
      </c>
      <c r="M31" s="63">
        <f t="shared" si="8"/>
        <v>0</v>
      </c>
      <c r="N31" s="63">
        <f t="shared" si="8"/>
        <v>0</v>
      </c>
      <c r="O31" s="63">
        <f t="shared" si="8"/>
        <v>0</v>
      </c>
      <c r="P31" s="63">
        <f t="shared" si="8"/>
        <v>0</v>
      </c>
      <c r="Q31" s="63">
        <f t="shared" si="8"/>
        <v>0</v>
      </c>
      <c r="R31" s="63">
        <f t="shared" si="8"/>
        <v>0</v>
      </c>
      <c r="S31" s="63">
        <f t="shared" si="8"/>
        <v>0</v>
      </c>
      <c r="T31" s="63"/>
      <c r="U31" s="10"/>
      <c r="V31" s="90"/>
      <c r="W31" s="91"/>
      <c r="X31" s="92"/>
    </row>
    <row r="32" spans="1:24">
      <c r="A32" s="2"/>
      <c r="B32" s="87"/>
      <c r="C32" s="36"/>
      <c r="D32" s="10"/>
      <c r="E32" s="10"/>
      <c r="F32" s="88"/>
      <c r="G32" s="88"/>
      <c r="H32" s="88"/>
      <c r="I32" s="99"/>
      <c r="J32" s="63"/>
      <c r="K32" s="21">
        <f t="shared" ref="K32:S32" si="9">SUM(K30:K30)</f>
        <v>0</v>
      </c>
      <c r="L32" s="21">
        <f t="shared" si="9"/>
        <v>0</v>
      </c>
      <c r="M32" s="21">
        <f t="shared" si="9"/>
        <v>0</v>
      </c>
      <c r="N32" s="21">
        <f t="shared" si="9"/>
        <v>0</v>
      </c>
      <c r="O32" s="21">
        <f t="shared" si="9"/>
        <v>0</v>
      </c>
      <c r="P32" s="21">
        <f t="shared" si="9"/>
        <v>0</v>
      </c>
      <c r="Q32" s="21">
        <f t="shared" si="9"/>
        <v>0</v>
      </c>
      <c r="R32" s="21">
        <f t="shared" si="9"/>
        <v>0</v>
      </c>
      <c r="S32" s="21">
        <f t="shared" si="9"/>
        <v>0</v>
      </c>
      <c r="T32" s="63"/>
      <c r="U32" s="10"/>
      <c r="V32" s="90"/>
      <c r="W32" s="91"/>
      <c r="X32" s="92"/>
    </row>
    <row r="33" spans="1:24">
      <c r="A33" s="2"/>
      <c r="B33" s="11"/>
      <c r="C33" s="36"/>
      <c r="D33" s="10"/>
      <c r="E33" s="10"/>
      <c r="F33" s="88"/>
      <c r="G33" s="88"/>
      <c r="H33" s="88"/>
      <c r="I33" s="99"/>
      <c r="J33" s="63"/>
      <c r="K33" s="21"/>
      <c r="L33" s="21"/>
      <c r="M33" s="21"/>
      <c r="N33" s="21"/>
      <c r="O33" s="21"/>
      <c r="P33" s="21"/>
      <c r="Q33" s="21"/>
      <c r="R33" s="21"/>
      <c r="S33" s="21"/>
      <c r="T33" s="63"/>
      <c r="U33" s="94"/>
      <c r="V33" s="90"/>
      <c r="W33" s="91"/>
      <c r="X33" s="92"/>
    </row>
    <row r="34" spans="1:24">
      <c r="A34" s="2"/>
      <c r="B34" s="100" t="s">
        <v>72</v>
      </c>
      <c r="C34" s="36"/>
      <c r="D34" s="10"/>
      <c r="E34" s="10"/>
      <c r="F34" s="88"/>
      <c r="G34" s="88"/>
      <c r="H34" s="88"/>
      <c r="I34" s="99"/>
      <c r="J34" s="63"/>
      <c r="K34" s="63"/>
      <c r="L34" s="63"/>
      <c r="M34" s="63"/>
      <c r="N34" s="63"/>
      <c r="O34" s="63"/>
      <c r="P34" s="63"/>
      <c r="Q34" s="63"/>
      <c r="R34" s="63"/>
      <c r="S34" s="63"/>
      <c r="T34" s="63"/>
      <c r="U34" s="10"/>
      <c r="V34" s="90"/>
      <c r="W34" s="91"/>
      <c r="X34" s="92"/>
    </row>
    <row r="35" spans="1:24">
      <c r="A35" s="2"/>
      <c r="B35" s="87">
        <v>1</v>
      </c>
      <c r="C35" s="274">
        <v>45847</v>
      </c>
      <c r="D35" s="276" t="s">
        <v>2294</v>
      </c>
      <c r="E35" s="276" t="s">
        <v>149</v>
      </c>
      <c r="F35" s="277">
        <v>681</v>
      </c>
      <c r="G35" s="277"/>
      <c r="H35" s="277"/>
      <c r="I35" s="278">
        <f>F35-G35-H35</f>
        <v>681</v>
      </c>
      <c r="J35" s="279" t="s">
        <v>205</v>
      </c>
      <c r="K35" s="279">
        <v>1</v>
      </c>
      <c r="L35" s="279"/>
      <c r="M35" s="279"/>
      <c r="N35" s="279">
        <v>1</v>
      </c>
      <c r="O35" s="279">
        <v>1</v>
      </c>
      <c r="P35" s="279">
        <v>1</v>
      </c>
      <c r="Q35" s="279"/>
      <c r="R35" s="279"/>
      <c r="S35" s="280"/>
      <c r="T35" s="63"/>
      <c r="U35" s="3"/>
      <c r="V35" s="90"/>
      <c r="W35" s="91"/>
      <c r="X35" s="92"/>
    </row>
    <row r="36" spans="1:24">
      <c r="A36" s="2" t="s">
        <v>2295</v>
      </c>
      <c r="B36" s="87">
        <f>B35+1</f>
        <v>2</v>
      </c>
      <c r="C36" s="282">
        <v>45847</v>
      </c>
      <c r="D36" s="283">
        <v>71353</v>
      </c>
      <c r="E36" s="283" t="s">
        <v>149</v>
      </c>
      <c r="F36" s="284">
        <v>5533</v>
      </c>
      <c r="G36" s="284">
        <f>39.7+(1164.3-1164.3)+250</f>
        <v>289.7</v>
      </c>
      <c r="H36" s="284"/>
      <c r="I36" s="285">
        <f>F36-G36-H36</f>
        <v>5243.3</v>
      </c>
      <c r="J36" s="286" t="s">
        <v>156</v>
      </c>
      <c r="K36" s="286">
        <v>1</v>
      </c>
      <c r="L36" s="286">
        <v>1</v>
      </c>
      <c r="M36" s="286">
        <v>1</v>
      </c>
      <c r="N36" s="286">
        <v>1</v>
      </c>
      <c r="O36" s="286">
        <v>1</v>
      </c>
      <c r="P36" s="286">
        <v>1</v>
      </c>
      <c r="Q36" s="286">
        <v>0</v>
      </c>
      <c r="R36" s="286">
        <v>0</v>
      </c>
      <c r="S36" s="287">
        <v>0</v>
      </c>
      <c r="T36" s="63"/>
      <c r="U36" s="3" t="s">
        <v>2296</v>
      </c>
      <c r="V36" s="90">
        <v>608.63</v>
      </c>
      <c r="W36" s="91"/>
      <c r="X36" s="92"/>
    </row>
    <row r="37" spans="1:24">
      <c r="A37" s="2"/>
      <c r="B37" s="11"/>
      <c r="C37" s="36"/>
      <c r="D37" s="10"/>
      <c r="E37" s="10"/>
      <c r="F37" s="97">
        <f>SUM(F35:F36)</f>
        <v>6214</v>
      </c>
      <c r="G37" s="97">
        <f t="shared" ref="G37:I37" si="10">SUM(G35:G36)</f>
        <v>289.7</v>
      </c>
      <c r="H37" s="97">
        <f t="shared" si="10"/>
        <v>0</v>
      </c>
      <c r="I37" s="97">
        <f t="shared" si="10"/>
        <v>5924.3</v>
      </c>
      <c r="J37" s="10"/>
      <c r="K37" s="10"/>
      <c r="L37" s="10"/>
      <c r="M37" s="10"/>
      <c r="N37" s="10"/>
      <c r="O37" s="10"/>
      <c r="P37" s="10"/>
      <c r="Q37" s="10"/>
      <c r="R37" s="10"/>
      <c r="S37" s="10"/>
      <c r="T37" s="63"/>
      <c r="U37" s="10"/>
      <c r="V37" s="138"/>
      <c r="W37" s="136"/>
      <c r="X37" s="137"/>
    </row>
    <row r="38" spans="1:24">
      <c r="A38" s="2"/>
      <c r="B38" s="26"/>
      <c r="C38" s="140"/>
      <c r="D38" s="141"/>
      <c r="E38" s="141"/>
      <c r="F38" s="141"/>
      <c r="G38" s="141"/>
      <c r="H38" s="141"/>
      <c r="I38" s="141"/>
      <c r="J38" s="141"/>
      <c r="K38" s="142"/>
      <c r="L38" s="142"/>
      <c r="M38" s="142"/>
      <c r="N38" s="142"/>
      <c r="O38" s="142"/>
      <c r="P38" s="142"/>
      <c r="Q38" s="142"/>
      <c r="R38" s="142"/>
      <c r="S38" s="142"/>
      <c r="T38" s="143">
        <f>SUM(T30:T37)</f>
        <v>0</v>
      </c>
      <c r="U38" s="141"/>
      <c r="V38" s="144">
        <f>SUM(V30:V37)</f>
        <v>608.63</v>
      </c>
      <c r="W38" s="145">
        <f>SUM(W30:W37)</f>
        <v>0</v>
      </c>
      <c r="X38" s="146">
        <f>SUM(X30:X37)</f>
        <v>0</v>
      </c>
    </row>
    <row r="41" spans="1:24">
      <c r="A41" s="3"/>
      <c r="B41" s="4" t="s">
        <v>1</v>
      </c>
      <c r="C41" s="5"/>
      <c r="D41" s="6"/>
      <c r="E41" s="6"/>
      <c r="F41" s="7" t="s">
        <v>2</v>
      </c>
      <c r="G41" s="8">
        <v>45858</v>
      </c>
      <c r="H41" s="7"/>
      <c r="I41" s="6"/>
      <c r="J41" s="6"/>
      <c r="K41" s="6"/>
      <c r="L41" s="6"/>
      <c r="M41" s="6"/>
      <c r="N41" s="6"/>
      <c r="O41" s="6"/>
      <c r="P41" s="6"/>
      <c r="Q41" s="6"/>
      <c r="R41" s="6"/>
      <c r="S41" s="6"/>
      <c r="T41" s="6"/>
      <c r="U41" s="9"/>
      <c r="V41" s="10"/>
      <c r="W41" s="10"/>
      <c r="X41" s="10"/>
    </row>
    <row r="42" spans="1:24">
      <c r="A42" s="2"/>
      <c r="B42" s="11"/>
      <c r="C42" s="10"/>
      <c r="D42" s="10"/>
      <c r="E42" s="10"/>
      <c r="F42" s="10"/>
      <c r="G42" s="7"/>
      <c r="H42" s="12"/>
      <c r="I42" s="10"/>
      <c r="J42" s="10"/>
      <c r="K42" s="13" t="s">
        <v>3</v>
      </c>
      <c r="L42" s="14"/>
      <c r="M42" s="15"/>
      <c r="N42" s="13" t="s">
        <v>4</v>
      </c>
      <c r="O42" s="14"/>
      <c r="P42" s="15"/>
      <c r="Q42" s="13" t="s">
        <v>5</v>
      </c>
      <c r="R42" s="14"/>
      <c r="S42" s="15"/>
      <c r="T42" s="16"/>
      <c r="U42" s="17"/>
      <c r="V42" s="10"/>
      <c r="W42" s="10"/>
      <c r="X42" s="10"/>
    </row>
    <row r="43" spans="1:24">
      <c r="A43" s="2"/>
      <c r="B43" s="18" t="s">
        <v>6</v>
      </c>
      <c r="C43" s="19">
        <f>C44+C45</f>
        <v>2</v>
      </c>
      <c r="D43" s="10"/>
      <c r="E43" s="18" t="s">
        <v>7</v>
      </c>
      <c r="F43" s="6"/>
      <c r="G43" s="9"/>
      <c r="H43" s="10"/>
      <c r="I43" s="10"/>
      <c r="J43" s="10"/>
      <c r="K43" s="20" t="s">
        <v>8</v>
      </c>
      <c r="L43" s="21" t="s">
        <v>9</v>
      </c>
      <c r="M43" s="21" t="s">
        <v>10</v>
      </c>
      <c r="N43" s="20" t="s">
        <v>11</v>
      </c>
      <c r="O43" s="21" t="s">
        <v>12</v>
      </c>
      <c r="P43" s="22" t="s">
        <v>13</v>
      </c>
      <c r="Q43" s="21" t="s">
        <v>11</v>
      </c>
      <c r="R43" s="21" t="s">
        <v>12</v>
      </c>
      <c r="S43" s="22" t="s">
        <v>13</v>
      </c>
      <c r="T43" s="23" t="s">
        <v>14</v>
      </c>
      <c r="U43" s="17"/>
      <c r="V43" s="10"/>
      <c r="W43" s="10"/>
      <c r="X43" s="10"/>
    </row>
    <row r="44" spans="1:24">
      <c r="A44" s="2"/>
      <c r="B44" s="24" t="s">
        <v>15</v>
      </c>
      <c r="C44" s="25">
        <f>P51</f>
        <v>1</v>
      </c>
      <c r="D44" s="10"/>
      <c r="E44" s="26" t="s">
        <v>16</v>
      </c>
      <c r="F44" s="27">
        <v>0.05</v>
      </c>
      <c r="G44" s="28"/>
      <c r="H44" s="10"/>
      <c r="I44" s="10"/>
      <c r="J44" s="18" t="s">
        <v>17</v>
      </c>
      <c r="K44" s="29">
        <f>K70</f>
        <v>0</v>
      </c>
      <c r="L44" s="29">
        <f t="shared" ref="L44:S44" si="11">L70</f>
        <v>0</v>
      </c>
      <c r="M44" s="29">
        <f t="shared" si="11"/>
        <v>0</v>
      </c>
      <c r="N44" s="29">
        <f t="shared" si="11"/>
        <v>0</v>
      </c>
      <c r="O44" s="29">
        <f t="shared" si="11"/>
        <v>0</v>
      </c>
      <c r="P44" s="29">
        <f t="shared" si="11"/>
        <v>0</v>
      </c>
      <c r="Q44" s="29">
        <f t="shared" si="11"/>
        <v>0</v>
      </c>
      <c r="R44" s="29">
        <f t="shared" si="11"/>
        <v>0</v>
      </c>
      <c r="S44" s="29">
        <f t="shared" si="11"/>
        <v>0</v>
      </c>
      <c r="T44" s="30">
        <f>T79</f>
        <v>0</v>
      </c>
      <c r="U44" s="17"/>
      <c r="V44" s="10"/>
      <c r="W44" s="10"/>
      <c r="X44" s="10"/>
    </row>
    <row r="45" spans="1:24">
      <c r="A45" s="2"/>
      <c r="B45" s="24" t="s">
        <v>18</v>
      </c>
      <c r="C45" s="25">
        <f>P52</f>
        <v>1</v>
      </c>
      <c r="D45" s="10"/>
      <c r="E45" s="10"/>
      <c r="F45" s="10"/>
      <c r="G45" s="31"/>
      <c r="H45" s="10"/>
      <c r="I45" s="10"/>
      <c r="J45" s="32" t="s">
        <v>19</v>
      </c>
      <c r="K45" s="33" t="e">
        <f>K70/K69</f>
        <v>#DIV/0!</v>
      </c>
      <c r="L45" s="33" t="e">
        <f t="shared" ref="L45:S45" si="12">L70/L69</f>
        <v>#DIV/0!</v>
      </c>
      <c r="M45" s="33" t="e">
        <f t="shared" si="12"/>
        <v>#DIV/0!</v>
      </c>
      <c r="N45" s="33" t="e">
        <f t="shared" si="12"/>
        <v>#DIV/0!</v>
      </c>
      <c r="O45" s="33" t="e">
        <f t="shared" si="12"/>
        <v>#DIV/0!</v>
      </c>
      <c r="P45" s="33" t="e">
        <f t="shared" si="12"/>
        <v>#DIV/0!</v>
      </c>
      <c r="Q45" s="33" t="e">
        <f t="shared" si="12"/>
        <v>#DIV/0!</v>
      </c>
      <c r="R45" s="33" t="e">
        <f t="shared" si="12"/>
        <v>#DIV/0!</v>
      </c>
      <c r="S45" s="33" t="e">
        <f t="shared" si="12"/>
        <v>#DIV/0!</v>
      </c>
      <c r="T45" s="23"/>
      <c r="U45" s="17" t="s">
        <v>20</v>
      </c>
      <c r="V45" s="10"/>
      <c r="W45" s="10"/>
      <c r="X45" s="10"/>
    </row>
    <row r="46" spans="1:24">
      <c r="A46" s="2"/>
      <c r="B46" s="24" t="s">
        <v>21</v>
      </c>
      <c r="C46" s="34">
        <f>P53</f>
        <v>0.5</v>
      </c>
      <c r="D46" s="10"/>
      <c r="E46" s="10"/>
      <c r="F46" s="10"/>
      <c r="G46" s="10"/>
      <c r="H46" s="10"/>
      <c r="I46" s="10"/>
      <c r="J46" s="10"/>
      <c r="K46" s="10"/>
      <c r="L46" s="10"/>
      <c r="M46" s="10"/>
      <c r="N46" s="10"/>
      <c r="O46" s="10"/>
      <c r="P46" s="10"/>
      <c r="Q46" s="10"/>
      <c r="R46" s="10"/>
      <c r="S46" s="10"/>
      <c r="T46" s="10"/>
      <c r="U46" s="17"/>
      <c r="V46" s="10"/>
      <c r="W46" s="10"/>
      <c r="X46" s="10"/>
    </row>
    <row r="47" spans="1:24">
      <c r="A47" s="2"/>
      <c r="B47" s="24"/>
      <c r="C47" s="25"/>
      <c r="D47" s="10"/>
      <c r="E47" s="10"/>
      <c r="F47" s="18" t="s">
        <v>22</v>
      </c>
      <c r="G47" s="19" t="s">
        <v>23</v>
      </c>
      <c r="H47" s="35" t="s">
        <v>24</v>
      </c>
      <c r="I47" s="10"/>
      <c r="J47" s="10"/>
      <c r="K47" s="36"/>
      <c r="L47" s="36"/>
      <c r="M47" s="36"/>
      <c r="N47" s="36"/>
      <c r="O47" s="36"/>
      <c r="P47" s="36"/>
      <c r="Q47" s="36"/>
      <c r="R47" s="10"/>
      <c r="S47" s="10"/>
      <c r="T47" s="10"/>
      <c r="U47" s="17"/>
      <c r="V47" s="10"/>
      <c r="W47" s="10"/>
      <c r="X47" s="10"/>
    </row>
    <row r="48" spans="1:24">
      <c r="A48" s="2"/>
      <c r="B48" s="32" t="s">
        <v>25</v>
      </c>
      <c r="C48" s="37">
        <f>P54</f>
        <v>9462.16</v>
      </c>
      <c r="D48" s="10"/>
      <c r="E48" s="18" t="s">
        <v>26</v>
      </c>
      <c r="F48" s="38">
        <f>P50</f>
        <v>9462.16</v>
      </c>
      <c r="G48" s="39">
        <f>I69+I74</f>
        <v>9462.16</v>
      </c>
      <c r="H48" s="40"/>
      <c r="I48" s="41"/>
      <c r="J48" s="42"/>
      <c r="K48" s="43" t="s">
        <v>27</v>
      </c>
      <c r="L48" s="44"/>
      <c r="M48" s="44"/>
      <c r="N48" s="44"/>
      <c r="O48" s="44"/>
      <c r="P48" s="44"/>
      <c r="Q48" s="45"/>
      <c r="R48" s="46" t="s">
        <v>28</v>
      </c>
      <c r="S48" s="47" t="s">
        <v>29</v>
      </c>
      <c r="T48" s="10"/>
      <c r="U48" s="17"/>
      <c r="V48" s="10"/>
      <c r="W48" s="10"/>
      <c r="X48" s="10"/>
    </row>
    <row r="49" spans="1:24">
      <c r="A49" s="2"/>
      <c r="B49" s="11"/>
      <c r="C49" s="10"/>
      <c r="D49" s="10"/>
      <c r="E49" s="24" t="s">
        <v>30</v>
      </c>
      <c r="F49" s="48">
        <f>F44</f>
        <v>0.05</v>
      </c>
      <c r="G49" s="17"/>
      <c r="H49" s="40"/>
      <c r="I49" s="41"/>
      <c r="J49" s="42"/>
      <c r="K49" s="20" t="s">
        <v>31</v>
      </c>
      <c r="L49" s="21" t="s">
        <v>32</v>
      </c>
      <c r="M49" s="21" t="s">
        <v>33</v>
      </c>
      <c r="N49" s="21" t="s">
        <v>34</v>
      </c>
      <c r="O49" s="21" t="s">
        <v>35</v>
      </c>
      <c r="P49" s="21" t="s">
        <v>36</v>
      </c>
      <c r="Q49" s="49" t="s">
        <v>37</v>
      </c>
      <c r="R49" s="50" t="s">
        <v>38</v>
      </c>
      <c r="S49" s="50" t="s">
        <v>38</v>
      </c>
      <c r="T49" s="10"/>
      <c r="U49" s="17"/>
      <c r="V49" s="10"/>
      <c r="W49" s="10"/>
      <c r="X49" s="10"/>
    </row>
    <row r="50" spans="1:24">
      <c r="A50" s="2"/>
      <c r="B50" s="11"/>
      <c r="C50" s="10"/>
      <c r="D50" s="10"/>
      <c r="E50" s="51" t="s">
        <v>39</v>
      </c>
      <c r="F50" s="52">
        <f>F48*F49</f>
        <v>473.108</v>
      </c>
      <c r="G50" s="53" t="s">
        <v>40</v>
      </c>
      <c r="H50" s="54">
        <f>F50/1.12</f>
        <v>422.41785714285709</v>
      </c>
      <c r="I50" s="55"/>
      <c r="J50" s="42"/>
      <c r="K50" s="56"/>
      <c r="L50" s="57"/>
      <c r="M50" s="57"/>
      <c r="N50" s="57">
        <f>I73</f>
        <v>9462.16</v>
      </c>
      <c r="O50" s="57"/>
      <c r="P50" s="57">
        <f>SUM(K50:O50)</f>
        <v>9462.16</v>
      </c>
      <c r="Q50" s="58">
        <v>0</v>
      </c>
      <c r="R50" s="59">
        <f>+I74</f>
        <v>9462.16</v>
      </c>
      <c r="S50" s="59">
        <f>0</f>
        <v>0</v>
      </c>
      <c r="T50" s="10"/>
      <c r="U50" s="17"/>
      <c r="V50" s="10"/>
      <c r="W50" s="10"/>
      <c r="X50" s="10"/>
    </row>
    <row r="51" spans="1:24">
      <c r="A51" s="2"/>
      <c r="B51" s="11"/>
      <c r="C51" s="10"/>
      <c r="D51" s="10"/>
      <c r="E51" s="24" t="s">
        <v>41</v>
      </c>
      <c r="F51" s="60">
        <f>Q50</f>
        <v>0</v>
      </c>
      <c r="G51" s="61" t="s">
        <v>40</v>
      </c>
      <c r="H51" s="62"/>
      <c r="I51" s="62"/>
      <c r="J51" s="10" t="s">
        <v>42</v>
      </c>
      <c r="K51" s="63"/>
      <c r="L51" s="63"/>
      <c r="M51" s="63"/>
      <c r="N51" s="63">
        <v>1</v>
      </c>
      <c r="O51" s="63"/>
      <c r="P51" s="21">
        <f>SUM(K51:O51)</f>
        <v>1</v>
      </c>
      <c r="Q51" s="64"/>
      <c r="R51" s="63"/>
      <c r="S51" s="10"/>
      <c r="T51" s="10"/>
      <c r="U51" s="17"/>
      <c r="V51" s="10"/>
      <c r="W51" s="10"/>
      <c r="X51" s="10"/>
    </row>
    <row r="52" spans="1:24">
      <c r="A52" s="2"/>
      <c r="B52" s="11"/>
      <c r="C52" s="10"/>
      <c r="D52" s="10"/>
      <c r="E52" s="51" t="s">
        <v>43</v>
      </c>
      <c r="F52" s="52">
        <f>F51*0.25</f>
        <v>0</v>
      </c>
      <c r="G52" s="53" t="s">
        <v>40</v>
      </c>
      <c r="H52" s="54">
        <f>F52/1.12</f>
        <v>0</v>
      </c>
      <c r="I52" s="10"/>
      <c r="J52" s="10" t="s">
        <v>44</v>
      </c>
      <c r="K52" s="63"/>
      <c r="L52" s="63"/>
      <c r="M52" s="63"/>
      <c r="N52" s="63">
        <v>1</v>
      </c>
      <c r="O52" s="63"/>
      <c r="P52" s="21">
        <f>SUM(K52:O52)</f>
        <v>1</v>
      </c>
      <c r="Q52" s="64"/>
      <c r="R52" s="63"/>
      <c r="S52" s="10"/>
      <c r="T52" s="10"/>
      <c r="U52" s="17"/>
      <c r="V52" s="10"/>
      <c r="W52" s="10"/>
      <c r="X52" s="10"/>
    </row>
    <row r="53" spans="1:24">
      <c r="A53" s="2"/>
      <c r="B53" s="11"/>
      <c r="C53" s="10"/>
      <c r="D53" s="10"/>
      <c r="E53" s="24" t="s">
        <v>45</v>
      </c>
      <c r="F53" s="60"/>
      <c r="G53" s="61" t="s">
        <v>40</v>
      </c>
      <c r="H53" s="62"/>
      <c r="I53" s="10"/>
      <c r="J53" s="10" t="s">
        <v>46</v>
      </c>
      <c r="K53" s="31" t="e">
        <f t="shared" ref="K53:Q53" si="13">K51/(K51+K52)</f>
        <v>#DIV/0!</v>
      </c>
      <c r="L53" s="31" t="e">
        <f t="shared" si="13"/>
        <v>#DIV/0!</v>
      </c>
      <c r="M53" s="31" t="e">
        <f t="shared" si="13"/>
        <v>#DIV/0!</v>
      </c>
      <c r="N53" s="31">
        <f t="shared" si="13"/>
        <v>0.5</v>
      </c>
      <c r="O53" s="31" t="e">
        <f t="shared" si="13"/>
        <v>#DIV/0!</v>
      </c>
      <c r="P53" s="31">
        <f t="shared" si="13"/>
        <v>0.5</v>
      </c>
      <c r="Q53" s="31" t="e">
        <f t="shared" si="13"/>
        <v>#DIV/0!</v>
      </c>
      <c r="R53" s="63"/>
      <c r="S53" s="10"/>
      <c r="T53" s="10"/>
      <c r="U53" s="17"/>
      <c r="V53" s="10"/>
      <c r="W53" s="10"/>
      <c r="X53" s="10"/>
    </row>
    <row r="54" spans="1:24">
      <c r="A54" s="2"/>
      <c r="B54" s="11"/>
      <c r="C54" s="10"/>
      <c r="D54" s="10"/>
      <c r="E54" s="51" t="s">
        <v>47</v>
      </c>
      <c r="F54" s="52">
        <f>F53*0.05</f>
        <v>0</v>
      </c>
      <c r="G54" s="65" t="s">
        <v>40</v>
      </c>
      <c r="H54" s="54">
        <f>F54/1.12</f>
        <v>0</v>
      </c>
      <c r="I54" s="42"/>
      <c r="J54" s="10" t="s">
        <v>48</v>
      </c>
      <c r="K54" s="66" t="e">
        <f>K50/K51</f>
        <v>#DIV/0!</v>
      </c>
      <c r="L54" s="66" t="e">
        <f t="shared" ref="L54:Q54" si="14">L50/L51</f>
        <v>#DIV/0!</v>
      </c>
      <c r="M54" s="66" t="e">
        <f t="shared" si="14"/>
        <v>#DIV/0!</v>
      </c>
      <c r="N54" s="66">
        <f t="shared" si="14"/>
        <v>9462.16</v>
      </c>
      <c r="O54" s="66" t="e">
        <f t="shared" si="14"/>
        <v>#DIV/0!</v>
      </c>
      <c r="P54" s="66">
        <f t="shared" si="14"/>
        <v>9462.16</v>
      </c>
      <c r="Q54" s="66" t="e">
        <f t="shared" si="14"/>
        <v>#DIV/0!</v>
      </c>
      <c r="R54" s="63"/>
      <c r="S54" s="10"/>
      <c r="T54" s="10"/>
      <c r="U54" s="17"/>
      <c r="V54" s="10"/>
      <c r="W54" s="10"/>
      <c r="X54" s="10"/>
    </row>
    <row r="55" spans="1:24">
      <c r="A55" s="2"/>
      <c r="B55" s="11"/>
      <c r="C55" s="10"/>
      <c r="D55" s="10"/>
      <c r="E55" s="67" t="s">
        <v>14</v>
      </c>
      <c r="F55" s="68"/>
      <c r="G55" s="10"/>
      <c r="H55" s="54">
        <f>F55/1.12</f>
        <v>0</v>
      </c>
      <c r="I55" s="10"/>
      <c r="J55" s="10"/>
      <c r="K55" s="10"/>
      <c r="L55" s="10"/>
      <c r="M55" s="10"/>
      <c r="N55" s="10"/>
      <c r="O55" s="10"/>
      <c r="P55" s="10"/>
      <c r="Q55" s="10"/>
      <c r="R55" s="10"/>
      <c r="S55" s="10"/>
      <c r="T55" s="10"/>
      <c r="U55" s="17"/>
      <c r="V55" s="10"/>
      <c r="W55" s="10"/>
      <c r="X55" s="10"/>
    </row>
    <row r="56" spans="1:24">
      <c r="A56" s="2"/>
      <c r="B56" s="11"/>
      <c r="C56" s="10"/>
      <c r="D56" s="10"/>
      <c r="E56" s="155" t="s">
        <v>49</v>
      </c>
      <c r="F56" s="364">
        <f>T45</f>
        <v>0</v>
      </c>
      <c r="G56" s="10"/>
      <c r="H56" s="54"/>
      <c r="I56" s="55"/>
      <c r="J56" s="42"/>
      <c r="K56" s="764" t="s">
        <v>50</v>
      </c>
      <c r="L56" s="765"/>
      <c r="M56" s="765"/>
      <c r="N56" s="765"/>
      <c r="O56" s="765"/>
      <c r="P56" s="765"/>
      <c r="Q56" s="766"/>
      <c r="R56" s="70" t="s">
        <v>28</v>
      </c>
      <c r="S56" s="71" t="s">
        <v>29</v>
      </c>
      <c r="T56" s="10"/>
      <c r="U56" s="17"/>
      <c r="V56" s="10"/>
      <c r="W56" s="10"/>
      <c r="X56" s="10"/>
    </row>
    <row r="57" spans="1:24">
      <c r="A57" s="2"/>
      <c r="B57" s="11"/>
      <c r="C57" s="10"/>
      <c r="D57" s="10"/>
      <c r="E57" s="10"/>
      <c r="F57" s="10"/>
      <c r="G57" s="10"/>
      <c r="H57" s="10"/>
      <c r="I57" s="10"/>
      <c r="J57" s="42"/>
      <c r="K57" s="20" t="s">
        <v>31</v>
      </c>
      <c r="L57" s="21" t="s">
        <v>32</v>
      </c>
      <c r="M57" s="21" t="s">
        <v>33</v>
      </c>
      <c r="N57" s="21" t="s">
        <v>34</v>
      </c>
      <c r="O57" s="21" t="s">
        <v>35</v>
      </c>
      <c r="P57" s="21" t="s">
        <v>36</v>
      </c>
      <c r="Q57" s="49" t="s">
        <v>37</v>
      </c>
      <c r="R57" s="50" t="s">
        <v>38</v>
      </c>
      <c r="S57" s="50" t="s">
        <v>38</v>
      </c>
      <c r="T57" s="10"/>
      <c r="U57" s="17"/>
      <c r="V57" s="10"/>
      <c r="W57" s="10"/>
      <c r="X57" s="10"/>
    </row>
    <row r="58" spans="1:24">
      <c r="A58" s="2"/>
      <c r="B58" s="11"/>
      <c r="C58" s="10"/>
      <c r="D58" s="10"/>
      <c r="E58" s="10"/>
      <c r="F58" s="10"/>
      <c r="G58" s="10"/>
      <c r="H58" s="10"/>
      <c r="I58" s="10"/>
      <c r="J58" s="42"/>
      <c r="K58" s="56"/>
      <c r="L58" s="57"/>
      <c r="M58" s="57"/>
      <c r="N58" s="57">
        <f>F73</f>
        <v>11352.6</v>
      </c>
      <c r="O58" s="57"/>
      <c r="P58" s="57">
        <f>SUM(K58:O58)</f>
        <v>11352.6</v>
      </c>
      <c r="Q58" s="58">
        <v>0</v>
      </c>
      <c r="R58" s="59">
        <f>+F74</f>
        <v>11352.6</v>
      </c>
      <c r="S58" s="59">
        <f>0</f>
        <v>0</v>
      </c>
      <c r="T58" s="10"/>
      <c r="U58" s="17"/>
      <c r="V58" s="10"/>
      <c r="W58" s="10"/>
      <c r="X58" s="10"/>
    </row>
    <row r="59" spans="1:24">
      <c r="A59" s="2"/>
      <c r="B59" s="11"/>
      <c r="C59" s="10"/>
      <c r="D59" s="10"/>
      <c r="E59" s="10"/>
      <c r="F59" s="10"/>
      <c r="G59" s="10"/>
      <c r="H59" s="10"/>
      <c r="I59" s="10"/>
      <c r="J59" s="10" t="s">
        <v>42</v>
      </c>
      <c r="K59" s="63">
        <f>K51</f>
        <v>0</v>
      </c>
      <c r="L59" s="63">
        <f t="shared" ref="L59:Q60" si="15">L51</f>
        <v>0</v>
      </c>
      <c r="M59" s="63">
        <f t="shared" si="15"/>
        <v>0</v>
      </c>
      <c r="N59" s="63">
        <f t="shared" si="15"/>
        <v>1</v>
      </c>
      <c r="O59" s="63">
        <f t="shared" si="15"/>
        <v>0</v>
      </c>
      <c r="P59" s="63">
        <f t="shared" si="15"/>
        <v>1</v>
      </c>
      <c r="Q59" s="63">
        <f t="shared" si="15"/>
        <v>0</v>
      </c>
      <c r="R59" s="63"/>
      <c r="S59" s="10"/>
      <c r="T59" s="10"/>
      <c r="U59" s="17"/>
      <c r="V59" s="10"/>
      <c r="W59" s="10"/>
      <c r="X59" s="10"/>
    </row>
    <row r="60" spans="1:24">
      <c r="A60" s="2"/>
      <c r="B60" s="11"/>
      <c r="C60" s="10"/>
      <c r="D60" s="10"/>
      <c r="E60" s="10"/>
      <c r="F60" s="10"/>
      <c r="G60" s="10"/>
      <c r="H60" s="10"/>
      <c r="I60" s="10"/>
      <c r="J60" s="10" t="s">
        <v>44</v>
      </c>
      <c r="K60" s="63">
        <f>K52</f>
        <v>0</v>
      </c>
      <c r="L60" s="63">
        <f t="shared" si="15"/>
        <v>0</v>
      </c>
      <c r="M60" s="63">
        <f t="shared" si="15"/>
        <v>0</v>
      </c>
      <c r="N60" s="63">
        <f t="shared" si="15"/>
        <v>1</v>
      </c>
      <c r="O60" s="63">
        <f t="shared" si="15"/>
        <v>0</v>
      </c>
      <c r="P60" s="63">
        <f t="shared" si="15"/>
        <v>1</v>
      </c>
      <c r="Q60" s="63">
        <f t="shared" si="15"/>
        <v>0</v>
      </c>
      <c r="R60" s="63"/>
      <c r="S60" s="10"/>
      <c r="T60" s="10"/>
      <c r="U60" s="17"/>
      <c r="V60" s="10"/>
      <c r="W60" s="10"/>
      <c r="X60" s="10"/>
    </row>
    <row r="61" spans="1:24">
      <c r="A61" s="2"/>
      <c r="B61" s="11"/>
      <c r="C61" s="10"/>
      <c r="D61" s="10"/>
      <c r="E61" s="10"/>
      <c r="F61" s="10"/>
      <c r="G61" s="10"/>
      <c r="H61" s="10"/>
      <c r="I61" s="10"/>
      <c r="J61" s="10" t="s">
        <v>46</v>
      </c>
      <c r="K61" s="31" t="e">
        <f t="shared" ref="K61:Q61" si="16">K59/(K59+K60)</f>
        <v>#DIV/0!</v>
      </c>
      <c r="L61" s="31" t="e">
        <f t="shared" si="16"/>
        <v>#DIV/0!</v>
      </c>
      <c r="M61" s="31" t="e">
        <f t="shared" si="16"/>
        <v>#DIV/0!</v>
      </c>
      <c r="N61" s="31">
        <f t="shared" si="16"/>
        <v>0.5</v>
      </c>
      <c r="O61" s="31" t="e">
        <f t="shared" si="16"/>
        <v>#DIV/0!</v>
      </c>
      <c r="P61" s="31">
        <f t="shared" si="16"/>
        <v>0.5</v>
      </c>
      <c r="Q61" s="31" t="e">
        <f t="shared" si="16"/>
        <v>#DIV/0!</v>
      </c>
      <c r="R61" s="63"/>
      <c r="S61" s="10"/>
      <c r="T61" s="10"/>
      <c r="U61" s="17"/>
      <c r="V61" s="10"/>
      <c r="W61" s="10"/>
      <c r="X61" s="10"/>
    </row>
    <row r="62" spans="1:24">
      <c r="A62" s="2"/>
      <c r="B62" s="11"/>
      <c r="C62" s="10"/>
      <c r="D62" s="10"/>
      <c r="E62" s="10"/>
      <c r="F62" s="10"/>
      <c r="G62" s="10"/>
      <c r="H62" s="10"/>
      <c r="I62" s="10"/>
      <c r="J62" s="10" t="s">
        <v>48</v>
      </c>
      <c r="K62" s="66" t="e">
        <f t="shared" ref="K62:Q62" si="17">K58/K59</f>
        <v>#DIV/0!</v>
      </c>
      <c r="L62" s="66" t="e">
        <f t="shared" si="17"/>
        <v>#DIV/0!</v>
      </c>
      <c r="M62" s="66" t="e">
        <f t="shared" si="17"/>
        <v>#DIV/0!</v>
      </c>
      <c r="N62" s="66">
        <f t="shared" si="17"/>
        <v>11352.6</v>
      </c>
      <c r="O62" s="66" t="e">
        <f t="shared" si="17"/>
        <v>#DIV/0!</v>
      </c>
      <c r="P62" s="66">
        <f t="shared" si="17"/>
        <v>11352.6</v>
      </c>
      <c r="Q62" s="66" t="e">
        <f t="shared" si="17"/>
        <v>#DIV/0!</v>
      </c>
      <c r="R62" s="63"/>
      <c r="S62" s="10"/>
      <c r="T62" s="10"/>
      <c r="U62" s="17"/>
      <c r="V62" s="10"/>
      <c r="W62" s="10"/>
      <c r="X62" s="10"/>
    </row>
    <row r="63" spans="1:24">
      <c r="A63" s="2"/>
      <c r="B63" s="11"/>
      <c r="C63" s="10"/>
      <c r="D63" s="10"/>
      <c r="E63" s="10"/>
      <c r="F63" s="10"/>
      <c r="G63" s="10"/>
      <c r="H63" s="10"/>
      <c r="I63" s="10"/>
      <c r="J63" s="10"/>
      <c r="K63" s="10"/>
      <c r="L63" s="10"/>
      <c r="M63" s="10"/>
      <c r="N63" s="10"/>
      <c r="O63" s="10"/>
      <c r="P63" s="10"/>
      <c r="Q63" s="10"/>
      <c r="R63" s="10"/>
      <c r="S63" s="10"/>
      <c r="T63" s="10"/>
      <c r="U63" s="17"/>
      <c r="V63" s="10"/>
      <c r="W63" s="10"/>
      <c r="X63" s="10"/>
    </row>
    <row r="64" spans="1:24">
      <c r="A64" s="2"/>
      <c r="B64" s="11"/>
      <c r="C64" s="10"/>
      <c r="D64" s="10"/>
      <c r="E64" s="10"/>
      <c r="F64" s="10"/>
      <c r="G64" s="10"/>
      <c r="H64" s="10"/>
      <c r="I64" s="10"/>
      <c r="J64" s="10"/>
      <c r="K64" s="10"/>
      <c r="L64" s="10"/>
      <c r="M64" s="10"/>
      <c r="N64" s="10"/>
      <c r="O64" s="10"/>
      <c r="P64" s="10"/>
      <c r="Q64" s="10"/>
      <c r="R64" s="10"/>
      <c r="S64" s="10"/>
      <c r="T64" s="10"/>
      <c r="U64" s="17"/>
      <c r="V64" s="10"/>
      <c r="W64" s="10"/>
      <c r="X64" s="10"/>
    </row>
    <row r="65" spans="1:24">
      <c r="A65" s="2"/>
      <c r="B65" s="18" t="s">
        <v>51</v>
      </c>
      <c r="C65" s="14"/>
      <c r="D65" s="14"/>
      <c r="E65" s="14"/>
      <c r="F65" s="13" t="s">
        <v>52</v>
      </c>
      <c r="G65" s="14"/>
      <c r="H65" s="14"/>
      <c r="I65" s="14"/>
      <c r="J65" s="14"/>
      <c r="K65" s="13" t="s">
        <v>3</v>
      </c>
      <c r="L65" s="14"/>
      <c r="M65" s="14"/>
      <c r="N65" s="13" t="s">
        <v>4</v>
      </c>
      <c r="O65" s="14"/>
      <c r="P65" s="14"/>
      <c r="Q65" s="13" t="s">
        <v>5</v>
      </c>
      <c r="R65" s="14"/>
      <c r="S65" s="14"/>
      <c r="T65" s="18"/>
      <c r="U65" s="16" t="s">
        <v>53</v>
      </c>
      <c r="V65" s="77"/>
      <c r="W65" s="77"/>
      <c r="X65" s="77"/>
    </row>
    <row r="66" spans="1:24">
      <c r="A66" s="2"/>
      <c r="B66" s="24" t="s">
        <v>54</v>
      </c>
      <c r="C66" s="21" t="s">
        <v>55</v>
      </c>
      <c r="D66" s="21" t="s">
        <v>56</v>
      </c>
      <c r="E66" s="21" t="s">
        <v>57</v>
      </c>
      <c r="F66" s="20" t="s">
        <v>58</v>
      </c>
      <c r="G66" s="21" t="s">
        <v>59</v>
      </c>
      <c r="H66" s="21" t="s">
        <v>60</v>
      </c>
      <c r="I66" s="21" t="s">
        <v>26</v>
      </c>
      <c r="J66" s="22" t="s">
        <v>61</v>
      </c>
      <c r="K66" s="21" t="s">
        <v>8</v>
      </c>
      <c r="L66" s="21" t="s">
        <v>9</v>
      </c>
      <c r="M66" s="21" t="s">
        <v>10</v>
      </c>
      <c r="N66" s="20" t="s">
        <v>11</v>
      </c>
      <c r="O66" s="21" t="s">
        <v>12</v>
      </c>
      <c r="P66" s="22" t="s">
        <v>13</v>
      </c>
      <c r="Q66" s="21" t="s">
        <v>11</v>
      </c>
      <c r="R66" s="21" t="s">
        <v>12</v>
      </c>
      <c r="S66" s="21" t="s">
        <v>13</v>
      </c>
      <c r="T66" s="78" t="s">
        <v>14</v>
      </c>
      <c r="U66" s="30"/>
      <c r="V66" s="79" t="s">
        <v>62</v>
      </c>
      <c r="W66" s="80" t="s">
        <v>63</v>
      </c>
      <c r="X66" s="81" t="s">
        <v>64</v>
      </c>
    </row>
    <row r="67" spans="1:24">
      <c r="A67" s="2"/>
      <c r="B67" s="4" t="s">
        <v>65</v>
      </c>
      <c r="C67" s="6"/>
      <c r="D67" s="6"/>
      <c r="E67" s="6"/>
      <c r="F67" s="6"/>
      <c r="G67" s="6"/>
      <c r="H67" s="6"/>
      <c r="I67" s="82"/>
      <c r="J67" s="6"/>
      <c r="K67" s="6"/>
      <c r="L67" s="6"/>
      <c r="M67" s="6"/>
      <c r="N67" s="6"/>
      <c r="O67" s="6"/>
      <c r="P67" s="6"/>
      <c r="Q67" s="6"/>
      <c r="R67" s="6"/>
      <c r="S67" s="6"/>
      <c r="T67" s="83"/>
      <c r="U67" s="6"/>
      <c r="V67" s="84"/>
      <c r="W67" s="85"/>
      <c r="X67" s="86"/>
    </row>
    <row r="68" spans="1:24">
      <c r="A68" s="2"/>
      <c r="B68" s="87">
        <v>1</v>
      </c>
      <c r="C68" s="262"/>
      <c r="D68" s="271"/>
      <c r="E68" s="271"/>
      <c r="F68" s="265"/>
      <c r="G68" s="265"/>
      <c r="H68" s="365"/>
      <c r="I68" s="272">
        <f t="shared" ref="I68" si="18">F68-G68-H68</f>
        <v>0</v>
      </c>
      <c r="J68" s="267"/>
      <c r="K68" s="267"/>
      <c r="L68" s="267"/>
      <c r="M68" s="267"/>
      <c r="N68" s="267"/>
      <c r="O68" s="267"/>
      <c r="P68" s="267"/>
      <c r="Q68" s="267"/>
      <c r="R68" s="267"/>
      <c r="S68" s="269"/>
      <c r="T68" s="63"/>
      <c r="U68" s="10"/>
      <c r="V68" s="90"/>
      <c r="W68" s="91"/>
      <c r="X68" s="92"/>
    </row>
    <row r="69" spans="1:24">
      <c r="A69" s="2"/>
      <c r="B69" s="87"/>
      <c r="C69" s="36"/>
      <c r="D69" s="10"/>
      <c r="E69" s="10"/>
      <c r="F69" s="97">
        <f>SUM(F68:F68)</f>
        <v>0</v>
      </c>
      <c r="G69" s="97">
        <f>SUM(G68:G68)</f>
        <v>0</v>
      </c>
      <c r="H69" s="97">
        <f>SUM(H68:H68)</f>
        <v>0</v>
      </c>
      <c r="I69" s="98">
        <f>SUM(I68:I68)</f>
        <v>0</v>
      </c>
      <c r="J69" s="63"/>
      <c r="K69" s="63">
        <f t="shared" ref="K69:S69" si="19">COUNT(K68:K68)</f>
        <v>0</v>
      </c>
      <c r="L69" s="63">
        <f t="shared" si="19"/>
        <v>0</v>
      </c>
      <c r="M69" s="63">
        <f t="shared" si="19"/>
        <v>0</v>
      </c>
      <c r="N69" s="63">
        <f t="shared" si="19"/>
        <v>0</v>
      </c>
      <c r="O69" s="63">
        <f t="shared" si="19"/>
        <v>0</v>
      </c>
      <c r="P69" s="63">
        <f t="shared" si="19"/>
        <v>0</v>
      </c>
      <c r="Q69" s="63">
        <f t="shared" si="19"/>
        <v>0</v>
      </c>
      <c r="R69" s="63">
        <f t="shared" si="19"/>
        <v>0</v>
      </c>
      <c r="S69" s="63">
        <f t="shared" si="19"/>
        <v>0</v>
      </c>
      <c r="T69" s="63"/>
      <c r="U69" s="10"/>
      <c r="V69" s="90"/>
      <c r="W69" s="91"/>
      <c r="X69" s="92"/>
    </row>
    <row r="70" spans="1:24">
      <c r="A70" s="2"/>
      <c r="B70" s="87"/>
      <c r="C70" s="36"/>
      <c r="D70" s="10"/>
      <c r="E70" s="10"/>
      <c r="F70" s="88"/>
      <c r="G70" s="88"/>
      <c r="H70" s="88"/>
      <c r="I70" s="99"/>
      <c r="J70" s="63"/>
      <c r="K70" s="21">
        <f t="shared" ref="K70:S70" si="20">SUM(K68:K68)</f>
        <v>0</v>
      </c>
      <c r="L70" s="21">
        <f t="shared" si="20"/>
        <v>0</v>
      </c>
      <c r="M70" s="21">
        <f t="shared" si="20"/>
        <v>0</v>
      </c>
      <c r="N70" s="21">
        <f t="shared" si="20"/>
        <v>0</v>
      </c>
      <c r="O70" s="21">
        <f t="shared" si="20"/>
        <v>0</v>
      </c>
      <c r="P70" s="21">
        <f t="shared" si="20"/>
        <v>0</v>
      </c>
      <c r="Q70" s="21">
        <f t="shared" si="20"/>
        <v>0</v>
      </c>
      <c r="R70" s="21">
        <f t="shared" si="20"/>
        <v>0</v>
      </c>
      <c r="S70" s="21">
        <f t="shared" si="20"/>
        <v>0</v>
      </c>
      <c r="T70" s="63"/>
      <c r="U70" s="10"/>
      <c r="V70" s="90"/>
      <c r="W70" s="91"/>
      <c r="X70" s="92"/>
    </row>
    <row r="71" spans="1:24">
      <c r="A71" s="2"/>
      <c r="B71" s="11"/>
      <c r="C71" s="36"/>
      <c r="D71" s="10"/>
      <c r="E71" s="10"/>
      <c r="F71" s="88"/>
      <c r="G71" s="88"/>
      <c r="H71" s="88"/>
      <c r="I71" s="99"/>
      <c r="J71" s="63"/>
      <c r="K71" s="21"/>
      <c r="L71" s="21"/>
      <c r="M71" s="21"/>
      <c r="N71" s="21"/>
      <c r="O71" s="21"/>
      <c r="P71" s="21"/>
      <c r="Q71" s="21"/>
      <c r="R71" s="21"/>
      <c r="S71" s="21"/>
      <c r="T71" s="63"/>
      <c r="U71" s="10"/>
      <c r="V71" s="90"/>
      <c r="W71" s="91"/>
      <c r="X71" s="92"/>
    </row>
    <row r="72" spans="1:24">
      <c r="A72" s="128"/>
      <c r="B72" s="121" t="s">
        <v>70</v>
      </c>
      <c r="C72" s="122"/>
      <c r="D72" s="123"/>
      <c r="E72" s="128"/>
      <c r="F72" s="124"/>
      <c r="G72" s="124"/>
      <c r="H72" s="124"/>
      <c r="I72" s="126"/>
      <c r="J72" s="127"/>
      <c r="K72" s="64"/>
      <c r="L72" s="64"/>
      <c r="M72" s="64"/>
      <c r="N72" s="64"/>
      <c r="O72" s="64"/>
      <c r="P72" s="64"/>
      <c r="Q72" s="64"/>
      <c r="R72" s="64"/>
      <c r="S72" s="64"/>
      <c r="T72" s="127"/>
      <c r="U72" s="135"/>
      <c r="V72" s="129"/>
      <c r="W72" s="130"/>
      <c r="X72" s="131"/>
    </row>
    <row r="73" spans="1:24" s="342" customFormat="1">
      <c r="A73" s="128"/>
      <c r="B73" s="333">
        <v>1</v>
      </c>
      <c r="C73" s="350">
        <v>45855</v>
      </c>
      <c r="D73" s="263" t="s">
        <v>2297</v>
      </c>
      <c r="E73" s="358" t="s">
        <v>155</v>
      </c>
      <c r="F73" s="352">
        <v>11352.6</v>
      </c>
      <c r="G73" s="352">
        <f>+(67.77+822.67)+1000</f>
        <v>1890.44</v>
      </c>
      <c r="H73" s="352"/>
      <c r="I73" s="353">
        <f>F73-G73-H73</f>
        <v>9462.16</v>
      </c>
      <c r="J73" s="354" t="s">
        <v>374</v>
      </c>
      <c r="K73" s="354">
        <v>1</v>
      </c>
      <c r="L73" s="354"/>
      <c r="M73" s="354">
        <v>1</v>
      </c>
      <c r="N73" s="314">
        <v>0</v>
      </c>
      <c r="O73" s="314">
        <v>0</v>
      </c>
      <c r="P73" s="314">
        <v>0</v>
      </c>
      <c r="Q73" s="354"/>
      <c r="R73" s="354"/>
      <c r="S73" s="355"/>
      <c r="T73" s="127"/>
      <c r="U73" s="135" t="s">
        <v>2298</v>
      </c>
      <c r="V73" s="129">
        <f>1248.7</f>
        <v>1248.7</v>
      </c>
      <c r="W73" s="340"/>
      <c r="X73" s="341"/>
    </row>
    <row r="74" spans="1:24">
      <c r="A74" s="128"/>
      <c r="B74" s="132"/>
      <c r="C74" s="122"/>
      <c r="D74" s="123"/>
      <c r="E74" s="123"/>
      <c r="F74" s="133">
        <f>SUM(F73:F73)</f>
        <v>11352.6</v>
      </c>
      <c r="G74" s="133">
        <f>SUM(G73:G73)</f>
        <v>1890.44</v>
      </c>
      <c r="H74" s="133">
        <f>SUM(H73:H73)</f>
        <v>0</v>
      </c>
      <c r="I74" s="134">
        <f>SUM(I73:I73)</f>
        <v>9462.16</v>
      </c>
      <c r="J74" s="127"/>
      <c r="K74" s="64"/>
      <c r="L74" s="64"/>
      <c r="M74" s="64"/>
      <c r="N74" s="64"/>
      <c r="O74" s="64"/>
      <c r="P74" s="64"/>
      <c r="Q74" s="64"/>
      <c r="R74" s="64"/>
      <c r="S74" s="64"/>
      <c r="T74" s="127"/>
      <c r="U74" s="135"/>
      <c r="V74" s="129"/>
      <c r="W74" s="130"/>
      <c r="X74" s="131"/>
    </row>
    <row r="75" spans="1:24">
      <c r="A75" s="2"/>
      <c r="B75" s="11"/>
      <c r="C75" s="36"/>
      <c r="D75" s="10"/>
      <c r="E75" s="10"/>
      <c r="F75" s="88"/>
      <c r="G75" s="88"/>
      <c r="H75" s="88"/>
      <c r="I75" s="99"/>
      <c r="J75" s="10"/>
      <c r="K75" s="63"/>
      <c r="L75" s="63"/>
      <c r="M75" s="63"/>
      <c r="N75" s="63"/>
      <c r="O75" s="63"/>
      <c r="P75" s="63"/>
      <c r="Q75" s="63"/>
      <c r="R75" s="63"/>
      <c r="S75" s="63"/>
      <c r="T75" s="63"/>
      <c r="U75" s="94"/>
      <c r="V75" s="90"/>
      <c r="W75" s="91"/>
      <c r="X75" s="92"/>
    </row>
    <row r="76" spans="1:24">
      <c r="A76" s="2"/>
      <c r="B76" s="100" t="s">
        <v>72</v>
      </c>
      <c r="C76" s="36"/>
      <c r="D76" s="10"/>
      <c r="E76" s="10"/>
      <c r="F76" s="88"/>
      <c r="G76" s="88"/>
      <c r="H76" s="88"/>
      <c r="I76" s="99"/>
      <c r="J76" s="63"/>
      <c r="K76" s="63"/>
      <c r="L76" s="63"/>
      <c r="M76" s="63"/>
      <c r="N76" s="63"/>
      <c r="O76" s="63"/>
      <c r="P76" s="63"/>
      <c r="Q76" s="63"/>
      <c r="R76" s="63"/>
      <c r="S76" s="63"/>
      <c r="T76" s="63"/>
      <c r="U76" s="10"/>
      <c r="V76" s="90"/>
      <c r="W76" s="91"/>
      <c r="X76" s="92"/>
    </row>
    <row r="77" spans="1:24">
      <c r="A77" s="2"/>
      <c r="B77" s="87">
        <v>1</v>
      </c>
      <c r="C77" s="262">
        <v>45855</v>
      </c>
      <c r="D77" s="271" t="s">
        <v>2299</v>
      </c>
      <c r="E77" s="271" t="s">
        <v>155</v>
      </c>
      <c r="F77" s="265">
        <v>0</v>
      </c>
      <c r="G77" s="265">
        <v>0</v>
      </c>
      <c r="H77" s="265"/>
      <c r="I77" s="272">
        <f t="shared" ref="I77" si="21">F77-G77-H77</f>
        <v>0</v>
      </c>
      <c r="J77" s="267" t="s">
        <v>205</v>
      </c>
      <c r="K77" s="267">
        <v>1</v>
      </c>
      <c r="L77" s="267"/>
      <c r="M77" s="267"/>
      <c r="N77" s="267"/>
      <c r="O77" s="267"/>
      <c r="P77" s="267"/>
      <c r="Q77" s="267"/>
      <c r="R77" s="267"/>
      <c r="S77" s="269"/>
      <c r="T77" s="63"/>
      <c r="U77" s="3"/>
      <c r="V77" s="90"/>
      <c r="W77" s="91"/>
      <c r="X77" s="92"/>
    </row>
    <row r="78" spans="1:24">
      <c r="A78" s="2"/>
      <c r="B78" s="11"/>
      <c r="C78" s="36"/>
      <c r="D78" s="10"/>
      <c r="E78" s="10"/>
      <c r="F78" s="97">
        <f>SUM(F77:F77)</f>
        <v>0</v>
      </c>
      <c r="G78" s="97">
        <f>SUM(G77:G77)</f>
        <v>0</v>
      </c>
      <c r="H78" s="97">
        <f>SUM(H77:H77)</f>
        <v>0</v>
      </c>
      <c r="I78" s="98">
        <f>SUM(I77:I77)</f>
        <v>0</v>
      </c>
      <c r="J78" s="10"/>
      <c r="K78" s="10"/>
      <c r="L78" s="10"/>
      <c r="M78" s="10"/>
      <c r="N78" s="10"/>
      <c r="O78" s="10"/>
      <c r="P78" s="10"/>
      <c r="Q78" s="10"/>
      <c r="R78" s="10"/>
      <c r="S78" s="10"/>
      <c r="T78" s="63"/>
      <c r="U78" s="10"/>
      <c r="V78" s="138"/>
      <c r="W78" s="136"/>
      <c r="X78" s="137"/>
    </row>
    <row r="79" spans="1:24">
      <c r="A79" s="2"/>
      <c r="B79" s="26"/>
      <c r="C79" s="140"/>
      <c r="D79" s="141"/>
      <c r="E79" s="141"/>
      <c r="F79" s="141"/>
      <c r="G79" s="141"/>
      <c r="H79" s="141"/>
      <c r="I79" s="141"/>
      <c r="J79" s="141"/>
      <c r="K79" s="142"/>
      <c r="L79" s="142"/>
      <c r="M79" s="142"/>
      <c r="N79" s="142"/>
      <c r="O79" s="142"/>
      <c r="P79" s="142"/>
      <c r="Q79" s="142"/>
      <c r="R79" s="142"/>
      <c r="S79" s="142"/>
      <c r="T79" s="143">
        <f>SUM(T68:T78)</f>
        <v>0</v>
      </c>
      <c r="U79" s="141"/>
      <c r="V79" s="144">
        <f>SUM(V68:V78)</f>
        <v>1248.7</v>
      </c>
      <c r="W79" s="145">
        <f>SUM(W68:W78)</f>
        <v>0</v>
      </c>
      <c r="X79" s="146">
        <f>SUM(X68:X78)</f>
        <v>0</v>
      </c>
    </row>
    <row r="82" spans="1:24">
      <c r="A82" s="3"/>
      <c r="B82" s="4" t="s">
        <v>1</v>
      </c>
      <c r="C82" s="5"/>
      <c r="D82" s="6"/>
      <c r="E82" s="6"/>
      <c r="F82" s="7" t="s">
        <v>2</v>
      </c>
      <c r="G82" s="8">
        <v>45865</v>
      </c>
      <c r="H82" s="7"/>
      <c r="I82" s="6"/>
      <c r="J82" s="6"/>
      <c r="K82" s="6"/>
      <c r="L82" s="6"/>
      <c r="M82" s="6"/>
      <c r="N82" s="6"/>
      <c r="O82" s="6"/>
      <c r="P82" s="6"/>
      <c r="Q82" s="6"/>
      <c r="R82" s="6"/>
      <c r="S82" s="6"/>
      <c r="T82" s="6"/>
      <c r="U82" s="9"/>
      <c r="V82" s="10"/>
      <c r="W82" s="10"/>
      <c r="X82" s="10"/>
    </row>
    <row r="83" spans="1:24">
      <c r="A83" s="2"/>
      <c r="B83" s="11"/>
      <c r="C83" s="10"/>
      <c r="D83" s="10"/>
      <c r="E83" s="10"/>
      <c r="F83" s="10"/>
      <c r="G83" s="7"/>
      <c r="H83" s="12"/>
      <c r="I83" s="10"/>
      <c r="J83" s="10"/>
      <c r="K83" s="13" t="s">
        <v>3</v>
      </c>
      <c r="L83" s="14"/>
      <c r="M83" s="15"/>
      <c r="N83" s="13" t="s">
        <v>4</v>
      </c>
      <c r="O83" s="14"/>
      <c r="P83" s="15"/>
      <c r="Q83" s="13" t="s">
        <v>5</v>
      </c>
      <c r="R83" s="14"/>
      <c r="S83" s="15"/>
      <c r="T83" s="16"/>
      <c r="U83" s="17"/>
      <c r="V83" s="10"/>
      <c r="W83" s="10"/>
      <c r="X83" s="10"/>
    </row>
    <row r="84" spans="1:24">
      <c r="A84" s="2"/>
      <c r="B84" s="18" t="s">
        <v>6</v>
      </c>
      <c r="C84" s="19">
        <f>C85+C86</f>
        <v>0</v>
      </c>
      <c r="D84" s="10"/>
      <c r="E84" s="18" t="s">
        <v>7</v>
      </c>
      <c r="F84" s="6"/>
      <c r="G84" s="9"/>
      <c r="H84" s="10"/>
      <c r="I84" s="10"/>
      <c r="J84" s="10"/>
      <c r="K84" s="20" t="s">
        <v>8</v>
      </c>
      <c r="L84" s="21" t="s">
        <v>9</v>
      </c>
      <c r="M84" s="21" t="s">
        <v>10</v>
      </c>
      <c r="N84" s="20" t="s">
        <v>11</v>
      </c>
      <c r="O84" s="21" t="s">
        <v>12</v>
      </c>
      <c r="P84" s="22" t="s">
        <v>13</v>
      </c>
      <c r="Q84" s="21" t="s">
        <v>11</v>
      </c>
      <c r="R84" s="21" t="s">
        <v>12</v>
      </c>
      <c r="S84" s="22" t="s">
        <v>13</v>
      </c>
      <c r="T84" s="23" t="s">
        <v>14</v>
      </c>
      <c r="U84" s="17"/>
      <c r="V84" s="10"/>
      <c r="W84" s="10"/>
      <c r="X84" s="10"/>
    </row>
    <row r="85" spans="1:24">
      <c r="A85" s="2"/>
      <c r="B85" s="24" t="s">
        <v>15</v>
      </c>
      <c r="C85" s="25">
        <f>P92</f>
        <v>0</v>
      </c>
      <c r="D85" s="10"/>
      <c r="E85" s="26" t="s">
        <v>16</v>
      </c>
      <c r="F85" s="27">
        <v>0.05</v>
      </c>
      <c r="G85" s="28"/>
      <c r="H85" s="10"/>
      <c r="I85" s="10"/>
      <c r="J85" s="18" t="s">
        <v>17</v>
      </c>
      <c r="K85" s="29">
        <f>K111</f>
        <v>0</v>
      </c>
      <c r="L85" s="29">
        <f t="shared" ref="L85:S85" si="22">L111</f>
        <v>0</v>
      </c>
      <c r="M85" s="29">
        <f t="shared" si="22"/>
        <v>0</v>
      </c>
      <c r="N85" s="29">
        <f t="shared" si="22"/>
        <v>0</v>
      </c>
      <c r="O85" s="29">
        <f t="shared" si="22"/>
        <v>0</v>
      </c>
      <c r="P85" s="29">
        <f t="shared" si="22"/>
        <v>0</v>
      </c>
      <c r="Q85" s="29">
        <f t="shared" si="22"/>
        <v>0</v>
      </c>
      <c r="R85" s="29">
        <f t="shared" si="22"/>
        <v>0</v>
      </c>
      <c r="S85" s="29">
        <f t="shared" si="22"/>
        <v>0</v>
      </c>
      <c r="T85" s="30">
        <f>T116</f>
        <v>0</v>
      </c>
      <c r="U85" s="17"/>
      <c r="V85" s="10"/>
      <c r="W85" s="10"/>
      <c r="X85" s="10"/>
    </row>
    <row r="86" spans="1:24">
      <c r="A86" s="2"/>
      <c r="B86" s="24" t="s">
        <v>18</v>
      </c>
      <c r="C86" s="25">
        <f>P93</f>
        <v>0</v>
      </c>
      <c r="D86" s="10"/>
      <c r="E86" s="10"/>
      <c r="F86" s="10"/>
      <c r="G86" s="31"/>
      <c r="H86" s="10"/>
      <c r="I86" s="10"/>
      <c r="J86" s="32" t="s">
        <v>19</v>
      </c>
      <c r="K86" s="33" t="e">
        <f>K111/K110</f>
        <v>#DIV/0!</v>
      </c>
      <c r="L86" s="33" t="e">
        <f t="shared" ref="L86:S86" si="23">L111/L110</f>
        <v>#DIV/0!</v>
      </c>
      <c r="M86" s="33" t="e">
        <f t="shared" si="23"/>
        <v>#DIV/0!</v>
      </c>
      <c r="N86" s="33" t="e">
        <f t="shared" si="23"/>
        <v>#DIV/0!</v>
      </c>
      <c r="O86" s="33" t="e">
        <f t="shared" si="23"/>
        <v>#DIV/0!</v>
      </c>
      <c r="P86" s="33" t="e">
        <f t="shared" si="23"/>
        <v>#DIV/0!</v>
      </c>
      <c r="Q86" s="33" t="e">
        <f t="shared" si="23"/>
        <v>#DIV/0!</v>
      </c>
      <c r="R86" s="33" t="e">
        <f t="shared" si="23"/>
        <v>#DIV/0!</v>
      </c>
      <c r="S86" s="33" t="e">
        <f t="shared" si="23"/>
        <v>#DIV/0!</v>
      </c>
      <c r="T86" s="23"/>
      <c r="U86" s="17" t="s">
        <v>20</v>
      </c>
      <c r="V86" s="10"/>
      <c r="W86" s="10"/>
      <c r="X86" s="10"/>
    </row>
    <row r="87" spans="1:24">
      <c r="A87" s="2"/>
      <c r="B87" s="24" t="s">
        <v>21</v>
      </c>
      <c r="C87" s="34" t="e">
        <f>P94</f>
        <v>#DIV/0!</v>
      </c>
      <c r="D87" s="10"/>
      <c r="E87" s="10"/>
      <c r="F87" s="10"/>
      <c r="G87" s="10"/>
      <c r="H87" s="10"/>
      <c r="I87" s="10"/>
      <c r="J87" s="10"/>
      <c r="K87" s="10"/>
      <c r="L87" s="10"/>
      <c r="M87" s="10"/>
      <c r="N87" s="10"/>
      <c r="O87" s="10"/>
      <c r="P87" s="10"/>
      <c r="Q87" s="10"/>
      <c r="R87" s="10"/>
      <c r="S87" s="10"/>
      <c r="T87" s="10"/>
      <c r="U87" s="17"/>
      <c r="V87" s="10"/>
      <c r="W87" s="10"/>
      <c r="X87" s="10"/>
    </row>
    <row r="88" spans="1:24">
      <c r="A88" s="2"/>
      <c r="B88" s="24"/>
      <c r="C88" s="25"/>
      <c r="D88" s="10"/>
      <c r="E88" s="10"/>
      <c r="F88" s="18" t="s">
        <v>22</v>
      </c>
      <c r="G88" s="19" t="s">
        <v>23</v>
      </c>
      <c r="H88" s="35" t="s">
        <v>24</v>
      </c>
      <c r="I88" s="10"/>
      <c r="J88" s="10"/>
      <c r="K88" s="36"/>
      <c r="L88" s="36"/>
      <c r="M88" s="36"/>
      <c r="N88" s="36"/>
      <c r="O88" s="36"/>
      <c r="P88" s="36"/>
      <c r="Q88" s="36"/>
      <c r="R88" s="10"/>
      <c r="S88" s="10"/>
      <c r="T88" s="10"/>
      <c r="U88" s="17"/>
      <c r="V88" s="10"/>
      <c r="W88" s="10"/>
      <c r="X88" s="10"/>
    </row>
    <row r="89" spans="1:24">
      <c r="A89" s="2"/>
      <c r="B89" s="32" t="s">
        <v>25</v>
      </c>
      <c r="C89" s="37" t="e">
        <f>P95</f>
        <v>#DIV/0!</v>
      </c>
      <c r="D89" s="10"/>
      <c r="E89" s="18" t="s">
        <v>26</v>
      </c>
      <c r="F89" s="38">
        <f>P91</f>
        <v>0</v>
      </c>
      <c r="G89" s="39">
        <f>I110</f>
        <v>0</v>
      </c>
      <c r="H89" s="40"/>
      <c r="I89" s="41"/>
      <c r="J89" s="42"/>
      <c r="K89" s="43" t="s">
        <v>27</v>
      </c>
      <c r="L89" s="44"/>
      <c r="M89" s="44"/>
      <c r="N89" s="44"/>
      <c r="O89" s="44"/>
      <c r="P89" s="44"/>
      <c r="Q89" s="45"/>
      <c r="R89" s="46" t="s">
        <v>28</v>
      </c>
      <c r="S89" s="47" t="s">
        <v>29</v>
      </c>
      <c r="T89" s="10"/>
      <c r="U89" s="17"/>
      <c r="V89" s="10"/>
      <c r="W89" s="10"/>
      <c r="X89" s="10"/>
    </row>
    <row r="90" spans="1:24">
      <c r="A90" s="2"/>
      <c r="B90" s="11"/>
      <c r="C90" s="10"/>
      <c r="D90" s="10"/>
      <c r="E90" s="24" t="s">
        <v>30</v>
      </c>
      <c r="F90" s="48">
        <f>F85</f>
        <v>0.05</v>
      </c>
      <c r="G90" s="17"/>
      <c r="H90" s="40"/>
      <c r="I90" s="41"/>
      <c r="J90" s="42"/>
      <c r="K90" s="20" t="s">
        <v>31</v>
      </c>
      <c r="L90" s="21" t="s">
        <v>32</v>
      </c>
      <c r="M90" s="21" t="s">
        <v>33</v>
      </c>
      <c r="N90" s="21" t="s">
        <v>34</v>
      </c>
      <c r="O90" s="21" t="s">
        <v>35</v>
      </c>
      <c r="P90" s="21" t="s">
        <v>36</v>
      </c>
      <c r="Q90" s="49" t="s">
        <v>37</v>
      </c>
      <c r="R90" s="50" t="s">
        <v>38</v>
      </c>
      <c r="S90" s="50" t="s">
        <v>38</v>
      </c>
      <c r="T90" s="10"/>
      <c r="U90" s="17"/>
      <c r="V90" s="10"/>
      <c r="W90" s="10"/>
      <c r="X90" s="10"/>
    </row>
    <row r="91" spans="1:24">
      <c r="A91" s="2"/>
      <c r="B91" s="11"/>
      <c r="C91" s="10"/>
      <c r="D91" s="10"/>
      <c r="E91" s="51" t="s">
        <v>39</v>
      </c>
      <c r="F91" s="52">
        <f>F89*F90</f>
        <v>0</v>
      </c>
      <c r="G91" s="53" t="s">
        <v>40</v>
      </c>
      <c r="H91" s="54">
        <f>F91/1.12</f>
        <v>0</v>
      </c>
      <c r="I91" s="55"/>
      <c r="J91" s="42"/>
      <c r="K91" s="56"/>
      <c r="L91" s="57"/>
      <c r="M91" s="57"/>
      <c r="N91" s="57"/>
      <c r="O91" s="57"/>
      <c r="P91" s="57">
        <f>SUM(K91:O91)</f>
        <v>0</v>
      </c>
      <c r="Q91" s="58">
        <v>0</v>
      </c>
      <c r="R91" s="59">
        <v>0</v>
      </c>
      <c r="S91" s="59">
        <v>0</v>
      </c>
      <c r="T91" s="10"/>
      <c r="U91" s="17"/>
      <c r="V91" s="10"/>
      <c r="W91" s="10"/>
      <c r="X91" s="10"/>
    </row>
    <row r="92" spans="1:24">
      <c r="A92" s="2"/>
      <c r="B92" s="11"/>
      <c r="C92" s="10"/>
      <c r="D92" s="10"/>
      <c r="E92" s="24" t="s">
        <v>41</v>
      </c>
      <c r="F92" s="60">
        <f>Q91</f>
        <v>0</v>
      </c>
      <c r="G92" s="61" t="s">
        <v>40</v>
      </c>
      <c r="H92" s="62"/>
      <c r="I92" s="62"/>
      <c r="J92" s="10" t="s">
        <v>42</v>
      </c>
      <c r="K92" s="63"/>
      <c r="L92" s="63"/>
      <c r="M92" s="63"/>
      <c r="N92" s="63"/>
      <c r="O92" s="63"/>
      <c r="P92" s="21">
        <f>SUM(K92:O92)</f>
        <v>0</v>
      </c>
      <c r="Q92" s="64"/>
      <c r="R92" s="63"/>
      <c r="S92" s="10"/>
      <c r="T92" s="10"/>
      <c r="U92" s="17"/>
      <c r="V92" s="10"/>
      <c r="W92" s="10"/>
      <c r="X92" s="10"/>
    </row>
    <row r="93" spans="1:24">
      <c r="A93" s="2"/>
      <c r="B93" s="11"/>
      <c r="C93" s="10"/>
      <c r="D93" s="10"/>
      <c r="E93" s="51" t="s">
        <v>43</v>
      </c>
      <c r="F93" s="52">
        <f>F92*0.25</f>
        <v>0</v>
      </c>
      <c r="G93" s="53" t="s">
        <v>40</v>
      </c>
      <c r="H93" s="54">
        <f>F93/1.12</f>
        <v>0</v>
      </c>
      <c r="I93" s="10"/>
      <c r="J93" s="10" t="s">
        <v>44</v>
      </c>
      <c r="K93" s="63"/>
      <c r="L93" s="63"/>
      <c r="M93" s="63"/>
      <c r="N93" s="63"/>
      <c r="O93" s="63"/>
      <c r="P93" s="21">
        <f>SUM(K93:O93)</f>
        <v>0</v>
      </c>
      <c r="Q93" s="64"/>
      <c r="R93" s="63"/>
      <c r="S93" s="10"/>
      <c r="T93" s="10"/>
      <c r="U93" s="17"/>
      <c r="V93" s="10"/>
      <c r="W93" s="10"/>
      <c r="X93" s="10"/>
    </row>
    <row r="94" spans="1:24">
      <c r="A94" s="2"/>
      <c r="B94" s="11"/>
      <c r="C94" s="10"/>
      <c r="D94" s="10"/>
      <c r="E94" s="24" t="s">
        <v>45</v>
      </c>
      <c r="F94" s="60"/>
      <c r="G94" s="61" t="s">
        <v>40</v>
      </c>
      <c r="H94" s="62"/>
      <c r="I94" s="10"/>
      <c r="J94" s="10" t="s">
        <v>46</v>
      </c>
      <c r="K94" s="31" t="e">
        <f t="shared" ref="K94:Q94" si="24">K92/(K92+K93)</f>
        <v>#DIV/0!</v>
      </c>
      <c r="L94" s="31" t="e">
        <f t="shared" si="24"/>
        <v>#DIV/0!</v>
      </c>
      <c r="M94" s="31" t="e">
        <f t="shared" si="24"/>
        <v>#DIV/0!</v>
      </c>
      <c r="N94" s="31" t="e">
        <f t="shared" si="24"/>
        <v>#DIV/0!</v>
      </c>
      <c r="O94" s="31" t="e">
        <f t="shared" si="24"/>
        <v>#DIV/0!</v>
      </c>
      <c r="P94" s="31" t="e">
        <f t="shared" si="24"/>
        <v>#DIV/0!</v>
      </c>
      <c r="Q94" s="31" t="e">
        <f t="shared" si="24"/>
        <v>#DIV/0!</v>
      </c>
      <c r="R94" s="63"/>
      <c r="S94" s="10"/>
      <c r="T94" s="10"/>
      <c r="U94" s="17"/>
      <c r="V94" s="10"/>
      <c r="W94" s="10"/>
      <c r="X94" s="10"/>
    </row>
    <row r="95" spans="1:24">
      <c r="A95" s="2"/>
      <c r="B95" s="11"/>
      <c r="C95" s="10"/>
      <c r="D95" s="10"/>
      <c r="E95" s="51" t="s">
        <v>47</v>
      </c>
      <c r="F95" s="52">
        <f>F94*0.05</f>
        <v>0</v>
      </c>
      <c r="G95" s="65" t="s">
        <v>40</v>
      </c>
      <c r="H95" s="54">
        <f>F95/1.12</f>
        <v>0</v>
      </c>
      <c r="I95" s="42"/>
      <c r="J95" s="10" t="s">
        <v>48</v>
      </c>
      <c r="K95" s="66" t="e">
        <f>K91/K92</f>
        <v>#DIV/0!</v>
      </c>
      <c r="L95" s="66" t="e">
        <f t="shared" ref="L95:Q95" si="25">L91/L92</f>
        <v>#DIV/0!</v>
      </c>
      <c r="M95" s="66" t="e">
        <f t="shared" si="25"/>
        <v>#DIV/0!</v>
      </c>
      <c r="N95" s="66" t="e">
        <f t="shared" si="25"/>
        <v>#DIV/0!</v>
      </c>
      <c r="O95" s="66" t="e">
        <f t="shared" si="25"/>
        <v>#DIV/0!</v>
      </c>
      <c r="P95" s="66" t="e">
        <f t="shared" si="25"/>
        <v>#DIV/0!</v>
      </c>
      <c r="Q95" s="66" t="e">
        <f t="shared" si="25"/>
        <v>#DIV/0!</v>
      </c>
      <c r="R95" s="63"/>
      <c r="S95" s="10"/>
      <c r="T95" s="10"/>
      <c r="U95" s="17"/>
      <c r="V95" s="10"/>
      <c r="W95" s="10"/>
      <c r="X95" s="10"/>
    </row>
    <row r="96" spans="1:24">
      <c r="A96" s="2"/>
      <c r="B96" s="11"/>
      <c r="C96" s="10"/>
      <c r="D96" s="10"/>
      <c r="E96" s="67" t="s">
        <v>14</v>
      </c>
      <c r="F96" s="68">
        <f>1*50/2</f>
        <v>25</v>
      </c>
      <c r="G96" s="10"/>
      <c r="H96" s="54">
        <f>F96/1.12</f>
        <v>22.321428571428569</v>
      </c>
      <c r="I96" s="10"/>
      <c r="J96" s="10"/>
      <c r="K96" s="10"/>
      <c r="L96" s="10"/>
      <c r="M96" s="10"/>
      <c r="N96" s="10"/>
      <c r="O96" s="10"/>
      <c r="P96" s="10"/>
      <c r="Q96" s="10"/>
      <c r="R96" s="10"/>
      <c r="S96" s="10"/>
      <c r="T96" s="10"/>
      <c r="U96" s="17"/>
      <c r="V96" s="10"/>
      <c r="W96" s="10"/>
      <c r="X96" s="10"/>
    </row>
    <row r="97" spans="1:24">
      <c r="A97" s="2"/>
      <c r="B97" s="11"/>
      <c r="C97" s="10"/>
      <c r="D97" s="10"/>
      <c r="E97" s="155" t="s">
        <v>49</v>
      </c>
      <c r="F97" s="364">
        <f>T86</f>
        <v>0</v>
      </c>
      <c r="G97" s="10"/>
      <c r="H97" s="54"/>
      <c r="I97" s="55"/>
      <c r="J97" s="42"/>
      <c r="K97" s="764" t="s">
        <v>50</v>
      </c>
      <c r="L97" s="765"/>
      <c r="M97" s="765"/>
      <c r="N97" s="765"/>
      <c r="O97" s="765"/>
      <c r="P97" s="765"/>
      <c r="Q97" s="766"/>
      <c r="R97" s="70" t="s">
        <v>28</v>
      </c>
      <c r="S97" s="71" t="s">
        <v>29</v>
      </c>
      <c r="T97" s="10"/>
      <c r="U97" s="17"/>
      <c r="V97" s="10"/>
      <c r="W97" s="10"/>
      <c r="X97" s="10"/>
    </row>
    <row r="98" spans="1:24">
      <c r="A98" s="2"/>
      <c r="B98" s="11"/>
      <c r="C98" s="10"/>
      <c r="D98" s="10"/>
      <c r="E98" s="10"/>
      <c r="F98" s="10"/>
      <c r="G98" s="10"/>
      <c r="H98" s="54"/>
      <c r="I98" s="10"/>
      <c r="J98" s="42"/>
      <c r="K98" s="20" t="s">
        <v>31</v>
      </c>
      <c r="L98" s="21" t="s">
        <v>32</v>
      </c>
      <c r="M98" s="21" t="s">
        <v>33</v>
      </c>
      <c r="N98" s="21" t="s">
        <v>34</v>
      </c>
      <c r="O98" s="21" t="s">
        <v>35</v>
      </c>
      <c r="P98" s="21" t="s">
        <v>36</v>
      </c>
      <c r="Q98" s="49" t="s">
        <v>37</v>
      </c>
      <c r="R98" s="50" t="s">
        <v>38</v>
      </c>
      <c r="S98" s="50" t="s">
        <v>38</v>
      </c>
      <c r="T98" s="10"/>
      <c r="U98" s="17"/>
      <c r="V98" s="10"/>
      <c r="W98" s="10"/>
      <c r="X98" s="10"/>
    </row>
    <row r="99" spans="1:24">
      <c r="A99" s="2"/>
      <c r="B99" s="11"/>
      <c r="C99" s="10"/>
      <c r="D99" s="10"/>
      <c r="E99" s="10"/>
      <c r="F99" s="10"/>
      <c r="G99" s="10"/>
      <c r="H99" s="10"/>
      <c r="I99" s="10"/>
      <c r="J99" s="42"/>
      <c r="K99" s="56"/>
      <c r="L99" s="57"/>
      <c r="M99" s="57"/>
      <c r="N99" s="57"/>
      <c r="O99" s="57"/>
      <c r="P99" s="57"/>
      <c r="Q99" s="58">
        <v>0</v>
      </c>
      <c r="R99" s="59">
        <v>0</v>
      </c>
      <c r="S99" s="59">
        <v>0</v>
      </c>
      <c r="T99" s="10"/>
      <c r="U99" s="17"/>
      <c r="V99" s="10"/>
      <c r="W99" s="10"/>
      <c r="X99" s="10"/>
    </row>
    <row r="100" spans="1:24">
      <c r="A100" s="2"/>
      <c r="B100" s="11"/>
      <c r="C100" s="10"/>
      <c r="D100" s="10"/>
      <c r="E100" s="10"/>
      <c r="F100" s="10"/>
      <c r="G100" s="10"/>
      <c r="H100" s="10"/>
      <c r="I100" s="10"/>
      <c r="J100" s="10" t="s">
        <v>42</v>
      </c>
      <c r="K100" s="63">
        <f>K92</f>
        <v>0</v>
      </c>
      <c r="L100" s="63">
        <f t="shared" ref="L100:Q101" si="26">L92</f>
        <v>0</v>
      </c>
      <c r="M100" s="63">
        <f t="shared" si="26"/>
        <v>0</v>
      </c>
      <c r="N100" s="63">
        <f t="shared" si="26"/>
        <v>0</v>
      </c>
      <c r="O100" s="63">
        <f t="shared" si="26"/>
        <v>0</v>
      </c>
      <c r="P100" s="63">
        <f t="shared" si="26"/>
        <v>0</v>
      </c>
      <c r="Q100" s="63">
        <f t="shared" si="26"/>
        <v>0</v>
      </c>
      <c r="R100" s="63"/>
      <c r="S100" s="10"/>
      <c r="T100" s="10"/>
      <c r="U100" s="17"/>
      <c r="V100" s="10"/>
      <c r="W100" s="10"/>
      <c r="X100" s="10"/>
    </row>
    <row r="101" spans="1:24">
      <c r="A101" s="2"/>
      <c r="B101" s="11"/>
      <c r="C101" s="10"/>
      <c r="D101" s="10"/>
      <c r="E101" s="10"/>
      <c r="F101" s="10"/>
      <c r="G101" s="10"/>
      <c r="H101" s="10"/>
      <c r="I101" s="10"/>
      <c r="J101" s="10" t="s">
        <v>44</v>
      </c>
      <c r="K101" s="63">
        <f>K93</f>
        <v>0</v>
      </c>
      <c r="L101" s="63">
        <f t="shared" si="26"/>
        <v>0</v>
      </c>
      <c r="M101" s="63">
        <f t="shared" si="26"/>
        <v>0</v>
      </c>
      <c r="N101" s="63">
        <f t="shared" si="26"/>
        <v>0</v>
      </c>
      <c r="O101" s="63">
        <f t="shared" si="26"/>
        <v>0</v>
      </c>
      <c r="P101" s="63">
        <f t="shared" si="26"/>
        <v>0</v>
      </c>
      <c r="Q101" s="63">
        <f t="shared" si="26"/>
        <v>0</v>
      </c>
      <c r="R101" s="63"/>
      <c r="S101" s="10"/>
      <c r="T101" s="10"/>
      <c r="U101" s="17"/>
      <c r="V101" s="10"/>
      <c r="W101" s="10"/>
      <c r="X101" s="10"/>
    </row>
    <row r="102" spans="1:24">
      <c r="A102" s="2"/>
      <c r="B102" s="11"/>
      <c r="C102" s="10"/>
      <c r="D102" s="10"/>
      <c r="E102" s="10"/>
      <c r="F102" s="10"/>
      <c r="G102" s="10"/>
      <c r="H102" s="10"/>
      <c r="I102" s="10"/>
      <c r="J102" s="10" t="s">
        <v>46</v>
      </c>
      <c r="K102" s="31" t="e">
        <f t="shared" ref="K102:Q102" si="27">K100/(K100+K101)</f>
        <v>#DIV/0!</v>
      </c>
      <c r="L102" s="31" t="e">
        <f t="shared" si="27"/>
        <v>#DIV/0!</v>
      </c>
      <c r="M102" s="31" t="e">
        <f t="shared" si="27"/>
        <v>#DIV/0!</v>
      </c>
      <c r="N102" s="31" t="e">
        <f t="shared" si="27"/>
        <v>#DIV/0!</v>
      </c>
      <c r="O102" s="31" t="e">
        <f t="shared" si="27"/>
        <v>#DIV/0!</v>
      </c>
      <c r="P102" s="31" t="e">
        <f t="shared" si="27"/>
        <v>#DIV/0!</v>
      </c>
      <c r="Q102" s="31" t="e">
        <f t="shared" si="27"/>
        <v>#DIV/0!</v>
      </c>
      <c r="R102" s="63"/>
      <c r="S102" s="10"/>
      <c r="T102" s="10"/>
      <c r="U102" s="17"/>
      <c r="V102" s="10"/>
      <c r="W102" s="10"/>
      <c r="X102" s="10"/>
    </row>
    <row r="103" spans="1:24">
      <c r="A103" s="2"/>
      <c r="B103" s="11"/>
      <c r="C103" s="10"/>
      <c r="D103" s="10"/>
      <c r="E103" s="10"/>
      <c r="F103" s="10"/>
      <c r="G103" s="10"/>
      <c r="H103" s="10"/>
      <c r="I103" s="10"/>
      <c r="J103" s="10" t="s">
        <v>48</v>
      </c>
      <c r="K103" s="66" t="e">
        <f t="shared" ref="K103:Q103" si="28">K99/K100</f>
        <v>#DIV/0!</v>
      </c>
      <c r="L103" s="66" t="e">
        <f t="shared" si="28"/>
        <v>#DIV/0!</v>
      </c>
      <c r="M103" s="66" t="e">
        <f t="shared" si="28"/>
        <v>#DIV/0!</v>
      </c>
      <c r="N103" s="66" t="e">
        <f t="shared" si="28"/>
        <v>#DIV/0!</v>
      </c>
      <c r="O103" s="66" t="e">
        <f t="shared" si="28"/>
        <v>#DIV/0!</v>
      </c>
      <c r="P103" s="66" t="e">
        <f t="shared" si="28"/>
        <v>#DIV/0!</v>
      </c>
      <c r="Q103" s="66" t="e">
        <f t="shared" si="28"/>
        <v>#DIV/0!</v>
      </c>
      <c r="R103" s="63"/>
      <c r="S103" s="10"/>
      <c r="T103" s="10"/>
      <c r="U103" s="17"/>
      <c r="V103" s="10"/>
      <c r="W103" s="10"/>
      <c r="X103" s="10"/>
    </row>
    <row r="104" spans="1:24">
      <c r="A104" s="2"/>
      <c r="B104" s="11"/>
      <c r="C104" s="10"/>
      <c r="D104" s="10"/>
      <c r="E104" s="10"/>
      <c r="F104" s="10"/>
      <c r="G104" s="10"/>
      <c r="H104" s="10"/>
      <c r="I104" s="10"/>
      <c r="J104" s="10"/>
      <c r="K104" s="10"/>
      <c r="L104" s="10"/>
      <c r="M104" s="10"/>
      <c r="N104" s="10"/>
      <c r="O104" s="10"/>
      <c r="P104" s="10"/>
      <c r="Q104" s="10"/>
      <c r="R104" s="10"/>
      <c r="S104" s="10"/>
      <c r="T104" s="10"/>
      <c r="U104" s="17"/>
      <c r="V104" s="10"/>
      <c r="W104" s="10"/>
      <c r="X104" s="10"/>
    </row>
    <row r="105" spans="1:24">
      <c r="A105" s="2"/>
      <c r="B105" s="11"/>
      <c r="C105" s="10"/>
      <c r="D105" s="10"/>
      <c r="E105" s="10"/>
      <c r="F105" s="10"/>
      <c r="G105" s="10"/>
      <c r="H105" s="10"/>
      <c r="I105" s="10"/>
      <c r="J105" s="10"/>
      <c r="K105" s="10"/>
      <c r="L105" s="10"/>
      <c r="M105" s="10"/>
      <c r="N105" s="10"/>
      <c r="O105" s="10"/>
      <c r="P105" s="10"/>
      <c r="Q105" s="10"/>
      <c r="R105" s="10"/>
      <c r="S105" s="10"/>
      <c r="T105" s="10"/>
      <c r="U105" s="17"/>
      <c r="V105" s="10"/>
      <c r="W105" s="10"/>
      <c r="X105" s="10"/>
    </row>
    <row r="106" spans="1:24">
      <c r="A106" s="2"/>
      <c r="B106" s="18" t="s">
        <v>51</v>
      </c>
      <c r="C106" s="14"/>
      <c r="D106" s="14"/>
      <c r="E106" s="14"/>
      <c r="F106" s="13" t="s">
        <v>52</v>
      </c>
      <c r="G106" s="14"/>
      <c r="H106" s="14"/>
      <c r="I106" s="14"/>
      <c r="J106" s="14"/>
      <c r="K106" s="13" t="s">
        <v>3</v>
      </c>
      <c r="L106" s="14"/>
      <c r="M106" s="14"/>
      <c r="N106" s="13" t="s">
        <v>4</v>
      </c>
      <c r="O106" s="14"/>
      <c r="P106" s="14"/>
      <c r="Q106" s="13" t="s">
        <v>5</v>
      </c>
      <c r="R106" s="14"/>
      <c r="S106" s="14"/>
      <c r="T106" s="18"/>
      <c r="U106" s="16" t="s">
        <v>53</v>
      </c>
      <c r="V106" s="77"/>
      <c r="W106" s="77"/>
      <c r="X106" s="77"/>
    </row>
    <row r="107" spans="1:24">
      <c r="A107" s="2"/>
      <c r="B107" s="24" t="s">
        <v>54</v>
      </c>
      <c r="C107" s="21" t="s">
        <v>55</v>
      </c>
      <c r="D107" s="21" t="s">
        <v>56</v>
      </c>
      <c r="E107" s="21" t="s">
        <v>57</v>
      </c>
      <c r="F107" s="20" t="s">
        <v>58</v>
      </c>
      <c r="G107" s="21" t="s">
        <v>59</v>
      </c>
      <c r="H107" s="21" t="s">
        <v>60</v>
      </c>
      <c r="I107" s="21" t="s">
        <v>26</v>
      </c>
      <c r="J107" s="22" t="s">
        <v>61</v>
      </c>
      <c r="K107" s="21" t="s">
        <v>8</v>
      </c>
      <c r="L107" s="21" t="s">
        <v>9</v>
      </c>
      <c r="M107" s="21" t="s">
        <v>10</v>
      </c>
      <c r="N107" s="20" t="s">
        <v>11</v>
      </c>
      <c r="O107" s="21" t="s">
        <v>12</v>
      </c>
      <c r="P107" s="22" t="s">
        <v>13</v>
      </c>
      <c r="Q107" s="21" t="s">
        <v>11</v>
      </c>
      <c r="R107" s="21" t="s">
        <v>12</v>
      </c>
      <c r="S107" s="21" t="s">
        <v>13</v>
      </c>
      <c r="T107" s="78" t="s">
        <v>14</v>
      </c>
      <c r="U107" s="30"/>
      <c r="V107" s="79" t="s">
        <v>62</v>
      </c>
      <c r="W107" s="80" t="s">
        <v>63</v>
      </c>
      <c r="X107" s="81" t="s">
        <v>64</v>
      </c>
    </row>
    <row r="108" spans="1:24">
      <c r="A108" s="2"/>
      <c r="B108" s="4" t="s">
        <v>65</v>
      </c>
      <c r="C108" s="6"/>
      <c r="D108" s="6"/>
      <c r="E108" s="6"/>
      <c r="F108" s="6"/>
      <c r="G108" s="6"/>
      <c r="H108" s="6"/>
      <c r="I108" s="82"/>
      <c r="J108" s="6"/>
      <c r="K108" s="6"/>
      <c r="L108" s="6"/>
      <c r="M108" s="6"/>
      <c r="N108" s="6"/>
      <c r="O108" s="6"/>
      <c r="P108" s="6"/>
      <c r="Q108" s="6"/>
      <c r="R108" s="6"/>
      <c r="S108" s="6"/>
      <c r="T108" s="83"/>
      <c r="U108" s="6"/>
      <c r="V108" s="84"/>
      <c r="W108" s="85"/>
      <c r="X108" s="86"/>
    </row>
    <row r="109" spans="1:24">
      <c r="A109" s="2"/>
      <c r="B109" s="87">
        <v>1</v>
      </c>
      <c r="C109" s="262"/>
      <c r="D109" s="271"/>
      <c r="E109" s="271"/>
      <c r="F109" s="265"/>
      <c r="G109" s="265"/>
      <c r="H109" s="365"/>
      <c r="I109" s="272">
        <f t="shared" ref="I109" si="29">F109-G109-H109</f>
        <v>0</v>
      </c>
      <c r="J109" s="267"/>
      <c r="K109" s="267"/>
      <c r="L109" s="267"/>
      <c r="M109" s="267"/>
      <c r="N109" s="267"/>
      <c r="O109" s="267"/>
      <c r="P109" s="267"/>
      <c r="Q109" s="267"/>
      <c r="R109" s="267"/>
      <c r="S109" s="269"/>
      <c r="T109" s="63"/>
      <c r="U109" s="10"/>
      <c r="V109" s="90"/>
      <c r="W109" s="91"/>
      <c r="X109" s="92"/>
    </row>
    <row r="110" spans="1:24">
      <c r="A110" s="2"/>
      <c r="B110" s="87"/>
      <c r="C110" s="36"/>
      <c r="D110" s="10"/>
      <c r="E110" s="10"/>
      <c r="F110" s="97">
        <f>SUM(F109:F109)</f>
        <v>0</v>
      </c>
      <c r="G110" s="97">
        <f>SUM(G109:G109)</f>
        <v>0</v>
      </c>
      <c r="H110" s="97">
        <f>SUM(H109:H109)</f>
        <v>0</v>
      </c>
      <c r="I110" s="98">
        <f>SUM(I109:I109)</f>
        <v>0</v>
      </c>
      <c r="J110" s="63"/>
      <c r="K110" s="63">
        <f t="shared" ref="K110:S110" si="30">COUNT(K109:K109)</f>
        <v>0</v>
      </c>
      <c r="L110" s="63">
        <f t="shared" si="30"/>
        <v>0</v>
      </c>
      <c r="M110" s="63">
        <f t="shared" si="30"/>
        <v>0</v>
      </c>
      <c r="N110" s="63">
        <f t="shared" si="30"/>
        <v>0</v>
      </c>
      <c r="O110" s="63">
        <f t="shared" si="30"/>
        <v>0</v>
      </c>
      <c r="P110" s="63">
        <f t="shared" si="30"/>
        <v>0</v>
      </c>
      <c r="Q110" s="63">
        <f t="shared" si="30"/>
        <v>0</v>
      </c>
      <c r="R110" s="63">
        <f t="shared" si="30"/>
        <v>0</v>
      </c>
      <c r="S110" s="63">
        <f t="shared" si="30"/>
        <v>0</v>
      </c>
      <c r="T110" s="63"/>
      <c r="U110" s="10"/>
      <c r="V110" s="90"/>
      <c r="W110" s="91"/>
      <c r="X110" s="92"/>
    </row>
    <row r="111" spans="1:24">
      <c r="A111" s="2"/>
      <c r="B111" s="87"/>
      <c r="C111" s="36"/>
      <c r="D111" s="10"/>
      <c r="E111" s="10"/>
      <c r="F111" s="88"/>
      <c r="G111" s="88"/>
      <c r="H111" s="88"/>
      <c r="I111" s="99"/>
      <c r="J111" s="63"/>
      <c r="K111" s="21">
        <f t="shared" ref="K111:S111" si="31">SUM(K109:K109)</f>
        <v>0</v>
      </c>
      <c r="L111" s="21">
        <f t="shared" si="31"/>
        <v>0</v>
      </c>
      <c r="M111" s="21">
        <f t="shared" si="31"/>
        <v>0</v>
      </c>
      <c r="N111" s="21">
        <f t="shared" si="31"/>
        <v>0</v>
      </c>
      <c r="O111" s="21">
        <f t="shared" si="31"/>
        <v>0</v>
      </c>
      <c r="P111" s="21">
        <f t="shared" si="31"/>
        <v>0</v>
      </c>
      <c r="Q111" s="21">
        <f t="shared" si="31"/>
        <v>0</v>
      </c>
      <c r="R111" s="21">
        <f t="shared" si="31"/>
        <v>0</v>
      </c>
      <c r="S111" s="21">
        <f t="shared" si="31"/>
        <v>0</v>
      </c>
      <c r="T111" s="63"/>
      <c r="U111" s="10"/>
      <c r="V111" s="90"/>
      <c r="W111" s="91"/>
      <c r="X111" s="92"/>
    </row>
    <row r="112" spans="1:24">
      <c r="A112" s="2"/>
      <c r="B112" s="11"/>
      <c r="C112" s="36"/>
      <c r="D112" s="10"/>
      <c r="E112" s="10"/>
      <c r="F112" s="88"/>
      <c r="G112" s="88"/>
      <c r="H112" s="88"/>
      <c r="I112" s="99"/>
      <c r="J112" s="63"/>
      <c r="K112" s="21"/>
      <c r="L112" s="21"/>
      <c r="M112" s="21"/>
      <c r="N112" s="21"/>
      <c r="O112" s="21"/>
      <c r="P112" s="21"/>
      <c r="Q112" s="21"/>
      <c r="R112" s="21"/>
      <c r="S112" s="21"/>
      <c r="T112" s="63"/>
      <c r="U112" s="94"/>
      <c r="V112" s="90"/>
      <c r="W112" s="91"/>
      <c r="X112" s="92"/>
    </row>
    <row r="113" spans="1:24" s="260" customFormat="1">
      <c r="A113" s="181"/>
      <c r="B113" s="100" t="s">
        <v>202</v>
      </c>
      <c r="C113" s="36"/>
      <c r="D113" s="10"/>
      <c r="E113" s="181"/>
      <c r="F113" s="88"/>
      <c r="G113" s="88"/>
      <c r="H113" s="88"/>
      <c r="I113" s="99"/>
      <c r="J113" s="63"/>
      <c r="K113" s="21"/>
      <c r="L113" s="21"/>
      <c r="M113" s="21"/>
      <c r="N113" s="21"/>
      <c r="O113" s="21"/>
      <c r="P113" s="21"/>
      <c r="Q113" s="21"/>
      <c r="R113" s="21"/>
      <c r="S113" s="21"/>
      <c r="T113" s="63"/>
      <c r="U113" s="94"/>
      <c r="V113" s="90"/>
      <c r="W113" s="91"/>
      <c r="X113" s="92"/>
    </row>
    <row r="114" spans="1:24" s="260" customFormat="1">
      <c r="A114" s="181"/>
      <c r="B114" s="87">
        <v>1</v>
      </c>
      <c r="C114" s="262">
        <v>45855</v>
      </c>
      <c r="D114" s="263" t="s">
        <v>2297</v>
      </c>
      <c r="E114" s="271" t="s">
        <v>155</v>
      </c>
      <c r="F114" s="265">
        <v>11352.6</v>
      </c>
      <c r="G114" s="265">
        <f>+(67.77+822.67)+1000</f>
        <v>1890.44</v>
      </c>
      <c r="H114" s="265"/>
      <c r="I114" s="272">
        <f>F114-G114-H114</f>
        <v>9462.16</v>
      </c>
      <c r="J114" s="267" t="s">
        <v>374</v>
      </c>
      <c r="K114" s="267">
        <v>1</v>
      </c>
      <c r="L114" s="267"/>
      <c r="M114" s="267">
        <v>1</v>
      </c>
      <c r="N114" s="267">
        <v>0</v>
      </c>
      <c r="O114" s="267">
        <v>0</v>
      </c>
      <c r="P114" s="267">
        <v>0</v>
      </c>
      <c r="Q114" s="267"/>
      <c r="R114" s="267"/>
      <c r="S114" s="269"/>
      <c r="T114" s="63"/>
      <c r="U114" s="94" t="s">
        <v>2300</v>
      </c>
      <c r="V114" s="90"/>
      <c r="W114" s="136"/>
      <c r="X114" s="137"/>
    </row>
    <row r="115" spans="1:24" s="260" customFormat="1">
      <c r="A115" s="181"/>
      <c r="B115" s="11"/>
      <c r="C115" s="36"/>
      <c r="D115" s="10"/>
      <c r="E115" s="10"/>
      <c r="F115" s="97">
        <f>SUM(F114:F114)</f>
        <v>11352.6</v>
      </c>
      <c r="G115" s="97">
        <f>SUM(G114:G114)</f>
        <v>1890.44</v>
      </c>
      <c r="H115" s="97">
        <f>SUM(H114:H114)</f>
        <v>0</v>
      </c>
      <c r="I115" s="98">
        <f>SUM(I114:I114)</f>
        <v>9462.16</v>
      </c>
      <c r="J115" s="63"/>
      <c r="K115" s="21"/>
      <c r="L115" s="21"/>
      <c r="M115" s="21"/>
      <c r="N115" s="21"/>
      <c r="O115" s="21"/>
      <c r="P115" s="21"/>
      <c r="Q115" s="21"/>
      <c r="R115" s="21"/>
      <c r="S115" s="21"/>
      <c r="T115" s="63"/>
      <c r="U115" s="94"/>
      <c r="V115" s="90"/>
      <c r="W115" s="91"/>
      <c r="X115" s="92"/>
    </row>
    <row r="116" spans="1:24">
      <c r="A116" s="2"/>
      <c r="B116" s="26"/>
      <c r="C116" s="140"/>
      <c r="D116" s="141"/>
      <c r="E116" s="141"/>
      <c r="F116" s="141"/>
      <c r="G116" s="141"/>
      <c r="H116" s="141"/>
      <c r="I116" s="141"/>
      <c r="J116" s="141"/>
      <c r="K116" s="142"/>
      <c r="L116" s="142"/>
      <c r="M116" s="142"/>
      <c r="N116" s="142"/>
      <c r="O116" s="142"/>
      <c r="P116" s="142"/>
      <c r="Q116" s="142"/>
      <c r="R116" s="142"/>
      <c r="S116" s="142"/>
      <c r="T116" s="143">
        <f>SUM(T109:T115)</f>
        <v>0</v>
      </c>
      <c r="U116" s="141"/>
      <c r="V116" s="144">
        <f>SUM(V109:V115)</f>
        <v>0</v>
      </c>
      <c r="W116" s="145">
        <f>SUM(W109:W115)</f>
        <v>0</v>
      </c>
      <c r="X116" s="146">
        <f>SUM(X109:X115)</f>
        <v>0</v>
      </c>
    </row>
    <row r="119" spans="1:24">
      <c r="A119" s="3"/>
      <c r="B119" s="4" t="s">
        <v>1</v>
      </c>
      <c r="C119" s="5"/>
      <c r="D119" s="6"/>
      <c r="E119" s="6"/>
      <c r="F119" s="7" t="s">
        <v>2</v>
      </c>
      <c r="G119" s="8">
        <v>45872</v>
      </c>
      <c r="H119" s="7"/>
      <c r="I119" s="6"/>
      <c r="J119" s="6"/>
      <c r="K119" s="6"/>
      <c r="L119" s="6"/>
      <c r="M119" s="6"/>
      <c r="N119" s="6"/>
      <c r="O119" s="6"/>
      <c r="P119" s="6"/>
      <c r="Q119" s="6"/>
      <c r="R119" s="6"/>
      <c r="S119" s="6"/>
      <c r="T119" s="6"/>
      <c r="U119" s="9"/>
      <c r="V119" s="10"/>
      <c r="W119" s="10"/>
      <c r="X119" s="10"/>
    </row>
    <row r="120" spans="1:24">
      <c r="A120" s="2"/>
      <c r="B120" s="11"/>
      <c r="C120" s="10"/>
      <c r="D120" s="10"/>
      <c r="E120" s="10"/>
      <c r="F120" s="10"/>
      <c r="G120" s="7"/>
      <c r="H120" s="12"/>
      <c r="I120" s="10"/>
      <c r="J120" s="10"/>
      <c r="K120" s="13" t="s">
        <v>3</v>
      </c>
      <c r="L120" s="14"/>
      <c r="M120" s="15"/>
      <c r="N120" s="13" t="s">
        <v>4</v>
      </c>
      <c r="O120" s="14"/>
      <c r="P120" s="15"/>
      <c r="Q120" s="13" t="s">
        <v>5</v>
      </c>
      <c r="R120" s="14"/>
      <c r="S120" s="15"/>
      <c r="T120" s="16"/>
      <c r="U120" s="17"/>
      <c r="V120" s="10"/>
      <c r="W120" s="10"/>
      <c r="X120" s="10"/>
    </row>
    <row r="121" spans="1:24">
      <c r="A121" s="2"/>
      <c r="B121" s="18" t="s">
        <v>6</v>
      </c>
      <c r="C121" s="19">
        <f>C122+C123</f>
        <v>0</v>
      </c>
      <c r="D121" s="10"/>
      <c r="E121" s="18" t="s">
        <v>7</v>
      </c>
      <c r="F121" s="6"/>
      <c r="G121" s="9"/>
      <c r="H121" s="10"/>
      <c r="I121" s="10"/>
      <c r="J121" s="10"/>
      <c r="K121" s="20" t="s">
        <v>8</v>
      </c>
      <c r="L121" s="21" t="s">
        <v>9</v>
      </c>
      <c r="M121" s="21" t="s">
        <v>10</v>
      </c>
      <c r="N121" s="20" t="s">
        <v>11</v>
      </c>
      <c r="O121" s="21" t="s">
        <v>12</v>
      </c>
      <c r="P121" s="22" t="s">
        <v>13</v>
      </c>
      <c r="Q121" s="21" t="s">
        <v>11</v>
      </c>
      <c r="R121" s="21" t="s">
        <v>12</v>
      </c>
      <c r="S121" s="22" t="s">
        <v>13</v>
      </c>
      <c r="T121" s="23" t="s">
        <v>14</v>
      </c>
      <c r="U121" s="17"/>
      <c r="V121" s="10"/>
      <c r="W121" s="10"/>
      <c r="X121" s="10"/>
    </row>
    <row r="122" spans="1:24">
      <c r="A122" s="2"/>
      <c r="B122" s="24" t="s">
        <v>15</v>
      </c>
      <c r="C122" s="25">
        <f>P129</f>
        <v>0</v>
      </c>
      <c r="D122" s="10"/>
      <c r="E122" s="26" t="s">
        <v>16</v>
      </c>
      <c r="F122" s="27">
        <v>0.05</v>
      </c>
      <c r="G122" s="28"/>
      <c r="H122" s="10"/>
      <c r="I122" s="10"/>
      <c r="J122" s="18" t="s">
        <v>17</v>
      </c>
      <c r="K122" s="29">
        <f>K148</f>
        <v>0</v>
      </c>
      <c r="L122" s="29">
        <f t="shared" ref="L122:S122" si="32">L148</f>
        <v>0</v>
      </c>
      <c r="M122" s="29">
        <f t="shared" si="32"/>
        <v>0</v>
      </c>
      <c r="N122" s="29">
        <f t="shared" si="32"/>
        <v>0</v>
      </c>
      <c r="O122" s="29">
        <f t="shared" si="32"/>
        <v>0</v>
      </c>
      <c r="P122" s="29">
        <f t="shared" si="32"/>
        <v>0</v>
      </c>
      <c r="Q122" s="29">
        <f t="shared" si="32"/>
        <v>0</v>
      </c>
      <c r="R122" s="29">
        <f t="shared" si="32"/>
        <v>0</v>
      </c>
      <c r="S122" s="29">
        <f t="shared" si="32"/>
        <v>0</v>
      </c>
      <c r="T122" s="30">
        <f>T153</f>
        <v>0</v>
      </c>
      <c r="U122" s="17"/>
      <c r="V122" s="10"/>
      <c r="W122" s="10"/>
      <c r="X122" s="10"/>
    </row>
    <row r="123" spans="1:24">
      <c r="A123" s="2"/>
      <c r="B123" s="24" t="s">
        <v>18</v>
      </c>
      <c r="C123" s="25">
        <f>P130</f>
        <v>0</v>
      </c>
      <c r="D123" s="10"/>
      <c r="E123" s="10"/>
      <c r="F123" s="10"/>
      <c r="G123" s="31"/>
      <c r="H123" s="10"/>
      <c r="I123" s="10"/>
      <c r="J123" s="32" t="s">
        <v>19</v>
      </c>
      <c r="K123" s="33" t="e">
        <f>K148/K147</f>
        <v>#DIV/0!</v>
      </c>
      <c r="L123" s="33" t="e">
        <f t="shared" ref="L123:S123" si="33">L148/L147</f>
        <v>#DIV/0!</v>
      </c>
      <c r="M123" s="33" t="e">
        <f t="shared" si="33"/>
        <v>#DIV/0!</v>
      </c>
      <c r="N123" s="33" t="e">
        <f t="shared" si="33"/>
        <v>#DIV/0!</v>
      </c>
      <c r="O123" s="33" t="e">
        <f t="shared" si="33"/>
        <v>#DIV/0!</v>
      </c>
      <c r="P123" s="33" t="e">
        <f t="shared" si="33"/>
        <v>#DIV/0!</v>
      </c>
      <c r="Q123" s="33" t="e">
        <f t="shared" si="33"/>
        <v>#DIV/0!</v>
      </c>
      <c r="R123" s="33" t="e">
        <f t="shared" si="33"/>
        <v>#DIV/0!</v>
      </c>
      <c r="S123" s="33" t="e">
        <f t="shared" si="33"/>
        <v>#DIV/0!</v>
      </c>
      <c r="T123" s="23"/>
      <c r="U123" s="17" t="s">
        <v>20</v>
      </c>
      <c r="V123" s="10"/>
      <c r="W123" s="10"/>
      <c r="X123" s="10"/>
    </row>
    <row r="124" spans="1:24">
      <c r="A124" s="2"/>
      <c r="B124" s="24" t="s">
        <v>21</v>
      </c>
      <c r="C124" s="34" t="e">
        <f>P131</f>
        <v>#DIV/0!</v>
      </c>
      <c r="D124" s="10"/>
      <c r="E124" s="10"/>
      <c r="F124" s="10"/>
      <c r="G124" s="10"/>
      <c r="H124" s="10"/>
      <c r="I124" s="10"/>
      <c r="J124" s="10"/>
      <c r="K124" s="10"/>
      <c r="L124" s="10"/>
      <c r="M124" s="10"/>
      <c r="N124" s="10"/>
      <c r="O124" s="10"/>
      <c r="P124" s="10"/>
      <c r="Q124" s="10"/>
      <c r="R124" s="10"/>
      <c r="S124" s="10"/>
      <c r="T124" s="10"/>
      <c r="U124" s="17"/>
      <c r="V124" s="10"/>
      <c r="W124" s="10"/>
      <c r="X124" s="10"/>
    </row>
    <row r="125" spans="1:24">
      <c r="A125" s="2"/>
      <c r="B125" s="24"/>
      <c r="C125" s="25"/>
      <c r="D125" s="10"/>
      <c r="E125" s="10"/>
      <c r="F125" s="18" t="s">
        <v>22</v>
      </c>
      <c r="G125" s="19" t="s">
        <v>23</v>
      </c>
      <c r="H125" s="35" t="s">
        <v>24</v>
      </c>
      <c r="I125" s="10"/>
      <c r="J125" s="10"/>
      <c r="K125" s="36"/>
      <c r="L125" s="36"/>
      <c r="M125" s="36"/>
      <c r="N125" s="36"/>
      <c r="O125" s="36"/>
      <c r="P125" s="36"/>
      <c r="Q125" s="36"/>
      <c r="R125" s="10"/>
      <c r="S125" s="10"/>
      <c r="T125" s="10"/>
      <c r="U125" s="17"/>
      <c r="V125" s="10"/>
      <c r="W125" s="10"/>
      <c r="X125" s="10"/>
    </row>
    <row r="126" spans="1:24">
      <c r="A126" s="2"/>
      <c r="B126" s="32" t="s">
        <v>25</v>
      </c>
      <c r="C126" s="37" t="e">
        <f>P132</f>
        <v>#DIV/0!</v>
      </c>
      <c r="D126" s="10"/>
      <c r="E126" s="18" t="s">
        <v>26</v>
      </c>
      <c r="F126" s="38">
        <f>P128</f>
        <v>0</v>
      </c>
      <c r="G126" s="39">
        <f>I147</f>
        <v>0</v>
      </c>
      <c r="H126" s="40"/>
      <c r="I126" s="41"/>
      <c r="J126" s="42"/>
      <c r="K126" s="43" t="s">
        <v>27</v>
      </c>
      <c r="L126" s="44"/>
      <c r="M126" s="44"/>
      <c r="N126" s="44"/>
      <c r="O126" s="44"/>
      <c r="P126" s="44"/>
      <c r="Q126" s="45"/>
      <c r="R126" s="46" t="s">
        <v>28</v>
      </c>
      <c r="S126" s="47" t="s">
        <v>29</v>
      </c>
      <c r="T126" s="10"/>
      <c r="U126" s="17"/>
      <c r="V126" s="10"/>
      <c r="W126" s="10"/>
      <c r="X126" s="10"/>
    </row>
    <row r="127" spans="1:24">
      <c r="A127" s="2"/>
      <c r="B127" s="11"/>
      <c r="C127" s="10"/>
      <c r="D127" s="10"/>
      <c r="E127" s="24" t="s">
        <v>30</v>
      </c>
      <c r="F127" s="48">
        <f>F122</f>
        <v>0.05</v>
      </c>
      <c r="G127" s="17"/>
      <c r="H127" s="40"/>
      <c r="I127" s="41"/>
      <c r="J127" s="42"/>
      <c r="K127" s="20" t="s">
        <v>31</v>
      </c>
      <c r="L127" s="21" t="s">
        <v>32</v>
      </c>
      <c r="M127" s="21" t="s">
        <v>33</v>
      </c>
      <c r="N127" s="21" t="s">
        <v>34</v>
      </c>
      <c r="O127" s="21" t="s">
        <v>35</v>
      </c>
      <c r="P127" s="21" t="s">
        <v>36</v>
      </c>
      <c r="Q127" s="49" t="s">
        <v>37</v>
      </c>
      <c r="R127" s="50" t="s">
        <v>38</v>
      </c>
      <c r="S127" s="50" t="s">
        <v>38</v>
      </c>
      <c r="T127" s="10"/>
      <c r="U127" s="17"/>
      <c r="V127" s="10"/>
      <c r="W127" s="10"/>
      <c r="X127" s="10"/>
    </row>
    <row r="128" spans="1:24">
      <c r="A128" s="2"/>
      <c r="B128" s="11"/>
      <c r="C128" s="10"/>
      <c r="D128" s="10"/>
      <c r="E128" s="51" t="s">
        <v>39</v>
      </c>
      <c r="F128" s="52">
        <f>F126*F127</f>
        <v>0</v>
      </c>
      <c r="G128" s="53" t="s">
        <v>40</v>
      </c>
      <c r="H128" s="54">
        <f>F128/1.12</f>
        <v>0</v>
      </c>
      <c r="I128" s="55"/>
      <c r="J128" s="42"/>
      <c r="K128" s="56"/>
      <c r="L128" s="57"/>
      <c r="M128" s="57"/>
      <c r="N128" s="57"/>
      <c r="O128" s="57"/>
      <c r="P128" s="57">
        <f>SUM(K128:O128)</f>
        <v>0</v>
      </c>
      <c r="Q128" s="58">
        <v>0</v>
      </c>
      <c r="R128" s="59">
        <v>0</v>
      </c>
      <c r="S128" s="59">
        <v>0</v>
      </c>
      <c r="T128" s="10"/>
      <c r="U128" s="17"/>
      <c r="V128" s="10"/>
      <c r="W128" s="10"/>
      <c r="X128" s="10"/>
    </row>
    <row r="129" spans="1:24">
      <c r="A129" s="2"/>
      <c r="B129" s="11"/>
      <c r="C129" s="10"/>
      <c r="D129" s="10"/>
      <c r="E129" s="24" t="s">
        <v>41</v>
      </c>
      <c r="F129" s="60">
        <f>Q128</f>
        <v>0</v>
      </c>
      <c r="G129" s="61" t="s">
        <v>40</v>
      </c>
      <c r="H129" s="62"/>
      <c r="I129" s="62"/>
      <c r="J129" s="10" t="s">
        <v>42</v>
      </c>
      <c r="K129" s="63"/>
      <c r="L129" s="63"/>
      <c r="M129" s="63"/>
      <c r="N129" s="63"/>
      <c r="O129" s="63"/>
      <c r="P129" s="21">
        <f>SUM(K129:O129)</f>
        <v>0</v>
      </c>
      <c r="Q129" s="64"/>
      <c r="R129" s="63"/>
      <c r="S129" s="10"/>
      <c r="T129" s="10"/>
      <c r="U129" s="17"/>
      <c r="V129" s="10"/>
      <c r="W129" s="10"/>
      <c r="X129" s="10"/>
    </row>
    <row r="130" spans="1:24">
      <c r="A130" s="2"/>
      <c r="B130" s="11"/>
      <c r="C130" s="10"/>
      <c r="D130" s="10"/>
      <c r="E130" s="51" t="s">
        <v>43</v>
      </c>
      <c r="F130" s="52">
        <f>F129*0.25</f>
        <v>0</v>
      </c>
      <c r="G130" s="53" t="s">
        <v>40</v>
      </c>
      <c r="H130" s="54">
        <f>F130/1.12</f>
        <v>0</v>
      </c>
      <c r="I130" s="10"/>
      <c r="J130" s="10" t="s">
        <v>44</v>
      </c>
      <c r="K130" s="63"/>
      <c r="L130" s="63"/>
      <c r="M130" s="63"/>
      <c r="N130" s="63"/>
      <c r="O130" s="63"/>
      <c r="P130" s="21">
        <f>SUM(K130:O130)</f>
        <v>0</v>
      </c>
      <c r="Q130" s="64"/>
      <c r="R130" s="63"/>
      <c r="S130" s="10"/>
      <c r="T130" s="10"/>
      <c r="U130" s="17"/>
      <c r="V130" s="10"/>
      <c r="W130" s="10"/>
      <c r="X130" s="10"/>
    </row>
    <row r="131" spans="1:24">
      <c r="A131" s="2"/>
      <c r="B131" s="11"/>
      <c r="C131" s="10"/>
      <c r="D131" s="10"/>
      <c r="E131" s="24" t="s">
        <v>45</v>
      </c>
      <c r="F131" s="60"/>
      <c r="G131" s="61" t="s">
        <v>40</v>
      </c>
      <c r="H131" s="62"/>
      <c r="I131" s="10"/>
      <c r="J131" s="10" t="s">
        <v>46</v>
      </c>
      <c r="K131" s="31" t="e">
        <f t="shared" ref="K131:Q131" si="34">K129/(K129+K130)</f>
        <v>#DIV/0!</v>
      </c>
      <c r="L131" s="31" t="e">
        <f t="shared" si="34"/>
        <v>#DIV/0!</v>
      </c>
      <c r="M131" s="31" t="e">
        <f t="shared" si="34"/>
        <v>#DIV/0!</v>
      </c>
      <c r="N131" s="31" t="e">
        <f t="shared" si="34"/>
        <v>#DIV/0!</v>
      </c>
      <c r="O131" s="31" t="e">
        <f t="shared" si="34"/>
        <v>#DIV/0!</v>
      </c>
      <c r="P131" s="31" t="e">
        <f t="shared" si="34"/>
        <v>#DIV/0!</v>
      </c>
      <c r="Q131" s="31" t="e">
        <f t="shared" si="34"/>
        <v>#DIV/0!</v>
      </c>
      <c r="R131" s="63"/>
      <c r="S131" s="10"/>
      <c r="T131" s="10"/>
      <c r="U131" s="17"/>
      <c r="V131" s="10"/>
      <c r="W131" s="10"/>
      <c r="X131" s="10"/>
    </row>
    <row r="132" spans="1:24">
      <c r="A132" s="2"/>
      <c r="B132" s="11"/>
      <c r="C132" s="10"/>
      <c r="D132" s="10"/>
      <c r="E132" s="51" t="s">
        <v>47</v>
      </c>
      <c r="F132" s="52">
        <f>F131*0.05</f>
        <v>0</v>
      </c>
      <c r="G132" s="65" t="s">
        <v>40</v>
      </c>
      <c r="H132" s="54">
        <f>F132/1.12</f>
        <v>0</v>
      </c>
      <c r="I132" s="42"/>
      <c r="J132" s="10" t="s">
        <v>48</v>
      </c>
      <c r="K132" s="66" t="e">
        <f>K128/K129</f>
        <v>#DIV/0!</v>
      </c>
      <c r="L132" s="66" t="e">
        <f t="shared" ref="L132:Q132" si="35">L128/L129</f>
        <v>#DIV/0!</v>
      </c>
      <c r="M132" s="66" t="e">
        <f t="shared" si="35"/>
        <v>#DIV/0!</v>
      </c>
      <c r="N132" s="66" t="e">
        <f t="shared" si="35"/>
        <v>#DIV/0!</v>
      </c>
      <c r="O132" s="66" t="e">
        <f t="shared" si="35"/>
        <v>#DIV/0!</v>
      </c>
      <c r="P132" s="66" t="e">
        <f t="shared" si="35"/>
        <v>#DIV/0!</v>
      </c>
      <c r="Q132" s="66" t="e">
        <f t="shared" si="35"/>
        <v>#DIV/0!</v>
      </c>
      <c r="R132" s="63"/>
      <c r="S132" s="10"/>
      <c r="T132" s="10"/>
      <c r="U132" s="17"/>
      <c r="V132" s="10"/>
      <c r="W132" s="10"/>
      <c r="X132" s="10"/>
    </row>
    <row r="133" spans="1:24">
      <c r="A133" s="2"/>
      <c r="B133" s="11"/>
      <c r="C133" s="10"/>
      <c r="D133" s="10"/>
      <c r="E133" s="67" t="s">
        <v>14</v>
      </c>
      <c r="F133" s="68">
        <f>1*50/2</f>
        <v>25</v>
      </c>
      <c r="G133" s="10"/>
      <c r="H133" s="54">
        <f>F133/1.12</f>
        <v>22.321428571428569</v>
      </c>
      <c r="I133" s="10"/>
      <c r="J133" s="10"/>
      <c r="K133" s="10"/>
      <c r="L133" s="10"/>
      <c r="M133" s="10"/>
      <c r="N133" s="10"/>
      <c r="O133" s="10"/>
      <c r="P133" s="10"/>
      <c r="Q133" s="10"/>
      <c r="R133" s="10"/>
      <c r="S133" s="10"/>
      <c r="T133" s="10"/>
      <c r="U133" s="17"/>
      <c r="V133" s="10"/>
      <c r="W133" s="10"/>
      <c r="X133" s="10"/>
    </row>
    <row r="134" spans="1:24">
      <c r="A134" s="2"/>
      <c r="B134" s="11"/>
      <c r="C134" s="10"/>
      <c r="D134" s="10"/>
      <c r="E134" s="155" t="s">
        <v>49</v>
      </c>
      <c r="F134" s="364">
        <f>T123</f>
        <v>0</v>
      </c>
      <c r="G134" s="10"/>
      <c r="H134" s="54"/>
      <c r="I134" s="55"/>
      <c r="J134" s="42"/>
      <c r="K134" s="764" t="s">
        <v>50</v>
      </c>
      <c r="L134" s="765"/>
      <c r="M134" s="765"/>
      <c r="N134" s="765"/>
      <c r="O134" s="765"/>
      <c r="P134" s="765"/>
      <c r="Q134" s="766"/>
      <c r="R134" s="70" t="s">
        <v>28</v>
      </c>
      <c r="S134" s="71" t="s">
        <v>29</v>
      </c>
      <c r="T134" s="10"/>
      <c r="U134" s="17"/>
      <c r="V134" s="10"/>
      <c r="W134" s="10"/>
      <c r="X134" s="10"/>
    </row>
    <row r="135" spans="1:24">
      <c r="A135" s="2"/>
      <c r="B135" s="11"/>
      <c r="C135" s="10"/>
      <c r="D135" s="10"/>
      <c r="E135" s="10"/>
      <c r="F135" s="10"/>
      <c r="G135" s="10"/>
      <c r="H135" s="54"/>
      <c r="I135" s="10"/>
      <c r="J135" s="42"/>
      <c r="K135" s="20" t="s">
        <v>31</v>
      </c>
      <c r="L135" s="21" t="s">
        <v>32</v>
      </c>
      <c r="M135" s="21" t="s">
        <v>33</v>
      </c>
      <c r="N135" s="21" t="s">
        <v>34</v>
      </c>
      <c r="O135" s="21" t="s">
        <v>35</v>
      </c>
      <c r="P135" s="21" t="s">
        <v>36</v>
      </c>
      <c r="Q135" s="49" t="s">
        <v>37</v>
      </c>
      <c r="R135" s="50" t="s">
        <v>38</v>
      </c>
      <c r="S135" s="50" t="s">
        <v>38</v>
      </c>
      <c r="T135" s="10"/>
      <c r="U135" s="17"/>
      <c r="V135" s="10"/>
      <c r="W135" s="10"/>
      <c r="X135" s="10"/>
    </row>
    <row r="136" spans="1:24">
      <c r="A136" s="2"/>
      <c r="B136" s="11"/>
      <c r="C136" s="10"/>
      <c r="D136" s="10"/>
      <c r="E136" s="10"/>
      <c r="F136" s="10"/>
      <c r="G136" s="10"/>
      <c r="H136" s="10"/>
      <c r="I136" s="10"/>
      <c r="J136" s="42"/>
      <c r="K136" s="56"/>
      <c r="L136" s="57"/>
      <c r="M136" s="57"/>
      <c r="N136" s="57"/>
      <c r="O136" s="57"/>
      <c r="P136" s="57"/>
      <c r="Q136" s="58">
        <v>0</v>
      </c>
      <c r="R136" s="59">
        <v>0</v>
      </c>
      <c r="S136" s="59">
        <v>0</v>
      </c>
      <c r="T136" s="10"/>
      <c r="U136" s="17"/>
      <c r="V136" s="10"/>
      <c r="W136" s="10"/>
      <c r="X136" s="10"/>
    </row>
    <row r="137" spans="1:24">
      <c r="A137" s="2"/>
      <c r="B137" s="11"/>
      <c r="C137" s="10"/>
      <c r="D137" s="10"/>
      <c r="E137" s="10"/>
      <c r="F137" s="10"/>
      <c r="G137" s="10"/>
      <c r="H137" s="10"/>
      <c r="I137" s="10"/>
      <c r="J137" s="10" t="s">
        <v>42</v>
      </c>
      <c r="K137" s="63">
        <f>K129</f>
        <v>0</v>
      </c>
      <c r="L137" s="63">
        <f t="shared" ref="L137:Q137" si="36">L129</f>
        <v>0</v>
      </c>
      <c r="M137" s="63">
        <f t="shared" si="36"/>
        <v>0</v>
      </c>
      <c r="N137" s="63">
        <f t="shared" si="36"/>
        <v>0</v>
      </c>
      <c r="O137" s="63">
        <f t="shared" si="36"/>
        <v>0</v>
      </c>
      <c r="P137" s="63">
        <f t="shared" si="36"/>
        <v>0</v>
      </c>
      <c r="Q137" s="63">
        <f t="shared" si="36"/>
        <v>0</v>
      </c>
      <c r="R137" s="63"/>
      <c r="S137" s="10"/>
      <c r="T137" s="10"/>
      <c r="U137" s="17"/>
      <c r="V137" s="10"/>
      <c r="W137" s="10"/>
      <c r="X137" s="10"/>
    </row>
    <row r="138" spans="1:24">
      <c r="A138" s="2"/>
      <c r="B138" s="11"/>
      <c r="C138" s="10"/>
      <c r="D138" s="10"/>
      <c r="E138" s="10"/>
      <c r="F138" s="10"/>
      <c r="G138" s="10"/>
      <c r="H138" s="10"/>
      <c r="I138" s="10"/>
      <c r="J138" s="10" t="s">
        <v>44</v>
      </c>
      <c r="K138" s="63">
        <f>K130</f>
        <v>0</v>
      </c>
      <c r="L138" s="63">
        <f t="shared" ref="L138:Q138" si="37">L130</f>
        <v>0</v>
      </c>
      <c r="M138" s="63">
        <f t="shared" si="37"/>
        <v>0</v>
      </c>
      <c r="N138" s="63">
        <f t="shared" si="37"/>
        <v>0</v>
      </c>
      <c r="O138" s="63">
        <f t="shared" si="37"/>
        <v>0</v>
      </c>
      <c r="P138" s="63">
        <f t="shared" si="37"/>
        <v>0</v>
      </c>
      <c r="Q138" s="63">
        <f t="shared" si="37"/>
        <v>0</v>
      </c>
      <c r="R138" s="63"/>
      <c r="S138" s="10"/>
      <c r="T138" s="10"/>
      <c r="U138" s="17"/>
      <c r="V138" s="10"/>
      <c r="W138" s="10"/>
      <c r="X138" s="10"/>
    </row>
    <row r="139" spans="1:24">
      <c r="A139" s="2"/>
      <c r="B139" s="11"/>
      <c r="C139" s="10"/>
      <c r="D139" s="10"/>
      <c r="E139" s="10"/>
      <c r="F139" s="10"/>
      <c r="G139" s="10"/>
      <c r="H139" s="10"/>
      <c r="I139" s="10"/>
      <c r="J139" s="10" t="s">
        <v>46</v>
      </c>
      <c r="K139" s="31" t="e">
        <f t="shared" ref="K139:Q139" si="38">K137/(K137+K138)</f>
        <v>#DIV/0!</v>
      </c>
      <c r="L139" s="31" t="e">
        <f t="shared" si="38"/>
        <v>#DIV/0!</v>
      </c>
      <c r="M139" s="31" t="e">
        <f t="shared" si="38"/>
        <v>#DIV/0!</v>
      </c>
      <c r="N139" s="31" t="e">
        <f t="shared" si="38"/>
        <v>#DIV/0!</v>
      </c>
      <c r="O139" s="31" t="e">
        <f t="shared" si="38"/>
        <v>#DIV/0!</v>
      </c>
      <c r="P139" s="31" t="e">
        <f t="shared" si="38"/>
        <v>#DIV/0!</v>
      </c>
      <c r="Q139" s="31" t="e">
        <f t="shared" si="38"/>
        <v>#DIV/0!</v>
      </c>
      <c r="R139" s="63"/>
      <c r="S139" s="10"/>
      <c r="T139" s="10"/>
      <c r="U139" s="17"/>
      <c r="V139" s="10"/>
      <c r="W139" s="10"/>
      <c r="X139" s="10"/>
    </row>
    <row r="140" spans="1:24">
      <c r="A140" s="2"/>
      <c r="B140" s="11"/>
      <c r="C140" s="10"/>
      <c r="D140" s="10"/>
      <c r="E140" s="10"/>
      <c r="F140" s="10"/>
      <c r="G140" s="10"/>
      <c r="H140" s="10"/>
      <c r="I140" s="10"/>
      <c r="J140" s="10" t="s">
        <v>48</v>
      </c>
      <c r="K140" s="66" t="e">
        <f t="shared" ref="K140:Q140" si="39">K136/K137</f>
        <v>#DIV/0!</v>
      </c>
      <c r="L140" s="66" t="e">
        <f t="shared" si="39"/>
        <v>#DIV/0!</v>
      </c>
      <c r="M140" s="66" t="e">
        <f t="shared" si="39"/>
        <v>#DIV/0!</v>
      </c>
      <c r="N140" s="66" t="e">
        <f t="shared" si="39"/>
        <v>#DIV/0!</v>
      </c>
      <c r="O140" s="66" t="e">
        <f t="shared" si="39"/>
        <v>#DIV/0!</v>
      </c>
      <c r="P140" s="66" t="e">
        <f t="shared" si="39"/>
        <v>#DIV/0!</v>
      </c>
      <c r="Q140" s="66" t="e">
        <f t="shared" si="39"/>
        <v>#DIV/0!</v>
      </c>
      <c r="R140" s="63"/>
      <c r="S140" s="10"/>
      <c r="T140" s="10"/>
      <c r="U140" s="17"/>
      <c r="V140" s="10"/>
      <c r="W140" s="10"/>
      <c r="X140" s="10"/>
    </row>
    <row r="141" spans="1:24">
      <c r="A141" s="2"/>
      <c r="B141" s="11"/>
      <c r="C141" s="10"/>
      <c r="D141" s="10"/>
      <c r="E141" s="10"/>
      <c r="F141" s="10"/>
      <c r="G141" s="10"/>
      <c r="H141" s="10"/>
      <c r="I141" s="10"/>
      <c r="J141" s="10"/>
      <c r="K141" s="10"/>
      <c r="L141" s="10"/>
      <c r="M141" s="10"/>
      <c r="N141" s="10"/>
      <c r="O141" s="10"/>
      <c r="P141" s="10"/>
      <c r="Q141" s="10"/>
      <c r="R141" s="10"/>
      <c r="S141" s="10"/>
      <c r="T141" s="10"/>
      <c r="U141" s="17"/>
      <c r="V141" s="10"/>
      <c r="W141" s="10"/>
      <c r="X141" s="10"/>
    </row>
    <row r="142" spans="1:24">
      <c r="A142" s="2"/>
      <c r="B142" s="11"/>
      <c r="C142" s="10"/>
      <c r="D142" s="10"/>
      <c r="E142" s="10"/>
      <c r="F142" s="10"/>
      <c r="G142" s="10"/>
      <c r="H142" s="10"/>
      <c r="I142" s="10"/>
      <c r="J142" s="10"/>
      <c r="K142" s="10"/>
      <c r="L142" s="10"/>
      <c r="M142" s="10"/>
      <c r="N142" s="10"/>
      <c r="O142" s="10"/>
      <c r="P142" s="10"/>
      <c r="Q142" s="10"/>
      <c r="R142" s="10"/>
      <c r="S142" s="10"/>
      <c r="T142" s="10"/>
      <c r="U142" s="17"/>
      <c r="V142" s="10"/>
      <c r="W142" s="10"/>
      <c r="X142" s="10"/>
    </row>
    <row r="143" spans="1:24">
      <c r="A143" s="2"/>
      <c r="B143" s="18" t="s">
        <v>51</v>
      </c>
      <c r="C143" s="14"/>
      <c r="D143" s="14"/>
      <c r="E143" s="14"/>
      <c r="F143" s="13" t="s">
        <v>52</v>
      </c>
      <c r="G143" s="14"/>
      <c r="H143" s="14"/>
      <c r="I143" s="14"/>
      <c r="J143" s="14"/>
      <c r="K143" s="13" t="s">
        <v>3</v>
      </c>
      <c r="L143" s="14"/>
      <c r="M143" s="14"/>
      <c r="N143" s="13" t="s">
        <v>4</v>
      </c>
      <c r="O143" s="14"/>
      <c r="P143" s="14"/>
      <c r="Q143" s="13" t="s">
        <v>5</v>
      </c>
      <c r="R143" s="14"/>
      <c r="S143" s="14"/>
      <c r="T143" s="18"/>
      <c r="U143" s="16" t="s">
        <v>53</v>
      </c>
      <c r="V143" s="77"/>
      <c r="W143" s="77"/>
      <c r="X143" s="77"/>
    </row>
    <row r="144" spans="1:24">
      <c r="A144" s="2"/>
      <c r="B144" s="24" t="s">
        <v>54</v>
      </c>
      <c r="C144" s="21" t="s">
        <v>55</v>
      </c>
      <c r="D144" s="21" t="s">
        <v>56</v>
      </c>
      <c r="E144" s="21" t="s">
        <v>57</v>
      </c>
      <c r="F144" s="20" t="s">
        <v>58</v>
      </c>
      <c r="G144" s="21" t="s">
        <v>59</v>
      </c>
      <c r="H144" s="21" t="s">
        <v>60</v>
      </c>
      <c r="I144" s="21" t="s">
        <v>26</v>
      </c>
      <c r="J144" s="22" t="s">
        <v>61</v>
      </c>
      <c r="K144" s="21" t="s">
        <v>8</v>
      </c>
      <c r="L144" s="21" t="s">
        <v>9</v>
      </c>
      <c r="M144" s="21" t="s">
        <v>10</v>
      </c>
      <c r="N144" s="20" t="s">
        <v>11</v>
      </c>
      <c r="O144" s="21" t="s">
        <v>12</v>
      </c>
      <c r="P144" s="22" t="s">
        <v>13</v>
      </c>
      <c r="Q144" s="21" t="s">
        <v>11</v>
      </c>
      <c r="R144" s="21" t="s">
        <v>12</v>
      </c>
      <c r="S144" s="21" t="s">
        <v>13</v>
      </c>
      <c r="T144" s="78" t="s">
        <v>14</v>
      </c>
      <c r="U144" s="30"/>
      <c r="V144" s="79" t="s">
        <v>62</v>
      </c>
      <c r="W144" s="80" t="s">
        <v>63</v>
      </c>
      <c r="X144" s="81" t="s">
        <v>64</v>
      </c>
    </row>
    <row r="145" spans="1:25">
      <c r="A145" s="2"/>
      <c r="B145" s="4" t="s">
        <v>65</v>
      </c>
      <c r="C145" s="6"/>
      <c r="D145" s="6"/>
      <c r="E145" s="6"/>
      <c r="F145" s="6"/>
      <c r="G145" s="6"/>
      <c r="H145" s="6"/>
      <c r="I145" s="82"/>
      <c r="J145" s="6"/>
      <c r="K145" s="6"/>
      <c r="L145" s="6"/>
      <c r="M145" s="6"/>
      <c r="N145" s="6"/>
      <c r="O145" s="6"/>
      <c r="P145" s="6"/>
      <c r="Q145" s="6"/>
      <c r="R145" s="6"/>
      <c r="S145" s="6"/>
      <c r="T145" s="83"/>
      <c r="U145" s="6"/>
      <c r="V145" s="84"/>
      <c r="W145" s="85"/>
      <c r="X145" s="86"/>
    </row>
    <row r="146" spans="1:25">
      <c r="A146" s="2"/>
      <c r="B146" s="87">
        <v>1</v>
      </c>
      <c r="C146" s="262"/>
      <c r="D146" s="271"/>
      <c r="E146" s="271"/>
      <c r="F146" s="265"/>
      <c r="G146" s="265"/>
      <c r="H146" s="365"/>
      <c r="I146" s="272">
        <f t="shared" ref="I146" si="40">F146-G146-H146</f>
        <v>0</v>
      </c>
      <c r="J146" s="267"/>
      <c r="K146" s="267"/>
      <c r="L146" s="267"/>
      <c r="M146" s="267"/>
      <c r="N146" s="267"/>
      <c r="O146" s="267"/>
      <c r="P146" s="267"/>
      <c r="Q146" s="267"/>
      <c r="R146" s="267"/>
      <c r="S146" s="269"/>
      <c r="T146" s="63"/>
      <c r="U146" s="10"/>
      <c r="V146" s="90"/>
      <c r="W146" s="91"/>
      <c r="X146" s="92"/>
    </row>
    <row r="147" spans="1:25">
      <c r="A147" s="2"/>
      <c r="B147" s="87"/>
      <c r="C147" s="36"/>
      <c r="D147" s="10"/>
      <c r="E147" s="10"/>
      <c r="F147" s="97">
        <f>SUM(F146:F146)</f>
        <v>0</v>
      </c>
      <c r="G147" s="97">
        <f>SUM(G146:G146)</f>
        <v>0</v>
      </c>
      <c r="H147" s="97">
        <f>SUM(H146:H146)</f>
        <v>0</v>
      </c>
      <c r="I147" s="98">
        <f>SUM(I146:I146)</f>
        <v>0</v>
      </c>
      <c r="J147" s="63"/>
      <c r="K147" s="63">
        <f t="shared" ref="K147:S147" si="41">COUNT(K146:K146)</f>
        <v>0</v>
      </c>
      <c r="L147" s="63">
        <f t="shared" si="41"/>
        <v>0</v>
      </c>
      <c r="M147" s="63">
        <f t="shared" si="41"/>
        <v>0</v>
      </c>
      <c r="N147" s="63">
        <f t="shared" si="41"/>
        <v>0</v>
      </c>
      <c r="O147" s="63">
        <f t="shared" si="41"/>
        <v>0</v>
      </c>
      <c r="P147" s="63">
        <f t="shared" si="41"/>
        <v>0</v>
      </c>
      <c r="Q147" s="63">
        <f t="shared" si="41"/>
        <v>0</v>
      </c>
      <c r="R147" s="63">
        <f t="shared" si="41"/>
        <v>0</v>
      </c>
      <c r="S147" s="63">
        <f t="shared" si="41"/>
        <v>0</v>
      </c>
      <c r="T147" s="63"/>
      <c r="U147" s="10"/>
      <c r="V147" s="90"/>
      <c r="W147" s="91"/>
      <c r="X147" s="92"/>
    </row>
    <row r="148" spans="1:25">
      <c r="A148" s="2"/>
      <c r="B148" s="87"/>
      <c r="C148" s="36"/>
      <c r="D148" s="10"/>
      <c r="E148" s="10"/>
      <c r="F148" s="88"/>
      <c r="G148" s="88"/>
      <c r="H148" s="88"/>
      <c r="I148" s="99"/>
      <c r="J148" s="63"/>
      <c r="K148" s="21">
        <f t="shared" ref="K148:S148" si="42">SUM(K146:K146)</f>
        <v>0</v>
      </c>
      <c r="L148" s="21">
        <f t="shared" si="42"/>
        <v>0</v>
      </c>
      <c r="M148" s="21">
        <f t="shared" si="42"/>
        <v>0</v>
      </c>
      <c r="N148" s="21">
        <f t="shared" si="42"/>
        <v>0</v>
      </c>
      <c r="O148" s="21">
        <f t="shared" si="42"/>
        <v>0</v>
      </c>
      <c r="P148" s="21">
        <f t="shared" si="42"/>
        <v>0</v>
      </c>
      <c r="Q148" s="21">
        <f t="shared" si="42"/>
        <v>0</v>
      </c>
      <c r="R148" s="21">
        <f t="shared" si="42"/>
        <v>0</v>
      </c>
      <c r="S148" s="21">
        <f t="shared" si="42"/>
        <v>0</v>
      </c>
      <c r="T148" s="63"/>
      <c r="U148" s="10"/>
      <c r="V148" s="90"/>
      <c r="W148" s="91"/>
      <c r="X148" s="92"/>
    </row>
    <row r="149" spans="1:25">
      <c r="A149" s="2"/>
      <c r="B149" s="11"/>
      <c r="C149" s="36"/>
      <c r="D149" s="10"/>
      <c r="E149" s="10"/>
      <c r="F149" s="88"/>
      <c r="G149" s="88"/>
      <c r="H149" s="88"/>
      <c r="I149" s="99"/>
      <c r="J149" s="63"/>
      <c r="K149" s="21"/>
      <c r="L149" s="21"/>
      <c r="M149" s="21"/>
      <c r="N149" s="21"/>
      <c r="O149" s="21"/>
      <c r="P149" s="21"/>
      <c r="Q149" s="21"/>
      <c r="R149" s="21"/>
      <c r="S149" s="21"/>
      <c r="T149" s="63"/>
      <c r="U149" s="94"/>
      <c r="V149" s="90"/>
      <c r="W149" s="91"/>
      <c r="X149" s="92"/>
    </row>
    <row r="150" spans="1:25">
      <c r="A150" s="181"/>
      <c r="B150" s="100" t="s">
        <v>152</v>
      </c>
      <c r="C150" s="36"/>
      <c r="D150" s="10"/>
      <c r="E150" s="181"/>
      <c r="F150" s="88"/>
      <c r="G150" s="88"/>
      <c r="H150" s="88"/>
      <c r="I150" s="99"/>
      <c r="J150" s="63"/>
      <c r="K150" s="21"/>
      <c r="L150" s="21"/>
      <c r="M150" s="21"/>
      <c r="N150" s="21"/>
      <c r="O150" s="21"/>
      <c r="P150" s="21"/>
      <c r="Q150" s="21"/>
      <c r="R150" s="21"/>
      <c r="S150" s="21"/>
      <c r="T150" s="63"/>
      <c r="U150" s="94"/>
      <c r="V150" s="90"/>
      <c r="W150" s="91"/>
      <c r="X150" s="92"/>
    </row>
    <row r="151" spans="1:25">
      <c r="A151" s="181"/>
      <c r="B151" s="87">
        <v>1</v>
      </c>
      <c r="C151" s="262">
        <v>45855</v>
      </c>
      <c r="D151" s="263" t="s">
        <v>2297</v>
      </c>
      <c r="E151" s="271" t="s">
        <v>155</v>
      </c>
      <c r="F151" s="265">
        <v>11352.6</v>
      </c>
      <c r="G151" s="265">
        <f>+(67.77+822.67)+1000</f>
        <v>1890.44</v>
      </c>
      <c r="H151" s="265"/>
      <c r="I151" s="272">
        <f>F151-G151-H151</f>
        <v>9462.16</v>
      </c>
      <c r="J151" s="267" t="s">
        <v>1386</v>
      </c>
      <c r="K151" s="267">
        <v>1</v>
      </c>
      <c r="L151" s="267"/>
      <c r="M151" s="267">
        <v>1</v>
      </c>
      <c r="N151" s="267">
        <v>0</v>
      </c>
      <c r="O151" s="267">
        <v>0</v>
      </c>
      <c r="P151" s="267">
        <v>0</v>
      </c>
      <c r="Q151" s="267">
        <v>0</v>
      </c>
      <c r="R151" s="267">
        <v>0</v>
      </c>
      <c r="S151" s="269">
        <v>0</v>
      </c>
      <c r="T151" s="63"/>
      <c r="U151" s="94" t="s">
        <v>2300</v>
      </c>
      <c r="V151" s="90"/>
      <c r="W151" s="136"/>
      <c r="X151" s="137"/>
    </row>
    <row r="152" spans="1:25">
      <c r="A152" s="181"/>
      <c r="B152" s="11"/>
      <c r="C152" s="36"/>
      <c r="D152" s="10"/>
      <c r="E152" s="10"/>
      <c r="F152" s="97">
        <f>SUM(F151:F151)</f>
        <v>11352.6</v>
      </c>
      <c r="G152" s="97">
        <f>SUM(G151:G151)</f>
        <v>1890.44</v>
      </c>
      <c r="H152" s="97">
        <f>SUM(H151:H151)</f>
        <v>0</v>
      </c>
      <c r="I152" s="98">
        <f>SUM(I151:I151)</f>
        <v>9462.16</v>
      </c>
      <c r="J152" s="63"/>
      <c r="K152" s="21"/>
      <c r="L152" s="21"/>
      <c r="M152" s="21"/>
      <c r="N152" s="21"/>
      <c r="O152" s="21"/>
      <c r="P152" s="21"/>
      <c r="Q152" s="21"/>
      <c r="R152" s="21"/>
      <c r="S152" s="21"/>
      <c r="T152" s="63"/>
      <c r="U152" s="94"/>
      <c r="V152" s="90"/>
      <c r="W152" s="91"/>
      <c r="X152" s="92"/>
    </row>
    <row r="153" spans="1:25">
      <c r="A153" s="2"/>
      <c r="B153" s="26"/>
      <c r="C153" s="140"/>
      <c r="D153" s="141"/>
      <c r="E153" s="141"/>
      <c r="F153" s="141"/>
      <c r="G153" s="141"/>
      <c r="H153" s="141"/>
      <c r="I153" s="141"/>
      <c r="J153" s="141"/>
      <c r="K153" s="142"/>
      <c r="L153" s="142"/>
      <c r="M153" s="142"/>
      <c r="N153" s="142"/>
      <c r="O153" s="142"/>
      <c r="P153" s="142"/>
      <c r="Q153" s="142"/>
      <c r="R153" s="142"/>
      <c r="S153" s="142"/>
      <c r="T153" s="143">
        <f>SUM(T146:T152)</f>
        <v>0</v>
      </c>
      <c r="U153" s="141"/>
      <c r="V153" s="144">
        <f>SUM(V146:V152)</f>
        <v>0</v>
      </c>
      <c r="W153" s="145">
        <f>SUM(W146:W152)</f>
        <v>0</v>
      </c>
      <c r="X153" s="146">
        <f>SUM(X146:X152)</f>
        <v>0</v>
      </c>
    </row>
    <row r="156" spans="1:25">
      <c r="B156" s="4" t="s">
        <v>1</v>
      </c>
      <c r="C156" s="5"/>
      <c r="D156" s="6"/>
      <c r="E156" s="6"/>
      <c r="F156" s="7" t="s">
        <v>2</v>
      </c>
      <c r="G156" s="8">
        <v>45879</v>
      </c>
      <c r="H156" s="7"/>
      <c r="I156" s="6"/>
      <c r="J156" s="6"/>
      <c r="K156" s="6"/>
      <c r="L156" s="6"/>
      <c r="M156" s="6"/>
      <c r="N156" s="6"/>
      <c r="O156" s="6"/>
      <c r="P156" s="6"/>
      <c r="Q156" s="6"/>
      <c r="R156" s="6"/>
      <c r="S156" s="6"/>
      <c r="T156" s="6"/>
      <c r="U156" s="9"/>
      <c r="V156" s="10"/>
      <c r="W156" s="10"/>
      <c r="X156" s="10"/>
      <c r="Y156" s="2"/>
    </row>
    <row r="157" spans="1:25">
      <c r="B157" s="11"/>
      <c r="C157" s="10"/>
      <c r="D157" s="10"/>
      <c r="E157" s="10"/>
      <c r="F157" s="10"/>
      <c r="G157" s="7"/>
      <c r="H157" s="12"/>
      <c r="I157" s="10"/>
      <c r="J157" s="10"/>
      <c r="K157" s="13" t="s">
        <v>3</v>
      </c>
      <c r="L157" s="14"/>
      <c r="M157" s="15"/>
      <c r="N157" s="13" t="s">
        <v>4</v>
      </c>
      <c r="O157" s="14"/>
      <c r="P157" s="15"/>
      <c r="Q157" s="13" t="s">
        <v>5</v>
      </c>
      <c r="R157" s="14"/>
      <c r="S157" s="15"/>
      <c r="T157" s="16"/>
      <c r="U157" s="17"/>
      <c r="V157" s="10"/>
      <c r="W157" s="10"/>
      <c r="X157" s="10"/>
      <c r="Y157" s="2"/>
    </row>
    <row r="158" spans="1:25">
      <c r="B158" s="18" t="s">
        <v>6</v>
      </c>
      <c r="C158" s="19">
        <f>C159+C160</f>
        <v>0</v>
      </c>
      <c r="D158" s="10"/>
      <c r="E158" s="18" t="s">
        <v>7</v>
      </c>
      <c r="F158" s="6"/>
      <c r="G158" s="9"/>
      <c r="H158" s="10"/>
      <c r="I158" s="10"/>
      <c r="J158" s="10"/>
      <c r="K158" s="20" t="s">
        <v>8</v>
      </c>
      <c r="L158" s="21" t="s">
        <v>9</v>
      </c>
      <c r="M158" s="21" t="s">
        <v>10</v>
      </c>
      <c r="N158" s="20" t="s">
        <v>11</v>
      </c>
      <c r="O158" s="21" t="s">
        <v>12</v>
      </c>
      <c r="P158" s="22" t="s">
        <v>13</v>
      </c>
      <c r="Q158" s="21" t="s">
        <v>11</v>
      </c>
      <c r="R158" s="21" t="s">
        <v>12</v>
      </c>
      <c r="S158" s="22" t="s">
        <v>13</v>
      </c>
      <c r="T158" s="23" t="s">
        <v>14</v>
      </c>
      <c r="U158" s="17"/>
      <c r="V158" s="10"/>
      <c r="W158" s="10"/>
      <c r="X158" s="10"/>
      <c r="Y158" s="2"/>
    </row>
    <row r="159" spans="1:25">
      <c r="B159" s="24" t="s">
        <v>15</v>
      </c>
      <c r="C159" s="25">
        <f>P166</f>
        <v>0</v>
      </c>
      <c r="D159" s="10"/>
      <c r="E159" s="26" t="s">
        <v>16</v>
      </c>
      <c r="F159" s="27">
        <v>0.05</v>
      </c>
      <c r="G159" s="28"/>
      <c r="H159" s="10"/>
      <c r="I159" s="10"/>
      <c r="J159" s="18" t="s">
        <v>17</v>
      </c>
      <c r="K159" s="29">
        <f t="shared" ref="K159:S159" si="43">K185</f>
        <v>0</v>
      </c>
      <c r="L159" s="29">
        <f t="shared" si="43"/>
        <v>0</v>
      </c>
      <c r="M159" s="29">
        <f t="shared" si="43"/>
        <v>0</v>
      </c>
      <c r="N159" s="29">
        <f t="shared" si="43"/>
        <v>0</v>
      </c>
      <c r="O159" s="29">
        <f t="shared" si="43"/>
        <v>0</v>
      </c>
      <c r="P159" s="29">
        <f t="shared" si="43"/>
        <v>0</v>
      </c>
      <c r="Q159" s="29">
        <f t="shared" si="43"/>
        <v>0</v>
      </c>
      <c r="R159" s="29">
        <f t="shared" si="43"/>
        <v>0</v>
      </c>
      <c r="S159" s="29">
        <f t="shared" si="43"/>
        <v>0</v>
      </c>
      <c r="T159" s="30">
        <f>T190</f>
        <v>0</v>
      </c>
      <c r="U159" s="17"/>
      <c r="V159" s="10"/>
      <c r="W159" s="10"/>
      <c r="X159" s="10"/>
      <c r="Y159" s="2"/>
    </row>
    <row r="160" spans="1:25">
      <c r="B160" s="24" t="s">
        <v>18</v>
      </c>
      <c r="C160" s="25">
        <f>P167</f>
        <v>0</v>
      </c>
      <c r="D160" s="10"/>
      <c r="E160" s="10"/>
      <c r="F160" s="10"/>
      <c r="G160" s="31"/>
      <c r="H160" s="10"/>
      <c r="I160" s="10"/>
      <c r="J160" s="32" t="s">
        <v>19</v>
      </c>
      <c r="K160" s="33" t="e">
        <f t="shared" ref="K160:S160" si="44">K185/K184</f>
        <v>#DIV/0!</v>
      </c>
      <c r="L160" s="33" t="e">
        <f t="shared" si="44"/>
        <v>#DIV/0!</v>
      </c>
      <c r="M160" s="33" t="e">
        <f t="shared" si="44"/>
        <v>#DIV/0!</v>
      </c>
      <c r="N160" s="33" t="e">
        <f t="shared" si="44"/>
        <v>#DIV/0!</v>
      </c>
      <c r="O160" s="33" t="e">
        <f t="shared" si="44"/>
        <v>#DIV/0!</v>
      </c>
      <c r="P160" s="33" t="e">
        <f t="shared" si="44"/>
        <v>#DIV/0!</v>
      </c>
      <c r="Q160" s="33" t="e">
        <f t="shared" si="44"/>
        <v>#DIV/0!</v>
      </c>
      <c r="R160" s="33" t="e">
        <f t="shared" si="44"/>
        <v>#DIV/0!</v>
      </c>
      <c r="S160" s="33" t="e">
        <f t="shared" si="44"/>
        <v>#DIV/0!</v>
      </c>
      <c r="T160" s="23"/>
      <c r="U160" s="17" t="s">
        <v>20</v>
      </c>
      <c r="V160" s="10"/>
      <c r="W160" s="10"/>
      <c r="X160" s="10"/>
      <c r="Y160" s="2"/>
    </row>
    <row r="161" spans="2:25">
      <c r="B161" s="24" t="s">
        <v>21</v>
      </c>
      <c r="C161" s="34" t="e">
        <f>P168</f>
        <v>#DIV/0!</v>
      </c>
      <c r="D161" s="10"/>
      <c r="E161" s="10"/>
      <c r="F161" s="10"/>
      <c r="G161" s="10"/>
      <c r="H161" s="10"/>
      <c r="I161" s="10"/>
      <c r="J161" s="10"/>
      <c r="K161" s="10"/>
      <c r="L161" s="10"/>
      <c r="M161" s="10"/>
      <c r="N161" s="10"/>
      <c r="O161" s="10"/>
      <c r="P161" s="10"/>
      <c r="Q161" s="10"/>
      <c r="R161" s="10"/>
      <c r="S161" s="10"/>
      <c r="T161" s="10"/>
      <c r="U161" s="17"/>
      <c r="V161" s="10"/>
      <c r="W161" s="10"/>
      <c r="X161" s="10"/>
      <c r="Y161" s="2"/>
    </row>
    <row r="162" spans="2:25">
      <c r="B162" s="24"/>
      <c r="C162" s="25"/>
      <c r="D162" s="10"/>
      <c r="E162" s="10"/>
      <c r="F162" s="18" t="s">
        <v>22</v>
      </c>
      <c r="G162" s="19" t="s">
        <v>23</v>
      </c>
      <c r="H162" s="35" t="s">
        <v>24</v>
      </c>
      <c r="I162" s="10"/>
      <c r="J162" s="10"/>
      <c r="K162" s="36"/>
      <c r="L162" s="36"/>
      <c r="M162" s="36"/>
      <c r="N162" s="36"/>
      <c r="O162" s="36"/>
      <c r="P162" s="36"/>
      <c r="Q162" s="36"/>
      <c r="R162" s="10"/>
      <c r="S162" s="10"/>
      <c r="T162" s="10"/>
      <c r="U162" s="17"/>
      <c r="V162" s="10"/>
      <c r="W162" s="10"/>
      <c r="X162" s="10"/>
      <c r="Y162" s="2"/>
    </row>
    <row r="163" spans="2:25">
      <c r="B163" s="32" t="s">
        <v>25</v>
      </c>
      <c r="C163" s="37" t="e">
        <f>P169</f>
        <v>#DIV/0!</v>
      </c>
      <c r="D163" s="10"/>
      <c r="E163" s="18" t="s">
        <v>26</v>
      </c>
      <c r="F163" s="38">
        <f>P165</f>
        <v>0</v>
      </c>
      <c r="G163" s="39">
        <f>I184</f>
        <v>0</v>
      </c>
      <c r="H163" s="40"/>
      <c r="I163" s="41"/>
      <c r="J163" s="42"/>
      <c r="K163" s="43" t="s">
        <v>27</v>
      </c>
      <c r="L163" s="44"/>
      <c r="M163" s="44"/>
      <c r="N163" s="44"/>
      <c r="O163" s="44"/>
      <c r="P163" s="44"/>
      <c r="Q163" s="45"/>
      <c r="R163" s="46" t="s">
        <v>28</v>
      </c>
      <c r="S163" s="47" t="s">
        <v>29</v>
      </c>
      <c r="T163" s="10"/>
      <c r="U163" s="17"/>
      <c r="V163" s="10"/>
      <c r="W163" s="10"/>
      <c r="X163" s="10"/>
      <c r="Y163" s="2"/>
    </row>
    <row r="164" spans="2:25">
      <c r="B164" s="11"/>
      <c r="C164" s="10"/>
      <c r="D164" s="10"/>
      <c r="E164" s="24" t="s">
        <v>30</v>
      </c>
      <c r="F164" s="48">
        <f>F159</f>
        <v>0.05</v>
      </c>
      <c r="G164" s="17"/>
      <c r="H164" s="40"/>
      <c r="I164" s="41"/>
      <c r="J164" s="42"/>
      <c r="K164" s="20" t="s">
        <v>31</v>
      </c>
      <c r="L164" s="21" t="s">
        <v>32</v>
      </c>
      <c r="M164" s="21" t="s">
        <v>33</v>
      </c>
      <c r="N164" s="21" t="s">
        <v>34</v>
      </c>
      <c r="O164" s="21" t="s">
        <v>35</v>
      </c>
      <c r="P164" s="21" t="s">
        <v>36</v>
      </c>
      <c r="Q164" s="49" t="s">
        <v>37</v>
      </c>
      <c r="R164" s="50" t="s">
        <v>38</v>
      </c>
      <c r="S164" s="50" t="s">
        <v>38</v>
      </c>
      <c r="T164" s="10"/>
      <c r="U164" s="17"/>
      <c r="V164" s="10"/>
      <c r="W164" s="10"/>
      <c r="X164" s="10"/>
      <c r="Y164" s="2"/>
    </row>
    <row r="165" spans="2:25">
      <c r="B165" s="11"/>
      <c r="C165" s="10"/>
      <c r="D165" s="10"/>
      <c r="E165" s="51" t="s">
        <v>39</v>
      </c>
      <c r="F165" s="52">
        <f>F163*F164</f>
        <v>0</v>
      </c>
      <c r="G165" s="53" t="s">
        <v>40</v>
      </c>
      <c r="H165" s="54">
        <f>F165/1.12</f>
        <v>0</v>
      </c>
      <c r="I165" s="55"/>
      <c r="J165" s="42"/>
      <c r="K165" s="56"/>
      <c r="L165" s="57"/>
      <c r="M165" s="57"/>
      <c r="N165" s="57"/>
      <c r="O165" s="57"/>
      <c r="P165" s="57">
        <f>SUM(K165:O165)</f>
        <v>0</v>
      </c>
      <c r="Q165" s="58">
        <v>0</v>
      </c>
      <c r="R165" s="59">
        <f>0</f>
        <v>0</v>
      </c>
      <c r="S165" s="59">
        <f>0</f>
        <v>0</v>
      </c>
      <c r="T165" s="10"/>
      <c r="U165" s="17"/>
      <c r="V165" s="10"/>
      <c r="W165" s="10"/>
      <c r="X165" s="10"/>
      <c r="Y165" s="2"/>
    </row>
    <row r="166" spans="2:25">
      <c r="B166" s="11"/>
      <c r="C166" s="10"/>
      <c r="D166" s="10"/>
      <c r="E166" s="24" t="s">
        <v>41</v>
      </c>
      <c r="F166" s="60">
        <f>Q165</f>
        <v>0</v>
      </c>
      <c r="G166" s="61" t="s">
        <v>40</v>
      </c>
      <c r="H166" s="62"/>
      <c r="I166" s="62"/>
      <c r="J166" s="10" t="s">
        <v>42</v>
      </c>
      <c r="K166" s="63"/>
      <c r="L166" s="63"/>
      <c r="M166" s="63"/>
      <c r="N166" s="63"/>
      <c r="O166" s="63"/>
      <c r="P166" s="21">
        <f>SUM(K166:O166)</f>
        <v>0</v>
      </c>
      <c r="Q166" s="64"/>
      <c r="R166" s="63"/>
      <c r="S166" s="10"/>
      <c r="T166" s="10"/>
      <c r="U166" s="17"/>
      <c r="V166" s="10"/>
      <c r="W166" s="10"/>
      <c r="X166" s="10"/>
      <c r="Y166" s="2"/>
    </row>
    <row r="167" spans="2:25">
      <c r="B167" s="11"/>
      <c r="C167" s="10"/>
      <c r="D167" s="10"/>
      <c r="E167" s="51" t="s">
        <v>43</v>
      </c>
      <c r="F167" s="52">
        <f>F166*0.25</f>
        <v>0</v>
      </c>
      <c r="G167" s="53" t="s">
        <v>40</v>
      </c>
      <c r="H167" s="54">
        <f>F167/1.12</f>
        <v>0</v>
      </c>
      <c r="I167" s="10"/>
      <c r="J167" s="10" t="s">
        <v>44</v>
      </c>
      <c r="K167" s="63"/>
      <c r="L167" s="63"/>
      <c r="M167" s="63"/>
      <c r="N167" s="63"/>
      <c r="O167" s="63"/>
      <c r="P167" s="21">
        <f>SUM(K167:O167)</f>
        <v>0</v>
      </c>
      <c r="Q167" s="64"/>
      <c r="R167" s="63"/>
      <c r="S167" s="10"/>
      <c r="T167" s="10"/>
      <c r="U167" s="17"/>
      <c r="V167" s="10"/>
      <c r="W167" s="10"/>
      <c r="X167" s="10"/>
      <c r="Y167" s="2"/>
    </row>
    <row r="168" spans="2:25">
      <c r="B168" s="11"/>
      <c r="C168" s="10"/>
      <c r="D168" s="10"/>
      <c r="E168" s="24" t="s">
        <v>45</v>
      </c>
      <c r="F168" s="60"/>
      <c r="G168" s="61" t="s">
        <v>40</v>
      </c>
      <c r="H168" s="62"/>
      <c r="I168" s="10"/>
      <c r="J168" s="10" t="s">
        <v>46</v>
      </c>
      <c r="K168" s="31" t="e">
        <f t="shared" ref="K168:Q168" si="45">K166/(K166+K167)</f>
        <v>#DIV/0!</v>
      </c>
      <c r="L168" s="31" t="e">
        <f t="shared" si="45"/>
        <v>#DIV/0!</v>
      </c>
      <c r="M168" s="31" t="e">
        <f t="shared" si="45"/>
        <v>#DIV/0!</v>
      </c>
      <c r="N168" s="31" t="e">
        <f t="shared" si="45"/>
        <v>#DIV/0!</v>
      </c>
      <c r="O168" s="31" t="e">
        <f t="shared" si="45"/>
        <v>#DIV/0!</v>
      </c>
      <c r="P168" s="31" t="e">
        <f t="shared" si="45"/>
        <v>#DIV/0!</v>
      </c>
      <c r="Q168" s="31" t="e">
        <f t="shared" si="45"/>
        <v>#DIV/0!</v>
      </c>
      <c r="R168" s="63"/>
      <c r="S168" s="10"/>
      <c r="T168" s="10"/>
      <c r="U168" s="17"/>
      <c r="V168" s="10"/>
      <c r="W168" s="10"/>
      <c r="X168" s="10"/>
      <c r="Y168" s="2"/>
    </row>
    <row r="169" spans="2:25">
      <c r="B169" s="11"/>
      <c r="C169" s="10"/>
      <c r="D169" s="10"/>
      <c r="E169" s="51" t="s">
        <v>47</v>
      </c>
      <c r="F169" s="52">
        <f>F168*0.05</f>
        <v>0</v>
      </c>
      <c r="G169" s="65" t="s">
        <v>40</v>
      </c>
      <c r="H169" s="54">
        <f>F169/1.12</f>
        <v>0</v>
      </c>
      <c r="I169" s="42"/>
      <c r="J169" s="10" t="s">
        <v>48</v>
      </c>
      <c r="K169" s="66" t="e">
        <f t="shared" ref="K169:Q169" si="46">K165/K166</f>
        <v>#DIV/0!</v>
      </c>
      <c r="L169" s="66" t="e">
        <f t="shared" si="46"/>
        <v>#DIV/0!</v>
      </c>
      <c r="M169" s="66" t="e">
        <f t="shared" si="46"/>
        <v>#DIV/0!</v>
      </c>
      <c r="N169" s="66" t="e">
        <f t="shared" si="46"/>
        <v>#DIV/0!</v>
      </c>
      <c r="O169" s="66" t="e">
        <f t="shared" si="46"/>
        <v>#DIV/0!</v>
      </c>
      <c r="P169" s="66" t="e">
        <f t="shared" si="46"/>
        <v>#DIV/0!</v>
      </c>
      <c r="Q169" s="66" t="e">
        <f t="shared" si="46"/>
        <v>#DIV/0!</v>
      </c>
      <c r="R169" s="63"/>
      <c r="S169" s="10"/>
      <c r="T169" s="10"/>
      <c r="U169" s="17"/>
      <c r="V169" s="10"/>
      <c r="W169" s="10"/>
      <c r="X169" s="10"/>
      <c r="Y169" s="2"/>
    </row>
    <row r="170" spans="2:25">
      <c r="B170" s="11"/>
      <c r="C170" s="10"/>
      <c r="D170" s="10"/>
      <c r="E170" s="67" t="s">
        <v>14</v>
      </c>
      <c r="F170" s="68"/>
      <c r="G170" s="10"/>
      <c r="H170" s="54">
        <f>F170/1.12</f>
        <v>0</v>
      </c>
      <c r="I170" s="10"/>
      <c r="J170" s="10"/>
      <c r="K170" s="10"/>
      <c r="L170" s="10"/>
      <c r="M170" s="10"/>
      <c r="N170" s="10"/>
      <c r="O170" s="10"/>
      <c r="P170" s="10"/>
      <c r="Q170" s="10"/>
      <c r="R170" s="10"/>
      <c r="S170" s="10"/>
      <c r="T170" s="10"/>
      <c r="U170" s="17"/>
      <c r="V170" s="10"/>
      <c r="W170" s="10"/>
      <c r="X170" s="10"/>
      <c r="Y170" s="2"/>
    </row>
    <row r="171" spans="2:25">
      <c r="B171" s="11"/>
      <c r="C171" s="10"/>
      <c r="D171" s="10"/>
      <c r="E171" s="155" t="s">
        <v>49</v>
      </c>
      <c r="F171" s="364">
        <f>T160</f>
        <v>0</v>
      </c>
      <c r="G171" s="10"/>
      <c r="H171" s="54"/>
      <c r="I171" s="55"/>
      <c r="J171" s="42"/>
      <c r="K171" s="764" t="s">
        <v>50</v>
      </c>
      <c r="L171" s="765"/>
      <c r="M171" s="765"/>
      <c r="N171" s="765"/>
      <c r="O171" s="765"/>
      <c r="P171" s="765"/>
      <c r="Q171" s="766"/>
      <c r="R171" s="70" t="s">
        <v>28</v>
      </c>
      <c r="S171" s="71" t="s">
        <v>29</v>
      </c>
      <c r="T171" s="10"/>
      <c r="U171" s="17"/>
      <c r="V171" s="10"/>
      <c r="W171" s="10"/>
      <c r="X171" s="10"/>
      <c r="Y171" s="2"/>
    </row>
    <row r="172" spans="2:25">
      <c r="B172" s="11"/>
      <c r="C172" s="10"/>
      <c r="D172" s="10"/>
      <c r="E172" s="10"/>
      <c r="F172" s="10"/>
      <c r="G172" s="10"/>
      <c r="H172" s="10"/>
      <c r="I172" s="10"/>
      <c r="J172" s="42"/>
      <c r="K172" s="20" t="s">
        <v>31</v>
      </c>
      <c r="L172" s="21" t="s">
        <v>32</v>
      </c>
      <c r="M172" s="21" t="s">
        <v>33</v>
      </c>
      <c r="N172" s="21" t="s">
        <v>34</v>
      </c>
      <c r="O172" s="21" t="s">
        <v>35</v>
      </c>
      <c r="P172" s="21" t="s">
        <v>36</v>
      </c>
      <c r="Q172" s="49" t="s">
        <v>37</v>
      </c>
      <c r="R172" s="50" t="s">
        <v>38</v>
      </c>
      <c r="S172" s="50" t="s">
        <v>38</v>
      </c>
      <c r="T172" s="10"/>
      <c r="U172" s="17"/>
      <c r="V172" s="10"/>
      <c r="W172" s="10"/>
      <c r="X172" s="10"/>
      <c r="Y172" s="2"/>
    </row>
    <row r="173" spans="2:25">
      <c r="B173" s="11"/>
      <c r="C173" s="10"/>
      <c r="D173" s="10"/>
      <c r="E173" s="10"/>
      <c r="F173" s="10"/>
      <c r="G173" s="10"/>
      <c r="H173" s="10"/>
      <c r="I173" s="10"/>
      <c r="J173" s="42"/>
      <c r="K173" s="56"/>
      <c r="L173" s="57"/>
      <c r="M173" s="57"/>
      <c r="N173" s="57"/>
      <c r="O173" s="57"/>
      <c r="P173" s="57">
        <f>SUM(K173:O173)</f>
        <v>0</v>
      </c>
      <c r="Q173" s="58">
        <v>0</v>
      </c>
      <c r="R173" s="59">
        <f>0</f>
        <v>0</v>
      </c>
      <c r="S173" s="59">
        <f>0</f>
        <v>0</v>
      </c>
      <c r="T173" s="10"/>
      <c r="U173" s="17"/>
      <c r="V173" s="10"/>
      <c r="W173" s="10"/>
      <c r="X173" s="10"/>
      <c r="Y173" s="2"/>
    </row>
    <row r="174" spans="2:25">
      <c r="B174" s="11"/>
      <c r="C174" s="10"/>
      <c r="D174" s="10"/>
      <c r="E174" s="10"/>
      <c r="F174" s="10"/>
      <c r="G174" s="10"/>
      <c r="H174" s="10"/>
      <c r="I174" s="10"/>
      <c r="J174" s="10" t="s">
        <v>42</v>
      </c>
      <c r="K174" s="63">
        <f t="shared" ref="K174:Q175" si="47">K166</f>
        <v>0</v>
      </c>
      <c r="L174" s="63">
        <f t="shared" si="47"/>
        <v>0</v>
      </c>
      <c r="M174" s="63">
        <f t="shared" si="47"/>
        <v>0</v>
      </c>
      <c r="N174" s="63">
        <f t="shared" si="47"/>
        <v>0</v>
      </c>
      <c r="O174" s="63">
        <f t="shared" si="47"/>
        <v>0</v>
      </c>
      <c r="P174" s="63">
        <f t="shared" si="47"/>
        <v>0</v>
      </c>
      <c r="Q174" s="63">
        <f t="shared" si="47"/>
        <v>0</v>
      </c>
      <c r="R174" s="63"/>
      <c r="S174" s="10"/>
      <c r="T174" s="10"/>
      <c r="U174" s="17"/>
      <c r="V174" s="10"/>
      <c r="W174" s="10"/>
      <c r="X174" s="10"/>
      <c r="Y174" s="2"/>
    </row>
    <row r="175" spans="2:25">
      <c r="B175" s="11"/>
      <c r="C175" s="10"/>
      <c r="D175" s="10"/>
      <c r="E175" s="10"/>
      <c r="F175" s="10"/>
      <c r="G175" s="10"/>
      <c r="H175" s="10"/>
      <c r="I175" s="10"/>
      <c r="J175" s="10" t="s">
        <v>44</v>
      </c>
      <c r="K175" s="63">
        <f t="shared" si="47"/>
        <v>0</v>
      </c>
      <c r="L175" s="63">
        <f t="shared" si="47"/>
        <v>0</v>
      </c>
      <c r="M175" s="63">
        <f t="shared" si="47"/>
        <v>0</v>
      </c>
      <c r="N175" s="63">
        <f t="shared" si="47"/>
        <v>0</v>
      </c>
      <c r="O175" s="63">
        <f t="shared" si="47"/>
        <v>0</v>
      </c>
      <c r="P175" s="63">
        <f t="shared" si="47"/>
        <v>0</v>
      </c>
      <c r="Q175" s="63">
        <f t="shared" si="47"/>
        <v>0</v>
      </c>
      <c r="R175" s="63"/>
      <c r="S175" s="10"/>
      <c r="T175" s="10"/>
      <c r="U175" s="17"/>
      <c r="V175" s="10"/>
      <c r="W175" s="10"/>
      <c r="X175" s="10"/>
      <c r="Y175" s="2"/>
    </row>
    <row r="176" spans="2:25">
      <c r="B176" s="11"/>
      <c r="C176" s="10"/>
      <c r="D176" s="10"/>
      <c r="E176" s="10"/>
      <c r="F176" s="10"/>
      <c r="G176" s="10"/>
      <c r="H176" s="10"/>
      <c r="I176" s="10"/>
      <c r="J176" s="10" t="s">
        <v>46</v>
      </c>
      <c r="K176" s="31" t="e">
        <f t="shared" ref="K176:Q176" si="48">K174/(K174+K175)</f>
        <v>#DIV/0!</v>
      </c>
      <c r="L176" s="31" t="e">
        <f t="shared" si="48"/>
        <v>#DIV/0!</v>
      </c>
      <c r="M176" s="31" t="e">
        <f t="shared" si="48"/>
        <v>#DIV/0!</v>
      </c>
      <c r="N176" s="31" t="e">
        <f t="shared" si="48"/>
        <v>#DIV/0!</v>
      </c>
      <c r="O176" s="31" t="e">
        <f t="shared" si="48"/>
        <v>#DIV/0!</v>
      </c>
      <c r="P176" s="31" t="e">
        <f t="shared" si="48"/>
        <v>#DIV/0!</v>
      </c>
      <c r="Q176" s="31" t="e">
        <f t="shared" si="48"/>
        <v>#DIV/0!</v>
      </c>
      <c r="R176" s="63"/>
      <c r="S176" s="10"/>
      <c r="T176" s="10"/>
      <c r="U176" s="17"/>
      <c r="V176" s="10"/>
      <c r="W176" s="10"/>
      <c r="X176" s="10"/>
      <c r="Y176" s="2"/>
    </row>
    <row r="177" spans="1:25">
      <c r="B177" s="11"/>
      <c r="C177" s="10"/>
      <c r="D177" s="10"/>
      <c r="E177" s="10"/>
      <c r="F177" s="10"/>
      <c r="G177" s="10"/>
      <c r="H177" s="10"/>
      <c r="I177" s="10"/>
      <c r="J177" s="10" t="s">
        <v>48</v>
      </c>
      <c r="K177" s="66" t="e">
        <f t="shared" ref="K177:Q177" si="49">K173/K174</f>
        <v>#DIV/0!</v>
      </c>
      <c r="L177" s="66" t="e">
        <f t="shared" si="49"/>
        <v>#DIV/0!</v>
      </c>
      <c r="M177" s="66" t="e">
        <f t="shared" si="49"/>
        <v>#DIV/0!</v>
      </c>
      <c r="N177" s="66" t="e">
        <f t="shared" si="49"/>
        <v>#DIV/0!</v>
      </c>
      <c r="O177" s="66" t="e">
        <f t="shared" si="49"/>
        <v>#DIV/0!</v>
      </c>
      <c r="P177" s="66" t="e">
        <f t="shared" si="49"/>
        <v>#DIV/0!</v>
      </c>
      <c r="Q177" s="66" t="e">
        <f t="shared" si="49"/>
        <v>#DIV/0!</v>
      </c>
      <c r="R177" s="63"/>
      <c r="S177" s="10"/>
      <c r="T177" s="10"/>
      <c r="U177" s="17"/>
      <c r="V177" s="10"/>
      <c r="W177" s="10"/>
      <c r="X177" s="10"/>
      <c r="Y177" s="2"/>
    </row>
    <row r="178" spans="1:25">
      <c r="B178" s="11"/>
      <c r="C178" s="10"/>
      <c r="D178" s="10"/>
      <c r="E178" s="10"/>
      <c r="F178" s="10"/>
      <c r="G178" s="10"/>
      <c r="H178" s="10"/>
      <c r="I178" s="10"/>
      <c r="J178" s="10"/>
      <c r="K178" s="10"/>
      <c r="L178" s="10"/>
      <c r="M178" s="10"/>
      <c r="N178" s="10"/>
      <c r="O178" s="10"/>
      <c r="P178" s="10"/>
      <c r="Q178" s="10"/>
      <c r="R178" s="10"/>
      <c r="S178" s="10"/>
      <c r="T178" s="10"/>
      <c r="U178" s="17"/>
      <c r="V178" s="10"/>
      <c r="W178" s="10"/>
      <c r="X178" s="10"/>
      <c r="Y178" s="2"/>
    </row>
    <row r="179" spans="1:25">
      <c r="B179" s="11"/>
      <c r="C179" s="10"/>
      <c r="D179" s="10"/>
      <c r="E179" s="10"/>
      <c r="F179" s="10"/>
      <c r="G179" s="10"/>
      <c r="H179" s="10"/>
      <c r="I179" s="10"/>
      <c r="J179" s="10"/>
      <c r="K179" s="10"/>
      <c r="L179" s="10"/>
      <c r="M179" s="10"/>
      <c r="N179" s="10"/>
      <c r="O179" s="10"/>
      <c r="P179" s="10"/>
      <c r="Q179" s="10"/>
      <c r="R179" s="10"/>
      <c r="S179" s="10"/>
      <c r="T179" s="10"/>
      <c r="U179" s="17"/>
      <c r="V179" s="10"/>
      <c r="W179" s="10"/>
      <c r="X179" s="10"/>
      <c r="Y179" s="2"/>
    </row>
    <row r="180" spans="1:25">
      <c r="B180" s="18" t="s">
        <v>51</v>
      </c>
      <c r="C180" s="14"/>
      <c r="D180" s="14"/>
      <c r="E180" s="14"/>
      <c r="F180" s="13" t="s">
        <v>52</v>
      </c>
      <c r="G180" s="14"/>
      <c r="H180" s="14"/>
      <c r="I180" s="14"/>
      <c r="J180" s="14"/>
      <c r="K180" s="13" t="s">
        <v>3</v>
      </c>
      <c r="L180" s="14"/>
      <c r="M180" s="14"/>
      <c r="N180" s="13" t="s">
        <v>4</v>
      </c>
      <c r="O180" s="14"/>
      <c r="P180" s="14"/>
      <c r="Q180" s="13" t="s">
        <v>5</v>
      </c>
      <c r="R180" s="14"/>
      <c r="S180" s="14"/>
      <c r="T180" s="18"/>
      <c r="U180" s="16" t="s">
        <v>53</v>
      </c>
      <c r="V180" s="77"/>
      <c r="W180" s="77"/>
      <c r="X180" s="77"/>
      <c r="Y180" s="2"/>
    </row>
    <row r="181" spans="1:25">
      <c r="B181" s="24" t="s">
        <v>54</v>
      </c>
      <c r="C181" s="21" t="s">
        <v>55</v>
      </c>
      <c r="D181" s="21" t="s">
        <v>56</v>
      </c>
      <c r="E181" s="21" t="s">
        <v>57</v>
      </c>
      <c r="F181" s="20" t="s">
        <v>58</v>
      </c>
      <c r="G181" s="21" t="s">
        <v>59</v>
      </c>
      <c r="H181" s="21" t="s">
        <v>60</v>
      </c>
      <c r="I181" s="21" t="s">
        <v>26</v>
      </c>
      <c r="J181" s="22" t="s">
        <v>61</v>
      </c>
      <c r="K181" s="21" t="s">
        <v>8</v>
      </c>
      <c r="L181" s="21" t="s">
        <v>9</v>
      </c>
      <c r="M181" s="21" t="s">
        <v>10</v>
      </c>
      <c r="N181" s="20" t="s">
        <v>11</v>
      </c>
      <c r="O181" s="21" t="s">
        <v>12</v>
      </c>
      <c r="P181" s="22" t="s">
        <v>13</v>
      </c>
      <c r="Q181" s="21" t="s">
        <v>11</v>
      </c>
      <c r="R181" s="21" t="s">
        <v>12</v>
      </c>
      <c r="S181" s="21" t="s">
        <v>13</v>
      </c>
      <c r="T181" s="78" t="s">
        <v>14</v>
      </c>
      <c r="U181" s="30"/>
      <c r="V181" s="79" t="s">
        <v>62</v>
      </c>
      <c r="W181" s="80" t="s">
        <v>63</v>
      </c>
      <c r="X181" s="81" t="s">
        <v>64</v>
      </c>
      <c r="Y181" s="2"/>
    </row>
    <row r="182" spans="1:25">
      <c r="B182" s="4" t="s">
        <v>65</v>
      </c>
      <c r="C182" s="6"/>
      <c r="D182" s="6"/>
      <c r="E182" s="6"/>
      <c r="F182" s="6"/>
      <c r="G182" s="6"/>
      <c r="H182" s="6"/>
      <c r="I182" s="82"/>
      <c r="J182" s="6"/>
      <c r="K182" s="6"/>
      <c r="L182" s="6"/>
      <c r="M182" s="6"/>
      <c r="N182" s="6"/>
      <c r="O182" s="6"/>
      <c r="P182" s="6"/>
      <c r="Q182" s="6"/>
      <c r="R182" s="6"/>
      <c r="S182" s="6"/>
      <c r="T182" s="83"/>
      <c r="U182" s="6"/>
      <c r="V182" s="84"/>
      <c r="W182" s="85"/>
      <c r="X182" s="86"/>
      <c r="Y182" s="2"/>
    </row>
    <row r="183" spans="1:25">
      <c r="B183" s="87">
        <v>1</v>
      </c>
      <c r="C183" s="262"/>
      <c r="D183" s="271"/>
      <c r="E183" s="271"/>
      <c r="F183" s="265"/>
      <c r="G183" s="265"/>
      <c r="H183" s="365"/>
      <c r="I183" s="272">
        <f t="shared" ref="I183" si="50">F183-G183-H183</f>
        <v>0</v>
      </c>
      <c r="J183" s="267"/>
      <c r="K183" s="267"/>
      <c r="L183" s="267"/>
      <c r="M183" s="267"/>
      <c r="N183" s="267"/>
      <c r="O183" s="267"/>
      <c r="P183" s="267"/>
      <c r="Q183" s="267"/>
      <c r="R183" s="267"/>
      <c r="S183" s="269"/>
      <c r="T183" s="63"/>
      <c r="U183" s="10"/>
      <c r="V183" s="90"/>
      <c r="W183" s="91"/>
      <c r="X183" s="92"/>
      <c r="Y183" s="2"/>
    </row>
    <row r="184" spans="1:25">
      <c r="B184" s="87"/>
      <c r="C184" s="36"/>
      <c r="D184" s="10"/>
      <c r="E184" s="10"/>
      <c r="F184" s="97">
        <f>SUM(F183:F183)</f>
        <v>0</v>
      </c>
      <c r="G184" s="97">
        <f>SUM(G183:G183)</f>
        <v>0</v>
      </c>
      <c r="H184" s="97">
        <f>SUM(H183:H183)</f>
        <v>0</v>
      </c>
      <c r="I184" s="98">
        <f>SUM(I183:I183)</f>
        <v>0</v>
      </c>
      <c r="J184" s="63"/>
      <c r="K184" s="63">
        <f>COUNT(K183:K183)</f>
        <v>0</v>
      </c>
      <c r="L184" s="63">
        <f>COUNT(L183:L183)</f>
        <v>0</v>
      </c>
      <c r="M184" s="63">
        <f>COUNT(M183:M183)</f>
        <v>0</v>
      </c>
      <c r="N184" s="63">
        <f>COUNT(N183:N183)</f>
        <v>0</v>
      </c>
      <c r="O184" s="63">
        <f>COUNT(O183:O183)</f>
        <v>0</v>
      </c>
      <c r="P184" s="63">
        <f>COUNT(P183:P183)</f>
        <v>0</v>
      </c>
      <c r="Q184" s="63">
        <f>COUNT(Q183:Q183)</f>
        <v>0</v>
      </c>
      <c r="R184" s="63">
        <f>COUNT(R183:R183)</f>
        <v>0</v>
      </c>
      <c r="S184" s="63">
        <f>COUNT(S183:S183)</f>
        <v>0</v>
      </c>
      <c r="T184" s="63"/>
      <c r="U184" s="10"/>
      <c r="V184" s="90"/>
      <c r="W184" s="91"/>
      <c r="X184" s="92"/>
      <c r="Y184" s="2"/>
    </row>
    <row r="185" spans="1:25">
      <c r="B185" s="87"/>
      <c r="C185" s="36"/>
      <c r="D185" s="10"/>
      <c r="E185" s="10"/>
      <c r="F185" s="88"/>
      <c r="G185" s="88"/>
      <c r="H185" s="88"/>
      <c r="I185" s="99"/>
      <c r="J185" s="63"/>
      <c r="K185" s="21">
        <f>SUM(K183:K183)</f>
        <v>0</v>
      </c>
      <c r="L185" s="21">
        <f>SUM(L183:L183)</f>
        <v>0</v>
      </c>
      <c r="M185" s="21">
        <f>SUM(M183:M183)</f>
        <v>0</v>
      </c>
      <c r="N185" s="21">
        <f>SUM(N183:N183)</f>
        <v>0</v>
      </c>
      <c r="O185" s="21">
        <f>SUM(O183:O183)</f>
        <v>0</v>
      </c>
      <c r="P185" s="21">
        <f>SUM(P183:P183)</f>
        <v>0</v>
      </c>
      <c r="Q185" s="21">
        <f>SUM(Q183:Q183)</f>
        <v>0</v>
      </c>
      <c r="R185" s="21">
        <f>SUM(R183:R183)</f>
        <v>0</v>
      </c>
      <c r="S185" s="21">
        <f>SUM(S183:S183)</f>
        <v>0</v>
      </c>
      <c r="T185" s="63"/>
      <c r="U185" s="10"/>
      <c r="V185" s="90"/>
      <c r="W185" s="91"/>
      <c r="X185" s="92"/>
      <c r="Y185" s="2"/>
    </row>
    <row r="186" spans="1:25">
      <c r="B186" s="11"/>
      <c r="C186" s="36"/>
      <c r="D186" s="10"/>
      <c r="E186" s="10"/>
      <c r="F186" s="88"/>
      <c r="G186" s="88"/>
      <c r="H186" s="88"/>
      <c r="I186" s="99"/>
      <c r="J186" s="63"/>
      <c r="K186" s="21"/>
      <c r="L186" s="21"/>
      <c r="M186" s="21"/>
      <c r="N186" s="21"/>
      <c r="O186" s="21"/>
      <c r="P186" s="21"/>
      <c r="Q186" s="21"/>
      <c r="R186" s="21"/>
      <c r="S186" s="21"/>
      <c r="T186" s="63"/>
      <c r="U186" s="94"/>
      <c r="V186" s="90"/>
      <c r="W186" s="91"/>
      <c r="X186" s="92"/>
      <c r="Y186" s="2"/>
    </row>
    <row r="187" spans="1:25">
      <c r="A187" s="181"/>
      <c r="B187" s="100" t="s">
        <v>152</v>
      </c>
      <c r="C187" s="36"/>
      <c r="D187" s="10"/>
      <c r="E187" s="181"/>
      <c r="F187" s="88"/>
      <c r="G187" s="88"/>
      <c r="H187" s="88"/>
      <c r="I187" s="99"/>
      <c r="J187" s="63"/>
      <c r="K187" s="21"/>
      <c r="L187" s="21"/>
      <c r="M187" s="21"/>
      <c r="N187" s="21"/>
      <c r="O187" s="21"/>
      <c r="P187" s="21"/>
      <c r="Q187" s="21"/>
      <c r="R187" s="21"/>
      <c r="S187" s="21"/>
      <c r="T187" s="63"/>
      <c r="U187" s="94"/>
      <c r="V187" s="90"/>
      <c r="W187" s="91"/>
      <c r="X187" s="92"/>
    </row>
    <row r="188" spans="1:25">
      <c r="A188" s="181"/>
      <c r="B188" s="87">
        <v>1</v>
      </c>
      <c r="C188" s="262">
        <v>45855</v>
      </c>
      <c r="D188" s="263" t="s">
        <v>2297</v>
      </c>
      <c r="E188" s="271" t="s">
        <v>155</v>
      </c>
      <c r="F188" s="265">
        <v>11352.6</v>
      </c>
      <c r="G188" s="265">
        <f>+(67.77+822.67)+1000</f>
        <v>1890.44</v>
      </c>
      <c r="H188" s="265"/>
      <c r="I188" s="272">
        <f>F188-G188-H188</f>
        <v>9462.16</v>
      </c>
      <c r="J188" s="267" t="s">
        <v>1386</v>
      </c>
      <c r="K188" s="267">
        <v>1</v>
      </c>
      <c r="L188" s="267">
        <v>1</v>
      </c>
      <c r="M188" s="267">
        <v>1</v>
      </c>
      <c r="N188" s="314">
        <v>0</v>
      </c>
      <c r="O188" s="314">
        <v>0</v>
      </c>
      <c r="P188" s="314">
        <v>0</v>
      </c>
      <c r="Q188" s="314">
        <v>0</v>
      </c>
      <c r="R188" s="314">
        <v>0</v>
      </c>
      <c r="S188" s="366">
        <v>0</v>
      </c>
      <c r="T188" s="63"/>
      <c r="U188" s="94" t="s">
        <v>2300</v>
      </c>
      <c r="V188" s="90"/>
      <c r="W188" s="136"/>
      <c r="X188" s="137"/>
    </row>
    <row r="189" spans="1:25">
      <c r="A189" s="181"/>
      <c r="B189" s="11"/>
      <c r="C189" s="36"/>
      <c r="D189" s="10"/>
      <c r="E189" s="10"/>
      <c r="F189" s="97">
        <f>SUM(F188:F188)</f>
        <v>11352.6</v>
      </c>
      <c r="G189" s="97">
        <f>SUM(G188:G188)</f>
        <v>1890.44</v>
      </c>
      <c r="H189" s="97">
        <f>SUM(H188:H188)</f>
        <v>0</v>
      </c>
      <c r="I189" s="98">
        <f>SUM(I188:I188)</f>
        <v>9462.16</v>
      </c>
      <c r="J189" s="63"/>
      <c r="K189" s="21"/>
      <c r="L189" s="21"/>
      <c r="M189" s="21"/>
      <c r="N189" s="21"/>
      <c r="O189" s="21"/>
      <c r="P189" s="21"/>
      <c r="Q189" s="21"/>
      <c r="R189" s="21"/>
      <c r="S189" s="21"/>
      <c r="T189" s="63"/>
      <c r="U189" s="94"/>
      <c r="V189" s="90"/>
      <c r="W189" s="91"/>
      <c r="X189" s="92"/>
    </row>
    <row r="190" spans="1:25">
      <c r="B190" s="26"/>
      <c r="C190" s="140"/>
      <c r="D190" s="141"/>
      <c r="E190" s="141"/>
      <c r="F190" s="141"/>
      <c r="G190" s="141"/>
      <c r="H190" s="141"/>
      <c r="I190" s="141"/>
      <c r="J190" s="141"/>
      <c r="K190" s="142"/>
      <c r="L190" s="142"/>
      <c r="M190" s="142"/>
      <c r="N190" s="142"/>
      <c r="O190" s="142"/>
      <c r="P190" s="142"/>
      <c r="Q190" s="142"/>
      <c r="R190" s="142"/>
      <c r="S190" s="142"/>
      <c r="T190" s="143">
        <f>SUM(T183:T189)</f>
        <v>0</v>
      </c>
      <c r="U190" s="141"/>
      <c r="V190" s="144">
        <f>SUM(V183:V189)</f>
        <v>0</v>
      </c>
      <c r="W190" s="145">
        <f>SUM(W183:W189)</f>
        <v>0</v>
      </c>
      <c r="X190" s="146">
        <f>SUM(X183:X189)</f>
        <v>0</v>
      </c>
      <c r="Y190" s="2"/>
    </row>
    <row r="191" spans="1:25">
      <c r="B191" s="10"/>
      <c r="C191" s="36"/>
      <c r="D191" s="10"/>
      <c r="E191" s="10"/>
      <c r="F191" s="10"/>
      <c r="G191" s="10"/>
      <c r="H191" s="10"/>
      <c r="I191" s="10"/>
      <c r="J191" s="10"/>
      <c r="K191" s="147"/>
      <c r="L191" s="147"/>
      <c r="M191" s="147"/>
      <c r="N191" s="147"/>
      <c r="O191" s="147"/>
      <c r="P191" s="147"/>
      <c r="Q191" s="147"/>
      <c r="R191" s="147"/>
      <c r="S191" s="147"/>
      <c r="T191" s="21"/>
      <c r="U191" s="10"/>
      <c r="V191" s="99"/>
      <c r="W191" s="99"/>
      <c r="X191" s="99"/>
      <c r="Y191" s="2"/>
    </row>
    <row r="193" spans="1:24">
      <c r="A193" s="3"/>
      <c r="B193" s="4" t="s">
        <v>1</v>
      </c>
      <c r="C193" s="5"/>
      <c r="D193" s="6"/>
      <c r="E193" s="6"/>
      <c r="F193" s="7" t="s">
        <v>2</v>
      </c>
      <c r="G193" s="8">
        <v>45893</v>
      </c>
      <c r="H193" s="7"/>
      <c r="I193" s="6"/>
      <c r="J193" s="6"/>
      <c r="K193" s="6"/>
      <c r="L193" s="6"/>
      <c r="M193" s="6"/>
      <c r="N193" s="6"/>
      <c r="O193" s="6"/>
      <c r="P193" s="6"/>
      <c r="Q193" s="6"/>
      <c r="R193" s="6"/>
      <c r="S193" s="6"/>
      <c r="T193" s="6"/>
      <c r="U193" s="9"/>
      <c r="V193" s="10"/>
      <c r="W193" s="10"/>
      <c r="X193" s="10"/>
    </row>
    <row r="194" spans="1:24">
      <c r="A194" s="2"/>
      <c r="B194" s="11"/>
      <c r="C194" s="10"/>
      <c r="D194" s="10"/>
      <c r="E194" s="10"/>
      <c r="F194" s="10"/>
      <c r="G194" s="7"/>
      <c r="H194" s="12"/>
      <c r="I194" s="10"/>
      <c r="J194" s="10"/>
      <c r="K194" s="13" t="s">
        <v>3</v>
      </c>
      <c r="L194" s="14"/>
      <c r="M194" s="15"/>
      <c r="N194" s="13" t="s">
        <v>4</v>
      </c>
      <c r="O194" s="14"/>
      <c r="P194" s="15"/>
      <c r="Q194" s="13" t="s">
        <v>5</v>
      </c>
      <c r="R194" s="14"/>
      <c r="S194" s="15"/>
      <c r="T194" s="16"/>
      <c r="U194" s="17"/>
      <c r="V194" s="10"/>
      <c r="W194" s="10"/>
      <c r="X194" s="10"/>
    </row>
    <row r="195" spans="1:24">
      <c r="A195" s="2"/>
      <c r="B195" s="18" t="s">
        <v>6</v>
      </c>
      <c r="C195" s="19">
        <f>C196+C197</f>
        <v>0</v>
      </c>
      <c r="D195" s="10"/>
      <c r="E195" s="18" t="s">
        <v>7</v>
      </c>
      <c r="F195" s="6"/>
      <c r="G195" s="9"/>
      <c r="H195" s="10"/>
      <c r="I195" s="10"/>
      <c r="J195" s="10"/>
      <c r="K195" s="20" t="s">
        <v>8</v>
      </c>
      <c r="L195" s="21" t="s">
        <v>9</v>
      </c>
      <c r="M195" s="21" t="s">
        <v>10</v>
      </c>
      <c r="N195" s="20" t="s">
        <v>11</v>
      </c>
      <c r="O195" s="21" t="s">
        <v>12</v>
      </c>
      <c r="P195" s="22" t="s">
        <v>13</v>
      </c>
      <c r="Q195" s="21" t="s">
        <v>11</v>
      </c>
      <c r="R195" s="21" t="s">
        <v>12</v>
      </c>
      <c r="S195" s="22" t="s">
        <v>13</v>
      </c>
      <c r="T195" s="23" t="s">
        <v>14</v>
      </c>
      <c r="U195" s="17"/>
      <c r="V195" s="10"/>
      <c r="W195" s="10"/>
      <c r="X195" s="10"/>
    </row>
    <row r="196" spans="1:24">
      <c r="A196" s="2"/>
      <c r="B196" s="24" t="s">
        <v>15</v>
      </c>
      <c r="C196" s="25">
        <f>P203</f>
        <v>0</v>
      </c>
      <c r="D196" s="10"/>
      <c r="E196" s="26" t="s">
        <v>16</v>
      </c>
      <c r="F196" s="27">
        <v>0.05</v>
      </c>
      <c r="G196" s="28"/>
      <c r="H196" s="10"/>
      <c r="I196" s="10"/>
      <c r="J196" s="18" t="s">
        <v>17</v>
      </c>
      <c r="K196" s="29">
        <f>K222</f>
        <v>0</v>
      </c>
      <c r="L196" s="29">
        <f t="shared" ref="L196:S196" si="51">L222</f>
        <v>0</v>
      </c>
      <c r="M196" s="29">
        <f t="shared" si="51"/>
        <v>0</v>
      </c>
      <c r="N196" s="29">
        <f t="shared" si="51"/>
        <v>0</v>
      </c>
      <c r="O196" s="29">
        <f t="shared" si="51"/>
        <v>0</v>
      </c>
      <c r="P196" s="29">
        <f t="shared" si="51"/>
        <v>0</v>
      </c>
      <c r="Q196" s="29">
        <f t="shared" si="51"/>
        <v>0</v>
      </c>
      <c r="R196" s="29">
        <f t="shared" si="51"/>
        <v>0</v>
      </c>
      <c r="S196" s="29">
        <f t="shared" si="51"/>
        <v>0</v>
      </c>
      <c r="T196" s="30">
        <f>T227</f>
        <v>0</v>
      </c>
      <c r="U196" s="17"/>
      <c r="V196" s="10"/>
      <c r="W196" s="10"/>
      <c r="X196" s="10"/>
    </row>
    <row r="197" spans="1:24">
      <c r="A197" s="2"/>
      <c r="B197" s="24" t="s">
        <v>18</v>
      </c>
      <c r="C197" s="25">
        <f>P204</f>
        <v>0</v>
      </c>
      <c r="D197" s="10"/>
      <c r="E197" s="10"/>
      <c r="F197" s="10"/>
      <c r="G197" s="31"/>
      <c r="H197" s="10"/>
      <c r="I197" s="10"/>
      <c r="J197" s="32" t="s">
        <v>19</v>
      </c>
      <c r="K197" s="33" t="e">
        <f>K222/K221</f>
        <v>#DIV/0!</v>
      </c>
      <c r="L197" s="33" t="e">
        <f t="shared" ref="L197:S197" si="52">L222/L221</f>
        <v>#DIV/0!</v>
      </c>
      <c r="M197" s="33" t="e">
        <f t="shared" si="52"/>
        <v>#DIV/0!</v>
      </c>
      <c r="N197" s="33" t="e">
        <f t="shared" si="52"/>
        <v>#DIV/0!</v>
      </c>
      <c r="O197" s="33" t="e">
        <f t="shared" si="52"/>
        <v>#DIV/0!</v>
      </c>
      <c r="P197" s="33" t="e">
        <f t="shared" si="52"/>
        <v>#DIV/0!</v>
      </c>
      <c r="Q197" s="33" t="e">
        <f t="shared" si="52"/>
        <v>#DIV/0!</v>
      </c>
      <c r="R197" s="33" t="e">
        <f t="shared" si="52"/>
        <v>#DIV/0!</v>
      </c>
      <c r="S197" s="33" t="e">
        <f t="shared" si="52"/>
        <v>#DIV/0!</v>
      </c>
      <c r="T197" s="23"/>
      <c r="U197" s="17" t="s">
        <v>20</v>
      </c>
      <c r="V197" s="10"/>
      <c r="W197" s="10"/>
      <c r="X197" s="10"/>
    </row>
    <row r="198" spans="1:24">
      <c r="A198" s="2"/>
      <c r="B198" s="24" t="s">
        <v>21</v>
      </c>
      <c r="C198" s="34" t="e">
        <f>P205</f>
        <v>#DIV/0!</v>
      </c>
      <c r="D198" s="10"/>
      <c r="E198" s="10"/>
      <c r="F198" s="10"/>
      <c r="G198" s="10"/>
      <c r="H198" s="10"/>
      <c r="I198" s="10"/>
      <c r="J198" s="10"/>
      <c r="K198" s="10"/>
      <c r="L198" s="10"/>
      <c r="M198" s="10"/>
      <c r="N198" s="10"/>
      <c r="O198" s="10"/>
      <c r="P198" s="10"/>
      <c r="Q198" s="10"/>
      <c r="R198" s="10"/>
      <c r="S198" s="10"/>
      <c r="T198" s="10"/>
      <c r="U198" s="17"/>
      <c r="V198" s="10"/>
      <c r="W198" s="10"/>
      <c r="X198" s="10"/>
    </row>
    <row r="199" spans="1:24">
      <c r="A199" s="2"/>
      <c r="B199" s="24"/>
      <c r="C199" s="25"/>
      <c r="D199" s="10"/>
      <c r="E199" s="10"/>
      <c r="F199" s="18" t="s">
        <v>22</v>
      </c>
      <c r="G199" s="19" t="s">
        <v>23</v>
      </c>
      <c r="H199" s="35" t="s">
        <v>24</v>
      </c>
      <c r="I199" s="10"/>
      <c r="J199" s="10"/>
      <c r="K199" s="36"/>
      <c r="L199" s="36"/>
      <c r="M199" s="36"/>
      <c r="N199" s="36"/>
      <c r="O199" s="36"/>
      <c r="P199" s="36"/>
      <c r="Q199" s="36"/>
      <c r="R199" s="10"/>
      <c r="S199" s="10"/>
      <c r="T199" s="10"/>
      <c r="U199" s="17"/>
      <c r="V199" s="10"/>
      <c r="W199" s="10"/>
      <c r="X199" s="10"/>
    </row>
    <row r="200" spans="1:24">
      <c r="A200" s="2"/>
      <c r="B200" s="32" t="s">
        <v>25</v>
      </c>
      <c r="C200" s="37" t="e">
        <f>P206</f>
        <v>#DIV/0!</v>
      </c>
      <c r="D200" s="10"/>
      <c r="E200" s="18" t="s">
        <v>26</v>
      </c>
      <c r="F200" s="38">
        <f>P202</f>
        <v>0</v>
      </c>
      <c r="G200" s="39">
        <f>I221</f>
        <v>0</v>
      </c>
      <c r="H200" s="40"/>
      <c r="I200" s="41"/>
      <c r="J200" s="42"/>
      <c r="K200" s="43" t="s">
        <v>27</v>
      </c>
      <c r="L200" s="44"/>
      <c r="M200" s="44"/>
      <c r="N200" s="44"/>
      <c r="O200" s="44"/>
      <c r="P200" s="44"/>
      <c r="Q200" s="45"/>
      <c r="R200" s="46" t="s">
        <v>28</v>
      </c>
      <c r="S200" s="47" t="s">
        <v>29</v>
      </c>
      <c r="T200" s="10"/>
      <c r="U200" s="17"/>
      <c r="V200" s="10"/>
      <c r="W200" s="10"/>
      <c r="X200" s="10"/>
    </row>
    <row r="201" spans="1:24">
      <c r="A201" s="2"/>
      <c r="B201" s="11"/>
      <c r="C201" s="10"/>
      <c r="D201" s="10"/>
      <c r="E201" s="24" t="s">
        <v>30</v>
      </c>
      <c r="F201" s="48">
        <f>F196</f>
        <v>0.05</v>
      </c>
      <c r="G201" s="17"/>
      <c r="H201" s="40"/>
      <c r="I201" s="41"/>
      <c r="J201" s="42"/>
      <c r="K201" s="20" t="s">
        <v>31</v>
      </c>
      <c r="L201" s="21" t="s">
        <v>32</v>
      </c>
      <c r="M201" s="21" t="s">
        <v>33</v>
      </c>
      <c r="N201" s="21" t="s">
        <v>34</v>
      </c>
      <c r="O201" s="21" t="s">
        <v>35</v>
      </c>
      <c r="P201" s="21" t="s">
        <v>36</v>
      </c>
      <c r="Q201" s="49" t="s">
        <v>37</v>
      </c>
      <c r="R201" s="50" t="s">
        <v>38</v>
      </c>
      <c r="S201" s="50" t="s">
        <v>38</v>
      </c>
      <c r="T201" s="10"/>
      <c r="U201" s="17"/>
      <c r="V201" s="10"/>
      <c r="W201" s="10"/>
      <c r="X201" s="10"/>
    </row>
    <row r="202" spans="1:24">
      <c r="A202" s="2"/>
      <c r="B202" s="11"/>
      <c r="C202" s="10"/>
      <c r="D202" s="10"/>
      <c r="E202" s="51" t="s">
        <v>39</v>
      </c>
      <c r="F202" s="52">
        <f>F200*F201</f>
        <v>0</v>
      </c>
      <c r="G202" s="53" t="s">
        <v>40</v>
      </c>
      <c r="H202" s="54">
        <f>F202/1.12</f>
        <v>0</v>
      </c>
      <c r="I202" s="55"/>
      <c r="J202" s="42"/>
      <c r="K202" s="56"/>
      <c r="L202" s="57"/>
      <c r="M202" s="57"/>
      <c r="N202" s="57"/>
      <c r="O202" s="57"/>
      <c r="P202" s="57">
        <f>SUM(K202:O202)</f>
        <v>0</v>
      </c>
      <c r="Q202" s="58">
        <v>0</v>
      </c>
      <c r="R202" s="59">
        <v>0</v>
      </c>
      <c r="S202" s="59">
        <v>0</v>
      </c>
      <c r="T202" s="10"/>
      <c r="U202" s="17"/>
      <c r="V202" s="10"/>
      <c r="W202" s="10"/>
      <c r="X202" s="10"/>
    </row>
    <row r="203" spans="1:24">
      <c r="A203" s="2"/>
      <c r="B203" s="11"/>
      <c r="C203" s="10"/>
      <c r="D203" s="10"/>
      <c r="E203" s="24" t="s">
        <v>41</v>
      </c>
      <c r="F203" s="60">
        <f>Q202</f>
        <v>0</v>
      </c>
      <c r="G203" s="61" t="s">
        <v>40</v>
      </c>
      <c r="H203" s="62"/>
      <c r="I203" s="62"/>
      <c r="J203" s="10" t="s">
        <v>42</v>
      </c>
      <c r="K203" s="63"/>
      <c r="L203" s="63"/>
      <c r="M203" s="63"/>
      <c r="N203" s="63"/>
      <c r="O203" s="63"/>
      <c r="P203" s="21">
        <f>SUM(K203:O203)</f>
        <v>0</v>
      </c>
      <c r="Q203" s="64"/>
      <c r="R203" s="63"/>
      <c r="S203" s="10"/>
      <c r="T203" s="10"/>
      <c r="U203" s="17"/>
      <c r="V203" s="10"/>
      <c r="W203" s="10"/>
      <c r="X203" s="10"/>
    </row>
    <row r="204" spans="1:24">
      <c r="A204" s="2"/>
      <c r="B204" s="11"/>
      <c r="C204" s="10"/>
      <c r="D204" s="10"/>
      <c r="E204" s="51" t="s">
        <v>43</v>
      </c>
      <c r="F204" s="52">
        <f>F203*0.25</f>
        <v>0</v>
      </c>
      <c r="G204" s="53" t="s">
        <v>40</v>
      </c>
      <c r="H204" s="54">
        <f>F204/1.12</f>
        <v>0</v>
      </c>
      <c r="I204" s="10"/>
      <c r="J204" s="10" t="s">
        <v>44</v>
      </c>
      <c r="K204" s="63"/>
      <c r="L204" s="63"/>
      <c r="M204" s="63"/>
      <c r="N204" s="63"/>
      <c r="O204" s="63"/>
      <c r="P204" s="21">
        <f>SUM(K204:O204)</f>
        <v>0</v>
      </c>
      <c r="Q204" s="64"/>
      <c r="R204" s="63"/>
      <c r="S204" s="10"/>
      <c r="T204" s="10"/>
      <c r="U204" s="17"/>
      <c r="V204" s="10"/>
      <c r="W204" s="10"/>
      <c r="X204" s="10"/>
    </row>
    <row r="205" spans="1:24">
      <c r="A205" s="2"/>
      <c r="B205" s="11"/>
      <c r="C205" s="10"/>
      <c r="D205" s="10"/>
      <c r="E205" s="24" t="s">
        <v>45</v>
      </c>
      <c r="F205" s="60"/>
      <c r="G205" s="61" t="s">
        <v>40</v>
      </c>
      <c r="H205" s="62"/>
      <c r="I205" s="10"/>
      <c r="J205" s="10" t="s">
        <v>46</v>
      </c>
      <c r="K205" s="31" t="e">
        <f t="shared" ref="K205:Q205" si="53">K203/(K203+K204)</f>
        <v>#DIV/0!</v>
      </c>
      <c r="L205" s="31" t="e">
        <f t="shared" si="53"/>
        <v>#DIV/0!</v>
      </c>
      <c r="M205" s="31" t="e">
        <f t="shared" si="53"/>
        <v>#DIV/0!</v>
      </c>
      <c r="N205" s="31" t="e">
        <f t="shared" si="53"/>
        <v>#DIV/0!</v>
      </c>
      <c r="O205" s="31" t="e">
        <f t="shared" si="53"/>
        <v>#DIV/0!</v>
      </c>
      <c r="P205" s="31" t="e">
        <f t="shared" si="53"/>
        <v>#DIV/0!</v>
      </c>
      <c r="Q205" s="31" t="e">
        <f t="shared" si="53"/>
        <v>#DIV/0!</v>
      </c>
      <c r="R205" s="63"/>
      <c r="S205" s="10"/>
      <c r="T205" s="10"/>
      <c r="U205" s="17"/>
      <c r="V205" s="10"/>
      <c r="W205" s="10"/>
      <c r="X205" s="10"/>
    </row>
    <row r="206" spans="1:24">
      <c r="A206" s="2"/>
      <c r="B206" s="11"/>
      <c r="C206" s="10"/>
      <c r="D206" s="10"/>
      <c r="E206" s="51" t="s">
        <v>47</v>
      </c>
      <c r="F206" s="52">
        <f>F205*0.05</f>
        <v>0</v>
      </c>
      <c r="G206" s="65" t="s">
        <v>40</v>
      </c>
      <c r="H206" s="54">
        <f>F206/1.12</f>
        <v>0</v>
      </c>
      <c r="I206" s="42"/>
      <c r="J206" s="10" t="s">
        <v>48</v>
      </c>
      <c r="K206" s="66" t="e">
        <f>K202/K203</f>
        <v>#DIV/0!</v>
      </c>
      <c r="L206" s="66" t="e">
        <f t="shared" ref="L206:Q206" si="54">L202/L203</f>
        <v>#DIV/0!</v>
      </c>
      <c r="M206" s="66" t="e">
        <f t="shared" si="54"/>
        <v>#DIV/0!</v>
      </c>
      <c r="N206" s="66" t="e">
        <f t="shared" si="54"/>
        <v>#DIV/0!</v>
      </c>
      <c r="O206" s="66" t="e">
        <f t="shared" si="54"/>
        <v>#DIV/0!</v>
      </c>
      <c r="P206" s="66" t="e">
        <f t="shared" si="54"/>
        <v>#DIV/0!</v>
      </c>
      <c r="Q206" s="66" t="e">
        <f t="shared" si="54"/>
        <v>#DIV/0!</v>
      </c>
      <c r="R206" s="63"/>
      <c r="S206" s="10"/>
      <c r="T206" s="10"/>
      <c r="U206" s="17"/>
      <c r="V206" s="10"/>
      <c r="W206" s="10"/>
      <c r="X206" s="10"/>
    </row>
    <row r="207" spans="1:24">
      <c r="A207" s="2"/>
      <c r="B207" s="11"/>
      <c r="C207" s="10"/>
      <c r="D207" s="10"/>
      <c r="E207" s="67" t="s">
        <v>14</v>
      </c>
      <c r="F207" s="68"/>
      <c r="G207" s="10"/>
      <c r="H207" s="54">
        <f>F207/1.12</f>
        <v>0</v>
      </c>
      <c r="I207" s="10"/>
      <c r="J207" s="10"/>
      <c r="K207" s="10"/>
      <c r="L207" s="10"/>
      <c r="M207" s="10"/>
      <c r="N207" s="10"/>
      <c r="O207" s="10"/>
      <c r="P207" s="10"/>
      <c r="Q207" s="10"/>
      <c r="R207" s="10"/>
      <c r="S207" s="10"/>
      <c r="T207" s="10"/>
      <c r="U207" s="17"/>
      <c r="V207" s="10"/>
      <c r="W207" s="10"/>
      <c r="X207" s="10"/>
    </row>
    <row r="208" spans="1:24">
      <c r="A208" s="2"/>
      <c r="B208" s="11"/>
      <c r="C208" s="10"/>
      <c r="D208" s="10"/>
      <c r="E208" s="155" t="s">
        <v>49</v>
      </c>
      <c r="F208" s="364">
        <f>T197</f>
        <v>0</v>
      </c>
      <c r="G208" s="10"/>
      <c r="H208" s="54"/>
      <c r="I208" s="55"/>
      <c r="J208" s="42"/>
      <c r="K208" s="764" t="s">
        <v>50</v>
      </c>
      <c r="L208" s="765"/>
      <c r="M208" s="765"/>
      <c r="N208" s="765"/>
      <c r="O208" s="765"/>
      <c r="P208" s="765"/>
      <c r="Q208" s="766"/>
      <c r="R208" s="70" t="s">
        <v>28</v>
      </c>
      <c r="S208" s="71" t="s">
        <v>29</v>
      </c>
      <c r="T208" s="10"/>
      <c r="U208" s="17"/>
      <c r="V208" s="10"/>
      <c r="W208" s="10"/>
      <c r="X208" s="10"/>
    </row>
    <row r="209" spans="1:24">
      <c r="A209" s="2"/>
      <c r="B209" s="11"/>
      <c r="C209" s="10"/>
      <c r="D209" s="10"/>
      <c r="E209" s="12"/>
      <c r="F209" s="76"/>
      <c r="G209" s="10"/>
      <c r="H209" s="10"/>
      <c r="I209" s="10"/>
      <c r="J209" s="42"/>
      <c r="K209" s="20" t="s">
        <v>31</v>
      </c>
      <c r="L209" s="21" t="s">
        <v>32</v>
      </c>
      <c r="M209" s="21" t="s">
        <v>33</v>
      </c>
      <c r="N209" s="21" t="s">
        <v>34</v>
      </c>
      <c r="O209" s="21" t="s">
        <v>35</v>
      </c>
      <c r="P209" s="21" t="s">
        <v>36</v>
      </c>
      <c r="Q209" s="49" t="s">
        <v>37</v>
      </c>
      <c r="R209" s="50" t="s">
        <v>38</v>
      </c>
      <c r="S209" s="50" t="s">
        <v>38</v>
      </c>
      <c r="T209" s="10"/>
      <c r="U209" s="17"/>
      <c r="V209" s="10"/>
      <c r="W209" s="10"/>
      <c r="X209" s="10"/>
    </row>
    <row r="210" spans="1:24">
      <c r="A210" s="2"/>
      <c r="B210" s="11"/>
      <c r="C210" s="10"/>
      <c r="D210" s="10"/>
      <c r="E210" s="12"/>
      <c r="F210" s="76"/>
      <c r="G210" s="10"/>
      <c r="H210" s="10"/>
      <c r="I210" s="10"/>
      <c r="J210" s="42"/>
      <c r="K210" s="56"/>
      <c r="L210" s="57"/>
      <c r="M210" s="57"/>
      <c r="N210" s="57"/>
      <c r="O210" s="57"/>
      <c r="P210" s="57">
        <f>SUM(K210:O210)</f>
        <v>0</v>
      </c>
      <c r="Q210" s="58">
        <v>0</v>
      </c>
      <c r="R210" s="59">
        <v>0</v>
      </c>
      <c r="S210" s="59">
        <v>0</v>
      </c>
      <c r="T210" s="10"/>
      <c r="U210" s="17"/>
      <c r="V210" s="10"/>
      <c r="W210" s="10"/>
      <c r="X210" s="10"/>
    </row>
    <row r="211" spans="1:24">
      <c r="A211" s="2"/>
      <c r="B211" s="11"/>
      <c r="C211" s="10"/>
      <c r="D211" s="10"/>
      <c r="E211" s="12"/>
      <c r="F211" s="76"/>
      <c r="G211" s="10"/>
      <c r="H211" s="10"/>
      <c r="I211" s="10"/>
      <c r="J211" s="10" t="s">
        <v>42</v>
      </c>
      <c r="K211" s="63">
        <f>K203</f>
        <v>0</v>
      </c>
      <c r="L211" s="63">
        <f t="shared" ref="L211:Q212" si="55">L203</f>
        <v>0</v>
      </c>
      <c r="M211" s="63">
        <f t="shared" si="55"/>
        <v>0</v>
      </c>
      <c r="N211" s="63">
        <f t="shared" si="55"/>
        <v>0</v>
      </c>
      <c r="O211" s="63">
        <f t="shared" si="55"/>
        <v>0</v>
      </c>
      <c r="P211" s="63">
        <f t="shared" si="55"/>
        <v>0</v>
      </c>
      <c r="Q211" s="63">
        <f t="shared" si="55"/>
        <v>0</v>
      </c>
      <c r="R211" s="63"/>
      <c r="S211" s="10"/>
      <c r="T211" s="10"/>
      <c r="U211" s="17"/>
      <c r="V211" s="10"/>
      <c r="W211" s="10"/>
      <c r="X211" s="10"/>
    </row>
    <row r="212" spans="1:24">
      <c r="A212" s="2"/>
      <c r="B212" s="11"/>
      <c r="C212" s="10"/>
      <c r="D212" s="10"/>
      <c r="E212" s="12"/>
      <c r="F212" s="76"/>
      <c r="G212" s="10"/>
      <c r="H212" s="10"/>
      <c r="I212" s="10"/>
      <c r="J212" s="10" t="s">
        <v>44</v>
      </c>
      <c r="K212" s="63">
        <f>K204</f>
        <v>0</v>
      </c>
      <c r="L212" s="63">
        <f t="shared" si="55"/>
        <v>0</v>
      </c>
      <c r="M212" s="63">
        <f t="shared" si="55"/>
        <v>0</v>
      </c>
      <c r="N212" s="63">
        <f t="shared" si="55"/>
        <v>0</v>
      </c>
      <c r="O212" s="63">
        <f t="shared" si="55"/>
        <v>0</v>
      </c>
      <c r="P212" s="63">
        <f t="shared" si="55"/>
        <v>0</v>
      </c>
      <c r="Q212" s="63">
        <f t="shared" si="55"/>
        <v>0</v>
      </c>
      <c r="R212" s="63"/>
      <c r="S212" s="10"/>
      <c r="T212" s="10"/>
      <c r="U212" s="17"/>
      <c r="V212" s="10"/>
      <c r="W212" s="10"/>
      <c r="X212" s="10"/>
    </row>
    <row r="213" spans="1:24">
      <c r="A213" s="2"/>
      <c r="B213" s="11"/>
      <c r="C213" s="10"/>
      <c r="D213" s="10"/>
      <c r="E213" s="12"/>
      <c r="F213" s="76"/>
      <c r="G213" s="10"/>
      <c r="H213" s="10"/>
      <c r="I213" s="10"/>
      <c r="J213" s="10" t="s">
        <v>46</v>
      </c>
      <c r="K213" s="31" t="e">
        <f t="shared" ref="K213:Q213" si="56">K211/(K211+K212)</f>
        <v>#DIV/0!</v>
      </c>
      <c r="L213" s="31" t="e">
        <f t="shared" si="56"/>
        <v>#DIV/0!</v>
      </c>
      <c r="M213" s="31" t="e">
        <f t="shared" si="56"/>
        <v>#DIV/0!</v>
      </c>
      <c r="N213" s="31" t="e">
        <f t="shared" si="56"/>
        <v>#DIV/0!</v>
      </c>
      <c r="O213" s="31" t="e">
        <f t="shared" si="56"/>
        <v>#DIV/0!</v>
      </c>
      <c r="P213" s="31" t="e">
        <f t="shared" si="56"/>
        <v>#DIV/0!</v>
      </c>
      <c r="Q213" s="31" t="e">
        <f t="shared" si="56"/>
        <v>#DIV/0!</v>
      </c>
      <c r="R213" s="63"/>
      <c r="S213" s="10"/>
      <c r="T213" s="10"/>
      <c r="U213" s="17"/>
      <c r="V213" s="10"/>
      <c r="W213" s="10"/>
      <c r="X213" s="10"/>
    </row>
    <row r="214" spans="1:24">
      <c r="A214" s="2"/>
      <c r="B214" s="11"/>
      <c r="C214" s="10"/>
      <c r="D214" s="10"/>
      <c r="E214" s="12"/>
      <c r="F214" s="76"/>
      <c r="G214" s="10"/>
      <c r="H214" s="10"/>
      <c r="I214" s="10"/>
      <c r="J214" s="10" t="s">
        <v>48</v>
      </c>
      <c r="K214" s="66" t="e">
        <f t="shared" ref="K214:Q214" si="57">K210/K211</f>
        <v>#DIV/0!</v>
      </c>
      <c r="L214" s="66" t="e">
        <f t="shared" si="57"/>
        <v>#DIV/0!</v>
      </c>
      <c r="M214" s="66" t="e">
        <f t="shared" si="57"/>
        <v>#DIV/0!</v>
      </c>
      <c r="N214" s="66" t="e">
        <f t="shared" si="57"/>
        <v>#DIV/0!</v>
      </c>
      <c r="O214" s="66" t="e">
        <f t="shared" si="57"/>
        <v>#DIV/0!</v>
      </c>
      <c r="P214" s="66" t="e">
        <f t="shared" si="57"/>
        <v>#DIV/0!</v>
      </c>
      <c r="Q214" s="66" t="e">
        <f t="shared" si="57"/>
        <v>#DIV/0!</v>
      </c>
      <c r="R214" s="63"/>
      <c r="S214" s="10"/>
      <c r="T214" s="10"/>
      <c r="U214" s="17"/>
      <c r="V214" s="10"/>
      <c r="W214" s="10"/>
      <c r="X214" s="10"/>
    </row>
    <row r="215" spans="1:24">
      <c r="A215" s="2"/>
      <c r="B215" s="11"/>
      <c r="C215" s="10"/>
      <c r="D215" s="10"/>
      <c r="E215" s="12"/>
      <c r="F215" s="76"/>
      <c r="G215" s="10"/>
      <c r="H215" s="10"/>
      <c r="I215" s="10"/>
      <c r="J215" s="10"/>
      <c r="K215" s="10"/>
      <c r="L215" s="10"/>
      <c r="M215" s="10"/>
      <c r="N215" s="10"/>
      <c r="O215" s="10"/>
      <c r="P215" s="10"/>
      <c r="Q215" s="10"/>
      <c r="R215" s="10"/>
      <c r="S215" s="10"/>
      <c r="T215" s="10"/>
      <c r="U215" s="17"/>
      <c r="V215" s="10"/>
      <c r="W215" s="10"/>
      <c r="X215" s="10"/>
    </row>
    <row r="216" spans="1:24">
      <c r="A216" s="2"/>
      <c r="B216" s="11"/>
      <c r="C216" s="10"/>
      <c r="D216" s="10"/>
      <c r="E216" s="10"/>
      <c r="F216" s="10"/>
      <c r="G216" s="10"/>
      <c r="H216" s="10"/>
      <c r="I216" s="10"/>
      <c r="J216" s="10"/>
      <c r="K216" s="10"/>
      <c r="L216" s="10"/>
      <c r="M216" s="10"/>
      <c r="N216" s="10"/>
      <c r="O216" s="10"/>
      <c r="P216" s="10"/>
      <c r="Q216" s="10"/>
      <c r="R216" s="10"/>
      <c r="S216" s="10"/>
      <c r="T216" s="10"/>
      <c r="U216" s="17"/>
      <c r="V216" s="10"/>
      <c r="W216" s="10"/>
      <c r="X216" s="10"/>
    </row>
    <row r="217" spans="1:24">
      <c r="A217" s="2"/>
      <c r="B217" s="18" t="s">
        <v>51</v>
      </c>
      <c r="C217" s="14"/>
      <c r="D217" s="14"/>
      <c r="E217" s="14"/>
      <c r="F217" s="13" t="s">
        <v>52</v>
      </c>
      <c r="G217" s="14"/>
      <c r="H217" s="14"/>
      <c r="I217" s="14"/>
      <c r="J217" s="14"/>
      <c r="K217" s="13" t="s">
        <v>3</v>
      </c>
      <c r="L217" s="14"/>
      <c r="M217" s="14"/>
      <c r="N217" s="13" t="s">
        <v>4</v>
      </c>
      <c r="O217" s="14"/>
      <c r="P217" s="14"/>
      <c r="Q217" s="13" t="s">
        <v>5</v>
      </c>
      <c r="R217" s="14"/>
      <c r="S217" s="14"/>
      <c r="T217" s="18"/>
      <c r="U217" s="16" t="s">
        <v>53</v>
      </c>
      <c r="V217" s="77"/>
      <c r="W217" s="77"/>
      <c r="X217" s="77"/>
    </row>
    <row r="218" spans="1:24">
      <c r="A218" s="2"/>
      <c r="B218" s="24" t="s">
        <v>54</v>
      </c>
      <c r="C218" s="21" t="s">
        <v>55</v>
      </c>
      <c r="D218" s="21" t="s">
        <v>56</v>
      </c>
      <c r="E218" s="21" t="s">
        <v>57</v>
      </c>
      <c r="F218" s="20" t="s">
        <v>58</v>
      </c>
      <c r="G218" s="21" t="s">
        <v>59</v>
      </c>
      <c r="H218" s="21" t="s">
        <v>60</v>
      </c>
      <c r="I218" s="21" t="s">
        <v>26</v>
      </c>
      <c r="J218" s="22" t="s">
        <v>61</v>
      </c>
      <c r="K218" s="21" t="s">
        <v>8</v>
      </c>
      <c r="L218" s="21" t="s">
        <v>9</v>
      </c>
      <c r="M218" s="21" t="s">
        <v>10</v>
      </c>
      <c r="N218" s="20" t="s">
        <v>11</v>
      </c>
      <c r="O218" s="21" t="s">
        <v>12</v>
      </c>
      <c r="P218" s="22" t="s">
        <v>13</v>
      </c>
      <c r="Q218" s="21" t="s">
        <v>11</v>
      </c>
      <c r="R218" s="21" t="s">
        <v>12</v>
      </c>
      <c r="S218" s="21" t="s">
        <v>13</v>
      </c>
      <c r="T218" s="78" t="s">
        <v>14</v>
      </c>
      <c r="U218" s="30"/>
      <c r="V218" s="79" t="s">
        <v>62</v>
      </c>
      <c r="W218" s="80" t="s">
        <v>63</v>
      </c>
      <c r="X218" s="81" t="s">
        <v>64</v>
      </c>
    </row>
    <row r="219" spans="1:24">
      <c r="A219" s="2"/>
      <c r="B219" s="4" t="s">
        <v>65</v>
      </c>
      <c r="C219" s="6"/>
      <c r="D219" s="6"/>
      <c r="E219" s="6"/>
      <c r="F219" s="6"/>
      <c r="G219" s="6"/>
      <c r="H219" s="6"/>
      <c r="I219" s="82"/>
      <c r="J219" s="6"/>
      <c r="K219" s="6"/>
      <c r="L219" s="6"/>
      <c r="M219" s="6"/>
      <c r="N219" s="6"/>
      <c r="O219" s="6"/>
      <c r="P219" s="6"/>
      <c r="Q219" s="6"/>
      <c r="R219" s="6"/>
      <c r="S219" s="6"/>
      <c r="T219" s="83"/>
      <c r="U219" s="6"/>
      <c r="V219" s="84"/>
      <c r="W219" s="85"/>
      <c r="X219" s="86"/>
    </row>
    <row r="220" spans="1:24">
      <c r="A220" s="2"/>
      <c r="B220" s="87">
        <v>1</v>
      </c>
      <c r="C220" s="262"/>
      <c r="D220" s="271"/>
      <c r="E220" s="271"/>
      <c r="F220" s="265"/>
      <c r="G220" s="265"/>
      <c r="H220" s="365"/>
      <c r="I220" s="272">
        <f t="shared" ref="I220" si="58">F220-G220-H220</f>
        <v>0</v>
      </c>
      <c r="J220" s="267"/>
      <c r="K220" s="267"/>
      <c r="L220" s="267"/>
      <c r="M220" s="267"/>
      <c r="N220" s="267"/>
      <c r="O220" s="267"/>
      <c r="P220" s="267"/>
      <c r="Q220" s="267"/>
      <c r="R220" s="267"/>
      <c r="S220" s="269"/>
      <c r="T220" s="63"/>
      <c r="U220" s="10"/>
      <c r="V220" s="90"/>
      <c r="W220" s="91"/>
      <c r="X220" s="92"/>
    </row>
    <row r="221" spans="1:24">
      <c r="A221" s="2"/>
      <c r="B221" s="87"/>
      <c r="C221" s="36"/>
      <c r="D221" s="10"/>
      <c r="E221" s="10"/>
      <c r="F221" s="97">
        <f>SUM(F220:F220)</f>
        <v>0</v>
      </c>
      <c r="G221" s="97">
        <f>SUM(G220:G220)</f>
        <v>0</v>
      </c>
      <c r="H221" s="97">
        <f>SUM(H220:H220)</f>
        <v>0</v>
      </c>
      <c r="I221" s="98">
        <f>SUM(I220:I220)</f>
        <v>0</v>
      </c>
      <c r="J221" s="63"/>
      <c r="K221" s="63">
        <f>COUNT(K220:K220)</f>
        <v>0</v>
      </c>
      <c r="L221" s="63">
        <f>COUNT(L220:L220)</f>
        <v>0</v>
      </c>
      <c r="M221" s="63">
        <f>COUNT(M220:M220)</f>
        <v>0</v>
      </c>
      <c r="N221" s="63">
        <f>COUNT(N220:N220)</f>
        <v>0</v>
      </c>
      <c r="O221" s="63">
        <f>COUNT(O220:O220)</f>
        <v>0</v>
      </c>
      <c r="P221" s="63">
        <f>COUNT(P220:P220)</f>
        <v>0</v>
      </c>
      <c r="Q221" s="63">
        <f>COUNT(Q220:Q220)</f>
        <v>0</v>
      </c>
      <c r="R221" s="63">
        <f>COUNT(R220:R220)</f>
        <v>0</v>
      </c>
      <c r="S221" s="63">
        <f>COUNT(S220:S220)</f>
        <v>0</v>
      </c>
      <c r="T221" s="63"/>
      <c r="U221" s="10"/>
      <c r="V221" s="90"/>
      <c r="W221" s="91"/>
      <c r="X221" s="92"/>
    </row>
    <row r="222" spans="1:24">
      <c r="A222" s="2"/>
      <c r="B222" s="87"/>
      <c r="C222" s="36"/>
      <c r="D222" s="10"/>
      <c r="E222" s="10"/>
      <c r="F222" s="88"/>
      <c r="G222" s="88"/>
      <c r="H222" s="88"/>
      <c r="I222" s="99"/>
      <c r="J222" s="63"/>
      <c r="K222" s="21">
        <f>SUM(K220:K220)</f>
        <v>0</v>
      </c>
      <c r="L222" s="21">
        <f>SUM(L220:L220)</f>
        <v>0</v>
      </c>
      <c r="M222" s="21">
        <f>SUM(M220:M220)</f>
        <v>0</v>
      </c>
      <c r="N222" s="21">
        <f>SUM(N220:N220)</f>
        <v>0</v>
      </c>
      <c r="O222" s="21">
        <f>SUM(O220:O220)</f>
        <v>0</v>
      </c>
      <c r="P222" s="21">
        <f>SUM(P220:P220)</f>
        <v>0</v>
      </c>
      <c r="Q222" s="21">
        <f>SUM(Q220:Q220)</f>
        <v>0</v>
      </c>
      <c r="R222" s="21">
        <f>SUM(R220:R220)</f>
        <v>0</v>
      </c>
      <c r="S222" s="21">
        <f>SUM(S220:S220)</f>
        <v>0</v>
      </c>
      <c r="T222" s="63"/>
      <c r="U222" s="10"/>
      <c r="V222" s="90"/>
      <c r="W222" s="91"/>
      <c r="X222" s="92"/>
    </row>
    <row r="223" spans="1:24">
      <c r="A223" s="2"/>
      <c r="B223" s="11"/>
      <c r="C223" s="36"/>
      <c r="D223" s="10"/>
      <c r="E223" s="10"/>
      <c r="F223" s="88"/>
      <c r="G223" s="88"/>
      <c r="H223" s="88"/>
      <c r="I223" s="99"/>
      <c r="J223" s="63"/>
      <c r="K223" s="21"/>
      <c r="L223" s="21"/>
      <c r="M223" s="21"/>
      <c r="N223" s="21"/>
      <c r="O223" s="21"/>
      <c r="P223" s="21"/>
      <c r="Q223" s="21"/>
      <c r="R223" s="21"/>
      <c r="S223" s="21"/>
      <c r="T223" s="63"/>
      <c r="U223" s="10"/>
      <c r="V223" s="90"/>
      <c r="W223" s="91"/>
      <c r="X223" s="92"/>
    </row>
    <row r="224" spans="1:24">
      <c r="A224" s="181"/>
      <c r="B224" s="100" t="s">
        <v>152</v>
      </c>
      <c r="C224" s="36"/>
      <c r="D224" s="10"/>
      <c r="E224" s="181"/>
      <c r="F224" s="88"/>
      <c r="G224" s="88"/>
      <c r="H224" s="88"/>
      <c r="I224" s="99"/>
      <c r="J224" s="63"/>
      <c r="K224" s="21"/>
      <c r="L224" s="21"/>
      <c r="M224" s="21"/>
      <c r="N224" s="21"/>
      <c r="O224" s="21"/>
      <c r="P224" s="21"/>
      <c r="Q224" s="21"/>
      <c r="R224" s="21"/>
      <c r="S224" s="21"/>
      <c r="T224" s="63"/>
      <c r="U224" s="94"/>
      <c r="V224" s="90"/>
      <c r="W224" s="91"/>
      <c r="X224" s="92"/>
    </row>
    <row r="225" spans="1:24">
      <c r="A225" s="181"/>
      <c r="B225" s="87">
        <v>1</v>
      </c>
      <c r="C225" s="262">
        <v>45855</v>
      </c>
      <c r="D225" s="263" t="s">
        <v>2297</v>
      </c>
      <c r="E225" s="271" t="s">
        <v>155</v>
      </c>
      <c r="F225" s="265">
        <v>11352.6</v>
      </c>
      <c r="G225" s="265">
        <f>+(67.77+822.67+125.32+56.2+32.52+326.48+98.57+60.28+1546.9)+1000</f>
        <v>4136.71</v>
      </c>
      <c r="H225" s="265"/>
      <c r="I225" s="272">
        <f>F225-G225-H225</f>
        <v>7215.89</v>
      </c>
      <c r="J225" s="267" t="s">
        <v>1386</v>
      </c>
      <c r="K225" s="267">
        <v>1</v>
      </c>
      <c r="L225" s="267">
        <v>1</v>
      </c>
      <c r="M225" s="267">
        <v>1</v>
      </c>
      <c r="N225" s="314">
        <v>0</v>
      </c>
      <c r="O225" s="314">
        <v>0</v>
      </c>
      <c r="P225" s="314">
        <v>0</v>
      </c>
      <c r="Q225" s="314">
        <v>0</v>
      </c>
      <c r="R225" s="314">
        <v>0</v>
      </c>
      <c r="S225" s="366">
        <v>0</v>
      </c>
      <c r="T225" s="63"/>
      <c r="U225" s="94" t="s">
        <v>2300</v>
      </c>
      <c r="V225" s="90"/>
      <c r="W225" s="136"/>
      <c r="X225" s="137"/>
    </row>
    <row r="226" spans="1:24">
      <c r="A226" s="181"/>
      <c r="B226" s="11"/>
      <c r="C226" s="36"/>
      <c r="D226" s="10"/>
      <c r="E226" s="10"/>
      <c r="F226" s="97">
        <f>SUM(F225:F225)</f>
        <v>11352.6</v>
      </c>
      <c r="G226" s="97">
        <f>SUM(G225:G225)</f>
        <v>4136.71</v>
      </c>
      <c r="H226" s="97">
        <f>SUM(H225:H225)</f>
        <v>0</v>
      </c>
      <c r="I226" s="98">
        <f>SUM(I225:I225)</f>
        <v>7215.89</v>
      </c>
      <c r="J226" s="63"/>
      <c r="K226" s="21"/>
      <c r="L226" s="21"/>
      <c r="M226" s="21"/>
      <c r="N226" s="21"/>
      <c r="O226" s="21"/>
      <c r="P226" s="21"/>
      <c r="Q226" s="21"/>
      <c r="R226" s="21"/>
      <c r="S226" s="21"/>
      <c r="T226" s="63"/>
      <c r="U226" s="94"/>
      <c r="V226" s="90"/>
      <c r="W226" s="91"/>
      <c r="X226" s="92"/>
    </row>
    <row r="227" spans="1:24">
      <c r="A227" s="2"/>
      <c r="B227" s="26"/>
      <c r="C227" s="140"/>
      <c r="D227" s="141"/>
      <c r="E227" s="141"/>
      <c r="F227" s="141"/>
      <c r="G227" s="141"/>
      <c r="H227" s="141"/>
      <c r="I227" s="141"/>
      <c r="J227" s="141"/>
      <c r="K227" s="142"/>
      <c r="L227" s="142"/>
      <c r="M227" s="142"/>
      <c r="N227" s="142"/>
      <c r="O227" s="142"/>
      <c r="P227" s="142"/>
      <c r="Q227" s="142"/>
      <c r="R227" s="142"/>
      <c r="S227" s="142"/>
      <c r="T227" s="143">
        <f>SUM(T220:T226)</f>
        <v>0</v>
      </c>
      <c r="U227" s="141"/>
      <c r="V227" s="144">
        <f>SUM(V220:V226)</f>
        <v>0</v>
      </c>
      <c r="W227" s="145">
        <f>SUM(W220:W226)</f>
        <v>0</v>
      </c>
      <c r="X227" s="146">
        <f>SUM(X220:X226)</f>
        <v>0</v>
      </c>
    </row>
    <row r="230" spans="1:24">
      <c r="A230" s="3"/>
      <c r="B230" s="4" t="s">
        <v>1</v>
      </c>
      <c r="C230" s="5"/>
      <c r="D230" s="6"/>
      <c r="E230" s="6"/>
      <c r="F230" s="7" t="s">
        <v>2</v>
      </c>
      <c r="G230" s="590">
        <v>45900</v>
      </c>
      <c r="H230" s="7"/>
      <c r="I230" s="6"/>
      <c r="J230" s="6"/>
      <c r="K230" s="6"/>
      <c r="L230" s="6"/>
      <c r="M230" s="6"/>
      <c r="N230" s="6"/>
      <c r="O230" s="6"/>
      <c r="P230" s="6"/>
      <c r="Q230" s="6"/>
      <c r="R230" s="6"/>
      <c r="S230" s="6"/>
      <c r="T230" s="6"/>
      <c r="U230" s="9"/>
      <c r="V230" s="10"/>
      <c r="W230" s="10"/>
      <c r="X230" s="10"/>
    </row>
    <row r="231" spans="1:24">
      <c r="A231" s="2"/>
      <c r="B231" s="11"/>
      <c r="C231" s="10"/>
      <c r="D231" s="10"/>
      <c r="E231" s="10"/>
      <c r="F231" s="10"/>
      <c r="G231" s="7"/>
      <c r="H231" s="12"/>
      <c r="I231" s="10"/>
      <c r="J231" s="10"/>
      <c r="K231" s="13" t="s">
        <v>3</v>
      </c>
      <c r="L231" s="14"/>
      <c r="M231" s="15"/>
      <c r="N231" s="13" t="s">
        <v>4</v>
      </c>
      <c r="O231" s="14"/>
      <c r="P231" s="15"/>
      <c r="Q231" s="13" t="s">
        <v>5</v>
      </c>
      <c r="R231" s="14"/>
      <c r="S231" s="15"/>
      <c r="T231" s="16"/>
      <c r="U231" s="17"/>
      <c r="V231" s="10"/>
      <c r="W231" s="10"/>
      <c r="X231" s="10"/>
    </row>
    <row r="232" spans="1:24">
      <c r="A232" s="2"/>
      <c r="B232" s="18" t="s">
        <v>6</v>
      </c>
      <c r="C232" s="19">
        <f>C233+C234</f>
        <v>1</v>
      </c>
      <c r="D232" s="10"/>
      <c r="E232" s="18" t="s">
        <v>7</v>
      </c>
      <c r="F232" s="6"/>
      <c r="G232" s="9"/>
      <c r="H232" s="10"/>
      <c r="I232" s="10"/>
      <c r="J232" s="10"/>
      <c r="K232" s="20" t="s">
        <v>8</v>
      </c>
      <c r="L232" s="21" t="s">
        <v>9</v>
      </c>
      <c r="M232" s="21" t="s">
        <v>10</v>
      </c>
      <c r="N232" s="20" t="s">
        <v>11</v>
      </c>
      <c r="O232" s="21" t="s">
        <v>12</v>
      </c>
      <c r="P232" s="22" t="s">
        <v>13</v>
      </c>
      <c r="Q232" s="21" t="s">
        <v>11</v>
      </c>
      <c r="R232" s="21" t="s">
        <v>12</v>
      </c>
      <c r="S232" s="22" t="s">
        <v>13</v>
      </c>
      <c r="T232" s="23" t="s">
        <v>14</v>
      </c>
      <c r="U232" s="17"/>
      <c r="V232" s="10"/>
      <c r="W232" s="10"/>
      <c r="X232" s="10"/>
    </row>
    <row r="233" spans="1:24">
      <c r="A233" s="2"/>
      <c r="B233" s="24" t="s">
        <v>15</v>
      </c>
      <c r="C233" s="25">
        <f>P240</f>
        <v>1</v>
      </c>
      <c r="D233" s="10"/>
      <c r="E233" s="26" t="s">
        <v>16</v>
      </c>
      <c r="F233" s="27">
        <v>0.05</v>
      </c>
      <c r="G233" s="28"/>
      <c r="H233" s="10"/>
      <c r="I233" s="10"/>
      <c r="J233" s="18" t="s">
        <v>17</v>
      </c>
      <c r="K233" s="29">
        <f>K259</f>
        <v>1</v>
      </c>
      <c r="L233" s="29">
        <f t="shared" ref="L233:S233" si="59">L259</f>
        <v>1</v>
      </c>
      <c r="M233" s="29">
        <f t="shared" si="59"/>
        <v>1</v>
      </c>
      <c r="N233" s="29">
        <f t="shared" si="59"/>
        <v>1</v>
      </c>
      <c r="O233" s="29">
        <f t="shared" si="59"/>
        <v>1</v>
      </c>
      <c r="P233" s="29">
        <f t="shared" si="59"/>
        <v>1</v>
      </c>
      <c r="Q233" s="29">
        <f t="shared" si="59"/>
        <v>1</v>
      </c>
      <c r="R233" s="29">
        <f t="shared" si="59"/>
        <v>1</v>
      </c>
      <c r="S233" s="29">
        <f t="shared" si="59"/>
        <v>1</v>
      </c>
      <c r="T233" s="30">
        <f>T264</f>
        <v>0</v>
      </c>
      <c r="U233" s="17"/>
      <c r="V233" s="10"/>
      <c r="W233" s="10"/>
      <c r="X233" s="10"/>
    </row>
    <row r="234" spans="1:24">
      <c r="A234" s="2"/>
      <c r="B234" s="24" t="s">
        <v>18</v>
      </c>
      <c r="C234" s="25">
        <f>P241</f>
        <v>0</v>
      </c>
      <c r="D234" s="10"/>
      <c r="E234" s="10"/>
      <c r="F234" s="10"/>
      <c r="G234" s="31"/>
      <c r="H234" s="10"/>
      <c r="I234" s="10"/>
      <c r="J234" s="32" t="s">
        <v>19</v>
      </c>
      <c r="K234" s="33">
        <f>K259/K258</f>
        <v>1</v>
      </c>
      <c r="L234" s="33">
        <f t="shared" ref="L234:S234" si="60">L259/L258</f>
        <v>1</v>
      </c>
      <c r="M234" s="33">
        <f t="shared" si="60"/>
        <v>1</v>
      </c>
      <c r="N234" s="33">
        <f t="shared" si="60"/>
        <v>1</v>
      </c>
      <c r="O234" s="33">
        <f t="shared" si="60"/>
        <v>1</v>
      </c>
      <c r="P234" s="33">
        <f t="shared" si="60"/>
        <v>1</v>
      </c>
      <c r="Q234" s="33">
        <f t="shared" si="60"/>
        <v>1</v>
      </c>
      <c r="R234" s="33">
        <f t="shared" si="60"/>
        <v>1</v>
      </c>
      <c r="S234" s="33">
        <f t="shared" si="60"/>
        <v>1</v>
      </c>
      <c r="T234" s="23"/>
      <c r="U234" s="17" t="s">
        <v>20</v>
      </c>
      <c r="V234" s="10"/>
      <c r="W234" s="10"/>
      <c r="X234" s="10"/>
    </row>
    <row r="235" spans="1:24">
      <c r="A235" s="2"/>
      <c r="B235" s="24" t="s">
        <v>21</v>
      </c>
      <c r="C235" s="34">
        <f>P242</f>
        <v>1</v>
      </c>
      <c r="D235" s="10"/>
      <c r="E235" s="10"/>
      <c r="F235" s="10"/>
      <c r="G235" s="10"/>
      <c r="H235" s="10"/>
      <c r="I235" s="10"/>
      <c r="J235" s="10"/>
      <c r="K235" s="10"/>
      <c r="L235" s="10"/>
      <c r="M235" s="10"/>
      <c r="N235" s="10"/>
      <c r="O235" s="10"/>
      <c r="P235" s="10"/>
      <c r="Q235" s="10"/>
      <c r="R235" s="10"/>
      <c r="S235" s="10"/>
      <c r="T235" s="10"/>
      <c r="U235" s="17"/>
      <c r="V235" s="10"/>
      <c r="W235" s="10"/>
      <c r="X235" s="10"/>
    </row>
    <row r="236" spans="1:24">
      <c r="A236" s="2"/>
      <c r="B236" s="24"/>
      <c r="C236" s="25"/>
      <c r="D236" s="10"/>
      <c r="E236" s="10"/>
      <c r="F236" s="18" t="s">
        <v>22</v>
      </c>
      <c r="G236" s="19" t="s">
        <v>23</v>
      </c>
      <c r="H236" s="35" t="s">
        <v>24</v>
      </c>
      <c r="I236" s="10"/>
      <c r="J236" s="10"/>
      <c r="K236" s="36"/>
      <c r="L236" s="36"/>
      <c r="M236" s="36"/>
      <c r="N236" s="36"/>
      <c r="O236" s="36"/>
      <c r="P236" s="36"/>
      <c r="Q236" s="36"/>
      <c r="R236" s="10"/>
      <c r="S236" s="10"/>
      <c r="T236" s="10"/>
      <c r="U236" s="17"/>
      <c r="V236" s="10"/>
      <c r="W236" s="10"/>
      <c r="X236" s="10"/>
    </row>
    <row r="237" spans="1:24" ht="12.75" customHeight="1">
      <c r="A237" s="2"/>
      <c r="B237" s="32" t="s">
        <v>25</v>
      </c>
      <c r="C237" s="37">
        <f>P243</f>
        <v>1042.5999999999999</v>
      </c>
      <c r="D237" s="10"/>
      <c r="E237" s="18" t="s">
        <v>26</v>
      </c>
      <c r="F237" s="38">
        <f>P239</f>
        <v>1042.5999999999999</v>
      </c>
      <c r="G237" s="39">
        <f>I258</f>
        <v>1042.5999999999999</v>
      </c>
      <c r="H237" s="767" t="s">
        <v>2301</v>
      </c>
      <c r="I237" s="767"/>
      <c r="J237" s="767"/>
      <c r="K237" s="43" t="s">
        <v>27</v>
      </c>
      <c r="L237" s="44"/>
      <c r="M237" s="44"/>
      <c r="N237" s="44"/>
      <c r="O237" s="44"/>
      <c r="P237" s="44"/>
      <c r="Q237" s="45"/>
      <c r="R237" s="46" t="s">
        <v>28</v>
      </c>
      <c r="S237" s="47" t="s">
        <v>29</v>
      </c>
      <c r="T237" s="10"/>
      <c r="U237" s="17"/>
      <c r="V237" s="10"/>
      <c r="W237" s="10"/>
      <c r="X237" s="10"/>
    </row>
    <row r="238" spans="1:24">
      <c r="A238" s="2"/>
      <c r="B238" s="11"/>
      <c r="C238" s="10"/>
      <c r="D238" s="10"/>
      <c r="E238" s="24" t="s">
        <v>30</v>
      </c>
      <c r="F238" s="48">
        <f>F233</f>
        <v>0.05</v>
      </c>
      <c r="G238" s="17"/>
      <c r="H238" s="767"/>
      <c r="I238" s="767"/>
      <c r="J238" s="767"/>
      <c r="K238" s="20" t="s">
        <v>31</v>
      </c>
      <c r="L238" s="21" t="s">
        <v>32</v>
      </c>
      <c r="M238" s="21" t="s">
        <v>33</v>
      </c>
      <c r="N238" s="21" t="s">
        <v>34</v>
      </c>
      <c r="O238" s="21" t="s">
        <v>35</v>
      </c>
      <c r="P238" s="21" t="s">
        <v>36</v>
      </c>
      <c r="Q238" s="49" t="s">
        <v>37</v>
      </c>
      <c r="R238" s="50" t="s">
        <v>38</v>
      </c>
      <c r="S238" s="50" t="s">
        <v>38</v>
      </c>
      <c r="T238" s="10"/>
      <c r="U238" s="17"/>
      <c r="V238" s="10"/>
      <c r="W238" s="10"/>
      <c r="X238" s="10"/>
    </row>
    <row r="239" spans="1:24">
      <c r="A239" s="2"/>
      <c r="B239" s="11"/>
      <c r="C239" s="10"/>
      <c r="D239" s="10"/>
      <c r="E239" s="51" t="s">
        <v>39</v>
      </c>
      <c r="F239" s="52">
        <f>F237*F238</f>
        <v>52.129999999999995</v>
      </c>
      <c r="G239" s="53" t="s">
        <v>40</v>
      </c>
      <c r="H239" s="54">
        <f>F239/1.12</f>
        <v>46.544642857142847</v>
      </c>
      <c r="I239" s="570" t="s">
        <v>2302</v>
      </c>
      <c r="J239" s="42"/>
      <c r="K239" s="56">
        <v>0</v>
      </c>
      <c r="L239" s="57">
        <v>0</v>
      </c>
      <c r="M239" s="57">
        <f>I257</f>
        <v>1042.5999999999999</v>
      </c>
      <c r="N239" s="57">
        <v>0</v>
      </c>
      <c r="O239" s="57">
        <v>0</v>
      </c>
      <c r="P239" s="57">
        <f>SUM(K239:O239)</f>
        <v>1042.5999999999999</v>
      </c>
      <c r="Q239" s="58">
        <v>0</v>
      </c>
      <c r="R239" s="59">
        <v>0</v>
      </c>
      <c r="S239" s="59">
        <v>0</v>
      </c>
      <c r="T239" s="10"/>
      <c r="U239" s="17"/>
      <c r="V239" s="10"/>
      <c r="W239" s="10"/>
      <c r="X239" s="10"/>
    </row>
    <row r="240" spans="1:24">
      <c r="A240" s="2"/>
      <c r="B240" s="11"/>
      <c r="C240" s="10"/>
      <c r="D240" s="10"/>
      <c r="E240" s="24" t="s">
        <v>41</v>
      </c>
      <c r="F240" s="60">
        <f>Q239</f>
        <v>0</v>
      </c>
      <c r="G240" s="61" t="s">
        <v>40</v>
      </c>
      <c r="H240" s="62"/>
      <c r="I240" s="62"/>
      <c r="J240" s="10" t="s">
        <v>42</v>
      </c>
      <c r="K240" s="63">
        <v>0</v>
      </c>
      <c r="L240" s="63">
        <v>0</v>
      </c>
      <c r="M240" s="63">
        <v>1</v>
      </c>
      <c r="N240" s="63">
        <v>0</v>
      </c>
      <c r="O240" s="63">
        <v>0</v>
      </c>
      <c r="P240" s="21">
        <f>SUM(K240:O240)</f>
        <v>1</v>
      </c>
      <c r="Q240" s="64"/>
      <c r="R240" s="63"/>
      <c r="S240" s="10"/>
      <c r="T240" s="10"/>
      <c r="U240" s="17"/>
      <c r="V240" s="10"/>
      <c r="W240" s="10"/>
      <c r="X240" s="10"/>
    </row>
    <row r="241" spans="1:24">
      <c r="A241" s="2"/>
      <c r="B241" s="11"/>
      <c r="C241" s="10"/>
      <c r="D241" s="10"/>
      <c r="E241" s="51" t="s">
        <v>43</v>
      </c>
      <c r="F241" s="52">
        <f>F240*0.25</f>
        <v>0</v>
      </c>
      <c r="G241" s="53" t="s">
        <v>40</v>
      </c>
      <c r="H241" s="54">
        <f>F241/1.12</f>
        <v>0</v>
      </c>
      <c r="I241" s="10"/>
      <c r="J241" s="10" t="s">
        <v>44</v>
      </c>
      <c r="K241" s="63">
        <v>0</v>
      </c>
      <c r="L241" s="63">
        <v>0</v>
      </c>
      <c r="M241" s="63">
        <v>0</v>
      </c>
      <c r="N241" s="63">
        <v>0</v>
      </c>
      <c r="O241" s="63">
        <v>0</v>
      </c>
      <c r="P241" s="21">
        <f>SUM(K241:O241)</f>
        <v>0</v>
      </c>
      <c r="Q241" s="64"/>
      <c r="R241" s="63"/>
      <c r="S241" s="10"/>
      <c r="T241" s="10"/>
      <c r="U241" s="17"/>
      <c r="V241" s="10"/>
      <c r="W241" s="10"/>
      <c r="X241" s="10"/>
    </row>
    <row r="242" spans="1:24">
      <c r="A242" s="2"/>
      <c r="B242" s="11"/>
      <c r="C242" s="10"/>
      <c r="D242" s="10"/>
      <c r="E242" s="24" t="s">
        <v>45</v>
      </c>
      <c r="F242" s="60"/>
      <c r="G242" s="61" t="s">
        <v>40</v>
      </c>
      <c r="H242" s="62"/>
      <c r="I242" s="10"/>
      <c r="J242" s="10" t="s">
        <v>46</v>
      </c>
      <c r="K242" s="31" t="e">
        <f t="shared" ref="K242:Q242" si="61">K240/(K240+K241)</f>
        <v>#DIV/0!</v>
      </c>
      <c r="L242" s="31" t="e">
        <f t="shared" si="61"/>
        <v>#DIV/0!</v>
      </c>
      <c r="M242" s="31">
        <f t="shared" si="61"/>
        <v>1</v>
      </c>
      <c r="N242" s="31" t="e">
        <f t="shared" si="61"/>
        <v>#DIV/0!</v>
      </c>
      <c r="O242" s="31" t="e">
        <f t="shared" si="61"/>
        <v>#DIV/0!</v>
      </c>
      <c r="P242" s="31">
        <f t="shared" si="61"/>
        <v>1</v>
      </c>
      <c r="Q242" s="31" t="e">
        <f t="shared" si="61"/>
        <v>#DIV/0!</v>
      </c>
      <c r="R242" s="63"/>
      <c r="S242" s="10"/>
      <c r="T242" s="10"/>
      <c r="U242" s="17"/>
      <c r="V242" s="10"/>
      <c r="W242" s="10"/>
      <c r="X242" s="10"/>
    </row>
    <row r="243" spans="1:24">
      <c r="A243" s="2"/>
      <c r="B243" s="11"/>
      <c r="C243" s="10"/>
      <c r="D243" s="10"/>
      <c r="E243" s="51" t="s">
        <v>47</v>
      </c>
      <c r="F243" s="52">
        <f>F242*0.05</f>
        <v>0</v>
      </c>
      <c r="G243" s="65" t="s">
        <v>40</v>
      </c>
      <c r="H243" s="54">
        <f>F243/1.12</f>
        <v>0</v>
      </c>
      <c r="I243" s="42"/>
      <c r="J243" s="10" t="s">
        <v>48</v>
      </c>
      <c r="K243" s="66" t="e">
        <f>K239/K240</f>
        <v>#DIV/0!</v>
      </c>
      <c r="L243" s="66" t="e">
        <f t="shared" ref="L243:Q243" si="62">L239/L240</f>
        <v>#DIV/0!</v>
      </c>
      <c r="M243" s="66">
        <f t="shared" si="62"/>
        <v>1042.5999999999999</v>
      </c>
      <c r="N243" s="66" t="e">
        <f t="shared" si="62"/>
        <v>#DIV/0!</v>
      </c>
      <c r="O243" s="66" t="e">
        <f t="shared" si="62"/>
        <v>#DIV/0!</v>
      </c>
      <c r="P243" s="66">
        <f t="shared" si="62"/>
        <v>1042.5999999999999</v>
      </c>
      <c r="Q243" s="66" t="e">
        <f t="shared" si="62"/>
        <v>#DIV/0!</v>
      </c>
      <c r="R243" s="63"/>
      <c r="S243" s="10"/>
      <c r="T243" s="10"/>
      <c r="U243" s="17"/>
      <c r="V243" s="10"/>
      <c r="W243" s="10"/>
      <c r="X243" s="10"/>
    </row>
    <row r="244" spans="1:24">
      <c r="A244" s="2"/>
      <c r="B244" s="11"/>
      <c r="C244" s="10"/>
      <c r="D244" s="10"/>
      <c r="E244" s="67" t="s">
        <v>14</v>
      </c>
      <c r="F244" s="68"/>
      <c r="G244" s="10"/>
      <c r="H244" s="54">
        <f>F244/1.12</f>
        <v>0</v>
      </c>
      <c r="I244" s="10"/>
      <c r="J244" s="10"/>
      <c r="K244" s="10"/>
      <c r="L244" s="10"/>
      <c r="M244" s="10"/>
      <c r="N244" s="10"/>
      <c r="O244" s="10"/>
      <c r="P244" s="10"/>
      <c r="Q244" s="10"/>
      <c r="R244" s="10"/>
      <c r="S244" s="10"/>
      <c r="T244" s="10"/>
      <c r="U244" s="17"/>
      <c r="V244" s="10"/>
      <c r="W244" s="10"/>
      <c r="X244" s="10"/>
    </row>
    <row r="245" spans="1:24">
      <c r="A245" s="2"/>
      <c r="B245" s="11"/>
      <c r="C245" s="10"/>
      <c r="D245" s="10"/>
      <c r="E245" s="627" t="s">
        <v>49</v>
      </c>
      <c r="F245" s="628">
        <f>T234</f>
        <v>0</v>
      </c>
      <c r="G245" s="10"/>
      <c r="H245" s="54"/>
      <c r="I245" s="55"/>
      <c r="J245" s="42"/>
      <c r="K245" s="764" t="s">
        <v>50</v>
      </c>
      <c r="L245" s="765"/>
      <c r="M245" s="765"/>
      <c r="N245" s="765"/>
      <c r="O245" s="765"/>
      <c r="P245" s="765"/>
      <c r="Q245" s="766"/>
      <c r="R245" s="70" t="s">
        <v>28</v>
      </c>
      <c r="S245" s="71" t="s">
        <v>29</v>
      </c>
      <c r="T245" s="10"/>
      <c r="U245" s="17"/>
      <c r="V245" s="10"/>
      <c r="W245" s="10"/>
      <c r="X245" s="10"/>
    </row>
    <row r="246" spans="1:24">
      <c r="A246" s="2"/>
      <c r="B246" s="11"/>
      <c r="C246" s="10"/>
      <c r="D246" s="10"/>
      <c r="E246" s="10"/>
      <c r="F246" s="10"/>
      <c r="G246" s="10"/>
      <c r="H246" s="10"/>
      <c r="I246" s="10"/>
      <c r="J246" s="42"/>
      <c r="K246" s="20" t="s">
        <v>31</v>
      </c>
      <c r="L246" s="21" t="s">
        <v>32</v>
      </c>
      <c r="M246" s="21" t="s">
        <v>33</v>
      </c>
      <c r="N246" s="21" t="s">
        <v>34</v>
      </c>
      <c r="O246" s="21" t="s">
        <v>35</v>
      </c>
      <c r="P246" s="21" t="s">
        <v>36</v>
      </c>
      <c r="Q246" s="49" t="s">
        <v>37</v>
      </c>
      <c r="R246" s="50" t="s">
        <v>38</v>
      </c>
      <c r="S246" s="50" t="s">
        <v>38</v>
      </c>
      <c r="T246" s="10"/>
      <c r="U246" s="17"/>
      <c r="V246" s="10"/>
      <c r="W246" s="10"/>
      <c r="X246" s="10"/>
    </row>
    <row r="247" spans="1:24">
      <c r="A247" s="2"/>
      <c r="B247" s="11"/>
      <c r="C247" s="10"/>
      <c r="D247" s="10"/>
      <c r="E247" s="10"/>
      <c r="F247" s="10"/>
      <c r="G247" s="10"/>
      <c r="H247" s="10"/>
      <c r="I247" s="10"/>
      <c r="J247" s="42"/>
      <c r="K247" s="56">
        <v>0</v>
      </c>
      <c r="L247" s="57">
        <v>0</v>
      </c>
      <c r="M247" s="57">
        <f>F257</f>
        <v>1261</v>
      </c>
      <c r="N247" s="57">
        <v>0</v>
      </c>
      <c r="O247" s="57">
        <v>0</v>
      </c>
      <c r="P247" s="57">
        <f>SUM(K247:O247)</f>
        <v>1261</v>
      </c>
      <c r="Q247" s="58">
        <v>0</v>
      </c>
      <c r="R247" s="59">
        <v>0</v>
      </c>
      <c r="S247" s="59">
        <v>0</v>
      </c>
      <c r="T247" s="10"/>
      <c r="U247" s="17"/>
      <c r="V247" s="10"/>
      <c r="W247" s="10"/>
      <c r="X247" s="10"/>
    </row>
    <row r="248" spans="1:24">
      <c r="A248" s="2"/>
      <c r="B248" s="11"/>
      <c r="C248" s="10"/>
      <c r="D248" s="10"/>
      <c r="E248" s="10"/>
      <c r="F248" s="10"/>
      <c r="G248" s="10"/>
      <c r="H248" s="10"/>
      <c r="I248" s="10"/>
      <c r="J248" s="10" t="s">
        <v>42</v>
      </c>
      <c r="K248" s="63">
        <f>K240</f>
        <v>0</v>
      </c>
      <c r="L248" s="63">
        <f t="shared" ref="L248:Q249" si="63">L240</f>
        <v>0</v>
      </c>
      <c r="M248" s="63">
        <f t="shared" si="63"/>
        <v>1</v>
      </c>
      <c r="N248" s="63">
        <f t="shared" si="63"/>
        <v>0</v>
      </c>
      <c r="O248" s="63">
        <f t="shared" si="63"/>
        <v>0</v>
      </c>
      <c r="P248" s="63">
        <f t="shared" si="63"/>
        <v>1</v>
      </c>
      <c r="Q248" s="63">
        <f t="shared" si="63"/>
        <v>0</v>
      </c>
      <c r="R248" s="63"/>
      <c r="S248" s="10"/>
      <c r="T248" s="10"/>
      <c r="U248" s="17"/>
      <c r="V248" s="10"/>
      <c r="W248" s="10"/>
      <c r="X248" s="10"/>
    </row>
    <row r="249" spans="1:24">
      <c r="A249" s="2"/>
      <c r="B249" s="11"/>
      <c r="C249" s="10"/>
      <c r="D249" s="10"/>
      <c r="E249" s="10"/>
      <c r="F249" s="10"/>
      <c r="G249" s="10"/>
      <c r="H249" s="10"/>
      <c r="I249" s="10"/>
      <c r="J249" s="10" t="s">
        <v>44</v>
      </c>
      <c r="K249" s="63">
        <f>K241</f>
        <v>0</v>
      </c>
      <c r="L249" s="63">
        <f t="shared" si="63"/>
        <v>0</v>
      </c>
      <c r="M249" s="63">
        <f t="shared" si="63"/>
        <v>0</v>
      </c>
      <c r="N249" s="63">
        <f t="shared" si="63"/>
        <v>0</v>
      </c>
      <c r="O249" s="63">
        <f t="shared" si="63"/>
        <v>0</v>
      </c>
      <c r="P249" s="63">
        <f t="shared" si="63"/>
        <v>0</v>
      </c>
      <c r="Q249" s="63">
        <f t="shared" si="63"/>
        <v>0</v>
      </c>
      <c r="R249" s="63"/>
      <c r="S249" s="10"/>
      <c r="T249" s="10"/>
      <c r="U249" s="17"/>
      <c r="V249" s="10"/>
      <c r="W249" s="10"/>
      <c r="X249" s="10"/>
    </row>
    <row r="250" spans="1:24">
      <c r="A250" s="2"/>
      <c r="B250" s="11"/>
      <c r="C250" s="10"/>
      <c r="D250" s="10"/>
      <c r="E250" s="12"/>
      <c r="F250" s="76"/>
      <c r="G250" s="10"/>
      <c r="H250" s="10"/>
      <c r="I250" s="10"/>
      <c r="J250" s="10" t="s">
        <v>46</v>
      </c>
      <c r="K250" s="31" t="e">
        <f t="shared" ref="K250:Q250" si="64">K248/(K248+K249)</f>
        <v>#DIV/0!</v>
      </c>
      <c r="L250" s="31" t="e">
        <f t="shared" si="64"/>
        <v>#DIV/0!</v>
      </c>
      <c r="M250" s="31">
        <f t="shared" si="64"/>
        <v>1</v>
      </c>
      <c r="N250" s="31" t="e">
        <f t="shared" si="64"/>
        <v>#DIV/0!</v>
      </c>
      <c r="O250" s="31" t="e">
        <f t="shared" si="64"/>
        <v>#DIV/0!</v>
      </c>
      <c r="P250" s="31">
        <f t="shared" si="64"/>
        <v>1</v>
      </c>
      <c r="Q250" s="31" t="e">
        <f t="shared" si="64"/>
        <v>#DIV/0!</v>
      </c>
      <c r="R250" s="63"/>
      <c r="S250" s="10"/>
      <c r="T250" s="10"/>
      <c r="U250" s="17"/>
      <c r="V250" s="10"/>
      <c r="W250" s="10"/>
      <c r="X250" s="10"/>
    </row>
    <row r="251" spans="1:24">
      <c r="A251" s="2"/>
      <c r="B251" s="11"/>
      <c r="C251" s="10"/>
      <c r="D251" s="10"/>
      <c r="E251" s="10"/>
      <c r="F251" s="10"/>
      <c r="G251" s="10"/>
      <c r="H251" s="10"/>
      <c r="I251" s="10"/>
      <c r="J251" s="10" t="s">
        <v>48</v>
      </c>
      <c r="K251" s="66" t="e">
        <f t="shared" ref="K251:Q251" si="65">K247/K248</f>
        <v>#DIV/0!</v>
      </c>
      <c r="L251" s="66" t="e">
        <f t="shared" si="65"/>
        <v>#DIV/0!</v>
      </c>
      <c r="M251" s="66">
        <f t="shared" si="65"/>
        <v>1261</v>
      </c>
      <c r="N251" s="66" t="e">
        <f t="shared" si="65"/>
        <v>#DIV/0!</v>
      </c>
      <c r="O251" s="66" t="e">
        <f t="shared" si="65"/>
        <v>#DIV/0!</v>
      </c>
      <c r="P251" s="66">
        <f t="shared" si="65"/>
        <v>1261</v>
      </c>
      <c r="Q251" s="66" t="e">
        <f t="shared" si="65"/>
        <v>#DIV/0!</v>
      </c>
      <c r="R251" s="63"/>
      <c r="S251" s="10"/>
      <c r="T251" s="10"/>
      <c r="U251" s="17"/>
      <c r="V251" s="10"/>
      <c r="W251" s="10"/>
      <c r="X251" s="10"/>
    </row>
    <row r="252" spans="1:24">
      <c r="A252" s="2"/>
      <c r="B252" s="11"/>
      <c r="C252" s="10"/>
      <c r="D252" s="10"/>
      <c r="E252" s="10"/>
      <c r="F252" s="10"/>
      <c r="G252" s="10"/>
      <c r="H252" s="10"/>
      <c r="I252" s="10"/>
      <c r="J252" s="10"/>
      <c r="K252" s="10"/>
      <c r="L252" s="10"/>
      <c r="M252" s="10"/>
      <c r="N252" s="10"/>
      <c r="O252" s="10"/>
      <c r="P252" s="10"/>
      <c r="Q252" s="10"/>
      <c r="R252" s="10"/>
      <c r="S252" s="10"/>
      <c r="T252" s="10"/>
      <c r="U252" s="17"/>
      <c r="V252" s="10"/>
      <c r="W252" s="10"/>
      <c r="X252" s="10"/>
    </row>
    <row r="253" spans="1:24">
      <c r="A253" s="2"/>
      <c r="B253" s="11"/>
      <c r="C253" s="10"/>
      <c r="D253" s="10"/>
      <c r="E253" s="10"/>
      <c r="F253" s="10"/>
      <c r="G253" s="10"/>
      <c r="H253" s="10"/>
      <c r="I253" s="10"/>
      <c r="J253" s="10"/>
      <c r="K253" s="10"/>
      <c r="L253" s="10"/>
      <c r="M253" s="10"/>
      <c r="N253" s="10"/>
      <c r="O253" s="10"/>
      <c r="P253" s="10"/>
      <c r="Q253" s="10"/>
      <c r="R253" s="10"/>
      <c r="S253" s="10"/>
      <c r="T253" s="10"/>
      <c r="U253" s="17"/>
      <c r="V253" s="10"/>
      <c r="W253" s="10"/>
      <c r="X253" s="10"/>
    </row>
    <row r="254" spans="1:24">
      <c r="A254" s="2"/>
      <c r="B254" s="18" t="s">
        <v>51</v>
      </c>
      <c r="C254" s="14"/>
      <c r="D254" s="14"/>
      <c r="E254" s="14"/>
      <c r="F254" s="13" t="s">
        <v>52</v>
      </c>
      <c r="G254" s="14"/>
      <c r="H254" s="14"/>
      <c r="I254" s="14"/>
      <c r="J254" s="14"/>
      <c r="K254" s="13" t="s">
        <v>3</v>
      </c>
      <c r="L254" s="14"/>
      <c r="M254" s="14"/>
      <c r="N254" s="13" t="s">
        <v>4</v>
      </c>
      <c r="O254" s="14"/>
      <c r="P254" s="14"/>
      <c r="Q254" s="13" t="s">
        <v>5</v>
      </c>
      <c r="R254" s="14"/>
      <c r="S254" s="14"/>
      <c r="T254" s="18"/>
      <c r="U254" s="16" t="s">
        <v>53</v>
      </c>
      <c r="V254" s="77"/>
      <c r="W254" s="77"/>
      <c r="X254" s="77"/>
    </row>
    <row r="255" spans="1:24">
      <c r="A255" s="2"/>
      <c r="B255" s="24" t="s">
        <v>54</v>
      </c>
      <c r="C255" s="21" t="s">
        <v>55</v>
      </c>
      <c r="D255" s="21" t="s">
        <v>56</v>
      </c>
      <c r="E255" s="21" t="s">
        <v>57</v>
      </c>
      <c r="F255" s="20" t="s">
        <v>58</v>
      </c>
      <c r="G255" s="21" t="s">
        <v>59</v>
      </c>
      <c r="H255" s="21" t="s">
        <v>60</v>
      </c>
      <c r="I255" s="21" t="s">
        <v>26</v>
      </c>
      <c r="J255" s="22" t="s">
        <v>61</v>
      </c>
      <c r="K255" s="21" t="s">
        <v>8</v>
      </c>
      <c r="L255" s="21" t="s">
        <v>9</v>
      </c>
      <c r="M255" s="21" t="s">
        <v>10</v>
      </c>
      <c r="N255" s="20" t="s">
        <v>11</v>
      </c>
      <c r="O255" s="21" t="s">
        <v>12</v>
      </c>
      <c r="P255" s="22" t="s">
        <v>13</v>
      </c>
      <c r="Q255" s="21" t="s">
        <v>11</v>
      </c>
      <c r="R255" s="21" t="s">
        <v>12</v>
      </c>
      <c r="S255" s="21" t="s">
        <v>13</v>
      </c>
      <c r="T255" s="78" t="s">
        <v>14</v>
      </c>
      <c r="U255" s="30"/>
      <c r="V255" s="79" t="s">
        <v>62</v>
      </c>
      <c r="W255" s="80" t="s">
        <v>63</v>
      </c>
      <c r="X255" s="81" t="s">
        <v>64</v>
      </c>
    </row>
    <row r="256" spans="1:24">
      <c r="A256" s="2"/>
      <c r="B256" s="4" t="s">
        <v>65</v>
      </c>
      <c r="C256" s="6"/>
      <c r="D256" s="6"/>
      <c r="E256" s="6"/>
      <c r="F256" s="6"/>
      <c r="G256" s="6"/>
      <c r="H256" s="6"/>
      <c r="I256" s="82"/>
      <c r="J256" s="6"/>
      <c r="K256" s="6"/>
      <c r="L256" s="6"/>
      <c r="M256" s="6"/>
      <c r="N256" s="6"/>
      <c r="O256" s="6"/>
      <c r="P256" s="6"/>
      <c r="Q256" s="6"/>
      <c r="R256" s="6"/>
      <c r="S256" s="6"/>
      <c r="T256" s="83"/>
      <c r="U256" s="6"/>
      <c r="V256" s="84"/>
      <c r="W256" s="85"/>
      <c r="X256" s="86"/>
    </row>
    <row r="257" spans="1:24">
      <c r="A257" s="2"/>
      <c r="B257" s="87">
        <v>1</v>
      </c>
      <c r="C257" s="262">
        <v>45896</v>
      </c>
      <c r="D257" s="357" t="s">
        <v>2303</v>
      </c>
      <c r="E257" s="271" t="s">
        <v>274</v>
      </c>
      <c r="F257" s="265">
        <v>1261</v>
      </c>
      <c r="G257" s="265">
        <f>39.7+(178.7)</f>
        <v>218.39999999999998</v>
      </c>
      <c r="H257" s="365"/>
      <c r="I257" s="272">
        <f t="shared" ref="I257" si="66">F257-G257-H257</f>
        <v>1042.5999999999999</v>
      </c>
      <c r="J257" s="267" t="s">
        <v>156</v>
      </c>
      <c r="K257" s="267">
        <v>1</v>
      </c>
      <c r="L257" s="267">
        <v>1</v>
      </c>
      <c r="M257" s="267">
        <v>1</v>
      </c>
      <c r="N257" s="267">
        <v>1</v>
      </c>
      <c r="O257" s="267">
        <v>1</v>
      </c>
      <c r="P257" s="267">
        <v>1</v>
      </c>
      <c r="Q257" s="267">
        <v>1</v>
      </c>
      <c r="R257" s="267">
        <v>1</v>
      </c>
      <c r="S257" s="269">
        <v>1</v>
      </c>
      <c r="T257" s="63"/>
      <c r="U257" s="10"/>
      <c r="V257" s="90">
        <f>138+1249.1</f>
        <v>1387.1</v>
      </c>
      <c r="W257" s="91"/>
      <c r="X257" s="92"/>
    </row>
    <row r="258" spans="1:24">
      <c r="A258" s="2"/>
      <c r="B258" s="87"/>
      <c r="C258" s="36"/>
      <c r="D258" s="10"/>
      <c r="E258" s="10"/>
      <c r="F258" s="97">
        <f>SUM(F257:F257)</f>
        <v>1261</v>
      </c>
      <c r="G258" s="97">
        <f>SUM(G257:G257)</f>
        <v>218.39999999999998</v>
      </c>
      <c r="H258" s="97">
        <f>SUM(H257:H257)</f>
        <v>0</v>
      </c>
      <c r="I258" s="98">
        <f>SUM(I257:I257)</f>
        <v>1042.5999999999999</v>
      </c>
      <c r="J258" s="63"/>
      <c r="K258" s="63">
        <f>COUNT(K257:K257)</f>
        <v>1</v>
      </c>
      <c r="L258" s="63">
        <f>COUNT(L257:L257)</f>
        <v>1</v>
      </c>
      <c r="M258" s="63">
        <f>COUNT(M257:M257)</f>
        <v>1</v>
      </c>
      <c r="N258" s="63">
        <f>COUNT(N257:N257)</f>
        <v>1</v>
      </c>
      <c r="O258" s="63">
        <f>COUNT(O257:O257)</f>
        <v>1</v>
      </c>
      <c r="P258" s="63">
        <f>COUNT(P257:P257)</f>
        <v>1</v>
      </c>
      <c r="Q258" s="63">
        <f>COUNT(Q257:Q257)</f>
        <v>1</v>
      </c>
      <c r="R258" s="63">
        <f>COUNT(R257:R257)</f>
        <v>1</v>
      </c>
      <c r="S258" s="63">
        <f>COUNT(S257:S257)</f>
        <v>1</v>
      </c>
      <c r="T258" s="63"/>
      <c r="U258" s="10"/>
      <c r="V258" s="90"/>
      <c r="W258" s="91"/>
      <c r="X258" s="92"/>
    </row>
    <row r="259" spans="1:24">
      <c r="A259" s="2"/>
      <c r="B259" s="87"/>
      <c r="C259" s="36"/>
      <c r="D259" s="10"/>
      <c r="E259" s="10"/>
      <c r="F259" s="88"/>
      <c r="G259" s="88"/>
      <c r="H259" s="88"/>
      <c r="I259" s="99"/>
      <c r="J259" s="63"/>
      <c r="K259" s="21">
        <f>SUM(K257:K257)</f>
        <v>1</v>
      </c>
      <c r="L259" s="21">
        <f>SUM(L257:L257)</f>
        <v>1</v>
      </c>
      <c r="M259" s="21">
        <f>SUM(M257:M257)</f>
        <v>1</v>
      </c>
      <c r="N259" s="21">
        <f>SUM(N257:N257)</f>
        <v>1</v>
      </c>
      <c r="O259" s="21">
        <f>SUM(O257:O257)</f>
        <v>1</v>
      </c>
      <c r="P259" s="21">
        <f>SUM(P257:P257)</f>
        <v>1</v>
      </c>
      <c r="Q259" s="21">
        <f>SUM(Q257:Q257)</f>
        <v>1</v>
      </c>
      <c r="R259" s="21">
        <f>SUM(R257:R257)</f>
        <v>1</v>
      </c>
      <c r="S259" s="21">
        <f>SUM(S257:S257)</f>
        <v>1</v>
      </c>
      <c r="T259" s="63"/>
      <c r="U259" s="10"/>
      <c r="V259" s="90"/>
      <c r="W259" s="91"/>
      <c r="X259" s="92"/>
    </row>
    <row r="260" spans="1:24">
      <c r="A260" s="2"/>
      <c r="B260" s="11"/>
      <c r="C260" s="36"/>
      <c r="D260" s="10"/>
      <c r="E260" s="10"/>
      <c r="F260" s="88"/>
      <c r="G260" s="88"/>
      <c r="H260" s="88"/>
      <c r="I260" s="99"/>
      <c r="J260" s="63"/>
      <c r="K260" s="21"/>
      <c r="L260" s="21"/>
      <c r="M260" s="21"/>
      <c r="N260" s="21"/>
      <c r="O260" s="21"/>
      <c r="P260" s="21"/>
      <c r="Q260" s="21"/>
      <c r="R260" s="21"/>
      <c r="S260" s="21"/>
      <c r="T260" s="63"/>
      <c r="U260" s="94"/>
      <c r="V260" s="90"/>
      <c r="W260" s="91"/>
      <c r="X260" s="92"/>
    </row>
    <row r="261" spans="1:24">
      <c r="A261" s="181"/>
      <c r="B261" s="100" t="s">
        <v>152</v>
      </c>
      <c r="C261" s="36"/>
      <c r="D261" s="10"/>
      <c r="E261" s="181"/>
      <c r="F261" s="88"/>
      <c r="G261" s="88"/>
      <c r="H261" s="88"/>
      <c r="I261" s="99"/>
      <c r="J261" s="63"/>
      <c r="K261" s="21"/>
      <c r="L261" s="21"/>
      <c r="M261" s="21"/>
      <c r="N261" s="21"/>
      <c r="O261" s="21"/>
      <c r="P261" s="21"/>
      <c r="Q261" s="21"/>
      <c r="R261" s="21"/>
      <c r="S261" s="21"/>
      <c r="T261" s="63"/>
      <c r="U261" s="94"/>
      <c r="V261" s="90"/>
      <c r="W261" s="91"/>
      <c r="X261" s="92"/>
    </row>
    <row r="262" spans="1:24">
      <c r="A262" s="181"/>
      <c r="B262" s="87">
        <v>1</v>
      </c>
      <c r="C262" s="262">
        <v>45855</v>
      </c>
      <c r="D262" s="263" t="s">
        <v>2297</v>
      </c>
      <c r="E262" s="271" t="s">
        <v>155</v>
      </c>
      <c r="F262" s="265">
        <v>11352.6</v>
      </c>
      <c r="G262" s="265">
        <f>+(67.77+822.67+125.32+56.2+32.52+326.48+98.57+60.28+1546.9)+1000</f>
        <v>4136.71</v>
      </c>
      <c r="H262" s="265"/>
      <c r="I262" s="272">
        <f>F262-G262-H262</f>
        <v>7215.89</v>
      </c>
      <c r="J262" s="267" t="s">
        <v>1386</v>
      </c>
      <c r="K262" s="267">
        <v>1</v>
      </c>
      <c r="L262" s="267">
        <v>1</v>
      </c>
      <c r="M262" s="267">
        <v>1</v>
      </c>
      <c r="N262" s="314">
        <v>0</v>
      </c>
      <c r="O262" s="314">
        <v>0</v>
      </c>
      <c r="P262" s="314">
        <v>0</v>
      </c>
      <c r="Q262" s="314">
        <v>0</v>
      </c>
      <c r="R262" s="314">
        <v>0</v>
      </c>
      <c r="S262" s="366">
        <v>0</v>
      </c>
      <c r="T262" s="63"/>
      <c r="U262" s="94" t="s">
        <v>2300</v>
      </c>
      <c r="V262" s="90"/>
      <c r="W262" s="136"/>
      <c r="X262" s="137"/>
    </row>
    <row r="263" spans="1:24">
      <c r="A263" s="181"/>
      <c r="B263" s="11"/>
      <c r="C263" s="36"/>
      <c r="D263" s="10"/>
      <c r="E263" s="10"/>
      <c r="F263" s="97">
        <f>SUM(F262:F262)</f>
        <v>11352.6</v>
      </c>
      <c r="G263" s="97">
        <f>SUM(G262:G262)</f>
        <v>4136.71</v>
      </c>
      <c r="H263" s="97">
        <f>SUM(H262:H262)</f>
        <v>0</v>
      </c>
      <c r="I263" s="98">
        <f>SUM(I262:I262)</f>
        <v>7215.89</v>
      </c>
      <c r="J263" s="63"/>
      <c r="K263" s="21"/>
      <c r="L263" s="21"/>
      <c r="M263" s="21"/>
      <c r="N263" s="21"/>
      <c r="O263" s="21"/>
      <c r="P263" s="21"/>
      <c r="Q263" s="21"/>
      <c r="R263" s="21"/>
      <c r="S263" s="21"/>
      <c r="T263" s="63"/>
      <c r="U263" s="94"/>
      <c r="V263" s="90"/>
      <c r="W263" s="91"/>
      <c r="X263" s="92"/>
    </row>
    <row r="264" spans="1:24">
      <c r="A264" s="2"/>
      <c r="B264" s="26"/>
      <c r="C264" s="140"/>
      <c r="D264" s="141"/>
      <c r="E264" s="141"/>
      <c r="F264" s="141"/>
      <c r="G264" s="141"/>
      <c r="H264" s="141"/>
      <c r="I264" s="141"/>
      <c r="J264" s="141"/>
      <c r="K264" s="142"/>
      <c r="L264" s="142"/>
      <c r="M264" s="142"/>
      <c r="N264" s="142"/>
      <c r="O264" s="142"/>
      <c r="P264" s="142"/>
      <c r="Q264" s="142"/>
      <c r="R264" s="142"/>
      <c r="S264" s="142"/>
      <c r="T264" s="143">
        <f>SUM(T257:T263)</f>
        <v>0</v>
      </c>
      <c r="U264" s="141"/>
      <c r="V264" s="144">
        <f>SUM(V257:V263)</f>
        <v>1387.1</v>
      </c>
      <c r="W264" s="145">
        <f>SUM(W257:W263)</f>
        <v>0</v>
      </c>
      <c r="X264" s="146">
        <f>SUM(X257:X263)</f>
        <v>0</v>
      </c>
    </row>
    <row r="267" spans="1:24">
      <c r="B267" s="4" t="s">
        <v>1</v>
      </c>
      <c r="C267" s="5"/>
      <c r="D267" s="6"/>
      <c r="E267" s="6"/>
      <c r="F267" s="7" t="s">
        <v>2</v>
      </c>
      <c r="G267" s="8">
        <v>45907</v>
      </c>
      <c r="H267" s="7"/>
      <c r="I267" s="6"/>
      <c r="J267" s="6"/>
      <c r="K267" s="6"/>
      <c r="L267" s="6"/>
      <c r="M267" s="6"/>
      <c r="N267" s="6"/>
      <c r="O267" s="6"/>
      <c r="P267" s="6"/>
      <c r="Q267" s="6"/>
      <c r="R267" s="6"/>
      <c r="S267" s="6"/>
      <c r="T267" s="6"/>
      <c r="U267" s="9"/>
      <c r="V267" s="10"/>
      <c r="W267" s="10"/>
      <c r="X267" s="10"/>
    </row>
    <row r="268" spans="1:24">
      <c r="B268" s="11"/>
      <c r="C268" s="10"/>
      <c r="D268" s="10"/>
      <c r="E268" s="10"/>
      <c r="F268" s="10"/>
      <c r="G268" s="7"/>
      <c r="H268" s="12"/>
      <c r="I268" s="10"/>
      <c r="J268" s="10"/>
      <c r="K268" s="13" t="s">
        <v>3</v>
      </c>
      <c r="L268" s="14"/>
      <c r="M268" s="15"/>
      <c r="N268" s="13" t="s">
        <v>4</v>
      </c>
      <c r="O268" s="14"/>
      <c r="P268" s="15"/>
      <c r="Q268" s="13" t="s">
        <v>5</v>
      </c>
      <c r="R268" s="14"/>
      <c r="S268" s="15"/>
      <c r="T268" s="16"/>
      <c r="U268" s="17"/>
      <c r="V268" s="10"/>
      <c r="W268" s="10"/>
      <c r="X268" s="10"/>
    </row>
    <row r="269" spans="1:24">
      <c r="B269" s="18" t="s">
        <v>6</v>
      </c>
      <c r="C269" s="19">
        <f>C270+C271</f>
        <v>0</v>
      </c>
      <c r="D269" s="10"/>
      <c r="E269" s="18" t="s">
        <v>7</v>
      </c>
      <c r="F269" s="6"/>
      <c r="G269" s="9"/>
      <c r="H269" s="10"/>
      <c r="I269" s="10"/>
      <c r="J269" s="10"/>
      <c r="K269" s="20" t="s">
        <v>8</v>
      </c>
      <c r="L269" s="21" t="s">
        <v>9</v>
      </c>
      <c r="M269" s="21" t="s">
        <v>10</v>
      </c>
      <c r="N269" s="20" t="s">
        <v>11</v>
      </c>
      <c r="O269" s="21" t="s">
        <v>12</v>
      </c>
      <c r="P269" s="22" t="s">
        <v>13</v>
      </c>
      <c r="Q269" s="21" t="s">
        <v>11</v>
      </c>
      <c r="R269" s="21" t="s">
        <v>12</v>
      </c>
      <c r="S269" s="22" t="s">
        <v>13</v>
      </c>
      <c r="T269" s="23" t="s">
        <v>14</v>
      </c>
      <c r="U269" s="17"/>
      <c r="V269" s="10"/>
      <c r="W269" s="10"/>
      <c r="X269" s="10"/>
    </row>
    <row r="270" spans="1:24">
      <c r="B270" s="24" t="s">
        <v>15</v>
      </c>
      <c r="C270" s="25">
        <f>P277</f>
        <v>0</v>
      </c>
      <c r="D270" s="10"/>
      <c r="E270" s="26" t="s">
        <v>16</v>
      </c>
      <c r="F270" s="27">
        <v>0.05</v>
      </c>
      <c r="G270" s="28"/>
      <c r="H270" s="10"/>
      <c r="I270" s="10"/>
      <c r="J270" s="18" t="s">
        <v>17</v>
      </c>
      <c r="K270" s="29">
        <f>K296</f>
        <v>0</v>
      </c>
      <c r="L270" s="29">
        <f t="shared" ref="L270:S270" si="67">L296</f>
        <v>0</v>
      </c>
      <c r="M270" s="29">
        <f t="shared" si="67"/>
        <v>0</v>
      </c>
      <c r="N270" s="29">
        <f t="shared" si="67"/>
        <v>0</v>
      </c>
      <c r="O270" s="29">
        <f t="shared" si="67"/>
        <v>0</v>
      </c>
      <c r="P270" s="29">
        <f t="shared" si="67"/>
        <v>0</v>
      </c>
      <c r="Q270" s="29">
        <f t="shared" si="67"/>
        <v>0</v>
      </c>
      <c r="R270" s="29">
        <f t="shared" si="67"/>
        <v>0</v>
      </c>
      <c r="S270" s="29">
        <f t="shared" si="67"/>
        <v>0</v>
      </c>
      <c r="T270" s="30">
        <f>T301</f>
        <v>0</v>
      </c>
      <c r="U270" s="17"/>
      <c r="V270" s="10"/>
      <c r="W270" s="10"/>
      <c r="X270" s="10"/>
    </row>
    <row r="271" spans="1:24">
      <c r="B271" s="24" t="s">
        <v>18</v>
      </c>
      <c r="C271" s="25">
        <f>P278</f>
        <v>0</v>
      </c>
      <c r="D271" s="10"/>
      <c r="E271" s="10"/>
      <c r="F271" s="10"/>
      <c r="G271" s="31"/>
      <c r="H271" s="10"/>
      <c r="I271" s="10"/>
      <c r="J271" s="32" t="s">
        <v>19</v>
      </c>
      <c r="K271" s="33" t="e">
        <f>K296/K295</f>
        <v>#DIV/0!</v>
      </c>
      <c r="L271" s="33" t="e">
        <f t="shared" ref="L271:S271" si="68">L296/L295</f>
        <v>#DIV/0!</v>
      </c>
      <c r="M271" s="33" t="e">
        <f t="shared" si="68"/>
        <v>#DIV/0!</v>
      </c>
      <c r="N271" s="33" t="e">
        <f t="shared" si="68"/>
        <v>#DIV/0!</v>
      </c>
      <c r="O271" s="33" t="e">
        <f t="shared" si="68"/>
        <v>#DIV/0!</v>
      </c>
      <c r="P271" s="33" t="e">
        <f t="shared" si="68"/>
        <v>#DIV/0!</v>
      </c>
      <c r="Q271" s="33" t="e">
        <f t="shared" si="68"/>
        <v>#DIV/0!</v>
      </c>
      <c r="R271" s="33" t="e">
        <f t="shared" si="68"/>
        <v>#DIV/0!</v>
      </c>
      <c r="S271" s="33" t="e">
        <f t="shared" si="68"/>
        <v>#DIV/0!</v>
      </c>
      <c r="T271" s="23"/>
      <c r="U271" s="17" t="s">
        <v>20</v>
      </c>
      <c r="V271" s="10"/>
      <c r="W271" s="10"/>
      <c r="X271" s="10"/>
    </row>
    <row r="272" spans="1:24">
      <c r="B272" s="24" t="s">
        <v>21</v>
      </c>
      <c r="C272" s="34" t="e">
        <f>P279</f>
        <v>#DIV/0!</v>
      </c>
      <c r="D272" s="10"/>
      <c r="E272" s="10"/>
      <c r="F272" s="10"/>
      <c r="G272" s="10"/>
      <c r="H272" s="10"/>
      <c r="I272" s="10"/>
      <c r="J272" s="10"/>
      <c r="K272" s="10"/>
      <c r="L272" s="10"/>
      <c r="M272" s="10"/>
      <c r="N272" s="10"/>
      <c r="O272" s="10"/>
      <c r="P272" s="10"/>
      <c r="Q272" s="10"/>
      <c r="R272" s="10"/>
      <c r="S272" s="10"/>
      <c r="T272" s="10"/>
      <c r="U272" s="17"/>
      <c r="V272" s="10"/>
      <c r="W272" s="10"/>
      <c r="X272" s="10"/>
    </row>
    <row r="273" spans="2:24">
      <c r="B273" s="24"/>
      <c r="C273" s="25"/>
      <c r="D273" s="10"/>
      <c r="E273" s="10"/>
      <c r="F273" s="18" t="s">
        <v>22</v>
      </c>
      <c r="G273" s="19" t="s">
        <v>23</v>
      </c>
      <c r="H273" s="35" t="s">
        <v>24</v>
      </c>
      <c r="I273" s="10"/>
      <c r="J273" s="10"/>
      <c r="K273" s="36"/>
      <c r="L273" s="36"/>
      <c r="M273" s="36"/>
      <c r="N273" s="36"/>
      <c r="O273" s="36"/>
      <c r="P273" s="36"/>
      <c r="Q273" s="36"/>
      <c r="R273" s="10"/>
      <c r="S273" s="10"/>
      <c r="T273" s="10"/>
      <c r="U273" s="17"/>
      <c r="V273" s="10"/>
      <c r="W273" s="10"/>
      <c r="X273" s="10"/>
    </row>
    <row r="274" spans="2:24">
      <c r="B274" s="32" t="s">
        <v>25</v>
      </c>
      <c r="C274" s="37" t="e">
        <f>P280</f>
        <v>#DIV/0!</v>
      </c>
      <c r="D274" s="10"/>
      <c r="E274" s="18" t="s">
        <v>26</v>
      </c>
      <c r="F274" s="38">
        <f>P276</f>
        <v>0</v>
      </c>
      <c r="G274" s="39">
        <f>I295</f>
        <v>0</v>
      </c>
      <c r="H274" s="40"/>
      <c r="I274" s="41"/>
      <c r="J274" s="42"/>
      <c r="K274" s="43" t="s">
        <v>27</v>
      </c>
      <c r="L274" s="44"/>
      <c r="M274" s="44"/>
      <c r="N274" s="44"/>
      <c r="O274" s="44"/>
      <c r="P274" s="44"/>
      <c r="Q274" s="45"/>
      <c r="R274" s="46" t="s">
        <v>28</v>
      </c>
      <c r="S274" s="47" t="s">
        <v>29</v>
      </c>
      <c r="T274" s="10"/>
      <c r="U274" s="17"/>
      <c r="V274" s="10"/>
      <c r="W274" s="10"/>
      <c r="X274" s="10"/>
    </row>
    <row r="275" spans="2:24">
      <c r="B275" s="11"/>
      <c r="C275" s="10"/>
      <c r="D275" s="10"/>
      <c r="E275" s="24" t="s">
        <v>30</v>
      </c>
      <c r="F275" s="48">
        <f>F270</f>
        <v>0.05</v>
      </c>
      <c r="G275" s="17"/>
      <c r="H275" s="40"/>
      <c r="I275" s="41"/>
      <c r="J275" s="42"/>
      <c r="K275" s="20" t="s">
        <v>31</v>
      </c>
      <c r="L275" s="21" t="s">
        <v>32</v>
      </c>
      <c r="M275" s="21" t="s">
        <v>33</v>
      </c>
      <c r="N275" s="21" t="s">
        <v>34</v>
      </c>
      <c r="O275" s="21" t="s">
        <v>35</v>
      </c>
      <c r="P275" s="21" t="s">
        <v>36</v>
      </c>
      <c r="Q275" s="49" t="s">
        <v>37</v>
      </c>
      <c r="R275" s="50" t="s">
        <v>38</v>
      </c>
      <c r="S275" s="50" t="s">
        <v>38</v>
      </c>
      <c r="T275" s="10"/>
      <c r="U275" s="17"/>
      <c r="V275" s="10"/>
      <c r="W275" s="10"/>
      <c r="X275" s="10"/>
    </row>
    <row r="276" spans="2:24">
      <c r="B276" s="11"/>
      <c r="C276" s="10"/>
      <c r="D276" s="10"/>
      <c r="E276" s="51" t="s">
        <v>39</v>
      </c>
      <c r="F276" s="52">
        <f>F274*F275</f>
        <v>0</v>
      </c>
      <c r="G276" s="53" t="s">
        <v>40</v>
      </c>
      <c r="H276" s="54">
        <f>F276/1.12</f>
        <v>0</v>
      </c>
      <c r="I276" s="55"/>
      <c r="J276" s="42"/>
      <c r="K276" s="56"/>
      <c r="L276" s="57"/>
      <c r="M276" s="57"/>
      <c r="N276" s="57"/>
      <c r="O276" s="57"/>
      <c r="P276" s="57">
        <f>SUM(K276:O276)</f>
        <v>0</v>
      </c>
      <c r="Q276" s="58">
        <v>0</v>
      </c>
      <c r="R276" s="59">
        <v>0</v>
      </c>
      <c r="S276" s="59">
        <v>0</v>
      </c>
      <c r="T276" s="10"/>
      <c r="U276" s="17"/>
      <c r="V276" s="10"/>
      <c r="W276" s="10"/>
      <c r="X276" s="10"/>
    </row>
    <row r="277" spans="2:24">
      <c r="B277" s="11"/>
      <c r="C277" s="10"/>
      <c r="D277" s="10"/>
      <c r="E277" s="24" t="s">
        <v>41</v>
      </c>
      <c r="F277" s="60">
        <f>Q276</f>
        <v>0</v>
      </c>
      <c r="G277" s="61" t="s">
        <v>40</v>
      </c>
      <c r="H277" s="62"/>
      <c r="I277" s="62"/>
      <c r="J277" s="10" t="s">
        <v>42</v>
      </c>
      <c r="K277" s="63"/>
      <c r="L277" s="63"/>
      <c r="M277" s="63"/>
      <c r="N277" s="63"/>
      <c r="O277" s="63"/>
      <c r="P277" s="21">
        <f>SUM(K277:O277)</f>
        <v>0</v>
      </c>
      <c r="Q277" s="64"/>
      <c r="R277" s="63"/>
      <c r="S277" s="10"/>
      <c r="T277" s="10"/>
      <c r="U277" s="17"/>
      <c r="V277" s="10"/>
      <c r="W277" s="10"/>
      <c r="X277" s="10"/>
    </row>
    <row r="278" spans="2:24">
      <c r="B278" s="11"/>
      <c r="C278" s="10"/>
      <c r="D278" s="10"/>
      <c r="E278" s="51" t="s">
        <v>43</v>
      </c>
      <c r="F278" s="52">
        <f>F277*0.25</f>
        <v>0</v>
      </c>
      <c r="G278" s="53" t="s">
        <v>40</v>
      </c>
      <c r="H278" s="54">
        <f>F278/1.12</f>
        <v>0</v>
      </c>
      <c r="I278" s="10"/>
      <c r="J278" s="10" t="s">
        <v>44</v>
      </c>
      <c r="K278" s="63"/>
      <c r="L278" s="63"/>
      <c r="M278" s="63"/>
      <c r="N278" s="63"/>
      <c r="O278" s="63"/>
      <c r="P278" s="21">
        <f>SUM(K278:O278)</f>
        <v>0</v>
      </c>
      <c r="Q278" s="64"/>
      <c r="R278" s="63"/>
      <c r="S278" s="10"/>
      <c r="T278" s="10"/>
      <c r="U278" s="17"/>
      <c r="V278" s="10"/>
      <c r="W278" s="10"/>
      <c r="X278" s="10"/>
    </row>
    <row r="279" spans="2:24">
      <c r="B279" s="11"/>
      <c r="C279" s="10"/>
      <c r="D279" s="10"/>
      <c r="E279" s="24" t="s">
        <v>45</v>
      </c>
      <c r="F279" s="60"/>
      <c r="G279" s="61" t="s">
        <v>40</v>
      </c>
      <c r="H279" s="62"/>
      <c r="I279" s="10"/>
      <c r="J279" s="10" t="s">
        <v>46</v>
      </c>
      <c r="K279" s="31" t="e">
        <f t="shared" ref="K279:Q279" si="69">K277/(K277+K278)</f>
        <v>#DIV/0!</v>
      </c>
      <c r="L279" s="31" t="e">
        <f t="shared" si="69"/>
        <v>#DIV/0!</v>
      </c>
      <c r="M279" s="31" t="e">
        <f t="shared" si="69"/>
        <v>#DIV/0!</v>
      </c>
      <c r="N279" s="31" t="e">
        <f t="shared" si="69"/>
        <v>#DIV/0!</v>
      </c>
      <c r="O279" s="31" t="e">
        <f t="shared" si="69"/>
        <v>#DIV/0!</v>
      </c>
      <c r="P279" s="31" t="e">
        <f t="shared" si="69"/>
        <v>#DIV/0!</v>
      </c>
      <c r="Q279" s="31" t="e">
        <f t="shared" si="69"/>
        <v>#DIV/0!</v>
      </c>
      <c r="R279" s="63"/>
      <c r="S279" s="10"/>
      <c r="T279" s="10"/>
      <c r="U279" s="17"/>
      <c r="V279" s="10"/>
      <c r="W279" s="10"/>
      <c r="X279" s="10"/>
    </row>
    <row r="280" spans="2:24">
      <c r="B280" s="11"/>
      <c r="C280" s="10"/>
      <c r="D280" s="10"/>
      <c r="E280" s="51" t="s">
        <v>47</v>
      </c>
      <c r="F280" s="52">
        <f>F279*0.05</f>
        <v>0</v>
      </c>
      <c r="G280" s="65" t="s">
        <v>40</v>
      </c>
      <c r="H280" s="54">
        <f>F280/1.12</f>
        <v>0</v>
      </c>
      <c r="I280" s="42"/>
      <c r="J280" s="10" t="s">
        <v>48</v>
      </c>
      <c r="K280" s="66" t="e">
        <f>K276/K277</f>
        <v>#DIV/0!</v>
      </c>
      <c r="L280" s="66" t="e">
        <f t="shared" ref="L280:Q280" si="70">L276/L277</f>
        <v>#DIV/0!</v>
      </c>
      <c r="M280" s="66" t="e">
        <f t="shared" si="70"/>
        <v>#DIV/0!</v>
      </c>
      <c r="N280" s="66" t="e">
        <f t="shared" si="70"/>
        <v>#DIV/0!</v>
      </c>
      <c r="O280" s="66" t="e">
        <f t="shared" si="70"/>
        <v>#DIV/0!</v>
      </c>
      <c r="P280" s="66" t="e">
        <f t="shared" si="70"/>
        <v>#DIV/0!</v>
      </c>
      <c r="Q280" s="66" t="e">
        <f t="shared" si="70"/>
        <v>#DIV/0!</v>
      </c>
      <c r="R280" s="63"/>
      <c r="S280" s="10"/>
      <c r="T280" s="10"/>
      <c r="U280" s="17"/>
      <c r="V280" s="10"/>
      <c r="W280" s="10"/>
      <c r="X280" s="10"/>
    </row>
    <row r="281" spans="2:24">
      <c r="B281" s="11"/>
      <c r="C281" s="10"/>
      <c r="D281" s="10"/>
      <c r="E281" s="67" t="s">
        <v>14</v>
      </c>
      <c r="F281" s="68"/>
      <c r="G281" s="10"/>
      <c r="H281" s="54">
        <f>F281/1.12</f>
        <v>0</v>
      </c>
      <c r="I281" s="10"/>
      <c r="J281" s="10"/>
      <c r="K281" s="10"/>
      <c r="L281" s="10"/>
      <c r="M281" s="10"/>
      <c r="N281" s="10"/>
      <c r="O281" s="10"/>
      <c r="P281" s="10"/>
      <c r="Q281" s="10"/>
      <c r="R281" s="10"/>
      <c r="S281" s="10"/>
      <c r="T281" s="10"/>
      <c r="U281" s="17"/>
      <c r="V281" s="10"/>
      <c r="W281" s="10"/>
      <c r="X281" s="10"/>
    </row>
    <row r="282" spans="2:24">
      <c r="B282" s="11"/>
      <c r="C282" s="10"/>
      <c r="D282" s="10"/>
      <c r="E282" s="155" t="s">
        <v>49</v>
      </c>
      <c r="F282" s="364">
        <f>T271</f>
        <v>0</v>
      </c>
      <c r="G282" s="10"/>
      <c r="H282" s="54"/>
      <c r="I282" s="55"/>
      <c r="J282" s="42"/>
      <c r="K282" s="764" t="s">
        <v>50</v>
      </c>
      <c r="L282" s="765"/>
      <c r="M282" s="765"/>
      <c r="N282" s="765"/>
      <c r="O282" s="765"/>
      <c r="P282" s="765"/>
      <c r="Q282" s="766"/>
      <c r="R282" s="70" t="s">
        <v>28</v>
      </c>
      <c r="S282" s="71" t="s">
        <v>29</v>
      </c>
      <c r="T282" s="10"/>
      <c r="U282" s="17"/>
      <c r="V282" s="10"/>
      <c r="W282" s="10"/>
      <c r="X282" s="10"/>
    </row>
    <row r="283" spans="2:24">
      <c r="B283" s="11"/>
      <c r="C283" s="10"/>
      <c r="D283" s="10"/>
      <c r="E283" s="12"/>
      <c r="F283" s="76"/>
      <c r="G283" s="10"/>
      <c r="H283" s="10"/>
      <c r="I283" s="10"/>
      <c r="J283" s="42"/>
      <c r="K283" s="20" t="s">
        <v>31</v>
      </c>
      <c r="L283" s="21" t="s">
        <v>32</v>
      </c>
      <c r="M283" s="21" t="s">
        <v>33</v>
      </c>
      <c r="N283" s="21" t="s">
        <v>34</v>
      </c>
      <c r="O283" s="21" t="s">
        <v>35</v>
      </c>
      <c r="P283" s="21" t="s">
        <v>36</v>
      </c>
      <c r="Q283" s="49" t="s">
        <v>37</v>
      </c>
      <c r="R283" s="50" t="s">
        <v>38</v>
      </c>
      <c r="S283" s="50" t="s">
        <v>38</v>
      </c>
      <c r="T283" s="10"/>
      <c r="U283" s="17"/>
      <c r="V283" s="10"/>
      <c r="W283" s="10"/>
      <c r="X283" s="10"/>
    </row>
    <row r="284" spans="2:24">
      <c r="B284" s="11"/>
      <c r="C284" s="10"/>
      <c r="D284" s="10"/>
      <c r="E284" s="12"/>
      <c r="F284" s="76"/>
      <c r="G284" s="10"/>
      <c r="H284" s="10"/>
      <c r="I284" s="10"/>
      <c r="J284" s="42"/>
      <c r="K284" s="56"/>
      <c r="L284" s="57"/>
      <c r="M284" s="57"/>
      <c r="N284" s="57"/>
      <c r="O284" s="57"/>
      <c r="P284" s="57">
        <f>SUM(K284:O284)</f>
        <v>0</v>
      </c>
      <c r="Q284" s="58">
        <v>0</v>
      </c>
      <c r="R284" s="59">
        <v>0</v>
      </c>
      <c r="S284" s="59">
        <v>0</v>
      </c>
      <c r="T284" s="10"/>
      <c r="U284" s="17"/>
      <c r="V284" s="10"/>
      <c r="W284" s="10"/>
      <c r="X284" s="10"/>
    </row>
    <row r="285" spans="2:24">
      <c r="B285" s="11"/>
      <c r="C285" s="10"/>
      <c r="D285" s="10"/>
      <c r="E285" s="10"/>
      <c r="F285" s="10"/>
      <c r="G285" s="10"/>
      <c r="H285" s="10"/>
      <c r="I285" s="10"/>
      <c r="J285" s="10" t="s">
        <v>42</v>
      </c>
      <c r="K285" s="63">
        <f>K277</f>
        <v>0</v>
      </c>
      <c r="L285" s="63">
        <f t="shared" ref="L285:Q286" si="71">L277</f>
        <v>0</v>
      </c>
      <c r="M285" s="63">
        <f t="shared" si="71"/>
        <v>0</v>
      </c>
      <c r="N285" s="63">
        <f t="shared" si="71"/>
        <v>0</v>
      </c>
      <c r="O285" s="63">
        <f t="shared" si="71"/>
        <v>0</v>
      </c>
      <c r="P285" s="63">
        <f t="shared" si="71"/>
        <v>0</v>
      </c>
      <c r="Q285" s="63">
        <f t="shared" si="71"/>
        <v>0</v>
      </c>
      <c r="R285" s="63"/>
      <c r="S285" s="10"/>
      <c r="T285" s="10"/>
      <c r="U285" s="17"/>
      <c r="V285" s="10"/>
      <c r="W285" s="10"/>
      <c r="X285" s="10"/>
    </row>
    <row r="286" spans="2:24">
      <c r="B286" s="11"/>
      <c r="C286" s="10"/>
      <c r="D286" s="10"/>
      <c r="E286" s="10"/>
      <c r="F286" s="10"/>
      <c r="G286" s="10"/>
      <c r="H286" s="10"/>
      <c r="I286" s="10"/>
      <c r="J286" s="10" t="s">
        <v>44</v>
      </c>
      <c r="K286" s="63">
        <f>K278</f>
        <v>0</v>
      </c>
      <c r="L286" s="63">
        <f t="shared" si="71"/>
        <v>0</v>
      </c>
      <c r="M286" s="63">
        <f t="shared" si="71"/>
        <v>0</v>
      </c>
      <c r="N286" s="63">
        <f t="shared" si="71"/>
        <v>0</v>
      </c>
      <c r="O286" s="63">
        <f t="shared" si="71"/>
        <v>0</v>
      </c>
      <c r="P286" s="63">
        <f t="shared" si="71"/>
        <v>0</v>
      </c>
      <c r="Q286" s="63">
        <f t="shared" si="71"/>
        <v>0</v>
      </c>
      <c r="R286" s="63"/>
      <c r="S286" s="10"/>
      <c r="T286" s="10"/>
      <c r="U286" s="17"/>
      <c r="V286" s="10"/>
      <c r="W286" s="10"/>
      <c r="X286" s="10"/>
    </row>
    <row r="287" spans="2:24">
      <c r="B287" s="11"/>
      <c r="C287" s="10"/>
      <c r="D287" s="10"/>
      <c r="E287" s="12"/>
      <c r="F287" s="76"/>
      <c r="G287" s="10"/>
      <c r="H287" s="10"/>
      <c r="I287" s="10"/>
      <c r="J287" s="10" t="s">
        <v>46</v>
      </c>
      <c r="K287" s="31" t="e">
        <f t="shared" ref="K287:Q287" si="72">K285/(K285+K286)</f>
        <v>#DIV/0!</v>
      </c>
      <c r="L287" s="31" t="e">
        <f t="shared" si="72"/>
        <v>#DIV/0!</v>
      </c>
      <c r="M287" s="31" t="e">
        <f t="shared" si="72"/>
        <v>#DIV/0!</v>
      </c>
      <c r="N287" s="31" t="e">
        <f t="shared" si="72"/>
        <v>#DIV/0!</v>
      </c>
      <c r="O287" s="31" t="e">
        <f t="shared" si="72"/>
        <v>#DIV/0!</v>
      </c>
      <c r="P287" s="31" t="e">
        <f t="shared" si="72"/>
        <v>#DIV/0!</v>
      </c>
      <c r="Q287" s="31" t="e">
        <f t="shared" si="72"/>
        <v>#DIV/0!</v>
      </c>
      <c r="R287" s="63"/>
      <c r="S287" s="10"/>
      <c r="T287" s="10"/>
      <c r="U287" s="17"/>
      <c r="V287" s="10"/>
      <c r="W287" s="10"/>
      <c r="X287" s="10"/>
    </row>
    <row r="288" spans="2:24">
      <c r="B288" s="11"/>
      <c r="C288" s="10"/>
      <c r="D288" s="10"/>
      <c r="E288" s="10"/>
      <c r="F288" s="10"/>
      <c r="G288" s="10"/>
      <c r="H288" s="10"/>
      <c r="I288" s="10"/>
      <c r="J288" s="10" t="s">
        <v>48</v>
      </c>
      <c r="K288" s="66" t="e">
        <f t="shared" ref="K288:Q288" si="73">K284/K285</f>
        <v>#DIV/0!</v>
      </c>
      <c r="L288" s="66" t="e">
        <f t="shared" si="73"/>
        <v>#DIV/0!</v>
      </c>
      <c r="M288" s="66" t="e">
        <f t="shared" si="73"/>
        <v>#DIV/0!</v>
      </c>
      <c r="N288" s="66" t="e">
        <f t="shared" si="73"/>
        <v>#DIV/0!</v>
      </c>
      <c r="O288" s="66" t="e">
        <f t="shared" si="73"/>
        <v>#DIV/0!</v>
      </c>
      <c r="P288" s="66" t="e">
        <f t="shared" si="73"/>
        <v>#DIV/0!</v>
      </c>
      <c r="Q288" s="66" t="e">
        <f t="shared" si="73"/>
        <v>#DIV/0!</v>
      </c>
      <c r="R288" s="63"/>
      <c r="S288" s="10"/>
      <c r="T288" s="10"/>
      <c r="U288" s="17"/>
      <c r="V288" s="10"/>
      <c r="W288" s="10"/>
      <c r="X288" s="10"/>
    </row>
    <row r="289" spans="1:25">
      <c r="B289" s="11"/>
      <c r="C289" s="10"/>
      <c r="D289" s="10"/>
      <c r="E289" s="10"/>
      <c r="F289" s="10"/>
      <c r="G289" s="10"/>
      <c r="H289" s="10"/>
      <c r="I289" s="10"/>
      <c r="J289" s="10"/>
      <c r="K289" s="10"/>
      <c r="L289" s="10"/>
      <c r="M289" s="10"/>
      <c r="N289" s="10"/>
      <c r="O289" s="10"/>
      <c r="P289" s="10"/>
      <c r="Q289" s="10"/>
      <c r="R289" s="10"/>
      <c r="S289" s="10"/>
      <c r="T289" s="10"/>
      <c r="U289" s="17"/>
      <c r="V289" s="10"/>
      <c r="W289" s="10"/>
      <c r="X289" s="10"/>
    </row>
    <row r="290" spans="1:25">
      <c r="B290" s="11"/>
      <c r="C290" s="10"/>
      <c r="D290" s="10"/>
      <c r="E290" s="10"/>
      <c r="F290" s="10"/>
      <c r="G290" s="10"/>
      <c r="H290" s="10"/>
      <c r="I290" s="10"/>
      <c r="J290" s="10"/>
      <c r="K290" s="10"/>
      <c r="L290" s="10"/>
      <c r="M290" s="10"/>
      <c r="N290" s="10"/>
      <c r="O290" s="10"/>
      <c r="P290" s="10"/>
      <c r="Q290" s="10"/>
      <c r="R290" s="10"/>
      <c r="S290" s="10"/>
      <c r="T290" s="10"/>
      <c r="U290" s="17"/>
      <c r="V290" s="10"/>
      <c r="W290" s="10"/>
      <c r="X290" s="10"/>
    </row>
    <row r="291" spans="1:25">
      <c r="B291" s="18" t="s">
        <v>51</v>
      </c>
      <c r="C291" s="14"/>
      <c r="D291" s="14"/>
      <c r="E291" s="14"/>
      <c r="F291" s="13" t="s">
        <v>52</v>
      </c>
      <c r="G291" s="14"/>
      <c r="H291" s="14"/>
      <c r="I291" s="14"/>
      <c r="J291" s="14"/>
      <c r="K291" s="13" t="s">
        <v>3</v>
      </c>
      <c r="L291" s="14"/>
      <c r="M291" s="14"/>
      <c r="N291" s="13" t="s">
        <v>4</v>
      </c>
      <c r="O291" s="14"/>
      <c r="P291" s="14"/>
      <c r="Q291" s="13" t="s">
        <v>5</v>
      </c>
      <c r="R291" s="14"/>
      <c r="S291" s="14"/>
      <c r="T291" s="18"/>
      <c r="U291" s="16" t="s">
        <v>53</v>
      </c>
      <c r="V291" s="77"/>
      <c r="W291" s="77"/>
      <c r="X291" s="77"/>
    </row>
    <row r="292" spans="1:25">
      <c r="B292" s="24" t="s">
        <v>54</v>
      </c>
      <c r="C292" s="21" t="s">
        <v>55</v>
      </c>
      <c r="D292" s="21" t="s">
        <v>56</v>
      </c>
      <c r="E292" s="21" t="s">
        <v>57</v>
      </c>
      <c r="F292" s="20" t="s">
        <v>58</v>
      </c>
      <c r="G292" s="21" t="s">
        <v>59</v>
      </c>
      <c r="H292" s="21" t="s">
        <v>60</v>
      </c>
      <c r="I292" s="21" t="s">
        <v>26</v>
      </c>
      <c r="J292" s="22" t="s">
        <v>61</v>
      </c>
      <c r="K292" s="21" t="s">
        <v>8</v>
      </c>
      <c r="L292" s="21" t="s">
        <v>9</v>
      </c>
      <c r="M292" s="21" t="s">
        <v>10</v>
      </c>
      <c r="N292" s="20" t="s">
        <v>11</v>
      </c>
      <c r="O292" s="21" t="s">
        <v>12</v>
      </c>
      <c r="P292" s="22" t="s">
        <v>13</v>
      </c>
      <c r="Q292" s="21" t="s">
        <v>11</v>
      </c>
      <c r="R292" s="21" t="s">
        <v>12</v>
      </c>
      <c r="S292" s="21" t="s">
        <v>13</v>
      </c>
      <c r="T292" s="78" t="s">
        <v>14</v>
      </c>
      <c r="U292" s="30"/>
      <c r="V292" s="79" t="s">
        <v>62</v>
      </c>
      <c r="W292" s="80" t="s">
        <v>63</v>
      </c>
      <c r="X292" s="81" t="s">
        <v>64</v>
      </c>
    </row>
    <row r="293" spans="1:25">
      <c r="B293" s="4" t="s">
        <v>65</v>
      </c>
      <c r="C293" s="6"/>
      <c r="D293" s="6"/>
      <c r="E293" s="6"/>
      <c r="F293" s="6"/>
      <c r="G293" s="6"/>
      <c r="H293" s="6"/>
      <c r="I293" s="82"/>
      <c r="J293" s="6"/>
      <c r="K293" s="6"/>
      <c r="L293" s="6"/>
      <c r="M293" s="6"/>
      <c r="N293" s="6"/>
      <c r="O293" s="6"/>
      <c r="P293" s="6"/>
      <c r="Q293" s="6"/>
      <c r="R293" s="6"/>
      <c r="S293" s="6"/>
      <c r="T293" s="83"/>
      <c r="U293" s="6"/>
      <c r="V293" s="84"/>
      <c r="W293" s="85"/>
      <c r="X293" s="86"/>
    </row>
    <row r="294" spans="1:25">
      <c r="B294" s="87">
        <v>1</v>
      </c>
      <c r="C294" s="262"/>
      <c r="D294" s="271"/>
      <c r="E294" s="271"/>
      <c r="F294" s="265"/>
      <c r="G294" s="265"/>
      <c r="H294" s="365"/>
      <c r="I294" s="272">
        <f t="shared" ref="I294" si="74">F294-G294-H294</f>
        <v>0</v>
      </c>
      <c r="J294" s="267"/>
      <c r="K294" s="267"/>
      <c r="L294" s="267"/>
      <c r="M294" s="267"/>
      <c r="N294" s="267"/>
      <c r="O294" s="267"/>
      <c r="P294" s="267"/>
      <c r="Q294" s="267"/>
      <c r="R294" s="267"/>
      <c r="S294" s="269"/>
      <c r="T294" s="63"/>
      <c r="U294" s="10"/>
      <c r="V294" s="90"/>
      <c r="W294" s="91"/>
      <c r="X294" s="92"/>
    </row>
    <row r="295" spans="1:25">
      <c r="B295" s="87"/>
      <c r="C295" s="36"/>
      <c r="D295" s="10"/>
      <c r="E295" s="10"/>
      <c r="F295" s="97">
        <f>SUM(F294:F294)</f>
        <v>0</v>
      </c>
      <c r="G295" s="97">
        <f>SUM(G294:G294)</f>
        <v>0</v>
      </c>
      <c r="H295" s="97">
        <f>SUM(H294:H294)</f>
        <v>0</v>
      </c>
      <c r="I295" s="98">
        <f>SUM(I294:I294)</f>
        <v>0</v>
      </c>
      <c r="J295" s="63"/>
      <c r="K295" s="63">
        <f>COUNT(K294:K294)</f>
        <v>0</v>
      </c>
      <c r="L295" s="63">
        <f>COUNT(L294:L294)</f>
        <v>0</v>
      </c>
      <c r="M295" s="63">
        <f>COUNT(M294:M294)</f>
        <v>0</v>
      </c>
      <c r="N295" s="63">
        <f>COUNT(N294:N294)</f>
        <v>0</v>
      </c>
      <c r="O295" s="63">
        <f>COUNT(O294:O294)</f>
        <v>0</v>
      </c>
      <c r="P295" s="63">
        <f>COUNT(P294:P294)</f>
        <v>0</v>
      </c>
      <c r="Q295" s="63">
        <f>COUNT(Q294:Q294)</f>
        <v>0</v>
      </c>
      <c r="R295" s="63">
        <f>COUNT(R294:R294)</f>
        <v>0</v>
      </c>
      <c r="S295" s="63">
        <f>COUNT(S294:S294)</f>
        <v>0</v>
      </c>
      <c r="T295" s="63"/>
      <c r="U295" s="10"/>
      <c r="V295" s="90"/>
      <c r="W295" s="91"/>
      <c r="X295" s="92"/>
    </row>
    <row r="296" spans="1:25">
      <c r="B296" s="87"/>
      <c r="C296" s="36"/>
      <c r="D296" s="10"/>
      <c r="E296" s="10"/>
      <c r="F296" s="88"/>
      <c r="G296" s="88"/>
      <c r="H296" s="88"/>
      <c r="I296" s="99"/>
      <c r="J296" s="63"/>
      <c r="K296" s="21">
        <f>SUM(K294:K294)</f>
        <v>0</v>
      </c>
      <c r="L296" s="21">
        <f>SUM(L294:L294)</f>
        <v>0</v>
      </c>
      <c r="M296" s="21">
        <f>SUM(M294:M294)</f>
        <v>0</v>
      </c>
      <c r="N296" s="21">
        <f>SUM(N294:N294)</f>
        <v>0</v>
      </c>
      <c r="O296" s="21">
        <f>SUM(O294:O294)</f>
        <v>0</v>
      </c>
      <c r="P296" s="21">
        <f>SUM(P294:P294)</f>
        <v>0</v>
      </c>
      <c r="Q296" s="21">
        <f>SUM(Q294:Q294)</f>
        <v>0</v>
      </c>
      <c r="R296" s="21">
        <f>SUM(R294:R294)</f>
        <v>0</v>
      </c>
      <c r="S296" s="21">
        <f>SUM(S294:S294)</f>
        <v>0</v>
      </c>
      <c r="T296" s="63"/>
      <c r="U296" s="10"/>
      <c r="V296" s="90"/>
      <c r="W296" s="91"/>
      <c r="X296" s="92"/>
    </row>
    <row r="297" spans="1:25">
      <c r="B297" s="11"/>
      <c r="C297" s="36"/>
      <c r="D297" s="10"/>
      <c r="E297" s="10"/>
      <c r="F297" s="88"/>
      <c r="G297" s="88"/>
      <c r="H297" s="88"/>
      <c r="I297" s="99"/>
      <c r="J297" s="63"/>
      <c r="K297" s="21"/>
      <c r="L297" s="21"/>
      <c r="M297" s="21"/>
      <c r="N297" s="21"/>
      <c r="O297" s="21"/>
      <c r="P297" s="21"/>
      <c r="Q297" s="21"/>
      <c r="R297" s="21"/>
      <c r="S297" s="21"/>
      <c r="T297" s="63"/>
      <c r="U297" s="94"/>
      <c r="V297" s="90"/>
      <c r="W297" s="91"/>
      <c r="X297" s="92"/>
    </row>
    <row r="298" spans="1:25">
      <c r="A298" s="181"/>
      <c r="B298" s="100" t="s">
        <v>152</v>
      </c>
      <c r="C298" s="36"/>
      <c r="D298" s="10"/>
      <c r="E298" s="181"/>
      <c r="F298" s="88"/>
      <c r="G298" s="88"/>
      <c r="H298" s="88"/>
      <c r="I298" s="99"/>
      <c r="J298" s="63"/>
      <c r="K298" s="21"/>
      <c r="L298" s="21"/>
      <c r="M298" s="21"/>
      <c r="N298" s="21"/>
      <c r="O298" s="21"/>
      <c r="P298" s="21"/>
      <c r="Q298" s="21"/>
      <c r="R298" s="21"/>
      <c r="S298" s="21"/>
      <c r="T298" s="63"/>
      <c r="U298" s="94"/>
      <c r="V298" s="90"/>
      <c r="W298" s="91"/>
      <c r="X298" s="92"/>
    </row>
    <row r="299" spans="1:25">
      <c r="A299" s="181"/>
      <c r="B299" s="87">
        <v>1</v>
      </c>
      <c r="C299" s="262">
        <v>45855</v>
      </c>
      <c r="D299" s="273" t="s">
        <v>2297</v>
      </c>
      <c r="E299" s="271" t="s">
        <v>155</v>
      </c>
      <c r="F299" s="265">
        <v>11352.6</v>
      </c>
      <c r="G299" s="265">
        <f>+(67.77+822.67+125.32+56.2+32.52+326.48+98.57+60.28+1546.9)+1000</f>
        <v>4136.71</v>
      </c>
      <c r="H299" s="265"/>
      <c r="I299" s="272">
        <f>F299-G299-H299</f>
        <v>7215.89</v>
      </c>
      <c r="J299" s="267" t="s">
        <v>1386</v>
      </c>
      <c r="K299" s="267">
        <v>1</v>
      </c>
      <c r="L299" s="267">
        <v>1</v>
      </c>
      <c r="M299" s="267">
        <v>1</v>
      </c>
      <c r="N299" s="314">
        <v>0</v>
      </c>
      <c r="O299" s="314">
        <v>0</v>
      </c>
      <c r="P299" s="314">
        <v>0</v>
      </c>
      <c r="Q299" s="314">
        <v>0</v>
      </c>
      <c r="R299" s="314">
        <v>0</v>
      </c>
      <c r="S299" s="366">
        <v>0</v>
      </c>
      <c r="T299" s="63"/>
      <c r="U299" s="94" t="s">
        <v>2300</v>
      </c>
      <c r="V299" s="90"/>
      <c r="W299" s="136"/>
      <c r="X299" s="137"/>
    </row>
    <row r="300" spans="1:25">
      <c r="A300" s="181"/>
      <c r="B300" s="11"/>
      <c r="C300" s="36"/>
      <c r="D300" s="10"/>
      <c r="E300" s="10"/>
      <c r="F300" s="97">
        <f>SUM(F299:F299)</f>
        <v>11352.6</v>
      </c>
      <c r="G300" s="97">
        <f>SUM(G299:G299)</f>
        <v>4136.71</v>
      </c>
      <c r="H300" s="97">
        <f>SUM(H299:H299)</f>
        <v>0</v>
      </c>
      <c r="I300" s="98">
        <f>SUM(I299:I299)</f>
        <v>7215.89</v>
      </c>
      <c r="J300" s="63"/>
      <c r="K300" s="21"/>
      <c r="L300" s="21"/>
      <c r="M300" s="21"/>
      <c r="N300" s="21"/>
      <c r="O300" s="21"/>
      <c r="P300" s="21"/>
      <c r="Q300" s="21"/>
      <c r="R300" s="21"/>
      <c r="S300" s="21"/>
      <c r="T300" s="63"/>
      <c r="U300" s="94"/>
      <c r="V300" s="90"/>
      <c r="W300" s="91"/>
      <c r="X300" s="92"/>
    </row>
    <row r="301" spans="1:25">
      <c r="B301" s="26"/>
      <c r="C301" s="140"/>
      <c r="D301" s="141"/>
      <c r="E301" s="141"/>
      <c r="F301" s="141"/>
      <c r="G301" s="141"/>
      <c r="H301" s="141"/>
      <c r="I301" s="141"/>
      <c r="J301" s="141"/>
      <c r="K301" s="142"/>
      <c r="L301" s="142"/>
      <c r="M301" s="142"/>
      <c r="N301" s="142"/>
      <c r="O301" s="142"/>
      <c r="P301" s="142"/>
      <c r="Q301" s="142"/>
      <c r="R301" s="142"/>
      <c r="S301" s="142"/>
      <c r="T301" s="143">
        <f>SUM(T294:T300)</f>
        <v>0</v>
      </c>
      <c r="U301" s="141"/>
      <c r="V301" s="144">
        <f>SUM(V294:V300)</f>
        <v>0</v>
      </c>
      <c r="W301" s="145">
        <f>SUM(W294:W300)</f>
        <v>0</v>
      </c>
      <c r="X301" s="146">
        <f>SUM(X294:X300)</f>
        <v>0</v>
      </c>
    </row>
    <row r="302" spans="1:25">
      <c r="B302" s="10"/>
      <c r="C302" s="36"/>
      <c r="D302" s="10"/>
      <c r="E302" s="10"/>
      <c r="F302" s="10"/>
      <c r="G302" s="10"/>
      <c r="H302" s="10"/>
      <c r="I302" s="10"/>
      <c r="J302" s="10"/>
      <c r="K302" s="147"/>
      <c r="L302" s="147"/>
      <c r="M302" s="147"/>
      <c r="N302" s="147"/>
      <c r="O302" s="147"/>
      <c r="P302" s="147"/>
      <c r="Q302" s="147"/>
      <c r="R302" s="147"/>
      <c r="S302" s="147"/>
      <c r="T302" s="21"/>
      <c r="U302" s="10"/>
      <c r="V302" s="99"/>
      <c r="W302" s="99"/>
      <c r="X302" s="99"/>
    </row>
    <row r="304" spans="1:25">
      <c r="B304" s="4" t="s">
        <v>1</v>
      </c>
      <c r="C304" s="5"/>
      <c r="D304" s="6"/>
      <c r="E304" s="6"/>
      <c r="F304" s="7" t="s">
        <v>2</v>
      </c>
      <c r="G304" s="608">
        <v>45914</v>
      </c>
      <c r="H304" s="7"/>
      <c r="I304" s="6"/>
      <c r="J304" s="6"/>
      <c r="K304" s="6"/>
      <c r="L304" s="6"/>
      <c r="M304" s="6"/>
      <c r="N304" s="6"/>
      <c r="O304" s="6"/>
      <c r="P304" s="6"/>
      <c r="Q304" s="6"/>
      <c r="R304" s="6"/>
      <c r="S304" s="6"/>
      <c r="T304" s="6"/>
      <c r="U304" s="9"/>
      <c r="V304" s="10"/>
      <c r="W304" s="10"/>
      <c r="X304" s="10"/>
      <c r="Y304" s="2"/>
    </row>
    <row r="305" spans="2:25">
      <c r="B305" s="11"/>
      <c r="C305" s="10"/>
      <c r="D305" s="10"/>
      <c r="E305" s="10"/>
      <c r="F305" s="10"/>
      <c r="G305" s="7"/>
      <c r="H305" s="12"/>
      <c r="I305" s="10"/>
      <c r="J305" s="10"/>
      <c r="K305" s="13" t="s">
        <v>3</v>
      </c>
      <c r="L305" s="14"/>
      <c r="M305" s="15"/>
      <c r="N305" s="13" t="s">
        <v>4</v>
      </c>
      <c r="O305" s="14"/>
      <c r="P305" s="15"/>
      <c r="Q305" s="13" t="s">
        <v>5</v>
      </c>
      <c r="R305" s="14"/>
      <c r="S305" s="15"/>
      <c r="T305" s="16"/>
      <c r="U305" s="17"/>
      <c r="V305" s="10"/>
      <c r="W305" s="10"/>
      <c r="X305" s="10"/>
      <c r="Y305" s="2"/>
    </row>
    <row r="306" spans="2:25">
      <c r="B306" s="18" t="s">
        <v>6</v>
      </c>
      <c r="C306" s="19">
        <f>C307+C308</f>
        <v>0</v>
      </c>
      <c r="D306" s="10"/>
      <c r="E306" s="18" t="s">
        <v>7</v>
      </c>
      <c r="F306" s="6"/>
      <c r="G306" s="9"/>
      <c r="H306" s="10"/>
      <c r="I306" s="10"/>
      <c r="J306" s="10"/>
      <c r="K306" s="20" t="s">
        <v>8</v>
      </c>
      <c r="L306" s="21" t="s">
        <v>9</v>
      </c>
      <c r="M306" s="21" t="s">
        <v>10</v>
      </c>
      <c r="N306" s="20" t="s">
        <v>11</v>
      </c>
      <c r="O306" s="21" t="s">
        <v>12</v>
      </c>
      <c r="P306" s="22" t="s">
        <v>13</v>
      </c>
      <c r="Q306" s="21" t="s">
        <v>11</v>
      </c>
      <c r="R306" s="21" t="s">
        <v>12</v>
      </c>
      <c r="S306" s="22" t="s">
        <v>13</v>
      </c>
      <c r="T306" s="23" t="s">
        <v>14</v>
      </c>
      <c r="U306" s="17"/>
      <c r="V306" s="10"/>
      <c r="W306" s="10"/>
      <c r="X306" s="10"/>
      <c r="Y306" s="2"/>
    </row>
    <row r="307" spans="2:25">
      <c r="B307" s="24" t="s">
        <v>15</v>
      </c>
      <c r="C307" s="25">
        <f>P314</f>
        <v>0</v>
      </c>
      <c r="D307" s="10"/>
      <c r="E307" s="26" t="s">
        <v>16</v>
      </c>
      <c r="F307" s="27">
        <v>0.05</v>
      </c>
      <c r="G307" s="28"/>
      <c r="H307" s="10"/>
      <c r="I307" s="10"/>
      <c r="J307" s="18" t="s">
        <v>17</v>
      </c>
      <c r="K307" s="29">
        <f>K333</f>
        <v>0</v>
      </c>
      <c r="L307" s="29">
        <f t="shared" ref="L307:S307" si="75">L333</f>
        <v>0</v>
      </c>
      <c r="M307" s="29">
        <f t="shared" si="75"/>
        <v>0</v>
      </c>
      <c r="N307" s="29">
        <f t="shared" si="75"/>
        <v>0</v>
      </c>
      <c r="O307" s="29">
        <f t="shared" si="75"/>
        <v>0</v>
      </c>
      <c r="P307" s="29">
        <f t="shared" si="75"/>
        <v>0</v>
      </c>
      <c r="Q307" s="29">
        <f t="shared" si="75"/>
        <v>0</v>
      </c>
      <c r="R307" s="29">
        <f t="shared" si="75"/>
        <v>0</v>
      </c>
      <c r="S307" s="29">
        <f t="shared" si="75"/>
        <v>0</v>
      </c>
      <c r="T307" s="30">
        <f>T338</f>
        <v>0</v>
      </c>
      <c r="U307" s="17"/>
      <c r="V307" s="10"/>
      <c r="W307" s="10"/>
      <c r="X307" s="10"/>
      <c r="Y307" s="2"/>
    </row>
    <row r="308" spans="2:25">
      <c r="B308" s="24" t="s">
        <v>18</v>
      </c>
      <c r="C308" s="25">
        <f>P315</f>
        <v>0</v>
      </c>
      <c r="D308" s="10"/>
      <c r="E308" s="10"/>
      <c r="F308" s="10"/>
      <c r="G308" s="31"/>
      <c r="H308" s="10"/>
      <c r="I308" s="10"/>
      <c r="J308" s="32" t="s">
        <v>19</v>
      </c>
      <c r="K308" s="33" t="e">
        <f>K333/K332</f>
        <v>#DIV/0!</v>
      </c>
      <c r="L308" s="33" t="e">
        <f t="shared" ref="L308:S308" si="76">L333/L332</f>
        <v>#DIV/0!</v>
      </c>
      <c r="M308" s="33" t="e">
        <f t="shared" si="76"/>
        <v>#DIV/0!</v>
      </c>
      <c r="N308" s="33" t="e">
        <f t="shared" si="76"/>
        <v>#DIV/0!</v>
      </c>
      <c r="O308" s="33" t="e">
        <f t="shared" si="76"/>
        <v>#DIV/0!</v>
      </c>
      <c r="P308" s="33" t="e">
        <f t="shared" si="76"/>
        <v>#DIV/0!</v>
      </c>
      <c r="Q308" s="33" t="e">
        <f t="shared" si="76"/>
        <v>#DIV/0!</v>
      </c>
      <c r="R308" s="33" t="e">
        <f t="shared" si="76"/>
        <v>#DIV/0!</v>
      </c>
      <c r="S308" s="33" t="e">
        <f t="shared" si="76"/>
        <v>#DIV/0!</v>
      </c>
      <c r="T308" s="23"/>
      <c r="U308" s="17" t="s">
        <v>20</v>
      </c>
      <c r="V308" s="10"/>
      <c r="W308" s="10"/>
      <c r="X308" s="10"/>
      <c r="Y308" s="2"/>
    </row>
    <row r="309" spans="2:25">
      <c r="B309" s="24" t="s">
        <v>21</v>
      </c>
      <c r="C309" s="34" t="e">
        <f>P316</f>
        <v>#DIV/0!</v>
      </c>
      <c r="D309" s="10"/>
      <c r="E309" s="10"/>
      <c r="F309" s="10"/>
      <c r="G309" s="10"/>
      <c r="H309" s="10"/>
      <c r="I309" s="10"/>
      <c r="J309" s="10"/>
      <c r="K309" s="10"/>
      <c r="L309" s="10"/>
      <c r="M309" s="10"/>
      <c r="N309" s="10"/>
      <c r="O309" s="10"/>
      <c r="P309" s="10"/>
      <c r="Q309" s="10"/>
      <c r="R309" s="10"/>
      <c r="S309" s="10"/>
      <c r="T309" s="10"/>
      <c r="U309" s="17"/>
      <c r="V309" s="10"/>
      <c r="W309" s="10"/>
      <c r="X309" s="10"/>
      <c r="Y309" s="2"/>
    </row>
    <row r="310" spans="2:25">
      <c r="B310" s="24"/>
      <c r="C310" s="25"/>
      <c r="D310" s="10"/>
      <c r="E310" s="10"/>
      <c r="F310" s="18" t="s">
        <v>22</v>
      </c>
      <c r="G310" s="19" t="s">
        <v>23</v>
      </c>
      <c r="H310" s="35" t="s">
        <v>24</v>
      </c>
      <c r="I310" s="10"/>
      <c r="J310" s="10"/>
      <c r="K310" s="36"/>
      <c r="L310" s="36"/>
      <c r="M310" s="36"/>
      <c r="N310" s="36"/>
      <c r="O310" s="36"/>
      <c r="P310" s="36"/>
      <c r="Q310" s="36"/>
      <c r="R310" s="10"/>
      <c r="S310" s="10"/>
      <c r="T310" s="10"/>
      <c r="U310" s="17"/>
      <c r="V310" s="10"/>
      <c r="W310" s="10"/>
      <c r="X310" s="10"/>
      <c r="Y310" s="2"/>
    </row>
    <row r="311" spans="2:25">
      <c r="B311" s="32" t="s">
        <v>25</v>
      </c>
      <c r="C311" s="37" t="e">
        <f>P317</f>
        <v>#DIV/0!</v>
      </c>
      <c r="D311" s="10"/>
      <c r="E311" s="18" t="s">
        <v>26</v>
      </c>
      <c r="F311" s="38">
        <f>P313</f>
        <v>0</v>
      </c>
      <c r="G311" s="39">
        <f>I332</f>
        <v>0</v>
      </c>
      <c r="H311" s="40"/>
      <c r="I311" s="41"/>
      <c r="J311" s="42"/>
      <c r="K311" s="43" t="s">
        <v>27</v>
      </c>
      <c r="L311" s="44"/>
      <c r="M311" s="44"/>
      <c r="N311" s="44"/>
      <c r="O311" s="44"/>
      <c r="P311" s="44"/>
      <c r="Q311" s="45"/>
      <c r="R311" s="46" t="s">
        <v>28</v>
      </c>
      <c r="S311" s="47" t="s">
        <v>29</v>
      </c>
      <c r="T311" s="10"/>
      <c r="U311" s="17"/>
      <c r="V311" s="10"/>
      <c r="W311" s="10"/>
      <c r="X311" s="10"/>
      <c r="Y311" s="2"/>
    </row>
    <row r="312" spans="2:25">
      <c r="B312" s="11"/>
      <c r="C312" s="10"/>
      <c r="D312" s="10"/>
      <c r="E312" s="24" t="s">
        <v>30</v>
      </c>
      <c r="F312" s="48">
        <f>F307</f>
        <v>0.05</v>
      </c>
      <c r="G312" s="17"/>
      <c r="H312" s="40"/>
      <c r="I312" s="41"/>
      <c r="J312" s="42"/>
      <c r="K312" s="20" t="s">
        <v>31</v>
      </c>
      <c r="L312" s="21" t="s">
        <v>32</v>
      </c>
      <c r="M312" s="21" t="s">
        <v>33</v>
      </c>
      <c r="N312" s="21" t="s">
        <v>34</v>
      </c>
      <c r="O312" s="21" t="s">
        <v>35</v>
      </c>
      <c r="P312" s="21" t="s">
        <v>36</v>
      </c>
      <c r="Q312" s="49" t="s">
        <v>37</v>
      </c>
      <c r="R312" s="50" t="s">
        <v>38</v>
      </c>
      <c r="S312" s="50" t="s">
        <v>38</v>
      </c>
      <c r="T312" s="10"/>
      <c r="U312" s="17"/>
      <c r="V312" s="10"/>
      <c r="W312" s="10"/>
      <c r="X312" s="10"/>
      <c r="Y312" s="2"/>
    </row>
    <row r="313" spans="2:25">
      <c r="B313" s="11"/>
      <c r="C313" s="10"/>
      <c r="D313" s="10"/>
      <c r="E313" s="51" t="s">
        <v>39</v>
      </c>
      <c r="F313" s="52">
        <f>F311*F312</f>
        <v>0</v>
      </c>
      <c r="G313" s="53" t="s">
        <v>40</v>
      </c>
      <c r="H313" s="54">
        <f>F313/1.12</f>
        <v>0</v>
      </c>
      <c r="I313" s="55"/>
      <c r="J313" s="42"/>
      <c r="K313" s="56"/>
      <c r="L313" s="57"/>
      <c r="M313" s="57"/>
      <c r="N313" s="57"/>
      <c r="O313" s="57"/>
      <c r="P313" s="57">
        <f>SUM(K313:O313)</f>
        <v>0</v>
      </c>
      <c r="Q313" s="58">
        <v>0</v>
      </c>
      <c r="R313" s="59">
        <v>0</v>
      </c>
      <c r="S313" s="59">
        <v>0</v>
      </c>
      <c r="T313" s="10"/>
      <c r="U313" s="17"/>
      <c r="V313" s="10"/>
      <c r="W313" s="10"/>
      <c r="X313" s="10"/>
      <c r="Y313" s="2"/>
    </row>
    <row r="314" spans="2:25">
      <c r="B314" s="11"/>
      <c r="C314" s="10"/>
      <c r="D314" s="10"/>
      <c r="E314" s="24" t="s">
        <v>41</v>
      </c>
      <c r="F314" s="60">
        <f>Q313</f>
        <v>0</v>
      </c>
      <c r="G314" s="61" t="s">
        <v>40</v>
      </c>
      <c r="H314" s="62"/>
      <c r="I314" s="62"/>
      <c r="J314" s="10" t="s">
        <v>42</v>
      </c>
      <c r="K314" s="63"/>
      <c r="L314" s="63"/>
      <c r="M314" s="63"/>
      <c r="N314" s="63"/>
      <c r="O314" s="63"/>
      <c r="P314" s="21">
        <f>SUM(K314:O314)</f>
        <v>0</v>
      </c>
      <c r="Q314" s="64"/>
      <c r="R314" s="63"/>
      <c r="S314" s="10"/>
      <c r="T314" s="10"/>
      <c r="U314" s="17"/>
      <c r="V314" s="10"/>
      <c r="W314" s="10"/>
      <c r="X314" s="10"/>
      <c r="Y314" s="2"/>
    </row>
    <row r="315" spans="2:25">
      <c r="B315" s="11"/>
      <c r="C315" s="10"/>
      <c r="D315" s="10"/>
      <c r="E315" s="51" t="s">
        <v>43</v>
      </c>
      <c r="F315" s="52">
        <f>F314*0.25</f>
        <v>0</v>
      </c>
      <c r="G315" s="53" t="s">
        <v>40</v>
      </c>
      <c r="H315" s="54">
        <f>F315/1.12</f>
        <v>0</v>
      </c>
      <c r="I315" s="10"/>
      <c r="J315" s="10" t="s">
        <v>44</v>
      </c>
      <c r="K315" s="63"/>
      <c r="L315" s="63"/>
      <c r="M315" s="63"/>
      <c r="N315" s="63"/>
      <c r="O315" s="63"/>
      <c r="P315" s="21">
        <f>SUM(K315:O315)</f>
        <v>0</v>
      </c>
      <c r="Q315" s="64"/>
      <c r="R315" s="63"/>
      <c r="S315" s="10"/>
      <c r="T315" s="10"/>
      <c r="U315" s="17"/>
      <c r="V315" s="10"/>
      <c r="W315" s="10"/>
      <c r="X315" s="10"/>
      <c r="Y315" s="2"/>
    </row>
    <row r="316" spans="2:25">
      <c r="B316" s="11"/>
      <c r="C316" s="10"/>
      <c r="D316" s="10"/>
      <c r="E316" s="24" t="s">
        <v>45</v>
      </c>
      <c r="F316" s="60"/>
      <c r="G316" s="61" t="s">
        <v>40</v>
      </c>
      <c r="H316" s="62"/>
      <c r="I316" s="10"/>
      <c r="J316" s="10" t="s">
        <v>46</v>
      </c>
      <c r="K316" s="31" t="e">
        <f t="shared" ref="K316:Q316" si="77">K314/(K314+K315)</f>
        <v>#DIV/0!</v>
      </c>
      <c r="L316" s="31" t="e">
        <f t="shared" si="77"/>
        <v>#DIV/0!</v>
      </c>
      <c r="M316" s="31" t="e">
        <f t="shared" si="77"/>
        <v>#DIV/0!</v>
      </c>
      <c r="N316" s="31" t="e">
        <f t="shared" si="77"/>
        <v>#DIV/0!</v>
      </c>
      <c r="O316" s="31" t="e">
        <f t="shared" si="77"/>
        <v>#DIV/0!</v>
      </c>
      <c r="P316" s="31" t="e">
        <f t="shared" si="77"/>
        <v>#DIV/0!</v>
      </c>
      <c r="Q316" s="31" t="e">
        <f t="shared" si="77"/>
        <v>#DIV/0!</v>
      </c>
      <c r="R316" s="63"/>
      <c r="S316" s="10"/>
      <c r="T316" s="10"/>
      <c r="U316" s="17"/>
      <c r="V316" s="10"/>
      <c r="W316" s="10"/>
      <c r="X316" s="10"/>
      <c r="Y316" s="2"/>
    </row>
    <row r="317" spans="2:25">
      <c r="B317" s="11"/>
      <c r="C317" s="10"/>
      <c r="D317" s="10"/>
      <c r="E317" s="51" t="s">
        <v>47</v>
      </c>
      <c r="F317" s="52">
        <f>F316*0.05</f>
        <v>0</v>
      </c>
      <c r="G317" s="65" t="s">
        <v>40</v>
      </c>
      <c r="H317" s="54">
        <f>F317/1.12</f>
        <v>0</v>
      </c>
      <c r="I317" s="42"/>
      <c r="J317" s="10" t="s">
        <v>48</v>
      </c>
      <c r="K317" s="66" t="e">
        <f>K313/K314</f>
        <v>#DIV/0!</v>
      </c>
      <c r="L317" s="66" t="e">
        <f t="shared" ref="L317:Q317" si="78">L313/L314</f>
        <v>#DIV/0!</v>
      </c>
      <c r="M317" s="66" t="e">
        <f t="shared" si="78"/>
        <v>#DIV/0!</v>
      </c>
      <c r="N317" s="66" t="e">
        <f t="shared" si="78"/>
        <v>#DIV/0!</v>
      </c>
      <c r="O317" s="66" t="e">
        <f t="shared" si="78"/>
        <v>#DIV/0!</v>
      </c>
      <c r="P317" s="66" t="e">
        <f t="shared" si="78"/>
        <v>#DIV/0!</v>
      </c>
      <c r="Q317" s="66" t="e">
        <f t="shared" si="78"/>
        <v>#DIV/0!</v>
      </c>
      <c r="R317" s="63"/>
      <c r="S317" s="10"/>
      <c r="T317" s="10"/>
      <c r="U317" s="17"/>
      <c r="V317" s="10"/>
      <c r="W317" s="10"/>
      <c r="X317" s="10"/>
      <c r="Y317" s="2"/>
    </row>
    <row r="318" spans="2:25">
      <c r="B318" s="11"/>
      <c r="C318" s="10"/>
      <c r="D318" s="10"/>
      <c r="E318" s="67" t="s">
        <v>14</v>
      </c>
      <c r="F318" s="68"/>
      <c r="G318" s="10"/>
      <c r="H318" s="54">
        <f>F318/1.12</f>
        <v>0</v>
      </c>
      <c r="I318" s="10"/>
      <c r="J318" s="10"/>
      <c r="K318" s="10"/>
      <c r="L318" s="10"/>
      <c r="M318" s="10"/>
      <c r="N318" s="10"/>
      <c r="O318" s="10"/>
      <c r="P318" s="10"/>
      <c r="Q318" s="10"/>
      <c r="R318" s="10"/>
      <c r="S318" s="10"/>
      <c r="T318" s="10"/>
      <c r="U318" s="17"/>
      <c r="V318" s="10"/>
      <c r="W318" s="10"/>
      <c r="X318" s="10"/>
      <c r="Y318" s="2"/>
    </row>
    <row r="319" spans="2:25">
      <c r="B319" s="11"/>
      <c r="C319" s="10"/>
      <c r="D319" s="10"/>
      <c r="E319" s="155" t="s">
        <v>49</v>
      </c>
      <c r="F319" s="364">
        <f>T308</f>
        <v>0</v>
      </c>
      <c r="G319" s="10"/>
      <c r="H319" s="54"/>
      <c r="I319" s="55"/>
      <c r="J319" s="42"/>
      <c r="K319" s="764" t="s">
        <v>50</v>
      </c>
      <c r="L319" s="765"/>
      <c r="M319" s="765"/>
      <c r="N319" s="765"/>
      <c r="O319" s="765"/>
      <c r="P319" s="765"/>
      <c r="Q319" s="766"/>
      <c r="R319" s="70" t="s">
        <v>28</v>
      </c>
      <c r="S319" s="71" t="s">
        <v>29</v>
      </c>
      <c r="T319" s="10"/>
      <c r="U319" s="17"/>
      <c r="V319" s="10"/>
      <c r="W319" s="10"/>
      <c r="X319" s="10"/>
      <c r="Y319" s="2"/>
    </row>
    <row r="320" spans="2:25">
      <c r="B320" s="11"/>
      <c r="C320" s="10"/>
      <c r="D320" s="10"/>
      <c r="E320" s="12"/>
      <c r="F320" s="76"/>
      <c r="G320" s="10"/>
      <c r="H320" s="10"/>
      <c r="I320" s="10"/>
      <c r="J320" s="42"/>
      <c r="K320" s="20" t="s">
        <v>31</v>
      </c>
      <c r="L320" s="21" t="s">
        <v>32</v>
      </c>
      <c r="M320" s="21" t="s">
        <v>33</v>
      </c>
      <c r="N320" s="21" t="s">
        <v>34</v>
      </c>
      <c r="O320" s="21" t="s">
        <v>35</v>
      </c>
      <c r="P320" s="21" t="s">
        <v>36</v>
      </c>
      <c r="Q320" s="49" t="s">
        <v>37</v>
      </c>
      <c r="R320" s="50" t="s">
        <v>38</v>
      </c>
      <c r="S320" s="50" t="s">
        <v>38</v>
      </c>
      <c r="T320" s="10"/>
      <c r="U320" s="17"/>
      <c r="V320" s="10"/>
      <c r="W320" s="10"/>
      <c r="X320" s="10"/>
      <c r="Y320" s="2"/>
    </row>
    <row r="321" spans="1:25">
      <c r="B321" s="11"/>
      <c r="C321" s="10"/>
      <c r="D321" s="10"/>
      <c r="E321" s="10"/>
      <c r="F321" s="10"/>
      <c r="G321" s="10"/>
      <c r="H321" s="10"/>
      <c r="I321" s="10"/>
      <c r="J321" s="42"/>
      <c r="K321" s="56"/>
      <c r="L321" s="57"/>
      <c r="M321" s="57"/>
      <c r="N321" s="57"/>
      <c r="O321" s="57"/>
      <c r="P321" s="57">
        <f>SUM(K321:O321)</f>
        <v>0</v>
      </c>
      <c r="Q321" s="58">
        <v>0</v>
      </c>
      <c r="R321" s="59">
        <v>0</v>
      </c>
      <c r="S321" s="59">
        <v>0</v>
      </c>
      <c r="T321" s="10"/>
      <c r="U321" s="17"/>
      <c r="V321" s="10"/>
      <c r="W321" s="10"/>
      <c r="X321" s="10"/>
      <c r="Y321" s="2"/>
    </row>
    <row r="322" spans="1:25">
      <c r="B322" s="11"/>
      <c r="C322" s="10"/>
      <c r="D322" s="10"/>
      <c r="E322" s="10"/>
      <c r="F322" s="10"/>
      <c r="G322" s="10"/>
      <c r="H322" s="10"/>
      <c r="I322" s="10"/>
      <c r="J322" s="10" t="s">
        <v>42</v>
      </c>
      <c r="K322" s="63">
        <f>K314</f>
        <v>0</v>
      </c>
      <c r="L322" s="63">
        <f t="shared" ref="L322:Q323" si="79">L314</f>
        <v>0</v>
      </c>
      <c r="M322" s="63">
        <f t="shared" si="79"/>
        <v>0</v>
      </c>
      <c r="N322" s="63">
        <f t="shared" si="79"/>
        <v>0</v>
      </c>
      <c r="O322" s="63">
        <f t="shared" si="79"/>
        <v>0</v>
      </c>
      <c r="P322" s="63">
        <f t="shared" si="79"/>
        <v>0</v>
      </c>
      <c r="Q322" s="63">
        <f t="shared" si="79"/>
        <v>0</v>
      </c>
      <c r="R322" s="63"/>
      <c r="S322" s="10"/>
      <c r="T322" s="10"/>
      <c r="U322" s="17"/>
      <c r="V322" s="10"/>
      <c r="W322" s="10"/>
      <c r="X322" s="10"/>
      <c r="Y322" s="2"/>
    </row>
    <row r="323" spans="1:25">
      <c r="B323" s="11"/>
      <c r="C323" s="10"/>
      <c r="D323" s="10"/>
      <c r="E323" s="10"/>
      <c r="F323" s="10"/>
      <c r="G323" s="10"/>
      <c r="H323" s="10"/>
      <c r="I323" s="10"/>
      <c r="J323" s="10" t="s">
        <v>44</v>
      </c>
      <c r="K323" s="63">
        <f>K315</f>
        <v>0</v>
      </c>
      <c r="L323" s="63">
        <f t="shared" si="79"/>
        <v>0</v>
      </c>
      <c r="M323" s="63">
        <f t="shared" si="79"/>
        <v>0</v>
      </c>
      <c r="N323" s="63">
        <f t="shared" si="79"/>
        <v>0</v>
      </c>
      <c r="O323" s="63">
        <f t="shared" si="79"/>
        <v>0</v>
      </c>
      <c r="P323" s="63">
        <f t="shared" si="79"/>
        <v>0</v>
      </c>
      <c r="Q323" s="63">
        <f t="shared" si="79"/>
        <v>0</v>
      </c>
      <c r="R323" s="63"/>
      <c r="S323" s="10"/>
      <c r="T323" s="10"/>
      <c r="U323" s="17"/>
      <c r="V323" s="10"/>
      <c r="W323" s="10"/>
      <c r="X323" s="10"/>
      <c r="Y323" s="2"/>
    </row>
    <row r="324" spans="1:25">
      <c r="B324" s="11"/>
      <c r="C324" s="10"/>
      <c r="D324" s="10"/>
      <c r="E324" s="12"/>
      <c r="F324" s="76"/>
      <c r="G324" s="10"/>
      <c r="H324" s="10"/>
      <c r="I324" s="10"/>
      <c r="J324" s="10" t="s">
        <v>46</v>
      </c>
      <c r="K324" s="31" t="e">
        <f t="shared" ref="K324:Q324" si="80">K322/(K322+K323)</f>
        <v>#DIV/0!</v>
      </c>
      <c r="L324" s="31" t="e">
        <f t="shared" si="80"/>
        <v>#DIV/0!</v>
      </c>
      <c r="M324" s="31" t="e">
        <f t="shared" si="80"/>
        <v>#DIV/0!</v>
      </c>
      <c r="N324" s="31" t="e">
        <f t="shared" si="80"/>
        <v>#DIV/0!</v>
      </c>
      <c r="O324" s="31" t="e">
        <f t="shared" si="80"/>
        <v>#DIV/0!</v>
      </c>
      <c r="P324" s="31" t="e">
        <f t="shared" si="80"/>
        <v>#DIV/0!</v>
      </c>
      <c r="Q324" s="31" t="e">
        <f t="shared" si="80"/>
        <v>#DIV/0!</v>
      </c>
      <c r="R324" s="63"/>
      <c r="S324" s="10"/>
      <c r="T324" s="10"/>
      <c r="U324" s="17"/>
      <c r="V324" s="10"/>
      <c r="W324" s="10"/>
      <c r="X324" s="10"/>
      <c r="Y324" s="2"/>
    </row>
    <row r="325" spans="1:25">
      <c r="B325" s="11"/>
      <c r="C325" s="10"/>
      <c r="D325" s="10"/>
      <c r="E325" s="10"/>
      <c r="F325" s="10"/>
      <c r="G325" s="10"/>
      <c r="H325" s="10"/>
      <c r="I325" s="10"/>
      <c r="J325" s="10" t="s">
        <v>48</v>
      </c>
      <c r="K325" s="66" t="e">
        <f t="shared" ref="K325:Q325" si="81">K321/K322</f>
        <v>#DIV/0!</v>
      </c>
      <c r="L325" s="66" t="e">
        <f t="shared" si="81"/>
        <v>#DIV/0!</v>
      </c>
      <c r="M325" s="66" t="e">
        <f t="shared" si="81"/>
        <v>#DIV/0!</v>
      </c>
      <c r="N325" s="66" t="e">
        <f t="shared" si="81"/>
        <v>#DIV/0!</v>
      </c>
      <c r="O325" s="66" t="e">
        <f t="shared" si="81"/>
        <v>#DIV/0!</v>
      </c>
      <c r="P325" s="66" t="e">
        <f t="shared" si="81"/>
        <v>#DIV/0!</v>
      </c>
      <c r="Q325" s="66" t="e">
        <f t="shared" si="81"/>
        <v>#DIV/0!</v>
      </c>
      <c r="R325" s="63"/>
      <c r="S325" s="10"/>
      <c r="T325" s="10"/>
      <c r="U325" s="17"/>
      <c r="V325" s="10"/>
      <c r="W325" s="10"/>
      <c r="X325" s="10"/>
      <c r="Y325" s="2"/>
    </row>
    <row r="326" spans="1:25">
      <c r="B326" s="11"/>
      <c r="C326" s="10"/>
      <c r="D326" s="10"/>
      <c r="E326" s="10"/>
      <c r="F326" s="10"/>
      <c r="G326" s="10"/>
      <c r="H326" s="10"/>
      <c r="I326" s="10"/>
      <c r="J326" s="10"/>
      <c r="K326" s="10"/>
      <c r="L326" s="10"/>
      <c r="M326" s="10"/>
      <c r="N326" s="10"/>
      <c r="O326" s="10"/>
      <c r="P326" s="10"/>
      <c r="Q326" s="10"/>
      <c r="R326" s="10"/>
      <c r="S326" s="10"/>
      <c r="T326" s="10"/>
      <c r="U326" s="17"/>
      <c r="V326" s="10"/>
      <c r="W326" s="10"/>
      <c r="X326" s="10"/>
      <c r="Y326" s="2"/>
    </row>
    <row r="327" spans="1:25">
      <c r="B327" s="11"/>
      <c r="C327" s="10"/>
      <c r="D327" s="10"/>
      <c r="E327" s="10"/>
      <c r="F327" s="10"/>
      <c r="G327" s="10"/>
      <c r="H327" s="10"/>
      <c r="I327" s="10"/>
      <c r="J327" s="10"/>
      <c r="K327" s="10"/>
      <c r="L327" s="10"/>
      <c r="M327" s="10"/>
      <c r="N327" s="10"/>
      <c r="O327" s="10"/>
      <c r="P327" s="10"/>
      <c r="Q327" s="10"/>
      <c r="R327" s="10"/>
      <c r="S327" s="10"/>
      <c r="T327" s="10"/>
      <c r="U327" s="17"/>
      <c r="V327" s="10"/>
      <c r="W327" s="10"/>
      <c r="X327" s="10"/>
      <c r="Y327" s="2"/>
    </row>
    <row r="328" spans="1:25">
      <c r="B328" s="18" t="s">
        <v>51</v>
      </c>
      <c r="C328" s="14"/>
      <c r="D328" s="14"/>
      <c r="E328" s="14"/>
      <c r="F328" s="13" t="s">
        <v>52</v>
      </c>
      <c r="G328" s="14"/>
      <c r="H328" s="14"/>
      <c r="I328" s="14"/>
      <c r="J328" s="14"/>
      <c r="K328" s="13" t="s">
        <v>3</v>
      </c>
      <c r="L328" s="14"/>
      <c r="M328" s="14"/>
      <c r="N328" s="13" t="s">
        <v>4</v>
      </c>
      <c r="O328" s="14"/>
      <c r="P328" s="14"/>
      <c r="Q328" s="13" t="s">
        <v>5</v>
      </c>
      <c r="R328" s="14"/>
      <c r="S328" s="14"/>
      <c r="T328" s="18"/>
      <c r="U328" s="16" t="s">
        <v>53</v>
      </c>
      <c r="V328" s="77"/>
      <c r="W328" s="77"/>
      <c r="X328" s="77"/>
      <c r="Y328" s="2"/>
    </row>
    <row r="329" spans="1:25">
      <c r="B329" s="24" t="s">
        <v>54</v>
      </c>
      <c r="C329" s="21" t="s">
        <v>55</v>
      </c>
      <c r="D329" s="21" t="s">
        <v>56</v>
      </c>
      <c r="E329" s="21" t="s">
        <v>57</v>
      </c>
      <c r="F329" s="20" t="s">
        <v>58</v>
      </c>
      <c r="G329" s="21" t="s">
        <v>59</v>
      </c>
      <c r="H329" s="21" t="s">
        <v>60</v>
      </c>
      <c r="I329" s="21" t="s">
        <v>26</v>
      </c>
      <c r="J329" s="22" t="s">
        <v>61</v>
      </c>
      <c r="K329" s="21" t="s">
        <v>8</v>
      </c>
      <c r="L329" s="21" t="s">
        <v>9</v>
      </c>
      <c r="M329" s="21" t="s">
        <v>10</v>
      </c>
      <c r="N329" s="20" t="s">
        <v>11</v>
      </c>
      <c r="O329" s="21" t="s">
        <v>12</v>
      </c>
      <c r="P329" s="22" t="s">
        <v>13</v>
      </c>
      <c r="Q329" s="21" t="s">
        <v>11</v>
      </c>
      <c r="R329" s="21" t="s">
        <v>12</v>
      </c>
      <c r="S329" s="21" t="s">
        <v>13</v>
      </c>
      <c r="T329" s="78" t="s">
        <v>14</v>
      </c>
      <c r="U329" s="30"/>
      <c r="V329" s="79" t="s">
        <v>62</v>
      </c>
      <c r="W329" s="80" t="s">
        <v>63</v>
      </c>
      <c r="X329" s="81" t="s">
        <v>64</v>
      </c>
      <c r="Y329" s="2"/>
    </row>
    <row r="330" spans="1:25">
      <c r="B330" s="4" t="s">
        <v>65</v>
      </c>
      <c r="C330" s="6"/>
      <c r="D330" s="6"/>
      <c r="E330" s="6"/>
      <c r="F330" s="6"/>
      <c r="G330" s="6"/>
      <c r="H330" s="6"/>
      <c r="I330" s="82"/>
      <c r="J330" s="6"/>
      <c r="K330" s="6"/>
      <c r="L330" s="6"/>
      <c r="M330" s="6"/>
      <c r="N330" s="6"/>
      <c r="O330" s="6"/>
      <c r="P330" s="6"/>
      <c r="Q330" s="6"/>
      <c r="R330" s="6"/>
      <c r="S330" s="6"/>
      <c r="T330" s="83"/>
      <c r="U330" s="6"/>
      <c r="V330" s="84"/>
      <c r="W330" s="85"/>
      <c r="X330" s="86"/>
      <c r="Y330" s="2"/>
    </row>
    <row r="331" spans="1:25">
      <c r="B331" s="87">
        <v>1</v>
      </c>
      <c r="C331" s="712"/>
      <c r="D331" s="271"/>
      <c r="E331" s="271"/>
      <c r="F331" s="265"/>
      <c r="G331" s="265"/>
      <c r="H331" s="365"/>
      <c r="I331" s="272">
        <f t="shared" ref="I331" si="82">F331-G331-H331</f>
        <v>0</v>
      </c>
      <c r="J331" s="267"/>
      <c r="K331" s="267"/>
      <c r="L331" s="267"/>
      <c r="M331" s="267"/>
      <c r="N331" s="267"/>
      <c r="O331" s="267"/>
      <c r="P331" s="267"/>
      <c r="Q331" s="267"/>
      <c r="R331" s="267"/>
      <c r="S331" s="269"/>
      <c r="T331" s="63"/>
      <c r="U331" s="10"/>
      <c r="V331" s="90"/>
      <c r="W331" s="91"/>
      <c r="X331" s="92"/>
      <c r="Y331" s="2"/>
    </row>
    <row r="332" spans="1:25">
      <c r="B332" s="87"/>
      <c r="C332" s="609"/>
      <c r="D332" s="10"/>
      <c r="E332" s="10"/>
      <c r="F332" s="97">
        <f>SUM(F331:F331)</f>
        <v>0</v>
      </c>
      <c r="G332" s="97">
        <f>SUM(G331:G331)</f>
        <v>0</v>
      </c>
      <c r="H332" s="97">
        <f>SUM(H331:H331)</f>
        <v>0</v>
      </c>
      <c r="I332" s="98">
        <f>SUM(I331:I331)</f>
        <v>0</v>
      </c>
      <c r="J332" s="63"/>
      <c r="K332" s="63">
        <f>COUNT(K331:K331)</f>
        <v>0</v>
      </c>
      <c r="L332" s="63">
        <f>COUNT(L331:L331)</f>
        <v>0</v>
      </c>
      <c r="M332" s="63">
        <f>COUNT(M331:M331)</f>
        <v>0</v>
      </c>
      <c r="N332" s="63">
        <f>COUNT(N331:N331)</f>
        <v>0</v>
      </c>
      <c r="O332" s="63">
        <f>COUNT(O331:O331)</f>
        <v>0</v>
      </c>
      <c r="P332" s="63">
        <f>COUNT(P331:P331)</f>
        <v>0</v>
      </c>
      <c r="Q332" s="63">
        <f>COUNT(Q331:Q331)</f>
        <v>0</v>
      </c>
      <c r="R332" s="63">
        <f>COUNT(R331:R331)</f>
        <v>0</v>
      </c>
      <c r="S332" s="63">
        <f>COUNT(S331:S331)</f>
        <v>0</v>
      </c>
      <c r="T332" s="63"/>
      <c r="U332" s="10"/>
      <c r="V332" s="90"/>
      <c r="W332" s="91"/>
      <c r="X332" s="92"/>
      <c r="Y332" s="2"/>
    </row>
    <row r="333" spans="1:25">
      <c r="B333" s="87"/>
      <c r="C333" s="609"/>
      <c r="D333" s="10"/>
      <c r="E333" s="10"/>
      <c r="F333" s="88"/>
      <c r="G333" s="88"/>
      <c r="H333" s="88"/>
      <c r="I333" s="99"/>
      <c r="J333" s="63"/>
      <c r="K333" s="21">
        <f>SUM(K331:K331)</f>
        <v>0</v>
      </c>
      <c r="L333" s="21">
        <f>SUM(L331:L331)</f>
        <v>0</v>
      </c>
      <c r="M333" s="21">
        <f>SUM(M331:M331)</f>
        <v>0</v>
      </c>
      <c r="N333" s="21">
        <f>SUM(N331:N331)</f>
        <v>0</v>
      </c>
      <c r="O333" s="21">
        <f>SUM(O331:O331)</f>
        <v>0</v>
      </c>
      <c r="P333" s="21">
        <f>SUM(P331:P331)</f>
        <v>0</v>
      </c>
      <c r="Q333" s="21">
        <f>SUM(Q331:Q331)</f>
        <v>0</v>
      </c>
      <c r="R333" s="21">
        <f>SUM(R331:R331)</f>
        <v>0</v>
      </c>
      <c r="S333" s="21">
        <f>SUM(S331:S331)</f>
        <v>0</v>
      </c>
      <c r="T333" s="63"/>
      <c r="U333" s="10"/>
      <c r="V333" s="90"/>
      <c r="W333" s="91"/>
      <c r="X333" s="92"/>
      <c r="Y333" s="2"/>
    </row>
    <row r="334" spans="1:25">
      <c r="B334" s="11"/>
      <c r="C334" s="609"/>
      <c r="D334" s="10"/>
      <c r="E334" s="10"/>
      <c r="F334" s="88"/>
      <c r="G334" s="88"/>
      <c r="H334" s="88"/>
      <c r="I334" s="99"/>
      <c r="J334" s="63"/>
      <c r="K334" s="21"/>
      <c r="L334" s="21"/>
      <c r="M334" s="21"/>
      <c r="N334" s="21"/>
      <c r="O334" s="21"/>
      <c r="P334" s="21"/>
      <c r="Q334" s="21"/>
      <c r="R334" s="21"/>
      <c r="S334" s="21"/>
      <c r="T334" s="63"/>
      <c r="U334" s="94"/>
      <c r="V334" s="90"/>
      <c r="W334" s="91"/>
      <c r="X334" s="92"/>
      <c r="Y334" s="2"/>
    </row>
    <row r="335" spans="1:25">
      <c r="A335" s="181"/>
      <c r="B335" s="100" t="s">
        <v>152</v>
      </c>
      <c r="C335" s="36"/>
      <c r="D335" s="10"/>
      <c r="E335" s="181"/>
      <c r="F335" s="88"/>
      <c r="G335" s="88"/>
      <c r="H335" s="88"/>
      <c r="I335" s="99"/>
      <c r="J335" s="63"/>
      <c r="K335" s="21"/>
      <c r="L335" s="21"/>
      <c r="M335" s="21"/>
      <c r="N335" s="21"/>
      <c r="O335" s="21"/>
      <c r="P335" s="21"/>
      <c r="Q335" s="21"/>
      <c r="R335" s="21"/>
      <c r="S335" s="21"/>
      <c r="T335" s="63"/>
      <c r="U335" s="94"/>
      <c r="V335" s="90"/>
      <c r="W335" s="91"/>
      <c r="X335" s="92"/>
    </row>
    <row r="336" spans="1:25">
      <c r="A336" s="181"/>
      <c r="B336" s="87">
        <v>1</v>
      </c>
      <c r="C336" s="262">
        <v>45855</v>
      </c>
      <c r="D336" s="357" t="s">
        <v>2297</v>
      </c>
      <c r="E336" s="271" t="s">
        <v>155</v>
      </c>
      <c r="F336" s="265">
        <v>11352.6</v>
      </c>
      <c r="G336" s="265">
        <f>+(67.77+822.67+125.32+56.2+32.52+326.48+98.57+60.28+1546.9)+1000</f>
        <v>4136.71</v>
      </c>
      <c r="H336" s="265"/>
      <c r="I336" s="266">
        <f>F336-G336-H336</f>
        <v>7215.89</v>
      </c>
      <c r="J336" s="267" t="s">
        <v>1386</v>
      </c>
      <c r="K336" s="267">
        <v>1</v>
      </c>
      <c r="L336" s="267">
        <v>1</v>
      </c>
      <c r="M336" s="267">
        <v>1</v>
      </c>
      <c r="N336" s="314">
        <v>0</v>
      </c>
      <c r="O336" s="314">
        <v>0</v>
      </c>
      <c r="P336" s="314">
        <v>0</v>
      </c>
      <c r="Q336" s="314">
        <v>0</v>
      </c>
      <c r="R336" s="314">
        <v>0</v>
      </c>
      <c r="S336" s="366">
        <v>0</v>
      </c>
      <c r="T336" s="63"/>
      <c r="U336" s="94" t="s">
        <v>2304</v>
      </c>
      <c r="V336" s="90"/>
      <c r="W336" s="136"/>
      <c r="X336" s="137"/>
    </row>
    <row r="337" spans="1:25">
      <c r="A337" s="181"/>
      <c r="B337" s="11"/>
      <c r="C337" s="36"/>
      <c r="D337" s="10"/>
      <c r="E337" s="10"/>
      <c r="F337" s="97">
        <f>SUM(F336:F336)</f>
        <v>11352.6</v>
      </c>
      <c r="G337" s="97">
        <f>SUM(G336:G336)</f>
        <v>4136.71</v>
      </c>
      <c r="H337" s="97">
        <f>SUM(H336:H336)</f>
        <v>0</v>
      </c>
      <c r="I337" s="98">
        <f>SUM(I336:I336)</f>
        <v>7215.89</v>
      </c>
      <c r="J337" s="63"/>
      <c r="K337" s="21"/>
      <c r="L337" s="21"/>
      <c r="M337" s="21"/>
      <c r="N337" s="21"/>
      <c r="O337" s="21"/>
      <c r="P337" s="21"/>
      <c r="Q337" s="21"/>
      <c r="R337" s="21"/>
      <c r="S337" s="21"/>
      <c r="T337" s="63"/>
      <c r="U337" s="94"/>
      <c r="V337" s="90"/>
      <c r="W337" s="91"/>
      <c r="X337" s="92"/>
    </row>
    <row r="338" spans="1:25">
      <c r="B338" s="26"/>
      <c r="C338" s="612"/>
      <c r="D338" s="141"/>
      <c r="E338" s="141"/>
      <c r="F338" s="141"/>
      <c r="G338" s="141"/>
      <c r="H338" s="141"/>
      <c r="I338" s="141"/>
      <c r="J338" s="141"/>
      <c r="K338" s="142"/>
      <c r="L338" s="142"/>
      <c r="M338" s="142"/>
      <c r="N338" s="142"/>
      <c r="O338" s="142"/>
      <c r="P338" s="142"/>
      <c r="Q338" s="142"/>
      <c r="R338" s="142"/>
      <c r="S338" s="142"/>
      <c r="T338" s="143">
        <f>SUM(T331:T337)</f>
        <v>0</v>
      </c>
      <c r="U338" s="141"/>
      <c r="V338" s="144">
        <f>SUM(V331:V337)</f>
        <v>0</v>
      </c>
      <c r="W338" s="145">
        <f>SUM(W331:W337)</f>
        <v>0</v>
      </c>
      <c r="X338" s="146">
        <f>SUM(X331:X337)</f>
        <v>0</v>
      </c>
      <c r="Y338" s="2"/>
    </row>
    <row r="339" spans="1:25">
      <c r="B339" s="10"/>
      <c r="C339" s="36"/>
      <c r="D339" s="10"/>
      <c r="E339" s="10"/>
      <c r="F339" s="10"/>
      <c r="G339" s="10"/>
      <c r="H339" s="10"/>
      <c r="I339" s="10"/>
      <c r="J339" s="10"/>
      <c r="K339" s="147"/>
      <c r="L339" s="147"/>
      <c r="M339" s="147"/>
      <c r="N339" s="147"/>
      <c r="O339" s="147"/>
      <c r="P339" s="147"/>
      <c r="Q339" s="147"/>
      <c r="R339" s="147"/>
      <c r="S339" s="147"/>
      <c r="T339" s="21"/>
      <c r="U339" s="10"/>
      <c r="V339" s="99"/>
      <c r="W339" s="99"/>
      <c r="X339" s="99"/>
      <c r="Y339" s="2"/>
    </row>
    <row r="341" spans="1:25">
      <c r="B341" s="4" t="s">
        <v>1</v>
      </c>
      <c r="C341" s="5"/>
      <c r="D341" s="83"/>
      <c r="E341" s="6"/>
      <c r="F341" s="7" t="s">
        <v>2</v>
      </c>
      <c r="G341" s="608">
        <v>45928</v>
      </c>
      <c r="H341" s="7"/>
      <c r="I341" s="6"/>
      <c r="J341" s="6"/>
      <c r="K341" s="6"/>
      <c r="L341" s="6"/>
      <c r="M341" s="6"/>
      <c r="N341" s="6"/>
      <c r="O341" s="6"/>
      <c r="P341" s="6"/>
      <c r="Q341" s="6"/>
      <c r="R341" s="6"/>
      <c r="S341" s="6"/>
      <c r="T341" s="6"/>
      <c r="U341" s="149"/>
      <c r="V341" s="77"/>
      <c r="W341" s="77"/>
      <c r="X341" s="77"/>
    </row>
    <row r="342" spans="1:25">
      <c r="B342" s="11"/>
      <c r="C342" s="10"/>
      <c r="D342" s="63"/>
      <c r="E342" s="10"/>
      <c r="F342" s="10"/>
      <c r="G342" s="7"/>
      <c r="H342" s="12"/>
      <c r="I342" s="10"/>
      <c r="J342" s="10"/>
      <c r="K342" s="13" t="s">
        <v>3</v>
      </c>
      <c r="L342" s="14"/>
      <c r="M342" s="15"/>
      <c r="N342" s="13" t="s">
        <v>4</v>
      </c>
      <c r="O342" s="14"/>
      <c r="P342" s="15"/>
      <c r="Q342" s="13" t="s">
        <v>5</v>
      </c>
      <c r="R342" s="14"/>
      <c r="S342" s="15"/>
      <c r="T342" s="16"/>
      <c r="U342" s="151"/>
      <c r="V342" s="77"/>
      <c r="W342" s="77"/>
      <c r="X342" s="77"/>
    </row>
    <row r="343" spans="1:25">
      <c r="B343" s="18" t="s">
        <v>6</v>
      </c>
      <c r="C343" s="19">
        <f>C344+C345</f>
        <v>0</v>
      </c>
      <c r="D343" s="63"/>
      <c r="E343" s="18" t="s">
        <v>7</v>
      </c>
      <c r="F343" s="6"/>
      <c r="G343" s="9"/>
      <c r="H343" s="10"/>
      <c r="I343" s="10"/>
      <c r="J343" s="10"/>
      <c r="K343" s="20" t="s">
        <v>8</v>
      </c>
      <c r="L343" s="21" t="s">
        <v>9</v>
      </c>
      <c r="M343" s="21" t="s">
        <v>10</v>
      </c>
      <c r="N343" s="20" t="s">
        <v>11</v>
      </c>
      <c r="O343" s="21" t="s">
        <v>12</v>
      </c>
      <c r="P343" s="22" t="s">
        <v>13</v>
      </c>
      <c r="Q343" s="21" t="s">
        <v>11</v>
      </c>
      <c r="R343" s="21" t="s">
        <v>12</v>
      </c>
      <c r="S343" s="22" t="s">
        <v>13</v>
      </c>
      <c r="T343" s="23" t="s">
        <v>14</v>
      </c>
      <c r="U343" s="151"/>
      <c r="V343" s="77"/>
      <c r="W343" s="77"/>
      <c r="X343" s="77"/>
    </row>
    <row r="344" spans="1:25">
      <c r="B344" s="24" t="s">
        <v>15</v>
      </c>
      <c r="C344" s="25">
        <f>P351</f>
        <v>0</v>
      </c>
      <c r="D344" s="63"/>
      <c r="E344" s="11" t="s">
        <v>16</v>
      </c>
      <c r="F344" s="10" t="s">
        <v>78</v>
      </c>
      <c r="G344" s="153">
        <v>0.05</v>
      </c>
      <c r="H344" s="10"/>
      <c r="I344" s="10"/>
      <c r="J344" s="18" t="s">
        <v>17</v>
      </c>
      <c r="K344" s="29">
        <f>K371</f>
        <v>0</v>
      </c>
      <c r="L344" s="29">
        <f t="shared" ref="L344:S344" si="83">L371</f>
        <v>0</v>
      </c>
      <c r="M344" s="29">
        <f t="shared" si="83"/>
        <v>0</v>
      </c>
      <c r="N344" s="29">
        <f t="shared" si="83"/>
        <v>0</v>
      </c>
      <c r="O344" s="29">
        <f t="shared" si="83"/>
        <v>0</v>
      </c>
      <c r="P344" s="29">
        <f t="shared" si="83"/>
        <v>0</v>
      </c>
      <c r="Q344" s="29">
        <f t="shared" si="83"/>
        <v>0</v>
      </c>
      <c r="R344" s="29">
        <f t="shared" si="83"/>
        <v>0</v>
      </c>
      <c r="S344" s="29">
        <f t="shared" si="83"/>
        <v>0</v>
      </c>
      <c r="T344" s="30">
        <f>T376</f>
        <v>0</v>
      </c>
      <c r="U344" s="151"/>
      <c r="V344" s="77"/>
      <c r="W344" s="77"/>
      <c r="X344" s="77"/>
    </row>
    <row r="345" spans="1:25">
      <c r="B345" s="24" t="s">
        <v>18</v>
      </c>
      <c r="C345" s="25">
        <f>P352</f>
        <v>0</v>
      </c>
      <c r="D345" s="63"/>
      <c r="E345" s="26" t="s">
        <v>80</v>
      </c>
      <c r="F345" s="141" t="s">
        <v>81</v>
      </c>
      <c r="G345" s="154">
        <v>0.1</v>
      </c>
      <c r="H345" s="10"/>
      <c r="I345" s="10"/>
      <c r="J345" s="32" t="s">
        <v>19</v>
      </c>
      <c r="K345" s="33" t="e">
        <f>K371/K370</f>
        <v>#DIV/0!</v>
      </c>
      <c r="L345" s="33" t="e">
        <f t="shared" ref="L345:S345" si="84">L371/L370</f>
        <v>#DIV/0!</v>
      </c>
      <c r="M345" s="33" t="e">
        <f t="shared" si="84"/>
        <v>#DIV/0!</v>
      </c>
      <c r="N345" s="33" t="e">
        <f t="shared" si="84"/>
        <v>#DIV/0!</v>
      </c>
      <c r="O345" s="33" t="e">
        <f t="shared" si="84"/>
        <v>#DIV/0!</v>
      </c>
      <c r="P345" s="33" t="e">
        <f t="shared" si="84"/>
        <v>#DIV/0!</v>
      </c>
      <c r="Q345" s="33" t="e">
        <f t="shared" si="84"/>
        <v>#DIV/0!</v>
      </c>
      <c r="R345" s="33" t="e">
        <f t="shared" si="84"/>
        <v>#DIV/0!</v>
      </c>
      <c r="S345" s="33" t="e">
        <f t="shared" si="84"/>
        <v>#DIV/0!</v>
      </c>
      <c r="T345" s="23"/>
      <c r="U345" s="151" t="s">
        <v>20</v>
      </c>
      <c r="V345" s="77"/>
      <c r="W345" s="77"/>
      <c r="X345" s="77"/>
    </row>
    <row r="346" spans="1:25">
      <c r="B346" s="24" t="s">
        <v>21</v>
      </c>
      <c r="C346" s="34" t="e">
        <f>P353</f>
        <v>#DIV/0!</v>
      </c>
      <c r="D346" s="63"/>
      <c r="E346" s="10"/>
      <c r="F346" s="10"/>
      <c r="G346" s="10"/>
      <c r="H346" s="10"/>
      <c r="I346" s="10"/>
      <c r="J346" s="10"/>
      <c r="K346" s="10"/>
      <c r="L346" s="10"/>
      <c r="M346" s="10"/>
      <c r="N346" s="10"/>
      <c r="O346" s="10"/>
      <c r="P346" s="10"/>
      <c r="Q346" s="10"/>
      <c r="R346" s="10"/>
      <c r="S346" s="10"/>
      <c r="T346" s="10"/>
      <c r="U346" s="151"/>
      <c r="V346" s="77"/>
      <c r="W346" s="77"/>
      <c r="X346" s="77"/>
    </row>
    <row r="347" spans="1:25">
      <c r="B347" s="24"/>
      <c r="C347" s="25"/>
      <c r="D347" s="63"/>
      <c r="E347" s="10"/>
      <c r="F347" s="18" t="s">
        <v>22</v>
      </c>
      <c r="G347" s="19" t="s">
        <v>23</v>
      </c>
      <c r="H347" s="35" t="s">
        <v>24</v>
      </c>
      <c r="I347" s="10"/>
      <c r="J347" s="10"/>
      <c r="K347" s="36"/>
      <c r="L347" s="36"/>
      <c r="M347" s="36"/>
      <c r="N347" s="36"/>
      <c r="O347" s="36"/>
      <c r="P347" s="36"/>
      <c r="Q347" s="36"/>
      <c r="R347" s="10"/>
      <c r="S347" s="10"/>
      <c r="T347" s="10"/>
      <c r="U347" s="151"/>
      <c r="V347" s="77"/>
      <c r="W347" s="77"/>
      <c r="X347" s="77"/>
    </row>
    <row r="348" spans="1:25">
      <c r="B348" s="32" t="s">
        <v>25</v>
      </c>
      <c r="C348" s="37" t="e">
        <f>P354</f>
        <v>#DIV/0!</v>
      </c>
      <c r="D348" s="63"/>
      <c r="E348" s="18" t="s">
        <v>26</v>
      </c>
      <c r="F348" s="38">
        <f>P350</f>
        <v>0</v>
      </c>
      <c r="G348" s="39">
        <f>I370</f>
        <v>0</v>
      </c>
      <c r="H348" s="40"/>
      <c r="I348" s="41"/>
      <c r="J348" s="42"/>
      <c r="K348" s="43" t="s">
        <v>27</v>
      </c>
      <c r="L348" s="44"/>
      <c r="M348" s="44"/>
      <c r="N348" s="44"/>
      <c r="O348" s="44"/>
      <c r="P348" s="44"/>
      <c r="Q348" s="45"/>
      <c r="R348" s="46" t="s">
        <v>28</v>
      </c>
      <c r="S348" s="47" t="s">
        <v>29</v>
      </c>
      <c r="T348" s="10"/>
      <c r="U348" s="151"/>
      <c r="V348" s="77"/>
      <c r="W348" s="77"/>
      <c r="X348" s="77"/>
    </row>
    <row r="349" spans="1:25">
      <c r="B349" s="11"/>
      <c r="C349" s="10"/>
      <c r="D349" s="63"/>
      <c r="E349" s="24" t="s">
        <v>30</v>
      </c>
      <c r="F349" s="48">
        <f>IF(F348&gt;=25000,10%,5%)</f>
        <v>0.05</v>
      </c>
      <c r="G349" s="17"/>
      <c r="H349" s="40"/>
      <c r="I349" s="41"/>
      <c r="J349" s="42"/>
      <c r="K349" s="20" t="s">
        <v>31</v>
      </c>
      <c r="L349" s="21" t="s">
        <v>32</v>
      </c>
      <c r="M349" s="21" t="s">
        <v>33</v>
      </c>
      <c r="N349" s="21" t="s">
        <v>34</v>
      </c>
      <c r="O349" s="21" t="s">
        <v>35</v>
      </c>
      <c r="P349" s="21" t="s">
        <v>36</v>
      </c>
      <c r="Q349" s="49" t="s">
        <v>37</v>
      </c>
      <c r="R349" s="50" t="s">
        <v>38</v>
      </c>
      <c r="S349" s="50" t="s">
        <v>38</v>
      </c>
      <c r="T349" s="10"/>
      <c r="U349" s="151"/>
      <c r="V349" s="77"/>
      <c r="W349" s="77"/>
      <c r="X349" s="77"/>
    </row>
    <row r="350" spans="1:25">
      <c r="B350" s="11"/>
      <c r="C350" s="10"/>
      <c r="D350" s="63"/>
      <c r="E350" s="51" t="s">
        <v>39</v>
      </c>
      <c r="F350" s="52">
        <f>F348*F349</f>
        <v>0</v>
      </c>
      <c r="G350" s="53" t="s">
        <v>40</v>
      </c>
      <c r="H350" s="54">
        <f>F350/1.12</f>
        <v>0</v>
      </c>
      <c r="I350" s="55"/>
      <c r="J350" s="42"/>
      <c r="K350" s="56"/>
      <c r="L350" s="57"/>
      <c r="M350" s="57"/>
      <c r="N350" s="57"/>
      <c r="O350" s="57"/>
      <c r="P350" s="57">
        <f>SUM(K350:O350)</f>
        <v>0</v>
      </c>
      <c r="Q350" s="58">
        <v>0</v>
      </c>
      <c r="R350" s="59">
        <f>0</f>
        <v>0</v>
      </c>
      <c r="S350" s="59">
        <f>0</f>
        <v>0</v>
      </c>
      <c r="T350" s="10"/>
      <c r="U350" s="151"/>
      <c r="V350" s="77"/>
      <c r="W350" s="77"/>
      <c r="X350" s="77"/>
    </row>
    <row r="351" spans="1:25">
      <c r="B351" s="11"/>
      <c r="C351" s="10"/>
      <c r="D351" s="63"/>
      <c r="E351" s="24" t="s">
        <v>41</v>
      </c>
      <c r="F351" s="60">
        <f>Q350</f>
        <v>0</v>
      </c>
      <c r="G351" s="61" t="s">
        <v>40</v>
      </c>
      <c r="H351" s="62"/>
      <c r="I351" s="62"/>
      <c r="J351" s="10" t="s">
        <v>42</v>
      </c>
      <c r="K351" s="63"/>
      <c r="L351" s="63"/>
      <c r="M351" s="63"/>
      <c r="N351" s="63"/>
      <c r="O351" s="63"/>
      <c r="P351" s="21">
        <f>SUM(K351:O351)</f>
        <v>0</v>
      </c>
      <c r="Q351" s="64"/>
      <c r="R351" s="63"/>
      <c r="S351" s="10"/>
      <c r="T351" s="10"/>
      <c r="U351" s="151"/>
      <c r="V351" s="77"/>
      <c r="W351" s="77"/>
      <c r="X351" s="77"/>
    </row>
    <row r="352" spans="1:25">
      <c r="B352" s="11"/>
      <c r="C352" s="10"/>
      <c r="D352" s="63"/>
      <c r="E352" s="51" t="s">
        <v>43</v>
      </c>
      <c r="F352" s="52">
        <f>F351*0.25</f>
        <v>0</v>
      </c>
      <c r="G352" s="53" t="s">
        <v>40</v>
      </c>
      <c r="H352" s="54">
        <f>F352/1.12</f>
        <v>0</v>
      </c>
      <c r="I352" s="10"/>
      <c r="J352" s="10" t="s">
        <v>44</v>
      </c>
      <c r="K352" s="63"/>
      <c r="L352" s="63"/>
      <c r="M352" s="63"/>
      <c r="N352" s="63"/>
      <c r="O352" s="63"/>
      <c r="P352" s="21">
        <f>SUM(K352:O352)</f>
        <v>0</v>
      </c>
      <c r="Q352" s="64"/>
      <c r="R352" s="63"/>
      <c r="S352" s="10"/>
      <c r="T352" s="10"/>
      <c r="U352" s="151"/>
      <c r="V352" s="77"/>
      <c r="W352" s="77"/>
      <c r="X352" s="77"/>
    </row>
    <row r="353" spans="2:24">
      <c r="B353" s="11"/>
      <c r="C353" s="10"/>
      <c r="D353" s="63"/>
      <c r="E353" s="24" t="s">
        <v>45</v>
      </c>
      <c r="F353" s="60">
        <v>0</v>
      </c>
      <c r="G353" s="61" t="s">
        <v>40</v>
      </c>
      <c r="H353" s="62"/>
      <c r="I353" s="10"/>
      <c r="J353" s="10" t="s">
        <v>46</v>
      </c>
      <c r="K353" s="31" t="e">
        <f t="shared" ref="K353:Q353" si="85">K351/(K351+K352)</f>
        <v>#DIV/0!</v>
      </c>
      <c r="L353" s="31" t="e">
        <f t="shared" si="85"/>
        <v>#DIV/0!</v>
      </c>
      <c r="M353" s="31" t="e">
        <f t="shared" si="85"/>
        <v>#DIV/0!</v>
      </c>
      <c r="N353" s="31" t="e">
        <f t="shared" si="85"/>
        <v>#DIV/0!</v>
      </c>
      <c r="O353" s="31" t="e">
        <f t="shared" si="85"/>
        <v>#DIV/0!</v>
      </c>
      <c r="P353" s="31" t="e">
        <f t="shared" si="85"/>
        <v>#DIV/0!</v>
      </c>
      <c r="Q353" s="31" t="e">
        <f t="shared" si="85"/>
        <v>#DIV/0!</v>
      </c>
      <c r="R353" s="63"/>
      <c r="S353" s="10"/>
      <c r="T353" s="10"/>
      <c r="U353" s="151"/>
      <c r="V353" s="77"/>
      <c r="W353" s="77"/>
      <c r="X353" s="77"/>
    </row>
    <row r="354" spans="2:24">
      <c r="B354" s="11"/>
      <c r="C354" s="10"/>
      <c r="D354" s="63"/>
      <c r="E354" s="51" t="s">
        <v>47</v>
      </c>
      <c r="F354" s="52">
        <f>F353*0.05</f>
        <v>0</v>
      </c>
      <c r="G354" s="65" t="s">
        <v>40</v>
      </c>
      <c r="H354" s="54">
        <f>F354/1.12</f>
        <v>0</v>
      </c>
      <c r="I354" s="42"/>
      <c r="J354" s="10" t="s">
        <v>48</v>
      </c>
      <c r="K354" s="66" t="e">
        <f>K350/K351</f>
        <v>#DIV/0!</v>
      </c>
      <c r="L354" s="66" t="e">
        <f t="shared" ref="L354:Q354" si="86">L350/L351</f>
        <v>#DIV/0!</v>
      </c>
      <c r="M354" s="66" t="e">
        <f t="shared" si="86"/>
        <v>#DIV/0!</v>
      </c>
      <c r="N354" s="66" t="e">
        <f t="shared" si="86"/>
        <v>#DIV/0!</v>
      </c>
      <c r="O354" s="66" t="e">
        <f t="shared" si="86"/>
        <v>#DIV/0!</v>
      </c>
      <c r="P354" s="66" t="e">
        <f t="shared" si="86"/>
        <v>#DIV/0!</v>
      </c>
      <c r="Q354" s="66" t="e">
        <f t="shared" si="86"/>
        <v>#DIV/0!</v>
      </c>
      <c r="R354" s="63"/>
      <c r="S354" s="10"/>
      <c r="T354" s="10"/>
      <c r="U354" s="151"/>
      <c r="V354" s="77"/>
      <c r="W354" s="77"/>
      <c r="X354" s="77"/>
    </row>
    <row r="355" spans="2:24">
      <c r="B355" s="132"/>
      <c r="C355" s="123"/>
      <c r="D355" s="127"/>
      <c r="E355" s="155" t="s">
        <v>14</v>
      </c>
      <c r="F355" s="156"/>
      <c r="G355" s="123"/>
      <c r="H355" s="54">
        <f>F355/1.12</f>
        <v>0</v>
      </c>
      <c r="I355" s="123"/>
      <c r="J355" s="123"/>
      <c r="K355" s="123"/>
      <c r="L355" s="123"/>
      <c r="M355" s="123"/>
      <c r="N355" s="123"/>
      <c r="O355" s="123"/>
      <c r="P355" s="123"/>
      <c r="Q355" s="123"/>
      <c r="R355" s="123"/>
      <c r="S355" s="123"/>
      <c r="T355" s="123"/>
      <c r="U355" s="157"/>
      <c r="V355" s="123"/>
      <c r="W355" s="123"/>
      <c r="X355" s="123"/>
    </row>
    <row r="356" spans="2:24">
      <c r="B356" s="132"/>
      <c r="C356" s="123"/>
      <c r="D356" s="127"/>
      <c r="E356" s="158" t="s">
        <v>49</v>
      </c>
      <c r="F356" s="159">
        <f>T345</f>
        <v>0</v>
      </c>
      <c r="G356" s="123"/>
      <c r="H356" s="54"/>
      <c r="I356" s="123"/>
      <c r="J356" s="42"/>
      <c r="K356" s="764" t="s">
        <v>50</v>
      </c>
      <c r="L356" s="765"/>
      <c r="M356" s="765"/>
      <c r="N356" s="765"/>
      <c r="O356" s="765"/>
      <c r="P356" s="765"/>
      <c r="Q356" s="766"/>
      <c r="R356" s="70" t="s">
        <v>28</v>
      </c>
      <c r="S356" s="71" t="s">
        <v>29</v>
      </c>
      <c r="T356" s="123"/>
      <c r="U356" s="157"/>
      <c r="V356" s="123"/>
      <c r="W356" s="123"/>
      <c r="X356" s="123"/>
    </row>
    <row r="357" spans="2:24">
      <c r="B357" s="132"/>
      <c r="C357" s="123"/>
      <c r="D357" s="127"/>
      <c r="E357" s="12"/>
      <c r="F357" s="76"/>
      <c r="G357" s="10"/>
      <c r="H357" s="10"/>
      <c r="I357" s="123"/>
      <c r="J357" s="42"/>
      <c r="K357" s="20" t="s">
        <v>31</v>
      </c>
      <c r="L357" s="21" t="s">
        <v>32</v>
      </c>
      <c r="M357" s="21" t="s">
        <v>33</v>
      </c>
      <c r="N357" s="21" t="s">
        <v>34</v>
      </c>
      <c r="O357" s="21" t="s">
        <v>35</v>
      </c>
      <c r="P357" s="21" t="s">
        <v>36</v>
      </c>
      <c r="Q357" s="49" t="s">
        <v>37</v>
      </c>
      <c r="R357" s="50" t="s">
        <v>38</v>
      </c>
      <c r="S357" s="50" t="s">
        <v>38</v>
      </c>
      <c r="T357" s="123"/>
      <c r="U357" s="157"/>
      <c r="V357" s="123"/>
      <c r="W357" s="123"/>
      <c r="X357" s="123"/>
    </row>
    <row r="358" spans="2:24">
      <c r="B358" s="132"/>
      <c r="C358" s="123"/>
      <c r="D358" s="127"/>
      <c r="E358" s="10"/>
      <c r="F358" s="10"/>
      <c r="G358" s="10"/>
      <c r="H358" s="10"/>
      <c r="I358" s="123"/>
      <c r="J358" s="42"/>
      <c r="K358" s="56"/>
      <c r="L358" s="57"/>
      <c r="M358" s="57"/>
      <c r="N358" s="57"/>
      <c r="O358" s="57"/>
      <c r="P358" s="57"/>
      <c r="Q358" s="58">
        <v>0</v>
      </c>
      <c r="R358" s="59"/>
      <c r="S358" s="59">
        <v>0</v>
      </c>
      <c r="T358" s="123"/>
      <c r="U358" s="157"/>
      <c r="V358" s="123"/>
      <c r="W358" s="123"/>
      <c r="X358" s="123"/>
    </row>
    <row r="359" spans="2:24">
      <c r="B359" s="132"/>
      <c r="C359" s="123"/>
      <c r="D359" s="127"/>
      <c r="E359" s="10"/>
      <c r="F359" s="10"/>
      <c r="G359" s="10"/>
      <c r="H359" s="10"/>
      <c r="I359" s="123"/>
      <c r="J359" s="10" t="s">
        <v>42</v>
      </c>
      <c r="K359" s="63">
        <f t="shared" ref="K359:Q360" si="87">K351</f>
        <v>0</v>
      </c>
      <c r="L359" s="63">
        <f t="shared" si="87"/>
        <v>0</v>
      </c>
      <c r="M359" s="63">
        <f t="shared" si="87"/>
        <v>0</v>
      </c>
      <c r="N359" s="63">
        <f t="shared" si="87"/>
        <v>0</v>
      </c>
      <c r="O359" s="63">
        <f t="shared" si="87"/>
        <v>0</v>
      </c>
      <c r="P359" s="63">
        <f t="shared" si="87"/>
        <v>0</v>
      </c>
      <c r="Q359" s="63">
        <f t="shared" si="87"/>
        <v>0</v>
      </c>
      <c r="R359" s="63"/>
      <c r="S359" s="10"/>
      <c r="T359" s="123"/>
      <c r="U359" s="157"/>
      <c r="V359" s="123"/>
      <c r="W359" s="123"/>
      <c r="X359" s="123"/>
    </row>
    <row r="360" spans="2:24">
      <c r="B360" s="132"/>
      <c r="C360" s="123"/>
      <c r="D360" s="127"/>
      <c r="E360" s="10"/>
      <c r="F360" s="10"/>
      <c r="G360" s="10"/>
      <c r="H360" s="10"/>
      <c r="I360" s="123"/>
      <c r="J360" s="10" t="s">
        <v>44</v>
      </c>
      <c r="K360" s="63">
        <f t="shared" si="87"/>
        <v>0</v>
      </c>
      <c r="L360" s="63">
        <f t="shared" si="87"/>
        <v>0</v>
      </c>
      <c r="M360" s="63">
        <f t="shared" si="87"/>
        <v>0</v>
      </c>
      <c r="N360" s="63">
        <f t="shared" si="87"/>
        <v>0</v>
      </c>
      <c r="O360" s="63">
        <f t="shared" si="87"/>
        <v>0</v>
      </c>
      <c r="P360" s="63">
        <f t="shared" si="87"/>
        <v>0</v>
      </c>
      <c r="Q360" s="63">
        <f t="shared" si="87"/>
        <v>0</v>
      </c>
      <c r="R360" s="63"/>
      <c r="S360" s="10"/>
      <c r="T360" s="123"/>
      <c r="U360" s="157"/>
      <c r="V360" s="123"/>
      <c r="W360" s="123"/>
      <c r="X360" s="123"/>
    </row>
    <row r="361" spans="2:24">
      <c r="B361" s="132"/>
      <c r="C361" s="123"/>
      <c r="D361" s="127"/>
      <c r="E361" s="12"/>
      <c r="F361" s="76"/>
      <c r="G361" s="10"/>
      <c r="H361" s="10"/>
      <c r="I361" s="123"/>
      <c r="J361" s="10" t="s">
        <v>46</v>
      </c>
      <c r="K361" s="31" t="e">
        <f t="shared" ref="K361:Q361" si="88">K359/(K359+K360)</f>
        <v>#DIV/0!</v>
      </c>
      <c r="L361" s="31" t="e">
        <f t="shared" si="88"/>
        <v>#DIV/0!</v>
      </c>
      <c r="M361" s="31" t="e">
        <f t="shared" si="88"/>
        <v>#DIV/0!</v>
      </c>
      <c r="N361" s="31" t="e">
        <f t="shared" si="88"/>
        <v>#DIV/0!</v>
      </c>
      <c r="O361" s="31" t="e">
        <f t="shared" si="88"/>
        <v>#DIV/0!</v>
      </c>
      <c r="P361" s="31" t="e">
        <f t="shared" si="88"/>
        <v>#DIV/0!</v>
      </c>
      <c r="Q361" s="31" t="e">
        <f t="shared" si="88"/>
        <v>#DIV/0!</v>
      </c>
      <c r="R361" s="63"/>
      <c r="S361" s="10"/>
      <c r="T361" s="123"/>
      <c r="U361" s="157"/>
      <c r="V361" s="123"/>
      <c r="W361" s="123"/>
      <c r="X361" s="123"/>
    </row>
    <row r="362" spans="2:24">
      <c r="B362" s="132"/>
      <c r="C362" s="123"/>
      <c r="D362" s="127"/>
      <c r="E362" s="12"/>
      <c r="F362" s="160"/>
      <c r="G362" s="123"/>
      <c r="H362" s="54"/>
      <c r="I362" s="123"/>
      <c r="J362" s="10" t="s">
        <v>48</v>
      </c>
      <c r="K362" s="66" t="e">
        <f t="shared" ref="K362:Q362" si="89">K358/K359</f>
        <v>#DIV/0!</v>
      </c>
      <c r="L362" s="66" t="e">
        <f t="shared" si="89"/>
        <v>#DIV/0!</v>
      </c>
      <c r="M362" s="66" t="e">
        <f t="shared" si="89"/>
        <v>#DIV/0!</v>
      </c>
      <c r="N362" s="66" t="e">
        <f t="shared" si="89"/>
        <v>#DIV/0!</v>
      </c>
      <c r="O362" s="66" t="e">
        <f t="shared" si="89"/>
        <v>#DIV/0!</v>
      </c>
      <c r="P362" s="66" t="e">
        <f t="shared" si="89"/>
        <v>#DIV/0!</v>
      </c>
      <c r="Q362" s="66" t="e">
        <f t="shared" si="89"/>
        <v>#DIV/0!</v>
      </c>
      <c r="R362" s="63"/>
      <c r="S362" s="10"/>
      <c r="T362" s="123"/>
      <c r="U362" s="157"/>
      <c r="V362" s="123"/>
      <c r="W362" s="123"/>
      <c r="X362" s="123"/>
    </row>
    <row r="363" spans="2:24">
      <c r="B363" s="132"/>
      <c r="C363" s="123"/>
      <c r="D363" s="127"/>
      <c r="E363" s="12"/>
      <c r="F363" s="160"/>
      <c r="G363" s="123"/>
      <c r="H363" s="54"/>
      <c r="I363" s="123"/>
      <c r="J363" s="123"/>
      <c r="K363" s="123"/>
      <c r="L363" s="123"/>
      <c r="M363" s="123"/>
      <c r="N363" s="123"/>
      <c r="O363" s="123"/>
      <c r="P363" s="123"/>
      <c r="Q363" s="123"/>
      <c r="R363" s="123"/>
      <c r="S363" s="123"/>
      <c r="T363" s="123"/>
      <c r="U363" s="157"/>
      <c r="V363" s="123"/>
      <c r="W363" s="123"/>
      <c r="X363" s="123"/>
    </row>
    <row r="364" spans="2:24">
      <c r="B364" s="11"/>
      <c r="C364" s="10"/>
      <c r="D364" s="63"/>
      <c r="E364" s="12"/>
      <c r="F364" s="12"/>
      <c r="G364" s="10"/>
      <c r="H364" s="10"/>
      <c r="I364" s="10"/>
      <c r="J364" s="10"/>
      <c r="K364" s="10"/>
      <c r="L364" s="10"/>
      <c r="M364" s="10"/>
      <c r="N364" s="10"/>
      <c r="O364" s="10"/>
      <c r="P364" s="10"/>
      <c r="Q364" s="10"/>
      <c r="R364" s="10"/>
      <c r="S364" s="10"/>
      <c r="T364" s="10"/>
      <c r="U364" s="151"/>
      <c r="V364" s="77"/>
      <c r="W364" s="77"/>
      <c r="X364" s="77"/>
    </row>
    <row r="365" spans="2:24">
      <c r="B365" s="11"/>
      <c r="C365" s="10"/>
      <c r="D365" s="63"/>
      <c r="E365" s="10"/>
      <c r="F365" s="10"/>
      <c r="G365" s="10"/>
      <c r="H365" s="10"/>
      <c r="I365" s="10"/>
      <c r="J365" s="10"/>
      <c r="K365" s="10"/>
      <c r="L365" s="10"/>
      <c r="M365" s="10"/>
      <c r="N365" s="10"/>
      <c r="O365" s="10"/>
      <c r="P365" s="10"/>
      <c r="Q365" s="10"/>
      <c r="R365" s="10"/>
      <c r="S365" s="10"/>
      <c r="T365" s="10"/>
      <c r="U365" s="151"/>
      <c r="V365" s="77"/>
      <c r="W365" s="77"/>
      <c r="X365" s="77"/>
    </row>
    <row r="366" spans="2:24">
      <c r="B366" s="18" t="s">
        <v>51</v>
      </c>
      <c r="C366" s="14"/>
      <c r="D366" s="14"/>
      <c r="E366" s="14"/>
      <c r="F366" s="13" t="s">
        <v>52</v>
      </c>
      <c r="G366" s="14"/>
      <c r="H366" s="14"/>
      <c r="I366" s="14"/>
      <c r="J366" s="14"/>
      <c r="K366" s="13" t="s">
        <v>3</v>
      </c>
      <c r="L366" s="14"/>
      <c r="M366" s="14"/>
      <c r="N366" s="13" t="s">
        <v>4</v>
      </c>
      <c r="O366" s="14"/>
      <c r="P366" s="14"/>
      <c r="Q366" s="13" t="s">
        <v>5</v>
      </c>
      <c r="R366" s="14"/>
      <c r="S366" s="14"/>
      <c r="T366" s="18"/>
      <c r="U366" s="161" t="s">
        <v>53</v>
      </c>
      <c r="V366" s="77"/>
      <c r="W366" s="77"/>
      <c r="X366" s="77"/>
    </row>
    <row r="367" spans="2:24">
      <c r="B367" s="24" t="s">
        <v>54</v>
      </c>
      <c r="C367" s="21" t="s">
        <v>55</v>
      </c>
      <c r="D367" s="21" t="s">
        <v>56</v>
      </c>
      <c r="E367" s="21" t="s">
        <v>57</v>
      </c>
      <c r="F367" s="20" t="s">
        <v>58</v>
      </c>
      <c r="G367" s="21" t="s">
        <v>59</v>
      </c>
      <c r="H367" s="21" t="s">
        <v>60</v>
      </c>
      <c r="I367" s="21" t="s">
        <v>26</v>
      </c>
      <c r="J367" s="22" t="s">
        <v>61</v>
      </c>
      <c r="K367" s="21" t="s">
        <v>8</v>
      </c>
      <c r="L367" s="21" t="s">
        <v>9</v>
      </c>
      <c r="M367" s="21" t="s">
        <v>10</v>
      </c>
      <c r="N367" s="20" t="s">
        <v>11</v>
      </c>
      <c r="O367" s="21" t="s">
        <v>12</v>
      </c>
      <c r="P367" s="22" t="s">
        <v>13</v>
      </c>
      <c r="Q367" s="21" t="s">
        <v>11</v>
      </c>
      <c r="R367" s="21" t="s">
        <v>12</v>
      </c>
      <c r="S367" s="21" t="s">
        <v>13</v>
      </c>
      <c r="T367" s="78" t="s">
        <v>14</v>
      </c>
      <c r="U367" s="162"/>
      <c r="V367" s="79" t="s">
        <v>62</v>
      </c>
      <c r="W367" s="80" t="s">
        <v>63</v>
      </c>
      <c r="X367" s="81" t="s">
        <v>64</v>
      </c>
    </row>
    <row r="368" spans="2:24">
      <c r="B368" s="4" t="s">
        <v>65</v>
      </c>
      <c r="C368" s="6"/>
      <c r="D368" s="6"/>
      <c r="E368" s="6"/>
      <c r="F368" s="6"/>
      <c r="G368" s="6"/>
      <c r="H368" s="6"/>
      <c r="I368" s="82"/>
      <c r="J368" s="6"/>
      <c r="K368" s="6"/>
      <c r="L368" s="6"/>
      <c r="M368" s="6"/>
      <c r="N368" s="6"/>
      <c r="O368" s="6"/>
      <c r="P368" s="6"/>
      <c r="Q368" s="6"/>
      <c r="R368" s="6"/>
      <c r="S368" s="6"/>
      <c r="T368" s="83"/>
      <c r="U368" s="163"/>
      <c r="V368" s="84"/>
      <c r="W368" s="85"/>
      <c r="X368" s="86"/>
    </row>
    <row r="369" spans="1:25">
      <c r="B369" s="87">
        <v>1</v>
      </c>
      <c r="C369" s="712"/>
      <c r="D369" s="271"/>
      <c r="E369" s="271"/>
      <c r="F369" s="265"/>
      <c r="G369" s="265"/>
      <c r="H369" s="365"/>
      <c r="I369" s="272">
        <f>F369-G369-H369</f>
        <v>0</v>
      </c>
      <c r="J369" s="267"/>
      <c r="K369" s="267"/>
      <c r="L369" s="267"/>
      <c r="M369" s="267"/>
      <c r="N369" s="267"/>
      <c r="O369" s="267"/>
      <c r="P369" s="267"/>
      <c r="Q369" s="267"/>
      <c r="R369" s="267"/>
      <c r="S369" s="269"/>
      <c r="T369" s="63"/>
      <c r="U369" s="94"/>
      <c r="V369" s="90"/>
      <c r="W369" s="91"/>
      <c r="X369" s="92"/>
    </row>
    <row r="370" spans="1:25">
      <c r="B370" s="87"/>
      <c r="C370" s="609"/>
      <c r="D370" s="10"/>
      <c r="E370" s="10"/>
      <c r="F370" s="97">
        <f>SUM(F369:F369)</f>
        <v>0</v>
      </c>
      <c r="G370" s="97">
        <f>SUM(G369:G369)</f>
        <v>0</v>
      </c>
      <c r="H370" s="97">
        <f>SUM(H369:H369)</f>
        <v>0</v>
      </c>
      <c r="I370" s="98">
        <f>SUM(I369:I369)</f>
        <v>0</v>
      </c>
      <c r="J370" s="63"/>
      <c r="K370" s="63">
        <f>COUNT(K369:K369)</f>
        <v>0</v>
      </c>
      <c r="L370" s="63">
        <f>COUNT(L369:L369)</f>
        <v>0</v>
      </c>
      <c r="M370" s="63">
        <f>COUNT(M369:M369)</f>
        <v>0</v>
      </c>
      <c r="N370" s="63">
        <f>COUNT(N369:N369)</f>
        <v>0</v>
      </c>
      <c r="O370" s="63">
        <f>COUNT(O369:O369)</f>
        <v>0</v>
      </c>
      <c r="P370" s="63">
        <f>COUNT(P369:P369)</f>
        <v>0</v>
      </c>
      <c r="Q370" s="63">
        <f>COUNT(Q369:Q369)</f>
        <v>0</v>
      </c>
      <c r="R370" s="63">
        <f>COUNT(R369:R369)</f>
        <v>0</v>
      </c>
      <c r="S370" s="63">
        <f>COUNT(S369:S369)</f>
        <v>0</v>
      </c>
      <c r="T370" s="63"/>
      <c r="U370" s="94"/>
      <c r="V370" s="90"/>
      <c r="W370" s="91"/>
      <c r="X370" s="92"/>
    </row>
    <row r="371" spans="1:25">
      <c r="B371" s="87"/>
      <c r="C371" s="609"/>
      <c r="D371" s="10"/>
      <c r="E371" s="10"/>
      <c r="F371" s="88"/>
      <c r="G371" s="88"/>
      <c r="H371" s="88"/>
      <c r="I371" s="99"/>
      <c r="J371" s="63"/>
      <c r="K371" s="21">
        <f>SUM(K369:K369)</f>
        <v>0</v>
      </c>
      <c r="L371" s="21">
        <f>SUM(L369:L369)</f>
        <v>0</v>
      </c>
      <c r="M371" s="21">
        <f>SUM(M369:M369)</f>
        <v>0</v>
      </c>
      <c r="N371" s="21">
        <f>SUM(N369:N369)</f>
        <v>0</v>
      </c>
      <c r="O371" s="21">
        <f>SUM(O369:O369)</f>
        <v>0</v>
      </c>
      <c r="P371" s="21">
        <f>SUM(P369:P369)</f>
        <v>0</v>
      </c>
      <c r="Q371" s="21">
        <f>SUM(Q369:Q369)</f>
        <v>0</v>
      </c>
      <c r="R371" s="21">
        <f>SUM(R369:R369)</f>
        <v>0</v>
      </c>
      <c r="S371" s="21">
        <f>SUM(S369:S369)</f>
        <v>0</v>
      </c>
      <c r="T371" s="63"/>
      <c r="U371" s="94"/>
      <c r="V371" s="90"/>
      <c r="W371" s="91"/>
      <c r="X371" s="92"/>
    </row>
    <row r="372" spans="1:25">
      <c r="B372" s="11"/>
      <c r="C372" s="609"/>
      <c r="D372" s="10"/>
      <c r="E372" s="10"/>
      <c r="F372" s="88"/>
      <c r="G372" s="88"/>
      <c r="H372" s="88"/>
      <c r="I372" s="99"/>
      <c r="J372" s="63"/>
      <c r="K372" s="21"/>
      <c r="L372" s="21"/>
      <c r="M372" s="21"/>
      <c r="N372" s="21"/>
      <c r="O372" s="21"/>
      <c r="P372" s="21"/>
      <c r="Q372" s="21"/>
      <c r="R372" s="21"/>
      <c r="S372" s="21"/>
      <c r="T372" s="63"/>
      <c r="U372" s="94"/>
      <c r="V372" s="90"/>
      <c r="W372" s="91"/>
      <c r="X372" s="92"/>
    </row>
    <row r="373" spans="1:25">
      <c r="A373" s="181"/>
      <c r="B373" s="100" t="s">
        <v>152</v>
      </c>
      <c r="C373" s="36"/>
      <c r="D373" s="10"/>
      <c r="E373" s="181"/>
      <c r="F373" s="88"/>
      <c r="G373" s="88"/>
      <c r="H373" s="88"/>
      <c r="I373" s="99"/>
      <c r="J373" s="63"/>
      <c r="K373" s="21"/>
      <c r="L373" s="21"/>
      <c r="M373" s="21"/>
      <c r="N373" s="21"/>
      <c r="O373" s="21"/>
      <c r="P373" s="21"/>
      <c r="Q373" s="21"/>
      <c r="R373" s="21"/>
      <c r="S373" s="21"/>
      <c r="T373" s="63"/>
      <c r="U373" s="94"/>
      <c r="V373" s="90"/>
      <c r="W373" s="91"/>
      <c r="X373" s="92"/>
    </row>
    <row r="374" spans="1:25">
      <c r="A374" s="181"/>
      <c r="B374" s="87">
        <v>1</v>
      </c>
      <c r="C374" s="262">
        <v>45855</v>
      </c>
      <c r="D374" s="273" t="s">
        <v>2297</v>
      </c>
      <c r="E374" s="271" t="s">
        <v>155</v>
      </c>
      <c r="F374" s="265">
        <v>11352.6</v>
      </c>
      <c r="G374" s="265">
        <f>+(67.77+822.67+125.32+56.2+32.52+326.48+98.57+60.28+1546.9)+1000</f>
        <v>4136.71</v>
      </c>
      <c r="H374" s="265"/>
      <c r="I374" s="266">
        <f>F374-G374-H374</f>
        <v>7215.89</v>
      </c>
      <c r="J374" s="267" t="s">
        <v>1386</v>
      </c>
      <c r="K374" s="267">
        <v>1</v>
      </c>
      <c r="L374" s="267">
        <v>1</v>
      </c>
      <c r="M374" s="267">
        <v>1</v>
      </c>
      <c r="N374" s="314">
        <v>0</v>
      </c>
      <c r="O374" s="314">
        <v>0</v>
      </c>
      <c r="P374" s="314">
        <v>0</v>
      </c>
      <c r="Q374" s="314">
        <v>0</v>
      </c>
      <c r="R374" s="314">
        <v>0</v>
      </c>
      <c r="S374" s="366">
        <v>0</v>
      </c>
      <c r="T374" s="63"/>
      <c r="U374" s="94" t="s">
        <v>2304</v>
      </c>
      <c r="V374" s="90"/>
      <c r="W374" s="136"/>
      <c r="X374" s="137"/>
    </row>
    <row r="375" spans="1:25">
      <c r="A375" s="181"/>
      <c r="B375" s="11"/>
      <c r="C375" s="36"/>
      <c r="D375" s="10"/>
      <c r="E375" s="10"/>
      <c r="F375" s="97">
        <f>SUM(F374:F374)</f>
        <v>11352.6</v>
      </c>
      <c r="G375" s="97">
        <f>SUM(G374:G374)</f>
        <v>4136.71</v>
      </c>
      <c r="H375" s="97">
        <f>SUM(H374:H374)</f>
        <v>0</v>
      </c>
      <c r="I375" s="98">
        <f>SUM(I374:I374)</f>
        <v>7215.89</v>
      </c>
      <c r="J375" s="63"/>
      <c r="K375" s="21"/>
      <c r="L375" s="21"/>
      <c r="M375" s="21"/>
      <c r="N375" s="21"/>
      <c r="O375" s="21"/>
      <c r="P375" s="21"/>
      <c r="Q375" s="21"/>
      <c r="R375" s="21"/>
      <c r="S375" s="21"/>
      <c r="T375" s="63"/>
      <c r="U375" s="94"/>
      <c r="V375" s="90"/>
      <c r="W375" s="91"/>
      <c r="X375" s="92"/>
    </row>
    <row r="376" spans="1:25">
      <c r="B376" s="26"/>
      <c r="C376" s="612"/>
      <c r="D376" s="141"/>
      <c r="E376" s="141"/>
      <c r="F376" s="141"/>
      <c r="G376" s="141"/>
      <c r="H376" s="141"/>
      <c r="I376" s="141"/>
      <c r="J376" s="141"/>
      <c r="K376" s="142"/>
      <c r="L376" s="142"/>
      <c r="M376" s="142"/>
      <c r="N376" s="142"/>
      <c r="O376" s="142"/>
      <c r="P376" s="142"/>
      <c r="Q376" s="142"/>
      <c r="R376" s="142"/>
      <c r="S376" s="142"/>
      <c r="T376" s="143">
        <f>SUM(T368:T375)</f>
        <v>0</v>
      </c>
      <c r="U376" s="168"/>
      <c r="V376" s="144">
        <f>SUM(V368:V375)</f>
        <v>0</v>
      </c>
      <c r="W376" s="145">
        <f>SUM(W368:W375)</f>
        <v>0</v>
      </c>
      <c r="X376" s="146">
        <f>SUM(X368:X375)</f>
        <v>0</v>
      </c>
    </row>
    <row r="377" spans="1:25">
      <c r="B377" s="2"/>
      <c r="C377" s="2"/>
      <c r="D377" s="2"/>
      <c r="E377" s="2"/>
      <c r="F377" s="2"/>
      <c r="G377" s="2"/>
      <c r="H377" s="2"/>
      <c r="I377" s="2"/>
      <c r="J377" s="2"/>
      <c r="K377" s="2"/>
      <c r="L377" s="2"/>
      <c r="M377" s="2"/>
      <c r="N377" s="2"/>
      <c r="O377" s="2"/>
      <c r="P377" s="2"/>
      <c r="Q377" s="2"/>
      <c r="R377" s="2"/>
      <c r="S377" s="2"/>
      <c r="T377" s="2"/>
      <c r="U377" s="2"/>
      <c r="V377" s="2"/>
      <c r="W377" s="2"/>
      <c r="X377" s="2"/>
    </row>
    <row r="379" spans="1:25">
      <c r="B379" s="4" t="s">
        <v>1</v>
      </c>
      <c r="C379" s="5"/>
      <c r="D379" s="83"/>
      <c r="E379" s="6"/>
      <c r="F379" s="7" t="s">
        <v>2</v>
      </c>
      <c r="G379" s="608">
        <v>45942</v>
      </c>
      <c r="H379" s="7"/>
      <c r="I379" s="6"/>
      <c r="J379" s="6"/>
      <c r="K379" s="6"/>
      <c r="L379" s="6"/>
      <c r="M379" s="6"/>
      <c r="N379" s="6"/>
      <c r="O379" s="6"/>
      <c r="P379" s="6"/>
      <c r="Q379" s="6"/>
      <c r="R379" s="6"/>
      <c r="S379" s="6"/>
      <c r="T379" s="6"/>
      <c r="U379" s="149"/>
      <c r="V379" s="77"/>
      <c r="W379" s="77"/>
      <c r="X379" s="77"/>
      <c r="Y379" s="2"/>
    </row>
    <row r="380" spans="1:25">
      <c r="B380" s="11"/>
      <c r="C380" s="10"/>
      <c r="D380" s="63"/>
      <c r="E380" s="10"/>
      <c r="F380" s="10"/>
      <c r="G380" s="7"/>
      <c r="H380" s="12"/>
      <c r="I380" s="10"/>
      <c r="J380" s="10"/>
      <c r="K380" s="13" t="s">
        <v>3</v>
      </c>
      <c r="L380" s="14"/>
      <c r="M380" s="15"/>
      <c r="N380" s="13" t="s">
        <v>4</v>
      </c>
      <c r="O380" s="14"/>
      <c r="P380" s="15"/>
      <c r="Q380" s="13" t="s">
        <v>5</v>
      </c>
      <c r="R380" s="14"/>
      <c r="S380" s="15"/>
      <c r="T380" s="16"/>
      <c r="U380" s="151"/>
      <c r="V380" s="77"/>
      <c r="W380" s="77"/>
      <c r="X380" s="77"/>
      <c r="Y380" s="2"/>
    </row>
    <row r="381" spans="1:25">
      <c r="B381" s="18" t="s">
        <v>6</v>
      </c>
      <c r="C381" s="19">
        <f>C382+C383</f>
        <v>1</v>
      </c>
      <c r="D381" s="63"/>
      <c r="E381" s="18" t="s">
        <v>7</v>
      </c>
      <c r="F381" s="6"/>
      <c r="G381" s="9"/>
      <c r="H381" s="10"/>
      <c r="I381" s="10"/>
      <c r="J381" s="10"/>
      <c r="K381" s="20" t="s">
        <v>8</v>
      </c>
      <c r="L381" s="21" t="s">
        <v>9</v>
      </c>
      <c r="M381" s="21" t="s">
        <v>10</v>
      </c>
      <c r="N381" s="20" t="s">
        <v>11</v>
      </c>
      <c r="O381" s="21" t="s">
        <v>12</v>
      </c>
      <c r="P381" s="22" t="s">
        <v>13</v>
      </c>
      <c r="Q381" s="21" t="s">
        <v>11</v>
      </c>
      <c r="R381" s="21" t="s">
        <v>12</v>
      </c>
      <c r="S381" s="22" t="s">
        <v>13</v>
      </c>
      <c r="T381" s="23" t="s">
        <v>14</v>
      </c>
      <c r="U381" s="151"/>
      <c r="V381" s="77"/>
      <c r="W381" s="77"/>
      <c r="X381" s="77"/>
      <c r="Y381" s="2"/>
    </row>
    <row r="382" spans="1:25">
      <c r="B382" s="24" t="s">
        <v>15</v>
      </c>
      <c r="C382" s="25">
        <f>P389</f>
        <v>1</v>
      </c>
      <c r="D382" s="63"/>
      <c r="E382" s="11" t="s">
        <v>16</v>
      </c>
      <c r="F382" s="10" t="s">
        <v>78</v>
      </c>
      <c r="G382" s="153">
        <v>0.05</v>
      </c>
      <c r="H382" s="10"/>
      <c r="I382" s="10"/>
      <c r="J382" s="18" t="s">
        <v>17</v>
      </c>
      <c r="K382" s="29">
        <f>K409</f>
        <v>1</v>
      </c>
      <c r="L382" s="29">
        <f t="shared" ref="L382:S382" si="90">L409</f>
        <v>1</v>
      </c>
      <c r="M382" s="29">
        <f t="shared" si="90"/>
        <v>1</v>
      </c>
      <c r="N382" s="29">
        <f t="shared" si="90"/>
        <v>1</v>
      </c>
      <c r="O382" s="29">
        <f t="shared" si="90"/>
        <v>1</v>
      </c>
      <c r="P382" s="29">
        <f t="shared" si="90"/>
        <v>0</v>
      </c>
      <c r="Q382" s="29">
        <f t="shared" si="90"/>
        <v>1</v>
      </c>
      <c r="R382" s="29">
        <f t="shared" si="90"/>
        <v>1</v>
      </c>
      <c r="S382" s="29">
        <f t="shared" si="90"/>
        <v>1</v>
      </c>
      <c r="T382" s="30">
        <f>T415</f>
        <v>0</v>
      </c>
      <c r="U382" s="151"/>
      <c r="V382" s="77"/>
      <c r="W382" s="77"/>
      <c r="X382" s="77"/>
      <c r="Y382" s="2"/>
    </row>
    <row r="383" spans="1:25">
      <c r="B383" s="24" t="s">
        <v>18</v>
      </c>
      <c r="C383" s="25">
        <f>P390</f>
        <v>0</v>
      </c>
      <c r="D383" s="63"/>
      <c r="E383" s="26" t="s">
        <v>80</v>
      </c>
      <c r="F383" s="141" t="s">
        <v>81</v>
      </c>
      <c r="G383" s="154">
        <v>0.1</v>
      </c>
      <c r="H383" s="10"/>
      <c r="I383" s="10"/>
      <c r="J383" s="32" t="s">
        <v>19</v>
      </c>
      <c r="K383" s="33">
        <f>K409/K408</f>
        <v>1</v>
      </c>
      <c r="L383" s="33">
        <f t="shared" ref="L383:S383" si="91">L409/L408</f>
        <v>1</v>
      </c>
      <c r="M383" s="33">
        <f t="shared" si="91"/>
        <v>1</v>
      </c>
      <c r="N383" s="33">
        <f t="shared" si="91"/>
        <v>1</v>
      </c>
      <c r="O383" s="33">
        <f t="shared" si="91"/>
        <v>1</v>
      </c>
      <c r="P383" s="33">
        <f t="shared" si="91"/>
        <v>0</v>
      </c>
      <c r="Q383" s="33">
        <f t="shared" si="91"/>
        <v>1</v>
      </c>
      <c r="R383" s="33">
        <f t="shared" si="91"/>
        <v>1</v>
      </c>
      <c r="S383" s="33">
        <f t="shared" si="91"/>
        <v>1</v>
      </c>
      <c r="T383" s="23"/>
      <c r="U383" s="151" t="s">
        <v>20</v>
      </c>
      <c r="V383" s="77"/>
      <c r="W383" s="77"/>
      <c r="X383" s="77"/>
      <c r="Y383" s="2"/>
    </row>
    <row r="384" spans="1:25">
      <c r="B384" s="24" t="s">
        <v>21</v>
      </c>
      <c r="C384" s="34">
        <f>P391</f>
        <v>1</v>
      </c>
      <c r="D384" s="63"/>
      <c r="E384" s="10"/>
      <c r="F384" s="10"/>
      <c r="G384" s="10"/>
      <c r="H384" s="10"/>
      <c r="I384" s="10"/>
      <c r="J384" s="10"/>
      <c r="K384" s="10"/>
      <c r="L384" s="10"/>
      <c r="M384" s="10"/>
      <c r="N384" s="10"/>
      <c r="O384" s="10"/>
      <c r="P384" s="10"/>
      <c r="Q384" s="10"/>
      <c r="R384" s="10"/>
      <c r="S384" s="10"/>
      <c r="T384" s="10"/>
      <c r="U384" s="151"/>
      <c r="V384" s="77"/>
      <c r="W384" s="77"/>
      <c r="X384" s="77"/>
      <c r="Y384" s="2"/>
    </row>
    <row r="385" spans="2:25">
      <c r="B385" s="24"/>
      <c r="C385" s="25"/>
      <c r="D385" s="63"/>
      <c r="E385" s="10"/>
      <c r="F385" s="18" t="s">
        <v>22</v>
      </c>
      <c r="G385" s="19" t="s">
        <v>23</v>
      </c>
      <c r="H385" s="35" t="s">
        <v>24</v>
      </c>
      <c r="I385" s="10"/>
      <c r="J385" s="10"/>
      <c r="K385" s="36"/>
      <c r="L385" s="36"/>
      <c r="M385" s="36"/>
      <c r="N385" s="36"/>
      <c r="O385" s="36"/>
      <c r="P385" s="36"/>
      <c r="Q385" s="36"/>
      <c r="R385" s="10"/>
      <c r="S385" s="10"/>
      <c r="T385" s="10"/>
      <c r="U385" s="151"/>
      <c r="V385" s="77"/>
      <c r="W385" s="77"/>
      <c r="X385" s="77"/>
      <c r="Y385" s="2"/>
    </row>
    <row r="386" spans="2:25">
      <c r="B386" s="32" t="s">
        <v>25</v>
      </c>
      <c r="C386" s="37">
        <f>P392</f>
        <v>1512.3</v>
      </c>
      <c r="D386" s="63"/>
      <c r="E386" s="18" t="s">
        <v>26</v>
      </c>
      <c r="F386" s="38">
        <f>P388</f>
        <v>1512.3</v>
      </c>
      <c r="G386" s="39">
        <f>I408</f>
        <v>1512.3</v>
      </c>
      <c r="H386" s="40"/>
      <c r="I386" s="41"/>
      <c r="J386" s="42"/>
      <c r="K386" s="43" t="s">
        <v>27</v>
      </c>
      <c r="L386" s="44"/>
      <c r="M386" s="44"/>
      <c r="N386" s="44"/>
      <c r="O386" s="44"/>
      <c r="P386" s="44"/>
      <c r="Q386" s="45"/>
      <c r="R386" s="46" t="s">
        <v>28</v>
      </c>
      <c r="S386" s="47" t="s">
        <v>29</v>
      </c>
      <c r="T386" s="10"/>
      <c r="U386" s="151"/>
      <c r="V386" s="77"/>
      <c r="W386" s="77"/>
      <c r="X386" s="77"/>
      <c r="Y386" s="2"/>
    </row>
    <row r="387" spans="2:25">
      <c r="B387" s="11"/>
      <c r="C387" s="10"/>
      <c r="D387" s="63"/>
      <c r="E387" s="24" t="s">
        <v>30</v>
      </c>
      <c r="F387" s="48">
        <f>IF(F386&gt;=25000,10%,5%)</f>
        <v>0.05</v>
      </c>
      <c r="G387" s="17"/>
      <c r="H387" s="40"/>
      <c r="I387" s="41"/>
      <c r="J387" s="42"/>
      <c r="K387" s="20" t="s">
        <v>31</v>
      </c>
      <c r="L387" s="21" t="s">
        <v>32</v>
      </c>
      <c r="M387" s="21" t="s">
        <v>33</v>
      </c>
      <c r="N387" s="21" t="s">
        <v>34</v>
      </c>
      <c r="O387" s="21" t="s">
        <v>35</v>
      </c>
      <c r="P387" s="21" t="s">
        <v>36</v>
      </c>
      <c r="Q387" s="49" t="s">
        <v>37</v>
      </c>
      <c r="R387" s="50" t="s">
        <v>38</v>
      </c>
      <c r="S387" s="50" t="s">
        <v>38</v>
      </c>
      <c r="T387" s="10"/>
      <c r="U387" s="151"/>
      <c r="V387" s="77"/>
      <c r="W387" s="77"/>
      <c r="X387" s="77"/>
      <c r="Y387" s="2"/>
    </row>
    <row r="388" spans="2:25">
      <c r="B388" s="11"/>
      <c r="C388" s="10"/>
      <c r="D388" s="63"/>
      <c r="E388" s="51" t="s">
        <v>39</v>
      </c>
      <c r="F388" s="52">
        <f>F386*F387</f>
        <v>75.614999999999995</v>
      </c>
      <c r="G388" s="53" t="s">
        <v>40</v>
      </c>
      <c r="H388" s="54">
        <f>F388/1.12</f>
        <v>67.513392857142847</v>
      </c>
      <c r="I388" s="55"/>
      <c r="J388" s="42"/>
      <c r="K388" s="56">
        <f>I407</f>
        <v>1512.3</v>
      </c>
      <c r="L388" s="57">
        <v>0</v>
      </c>
      <c r="M388" s="57">
        <v>0</v>
      </c>
      <c r="N388" s="57">
        <v>0</v>
      </c>
      <c r="O388" s="57">
        <v>0</v>
      </c>
      <c r="P388" s="57">
        <f>SUM(K388:O388)</f>
        <v>1512.3</v>
      </c>
      <c r="Q388" s="58">
        <v>0</v>
      </c>
      <c r="R388" s="59">
        <v>0</v>
      </c>
      <c r="S388" s="59">
        <v>0</v>
      </c>
      <c r="T388" s="10"/>
      <c r="U388" s="151"/>
      <c r="V388" s="77"/>
      <c r="W388" s="77"/>
      <c r="X388" s="77"/>
      <c r="Y388" s="2"/>
    </row>
    <row r="389" spans="2:25">
      <c r="B389" s="11"/>
      <c r="C389" s="10"/>
      <c r="D389" s="63"/>
      <c r="E389" s="24" t="s">
        <v>41</v>
      </c>
      <c r="F389" s="60">
        <f>Q388</f>
        <v>0</v>
      </c>
      <c r="G389" s="61" t="s">
        <v>40</v>
      </c>
      <c r="H389" s="62"/>
      <c r="I389" s="62"/>
      <c r="J389" s="10" t="s">
        <v>42</v>
      </c>
      <c r="K389" s="63">
        <v>1</v>
      </c>
      <c r="L389" s="63">
        <v>0</v>
      </c>
      <c r="M389" s="63">
        <v>0</v>
      </c>
      <c r="N389" s="63">
        <v>0</v>
      </c>
      <c r="O389" s="63">
        <v>0</v>
      </c>
      <c r="P389" s="21">
        <f>SUM(K389:O389)</f>
        <v>1</v>
      </c>
      <c r="Q389" s="64"/>
      <c r="R389" s="63"/>
      <c r="S389" s="10"/>
      <c r="T389" s="10"/>
      <c r="U389" s="151"/>
      <c r="V389" s="77"/>
      <c r="W389" s="77"/>
      <c r="X389" s="77"/>
      <c r="Y389" s="2"/>
    </row>
    <row r="390" spans="2:25">
      <c r="B390" s="11"/>
      <c r="C390" s="10"/>
      <c r="D390" s="63"/>
      <c r="E390" s="51" t="s">
        <v>43</v>
      </c>
      <c r="F390" s="52">
        <f>F389*0.25</f>
        <v>0</v>
      </c>
      <c r="G390" s="53" t="s">
        <v>40</v>
      </c>
      <c r="H390" s="54">
        <f>F390/1.12</f>
        <v>0</v>
      </c>
      <c r="I390" s="10"/>
      <c r="J390" s="10" t="s">
        <v>44</v>
      </c>
      <c r="K390" s="63">
        <v>0</v>
      </c>
      <c r="L390" s="63"/>
      <c r="M390" s="63">
        <v>0</v>
      </c>
      <c r="N390" s="63">
        <v>0</v>
      </c>
      <c r="O390" s="63">
        <v>0</v>
      </c>
      <c r="P390" s="21">
        <f>SUM(K390:O390)</f>
        <v>0</v>
      </c>
      <c r="Q390" s="64"/>
      <c r="R390" s="63"/>
      <c r="S390" s="10"/>
      <c r="T390" s="10"/>
      <c r="U390" s="151"/>
      <c r="V390" s="77"/>
      <c r="W390" s="77"/>
      <c r="X390" s="77"/>
      <c r="Y390" s="2"/>
    </row>
    <row r="391" spans="2:25">
      <c r="B391" s="11"/>
      <c r="C391" s="10"/>
      <c r="D391" s="63"/>
      <c r="E391" s="24" t="s">
        <v>45</v>
      </c>
      <c r="F391" s="60">
        <f>I413</f>
        <v>7215.89</v>
      </c>
      <c r="G391" s="61" t="s">
        <v>40</v>
      </c>
      <c r="H391" s="62"/>
      <c r="I391" s="10"/>
      <c r="J391" s="10" t="s">
        <v>46</v>
      </c>
      <c r="K391" s="31">
        <f t="shared" ref="K391:Q391" si="92">K389/(K389+K390)</f>
        <v>1</v>
      </c>
      <c r="L391" s="31" t="e">
        <f t="shared" si="92"/>
        <v>#DIV/0!</v>
      </c>
      <c r="M391" s="31" t="e">
        <f t="shared" si="92"/>
        <v>#DIV/0!</v>
      </c>
      <c r="N391" s="31" t="e">
        <f t="shared" si="92"/>
        <v>#DIV/0!</v>
      </c>
      <c r="O391" s="31" t="e">
        <f t="shared" si="92"/>
        <v>#DIV/0!</v>
      </c>
      <c r="P391" s="31">
        <f t="shared" si="92"/>
        <v>1</v>
      </c>
      <c r="Q391" s="31" t="e">
        <f t="shared" si="92"/>
        <v>#DIV/0!</v>
      </c>
      <c r="R391" s="63"/>
      <c r="S391" s="10"/>
      <c r="T391" s="10"/>
      <c r="U391" s="151"/>
      <c r="V391" s="77"/>
      <c r="W391" s="77"/>
      <c r="X391" s="77"/>
      <c r="Y391" s="2"/>
    </row>
    <row r="392" spans="2:25">
      <c r="B392" s="11"/>
      <c r="C392" s="10"/>
      <c r="D392" s="63"/>
      <c r="E392" s="51" t="s">
        <v>47</v>
      </c>
      <c r="F392" s="52">
        <f>F391*0.05</f>
        <v>360.79450000000003</v>
      </c>
      <c r="G392" s="65" t="s">
        <v>40</v>
      </c>
      <c r="H392" s="54">
        <f>F392/1.12</f>
        <v>322.13794642857141</v>
      </c>
      <c r="I392" s="42"/>
      <c r="J392" s="10" t="s">
        <v>48</v>
      </c>
      <c r="K392" s="66">
        <f>K388/K389</f>
        <v>1512.3</v>
      </c>
      <c r="L392" s="66" t="e">
        <f t="shared" ref="L392:Q392" si="93">L388/L389</f>
        <v>#DIV/0!</v>
      </c>
      <c r="M392" s="66" t="e">
        <f t="shared" si="93"/>
        <v>#DIV/0!</v>
      </c>
      <c r="N392" s="66" t="e">
        <f t="shared" si="93"/>
        <v>#DIV/0!</v>
      </c>
      <c r="O392" s="66" t="e">
        <f t="shared" si="93"/>
        <v>#DIV/0!</v>
      </c>
      <c r="P392" s="66">
        <f t="shared" si="93"/>
        <v>1512.3</v>
      </c>
      <c r="Q392" s="66" t="e">
        <f t="shared" si="93"/>
        <v>#DIV/0!</v>
      </c>
      <c r="R392" s="63"/>
      <c r="S392" s="10"/>
      <c r="T392" s="10"/>
      <c r="U392" s="151"/>
      <c r="V392" s="77"/>
      <c r="W392" s="77"/>
      <c r="X392" s="77"/>
      <c r="Y392" s="2"/>
    </row>
    <row r="393" spans="2:25">
      <c r="B393" s="132"/>
      <c r="C393" s="123"/>
      <c r="D393" s="127"/>
      <c r="E393" s="155" t="s">
        <v>14</v>
      </c>
      <c r="F393" s="156">
        <f>1*50</f>
        <v>50</v>
      </c>
      <c r="G393" s="123"/>
      <c r="H393" s="54">
        <f>F393/1.12</f>
        <v>44.642857142857139</v>
      </c>
      <c r="I393" s="123"/>
      <c r="J393" s="123"/>
      <c r="K393" s="123"/>
      <c r="L393" s="123"/>
      <c r="M393" s="123"/>
      <c r="N393" s="123"/>
      <c r="O393" s="123"/>
      <c r="P393" s="123"/>
      <c r="Q393" s="123"/>
      <c r="R393" s="123"/>
      <c r="S393" s="123"/>
      <c r="T393" s="123"/>
      <c r="U393" s="157"/>
      <c r="V393" s="123"/>
      <c r="W393" s="123"/>
      <c r="X393" s="123"/>
      <c r="Y393" s="128"/>
    </row>
    <row r="394" spans="2:25">
      <c r="B394" s="132"/>
      <c r="C394" s="123"/>
      <c r="D394" s="127"/>
      <c r="E394" s="158" t="s">
        <v>49</v>
      </c>
      <c r="F394" s="159">
        <f>T383</f>
        <v>0</v>
      </c>
      <c r="G394" s="123"/>
      <c r="H394" s="54"/>
      <c r="I394" s="123"/>
      <c r="J394" s="42"/>
      <c r="K394" s="764" t="s">
        <v>50</v>
      </c>
      <c r="L394" s="765"/>
      <c r="M394" s="765"/>
      <c r="N394" s="765"/>
      <c r="O394" s="765"/>
      <c r="P394" s="765"/>
      <c r="Q394" s="766"/>
      <c r="R394" s="70" t="s">
        <v>28</v>
      </c>
      <c r="S394" s="71" t="s">
        <v>29</v>
      </c>
      <c r="T394" s="123"/>
      <c r="U394" s="157"/>
      <c r="V394" s="123"/>
      <c r="W394" s="123"/>
      <c r="X394" s="123"/>
      <c r="Y394" s="128"/>
    </row>
    <row r="395" spans="2:25">
      <c r="B395" s="132"/>
      <c r="C395" s="123"/>
      <c r="D395" s="127"/>
      <c r="E395" s="155" t="s">
        <v>562</v>
      </c>
      <c r="F395" s="156">
        <f>$F$239</f>
        <v>52.129999999999995</v>
      </c>
      <c r="G395" s="123"/>
      <c r="H395" s="54">
        <f>F395/1.12</f>
        <v>46.544642857142847</v>
      </c>
      <c r="I395" s="123"/>
      <c r="J395" s="42"/>
      <c r="K395" s="20" t="s">
        <v>31</v>
      </c>
      <c r="L395" s="21" t="s">
        <v>32</v>
      </c>
      <c r="M395" s="21" t="s">
        <v>33</v>
      </c>
      <c r="N395" s="21" t="s">
        <v>34</v>
      </c>
      <c r="O395" s="21" t="s">
        <v>35</v>
      </c>
      <c r="P395" s="21" t="s">
        <v>36</v>
      </c>
      <c r="Q395" s="49" t="s">
        <v>37</v>
      </c>
      <c r="R395" s="50" t="s">
        <v>38</v>
      </c>
      <c r="S395" s="50" t="s">
        <v>38</v>
      </c>
      <c r="T395" s="123"/>
      <c r="U395" s="157"/>
      <c r="V395" s="123"/>
      <c r="W395" s="123"/>
      <c r="X395" s="123"/>
      <c r="Y395" s="128"/>
    </row>
    <row r="396" spans="2:25">
      <c r="B396" s="132"/>
      <c r="C396" s="123"/>
      <c r="D396" s="127"/>
      <c r="E396" s="12"/>
      <c r="F396" s="160"/>
      <c r="G396" s="123"/>
      <c r="H396" s="54"/>
      <c r="I396" s="123"/>
      <c r="J396" s="42"/>
      <c r="K396" s="56">
        <f>F407</f>
        <v>1752</v>
      </c>
      <c r="L396" s="57">
        <v>0</v>
      </c>
      <c r="M396" s="57">
        <v>0</v>
      </c>
      <c r="N396" s="57">
        <v>0</v>
      </c>
      <c r="O396" s="57">
        <v>0</v>
      </c>
      <c r="P396" s="57">
        <f>SUM(K396:O396)</f>
        <v>1752</v>
      </c>
      <c r="Q396" s="58">
        <v>0</v>
      </c>
      <c r="R396" s="59">
        <v>0</v>
      </c>
      <c r="S396" s="59">
        <v>0</v>
      </c>
      <c r="T396" s="123"/>
      <c r="U396" s="157"/>
      <c r="V396" s="123"/>
      <c r="W396" s="123"/>
      <c r="X396" s="123"/>
      <c r="Y396" s="128"/>
    </row>
    <row r="397" spans="2:25">
      <c r="B397" s="132"/>
      <c r="C397" s="123"/>
      <c r="D397" s="127"/>
      <c r="E397" s="12"/>
      <c r="F397" s="160"/>
      <c r="G397" s="123"/>
      <c r="H397" s="54"/>
      <c r="I397" s="123"/>
      <c r="J397" s="10" t="s">
        <v>42</v>
      </c>
      <c r="K397" s="63">
        <f t="shared" ref="K397:Q398" si="94">K389</f>
        <v>1</v>
      </c>
      <c r="L397" s="63">
        <f t="shared" si="94"/>
        <v>0</v>
      </c>
      <c r="M397" s="63">
        <f t="shared" si="94"/>
        <v>0</v>
      </c>
      <c r="N397" s="63">
        <f t="shared" si="94"/>
        <v>0</v>
      </c>
      <c r="O397" s="63">
        <f t="shared" si="94"/>
        <v>0</v>
      </c>
      <c r="P397" s="63">
        <f t="shared" si="94"/>
        <v>1</v>
      </c>
      <c r="Q397" s="63">
        <f t="shared" si="94"/>
        <v>0</v>
      </c>
      <c r="R397" s="63"/>
      <c r="S397" s="10"/>
      <c r="T397" s="123"/>
      <c r="U397" s="157"/>
      <c r="V397" s="123"/>
      <c r="W397" s="123"/>
      <c r="X397" s="123"/>
      <c r="Y397" s="128"/>
    </row>
    <row r="398" spans="2:25">
      <c r="B398" s="132"/>
      <c r="C398" s="123"/>
      <c r="D398" s="127"/>
      <c r="E398" s="12"/>
      <c r="F398" s="12"/>
      <c r="G398" s="123"/>
      <c r="H398" s="54"/>
      <c r="I398" s="123"/>
      <c r="J398" s="10" t="s">
        <v>44</v>
      </c>
      <c r="K398" s="63">
        <f t="shared" si="94"/>
        <v>0</v>
      </c>
      <c r="L398" s="63">
        <f t="shared" si="94"/>
        <v>0</v>
      </c>
      <c r="M398" s="63">
        <f t="shared" si="94"/>
        <v>0</v>
      </c>
      <c r="N398" s="63">
        <f t="shared" si="94"/>
        <v>0</v>
      </c>
      <c r="O398" s="63">
        <f t="shared" si="94"/>
        <v>0</v>
      </c>
      <c r="P398" s="63">
        <f t="shared" si="94"/>
        <v>0</v>
      </c>
      <c r="Q398" s="63">
        <f t="shared" si="94"/>
        <v>0</v>
      </c>
      <c r="R398" s="63"/>
      <c r="S398" s="10"/>
      <c r="T398" s="123"/>
      <c r="U398" s="157"/>
      <c r="V398" s="123"/>
      <c r="W398" s="123"/>
      <c r="X398" s="123"/>
      <c r="Y398" s="128"/>
    </row>
    <row r="399" spans="2:25">
      <c r="B399" s="132"/>
      <c r="C399" s="123"/>
      <c r="D399" s="127"/>
      <c r="E399" s="10"/>
      <c r="F399" s="10"/>
      <c r="G399" s="123"/>
      <c r="H399" s="54"/>
      <c r="I399" s="123"/>
      <c r="J399" s="10" t="s">
        <v>46</v>
      </c>
      <c r="K399" s="31">
        <f t="shared" ref="K399:Q399" si="95">K397/(K397+K398)</f>
        <v>1</v>
      </c>
      <c r="L399" s="31" t="e">
        <f t="shared" si="95"/>
        <v>#DIV/0!</v>
      </c>
      <c r="M399" s="31" t="e">
        <f t="shared" si="95"/>
        <v>#DIV/0!</v>
      </c>
      <c r="N399" s="31" t="e">
        <f t="shared" si="95"/>
        <v>#DIV/0!</v>
      </c>
      <c r="O399" s="31" t="e">
        <f t="shared" si="95"/>
        <v>#DIV/0!</v>
      </c>
      <c r="P399" s="31">
        <f t="shared" si="95"/>
        <v>1</v>
      </c>
      <c r="Q399" s="31" t="e">
        <f t="shared" si="95"/>
        <v>#DIV/0!</v>
      </c>
      <c r="R399" s="63"/>
      <c r="S399" s="10"/>
      <c r="T399" s="123"/>
      <c r="U399" s="157"/>
      <c r="V399" s="123"/>
      <c r="W399" s="123"/>
      <c r="X399" s="123"/>
      <c r="Y399" s="128"/>
    </row>
    <row r="400" spans="2:25">
      <c r="B400" s="132"/>
      <c r="C400" s="123"/>
      <c r="D400" s="127"/>
      <c r="E400" s="12"/>
      <c r="F400" s="160"/>
      <c r="G400" s="123"/>
      <c r="H400" s="54"/>
      <c r="I400" s="123"/>
      <c r="J400" s="10" t="s">
        <v>48</v>
      </c>
      <c r="K400" s="66">
        <f t="shared" ref="K400:Q400" si="96">K396/K397</f>
        <v>1752</v>
      </c>
      <c r="L400" s="66" t="e">
        <f t="shared" si="96"/>
        <v>#DIV/0!</v>
      </c>
      <c r="M400" s="66" t="e">
        <f t="shared" si="96"/>
        <v>#DIV/0!</v>
      </c>
      <c r="N400" s="66" t="e">
        <f t="shared" si="96"/>
        <v>#DIV/0!</v>
      </c>
      <c r="O400" s="66" t="e">
        <f t="shared" si="96"/>
        <v>#DIV/0!</v>
      </c>
      <c r="P400" s="66">
        <f t="shared" si="96"/>
        <v>1752</v>
      </c>
      <c r="Q400" s="66" t="e">
        <f t="shared" si="96"/>
        <v>#DIV/0!</v>
      </c>
      <c r="R400" s="63"/>
      <c r="S400" s="10"/>
      <c r="T400" s="123"/>
      <c r="U400" s="157"/>
      <c r="V400" s="123"/>
      <c r="W400" s="123"/>
      <c r="X400" s="123"/>
      <c r="Y400" s="128"/>
    </row>
    <row r="401" spans="1:25">
      <c r="B401" s="132"/>
      <c r="C401" s="123"/>
      <c r="D401" s="127"/>
      <c r="E401" s="12"/>
      <c r="F401" s="160"/>
      <c r="G401" s="123"/>
      <c r="H401" s="54"/>
      <c r="I401" s="123"/>
      <c r="J401" s="123"/>
      <c r="K401" s="123"/>
      <c r="L401" s="123"/>
      <c r="M401" s="123"/>
      <c r="N401" s="123"/>
      <c r="O401" s="123"/>
      <c r="P401" s="123"/>
      <c r="Q401" s="123"/>
      <c r="R401" s="123"/>
      <c r="S401" s="123"/>
      <c r="T401" s="123"/>
      <c r="U401" s="157"/>
      <c r="V401" s="123"/>
      <c r="W401" s="123"/>
      <c r="X401" s="123"/>
      <c r="Y401" s="128"/>
    </row>
    <row r="402" spans="1:25">
      <c r="B402" s="11"/>
      <c r="C402" s="10"/>
      <c r="D402" s="63"/>
      <c r="E402" s="12"/>
      <c r="F402" s="12"/>
      <c r="G402" s="10"/>
      <c r="H402" s="10"/>
      <c r="I402" s="10"/>
      <c r="J402" s="10"/>
      <c r="K402" s="10"/>
      <c r="L402" s="10"/>
      <c r="M402" s="10"/>
      <c r="N402" s="10"/>
      <c r="O402" s="10"/>
      <c r="P402" s="10"/>
      <c r="Q402" s="10"/>
      <c r="R402" s="10"/>
      <c r="S402" s="10"/>
      <c r="T402" s="10"/>
      <c r="U402" s="151"/>
      <c r="V402" s="77"/>
      <c r="W402" s="77"/>
      <c r="X402" s="77"/>
      <c r="Y402" s="2"/>
    </row>
    <row r="403" spans="1:25">
      <c r="B403" s="11"/>
      <c r="C403" s="10"/>
      <c r="D403" s="63"/>
      <c r="E403" s="10"/>
      <c r="F403" s="10"/>
      <c r="G403" s="10"/>
      <c r="H403" s="10"/>
      <c r="I403" s="10"/>
      <c r="J403" s="10"/>
      <c r="K403" s="10"/>
      <c r="L403" s="10"/>
      <c r="M403" s="10"/>
      <c r="N403" s="10"/>
      <c r="O403" s="10"/>
      <c r="P403" s="10"/>
      <c r="Q403" s="10"/>
      <c r="R403" s="10"/>
      <c r="S403" s="10"/>
      <c r="T403" s="10"/>
      <c r="U403" s="151"/>
      <c r="V403" s="77"/>
      <c r="W403" s="77"/>
      <c r="X403" s="77"/>
      <c r="Y403" s="2"/>
    </row>
    <row r="404" spans="1:25">
      <c r="B404" s="18" t="s">
        <v>51</v>
      </c>
      <c r="C404" s="14"/>
      <c r="D404" s="14"/>
      <c r="E404" s="14"/>
      <c r="F404" s="13" t="s">
        <v>52</v>
      </c>
      <c r="G404" s="14"/>
      <c r="H404" s="14"/>
      <c r="I404" s="14"/>
      <c r="J404" s="14"/>
      <c r="K404" s="13" t="s">
        <v>3</v>
      </c>
      <c r="L404" s="14"/>
      <c r="M404" s="14"/>
      <c r="N404" s="13" t="s">
        <v>4</v>
      </c>
      <c r="O404" s="14"/>
      <c r="P404" s="14"/>
      <c r="Q404" s="13" t="s">
        <v>5</v>
      </c>
      <c r="R404" s="14"/>
      <c r="S404" s="14"/>
      <c r="T404" s="18"/>
      <c r="U404" s="161" t="s">
        <v>53</v>
      </c>
      <c r="V404" s="77"/>
      <c r="W404" s="77"/>
      <c r="X404" s="77"/>
      <c r="Y404" s="2"/>
    </row>
    <row r="405" spans="1:25">
      <c r="B405" s="24" t="s">
        <v>54</v>
      </c>
      <c r="C405" s="21" t="s">
        <v>55</v>
      </c>
      <c r="D405" s="21" t="s">
        <v>56</v>
      </c>
      <c r="E405" s="21" t="s">
        <v>57</v>
      </c>
      <c r="F405" s="20" t="s">
        <v>58</v>
      </c>
      <c r="G405" s="21" t="s">
        <v>59</v>
      </c>
      <c r="H405" s="21" t="s">
        <v>60</v>
      </c>
      <c r="I405" s="21" t="s">
        <v>26</v>
      </c>
      <c r="J405" s="22" t="s">
        <v>61</v>
      </c>
      <c r="K405" s="21" t="s">
        <v>8</v>
      </c>
      <c r="L405" s="21" t="s">
        <v>9</v>
      </c>
      <c r="M405" s="21" t="s">
        <v>10</v>
      </c>
      <c r="N405" s="20" t="s">
        <v>11</v>
      </c>
      <c r="O405" s="21" t="s">
        <v>12</v>
      </c>
      <c r="P405" s="22" t="s">
        <v>13</v>
      </c>
      <c r="Q405" s="21" t="s">
        <v>11</v>
      </c>
      <c r="R405" s="21" t="s">
        <v>12</v>
      </c>
      <c r="S405" s="21" t="s">
        <v>13</v>
      </c>
      <c r="T405" s="78" t="s">
        <v>14</v>
      </c>
      <c r="U405" s="162"/>
      <c r="V405" s="79" t="s">
        <v>62</v>
      </c>
      <c r="W405" s="80" t="s">
        <v>63</v>
      </c>
      <c r="X405" s="81" t="s">
        <v>64</v>
      </c>
      <c r="Y405" s="2"/>
    </row>
    <row r="406" spans="1:25">
      <c r="B406" s="4" t="s">
        <v>65</v>
      </c>
      <c r="C406" s="6"/>
      <c r="D406" s="6"/>
      <c r="E406" s="6"/>
      <c r="F406" s="6"/>
      <c r="G406" s="6"/>
      <c r="H406" s="6"/>
      <c r="I406" s="82"/>
      <c r="J406" s="6"/>
      <c r="K406" s="6"/>
      <c r="L406" s="6"/>
      <c r="M406" s="6"/>
      <c r="N406" s="6"/>
      <c r="O406" s="6"/>
      <c r="P406" s="6"/>
      <c r="Q406" s="6"/>
      <c r="R406" s="6"/>
      <c r="S406" s="6"/>
      <c r="T406" s="83"/>
      <c r="U406" s="163"/>
      <c r="V406" s="84"/>
      <c r="W406" s="85"/>
      <c r="X406" s="86"/>
      <c r="Y406" s="2"/>
    </row>
    <row r="407" spans="1:25">
      <c r="B407" s="87">
        <v>1</v>
      </c>
      <c r="C407" s="641">
        <v>45936</v>
      </c>
      <c r="D407" s="642">
        <v>74073</v>
      </c>
      <c r="E407" s="271" t="s">
        <v>1085</v>
      </c>
      <c r="F407" s="265">
        <v>1752</v>
      </c>
      <c r="G407" s="265">
        <f>39.7+200</f>
        <v>239.7</v>
      </c>
      <c r="H407" s="265"/>
      <c r="I407" s="266">
        <f>F407-G407-H407</f>
        <v>1512.3</v>
      </c>
      <c r="J407" s="267" t="s">
        <v>156</v>
      </c>
      <c r="K407" s="267">
        <v>1</v>
      </c>
      <c r="L407" s="267">
        <v>1</v>
      </c>
      <c r="M407" s="267">
        <v>1</v>
      </c>
      <c r="N407" s="267">
        <v>1</v>
      </c>
      <c r="O407" s="267">
        <v>1</v>
      </c>
      <c r="P407" s="314">
        <v>0</v>
      </c>
      <c r="Q407" s="267">
        <v>1</v>
      </c>
      <c r="R407" s="267">
        <v>1</v>
      </c>
      <c r="S407" s="269">
        <v>1</v>
      </c>
      <c r="T407" s="63"/>
      <c r="U407" s="10" t="s">
        <v>2305</v>
      </c>
      <c r="V407" s="90">
        <f>317.9+1609.3</f>
        <v>1927.1999999999998</v>
      </c>
      <c r="W407" s="91"/>
      <c r="X407" s="92"/>
      <c r="Y407" s="2"/>
    </row>
    <row r="408" spans="1:25">
      <c r="B408" s="87"/>
      <c r="C408" s="609"/>
      <c r="D408" s="10"/>
      <c r="E408" s="10"/>
      <c r="F408" s="97">
        <f>SUM(F407:F407)</f>
        <v>1752</v>
      </c>
      <c r="G408" s="97">
        <f>SUM(G407:G407)</f>
        <v>239.7</v>
      </c>
      <c r="H408" s="97">
        <f>SUM(H407:H407)</f>
        <v>0</v>
      </c>
      <c r="I408" s="98">
        <f>SUM(I407:I407)</f>
        <v>1512.3</v>
      </c>
      <c r="J408" s="63"/>
      <c r="K408" s="63">
        <f>COUNT(K407:K407)</f>
        <v>1</v>
      </c>
      <c r="L408" s="63">
        <f>COUNT(L407:L407)</f>
        <v>1</v>
      </c>
      <c r="M408" s="63">
        <f>COUNT(M407:M407)</f>
        <v>1</v>
      </c>
      <c r="N408" s="63">
        <f>COUNT(N407:N407)</f>
        <v>1</v>
      </c>
      <c r="O408" s="63">
        <f>COUNT(O407:O407)</f>
        <v>1</v>
      </c>
      <c r="P408" s="63">
        <f>COUNT(P407:P407)</f>
        <v>1</v>
      </c>
      <c r="Q408" s="63">
        <f>COUNT(Q407:Q407)</f>
        <v>1</v>
      </c>
      <c r="R408" s="63">
        <f>COUNT(R407:R407)</f>
        <v>1</v>
      </c>
      <c r="S408" s="63">
        <f>COUNT(S407:S407)</f>
        <v>1</v>
      </c>
      <c r="T408" s="63"/>
      <c r="U408" s="94"/>
      <c r="V408" s="90"/>
      <c r="W408" s="91"/>
      <c r="X408" s="92"/>
      <c r="Y408" s="2"/>
    </row>
    <row r="409" spans="1:25">
      <c r="B409" s="87"/>
      <c r="C409" s="609"/>
      <c r="D409" s="10"/>
      <c r="E409" s="10"/>
      <c r="F409" s="88"/>
      <c r="G409" s="88"/>
      <c r="H409" s="88"/>
      <c r="I409" s="99"/>
      <c r="J409" s="63"/>
      <c r="K409" s="21">
        <f>SUM(K407:K407)</f>
        <v>1</v>
      </c>
      <c r="L409" s="21">
        <f>SUM(L407:L407)</f>
        <v>1</v>
      </c>
      <c r="M409" s="21">
        <f>SUM(M407:M407)</f>
        <v>1</v>
      </c>
      <c r="N409" s="21">
        <f>SUM(N407:N407)</f>
        <v>1</v>
      </c>
      <c r="O409" s="21">
        <f>SUM(O407:O407)</f>
        <v>1</v>
      </c>
      <c r="P409" s="21">
        <f>SUM(P407:P407)</f>
        <v>0</v>
      </c>
      <c r="Q409" s="21">
        <f>SUM(Q407:Q407)</f>
        <v>1</v>
      </c>
      <c r="R409" s="21">
        <f>SUM(R407:R407)</f>
        <v>1</v>
      </c>
      <c r="S409" s="21">
        <f>SUM(S407:S407)</f>
        <v>1</v>
      </c>
      <c r="T409" s="63"/>
      <c r="U409" s="94"/>
      <c r="V409" s="90"/>
      <c r="W409" s="91"/>
      <c r="X409" s="92"/>
      <c r="Y409" s="2"/>
    </row>
    <row r="410" spans="1:25">
      <c r="B410" s="87"/>
      <c r="C410" s="609"/>
      <c r="D410" s="10"/>
      <c r="E410" s="10"/>
      <c r="F410" s="88"/>
      <c r="G410" s="88"/>
      <c r="H410" s="88"/>
      <c r="I410" s="99"/>
      <c r="J410" s="63"/>
      <c r="K410" s="21"/>
      <c r="L410" s="21"/>
      <c r="M410" s="21"/>
      <c r="N410" s="21"/>
      <c r="O410" s="21"/>
      <c r="P410" s="21"/>
      <c r="Q410" s="21"/>
      <c r="R410" s="21"/>
      <c r="S410" s="21"/>
      <c r="T410" s="63"/>
      <c r="U410" s="94"/>
      <c r="V410" s="90"/>
      <c r="W410" s="91"/>
      <c r="X410" s="92"/>
      <c r="Y410" s="2"/>
    </row>
    <row r="411" spans="1:25">
      <c r="B411" s="100" t="s">
        <v>67</v>
      </c>
      <c r="C411" s="609"/>
      <c r="D411" s="10"/>
      <c r="E411" s="10"/>
      <c r="F411" s="88"/>
      <c r="G411" s="62"/>
      <c r="H411" s="88"/>
      <c r="I411" s="99"/>
      <c r="J411" s="63"/>
      <c r="K411" s="2"/>
      <c r="L411" s="2"/>
      <c r="M411" s="2"/>
      <c r="N411" s="2"/>
      <c r="O411" s="2"/>
      <c r="P411" s="2"/>
      <c r="Q411" s="2"/>
      <c r="R411" s="2"/>
      <c r="S411" s="2"/>
      <c r="T411" s="63"/>
      <c r="U411" s="94"/>
      <c r="V411" s="90"/>
      <c r="W411" s="91"/>
      <c r="X411" s="92"/>
      <c r="Y411" s="2"/>
    </row>
    <row r="412" spans="1:25">
      <c r="A412" s="181"/>
      <c r="B412" s="87">
        <v>1</v>
      </c>
      <c r="C412" s="262">
        <v>45855</v>
      </c>
      <c r="D412" s="357" t="s">
        <v>2297</v>
      </c>
      <c r="E412" s="271" t="s">
        <v>155</v>
      </c>
      <c r="F412" s="265">
        <v>11352.6</v>
      </c>
      <c r="G412" s="265">
        <f>+(67.77+822.67+125.32+56.2+32.52+326.48+98.57+60.28+1546.9)+1000</f>
        <v>4136.71</v>
      </c>
      <c r="H412" s="265"/>
      <c r="I412" s="266">
        <f>F412-G412-H412</f>
        <v>7215.89</v>
      </c>
      <c r="J412" s="267" t="s">
        <v>1386</v>
      </c>
      <c r="K412" s="267">
        <v>1</v>
      </c>
      <c r="L412" s="267">
        <v>1</v>
      </c>
      <c r="M412" s="267">
        <v>1</v>
      </c>
      <c r="N412" s="314">
        <v>0</v>
      </c>
      <c r="O412" s="314">
        <v>0</v>
      </c>
      <c r="P412" s="314">
        <v>0</v>
      </c>
      <c r="Q412" s="314">
        <v>0</v>
      </c>
      <c r="R412" s="314">
        <v>0</v>
      </c>
      <c r="S412" s="366">
        <v>0</v>
      </c>
      <c r="T412" s="63"/>
      <c r="U412" s="94" t="s">
        <v>2304</v>
      </c>
      <c r="V412" s="90"/>
      <c r="W412" s="136"/>
      <c r="X412" s="137"/>
    </row>
    <row r="413" spans="1:25">
      <c r="B413" s="11"/>
      <c r="C413" s="609"/>
      <c r="D413" s="10"/>
      <c r="E413" s="10"/>
      <c r="F413" s="97">
        <f>SUM(F412:F412)</f>
        <v>11352.6</v>
      </c>
      <c r="G413" s="97">
        <f>SUM(G412:G412)</f>
        <v>4136.71</v>
      </c>
      <c r="H413" s="97">
        <f>SUM(H412:H412)</f>
        <v>0</v>
      </c>
      <c r="I413" s="98">
        <f>SUM(I412:I412)</f>
        <v>7215.89</v>
      </c>
      <c r="J413" s="63"/>
      <c r="K413" s="21"/>
      <c r="L413" s="21"/>
      <c r="M413" s="21"/>
      <c r="N413" s="21"/>
      <c r="O413" s="21"/>
      <c r="P413" s="21"/>
      <c r="Q413" s="21"/>
      <c r="R413" s="21"/>
      <c r="S413" s="21"/>
      <c r="T413" s="63"/>
      <c r="U413" s="94"/>
      <c r="V413" s="90"/>
      <c r="W413" s="91"/>
      <c r="X413" s="92"/>
      <c r="Y413" s="2"/>
    </row>
    <row r="414" spans="1:25">
      <c r="B414" s="11"/>
      <c r="C414" s="609"/>
      <c r="D414" s="10"/>
      <c r="E414" s="10"/>
      <c r="F414" s="88"/>
      <c r="G414" s="88"/>
      <c r="H414" s="88"/>
      <c r="I414" s="99"/>
      <c r="J414" s="63"/>
      <c r="K414" s="21"/>
      <c r="L414" s="21"/>
      <c r="M414" s="21"/>
      <c r="N414" s="21"/>
      <c r="O414" s="21"/>
      <c r="P414" s="21"/>
      <c r="Q414" s="21"/>
      <c r="R414" s="21"/>
      <c r="S414" s="21"/>
      <c r="T414" s="63"/>
      <c r="U414" s="94"/>
      <c r="V414" s="90"/>
      <c r="W414" s="91"/>
      <c r="X414" s="92"/>
      <c r="Y414" s="2"/>
    </row>
    <row r="415" spans="1:25">
      <c r="B415" s="26"/>
      <c r="C415" s="612"/>
      <c r="D415" s="141"/>
      <c r="E415" s="141"/>
      <c r="F415" s="141"/>
      <c r="G415" s="141"/>
      <c r="H415" s="141"/>
      <c r="I415" s="141"/>
      <c r="J415" s="141"/>
      <c r="K415" s="142"/>
      <c r="L415" s="142"/>
      <c r="M415" s="142"/>
      <c r="N415" s="142"/>
      <c r="O415" s="142"/>
      <c r="P415" s="142"/>
      <c r="Q415" s="142"/>
      <c r="R415" s="142"/>
      <c r="S415" s="142"/>
      <c r="T415" s="143">
        <f>SUM(T406:T414)</f>
        <v>0</v>
      </c>
      <c r="U415" s="168"/>
      <c r="V415" s="144">
        <f>SUM(V406:V414)</f>
        <v>1927.1999999999998</v>
      </c>
      <c r="W415" s="145">
        <f>SUM(W406:W414)</f>
        <v>0</v>
      </c>
      <c r="X415" s="146">
        <f>SUM(X406:X414)</f>
        <v>0</v>
      </c>
      <c r="Y415" s="2"/>
    </row>
    <row r="416" spans="1:25">
      <c r="B416" s="2"/>
      <c r="C416" s="2"/>
      <c r="D416" s="2"/>
      <c r="E416" s="2"/>
      <c r="F416" s="2"/>
      <c r="G416" s="2"/>
      <c r="H416" s="2"/>
      <c r="I416" s="2"/>
      <c r="J416" s="2"/>
      <c r="K416" s="2"/>
      <c r="L416" s="2"/>
      <c r="M416" s="2"/>
      <c r="N416" s="2"/>
      <c r="O416" s="2"/>
      <c r="P416" s="2"/>
      <c r="Q416" s="2"/>
      <c r="R416" s="2"/>
      <c r="S416" s="2"/>
      <c r="T416" s="2"/>
      <c r="U416" s="2"/>
      <c r="V416" s="2"/>
      <c r="W416" s="2"/>
      <c r="X416" s="2"/>
      <c r="Y416" s="2"/>
    </row>
    <row r="418" spans="1:29">
      <c r="A418" s="616" t="s">
        <v>74</v>
      </c>
      <c r="B418" s="4" t="s">
        <v>1</v>
      </c>
      <c r="C418" s="5"/>
      <c r="D418" s="83"/>
      <c r="E418" s="6"/>
      <c r="F418" s="7" t="s">
        <v>2</v>
      </c>
      <c r="G418" s="608">
        <v>45970</v>
      </c>
      <c r="H418" s="7"/>
      <c r="I418" s="6"/>
      <c r="J418" s="6"/>
      <c r="K418" s="6"/>
      <c r="L418" s="6"/>
      <c r="M418" s="6"/>
      <c r="N418" s="6"/>
      <c r="O418" s="6"/>
      <c r="P418" s="6"/>
      <c r="Q418" s="6"/>
      <c r="R418" s="6"/>
      <c r="S418" s="6"/>
      <c r="T418" s="6"/>
      <c r="U418" s="149"/>
      <c r="V418" s="77"/>
      <c r="W418" s="77"/>
      <c r="X418" s="77"/>
      <c r="Y418" s="2"/>
      <c r="Z418" s="2"/>
      <c r="AA418" s="2"/>
      <c r="AB418" s="2"/>
      <c r="AC418" s="2"/>
    </row>
    <row r="419" spans="1:29">
      <c r="A419" s="617" t="s">
        <v>75</v>
      </c>
      <c r="B419" s="11"/>
      <c r="C419" s="10"/>
      <c r="D419" s="63"/>
      <c r="E419" s="10"/>
      <c r="F419" s="10"/>
      <c r="G419" s="7"/>
      <c r="H419" s="12"/>
      <c r="I419" s="10"/>
      <c r="J419" s="10"/>
      <c r="K419" s="13" t="s">
        <v>3</v>
      </c>
      <c r="L419" s="14"/>
      <c r="M419" s="15"/>
      <c r="N419" s="13" t="s">
        <v>4</v>
      </c>
      <c r="O419" s="14"/>
      <c r="P419" s="15"/>
      <c r="Q419" s="13" t="s">
        <v>5</v>
      </c>
      <c r="R419" s="14"/>
      <c r="S419" s="15"/>
      <c r="T419" s="16"/>
      <c r="U419" s="151"/>
      <c r="V419" s="77"/>
      <c r="W419" s="77"/>
      <c r="X419" s="77"/>
      <c r="Y419" s="2"/>
      <c r="Z419" s="2"/>
      <c r="AA419" s="2"/>
      <c r="AB419" s="2"/>
      <c r="AC419" s="2"/>
    </row>
    <row r="420" spans="1:29">
      <c r="A420" s="616" t="s">
        <v>76</v>
      </c>
      <c r="B420" s="18" t="s">
        <v>6</v>
      </c>
      <c r="C420" s="19">
        <f>C421+C422</f>
        <v>0</v>
      </c>
      <c r="D420" s="63"/>
      <c r="E420" s="18" t="s">
        <v>7</v>
      </c>
      <c r="F420" s="6"/>
      <c r="G420" s="9"/>
      <c r="H420" s="10"/>
      <c r="I420" s="10"/>
      <c r="J420" s="10"/>
      <c r="K420" s="20" t="s">
        <v>8</v>
      </c>
      <c r="L420" s="21" t="s">
        <v>9</v>
      </c>
      <c r="M420" s="21" t="s">
        <v>10</v>
      </c>
      <c r="N420" s="20" t="s">
        <v>11</v>
      </c>
      <c r="O420" s="21" t="s">
        <v>12</v>
      </c>
      <c r="P420" s="22" t="s">
        <v>13</v>
      </c>
      <c r="Q420" s="21" t="s">
        <v>11</v>
      </c>
      <c r="R420" s="21" t="s">
        <v>12</v>
      </c>
      <c r="S420" s="22" t="s">
        <v>13</v>
      </c>
      <c r="T420" s="23" t="s">
        <v>14</v>
      </c>
      <c r="U420" s="151"/>
      <c r="V420" s="77"/>
      <c r="W420" s="77"/>
      <c r="X420" s="77"/>
      <c r="Y420" s="2"/>
      <c r="Z420" s="2"/>
      <c r="AA420" s="2"/>
      <c r="AB420" s="2"/>
      <c r="AC420" s="2"/>
    </row>
    <row r="421" spans="1:29">
      <c r="A421" s="652" t="s">
        <v>77</v>
      </c>
      <c r="B421" s="24" t="s">
        <v>15</v>
      </c>
      <c r="C421" s="25">
        <f>P428</f>
        <v>0</v>
      </c>
      <c r="D421" s="63"/>
      <c r="E421" s="11" t="s">
        <v>16</v>
      </c>
      <c r="F421" s="10" t="s">
        <v>78</v>
      </c>
      <c r="G421" s="153">
        <v>0.05</v>
      </c>
      <c r="H421" s="10"/>
      <c r="I421" s="10"/>
      <c r="J421" s="18" t="s">
        <v>17</v>
      </c>
      <c r="K421" s="29">
        <f>K463</f>
        <v>0</v>
      </c>
      <c r="L421" s="29">
        <f>L463</f>
        <v>0</v>
      </c>
      <c r="M421" s="29">
        <f>M463</f>
        <v>0</v>
      </c>
      <c r="N421" s="29">
        <f>N463</f>
        <v>0</v>
      </c>
      <c r="O421" s="29">
        <f>O463</f>
        <v>0</v>
      </c>
      <c r="P421" s="29">
        <f>P463</f>
        <v>0</v>
      </c>
      <c r="Q421" s="29">
        <f>Q463</f>
        <v>0</v>
      </c>
      <c r="R421" s="29">
        <f>R463</f>
        <v>0</v>
      </c>
      <c r="S421" s="29">
        <f>S463</f>
        <v>0</v>
      </c>
      <c r="T421" s="30">
        <f>T560</f>
        <v>0</v>
      </c>
      <c r="U421" s="151"/>
      <c r="V421" s="77"/>
      <c r="W421" s="77"/>
      <c r="X421" s="77"/>
      <c r="Y421" s="2"/>
      <c r="Z421" s="2"/>
      <c r="AA421" s="2"/>
      <c r="AB421" s="2"/>
      <c r="AC421" s="2"/>
    </row>
    <row r="422" spans="1:29">
      <c r="A422" s="652" t="s">
        <v>79</v>
      </c>
      <c r="B422" s="24" t="s">
        <v>18</v>
      </c>
      <c r="C422" s="25">
        <f>P429</f>
        <v>0</v>
      </c>
      <c r="D422" s="63"/>
      <c r="E422" s="26" t="s">
        <v>80</v>
      </c>
      <c r="F422" s="141" t="s">
        <v>81</v>
      </c>
      <c r="G422" s="154">
        <v>0.1</v>
      </c>
      <c r="H422" s="10"/>
      <c r="I422" s="10"/>
      <c r="J422" s="32" t="s">
        <v>19</v>
      </c>
      <c r="K422" s="33" t="e">
        <f>K463/K462</f>
        <v>#DIV/0!</v>
      </c>
      <c r="L422" s="33" t="e">
        <f>L463/L462</f>
        <v>#DIV/0!</v>
      </c>
      <c r="M422" s="33" t="e">
        <f>M463/M462</f>
        <v>#DIV/0!</v>
      </c>
      <c r="N422" s="33" t="e">
        <f>N463/N462</f>
        <v>#DIV/0!</v>
      </c>
      <c r="O422" s="33" t="e">
        <f>O463/O462</f>
        <v>#DIV/0!</v>
      </c>
      <c r="P422" s="33" t="e">
        <f>P463/P462</f>
        <v>#DIV/0!</v>
      </c>
      <c r="Q422" s="33" t="e">
        <f>Q463/Q462</f>
        <v>#DIV/0!</v>
      </c>
      <c r="R422" s="33" t="e">
        <f>R463/R462</f>
        <v>#DIV/0!</v>
      </c>
      <c r="S422" s="33" t="e">
        <f>S463/S462</f>
        <v>#DIV/0!</v>
      </c>
      <c r="T422" s="23"/>
      <c r="U422" s="151" t="s">
        <v>20</v>
      </c>
      <c r="V422" s="77"/>
      <c r="W422" s="77"/>
      <c r="X422" s="77"/>
      <c r="Y422" s="2"/>
      <c r="Z422" s="2"/>
      <c r="AA422" s="2"/>
      <c r="AB422" s="2"/>
      <c r="AC422" s="2"/>
    </row>
    <row r="423" spans="1:29">
      <c r="A423" s="652" t="s">
        <v>82</v>
      </c>
      <c r="B423" s="24" t="s">
        <v>21</v>
      </c>
      <c r="C423" s="34" t="e">
        <f>P430</f>
        <v>#DIV/0!</v>
      </c>
      <c r="D423" s="63"/>
      <c r="E423" s="10"/>
      <c r="F423" s="10"/>
      <c r="G423" s="10"/>
      <c r="H423" s="10"/>
      <c r="I423" s="10"/>
      <c r="J423" s="10"/>
      <c r="K423" s="10"/>
      <c r="L423" s="10"/>
      <c r="M423" s="10"/>
      <c r="N423" s="10"/>
      <c r="O423" s="10"/>
      <c r="P423" s="10"/>
      <c r="Q423" s="10"/>
      <c r="R423" s="10"/>
      <c r="S423" s="10"/>
      <c r="T423" s="10"/>
      <c r="U423" s="151"/>
      <c r="V423" s="77"/>
      <c r="W423" s="77"/>
      <c r="X423" s="77"/>
      <c r="Y423" s="2"/>
      <c r="Z423" s="2"/>
      <c r="AA423" s="2"/>
      <c r="AB423" s="2"/>
      <c r="AC423" s="2"/>
    </row>
    <row r="424" spans="1:29">
      <c r="A424" s="652" t="s">
        <v>83</v>
      </c>
      <c r="B424" s="24"/>
      <c r="C424" s="25"/>
      <c r="D424" s="63"/>
      <c r="E424" s="10"/>
      <c r="F424" s="18" t="s">
        <v>22</v>
      </c>
      <c r="G424" s="19" t="s">
        <v>23</v>
      </c>
      <c r="H424" s="35" t="s">
        <v>24</v>
      </c>
      <c r="I424" s="10"/>
      <c r="J424" s="10"/>
      <c r="K424" s="36"/>
      <c r="L424" s="36"/>
      <c r="M424" s="36"/>
      <c r="N424" s="36"/>
      <c r="O424" s="36"/>
      <c r="P424" s="36"/>
      <c r="Q424" s="36"/>
      <c r="R424" s="10"/>
      <c r="S424" s="10"/>
      <c r="T424" s="10"/>
      <c r="U424" s="151"/>
      <c r="V424" s="77"/>
      <c r="W424" s="77"/>
      <c r="X424" s="77"/>
      <c r="Y424" s="2"/>
      <c r="Z424" s="2"/>
      <c r="AA424" s="2"/>
      <c r="AB424" s="2"/>
      <c r="AC424" s="2"/>
    </row>
    <row r="425" spans="1:29">
      <c r="A425" s="652" t="s">
        <v>84</v>
      </c>
      <c r="B425" s="32" t="s">
        <v>25</v>
      </c>
      <c r="C425" s="37" t="e">
        <f>P431</f>
        <v>#DIV/0!</v>
      </c>
      <c r="D425" s="63"/>
      <c r="E425" s="18" t="s">
        <v>26</v>
      </c>
      <c r="F425" s="38">
        <f>P427</f>
        <v>0</v>
      </c>
      <c r="G425" s="39">
        <f>I462+I496+I518</f>
        <v>0</v>
      </c>
      <c r="H425" s="40"/>
      <c r="I425" s="41"/>
      <c r="J425" s="42"/>
      <c r="K425" s="43" t="s">
        <v>27</v>
      </c>
      <c r="L425" s="44"/>
      <c r="M425" s="44"/>
      <c r="N425" s="44"/>
      <c r="O425" s="44"/>
      <c r="P425" s="44"/>
      <c r="Q425" s="45"/>
      <c r="R425" s="46" t="s">
        <v>28</v>
      </c>
      <c r="S425" s="47" t="s">
        <v>29</v>
      </c>
      <c r="T425" s="10"/>
      <c r="U425" s="151"/>
      <c r="V425" s="77"/>
      <c r="W425" s="77"/>
      <c r="X425" s="77"/>
      <c r="Y425" s="2"/>
      <c r="Z425" s="2"/>
      <c r="AA425" s="2"/>
      <c r="AB425" s="2"/>
      <c r="AC425" s="2"/>
    </row>
    <row r="426" spans="1:29">
      <c r="A426" s="614"/>
      <c r="B426" s="11"/>
      <c r="C426" s="10"/>
      <c r="D426" s="63"/>
      <c r="E426" s="24" t="s">
        <v>30</v>
      </c>
      <c r="F426" s="48">
        <f>IF(F425&gt;=25000,10%,5%)</f>
        <v>0.05</v>
      </c>
      <c r="G426" s="17"/>
      <c r="H426" s="40"/>
      <c r="I426" s="41"/>
      <c r="J426" s="42"/>
      <c r="K426" s="20" t="s">
        <v>31</v>
      </c>
      <c r="L426" s="21" t="s">
        <v>32</v>
      </c>
      <c r="M426" s="21" t="s">
        <v>33</v>
      </c>
      <c r="N426" s="21" t="s">
        <v>34</v>
      </c>
      <c r="O426" s="21" t="s">
        <v>35</v>
      </c>
      <c r="P426" s="21" t="s">
        <v>36</v>
      </c>
      <c r="Q426" s="49" t="s">
        <v>37</v>
      </c>
      <c r="R426" s="50" t="s">
        <v>38</v>
      </c>
      <c r="S426" s="50" t="s">
        <v>38</v>
      </c>
      <c r="T426" s="10"/>
      <c r="U426" s="151"/>
      <c r="V426" s="77"/>
      <c r="W426" s="77"/>
      <c r="X426" s="77"/>
      <c r="Y426" s="2"/>
      <c r="Z426" s="2"/>
      <c r="AA426" s="2"/>
      <c r="AB426" s="2"/>
      <c r="AC426" s="2"/>
    </row>
    <row r="427" spans="1:29">
      <c r="A427" s="614"/>
      <c r="B427" s="11"/>
      <c r="C427" s="10"/>
      <c r="D427" s="63"/>
      <c r="E427" s="51" t="s">
        <v>39</v>
      </c>
      <c r="F427" s="52">
        <f>F425*F426</f>
        <v>0</v>
      </c>
      <c r="G427" s="53" t="s">
        <v>40</v>
      </c>
      <c r="H427" s="54">
        <f>F427/1.12</f>
        <v>0</v>
      </c>
      <c r="I427" s="55"/>
      <c r="J427" s="42"/>
      <c r="K427" s="56"/>
      <c r="L427" s="57"/>
      <c r="M427" s="57"/>
      <c r="N427" s="57"/>
      <c r="O427" s="57"/>
      <c r="P427" s="57">
        <f>SUM(K427:O427)</f>
        <v>0</v>
      </c>
      <c r="Q427" s="58">
        <v>0</v>
      </c>
      <c r="R427" s="59">
        <f>I496+I518</f>
        <v>0</v>
      </c>
      <c r="S427" s="59">
        <f>+I507+I529</f>
        <v>0</v>
      </c>
      <c r="T427" s="10"/>
      <c r="U427" s="151"/>
      <c r="V427" s="77"/>
      <c r="W427" s="77"/>
      <c r="X427" s="77"/>
      <c r="Y427" s="2"/>
      <c r="Z427" s="2"/>
      <c r="AA427" s="2"/>
      <c r="AB427" s="2"/>
      <c r="AC427" s="2"/>
    </row>
    <row r="428" spans="1:29">
      <c r="A428" s="614"/>
      <c r="B428" s="11"/>
      <c r="C428" s="10"/>
      <c r="D428" s="63"/>
      <c r="E428" s="24" t="s">
        <v>41</v>
      </c>
      <c r="F428" s="60">
        <f>Q427</f>
        <v>0</v>
      </c>
      <c r="G428" s="61" t="s">
        <v>40</v>
      </c>
      <c r="H428" s="62"/>
      <c r="I428" s="62"/>
      <c r="J428" s="10" t="s">
        <v>42</v>
      </c>
      <c r="K428" s="63"/>
      <c r="L428" s="63"/>
      <c r="M428" s="63"/>
      <c r="N428" s="63"/>
      <c r="O428" s="63"/>
      <c r="P428" s="21">
        <f>SUM(K428:O428)</f>
        <v>0</v>
      </c>
      <c r="Q428" s="64"/>
      <c r="R428" s="63"/>
      <c r="S428" s="10"/>
      <c r="T428" s="10"/>
      <c r="U428" s="151"/>
      <c r="V428" s="77"/>
      <c r="W428" s="77"/>
      <c r="X428" s="77"/>
      <c r="Y428" s="2"/>
      <c r="Z428" s="2"/>
      <c r="AA428" s="2"/>
      <c r="AB428" s="2"/>
      <c r="AC428" s="2"/>
    </row>
    <row r="429" spans="1:29">
      <c r="A429" s="614"/>
      <c r="B429" s="11"/>
      <c r="C429" s="10"/>
      <c r="D429" s="63"/>
      <c r="E429" s="51" t="s">
        <v>43</v>
      </c>
      <c r="F429" s="52">
        <f>F428*0.25</f>
        <v>0</v>
      </c>
      <c r="G429" s="53" t="s">
        <v>40</v>
      </c>
      <c r="H429" s="54">
        <f>F429/1.12</f>
        <v>0</v>
      </c>
      <c r="I429" s="10"/>
      <c r="J429" s="10" t="s">
        <v>44</v>
      </c>
      <c r="K429" s="63"/>
      <c r="L429" s="63"/>
      <c r="M429" s="63"/>
      <c r="N429" s="63"/>
      <c r="O429" s="63"/>
      <c r="P429" s="21">
        <f>SUM(K429:O429)</f>
        <v>0</v>
      </c>
      <c r="Q429" s="64"/>
      <c r="R429" s="63"/>
      <c r="S429" s="10"/>
      <c r="T429" s="10"/>
      <c r="U429" s="151"/>
      <c r="V429" s="77"/>
      <c r="W429" s="77"/>
      <c r="X429" s="77"/>
      <c r="Y429" s="2"/>
      <c r="Z429" s="2"/>
      <c r="AA429" s="2"/>
      <c r="AB429" s="2"/>
      <c r="AC429" s="2"/>
    </row>
    <row r="430" spans="1:29">
      <c r="A430" s="614"/>
      <c r="B430" s="11"/>
      <c r="C430" s="10"/>
      <c r="D430" s="63"/>
      <c r="E430" s="24" t="s">
        <v>45</v>
      </c>
      <c r="F430" s="60">
        <v>0</v>
      </c>
      <c r="G430" s="61" t="s">
        <v>40</v>
      </c>
      <c r="H430" s="62"/>
      <c r="I430" s="10"/>
      <c r="J430" s="10" t="s">
        <v>46</v>
      </c>
      <c r="K430" s="31" t="e">
        <f>K428/(K428+K429)</f>
        <v>#DIV/0!</v>
      </c>
      <c r="L430" s="31" t="e">
        <f>L428/(L428+L429)</f>
        <v>#DIV/0!</v>
      </c>
      <c r="M430" s="31" t="e">
        <f>M428/(M428+M429)</f>
        <v>#DIV/0!</v>
      </c>
      <c r="N430" s="31" t="e">
        <f>N428/(N428+N429)</f>
        <v>#DIV/0!</v>
      </c>
      <c r="O430" s="31" t="e">
        <f>O428/(O428+O429)</f>
        <v>#DIV/0!</v>
      </c>
      <c r="P430" s="31" t="e">
        <f>P428/(P428+P429)</f>
        <v>#DIV/0!</v>
      </c>
      <c r="Q430" s="31" t="e">
        <f>Q428/(Q428+Q429)</f>
        <v>#DIV/0!</v>
      </c>
      <c r="R430" s="63"/>
      <c r="S430" s="10"/>
      <c r="T430" s="10"/>
      <c r="U430" s="151"/>
      <c r="V430" s="77"/>
      <c r="W430" s="77"/>
      <c r="X430" s="77"/>
      <c r="Y430" s="2"/>
      <c r="Z430" s="2"/>
      <c r="AA430" s="2"/>
      <c r="AB430" s="2"/>
      <c r="AC430" s="2"/>
    </row>
    <row r="431" spans="1:29">
      <c r="A431" s="614"/>
      <c r="B431" s="11"/>
      <c r="C431" s="10"/>
      <c r="D431" s="63"/>
      <c r="E431" s="51" t="s">
        <v>47</v>
      </c>
      <c r="F431" s="52">
        <f>F430*0.05</f>
        <v>0</v>
      </c>
      <c r="G431" s="65" t="s">
        <v>40</v>
      </c>
      <c r="H431" s="54">
        <f>F431/1.12</f>
        <v>0</v>
      </c>
      <c r="I431" s="42"/>
      <c r="J431" s="10" t="s">
        <v>48</v>
      </c>
      <c r="K431" s="66" t="e">
        <f>K427/K428</f>
        <v>#DIV/0!</v>
      </c>
      <c r="L431" s="66" t="e">
        <f>L427/L428</f>
        <v>#DIV/0!</v>
      </c>
      <c r="M431" s="66" t="e">
        <f>M427/M428</f>
        <v>#DIV/0!</v>
      </c>
      <c r="N431" s="66" t="e">
        <f>N427/N428</f>
        <v>#DIV/0!</v>
      </c>
      <c r="O431" s="66" t="e">
        <f>O427/O428</f>
        <v>#DIV/0!</v>
      </c>
      <c r="P431" s="66" t="e">
        <f>P427/P428</f>
        <v>#DIV/0!</v>
      </c>
      <c r="Q431" s="66" t="e">
        <f>Q427/Q428</f>
        <v>#DIV/0!</v>
      </c>
      <c r="R431" s="63"/>
      <c r="S431" s="10"/>
      <c r="T431" s="10"/>
      <c r="U431" s="151"/>
      <c r="V431" s="77"/>
      <c r="W431" s="77"/>
      <c r="X431" s="77"/>
      <c r="Y431" s="2"/>
      <c r="Z431" s="2"/>
      <c r="AA431" s="2"/>
      <c r="AB431" s="2"/>
      <c r="AC431" s="2"/>
    </row>
    <row r="432" spans="1:29">
      <c r="A432" s="615"/>
      <c r="B432" s="132"/>
      <c r="C432" s="123"/>
      <c r="D432" s="127"/>
      <c r="E432" s="155" t="s">
        <v>14</v>
      </c>
      <c r="F432" s="156"/>
      <c r="G432" s="123"/>
      <c r="H432" s="54">
        <f>F432/1.12</f>
        <v>0</v>
      </c>
      <c r="I432" s="123"/>
      <c r="J432" s="123"/>
      <c r="K432" s="123"/>
      <c r="L432" s="123"/>
      <c r="M432" s="123"/>
      <c r="N432" s="123"/>
      <c r="O432" s="123"/>
      <c r="P432" s="123"/>
      <c r="Q432" s="123"/>
      <c r="R432" s="123"/>
      <c r="S432" s="123"/>
      <c r="T432" s="123"/>
      <c r="U432" s="157"/>
      <c r="V432" s="123"/>
      <c r="W432" s="123"/>
      <c r="X432" s="123"/>
      <c r="Y432" s="128"/>
      <c r="Z432" s="128"/>
      <c r="AA432" s="128"/>
      <c r="AB432" s="128"/>
      <c r="AC432" s="128"/>
    </row>
    <row r="433" spans="1:29">
      <c r="A433" s="615"/>
      <c r="B433" s="132"/>
      <c r="C433" s="123"/>
      <c r="D433" s="127"/>
      <c r="E433" s="158" t="s">
        <v>49</v>
      </c>
      <c r="F433" s="159">
        <f>T422</f>
        <v>0</v>
      </c>
      <c r="G433" s="123"/>
      <c r="H433" s="54"/>
      <c r="I433" s="123"/>
      <c r="J433" s="42"/>
      <c r="K433" s="764" t="s">
        <v>50</v>
      </c>
      <c r="L433" s="765"/>
      <c r="M433" s="765"/>
      <c r="N433" s="765"/>
      <c r="O433" s="765"/>
      <c r="P433" s="765"/>
      <c r="Q433" s="766"/>
      <c r="R433" s="70" t="s">
        <v>28</v>
      </c>
      <c r="S433" s="71" t="s">
        <v>29</v>
      </c>
      <c r="T433" s="123"/>
      <c r="U433" s="157"/>
      <c r="V433" s="123"/>
      <c r="W433" s="123"/>
      <c r="X433" s="123"/>
      <c r="Y433" s="128"/>
      <c r="Z433" s="128"/>
      <c r="AA433" s="128"/>
      <c r="AB433" s="128"/>
      <c r="AC433" s="128"/>
    </row>
    <row r="434" spans="1:29">
      <c r="A434" s="615"/>
      <c r="B434" s="132"/>
      <c r="C434" s="123"/>
      <c r="D434" s="127"/>
      <c r="E434" s="72"/>
      <c r="F434" s="73"/>
      <c r="G434" s="123"/>
      <c r="H434" s="54"/>
      <c r="I434" s="123"/>
      <c r="J434" s="42"/>
      <c r="K434" s="20" t="s">
        <v>31</v>
      </c>
      <c r="L434" s="21" t="s">
        <v>32</v>
      </c>
      <c r="M434" s="21" t="s">
        <v>33</v>
      </c>
      <c r="N434" s="21" t="s">
        <v>34</v>
      </c>
      <c r="O434" s="21" t="s">
        <v>35</v>
      </c>
      <c r="P434" s="21" t="s">
        <v>36</v>
      </c>
      <c r="Q434" s="49" t="s">
        <v>37</v>
      </c>
      <c r="R434" s="50" t="s">
        <v>38</v>
      </c>
      <c r="S434" s="50" t="s">
        <v>38</v>
      </c>
      <c r="T434" s="123"/>
      <c r="U434" s="157"/>
      <c r="V434" s="123"/>
      <c r="W434" s="123"/>
      <c r="X434" s="123"/>
      <c r="Y434" s="128"/>
      <c r="Z434" s="128"/>
      <c r="AA434" s="128"/>
      <c r="AB434" s="128"/>
      <c r="AC434" s="128"/>
    </row>
    <row r="435" spans="1:29">
      <c r="A435" s="615"/>
      <c r="B435" s="132"/>
      <c r="C435" s="123"/>
      <c r="D435" s="127"/>
      <c r="E435" s="72"/>
      <c r="F435" s="73"/>
      <c r="G435" s="123"/>
      <c r="H435" s="54"/>
      <c r="I435" s="123"/>
      <c r="J435" s="42"/>
      <c r="K435" s="56"/>
      <c r="L435" s="57"/>
      <c r="M435" s="57"/>
      <c r="N435" s="57"/>
      <c r="O435" s="57"/>
      <c r="P435" s="57">
        <f>SUM(K435:O435)</f>
        <v>0</v>
      </c>
      <c r="Q435" s="58">
        <v>0</v>
      </c>
      <c r="R435" s="59">
        <f>F496+F518</f>
        <v>0</v>
      </c>
      <c r="S435" s="59">
        <f>F507+F529</f>
        <v>0</v>
      </c>
      <c r="T435" s="123"/>
      <c r="U435" s="157"/>
      <c r="V435" s="123"/>
      <c r="W435" s="123"/>
      <c r="X435" s="123"/>
      <c r="Y435" s="128"/>
      <c r="Z435" s="128"/>
      <c r="AA435" s="128"/>
      <c r="AB435" s="128"/>
      <c r="AC435" s="128"/>
    </row>
    <row r="436" spans="1:29">
      <c r="A436" s="615"/>
      <c r="B436" s="132"/>
      <c r="C436" s="123"/>
      <c r="D436" s="127"/>
      <c r="E436" s="72"/>
      <c r="F436" s="73"/>
      <c r="G436" s="123"/>
      <c r="H436" s="54"/>
      <c r="I436" s="123"/>
      <c r="J436" s="10" t="s">
        <v>42</v>
      </c>
      <c r="K436" s="63">
        <f>K428</f>
        <v>0</v>
      </c>
      <c r="L436" s="63">
        <f>L428</f>
        <v>0</v>
      </c>
      <c r="M436" s="63">
        <f>M428</f>
        <v>0</v>
      </c>
      <c r="N436" s="63">
        <f>N428</f>
        <v>0</v>
      </c>
      <c r="O436" s="63">
        <f>O428</f>
        <v>0</v>
      </c>
      <c r="P436" s="63">
        <f>P428</f>
        <v>0</v>
      </c>
      <c r="Q436" s="63">
        <f>Q428</f>
        <v>0</v>
      </c>
      <c r="R436" s="63"/>
      <c r="S436" s="10"/>
      <c r="T436" s="123"/>
      <c r="U436" s="157"/>
      <c r="V436" s="123"/>
      <c r="W436" s="123"/>
      <c r="X436" s="123"/>
      <c r="Y436" s="128"/>
      <c r="Z436" s="128"/>
      <c r="AA436" s="128"/>
      <c r="AB436" s="128"/>
      <c r="AC436" s="128"/>
    </row>
    <row r="437" spans="1:29">
      <c r="A437" s="615"/>
      <c r="B437" s="132"/>
      <c r="C437" s="123"/>
      <c r="D437" s="127"/>
      <c r="E437" s="74"/>
      <c r="F437" s="75"/>
      <c r="G437" s="123"/>
      <c r="H437" s="54"/>
      <c r="I437" s="123"/>
      <c r="J437" s="10" t="s">
        <v>44</v>
      </c>
      <c r="K437" s="63">
        <f>K429</f>
        <v>0</v>
      </c>
      <c r="L437" s="63">
        <f>L429</f>
        <v>0</v>
      </c>
      <c r="M437" s="63">
        <f>M429</f>
        <v>0</v>
      </c>
      <c r="N437" s="63">
        <f>N429</f>
        <v>0</v>
      </c>
      <c r="O437" s="63">
        <f>O429</f>
        <v>0</v>
      </c>
      <c r="P437" s="63">
        <f>P429</f>
        <v>0</v>
      </c>
      <c r="Q437" s="63">
        <f>Q429</f>
        <v>0</v>
      </c>
      <c r="R437" s="63"/>
      <c r="S437" s="10"/>
      <c r="T437" s="123"/>
      <c r="U437" s="157"/>
      <c r="V437" s="123"/>
      <c r="W437" s="123"/>
      <c r="X437" s="123"/>
      <c r="Y437" s="128"/>
      <c r="Z437" s="128"/>
      <c r="AA437" s="128"/>
      <c r="AB437" s="128"/>
      <c r="AC437" s="128"/>
    </row>
    <row r="438" spans="1:29">
      <c r="A438" s="615"/>
      <c r="B438" s="132"/>
      <c r="C438" s="123"/>
      <c r="D438" s="127"/>
      <c r="E438" s="12"/>
      <c r="F438" s="160"/>
      <c r="G438" s="123"/>
      <c r="H438" s="54"/>
      <c r="I438" s="123"/>
      <c r="J438" s="10" t="s">
        <v>46</v>
      </c>
      <c r="K438" s="31" t="e">
        <f>K436/(K436+K437)</f>
        <v>#DIV/0!</v>
      </c>
      <c r="L438" s="31" t="e">
        <f>L436/(L436+L437)</f>
        <v>#DIV/0!</v>
      </c>
      <c r="M438" s="31" t="e">
        <f>M436/(M436+M437)</f>
        <v>#DIV/0!</v>
      </c>
      <c r="N438" s="31" t="e">
        <f>N436/(N436+N437)</f>
        <v>#DIV/0!</v>
      </c>
      <c r="O438" s="31" t="e">
        <f>O436/(O436+O437)</f>
        <v>#DIV/0!</v>
      </c>
      <c r="P438" s="31" t="e">
        <f>P436/(P436+P437)</f>
        <v>#DIV/0!</v>
      </c>
      <c r="Q438" s="31" t="e">
        <f>Q436/(Q436+Q437)</f>
        <v>#DIV/0!</v>
      </c>
      <c r="R438" s="63"/>
      <c r="S438" s="10"/>
      <c r="T438" s="123"/>
      <c r="U438" s="157"/>
      <c r="V438" s="123"/>
      <c r="W438" s="123"/>
      <c r="X438" s="123"/>
      <c r="Y438" s="128"/>
      <c r="Z438" s="128"/>
      <c r="AA438" s="128"/>
      <c r="AB438" s="128"/>
      <c r="AC438" s="128"/>
    </row>
    <row r="439" spans="1:29">
      <c r="A439" s="615"/>
      <c r="B439" s="132"/>
      <c r="C439" s="123"/>
      <c r="D439" s="127"/>
      <c r="E439" s="12"/>
      <c r="F439" s="160"/>
      <c r="G439" s="123"/>
      <c r="H439" s="54"/>
      <c r="I439" s="123"/>
      <c r="J439" s="10" t="s">
        <v>48</v>
      </c>
      <c r="K439" s="66" t="e">
        <f>K435/K436</f>
        <v>#DIV/0!</v>
      </c>
      <c r="L439" s="66" t="e">
        <f>L435/L436</f>
        <v>#DIV/0!</v>
      </c>
      <c r="M439" s="66" t="e">
        <f>M435/M436</f>
        <v>#DIV/0!</v>
      </c>
      <c r="N439" s="66" t="e">
        <f>N435/N436</f>
        <v>#DIV/0!</v>
      </c>
      <c r="O439" s="66" t="e">
        <f>O435/O436</f>
        <v>#DIV/0!</v>
      </c>
      <c r="P439" s="66" t="e">
        <f>P435/P436</f>
        <v>#DIV/0!</v>
      </c>
      <c r="Q439" s="66" t="e">
        <f>Q435/Q436</f>
        <v>#DIV/0!</v>
      </c>
      <c r="R439" s="63"/>
      <c r="S439" s="10"/>
      <c r="T439" s="123"/>
      <c r="U439" s="157"/>
      <c r="V439" s="123"/>
      <c r="W439" s="123"/>
      <c r="X439" s="123"/>
      <c r="Y439" s="128"/>
      <c r="Z439" s="128"/>
      <c r="AA439" s="128"/>
      <c r="AB439" s="128"/>
      <c r="AC439" s="128"/>
    </row>
    <row r="440" spans="1:29">
      <c r="A440" s="615"/>
      <c r="B440" s="132"/>
      <c r="C440" s="123"/>
      <c r="D440" s="127"/>
      <c r="E440" s="12"/>
      <c r="F440" s="160"/>
      <c r="G440" s="123"/>
      <c r="H440" s="54"/>
      <c r="I440" s="123"/>
      <c r="J440" s="123"/>
      <c r="K440" s="123"/>
      <c r="L440" s="123"/>
      <c r="M440" s="123"/>
      <c r="N440" s="123"/>
      <c r="O440" s="123"/>
      <c r="P440" s="123"/>
      <c r="Q440" s="123"/>
      <c r="R440" s="123"/>
      <c r="S440" s="123"/>
      <c r="T440" s="123"/>
      <c r="U440" s="157"/>
      <c r="V440" s="123"/>
      <c r="W440" s="123"/>
      <c r="X440" s="123"/>
      <c r="Y440" s="128"/>
      <c r="Z440" s="128"/>
      <c r="AA440" s="128"/>
      <c r="AB440" s="128"/>
      <c r="AC440" s="128"/>
    </row>
    <row r="441" spans="1:29">
      <c r="A441" s="614"/>
      <c r="B441" s="11"/>
      <c r="C441" s="10"/>
      <c r="D441" s="63"/>
      <c r="E441" s="12"/>
      <c r="F441" s="12"/>
      <c r="G441" s="10"/>
      <c r="H441" s="10"/>
      <c r="I441" s="10"/>
      <c r="J441" s="10"/>
      <c r="K441" s="10"/>
      <c r="L441" s="10"/>
      <c r="M441" s="10"/>
      <c r="N441" s="10"/>
      <c r="O441" s="10"/>
      <c r="P441" s="10"/>
      <c r="Q441" s="10"/>
      <c r="R441" s="10"/>
      <c r="S441" s="10"/>
      <c r="T441" s="10"/>
      <c r="U441" s="151"/>
      <c r="V441" s="77"/>
      <c r="W441" s="77"/>
      <c r="X441" s="77"/>
      <c r="Y441" s="2"/>
      <c r="Z441" s="2"/>
      <c r="AA441" s="2"/>
      <c r="AB441" s="2"/>
      <c r="AC441" s="2"/>
    </row>
    <row r="442" spans="1:29">
      <c r="A442" s="614"/>
      <c r="B442" s="11"/>
      <c r="C442" s="10"/>
      <c r="D442" s="63"/>
      <c r="E442" s="10"/>
      <c r="F442" s="10"/>
      <c r="G442" s="10"/>
      <c r="H442" s="10"/>
      <c r="I442" s="10"/>
      <c r="J442" s="10"/>
      <c r="K442" s="10"/>
      <c r="L442" s="10"/>
      <c r="M442" s="10"/>
      <c r="N442" s="10"/>
      <c r="O442" s="10"/>
      <c r="P442" s="10"/>
      <c r="Q442" s="10"/>
      <c r="R442" s="10"/>
      <c r="S442" s="10"/>
      <c r="T442" s="10"/>
      <c r="U442" s="151"/>
      <c r="V442" s="77"/>
      <c r="W442" s="77"/>
      <c r="X442" s="77"/>
      <c r="Y442" s="2"/>
      <c r="Z442" s="2"/>
      <c r="AA442" s="2"/>
      <c r="AB442" s="2"/>
      <c r="AC442" s="2"/>
    </row>
    <row r="443" spans="1:29">
      <c r="A443" s="614"/>
      <c r="B443" s="18" t="s">
        <v>51</v>
      </c>
      <c r="C443" s="14"/>
      <c r="D443" s="14"/>
      <c r="E443" s="14"/>
      <c r="F443" s="13" t="s">
        <v>52</v>
      </c>
      <c r="G443" s="14"/>
      <c r="H443" s="14"/>
      <c r="I443" s="14"/>
      <c r="J443" s="14"/>
      <c r="K443" s="13" t="s">
        <v>3</v>
      </c>
      <c r="L443" s="14"/>
      <c r="M443" s="14"/>
      <c r="N443" s="13" t="s">
        <v>4</v>
      </c>
      <c r="O443" s="14"/>
      <c r="P443" s="14"/>
      <c r="Q443" s="13" t="s">
        <v>5</v>
      </c>
      <c r="R443" s="14"/>
      <c r="S443" s="14"/>
      <c r="T443" s="18"/>
      <c r="U443" s="161" t="s">
        <v>53</v>
      </c>
      <c r="V443" s="77"/>
      <c r="W443" s="77"/>
      <c r="X443" s="77"/>
      <c r="Y443" s="2"/>
      <c r="Z443" s="2"/>
      <c r="AA443" s="2"/>
      <c r="AB443" s="2"/>
      <c r="AC443" s="2"/>
    </row>
    <row r="444" spans="1:29">
      <c r="A444" s="614"/>
      <c r="B444" s="24" t="s">
        <v>54</v>
      </c>
      <c r="C444" s="21" t="s">
        <v>55</v>
      </c>
      <c r="D444" s="21" t="s">
        <v>56</v>
      </c>
      <c r="E444" s="21" t="s">
        <v>57</v>
      </c>
      <c r="F444" s="20" t="s">
        <v>58</v>
      </c>
      <c r="G444" s="21" t="s">
        <v>59</v>
      </c>
      <c r="H444" s="21" t="s">
        <v>60</v>
      </c>
      <c r="I444" s="21" t="s">
        <v>26</v>
      </c>
      <c r="J444" s="22" t="s">
        <v>61</v>
      </c>
      <c r="K444" s="21" t="s">
        <v>8</v>
      </c>
      <c r="L444" s="21" t="s">
        <v>9</v>
      </c>
      <c r="M444" s="21" t="s">
        <v>10</v>
      </c>
      <c r="N444" s="20" t="s">
        <v>11</v>
      </c>
      <c r="O444" s="21" t="s">
        <v>12</v>
      </c>
      <c r="P444" s="22" t="s">
        <v>13</v>
      </c>
      <c r="Q444" s="21" t="s">
        <v>11</v>
      </c>
      <c r="R444" s="21" t="s">
        <v>12</v>
      </c>
      <c r="S444" s="21" t="s">
        <v>13</v>
      </c>
      <c r="T444" s="78" t="s">
        <v>14</v>
      </c>
      <c r="U444" s="162"/>
      <c r="V444" s="79" t="s">
        <v>62</v>
      </c>
      <c r="W444" s="80" t="s">
        <v>63</v>
      </c>
      <c r="X444" s="81" t="s">
        <v>64</v>
      </c>
      <c r="Y444" s="2"/>
      <c r="Z444" s="2"/>
      <c r="AA444" s="2"/>
      <c r="AB444" s="2"/>
      <c r="AC444" s="2"/>
    </row>
    <row r="445" spans="1:29">
      <c r="A445" s="614"/>
      <c r="B445" s="4" t="s">
        <v>65</v>
      </c>
      <c r="C445" s="6"/>
      <c r="D445" s="6"/>
      <c r="E445" s="6"/>
      <c r="F445" s="6"/>
      <c r="G445" s="6"/>
      <c r="H445" s="6"/>
      <c r="I445" s="82"/>
      <c r="J445" s="6"/>
      <c r="K445" s="6"/>
      <c r="L445" s="6"/>
      <c r="M445" s="6"/>
      <c r="N445" s="6"/>
      <c r="O445" s="6"/>
      <c r="P445" s="6"/>
      <c r="Q445" s="6"/>
      <c r="R445" s="6"/>
      <c r="S445" s="6"/>
      <c r="T445" s="83"/>
      <c r="U445" s="163"/>
      <c r="V445" s="84"/>
      <c r="W445" s="85"/>
      <c r="X445" s="86"/>
      <c r="Y445" s="2"/>
      <c r="Z445" s="2"/>
      <c r="AA445" s="2"/>
      <c r="AB445" s="2"/>
      <c r="AC445" s="2"/>
    </row>
    <row r="446" spans="1:29">
      <c r="A446" s="614"/>
      <c r="B446" s="87">
        <v>1</v>
      </c>
      <c r="C446" s="609"/>
      <c r="D446" s="10"/>
      <c r="E446" s="10"/>
      <c r="F446" s="62"/>
      <c r="G446" s="62"/>
      <c r="H446" s="88"/>
      <c r="I446" s="89">
        <f>F446-G446-H446</f>
        <v>0</v>
      </c>
      <c r="J446" s="63"/>
      <c r="K446" s="63"/>
      <c r="L446" s="63"/>
      <c r="M446" s="63"/>
      <c r="N446" s="63"/>
      <c r="O446" s="63"/>
      <c r="P446" s="63"/>
      <c r="Q446" s="63"/>
      <c r="R446" s="63"/>
      <c r="S446" s="63"/>
      <c r="T446" s="63"/>
      <c r="U446" s="94"/>
      <c r="V446" s="90"/>
      <c r="W446" s="91"/>
      <c r="X446" s="92"/>
      <c r="Y446" s="2"/>
      <c r="Z446" s="2"/>
      <c r="AA446" s="2"/>
      <c r="AB446" s="2"/>
      <c r="AC446" s="2"/>
    </row>
    <row r="447" spans="1:29">
      <c r="A447" s="614"/>
      <c r="B447" s="87">
        <f>B446+1</f>
        <v>2</v>
      </c>
      <c r="C447" s="609"/>
      <c r="D447" s="10"/>
      <c r="E447" s="10"/>
      <c r="F447" s="62"/>
      <c r="G447" s="62"/>
      <c r="H447" s="62"/>
      <c r="I447" s="89">
        <f>F447-G447-H447</f>
        <v>0</v>
      </c>
      <c r="J447" s="63"/>
      <c r="K447" s="63"/>
      <c r="L447" s="63"/>
      <c r="M447" s="63"/>
      <c r="N447" s="63"/>
      <c r="O447" s="63"/>
      <c r="P447" s="63"/>
      <c r="Q447" s="63"/>
      <c r="R447" s="63"/>
      <c r="S447" s="63"/>
      <c r="T447" s="63"/>
      <c r="U447" s="94"/>
      <c r="V447" s="90"/>
      <c r="W447" s="91"/>
      <c r="X447" s="92"/>
      <c r="Y447" s="2"/>
      <c r="Z447" s="2"/>
      <c r="AA447" s="2"/>
      <c r="AB447" s="2"/>
      <c r="AC447" s="2"/>
    </row>
    <row r="448" spans="1:29">
      <c r="A448" s="613"/>
      <c r="B448" s="87">
        <f>B447+1</f>
        <v>3</v>
      </c>
      <c r="C448" s="609"/>
      <c r="D448" s="3"/>
      <c r="E448" s="10"/>
      <c r="F448" s="62"/>
      <c r="G448" s="62"/>
      <c r="H448" s="62"/>
      <c r="I448" s="89">
        <f>F448-G448-H448</f>
        <v>0</v>
      </c>
      <c r="J448" s="63"/>
      <c r="K448" s="63"/>
      <c r="L448" s="63"/>
      <c r="M448" s="63"/>
      <c r="N448" s="63"/>
      <c r="O448" s="63"/>
      <c r="P448" s="63"/>
      <c r="Q448" s="63"/>
      <c r="R448" s="63"/>
      <c r="S448" s="63"/>
      <c r="T448" s="63"/>
      <c r="U448" s="94"/>
      <c r="V448" s="90"/>
      <c r="W448" s="91"/>
      <c r="X448" s="92"/>
      <c r="Y448" s="2"/>
      <c r="Z448" s="2"/>
      <c r="AA448" s="2"/>
      <c r="AB448" s="2"/>
      <c r="AC448" s="2"/>
    </row>
    <row r="449" spans="1:29">
      <c r="A449" s="614"/>
      <c r="B449" s="87">
        <f>B448+1</f>
        <v>4</v>
      </c>
      <c r="C449" s="609"/>
      <c r="D449" s="10"/>
      <c r="E449" s="94"/>
      <c r="F449" s="62"/>
      <c r="G449" s="62"/>
      <c r="H449" s="62"/>
      <c r="I449" s="89">
        <f>F449-G449-H449</f>
        <v>0</v>
      </c>
      <c r="J449" s="63"/>
      <c r="K449" s="63"/>
      <c r="L449" s="63"/>
      <c r="M449" s="63"/>
      <c r="N449" s="63"/>
      <c r="O449" s="63"/>
      <c r="P449" s="63"/>
      <c r="Q449" s="63"/>
      <c r="R449" s="63"/>
      <c r="S449" s="63"/>
      <c r="T449" s="63"/>
      <c r="U449" s="94"/>
      <c r="V449" s="90"/>
      <c r="W449" s="91"/>
      <c r="X449" s="92"/>
      <c r="Y449" s="2"/>
      <c r="Z449" s="2"/>
      <c r="AA449" s="2"/>
      <c r="AB449" s="2"/>
      <c r="AC449" s="2"/>
    </row>
    <row r="450" spans="1:29">
      <c r="A450" s="614"/>
      <c r="B450" s="87">
        <f>B449+1</f>
        <v>5</v>
      </c>
      <c r="C450" s="609"/>
      <c r="D450" s="10"/>
      <c r="E450" s="10"/>
      <c r="F450" s="62"/>
      <c r="G450" s="62"/>
      <c r="H450" s="62"/>
      <c r="I450" s="89">
        <f>F450-G450-H450</f>
        <v>0</v>
      </c>
      <c r="J450" s="63"/>
      <c r="K450" s="63"/>
      <c r="L450" s="63"/>
      <c r="M450" s="63"/>
      <c r="N450" s="63"/>
      <c r="O450" s="63"/>
      <c r="P450" s="63"/>
      <c r="Q450" s="63"/>
      <c r="R450" s="63"/>
      <c r="S450" s="63"/>
      <c r="T450" s="63"/>
      <c r="U450" s="94"/>
      <c r="V450" s="90"/>
      <c r="W450" s="91"/>
      <c r="X450" s="92"/>
      <c r="Y450" s="2"/>
      <c r="Z450" s="2"/>
      <c r="AA450" s="2"/>
      <c r="AB450" s="2"/>
      <c r="AC450" s="2"/>
    </row>
    <row r="451" spans="1:29">
      <c r="A451" s="614"/>
      <c r="B451" s="87">
        <f>B450+1</f>
        <v>6</v>
      </c>
      <c r="C451" s="609"/>
      <c r="D451" s="10"/>
      <c r="E451" s="10"/>
      <c r="F451" s="62"/>
      <c r="G451" s="62"/>
      <c r="H451" s="88"/>
      <c r="I451" s="89">
        <f>F451-G451-H451</f>
        <v>0</v>
      </c>
      <c r="J451" s="63"/>
      <c r="K451" s="63"/>
      <c r="L451" s="63"/>
      <c r="M451" s="63"/>
      <c r="N451" s="63"/>
      <c r="O451" s="63"/>
      <c r="P451" s="63"/>
      <c r="Q451" s="63"/>
      <c r="R451" s="63"/>
      <c r="S451" s="63"/>
      <c r="T451" s="63"/>
      <c r="U451" s="94"/>
      <c r="V451" s="90"/>
      <c r="W451" s="91"/>
      <c r="X451" s="92"/>
      <c r="Y451" s="2"/>
      <c r="Z451" s="2"/>
      <c r="AA451" s="2"/>
      <c r="AB451" s="2"/>
      <c r="AC451" s="2"/>
    </row>
    <row r="452" spans="1:29">
      <c r="A452" s="614"/>
      <c r="B452" s="87">
        <f>B451+1</f>
        <v>7</v>
      </c>
      <c r="C452" s="609"/>
      <c r="D452" s="10"/>
      <c r="E452" s="10"/>
      <c r="F452" s="62"/>
      <c r="G452" s="62"/>
      <c r="H452" s="88"/>
      <c r="I452" s="89">
        <f>F452-G452-H452</f>
        <v>0</v>
      </c>
      <c r="J452" s="63"/>
      <c r="K452" s="63"/>
      <c r="L452" s="63"/>
      <c r="M452" s="63"/>
      <c r="N452" s="63"/>
      <c r="O452" s="63"/>
      <c r="P452" s="63"/>
      <c r="Q452" s="63"/>
      <c r="R452" s="63"/>
      <c r="S452" s="63"/>
      <c r="T452" s="63"/>
      <c r="U452" s="94"/>
      <c r="V452" s="90"/>
      <c r="W452" s="91"/>
      <c r="X452" s="92"/>
      <c r="Y452" s="2"/>
      <c r="Z452" s="2"/>
      <c r="AA452" s="2"/>
      <c r="AB452" s="2"/>
      <c r="AC452" s="2"/>
    </row>
    <row r="453" spans="1:29">
      <c r="A453" s="614"/>
      <c r="B453" s="87">
        <f>B452+1</f>
        <v>8</v>
      </c>
      <c r="C453" s="609"/>
      <c r="D453" s="10"/>
      <c r="E453" s="10"/>
      <c r="F453" s="62"/>
      <c r="G453" s="62"/>
      <c r="H453" s="88"/>
      <c r="I453" s="89">
        <f>F453-G453-H453</f>
        <v>0</v>
      </c>
      <c r="J453" s="63"/>
      <c r="K453" s="63"/>
      <c r="L453" s="63"/>
      <c r="M453" s="63"/>
      <c r="N453" s="63"/>
      <c r="O453" s="63"/>
      <c r="P453" s="63"/>
      <c r="Q453" s="63"/>
      <c r="R453" s="63"/>
      <c r="S453" s="63"/>
      <c r="T453" s="63"/>
      <c r="U453" s="94"/>
      <c r="V453" s="90"/>
      <c r="W453" s="91"/>
      <c r="X453" s="92"/>
      <c r="Y453" s="2"/>
      <c r="Z453" s="2"/>
      <c r="AA453" s="2"/>
      <c r="AB453" s="2"/>
      <c r="AC453" s="2"/>
    </row>
    <row r="454" spans="1:29">
      <c r="A454" s="614"/>
      <c r="B454" s="87">
        <f>B453+1</f>
        <v>9</v>
      </c>
      <c r="C454" s="609"/>
      <c r="D454" s="10"/>
      <c r="E454" s="10"/>
      <c r="F454" s="62"/>
      <c r="G454" s="62"/>
      <c r="H454" s="88"/>
      <c r="I454" s="89">
        <f>F454-G454-H454</f>
        <v>0</v>
      </c>
      <c r="J454" s="63"/>
      <c r="K454" s="63"/>
      <c r="L454" s="63"/>
      <c r="M454" s="63"/>
      <c r="N454" s="63"/>
      <c r="O454" s="63"/>
      <c r="P454" s="63"/>
      <c r="Q454" s="63"/>
      <c r="R454" s="63"/>
      <c r="S454" s="63"/>
      <c r="T454" s="63"/>
      <c r="U454" s="94"/>
      <c r="V454" s="90"/>
      <c r="W454" s="91"/>
      <c r="X454" s="92"/>
      <c r="Y454" s="2"/>
      <c r="Z454" s="2"/>
      <c r="AA454" s="2"/>
      <c r="AB454" s="2"/>
      <c r="AC454" s="2"/>
    </row>
    <row r="455" spans="1:29">
      <c r="A455" s="614"/>
      <c r="B455" s="87">
        <f>B454+1</f>
        <v>10</v>
      </c>
      <c r="C455" s="609"/>
      <c r="D455" s="10"/>
      <c r="E455" s="10"/>
      <c r="F455" s="62"/>
      <c r="G455" s="62"/>
      <c r="H455" s="88"/>
      <c r="I455" s="89">
        <f>F455-G455-H455</f>
        <v>0</v>
      </c>
      <c r="J455" s="63"/>
      <c r="K455" s="63"/>
      <c r="L455" s="63"/>
      <c r="M455" s="63"/>
      <c r="N455" s="63"/>
      <c r="O455" s="63"/>
      <c r="P455" s="63"/>
      <c r="Q455" s="63"/>
      <c r="R455" s="63"/>
      <c r="S455" s="63"/>
      <c r="T455" s="63"/>
      <c r="U455" s="94"/>
      <c r="V455" s="90"/>
      <c r="W455" s="91"/>
      <c r="X455" s="92"/>
      <c r="Y455" s="2"/>
      <c r="Z455" s="2"/>
      <c r="AA455" s="2"/>
      <c r="AB455" s="2"/>
      <c r="AC455" s="2"/>
    </row>
    <row r="456" spans="1:29">
      <c r="A456" s="614"/>
      <c r="B456" s="87">
        <f>B455+1</f>
        <v>11</v>
      </c>
      <c r="C456" s="609"/>
      <c r="D456" s="10"/>
      <c r="E456" s="10"/>
      <c r="F456" s="95"/>
      <c r="G456" s="62"/>
      <c r="H456" s="62"/>
      <c r="I456" s="89">
        <f>F456-G456-H456</f>
        <v>0</v>
      </c>
      <c r="J456" s="63"/>
      <c r="K456" s="63"/>
      <c r="L456" s="63"/>
      <c r="M456" s="63"/>
      <c r="N456" s="63"/>
      <c r="O456" s="63"/>
      <c r="P456" s="63"/>
      <c r="Q456" s="63"/>
      <c r="R456" s="63"/>
      <c r="S456" s="63"/>
      <c r="T456" s="63"/>
      <c r="U456" s="94"/>
      <c r="V456" s="90"/>
      <c r="W456" s="91"/>
      <c r="X456" s="92"/>
      <c r="Y456" s="2"/>
      <c r="Z456" s="2"/>
      <c r="AA456" s="2"/>
      <c r="AB456" s="2"/>
      <c r="AC456" s="2"/>
    </row>
    <row r="457" spans="1:29">
      <c r="A457" s="614"/>
      <c r="B457" s="87">
        <f>B456+1</f>
        <v>12</v>
      </c>
      <c r="C457" s="609"/>
      <c r="D457" s="10"/>
      <c r="E457" s="10"/>
      <c r="F457" s="95"/>
      <c r="G457" s="62"/>
      <c r="H457" s="62"/>
      <c r="I457" s="89">
        <f>F457-G457-H457</f>
        <v>0</v>
      </c>
      <c r="J457" s="63"/>
      <c r="K457" s="63"/>
      <c r="L457" s="63"/>
      <c r="M457" s="63"/>
      <c r="N457" s="63"/>
      <c r="O457" s="63"/>
      <c r="P457" s="63"/>
      <c r="Q457" s="63"/>
      <c r="R457" s="63"/>
      <c r="S457" s="63"/>
      <c r="T457" s="63"/>
      <c r="U457" s="94"/>
      <c r="V457" s="90"/>
      <c r="W457" s="91"/>
      <c r="X457" s="92"/>
      <c r="Y457" s="2"/>
      <c r="Z457" s="2"/>
      <c r="AA457" s="2"/>
      <c r="AB457" s="2"/>
      <c r="AC457" s="2"/>
    </row>
    <row r="458" spans="1:29">
      <c r="A458" s="614"/>
      <c r="B458" s="87">
        <f>B457+1</f>
        <v>13</v>
      </c>
      <c r="C458" s="609"/>
      <c r="D458" s="10"/>
      <c r="E458" s="10"/>
      <c r="F458" s="95"/>
      <c r="G458" s="62"/>
      <c r="H458" s="62"/>
      <c r="I458" s="89">
        <f>F458-G458-H458</f>
        <v>0</v>
      </c>
      <c r="J458" s="63"/>
      <c r="K458" s="63"/>
      <c r="L458" s="63"/>
      <c r="M458" s="63"/>
      <c r="N458" s="63"/>
      <c r="O458" s="63"/>
      <c r="P458" s="63"/>
      <c r="Q458" s="63"/>
      <c r="R458" s="63"/>
      <c r="S458" s="63"/>
      <c r="T458" s="63"/>
      <c r="U458" s="94"/>
      <c r="V458" s="90"/>
      <c r="W458" s="91"/>
      <c r="X458" s="92"/>
      <c r="Y458" s="2"/>
      <c r="Z458" s="2"/>
      <c r="AA458" s="2"/>
      <c r="AB458" s="2"/>
      <c r="AC458" s="2"/>
    </row>
    <row r="459" spans="1:29">
      <c r="A459" s="614"/>
      <c r="B459" s="87">
        <f>B458+1</f>
        <v>14</v>
      </c>
      <c r="C459" s="609"/>
      <c r="D459" s="10"/>
      <c r="E459" s="10"/>
      <c r="F459" s="95"/>
      <c r="G459" s="62"/>
      <c r="H459" s="62"/>
      <c r="I459" s="89">
        <f>F459-G459-H459</f>
        <v>0</v>
      </c>
      <c r="J459" s="63"/>
      <c r="K459" s="63"/>
      <c r="L459" s="63"/>
      <c r="M459" s="63"/>
      <c r="N459" s="63"/>
      <c r="O459" s="63"/>
      <c r="P459" s="63"/>
      <c r="Q459" s="63"/>
      <c r="R459" s="63"/>
      <c r="S459" s="63"/>
      <c r="T459" s="63"/>
      <c r="U459" s="94"/>
      <c r="V459" s="90"/>
      <c r="W459" s="91"/>
      <c r="X459" s="92"/>
      <c r="Y459" s="2"/>
      <c r="Z459" s="2"/>
      <c r="AA459" s="2"/>
      <c r="AB459" s="2"/>
      <c r="AC459" s="2"/>
    </row>
    <row r="460" spans="1:29">
      <c r="A460" s="614"/>
      <c r="B460" s="87">
        <f>B459+1</f>
        <v>15</v>
      </c>
      <c r="C460" s="609"/>
      <c r="D460" s="10"/>
      <c r="E460" s="10"/>
      <c r="F460" s="95"/>
      <c r="G460" s="62"/>
      <c r="H460" s="62"/>
      <c r="I460" s="89">
        <f>F460-G460-H460</f>
        <v>0</v>
      </c>
      <c r="J460" s="63"/>
      <c r="K460" s="63"/>
      <c r="L460" s="63"/>
      <c r="M460" s="63"/>
      <c r="N460" s="63"/>
      <c r="O460" s="63"/>
      <c r="P460" s="63"/>
      <c r="Q460" s="63"/>
      <c r="R460" s="63"/>
      <c r="S460" s="63"/>
      <c r="T460" s="63"/>
      <c r="U460" s="94"/>
      <c r="V460" s="90"/>
      <c r="W460" s="96"/>
      <c r="X460" s="92"/>
      <c r="Y460" s="2"/>
      <c r="Z460" s="2"/>
      <c r="AA460" s="2"/>
      <c r="AB460" s="2"/>
      <c r="AC460" s="2"/>
    </row>
    <row r="461" spans="1:29">
      <c r="A461" s="614"/>
      <c r="B461" s="87">
        <f>B460+1</f>
        <v>16</v>
      </c>
      <c r="C461" s="609"/>
      <c r="D461" s="10"/>
      <c r="E461" s="10"/>
      <c r="F461" s="95"/>
      <c r="G461" s="62"/>
      <c r="H461" s="62"/>
      <c r="I461" s="89">
        <f>F461-G461-H461</f>
        <v>0</v>
      </c>
      <c r="J461" s="63"/>
      <c r="K461" s="63"/>
      <c r="L461" s="63"/>
      <c r="M461" s="63"/>
      <c r="N461" s="63"/>
      <c r="O461" s="63"/>
      <c r="P461" s="63"/>
      <c r="Q461" s="63"/>
      <c r="R461" s="63"/>
      <c r="S461" s="63"/>
      <c r="T461" s="63"/>
      <c r="U461" s="94"/>
      <c r="V461" s="90"/>
      <c r="W461" s="96"/>
      <c r="X461" s="92"/>
      <c r="Y461" s="2"/>
      <c r="Z461" s="2"/>
      <c r="AA461" s="2"/>
      <c r="AB461" s="2"/>
      <c r="AC461" s="2"/>
    </row>
    <row r="462" spans="1:29">
      <c r="A462" s="614"/>
      <c r="B462" s="87"/>
      <c r="C462" s="609"/>
      <c r="D462" s="10"/>
      <c r="E462" s="10"/>
      <c r="F462" s="97">
        <f>SUM(F446:F461)</f>
        <v>0</v>
      </c>
      <c r="G462" s="97">
        <f>SUM(G446:G461)</f>
        <v>0</v>
      </c>
      <c r="H462" s="97">
        <f>SUM(H446:H461)</f>
        <v>0</v>
      </c>
      <c r="I462" s="98">
        <f>SUM(I446:I461)</f>
        <v>0</v>
      </c>
      <c r="J462" s="63"/>
      <c r="K462" s="63">
        <f>COUNT(K446:K461)</f>
        <v>0</v>
      </c>
      <c r="L462" s="63">
        <f>COUNT(L446:L461)</f>
        <v>0</v>
      </c>
      <c r="M462" s="63">
        <f>COUNT(M446:M461)</f>
        <v>0</v>
      </c>
      <c r="N462" s="63">
        <f>COUNT(N446:N461)</f>
        <v>0</v>
      </c>
      <c r="O462" s="63">
        <f>COUNT(O446:O461)</f>
        <v>0</v>
      </c>
      <c r="P462" s="63">
        <f>COUNT(P446:P461)</f>
        <v>0</v>
      </c>
      <c r="Q462" s="63">
        <f>COUNT(Q446:Q461)</f>
        <v>0</v>
      </c>
      <c r="R462" s="63">
        <f>COUNT(R446:R461)</f>
        <v>0</v>
      </c>
      <c r="S462" s="63">
        <f>COUNT(S446:S461)</f>
        <v>0</v>
      </c>
      <c r="T462" s="63"/>
      <c r="U462" s="94"/>
      <c r="V462" s="90"/>
      <c r="W462" s="91"/>
      <c r="X462" s="92"/>
      <c r="Y462" s="2"/>
      <c r="Z462" s="2"/>
      <c r="AA462" s="2"/>
      <c r="AB462" s="2"/>
      <c r="AC462" s="2"/>
    </row>
    <row r="463" spans="1:29">
      <c r="A463" s="614"/>
      <c r="B463" s="87"/>
      <c r="C463" s="609"/>
      <c r="D463" s="10"/>
      <c r="E463" s="10"/>
      <c r="F463" s="88"/>
      <c r="G463" s="88"/>
      <c r="H463" s="88"/>
      <c r="I463" s="99"/>
      <c r="J463" s="63"/>
      <c r="K463" s="21">
        <f>SUM(K446:K461)</f>
        <v>0</v>
      </c>
      <c r="L463" s="21">
        <f>SUM(L446:L461)</f>
        <v>0</v>
      </c>
      <c r="M463" s="21">
        <f>SUM(M446:M461)</f>
        <v>0</v>
      </c>
      <c r="N463" s="21">
        <f>SUM(N446:N461)</f>
        <v>0</v>
      </c>
      <c r="O463" s="21">
        <f>SUM(O446:O461)</f>
        <v>0</v>
      </c>
      <c r="P463" s="21">
        <f>SUM(P446:P461)</f>
        <v>0</v>
      </c>
      <c r="Q463" s="21">
        <f>SUM(Q446:Q461)</f>
        <v>0</v>
      </c>
      <c r="R463" s="21">
        <f>SUM(R446:R461)</f>
        <v>0</v>
      </c>
      <c r="S463" s="21">
        <f>SUM(S446:S461)</f>
        <v>0</v>
      </c>
      <c r="T463" s="63"/>
      <c r="U463" s="94"/>
      <c r="V463" s="90"/>
      <c r="W463" s="91"/>
      <c r="X463" s="92"/>
      <c r="Y463" s="2"/>
      <c r="Z463" s="2"/>
      <c r="AA463" s="2"/>
      <c r="AB463" s="2"/>
      <c r="AC463" s="2"/>
    </row>
    <row r="464" spans="1:29">
      <c r="A464" s="614"/>
      <c r="B464" s="11"/>
      <c r="C464" s="609"/>
      <c r="D464" s="10"/>
      <c r="E464" s="10"/>
      <c r="F464" s="88"/>
      <c r="G464" s="88"/>
      <c r="H464" s="88"/>
      <c r="I464" s="99"/>
      <c r="J464" s="63"/>
      <c r="K464" s="21"/>
      <c r="L464" s="21"/>
      <c r="M464" s="21"/>
      <c r="N464" s="21"/>
      <c r="O464" s="21"/>
      <c r="P464" s="21"/>
      <c r="Q464" s="21"/>
      <c r="R464" s="21"/>
      <c r="S464" s="21"/>
      <c r="T464" s="63"/>
      <c r="U464" s="94"/>
      <c r="V464" s="90"/>
      <c r="W464" s="91"/>
      <c r="X464" s="92"/>
      <c r="Y464" s="2"/>
      <c r="Z464" s="2"/>
      <c r="AA464" s="2"/>
      <c r="AB464" s="2"/>
      <c r="AC464" s="2"/>
    </row>
    <row r="465" spans="1:29">
      <c r="A465" s="614"/>
      <c r="B465" s="100" t="s">
        <v>66</v>
      </c>
      <c r="C465" s="609"/>
      <c r="D465" s="10"/>
      <c r="E465" s="10"/>
      <c r="F465" s="88"/>
      <c r="G465" s="62"/>
      <c r="H465" s="88"/>
      <c r="I465" s="99"/>
      <c r="J465" s="63"/>
      <c r="K465" s="2"/>
      <c r="L465" s="2"/>
      <c r="M465" s="2"/>
      <c r="N465" s="2"/>
      <c r="O465" s="2"/>
      <c r="P465" s="2"/>
      <c r="Q465" s="2"/>
      <c r="R465" s="2"/>
      <c r="S465" s="2"/>
      <c r="T465" s="63"/>
      <c r="U465" s="94"/>
      <c r="V465" s="90"/>
      <c r="W465" s="91"/>
      <c r="X465" s="92"/>
      <c r="Y465" s="2"/>
      <c r="Z465" s="2"/>
      <c r="AA465" s="2"/>
      <c r="AB465" s="2"/>
      <c r="AC465" s="2"/>
    </row>
    <row r="466" spans="1:29">
      <c r="A466" s="614"/>
      <c r="B466" s="87">
        <v>1</v>
      </c>
      <c r="C466" s="609"/>
      <c r="D466" s="10"/>
      <c r="E466" s="101"/>
      <c r="F466" s="62"/>
      <c r="G466" s="62"/>
      <c r="H466" s="62"/>
      <c r="I466" s="89">
        <f>F466-G466-H466</f>
        <v>0</v>
      </c>
      <c r="J466" s="63"/>
      <c r="K466" s="63"/>
      <c r="L466" s="63"/>
      <c r="M466" s="63"/>
      <c r="N466" s="63"/>
      <c r="O466" s="63"/>
      <c r="P466" s="63"/>
      <c r="Q466" s="63"/>
      <c r="R466" s="63"/>
      <c r="S466" s="63"/>
      <c r="T466" s="63"/>
      <c r="U466" s="94"/>
      <c r="V466" s="90"/>
      <c r="W466" s="91"/>
      <c r="X466" s="92"/>
      <c r="Y466" s="2"/>
      <c r="Z466" s="2"/>
      <c r="AA466" s="2"/>
      <c r="AB466" s="2"/>
      <c r="AC466" s="2"/>
    </row>
    <row r="467" spans="1:29">
      <c r="A467" s="614"/>
      <c r="B467" s="87">
        <f>B466+1</f>
        <v>2</v>
      </c>
      <c r="C467" s="609"/>
      <c r="D467" s="10"/>
      <c r="E467" s="101"/>
      <c r="F467" s="62"/>
      <c r="G467" s="62"/>
      <c r="H467" s="62"/>
      <c r="I467" s="89">
        <f>F467-G467-H467</f>
        <v>0</v>
      </c>
      <c r="J467" s="63"/>
      <c r="K467" s="63"/>
      <c r="L467" s="63"/>
      <c r="M467" s="63"/>
      <c r="N467" s="63"/>
      <c r="O467" s="63"/>
      <c r="P467" s="63"/>
      <c r="Q467" s="63"/>
      <c r="R467" s="63"/>
      <c r="S467" s="63"/>
      <c r="T467" s="63"/>
      <c r="U467" s="94"/>
      <c r="V467" s="90"/>
      <c r="W467" s="91"/>
      <c r="X467" s="92"/>
      <c r="Y467" s="2"/>
      <c r="Z467" s="2"/>
      <c r="AA467" s="2"/>
      <c r="AB467" s="2"/>
      <c r="AC467" s="2"/>
    </row>
    <row r="468" spans="1:29">
      <c r="A468" s="614"/>
      <c r="B468" s="87">
        <f>B467+1</f>
        <v>3</v>
      </c>
      <c r="C468" s="609"/>
      <c r="D468" s="10"/>
      <c r="E468" s="101"/>
      <c r="F468" s="62"/>
      <c r="G468" s="62"/>
      <c r="H468" s="62"/>
      <c r="I468" s="89">
        <f>F468-G468-H468</f>
        <v>0</v>
      </c>
      <c r="J468" s="63"/>
      <c r="K468" s="63"/>
      <c r="L468" s="63"/>
      <c r="M468" s="63"/>
      <c r="N468" s="63"/>
      <c r="O468" s="63"/>
      <c r="P468" s="63"/>
      <c r="Q468" s="63"/>
      <c r="R468" s="63"/>
      <c r="S468" s="63"/>
      <c r="T468" s="63"/>
      <c r="U468" s="94"/>
      <c r="V468" s="90"/>
      <c r="W468" s="91"/>
      <c r="X468" s="92"/>
      <c r="Y468" s="2"/>
      <c r="Z468" s="2"/>
      <c r="AA468" s="2"/>
      <c r="AB468" s="2"/>
      <c r="AC468" s="2"/>
    </row>
    <row r="469" spans="1:29">
      <c r="A469" s="614"/>
      <c r="B469" s="87">
        <f>B468+1</f>
        <v>4</v>
      </c>
      <c r="C469" s="609"/>
      <c r="D469" s="10"/>
      <c r="E469" s="101"/>
      <c r="F469" s="62"/>
      <c r="G469" s="62"/>
      <c r="H469" s="62"/>
      <c r="I469" s="89">
        <f>F469-G469-H469</f>
        <v>0</v>
      </c>
      <c r="J469" s="63"/>
      <c r="K469" s="63"/>
      <c r="L469" s="63"/>
      <c r="M469" s="63"/>
      <c r="N469" s="63"/>
      <c r="O469" s="63"/>
      <c r="P469" s="63"/>
      <c r="Q469" s="63"/>
      <c r="R469" s="63"/>
      <c r="S469" s="63"/>
      <c r="T469" s="63"/>
      <c r="U469" s="94"/>
      <c r="V469" s="90"/>
      <c r="W469" s="91"/>
      <c r="X469" s="92"/>
      <c r="Y469" s="2"/>
      <c r="Z469" s="2"/>
      <c r="AA469" s="2"/>
      <c r="AB469" s="2"/>
      <c r="AC469" s="2"/>
    </row>
    <row r="470" spans="1:29">
      <c r="A470" s="614"/>
      <c r="B470" s="87">
        <f>B469+1</f>
        <v>5</v>
      </c>
      <c r="C470" s="609"/>
      <c r="D470" s="10"/>
      <c r="E470" s="101"/>
      <c r="F470" s="62"/>
      <c r="G470" s="62"/>
      <c r="H470" s="62"/>
      <c r="I470" s="89">
        <f>F470-G470-H470</f>
        <v>0</v>
      </c>
      <c r="J470" s="63"/>
      <c r="K470" s="63"/>
      <c r="L470" s="63"/>
      <c r="M470" s="63"/>
      <c r="N470" s="63"/>
      <c r="O470" s="63"/>
      <c r="P470" s="63"/>
      <c r="Q470" s="63"/>
      <c r="R470" s="63"/>
      <c r="S470" s="63"/>
      <c r="T470" s="63"/>
      <c r="U470" s="94"/>
      <c r="V470" s="90"/>
      <c r="W470" s="91"/>
      <c r="X470" s="92"/>
      <c r="Y470" s="2"/>
      <c r="Z470" s="2"/>
      <c r="AA470" s="2"/>
      <c r="AB470" s="2"/>
      <c r="AC470" s="2"/>
    </row>
    <row r="471" spans="1:29">
      <c r="A471" s="614"/>
      <c r="B471" s="87">
        <f>B470+1</f>
        <v>6</v>
      </c>
      <c r="C471" s="609"/>
      <c r="D471" s="10"/>
      <c r="E471" s="101"/>
      <c r="F471" s="62"/>
      <c r="G471" s="62"/>
      <c r="H471" s="62"/>
      <c r="I471" s="89">
        <f>F471-G471-H471</f>
        <v>0</v>
      </c>
      <c r="J471" s="63"/>
      <c r="K471" s="63"/>
      <c r="L471" s="63"/>
      <c r="M471" s="63"/>
      <c r="N471" s="63"/>
      <c r="O471" s="63"/>
      <c r="P471" s="63"/>
      <c r="Q471" s="63"/>
      <c r="R471" s="63"/>
      <c r="S471" s="63"/>
      <c r="T471" s="63"/>
      <c r="U471" s="94"/>
      <c r="V471" s="90"/>
      <c r="W471" s="91"/>
      <c r="X471" s="92"/>
      <c r="Y471" s="2"/>
      <c r="Z471" s="2"/>
      <c r="AA471" s="2"/>
      <c r="AB471" s="2"/>
      <c r="AC471" s="2"/>
    </row>
    <row r="472" spans="1:29">
      <c r="A472" s="614"/>
      <c r="B472" s="87">
        <f>B471+1</f>
        <v>7</v>
      </c>
      <c r="C472" s="609"/>
      <c r="D472" s="10"/>
      <c r="E472" s="101"/>
      <c r="F472" s="62"/>
      <c r="G472" s="62"/>
      <c r="H472" s="62"/>
      <c r="I472" s="89">
        <f>F472-G472-H472</f>
        <v>0</v>
      </c>
      <c r="J472" s="63"/>
      <c r="K472" s="63"/>
      <c r="L472" s="63"/>
      <c r="M472" s="63"/>
      <c r="N472" s="63"/>
      <c r="O472" s="63"/>
      <c r="P472" s="63"/>
      <c r="Q472" s="63"/>
      <c r="R472" s="63"/>
      <c r="S472" s="63"/>
      <c r="T472" s="63"/>
      <c r="U472" s="94"/>
      <c r="V472" s="90"/>
      <c r="W472" s="91"/>
      <c r="X472" s="92"/>
      <c r="Y472" s="2"/>
      <c r="Z472" s="2"/>
      <c r="AA472" s="2"/>
      <c r="AB472" s="2"/>
      <c r="AC472" s="2"/>
    </row>
    <row r="473" spans="1:29">
      <c r="A473" s="614"/>
      <c r="B473" s="87">
        <f>B472+1</f>
        <v>8</v>
      </c>
      <c r="C473" s="609"/>
      <c r="D473" s="10"/>
      <c r="E473" s="101"/>
      <c r="F473" s="62"/>
      <c r="G473" s="62"/>
      <c r="H473" s="62"/>
      <c r="I473" s="89">
        <f>F473-G473-H473</f>
        <v>0</v>
      </c>
      <c r="J473" s="63"/>
      <c r="K473" s="63"/>
      <c r="L473" s="63"/>
      <c r="M473" s="63"/>
      <c r="N473" s="63"/>
      <c r="O473" s="63"/>
      <c r="P473" s="63"/>
      <c r="Q473" s="63"/>
      <c r="R473" s="63"/>
      <c r="S473" s="63"/>
      <c r="T473" s="63"/>
      <c r="U473" s="94"/>
      <c r="V473" s="90"/>
      <c r="W473" s="91"/>
      <c r="X473" s="92"/>
      <c r="Y473" s="2"/>
      <c r="Z473" s="2"/>
      <c r="AA473" s="2"/>
      <c r="AB473" s="2"/>
      <c r="AC473" s="2"/>
    </row>
    <row r="474" spans="1:29">
      <c r="A474" s="614"/>
      <c r="B474" s="11"/>
      <c r="C474" s="609"/>
      <c r="D474" s="10"/>
      <c r="E474" s="10"/>
      <c r="F474" s="97">
        <f>SUM(F466:F473)</f>
        <v>0</v>
      </c>
      <c r="G474" s="97">
        <f>SUM(G466:G473)</f>
        <v>0</v>
      </c>
      <c r="H474" s="97">
        <f>SUM(H466:H473)</f>
        <v>0</v>
      </c>
      <c r="I474" s="98">
        <f>SUM(I466:I473)</f>
        <v>0</v>
      </c>
      <c r="J474" s="63"/>
      <c r="K474" s="21"/>
      <c r="L474" s="21"/>
      <c r="M474" s="21"/>
      <c r="N474" s="21"/>
      <c r="O474" s="21"/>
      <c r="P474" s="21"/>
      <c r="Q474" s="21"/>
      <c r="R474" s="21"/>
      <c r="S474" s="21"/>
      <c r="T474" s="63"/>
      <c r="U474" s="94"/>
      <c r="V474" s="90"/>
      <c r="W474" s="91"/>
      <c r="X474" s="92"/>
      <c r="Y474" s="2"/>
      <c r="Z474" s="2"/>
      <c r="AA474" s="2"/>
      <c r="AB474" s="2"/>
      <c r="AC474" s="2"/>
    </row>
    <row r="475" spans="1:29">
      <c r="A475" s="614"/>
      <c r="B475" s="11"/>
      <c r="C475" s="609"/>
      <c r="D475" s="10"/>
      <c r="E475" s="10"/>
      <c r="F475" s="88"/>
      <c r="G475" s="88"/>
      <c r="H475" s="88"/>
      <c r="I475" s="99"/>
      <c r="J475" s="63"/>
      <c r="K475" s="21"/>
      <c r="L475" s="21"/>
      <c r="M475" s="21"/>
      <c r="N475" s="21"/>
      <c r="O475" s="21"/>
      <c r="P475" s="21"/>
      <c r="Q475" s="21"/>
      <c r="R475" s="21"/>
      <c r="S475" s="21"/>
      <c r="T475" s="63"/>
      <c r="U475" s="94"/>
      <c r="V475" s="90"/>
      <c r="W475" s="91"/>
      <c r="X475" s="92"/>
      <c r="Y475" s="2"/>
      <c r="Z475" s="2"/>
      <c r="AA475" s="2"/>
      <c r="AB475" s="2"/>
      <c r="AC475" s="2"/>
    </row>
    <row r="476" spans="1:29">
      <c r="A476" s="614"/>
      <c r="B476" s="102" t="s">
        <v>67</v>
      </c>
      <c r="C476" s="610"/>
      <c r="D476" s="104"/>
      <c r="E476" s="104"/>
      <c r="F476" s="105"/>
      <c r="G476" s="106"/>
      <c r="H476" s="105"/>
      <c r="I476" s="107"/>
      <c r="J476" s="108"/>
      <c r="K476" s="109"/>
      <c r="L476" s="109"/>
      <c r="M476" s="109"/>
      <c r="N476" s="109"/>
      <c r="O476" s="109"/>
      <c r="P476" s="109"/>
      <c r="Q476" s="109"/>
      <c r="R476" s="109"/>
      <c r="S476" s="109"/>
      <c r="T476" s="108"/>
      <c r="U476" s="110"/>
      <c r="V476" s="111"/>
      <c r="W476" s="112"/>
      <c r="X476" s="113"/>
      <c r="Y476" s="2"/>
      <c r="Z476" s="2"/>
      <c r="AA476" s="2"/>
      <c r="AB476" s="2"/>
      <c r="AC476" s="2"/>
    </row>
    <row r="477" spans="1:29">
      <c r="A477" s="614"/>
      <c r="B477" s="114">
        <v>1</v>
      </c>
      <c r="C477" s="610"/>
      <c r="D477" s="104"/>
      <c r="E477" s="115"/>
      <c r="F477" s="106"/>
      <c r="G477" s="106"/>
      <c r="H477" s="106"/>
      <c r="I477" s="116">
        <f>F477-G477-H477</f>
        <v>0</v>
      </c>
      <c r="J477" s="108"/>
      <c r="K477" s="108"/>
      <c r="L477" s="108"/>
      <c r="M477" s="108"/>
      <c r="N477" s="108"/>
      <c r="O477" s="108"/>
      <c r="P477" s="108"/>
      <c r="Q477" s="108"/>
      <c r="R477" s="108"/>
      <c r="S477" s="108"/>
      <c r="T477" s="108"/>
      <c r="U477" s="110"/>
      <c r="V477" s="111"/>
      <c r="W477" s="112"/>
      <c r="X477" s="113"/>
      <c r="Y477" s="2"/>
      <c r="Z477" s="2"/>
      <c r="AA477" s="2"/>
      <c r="AB477" s="2"/>
      <c r="AC477" s="2"/>
    </row>
    <row r="478" spans="1:29">
      <c r="A478" s="614"/>
      <c r="B478" s="114">
        <f>B477+1</f>
        <v>2</v>
      </c>
      <c r="C478" s="610"/>
      <c r="D478" s="104"/>
      <c r="E478" s="115"/>
      <c r="F478" s="106"/>
      <c r="G478" s="106"/>
      <c r="H478" s="106"/>
      <c r="I478" s="116">
        <f>F478-G478-H478</f>
        <v>0</v>
      </c>
      <c r="J478" s="108"/>
      <c r="K478" s="108"/>
      <c r="L478" s="108"/>
      <c r="M478" s="108"/>
      <c r="N478" s="108"/>
      <c r="O478" s="108"/>
      <c r="P478" s="108"/>
      <c r="Q478" s="108"/>
      <c r="R478" s="108"/>
      <c r="S478" s="108"/>
      <c r="T478" s="108"/>
      <c r="U478" s="110"/>
      <c r="V478" s="111"/>
      <c r="W478" s="112"/>
      <c r="X478" s="113"/>
      <c r="Y478" s="2"/>
      <c r="Z478" s="2"/>
      <c r="AA478" s="2"/>
      <c r="AB478" s="2"/>
      <c r="AC478" s="2"/>
    </row>
    <row r="479" spans="1:29">
      <c r="A479" s="614"/>
      <c r="B479" s="114">
        <f>B478+1</f>
        <v>3</v>
      </c>
      <c r="C479" s="610"/>
      <c r="D479" s="104"/>
      <c r="E479" s="115"/>
      <c r="F479" s="106"/>
      <c r="G479" s="106"/>
      <c r="H479" s="106"/>
      <c r="I479" s="116">
        <f>F479-G479-H479</f>
        <v>0</v>
      </c>
      <c r="J479" s="108"/>
      <c r="K479" s="108"/>
      <c r="L479" s="108"/>
      <c r="M479" s="108"/>
      <c r="N479" s="108"/>
      <c r="O479" s="108"/>
      <c r="P479" s="108"/>
      <c r="Q479" s="108"/>
      <c r="R479" s="108"/>
      <c r="S479" s="108"/>
      <c r="T479" s="108"/>
      <c r="U479" s="110"/>
      <c r="V479" s="111"/>
      <c r="W479" s="112"/>
      <c r="X479" s="113"/>
      <c r="Y479" s="2"/>
      <c r="Z479" s="2"/>
      <c r="AA479" s="2"/>
      <c r="AB479" s="2"/>
      <c r="AC479" s="2"/>
    </row>
    <row r="480" spans="1:29">
      <c r="A480" s="614"/>
      <c r="B480" s="114">
        <f>B479+1</f>
        <v>4</v>
      </c>
      <c r="C480" s="610"/>
      <c r="D480" s="104"/>
      <c r="E480" s="115"/>
      <c r="F480" s="106"/>
      <c r="G480" s="106"/>
      <c r="H480" s="106"/>
      <c r="I480" s="116">
        <f>F480-G480-H480</f>
        <v>0</v>
      </c>
      <c r="J480" s="108"/>
      <c r="K480" s="108"/>
      <c r="L480" s="108"/>
      <c r="M480" s="108"/>
      <c r="N480" s="108"/>
      <c r="O480" s="108"/>
      <c r="P480" s="108"/>
      <c r="Q480" s="108"/>
      <c r="R480" s="108"/>
      <c r="S480" s="108"/>
      <c r="T480" s="108"/>
      <c r="U480" s="110"/>
      <c r="V480" s="111"/>
      <c r="W480" s="112"/>
      <c r="X480" s="113"/>
      <c r="Y480" s="2"/>
      <c r="Z480" s="2"/>
      <c r="AA480" s="2"/>
      <c r="AB480" s="2"/>
      <c r="AC480" s="2"/>
    </row>
    <row r="481" spans="1:29">
      <c r="A481" s="614"/>
      <c r="B481" s="114">
        <f>B480+1</f>
        <v>5</v>
      </c>
      <c r="C481" s="610"/>
      <c r="D481" s="104"/>
      <c r="E481" s="115"/>
      <c r="F481" s="106"/>
      <c r="G481" s="106"/>
      <c r="H481" s="106"/>
      <c r="I481" s="116">
        <f>F481-G481-H481</f>
        <v>0</v>
      </c>
      <c r="J481" s="108"/>
      <c r="K481" s="108"/>
      <c r="L481" s="108"/>
      <c r="M481" s="108"/>
      <c r="N481" s="108"/>
      <c r="O481" s="108"/>
      <c r="P481" s="108"/>
      <c r="Q481" s="108"/>
      <c r="R481" s="108"/>
      <c r="S481" s="108"/>
      <c r="T481" s="108"/>
      <c r="U481" s="110"/>
      <c r="V481" s="111"/>
      <c r="W481" s="112"/>
      <c r="X481" s="113"/>
      <c r="Y481" s="2"/>
      <c r="Z481" s="2"/>
      <c r="AA481" s="2"/>
      <c r="AB481" s="2"/>
      <c r="AC481" s="2"/>
    </row>
    <row r="482" spans="1:29">
      <c r="A482" s="614"/>
      <c r="B482" s="114">
        <f>B481+1</f>
        <v>6</v>
      </c>
      <c r="C482" s="610"/>
      <c r="D482" s="104"/>
      <c r="E482" s="115"/>
      <c r="F482" s="106"/>
      <c r="G482" s="106"/>
      <c r="H482" s="106"/>
      <c r="I482" s="116">
        <f>F482-G482-H482</f>
        <v>0</v>
      </c>
      <c r="J482" s="108"/>
      <c r="K482" s="108"/>
      <c r="L482" s="108"/>
      <c r="M482" s="108"/>
      <c r="N482" s="108"/>
      <c r="O482" s="108"/>
      <c r="P482" s="108"/>
      <c r="Q482" s="108"/>
      <c r="R482" s="108"/>
      <c r="S482" s="108"/>
      <c r="T482" s="108"/>
      <c r="U482" s="110"/>
      <c r="V482" s="111"/>
      <c r="W482" s="112"/>
      <c r="X482" s="113"/>
      <c r="Y482" s="2"/>
      <c r="Z482" s="2"/>
      <c r="AA482" s="2"/>
      <c r="AB482" s="2"/>
      <c r="AC482" s="2"/>
    </row>
    <row r="483" spans="1:29">
      <c r="A483" s="614"/>
      <c r="B483" s="114">
        <f>B482+1</f>
        <v>7</v>
      </c>
      <c r="C483" s="610"/>
      <c r="D483" s="104"/>
      <c r="E483" s="115"/>
      <c r="F483" s="106"/>
      <c r="G483" s="106"/>
      <c r="H483" s="106"/>
      <c r="I483" s="116">
        <f>F483-G483-H483</f>
        <v>0</v>
      </c>
      <c r="J483" s="108"/>
      <c r="K483" s="108"/>
      <c r="L483" s="108"/>
      <c r="M483" s="108"/>
      <c r="N483" s="108"/>
      <c r="O483" s="108"/>
      <c r="P483" s="108"/>
      <c r="Q483" s="108"/>
      <c r="R483" s="108"/>
      <c r="S483" s="108"/>
      <c r="T483" s="108"/>
      <c r="U483" s="110"/>
      <c r="V483" s="111"/>
      <c r="W483" s="112"/>
      <c r="X483" s="113"/>
      <c r="Y483" s="2"/>
      <c r="Z483" s="2"/>
      <c r="AA483" s="2"/>
      <c r="AB483" s="2"/>
      <c r="AC483" s="2"/>
    </row>
    <row r="484" spans="1:29">
      <c r="A484" s="614"/>
      <c r="B484" s="114">
        <f>B483+1</f>
        <v>8</v>
      </c>
      <c r="C484" s="610"/>
      <c r="D484" s="104"/>
      <c r="E484" s="115"/>
      <c r="F484" s="106"/>
      <c r="G484" s="106"/>
      <c r="H484" s="106"/>
      <c r="I484" s="116">
        <f>F484-G484-H484</f>
        <v>0</v>
      </c>
      <c r="J484" s="108"/>
      <c r="K484" s="108"/>
      <c r="L484" s="108"/>
      <c r="M484" s="108"/>
      <c r="N484" s="108"/>
      <c r="O484" s="108"/>
      <c r="P484" s="108"/>
      <c r="Q484" s="108"/>
      <c r="R484" s="108"/>
      <c r="S484" s="108"/>
      <c r="T484" s="108"/>
      <c r="U484" s="110"/>
      <c r="V484" s="111"/>
      <c r="W484" s="112"/>
      <c r="X484" s="113"/>
      <c r="Y484" s="2"/>
      <c r="Z484" s="2"/>
      <c r="AA484" s="2"/>
      <c r="AB484" s="2"/>
      <c r="AC484" s="2"/>
    </row>
    <row r="485" spans="1:29">
      <c r="A485" s="614"/>
      <c r="B485" s="117"/>
      <c r="C485" s="610"/>
      <c r="D485" s="104"/>
      <c r="E485" s="104"/>
      <c r="F485" s="118">
        <f>SUM(F477:F484)</f>
        <v>0</v>
      </c>
      <c r="G485" s="118">
        <f>SUM(G477:G484)</f>
        <v>0</v>
      </c>
      <c r="H485" s="118">
        <f>SUM(H477:H484)</f>
        <v>0</v>
      </c>
      <c r="I485" s="119">
        <f>SUM(I477:I484)</f>
        <v>0</v>
      </c>
      <c r="J485" s="108"/>
      <c r="K485" s="120"/>
      <c r="L485" s="120"/>
      <c r="M485" s="120"/>
      <c r="N485" s="120"/>
      <c r="O485" s="120"/>
      <c r="P485" s="120"/>
      <c r="Q485" s="120"/>
      <c r="R485" s="120"/>
      <c r="S485" s="120"/>
      <c r="T485" s="108"/>
      <c r="U485" s="110"/>
      <c r="V485" s="111"/>
      <c r="W485" s="112"/>
      <c r="X485" s="113"/>
      <c r="Y485" s="2"/>
      <c r="Z485" s="2"/>
      <c r="AA485" s="2"/>
      <c r="AB485" s="2"/>
      <c r="AC485" s="2"/>
    </row>
    <row r="486" spans="1:29">
      <c r="A486" s="614"/>
      <c r="B486" s="11"/>
      <c r="C486" s="609"/>
      <c r="D486" s="10"/>
      <c r="E486" s="10"/>
      <c r="F486" s="88"/>
      <c r="G486" s="88"/>
      <c r="H486" s="88"/>
      <c r="I486" s="99"/>
      <c r="J486" s="63"/>
      <c r="K486" s="21"/>
      <c r="L486" s="21"/>
      <c r="M486" s="21"/>
      <c r="N486" s="21"/>
      <c r="O486" s="21"/>
      <c r="P486" s="21"/>
      <c r="Q486" s="21"/>
      <c r="R486" s="21"/>
      <c r="S486" s="21"/>
      <c r="T486" s="63"/>
      <c r="U486" s="94"/>
      <c r="V486" s="90"/>
      <c r="W486" s="91"/>
      <c r="X486" s="92"/>
      <c r="Y486" s="2"/>
      <c r="Z486" s="2"/>
      <c r="AA486" s="2"/>
      <c r="AB486" s="2"/>
      <c r="AC486" s="2"/>
    </row>
    <row r="487" spans="1:29">
      <c r="A487" s="615"/>
      <c r="B487" s="121" t="s">
        <v>68</v>
      </c>
      <c r="C487" s="611"/>
      <c r="D487" s="123"/>
      <c r="E487" s="123"/>
      <c r="F487" s="124"/>
      <c r="G487" s="125"/>
      <c r="H487" s="124"/>
      <c r="I487" s="126"/>
      <c r="J487" s="127"/>
      <c r="K487" s="128"/>
      <c r="L487" s="128"/>
      <c r="M487" s="128"/>
      <c r="N487" s="128"/>
      <c r="O487" s="128"/>
      <c r="P487" s="128"/>
      <c r="Q487" s="128"/>
      <c r="R487" s="128"/>
      <c r="S487" s="128"/>
      <c r="T487" s="127"/>
      <c r="U487" s="135"/>
      <c r="V487" s="129"/>
      <c r="W487" s="130"/>
      <c r="X487" s="131"/>
      <c r="Y487" s="128"/>
      <c r="Z487" s="128"/>
      <c r="AA487" s="128"/>
      <c r="AB487" s="128"/>
      <c r="AC487" s="128"/>
    </row>
    <row r="488" spans="1:29">
      <c r="A488" s="614"/>
      <c r="B488" s="87">
        <v>1</v>
      </c>
      <c r="C488" s="609"/>
      <c r="D488" s="10"/>
      <c r="E488" s="101"/>
      <c r="F488" s="62"/>
      <c r="G488" s="62"/>
      <c r="H488" s="62"/>
      <c r="I488" s="89">
        <f>F488-G488-H488</f>
        <v>0</v>
      </c>
      <c r="J488" s="63"/>
      <c r="K488" s="63"/>
      <c r="L488" s="63"/>
      <c r="M488" s="63"/>
      <c r="N488" s="63"/>
      <c r="O488" s="63"/>
      <c r="P488" s="63"/>
      <c r="Q488" s="63"/>
      <c r="R488" s="63"/>
      <c r="S488" s="63"/>
      <c r="T488" s="63"/>
      <c r="U488" s="94"/>
      <c r="V488" s="90"/>
      <c r="W488" s="91"/>
      <c r="X488" s="92"/>
      <c r="Y488" s="2"/>
      <c r="Z488" s="2"/>
      <c r="AA488" s="2"/>
      <c r="AB488" s="2"/>
      <c r="AC488" s="2"/>
    </row>
    <row r="489" spans="1:29">
      <c r="A489" s="614"/>
      <c r="B489" s="87">
        <f>B488+1</f>
        <v>2</v>
      </c>
      <c r="C489" s="609"/>
      <c r="D489" s="10"/>
      <c r="E489" s="101"/>
      <c r="F489" s="62"/>
      <c r="G489" s="62"/>
      <c r="H489" s="62"/>
      <c r="I489" s="89">
        <f>F489-G489-H489</f>
        <v>0</v>
      </c>
      <c r="J489" s="63"/>
      <c r="K489" s="63"/>
      <c r="L489" s="63"/>
      <c r="M489" s="63"/>
      <c r="N489" s="63"/>
      <c r="O489" s="63"/>
      <c r="P489" s="63"/>
      <c r="Q489" s="63"/>
      <c r="R489" s="63"/>
      <c r="S489" s="63"/>
      <c r="T489" s="63"/>
      <c r="U489" s="94"/>
      <c r="V489" s="90"/>
      <c r="W489" s="91"/>
      <c r="X489" s="92"/>
      <c r="Y489" s="2"/>
      <c r="Z489" s="2"/>
      <c r="AA489" s="2"/>
      <c r="AB489" s="2"/>
      <c r="AC489" s="2"/>
    </row>
    <row r="490" spans="1:29">
      <c r="A490" s="614"/>
      <c r="B490" s="87">
        <f>B489+1</f>
        <v>3</v>
      </c>
      <c r="C490" s="609"/>
      <c r="D490" s="10"/>
      <c r="E490" s="101"/>
      <c r="F490" s="62"/>
      <c r="G490" s="62"/>
      <c r="H490" s="62"/>
      <c r="I490" s="89">
        <f>F490-G490-H490</f>
        <v>0</v>
      </c>
      <c r="J490" s="63"/>
      <c r="K490" s="63"/>
      <c r="L490" s="63"/>
      <c r="M490" s="63"/>
      <c r="N490" s="63"/>
      <c r="O490" s="63"/>
      <c r="P490" s="63"/>
      <c r="Q490" s="63"/>
      <c r="R490" s="63"/>
      <c r="S490" s="63"/>
      <c r="T490" s="63"/>
      <c r="U490" s="94"/>
      <c r="V490" s="90"/>
      <c r="W490" s="91"/>
      <c r="X490" s="92"/>
      <c r="Y490" s="2"/>
      <c r="Z490" s="2"/>
      <c r="AA490" s="2"/>
      <c r="AB490" s="2"/>
      <c r="AC490" s="2"/>
    </row>
    <row r="491" spans="1:29">
      <c r="A491" s="614"/>
      <c r="B491" s="87">
        <f>B490+1</f>
        <v>4</v>
      </c>
      <c r="C491" s="609"/>
      <c r="D491" s="10"/>
      <c r="E491" s="101"/>
      <c r="F491" s="62"/>
      <c r="G491" s="62"/>
      <c r="H491" s="62"/>
      <c r="I491" s="89">
        <f>F491-G491-H491</f>
        <v>0</v>
      </c>
      <c r="J491" s="63"/>
      <c r="K491" s="63"/>
      <c r="L491" s="63"/>
      <c r="M491" s="63"/>
      <c r="N491" s="63"/>
      <c r="O491" s="63"/>
      <c r="P491" s="63"/>
      <c r="Q491" s="63"/>
      <c r="R491" s="63"/>
      <c r="S491" s="63"/>
      <c r="T491" s="63"/>
      <c r="U491" s="94"/>
      <c r="V491" s="90"/>
      <c r="W491" s="91"/>
      <c r="X491" s="92"/>
      <c r="Y491" s="2"/>
      <c r="Z491" s="2"/>
      <c r="AA491" s="2"/>
      <c r="AB491" s="2"/>
      <c r="AC491" s="2"/>
    </row>
    <row r="492" spans="1:29">
      <c r="A492" s="614"/>
      <c r="B492" s="87">
        <f>B491+1</f>
        <v>5</v>
      </c>
      <c r="C492" s="609"/>
      <c r="D492" s="10"/>
      <c r="E492" s="101"/>
      <c r="F492" s="62"/>
      <c r="G492" s="62"/>
      <c r="H492" s="62"/>
      <c r="I492" s="89">
        <f>F492-G492-H492</f>
        <v>0</v>
      </c>
      <c r="J492" s="63"/>
      <c r="K492" s="63"/>
      <c r="L492" s="63"/>
      <c r="M492" s="63"/>
      <c r="N492" s="63"/>
      <c r="O492" s="63"/>
      <c r="P492" s="63"/>
      <c r="Q492" s="63"/>
      <c r="R492" s="63"/>
      <c r="S492" s="63"/>
      <c r="T492" s="63"/>
      <c r="U492" s="94"/>
      <c r="V492" s="90"/>
      <c r="W492" s="91"/>
      <c r="X492" s="92"/>
      <c r="Y492" s="2"/>
      <c r="Z492" s="2"/>
      <c r="AA492" s="2"/>
      <c r="AB492" s="2"/>
      <c r="AC492" s="2"/>
    </row>
    <row r="493" spans="1:29">
      <c r="A493" s="614"/>
      <c r="B493" s="87">
        <f>B492+1</f>
        <v>6</v>
      </c>
      <c r="C493" s="609"/>
      <c r="D493" s="10"/>
      <c r="E493" s="101"/>
      <c r="F493" s="62"/>
      <c r="G493" s="62"/>
      <c r="H493" s="62"/>
      <c r="I493" s="89">
        <f>F493-G493-H493</f>
        <v>0</v>
      </c>
      <c r="J493" s="63"/>
      <c r="K493" s="63"/>
      <c r="L493" s="63"/>
      <c r="M493" s="63"/>
      <c r="N493" s="63"/>
      <c r="O493" s="63"/>
      <c r="P493" s="63"/>
      <c r="Q493" s="63"/>
      <c r="R493" s="63"/>
      <c r="S493" s="63"/>
      <c r="T493" s="63"/>
      <c r="U493" s="94"/>
      <c r="V493" s="90"/>
      <c r="W493" s="91"/>
      <c r="X493" s="92"/>
      <c r="Y493" s="2"/>
      <c r="Z493" s="2"/>
      <c r="AA493" s="2"/>
      <c r="AB493" s="2"/>
      <c r="AC493" s="2"/>
    </row>
    <row r="494" spans="1:29">
      <c r="A494" s="614"/>
      <c r="B494" s="87">
        <f>B493+1</f>
        <v>7</v>
      </c>
      <c r="C494" s="609"/>
      <c r="D494" s="10"/>
      <c r="E494" s="101"/>
      <c r="F494" s="62"/>
      <c r="G494" s="62"/>
      <c r="H494" s="62"/>
      <c r="I494" s="89">
        <f>F494-G494-H494</f>
        <v>0</v>
      </c>
      <c r="J494" s="63"/>
      <c r="K494" s="63"/>
      <c r="L494" s="63"/>
      <c r="M494" s="63"/>
      <c r="N494" s="63"/>
      <c r="O494" s="63"/>
      <c r="P494" s="63"/>
      <c r="Q494" s="63"/>
      <c r="R494" s="63"/>
      <c r="S494" s="63"/>
      <c r="T494" s="63"/>
      <c r="U494" s="94"/>
      <c r="V494" s="90"/>
      <c r="W494" s="91"/>
      <c r="X494" s="92"/>
      <c r="Y494" s="2"/>
      <c r="Z494" s="2"/>
      <c r="AA494" s="2"/>
      <c r="AB494" s="2"/>
      <c r="AC494" s="2"/>
    </row>
    <row r="495" spans="1:29">
      <c r="A495" s="614"/>
      <c r="B495" s="87">
        <f>B494+1</f>
        <v>8</v>
      </c>
      <c r="C495" s="609"/>
      <c r="D495" s="10"/>
      <c r="E495" s="101"/>
      <c r="F495" s="62"/>
      <c r="G495" s="62"/>
      <c r="H495" s="62"/>
      <c r="I495" s="89">
        <f>F495-G495-H495</f>
        <v>0</v>
      </c>
      <c r="J495" s="63"/>
      <c r="K495" s="63"/>
      <c r="L495" s="63"/>
      <c r="M495" s="63"/>
      <c r="N495" s="63"/>
      <c r="O495" s="63"/>
      <c r="P495" s="63"/>
      <c r="Q495" s="63"/>
      <c r="R495" s="63"/>
      <c r="S495" s="63"/>
      <c r="T495" s="63"/>
      <c r="U495" s="94"/>
      <c r="V495" s="90"/>
      <c r="W495" s="91"/>
      <c r="X495" s="92"/>
      <c r="Y495" s="2"/>
      <c r="Z495" s="2"/>
      <c r="AA495" s="2"/>
      <c r="AB495" s="2"/>
      <c r="AC495" s="2"/>
    </row>
    <row r="496" spans="1:29">
      <c r="A496" s="615"/>
      <c r="B496" s="132"/>
      <c r="C496" s="611"/>
      <c r="D496" s="123"/>
      <c r="E496" s="123"/>
      <c r="F496" s="133">
        <f>SUM(F488:F495)</f>
        <v>0</v>
      </c>
      <c r="G496" s="133">
        <f>SUM(G488:G495)</f>
        <v>0</v>
      </c>
      <c r="H496" s="133">
        <f>SUM(H488:H495)</f>
        <v>0</v>
      </c>
      <c r="I496" s="134">
        <f>SUM(I488:I495)</f>
        <v>0</v>
      </c>
      <c r="J496" s="127"/>
      <c r="K496" s="64"/>
      <c r="L496" s="64"/>
      <c r="M496" s="64"/>
      <c r="N496" s="64"/>
      <c r="O496" s="64"/>
      <c r="P496" s="64"/>
      <c r="Q496" s="64"/>
      <c r="R496" s="64"/>
      <c r="S496" s="64"/>
      <c r="T496" s="127"/>
      <c r="U496" s="135"/>
      <c r="V496" s="129"/>
      <c r="W496" s="130"/>
      <c r="X496" s="131"/>
      <c r="Y496" s="128"/>
      <c r="Z496" s="128"/>
      <c r="AA496" s="128"/>
      <c r="AB496" s="128"/>
      <c r="AC496" s="128"/>
    </row>
    <row r="497" spans="1:29">
      <c r="A497" s="614"/>
      <c r="B497" s="11"/>
      <c r="C497" s="609"/>
      <c r="D497" s="10"/>
      <c r="E497" s="10"/>
      <c r="F497" s="88"/>
      <c r="G497" s="88"/>
      <c r="H497" s="88"/>
      <c r="I497" s="99"/>
      <c r="J497" s="63"/>
      <c r="K497" s="21"/>
      <c r="L497" s="21"/>
      <c r="M497" s="21"/>
      <c r="N497" s="21"/>
      <c r="O497" s="21"/>
      <c r="P497" s="21"/>
      <c r="Q497" s="21"/>
      <c r="R497" s="21"/>
      <c r="S497" s="21"/>
      <c r="T497" s="63"/>
      <c r="U497" s="94"/>
      <c r="V497" s="90"/>
      <c r="W497" s="91"/>
      <c r="X497" s="92"/>
      <c r="Y497" s="2"/>
      <c r="Z497" s="2"/>
      <c r="AA497" s="2"/>
      <c r="AB497" s="2"/>
      <c r="AC497" s="2"/>
    </row>
    <row r="498" spans="1:29">
      <c r="A498" s="615"/>
      <c r="B498" s="121" t="s">
        <v>69</v>
      </c>
      <c r="C498" s="611"/>
      <c r="D498" s="123"/>
      <c r="E498" s="123"/>
      <c r="F498" s="124"/>
      <c r="G498" s="125"/>
      <c r="H498" s="124"/>
      <c r="I498" s="126"/>
      <c r="J498" s="127"/>
      <c r="K498" s="128"/>
      <c r="L498" s="128"/>
      <c r="M498" s="128"/>
      <c r="N498" s="128"/>
      <c r="O498" s="128"/>
      <c r="P498" s="128"/>
      <c r="Q498" s="128"/>
      <c r="R498" s="128"/>
      <c r="S498" s="128"/>
      <c r="T498" s="127"/>
      <c r="U498" s="135"/>
      <c r="V498" s="129"/>
      <c r="W498" s="130"/>
      <c r="X498" s="131"/>
      <c r="Y498" s="128"/>
      <c r="Z498" s="128"/>
      <c r="AA498" s="128"/>
      <c r="AB498" s="128"/>
      <c r="AC498" s="128"/>
    </row>
    <row r="499" spans="1:29">
      <c r="A499" s="614"/>
      <c r="B499" s="87">
        <v>1</v>
      </c>
      <c r="C499" s="609"/>
      <c r="D499" s="10"/>
      <c r="E499" s="101"/>
      <c r="F499" s="62"/>
      <c r="G499" s="62"/>
      <c r="H499" s="62"/>
      <c r="I499" s="89">
        <f>F499-G499-H499</f>
        <v>0</v>
      </c>
      <c r="J499" s="63"/>
      <c r="K499" s="63"/>
      <c r="L499" s="63"/>
      <c r="M499" s="63"/>
      <c r="N499" s="63"/>
      <c r="O499" s="63"/>
      <c r="P499" s="63"/>
      <c r="Q499" s="63"/>
      <c r="R499" s="63"/>
      <c r="S499" s="63"/>
      <c r="T499" s="63"/>
      <c r="U499" s="94"/>
      <c r="V499" s="90"/>
      <c r="W499" s="91"/>
      <c r="X499" s="92"/>
      <c r="Y499" s="2"/>
      <c r="Z499" s="2"/>
      <c r="AA499" s="2"/>
      <c r="AB499" s="2"/>
      <c r="AC499" s="2"/>
    </row>
    <row r="500" spans="1:29">
      <c r="A500" s="614"/>
      <c r="B500" s="87">
        <f>B499+1</f>
        <v>2</v>
      </c>
      <c r="C500" s="609"/>
      <c r="D500" s="10"/>
      <c r="E500" s="101"/>
      <c r="F500" s="62"/>
      <c r="G500" s="62"/>
      <c r="H500" s="62"/>
      <c r="I500" s="89">
        <f>F500-G500-H500</f>
        <v>0</v>
      </c>
      <c r="J500" s="63"/>
      <c r="K500" s="63"/>
      <c r="L500" s="63"/>
      <c r="M500" s="63"/>
      <c r="N500" s="63"/>
      <c r="O500" s="63"/>
      <c r="P500" s="63"/>
      <c r="Q500" s="63"/>
      <c r="R500" s="63"/>
      <c r="S500" s="63"/>
      <c r="T500" s="63"/>
      <c r="U500" s="94"/>
      <c r="V500" s="90"/>
      <c r="W500" s="91"/>
      <c r="X500" s="92"/>
      <c r="Y500" s="2"/>
      <c r="Z500" s="2"/>
      <c r="AA500" s="2"/>
      <c r="AB500" s="2"/>
      <c r="AC500" s="2"/>
    </row>
    <row r="501" spans="1:29">
      <c r="A501" s="614"/>
      <c r="B501" s="87">
        <f>B500+1</f>
        <v>3</v>
      </c>
      <c r="C501" s="609"/>
      <c r="D501" s="10"/>
      <c r="E501" s="101"/>
      <c r="F501" s="62"/>
      <c r="G501" s="62"/>
      <c r="H501" s="62"/>
      <c r="I501" s="89">
        <f>F501-G501-H501</f>
        <v>0</v>
      </c>
      <c r="J501" s="63"/>
      <c r="K501" s="63"/>
      <c r="L501" s="63"/>
      <c r="M501" s="63"/>
      <c r="N501" s="63"/>
      <c r="O501" s="63"/>
      <c r="P501" s="63"/>
      <c r="Q501" s="63"/>
      <c r="R501" s="63"/>
      <c r="S501" s="63"/>
      <c r="T501" s="63"/>
      <c r="U501" s="94"/>
      <c r="V501" s="90"/>
      <c r="W501" s="91"/>
      <c r="X501" s="92"/>
      <c r="Y501" s="2"/>
      <c r="Z501" s="2"/>
      <c r="AA501" s="2"/>
      <c r="AB501" s="2"/>
      <c r="AC501" s="2"/>
    </row>
    <row r="502" spans="1:29">
      <c r="A502" s="614"/>
      <c r="B502" s="87">
        <f>B501+1</f>
        <v>4</v>
      </c>
      <c r="C502" s="609"/>
      <c r="D502" s="10"/>
      <c r="E502" s="101"/>
      <c r="F502" s="62"/>
      <c r="G502" s="62"/>
      <c r="H502" s="62"/>
      <c r="I502" s="89">
        <f>F502-G502-H502</f>
        <v>0</v>
      </c>
      <c r="J502" s="63"/>
      <c r="K502" s="63"/>
      <c r="L502" s="63"/>
      <c r="M502" s="63"/>
      <c r="N502" s="63"/>
      <c r="O502" s="63"/>
      <c r="P502" s="63"/>
      <c r="Q502" s="63"/>
      <c r="R502" s="63"/>
      <c r="S502" s="63"/>
      <c r="T502" s="63"/>
      <c r="U502" s="94"/>
      <c r="V502" s="90"/>
      <c r="W502" s="91"/>
      <c r="X502" s="92"/>
      <c r="Y502" s="2"/>
      <c r="Z502" s="2"/>
      <c r="AA502" s="2"/>
      <c r="AB502" s="2"/>
      <c r="AC502" s="2"/>
    </row>
    <row r="503" spans="1:29">
      <c r="A503" s="614"/>
      <c r="B503" s="87">
        <f>B502+1</f>
        <v>5</v>
      </c>
      <c r="C503" s="609"/>
      <c r="D503" s="10"/>
      <c r="E503" s="101"/>
      <c r="F503" s="62"/>
      <c r="G503" s="62"/>
      <c r="H503" s="62"/>
      <c r="I503" s="89">
        <f>F503-G503-H503</f>
        <v>0</v>
      </c>
      <c r="J503" s="63"/>
      <c r="K503" s="63"/>
      <c r="L503" s="63"/>
      <c r="M503" s="63"/>
      <c r="N503" s="63"/>
      <c r="O503" s="63"/>
      <c r="P503" s="63"/>
      <c r="Q503" s="63"/>
      <c r="R503" s="63"/>
      <c r="S503" s="63"/>
      <c r="T503" s="63"/>
      <c r="U503" s="94"/>
      <c r="V503" s="90"/>
      <c r="W503" s="91"/>
      <c r="X503" s="92"/>
      <c r="Y503" s="2"/>
      <c r="Z503" s="2"/>
      <c r="AA503" s="2"/>
      <c r="AB503" s="2"/>
      <c r="AC503" s="2"/>
    </row>
    <row r="504" spans="1:29">
      <c r="A504" s="614"/>
      <c r="B504" s="87">
        <f>B503+1</f>
        <v>6</v>
      </c>
      <c r="C504" s="609"/>
      <c r="D504" s="10"/>
      <c r="E504" s="101"/>
      <c r="F504" s="62"/>
      <c r="G504" s="62"/>
      <c r="H504" s="62"/>
      <c r="I504" s="89">
        <f>F504-G504-H504</f>
        <v>0</v>
      </c>
      <c r="J504" s="63"/>
      <c r="K504" s="63"/>
      <c r="L504" s="63"/>
      <c r="M504" s="63"/>
      <c r="N504" s="63"/>
      <c r="O504" s="63"/>
      <c r="P504" s="63"/>
      <c r="Q504" s="63"/>
      <c r="R504" s="63"/>
      <c r="S504" s="63"/>
      <c r="T504" s="63"/>
      <c r="U504" s="94"/>
      <c r="V504" s="90"/>
      <c r="W504" s="91"/>
      <c r="X504" s="92"/>
      <c r="Y504" s="2"/>
      <c r="Z504" s="2"/>
      <c r="AA504" s="2"/>
      <c r="AB504" s="2"/>
      <c r="AC504" s="2"/>
    </row>
    <row r="505" spans="1:29">
      <c r="A505" s="614"/>
      <c r="B505" s="87">
        <f>B504+1</f>
        <v>7</v>
      </c>
      <c r="C505" s="609"/>
      <c r="D505" s="10"/>
      <c r="E505" s="101"/>
      <c r="F505" s="62"/>
      <c r="G505" s="62"/>
      <c r="H505" s="62"/>
      <c r="I505" s="89">
        <f>F505-G505-H505</f>
        <v>0</v>
      </c>
      <c r="J505" s="63"/>
      <c r="K505" s="63"/>
      <c r="L505" s="63"/>
      <c r="M505" s="63"/>
      <c r="N505" s="63"/>
      <c r="O505" s="63"/>
      <c r="P505" s="63"/>
      <c r="Q505" s="63"/>
      <c r="R505" s="63"/>
      <c r="S505" s="63"/>
      <c r="T505" s="63"/>
      <c r="U505" s="94"/>
      <c r="V505" s="90"/>
      <c r="W505" s="91"/>
      <c r="X505" s="92"/>
      <c r="Y505" s="2"/>
      <c r="Z505" s="2"/>
      <c r="AA505" s="2"/>
      <c r="AB505" s="2"/>
      <c r="AC505" s="2"/>
    </row>
    <row r="506" spans="1:29">
      <c r="A506" s="614"/>
      <c r="B506" s="87">
        <f>B505+1</f>
        <v>8</v>
      </c>
      <c r="C506" s="609"/>
      <c r="D506" s="10"/>
      <c r="E506" s="101"/>
      <c r="F506" s="62"/>
      <c r="G506" s="62"/>
      <c r="H506" s="62"/>
      <c r="I506" s="89">
        <f>F506-G506-H506</f>
        <v>0</v>
      </c>
      <c r="J506" s="63"/>
      <c r="K506" s="63"/>
      <c r="L506" s="63"/>
      <c r="M506" s="63"/>
      <c r="N506" s="63"/>
      <c r="O506" s="63"/>
      <c r="P506" s="63"/>
      <c r="Q506" s="63"/>
      <c r="R506" s="63"/>
      <c r="S506" s="63"/>
      <c r="T506" s="63"/>
      <c r="U506" s="94"/>
      <c r="V506" s="90"/>
      <c r="W506" s="91"/>
      <c r="X506" s="92"/>
      <c r="Y506" s="2"/>
      <c r="Z506" s="2"/>
      <c r="AA506" s="2"/>
      <c r="AB506" s="2"/>
      <c r="AC506" s="2"/>
    </row>
    <row r="507" spans="1:29">
      <c r="A507" s="615"/>
      <c r="B507" s="132"/>
      <c r="C507" s="611"/>
      <c r="D507" s="123"/>
      <c r="E507" s="123"/>
      <c r="F507" s="133">
        <f>SUM(F499:F506)</f>
        <v>0</v>
      </c>
      <c r="G507" s="133">
        <f>SUM(G499:G506)</f>
        <v>0</v>
      </c>
      <c r="H507" s="133">
        <f>SUM(H499:H506)</f>
        <v>0</v>
      </c>
      <c r="I507" s="134">
        <f>SUM(I499:I506)</f>
        <v>0</v>
      </c>
      <c r="J507" s="127"/>
      <c r="K507" s="64"/>
      <c r="L507" s="64"/>
      <c r="M507" s="64"/>
      <c r="N507" s="64"/>
      <c r="O507" s="64"/>
      <c r="P507" s="64"/>
      <c r="Q507" s="64"/>
      <c r="R507" s="64"/>
      <c r="S507" s="64"/>
      <c r="T507" s="127"/>
      <c r="U507" s="135"/>
      <c r="V507" s="129"/>
      <c r="W507" s="130"/>
      <c r="X507" s="131"/>
      <c r="Y507" s="128"/>
      <c r="Z507" s="128"/>
      <c r="AA507" s="128"/>
      <c r="AB507" s="128"/>
      <c r="AC507" s="128"/>
    </row>
    <row r="508" spans="1:29">
      <c r="A508" s="614"/>
      <c r="B508" s="11"/>
      <c r="C508" s="609"/>
      <c r="D508" s="10"/>
      <c r="E508" s="10"/>
      <c r="F508" s="88"/>
      <c r="G508" s="88"/>
      <c r="H508" s="88"/>
      <c r="I508" s="99"/>
      <c r="J508" s="63"/>
      <c r="K508" s="21"/>
      <c r="L508" s="21"/>
      <c r="M508" s="21"/>
      <c r="N508" s="21"/>
      <c r="O508" s="21"/>
      <c r="P508" s="21"/>
      <c r="Q508" s="21"/>
      <c r="R508" s="21"/>
      <c r="S508" s="21"/>
      <c r="T508" s="63"/>
      <c r="U508" s="94"/>
      <c r="V508" s="90"/>
      <c r="W508" s="91"/>
      <c r="X508" s="92"/>
      <c r="Y508" s="2"/>
      <c r="Z508" s="2"/>
      <c r="AA508" s="2"/>
      <c r="AB508" s="2"/>
      <c r="AC508" s="2"/>
    </row>
    <row r="509" spans="1:29">
      <c r="A509" s="615"/>
      <c r="B509" s="121" t="s">
        <v>70</v>
      </c>
      <c r="C509" s="611"/>
      <c r="D509" s="123"/>
      <c r="E509" s="128"/>
      <c r="F509" s="124"/>
      <c r="G509" s="124"/>
      <c r="H509" s="124"/>
      <c r="I509" s="126"/>
      <c r="J509" s="127"/>
      <c r="K509" s="64"/>
      <c r="L509" s="64"/>
      <c r="M509" s="64"/>
      <c r="N509" s="64"/>
      <c r="O509" s="64"/>
      <c r="P509" s="64"/>
      <c r="Q509" s="64"/>
      <c r="R509" s="64"/>
      <c r="S509" s="64"/>
      <c r="T509" s="127"/>
      <c r="U509" s="135"/>
      <c r="V509" s="129"/>
      <c r="W509" s="130"/>
      <c r="X509" s="131"/>
      <c r="Y509" s="128"/>
      <c r="Z509" s="128"/>
      <c r="AA509" s="128"/>
      <c r="AB509" s="128"/>
      <c r="AC509" s="128"/>
    </row>
    <row r="510" spans="1:29">
      <c r="A510" s="614"/>
      <c r="B510" s="87">
        <v>1</v>
      </c>
      <c r="C510" s="609"/>
      <c r="D510" s="10"/>
      <c r="E510" s="10"/>
      <c r="F510" s="62"/>
      <c r="G510" s="62"/>
      <c r="H510" s="62"/>
      <c r="I510" s="89">
        <f>F510-G510-H510</f>
        <v>0</v>
      </c>
      <c r="J510" s="63"/>
      <c r="K510" s="63"/>
      <c r="L510" s="63"/>
      <c r="M510" s="63"/>
      <c r="N510" s="63"/>
      <c r="O510" s="63"/>
      <c r="P510" s="63"/>
      <c r="Q510" s="63"/>
      <c r="R510" s="63"/>
      <c r="S510" s="63"/>
      <c r="T510" s="63"/>
      <c r="U510" s="94"/>
      <c r="V510" s="90"/>
      <c r="W510" s="136"/>
      <c r="X510" s="137"/>
      <c r="Y510" s="2"/>
      <c r="Z510" s="2"/>
      <c r="AA510" s="2"/>
      <c r="AB510" s="2"/>
      <c r="AC510" s="2"/>
    </row>
    <row r="511" spans="1:29">
      <c r="A511" s="614"/>
      <c r="B511" s="87">
        <f>B510+1</f>
        <v>2</v>
      </c>
      <c r="C511" s="609"/>
      <c r="D511" s="10"/>
      <c r="E511" s="10"/>
      <c r="F511" s="62"/>
      <c r="G511" s="62"/>
      <c r="H511" s="62"/>
      <c r="I511" s="89">
        <f>F511-G511-H511</f>
        <v>0</v>
      </c>
      <c r="J511" s="63"/>
      <c r="K511" s="63"/>
      <c r="L511" s="63"/>
      <c r="M511" s="63"/>
      <c r="N511" s="63"/>
      <c r="O511" s="63"/>
      <c r="P511" s="63"/>
      <c r="Q511" s="63"/>
      <c r="R511" s="63"/>
      <c r="S511" s="63"/>
      <c r="T511" s="63"/>
      <c r="U511" s="94"/>
      <c r="V511" s="90"/>
      <c r="W511" s="136"/>
      <c r="X511" s="137"/>
      <c r="Y511" s="2"/>
      <c r="Z511" s="2"/>
      <c r="AA511" s="2"/>
      <c r="AB511" s="2"/>
      <c r="AC511" s="2"/>
    </row>
    <row r="512" spans="1:29">
      <c r="A512" s="614"/>
      <c r="B512" s="87">
        <f>B511+1</f>
        <v>3</v>
      </c>
      <c r="C512" s="609"/>
      <c r="D512" s="10"/>
      <c r="E512" s="10"/>
      <c r="F512" s="62"/>
      <c r="G512" s="62"/>
      <c r="H512" s="62"/>
      <c r="I512" s="89">
        <f>F512-G512-H512</f>
        <v>0</v>
      </c>
      <c r="J512" s="63"/>
      <c r="K512" s="63"/>
      <c r="L512" s="63"/>
      <c r="M512" s="63"/>
      <c r="N512" s="63"/>
      <c r="O512" s="63"/>
      <c r="P512" s="63"/>
      <c r="Q512" s="63"/>
      <c r="R512" s="63"/>
      <c r="S512" s="63"/>
      <c r="T512" s="63"/>
      <c r="U512" s="94"/>
      <c r="V512" s="90"/>
      <c r="W512" s="136"/>
      <c r="X512" s="137"/>
      <c r="Y512" s="2"/>
      <c r="Z512" s="2"/>
      <c r="AA512" s="2"/>
      <c r="AB512" s="2"/>
      <c r="AC512" s="2"/>
    </row>
    <row r="513" spans="1:29">
      <c r="A513" s="614"/>
      <c r="B513" s="87">
        <f>B512+1</f>
        <v>4</v>
      </c>
      <c r="C513" s="609"/>
      <c r="D513" s="10"/>
      <c r="E513" s="10"/>
      <c r="F513" s="62"/>
      <c r="G513" s="62"/>
      <c r="H513" s="62"/>
      <c r="I513" s="89">
        <f>F513-G513-H513</f>
        <v>0</v>
      </c>
      <c r="J513" s="63"/>
      <c r="K513" s="63"/>
      <c r="L513" s="63"/>
      <c r="M513" s="63"/>
      <c r="N513" s="63"/>
      <c r="O513" s="63"/>
      <c r="P513" s="63"/>
      <c r="Q513" s="63"/>
      <c r="R513" s="63"/>
      <c r="S513" s="63"/>
      <c r="T513" s="63"/>
      <c r="U513" s="94"/>
      <c r="V513" s="90"/>
      <c r="W513" s="136"/>
      <c r="X513" s="137"/>
      <c r="Y513" s="2"/>
      <c r="Z513" s="2"/>
      <c r="AA513" s="2"/>
      <c r="AB513" s="2"/>
      <c r="AC513" s="2"/>
    </row>
    <row r="514" spans="1:29">
      <c r="A514" s="614"/>
      <c r="B514" s="87">
        <f>B513+1</f>
        <v>5</v>
      </c>
      <c r="C514" s="609"/>
      <c r="D514" s="10"/>
      <c r="E514" s="10"/>
      <c r="F514" s="62"/>
      <c r="G514" s="62"/>
      <c r="H514" s="62"/>
      <c r="I514" s="89">
        <f>F514-G514-H514</f>
        <v>0</v>
      </c>
      <c r="J514" s="63"/>
      <c r="K514" s="63"/>
      <c r="L514" s="63"/>
      <c r="M514" s="63"/>
      <c r="N514" s="63"/>
      <c r="O514" s="63"/>
      <c r="P514" s="63"/>
      <c r="Q514" s="63"/>
      <c r="R514" s="63"/>
      <c r="S514" s="63"/>
      <c r="T514" s="63"/>
      <c r="U514" s="94"/>
      <c r="V514" s="90"/>
      <c r="W514" s="136"/>
      <c r="X514" s="137"/>
      <c r="Y514" s="2"/>
      <c r="Z514" s="2"/>
      <c r="AA514" s="2"/>
      <c r="AB514" s="2"/>
      <c r="AC514" s="2"/>
    </row>
    <row r="515" spans="1:29">
      <c r="A515" s="614"/>
      <c r="B515" s="87">
        <f>B514+1</f>
        <v>6</v>
      </c>
      <c r="C515" s="609"/>
      <c r="D515" s="10"/>
      <c r="E515" s="10"/>
      <c r="F515" s="62"/>
      <c r="G515" s="62"/>
      <c r="H515" s="62"/>
      <c r="I515" s="89">
        <f>F515-G515-H515</f>
        <v>0</v>
      </c>
      <c r="J515" s="63"/>
      <c r="K515" s="63"/>
      <c r="L515" s="63"/>
      <c r="M515" s="63"/>
      <c r="N515" s="63"/>
      <c r="O515" s="63"/>
      <c r="P515" s="63"/>
      <c r="Q515" s="63"/>
      <c r="R515" s="63"/>
      <c r="S515" s="63"/>
      <c r="T515" s="63"/>
      <c r="U515" s="94"/>
      <c r="V515" s="90"/>
      <c r="W515" s="136"/>
      <c r="X515" s="137"/>
      <c r="Y515" s="2"/>
      <c r="Z515" s="2"/>
      <c r="AA515" s="2"/>
      <c r="AB515" s="2"/>
      <c r="AC515" s="2"/>
    </row>
    <row r="516" spans="1:29">
      <c r="A516" s="614"/>
      <c r="B516" s="87">
        <f>B515+1</f>
        <v>7</v>
      </c>
      <c r="C516" s="609"/>
      <c r="D516" s="10"/>
      <c r="E516" s="10"/>
      <c r="F516" s="62"/>
      <c r="G516" s="62"/>
      <c r="H516" s="62"/>
      <c r="I516" s="89">
        <f>F516-G516-H516</f>
        <v>0</v>
      </c>
      <c r="J516" s="63"/>
      <c r="K516" s="63"/>
      <c r="L516" s="63"/>
      <c r="M516" s="63"/>
      <c r="N516" s="63"/>
      <c r="O516" s="63"/>
      <c r="P516" s="63"/>
      <c r="Q516" s="63"/>
      <c r="R516" s="63"/>
      <c r="S516" s="63"/>
      <c r="T516" s="63"/>
      <c r="U516" s="94"/>
      <c r="V516" s="90"/>
      <c r="W516" s="136"/>
      <c r="X516" s="137"/>
      <c r="Y516" s="2"/>
      <c r="Z516" s="2"/>
      <c r="AA516" s="2"/>
      <c r="AB516" s="2"/>
      <c r="AC516" s="2"/>
    </row>
    <row r="517" spans="1:29">
      <c r="A517" s="614"/>
      <c r="B517" s="87">
        <f>B516+1</f>
        <v>8</v>
      </c>
      <c r="C517" s="609"/>
      <c r="D517" s="10"/>
      <c r="E517" s="10"/>
      <c r="F517" s="62"/>
      <c r="G517" s="62"/>
      <c r="H517" s="62"/>
      <c r="I517" s="89">
        <f>F517-G517-H517</f>
        <v>0</v>
      </c>
      <c r="J517" s="63"/>
      <c r="K517" s="63"/>
      <c r="L517" s="63"/>
      <c r="M517" s="63"/>
      <c r="N517" s="63"/>
      <c r="O517" s="63"/>
      <c r="P517" s="63"/>
      <c r="Q517" s="63"/>
      <c r="R517" s="63"/>
      <c r="S517" s="63"/>
      <c r="T517" s="63"/>
      <c r="U517" s="94"/>
      <c r="V517" s="90"/>
      <c r="W517" s="136"/>
      <c r="X517" s="137"/>
      <c r="Y517" s="2"/>
      <c r="Z517" s="2"/>
      <c r="AA517" s="2"/>
      <c r="AB517" s="2"/>
      <c r="AC517" s="2"/>
    </row>
    <row r="518" spans="1:29">
      <c r="A518" s="615"/>
      <c r="B518" s="132"/>
      <c r="C518" s="611"/>
      <c r="D518" s="123"/>
      <c r="E518" s="123"/>
      <c r="F518" s="133">
        <f>SUM(F510:F517)</f>
        <v>0</v>
      </c>
      <c r="G518" s="133">
        <f>SUM(G510:G517)</f>
        <v>0</v>
      </c>
      <c r="H518" s="133">
        <f>SUM(H510:H517)</f>
        <v>0</v>
      </c>
      <c r="I518" s="134">
        <f>SUM(I510:I517)</f>
        <v>0</v>
      </c>
      <c r="J518" s="127"/>
      <c r="K518" s="64"/>
      <c r="L518" s="64"/>
      <c r="M518" s="64"/>
      <c r="N518" s="64"/>
      <c r="O518" s="64"/>
      <c r="P518" s="64"/>
      <c r="Q518" s="64"/>
      <c r="R518" s="64"/>
      <c r="S518" s="64"/>
      <c r="T518" s="127"/>
      <c r="U518" s="135"/>
      <c r="V518" s="129"/>
      <c r="W518" s="130"/>
      <c r="X518" s="131"/>
      <c r="Y518" s="128"/>
      <c r="Z518" s="128"/>
      <c r="AA518" s="128"/>
      <c r="AB518" s="128"/>
      <c r="AC518" s="128"/>
    </row>
    <row r="519" spans="1:29">
      <c r="A519" s="614"/>
      <c r="B519" s="11"/>
      <c r="C519" s="609"/>
      <c r="D519" s="10"/>
      <c r="E519" s="10"/>
      <c r="F519" s="88"/>
      <c r="G519" s="88"/>
      <c r="H519" s="88"/>
      <c r="I519" s="99"/>
      <c r="J519" s="10"/>
      <c r="K519" s="63"/>
      <c r="L519" s="63"/>
      <c r="M519" s="63"/>
      <c r="N519" s="63"/>
      <c r="O519" s="63"/>
      <c r="P519" s="63"/>
      <c r="Q519" s="63"/>
      <c r="R519" s="63"/>
      <c r="S519" s="63"/>
      <c r="T519" s="63"/>
      <c r="U519" s="94"/>
      <c r="V519" s="90"/>
      <c r="W519" s="91"/>
      <c r="X519" s="92"/>
      <c r="Y519" s="2"/>
      <c r="Z519" s="2"/>
      <c r="AA519" s="2"/>
      <c r="AB519" s="2"/>
      <c r="AC519" s="2"/>
    </row>
    <row r="520" spans="1:29">
      <c r="A520" s="615"/>
      <c r="B520" s="121" t="s">
        <v>71</v>
      </c>
      <c r="C520" s="611"/>
      <c r="D520" s="123"/>
      <c r="E520" s="128"/>
      <c r="F520" s="124"/>
      <c r="G520" s="124"/>
      <c r="H520" s="124"/>
      <c r="I520" s="126"/>
      <c r="J520" s="127"/>
      <c r="K520" s="64"/>
      <c r="L520" s="64"/>
      <c r="M520" s="64"/>
      <c r="N520" s="64"/>
      <c r="O520" s="64"/>
      <c r="P520" s="64"/>
      <c r="Q520" s="64"/>
      <c r="R520" s="64"/>
      <c r="S520" s="64"/>
      <c r="T520" s="127"/>
      <c r="U520" s="135"/>
      <c r="V520" s="129"/>
      <c r="W520" s="130"/>
      <c r="X520" s="131"/>
      <c r="Y520" s="128"/>
      <c r="Z520" s="128"/>
      <c r="AA520" s="128"/>
      <c r="AB520" s="128"/>
      <c r="AC520" s="128"/>
    </row>
    <row r="521" spans="1:29">
      <c r="A521" s="614"/>
      <c r="B521" s="87">
        <v>1</v>
      </c>
      <c r="C521" s="609"/>
      <c r="D521" s="10"/>
      <c r="E521" s="10"/>
      <c r="F521" s="62"/>
      <c r="G521" s="62"/>
      <c r="H521" s="62"/>
      <c r="I521" s="89">
        <f>F521-G521-H521</f>
        <v>0</v>
      </c>
      <c r="J521" s="63"/>
      <c r="K521" s="63"/>
      <c r="L521" s="63"/>
      <c r="M521" s="63"/>
      <c r="N521" s="63"/>
      <c r="O521" s="63"/>
      <c r="P521" s="63"/>
      <c r="Q521" s="63"/>
      <c r="R521" s="63"/>
      <c r="S521" s="63"/>
      <c r="T521" s="63"/>
      <c r="U521" s="94"/>
      <c r="V521" s="90"/>
      <c r="W521" s="136"/>
      <c r="X521" s="137"/>
      <c r="Y521" s="2"/>
      <c r="Z521" s="2"/>
      <c r="AA521" s="2"/>
      <c r="AB521" s="2"/>
      <c r="AC521" s="2"/>
    </row>
    <row r="522" spans="1:29">
      <c r="A522" s="614"/>
      <c r="B522" s="87">
        <f>B521+1</f>
        <v>2</v>
      </c>
      <c r="C522" s="609"/>
      <c r="D522" s="10"/>
      <c r="E522" s="10"/>
      <c r="F522" s="62"/>
      <c r="G522" s="62"/>
      <c r="H522" s="62"/>
      <c r="I522" s="89">
        <f>F522-G522-H522</f>
        <v>0</v>
      </c>
      <c r="J522" s="63"/>
      <c r="K522" s="63"/>
      <c r="L522" s="63"/>
      <c r="M522" s="63"/>
      <c r="N522" s="63"/>
      <c r="O522" s="63"/>
      <c r="P522" s="63"/>
      <c r="Q522" s="63"/>
      <c r="R522" s="63"/>
      <c r="S522" s="63"/>
      <c r="T522" s="63"/>
      <c r="U522" s="94"/>
      <c r="V522" s="90"/>
      <c r="W522" s="136"/>
      <c r="X522" s="137"/>
      <c r="Y522" s="2"/>
      <c r="Z522" s="2"/>
      <c r="AA522" s="2"/>
      <c r="AB522" s="2"/>
      <c r="AC522" s="2"/>
    </row>
    <row r="523" spans="1:29">
      <c r="A523" s="614"/>
      <c r="B523" s="87">
        <f>B522+1</f>
        <v>3</v>
      </c>
      <c r="C523" s="609"/>
      <c r="D523" s="10"/>
      <c r="E523" s="10"/>
      <c r="F523" s="62"/>
      <c r="G523" s="62"/>
      <c r="H523" s="62"/>
      <c r="I523" s="89">
        <f>F523-G523-H523</f>
        <v>0</v>
      </c>
      <c r="J523" s="63"/>
      <c r="K523" s="63"/>
      <c r="L523" s="63"/>
      <c r="M523" s="63"/>
      <c r="N523" s="63"/>
      <c r="O523" s="63"/>
      <c r="P523" s="63"/>
      <c r="Q523" s="63"/>
      <c r="R523" s="63"/>
      <c r="S523" s="63"/>
      <c r="T523" s="63"/>
      <c r="U523" s="94"/>
      <c r="V523" s="90"/>
      <c r="W523" s="136"/>
      <c r="X523" s="137"/>
      <c r="Y523" s="2"/>
      <c r="Z523" s="2"/>
      <c r="AA523" s="2"/>
      <c r="AB523" s="2"/>
      <c r="AC523" s="2"/>
    </row>
    <row r="524" spans="1:29">
      <c r="A524" s="614"/>
      <c r="B524" s="87">
        <f>B523+1</f>
        <v>4</v>
      </c>
      <c r="C524" s="609"/>
      <c r="D524" s="10"/>
      <c r="E524" s="10"/>
      <c r="F524" s="62"/>
      <c r="G524" s="62"/>
      <c r="H524" s="62"/>
      <c r="I524" s="89">
        <f>F524-G524-H524</f>
        <v>0</v>
      </c>
      <c r="J524" s="63"/>
      <c r="K524" s="63"/>
      <c r="L524" s="63"/>
      <c r="M524" s="63"/>
      <c r="N524" s="63"/>
      <c r="O524" s="63"/>
      <c r="P524" s="63"/>
      <c r="Q524" s="63"/>
      <c r="R524" s="63"/>
      <c r="S524" s="63"/>
      <c r="T524" s="63"/>
      <c r="U524" s="94"/>
      <c r="V524" s="90"/>
      <c r="W524" s="136"/>
      <c r="X524" s="137"/>
      <c r="Y524" s="2"/>
      <c r="Z524" s="2"/>
      <c r="AA524" s="2"/>
      <c r="AB524" s="2"/>
      <c r="AC524" s="2"/>
    </row>
    <row r="525" spans="1:29">
      <c r="A525" s="614"/>
      <c r="B525" s="87">
        <f>B524+1</f>
        <v>5</v>
      </c>
      <c r="C525" s="609"/>
      <c r="D525" s="10"/>
      <c r="E525" s="10"/>
      <c r="F525" s="62"/>
      <c r="G525" s="62"/>
      <c r="H525" s="62"/>
      <c r="I525" s="89">
        <f>F525-G525-H525</f>
        <v>0</v>
      </c>
      <c r="J525" s="63"/>
      <c r="K525" s="63"/>
      <c r="L525" s="63"/>
      <c r="M525" s="63"/>
      <c r="N525" s="63"/>
      <c r="O525" s="63"/>
      <c r="P525" s="63"/>
      <c r="Q525" s="63"/>
      <c r="R525" s="63"/>
      <c r="S525" s="63"/>
      <c r="T525" s="63"/>
      <c r="U525" s="94"/>
      <c r="V525" s="90"/>
      <c r="W525" s="136"/>
      <c r="X525" s="137"/>
      <c r="Y525" s="2"/>
      <c r="Z525" s="2"/>
      <c r="AA525" s="2"/>
      <c r="AB525" s="2"/>
      <c r="AC525" s="2"/>
    </row>
    <row r="526" spans="1:29">
      <c r="A526" s="614"/>
      <c r="B526" s="87">
        <f>B525+1</f>
        <v>6</v>
      </c>
      <c r="C526" s="609"/>
      <c r="D526" s="10"/>
      <c r="E526" s="10"/>
      <c r="F526" s="62"/>
      <c r="G526" s="62"/>
      <c r="H526" s="62"/>
      <c r="I526" s="89">
        <f>F526-G526-H526</f>
        <v>0</v>
      </c>
      <c r="J526" s="63"/>
      <c r="K526" s="63"/>
      <c r="L526" s="63"/>
      <c r="M526" s="63"/>
      <c r="N526" s="63"/>
      <c r="O526" s="63"/>
      <c r="P526" s="63"/>
      <c r="Q526" s="63"/>
      <c r="R526" s="63"/>
      <c r="S526" s="63"/>
      <c r="T526" s="63"/>
      <c r="U526" s="94"/>
      <c r="V526" s="90"/>
      <c r="W526" s="136"/>
      <c r="X526" s="137"/>
      <c r="Y526" s="2"/>
      <c r="Z526" s="2"/>
      <c r="AA526" s="2"/>
      <c r="AB526" s="2"/>
      <c r="AC526" s="2"/>
    </row>
    <row r="527" spans="1:29">
      <c r="A527" s="614"/>
      <c r="B527" s="87">
        <f>B526+1</f>
        <v>7</v>
      </c>
      <c r="C527" s="609"/>
      <c r="D527" s="10"/>
      <c r="E527" s="10"/>
      <c r="F527" s="62"/>
      <c r="G527" s="62"/>
      <c r="H527" s="62"/>
      <c r="I527" s="89">
        <f>F527-G527-H527</f>
        <v>0</v>
      </c>
      <c r="J527" s="63"/>
      <c r="K527" s="63"/>
      <c r="L527" s="63"/>
      <c r="M527" s="63"/>
      <c r="N527" s="63"/>
      <c r="O527" s="63"/>
      <c r="P527" s="63"/>
      <c r="Q527" s="63"/>
      <c r="R527" s="63"/>
      <c r="S527" s="63"/>
      <c r="T527" s="63"/>
      <c r="U527" s="94"/>
      <c r="V527" s="90"/>
      <c r="W527" s="136"/>
      <c r="X527" s="137"/>
      <c r="Y527" s="2"/>
      <c r="Z527" s="2"/>
      <c r="AA527" s="2"/>
      <c r="AB527" s="2"/>
      <c r="AC527" s="2"/>
    </row>
    <row r="528" spans="1:29">
      <c r="A528" s="614"/>
      <c r="B528" s="87">
        <f>B527+1</f>
        <v>8</v>
      </c>
      <c r="C528" s="609"/>
      <c r="D528" s="10"/>
      <c r="E528" s="10"/>
      <c r="F528" s="62"/>
      <c r="G528" s="62"/>
      <c r="H528" s="62"/>
      <c r="I528" s="89">
        <f>F528-G528-H528</f>
        <v>0</v>
      </c>
      <c r="J528" s="63"/>
      <c r="K528" s="63"/>
      <c r="L528" s="63"/>
      <c r="M528" s="63"/>
      <c r="N528" s="63"/>
      <c r="O528" s="63"/>
      <c r="P528" s="63"/>
      <c r="Q528" s="63"/>
      <c r="R528" s="63"/>
      <c r="S528" s="63"/>
      <c r="T528" s="63"/>
      <c r="U528" s="94"/>
      <c r="V528" s="90"/>
      <c r="W528" s="136"/>
      <c r="X528" s="137"/>
      <c r="Y528" s="2"/>
      <c r="Z528" s="2"/>
      <c r="AA528" s="2"/>
      <c r="AB528" s="2"/>
      <c r="AC528" s="2"/>
    </row>
    <row r="529" spans="1:29">
      <c r="A529" s="615"/>
      <c r="B529" s="132"/>
      <c r="C529" s="611"/>
      <c r="D529" s="123"/>
      <c r="E529" s="123"/>
      <c r="F529" s="133">
        <f>SUM(F521:F528)</f>
        <v>0</v>
      </c>
      <c r="G529" s="133">
        <f>SUM(G521:G528)</f>
        <v>0</v>
      </c>
      <c r="H529" s="133">
        <f>SUM(H521:H528)</f>
        <v>0</v>
      </c>
      <c r="I529" s="134">
        <f>SUM(I521:I528)</f>
        <v>0</v>
      </c>
      <c r="J529" s="127"/>
      <c r="K529" s="64"/>
      <c r="L529" s="64"/>
      <c r="M529" s="64"/>
      <c r="N529" s="64"/>
      <c r="O529" s="64"/>
      <c r="P529" s="64"/>
      <c r="Q529" s="64"/>
      <c r="R529" s="64"/>
      <c r="S529" s="64"/>
      <c r="T529" s="127"/>
      <c r="U529" s="135"/>
      <c r="V529" s="129"/>
      <c r="W529" s="130"/>
      <c r="X529" s="131"/>
      <c r="Y529" s="128"/>
      <c r="Z529" s="128"/>
      <c r="AA529" s="128"/>
      <c r="AB529" s="128"/>
      <c r="AC529" s="128"/>
    </row>
    <row r="530" spans="1:29">
      <c r="A530" s="614"/>
      <c r="B530" s="11"/>
      <c r="C530" s="609"/>
      <c r="D530" s="10"/>
      <c r="E530" s="10"/>
      <c r="F530" s="88"/>
      <c r="G530" s="88"/>
      <c r="H530" s="88"/>
      <c r="I530" s="99"/>
      <c r="J530" s="63"/>
      <c r="K530" s="21"/>
      <c r="L530" s="21"/>
      <c r="M530" s="21"/>
      <c r="N530" s="21"/>
      <c r="O530" s="21"/>
      <c r="P530" s="21"/>
      <c r="Q530" s="21"/>
      <c r="R530" s="21"/>
      <c r="S530" s="21"/>
      <c r="T530" s="63"/>
      <c r="U530" s="94"/>
      <c r="V530" s="90"/>
      <c r="W530" s="91"/>
      <c r="X530" s="92"/>
      <c r="Y530" s="2"/>
      <c r="Z530" s="2"/>
      <c r="AA530" s="2"/>
      <c r="AB530" s="2"/>
      <c r="AC530" s="2"/>
    </row>
    <row r="531" spans="1:29">
      <c r="A531" s="614"/>
      <c r="B531" s="100" t="s">
        <v>72</v>
      </c>
      <c r="C531" s="609"/>
      <c r="D531" s="10"/>
      <c r="E531" s="10"/>
      <c r="F531" s="88"/>
      <c r="G531" s="88"/>
      <c r="H531" s="88"/>
      <c r="I531" s="99"/>
      <c r="J531" s="63"/>
      <c r="K531" s="63"/>
      <c r="L531" s="63"/>
      <c r="M531" s="63"/>
      <c r="N531" s="63"/>
      <c r="O531" s="63"/>
      <c r="P531" s="63"/>
      <c r="Q531" s="63"/>
      <c r="R531" s="63"/>
      <c r="S531" s="63"/>
      <c r="T531" s="63"/>
      <c r="U531" s="94"/>
      <c r="V531" s="90"/>
      <c r="W531" s="91"/>
      <c r="X531" s="92"/>
      <c r="Y531" s="2"/>
      <c r="Z531" s="2"/>
      <c r="AA531" s="2"/>
      <c r="AB531" s="2"/>
      <c r="AC531" s="2"/>
    </row>
    <row r="532" spans="1:29">
      <c r="A532" s="614"/>
      <c r="B532" s="87">
        <v>1</v>
      </c>
      <c r="C532" s="609"/>
      <c r="D532" s="10"/>
      <c r="E532" s="10"/>
      <c r="F532" s="62"/>
      <c r="G532" s="62"/>
      <c r="H532" s="62"/>
      <c r="I532" s="89">
        <f>F532-G532-H532</f>
        <v>0</v>
      </c>
      <c r="J532" s="63"/>
      <c r="K532" s="63"/>
      <c r="L532" s="63"/>
      <c r="M532" s="63"/>
      <c r="N532" s="63"/>
      <c r="O532" s="63"/>
      <c r="P532" s="63"/>
      <c r="Q532" s="63"/>
      <c r="R532" s="63"/>
      <c r="S532" s="63"/>
      <c r="T532" s="63"/>
      <c r="U532" s="164"/>
      <c r="V532" s="90"/>
      <c r="W532" s="91"/>
      <c r="X532" s="92"/>
      <c r="Y532" s="2"/>
      <c r="Z532" s="2"/>
      <c r="AA532" s="2"/>
      <c r="AB532" s="2"/>
      <c r="AC532" s="2"/>
    </row>
    <row r="533" spans="1:29">
      <c r="A533" s="614"/>
      <c r="B533" s="87">
        <f>B532+1</f>
        <v>2</v>
      </c>
      <c r="C533" s="609"/>
      <c r="D533" s="10"/>
      <c r="E533" s="10"/>
      <c r="F533" s="62"/>
      <c r="G533" s="62"/>
      <c r="H533" s="62"/>
      <c r="I533" s="89">
        <f>F533-G533-H533</f>
        <v>0</v>
      </c>
      <c r="J533" s="63"/>
      <c r="K533" s="63"/>
      <c r="L533" s="63"/>
      <c r="M533" s="63"/>
      <c r="N533" s="63"/>
      <c r="O533" s="63"/>
      <c r="P533" s="63"/>
      <c r="Q533" s="63"/>
      <c r="R533" s="63"/>
      <c r="S533" s="63"/>
      <c r="T533" s="63"/>
      <c r="U533" s="94"/>
      <c r="V533" s="90"/>
      <c r="W533" s="136"/>
      <c r="X533" s="137"/>
      <c r="Y533" s="2"/>
      <c r="Z533" s="2"/>
      <c r="AA533" s="2"/>
      <c r="AB533" s="2"/>
      <c r="AC533" s="2"/>
    </row>
    <row r="534" spans="1:29">
      <c r="A534" s="614"/>
      <c r="B534" s="87">
        <f>B533+1</f>
        <v>3</v>
      </c>
      <c r="C534" s="609"/>
      <c r="D534" s="10"/>
      <c r="E534" s="10"/>
      <c r="F534" s="62"/>
      <c r="G534" s="62"/>
      <c r="H534" s="62"/>
      <c r="I534" s="89">
        <f>F534-G534-H534</f>
        <v>0</v>
      </c>
      <c r="J534" s="63"/>
      <c r="K534" s="63"/>
      <c r="L534" s="63"/>
      <c r="M534" s="63"/>
      <c r="N534" s="63"/>
      <c r="O534" s="63"/>
      <c r="P534" s="63"/>
      <c r="Q534" s="63"/>
      <c r="R534" s="63"/>
      <c r="S534" s="63"/>
      <c r="T534" s="63"/>
      <c r="U534" s="94"/>
      <c r="V534" s="90"/>
      <c r="W534" s="136"/>
      <c r="X534" s="137"/>
      <c r="Y534" s="2"/>
      <c r="Z534" s="2"/>
      <c r="AA534" s="2"/>
      <c r="AB534" s="2"/>
      <c r="AC534" s="2"/>
    </row>
    <row r="535" spans="1:29">
      <c r="A535" s="614"/>
      <c r="B535" s="87">
        <f>B534+1</f>
        <v>4</v>
      </c>
      <c r="C535" s="609"/>
      <c r="D535" s="10"/>
      <c r="E535" s="10"/>
      <c r="F535" s="62"/>
      <c r="G535" s="62"/>
      <c r="H535" s="62"/>
      <c r="I535" s="89">
        <f>F535-G535-H535</f>
        <v>0</v>
      </c>
      <c r="J535" s="63"/>
      <c r="K535" s="63"/>
      <c r="L535" s="63"/>
      <c r="M535" s="63"/>
      <c r="N535" s="63"/>
      <c r="O535" s="63"/>
      <c r="P535" s="63"/>
      <c r="Q535" s="63"/>
      <c r="R535" s="63"/>
      <c r="S535" s="63"/>
      <c r="T535" s="63"/>
      <c r="U535" s="94"/>
      <c r="V535" s="90"/>
      <c r="W535" s="136"/>
      <c r="X535" s="137"/>
      <c r="Y535" s="2"/>
      <c r="Z535" s="2"/>
      <c r="AA535" s="2"/>
      <c r="AB535" s="2"/>
      <c r="AC535" s="2"/>
    </row>
    <row r="536" spans="1:29">
      <c r="A536" s="614"/>
      <c r="B536" s="87">
        <f>B535+1</f>
        <v>5</v>
      </c>
      <c r="C536" s="609"/>
      <c r="D536" s="10"/>
      <c r="E536" s="10"/>
      <c r="F536" s="62"/>
      <c r="G536" s="62"/>
      <c r="H536" s="62"/>
      <c r="I536" s="89">
        <f>F536-G536-H536</f>
        <v>0</v>
      </c>
      <c r="J536" s="63"/>
      <c r="K536" s="63"/>
      <c r="L536" s="63"/>
      <c r="M536" s="63"/>
      <c r="N536" s="63"/>
      <c r="O536" s="63"/>
      <c r="P536" s="63"/>
      <c r="Q536" s="63"/>
      <c r="R536" s="63"/>
      <c r="S536" s="63"/>
      <c r="T536" s="63"/>
      <c r="U536" s="94"/>
      <c r="V536" s="90"/>
      <c r="W536" s="136"/>
      <c r="X536" s="137"/>
      <c r="Y536" s="2"/>
      <c r="Z536" s="2"/>
      <c r="AA536" s="2"/>
      <c r="AB536" s="2"/>
      <c r="AC536" s="2"/>
    </row>
    <row r="537" spans="1:29">
      <c r="A537" s="614"/>
      <c r="B537" s="87">
        <f>B536+1</f>
        <v>6</v>
      </c>
      <c r="C537" s="609"/>
      <c r="D537" s="10"/>
      <c r="E537" s="101"/>
      <c r="F537" s="62"/>
      <c r="G537" s="62"/>
      <c r="H537" s="62"/>
      <c r="I537" s="89">
        <f>F537-G537-H537</f>
        <v>0</v>
      </c>
      <c r="J537" s="63"/>
      <c r="K537" s="63"/>
      <c r="L537" s="63"/>
      <c r="M537" s="63"/>
      <c r="N537" s="63"/>
      <c r="O537" s="63"/>
      <c r="P537" s="63"/>
      <c r="Q537" s="63"/>
      <c r="R537" s="63"/>
      <c r="S537" s="63"/>
      <c r="T537" s="63"/>
      <c r="U537" s="94"/>
      <c r="V537" s="90"/>
      <c r="W537" s="136"/>
      <c r="X537" s="137"/>
      <c r="Y537" s="2"/>
      <c r="Z537" s="2"/>
      <c r="AA537" s="2"/>
      <c r="AB537" s="2"/>
      <c r="AC537" s="2"/>
    </row>
    <row r="538" spans="1:29">
      <c r="A538" s="614"/>
      <c r="B538" s="87">
        <f>B537+1</f>
        <v>7</v>
      </c>
      <c r="C538" s="609"/>
      <c r="D538" s="10"/>
      <c r="E538" s="101"/>
      <c r="F538" s="62"/>
      <c r="G538" s="62"/>
      <c r="H538" s="62"/>
      <c r="I538" s="89">
        <f>F538-G538-H538</f>
        <v>0</v>
      </c>
      <c r="J538" s="63"/>
      <c r="K538" s="63"/>
      <c r="L538" s="63"/>
      <c r="M538" s="63"/>
      <c r="N538" s="63"/>
      <c r="O538" s="63"/>
      <c r="P538" s="63"/>
      <c r="Q538" s="63"/>
      <c r="R538" s="63"/>
      <c r="S538" s="63"/>
      <c r="T538" s="63"/>
      <c r="U538" s="94"/>
      <c r="V538" s="90"/>
      <c r="W538" s="136"/>
      <c r="X538" s="137"/>
      <c r="Y538" s="2"/>
      <c r="Z538" s="2"/>
      <c r="AA538" s="2"/>
      <c r="AB538" s="2"/>
      <c r="AC538" s="2"/>
    </row>
    <row r="539" spans="1:29">
      <c r="A539" s="614"/>
      <c r="B539" s="87">
        <f>B538+1</f>
        <v>8</v>
      </c>
      <c r="C539" s="609"/>
      <c r="D539" s="10"/>
      <c r="E539" s="101"/>
      <c r="F539" s="62"/>
      <c r="G539" s="62"/>
      <c r="H539" s="62"/>
      <c r="I539" s="89">
        <f>F539-G539-H539</f>
        <v>0</v>
      </c>
      <c r="J539" s="63"/>
      <c r="K539" s="63"/>
      <c r="L539" s="63"/>
      <c r="M539" s="63"/>
      <c r="N539" s="63"/>
      <c r="O539" s="63"/>
      <c r="P539" s="63"/>
      <c r="Q539" s="63"/>
      <c r="R539" s="63"/>
      <c r="S539" s="63"/>
      <c r="T539" s="63"/>
      <c r="U539" s="94"/>
      <c r="V539" s="90"/>
      <c r="W539" s="136"/>
      <c r="X539" s="137"/>
      <c r="Y539" s="2"/>
      <c r="Z539" s="2"/>
      <c r="AA539" s="2"/>
      <c r="AB539" s="2"/>
      <c r="AC539" s="2"/>
    </row>
    <row r="540" spans="1:29">
      <c r="A540" s="614"/>
      <c r="B540" s="87">
        <f>B539+1</f>
        <v>9</v>
      </c>
      <c r="C540" s="609"/>
      <c r="D540" s="10"/>
      <c r="E540" s="101"/>
      <c r="F540" s="62"/>
      <c r="G540" s="62"/>
      <c r="H540" s="62"/>
      <c r="I540" s="89">
        <f>F540-G540-H540</f>
        <v>0</v>
      </c>
      <c r="J540" s="63"/>
      <c r="K540" s="63"/>
      <c r="L540" s="63"/>
      <c r="M540" s="63"/>
      <c r="N540" s="63"/>
      <c r="O540" s="63"/>
      <c r="P540" s="63"/>
      <c r="Q540" s="63"/>
      <c r="R540" s="63"/>
      <c r="S540" s="63"/>
      <c r="T540" s="63"/>
      <c r="U540" s="94"/>
      <c r="V540" s="90"/>
      <c r="W540" s="136"/>
      <c r="X540" s="137"/>
      <c r="Y540" s="2"/>
      <c r="Z540" s="2"/>
      <c r="AA540" s="2"/>
      <c r="AB540" s="2"/>
      <c r="AC540" s="2"/>
    </row>
    <row r="541" spans="1:29">
      <c r="A541" s="614"/>
      <c r="B541" s="87">
        <f>B540+1</f>
        <v>10</v>
      </c>
      <c r="C541" s="609"/>
      <c r="D541" s="10"/>
      <c r="E541" s="101"/>
      <c r="F541" s="62"/>
      <c r="G541" s="62"/>
      <c r="H541" s="62"/>
      <c r="I541" s="89">
        <f>F541-G541-H541</f>
        <v>0</v>
      </c>
      <c r="J541" s="63"/>
      <c r="K541" s="63"/>
      <c r="L541" s="63"/>
      <c r="M541" s="63"/>
      <c r="N541" s="63"/>
      <c r="O541" s="63"/>
      <c r="P541" s="63"/>
      <c r="Q541" s="63"/>
      <c r="R541" s="63"/>
      <c r="S541" s="63"/>
      <c r="T541" s="63"/>
      <c r="U541" s="94"/>
      <c r="V541" s="90"/>
      <c r="W541" s="136"/>
      <c r="X541" s="137"/>
      <c r="Y541" s="2"/>
      <c r="Z541" s="2"/>
      <c r="AA541" s="2"/>
      <c r="AB541" s="2"/>
      <c r="AC541" s="2"/>
    </row>
    <row r="542" spans="1:29">
      <c r="A542" s="614"/>
      <c r="B542" s="87">
        <f>B541+1</f>
        <v>11</v>
      </c>
      <c r="C542" s="609"/>
      <c r="D542" s="10"/>
      <c r="E542" s="101"/>
      <c r="F542" s="62"/>
      <c r="G542" s="62"/>
      <c r="H542" s="62"/>
      <c r="I542" s="89">
        <f>F542-G542-H542</f>
        <v>0</v>
      </c>
      <c r="J542" s="63"/>
      <c r="K542" s="63"/>
      <c r="L542" s="63"/>
      <c r="M542" s="63"/>
      <c r="N542" s="63"/>
      <c r="O542" s="63"/>
      <c r="P542" s="63"/>
      <c r="Q542" s="63"/>
      <c r="R542" s="63"/>
      <c r="S542" s="63"/>
      <c r="T542" s="63"/>
      <c r="U542" s="94"/>
      <c r="V542" s="90"/>
      <c r="W542" s="136"/>
      <c r="X542" s="137"/>
      <c r="Y542" s="2"/>
      <c r="Z542" s="2"/>
      <c r="AA542" s="2"/>
      <c r="AB542" s="2"/>
      <c r="AC542" s="2"/>
    </row>
    <row r="543" spans="1:29">
      <c r="A543" s="614"/>
      <c r="B543" s="87">
        <f>B542+1</f>
        <v>12</v>
      </c>
      <c r="C543" s="609"/>
      <c r="D543" s="10"/>
      <c r="E543" s="101"/>
      <c r="F543" s="62"/>
      <c r="G543" s="62"/>
      <c r="H543" s="62"/>
      <c r="I543" s="89">
        <f>F543-G543-H543</f>
        <v>0</v>
      </c>
      <c r="J543" s="63"/>
      <c r="K543" s="63"/>
      <c r="L543" s="63"/>
      <c r="M543" s="63"/>
      <c r="N543" s="63"/>
      <c r="O543" s="63"/>
      <c r="P543" s="63"/>
      <c r="Q543" s="63"/>
      <c r="R543" s="63"/>
      <c r="S543" s="63"/>
      <c r="T543" s="63"/>
      <c r="U543" s="94"/>
      <c r="V543" s="90"/>
      <c r="W543" s="136"/>
      <c r="X543" s="137"/>
      <c r="Y543" s="2"/>
      <c r="Z543" s="2"/>
      <c r="AA543" s="2"/>
      <c r="AB543" s="2"/>
      <c r="AC543" s="2"/>
    </row>
    <row r="544" spans="1:29">
      <c r="A544" s="614"/>
      <c r="B544" s="87">
        <f>B543+1</f>
        <v>13</v>
      </c>
      <c r="C544" s="609"/>
      <c r="D544" s="10"/>
      <c r="E544" s="101"/>
      <c r="F544" s="62"/>
      <c r="G544" s="62"/>
      <c r="H544" s="62"/>
      <c r="I544" s="89">
        <f>F544-G544-H544</f>
        <v>0</v>
      </c>
      <c r="J544" s="63"/>
      <c r="K544" s="63"/>
      <c r="L544" s="63"/>
      <c r="M544" s="63"/>
      <c r="N544" s="63"/>
      <c r="O544" s="63"/>
      <c r="P544" s="63"/>
      <c r="Q544" s="63"/>
      <c r="R544" s="63"/>
      <c r="S544" s="63"/>
      <c r="T544" s="63"/>
      <c r="U544" s="94"/>
      <c r="V544" s="90"/>
      <c r="W544" s="136"/>
      <c r="X544" s="137"/>
      <c r="Y544" s="2"/>
      <c r="Z544" s="2"/>
      <c r="AA544" s="2"/>
      <c r="AB544" s="2"/>
      <c r="AC544" s="2"/>
    </row>
    <row r="545" spans="1:29">
      <c r="A545" s="614"/>
      <c r="B545" s="87">
        <f>B544+1</f>
        <v>14</v>
      </c>
      <c r="C545" s="609"/>
      <c r="D545" s="10"/>
      <c r="E545" s="10"/>
      <c r="F545" s="62"/>
      <c r="G545" s="62"/>
      <c r="H545" s="62"/>
      <c r="I545" s="89">
        <f>F545-G545-H545</f>
        <v>0</v>
      </c>
      <c r="J545" s="63"/>
      <c r="K545" s="63"/>
      <c r="L545" s="63"/>
      <c r="M545" s="63"/>
      <c r="N545" s="63"/>
      <c r="O545" s="63"/>
      <c r="P545" s="63"/>
      <c r="Q545" s="63"/>
      <c r="R545" s="63"/>
      <c r="S545" s="63"/>
      <c r="T545" s="63"/>
      <c r="U545" s="94"/>
      <c r="V545" s="90"/>
      <c r="W545" s="136"/>
      <c r="X545" s="137"/>
      <c r="Y545" s="2"/>
      <c r="Z545" s="2"/>
      <c r="AA545" s="2"/>
      <c r="AB545" s="2"/>
      <c r="AC545" s="2"/>
    </row>
    <row r="546" spans="1:29">
      <c r="A546" s="614"/>
      <c r="B546" s="87">
        <f>B545+1</f>
        <v>15</v>
      </c>
      <c r="C546" s="609"/>
      <c r="D546" s="10"/>
      <c r="E546" s="10"/>
      <c r="F546" s="62"/>
      <c r="G546" s="62"/>
      <c r="H546" s="62"/>
      <c r="I546" s="89">
        <f>F546-G546-H546</f>
        <v>0</v>
      </c>
      <c r="J546" s="63"/>
      <c r="K546" s="63"/>
      <c r="L546" s="63"/>
      <c r="M546" s="63"/>
      <c r="N546" s="63"/>
      <c r="O546" s="63"/>
      <c r="P546" s="63"/>
      <c r="Q546" s="63"/>
      <c r="R546" s="63"/>
      <c r="S546" s="63"/>
      <c r="T546" s="63"/>
      <c r="U546" s="94"/>
      <c r="V546" s="90"/>
      <c r="W546" s="136"/>
      <c r="X546" s="137"/>
      <c r="Y546" s="2"/>
      <c r="Z546" s="2"/>
      <c r="AA546" s="2"/>
      <c r="AB546" s="2"/>
      <c r="AC546" s="2"/>
    </row>
    <row r="547" spans="1:29">
      <c r="A547" s="614"/>
      <c r="B547" s="87">
        <f>B546+1</f>
        <v>16</v>
      </c>
      <c r="C547" s="609"/>
      <c r="D547" s="10"/>
      <c r="E547" s="10"/>
      <c r="F547" s="62"/>
      <c r="G547" s="62"/>
      <c r="H547" s="62"/>
      <c r="I547" s="89">
        <f>F547-G547-H547</f>
        <v>0</v>
      </c>
      <c r="J547" s="63"/>
      <c r="K547" s="63"/>
      <c r="L547" s="63"/>
      <c r="M547" s="63"/>
      <c r="N547" s="63"/>
      <c r="O547" s="63"/>
      <c r="P547" s="63"/>
      <c r="Q547" s="63"/>
      <c r="R547" s="63"/>
      <c r="S547" s="63"/>
      <c r="T547" s="63"/>
      <c r="U547" s="94"/>
      <c r="V547" s="90"/>
      <c r="W547" s="136"/>
      <c r="X547" s="137"/>
      <c r="Y547" s="2"/>
      <c r="Z547" s="2"/>
      <c r="AA547" s="2"/>
      <c r="AB547" s="2"/>
      <c r="AC547" s="2"/>
    </row>
    <row r="548" spans="1:29">
      <c r="A548" s="614"/>
      <c r="B548" s="87">
        <f>B547+1</f>
        <v>17</v>
      </c>
      <c r="C548" s="609"/>
      <c r="D548" s="10"/>
      <c r="E548" s="10"/>
      <c r="F548" s="62"/>
      <c r="G548" s="62"/>
      <c r="H548" s="62"/>
      <c r="I548" s="89">
        <f>F548-G548-H548</f>
        <v>0</v>
      </c>
      <c r="J548" s="63"/>
      <c r="K548" s="63"/>
      <c r="L548" s="63"/>
      <c r="M548" s="63"/>
      <c r="N548" s="63"/>
      <c r="O548" s="63"/>
      <c r="P548" s="63"/>
      <c r="Q548" s="63"/>
      <c r="R548" s="63"/>
      <c r="S548" s="63"/>
      <c r="T548" s="63"/>
      <c r="U548" s="94"/>
      <c r="V548" s="90"/>
      <c r="W548" s="136"/>
      <c r="X548" s="137"/>
      <c r="Y548" s="2"/>
      <c r="Z548" s="2"/>
      <c r="AA548" s="2"/>
      <c r="AB548" s="2"/>
      <c r="AC548" s="2"/>
    </row>
    <row r="549" spans="1:29">
      <c r="A549" s="614"/>
      <c r="B549" s="87">
        <f>B548+1</f>
        <v>18</v>
      </c>
      <c r="C549" s="609"/>
      <c r="D549" s="10"/>
      <c r="E549" s="10"/>
      <c r="F549" s="62"/>
      <c r="G549" s="62"/>
      <c r="H549" s="62"/>
      <c r="I549" s="89">
        <f>F549-G549-H549</f>
        <v>0</v>
      </c>
      <c r="J549" s="63"/>
      <c r="K549" s="63"/>
      <c r="L549" s="63"/>
      <c r="M549" s="63"/>
      <c r="N549" s="63"/>
      <c r="O549" s="63"/>
      <c r="P549" s="63"/>
      <c r="Q549" s="63"/>
      <c r="R549" s="63"/>
      <c r="S549" s="63"/>
      <c r="T549" s="63"/>
      <c r="U549" s="94"/>
      <c r="V549" s="90"/>
      <c r="W549" s="136"/>
      <c r="X549" s="137"/>
      <c r="Y549" s="2"/>
      <c r="Z549" s="2"/>
      <c r="AA549" s="2"/>
      <c r="AB549" s="2"/>
      <c r="AC549" s="2"/>
    </row>
    <row r="550" spans="1:29">
      <c r="A550" s="614"/>
      <c r="B550" s="11"/>
      <c r="C550" s="609"/>
      <c r="D550" s="10"/>
      <c r="E550" s="10"/>
      <c r="F550" s="97">
        <f>SUM(F532:F549)</f>
        <v>0</v>
      </c>
      <c r="G550" s="97">
        <f>SUM(G532:G549)</f>
        <v>0</v>
      </c>
      <c r="H550" s="97">
        <f>SUM(H532:H549)</f>
        <v>0</v>
      </c>
      <c r="I550" s="98">
        <f>SUM(I532:I549)</f>
        <v>0</v>
      </c>
      <c r="J550" s="10"/>
      <c r="K550" s="10"/>
      <c r="L550" s="10"/>
      <c r="M550" s="10"/>
      <c r="N550" s="10"/>
      <c r="O550" s="10"/>
      <c r="P550" s="10"/>
      <c r="Q550" s="10"/>
      <c r="R550" s="10"/>
      <c r="S550" s="10"/>
      <c r="T550" s="63"/>
      <c r="U550" s="94"/>
      <c r="V550" s="90"/>
      <c r="W550" s="91"/>
      <c r="X550" s="92"/>
      <c r="Y550" s="2"/>
      <c r="Z550" s="2"/>
      <c r="AA550" s="2"/>
      <c r="AB550" s="2"/>
      <c r="AC550" s="2"/>
    </row>
    <row r="551" spans="1:29">
      <c r="A551" s="614"/>
      <c r="B551" s="11"/>
      <c r="C551" s="609"/>
      <c r="D551" s="10"/>
      <c r="E551" s="10"/>
      <c r="F551" s="88"/>
      <c r="G551" s="88"/>
      <c r="H551" s="88"/>
      <c r="I551" s="99"/>
      <c r="J551" s="10"/>
      <c r="K551" s="10"/>
      <c r="L551" s="10"/>
      <c r="M551" s="10"/>
      <c r="N551" s="10"/>
      <c r="O551" s="10"/>
      <c r="P551" s="10"/>
      <c r="Q551" s="10"/>
      <c r="R551" s="10"/>
      <c r="S551" s="10"/>
      <c r="T551" s="63"/>
      <c r="U551" s="94"/>
      <c r="V551" s="165"/>
      <c r="W551" s="166"/>
      <c r="X551" s="167"/>
      <c r="Y551" s="2"/>
      <c r="Z551" s="2"/>
      <c r="AA551" s="2"/>
      <c r="AB551" s="2"/>
      <c r="AC551" s="2"/>
    </row>
    <row r="552" spans="1:29">
      <c r="A552" s="614"/>
      <c r="B552" s="100" t="s">
        <v>73</v>
      </c>
      <c r="C552" s="609"/>
      <c r="D552" s="10"/>
      <c r="E552" s="10"/>
      <c r="F552" s="88"/>
      <c r="G552" s="88"/>
      <c r="H552" s="88"/>
      <c r="I552" s="99"/>
      <c r="J552" s="63"/>
      <c r="K552" s="63"/>
      <c r="L552" s="63"/>
      <c r="M552" s="63"/>
      <c r="N552" s="63"/>
      <c r="O552" s="63"/>
      <c r="P552" s="63"/>
      <c r="Q552" s="63"/>
      <c r="R552" s="63"/>
      <c r="S552" s="63"/>
      <c r="T552" s="63"/>
      <c r="U552" s="94"/>
      <c r="V552" s="90"/>
      <c r="W552" s="91"/>
      <c r="X552" s="92"/>
      <c r="Y552" s="2"/>
      <c r="Z552" s="2"/>
      <c r="AA552" s="2"/>
      <c r="AB552" s="2"/>
      <c r="AC552" s="2"/>
    </row>
    <row r="553" spans="1:29">
      <c r="A553" s="614"/>
      <c r="B553" s="87">
        <v>1</v>
      </c>
      <c r="C553" s="609"/>
      <c r="D553" s="10"/>
      <c r="E553" s="10"/>
      <c r="F553" s="62"/>
      <c r="G553" s="62"/>
      <c r="H553" s="62"/>
      <c r="I553" s="89">
        <f>F553-G553-H553</f>
        <v>0</v>
      </c>
      <c r="J553" s="63"/>
      <c r="K553" s="63"/>
      <c r="L553" s="63"/>
      <c r="M553" s="63"/>
      <c r="N553" s="63"/>
      <c r="O553" s="63"/>
      <c r="P553" s="63"/>
      <c r="Q553" s="63"/>
      <c r="R553" s="63"/>
      <c r="S553" s="63"/>
      <c r="T553" s="63"/>
      <c r="U553" s="139"/>
      <c r="V553" s="90"/>
      <c r="W553" s="91"/>
      <c r="X553" s="92"/>
      <c r="Y553" s="2"/>
      <c r="Z553" s="2"/>
      <c r="AA553" s="2"/>
      <c r="AB553" s="2"/>
      <c r="AC553" s="2"/>
    </row>
    <row r="554" spans="1:29">
      <c r="A554" s="614"/>
      <c r="B554" s="87">
        <f>B553+1</f>
        <v>2</v>
      </c>
      <c r="C554" s="609"/>
      <c r="D554" s="10"/>
      <c r="E554" s="10"/>
      <c r="F554" s="62"/>
      <c r="G554" s="62"/>
      <c r="H554" s="62"/>
      <c r="I554" s="89">
        <f>F554-G554-H554</f>
        <v>0</v>
      </c>
      <c r="J554" s="63"/>
      <c r="K554" s="63"/>
      <c r="L554" s="63"/>
      <c r="M554" s="63"/>
      <c r="N554" s="63"/>
      <c r="O554" s="63"/>
      <c r="P554" s="63"/>
      <c r="Q554" s="63"/>
      <c r="R554" s="63"/>
      <c r="S554" s="63"/>
      <c r="T554" s="63"/>
      <c r="U554" s="94"/>
      <c r="V554" s="90"/>
      <c r="W554" s="136"/>
      <c r="X554" s="137"/>
      <c r="Y554" s="2"/>
      <c r="Z554" s="2"/>
      <c r="AA554" s="2"/>
      <c r="AB554" s="2"/>
      <c r="AC554" s="2"/>
    </row>
    <row r="555" spans="1:29">
      <c r="A555" s="614"/>
      <c r="B555" s="87">
        <f>B554+1</f>
        <v>3</v>
      </c>
      <c r="C555" s="609"/>
      <c r="D555" s="10"/>
      <c r="E555" s="10"/>
      <c r="F555" s="62"/>
      <c r="G555" s="62"/>
      <c r="H555" s="62"/>
      <c r="I555" s="89">
        <f>F555-G555-H555</f>
        <v>0</v>
      </c>
      <c r="J555" s="63"/>
      <c r="K555" s="63"/>
      <c r="L555" s="63"/>
      <c r="M555" s="63"/>
      <c r="N555" s="63"/>
      <c r="O555" s="63"/>
      <c r="P555" s="63"/>
      <c r="Q555" s="63"/>
      <c r="R555" s="63"/>
      <c r="S555" s="63"/>
      <c r="T555" s="63"/>
      <c r="U555" s="94"/>
      <c r="V555" s="90"/>
      <c r="W555" s="136"/>
      <c r="X555" s="137"/>
      <c r="Y555" s="2"/>
      <c r="Z555" s="2"/>
      <c r="AA555" s="2"/>
      <c r="AB555" s="2"/>
      <c r="AC555" s="2"/>
    </row>
    <row r="556" spans="1:29">
      <c r="A556" s="614"/>
      <c r="B556" s="87">
        <f>B555+1</f>
        <v>4</v>
      </c>
      <c r="C556" s="609"/>
      <c r="D556" s="10"/>
      <c r="E556" s="10"/>
      <c r="F556" s="62"/>
      <c r="G556" s="62"/>
      <c r="H556" s="62"/>
      <c r="I556" s="89">
        <f>F556-G556-H556</f>
        <v>0</v>
      </c>
      <c r="J556" s="63"/>
      <c r="K556" s="63"/>
      <c r="L556" s="63"/>
      <c r="M556" s="63"/>
      <c r="N556" s="63"/>
      <c r="O556" s="63"/>
      <c r="P556" s="63"/>
      <c r="Q556" s="63"/>
      <c r="R556" s="63"/>
      <c r="S556" s="63"/>
      <c r="T556" s="63"/>
      <c r="U556" s="94"/>
      <c r="V556" s="90"/>
      <c r="W556" s="136"/>
      <c r="X556" s="137"/>
      <c r="Y556" s="2"/>
      <c r="Z556" s="2"/>
      <c r="AA556" s="2"/>
      <c r="AB556" s="2"/>
      <c r="AC556" s="2"/>
    </row>
    <row r="557" spans="1:29">
      <c r="A557" s="614"/>
      <c r="B557" s="87">
        <f>B556+1</f>
        <v>5</v>
      </c>
      <c r="C557" s="609"/>
      <c r="D557" s="10"/>
      <c r="E557" s="10"/>
      <c r="F557" s="62"/>
      <c r="G557" s="62"/>
      <c r="H557" s="62"/>
      <c r="I557" s="89">
        <f>F557-G557-H557</f>
        <v>0</v>
      </c>
      <c r="J557" s="63"/>
      <c r="K557" s="63"/>
      <c r="L557" s="63"/>
      <c r="M557" s="63"/>
      <c r="N557" s="63"/>
      <c r="O557" s="63"/>
      <c r="P557" s="63"/>
      <c r="Q557" s="63"/>
      <c r="R557" s="63"/>
      <c r="S557" s="63"/>
      <c r="T557" s="63"/>
      <c r="U557" s="94"/>
      <c r="V557" s="90"/>
      <c r="W557" s="136"/>
      <c r="X557" s="137"/>
      <c r="Y557" s="2"/>
      <c r="Z557" s="2"/>
      <c r="AA557" s="2"/>
      <c r="AB557" s="2"/>
      <c r="AC557" s="2"/>
    </row>
    <row r="558" spans="1:29">
      <c r="A558" s="614"/>
      <c r="B558" s="87">
        <f>B557+1</f>
        <v>6</v>
      </c>
      <c r="C558" s="609"/>
      <c r="D558" s="10"/>
      <c r="E558" s="101"/>
      <c r="F558" s="62"/>
      <c r="G558" s="62"/>
      <c r="H558" s="62"/>
      <c r="I558" s="89">
        <f>F558-G558-H558</f>
        <v>0</v>
      </c>
      <c r="J558" s="63"/>
      <c r="K558" s="63"/>
      <c r="L558" s="63"/>
      <c r="M558" s="63"/>
      <c r="N558" s="63"/>
      <c r="O558" s="63"/>
      <c r="P558" s="63"/>
      <c r="Q558" s="63"/>
      <c r="R558" s="63"/>
      <c r="S558" s="63"/>
      <c r="T558" s="63"/>
      <c r="U558" s="94"/>
      <c r="V558" s="90"/>
      <c r="W558" s="136"/>
      <c r="X558" s="137"/>
      <c r="Y558" s="2"/>
      <c r="Z558" s="2"/>
      <c r="AA558" s="2"/>
      <c r="AB558" s="2"/>
      <c r="AC558" s="2"/>
    </row>
    <row r="559" spans="1:29">
      <c r="A559" s="614"/>
      <c r="B559" s="11"/>
      <c r="C559" s="609"/>
      <c r="D559" s="10"/>
      <c r="E559" s="10"/>
      <c r="F559" s="97">
        <f>SUM(F553:F558)</f>
        <v>0</v>
      </c>
      <c r="G559" s="97">
        <f>SUM(G553:G558)</f>
        <v>0</v>
      </c>
      <c r="H559" s="97">
        <f>SUM(H553:H558)</f>
        <v>0</v>
      </c>
      <c r="I559" s="98">
        <f>SUM(I553:I558)</f>
        <v>0</v>
      </c>
      <c r="J559" s="10"/>
      <c r="K559" s="10"/>
      <c r="L559" s="10"/>
      <c r="M559" s="10"/>
      <c r="N559" s="10"/>
      <c r="O559" s="10"/>
      <c r="P559" s="10"/>
      <c r="Q559" s="10"/>
      <c r="R559" s="10"/>
      <c r="S559" s="10"/>
      <c r="T559" s="63"/>
      <c r="U559" s="94"/>
      <c r="V559" s="90"/>
      <c r="W559" s="91"/>
      <c r="X559" s="92"/>
      <c r="Y559" s="2"/>
      <c r="Z559" s="2"/>
      <c r="AA559" s="2"/>
      <c r="AB559" s="2"/>
      <c r="AC559" s="2"/>
    </row>
    <row r="560" spans="1:29">
      <c r="A560" s="614"/>
      <c r="B560" s="26"/>
      <c r="C560" s="612"/>
      <c r="D560" s="141"/>
      <c r="E560" s="141"/>
      <c r="F560" s="141"/>
      <c r="G560" s="141"/>
      <c r="H560" s="141"/>
      <c r="I560" s="141"/>
      <c r="J560" s="141"/>
      <c r="K560" s="142"/>
      <c r="L560" s="142"/>
      <c r="M560" s="142"/>
      <c r="N560" s="142"/>
      <c r="O560" s="142"/>
      <c r="P560" s="142"/>
      <c r="Q560" s="142"/>
      <c r="R560" s="142"/>
      <c r="S560" s="142"/>
      <c r="T560" s="143">
        <f>SUM(T445:T559)</f>
        <v>0</v>
      </c>
      <c r="U560" s="168"/>
      <c r="V560" s="144">
        <f>SUM(V445:V559)</f>
        <v>0</v>
      </c>
      <c r="W560" s="145">
        <f>SUM(W445:W559)</f>
        <v>0</v>
      </c>
      <c r="X560" s="146">
        <f>SUM(X445:X559)</f>
        <v>0</v>
      </c>
      <c r="Y560" s="2"/>
      <c r="Z560" s="2"/>
      <c r="AA560" s="2"/>
      <c r="AB560" s="2"/>
      <c r="AC560" s="2"/>
    </row>
  </sheetData>
  <mergeCells count="13">
    <mergeCell ref="H237:J238"/>
    <mergeCell ref="K282:Q282"/>
    <mergeCell ref="K245:Q245"/>
    <mergeCell ref="K394:Q394"/>
    <mergeCell ref="K208:Q208"/>
    <mergeCell ref="K356:Q356"/>
    <mergeCell ref="K319:Q319"/>
    <mergeCell ref="K433:Q433"/>
    <mergeCell ref="K18:Q18"/>
    <mergeCell ref="K56:Q56"/>
    <mergeCell ref="K97:Q97"/>
    <mergeCell ref="K134:Q134"/>
    <mergeCell ref="K171:Q171"/>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B91E4-A4A4-41A9-99A4-0C9E5ED148B7}">
  <sheetPr>
    <tabColor rgb="FF92D050"/>
  </sheetPr>
  <dimension ref="A2:Y374"/>
  <sheetViews>
    <sheetView topLeftCell="A202" workbookViewId="0">
      <selection activeCell="A214" sqref="A214:XFD224"/>
    </sheetView>
  </sheetViews>
  <sheetFormatPr defaultRowHeight="15"/>
  <cols>
    <col min="3" max="3" width="14.7109375" customWidth="1"/>
    <col min="4" max="4" width="11.5703125" customWidth="1"/>
    <col min="5" max="5" width="14.7109375" customWidth="1"/>
    <col min="6" max="6" width="12.140625" customWidth="1"/>
    <col min="8" max="8" width="10.5703125" customWidth="1"/>
    <col min="9" max="9" width="12.5703125" customWidth="1"/>
    <col min="14" max="14" width="10.140625" customWidth="1"/>
    <col min="16" max="16" width="10.85546875" customWidth="1"/>
    <col min="22" max="22" width="12" customWidth="1"/>
  </cols>
  <sheetData>
    <row r="2" spans="2:24">
      <c r="B2" s="4" t="s">
        <v>1</v>
      </c>
      <c r="C2" s="5"/>
      <c r="D2" s="6"/>
      <c r="E2" s="6"/>
      <c r="F2" s="7" t="s">
        <v>2</v>
      </c>
      <c r="G2" s="608">
        <v>45935</v>
      </c>
      <c r="H2" s="7"/>
      <c r="I2" s="6"/>
      <c r="J2" s="6"/>
      <c r="K2" s="6"/>
      <c r="L2" s="6"/>
      <c r="M2" s="6"/>
      <c r="N2" s="6"/>
      <c r="O2" s="6"/>
      <c r="P2" s="6"/>
      <c r="Q2" s="6"/>
      <c r="R2" s="6"/>
      <c r="S2" s="6"/>
      <c r="T2" s="6"/>
      <c r="U2" s="9"/>
      <c r="V2" s="10"/>
      <c r="W2" s="10"/>
      <c r="X2" s="10"/>
    </row>
    <row r="3" spans="2:24">
      <c r="B3" s="11"/>
      <c r="C3" s="10"/>
      <c r="D3" s="10"/>
      <c r="E3" s="10"/>
      <c r="F3" s="10"/>
      <c r="G3" s="7"/>
      <c r="H3" s="12"/>
      <c r="I3" s="10"/>
      <c r="J3" s="10"/>
      <c r="K3" s="13" t="s">
        <v>3</v>
      </c>
      <c r="L3" s="14"/>
      <c r="M3" s="15"/>
      <c r="N3" s="13" t="s">
        <v>4</v>
      </c>
      <c r="O3" s="14"/>
      <c r="P3" s="15"/>
      <c r="Q3" s="13" t="s">
        <v>5</v>
      </c>
      <c r="R3" s="14"/>
      <c r="S3" s="15"/>
      <c r="T3" s="16"/>
      <c r="U3" s="17"/>
      <c r="V3" s="10"/>
      <c r="W3" s="10"/>
      <c r="X3" s="10"/>
    </row>
    <row r="4" spans="2:24">
      <c r="B4" s="18" t="s">
        <v>6</v>
      </c>
      <c r="C4" s="19">
        <f>C5+C6</f>
        <v>16</v>
      </c>
      <c r="D4" s="10"/>
      <c r="E4" s="18" t="s">
        <v>7</v>
      </c>
      <c r="F4" s="6"/>
      <c r="G4" s="9"/>
      <c r="H4" s="10"/>
      <c r="I4" s="10"/>
      <c r="J4" s="10"/>
      <c r="K4" s="20" t="s">
        <v>8</v>
      </c>
      <c r="L4" s="21" t="s">
        <v>9</v>
      </c>
      <c r="M4" s="21" t="s">
        <v>10</v>
      </c>
      <c r="N4" s="20" t="s">
        <v>11</v>
      </c>
      <c r="O4" s="21" t="s">
        <v>12</v>
      </c>
      <c r="P4" s="22" t="s">
        <v>13</v>
      </c>
      <c r="Q4" s="21" t="s">
        <v>11</v>
      </c>
      <c r="R4" s="21" t="s">
        <v>12</v>
      </c>
      <c r="S4" s="22" t="s">
        <v>13</v>
      </c>
      <c r="T4" s="23" t="s">
        <v>14</v>
      </c>
      <c r="U4" s="17"/>
      <c r="V4" s="10"/>
      <c r="W4" s="10"/>
      <c r="X4" s="10"/>
    </row>
    <row r="5" spans="2:24">
      <c r="B5" s="24" t="s">
        <v>15</v>
      </c>
      <c r="C5" s="25">
        <f>P12</f>
        <v>8</v>
      </c>
      <c r="D5" s="10"/>
      <c r="E5" s="26" t="s">
        <v>16</v>
      </c>
      <c r="F5" s="27">
        <v>0.05</v>
      </c>
      <c r="G5" s="28"/>
      <c r="H5" s="10"/>
      <c r="I5" s="10"/>
      <c r="J5" s="18" t="s">
        <v>17</v>
      </c>
      <c r="K5" s="29">
        <f>K35</f>
        <v>5</v>
      </c>
      <c r="L5" s="29">
        <f t="shared" ref="L5:S5" si="0">L35</f>
        <v>4</v>
      </c>
      <c r="M5" s="29">
        <f t="shared" si="0"/>
        <v>5</v>
      </c>
      <c r="N5" s="29">
        <f t="shared" si="0"/>
        <v>4</v>
      </c>
      <c r="O5" s="29">
        <f t="shared" si="0"/>
        <v>4</v>
      </c>
      <c r="P5" s="29">
        <f t="shared" si="0"/>
        <v>1</v>
      </c>
      <c r="Q5" s="29">
        <f t="shared" si="0"/>
        <v>4</v>
      </c>
      <c r="R5" s="29">
        <f t="shared" si="0"/>
        <v>4</v>
      </c>
      <c r="S5" s="29">
        <f t="shared" si="0"/>
        <v>1</v>
      </c>
      <c r="T5" s="30">
        <f>T56</f>
        <v>4</v>
      </c>
      <c r="U5" s="17"/>
      <c r="V5" s="10"/>
      <c r="W5" s="10"/>
      <c r="X5" s="10"/>
    </row>
    <row r="6" spans="2:24">
      <c r="B6" s="24" t="s">
        <v>18</v>
      </c>
      <c r="C6" s="25">
        <f>P13</f>
        <v>8</v>
      </c>
      <c r="D6" s="10"/>
      <c r="E6" s="10"/>
      <c r="F6" s="10"/>
      <c r="G6" s="31"/>
      <c r="H6" s="10"/>
      <c r="I6" s="10"/>
      <c r="J6" s="32" t="s">
        <v>19</v>
      </c>
      <c r="K6" s="33">
        <f>K35/K34</f>
        <v>1</v>
      </c>
      <c r="L6" s="33">
        <f t="shared" ref="L6:S6" si="1">L35/L34</f>
        <v>0.8</v>
      </c>
      <c r="M6" s="33">
        <f t="shared" si="1"/>
        <v>1</v>
      </c>
      <c r="N6" s="33">
        <f t="shared" si="1"/>
        <v>0.8</v>
      </c>
      <c r="O6" s="33">
        <f t="shared" si="1"/>
        <v>0.8</v>
      </c>
      <c r="P6" s="33">
        <f t="shared" si="1"/>
        <v>0.2</v>
      </c>
      <c r="Q6" s="33">
        <f t="shared" si="1"/>
        <v>0.8</v>
      </c>
      <c r="R6" s="33">
        <f t="shared" si="1"/>
        <v>0.8</v>
      </c>
      <c r="S6" s="33">
        <f t="shared" si="1"/>
        <v>0.2</v>
      </c>
      <c r="T6" s="23">
        <v>1</v>
      </c>
      <c r="U6" s="17" t="s">
        <v>20</v>
      </c>
      <c r="V6" s="10"/>
      <c r="W6" s="10"/>
      <c r="X6" s="10"/>
    </row>
    <row r="7" spans="2:24">
      <c r="B7" s="24" t="s">
        <v>21</v>
      </c>
      <c r="C7" s="34">
        <f>P14</f>
        <v>0.5</v>
      </c>
      <c r="D7" s="10"/>
      <c r="E7" s="10"/>
      <c r="F7" s="10"/>
      <c r="G7" s="10"/>
      <c r="H7" s="10"/>
      <c r="I7" s="10"/>
      <c r="J7" s="10"/>
      <c r="K7" s="10"/>
      <c r="L7" s="10"/>
      <c r="M7" s="10"/>
      <c r="N7" s="10"/>
      <c r="O7" s="10"/>
      <c r="P7" s="10"/>
      <c r="Q7" s="10"/>
      <c r="R7" s="10"/>
      <c r="S7" s="10"/>
      <c r="T7" s="10"/>
      <c r="U7" s="17"/>
      <c r="V7" s="10"/>
      <c r="W7" s="10"/>
      <c r="X7" s="10"/>
    </row>
    <row r="8" spans="2:24">
      <c r="B8" s="24"/>
      <c r="C8" s="25"/>
      <c r="D8" s="10"/>
      <c r="E8" s="10"/>
      <c r="F8" s="18" t="s">
        <v>22</v>
      </c>
      <c r="G8" s="19" t="s">
        <v>23</v>
      </c>
      <c r="H8" s="35" t="s">
        <v>24</v>
      </c>
      <c r="I8" s="10"/>
      <c r="J8" s="10"/>
      <c r="K8" s="36"/>
      <c r="L8" s="36"/>
      <c r="M8" s="36"/>
      <c r="N8" s="36"/>
      <c r="O8" s="36"/>
      <c r="P8" s="36"/>
      <c r="Q8" s="36"/>
      <c r="R8" s="10"/>
      <c r="S8" s="10"/>
      <c r="T8" s="10"/>
      <c r="U8" s="17"/>
      <c r="V8" s="10"/>
      <c r="W8" s="10"/>
      <c r="X8" s="10"/>
    </row>
    <row r="9" spans="2:24" ht="15" customHeight="1">
      <c r="B9" s="32" t="s">
        <v>25</v>
      </c>
      <c r="C9" s="37">
        <f>P15</f>
        <v>1121.0749999999998</v>
      </c>
      <c r="D9" s="10"/>
      <c r="E9" s="18" t="s">
        <v>26</v>
      </c>
      <c r="F9" s="38">
        <f>P11</f>
        <v>8968.5999999999985</v>
      </c>
      <c r="G9" s="39">
        <f>I34+I40+I44</f>
        <v>8968.5999999999985</v>
      </c>
      <c r="H9" s="40"/>
      <c r="I9" s="41"/>
      <c r="J9" s="42"/>
      <c r="K9" s="43" t="s">
        <v>27</v>
      </c>
      <c r="L9" s="44"/>
      <c r="M9" s="44"/>
      <c r="N9" s="44"/>
      <c r="O9" s="44"/>
      <c r="P9" s="44"/>
      <c r="Q9" s="45"/>
      <c r="R9" s="46" t="s">
        <v>28</v>
      </c>
      <c r="S9" s="47" t="s">
        <v>29</v>
      </c>
      <c r="T9" s="10"/>
      <c r="U9" s="17"/>
      <c r="V9" s="10"/>
      <c r="W9" s="10"/>
      <c r="X9" s="10"/>
    </row>
    <row r="10" spans="2:24">
      <c r="B10" s="11"/>
      <c r="C10" s="10"/>
      <c r="D10" s="10"/>
      <c r="E10" s="24" t="s">
        <v>30</v>
      </c>
      <c r="F10" s="48">
        <f>F5</f>
        <v>0.05</v>
      </c>
      <c r="G10" s="17"/>
      <c r="H10" s="40"/>
      <c r="I10" s="41"/>
      <c r="J10" s="42"/>
      <c r="K10" s="20" t="s">
        <v>31</v>
      </c>
      <c r="L10" s="21" t="s">
        <v>32</v>
      </c>
      <c r="M10" s="21" t="s">
        <v>33</v>
      </c>
      <c r="N10" s="21" t="s">
        <v>34</v>
      </c>
      <c r="O10" s="21" t="s">
        <v>35</v>
      </c>
      <c r="P10" s="21" t="s">
        <v>36</v>
      </c>
      <c r="Q10" s="49" t="s">
        <v>37</v>
      </c>
      <c r="R10" s="50" t="s">
        <v>38</v>
      </c>
      <c r="S10" s="50" t="s">
        <v>38</v>
      </c>
      <c r="T10" s="10"/>
      <c r="U10" s="17"/>
      <c r="V10" s="10"/>
      <c r="W10" s="10"/>
      <c r="X10" s="10"/>
    </row>
    <row r="11" spans="2:24">
      <c r="B11" s="11"/>
      <c r="C11" s="10"/>
      <c r="D11" s="10"/>
      <c r="E11" s="51" t="s">
        <v>39</v>
      </c>
      <c r="F11" s="52">
        <f>(F9+F18-I30-I31-I33-I38-I39-I43)*F10</f>
        <v>147.95449999999991</v>
      </c>
      <c r="G11" s="53" t="s">
        <v>40</v>
      </c>
      <c r="H11" s="54">
        <f>F11/1.12</f>
        <v>132.10223214285705</v>
      </c>
      <c r="I11" s="55"/>
      <c r="J11" s="42"/>
      <c r="K11" s="56">
        <v>0</v>
      </c>
      <c r="L11" s="57">
        <v>0</v>
      </c>
      <c r="M11" s="57">
        <v>0</v>
      </c>
      <c r="N11" s="57">
        <f>I29+I39+I30+I38</f>
        <v>5767.1399999999994</v>
      </c>
      <c r="O11" s="57">
        <f>I31+I32+I33+I43</f>
        <v>3201.46</v>
      </c>
      <c r="P11" s="57">
        <f>SUM(K11:O11)</f>
        <v>8968.5999999999985</v>
      </c>
      <c r="Q11" s="58">
        <v>0</v>
      </c>
      <c r="R11" s="59">
        <f>I40+I44</f>
        <v>2790.24</v>
      </c>
      <c r="S11" s="59">
        <v>0</v>
      </c>
      <c r="T11" s="10"/>
      <c r="U11" s="17"/>
      <c r="V11" s="10"/>
      <c r="W11" s="10"/>
      <c r="X11" s="10"/>
    </row>
    <row r="12" spans="2:24">
      <c r="B12" s="11"/>
      <c r="C12" s="10"/>
      <c r="D12" s="10"/>
      <c r="E12" s="24" t="s">
        <v>41</v>
      </c>
      <c r="F12" s="60">
        <f>Q11</f>
        <v>0</v>
      </c>
      <c r="G12" s="61" t="s">
        <v>40</v>
      </c>
      <c r="H12" s="62"/>
      <c r="I12" s="62"/>
      <c r="J12" s="10" t="s">
        <v>42</v>
      </c>
      <c r="K12" s="63">
        <v>0</v>
      </c>
      <c r="L12" s="63">
        <v>0</v>
      </c>
      <c r="M12" s="63">
        <v>0</v>
      </c>
      <c r="N12" s="63">
        <v>4</v>
      </c>
      <c r="O12" s="63">
        <v>4</v>
      </c>
      <c r="P12" s="21">
        <f>SUM(K12:O12)</f>
        <v>8</v>
      </c>
      <c r="Q12" s="64">
        <v>0</v>
      </c>
      <c r="R12" s="63"/>
      <c r="S12" s="10"/>
      <c r="T12" s="10"/>
      <c r="U12" s="17"/>
      <c r="V12" s="10"/>
      <c r="W12" s="10"/>
      <c r="X12" s="10"/>
    </row>
    <row r="13" spans="2:24">
      <c r="B13" s="11"/>
      <c r="C13" s="10"/>
      <c r="D13" s="10"/>
      <c r="E13" s="51" t="s">
        <v>43</v>
      </c>
      <c r="F13" s="52">
        <f>F12*0.25</f>
        <v>0</v>
      </c>
      <c r="G13" s="53" t="s">
        <v>40</v>
      </c>
      <c r="H13" s="54">
        <f>F13/1.12</f>
        <v>0</v>
      </c>
      <c r="I13" s="10"/>
      <c r="J13" s="10" t="s">
        <v>44</v>
      </c>
      <c r="K13" s="63">
        <v>0</v>
      </c>
      <c r="L13" s="63">
        <v>0</v>
      </c>
      <c r="M13" s="63">
        <v>0</v>
      </c>
      <c r="N13" s="63">
        <v>4</v>
      </c>
      <c r="O13" s="63">
        <v>4</v>
      </c>
      <c r="P13" s="21">
        <f>SUM(K13:O13)</f>
        <v>8</v>
      </c>
      <c r="Q13" s="64">
        <v>0</v>
      </c>
      <c r="R13" s="63"/>
      <c r="S13" s="10"/>
      <c r="T13" s="10"/>
      <c r="U13" s="17"/>
      <c r="V13" s="10"/>
      <c r="W13" s="10"/>
      <c r="X13" s="10"/>
    </row>
    <row r="14" spans="2:24">
      <c r="B14" s="11"/>
      <c r="C14" s="10"/>
      <c r="D14" s="10"/>
      <c r="E14" s="24" t="s">
        <v>45</v>
      </c>
      <c r="F14" s="60"/>
      <c r="G14" s="61" t="s">
        <v>40</v>
      </c>
      <c r="H14" s="62"/>
      <c r="I14" s="10"/>
      <c r="J14" s="10" t="s">
        <v>46</v>
      </c>
      <c r="K14" s="31" t="e">
        <f t="shared" ref="K14:Q14" si="2">K12/(K12+K13)</f>
        <v>#DIV/0!</v>
      </c>
      <c r="L14" s="31" t="e">
        <f t="shared" si="2"/>
        <v>#DIV/0!</v>
      </c>
      <c r="M14" s="31" t="e">
        <f t="shared" si="2"/>
        <v>#DIV/0!</v>
      </c>
      <c r="N14" s="31">
        <f t="shared" si="2"/>
        <v>0.5</v>
      </c>
      <c r="O14" s="31">
        <f t="shared" si="2"/>
        <v>0.5</v>
      </c>
      <c r="P14" s="31">
        <f t="shared" si="2"/>
        <v>0.5</v>
      </c>
      <c r="Q14" s="31" t="e">
        <f t="shared" si="2"/>
        <v>#DIV/0!</v>
      </c>
      <c r="R14" s="63"/>
      <c r="S14" s="10"/>
      <c r="T14" s="10"/>
      <c r="U14" s="17"/>
      <c r="V14" s="10"/>
      <c r="W14" s="10"/>
      <c r="X14" s="10"/>
    </row>
    <row r="15" spans="2:24">
      <c r="B15" s="11"/>
      <c r="C15" s="10"/>
      <c r="D15" s="10"/>
      <c r="E15" s="51" t="s">
        <v>47</v>
      </c>
      <c r="F15" s="52">
        <f>F14*0.05</f>
        <v>0</v>
      </c>
      <c r="G15" s="65" t="s">
        <v>40</v>
      </c>
      <c r="H15" s="54">
        <f>F15/1.12</f>
        <v>0</v>
      </c>
      <c r="I15" s="42"/>
      <c r="J15" s="10" t="s">
        <v>48</v>
      </c>
      <c r="K15" s="66" t="e">
        <f>K11/K12</f>
        <v>#DIV/0!</v>
      </c>
      <c r="L15" s="66" t="e">
        <f t="shared" ref="L15:Q15" si="3">L11/L12</f>
        <v>#DIV/0!</v>
      </c>
      <c r="M15" s="66" t="e">
        <f t="shared" si="3"/>
        <v>#DIV/0!</v>
      </c>
      <c r="N15" s="66">
        <f t="shared" si="3"/>
        <v>1441.7849999999999</v>
      </c>
      <c r="O15" s="66">
        <f t="shared" si="3"/>
        <v>800.36500000000001</v>
      </c>
      <c r="P15" s="66">
        <f t="shared" si="3"/>
        <v>1121.0749999999998</v>
      </c>
      <c r="Q15" s="66" t="e">
        <f t="shared" si="3"/>
        <v>#DIV/0!</v>
      </c>
      <c r="R15" s="63"/>
      <c r="S15" s="10"/>
      <c r="T15" s="10"/>
      <c r="U15" s="17"/>
      <c r="V15" s="10"/>
      <c r="W15" s="10"/>
      <c r="X15" s="10"/>
    </row>
    <row r="16" spans="2:24">
      <c r="B16" s="11"/>
      <c r="C16" s="10"/>
      <c r="D16" s="10"/>
      <c r="E16" s="67" t="s">
        <v>14</v>
      </c>
      <c r="F16" s="68">
        <f>6*50</f>
        <v>300</v>
      </c>
      <c r="G16" s="10"/>
      <c r="H16" s="54">
        <f>F16/1.12</f>
        <v>267.85714285714283</v>
      </c>
      <c r="I16" s="10"/>
      <c r="J16" s="10"/>
      <c r="K16" s="10"/>
      <c r="L16" s="10"/>
      <c r="M16" s="10"/>
      <c r="N16" s="10"/>
      <c r="O16" s="10"/>
      <c r="P16" s="10"/>
      <c r="Q16" s="10"/>
      <c r="R16" s="10"/>
      <c r="S16" s="10"/>
      <c r="T16" s="10"/>
      <c r="U16" s="17"/>
      <c r="V16" s="10"/>
      <c r="W16" s="10"/>
      <c r="X16" s="10"/>
    </row>
    <row r="17" spans="1:24">
      <c r="B17" s="11"/>
      <c r="C17" s="10"/>
      <c r="D17" s="10"/>
      <c r="E17" s="67" t="s">
        <v>49</v>
      </c>
      <c r="F17" s="69">
        <f>T6</f>
        <v>1</v>
      </c>
      <c r="G17" s="10"/>
      <c r="H17" s="54"/>
      <c r="I17" s="55"/>
      <c r="J17" s="42"/>
      <c r="K17" s="764" t="s">
        <v>50</v>
      </c>
      <c r="L17" s="765"/>
      <c r="M17" s="765"/>
      <c r="N17" s="765"/>
      <c r="O17" s="765"/>
      <c r="P17" s="765"/>
      <c r="Q17" s="766"/>
      <c r="R17" s="70" t="s">
        <v>28</v>
      </c>
      <c r="S17" s="71" t="s">
        <v>29</v>
      </c>
      <c r="T17" s="10"/>
      <c r="U17" s="17"/>
      <c r="V17" s="10"/>
      <c r="W17" s="10"/>
      <c r="X17" s="10"/>
    </row>
    <row r="18" spans="1:24">
      <c r="B18" s="11"/>
      <c r="C18" s="10"/>
      <c r="D18" s="10"/>
      <c r="E18" s="74" t="s">
        <v>2306</v>
      </c>
      <c r="F18" s="75">
        <v>-394.51</v>
      </c>
      <c r="G18" s="10"/>
      <c r="H18" s="10"/>
      <c r="I18" s="10"/>
      <c r="J18" s="42"/>
      <c r="K18" s="20" t="s">
        <v>31</v>
      </c>
      <c r="L18" s="21" t="s">
        <v>32</v>
      </c>
      <c r="M18" s="21" t="s">
        <v>33</v>
      </c>
      <c r="N18" s="21" t="s">
        <v>34</v>
      </c>
      <c r="O18" s="21" t="s">
        <v>35</v>
      </c>
      <c r="P18" s="21" t="s">
        <v>36</v>
      </c>
      <c r="Q18" s="49" t="s">
        <v>37</v>
      </c>
      <c r="R18" s="50" t="s">
        <v>38</v>
      </c>
      <c r="S18" s="50" t="s">
        <v>38</v>
      </c>
      <c r="T18" s="10"/>
      <c r="U18" s="17"/>
      <c r="V18" s="10"/>
      <c r="W18" s="10"/>
      <c r="X18" s="10"/>
    </row>
    <row r="19" spans="1:24">
      <c r="B19" s="11"/>
      <c r="C19" s="10"/>
      <c r="D19" s="10"/>
      <c r="E19" s="12"/>
      <c r="F19" s="76"/>
      <c r="G19" s="10"/>
      <c r="H19" s="10"/>
      <c r="I19" s="10"/>
      <c r="J19" s="42"/>
      <c r="K19" s="56">
        <v>0</v>
      </c>
      <c r="L19" s="57">
        <v>0</v>
      </c>
      <c r="M19" s="57">
        <v>0</v>
      </c>
      <c r="N19" s="57">
        <f>F29+F39+F30+F38</f>
        <v>6032.6</v>
      </c>
      <c r="O19" s="57">
        <f>F31+F32+F33+F43</f>
        <v>4130.6000000000004</v>
      </c>
      <c r="P19" s="57">
        <f>SUM(K19:O19)</f>
        <v>10163.200000000001</v>
      </c>
      <c r="Q19" s="58">
        <v>0</v>
      </c>
      <c r="R19" s="59">
        <f>F40+F44</f>
        <v>3414</v>
      </c>
      <c r="S19" s="59">
        <v>0</v>
      </c>
      <c r="T19" s="10"/>
      <c r="U19" s="17"/>
      <c r="V19" s="10"/>
      <c r="W19" s="10"/>
      <c r="X19" s="10"/>
    </row>
    <row r="20" spans="1:24">
      <c r="B20" s="11"/>
      <c r="C20" s="10"/>
      <c r="D20" s="10"/>
      <c r="E20" s="12"/>
      <c r="F20" s="76"/>
      <c r="G20" s="10"/>
      <c r="H20" s="10"/>
      <c r="I20" s="10"/>
      <c r="J20" s="10" t="s">
        <v>42</v>
      </c>
      <c r="K20" s="63">
        <f>K12</f>
        <v>0</v>
      </c>
      <c r="L20" s="63">
        <f t="shared" ref="L20:Q21" si="4">L12</f>
        <v>0</v>
      </c>
      <c r="M20" s="63">
        <f t="shared" si="4"/>
        <v>0</v>
      </c>
      <c r="N20" s="63">
        <f t="shared" si="4"/>
        <v>4</v>
      </c>
      <c r="O20" s="63">
        <f t="shared" si="4"/>
        <v>4</v>
      </c>
      <c r="P20" s="63">
        <f t="shared" si="4"/>
        <v>8</v>
      </c>
      <c r="Q20" s="63">
        <f t="shared" si="4"/>
        <v>0</v>
      </c>
      <c r="R20" s="63"/>
      <c r="S20" s="10"/>
      <c r="T20" s="10"/>
      <c r="U20" s="17"/>
      <c r="V20" s="10"/>
      <c r="W20" s="10"/>
      <c r="X20" s="10"/>
    </row>
    <row r="21" spans="1:24">
      <c r="B21" s="11"/>
      <c r="C21" s="10"/>
      <c r="D21" s="10"/>
      <c r="E21" s="12"/>
      <c r="F21" s="76"/>
      <c r="G21" s="10"/>
      <c r="H21" s="10"/>
      <c r="I21" s="10"/>
      <c r="J21" s="10" t="s">
        <v>44</v>
      </c>
      <c r="K21" s="63">
        <f>K13</f>
        <v>0</v>
      </c>
      <c r="L21" s="63">
        <f t="shared" si="4"/>
        <v>0</v>
      </c>
      <c r="M21" s="63">
        <f t="shared" si="4"/>
        <v>0</v>
      </c>
      <c r="N21" s="63">
        <f t="shared" si="4"/>
        <v>4</v>
      </c>
      <c r="O21" s="63">
        <f t="shared" si="4"/>
        <v>4</v>
      </c>
      <c r="P21" s="63">
        <f t="shared" si="4"/>
        <v>8</v>
      </c>
      <c r="Q21" s="63">
        <f t="shared" si="4"/>
        <v>0</v>
      </c>
      <c r="R21" s="63"/>
      <c r="S21" s="10"/>
      <c r="T21" s="10"/>
      <c r="U21" s="17"/>
      <c r="V21" s="10"/>
      <c r="W21" s="10"/>
      <c r="X21" s="10"/>
    </row>
    <row r="22" spans="1:24">
      <c r="B22" s="11"/>
      <c r="C22" s="10"/>
      <c r="D22" s="10"/>
      <c r="E22" s="12"/>
      <c r="F22" s="76"/>
      <c r="G22" s="10"/>
      <c r="H22" s="10"/>
      <c r="I22" s="10"/>
      <c r="J22" s="10" t="s">
        <v>46</v>
      </c>
      <c r="K22" s="31" t="e">
        <f t="shared" ref="K22:Q22" si="5">K20/(K20+K21)</f>
        <v>#DIV/0!</v>
      </c>
      <c r="L22" s="31" t="e">
        <f t="shared" si="5"/>
        <v>#DIV/0!</v>
      </c>
      <c r="M22" s="31" t="e">
        <f t="shared" si="5"/>
        <v>#DIV/0!</v>
      </c>
      <c r="N22" s="31">
        <f t="shared" si="5"/>
        <v>0.5</v>
      </c>
      <c r="O22" s="31">
        <f t="shared" si="5"/>
        <v>0.5</v>
      </c>
      <c r="P22" s="31">
        <f t="shared" si="5"/>
        <v>0.5</v>
      </c>
      <c r="Q22" s="31" t="e">
        <f t="shared" si="5"/>
        <v>#DIV/0!</v>
      </c>
      <c r="R22" s="63"/>
      <c r="S22" s="10"/>
      <c r="T22" s="10"/>
      <c r="U22" s="17"/>
      <c r="V22" s="10"/>
      <c r="W22" s="10"/>
      <c r="X22" s="10"/>
    </row>
    <row r="23" spans="1:24">
      <c r="B23" s="11"/>
      <c r="C23" s="10"/>
      <c r="D23" s="10"/>
      <c r="E23" s="10"/>
      <c r="F23" s="10"/>
      <c r="G23" s="10"/>
      <c r="H23" s="10"/>
      <c r="I23" s="10"/>
      <c r="J23" s="10" t="s">
        <v>48</v>
      </c>
      <c r="K23" s="66" t="e">
        <f t="shared" ref="K23:Q23" si="6">K19/K20</f>
        <v>#DIV/0!</v>
      </c>
      <c r="L23" s="66" t="e">
        <f t="shared" si="6"/>
        <v>#DIV/0!</v>
      </c>
      <c r="M23" s="66" t="e">
        <f t="shared" si="6"/>
        <v>#DIV/0!</v>
      </c>
      <c r="N23" s="66">
        <f t="shared" si="6"/>
        <v>1508.15</v>
      </c>
      <c r="O23" s="66">
        <f t="shared" si="6"/>
        <v>1032.6500000000001</v>
      </c>
      <c r="P23" s="66">
        <f t="shared" si="6"/>
        <v>1270.4000000000001</v>
      </c>
      <c r="Q23" s="66" t="e">
        <f t="shared" si="6"/>
        <v>#DIV/0!</v>
      </c>
      <c r="R23" s="63"/>
      <c r="S23" s="10"/>
      <c r="T23" s="10"/>
      <c r="U23" s="17"/>
      <c r="V23" s="10"/>
      <c r="W23" s="10"/>
      <c r="X23" s="10"/>
    </row>
    <row r="24" spans="1:24">
      <c r="B24" s="11"/>
      <c r="C24" s="10"/>
      <c r="D24" s="10"/>
      <c r="E24" s="10"/>
      <c r="F24" s="10"/>
      <c r="G24" s="10"/>
      <c r="H24" s="10"/>
      <c r="I24" s="10"/>
      <c r="J24" s="10"/>
      <c r="K24" s="10"/>
      <c r="L24" s="10"/>
      <c r="M24" s="10"/>
      <c r="N24" s="10"/>
      <c r="O24" s="10"/>
      <c r="P24" s="10"/>
      <c r="Q24" s="10"/>
      <c r="R24" s="10"/>
      <c r="S24" s="10"/>
      <c r="T24" s="10"/>
      <c r="U24" s="17"/>
      <c r="V24" s="10"/>
      <c r="W24" s="10"/>
      <c r="X24" s="10"/>
    </row>
    <row r="25" spans="1:24">
      <c r="B25" s="11"/>
      <c r="C25" s="10"/>
      <c r="D25" s="10"/>
      <c r="E25" s="10"/>
      <c r="F25" s="10"/>
      <c r="G25" s="10"/>
      <c r="H25" s="10"/>
      <c r="I25" s="10"/>
      <c r="J25" s="10"/>
      <c r="K25" s="10"/>
      <c r="L25" s="10"/>
      <c r="M25" s="10"/>
      <c r="N25" s="10"/>
      <c r="O25" s="10"/>
      <c r="P25" s="10"/>
      <c r="Q25" s="10"/>
      <c r="R25" s="10"/>
      <c r="S25" s="10"/>
      <c r="T25" s="10"/>
      <c r="U25" s="17"/>
      <c r="V25" s="10"/>
      <c r="W25" s="10"/>
      <c r="X25" s="10"/>
    </row>
    <row r="26" spans="1:24">
      <c r="B26" s="18" t="s">
        <v>51</v>
      </c>
      <c r="C26" s="14"/>
      <c r="D26" s="14"/>
      <c r="E26" s="14"/>
      <c r="F26" s="13" t="s">
        <v>52</v>
      </c>
      <c r="G26" s="14"/>
      <c r="H26" s="14"/>
      <c r="I26" s="14"/>
      <c r="J26" s="14"/>
      <c r="K26" s="13" t="s">
        <v>3</v>
      </c>
      <c r="L26" s="14"/>
      <c r="M26" s="14"/>
      <c r="N26" s="13" t="s">
        <v>4</v>
      </c>
      <c r="O26" s="14"/>
      <c r="P26" s="14"/>
      <c r="Q26" s="13" t="s">
        <v>5</v>
      </c>
      <c r="R26" s="14"/>
      <c r="S26" s="14"/>
      <c r="T26" s="18"/>
      <c r="U26" s="16" t="s">
        <v>53</v>
      </c>
      <c r="V26" s="77"/>
      <c r="W26" s="77"/>
      <c r="X26" s="77"/>
    </row>
    <row r="27" spans="1:24">
      <c r="B27" s="24" t="s">
        <v>54</v>
      </c>
      <c r="C27" s="21" t="s">
        <v>55</v>
      </c>
      <c r="D27" s="21" t="s">
        <v>56</v>
      </c>
      <c r="E27" s="21" t="s">
        <v>57</v>
      </c>
      <c r="F27" s="20" t="s">
        <v>58</v>
      </c>
      <c r="G27" s="21" t="s">
        <v>59</v>
      </c>
      <c r="H27" s="21" t="s">
        <v>60</v>
      </c>
      <c r="I27" s="21" t="s">
        <v>26</v>
      </c>
      <c r="J27" s="22" t="s">
        <v>61</v>
      </c>
      <c r="K27" s="21" t="s">
        <v>8</v>
      </c>
      <c r="L27" s="21" t="s">
        <v>9</v>
      </c>
      <c r="M27" s="21" t="s">
        <v>10</v>
      </c>
      <c r="N27" s="20" t="s">
        <v>11</v>
      </c>
      <c r="O27" s="21" t="s">
        <v>12</v>
      </c>
      <c r="P27" s="22" t="s">
        <v>13</v>
      </c>
      <c r="Q27" s="21" t="s">
        <v>11</v>
      </c>
      <c r="R27" s="21" t="s">
        <v>12</v>
      </c>
      <c r="S27" s="21" t="s">
        <v>13</v>
      </c>
      <c r="T27" s="78" t="s">
        <v>14</v>
      </c>
      <c r="U27" s="30"/>
      <c r="V27" s="79" t="s">
        <v>62</v>
      </c>
      <c r="W27" s="80" t="s">
        <v>63</v>
      </c>
      <c r="X27" s="81" t="s">
        <v>64</v>
      </c>
    </row>
    <row r="28" spans="1:24">
      <c r="B28" s="4" t="s">
        <v>65</v>
      </c>
      <c r="C28" s="6"/>
      <c r="D28" s="6"/>
      <c r="E28" s="6"/>
      <c r="F28" s="6"/>
      <c r="G28" s="6"/>
      <c r="H28" s="6"/>
      <c r="I28" s="82"/>
      <c r="J28" s="6"/>
      <c r="K28" s="6"/>
      <c r="L28" s="6"/>
      <c r="M28" s="6"/>
      <c r="N28" s="6"/>
      <c r="O28" s="6"/>
      <c r="P28" s="6"/>
      <c r="Q28" s="6"/>
      <c r="R28" s="6"/>
      <c r="S28" s="6"/>
      <c r="T28" s="83"/>
      <c r="U28" s="6"/>
      <c r="V28" s="84"/>
      <c r="W28" s="85"/>
      <c r="X28" s="86"/>
    </row>
    <row r="29" spans="1:24">
      <c r="B29" s="87">
        <v>1</v>
      </c>
      <c r="C29" s="274">
        <v>45932</v>
      </c>
      <c r="D29" s="327">
        <v>73852</v>
      </c>
      <c r="E29" s="276" t="s">
        <v>349</v>
      </c>
      <c r="F29" s="277">
        <v>2619</v>
      </c>
      <c r="G29" s="277">
        <f>39.7</f>
        <v>39.700000000000003</v>
      </c>
      <c r="H29" s="297"/>
      <c r="I29" s="321">
        <f t="shared" ref="I29:I33" si="7">F29-G29-H29</f>
        <v>2579.3000000000002</v>
      </c>
      <c r="J29" s="279" t="s">
        <v>156</v>
      </c>
      <c r="K29" s="279">
        <v>1</v>
      </c>
      <c r="L29" s="279">
        <v>1</v>
      </c>
      <c r="M29" s="279">
        <v>1</v>
      </c>
      <c r="N29" s="279">
        <v>1</v>
      </c>
      <c r="O29" s="279">
        <v>1</v>
      </c>
      <c r="P29" s="322">
        <v>0</v>
      </c>
      <c r="Q29" s="279">
        <v>1</v>
      </c>
      <c r="R29" s="279">
        <v>1</v>
      </c>
      <c r="S29" s="328">
        <v>0</v>
      </c>
      <c r="T29" s="63"/>
      <c r="U29" s="10"/>
      <c r="V29" s="90">
        <f>261.9+2880</f>
        <v>3141.9</v>
      </c>
      <c r="W29" s="91"/>
      <c r="X29" s="92"/>
    </row>
    <row r="30" spans="1:24">
      <c r="B30" s="87">
        <f>B29+1</f>
        <v>2</v>
      </c>
      <c r="C30" s="282">
        <v>45932</v>
      </c>
      <c r="D30" s="368" t="s">
        <v>2307</v>
      </c>
      <c r="E30" s="283" t="s">
        <v>291</v>
      </c>
      <c r="F30" s="284">
        <v>1137.5999999999999</v>
      </c>
      <c r="G30" s="284">
        <f>39.7</f>
        <v>39.700000000000003</v>
      </c>
      <c r="H30" s="284"/>
      <c r="I30" s="331">
        <f>F30-G30-H30</f>
        <v>1097.8999999999999</v>
      </c>
      <c r="J30" s="286" t="s">
        <v>156</v>
      </c>
      <c r="K30" s="286">
        <v>1</v>
      </c>
      <c r="L30" s="332">
        <v>0</v>
      </c>
      <c r="M30" s="286">
        <v>1</v>
      </c>
      <c r="N30" s="286">
        <v>1</v>
      </c>
      <c r="O30" s="286">
        <v>1</v>
      </c>
      <c r="P30" s="332">
        <v>0</v>
      </c>
      <c r="Q30" s="286">
        <v>1</v>
      </c>
      <c r="R30" s="286">
        <v>1</v>
      </c>
      <c r="S30" s="287">
        <v>1</v>
      </c>
      <c r="T30" s="63"/>
      <c r="U30" s="94" t="s">
        <v>2308</v>
      </c>
      <c r="V30" s="90">
        <f>1251.36</f>
        <v>1251.3599999999999</v>
      </c>
      <c r="W30" s="91"/>
      <c r="X30" s="92"/>
    </row>
    <row r="31" spans="1:24">
      <c r="A31" s="734">
        <v>45933</v>
      </c>
      <c r="B31" s="87">
        <f>B30+1</f>
        <v>3</v>
      </c>
      <c r="C31" s="295">
        <v>45933</v>
      </c>
      <c r="D31" s="323">
        <v>73942</v>
      </c>
      <c r="E31" s="10" t="s">
        <v>512</v>
      </c>
      <c r="F31" s="62">
        <f>1396-139.6</f>
        <v>1256.4000000000001</v>
      </c>
      <c r="G31" s="62">
        <f>39.7+(269.5+102.84)</f>
        <v>412.04</v>
      </c>
      <c r="H31" s="62"/>
      <c r="I31" s="369">
        <f>F31-G31-H31</f>
        <v>844.36000000000013</v>
      </c>
      <c r="J31" s="63" t="s">
        <v>156</v>
      </c>
      <c r="K31" s="63">
        <v>1</v>
      </c>
      <c r="L31" s="63">
        <v>1</v>
      </c>
      <c r="M31" s="63">
        <v>1</v>
      </c>
      <c r="N31" s="63">
        <v>1</v>
      </c>
      <c r="O31" s="63">
        <v>1</v>
      </c>
      <c r="P31" s="63">
        <v>1</v>
      </c>
      <c r="Q31" s="63">
        <v>1</v>
      </c>
      <c r="R31" s="63">
        <v>1</v>
      </c>
      <c r="S31" s="326">
        <v>0</v>
      </c>
      <c r="T31" s="63"/>
      <c r="U31" s="10" t="s">
        <v>2309</v>
      </c>
      <c r="V31" s="90">
        <f>139.6+1535.6</f>
        <v>1675.1999999999998</v>
      </c>
      <c r="W31" s="91"/>
      <c r="X31" s="92"/>
    </row>
    <row r="32" spans="1:24">
      <c r="B32" s="87">
        <f t="shared" ref="B32:B33" si="8">B31+1</f>
        <v>4</v>
      </c>
      <c r="C32" s="295">
        <v>45933</v>
      </c>
      <c r="D32" s="323">
        <v>73913</v>
      </c>
      <c r="E32" s="10" t="s">
        <v>395</v>
      </c>
      <c r="F32" s="62">
        <v>814</v>
      </c>
      <c r="G32" s="62">
        <f>39.7</f>
        <v>39.700000000000003</v>
      </c>
      <c r="H32" s="62"/>
      <c r="I32" s="324">
        <f t="shared" si="7"/>
        <v>774.3</v>
      </c>
      <c r="J32" s="63" t="s">
        <v>156</v>
      </c>
      <c r="K32" s="63">
        <v>1</v>
      </c>
      <c r="L32" s="63">
        <v>1</v>
      </c>
      <c r="M32" s="63">
        <v>1</v>
      </c>
      <c r="N32" s="325">
        <v>0</v>
      </c>
      <c r="O32" s="325">
        <v>0</v>
      </c>
      <c r="P32" s="325">
        <v>0</v>
      </c>
      <c r="Q32" s="63">
        <v>1</v>
      </c>
      <c r="R32" s="63">
        <v>1</v>
      </c>
      <c r="S32" s="326">
        <v>0</v>
      </c>
      <c r="T32" s="94" t="s">
        <v>2310</v>
      </c>
      <c r="U32" s="10"/>
      <c r="V32" s="90">
        <f>81.4+814</f>
        <v>895.4</v>
      </c>
      <c r="W32" s="91"/>
      <c r="X32" s="92"/>
    </row>
    <row r="33" spans="1:24">
      <c r="A33" s="464">
        <v>45937</v>
      </c>
      <c r="B33" s="87">
        <f t="shared" si="8"/>
        <v>5</v>
      </c>
      <c r="C33" s="282">
        <v>45933</v>
      </c>
      <c r="D33" s="368">
        <v>74012</v>
      </c>
      <c r="E33" s="441" t="s">
        <v>395</v>
      </c>
      <c r="F33" s="284">
        <f>1024.2-102</f>
        <v>922.2</v>
      </c>
      <c r="G33" s="284">
        <f>39.7</f>
        <v>39.700000000000003</v>
      </c>
      <c r="H33" s="284"/>
      <c r="I33" s="331">
        <f t="shared" si="7"/>
        <v>882.5</v>
      </c>
      <c r="J33" s="286" t="s">
        <v>156</v>
      </c>
      <c r="K33" s="286">
        <v>1</v>
      </c>
      <c r="L33" s="286">
        <v>1</v>
      </c>
      <c r="M33" s="286">
        <v>1</v>
      </c>
      <c r="N33" s="286">
        <v>1</v>
      </c>
      <c r="O33" s="286">
        <v>1</v>
      </c>
      <c r="P33" s="332">
        <v>0</v>
      </c>
      <c r="Q33" s="332">
        <v>0</v>
      </c>
      <c r="R33" s="332">
        <v>0</v>
      </c>
      <c r="S33" s="370">
        <v>0</v>
      </c>
      <c r="T33" s="21">
        <v>1</v>
      </c>
      <c r="U33" s="10" t="s">
        <v>2311</v>
      </c>
      <c r="V33" s="90">
        <f>102+1126.62</f>
        <v>1228.6199999999999</v>
      </c>
      <c r="W33" s="91"/>
      <c r="X33" s="92"/>
    </row>
    <row r="34" spans="1:24">
      <c r="B34" s="87"/>
      <c r="C34" s="36"/>
      <c r="D34" s="10"/>
      <c r="E34" s="10"/>
      <c r="F34" s="97">
        <f>SUM(F29:F33)</f>
        <v>6749.2</v>
      </c>
      <c r="G34" s="97">
        <f>SUM(G29:G33)</f>
        <v>570.84000000000015</v>
      </c>
      <c r="H34" s="97">
        <f>SUM(H29:H33)</f>
        <v>0</v>
      </c>
      <c r="I34" s="98">
        <f>SUM(I29:I33)</f>
        <v>6178.36</v>
      </c>
      <c r="J34" s="63"/>
      <c r="K34" s="63">
        <f>COUNT(K29:K33)</f>
        <v>5</v>
      </c>
      <c r="L34" s="63">
        <f>COUNT(L29:L33)</f>
        <v>5</v>
      </c>
      <c r="M34" s="63">
        <f>COUNT(M29:M33)</f>
        <v>5</v>
      </c>
      <c r="N34" s="63">
        <f>COUNT(N29:N33)</f>
        <v>5</v>
      </c>
      <c r="O34" s="63">
        <f>COUNT(O29:O33)</f>
        <v>5</v>
      </c>
      <c r="P34" s="63">
        <f>COUNT(P29:P33)</f>
        <v>5</v>
      </c>
      <c r="Q34" s="63">
        <f>COUNT(Q29:Q33)</f>
        <v>5</v>
      </c>
      <c r="R34" s="63">
        <f>COUNT(R29:R33)</f>
        <v>5</v>
      </c>
      <c r="S34" s="63">
        <f>COUNT(S29:S33)</f>
        <v>5</v>
      </c>
      <c r="T34" s="63"/>
      <c r="U34" s="10"/>
      <c r="V34" s="90"/>
      <c r="W34" s="91"/>
      <c r="X34" s="92"/>
    </row>
    <row r="35" spans="1:24">
      <c r="B35" s="87"/>
      <c r="C35" s="36"/>
      <c r="D35" s="10"/>
      <c r="E35" s="10"/>
      <c r="F35" s="88"/>
      <c r="G35" s="88"/>
      <c r="H35" s="88"/>
      <c r="I35" s="99"/>
      <c r="J35" s="63"/>
      <c r="K35" s="21">
        <f>SUM(K29:K33)</f>
        <v>5</v>
      </c>
      <c r="L35" s="21">
        <f>SUM(L29:L33)</f>
        <v>4</v>
      </c>
      <c r="M35" s="21">
        <f>SUM(M29:M33)</f>
        <v>5</v>
      </c>
      <c r="N35" s="21">
        <f>SUM(N29:N33)</f>
        <v>4</v>
      </c>
      <c r="O35" s="21">
        <f>SUM(O29:O33)</f>
        <v>4</v>
      </c>
      <c r="P35" s="21">
        <f>SUM(P29:P33)</f>
        <v>1</v>
      </c>
      <c r="Q35" s="21">
        <f>SUM(Q29:Q33)</f>
        <v>4</v>
      </c>
      <c r="R35" s="21">
        <f>SUM(R29:R33)</f>
        <v>4</v>
      </c>
      <c r="S35" s="21">
        <f>SUM(S29:S33)</f>
        <v>1</v>
      </c>
      <c r="T35" s="63"/>
      <c r="U35" s="10"/>
      <c r="V35" s="90"/>
      <c r="W35" s="91"/>
      <c r="X35" s="92"/>
    </row>
    <row r="36" spans="1:24">
      <c r="B36" s="11"/>
      <c r="C36" s="609"/>
      <c r="D36" s="10"/>
      <c r="E36" s="10"/>
      <c r="F36" s="88"/>
      <c r="G36" s="88"/>
      <c r="H36" s="88"/>
      <c r="I36" s="99"/>
      <c r="J36" s="63"/>
      <c r="K36" s="21"/>
      <c r="L36" s="21"/>
      <c r="M36" s="21"/>
      <c r="N36" s="21"/>
      <c r="O36" s="21"/>
      <c r="P36" s="21"/>
      <c r="Q36" s="21"/>
      <c r="R36" s="21"/>
      <c r="S36" s="21"/>
      <c r="T36" s="63"/>
      <c r="U36" s="94"/>
      <c r="V36" s="90"/>
      <c r="W36" s="91"/>
      <c r="X36" s="92"/>
    </row>
    <row r="37" spans="1:24">
      <c r="B37" s="121" t="s">
        <v>68</v>
      </c>
      <c r="C37" s="611"/>
      <c r="D37" s="123"/>
      <c r="E37" s="123"/>
      <c r="F37" s="124"/>
      <c r="G37" s="125"/>
      <c r="H37" s="124"/>
      <c r="I37" s="126"/>
      <c r="J37" s="127"/>
      <c r="K37" s="128"/>
      <c r="L37" s="128"/>
      <c r="M37" s="128"/>
      <c r="N37" s="128"/>
      <c r="O37" s="128"/>
      <c r="P37" s="128"/>
      <c r="Q37" s="128"/>
      <c r="R37" s="128"/>
      <c r="S37" s="128"/>
      <c r="T37" s="127"/>
      <c r="U37" s="123"/>
      <c r="V37" s="129"/>
      <c r="W37" s="130"/>
      <c r="X37" s="131"/>
    </row>
    <row r="38" spans="1:24" s="342" customFormat="1">
      <c r="A38" s="492">
        <v>0.05</v>
      </c>
      <c r="B38" s="333">
        <v>1</v>
      </c>
      <c r="C38" s="334">
        <v>45932</v>
      </c>
      <c r="D38" s="327" t="s">
        <v>2312</v>
      </c>
      <c r="E38" s="335" t="s">
        <v>291</v>
      </c>
      <c r="F38" s="336">
        <v>1138</v>
      </c>
      <c r="G38" s="336">
        <f>39.7+(23.85)</f>
        <v>63.550000000000004</v>
      </c>
      <c r="H38" s="336"/>
      <c r="I38" s="337">
        <f t="shared" ref="I38" si="9">F38-G38-H38</f>
        <v>1074.45</v>
      </c>
      <c r="J38" s="338" t="s">
        <v>156</v>
      </c>
      <c r="K38" s="338">
        <v>1</v>
      </c>
      <c r="L38" s="322">
        <v>0</v>
      </c>
      <c r="M38" s="338">
        <v>1</v>
      </c>
      <c r="N38" s="338">
        <v>1</v>
      </c>
      <c r="O38" s="338">
        <v>1</v>
      </c>
      <c r="P38" s="322">
        <v>0</v>
      </c>
      <c r="Q38" s="338">
        <v>1</v>
      </c>
      <c r="R38" s="338">
        <v>1</v>
      </c>
      <c r="S38" s="339">
        <v>1</v>
      </c>
      <c r="T38" s="127"/>
      <c r="U38" s="135"/>
      <c r="V38" s="129">
        <f>113+113.76</f>
        <v>226.76</v>
      </c>
      <c r="W38" s="130"/>
      <c r="X38" s="131"/>
    </row>
    <row r="39" spans="1:24" s="342" customFormat="1">
      <c r="A39" s="492">
        <v>0.05</v>
      </c>
      <c r="B39" s="333">
        <f>B38+1</f>
        <v>2</v>
      </c>
      <c r="C39" s="395">
        <v>45932</v>
      </c>
      <c r="D39" s="368">
        <v>73943</v>
      </c>
      <c r="E39" s="454" t="s">
        <v>245</v>
      </c>
      <c r="F39" s="397">
        <v>1138</v>
      </c>
      <c r="G39" s="397">
        <f>39.7+(82.81)</f>
        <v>122.51</v>
      </c>
      <c r="H39" s="397"/>
      <c r="I39" s="398">
        <f t="shared" ref="I39" si="10">F39-G39-H39</f>
        <v>1015.49</v>
      </c>
      <c r="J39" s="399" t="s">
        <v>156</v>
      </c>
      <c r="K39" s="399">
        <v>1</v>
      </c>
      <c r="L39" s="399">
        <v>1</v>
      </c>
      <c r="M39" s="399">
        <v>1</v>
      </c>
      <c r="N39" s="399">
        <v>1</v>
      </c>
      <c r="O39" s="399">
        <v>1</v>
      </c>
      <c r="P39" s="332">
        <v>0</v>
      </c>
      <c r="Q39" s="332">
        <v>0</v>
      </c>
      <c r="R39" s="332">
        <v>0</v>
      </c>
      <c r="S39" s="370">
        <v>0</v>
      </c>
      <c r="T39" s="64">
        <v>1</v>
      </c>
      <c r="U39" s="123"/>
      <c r="V39" s="129">
        <f>125.1</f>
        <v>125.1</v>
      </c>
      <c r="W39" s="130"/>
      <c r="X39" s="131"/>
    </row>
    <row r="40" spans="1:24">
      <c r="B40" s="132"/>
      <c r="C40" s="36"/>
      <c r="D40" s="123"/>
      <c r="E40" s="123"/>
      <c r="F40" s="134">
        <f>SUM(F38:F39)</f>
        <v>2276</v>
      </c>
      <c r="G40" s="134">
        <f>SUM(G38:G39)</f>
        <v>186.06</v>
      </c>
      <c r="H40" s="134">
        <f>SUM(H38:H39)</f>
        <v>0</v>
      </c>
      <c r="I40" s="134">
        <f>SUM(I38:I39)</f>
        <v>2089.94</v>
      </c>
      <c r="J40" s="127"/>
      <c r="K40" s="64"/>
      <c r="L40" s="64"/>
      <c r="M40" s="64"/>
      <c r="N40" s="64"/>
      <c r="O40" s="64"/>
      <c r="P40" s="64"/>
      <c r="Q40" s="64"/>
      <c r="R40" s="64"/>
      <c r="S40" s="64"/>
      <c r="T40" s="127"/>
      <c r="U40" s="123"/>
      <c r="V40" s="129"/>
      <c r="W40" s="130"/>
      <c r="X40" s="131"/>
    </row>
    <row r="41" spans="1:24">
      <c r="B41" s="11"/>
      <c r="C41" s="36"/>
      <c r="D41" s="10"/>
      <c r="E41" s="10"/>
      <c r="F41" s="88"/>
      <c r="G41" s="88"/>
      <c r="H41" s="88"/>
      <c r="I41" s="99"/>
      <c r="J41" s="63"/>
      <c r="K41" s="21"/>
      <c r="L41" s="21"/>
      <c r="M41" s="21"/>
      <c r="N41" s="21"/>
      <c r="O41" s="21"/>
      <c r="P41" s="21"/>
      <c r="Q41" s="21"/>
      <c r="R41" s="21"/>
      <c r="S41" s="21"/>
      <c r="T41" s="63"/>
      <c r="U41" s="94"/>
      <c r="V41" s="90"/>
      <c r="W41" s="91"/>
      <c r="X41" s="92"/>
    </row>
    <row r="42" spans="1:24">
      <c r="B42" s="121" t="s">
        <v>70</v>
      </c>
      <c r="C42" s="36"/>
      <c r="D42" s="123"/>
      <c r="E42" s="128"/>
      <c r="F42" s="124"/>
      <c r="G42" s="124"/>
      <c r="H42" s="124"/>
      <c r="I42" s="126"/>
      <c r="J42" s="127"/>
      <c r="K42" s="64"/>
      <c r="L42" s="64"/>
      <c r="M42" s="64"/>
      <c r="N42" s="64"/>
      <c r="O42" s="64"/>
      <c r="P42" s="64"/>
      <c r="Q42" s="64"/>
      <c r="R42" s="64"/>
      <c r="S42" s="64"/>
      <c r="T42" s="127"/>
      <c r="U42" s="135"/>
      <c r="V42" s="129"/>
      <c r="W42" s="130"/>
      <c r="X42" s="131"/>
    </row>
    <row r="43" spans="1:24" s="342" customFormat="1">
      <c r="A43" s="491" t="s">
        <v>2313</v>
      </c>
      <c r="B43" s="333">
        <v>1</v>
      </c>
      <c r="C43" s="350">
        <v>45933</v>
      </c>
      <c r="D43" s="263">
        <v>73995</v>
      </c>
      <c r="E43" s="358" t="s">
        <v>635</v>
      </c>
      <c r="F43" s="352">
        <v>1138</v>
      </c>
      <c r="G43" s="352">
        <f>39.7+398</f>
        <v>437.7</v>
      </c>
      <c r="H43" s="352"/>
      <c r="I43" s="353">
        <f>F43-G43-H43</f>
        <v>700.3</v>
      </c>
      <c r="J43" s="354" t="s">
        <v>156</v>
      </c>
      <c r="K43" s="354">
        <v>1</v>
      </c>
      <c r="L43" s="354">
        <v>1</v>
      </c>
      <c r="M43" s="354">
        <v>1</v>
      </c>
      <c r="N43" s="354">
        <v>1</v>
      </c>
      <c r="O43" s="354">
        <v>1</v>
      </c>
      <c r="P43" s="314">
        <v>0</v>
      </c>
      <c r="Q43" s="354">
        <v>0</v>
      </c>
      <c r="R43" s="354">
        <v>0</v>
      </c>
      <c r="S43" s="355">
        <v>0</v>
      </c>
      <c r="T43" s="127"/>
      <c r="U43" s="135"/>
      <c r="V43" s="129">
        <f>118.8</f>
        <v>118.8</v>
      </c>
      <c r="W43" s="340"/>
      <c r="X43" s="341"/>
    </row>
    <row r="44" spans="1:24">
      <c r="B44" s="132"/>
      <c r="C44" s="36"/>
      <c r="D44" s="123"/>
      <c r="E44" s="123"/>
      <c r="F44" s="134">
        <f>SUM(F43:F43)</f>
        <v>1138</v>
      </c>
      <c r="G44" s="134">
        <f>SUM(G43:G43)</f>
        <v>437.7</v>
      </c>
      <c r="H44" s="134">
        <f>SUM(H43:H43)</f>
        <v>0</v>
      </c>
      <c r="I44" s="134">
        <f>SUM(I43:I43)</f>
        <v>700.3</v>
      </c>
      <c r="J44" s="127"/>
      <c r="K44" s="64"/>
      <c r="L44" s="64"/>
      <c r="M44" s="64"/>
      <c r="N44" s="64"/>
      <c r="O44" s="64"/>
      <c r="P44" s="64"/>
      <c r="Q44" s="64"/>
      <c r="R44" s="64"/>
      <c r="S44" s="64"/>
      <c r="T44" s="127"/>
      <c r="U44" s="135"/>
      <c r="V44" s="129"/>
      <c r="W44" s="130"/>
      <c r="X44" s="131"/>
    </row>
    <row r="45" spans="1:24">
      <c r="B45" s="11"/>
      <c r="C45" s="36"/>
      <c r="D45" s="10"/>
      <c r="E45" s="10"/>
      <c r="F45" s="88"/>
      <c r="G45" s="88"/>
      <c r="H45" s="88"/>
      <c r="I45" s="99"/>
      <c r="J45" s="63"/>
      <c r="K45" s="21"/>
      <c r="L45" s="21"/>
      <c r="M45" s="21"/>
      <c r="N45" s="21"/>
      <c r="O45" s="21"/>
      <c r="P45" s="21"/>
      <c r="Q45" s="21"/>
      <c r="R45" s="21"/>
      <c r="S45" s="21"/>
      <c r="T45" s="63"/>
      <c r="U45" s="94"/>
      <c r="V45" s="90"/>
      <c r="W45" s="91"/>
      <c r="X45" s="92"/>
    </row>
    <row r="46" spans="1:24">
      <c r="B46" s="100" t="s">
        <v>72</v>
      </c>
      <c r="C46" s="36"/>
      <c r="D46" s="10"/>
      <c r="E46" s="10"/>
      <c r="F46" s="88"/>
      <c r="G46" s="88"/>
      <c r="H46" s="88"/>
      <c r="I46" s="99"/>
      <c r="J46" s="63"/>
      <c r="K46" s="63"/>
      <c r="L46" s="63"/>
      <c r="M46" s="63"/>
      <c r="N46" s="63"/>
      <c r="O46" s="63"/>
      <c r="P46" s="63"/>
      <c r="Q46" s="63"/>
      <c r="R46" s="63"/>
      <c r="S46" s="63"/>
      <c r="T46" s="63"/>
      <c r="U46" s="10"/>
      <c r="V46" s="90"/>
      <c r="W46" s="91"/>
      <c r="X46" s="92"/>
    </row>
    <row r="47" spans="1:24">
      <c r="B47" s="87">
        <v>1</v>
      </c>
      <c r="C47" s="274">
        <v>45932</v>
      </c>
      <c r="D47" s="276">
        <v>73849</v>
      </c>
      <c r="E47" s="276" t="s">
        <v>787</v>
      </c>
      <c r="F47" s="277">
        <v>681</v>
      </c>
      <c r="G47" s="277"/>
      <c r="H47" s="277"/>
      <c r="I47" s="278">
        <f t="shared" ref="I47:I54" si="11">F47-G47-H47</f>
        <v>681</v>
      </c>
      <c r="J47" s="279" t="s">
        <v>205</v>
      </c>
      <c r="K47" s="279">
        <v>1</v>
      </c>
      <c r="L47" s="279"/>
      <c r="M47" s="279"/>
      <c r="N47" s="279">
        <v>1</v>
      </c>
      <c r="O47" s="279"/>
      <c r="P47" s="279"/>
      <c r="Q47" s="279">
        <v>1</v>
      </c>
      <c r="R47" s="279">
        <v>1</v>
      </c>
      <c r="S47" s="280">
        <v>1</v>
      </c>
      <c r="T47" s="63"/>
      <c r="U47" s="3"/>
      <c r="V47" s="90"/>
      <c r="W47" s="91"/>
      <c r="X47" s="92"/>
    </row>
    <row r="48" spans="1:24">
      <c r="B48" s="87">
        <f t="shared" ref="B48:B54" si="12">B47+1</f>
        <v>2</v>
      </c>
      <c r="C48" s="295">
        <v>45932</v>
      </c>
      <c r="D48" s="10">
        <v>73933</v>
      </c>
      <c r="E48" s="10" t="s">
        <v>563</v>
      </c>
      <c r="F48" s="62">
        <v>2574.9</v>
      </c>
      <c r="G48" s="62">
        <v>39.700000000000003</v>
      </c>
      <c r="H48" s="62"/>
      <c r="I48" s="89">
        <f t="shared" si="11"/>
        <v>2535.2000000000003</v>
      </c>
      <c r="J48" s="63" t="s">
        <v>205</v>
      </c>
      <c r="K48" s="63">
        <v>1</v>
      </c>
      <c r="L48" s="63"/>
      <c r="M48" s="63"/>
      <c r="N48" s="63">
        <v>1</v>
      </c>
      <c r="O48" s="63"/>
      <c r="P48" s="63"/>
      <c r="Q48" s="63">
        <v>1</v>
      </c>
      <c r="R48" s="63">
        <v>1</v>
      </c>
      <c r="S48" s="296">
        <v>1</v>
      </c>
      <c r="T48" s="63"/>
      <c r="U48" s="10"/>
      <c r="V48" s="90"/>
      <c r="W48" s="136"/>
      <c r="X48" s="137"/>
    </row>
    <row r="49" spans="2:24">
      <c r="B49" s="87">
        <f t="shared" si="12"/>
        <v>3</v>
      </c>
      <c r="C49" s="295">
        <v>45932</v>
      </c>
      <c r="D49" s="10" t="s">
        <v>2314</v>
      </c>
      <c r="E49" s="10" t="s">
        <v>349</v>
      </c>
      <c r="F49" s="62">
        <v>1409</v>
      </c>
      <c r="G49" s="62"/>
      <c r="H49" s="62"/>
      <c r="I49" s="89">
        <f t="shared" si="11"/>
        <v>1409</v>
      </c>
      <c r="J49" s="63" t="s">
        <v>205</v>
      </c>
      <c r="K49" s="63">
        <v>1</v>
      </c>
      <c r="L49" s="63"/>
      <c r="M49" s="63"/>
      <c r="N49" s="63">
        <v>1</v>
      </c>
      <c r="O49" s="63"/>
      <c r="P49" s="63"/>
      <c r="Q49" s="63"/>
      <c r="R49" s="63"/>
      <c r="S49" s="296"/>
      <c r="T49" s="63"/>
      <c r="U49" s="10"/>
      <c r="V49" s="90"/>
      <c r="W49" s="136"/>
      <c r="X49" s="137"/>
    </row>
    <row r="50" spans="2:24">
      <c r="B50" s="87">
        <f t="shared" si="12"/>
        <v>4</v>
      </c>
      <c r="C50" s="295">
        <v>45932</v>
      </c>
      <c r="D50" s="10">
        <v>73970</v>
      </c>
      <c r="E50" s="10" t="s">
        <v>515</v>
      </c>
      <c r="F50" s="62">
        <v>6214</v>
      </c>
      <c r="G50" s="62">
        <v>39.700000000000003</v>
      </c>
      <c r="H50" s="62"/>
      <c r="I50" s="89">
        <f t="shared" si="11"/>
        <v>6174.3</v>
      </c>
      <c r="J50" s="63" t="s">
        <v>205</v>
      </c>
      <c r="K50" s="63">
        <v>1</v>
      </c>
      <c r="L50" s="63"/>
      <c r="M50" s="63"/>
      <c r="N50" s="63">
        <v>1</v>
      </c>
      <c r="O50" s="63"/>
      <c r="P50" s="63"/>
      <c r="Q50" s="63"/>
      <c r="R50" s="63"/>
      <c r="S50" s="296"/>
      <c r="T50" s="63"/>
      <c r="U50" s="10"/>
      <c r="V50" s="90"/>
      <c r="W50" s="136"/>
      <c r="X50" s="137"/>
    </row>
    <row r="51" spans="2:24">
      <c r="B51" s="87">
        <f>B50+1</f>
        <v>5</v>
      </c>
      <c r="C51" s="274">
        <v>45933</v>
      </c>
      <c r="D51" s="276" t="s">
        <v>2315</v>
      </c>
      <c r="E51" s="281" t="s">
        <v>291</v>
      </c>
      <c r="F51" s="277">
        <v>2276</v>
      </c>
      <c r="G51" s="277">
        <v>39.700000000000003</v>
      </c>
      <c r="H51" s="277"/>
      <c r="I51" s="278">
        <f t="shared" si="11"/>
        <v>2236.3000000000002</v>
      </c>
      <c r="J51" s="279" t="s">
        <v>205</v>
      </c>
      <c r="K51" s="279">
        <v>1</v>
      </c>
      <c r="L51" s="279"/>
      <c r="M51" s="279"/>
      <c r="N51" s="279">
        <v>1</v>
      </c>
      <c r="O51" s="279"/>
      <c r="P51" s="279"/>
      <c r="Q51" s="279">
        <v>1</v>
      </c>
      <c r="R51" s="279">
        <v>1</v>
      </c>
      <c r="S51" s="280">
        <v>1</v>
      </c>
      <c r="T51" s="63"/>
      <c r="U51" s="10"/>
      <c r="V51" s="90"/>
      <c r="W51" s="136"/>
      <c r="X51" s="137"/>
    </row>
    <row r="52" spans="2:24">
      <c r="B52" s="87">
        <f t="shared" si="12"/>
        <v>6</v>
      </c>
      <c r="C52" s="295">
        <v>45933</v>
      </c>
      <c r="D52" s="10" t="s">
        <v>2316</v>
      </c>
      <c r="E52" s="101" t="s">
        <v>291</v>
      </c>
      <c r="F52" s="62">
        <v>0</v>
      </c>
      <c r="G52" s="62">
        <v>0</v>
      </c>
      <c r="H52" s="62"/>
      <c r="I52" s="89">
        <f t="shared" si="11"/>
        <v>0</v>
      </c>
      <c r="J52" s="63" t="s">
        <v>205</v>
      </c>
      <c r="K52" s="63">
        <v>1</v>
      </c>
      <c r="L52" s="63"/>
      <c r="M52" s="63"/>
      <c r="N52" s="63"/>
      <c r="O52" s="63"/>
      <c r="P52" s="63"/>
      <c r="Q52" s="63">
        <v>1</v>
      </c>
      <c r="R52" s="63">
        <v>1</v>
      </c>
      <c r="S52" s="296">
        <v>1</v>
      </c>
      <c r="T52" s="63"/>
      <c r="U52" s="10"/>
      <c r="V52" s="90"/>
      <c r="W52" s="136"/>
      <c r="X52" s="137"/>
    </row>
    <row r="53" spans="2:24">
      <c r="B53" s="87">
        <f t="shared" si="12"/>
        <v>7</v>
      </c>
      <c r="C53" s="295">
        <v>45933</v>
      </c>
      <c r="D53" s="10">
        <v>73999</v>
      </c>
      <c r="E53" s="101" t="s">
        <v>507</v>
      </c>
      <c r="F53" s="62">
        <v>5232.6000000000004</v>
      </c>
      <c r="G53" s="62"/>
      <c r="H53" s="62"/>
      <c r="I53" s="89">
        <f t="shared" si="11"/>
        <v>5232.6000000000004</v>
      </c>
      <c r="J53" s="63" t="s">
        <v>205</v>
      </c>
      <c r="K53" s="63">
        <v>1</v>
      </c>
      <c r="L53" s="63"/>
      <c r="M53" s="63"/>
      <c r="N53" s="63">
        <v>1</v>
      </c>
      <c r="O53" s="63"/>
      <c r="P53" s="63"/>
      <c r="Q53" s="63">
        <v>1</v>
      </c>
      <c r="R53" s="63">
        <v>1</v>
      </c>
      <c r="S53" s="296">
        <v>1</v>
      </c>
      <c r="T53" s="63"/>
      <c r="U53" s="10"/>
      <c r="V53" s="90"/>
      <c r="W53" s="136"/>
      <c r="X53" s="137"/>
    </row>
    <row r="54" spans="2:24">
      <c r="B54" s="87">
        <f t="shared" si="12"/>
        <v>8</v>
      </c>
      <c r="C54" s="282">
        <v>45933</v>
      </c>
      <c r="D54" s="283">
        <v>74011</v>
      </c>
      <c r="E54" s="319" t="s">
        <v>654</v>
      </c>
      <c r="F54" s="284">
        <v>0</v>
      </c>
      <c r="G54" s="284">
        <v>0</v>
      </c>
      <c r="H54" s="284"/>
      <c r="I54" s="285">
        <f t="shared" si="11"/>
        <v>0</v>
      </c>
      <c r="J54" s="286" t="s">
        <v>205</v>
      </c>
      <c r="K54" s="286">
        <v>1</v>
      </c>
      <c r="L54" s="286"/>
      <c r="M54" s="286"/>
      <c r="N54" s="286"/>
      <c r="O54" s="286"/>
      <c r="P54" s="286"/>
      <c r="Q54" s="286">
        <v>1</v>
      </c>
      <c r="R54" s="286">
        <v>1</v>
      </c>
      <c r="S54" s="287"/>
      <c r="T54" s="21">
        <v>2</v>
      </c>
      <c r="U54" s="10"/>
      <c r="V54" s="90"/>
      <c r="W54" s="136"/>
      <c r="X54" s="137"/>
    </row>
    <row r="55" spans="2:24">
      <c r="B55" s="11"/>
      <c r="C55" s="36"/>
      <c r="D55" s="10"/>
      <c r="E55" s="10"/>
      <c r="F55" s="97">
        <f>SUM(F47:F54)</f>
        <v>18387.5</v>
      </c>
      <c r="G55" s="97">
        <f>SUM(G47:G54)</f>
        <v>119.10000000000001</v>
      </c>
      <c r="H55" s="97">
        <f>SUM(H47:H54)</f>
        <v>0</v>
      </c>
      <c r="I55" s="98">
        <f>SUM(I47:I54)</f>
        <v>18268.400000000001</v>
      </c>
      <c r="J55" s="10"/>
      <c r="K55" s="10"/>
      <c r="L55" s="10"/>
      <c r="M55" s="10"/>
      <c r="N55" s="10"/>
      <c r="O55" s="10"/>
      <c r="P55" s="10"/>
      <c r="Q55" s="10"/>
      <c r="R55" s="10"/>
      <c r="S55" s="10"/>
      <c r="T55" s="63"/>
      <c r="U55" s="10"/>
      <c r="V55" s="138"/>
      <c r="W55" s="136"/>
      <c r="X55" s="137"/>
    </row>
    <row r="56" spans="2:24">
      <c r="B56" s="26"/>
      <c r="C56" s="612"/>
      <c r="D56" s="141"/>
      <c r="E56" s="141"/>
      <c r="F56" s="141"/>
      <c r="G56" s="141"/>
      <c r="H56" s="141"/>
      <c r="I56" s="141"/>
      <c r="J56" s="141"/>
      <c r="K56" s="142"/>
      <c r="L56" s="142"/>
      <c r="M56" s="142"/>
      <c r="N56" s="142"/>
      <c r="O56" s="142"/>
      <c r="P56" s="142"/>
      <c r="Q56" s="142"/>
      <c r="R56" s="142"/>
      <c r="S56" s="142"/>
      <c r="T56" s="143">
        <f>SUM(T28:T55)</f>
        <v>4</v>
      </c>
      <c r="U56" s="141"/>
      <c r="V56" s="144">
        <f>SUM(V28:V55)</f>
        <v>8663.14</v>
      </c>
      <c r="W56" s="144">
        <f>SUM(W28:W55)</f>
        <v>0</v>
      </c>
      <c r="X56" s="144">
        <f>SUM(X28:X55)</f>
        <v>0</v>
      </c>
    </row>
    <row r="57" spans="2:24">
      <c r="B57" s="10"/>
      <c r="C57" s="36"/>
      <c r="D57" s="10"/>
      <c r="E57" s="10"/>
      <c r="F57" s="10"/>
      <c r="G57" s="10"/>
      <c r="H57" s="10"/>
      <c r="I57" s="10"/>
      <c r="J57" s="10"/>
      <c r="K57" s="147"/>
      <c r="L57" s="147"/>
      <c r="M57" s="147"/>
      <c r="N57" s="147"/>
      <c r="O57" s="147"/>
      <c r="P57" s="147"/>
      <c r="Q57" s="147"/>
      <c r="R57" s="147"/>
      <c r="S57" s="147"/>
      <c r="T57" s="21"/>
      <c r="U57" s="10"/>
      <c r="V57" s="99"/>
      <c r="W57" s="99"/>
      <c r="X57" s="99"/>
    </row>
    <row r="59" spans="2:24">
      <c r="B59" s="4" t="s">
        <v>1</v>
      </c>
      <c r="C59" s="5"/>
      <c r="D59" s="6"/>
      <c r="E59" s="6"/>
      <c r="F59" s="7" t="s">
        <v>2</v>
      </c>
      <c r="G59" s="608">
        <v>45942</v>
      </c>
      <c r="H59" s="7"/>
      <c r="I59" s="6"/>
      <c r="J59" s="6"/>
      <c r="K59" s="6"/>
      <c r="L59" s="6"/>
      <c r="M59" s="6"/>
      <c r="N59" s="6"/>
      <c r="O59" s="6"/>
      <c r="P59" s="6"/>
      <c r="Q59" s="6"/>
      <c r="R59" s="6"/>
      <c r="S59" s="6"/>
      <c r="T59" s="6"/>
      <c r="U59" s="9"/>
      <c r="V59" s="10"/>
      <c r="W59" s="10"/>
      <c r="X59" s="10"/>
    </row>
    <row r="60" spans="2:24">
      <c r="B60" s="11"/>
      <c r="C60" s="10"/>
      <c r="D60" s="10"/>
      <c r="E60" s="10"/>
      <c r="F60" s="10"/>
      <c r="G60" s="7"/>
      <c r="H60" s="12"/>
      <c r="I60" s="10"/>
      <c r="J60" s="10"/>
      <c r="K60" s="13" t="s">
        <v>3</v>
      </c>
      <c r="L60" s="14"/>
      <c r="M60" s="15"/>
      <c r="N60" s="13" t="s">
        <v>4</v>
      </c>
      <c r="O60" s="14"/>
      <c r="P60" s="15"/>
      <c r="Q60" s="13" t="s">
        <v>5</v>
      </c>
      <c r="R60" s="14"/>
      <c r="S60" s="15"/>
      <c r="T60" s="16"/>
      <c r="U60" s="17"/>
      <c r="V60" s="10"/>
      <c r="W60" s="10"/>
      <c r="X60" s="10"/>
    </row>
    <row r="61" spans="2:24">
      <c r="B61" s="18" t="s">
        <v>6</v>
      </c>
      <c r="C61" s="19">
        <f>C62+C63</f>
        <v>3</v>
      </c>
      <c r="D61" s="10"/>
      <c r="E61" s="18" t="s">
        <v>7</v>
      </c>
      <c r="F61" s="6"/>
      <c r="G61" s="9"/>
      <c r="H61" s="10"/>
      <c r="I61" s="10"/>
      <c r="J61" s="10"/>
      <c r="K61" s="20" t="s">
        <v>8</v>
      </c>
      <c r="L61" s="21" t="s">
        <v>9</v>
      </c>
      <c r="M61" s="21" t="s">
        <v>10</v>
      </c>
      <c r="N61" s="20" t="s">
        <v>11</v>
      </c>
      <c r="O61" s="21" t="s">
        <v>12</v>
      </c>
      <c r="P61" s="22" t="s">
        <v>13</v>
      </c>
      <c r="Q61" s="21" t="s">
        <v>11</v>
      </c>
      <c r="R61" s="21" t="s">
        <v>12</v>
      </c>
      <c r="S61" s="22" t="s">
        <v>13</v>
      </c>
      <c r="T61" s="23" t="s">
        <v>14</v>
      </c>
      <c r="U61" s="17"/>
      <c r="V61" s="10"/>
      <c r="W61" s="10"/>
      <c r="X61" s="10"/>
    </row>
    <row r="62" spans="2:24">
      <c r="B62" s="24" t="s">
        <v>15</v>
      </c>
      <c r="C62" s="25">
        <f>P69</f>
        <v>2</v>
      </c>
      <c r="D62" s="10"/>
      <c r="E62" s="26" t="s">
        <v>16</v>
      </c>
      <c r="F62" s="27">
        <v>0.05</v>
      </c>
      <c r="G62" s="28"/>
      <c r="H62" s="10"/>
      <c r="I62" s="10"/>
      <c r="J62" s="18" t="s">
        <v>17</v>
      </c>
      <c r="K62" s="29">
        <f>K89</f>
        <v>2</v>
      </c>
      <c r="L62" s="29">
        <f t="shared" ref="L62:S62" si="13">L89</f>
        <v>2</v>
      </c>
      <c r="M62" s="29">
        <f t="shared" si="13"/>
        <v>2</v>
      </c>
      <c r="N62" s="29">
        <f t="shared" si="13"/>
        <v>2</v>
      </c>
      <c r="O62" s="29">
        <f t="shared" si="13"/>
        <v>2</v>
      </c>
      <c r="P62" s="29">
        <f t="shared" si="13"/>
        <v>0</v>
      </c>
      <c r="Q62" s="29">
        <f t="shared" si="13"/>
        <v>1</v>
      </c>
      <c r="R62" s="29">
        <f t="shared" si="13"/>
        <v>1</v>
      </c>
      <c r="S62" s="29">
        <f t="shared" si="13"/>
        <v>0</v>
      </c>
      <c r="T62" s="30">
        <f>T100</f>
        <v>1</v>
      </c>
      <c r="U62" s="17"/>
      <c r="V62" s="10"/>
      <c r="W62" s="10"/>
      <c r="X62" s="10"/>
    </row>
    <row r="63" spans="2:24">
      <c r="B63" s="24" t="s">
        <v>18</v>
      </c>
      <c r="C63" s="25">
        <f>P70</f>
        <v>1</v>
      </c>
      <c r="D63" s="10"/>
      <c r="E63" s="10"/>
      <c r="F63" s="10"/>
      <c r="G63" s="31"/>
      <c r="H63" s="10"/>
      <c r="I63" s="10"/>
      <c r="J63" s="32" t="s">
        <v>19</v>
      </c>
      <c r="K63" s="33">
        <f>K89/K88</f>
        <v>1</v>
      </c>
      <c r="L63" s="33">
        <f t="shared" ref="L63:S63" si="14">L89/L88</f>
        <v>1</v>
      </c>
      <c r="M63" s="33">
        <f t="shared" si="14"/>
        <v>1</v>
      </c>
      <c r="N63" s="33">
        <f t="shared" si="14"/>
        <v>1</v>
      </c>
      <c r="O63" s="33">
        <f t="shared" si="14"/>
        <v>1</v>
      </c>
      <c r="P63" s="33">
        <f t="shared" si="14"/>
        <v>0</v>
      </c>
      <c r="Q63" s="33">
        <f t="shared" si="14"/>
        <v>0.5</v>
      </c>
      <c r="R63" s="33">
        <f t="shared" si="14"/>
        <v>0.5</v>
      </c>
      <c r="S63" s="33">
        <f t="shared" si="14"/>
        <v>0</v>
      </c>
      <c r="T63" s="23"/>
      <c r="U63" s="17" t="s">
        <v>20</v>
      </c>
      <c r="V63" s="10"/>
      <c r="W63" s="10"/>
      <c r="X63" s="10"/>
    </row>
    <row r="64" spans="2:24">
      <c r="B64" s="24" t="s">
        <v>21</v>
      </c>
      <c r="C64" s="34">
        <f>P71</f>
        <v>0.66666666666666663</v>
      </c>
      <c r="D64" s="10"/>
      <c r="E64" s="10"/>
      <c r="F64" s="10"/>
      <c r="G64" s="10"/>
      <c r="H64" s="10"/>
      <c r="I64" s="10"/>
      <c r="J64" s="10"/>
      <c r="K64" s="10"/>
      <c r="L64" s="10"/>
      <c r="M64" s="10"/>
      <c r="N64" s="10"/>
      <c r="O64" s="10"/>
      <c r="P64" s="10"/>
      <c r="Q64" s="10"/>
      <c r="R64" s="10"/>
      <c r="S64" s="10"/>
      <c r="T64" s="10"/>
      <c r="U64" s="17"/>
      <c r="V64" s="10"/>
      <c r="W64" s="10"/>
      <c r="X64" s="10"/>
    </row>
    <row r="65" spans="2:24">
      <c r="B65" s="24"/>
      <c r="C65" s="25"/>
      <c r="D65" s="10"/>
      <c r="E65" s="10"/>
      <c r="F65" s="18" t="s">
        <v>22</v>
      </c>
      <c r="G65" s="19" t="s">
        <v>23</v>
      </c>
      <c r="H65" s="35" t="s">
        <v>24</v>
      </c>
      <c r="I65" s="10"/>
      <c r="J65" s="10"/>
      <c r="K65" s="36"/>
      <c r="L65" s="36"/>
      <c r="M65" s="36"/>
      <c r="N65" s="36"/>
      <c r="O65" s="36"/>
      <c r="P65" s="36"/>
      <c r="Q65" s="36"/>
      <c r="R65" s="10"/>
      <c r="S65" s="10"/>
      <c r="T65" s="10"/>
      <c r="U65" s="17"/>
      <c r="V65" s="10"/>
      <c r="W65" s="10"/>
      <c r="X65" s="10"/>
    </row>
    <row r="66" spans="2:24" ht="21" customHeight="1">
      <c r="B66" s="32" t="s">
        <v>25</v>
      </c>
      <c r="C66" s="37">
        <f>P72</f>
        <v>482.55</v>
      </c>
      <c r="D66" s="10"/>
      <c r="E66" s="18" t="s">
        <v>26</v>
      </c>
      <c r="F66" s="38">
        <f>P68</f>
        <v>965.1</v>
      </c>
      <c r="G66" s="39">
        <f>I88</f>
        <v>965.1</v>
      </c>
      <c r="H66" s="767" t="s">
        <v>851</v>
      </c>
      <c r="I66" s="767"/>
      <c r="J66" s="767"/>
      <c r="K66" s="43" t="s">
        <v>27</v>
      </c>
      <c r="L66" s="44"/>
      <c r="M66" s="44"/>
      <c r="N66" s="44"/>
      <c r="O66" s="44"/>
      <c r="P66" s="44"/>
      <c r="Q66" s="45"/>
      <c r="R66" s="46" t="s">
        <v>28</v>
      </c>
      <c r="S66" s="47" t="s">
        <v>29</v>
      </c>
      <c r="T66" s="10"/>
      <c r="U66" s="17"/>
      <c r="V66" s="10"/>
      <c r="W66" s="10"/>
      <c r="X66" s="10"/>
    </row>
    <row r="67" spans="2:24">
      <c r="B67" s="11"/>
      <c r="C67" s="10"/>
      <c r="D67" s="10"/>
      <c r="E67" s="24" t="s">
        <v>30</v>
      </c>
      <c r="F67" s="48">
        <f>F62</f>
        <v>0.05</v>
      </c>
      <c r="G67" s="17"/>
      <c r="H67" s="767"/>
      <c r="I67" s="767"/>
      <c r="J67" s="767"/>
      <c r="K67" s="20" t="s">
        <v>31</v>
      </c>
      <c r="L67" s="21" t="s">
        <v>32</v>
      </c>
      <c r="M67" s="21" t="s">
        <v>33</v>
      </c>
      <c r="N67" s="21" t="s">
        <v>34</v>
      </c>
      <c r="O67" s="21" t="s">
        <v>35</v>
      </c>
      <c r="P67" s="21" t="s">
        <v>36</v>
      </c>
      <c r="Q67" s="49" t="s">
        <v>37</v>
      </c>
      <c r="R67" s="50" t="s">
        <v>38</v>
      </c>
      <c r="S67" s="50" t="s">
        <v>38</v>
      </c>
      <c r="T67" s="10"/>
      <c r="U67" s="17"/>
      <c r="V67" s="10"/>
      <c r="W67" s="10"/>
      <c r="X67" s="10"/>
    </row>
    <row r="68" spans="2:24">
      <c r="B68" s="11"/>
      <c r="C68" s="10"/>
      <c r="D68" s="10"/>
      <c r="E68" s="51" t="s">
        <v>39</v>
      </c>
      <c r="F68" s="52">
        <f>(F66-I87)*F67</f>
        <v>22.005000000000003</v>
      </c>
      <c r="G68" s="53" t="s">
        <v>40</v>
      </c>
      <c r="H68" s="484">
        <f>F68/1.12</f>
        <v>19.647321428571431</v>
      </c>
      <c r="I68" s="570" t="s">
        <v>2317</v>
      </c>
      <c r="J68" s="42"/>
      <c r="K68" s="56">
        <v>0</v>
      </c>
      <c r="L68" s="57">
        <f>I86+I87</f>
        <v>965.1</v>
      </c>
      <c r="M68" s="57">
        <v>0</v>
      </c>
      <c r="N68" s="57">
        <v>0</v>
      </c>
      <c r="O68" s="57">
        <v>0</v>
      </c>
      <c r="P68" s="57">
        <f>SUM(K68:O68)</f>
        <v>965.1</v>
      </c>
      <c r="Q68" s="58">
        <v>0</v>
      </c>
      <c r="R68" s="59">
        <v>0</v>
      </c>
      <c r="S68" s="59">
        <v>0</v>
      </c>
      <c r="T68" s="10"/>
      <c r="U68" s="17"/>
      <c r="V68" s="10"/>
      <c r="W68" s="10"/>
      <c r="X68" s="10"/>
    </row>
    <row r="69" spans="2:24">
      <c r="B69" s="11"/>
      <c r="C69" s="10"/>
      <c r="D69" s="10"/>
      <c r="E69" s="24" t="s">
        <v>41</v>
      </c>
      <c r="F69" s="60">
        <f>Q68</f>
        <v>0</v>
      </c>
      <c r="G69" s="61" t="s">
        <v>40</v>
      </c>
      <c r="H69" s="62"/>
      <c r="I69" s="62"/>
      <c r="J69" s="10" t="s">
        <v>42</v>
      </c>
      <c r="K69" s="63">
        <v>0</v>
      </c>
      <c r="L69" s="63">
        <v>2</v>
      </c>
      <c r="M69" s="63">
        <v>0</v>
      </c>
      <c r="N69" s="63">
        <v>0</v>
      </c>
      <c r="O69" s="63">
        <v>0</v>
      </c>
      <c r="P69" s="21">
        <f>SUM(K69:O69)</f>
        <v>2</v>
      </c>
      <c r="Q69" s="64"/>
      <c r="R69" s="63"/>
      <c r="S69" s="10"/>
      <c r="T69" s="10"/>
      <c r="U69" s="17"/>
      <c r="V69" s="10"/>
      <c r="W69" s="10"/>
      <c r="X69" s="10"/>
    </row>
    <row r="70" spans="2:24">
      <c r="B70" s="11"/>
      <c r="C70" s="10"/>
      <c r="D70" s="10"/>
      <c r="E70" s="51" t="s">
        <v>43</v>
      </c>
      <c r="F70" s="52">
        <f>F69*0.25</f>
        <v>0</v>
      </c>
      <c r="G70" s="53" t="s">
        <v>40</v>
      </c>
      <c r="H70" s="54">
        <f>F70/1.12</f>
        <v>0</v>
      </c>
      <c r="I70" s="10"/>
      <c r="J70" s="10" t="s">
        <v>44</v>
      </c>
      <c r="K70" s="63">
        <v>0</v>
      </c>
      <c r="L70" s="63">
        <v>1</v>
      </c>
      <c r="M70" s="63">
        <v>0</v>
      </c>
      <c r="N70" s="63">
        <v>0</v>
      </c>
      <c r="O70" s="63">
        <v>0</v>
      </c>
      <c r="P70" s="21">
        <f>SUM(K70:O70)</f>
        <v>1</v>
      </c>
      <c r="Q70" s="64"/>
      <c r="R70" s="63"/>
      <c r="S70" s="10"/>
      <c r="T70" s="10"/>
      <c r="U70" s="17"/>
      <c r="V70" s="10"/>
      <c r="W70" s="10"/>
      <c r="X70" s="10"/>
    </row>
    <row r="71" spans="2:24">
      <c r="B71" s="11"/>
      <c r="C71" s="10"/>
      <c r="D71" s="10"/>
      <c r="E71" s="24" t="s">
        <v>45</v>
      </c>
      <c r="F71" s="60"/>
      <c r="G71" s="61" t="s">
        <v>40</v>
      </c>
      <c r="H71" s="62"/>
      <c r="I71" s="10"/>
      <c r="J71" s="10" t="s">
        <v>46</v>
      </c>
      <c r="K71" s="31" t="e">
        <f t="shared" ref="K71:Q71" si="15">K69/(K69+K70)</f>
        <v>#DIV/0!</v>
      </c>
      <c r="L71" s="31">
        <f t="shared" si="15"/>
        <v>0.66666666666666663</v>
      </c>
      <c r="M71" s="31" t="e">
        <f t="shared" si="15"/>
        <v>#DIV/0!</v>
      </c>
      <c r="N71" s="31" t="e">
        <f t="shared" si="15"/>
        <v>#DIV/0!</v>
      </c>
      <c r="O71" s="31" t="e">
        <f t="shared" si="15"/>
        <v>#DIV/0!</v>
      </c>
      <c r="P71" s="31">
        <f t="shared" si="15"/>
        <v>0.66666666666666663</v>
      </c>
      <c r="Q71" s="31" t="e">
        <f t="shared" si="15"/>
        <v>#DIV/0!</v>
      </c>
      <c r="R71" s="63"/>
      <c r="S71" s="10"/>
      <c r="T71" s="10"/>
      <c r="U71" s="17"/>
      <c r="V71" s="10"/>
      <c r="W71" s="10"/>
      <c r="X71" s="10"/>
    </row>
    <row r="72" spans="2:24">
      <c r="B72" s="11"/>
      <c r="C72" s="10"/>
      <c r="D72" s="10"/>
      <c r="E72" s="51" t="s">
        <v>47</v>
      </c>
      <c r="F72" s="52">
        <f>F71*0.05</f>
        <v>0</v>
      </c>
      <c r="G72" s="65" t="s">
        <v>40</v>
      </c>
      <c r="H72" s="54">
        <f>F72/1.12</f>
        <v>0</v>
      </c>
      <c r="I72" s="42"/>
      <c r="J72" s="10" t="s">
        <v>48</v>
      </c>
      <c r="K72" s="66" t="e">
        <f>K68/K69</f>
        <v>#DIV/0!</v>
      </c>
      <c r="L72" s="66">
        <f t="shared" ref="L72:Q72" si="16">L68/L69</f>
        <v>482.55</v>
      </c>
      <c r="M72" s="66" t="e">
        <f t="shared" si="16"/>
        <v>#DIV/0!</v>
      </c>
      <c r="N72" s="66" t="e">
        <f t="shared" si="16"/>
        <v>#DIV/0!</v>
      </c>
      <c r="O72" s="66" t="e">
        <f t="shared" si="16"/>
        <v>#DIV/0!</v>
      </c>
      <c r="P72" s="66">
        <f t="shared" si="16"/>
        <v>482.55</v>
      </c>
      <c r="Q72" s="66" t="e">
        <f t="shared" si="16"/>
        <v>#DIV/0!</v>
      </c>
      <c r="R72" s="63"/>
      <c r="S72" s="10"/>
      <c r="T72" s="10"/>
      <c r="U72" s="17"/>
      <c r="V72" s="10"/>
      <c r="W72" s="10"/>
      <c r="X72" s="10"/>
    </row>
    <row r="73" spans="2:24">
      <c r="B73" s="11"/>
      <c r="C73" s="10"/>
      <c r="D73" s="10"/>
      <c r="E73" s="67" t="s">
        <v>14</v>
      </c>
      <c r="F73" s="68"/>
      <c r="G73" s="10"/>
      <c r="H73" s="54">
        <f>F73/1.12</f>
        <v>0</v>
      </c>
      <c r="I73" s="10"/>
      <c r="J73" s="10"/>
      <c r="K73" s="10"/>
      <c r="L73" s="10"/>
      <c r="M73" s="10"/>
      <c r="N73" s="10"/>
      <c r="O73" s="10"/>
      <c r="P73" s="10"/>
      <c r="Q73" s="10"/>
      <c r="R73" s="10"/>
      <c r="S73" s="10"/>
      <c r="T73" s="10"/>
      <c r="U73" s="17"/>
      <c r="V73" s="10"/>
      <c r="W73" s="10"/>
      <c r="X73" s="10"/>
    </row>
    <row r="74" spans="2:24">
      <c r="B74" s="11"/>
      <c r="C74" s="10"/>
      <c r="D74" s="10"/>
      <c r="E74" s="67" t="s">
        <v>49</v>
      </c>
      <c r="F74" s="69">
        <f>T63</f>
        <v>0</v>
      </c>
      <c r="G74" s="10"/>
      <c r="H74" s="54"/>
      <c r="I74" s="55"/>
      <c r="J74" s="42"/>
      <c r="K74" s="764" t="s">
        <v>50</v>
      </c>
      <c r="L74" s="765"/>
      <c r="M74" s="765"/>
      <c r="N74" s="765"/>
      <c r="O74" s="765"/>
      <c r="P74" s="765"/>
      <c r="Q74" s="766"/>
      <c r="R74" s="70" t="s">
        <v>28</v>
      </c>
      <c r="S74" s="71" t="s">
        <v>29</v>
      </c>
      <c r="T74" s="10"/>
      <c r="U74" s="17"/>
      <c r="V74" s="10"/>
      <c r="W74" s="10"/>
      <c r="X74" s="10"/>
    </row>
    <row r="75" spans="2:24">
      <c r="B75" s="11"/>
      <c r="C75" s="10"/>
      <c r="D75" s="10"/>
      <c r="E75" s="74" t="s">
        <v>2318</v>
      </c>
      <c r="F75" s="75">
        <v>-371.09</v>
      </c>
      <c r="G75" s="10"/>
      <c r="H75" s="10"/>
      <c r="I75" s="10"/>
      <c r="J75" s="42"/>
      <c r="K75" s="20" t="s">
        <v>31</v>
      </c>
      <c r="L75" s="21" t="s">
        <v>32</v>
      </c>
      <c r="M75" s="21" t="s">
        <v>33</v>
      </c>
      <c r="N75" s="21" t="s">
        <v>34</v>
      </c>
      <c r="O75" s="21" t="s">
        <v>35</v>
      </c>
      <c r="P75" s="21" t="s">
        <v>36</v>
      </c>
      <c r="Q75" s="49" t="s">
        <v>37</v>
      </c>
      <c r="R75" s="50" t="s">
        <v>38</v>
      </c>
      <c r="S75" s="50" t="s">
        <v>38</v>
      </c>
      <c r="T75" s="10"/>
      <c r="U75" s="17"/>
      <c r="V75" s="10"/>
      <c r="W75" s="10"/>
      <c r="X75" s="10"/>
    </row>
    <row r="76" spans="2:24">
      <c r="B76" s="11"/>
      <c r="C76" s="10"/>
      <c r="D76" s="10"/>
      <c r="E76" s="12"/>
      <c r="F76" s="76"/>
      <c r="G76" s="10"/>
      <c r="H76" s="10"/>
      <c r="I76" s="10"/>
      <c r="J76" s="42"/>
      <c r="K76" s="56">
        <v>0</v>
      </c>
      <c r="L76" s="57">
        <f>F86+F87</f>
        <v>965.1</v>
      </c>
      <c r="M76" s="57">
        <v>0</v>
      </c>
      <c r="N76" s="57">
        <v>0</v>
      </c>
      <c r="O76" s="57">
        <v>0</v>
      </c>
      <c r="P76" s="57">
        <f>SUM(K76:O76)</f>
        <v>965.1</v>
      </c>
      <c r="Q76" s="58">
        <v>0</v>
      </c>
      <c r="R76" s="59">
        <v>0</v>
      </c>
      <c r="S76" s="59">
        <v>0</v>
      </c>
      <c r="T76" s="10"/>
      <c r="U76" s="17"/>
      <c r="V76" s="10"/>
      <c r="W76" s="10"/>
      <c r="X76" s="10"/>
    </row>
    <row r="77" spans="2:24">
      <c r="B77" s="11"/>
      <c r="C77" s="10"/>
      <c r="D77" s="10"/>
      <c r="E77" s="10"/>
      <c r="F77" s="10"/>
      <c r="G77" s="10"/>
      <c r="H77" s="10"/>
      <c r="I77" s="10"/>
      <c r="J77" s="10" t="s">
        <v>42</v>
      </c>
      <c r="K77" s="63">
        <f>K69</f>
        <v>0</v>
      </c>
      <c r="L77" s="63">
        <f t="shared" ref="L77:Q78" si="17">L69</f>
        <v>2</v>
      </c>
      <c r="M77" s="63">
        <f t="shared" si="17"/>
        <v>0</v>
      </c>
      <c r="N77" s="63">
        <f t="shared" si="17"/>
        <v>0</v>
      </c>
      <c r="O77" s="63">
        <f t="shared" si="17"/>
        <v>0</v>
      </c>
      <c r="P77" s="63">
        <f t="shared" si="17"/>
        <v>2</v>
      </c>
      <c r="Q77" s="63">
        <f t="shared" si="17"/>
        <v>0</v>
      </c>
      <c r="R77" s="63"/>
      <c r="S77" s="10"/>
      <c r="T77" s="10"/>
      <c r="U77" s="17"/>
      <c r="V77" s="10"/>
      <c r="W77" s="10"/>
      <c r="X77" s="10"/>
    </row>
    <row r="78" spans="2:24">
      <c r="B78" s="11"/>
      <c r="C78" s="10"/>
      <c r="D78" s="10"/>
      <c r="E78" s="10"/>
      <c r="F78" s="10"/>
      <c r="G78" s="10"/>
      <c r="H78" s="10"/>
      <c r="I78" s="10"/>
      <c r="J78" s="10" t="s">
        <v>44</v>
      </c>
      <c r="K78" s="63">
        <f>K70</f>
        <v>0</v>
      </c>
      <c r="L78" s="63">
        <f t="shared" si="17"/>
        <v>1</v>
      </c>
      <c r="M78" s="63">
        <f t="shared" si="17"/>
        <v>0</v>
      </c>
      <c r="N78" s="63">
        <f t="shared" si="17"/>
        <v>0</v>
      </c>
      <c r="O78" s="63">
        <f t="shared" si="17"/>
        <v>0</v>
      </c>
      <c r="P78" s="63">
        <f t="shared" si="17"/>
        <v>1</v>
      </c>
      <c r="Q78" s="63">
        <f t="shared" si="17"/>
        <v>0</v>
      </c>
      <c r="R78" s="63"/>
      <c r="S78" s="10"/>
      <c r="T78" s="10"/>
      <c r="U78" s="17"/>
      <c r="V78" s="10"/>
      <c r="W78" s="10"/>
      <c r="X78" s="10"/>
    </row>
    <row r="79" spans="2:24">
      <c r="B79" s="11"/>
      <c r="C79" s="10"/>
      <c r="D79" s="10"/>
      <c r="E79" s="12"/>
      <c r="F79" s="76"/>
      <c r="G79" s="10"/>
      <c r="H79" s="10"/>
      <c r="I79" s="10"/>
      <c r="J79" s="10" t="s">
        <v>46</v>
      </c>
      <c r="K79" s="31" t="e">
        <f t="shared" ref="K79:Q79" si="18">K77/(K77+K78)</f>
        <v>#DIV/0!</v>
      </c>
      <c r="L79" s="31">
        <f t="shared" si="18"/>
        <v>0.66666666666666663</v>
      </c>
      <c r="M79" s="31" t="e">
        <f t="shared" si="18"/>
        <v>#DIV/0!</v>
      </c>
      <c r="N79" s="31" t="e">
        <f t="shared" si="18"/>
        <v>#DIV/0!</v>
      </c>
      <c r="O79" s="31" t="e">
        <f t="shared" si="18"/>
        <v>#DIV/0!</v>
      </c>
      <c r="P79" s="31">
        <f t="shared" si="18"/>
        <v>0.66666666666666663</v>
      </c>
      <c r="Q79" s="31" t="e">
        <f t="shared" si="18"/>
        <v>#DIV/0!</v>
      </c>
      <c r="R79" s="63"/>
      <c r="S79" s="10"/>
      <c r="T79" s="10"/>
      <c r="U79" s="17"/>
      <c r="V79" s="10"/>
      <c r="W79" s="10"/>
      <c r="X79" s="10"/>
    </row>
    <row r="80" spans="2:24">
      <c r="B80" s="11"/>
      <c r="C80" s="10"/>
      <c r="D80" s="10"/>
      <c r="E80" s="10"/>
      <c r="F80" s="10"/>
      <c r="G80" s="10"/>
      <c r="H80" s="10"/>
      <c r="I80" s="10"/>
      <c r="J80" s="10" t="s">
        <v>48</v>
      </c>
      <c r="K80" s="66" t="e">
        <f t="shared" ref="K80:Q80" si="19">K76/K77</f>
        <v>#DIV/0!</v>
      </c>
      <c r="L80" s="66">
        <f t="shared" si="19"/>
        <v>482.55</v>
      </c>
      <c r="M80" s="66" t="e">
        <f t="shared" si="19"/>
        <v>#DIV/0!</v>
      </c>
      <c r="N80" s="66" t="e">
        <f t="shared" si="19"/>
        <v>#DIV/0!</v>
      </c>
      <c r="O80" s="66" t="e">
        <f t="shared" si="19"/>
        <v>#DIV/0!</v>
      </c>
      <c r="P80" s="66">
        <f t="shared" si="19"/>
        <v>482.55</v>
      </c>
      <c r="Q80" s="66" t="e">
        <f t="shared" si="19"/>
        <v>#DIV/0!</v>
      </c>
      <c r="R80" s="63"/>
      <c r="S80" s="10"/>
      <c r="T80" s="10"/>
      <c r="U80" s="17"/>
      <c r="V80" s="10"/>
      <c r="W80" s="10"/>
      <c r="X80" s="10"/>
    </row>
    <row r="81" spans="1:24">
      <c r="B81" s="11"/>
      <c r="C81" s="10"/>
      <c r="D81" s="10"/>
      <c r="E81" s="10"/>
      <c r="F81" s="10"/>
      <c r="G81" s="10"/>
      <c r="H81" s="10"/>
      <c r="I81" s="10"/>
      <c r="J81" s="10"/>
      <c r="K81" s="10"/>
      <c r="L81" s="10"/>
      <c r="M81" s="10"/>
      <c r="N81" s="10"/>
      <c r="O81" s="10"/>
      <c r="P81" s="10"/>
      <c r="Q81" s="10"/>
      <c r="R81" s="10"/>
      <c r="S81" s="10"/>
      <c r="T81" s="10"/>
      <c r="U81" s="17"/>
      <c r="V81" s="10"/>
      <c r="W81" s="10"/>
      <c r="X81" s="10"/>
    </row>
    <row r="82" spans="1:24">
      <c r="B82" s="11"/>
      <c r="C82" s="10"/>
      <c r="D82" s="10"/>
      <c r="E82" s="10"/>
      <c r="F82" s="10"/>
      <c r="G82" s="10"/>
      <c r="H82" s="10"/>
      <c r="I82" s="10"/>
      <c r="J82" s="10"/>
      <c r="K82" s="10"/>
      <c r="L82" s="10"/>
      <c r="M82" s="10"/>
      <c r="N82" s="10"/>
      <c r="O82" s="10"/>
      <c r="P82" s="10"/>
      <c r="Q82" s="10"/>
      <c r="R82" s="10"/>
      <c r="S82" s="10"/>
      <c r="T82" s="10"/>
      <c r="U82" s="17"/>
      <c r="V82" s="10"/>
      <c r="W82" s="10"/>
      <c r="X82" s="10"/>
    </row>
    <row r="83" spans="1:24">
      <c r="B83" s="18" t="s">
        <v>51</v>
      </c>
      <c r="C83" s="14"/>
      <c r="D83" s="14"/>
      <c r="E83" s="14"/>
      <c r="F83" s="13" t="s">
        <v>52</v>
      </c>
      <c r="G83" s="14"/>
      <c r="H83" s="14"/>
      <c r="I83" s="14"/>
      <c r="J83" s="14"/>
      <c r="K83" s="13" t="s">
        <v>3</v>
      </c>
      <c r="L83" s="14"/>
      <c r="M83" s="14"/>
      <c r="N83" s="13" t="s">
        <v>4</v>
      </c>
      <c r="O83" s="14"/>
      <c r="P83" s="14"/>
      <c r="Q83" s="13" t="s">
        <v>5</v>
      </c>
      <c r="R83" s="14"/>
      <c r="S83" s="14"/>
      <c r="T83" s="18"/>
      <c r="U83" s="16" t="s">
        <v>53</v>
      </c>
      <c r="V83" s="77"/>
      <c r="W83" s="77"/>
      <c r="X83" s="77"/>
    </row>
    <row r="84" spans="1:24">
      <c r="B84" s="24" t="s">
        <v>54</v>
      </c>
      <c r="C84" s="21" t="s">
        <v>55</v>
      </c>
      <c r="D84" s="21" t="s">
        <v>56</v>
      </c>
      <c r="E84" s="21" t="s">
        <v>57</v>
      </c>
      <c r="F84" s="20" t="s">
        <v>58</v>
      </c>
      <c r="G84" s="21" t="s">
        <v>59</v>
      </c>
      <c r="H84" s="21" t="s">
        <v>60</v>
      </c>
      <c r="I84" s="21" t="s">
        <v>26</v>
      </c>
      <c r="J84" s="22" t="s">
        <v>61</v>
      </c>
      <c r="K84" s="21" t="s">
        <v>8</v>
      </c>
      <c r="L84" s="21" t="s">
        <v>9</v>
      </c>
      <c r="M84" s="21" t="s">
        <v>10</v>
      </c>
      <c r="N84" s="20" t="s">
        <v>11</v>
      </c>
      <c r="O84" s="21" t="s">
        <v>12</v>
      </c>
      <c r="P84" s="22" t="s">
        <v>13</v>
      </c>
      <c r="Q84" s="21" t="s">
        <v>11</v>
      </c>
      <c r="R84" s="21" t="s">
        <v>12</v>
      </c>
      <c r="S84" s="21" t="s">
        <v>13</v>
      </c>
      <c r="T84" s="78" t="s">
        <v>14</v>
      </c>
      <c r="U84" s="30"/>
      <c r="V84" s="79" t="s">
        <v>62</v>
      </c>
      <c r="W84" s="80" t="s">
        <v>63</v>
      </c>
      <c r="X84" s="81" t="s">
        <v>64</v>
      </c>
    </row>
    <row r="85" spans="1:24">
      <c r="B85" s="4" t="s">
        <v>65</v>
      </c>
      <c r="C85" s="6"/>
      <c r="D85" s="6"/>
      <c r="E85" s="6"/>
      <c r="F85" s="6"/>
      <c r="G85" s="6"/>
      <c r="H85" s="6"/>
      <c r="I85" s="82"/>
      <c r="J85" s="6"/>
      <c r="K85" s="6"/>
      <c r="L85" s="6"/>
      <c r="M85" s="6"/>
      <c r="N85" s="6"/>
      <c r="O85" s="6"/>
      <c r="P85" s="6"/>
      <c r="Q85" s="6"/>
      <c r="R85" s="6"/>
      <c r="S85" s="6"/>
      <c r="T85" s="83"/>
      <c r="U85" s="6"/>
      <c r="V85" s="84"/>
      <c r="W85" s="85"/>
      <c r="X85" s="86"/>
    </row>
    <row r="86" spans="1:24">
      <c r="B86" s="87">
        <v>1</v>
      </c>
      <c r="C86" s="274">
        <v>45937</v>
      </c>
      <c r="D86" s="276">
        <v>74069</v>
      </c>
      <c r="E86" s="276" t="s">
        <v>377</v>
      </c>
      <c r="F86" s="277">
        <v>440.1</v>
      </c>
      <c r="G86" s="277"/>
      <c r="H86" s="297"/>
      <c r="I86" s="321">
        <f t="shared" ref="I86:I87" si="20">F86-G86-H86</f>
        <v>440.1</v>
      </c>
      <c r="J86" s="279" t="s">
        <v>156</v>
      </c>
      <c r="K86" s="279">
        <v>1</v>
      </c>
      <c r="L86" s="279">
        <v>1</v>
      </c>
      <c r="M86" s="279">
        <v>1</v>
      </c>
      <c r="N86" s="279">
        <v>1</v>
      </c>
      <c r="O86" s="279">
        <v>1</v>
      </c>
      <c r="P86" s="322">
        <v>0</v>
      </c>
      <c r="Q86" s="322">
        <v>0</v>
      </c>
      <c r="R86" s="322">
        <v>0</v>
      </c>
      <c r="S86" s="328">
        <v>0</v>
      </c>
      <c r="T86" s="63"/>
      <c r="U86" s="10"/>
      <c r="V86" s="90">
        <f>48.42+435.69</f>
        <v>484.11</v>
      </c>
      <c r="W86" s="91"/>
      <c r="X86" s="92"/>
    </row>
    <row r="87" spans="1:24">
      <c r="A87" s="2" t="s">
        <v>230</v>
      </c>
      <c r="B87" s="87">
        <f t="shared" ref="B87" si="21">B86+1</f>
        <v>2</v>
      </c>
      <c r="C87" s="282">
        <v>45937</v>
      </c>
      <c r="D87" s="283">
        <v>74080</v>
      </c>
      <c r="E87" s="283" t="s">
        <v>643</v>
      </c>
      <c r="F87" s="284">
        <v>525</v>
      </c>
      <c r="G87" s="284"/>
      <c r="H87" s="284"/>
      <c r="I87" s="331">
        <f t="shared" si="20"/>
        <v>525</v>
      </c>
      <c r="J87" s="286" t="s">
        <v>156</v>
      </c>
      <c r="K87" s="286">
        <v>1</v>
      </c>
      <c r="L87" s="286">
        <v>1</v>
      </c>
      <c r="M87" s="286">
        <v>1</v>
      </c>
      <c r="N87" s="286">
        <v>1</v>
      </c>
      <c r="O87" s="286">
        <v>1</v>
      </c>
      <c r="P87" s="332">
        <v>0</v>
      </c>
      <c r="Q87" s="286">
        <v>1</v>
      </c>
      <c r="R87" s="286">
        <v>1</v>
      </c>
      <c r="S87" s="370">
        <v>0</v>
      </c>
      <c r="T87" s="63"/>
      <c r="U87" s="10" t="s">
        <v>2319</v>
      </c>
      <c r="V87" s="90">
        <f>52.5+577.5</f>
        <v>630</v>
      </c>
      <c r="W87" s="91"/>
      <c r="X87" s="92"/>
    </row>
    <row r="88" spans="1:24">
      <c r="B88" s="87"/>
      <c r="C88" s="36"/>
      <c r="D88" s="10"/>
      <c r="E88" s="10"/>
      <c r="F88" s="97">
        <f>SUM(F86:F87)</f>
        <v>965.1</v>
      </c>
      <c r="G88" s="97">
        <f>SUM(G86:G87)</f>
        <v>0</v>
      </c>
      <c r="H88" s="97">
        <f>SUM(H86:H87)</f>
        <v>0</v>
      </c>
      <c r="I88" s="98">
        <f>SUM(I86:I87)</f>
        <v>965.1</v>
      </c>
      <c r="J88" s="63"/>
      <c r="K88" s="63">
        <f>COUNT(K86:K87)</f>
        <v>2</v>
      </c>
      <c r="L88" s="63">
        <f>COUNT(L86:L87)</f>
        <v>2</v>
      </c>
      <c r="M88" s="63">
        <f>COUNT(M86:M87)</f>
        <v>2</v>
      </c>
      <c r="N88" s="63">
        <f>COUNT(N86:N87)</f>
        <v>2</v>
      </c>
      <c r="O88" s="63">
        <f>COUNT(O86:O87)</f>
        <v>2</v>
      </c>
      <c r="P88" s="63">
        <f>COUNT(P86:P87)</f>
        <v>2</v>
      </c>
      <c r="Q88" s="63">
        <f>COUNT(Q86:Q87)</f>
        <v>2</v>
      </c>
      <c r="R88" s="63">
        <f>COUNT(R86:R87)</f>
        <v>2</v>
      </c>
      <c r="S88" s="63">
        <f>COUNT(S86:S87)</f>
        <v>2</v>
      </c>
      <c r="T88" s="63"/>
      <c r="U88" s="10"/>
      <c r="V88" s="90"/>
      <c r="W88" s="91"/>
      <c r="X88" s="92"/>
    </row>
    <row r="89" spans="1:24">
      <c r="B89" s="87"/>
      <c r="C89" s="36"/>
      <c r="D89" s="10"/>
      <c r="E89" s="10"/>
      <c r="F89" s="88"/>
      <c r="G89" s="88"/>
      <c r="H89" s="88"/>
      <c r="I89" s="99"/>
      <c r="J89" s="63"/>
      <c r="K89" s="21">
        <f>SUM(K86:K87)</f>
        <v>2</v>
      </c>
      <c r="L89" s="21">
        <f>SUM(L86:L87)</f>
        <v>2</v>
      </c>
      <c r="M89" s="21">
        <f>SUM(M86:M87)</f>
        <v>2</v>
      </c>
      <c r="N89" s="21">
        <f>SUM(N86:N87)</f>
        <v>2</v>
      </c>
      <c r="O89" s="21">
        <f>SUM(O86:O87)</f>
        <v>2</v>
      </c>
      <c r="P89" s="21">
        <f>SUM(P86:P87)</f>
        <v>0</v>
      </c>
      <c r="Q89" s="21">
        <f>SUM(Q86:Q87)</f>
        <v>1</v>
      </c>
      <c r="R89" s="21">
        <f>SUM(R86:R87)</f>
        <v>1</v>
      </c>
      <c r="S89" s="21">
        <f>SUM(S86:S87)</f>
        <v>0</v>
      </c>
      <c r="T89" s="63"/>
      <c r="U89" s="10"/>
      <c r="V89" s="90"/>
      <c r="W89" s="91"/>
      <c r="X89" s="92"/>
    </row>
    <row r="90" spans="1:24">
      <c r="B90" s="11"/>
      <c r="C90" s="609"/>
      <c r="D90" s="10"/>
      <c r="E90" s="10"/>
      <c r="F90" s="88"/>
      <c r="G90" s="88"/>
      <c r="H90" s="88"/>
      <c r="I90" s="99"/>
      <c r="J90" s="63"/>
      <c r="K90" s="21"/>
      <c r="L90" s="21"/>
      <c r="M90" s="21"/>
      <c r="N90" s="21"/>
      <c r="O90" s="21"/>
      <c r="P90" s="21"/>
      <c r="Q90" s="21"/>
      <c r="R90" s="21"/>
      <c r="S90" s="21"/>
      <c r="T90" s="63"/>
      <c r="U90" s="94"/>
      <c r="V90" s="90"/>
      <c r="W90" s="91"/>
      <c r="X90" s="92"/>
    </row>
    <row r="91" spans="1:24">
      <c r="B91" s="100" t="s">
        <v>152</v>
      </c>
      <c r="C91" s="611"/>
      <c r="D91" s="123"/>
      <c r="E91" s="123"/>
      <c r="F91" s="124"/>
      <c r="G91" s="125"/>
      <c r="H91" s="124"/>
      <c r="I91" s="126"/>
      <c r="J91" s="127"/>
      <c r="K91" s="128"/>
      <c r="L91" s="128"/>
      <c r="M91" s="128"/>
      <c r="N91" s="128"/>
      <c r="O91" s="128"/>
      <c r="P91" s="128"/>
      <c r="Q91" s="128"/>
      <c r="R91" s="128"/>
      <c r="S91" s="128"/>
      <c r="T91" s="127"/>
      <c r="U91" s="123"/>
      <c r="V91" s="129"/>
      <c r="W91" s="130"/>
      <c r="X91" s="131"/>
    </row>
    <row r="92" spans="1:24" s="260" customFormat="1">
      <c r="A92" s="494">
        <v>0.05</v>
      </c>
      <c r="B92" s="87">
        <v>1</v>
      </c>
      <c r="C92" s="274">
        <v>45932</v>
      </c>
      <c r="D92" s="327" t="s">
        <v>2312</v>
      </c>
      <c r="E92" s="276" t="s">
        <v>291</v>
      </c>
      <c r="F92" s="277">
        <v>1138</v>
      </c>
      <c r="G92" s="277">
        <f>39.7+(23.85)</f>
        <v>63.550000000000004</v>
      </c>
      <c r="H92" s="277"/>
      <c r="I92" s="321">
        <f t="shared" ref="I92:I93" si="22">F92-G92-H92</f>
        <v>1074.45</v>
      </c>
      <c r="J92" s="279" t="s">
        <v>156</v>
      </c>
      <c r="K92" s="279">
        <v>1</v>
      </c>
      <c r="L92" s="322">
        <v>0</v>
      </c>
      <c r="M92" s="279">
        <v>1</v>
      </c>
      <c r="N92" s="279">
        <v>1</v>
      </c>
      <c r="O92" s="279">
        <v>1</v>
      </c>
      <c r="P92" s="322">
        <v>0</v>
      </c>
      <c r="Q92" s="279">
        <v>1</v>
      </c>
      <c r="R92" s="279">
        <v>1</v>
      </c>
      <c r="S92" s="280">
        <v>1</v>
      </c>
      <c r="T92" s="63"/>
      <c r="U92" s="94"/>
      <c r="V92" s="90"/>
      <c r="W92" s="91"/>
      <c r="X92" s="92"/>
    </row>
    <row r="93" spans="1:24" s="260" customFormat="1">
      <c r="A93" s="494">
        <v>0.05</v>
      </c>
      <c r="B93" s="87">
        <f>B92+1</f>
        <v>2</v>
      </c>
      <c r="C93" s="282">
        <v>45932</v>
      </c>
      <c r="D93" s="368">
        <v>73943</v>
      </c>
      <c r="E93" s="319" t="s">
        <v>245</v>
      </c>
      <c r="F93" s="284">
        <f>1138-113.8</f>
        <v>1024.2</v>
      </c>
      <c r="G93" s="284">
        <f>39.7+(82.81)</f>
        <v>122.51</v>
      </c>
      <c r="H93" s="284"/>
      <c r="I93" s="300">
        <f t="shared" si="22"/>
        <v>901.69</v>
      </c>
      <c r="J93" s="286" t="s">
        <v>156</v>
      </c>
      <c r="K93" s="286">
        <v>1</v>
      </c>
      <c r="L93" s="286">
        <v>1</v>
      </c>
      <c r="M93" s="286">
        <v>1</v>
      </c>
      <c r="N93" s="286">
        <v>1</v>
      </c>
      <c r="O93" s="286">
        <v>1</v>
      </c>
      <c r="P93" s="332">
        <v>0</v>
      </c>
      <c r="Q93" s="332">
        <v>0</v>
      </c>
      <c r="R93" s="332">
        <v>0</v>
      </c>
      <c r="S93" s="370">
        <v>0</v>
      </c>
      <c r="T93" s="21">
        <v>1</v>
      </c>
      <c r="U93" s="10"/>
      <c r="V93" s="90"/>
      <c r="W93" s="91"/>
      <c r="X93" s="92"/>
    </row>
    <row r="94" spans="1:24" s="260" customFormat="1">
      <c r="A94" s="31" t="s">
        <v>2313</v>
      </c>
      <c r="B94" s="87">
        <f>B93+1</f>
        <v>3</v>
      </c>
      <c r="C94" s="262">
        <v>45933</v>
      </c>
      <c r="D94" s="263">
        <v>73995</v>
      </c>
      <c r="E94" s="271" t="s">
        <v>635</v>
      </c>
      <c r="F94" s="265">
        <v>1138</v>
      </c>
      <c r="G94" s="265">
        <f>39.7+398</f>
        <v>437.7</v>
      </c>
      <c r="H94" s="265"/>
      <c r="I94" s="266">
        <f>F94-G94-H94</f>
        <v>700.3</v>
      </c>
      <c r="J94" s="267" t="s">
        <v>156</v>
      </c>
      <c r="K94" s="267">
        <v>1</v>
      </c>
      <c r="L94" s="267">
        <v>1</v>
      </c>
      <c r="M94" s="267">
        <v>1</v>
      </c>
      <c r="N94" s="267">
        <v>1</v>
      </c>
      <c r="O94" s="267">
        <v>1</v>
      </c>
      <c r="P94" s="314">
        <v>0</v>
      </c>
      <c r="Q94" s="314">
        <v>0</v>
      </c>
      <c r="R94" s="314">
        <v>0</v>
      </c>
      <c r="S94" s="366">
        <v>0</v>
      </c>
      <c r="T94" s="63"/>
      <c r="U94" s="94" t="s">
        <v>2320</v>
      </c>
      <c r="V94" s="90">
        <f>1138</f>
        <v>1138</v>
      </c>
      <c r="W94" s="136"/>
      <c r="X94" s="137"/>
    </row>
    <row r="95" spans="1:24">
      <c r="B95" s="132"/>
      <c r="C95" s="36"/>
      <c r="D95" s="123"/>
      <c r="E95" s="123"/>
      <c r="F95" s="98">
        <f>SUM(F92:F93)</f>
        <v>2162.1999999999998</v>
      </c>
      <c r="G95" s="98">
        <f>SUM(G92:G93)</f>
        <v>186.06</v>
      </c>
      <c r="H95" s="98">
        <f>SUM(H92:H93)</f>
        <v>0</v>
      </c>
      <c r="I95" s="98">
        <f>SUM(I92:I93)</f>
        <v>1976.14</v>
      </c>
      <c r="J95" s="127"/>
      <c r="K95" s="64"/>
      <c r="L95" s="64"/>
      <c r="M95" s="64"/>
      <c r="N95" s="64"/>
      <c r="O95" s="64"/>
      <c r="P95" s="64"/>
      <c r="Q95" s="64"/>
      <c r="R95" s="64"/>
      <c r="S95" s="64"/>
      <c r="T95" s="127"/>
      <c r="U95" s="123"/>
      <c r="V95" s="129"/>
      <c r="W95" s="130"/>
      <c r="X95" s="131"/>
    </row>
    <row r="96" spans="1:24">
      <c r="B96" s="11"/>
      <c r="C96" s="36"/>
      <c r="D96" s="10"/>
      <c r="E96" s="10"/>
      <c r="F96" s="88"/>
      <c r="G96" s="88"/>
      <c r="H96" s="88"/>
      <c r="I96" s="99"/>
      <c r="J96" s="63"/>
      <c r="K96" s="21"/>
      <c r="L96" s="21"/>
      <c r="M96" s="21"/>
      <c r="N96" s="21"/>
      <c r="O96" s="21"/>
      <c r="P96" s="21"/>
      <c r="Q96" s="21"/>
      <c r="R96" s="21"/>
      <c r="S96" s="21"/>
      <c r="T96" s="63"/>
      <c r="U96" s="94"/>
      <c r="V96" s="90"/>
      <c r="W96" s="91"/>
      <c r="X96" s="92"/>
    </row>
    <row r="97" spans="1:24">
      <c r="B97" s="100" t="s">
        <v>72</v>
      </c>
      <c r="C97" s="609"/>
      <c r="D97" s="10"/>
      <c r="E97" s="10"/>
      <c r="F97" s="88"/>
      <c r="G97" s="88"/>
      <c r="H97" s="88"/>
      <c r="I97" s="99"/>
      <c r="J97" s="63"/>
      <c r="K97" s="63"/>
      <c r="L97" s="63"/>
      <c r="M97" s="63"/>
      <c r="N97" s="63"/>
      <c r="O97" s="63"/>
      <c r="P97" s="63"/>
      <c r="Q97" s="63"/>
      <c r="R97" s="63"/>
      <c r="S97" s="63"/>
      <c r="T97" s="63"/>
      <c r="U97" s="10"/>
      <c r="V97" s="90"/>
      <c r="W97" s="91"/>
      <c r="X97" s="92"/>
    </row>
    <row r="98" spans="1:24">
      <c r="B98" s="87">
        <v>1</v>
      </c>
      <c r="C98" s="262">
        <v>45937</v>
      </c>
      <c r="D98" s="271">
        <v>74109</v>
      </c>
      <c r="E98" s="271" t="s">
        <v>672</v>
      </c>
      <c r="F98" s="265">
        <v>0</v>
      </c>
      <c r="G98" s="265">
        <v>0</v>
      </c>
      <c r="H98" s="265"/>
      <c r="I98" s="272">
        <f t="shared" ref="I98" si="23">F98-G98-H98</f>
        <v>0</v>
      </c>
      <c r="J98" s="267" t="s">
        <v>219</v>
      </c>
      <c r="K98" s="267"/>
      <c r="L98" s="267"/>
      <c r="M98" s="267"/>
      <c r="N98" s="267"/>
      <c r="O98" s="267"/>
      <c r="P98" s="267"/>
      <c r="Q98" s="267"/>
      <c r="R98" s="267"/>
      <c r="S98" s="269"/>
      <c r="T98" s="63"/>
      <c r="U98" s="3"/>
      <c r="V98" s="90"/>
      <c r="W98" s="91"/>
      <c r="X98" s="92"/>
    </row>
    <row r="99" spans="1:24">
      <c r="B99" s="11"/>
      <c r="C99" s="36"/>
      <c r="D99" s="10"/>
      <c r="E99" s="10"/>
      <c r="F99" s="97">
        <f>SUM(F98:F98)</f>
        <v>0</v>
      </c>
      <c r="G99" s="97">
        <f>SUM(G98:G98)</f>
        <v>0</v>
      </c>
      <c r="H99" s="97">
        <f>SUM(H98:H98)</f>
        <v>0</v>
      </c>
      <c r="I99" s="98">
        <f>SUM(I98:I98)</f>
        <v>0</v>
      </c>
      <c r="J99" s="10"/>
      <c r="K99" s="10"/>
      <c r="L99" s="10"/>
      <c r="M99" s="10"/>
      <c r="N99" s="10"/>
      <c r="O99" s="10"/>
      <c r="P99" s="10"/>
      <c r="Q99" s="10"/>
      <c r="R99" s="10"/>
      <c r="S99" s="10"/>
      <c r="T99" s="63"/>
      <c r="U99" s="10"/>
      <c r="V99" s="138"/>
      <c r="W99" s="136"/>
      <c r="X99" s="137"/>
    </row>
    <row r="100" spans="1:24">
      <c r="B100" s="26"/>
      <c r="C100" s="612"/>
      <c r="D100" s="141"/>
      <c r="E100" s="141"/>
      <c r="F100" s="141"/>
      <c r="G100" s="141"/>
      <c r="H100" s="141"/>
      <c r="I100" s="141"/>
      <c r="J100" s="141"/>
      <c r="K100" s="142"/>
      <c r="L100" s="142"/>
      <c r="M100" s="142"/>
      <c r="N100" s="142"/>
      <c r="O100" s="142"/>
      <c r="P100" s="142"/>
      <c r="Q100" s="142"/>
      <c r="R100" s="142"/>
      <c r="S100" s="142"/>
      <c r="T100" s="143">
        <f>SUM(T85:T99)</f>
        <v>1</v>
      </c>
      <c r="U100" s="141"/>
      <c r="V100" s="144">
        <f>SUM(V85:V99)</f>
        <v>2252.11</v>
      </c>
      <c r="W100" s="144">
        <f t="shared" ref="W100:X100" si="24">SUM(W85:W99)</f>
        <v>0</v>
      </c>
      <c r="X100" s="144">
        <f t="shared" si="24"/>
        <v>0</v>
      </c>
    </row>
    <row r="101" spans="1:24">
      <c r="B101" s="10"/>
      <c r="C101" s="36"/>
      <c r="D101" s="10"/>
      <c r="E101" s="10"/>
      <c r="F101" s="10"/>
      <c r="G101" s="10"/>
      <c r="H101" s="10"/>
      <c r="I101" s="10"/>
      <c r="J101" s="10"/>
      <c r="K101" s="147"/>
      <c r="L101" s="147"/>
      <c r="M101" s="147"/>
      <c r="N101" s="147"/>
      <c r="O101" s="147"/>
      <c r="P101" s="147"/>
      <c r="Q101" s="147"/>
      <c r="R101" s="147"/>
      <c r="S101" s="147"/>
      <c r="T101" s="21"/>
      <c r="U101" s="10"/>
      <c r="V101" s="99"/>
      <c r="W101" s="99"/>
      <c r="X101" s="99"/>
    </row>
    <row r="103" spans="1:24">
      <c r="A103" s="613"/>
      <c r="B103" s="4" t="s">
        <v>1</v>
      </c>
      <c r="C103" s="5"/>
      <c r="D103" s="6"/>
      <c r="E103" s="6"/>
      <c r="F103" s="7" t="s">
        <v>2</v>
      </c>
      <c r="G103" s="608">
        <v>45949</v>
      </c>
      <c r="H103" s="7"/>
      <c r="I103" s="6"/>
      <c r="J103" s="6"/>
      <c r="K103" s="6"/>
      <c r="L103" s="6"/>
      <c r="M103" s="6"/>
      <c r="N103" s="6"/>
      <c r="O103" s="6"/>
      <c r="P103" s="6"/>
      <c r="Q103" s="6"/>
      <c r="R103" s="6"/>
      <c r="S103" s="6"/>
      <c r="T103" s="6"/>
      <c r="U103" s="9"/>
      <c r="V103" s="10"/>
      <c r="W103" s="10"/>
      <c r="X103" s="10"/>
    </row>
    <row r="104" spans="1:24">
      <c r="A104" s="614"/>
      <c r="B104" s="11"/>
      <c r="C104" s="10"/>
      <c r="D104" s="10"/>
      <c r="E104" s="10"/>
      <c r="F104" s="10"/>
      <c r="G104" s="7"/>
      <c r="H104" s="12"/>
      <c r="I104" s="10"/>
      <c r="J104" s="10"/>
      <c r="K104" s="13" t="s">
        <v>3</v>
      </c>
      <c r="L104" s="14"/>
      <c r="M104" s="15"/>
      <c r="N104" s="13" t="s">
        <v>4</v>
      </c>
      <c r="O104" s="14"/>
      <c r="P104" s="15"/>
      <c r="Q104" s="13" t="s">
        <v>5</v>
      </c>
      <c r="R104" s="14"/>
      <c r="S104" s="15"/>
      <c r="T104" s="16"/>
      <c r="U104" s="17"/>
      <c r="V104" s="10"/>
      <c r="W104" s="10"/>
      <c r="X104" s="10"/>
    </row>
    <row r="105" spans="1:24">
      <c r="A105" s="614"/>
      <c r="B105" s="18" t="s">
        <v>6</v>
      </c>
      <c r="C105" s="19">
        <f>C106+C107</f>
        <v>0</v>
      </c>
      <c r="D105" s="10"/>
      <c r="E105" s="18" t="s">
        <v>7</v>
      </c>
      <c r="F105" s="6"/>
      <c r="G105" s="9"/>
      <c r="H105" s="10"/>
      <c r="I105" s="10"/>
      <c r="J105" s="10"/>
      <c r="K105" s="20" t="s">
        <v>8</v>
      </c>
      <c r="L105" s="21" t="s">
        <v>9</v>
      </c>
      <c r="M105" s="21" t="s">
        <v>10</v>
      </c>
      <c r="N105" s="20" t="s">
        <v>11</v>
      </c>
      <c r="O105" s="21" t="s">
        <v>12</v>
      </c>
      <c r="P105" s="22" t="s">
        <v>13</v>
      </c>
      <c r="Q105" s="21" t="s">
        <v>11</v>
      </c>
      <c r="R105" s="21" t="s">
        <v>12</v>
      </c>
      <c r="S105" s="22" t="s">
        <v>13</v>
      </c>
      <c r="T105" s="23" t="s">
        <v>14</v>
      </c>
      <c r="U105" s="17"/>
      <c r="V105" s="10"/>
      <c r="W105" s="10"/>
      <c r="X105" s="10"/>
    </row>
    <row r="106" spans="1:24">
      <c r="A106" s="614"/>
      <c r="B106" s="24" t="s">
        <v>15</v>
      </c>
      <c r="C106" s="25">
        <f>P113</f>
        <v>0</v>
      </c>
      <c r="D106" s="10"/>
      <c r="E106" s="26" t="s">
        <v>16</v>
      </c>
      <c r="F106" s="27">
        <v>0.05</v>
      </c>
      <c r="G106" s="28"/>
      <c r="H106" s="10"/>
      <c r="I106" s="10"/>
      <c r="J106" s="18" t="s">
        <v>17</v>
      </c>
      <c r="K106" s="29">
        <f>K132</f>
        <v>0</v>
      </c>
      <c r="L106" s="29">
        <f>L132</f>
        <v>0</v>
      </c>
      <c r="M106" s="29">
        <f>M132</f>
        <v>0</v>
      </c>
      <c r="N106" s="29">
        <f>N132</f>
        <v>0</v>
      </c>
      <c r="O106" s="29">
        <f>O132</f>
        <v>0</v>
      </c>
      <c r="P106" s="29">
        <f>P132</f>
        <v>0</v>
      </c>
      <c r="Q106" s="29">
        <f>Q132</f>
        <v>0</v>
      </c>
      <c r="R106" s="29">
        <f>R132</f>
        <v>0</v>
      </c>
      <c r="S106" s="29">
        <f>S132</f>
        <v>0</v>
      </c>
      <c r="T106" s="30">
        <f>T142</f>
        <v>1</v>
      </c>
      <c r="U106" s="17"/>
      <c r="V106" s="10"/>
      <c r="W106" s="10"/>
      <c r="X106" s="10"/>
    </row>
    <row r="107" spans="1:24">
      <c r="A107" s="614"/>
      <c r="B107" s="24" t="s">
        <v>18</v>
      </c>
      <c r="C107" s="25">
        <f>P114</f>
        <v>0</v>
      </c>
      <c r="D107" s="10"/>
      <c r="E107" s="10"/>
      <c r="F107" s="10"/>
      <c r="G107" s="31"/>
      <c r="H107" s="10"/>
      <c r="I107" s="10"/>
      <c r="J107" s="32" t="s">
        <v>19</v>
      </c>
      <c r="K107" s="33" t="e">
        <f>K132/K131</f>
        <v>#DIV/0!</v>
      </c>
      <c r="L107" s="33" t="e">
        <f>L132/L131</f>
        <v>#DIV/0!</v>
      </c>
      <c r="M107" s="33" t="e">
        <f>M132/M131</f>
        <v>#DIV/0!</v>
      </c>
      <c r="N107" s="33" t="e">
        <f>N132/N131</f>
        <v>#DIV/0!</v>
      </c>
      <c r="O107" s="33" t="e">
        <f>O132/O131</f>
        <v>#DIV/0!</v>
      </c>
      <c r="P107" s="33" t="e">
        <f>P132/P131</f>
        <v>#DIV/0!</v>
      </c>
      <c r="Q107" s="33" t="e">
        <f>Q132/Q131</f>
        <v>#DIV/0!</v>
      </c>
      <c r="R107" s="33" t="e">
        <f>R132/R131</f>
        <v>#DIV/0!</v>
      </c>
      <c r="S107" s="33" t="e">
        <f>S132/S131</f>
        <v>#DIV/0!</v>
      </c>
      <c r="T107" s="23"/>
      <c r="U107" s="17" t="s">
        <v>20</v>
      </c>
      <c r="V107" s="10"/>
      <c r="W107" s="10"/>
      <c r="X107" s="10"/>
    </row>
    <row r="108" spans="1:24">
      <c r="A108" s="614"/>
      <c r="B108" s="24" t="s">
        <v>21</v>
      </c>
      <c r="C108" s="34" t="e">
        <f>P115</f>
        <v>#DIV/0!</v>
      </c>
      <c r="D108" s="10"/>
      <c r="E108" s="10"/>
      <c r="F108" s="10"/>
      <c r="G108" s="10"/>
      <c r="H108" s="10"/>
      <c r="I108" s="10"/>
      <c r="J108" s="10"/>
      <c r="K108" s="10"/>
      <c r="L108" s="10"/>
      <c r="M108" s="10"/>
      <c r="N108" s="10"/>
      <c r="O108" s="10"/>
      <c r="P108" s="10"/>
      <c r="Q108" s="10"/>
      <c r="R108" s="10"/>
      <c r="S108" s="10"/>
      <c r="T108" s="10"/>
      <c r="U108" s="17"/>
      <c r="V108" s="10"/>
      <c r="W108" s="10"/>
      <c r="X108" s="10"/>
    </row>
    <row r="109" spans="1:24">
      <c r="A109" s="614"/>
      <c r="B109" s="24"/>
      <c r="C109" s="25"/>
      <c r="D109" s="10"/>
      <c r="E109" s="10"/>
      <c r="F109" s="18" t="s">
        <v>22</v>
      </c>
      <c r="G109" s="19" t="s">
        <v>23</v>
      </c>
      <c r="H109" s="35" t="s">
        <v>24</v>
      </c>
      <c r="I109" s="10"/>
      <c r="J109" s="10"/>
      <c r="K109" s="36"/>
      <c r="L109" s="36"/>
      <c r="M109" s="36"/>
      <c r="N109" s="36"/>
      <c r="O109" s="36"/>
      <c r="P109" s="36"/>
      <c r="Q109" s="36"/>
      <c r="R109" s="10"/>
      <c r="S109" s="10"/>
      <c r="T109" s="10"/>
      <c r="U109" s="17"/>
      <c r="V109" s="10"/>
      <c r="W109" s="10"/>
      <c r="X109" s="10"/>
    </row>
    <row r="110" spans="1:24">
      <c r="A110" s="614"/>
      <c r="B110" s="32" t="s">
        <v>25</v>
      </c>
      <c r="C110" s="37" t="e">
        <f>P116</f>
        <v>#DIV/0!</v>
      </c>
      <c r="D110" s="10"/>
      <c r="E110" s="18" t="s">
        <v>26</v>
      </c>
      <c r="F110" s="38">
        <f>P112</f>
        <v>0</v>
      </c>
      <c r="G110" s="39">
        <f>I131</f>
        <v>0</v>
      </c>
      <c r="H110" s="40"/>
      <c r="I110" s="41"/>
      <c r="J110" s="42"/>
      <c r="K110" s="43" t="s">
        <v>27</v>
      </c>
      <c r="L110" s="44"/>
      <c r="M110" s="44"/>
      <c r="N110" s="44"/>
      <c r="O110" s="44"/>
      <c r="P110" s="44"/>
      <c r="Q110" s="45"/>
      <c r="R110" s="46" t="s">
        <v>28</v>
      </c>
      <c r="S110" s="47" t="s">
        <v>29</v>
      </c>
      <c r="T110" s="10"/>
      <c r="U110" s="17"/>
      <c r="V110" s="10"/>
      <c r="W110" s="10"/>
      <c r="X110" s="10"/>
    </row>
    <row r="111" spans="1:24">
      <c r="A111" s="614"/>
      <c r="B111" s="11"/>
      <c r="C111" s="10"/>
      <c r="D111" s="10"/>
      <c r="E111" s="24" t="s">
        <v>30</v>
      </c>
      <c r="F111" s="48">
        <f>F106</f>
        <v>0.05</v>
      </c>
      <c r="G111" s="17"/>
      <c r="H111" s="40"/>
      <c r="I111" s="41"/>
      <c r="J111" s="42"/>
      <c r="K111" s="20" t="s">
        <v>31</v>
      </c>
      <c r="L111" s="21" t="s">
        <v>32</v>
      </c>
      <c r="M111" s="21" t="s">
        <v>33</v>
      </c>
      <c r="N111" s="21" t="s">
        <v>34</v>
      </c>
      <c r="O111" s="21" t="s">
        <v>35</v>
      </c>
      <c r="P111" s="21" t="s">
        <v>36</v>
      </c>
      <c r="Q111" s="49" t="s">
        <v>37</v>
      </c>
      <c r="R111" s="50" t="s">
        <v>38</v>
      </c>
      <c r="S111" s="50" t="s">
        <v>38</v>
      </c>
      <c r="T111" s="10"/>
      <c r="U111" s="17"/>
      <c r="V111" s="10"/>
      <c r="W111" s="10"/>
      <c r="X111" s="10"/>
    </row>
    <row r="112" spans="1:24">
      <c r="A112" s="614"/>
      <c r="B112" s="11"/>
      <c r="C112" s="10"/>
      <c r="D112" s="10"/>
      <c r="E112" s="51" t="s">
        <v>39</v>
      </c>
      <c r="F112" s="52">
        <f>F110*F111</f>
        <v>0</v>
      </c>
      <c r="G112" s="53" t="s">
        <v>40</v>
      </c>
      <c r="H112" s="54">
        <f>F112/1.12</f>
        <v>0</v>
      </c>
      <c r="I112" s="55"/>
      <c r="J112" s="42"/>
      <c r="K112" s="56">
        <v>0</v>
      </c>
      <c r="L112" s="57">
        <v>0</v>
      </c>
      <c r="M112" s="57">
        <v>0</v>
      </c>
      <c r="N112" s="57">
        <v>0</v>
      </c>
      <c r="O112" s="57">
        <v>0</v>
      </c>
      <c r="P112" s="57">
        <f>SUM(K112:O112)</f>
        <v>0</v>
      </c>
      <c r="Q112" s="58">
        <v>0</v>
      </c>
      <c r="R112" s="59">
        <v>0</v>
      </c>
      <c r="S112" s="59">
        <v>0</v>
      </c>
      <c r="T112" s="10"/>
      <c r="U112" s="17"/>
      <c r="V112" s="10"/>
      <c r="W112" s="10"/>
      <c r="X112" s="10"/>
    </row>
    <row r="113" spans="1:24">
      <c r="A113" s="614"/>
      <c r="B113" s="11"/>
      <c r="C113" s="10"/>
      <c r="D113" s="10"/>
      <c r="E113" s="24" t="s">
        <v>41</v>
      </c>
      <c r="F113" s="60">
        <f>Q112</f>
        <v>0</v>
      </c>
      <c r="G113" s="61" t="s">
        <v>40</v>
      </c>
      <c r="H113" s="62"/>
      <c r="I113" s="62"/>
      <c r="J113" s="10" t="s">
        <v>42</v>
      </c>
      <c r="K113" s="63">
        <v>0</v>
      </c>
      <c r="L113" s="63">
        <v>0</v>
      </c>
      <c r="M113" s="63">
        <v>0</v>
      </c>
      <c r="N113" s="63">
        <v>0</v>
      </c>
      <c r="O113" s="63">
        <v>0</v>
      </c>
      <c r="P113" s="21">
        <f>SUM(K113:O113)</f>
        <v>0</v>
      </c>
      <c r="Q113" s="64"/>
      <c r="R113" s="63"/>
      <c r="S113" s="10"/>
      <c r="T113" s="10"/>
      <c r="U113" s="17"/>
      <c r="V113" s="10"/>
      <c r="W113" s="10"/>
      <c r="X113" s="10"/>
    </row>
    <row r="114" spans="1:24">
      <c r="A114" s="614"/>
      <c r="B114" s="11"/>
      <c r="C114" s="10"/>
      <c r="D114" s="10"/>
      <c r="E114" s="51" t="s">
        <v>43</v>
      </c>
      <c r="F114" s="52">
        <f>F113*0.25</f>
        <v>0</v>
      </c>
      <c r="G114" s="53" t="s">
        <v>40</v>
      </c>
      <c r="H114" s="54">
        <f>F114/1.12</f>
        <v>0</v>
      </c>
      <c r="I114" s="10"/>
      <c r="J114" s="10" t="s">
        <v>44</v>
      </c>
      <c r="K114" s="63">
        <v>0</v>
      </c>
      <c r="L114" s="63">
        <v>0</v>
      </c>
      <c r="M114" s="63">
        <v>0</v>
      </c>
      <c r="N114" s="63">
        <v>0</v>
      </c>
      <c r="O114" s="63">
        <v>0</v>
      </c>
      <c r="P114" s="21">
        <f>SUM(K114:O114)</f>
        <v>0</v>
      </c>
      <c r="Q114" s="64"/>
      <c r="R114" s="63"/>
      <c r="S114" s="10"/>
      <c r="T114" s="10"/>
      <c r="U114" s="17"/>
      <c r="V114" s="10"/>
      <c r="W114" s="10"/>
      <c r="X114" s="10"/>
    </row>
    <row r="115" spans="1:24">
      <c r="A115" s="614"/>
      <c r="B115" s="11"/>
      <c r="C115" s="10"/>
      <c r="D115" s="10"/>
      <c r="E115" s="24" t="s">
        <v>45</v>
      </c>
      <c r="F115" s="60">
        <f>I136</f>
        <v>700.3</v>
      </c>
      <c r="G115" s="61" t="s">
        <v>40</v>
      </c>
      <c r="H115" s="62"/>
      <c r="I115" s="10"/>
      <c r="J115" s="10" t="s">
        <v>46</v>
      </c>
      <c r="K115" s="31" t="e">
        <f>K113/(K113+K114)</f>
        <v>#DIV/0!</v>
      </c>
      <c r="L115" s="31" t="e">
        <f>L113/(L113+L114)</f>
        <v>#DIV/0!</v>
      </c>
      <c r="M115" s="31" t="e">
        <f>M113/(M113+M114)</f>
        <v>#DIV/0!</v>
      </c>
      <c r="N115" s="31" t="e">
        <f>N113/(N113+N114)</f>
        <v>#DIV/0!</v>
      </c>
      <c r="O115" s="31" t="e">
        <f>O113/(O113+O114)</f>
        <v>#DIV/0!</v>
      </c>
      <c r="P115" s="31" t="e">
        <f>P113/(P113+P114)</f>
        <v>#DIV/0!</v>
      </c>
      <c r="Q115" s="31" t="e">
        <f>Q113/(Q113+Q114)</f>
        <v>#DIV/0!</v>
      </c>
      <c r="R115" s="63"/>
      <c r="S115" s="10"/>
      <c r="T115" s="10"/>
      <c r="U115" s="17"/>
      <c r="V115" s="10"/>
      <c r="W115" s="10"/>
      <c r="X115" s="10"/>
    </row>
    <row r="116" spans="1:24">
      <c r="A116" s="614"/>
      <c r="B116" s="11"/>
      <c r="C116" s="10"/>
      <c r="D116" s="10"/>
      <c r="E116" s="51" t="s">
        <v>47</v>
      </c>
      <c r="F116" s="52">
        <f>F115*0.05</f>
        <v>35.015000000000001</v>
      </c>
      <c r="G116" s="65" t="s">
        <v>40</v>
      </c>
      <c r="H116" s="54">
        <f>F116/1.12</f>
        <v>31.263392857142854</v>
      </c>
      <c r="I116" s="42"/>
      <c r="J116" s="10" t="s">
        <v>48</v>
      </c>
      <c r="K116" s="66" t="e">
        <f>K112/K113</f>
        <v>#DIV/0!</v>
      </c>
      <c r="L116" s="66" t="e">
        <f>L112/L113</f>
        <v>#DIV/0!</v>
      </c>
      <c r="M116" s="66" t="e">
        <f>M112/M113</f>
        <v>#DIV/0!</v>
      </c>
      <c r="N116" s="66" t="e">
        <f>N112/N113</f>
        <v>#DIV/0!</v>
      </c>
      <c r="O116" s="66" t="e">
        <f>O112/O113</f>
        <v>#DIV/0!</v>
      </c>
      <c r="P116" s="66" t="e">
        <f>P112/P113</f>
        <v>#DIV/0!</v>
      </c>
      <c r="Q116" s="66" t="e">
        <f>Q112/Q113</f>
        <v>#DIV/0!</v>
      </c>
      <c r="R116" s="63"/>
      <c r="S116" s="10"/>
      <c r="T116" s="10"/>
      <c r="U116" s="17"/>
      <c r="V116" s="10"/>
      <c r="W116" s="10"/>
      <c r="X116" s="10"/>
    </row>
    <row r="117" spans="1:24">
      <c r="A117" s="614"/>
      <c r="B117" s="11"/>
      <c r="C117" s="10"/>
      <c r="D117" s="10"/>
      <c r="E117" s="67" t="s">
        <v>14</v>
      </c>
      <c r="F117" s="68">
        <f>1*50</f>
        <v>50</v>
      </c>
      <c r="G117" s="10"/>
      <c r="H117" s="54">
        <f>F117/1.12</f>
        <v>44.642857142857139</v>
      </c>
      <c r="I117" s="10"/>
      <c r="J117" s="10"/>
      <c r="K117" s="10"/>
      <c r="L117" s="10"/>
      <c r="M117" s="10"/>
      <c r="N117" s="10"/>
      <c r="O117" s="10"/>
      <c r="P117" s="10"/>
      <c r="Q117" s="10"/>
      <c r="R117" s="10"/>
      <c r="S117" s="10"/>
      <c r="T117" s="10"/>
      <c r="U117" s="17"/>
      <c r="V117" s="10"/>
      <c r="W117" s="10"/>
      <c r="X117" s="10"/>
    </row>
    <row r="118" spans="1:24">
      <c r="A118" s="614"/>
      <c r="B118" s="11"/>
      <c r="C118" s="10"/>
      <c r="D118" s="10"/>
      <c r="E118" s="67" t="s">
        <v>49</v>
      </c>
      <c r="F118" s="69">
        <f>T107</f>
        <v>0</v>
      </c>
      <c r="G118" s="10"/>
      <c r="H118" s="54"/>
      <c r="I118" s="55"/>
      <c r="J118" s="42"/>
      <c r="K118" s="764" t="s">
        <v>50</v>
      </c>
      <c r="L118" s="765"/>
      <c r="M118" s="765"/>
      <c r="N118" s="765"/>
      <c r="O118" s="765"/>
      <c r="P118" s="765"/>
      <c r="Q118" s="766"/>
      <c r="R118" s="70" t="s">
        <v>28</v>
      </c>
      <c r="S118" s="71" t="s">
        <v>29</v>
      </c>
      <c r="T118" s="10"/>
      <c r="U118" s="17"/>
      <c r="V118" s="10"/>
      <c r="W118" s="10"/>
      <c r="X118" s="10"/>
    </row>
    <row r="119" spans="1:24">
      <c r="A119" s="614"/>
      <c r="B119" s="11"/>
      <c r="C119" s="10"/>
      <c r="D119" s="10"/>
      <c r="E119" s="155" t="s">
        <v>2321</v>
      </c>
      <c r="F119" s="156">
        <f>$F$68</f>
        <v>22.005000000000003</v>
      </c>
      <c r="G119" s="123"/>
      <c r="H119" s="54">
        <f>F119/1.12</f>
        <v>19.647321428571431</v>
      </c>
      <c r="I119" s="10"/>
      <c r="J119" s="42"/>
      <c r="K119" s="20" t="s">
        <v>31</v>
      </c>
      <c r="L119" s="21" t="s">
        <v>32</v>
      </c>
      <c r="M119" s="21" t="s">
        <v>33</v>
      </c>
      <c r="N119" s="21" t="s">
        <v>34</v>
      </c>
      <c r="O119" s="21" t="s">
        <v>35</v>
      </c>
      <c r="P119" s="21" t="s">
        <v>36</v>
      </c>
      <c r="Q119" s="49" t="s">
        <v>37</v>
      </c>
      <c r="R119" s="50" t="s">
        <v>38</v>
      </c>
      <c r="S119" s="50" t="s">
        <v>38</v>
      </c>
      <c r="T119" s="10"/>
      <c r="U119" s="17"/>
      <c r="V119" s="10"/>
      <c r="W119" s="10"/>
      <c r="X119" s="10"/>
    </row>
    <row r="120" spans="1:24">
      <c r="A120" s="614"/>
      <c r="B120" s="11"/>
      <c r="C120" s="10"/>
      <c r="D120" s="10"/>
      <c r="E120" s="10"/>
      <c r="F120" s="10"/>
      <c r="G120" s="10"/>
      <c r="H120" s="10"/>
      <c r="I120" s="10"/>
      <c r="J120" s="42"/>
      <c r="K120" s="56">
        <v>0</v>
      </c>
      <c r="L120" s="57">
        <v>0</v>
      </c>
      <c r="M120" s="57">
        <v>0</v>
      </c>
      <c r="N120" s="57">
        <v>0</v>
      </c>
      <c r="O120" s="57">
        <v>0</v>
      </c>
      <c r="P120" s="57">
        <f>SUM(K120:O120)</f>
        <v>0</v>
      </c>
      <c r="Q120" s="58">
        <v>0</v>
      </c>
      <c r="R120" s="59">
        <v>0</v>
      </c>
      <c r="S120" s="59">
        <v>0</v>
      </c>
      <c r="T120" s="10"/>
      <c r="U120" s="17"/>
      <c r="V120" s="10"/>
      <c r="W120" s="10"/>
      <c r="X120" s="10"/>
    </row>
    <row r="121" spans="1:24">
      <c r="A121" s="614"/>
      <c r="B121" s="11"/>
      <c r="C121" s="10"/>
      <c r="D121" s="10"/>
      <c r="E121" s="10"/>
      <c r="F121" s="10"/>
      <c r="G121" s="10"/>
      <c r="H121" s="10"/>
      <c r="I121" s="10"/>
      <c r="J121" s="10" t="s">
        <v>42</v>
      </c>
      <c r="K121" s="63">
        <f>K113</f>
        <v>0</v>
      </c>
      <c r="L121" s="63">
        <f>L113</f>
        <v>0</v>
      </c>
      <c r="M121" s="63">
        <f>M113</f>
        <v>0</v>
      </c>
      <c r="N121" s="63">
        <f>N113</f>
        <v>0</v>
      </c>
      <c r="O121" s="63">
        <f>O113</f>
        <v>0</v>
      </c>
      <c r="P121" s="63">
        <f>P113</f>
        <v>0</v>
      </c>
      <c r="Q121" s="63">
        <f>Q113</f>
        <v>0</v>
      </c>
      <c r="R121" s="63"/>
      <c r="S121" s="10"/>
      <c r="T121" s="10"/>
      <c r="U121" s="17"/>
      <c r="V121" s="10"/>
      <c r="W121" s="10"/>
      <c r="X121" s="10"/>
    </row>
    <row r="122" spans="1:24">
      <c r="A122" s="614"/>
      <c r="B122" s="11"/>
      <c r="C122" s="10"/>
      <c r="D122" s="10"/>
      <c r="E122" s="10"/>
      <c r="F122" s="10"/>
      <c r="G122" s="10"/>
      <c r="H122" s="10"/>
      <c r="I122" s="10"/>
      <c r="J122" s="10" t="s">
        <v>44</v>
      </c>
      <c r="K122" s="63">
        <f>K114</f>
        <v>0</v>
      </c>
      <c r="L122" s="63">
        <f>L114</f>
        <v>0</v>
      </c>
      <c r="M122" s="63">
        <f>M114</f>
        <v>0</v>
      </c>
      <c r="N122" s="63">
        <f>N114</f>
        <v>0</v>
      </c>
      <c r="O122" s="63">
        <f>O114</f>
        <v>0</v>
      </c>
      <c r="P122" s="63">
        <f>P114</f>
        <v>0</v>
      </c>
      <c r="Q122" s="63">
        <f>Q114</f>
        <v>0</v>
      </c>
      <c r="R122" s="63"/>
      <c r="S122" s="10"/>
      <c r="T122" s="10"/>
      <c r="U122" s="17"/>
      <c r="V122" s="10"/>
      <c r="W122" s="10"/>
      <c r="X122" s="10"/>
    </row>
    <row r="123" spans="1:24">
      <c r="A123" s="614"/>
      <c r="B123" s="11"/>
      <c r="C123" s="10"/>
      <c r="D123" s="10"/>
      <c r="E123" s="12"/>
      <c r="F123" s="76"/>
      <c r="G123" s="10"/>
      <c r="H123" s="10"/>
      <c r="I123" s="10"/>
      <c r="J123" s="10" t="s">
        <v>46</v>
      </c>
      <c r="K123" s="31" t="e">
        <f>K121/(K121+K122)</f>
        <v>#DIV/0!</v>
      </c>
      <c r="L123" s="31" t="e">
        <f>L121/(L121+L122)</f>
        <v>#DIV/0!</v>
      </c>
      <c r="M123" s="31" t="e">
        <f>M121/(M121+M122)</f>
        <v>#DIV/0!</v>
      </c>
      <c r="N123" s="31" t="e">
        <f>N121/(N121+N122)</f>
        <v>#DIV/0!</v>
      </c>
      <c r="O123" s="31" t="e">
        <f>O121/(O121+O122)</f>
        <v>#DIV/0!</v>
      </c>
      <c r="P123" s="31" t="e">
        <f>P121/(P121+P122)</f>
        <v>#DIV/0!</v>
      </c>
      <c r="Q123" s="31" t="e">
        <f>Q121/(Q121+Q122)</f>
        <v>#DIV/0!</v>
      </c>
      <c r="R123" s="63"/>
      <c r="S123" s="10"/>
      <c r="T123" s="10"/>
      <c r="U123" s="17"/>
      <c r="V123" s="10"/>
      <c r="W123" s="10"/>
      <c r="X123" s="10"/>
    </row>
    <row r="124" spans="1:24">
      <c r="A124" s="614"/>
      <c r="B124" s="11"/>
      <c r="C124" s="10"/>
      <c r="D124" s="10"/>
      <c r="E124" s="10"/>
      <c r="F124" s="10"/>
      <c r="G124" s="10"/>
      <c r="H124" s="10"/>
      <c r="I124" s="10"/>
      <c r="J124" s="10" t="s">
        <v>48</v>
      </c>
      <c r="K124" s="66" t="e">
        <f>K120/K121</f>
        <v>#DIV/0!</v>
      </c>
      <c r="L124" s="66" t="e">
        <f>L120/L121</f>
        <v>#DIV/0!</v>
      </c>
      <c r="M124" s="66" t="e">
        <f>M120/M121</f>
        <v>#DIV/0!</v>
      </c>
      <c r="N124" s="66" t="e">
        <f>N120/N121</f>
        <v>#DIV/0!</v>
      </c>
      <c r="O124" s="66" t="e">
        <f>O120/O121</f>
        <v>#DIV/0!</v>
      </c>
      <c r="P124" s="66" t="e">
        <f>P120/P121</f>
        <v>#DIV/0!</v>
      </c>
      <c r="Q124" s="66" t="e">
        <f>Q120/Q121</f>
        <v>#DIV/0!</v>
      </c>
      <c r="R124" s="63"/>
      <c r="S124" s="10"/>
      <c r="T124" s="10"/>
      <c r="U124" s="17"/>
      <c r="V124" s="10"/>
      <c r="W124" s="10"/>
      <c r="X124" s="10"/>
    </row>
    <row r="125" spans="1:24">
      <c r="A125" s="614"/>
      <c r="B125" s="11"/>
      <c r="C125" s="10"/>
      <c r="D125" s="10"/>
      <c r="E125" s="10"/>
      <c r="F125" s="10"/>
      <c r="G125" s="10"/>
      <c r="H125" s="10"/>
      <c r="I125" s="10"/>
      <c r="J125" s="10"/>
      <c r="K125" s="10"/>
      <c r="L125" s="10"/>
      <c r="M125" s="10"/>
      <c r="N125" s="10"/>
      <c r="O125" s="10"/>
      <c r="P125" s="10"/>
      <c r="Q125" s="10"/>
      <c r="R125" s="10"/>
      <c r="S125" s="10"/>
      <c r="T125" s="10"/>
      <c r="U125" s="17"/>
      <c r="V125" s="10"/>
      <c r="W125" s="10"/>
      <c r="X125" s="10"/>
    </row>
    <row r="126" spans="1:24">
      <c r="A126" s="614"/>
      <c r="B126" s="11"/>
      <c r="C126" s="10"/>
      <c r="D126" s="10"/>
      <c r="E126" s="10"/>
      <c r="F126" s="10"/>
      <c r="G126" s="10"/>
      <c r="H126" s="10"/>
      <c r="I126" s="10"/>
      <c r="J126" s="10"/>
      <c r="K126" s="10"/>
      <c r="L126" s="10"/>
      <c r="M126" s="10"/>
      <c r="N126" s="10"/>
      <c r="O126" s="10"/>
      <c r="P126" s="10"/>
      <c r="Q126" s="10"/>
      <c r="R126" s="10"/>
      <c r="S126" s="10"/>
      <c r="T126" s="10"/>
      <c r="U126" s="17"/>
      <c r="V126" s="10"/>
      <c r="W126" s="10"/>
      <c r="X126" s="10"/>
    </row>
    <row r="127" spans="1:24">
      <c r="A127" s="614"/>
      <c r="B127" s="18" t="s">
        <v>51</v>
      </c>
      <c r="C127" s="14"/>
      <c r="D127" s="14"/>
      <c r="E127" s="14"/>
      <c r="F127" s="13" t="s">
        <v>52</v>
      </c>
      <c r="G127" s="14"/>
      <c r="H127" s="14"/>
      <c r="I127" s="14"/>
      <c r="J127" s="14"/>
      <c r="K127" s="13" t="s">
        <v>3</v>
      </c>
      <c r="L127" s="14"/>
      <c r="M127" s="14"/>
      <c r="N127" s="13" t="s">
        <v>4</v>
      </c>
      <c r="O127" s="14"/>
      <c r="P127" s="14"/>
      <c r="Q127" s="13" t="s">
        <v>5</v>
      </c>
      <c r="R127" s="14"/>
      <c r="S127" s="14"/>
      <c r="T127" s="18"/>
      <c r="U127" s="16" t="s">
        <v>53</v>
      </c>
      <c r="V127" s="77"/>
      <c r="W127" s="77"/>
      <c r="X127" s="77"/>
    </row>
    <row r="128" spans="1:24">
      <c r="A128" s="614"/>
      <c r="B128" s="24" t="s">
        <v>54</v>
      </c>
      <c r="C128" s="21" t="s">
        <v>55</v>
      </c>
      <c r="D128" s="21" t="s">
        <v>56</v>
      </c>
      <c r="E128" s="21" t="s">
        <v>57</v>
      </c>
      <c r="F128" s="20" t="s">
        <v>58</v>
      </c>
      <c r="G128" s="21" t="s">
        <v>59</v>
      </c>
      <c r="H128" s="21" t="s">
        <v>60</v>
      </c>
      <c r="I128" s="21" t="s">
        <v>26</v>
      </c>
      <c r="J128" s="22" t="s">
        <v>61</v>
      </c>
      <c r="K128" s="21" t="s">
        <v>8</v>
      </c>
      <c r="L128" s="21" t="s">
        <v>9</v>
      </c>
      <c r="M128" s="21" t="s">
        <v>10</v>
      </c>
      <c r="N128" s="20" t="s">
        <v>11</v>
      </c>
      <c r="O128" s="21" t="s">
        <v>12</v>
      </c>
      <c r="P128" s="22" t="s">
        <v>13</v>
      </c>
      <c r="Q128" s="21" t="s">
        <v>11</v>
      </c>
      <c r="R128" s="21" t="s">
        <v>12</v>
      </c>
      <c r="S128" s="21" t="s">
        <v>13</v>
      </c>
      <c r="T128" s="78" t="s">
        <v>14</v>
      </c>
      <c r="U128" s="30"/>
      <c r="V128" s="79" t="s">
        <v>62</v>
      </c>
      <c r="W128" s="80" t="s">
        <v>63</v>
      </c>
      <c r="X128" s="81" t="s">
        <v>64</v>
      </c>
    </row>
    <row r="129" spans="1:25">
      <c r="A129" s="614"/>
      <c r="B129" s="4" t="s">
        <v>65</v>
      </c>
      <c r="C129" s="6"/>
      <c r="D129" s="6"/>
      <c r="E129" s="6"/>
      <c r="F129" s="6"/>
      <c r="G129" s="6"/>
      <c r="H129" s="6"/>
      <c r="I129" s="82"/>
      <c r="J129" s="6"/>
      <c r="K129" s="6"/>
      <c r="L129" s="6"/>
      <c r="M129" s="6"/>
      <c r="N129" s="6"/>
      <c r="O129" s="6"/>
      <c r="P129" s="6"/>
      <c r="Q129" s="6"/>
      <c r="R129" s="6"/>
      <c r="S129" s="6"/>
      <c r="T129" s="83"/>
      <c r="U129" s="6"/>
      <c r="V129" s="84"/>
      <c r="W129" s="85"/>
      <c r="X129" s="86"/>
    </row>
    <row r="130" spans="1:25">
      <c r="A130" s="614"/>
      <c r="B130" s="87">
        <v>1</v>
      </c>
      <c r="C130" s="712"/>
      <c r="D130" s="271"/>
      <c r="E130" s="271"/>
      <c r="F130" s="265"/>
      <c r="G130" s="265"/>
      <c r="H130" s="365"/>
      <c r="I130" s="272">
        <f>F130-G130-H130</f>
        <v>0</v>
      </c>
      <c r="J130" s="267"/>
      <c r="K130" s="267"/>
      <c r="L130" s="267"/>
      <c r="M130" s="267"/>
      <c r="N130" s="267"/>
      <c r="O130" s="267"/>
      <c r="P130" s="267"/>
      <c r="Q130" s="267"/>
      <c r="R130" s="267"/>
      <c r="S130" s="269"/>
      <c r="T130" s="63"/>
      <c r="U130" s="10"/>
      <c r="V130" s="90"/>
      <c r="W130" s="91"/>
      <c r="X130" s="92"/>
    </row>
    <row r="131" spans="1:25">
      <c r="A131" s="614"/>
      <c r="B131" s="87"/>
      <c r="C131" s="609"/>
      <c r="D131" s="10"/>
      <c r="E131" s="10"/>
      <c r="F131" s="97">
        <f>SUM(F130:F130)</f>
        <v>0</v>
      </c>
      <c r="G131" s="97">
        <f>SUM(G130:G130)</f>
        <v>0</v>
      </c>
      <c r="H131" s="97">
        <f>SUM(H130:H130)</f>
        <v>0</v>
      </c>
      <c r="I131" s="98">
        <f>SUM(I130:I130)</f>
        <v>0</v>
      </c>
      <c r="J131" s="63"/>
      <c r="K131" s="63">
        <f>COUNT(K130:K130)</f>
        <v>0</v>
      </c>
      <c r="L131" s="63">
        <f>COUNT(L130:L130)</f>
        <v>0</v>
      </c>
      <c r="M131" s="63">
        <f>COUNT(M130:M130)</f>
        <v>0</v>
      </c>
      <c r="N131" s="63">
        <f>COUNT(N130:N130)</f>
        <v>0</v>
      </c>
      <c r="O131" s="63">
        <f>COUNT(O130:O130)</f>
        <v>0</v>
      </c>
      <c r="P131" s="63">
        <f>COUNT(P130:P130)</f>
        <v>0</v>
      </c>
      <c r="Q131" s="63">
        <f>COUNT(Q130:Q130)</f>
        <v>0</v>
      </c>
      <c r="R131" s="63">
        <f>COUNT(R130:R130)</f>
        <v>0</v>
      </c>
      <c r="S131" s="63">
        <f>COUNT(S130:S130)</f>
        <v>0</v>
      </c>
      <c r="T131" s="63"/>
      <c r="U131" s="10"/>
      <c r="V131" s="90"/>
      <c r="W131" s="91"/>
      <c r="X131" s="92"/>
    </row>
    <row r="132" spans="1:25">
      <c r="A132" s="614"/>
      <c r="B132" s="87"/>
      <c r="C132" s="609"/>
      <c r="D132" s="10"/>
      <c r="E132" s="10"/>
      <c r="F132" s="88"/>
      <c r="G132" s="88"/>
      <c r="H132" s="88"/>
      <c r="I132" s="99"/>
      <c r="J132" s="63"/>
      <c r="K132" s="21">
        <f>SUM(K130:K130)</f>
        <v>0</v>
      </c>
      <c r="L132" s="21">
        <f>SUM(L130:L130)</f>
        <v>0</v>
      </c>
      <c r="M132" s="21">
        <f>SUM(M130:M130)</f>
        <v>0</v>
      </c>
      <c r="N132" s="21">
        <f>SUM(N130:N130)</f>
        <v>0</v>
      </c>
      <c r="O132" s="21">
        <f>SUM(O130:O130)</f>
        <v>0</v>
      </c>
      <c r="P132" s="21">
        <f>SUM(P130:P130)</f>
        <v>0</v>
      </c>
      <c r="Q132" s="21">
        <f>SUM(Q130:Q130)</f>
        <v>0</v>
      </c>
      <c r="R132" s="21">
        <f>SUM(R130:R130)</f>
        <v>0</v>
      </c>
      <c r="S132" s="21">
        <f>SUM(S130:S130)</f>
        <v>0</v>
      </c>
      <c r="T132" s="63"/>
      <c r="U132" s="10"/>
      <c r="V132" s="90"/>
      <c r="W132" s="91"/>
      <c r="X132" s="92"/>
    </row>
    <row r="133" spans="1:25">
      <c r="A133" s="614"/>
      <c r="B133" s="11"/>
      <c r="C133" s="609"/>
      <c r="D133" s="10"/>
      <c r="E133" s="10"/>
      <c r="F133" s="88"/>
      <c r="G133" s="88"/>
      <c r="H133" s="88"/>
      <c r="I133" s="99"/>
      <c r="J133" s="63"/>
      <c r="K133" s="21"/>
      <c r="L133" s="21"/>
      <c r="M133" s="21"/>
      <c r="N133" s="21"/>
      <c r="O133" s="21"/>
      <c r="P133" s="21"/>
      <c r="Q133" s="21"/>
      <c r="R133" s="21"/>
      <c r="S133" s="21"/>
      <c r="T133" s="63"/>
      <c r="U133" s="94"/>
      <c r="V133" s="90"/>
      <c r="W133" s="91"/>
      <c r="X133" s="92"/>
    </row>
    <row r="134" spans="1:25">
      <c r="B134" s="100" t="s">
        <v>67</v>
      </c>
      <c r="C134" s="609"/>
      <c r="D134" s="10"/>
      <c r="E134" s="10"/>
      <c r="F134" s="88"/>
      <c r="G134" s="62"/>
      <c r="H134" s="88"/>
      <c r="I134" s="99"/>
      <c r="J134" s="63"/>
      <c r="K134" s="2"/>
      <c r="L134" s="2"/>
      <c r="M134" s="2"/>
      <c r="N134" s="2"/>
      <c r="O134" s="2"/>
      <c r="P134" s="2"/>
      <c r="Q134" s="2"/>
      <c r="R134" s="2"/>
      <c r="S134" s="2"/>
      <c r="T134" s="63"/>
      <c r="U134" s="94"/>
      <c r="V134" s="90"/>
      <c r="W134" s="91"/>
      <c r="X134" s="92"/>
      <c r="Y134" s="2"/>
    </row>
    <row r="135" spans="1:25">
      <c r="A135" s="31" t="s">
        <v>2313</v>
      </c>
      <c r="B135" s="87">
        <v>1</v>
      </c>
      <c r="C135" s="262">
        <v>45933</v>
      </c>
      <c r="D135" s="263">
        <v>73995</v>
      </c>
      <c r="E135" s="271" t="s">
        <v>635</v>
      </c>
      <c r="F135" s="265">
        <v>1138</v>
      </c>
      <c r="G135" s="265">
        <f>39.7+398</f>
        <v>437.7</v>
      </c>
      <c r="H135" s="265"/>
      <c r="I135" s="266">
        <f>F135-G135-H135</f>
        <v>700.3</v>
      </c>
      <c r="J135" s="267" t="s">
        <v>156</v>
      </c>
      <c r="K135" s="267">
        <v>1</v>
      </c>
      <c r="L135" s="267">
        <v>1</v>
      </c>
      <c r="M135" s="267">
        <v>1</v>
      </c>
      <c r="N135" s="267">
        <v>1</v>
      </c>
      <c r="O135" s="267">
        <v>1</v>
      </c>
      <c r="P135" s="314">
        <v>0</v>
      </c>
      <c r="Q135" s="314">
        <v>0</v>
      </c>
      <c r="R135" s="314">
        <v>0</v>
      </c>
      <c r="S135" s="366">
        <v>0</v>
      </c>
      <c r="T135" s="63"/>
      <c r="U135" s="94" t="s">
        <v>2320</v>
      </c>
      <c r="V135" s="90"/>
      <c r="W135" s="136"/>
      <c r="X135" s="137"/>
      <c r="Y135" s="260"/>
    </row>
    <row r="136" spans="1:25">
      <c r="B136" s="11"/>
      <c r="C136" s="609"/>
      <c r="D136" s="10"/>
      <c r="E136" s="10"/>
      <c r="F136" s="97">
        <f>SUM(F135:F135)</f>
        <v>1138</v>
      </c>
      <c r="G136" s="97">
        <f>SUM(G135:G135)</f>
        <v>437.7</v>
      </c>
      <c r="H136" s="97">
        <f>SUM(H135:H135)</f>
        <v>0</v>
      </c>
      <c r="I136" s="98">
        <f>SUM(I135:I135)</f>
        <v>700.3</v>
      </c>
      <c r="J136" s="63"/>
      <c r="K136" s="21"/>
      <c r="L136" s="21"/>
      <c r="M136" s="21"/>
      <c r="N136" s="21"/>
      <c r="O136" s="21"/>
      <c r="P136" s="21"/>
      <c r="Q136" s="21"/>
      <c r="R136" s="21"/>
      <c r="S136" s="21"/>
      <c r="T136" s="63"/>
      <c r="U136" s="94"/>
      <c r="V136" s="90"/>
      <c r="W136" s="91"/>
      <c r="X136" s="92"/>
      <c r="Y136" s="2"/>
    </row>
    <row r="137" spans="1:25">
      <c r="B137" s="11"/>
      <c r="C137" s="609"/>
      <c r="D137" s="10"/>
      <c r="E137" s="10"/>
      <c r="F137" s="88"/>
      <c r="G137" s="88"/>
      <c r="H137" s="88"/>
      <c r="I137" s="99"/>
      <c r="J137" s="63"/>
      <c r="K137" s="21"/>
      <c r="L137" s="21"/>
      <c r="M137" s="21"/>
      <c r="N137" s="21"/>
      <c r="O137" s="21"/>
      <c r="P137" s="21"/>
      <c r="Q137" s="21"/>
      <c r="R137" s="21"/>
      <c r="S137" s="21"/>
      <c r="T137" s="63"/>
      <c r="U137" s="94"/>
      <c r="V137" s="90"/>
      <c r="W137" s="91"/>
      <c r="X137" s="92"/>
      <c r="Y137" s="2"/>
    </row>
    <row r="138" spans="1:25">
      <c r="B138" s="100" t="s">
        <v>152</v>
      </c>
      <c r="C138" s="611"/>
      <c r="D138" s="123"/>
      <c r="E138" s="123"/>
      <c r="F138" s="124"/>
      <c r="G138" s="125"/>
      <c r="H138" s="124"/>
      <c r="I138" s="126"/>
      <c r="J138" s="127"/>
      <c r="K138" s="128"/>
      <c r="L138" s="128"/>
      <c r="M138" s="128"/>
      <c r="N138" s="128"/>
      <c r="O138" s="128"/>
      <c r="P138" s="128"/>
      <c r="Q138" s="128"/>
      <c r="R138" s="128"/>
      <c r="S138" s="128"/>
      <c r="T138" s="127"/>
      <c r="U138" s="123"/>
      <c r="V138" s="129"/>
      <c r="W138" s="130"/>
      <c r="X138" s="131"/>
    </row>
    <row r="139" spans="1:25" s="260" customFormat="1">
      <c r="A139" s="494">
        <v>0.05</v>
      </c>
      <c r="B139" s="87">
        <v>1</v>
      </c>
      <c r="C139" s="274">
        <v>45932</v>
      </c>
      <c r="D139" s="327" t="s">
        <v>2312</v>
      </c>
      <c r="E139" s="276" t="s">
        <v>291</v>
      </c>
      <c r="F139" s="277">
        <v>1138</v>
      </c>
      <c r="G139" s="277">
        <f>39.7+(23.85)</f>
        <v>63.550000000000004</v>
      </c>
      <c r="H139" s="277"/>
      <c r="I139" s="321">
        <f t="shared" ref="I139:I140" si="25">F139-G139-H139</f>
        <v>1074.45</v>
      </c>
      <c r="J139" s="279" t="s">
        <v>156</v>
      </c>
      <c r="K139" s="279">
        <v>1</v>
      </c>
      <c r="L139" s="322">
        <v>0</v>
      </c>
      <c r="M139" s="279">
        <v>1</v>
      </c>
      <c r="N139" s="279">
        <v>1</v>
      </c>
      <c r="O139" s="279">
        <v>1</v>
      </c>
      <c r="P139" s="322">
        <v>0</v>
      </c>
      <c r="Q139" s="279">
        <v>1</v>
      </c>
      <c r="R139" s="279">
        <v>1</v>
      </c>
      <c r="S139" s="280">
        <v>1</v>
      </c>
      <c r="T139" s="63"/>
      <c r="U139" s="94"/>
      <c r="V139" s="90"/>
      <c r="W139" s="91"/>
      <c r="X139" s="92"/>
    </row>
    <row r="140" spans="1:25" s="260" customFormat="1">
      <c r="A140" s="494">
        <v>0.05</v>
      </c>
      <c r="B140" s="87">
        <f>B139+1</f>
        <v>2</v>
      </c>
      <c r="C140" s="282">
        <v>45932</v>
      </c>
      <c r="D140" s="368">
        <v>73943</v>
      </c>
      <c r="E140" s="319" t="s">
        <v>245</v>
      </c>
      <c r="F140" s="284">
        <f>1138-113.8</f>
        <v>1024.2</v>
      </c>
      <c r="G140" s="284">
        <f>39.7+(82.81)</f>
        <v>122.51</v>
      </c>
      <c r="H140" s="284"/>
      <c r="I140" s="300">
        <f t="shared" si="25"/>
        <v>901.69</v>
      </c>
      <c r="J140" s="286" t="s">
        <v>156</v>
      </c>
      <c r="K140" s="286">
        <v>1</v>
      </c>
      <c r="L140" s="286">
        <v>1</v>
      </c>
      <c r="M140" s="286">
        <v>1</v>
      </c>
      <c r="N140" s="286">
        <v>1</v>
      </c>
      <c r="O140" s="286">
        <v>1</v>
      </c>
      <c r="P140" s="332">
        <v>0</v>
      </c>
      <c r="Q140" s="332">
        <v>0</v>
      </c>
      <c r="R140" s="332">
        <v>0</v>
      </c>
      <c r="S140" s="370">
        <v>0</v>
      </c>
      <c r="T140" s="21">
        <v>1</v>
      </c>
      <c r="U140" s="10"/>
      <c r="V140" s="90"/>
      <c r="W140" s="91"/>
      <c r="X140" s="92"/>
    </row>
    <row r="141" spans="1:25">
      <c r="B141" s="132"/>
      <c r="C141" s="36"/>
      <c r="D141" s="123"/>
      <c r="E141" s="123"/>
      <c r="F141" s="98">
        <f>SUM(F139:F140)</f>
        <v>2162.1999999999998</v>
      </c>
      <c r="G141" s="98">
        <f>SUM(G139:G140)</f>
        <v>186.06</v>
      </c>
      <c r="H141" s="98">
        <f>SUM(H139:H140)</f>
        <v>0</v>
      </c>
      <c r="I141" s="98">
        <f>SUM(I139:I140)</f>
        <v>1976.14</v>
      </c>
      <c r="J141" s="127"/>
      <c r="K141" s="64"/>
      <c r="L141" s="64"/>
      <c r="M141" s="64"/>
      <c r="N141" s="64"/>
      <c r="O141" s="64"/>
      <c r="P141" s="64"/>
      <c r="Q141" s="64"/>
      <c r="R141" s="64"/>
      <c r="S141" s="64"/>
      <c r="T141" s="127"/>
      <c r="U141" s="123"/>
      <c r="V141" s="129"/>
      <c r="W141" s="130"/>
      <c r="X141" s="131"/>
    </row>
    <row r="142" spans="1:25">
      <c r="A142" s="614"/>
      <c r="B142" s="26"/>
      <c r="C142" s="612"/>
      <c r="D142" s="141"/>
      <c r="E142" s="141"/>
      <c r="F142" s="141"/>
      <c r="G142" s="141"/>
      <c r="H142" s="141"/>
      <c r="I142" s="141"/>
      <c r="J142" s="141"/>
      <c r="K142" s="142"/>
      <c r="L142" s="142"/>
      <c r="M142" s="142"/>
      <c r="N142" s="142"/>
      <c r="O142" s="142"/>
      <c r="P142" s="142"/>
      <c r="Q142" s="142"/>
      <c r="R142" s="142"/>
      <c r="S142" s="142"/>
      <c r="T142" s="143">
        <f>SUM(T130:T141)</f>
        <v>1</v>
      </c>
      <c r="U142" s="141"/>
      <c r="V142" s="144">
        <f>SUM(V130:V141)</f>
        <v>0</v>
      </c>
      <c r="W142" s="145">
        <f>SUM(W130:W141)</f>
        <v>0</v>
      </c>
      <c r="X142" s="146">
        <f>SUM(X130:X141)</f>
        <v>0</v>
      </c>
    </row>
    <row r="145" spans="2:25">
      <c r="B145" s="4" t="s">
        <v>1</v>
      </c>
      <c r="C145" s="5"/>
      <c r="D145" s="6"/>
      <c r="E145" s="6"/>
      <c r="F145" s="7" t="s">
        <v>2</v>
      </c>
      <c r="G145" s="608">
        <v>45956</v>
      </c>
      <c r="H145" s="7"/>
      <c r="I145" s="6"/>
      <c r="J145" s="6"/>
      <c r="K145" s="6"/>
      <c r="L145" s="6"/>
      <c r="M145" s="6"/>
      <c r="N145" s="6"/>
      <c r="O145" s="6"/>
      <c r="P145" s="6"/>
      <c r="Q145" s="6"/>
      <c r="R145" s="6"/>
      <c r="S145" s="6"/>
      <c r="T145" s="6"/>
      <c r="U145" s="9"/>
      <c r="V145" s="10"/>
      <c r="W145" s="10"/>
      <c r="X145" s="10"/>
      <c r="Y145" s="2"/>
    </row>
    <row r="146" spans="2:25">
      <c r="B146" s="11"/>
      <c r="C146" s="10"/>
      <c r="D146" s="10"/>
      <c r="E146" s="10"/>
      <c r="F146" s="10"/>
      <c r="G146" s="7"/>
      <c r="H146" s="12"/>
      <c r="I146" s="10"/>
      <c r="J146" s="10"/>
      <c r="K146" s="13" t="s">
        <v>3</v>
      </c>
      <c r="L146" s="14"/>
      <c r="M146" s="15"/>
      <c r="N146" s="13" t="s">
        <v>4</v>
      </c>
      <c r="O146" s="14"/>
      <c r="P146" s="15"/>
      <c r="Q146" s="13" t="s">
        <v>5</v>
      </c>
      <c r="R146" s="14"/>
      <c r="S146" s="15"/>
      <c r="T146" s="16"/>
      <c r="U146" s="17"/>
      <c r="V146" s="10"/>
      <c r="W146" s="10"/>
      <c r="X146" s="10"/>
      <c r="Y146" s="2"/>
    </row>
    <row r="147" spans="2:25">
      <c r="B147" s="18" t="s">
        <v>6</v>
      </c>
      <c r="C147" s="19">
        <f>C148+C149</f>
        <v>0</v>
      </c>
      <c r="D147" s="10"/>
      <c r="E147" s="18" t="s">
        <v>7</v>
      </c>
      <c r="F147" s="6"/>
      <c r="G147" s="9"/>
      <c r="H147" s="10"/>
      <c r="I147" s="10"/>
      <c r="J147" s="10"/>
      <c r="K147" s="20" t="s">
        <v>8</v>
      </c>
      <c r="L147" s="21" t="s">
        <v>9</v>
      </c>
      <c r="M147" s="21" t="s">
        <v>10</v>
      </c>
      <c r="N147" s="20" t="s">
        <v>11</v>
      </c>
      <c r="O147" s="21" t="s">
        <v>12</v>
      </c>
      <c r="P147" s="22" t="s">
        <v>13</v>
      </c>
      <c r="Q147" s="21" t="s">
        <v>11</v>
      </c>
      <c r="R147" s="21" t="s">
        <v>12</v>
      </c>
      <c r="S147" s="22" t="s">
        <v>13</v>
      </c>
      <c r="T147" s="23" t="s">
        <v>14</v>
      </c>
      <c r="U147" s="17"/>
      <c r="V147" s="10"/>
      <c r="W147" s="10"/>
      <c r="X147" s="10"/>
      <c r="Y147" s="2"/>
    </row>
    <row r="148" spans="2:25">
      <c r="B148" s="24" t="s">
        <v>15</v>
      </c>
      <c r="C148" s="25">
        <f>P155</f>
        <v>0</v>
      </c>
      <c r="D148" s="10"/>
      <c r="E148" s="26" t="s">
        <v>16</v>
      </c>
      <c r="F148" s="27">
        <v>0.05</v>
      </c>
      <c r="G148" s="28"/>
      <c r="H148" s="10"/>
      <c r="I148" s="10"/>
      <c r="J148" s="18" t="s">
        <v>17</v>
      </c>
      <c r="K148" s="29">
        <f>K174</f>
        <v>0</v>
      </c>
      <c r="L148" s="29">
        <f t="shared" ref="L148:S148" si="26">L174</f>
        <v>0</v>
      </c>
      <c r="M148" s="29">
        <f t="shared" si="26"/>
        <v>0</v>
      </c>
      <c r="N148" s="29">
        <f t="shared" si="26"/>
        <v>0</v>
      </c>
      <c r="O148" s="29">
        <f t="shared" si="26"/>
        <v>0</v>
      </c>
      <c r="P148" s="29">
        <f t="shared" si="26"/>
        <v>0</v>
      </c>
      <c r="Q148" s="29">
        <f t="shared" si="26"/>
        <v>0</v>
      </c>
      <c r="R148" s="29">
        <f t="shared" si="26"/>
        <v>0</v>
      </c>
      <c r="S148" s="29">
        <f t="shared" si="26"/>
        <v>0</v>
      </c>
      <c r="T148" s="30">
        <f>T180</f>
        <v>1</v>
      </c>
      <c r="U148" s="17"/>
      <c r="V148" s="10"/>
      <c r="W148" s="10"/>
      <c r="X148" s="10"/>
      <c r="Y148" s="2"/>
    </row>
    <row r="149" spans="2:25">
      <c r="B149" s="24" t="s">
        <v>18</v>
      </c>
      <c r="C149" s="25">
        <f>P156</f>
        <v>0</v>
      </c>
      <c r="D149" s="10"/>
      <c r="E149" s="10"/>
      <c r="F149" s="10"/>
      <c r="G149" s="31"/>
      <c r="H149" s="10"/>
      <c r="I149" s="10"/>
      <c r="J149" s="32" t="s">
        <v>19</v>
      </c>
      <c r="K149" s="33" t="e">
        <f>K174/K173</f>
        <v>#DIV/0!</v>
      </c>
      <c r="L149" s="33" t="e">
        <f t="shared" ref="L149:S149" si="27">L174/L173</f>
        <v>#DIV/0!</v>
      </c>
      <c r="M149" s="33" t="e">
        <f t="shared" si="27"/>
        <v>#DIV/0!</v>
      </c>
      <c r="N149" s="33" t="e">
        <f t="shared" si="27"/>
        <v>#DIV/0!</v>
      </c>
      <c r="O149" s="33" t="e">
        <f t="shared" si="27"/>
        <v>#DIV/0!</v>
      </c>
      <c r="P149" s="33" t="e">
        <f t="shared" si="27"/>
        <v>#DIV/0!</v>
      </c>
      <c r="Q149" s="33" t="e">
        <f t="shared" si="27"/>
        <v>#DIV/0!</v>
      </c>
      <c r="R149" s="33" t="e">
        <f t="shared" si="27"/>
        <v>#DIV/0!</v>
      </c>
      <c r="S149" s="33" t="e">
        <f t="shared" si="27"/>
        <v>#DIV/0!</v>
      </c>
      <c r="T149" s="23"/>
      <c r="U149" s="17" t="s">
        <v>20</v>
      </c>
      <c r="V149" s="10"/>
      <c r="W149" s="10"/>
      <c r="X149" s="10"/>
      <c r="Y149" s="2"/>
    </row>
    <row r="150" spans="2:25">
      <c r="B150" s="24" t="s">
        <v>21</v>
      </c>
      <c r="C150" s="34" t="e">
        <f>P157</f>
        <v>#DIV/0!</v>
      </c>
      <c r="D150" s="10"/>
      <c r="E150" s="10"/>
      <c r="F150" s="10"/>
      <c r="G150" s="10"/>
      <c r="H150" s="10"/>
      <c r="I150" s="10"/>
      <c r="J150" s="10"/>
      <c r="K150" s="10"/>
      <c r="L150" s="10"/>
      <c r="M150" s="10"/>
      <c r="N150" s="10"/>
      <c r="O150" s="10"/>
      <c r="P150" s="10"/>
      <c r="Q150" s="10"/>
      <c r="R150" s="10"/>
      <c r="S150" s="10"/>
      <c r="T150" s="10"/>
      <c r="U150" s="17"/>
      <c r="V150" s="10"/>
      <c r="W150" s="10"/>
      <c r="X150" s="10"/>
      <c r="Y150" s="2"/>
    </row>
    <row r="151" spans="2:25">
      <c r="B151" s="24"/>
      <c r="C151" s="25"/>
      <c r="D151" s="10"/>
      <c r="E151" s="10"/>
      <c r="F151" s="18" t="s">
        <v>22</v>
      </c>
      <c r="G151" s="19" t="s">
        <v>23</v>
      </c>
      <c r="H151" s="35" t="s">
        <v>24</v>
      </c>
      <c r="I151" s="10"/>
      <c r="J151" s="10"/>
      <c r="K151" s="36"/>
      <c r="L151" s="36"/>
      <c r="M151" s="36"/>
      <c r="N151" s="36"/>
      <c r="O151" s="36"/>
      <c r="P151" s="36"/>
      <c r="Q151" s="36"/>
      <c r="R151" s="10"/>
      <c r="S151" s="10"/>
      <c r="T151" s="10"/>
      <c r="U151" s="17"/>
      <c r="V151" s="10"/>
      <c r="W151" s="10"/>
      <c r="X151" s="10"/>
      <c r="Y151" s="2"/>
    </row>
    <row r="152" spans="2:25">
      <c r="B152" s="32" t="s">
        <v>25</v>
      </c>
      <c r="C152" s="37" t="e">
        <f>P158</f>
        <v>#DIV/0!</v>
      </c>
      <c r="D152" s="10"/>
      <c r="E152" s="18" t="s">
        <v>26</v>
      </c>
      <c r="F152" s="38">
        <f>P154</f>
        <v>0</v>
      </c>
      <c r="G152" s="39">
        <f>I173</f>
        <v>0</v>
      </c>
      <c r="H152" s="40"/>
      <c r="I152" s="41"/>
      <c r="J152" s="42"/>
      <c r="K152" s="43" t="s">
        <v>27</v>
      </c>
      <c r="L152" s="44"/>
      <c r="M152" s="44"/>
      <c r="N152" s="44"/>
      <c r="O152" s="44"/>
      <c r="P152" s="44"/>
      <c r="Q152" s="45"/>
      <c r="R152" s="46" t="s">
        <v>28</v>
      </c>
      <c r="S152" s="47" t="s">
        <v>29</v>
      </c>
      <c r="T152" s="10"/>
      <c r="U152" s="17"/>
      <c r="V152" s="10"/>
      <c r="W152" s="10"/>
      <c r="X152" s="10"/>
      <c r="Y152" s="2"/>
    </row>
    <row r="153" spans="2:25">
      <c r="B153" s="11"/>
      <c r="C153" s="10"/>
      <c r="D153" s="10"/>
      <c r="E153" s="24" t="s">
        <v>30</v>
      </c>
      <c r="F153" s="48">
        <f>F148</f>
        <v>0.05</v>
      </c>
      <c r="G153" s="17"/>
      <c r="H153" s="40"/>
      <c r="I153" s="41"/>
      <c r="J153" s="42"/>
      <c r="K153" s="20" t="s">
        <v>31</v>
      </c>
      <c r="L153" s="21" t="s">
        <v>32</v>
      </c>
      <c r="M153" s="21" t="s">
        <v>33</v>
      </c>
      <c r="N153" s="21" t="s">
        <v>34</v>
      </c>
      <c r="O153" s="21" t="s">
        <v>35</v>
      </c>
      <c r="P153" s="21" t="s">
        <v>36</v>
      </c>
      <c r="Q153" s="49" t="s">
        <v>37</v>
      </c>
      <c r="R153" s="50" t="s">
        <v>38</v>
      </c>
      <c r="S153" s="50" t="s">
        <v>38</v>
      </c>
      <c r="T153" s="10"/>
      <c r="U153" s="17"/>
      <c r="V153" s="10"/>
      <c r="W153" s="10"/>
      <c r="X153" s="10"/>
      <c r="Y153" s="2"/>
    </row>
    <row r="154" spans="2:25">
      <c r="B154" s="11"/>
      <c r="C154" s="10"/>
      <c r="D154" s="10"/>
      <c r="E154" s="51" t="s">
        <v>39</v>
      </c>
      <c r="F154" s="52">
        <f>F152*F153</f>
        <v>0</v>
      </c>
      <c r="G154" s="53" t="s">
        <v>40</v>
      </c>
      <c r="H154" s="54">
        <f>F154/1.12</f>
        <v>0</v>
      </c>
      <c r="I154" s="55"/>
      <c r="J154" s="42"/>
      <c r="K154" s="56"/>
      <c r="L154" s="57"/>
      <c r="M154" s="57"/>
      <c r="N154" s="57"/>
      <c r="O154" s="57"/>
      <c r="P154" s="57">
        <f>SUM(K154:O154)</f>
        <v>0</v>
      </c>
      <c r="Q154" s="58">
        <v>0</v>
      </c>
      <c r="R154" s="59" t="e">
        <f>#REF!+#REF!</f>
        <v>#REF!</v>
      </c>
      <c r="S154" s="59" t="e">
        <f>#REF!+#REF!</f>
        <v>#REF!</v>
      </c>
      <c r="T154" s="10"/>
      <c r="U154" s="17"/>
      <c r="V154" s="10"/>
      <c r="W154" s="10"/>
      <c r="X154" s="10"/>
      <c r="Y154" s="2"/>
    </row>
    <row r="155" spans="2:25">
      <c r="B155" s="11"/>
      <c r="C155" s="10"/>
      <c r="D155" s="10"/>
      <c r="E155" s="24" t="s">
        <v>41</v>
      </c>
      <c r="F155" s="60">
        <f>Q154</f>
        <v>0</v>
      </c>
      <c r="G155" s="61" t="s">
        <v>40</v>
      </c>
      <c r="H155" s="62"/>
      <c r="I155" s="62"/>
      <c r="J155" s="10" t="s">
        <v>42</v>
      </c>
      <c r="K155" s="63"/>
      <c r="L155" s="63"/>
      <c r="M155" s="63"/>
      <c r="N155" s="63"/>
      <c r="O155" s="63"/>
      <c r="P155" s="21">
        <f>SUM(K155:O155)</f>
        <v>0</v>
      </c>
      <c r="Q155" s="64"/>
      <c r="R155" s="63"/>
      <c r="S155" s="10"/>
      <c r="T155" s="10"/>
      <c r="U155" s="17"/>
      <c r="V155" s="10"/>
      <c r="W155" s="10"/>
      <c r="X155" s="10"/>
      <c r="Y155" s="2"/>
    </row>
    <row r="156" spans="2:25">
      <c r="B156" s="11"/>
      <c r="C156" s="10"/>
      <c r="D156" s="10"/>
      <c r="E156" s="51" t="s">
        <v>43</v>
      </c>
      <c r="F156" s="52">
        <f>F155*0.25</f>
        <v>0</v>
      </c>
      <c r="G156" s="53" t="s">
        <v>40</v>
      </c>
      <c r="H156" s="54">
        <f>F156/1.12</f>
        <v>0</v>
      </c>
      <c r="I156" s="10"/>
      <c r="J156" s="10" t="s">
        <v>44</v>
      </c>
      <c r="K156" s="63"/>
      <c r="L156" s="63"/>
      <c r="M156" s="63"/>
      <c r="N156" s="63"/>
      <c r="O156" s="63"/>
      <c r="P156" s="21">
        <f>SUM(K156:O156)</f>
        <v>0</v>
      </c>
      <c r="Q156" s="64"/>
      <c r="R156" s="63"/>
      <c r="S156" s="10"/>
      <c r="T156" s="10"/>
      <c r="U156" s="17"/>
      <c r="V156" s="10"/>
      <c r="W156" s="10"/>
      <c r="X156" s="10"/>
      <c r="Y156" s="2"/>
    </row>
    <row r="157" spans="2:25">
      <c r="B157" s="11"/>
      <c r="C157" s="10"/>
      <c r="D157" s="10"/>
      <c r="E157" s="24" t="s">
        <v>45</v>
      </c>
      <c r="F157" s="60"/>
      <c r="G157" s="61" t="s">
        <v>40</v>
      </c>
      <c r="H157" s="62"/>
      <c r="I157" s="10"/>
      <c r="J157" s="10" t="s">
        <v>46</v>
      </c>
      <c r="K157" s="31" t="e">
        <f t="shared" ref="K157:Q157" si="28">K155/(K155+K156)</f>
        <v>#DIV/0!</v>
      </c>
      <c r="L157" s="31" t="e">
        <f t="shared" si="28"/>
        <v>#DIV/0!</v>
      </c>
      <c r="M157" s="31" t="e">
        <f t="shared" si="28"/>
        <v>#DIV/0!</v>
      </c>
      <c r="N157" s="31" t="e">
        <f t="shared" si="28"/>
        <v>#DIV/0!</v>
      </c>
      <c r="O157" s="31" t="e">
        <f t="shared" si="28"/>
        <v>#DIV/0!</v>
      </c>
      <c r="P157" s="31" t="e">
        <f t="shared" si="28"/>
        <v>#DIV/0!</v>
      </c>
      <c r="Q157" s="31" t="e">
        <f t="shared" si="28"/>
        <v>#DIV/0!</v>
      </c>
      <c r="R157" s="63"/>
      <c r="S157" s="10"/>
      <c r="T157" s="10"/>
      <c r="U157" s="17"/>
      <c r="V157" s="10"/>
      <c r="W157" s="10"/>
      <c r="X157" s="10"/>
      <c r="Y157" s="2"/>
    </row>
    <row r="158" spans="2:25">
      <c r="B158" s="11"/>
      <c r="C158" s="10"/>
      <c r="D158" s="10"/>
      <c r="E158" s="51" t="s">
        <v>47</v>
      </c>
      <c r="F158" s="52">
        <f>F157*0.05</f>
        <v>0</v>
      </c>
      <c r="G158" s="65" t="s">
        <v>40</v>
      </c>
      <c r="H158" s="54">
        <f>F158/1.12</f>
        <v>0</v>
      </c>
      <c r="I158" s="42"/>
      <c r="J158" s="10" t="s">
        <v>48</v>
      </c>
      <c r="K158" s="66" t="e">
        <f>K154/K155</f>
        <v>#DIV/0!</v>
      </c>
      <c r="L158" s="66" t="e">
        <f t="shared" ref="L158:Q158" si="29">L154/L155</f>
        <v>#DIV/0!</v>
      </c>
      <c r="M158" s="66" t="e">
        <f t="shared" si="29"/>
        <v>#DIV/0!</v>
      </c>
      <c r="N158" s="66" t="e">
        <f t="shared" si="29"/>
        <v>#DIV/0!</v>
      </c>
      <c r="O158" s="66" t="e">
        <f t="shared" si="29"/>
        <v>#DIV/0!</v>
      </c>
      <c r="P158" s="66" t="e">
        <f t="shared" si="29"/>
        <v>#DIV/0!</v>
      </c>
      <c r="Q158" s="66" t="e">
        <f t="shared" si="29"/>
        <v>#DIV/0!</v>
      </c>
      <c r="R158" s="63"/>
      <c r="S158" s="10"/>
      <c r="T158" s="10"/>
      <c r="U158" s="17"/>
      <c r="V158" s="10"/>
      <c r="W158" s="10"/>
      <c r="X158" s="10"/>
      <c r="Y158" s="2"/>
    </row>
    <row r="159" spans="2:25">
      <c r="B159" s="11"/>
      <c r="C159" s="10"/>
      <c r="D159" s="10"/>
      <c r="E159" s="67" t="s">
        <v>14</v>
      </c>
      <c r="F159" s="68"/>
      <c r="G159" s="10"/>
      <c r="H159" s="54">
        <f>F159/1.12</f>
        <v>0</v>
      </c>
      <c r="I159" s="10"/>
      <c r="J159" s="10"/>
      <c r="K159" s="10"/>
      <c r="L159" s="10"/>
      <c r="M159" s="10"/>
      <c r="N159" s="10"/>
      <c r="O159" s="10"/>
      <c r="P159" s="10"/>
      <c r="Q159" s="10"/>
      <c r="R159" s="10"/>
      <c r="S159" s="10"/>
      <c r="T159" s="10"/>
      <c r="U159" s="17"/>
      <c r="V159" s="10"/>
      <c r="W159" s="10"/>
      <c r="X159" s="10"/>
      <c r="Y159" s="2"/>
    </row>
    <row r="160" spans="2:25">
      <c r="B160" s="11"/>
      <c r="C160" s="10"/>
      <c r="D160" s="10"/>
      <c r="E160" s="155" t="s">
        <v>49</v>
      </c>
      <c r="F160" s="364">
        <f>T149</f>
        <v>0</v>
      </c>
      <c r="G160" s="10"/>
      <c r="H160" s="54"/>
      <c r="I160" s="55"/>
      <c r="J160" s="42"/>
      <c r="K160" s="764" t="s">
        <v>50</v>
      </c>
      <c r="L160" s="765"/>
      <c r="M160" s="765"/>
      <c r="N160" s="765"/>
      <c r="O160" s="765"/>
      <c r="P160" s="765"/>
      <c r="Q160" s="766"/>
      <c r="R160" s="70" t="s">
        <v>28</v>
      </c>
      <c r="S160" s="71" t="s">
        <v>29</v>
      </c>
      <c r="T160" s="10"/>
      <c r="U160" s="17"/>
      <c r="V160" s="10"/>
      <c r="W160" s="10"/>
      <c r="X160" s="10"/>
      <c r="Y160" s="2"/>
    </row>
    <row r="161" spans="2:25">
      <c r="B161" s="11"/>
      <c r="C161" s="10"/>
      <c r="D161" s="10"/>
      <c r="E161" s="12"/>
      <c r="F161" s="76"/>
      <c r="G161" s="10"/>
      <c r="H161" s="10"/>
      <c r="I161" s="10"/>
      <c r="J161" s="42"/>
      <c r="K161" s="20" t="s">
        <v>31</v>
      </c>
      <c r="L161" s="21" t="s">
        <v>32</v>
      </c>
      <c r="M161" s="21" t="s">
        <v>33</v>
      </c>
      <c r="N161" s="21" t="s">
        <v>34</v>
      </c>
      <c r="O161" s="21" t="s">
        <v>35</v>
      </c>
      <c r="P161" s="21" t="s">
        <v>36</v>
      </c>
      <c r="Q161" s="49" t="s">
        <v>37</v>
      </c>
      <c r="R161" s="50" t="s">
        <v>38</v>
      </c>
      <c r="S161" s="50" t="s">
        <v>38</v>
      </c>
      <c r="T161" s="10"/>
      <c r="U161" s="17"/>
      <c r="V161" s="10"/>
      <c r="W161" s="10"/>
      <c r="X161" s="10"/>
      <c r="Y161" s="2"/>
    </row>
    <row r="162" spans="2:25">
      <c r="B162" s="11"/>
      <c r="C162" s="10"/>
      <c r="D162" s="10"/>
      <c r="E162" s="10"/>
      <c r="F162" s="10"/>
      <c r="G162" s="10"/>
      <c r="H162" s="10"/>
      <c r="I162" s="10"/>
      <c r="J162" s="42"/>
      <c r="K162" s="56"/>
      <c r="L162" s="57"/>
      <c r="M162" s="57"/>
      <c r="N162" s="57"/>
      <c r="O162" s="57"/>
      <c r="P162" s="57">
        <f>SUM(K162:O162)</f>
        <v>0</v>
      </c>
      <c r="Q162" s="58">
        <v>0</v>
      </c>
      <c r="R162" s="59" t="e">
        <f>#REF!+#REF!</f>
        <v>#REF!</v>
      </c>
      <c r="S162" s="59" t="e">
        <f>#REF!+#REF!</f>
        <v>#REF!</v>
      </c>
      <c r="T162" s="10"/>
      <c r="U162" s="17"/>
      <c r="V162" s="10"/>
      <c r="W162" s="10"/>
      <c r="X162" s="10"/>
      <c r="Y162" s="2"/>
    </row>
    <row r="163" spans="2:25">
      <c r="B163" s="11"/>
      <c r="C163" s="10"/>
      <c r="D163" s="10"/>
      <c r="E163" s="10"/>
      <c r="F163" s="10"/>
      <c r="G163" s="10"/>
      <c r="H163" s="10"/>
      <c r="I163" s="10"/>
      <c r="J163" s="10" t="s">
        <v>42</v>
      </c>
      <c r="K163" s="63">
        <f>K155</f>
        <v>0</v>
      </c>
      <c r="L163" s="63">
        <f t="shared" ref="L163:Q164" si="30">L155</f>
        <v>0</v>
      </c>
      <c r="M163" s="63">
        <f t="shared" si="30"/>
        <v>0</v>
      </c>
      <c r="N163" s="63">
        <f t="shared" si="30"/>
        <v>0</v>
      </c>
      <c r="O163" s="63">
        <f t="shared" si="30"/>
        <v>0</v>
      </c>
      <c r="P163" s="63">
        <f t="shared" si="30"/>
        <v>0</v>
      </c>
      <c r="Q163" s="63">
        <f t="shared" si="30"/>
        <v>0</v>
      </c>
      <c r="R163" s="63"/>
      <c r="S163" s="10"/>
      <c r="T163" s="10"/>
      <c r="U163" s="17"/>
      <c r="V163" s="10"/>
      <c r="W163" s="10"/>
      <c r="X163" s="10"/>
      <c r="Y163" s="2"/>
    </row>
    <row r="164" spans="2:25">
      <c r="B164" s="11"/>
      <c r="C164" s="10"/>
      <c r="D164" s="10"/>
      <c r="E164" s="10"/>
      <c r="F164" s="10"/>
      <c r="G164" s="10"/>
      <c r="H164" s="10"/>
      <c r="I164" s="10"/>
      <c r="J164" s="10" t="s">
        <v>44</v>
      </c>
      <c r="K164" s="63">
        <f>K156</f>
        <v>0</v>
      </c>
      <c r="L164" s="63">
        <f t="shared" si="30"/>
        <v>0</v>
      </c>
      <c r="M164" s="63">
        <f t="shared" si="30"/>
        <v>0</v>
      </c>
      <c r="N164" s="63">
        <f t="shared" si="30"/>
        <v>0</v>
      </c>
      <c r="O164" s="63">
        <f t="shared" si="30"/>
        <v>0</v>
      </c>
      <c r="P164" s="63">
        <f t="shared" si="30"/>
        <v>0</v>
      </c>
      <c r="Q164" s="63">
        <f t="shared" si="30"/>
        <v>0</v>
      </c>
      <c r="R164" s="63"/>
      <c r="S164" s="10"/>
      <c r="T164" s="10"/>
      <c r="U164" s="17"/>
      <c r="V164" s="10"/>
      <c r="W164" s="10"/>
      <c r="X164" s="10"/>
      <c r="Y164" s="2"/>
    </row>
    <row r="165" spans="2:25">
      <c r="B165" s="11"/>
      <c r="C165" s="10"/>
      <c r="D165" s="10"/>
      <c r="E165" s="12"/>
      <c r="F165" s="76"/>
      <c r="G165" s="10"/>
      <c r="H165" s="10"/>
      <c r="I165" s="10"/>
      <c r="J165" s="10" t="s">
        <v>46</v>
      </c>
      <c r="K165" s="31" t="e">
        <f t="shared" ref="K165:Q165" si="31">K163/(K163+K164)</f>
        <v>#DIV/0!</v>
      </c>
      <c r="L165" s="31" t="e">
        <f t="shared" si="31"/>
        <v>#DIV/0!</v>
      </c>
      <c r="M165" s="31" t="e">
        <f t="shared" si="31"/>
        <v>#DIV/0!</v>
      </c>
      <c r="N165" s="31" t="e">
        <f t="shared" si="31"/>
        <v>#DIV/0!</v>
      </c>
      <c r="O165" s="31" t="e">
        <f t="shared" si="31"/>
        <v>#DIV/0!</v>
      </c>
      <c r="P165" s="31" t="e">
        <f t="shared" si="31"/>
        <v>#DIV/0!</v>
      </c>
      <c r="Q165" s="31" t="e">
        <f t="shared" si="31"/>
        <v>#DIV/0!</v>
      </c>
      <c r="R165" s="63"/>
      <c r="S165" s="10"/>
      <c r="T165" s="10"/>
      <c r="U165" s="17"/>
      <c r="V165" s="10"/>
      <c r="W165" s="10"/>
      <c r="X165" s="10"/>
      <c r="Y165" s="2"/>
    </row>
    <row r="166" spans="2:25">
      <c r="B166" s="11"/>
      <c r="C166" s="10"/>
      <c r="D166" s="10"/>
      <c r="E166" s="10"/>
      <c r="F166" s="10"/>
      <c r="G166" s="10"/>
      <c r="H166" s="10"/>
      <c r="I166" s="10"/>
      <c r="J166" s="10" t="s">
        <v>48</v>
      </c>
      <c r="K166" s="66" t="e">
        <f t="shared" ref="K166:Q166" si="32">K162/K163</f>
        <v>#DIV/0!</v>
      </c>
      <c r="L166" s="66" t="e">
        <f t="shared" si="32"/>
        <v>#DIV/0!</v>
      </c>
      <c r="M166" s="66" t="e">
        <f t="shared" si="32"/>
        <v>#DIV/0!</v>
      </c>
      <c r="N166" s="66" t="e">
        <f t="shared" si="32"/>
        <v>#DIV/0!</v>
      </c>
      <c r="O166" s="66" t="e">
        <f t="shared" si="32"/>
        <v>#DIV/0!</v>
      </c>
      <c r="P166" s="66" t="e">
        <f t="shared" si="32"/>
        <v>#DIV/0!</v>
      </c>
      <c r="Q166" s="66" t="e">
        <f t="shared" si="32"/>
        <v>#DIV/0!</v>
      </c>
      <c r="R166" s="63"/>
      <c r="S166" s="10"/>
      <c r="T166" s="10"/>
      <c r="U166" s="17"/>
      <c r="V166" s="10"/>
      <c r="W166" s="10"/>
      <c r="X166" s="10"/>
      <c r="Y166" s="2"/>
    </row>
    <row r="167" spans="2:25">
      <c r="B167" s="11"/>
      <c r="C167" s="10"/>
      <c r="D167" s="10"/>
      <c r="E167" s="10"/>
      <c r="F167" s="10"/>
      <c r="G167" s="10"/>
      <c r="H167" s="10"/>
      <c r="I167" s="10"/>
      <c r="J167" s="10"/>
      <c r="K167" s="10"/>
      <c r="L167" s="10"/>
      <c r="M167" s="10"/>
      <c r="N167" s="10"/>
      <c r="O167" s="10"/>
      <c r="P167" s="10"/>
      <c r="Q167" s="10"/>
      <c r="R167" s="10"/>
      <c r="S167" s="10"/>
      <c r="T167" s="10"/>
      <c r="U167" s="17"/>
      <c r="V167" s="10"/>
      <c r="W167" s="10"/>
      <c r="X167" s="10"/>
      <c r="Y167" s="2"/>
    </row>
    <row r="168" spans="2:25">
      <c r="B168" s="11"/>
      <c r="C168" s="10"/>
      <c r="D168" s="10"/>
      <c r="E168" s="10"/>
      <c r="F168" s="10"/>
      <c r="G168" s="10"/>
      <c r="H168" s="10"/>
      <c r="I168" s="10"/>
      <c r="J168" s="10"/>
      <c r="K168" s="10"/>
      <c r="L168" s="10"/>
      <c r="M168" s="10"/>
      <c r="N168" s="10"/>
      <c r="O168" s="10"/>
      <c r="P168" s="10"/>
      <c r="Q168" s="10"/>
      <c r="R168" s="10"/>
      <c r="S168" s="10"/>
      <c r="T168" s="10"/>
      <c r="U168" s="17"/>
      <c r="V168" s="10"/>
      <c r="W168" s="10"/>
      <c r="X168" s="10"/>
      <c r="Y168" s="2"/>
    </row>
    <row r="169" spans="2:25">
      <c r="B169" s="18" t="s">
        <v>51</v>
      </c>
      <c r="C169" s="14"/>
      <c r="D169" s="14"/>
      <c r="E169" s="14"/>
      <c r="F169" s="13" t="s">
        <v>52</v>
      </c>
      <c r="G169" s="14"/>
      <c r="H169" s="14"/>
      <c r="I169" s="14"/>
      <c r="J169" s="14"/>
      <c r="K169" s="13" t="s">
        <v>3</v>
      </c>
      <c r="L169" s="14"/>
      <c r="M169" s="14"/>
      <c r="N169" s="13" t="s">
        <v>4</v>
      </c>
      <c r="O169" s="14"/>
      <c r="P169" s="14"/>
      <c r="Q169" s="13" t="s">
        <v>5</v>
      </c>
      <c r="R169" s="14"/>
      <c r="S169" s="14"/>
      <c r="T169" s="18"/>
      <c r="U169" s="16" t="s">
        <v>53</v>
      </c>
      <c r="V169" s="77"/>
      <c r="W169" s="77"/>
      <c r="X169" s="77"/>
      <c r="Y169" s="2"/>
    </row>
    <row r="170" spans="2:25">
      <c r="B170" s="24" t="s">
        <v>54</v>
      </c>
      <c r="C170" s="21" t="s">
        <v>55</v>
      </c>
      <c r="D170" s="21" t="s">
        <v>56</v>
      </c>
      <c r="E170" s="21" t="s">
        <v>57</v>
      </c>
      <c r="F170" s="20" t="s">
        <v>58</v>
      </c>
      <c r="G170" s="21" t="s">
        <v>59</v>
      </c>
      <c r="H170" s="21" t="s">
        <v>60</v>
      </c>
      <c r="I170" s="21" t="s">
        <v>26</v>
      </c>
      <c r="J170" s="22" t="s">
        <v>61</v>
      </c>
      <c r="K170" s="21" t="s">
        <v>8</v>
      </c>
      <c r="L170" s="21" t="s">
        <v>9</v>
      </c>
      <c r="M170" s="21" t="s">
        <v>10</v>
      </c>
      <c r="N170" s="20" t="s">
        <v>11</v>
      </c>
      <c r="O170" s="21" t="s">
        <v>12</v>
      </c>
      <c r="P170" s="22" t="s">
        <v>13</v>
      </c>
      <c r="Q170" s="21" t="s">
        <v>11</v>
      </c>
      <c r="R170" s="21" t="s">
        <v>12</v>
      </c>
      <c r="S170" s="21" t="s">
        <v>13</v>
      </c>
      <c r="T170" s="78" t="s">
        <v>14</v>
      </c>
      <c r="U170" s="30"/>
      <c r="V170" s="79" t="s">
        <v>62</v>
      </c>
      <c r="W170" s="80" t="s">
        <v>63</v>
      </c>
      <c r="X170" s="81" t="s">
        <v>64</v>
      </c>
      <c r="Y170" s="2"/>
    </row>
    <row r="171" spans="2:25">
      <c r="B171" s="4" t="s">
        <v>65</v>
      </c>
      <c r="C171" s="6"/>
      <c r="D171" s="6"/>
      <c r="E171" s="6"/>
      <c r="F171" s="6"/>
      <c r="G171" s="6"/>
      <c r="H171" s="6"/>
      <c r="I171" s="82"/>
      <c r="J171" s="6"/>
      <c r="K171" s="6"/>
      <c r="L171" s="6"/>
      <c r="M171" s="6"/>
      <c r="N171" s="6"/>
      <c r="O171" s="6"/>
      <c r="P171" s="6"/>
      <c r="Q171" s="6"/>
      <c r="R171" s="6"/>
      <c r="S171" s="6"/>
      <c r="T171" s="83"/>
      <c r="U171" s="6"/>
      <c r="V171" s="84"/>
      <c r="W171" s="85"/>
      <c r="X171" s="86"/>
      <c r="Y171" s="2"/>
    </row>
    <row r="172" spans="2:25">
      <c r="B172" s="87">
        <v>1</v>
      </c>
      <c r="C172" s="712"/>
      <c r="D172" s="271"/>
      <c r="E172" s="271"/>
      <c r="F172" s="265"/>
      <c r="G172" s="265"/>
      <c r="H172" s="365"/>
      <c r="I172" s="272">
        <f t="shared" ref="I172" si="33">F172-G172-H172</f>
        <v>0</v>
      </c>
      <c r="J172" s="267"/>
      <c r="K172" s="267"/>
      <c r="L172" s="267"/>
      <c r="M172" s="267"/>
      <c r="N172" s="267"/>
      <c r="O172" s="267"/>
      <c r="P172" s="267"/>
      <c r="Q172" s="267"/>
      <c r="R172" s="267"/>
      <c r="S172" s="269"/>
      <c r="T172" s="63"/>
      <c r="U172" s="10"/>
      <c r="V172" s="90"/>
      <c r="W172" s="91"/>
      <c r="X172" s="92"/>
      <c r="Y172" s="2"/>
    </row>
    <row r="173" spans="2:25">
      <c r="B173" s="87"/>
      <c r="C173" s="609"/>
      <c r="D173" s="10"/>
      <c r="E173" s="10"/>
      <c r="F173" s="97">
        <f>SUM(F172:F172)</f>
        <v>0</v>
      </c>
      <c r="G173" s="97">
        <f>SUM(G172:G172)</f>
        <v>0</v>
      </c>
      <c r="H173" s="97">
        <f>SUM(H172:H172)</f>
        <v>0</v>
      </c>
      <c r="I173" s="98">
        <f>SUM(I172:I172)</f>
        <v>0</v>
      </c>
      <c r="J173" s="63"/>
      <c r="K173" s="63">
        <f>COUNT(K172:K172)</f>
        <v>0</v>
      </c>
      <c r="L173" s="63">
        <f>COUNT(L172:L172)</f>
        <v>0</v>
      </c>
      <c r="M173" s="63">
        <f>COUNT(M172:M172)</f>
        <v>0</v>
      </c>
      <c r="N173" s="63">
        <f>COUNT(N172:N172)</f>
        <v>0</v>
      </c>
      <c r="O173" s="63">
        <f>COUNT(O172:O172)</f>
        <v>0</v>
      </c>
      <c r="P173" s="63">
        <f>COUNT(P172:P172)</f>
        <v>0</v>
      </c>
      <c r="Q173" s="63">
        <f>COUNT(Q172:Q172)</f>
        <v>0</v>
      </c>
      <c r="R173" s="63">
        <f>COUNT(R172:R172)</f>
        <v>0</v>
      </c>
      <c r="S173" s="63">
        <f>COUNT(S172:S172)</f>
        <v>0</v>
      </c>
      <c r="T173" s="63"/>
      <c r="U173" s="10"/>
      <c r="V173" s="90"/>
      <c r="W173" s="91"/>
      <c r="X173" s="92"/>
      <c r="Y173" s="2"/>
    </row>
    <row r="174" spans="2:25">
      <c r="B174" s="87"/>
      <c r="C174" s="609"/>
      <c r="D174" s="10"/>
      <c r="E174" s="10"/>
      <c r="F174" s="88"/>
      <c r="G174" s="88"/>
      <c r="H174" s="88"/>
      <c r="I174" s="99"/>
      <c r="J174" s="63"/>
      <c r="K174" s="21">
        <f>SUM(K172:K172)</f>
        <v>0</v>
      </c>
      <c r="L174" s="21">
        <f>SUM(L172:L172)</f>
        <v>0</v>
      </c>
      <c r="M174" s="21">
        <f>SUM(M172:M172)</f>
        <v>0</v>
      </c>
      <c r="N174" s="21">
        <f>SUM(N172:N172)</f>
        <v>0</v>
      </c>
      <c r="O174" s="21">
        <f>SUM(O172:O172)</f>
        <v>0</v>
      </c>
      <c r="P174" s="21">
        <f>SUM(P172:P172)</f>
        <v>0</v>
      </c>
      <c r="Q174" s="21">
        <f>SUM(Q172:Q172)</f>
        <v>0</v>
      </c>
      <c r="R174" s="21">
        <f>SUM(R172:R172)</f>
        <v>0</v>
      </c>
      <c r="S174" s="21">
        <f>SUM(S172:S172)</f>
        <v>0</v>
      </c>
      <c r="T174" s="63"/>
      <c r="U174" s="10"/>
      <c r="V174" s="90"/>
      <c r="W174" s="91"/>
      <c r="X174" s="92"/>
      <c r="Y174" s="2"/>
    </row>
    <row r="175" spans="2:25">
      <c r="B175" s="11"/>
      <c r="C175" s="609"/>
      <c r="D175" s="10"/>
      <c r="E175" s="10"/>
      <c r="F175" s="88"/>
      <c r="G175" s="88"/>
      <c r="H175" s="88"/>
      <c r="I175" s="99"/>
      <c r="J175" s="63"/>
      <c r="K175" s="21"/>
      <c r="L175" s="21"/>
      <c r="M175" s="21"/>
      <c r="N175" s="21"/>
      <c r="O175" s="21"/>
      <c r="P175" s="21"/>
      <c r="Q175" s="21"/>
      <c r="R175" s="21"/>
      <c r="S175" s="21"/>
      <c r="T175" s="63"/>
      <c r="U175" s="10"/>
      <c r="V175" s="90"/>
      <c r="W175" s="91"/>
      <c r="X175" s="92"/>
      <c r="Y175" s="2"/>
    </row>
    <row r="176" spans="2:25">
      <c r="B176" s="100" t="s">
        <v>152</v>
      </c>
      <c r="C176" s="611"/>
      <c r="D176" s="123"/>
      <c r="E176" s="123"/>
      <c r="F176" s="124"/>
      <c r="G176" s="125"/>
      <c r="H176" s="124"/>
      <c r="I176" s="126"/>
      <c r="J176" s="127"/>
      <c r="K176" s="128"/>
      <c r="L176" s="128"/>
      <c r="M176" s="128"/>
      <c r="N176" s="128"/>
      <c r="O176" s="128"/>
      <c r="P176" s="128"/>
      <c r="Q176" s="128"/>
      <c r="R176" s="128"/>
      <c r="S176" s="128"/>
      <c r="T176" s="127"/>
      <c r="U176" s="123"/>
      <c r="V176" s="129"/>
      <c r="W176" s="130"/>
      <c r="X176" s="131"/>
    </row>
    <row r="177" spans="1:25" s="260" customFormat="1">
      <c r="A177" s="494">
        <v>0.05</v>
      </c>
      <c r="B177" s="87">
        <v>1</v>
      </c>
      <c r="C177" s="274">
        <v>45932</v>
      </c>
      <c r="D177" s="327" t="s">
        <v>2312</v>
      </c>
      <c r="E177" s="276" t="s">
        <v>291</v>
      </c>
      <c r="F177" s="277">
        <v>1138</v>
      </c>
      <c r="G177" s="277">
        <f>39.7+(23.85)</f>
        <v>63.550000000000004</v>
      </c>
      <c r="H177" s="277"/>
      <c r="I177" s="321">
        <f t="shared" ref="I177:I178" si="34">F177-G177-H177</f>
        <v>1074.45</v>
      </c>
      <c r="J177" s="279" t="s">
        <v>156</v>
      </c>
      <c r="K177" s="279">
        <v>1</v>
      </c>
      <c r="L177" s="322">
        <v>0</v>
      </c>
      <c r="M177" s="279">
        <v>1</v>
      </c>
      <c r="N177" s="279">
        <v>1</v>
      </c>
      <c r="O177" s="279">
        <v>1</v>
      </c>
      <c r="P177" s="322">
        <v>0</v>
      </c>
      <c r="Q177" s="279">
        <v>1</v>
      </c>
      <c r="R177" s="279">
        <v>1</v>
      </c>
      <c r="S177" s="280">
        <v>1</v>
      </c>
      <c r="T177" s="63"/>
      <c r="U177" s="94"/>
      <c r="V177" s="90"/>
      <c r="W177" s="91"/>
      <c r="X177" s="92"/>
    </row>
    <row r="178" spans="1:25" s="260" customFormat="1">
      <c r="A178" s="494">
        <v>0.05</v>
      </c>
      <c r="B178" s="87">
        <f>B177+1</f>
        <v>2</v>
      </c>
      <c r="C178" s="282">
        <v>45932</v>
      </c>
      <c r="D178" s="368">
        <v>73943</v>
      </c>
      <c r="E178" s="319" t="s">
        <v>245</v>
      </c>
      <c r="F178" s="284">
        <f>1138-113.8</f>
        <v>1024.2</v>
      </c>
      <c r="G178" s="284">
        <f>39.7+(82.81)</f>
        <v>122.51</v>
      </c>
      <c r="H178" s="284"/>
      <c r="I178" s="300">
        <f t="shared" si="34"/>
        <v>901.69</v>
      </c>
      <c r="J178" s="286" t="s">
        <v>156</v>
      </c>
      <c r="K178" s="286">
        <v>1</v>
      </c>
      <c r="L178" s="286">
        <v>1</v>
      </c>
      <c r="M178" s="286">
        <v>1</v>
      </c>
      <c r="N178" s="286">
        <v>1</v>
      </c>
      <c r="O178" s="286">
        <v>1</v>
      </c>
      <c r="P178" s="332">
        <v>0</v>
      </c>
      <c r="Q178" s="332">
        <v>0</v>
      </c>
      <c r="R178" s="332">
        <v>0</v>
      </c>
      <c r="S178" s="370">
        <v>0</v>
      </c>
      <c r="T178" s="21">
        <v>1</v>
      </c>
      <c r="U178" s="10"/>
      <c r="V178" s="90"/>
      <c r="W178" s="91"/>
      <c r="X178" s="92"/>
    </row>
    <row r="179" spans="1:25">
      <c r="B179" s="132"/>
      <c r="C179" s="36"/>
      <c r="D179" s="123"/>
      <c r="E179" s="123"/>
      <c r="F179" s="98">
        <f>SUM(F177:F178)</f>
        <v>2162.1999999999998</v>
      </c>
      <c r="G179" s="98">
        <f>SUM(G177:G178)</f>
        <v>186.06</v>
      </c>
      <c r="H179" s="98">
        <f>SUM(H177:H178)</f>
        <v>0</v>
      </c>
      <c r="I179" s="98">
        <f>SUM(I177:I178)</f>
        <v>1976.14</v>
      </c>
      <c r="J179" s="127"/>
      <c r="K179" s="64"/>
      <c r="L179" s="64"/>
      <c r="M179" s="64"/>
      <c r="N179" s="64"/>
      <c r="O179" s="64"/>
      <c r="P179" s="64"/>
      <c r="Q179" s="64"/>
      <c r="R179" s="64"/>
      <c r="S179" s="64"/>
      <c r="T179" s="127"/>
      <c r="U179" s="123"/>
      <c r="V179" s="129"/>
      <c r="W179" s="130"/>
      <c r="X179" s="131"/>
    </row>
    <row r="180" spans="1:25">
      <c r="B180" s="26"/>
      <c r="C180" s="612"/>
      <c r="D180" s="141"/>
      <c r="E180" s="141"/>
      <c r="F180" s="141"/>
      <c r="G180" s="141"/>
      <c r="H180" s="141"/>
      <c r="I180" s="141"/>
      <c r="J180" s="141"/>
      <c r="K180" s="142"/>
      <c r="L180" s="142"/>
      <c r="M180" s="142"/>
      <c r="N180" s="142"/>
      <c r="O180" s="142"/>
      <c r="P180" s="142"/>
      <c r="Q180" s="142"/>
      <c r="R180" s="142"/>
      <c r="S180" s="142"/>
      <c r="T180" s="143">
        <f>SUM(T172:T179)</f>
        <v>1</v>
      </c>
      <c r="U180" s="141"/>
      <c r="V180" s="144">
        <f>SUM(V172:V179)</f>
        <v>0</v>
      </c>
      <c r="W180" s="145">
        <f>SUM(W172:W179)</f>
        <v>0</v>
      </c>
      <c r="X180" s="146">
        <f>SUM(X172:X179)</f>
        <v>0</v>
      </c>
      <c r="Y180" s="2"/>
    </row>
    <row r="181" spans="1:25">
      <c r="B181" s="10"/>
      <c r="C181" s="36"/>
      <c r="D181" s="10"/>
      <c r="E181" s="10"/>
      <c r="F181" s="10"/>
      <c r="G181" s="10"/>
      <c r="H181" s="10"/>
      <c r="I181" s="10"/>
      <c r="J181" s="10"/>
      <c r="K181" s="147"/>
      <c r="L181" s="147"/>
      <c r="M181" s="147"/>
      <c r="N181" s="147"/>
      <c r="O181" s="147"/>
      <c r="P181" s="147"/>
      <c r="Q181" s="147"/>
      <c r="R181" s="147"/>
      <c r="S181" s="147"/>
      <c r="T181" s="21"/>
      <c r="U181" s="10"/>
      <c r="V181" s="99"/>
      <c r="W181" s="99"/>
      <c r="X181" s="99"/>
      <c r="Y181" s="2"/>
    </row>
    <row r="183" spans="1:25">
      <c r="B183" s="4" t="s">
        <v>1</v>
      </c>
      <c r="C183" s="5"/>
      <c r="D183" s="6"/>
      <c r="E183" s="6"/>
      <c r="F183" s="7" t="s">
        <v>2</v>
      </c>
      <c r="G183" s="608">
        <v>45963</v>
      </c>
      <c r="H183" s="7"/>
      <c r="I183" s="6"/>
      <c r="J183" s="6"/>
      <c r="K183" s="6"/>
      <c r="L183" s="6"/>
      <c r="M183" s="6"/>
      <c r="N183" s="6"/>
      <c r="O183" s="6"/>
      <c r="P183" s="6"/>
      <c r="Q183" s="6"/>
      <c r="R183" s="6"/>
      <c r="S183" s="6"/>
      <c r="T183" s="6"/>
      <c r="U183" s="9"/>
      <c r="V183" s="10"/>
      <c r="W183" s="10"/>
      <c r="X183" s="10"/>
      <c r="Y183" s="2"/>
    </row>
    <row r="184" spans="1:25">
      <c r="B184" s="11"/>
      <c r="C184" s="10"/>
      <c r="D184" s="10"/>
      <c r="E184" s="10"/>
      <c r="F184" s="10"/>
      <c r="G184" s="7"/>
      <c r="H184" s="12"/>
      <c r="I184" s="10"/>
      <c r="J184" s="10"/>
      <c r="K184" s="13" t="s">
        <v>3</v>
      </c>
      <c r="L184" s="14"/>
      <c r="M184" s="15"/>
      <c r="N184" s="13" t="s">
        <v>4</v>
      </c>
      <c r="O184" s="14"/>
      <c r="P184" s="15"/>
      <c r="Q184" s="13" t="s">
        <v>5</v>
      </c>
      <c r="R184" s="14"/>
      <c r="S184" s="15"/>
      <c r="T184" s="16"/>
      <c r="U184" s="17"/>
      <c r="V184" s="10"/>
      <c r="W184" s="10"/>
      <c r="X184" s="10"/>
      <c r="Y184" s="2"/>
    </row>
    <row r="185" spans="1:25">
      <c r="B185" s="18" t="s">
        <v>6</v>
      </c>
      <c r="C185" s="19">
        <f>C186+C187</f>
        <v>0</v>
      </c>
      <c r="D185" s="10"/>
      <c r="E185" s="18" t="s">
        <v>7</v>
      </c>
      <c r="F185" s="6"/>
      <c r="G185" s="9"/>
      <c r="H185" s="10"/>
      <c r="I185" s="10"/>
      <c r="J185" s="10"/>
      <c r="K185" s="20" t="s">
        <v>8</v>
      </c>
      <c r="L185" s="21" t="s">
        <v>9</v>
      </c>
      <c r="M185" s="21" t="s">
        <v>10</v>
      </c>
      <c r="N185" s="20" t="s">
        <v>11</v>
      </c>
      <c r="O185" s="21" t="s">
        <v>12</v>
      </c>
      <c r="P185" s="22" t="s">
        <v>13</v>
      </c>
      <c r="Q185" s="21" t="s">
        <v>11</v>
      </c>
      <c r="R185" s="21" t="s">
        <v>12</v>
      </c>
      <c r="S185" s="22" t="s">
        <v>13</v>
      </c>
      <c r="T185" s="23" t="s">
        <v>14</v>
      </c>
      <c r="U185" s="17"/>
      <c r="V185" s="10"/>
      <c r="W185" s="10"/>
      <c r="X185" s="10"/>
      <c r="Y185" s="2"/>
    </row>
    <row r="186" spans="1:25">
      <c r="B186" s="24" t="s">
        <v>15</v>
      </c>
      <c r="C186" s="25">
        <f>P193</f>
        <v>0</v>
      </c>
      <c r="D186" s="10"/>
      <c r="E186" s="26" t="s">
        <v>16</v>
      </c>
      <c r="F186" s="27">
        <v>0.05</v>
      </c>
      <c r="G186" s="28"/>
      <c r="H186" s="10"/>
      <c r="I186" s="10"/>
      <c r="J186" s="18" t="s">
        <v>17</v>
      </c>
      <c r="K186" s="29">
        <f>K212</f>
        <v>0</v>
      </c>
      <c r="L186" s="29">
        <f t="shared" ref="L186:S186" si="35">L212</f>
        <v>0</v>
      </c>
      <c r="M186" s="29">
        <f t="shared" si="35"/>
        <v>0</v>
      </c>
      <c r="N186" s="29">
        <f t="shared" si="35"/>
        <v>0</v>
      </c>
      <c r="O186" s="29">
        <f t="shared" si="35"/>
        <v>0</v>
      </c>
      <c r="P186" s="29">
        <f t="shared" si="35"/>
        <v>0</v>
      </c>
      <c r="Q186" s="29">
        <f t="shared" si="35"/>
        <v>0</v>
      </c>
      <c r="R186" s="29">
        <f t="shared" si="35"/>
        <v>0</v>
      </c>
      <c r="S186" s="29">
        <f t="shared" si="35"/>
        <v>0</v>
      </c>
      <c r="T186" s="30">
        <f>T229</f>
        <v>1</v>
      </c>
      <c r="U186" s="17"/>
      <c r="V186" s="10"/>
      <c r="W186" s="10"/>
      <c r="X186" s="10"/>
      <c r="Y186" s="2"/>
    </row>
    <row r="187" spans="1:25">
      <c r="B187" s="24" t="s">
        <v>18</v>
      </c>
      <c r="C187" s="25">
        <f>P194</f>
        <v>0</v>
      </c>
      <c r="D187" s="10"/>
      <c r="E187" s="10"/>
      <c r="F187" s="10"/>
      <c r="G187" s="31"/>
      <c r="H187" s="10"/>
      <c r="I187" s="10"/>
      <c r="J187" s="32" t="s">
        <v>19</v>
      </c>
      <c r="K187" s="33" t="e">
        <f>K212/K211</f>
        <v>#DIV/0!</v>
      </c>
      <c r="L187" s="33" t="e">
        <f t="shared" ref="L187:S187" si="36">L212/L211</f>
        <v>#DIV/0!</v>
      </c>
      <c r="M187" s="33" t="e">
        <f t="shared" si="36"/>
        <v>#DIV/0!</v>
      </c>
      <c r="N187" s="33" t="e">
        <f t="shared" si="36"/>
        <v>#DIV/0!</v>
      </c>
      <c r="O187" s="33" t="e">
        <f t="shared" si="36"/>
        <v>#DIV/0!</v>
      </c>
      <c r="P187" s="33" t="e">
        <f t="shared" si="36"/>
        <v>#DIV/0!</v>
      </c>
      <c r="Q187" s="33" t="e">
        <f t="shared" si="36"/>
        <v>#DIV/0!</v>
      </c>
      <c r="R187" s="33" t="e">
        <f t="shared" si="36"/>
        <v>#DIV/0!</v>
      </c>
      <c r="S187" s="33" t="e">
        <f t="shared" si="36"/>
        <v>#DIV/0!</v>
      </c>
      <c r="T187" s="23"/>
      <c r="U187" s="17" t="s">
        <v>20</v>
      </c>
      <c r="V187" s="10"/>
      <c r="W187" s="10"/>
      <c r="X187" s="10"/>
      <c r="Y187" s="2"/>
    </row>
    <row r="188" spans="1:25">
      <c r="B188" s="24" t="s">
        <v>21</v>
      </c>
      <c r="C188" s="34" t="e">
        <f>P195</f>
        <v>#DIV/0!</v>
      </c>
      <c r="D188" s="10"/>
      <c r="E188" s="10"/>
      <c r="F188" s="10"/>
      <c r="G188" s="10"/>
      <c r="H188" s="10"/>
      <c r="I188" s="10"/>
      <c r="J188" s="10"/>
      <c r="K188" s="10"/>
      <c r="L188" s="10"/>
      <c r="M188" s="10"/>
      <c r="N188" s="10"/>
      <c r="O188" s="10"/>
      <c r="P188" s="10"/>
      <c r="Q188" s="10"/>
      <c r="R188" s="10"/>
      <c r="S188" s="10"/>
      <c r="T188" s="10"/>
      <c r="U188" s="17"/>
      <c r="V188" s="10"/>
      <c r="W188" s="10"/>
      <c r="X188" s="10"/>
      <c r="Y188" s="2"/>
    </row>
    <row r="189" spans="1:25">
      <c r="B189" s="24"/>
      <c r="C189" s="25"/>
      <c r="D189" s="10"/>
      <c r="E189" s="10"/>
      <c r="F189" s="18" t="s">
        <v>22</v>
      </c>
      <c r="G189" s="19" t="s">
        <v>23</v>
      </c>
      <c r="H189" s="35" t="s">
        <v>24</v>
      </c>
      <c r="I189" s="10"/>
      <c r="J189" s="10"/>
      <c r="K189" s="36"/>
      <c r="L189" s="36"/>
      <c r="M189" s="36"/>
      <c r="N189" s="36"/>
      <c r="O189" s="36"/>
      <c r="P189" s="36"/>
      <c r="Q189" s="36"/>
      <c r="R189" s="10"/>
      <c r="S189" s="10"/>
      <c r="T189" s="10"/>
      <c r="U189" s="17"/>
      <c r="V189" s="10"/>
      <c r="W189" s="10"/>
      <c r="X189" s="10"/>
      <c r="Y189" s="2"/>
    </row>
    <row r="190" spans="1:25">
      <c r="B190" s="32" t="s">
        <v>25</v>
      </c>
      <c r="C190" s="37" t="e">
        <f>P196</f>
        <v>#DIV/0!</v>
      </c>
      <c r="D190" s="10"/>
      <c r="E190" s="18" t="s">
        <v>26</v>
      </c>
      <c r="F190" s="38">
        <f>P192</f>
        <v>0</v>
      </c>
      <c r="G190" s="39">
        <f>I211</f>
        <v>0</v>
      </c>
      <c r="H190" s="40"/>
      <c r="I190" s="41"/>
      <c r="J190" s="42"/>
      <c r="K190" s="43" t="s">
        <v>27</v>
      </c>
      <c r="L190" s="44"/>
      <c r="M190" s="44"/>
      <c r="N190" s="44"/>
      <c r="O190" s="44"/>
      <c r="P190" s="44"/>
      <c r="Q190" s="45"/>
      <c r="R190" s="46" t="s">
        <v>28</v>
      </c>
      <c r="S190" s="47" t="s">
        <v>29</v>
      </c>
      <c r="T190" s="10"/>
      <c r="U190" s="17"/>
      <c r="V190" s="10"/>
      <c r="W190" s="10"/>
      <c r="X190" s="10"/>
      <c r="Y190" s="2"/>
    </row>
    <row r="191" spans="1:25">
      <c r="B191" s="11"/>
      <c r="C191" s="10"/>
      <c r="D191" s="10"/>
      <c r="E191" s="24" t="s">
        <v>30</v>
      </c>
      <c r="F191" s="48">
        <f>F186</f>
        <v>0.05</v>
      </c>
      <c r="G191" s="17"/>
      <c r="H191" s="40"/>
      <c r="I191" s="41"/>
      <c r="J191" s="42"/>
      <c r="K191" s="20" t="s">
        <v>31</v>
      </c>
      <c r="L191" s="21" t="s">
        <v>32</v>
      </c>
      <c r="M191" s="21" t="s">
        <v>33</v>
      </c>
      <c r="N191" s="21" t="s">
        <v>34</v>
      </c>
      <c r="O191" s="21" t="s">
        <v>35</v>
      </c>
      <c r="P191" s="21" t="s">
        <v>36</v>
      </c>
      <c r="Q191" s="49" t="s">
        <v>37</v>
      </c>
      <c r="R191" s="50" t="s">
        <v>38</v>
      </c>
      <c r="S191" s="50" t="s">
        <v>38</v>
      </c>
      <c r="T191" s="10"/>
      <c r="U191" s="17"/>
      <c r="V191" s="10"/>
      <c r="W191" s="10"/>
      <c r="X191" s="10"/>
      <c r="Y191" s="2"/>
    </row>
    <row r="192" spans="1:25">
      <c r="B192" s="11"/>
      <c r="C192" s="10"/>
      <c r="D192" s="10"/>
      <c r="E192" s="51" t="s">
        <v>39</v>
      </c>
      <c r="F192" s="52">
        <f>F190*F191</f>
        <v>0</v>
      </c>
      <c r="G192" s="53" t="s">
        <v>40</v>
      </c>
      <c r="H192" s="54">
        <f>F192/1.12</f>
        <v>0</v>
      </c>
      <c r="I192" s="55"/>
      <c r="J192" s="42"/>
      <c r="K192" s="56">
        <v>0</v>
      </c>
      <c r="L192" s="57">
        <v>0</v>
      </c>
      <c r="M192" s="57">
        <v>0</v>
      </c>
      <c r="N192" s="57">
        <v>0</v>
      </c>
      <c r="O192" s="57">
        <v>0</v>
      </c>
      <c r="P192" s="57">
        <f>SUM(K192:O192)</f>
        <v>0</v>
      </c>
      <c r="Q192" s="58">
        <v>0</v>
      </c>
      <c r="R192" s="59">
        <v>0</v>
      </c>
      <c r="S192" s="59">
        <v>0</v>
      </c>
      <c r="T192" s="10"/>
      <c r="U192" s="17"/>
      <c r="V192" s="10"/>
      <c r="W192" s="10"/>
      <c r="X192" s="10"/>
      <c r="Y192" s="2"/>
    </row>
    <row r="193" spans="2:25">
      <c r="B193" s="11"/>
      <c r="C193" s="10"/>
      <c r="D193" s="10"/>
      <c r="E193" s="24" t="s">
        <v>41</v>
      </c>
      <c r="F193" s="60">
        <f>Q192</f>
        <v>0</v>
      </c>
      <c r="G193" s="61" t="s">
        <v>40</v>
      </c>
      <c r="H193" s="62"/>
      <c r="I193" s="62"/>
      <c r="J193" s="10" t="s">
        <v>42</v>
      </c>
      <c r="K193" s="63">
        <v>0</v>
      </c>
      <c r="L193" s="63">
        <v>0</v>
      </c>
      <c r="M193" s="63">
        <v>0</v>
      </c>
      <c r="N193" s="63">
        <v>0</v>
      </c>
      <c r="O193" s="63">
        <v>0</v>
      </c>
      <c r="P193" s="21">
        <f>SUM(K193:O193)</f>
        <v>0</v>
      </c>
      <c r="Q193" s="64"/>
      <c r="R193" s="63"/>
      <c r="S193" s="10"/>
      <c r="T193" s="10"/>
      <c r="U193" s="17"/>
      <c r="V193" s="10"/>
      <c r="W193" s="10"/>
      <c r="X193" s="10"/>
      <c r="Y193" s="2"/>
    </row>
    <row r="194" spans="2:25">
      <c r="B194" s="11"/>
      <c r="C194" s="10"/>
      <c r="D194" s="10"/>
      <c r="E194" s="51" t="s">
        <v>43</v>
      </c>
      <c r="F194" s="52">
        <f>F193*0.25</f>
        <v>0</v>
      </c>
      <c r="G194" s="53" t="s">
        <v>40</v>
      </c>
      <c r="H194" s="54">
        <f>F194/1.12</f>
        <v>0</v>
      </c>
      <c r="I194" s="10"/>
      <c r="J194" s="10" t="s">
        <v>44</v>
      </c>
      <c r="K194" s="63">
        <v>0</v>
      </c>
      <c r="L194" s="63">
        <v>0</v>
      </c>
      <c r="M194" s="63">
        <v>0</v>
      </c>
      <c r="N194" s="63">
        <v>0</v>
      </c>
      <c r="O194" s="63">
        <v>0</v>
      </c>
      <c r="P194" s="21">
        <f>SUM(K194:O194)</f>
        <v>0</v>
      </c>
      <c r="Q194" s="64"/>
      <c r="R194" s="63"/>
      <c r="S194" s="10"/>
      <c r="T194" s="10"/>
      <c r="U194" s="17"/>
      <c r="V194" s="10"/>
      <c r="W194" s="10"/>
      <c r="X194" s="10"/>
      <c r="Y194" s="2"/>
    </row>
    <row r="195" spans="2:25">
      <c r="B195" s="11"/>
      <c r="C195" s="10"/>
      <c r="D195" s="10"/>
      <c r="E195" s="24" t="s">
        <v>45</v>
      </c>
      <c r="F195" s="60"/>
      <c r="G195" s="61" t="s">
        <v>40</v>
      </c>
      <c r="H195" s="62"/>
      <c r="I195" s="10"/>
      <c r="J195" s="10" t="s">
        <v>46</v>
      </c>
      <c r="K195" s="31" t="e">
        <f t="shared" ref="K195:Q195" si="37">K193/(K193+K194)</f>
        <v>#DIV/0!</v>
      </c>
      <c r="L195" s="31" t="e">
        <f t="shared" si="37"/>
        <v>#DIV/0!</v>
      </c>
      <c r="M195" s="31" t="e">
        <f t="shared" si="37"/>
        <v>#DIV/0!</v>
      </c>
      <c r="N195" s="31" t="e">
        <f t="shared" si="37"/>
        <v>#DIV/0!</v>
      </c>
      <c r="O195" s="31" t="e">
        <f t="shared" si="37"/>
        <v>#DIV/0!</v>
      </c>
      <c r="P195" s="31" t="e">
        <f t="shared" si="37"/>
        <v>#DIV/0!</v>
      </c>
      <c r="Q195" s="31" t="e">
        <f t="shared" si="37"/>
        <v>#DIV/0!</v>
      </c>
      <c r="R195" s="63"/>
      <c r="S195" s="10"/>
      <c r="T195" s="10"/>
      <c r="U195" s="17"/>
      <c r="V195" s="10"/>
      <c r="W195" s="10"/>
      <c r="X195" s="10"/>
      <c r="Y195" s="2"/>
    </row>
    <row r="196" spans="2:25">
      <c r="B196" s="11"/>
      <c r="C196" s="10"/>
      <c r="D196" s="10"/>
      <c r="E196" s="51" t="s">
        <v>47</v>
      </c>
      <c r="F196" s="52">
        <f>F195*0.05</f>
        <v>0</v>
      </c>
      <c r="G196" s="65" t="s">
        <v>40</v>
      </c>
      <c r="H196" s="54">
        <f>F196/1.12</f>
        <v>0</v>
      </c>
      <c r="I196" s="42"/>
      <c r="J196" s="10" t="s">
        <v>48</v>
      </c>
      <c r="K196" s="66" t="e">
        <f>K192/K193</f>
        <v>#DIV/0!</v>
      </c>
      <c r="L196" s="66" t="e">
        <f t="shared" ref="L196:Q196" si="38">L192/L193</f>
        <v>#DIV/0!</v>
      </c>
      <c r="M196" s="66" t="e">
        <f t="shared" si="38"/>
        <v>#DIV/0!</v>
      </c>
      <c r="N196" s="66" t="e">
        <f t="shared" si="38"/>
        <v>#DIV/0!</v>
      </c>
      <c r="O196" s="66" t="e">
        <f t="shared" si="38"/>
        <v>#DIV/0!</v>
      </c>
      <c r="P196" s="66" t="e">
        <f t="shared" si="38"/>
        <v>#DIV/0!</v>
      </c>
      <c r="Q196" s="66" t="e">
        <f t="shared" si="38"/>
        <v>#DIV/0!</v>
      </c>
      <c r="R196" s="63"/>
      <c r="S196" s="10"/>
      <c r="T196" s="10"/>
      <c r="U196" s="17"/>
      <c r="V196" s="10"/>
      <c r="W196" s="10"/>
      <c r="X196" s="10"/>
      <c r="Y196" s="2"/>
    </row>
    <row r="197" spans="2:25">
      <c r="B197" s="11"/>
      <c r="C197" s="10"/>
      <c r="D197" s="10"/>
      <c r="E197" s="67" t="s">
        <v>14</v>
      </c>
      <c r="F197" s="68"/>
      <c r="G197" s="10"/>
      <c r="H197" s="54">
        <f>F197/1.12</f>
        <v>0</v>
      </c>
      <c r="I197" s="10"/>
      <c r="J197" s="10"/>
      <c r="K197" s="10"/>
      <c r="L197" s="10"/>
      <c r="M197" s="10"/>
      <c r="N197" s="10"/>
      <c r="O197" s="10"/>
      <c r="P197" s="10"/>
      <c r="Q197" s="10"/>
      <c r="R197" s="10"/>
      <c r="S197" s="10"/>
      <c r="T197" s="10"/>
      <c r="U197" s="17"/>
      <c r="V197" s="10"/>
      <c r="W197" s="10"/>
      <c r="X197" s="10"/>
      <c r="Y197" s="2"/>
    </row>
    <row r="198" spans="2:25">
      <c r="B198" s="11"/>
      <c r="C198" s="10"/>
      <c r="D198" s="10"/>
      <c r="E198" s="67" t="s">
        <v>49</v>
      </c>
      <c r="F198" s="69">
        <f>T187</f>
        <v>0</v>
      </c>
      <c r="G198" s="10"/>
      <c r="H198" s="54"/>
      <c r="I198" s="55"/>
      <c r="J198" s="42"/>
      <c r="K198" s="764" t="s">
        <v>50</v>
      </c>
      <c r="L198" s="765"/>
      <c r="M198" s="765"/>
      <c r="N198" s="765"/>
      <c r="O198" s="765"/>
      <c r="P198" s="765"/>
      <c r="Q198" s="766"/>
      <c r="R198" s="70" t="s">
        <v>28</v>
      </c>
      <c r="S198" s="71" t="s">
        <v>29</v>
      </c>
      <c r="T198" s="10"/>
      <c r="U198" s="17"/>
      <c r="V198" s="10"/>
      <c r="W198" s="10"/>
      <c r="X198" s="10"/>
      <c r="Y198" s="2"/>
    </row>
    <row r="199" spans="2:25">
      <c r="B199" s="11"/>
      <c r="C199" s="10"/>
      <c r="D199" s="10"/>
      <c r="E199" s="72"/>
      <c r="F199" s="73"/>
      <c r="G199" s="10"/>
      <c r="H199" s="10"/>
      <c r="I199" s="10"/>
      <c r="J199" s="42"/>
      <c r="K199" s="20" t="s">
        <v>31</v>
      </c>
      <c r="L199" s="21" t="s">
        <v>32</v>
      </c>
      <c r="M199" s="21" t="s">
        <v>33</v>
      </c>
      <c r="N199" s="21" t="s">
        <v>34</v>
      </c>
      <c r="O199" s="21" t="s">
        <v>35</v>
      </c>
      <c r="P199" s="21" t="s">
        <v>36</v>
      </c>
      <c r="Q199" s="49" t="s">
        <v>37</v>
      </c>
      <c r="R199" s="50" t="s">
        <v>38</v>
      </c>
      <c r="S199" s="50" t="s">
        <v>38</v>
      </c>
      <c r="T199" s="10"/>
      <c r="U199" s="17"/>
      <c r="V199" s="10"/>
      <c r="W199" s="10"/>
      <c r="X199" s="10"/>
      <c r="Y199" s="2"/>
    </row>
    <row r="200" spans="2:25">
      <c r="B200" s="11"/>
      <c r="C200" s="10"/>
      <c r="D200" s="10"/>
      <c r="E200" s="72"/>
      <c r="F200" s="73"/>
      <c r="G200" s="10"/>
      <c r="H200" s="10"/>
      <c r="I200" s="10"/>
      <c r="J200" s="42"/>
      <c r="K200" s="56">
        <v>0</v>
      </c>
      <c r="L200" s="57">
        <v>0</v>
      </c>
      <c r="M200" s="57">
        <v>0</v>
      </c>
      <c r="N200" s="57">
        <v>0</v>
      </c>
      <c r="O200" s="57">
        <v>0</v>
      </c>
      <c r="P200" s="57">
        <f>SUM(K200:O200)</f>
        <v>0</v>
      </c>
      <c r="Q200" s="58">
        <v>0</v>
      </c>
      <c r="R200" s="59">
        <v>0</v>
      </c>
      <c r="S200" s="59">
        <v>0</v>
      </c>
      <c r="T200" s="10"/>
      <c r="U200" s="17"/>
      <c r="V200" s="10"/>
      <c r="W200" s="10"/>
      <c r="X200" s="10"/>
      <c r="Y200" s="2"/>
    </row>
    <row r="201" spans="2:25">
      <c r="B201" s="11"/>
      <c r="C201" s="10"/>
      <c r="D201" s="10"/>
      <c r="E201" s="72"/>
      <c r="F201" s="73"/>
      <c r="G201" s="10"/>
      <c r="H201" s="10"/>
      <c r="I201" s="10"/>
      <c r="J201" s="10" t="s">
        <v>42</v>
      </c>
      <c r="K201" s="63">
        <f>K193</f>
        <v>0</v>
      </c>
      <c r="L201" s="63">
        <f t="shared" ref="L201:Q202" si="39">L193</f>
        <v>0</v>
      </c>
      <c r="M201" s="63">
        <f t="shared" si="39"/>
        <v>0</v>
      </c>
      <c r="N201" s="63">
        <f t="shared" si="39"/>
        <v>0</v>
      </c>
      <c r="O201" s="63">
        <f t="shared" si="39"/>
        <v>0</v>
      </c>
      <c r="P201" s="63">
        <f t="shared" si="39"/>
        <v>0</v>
      </c>
      <c r="Q201" s="63">
        <f t="shared" si="39"/>
        <v>0</v>
      </c>
      <c r="R201" s="63"/>
      <c r="S201" s="10"/>
      <c r="T201" s="10"/>
      <c r="U201" s="17"/>
      <c r="V201" s="10"/>
      <c r="W201" s="10"/>
      <c r="X201" s="10"/>
      <c r="Y201" s="2"/>
    </row>
    <row r="202" spans="2:25">
      <c r="B202" s="11"/>
      <c r="C202" s="10"/>
      <c r="D202" s="10"/>
      <c r="E202" s="74"/>
      <c r="F202" s="75"/>
      <c r="G202" s="10"/>
      <c r="H202" s="10"/>
      <c r="I202" s="10"/>
      <c r="J202" s="10" t="s">
        <v>44</v>
      </c>
      <c r="K202" s="63">
        <f>K194</f>
        <v>0</v>
      </c>
      <c r="L202" s="63">
        <f t="shared" si="39"/>
        <v>0</v>
      </c>
      <c r="M202" s="63">
        <f t="shared" si="39"/>
        <v>0</v>
      </c>
      <c r="N202" s="63">
        <f t="shared" si="39"/>
        <v>0</v>
      </c>
      <c r="O202" s="63">
        <f t="shared" si="39"/>
        <v>0</v>
      </c>
      <c r="P202" s="63">
        <f t="shared" si="39"/>
        <v>0</v>
      </c>
      <c r="Q202" s="63">
        <f t="shared" si="39"/>
        <v>0</v>
      </c>
      <c r="R202" s="63"/>
      <c r="S202" s="10"/>
      <c r="T202" s="10"/>
      <c r="U202" s="17"/>
      <c r="V202" s="10"/>
      <c r="W202" s="10"/>
      <c r="X202" s="10"/>
      <c r="Y202" s="2"/>
    </row>
    <row r="203" spans="2:25">
      <c r="B203" s="11"/>
      <c r="C203" s="10"/>
      <c r="D203" s="10"/>
      <c r="E203" s="12"/>
      <c r="F203" s="76"/>
      <c r="G203" s="10"/>
      <c r="H203" s="10"/>
      <c r="I203" s="10"/>
      <c r="J203" s="10" t="s">
        <v>46</v>
      </c>
      <c r="K203" s="31" t="e">
        <f t="shared" ref="K203:Q203" si="40">K201/(K201+K202)</f>
        <v>#DIV/0!</v>
      </c>
      <c r="L203" s="31" t="e">
        <f t="shared" si="40"/>
        <v>#DIV/0!</v>
      </c>
      <c r="M203" s="31" t="e">
        <f t="shared" si="40"/>
        <v>#DIV/0!</v>
      </c>
      <c r="N203" s="31" t="e">
        <f t="shared" si="40"/>
        <v>#DIV/0!</v>
      </c>
      <c r="O203" s="31" t="e">
        <f t="shared" si="40"/>
        <v>#DIV/0!</v>
      </c>
      <c r="P203" s="31" t="e">
        <f t="shared" si="40"/>
        <v>#DIV/0!</v>
      </c>
      <c r="Q203" s="31" t="e">
        <f t="shared" si="40"/>
        <v>#DIV/0!</v>
      </c>
      <c r="R203" s="63"/>
      <c r="S203" s="10"/>
      <c r="T203" s="10"/>
      <c r="U203" s="17"/>
      <c r="V203" s="10"/>
      <c r="W203" s="10"/>
      <c r="X203" s="10"/>
      <c r="Y203" s="2"/>
    </row>
    <row r="204" spans="2:25">
      <c r="B204" s="11"/>
      <c r="C204" s="10"/>
      <c r="D204" s="10"/>
      <c r="E204" s="10"/>
      <c r="F204" s="10"/>
      <c r="G204" s="10"/>
      <c r="H204" s="10"/>
      <c r="I204" s="10"/>
      <c r="J204" s="10" t="s">
        <v>48</v>
      </c>
      <c r="K204" s="66" t="e">
        <f t="shared" ref="K204:Q204" si="41">K200/K201</f>
        <v>#DIV/0!</v>
      </c>
      <c r="L204" s="66" t="e">
        <f t="shared" si="41"/>
        <v>#DIV/0!</v>
      </c>
      <c r="M204" s="66" t="e">
        <f t="shared" si="41"/>
        <v>#DIV/0!</v>
      </c>
      <c r="N204" s="66" t="e">
        <f t="shared" si="41"/>
        <v>#DIV/0!</v>
      </c>
      <c r="O204" s="66" t="e">
        <f t="shared" si="41"/>
        <v>#DIV/0!</v>
      </c>
      <c r="P204" s="66" t="e">
        <f t="shared" si="41"/>
        <v>#DIV/0!</v>
      </c>
      <c r="Q204" s="66" t="e">
        <f t="shared" si="41"/>
        <v>#DIV/0!</v>
      </c>
      <c r="R204" s="63"/>
      <c r="S204" s="10"/>
      <c r="T204" s="10"/>
      <c r="U204" s="17"/>
      <c r="V204" s="10"/>
      <c r="W204" s="10"/>
      <c r="X204" s="10"/>
      <c r="Y204" s="2"/>
    </row>
    <row r="205" spans="2:25">
      <c r="B205" s="11"/>
      <c r="C205" s="10"/>
      <c r="D205" s="10"/>
      <c r="E205" s="10"/>
      <c r="F205" s="10"/>
      <c r="G205" s="10"/>
      <c r="H205" s="10"/>
      <c r="I205" s="10"/>
      <c r="J205" s="10"/>
      <c r="K205" s="10"/>
      <c r="L205" s="10"/>
      <c r="M205" s="10"/>
      <c r="N205" s="10"/>
      <c r="O205" s="10"/>
      <c r="P205" s="10"/>
      <c r="Q205" s="10"/>
      <c r="R205" s="10"/>
      <c r="S205" s="10"/>
      <c r="T205" s="10"/>
      <c r="U205" s="17"/>
      <c r="V205" s="10"/>
      <c r="W205" s="10"/>
      <c r="X205" s="10"/>
      <c r="Y205" s="2"/>
    </row>
    <row r="206" spans="2:25">
      <c r="B206" s="11"/>
      <c r="C206" s="10"/>
      <c r="D206" s="10"/>
      <c r="E206" s="10"/>
      <c r="F206" s="10"/>
      <c r="G206" s="10"/>
      <c r="H206" s="10"/>
      <c r="I206" s="10"/>
      <c r="J206" s="10"/>
      <c r="K206" s="10"/>
      <c r="L206" s="10"/>
      <c r="M206" s="10"/>
      <c r="N206" s="10"/>
      <c r="O206" s="10"/>
      <c r="P206" s="10"/>
      <c r="Q206" s="10"/>
      <c r="R206" s="10"/>
      <c r="S206" s="10"/>
      <c r="T206" s="10"/>
      <c r="U206" s="17"/>
      <c r="V206" s="10"/>
      <c r="W206" s="10"/>
      <c r="X206" s="10"/>
      <c r="Y206" s="2"/>
    </row>
    <row r="207" spans="2:25">
      <c r="B207" s="18" t="s">
        <v>51</v>
      </c>
      <c r="C207" s="14"/>
      <c r="D207" s="14"/>
      <c r="E207" s="14"/>
      <c r="F207" s="13" t="s">
        <v>52</v>
      </c>
      <c r="G207" s="14"/>
      <c r="H207" s="14"/>
      <c r="I207" s="14"/>
      <c r="J207" s="14"/>
      <c r="K207" s="13" t="s">
        <v>3</v>
      </c>
      <c r="L207" s="14"/>
      <c r="M207" s="14"/>
      <c r="N207" s="13" t="s">
        <v>4</v>
      </c>
      <c r="O207" s="14"/>
      <c r="P207" s="14"/>
      <c r="Q207" s="13" t="s">
        <v>5</v>
      </c>
      <c r="R207" s="14"/>
      <c r="S207" s="14"/>
      <c r="T207" s="18"/>
      <c r="U207" s="16" t="s">
        <v>53</v>
      </c>
      <c r="V207" s="77"/>
      <c r="W207" s="77"/>
      <c r="X207" s="77"/>
      <c r="Y207" s="2"/>
    </row>
    <row r="208" spans="2:25">
      <c r="B208" s="24" t="s">
        <v>54</v>
      </c>
      <c r="C208" s="21" t="s">
        <v>55</v>
      </c>
      <c r="D208" s="21" t="s">
        <v>56</v>
      </c>
      <c r="E208" s="21" t="s">
        <v>57</v>
      </c>
      <c r="F208" s="20" t="s">
        <v>58</v>
      </c>
      <c r="G208" s="21" t="s">
        <v>59</v>
      </c>
      <c r="H208" s="21" t="s">
        <v>60</v>
      </c>
      <c r="I208" s="21" t="s">
        <v>26</v>
      </c>
      <c r="J208" s="22" t="s">
        <v>61</v>
      </c>
      <c r="K208" s="21" t="s">
        <v>8</v>
      </c>
      <c r="L208" s="21" t="s">
        <v>9</v>
      </c>
      <c r="M208" s="21" t="s">
        <v>10</v>
      </c>
      <c r="N208" s="20" t="s">
        <v>11</v>
      </c>
      <c r="O208" s="21" t="s">
        <v>12</v>
      </c>
      <c r="P208" s="22" t="s">
        <v>13</v>
      </c>
      <c r="Q208" s="21" t="s">
        <v>11</v>
      </c>
      <c r="R208" s="21" t="s">
        <v>12</v>
      </c>
      <c r="S208" s="21" t="s">
        <v>13</v>
      </c>
      <c r="T208" s="78" t="s">
        <v>14</v>
      </c>
      <c r="U208" s="30"/>
      <c r="V208" s="79" t="s">
        <v>62</v>
      </c>
      <c r="W208" s="80" t="s">
        <v>63</v>
      </c>
      <c r="X208" s="81" t="s">
        <v>64</v>
      </c>
      <c r="Y208" s="2"/>
    </row>
    <row r="209" spans="2:25">
      <c r="B209" s="4" t="s">
        <v>65</v>
      </c>
      <c r="C209" s="6"/>
      <c r="D209" s="6"/>
      <c r="E209" s="6"/>
      <c r="F209" s="6"/>
      <c r="G209" s="6"/>
      <c r="H209" s="6"/>
      <c r="I209" s="82"/>
      <c r="J209" s="6"/>
      <c r="K209" s="6"/>
      <c r="L209" s="6"/>
      <c r="M209" s="6"/>
      <c r="N209" s="6"/>
      <c r="O209" s="6"/>
      <c r="P209" s="6"/>
      <c r="Q209" s="6"/>
      <c r="R209" s="6"/>
      <c r="S209" s="6"/>
      <c r="T209" s="83"/>
      <c r="U209" s="6"/>
      <c r="V209" s="84"/>
      <c r="W209" s="85"/>
      <c r="X209" s="86"/>
      <c r="Y209" s="2"/>
    </row>
    <row r="210" spans="2:25">
      <c r="B210" s="87">
        <v>1</v>
      </c>
      <c r="C210" s="609"/>
      <c r="D210" s="10"/>
      <c r="E210" s="10"/>
      <c r="F210" s="62"/>
      <c r="G210" s="62"/>
      <c r="H210" s="88"/>
      <c r="I210" s="89">
        <f t="shared" ref="I210" si="42">F210-G210-H210</f>
        <v>0</v>
      </c>
      <c r="J210" s="63"/>
      <c r="K210" s="63"/>
      <c r="L210" s="63"/>
      <c r="M210" s="63"/>
      <c r="N210" s="63"/>
      <c r="O210" s="63"/>
      <c r="P210" s="63"/>
      <c r="Q210" s="63"/>
      <c r="R210" s="63"/>
      <c r="S210" s="63"/>
      <c r="T210" s="63"/>
      <c r="U210" s="10"/>
      <c r="V210" s="90"/>
      <c r="W210" s="91"/>
      <c r="X210" s="92"/>
      <c r="Y210" s="2"/>
    </row>
    <row r="211" spans="2:25">
      <c r="B211" s="87"/>
      <c r="C211" s="609"/>
      <c r="D211" s="10"/>
      <c r="E211" s="10"/>
      <c r="F211" s="97">
        <f>SUM(F210:F210)</f>
        <v>0</v>
      </c>
      <c r="G211" s="97">
        <f>SUM(G210:G210)</f>
        <v>0</v>
      </c>
      <c r="H211" s="97">
        <f>SUM(H210:H210)</f>
        <v>0</v>
      </c>
      <c r="I211" s="98">
        <f>SUM(I210:I210)</f>
        <v>0</v>
      </c>
      <c r="J211" s="63"/>
      <c r="K211" s="63">
        <f>COUNT(K210:K210)</f>
        <v>0</v>
      </c>
      <c r="L211" s="63">
        <f>COUNT(L210:L210)</f>
        <v>0</v>
      </c>
      <c r="M211" s="63">
        <f>COUNT(M210:M210)</f>
        <v>0</v>
      </c>
      <c r="N211" s="63">
        <f>COUNT(N210:N210)</f>
        <v>0</v>
      </c>
      <c r="O211" s="63">
        <f>COUNT(O210:O210)</f>
        <v>0</v>
      </c>
      <c r="P211" s="63">
        <f>COUNT(P210:P210)</f>
        <v>0</v>
      </c>
      <c r="Q211" s="63">
        <f>COUNT(Q210:Q210)</f>
        <v>0</v>
      </c>
      <c r="R211" s="63">
        <f>COUNT(R210:R210)</f>
        <v>0</v>
      </c>
      <c r="S211" s="63">
        <f>COUNT(S210:S210)</f>
        <v>0</v>
      </c>
      <c r="T211" s="63"/>
      <c r="U211" s="10"/>
      <c r="V211" s="90"/>
      <c r="W211" s="91"/>
      <c r="X211" s="92"/>
      <c r="Y211" s="2"/>
    </row>
    <row r="212" spans="2:25">
      <c r="B212" s="87"/>
      <c r="C212" s="609"/>
      <c r="D212" s="10"/>
      <c r="E212" s="10"/>
      <c r="F212" s="88"/>
      <c r="G212" s="88"/>
      <c r="H212" s="88"/>
      <c r="I212" s="99"/>
      <c r="J212" s="63"/>
      <c r="K212" s="21">
        <f>SUM(K210:K210)</f>
        <v>0</v>
      </c>
      <c r="L212" s="21">
        <f>SUM(L210:L210)</f>
        <v>0</v>
      </c>
      <c r="M212" s="21">
        <f>SUM(M210:M210)</f>
        <v>0</v>
      </c>
      <c r="N212" s="21">
        <f>SUM(N210:N210)</f>
        <v>0</v>
      </c>
      <c r="O212" s="21">
        <f>SUM(O210:O210)</f>
        <v>0</v>
      </c>
      <c r="P212" s="21">
        <f>SUM(P210:P210)</f>
        <v>0</v>
      </c>
      <c r="Q212" s="21">
        <f>SUM(Q210:Q210)</f>
        <v>0</v>
      </c>
      <c r="R212" s="21">
        <f>SUM(R210:R210)</f>
        <v>0</v>
      </c>
      <c r="S212" s="21">
        <f>SUM(S210:S210)</f>
        <v>0</v>
      </c>
      <c r="T212" s="63"/>
      <c r="U212" s="10"/>
      <c r="V212" s="90"/>
      <c r="W212" s="91"/>
      <c r="X212" s="92"/>
      <c r="Y212" s="2"/>
    </row>
    <row r="213" spans="2:25">
      <c r="B213" s="11"/>
      <c r="C213" s="609"/>
      <c r="D213" s="10"/>
      <c r="E213" s="10"/>
      <c r="F213" s="88"/>
      <c r="G213" s="88"/>
      <c r="H213" s="88"/>
      <c r="I213" s="99"/>
      <c r="J213" s="63"/>
      <c r="K213" s="21"/>
      <c r="L213" s="21"/>
      <c r="M213" s="21"/>
      <c r="N213" s="21"/>
      <c r="O213" s="21"/>
      <c r="P213" s="21"/>
      <c r="Q213" s="21"/>
      <c r="R213" s="21"/>
      <c r="S213" s="21"/>
      <c r="T213" s="63"/>
      <c r="U213" s="94"/>
      <c r="V213" s="90"/>
      <c r="W213" s="91"/>
      <c r="X213" s="92"/>
      <c r="Y213" s="2"/>
    </row>
    <row r="214" spans="2:25">
      <c r="B214" s="100" t="s">
        <v>67</v>
      </c>
      <c r="C214" s="609"/>
      <c r="D214" s="10"/>
      <c r="E214" s="10"/>
      <c r="F214" s="88"/>
      <c r="G214" s="62"/>
      <c r="H214" s="88"/>
      <c r="I214" s="99"/>
      <c r="J214" s="63"/>
      <c r="K214" s="2"/>
      <c r="L214" s="2"/>
      <c r="M214" s="2"/>
      <c r="N214" s="2"/>
      <c r="O214" s="2"/>
      <c r="P214" s="2"/>
      <c r="Q214" s="2"/>
      <c r="R214" s="2"/>
      <c r="S214" s="2"/>
      <c r="T214" s="63"/>
      <c r="U214" s="94"/>
      <c r="V214" s="90"/>
      <c r="W214" s="91"/>
      <c r="X214" s="92"/>
      <c r="Y214" s="2"/>
    </row>
    <row r="215" spans="2:25">
      <c r="B215" s="87">
        <v>1</v>
      </c>
      <c r="C215" s="609"/>
      <c r="D215" s="10"/>
      <c r="E215" s="101"/>
      <c r="F215" s="62"/>
      <c r="G215" s="62"/>
      <c r="H215" s="62"/>
      <c r="I215" s="89">
        <f t="shared" ref="I215:I222" si="43">F215-G215-H215</f>
        <v>0</v>
      </c>
      <c r="J215" s="63"/>
      <c r="K215" s="63"/>
      <c r="L215" s="63"/>
      <c r="M215" s="63"/>
      <c r="N215" s="63"/>
      <c r="O215" s="63"/>
      <c r="P215" s="63"/>
      <c r="Q215" s="63"/>
      <c r="R215" s="63"/>
      <c r="S215" s="63"/>
      <c r="T215" s="63"/>
      <c r="U215" s="94"/>
      <c r="V215" s="90"/>
      <c r="W215" s="91"/>
      <c r="X215" s="92"/>
      <c r="Y215" s="2"/>
    </row>
    <row r="216" spans="2:25">
      <c r="B216" s="87">
        <f t="shared" ref="B216:B222" si="44">B215+1</f>
        <v>2</v>
      </c>
      <c r="C216" s="609"/>
      <c r="D216" s="10"/>
      <c r="E216" s="101"/>
      <c r="F216" s="62"/>
      <c r="G216" s="62"/>
      <c r="H216" s="62"/>
      <c r="I216" s="89">
        <f t="shared" si="43"/>
        <v>0</v>
      </c>
      <c r="J216" s="63"/>
      <c r="K216" s="63"/>
      <c r="L216" s="63"/>
      <c r="M216" s="63"/>
      <c r="N216" s="63"/>
      <c r="O216" s="63"/>
      <c r="P216" s="63"/>
      <c r="Q216" s="63"/>
      <c r="R216" s="63"/>
      <c r="S216" s="63"/>
      <c r="T216" s="63"/>
      <c r="U216" s="94"/>
      <c r="V216" s="90"/>
      <c r="W216" s="91"/>
      <c r="X216" s="92"/>
      <c r="Y216" s="2"/>
    </row>
    <row r="217" spans="2:25">
      <c r="B217" s="87">
        <f t="shared" si="44"/>
        <v>3</v>
      </c>
      <c r="C217" s="609"/>
      <c r="D217" s="10"/>
      <c r="E217" s="101"/>
      <c r="F217" s="62"/>
      <c r="G217" s="62"/>
      <c r="H217" s="62"/>
      <c r="I217" s="89">
        <f t="shared" si="43"/>
        <v>0</v>
      </c>
      <c r="J217" s="63"/>
      <c r="K217" s="63"/>
      <c r="L217" s="63"/>
      <c r="M217" s="63"/>
      <c r="N217" s="63"/>
      <c r="O217" s="63"/>
      <c r="P217" s="63"/>
      <c r="Q217" s="63"/>
      <c r="R217" s="63"/>
      <c r="S217" s="63"/>
      <c r="T217" s="63"/>
      <c r="U217" s="94"/>
      <c r="V217" s="90"/>
      <c r="W217" s="91"/>
      <c r="X217" s="92"/>
      <c r="Y217" s="2"/>
    </row>
    <row r="218" spans="2:25">
      <c r="B218" s="87">
        <f t="shared" si="44"/>
        <v>4</v>
      </c>
      <c r="C218" s="609"/>
      <c r="D218" s="10"/>
      <c r="E218" s="101"/>
      <c r="F218" s="62"/>
      <c r="G218" s="62"/>
      <c r="H218" s="62"/>
      <c r="I218" s="89">
        <f t="shared" si="43"/>
        <v>0</v>
      </c>
      <c r="J218" s="63"/>
      <c r="K218" s="63"/>
      <c r="L218" s="63"/>
      <c r="M218" s="63"/>
      <c r="N218" s="63"/>
      <c r="O218" s="63"/>
      <c r="P218" s="63"/>
      <c r="Q218" s="63"/>
      <c r="R218" s="63"/>
      <c r="S218" s="63"/>
      <c r="T218" s="63"/>
      <c r="U218" s="94"/>
      <c r="V218" s="90"/>
      <c r="W218" s="91"/>
      <c r="X218" s="92"/>
      <c r="Y218" s="2"/>
    </row>
    <row r="219" spans="2:25">
      <c r="B219" s="87">
        <f t="shared" si="44"/>
        <v>5</v>
      </c>
      <c r="C219" s="609"/>
      <c r="D219" s="10"/>
      <c r="E219" s="101"/>
      <c r="F219" s="62"/>
      <c r="G219" s="62"/>
      <c r="H219" s="62"/>
      <c r="I219" s="89">
        <f t="shared" si="43"/>
        <v>0</v>
      </c>
      <c r="J219" s="63"/>
      <c r="K219" s="63"/>
      <c r="L219" s="63"/>
      <c r="M219" s="63"/>
      <c r="N219" s="63"/>
      <c r="O219" s="63"/>
      <c r="P219" s="63"/>
      <c r="Q219" s="63"/>
      <c r="R219" s="63"/>
      <c r="S219" s="63"/>
      <c r="T219" s="63"/>
      <c r="U219" s="94"/>
      <c r="V219" s="90"/>
      <c r="W219" s="91"/>
      <c r="X219" s="92"/>
      <c r="Y219" s="2"/>
    </row>
    <row r="220" spans="2:25">
      <c r="B220" s="87">
        <f t="shared" si="44"/>
        <v>6</v>
      </c>
      <c r="C220" s="609"/>
      <c r="D220" s="10"/>
      <c r="E220" s="101"/>
      <c r="F220" s="62"/>
      <c r="G220" s="62"/>
      <c r="H220" s="62"/>
      <c r="I220" s="89">
        <f t="shared" si="43"/>
        <v>0</v>
      </c>
      <c r="J220" s="63"/>
      <c r="K220" s="63"/>
      <c r="L220" s="63"/>
      <c r="M220" s="63"/>
      <c r="N220" s="63"/>
      <c r="O220" s="63"/>
      <c r="P220" s="63"/>
      <c r="Q220" s="63"/>
      <c r="R220" s="63"/>
      <c r="S220" s="63"/>
      <c r="T220" s="63"/>
      <c r="U220" s="94"/>
      <c r="V220" s="90"/>
      <c r="W220" s="91"/>
      <c r="X220" s="92"/>
      <c r="Y220" s="2"/>
    </row>
    <row r="221" spans="2:25">
      <c r="B221" s="87">
        <f t="shared" si="44"/>
        <v>7</v>
      </c>
      <c r="C221" s="609"/>
      <c r="D221" s="10"/>
      <c r="E221" s="101"/>
      <c r="F221" s="62"/>
      <c r="G221" s="62"/>
      <c r="H221" s="62"/>
      <c r="I221" s="89">
        <f t="shared" si="43"/>
        <v>0</v>
      </c>
      <c r="J221" s="63"/>
      <c r="K221" s="63"/>
      <c r="L221" s="63"/>
      <c r="M221" s="63"/>
      <c r="N221" s="63"/>
      <c r="O221" s="63"/>
      <c r="P221" s="63"/>
      <c r="Q221" s="63"/>
      <c r="R221" s="63"/>
      <c r="S221" s="63"/>
      <c r="T221" s="63"/>
      <c r="U221" s="94"/>
      <c r="V221" s="90"/>
      <c r="W221" s="91"/>
      <c r="X221" s="92"/>
      <c r="Y221" s="2"/>
    </row>
    <row r="222" spans="2:25">
      <c r="B222" s="87">
        <f t="shared" si="44"/>
        <v>8</v>
      </c>
      <c r="C222" s="609"/>
      <c r="D222" s="10"/>
      <c r="E222" s="101"/>
      <c r="F222" s="62"/>
      <c r="G222" s="62"/>
      <c r="H222" s="62"/>
      <c r="I222" s="89">
        <f t="shared" si="43"/>
        <v>0</v>
      </c>
      <c r="J222" s="63"/>
      <c r="K222" s="63"/>
      <c r="L222" s="63"/>
      <c r="M222" s="63"/>
      <c r="N222" s="63"/>
      <c r="O222" s="63"/>
      <c r="P222" s="63"/>
      <c r="Q222" s="63"/>
      <c r="R222" s="63"/>
      <c r="S222" s="63"/>
      <c r="T222" s="63"/>
      <c r="U222" s="94"/>
      <c r="V222" s="90"/>
      <c r="W222" s="91"/>
      <c r="X222" s="92"/>
      <c r="Y222" s="2"/>
    </row>
    <row r="223" spans="2:25">
      <c r="B223" s="11"/>
      <c r="C223" s="609"/>
      <c r="D223" s="10"/>
      <c r="E223" s="10"/>
      <c r="F223" s="97">
        <f>SUM(F215:F222)</f>
        <v>0</v>
      </c>
      <c r="G223" s="97">
        <f>SUM(G215:G222)</f>
        <v>0</v>
      </c>
      <c r="H223" s="97">
        <f>SUM(H215:H222)</f>
        <v>0</v>
      </c>
      <c r="I223" s="98">
        <f>SUM(I215:I222)</f>
        <v>0</v>
      </c>
      <c r="J223" s="63"/>
      <c r="K223" s="21"/>
      <c r="L223" s="21"/>
      <c r="M223" s="21"/>
      <c r="N223" s="21"/>
      <c r="O223" s="21"/>
      <c r="P223" s="21"/>
      <c r="Q223" s="21"/>
      <c r="R223" s="21"/>
      <c r="S223" s="21"/>
      <c r="T223" s="63"/>
      <c r="U223" s="94"/>
      <c r="V223" s="90"/>
      <c r="W223" s="91"/>
      <c r="X223" s="92"/>
      <c r="Y223" s="2"/>
    </row>
    <row r="224" spans="2:25">
      <c r="B224" s="11"/>
      <c r="C224" s="609"/>
      <c r="D224" s="10"/>
      <c r="E224" s="10"/>
      <c r="F224" s="88"/>
      <c r="G224" s="88"/>
      <c r="H224" s="88"/>
      <c r="I224" s="99"/>
      <c r="J224" s="63"/>
      <c r="K224" s="21"/>
      <c r="L224" s="21"/>
      <c r="M224" s="21"/>
      <c r="N224" s="21"/>
      <c r="O224" s="21"/>
      <c r="P224" s="21"/>
      <c r="Q224" s="21"/>
      <c r="R224" s="21"/>
      <c r="S224" s="21"/>
      <c r="T224" s="63"/>
      <c r="U224" s="94"/>
      <c r="V224" s="90"/>
      <c r="W224" s="91"/>
      <c r="X224" s="92"/>
      <c r="Y224" s="2"/>
    </row>
    <row r="225" spans="1:25">
      <c r="B225" s="100" t="s">
        <v>152</v>
      </c>
      <c r="C225" s="611"/>
      <c r="D225" s="123"/>
      <c r="E225" s="123"/>
      <c r="F225" s="124"/>
      <c r="G225" s="125"/>
      <c r="H225" s="124"/>
      <c r="I225" s="126"/>
      <c r="J225" s="127"/>
      <c r="K225" s="128"/>
      <c r="L225" s="128"/>
      <c r="M225" s="128"/>
      <c r="N225" s="128"/>
      <c r="O225" s="128"/>
      <c r="P225" s="128"/>
      <c r="Q225" s="128"/>
      <c r="R225" s="128"/>
      <c r="S225" s="128"/>
      <c r="T225" s="127"/>
      <c r="U225" s="123"/>
      <c r="V225" s="129"/>
      <c r="W225" s="130"/>
      <c r="X225" s="131"/>
    </row>
    <row r="226" spans="1:25" s="260" customFormat="1">
      <c r="A226" s="494">
        <v>0.05</v>
      </c>
      <c r="B226" s="87">
        <v>1</v>
      </c>
      <c r="C226" s="274">
        <v>45932</v>
      </c>
      <c r="D226" s="276" t="s">
        <v>2312</v>
      </c>
      <c r="E226" s="276" t="s">
        <v>291</v>
      </c>
      <c r="F226" s="277">
        <v>1138</v>
      </c>
      <c r="G226" s="277">
        <f>39.7+(23.85)</f>
        <v>63.550000000000004</v>
      </c>
      <c r="H226" s="277"/>
      <c r="I226" s="321">
        <f t="shared" ref="I226:I227" si="45">F226-G226-H226</f>
        <v>1074.45</v>
      </c>
      <c r="J226" s="279" t="s">
        <v>156</v>
      </c>
      <c r="K226" s="279">
        <v>1</v>
      </c>
      <c r="L226" s="322">
        <v>0</v>
      </c>
      <c r="M226" s="279">
        <v>1</v>
      </c>
      <c r="N226" s="279">
        <v>1</v>
      </c>
      <c r="O226" s="279">
        <v>1</v>
      </c>
      <c r="P226" s="322">
        <v>0</v>
      </c>
      <c r="Q226" s="279">
        <v>1</v>
      </c>
      <c r="R226" s="279">
        <v>1</v>
      </c>
      <c r="S226" s="280">
        <v>1</v>
      </c>
      <c r="T226" s="63"/>
      <c r="U226" s="94"/>
      <c r="V226" s="90"/>
      <c r="W226" s="91"/>
      <c r="X226" s="92"/>
    </row>
    <row r="227" spans="1:25" s="260" customFormat="1">
      <c r="A227" s="494">
        <v>0.05</v>
      </c>
      <c r="B227" s="87">
        <f>B226+1</f>
        <v>2</v>
      </c>
      <c r="C227" s="282">
        <v>45932</v>
      </c>
      <c r="D227" s="283">
        <v>73943</v>
      </c>
      <c r="E227" s="319" t="s">
        <v>245</v>
      </c>
      <c r="F227" s="284">
        <f>1138-113.8</f>
        <v>1024.2</v>
      </c>
      <c r="G227" s="284">
        <f>39.7+(82.81)</f>
        <v>122.51</v>
      </c>
      <c r="H227" s="284"/>
      <c r="I227" s="300">
        <f t="shared" si="45"/>
        <v>901.69</v>
      </c>
      <c r="J227" s="286" t="s">
        <v>156</v>
      </c>
      <c r="K227" s="286">
        <v>1</v>
      </c>
      <c r="L227" s="286">
        <v>1</v>
      </c>
      <c r="M227" s="286">
        <v>1</v>
      </c>
      <c r="N227" s="286">
        <v>1</v>
      </c>
      <c r="O227" s="286">
        <v>1</v>
      </c>
      <c r="P227" s="332">
        <v>0</v>
      </c>
      <c r="Q227" s="332">
        <v>0</v>
      </c>
      <c r="R227" s="332">
        <v>0</v>
      </c>
      <c r="S227" s="370">
        <v>0</v>
      </c>
      <c r="T227" s="21">
        <v>1</v>
      </c>
      <c r="U227" s="10"/>
      <c r="V227" s="90"/>
      <c r="W227" s="91"/>
      <c r="X227" s="92"/>
    </row>
    <row r="228" spans="1:25">
      <c r="B228" s="132"/>
      <c r="C228" s="36"/>
      <c r="D228" s="123"/>
      <c r="E228" s="123"/>
      <c r="F228" s="98">
        <f>SUM(F226:F227)</f>
        <v>2162.1999999999998</v>
      </c>
      <c r="G228" s="98">
        <f>SUM(G226:G227)</f>
        <v>186.06</v>
      </c>
      <c r="H228" s="98">
        <f>SUM(H226:H227)</f>
        <v>0</v>
      </c>
      <c r="I228" s="98">
        <f>SUM(I226:I227)</f>
        <v>1976.14</v>
      </c>
      <c r="J228" s="127"/>
      <c r="K228" s="64"/>
      <c r="L228" s="64"/>
      <c r="M228" s="64"/>
      <c r="N228" s="64"/>
      <c r="O228" s="64"/>
      <c r="P228" s="64"/>
      <c r="Q228" s="64"/>
      <c r="R228" s="64"/>
      <c r="S228" s="64"/>
      <c r="T228" s="127"/>
      <c r="U228" s="123"/>
      <c r="V228" s="129"/>
      <c r="W228" s="130"/>
      <c r="X228" s="131"/>
    </row>
    <row r="229" spans="1:25">
      <c r="B229" s="26"/>
      <c r="C229" s="612"/>
      <c r="D229" s="141"/>
      <c r="E229" s="141"/>
      <c r="F229" s="141"/>
      <c r="G229" s="141"/>
      <c r="H229" s="141"/>
      <c r="I229" s="141"/>
      <c r="J229" s="141"/>
      <c r="K229" s="142"/>
      <c r="L229" s="142"/>
      <c r="M229" s="142"/>
      <c r="N229" s="142"/>
      <c r="O229" s="142"/>
      <c r="P229" s="142"/>
      <c r="Q229" s="142"/>
      <c r="R229" s="142"/>
      <c r="S229" s="142"/>
      <c r="T229" s="143">
        <f>SUM(T210:T228)</f>
        <v>1</v>
      </c>
      <c r="U229" s="141"/>
      <c r="V229" s="144">
        <f>SUM(V210:V228)</f>
        <v>0</v>
      </c>
      <c r="W229" s="145">
        <f>SUM(W210:W228)</f>
        <v>0</v>
      </c>
      <c r="X229" s="146">
        <f>SUM(X210:X228)</f>
        <v>0</v>
      </c>
      <c r="Y229" s="2"/>
    </row>
    <row r="230" spans="1:25">
      <c r="B230" s="10"/>
      <c r="C230" s="36"/>
      <c r="D230" s="10"/>
      <c r="E230" s="10"/>
      <c r="F230" s="10"/>
      <c r="G230" s="10"/>
      <c r="H230" s="10"/>
      <c r="I230" s="10"/>
      <c r="J230" s="10"/>
      <c r="K230" s="147"/>
      <c r="L230" s="147"/>
      <c r="M230" s="147"/>
      <c r="N230" s="147"/>
      <c r="O230" s="147"/>
      <c r="P230" s="147"/>
      <c r="Q230" s="147"/>
      <c r="R230" s="147"/>
      <c r="S230" s="147"/>
      <c r="T230" s="21"/>
      <c r="U230" s="10"/>
      <c r="V230" s="99"/>
      <c r="W230" s="99"/>
      <c r="X230" s="99"/>
      <c r="Y230" s="2"/>
    </row>
    <row r="232" spans="1:25">
      <c r="B232" s="4" t="s">
        <v>1</v>
      </c>
      <c r="C232" s="5"/>
      <c r="D232" s="6"/>
      <c r="E232" s="6"/>
      <c r="F232" s="7" t="s">
        <v>2</v>
      </c>
      <c r="G232" s="608">
        <v>45970</v>
      </c>
      <c r="H232" s="7"/>
      <c r="I232" s="6"/>
      <c r="J232" s="6"/>
      <c r="K232" s="6"/>
      <c r="L232" s="6"/>
      <c r="M232" s="6"/>
      <c r="N232" s="6"/>
      <c r="O232" s="6"/>
      <c r="P232" s="6"/>
      <c r="Q232" s="6"/>
      <c r="R232" s="6"/>
      <c r="S232" s="6"/>
      <c r="T232" s="6"/>
      <c r="U232" s="9"/>
      <c r="V232" s="10"/>
      <c r="W232" s="10"/>
      <c r="X232" s="10"/>
      <c r="Y232" s="2"/>
    </row>
    <row r="233" spans="1:25">
      <c r="B233" s="11"/>
      <c r="C233" s="10"/>
      <c r="D233" s="10"/>
      <c r="E233" s="10"/>
      <c r="F233" s="10"/>
      <c r="G233" s="7"/>
      <c r="H233" s="12"/>
      <c r="I233" s="10"/>
      <c r="J233" s="10"/>
      <c r="K233" s="13" t="s">
        <v>3</v>
      </c>
      <c r="L233" s="14"/>
      <c r="M233" s="15"/>
      <c r="N233" s="13" t="s">
        <v>4</v>
      </c>
      <c r="O233" s="14"/>
      <c r="P233" s="15"/>
      <c r="Q233" s="13" t="s">
        <v>5</v>
      </c>
      <c r="R233" s="14"/>
      <c r="S233" s="15"/>
      <c r="T233" s="16"/>
      <c r="U233" s="17"/>
      <c r="V233" s="10"/>
      <c r="W233" s="10"/>
      <c r="X233" s="10"/>
      <c r="Y233" s="2"/>
    </row>
    <row r="234" spans="1:25">
      <c r="B234" s="18" t="s">
        <v>6</v>
      </c>
      <c r="C234" s="19">
        <f>C235+C236</f>
        <v>0</v>
      </c>
      <c r="D234" s="10"/>
      <c r="E234" s="18" t="s">
        <v>7</v>
      </c>
      <c r="F234" s="6"/>
      <c r="G234" s="9"/>
      <c r="H234" s="10"/>
      <c r="I234" s="10"/>
      <c r="J234" s="10"/>
      <c r="K234" s="20" t="s">
        <v>8</v>
      </c>
      <c r="L234" s="21" t="s">
        <v>9</v>
      </c>
      <c r="M234" s="21" t="s">
        <v>10</v>
      </c>
      <c r="N234" s="20" t="s">
        <v>11</v>
      </c>
      <c r="O234" s="21" t="s">
        <v>12</v>
      </c>
      <c r="P234" s="22" t="s">
        <v>13</v>
      </c>
      <c r="Q234" s="21" t="s">
        <v>11</v>
      </c>
      <c r="R234" s="21" t="s">
        <v>12</v>
      </c>
      <c r="S234" s="22" t="s">
        <v>13</v>
      </c>
      <c r="T234" s="23" t="s">
        <v>14</v>
      </c>
      <c r="U234" s="17"/>
      <c r="V234" s="10"/>
      <c r="W234" s="10"/>
      <c r="X234" s="10"/>
      <c r="Y234" s="2"/>
    </row>
    <row r="235" spans="1:25">
      <c r="B235" s="24" t="s">
        <v>15</v>
      </c>
      <c r="C235" s="25">
        <f>P242</f>
        <v>0</v>
      </c>
      <c r="D235" s="10"/>
      <c r="E235" s="26" t="s">
        <v>16</v>
      </c>
      <c r="F235" s="27">
        <v>0.05</v>
      </c>
      <c r="G235" s="28"/>
      <c r="H235" s="10"/>
      <c r="I235" s="10"/>
      <c r="J235" s="18" t="s">
        <v>17</v>
      </c>
      <c r="K235" s="29">
        <f>K276</f>
        <v>0</v>
      </c>
      <c r="L235" s="29">
        <f t="shared" ref="L235:S235" si="46">L276</f>
        <v>0</v>
      </c>
      <c r="M235" s="29">
        <f t="shared" si="46"/>
        <v>0</v>
      </c>
      <c r="N235" s="29">
        <f t="shared" si="46"/>
        <v>0</v>
      </c>
      <c r="O235" s="29">
        <f t="shared" si="46"/>
        <v>0</v>
      </c>
      <c r="P235" s="29">
        <f t="shared" si="46"/>
        <v>0</v>
      </c>
      <c r="Q235" s="29">
        <f t="shared" si="46"/>
        <v>0</v>
      </c>
      <c r="R235" s="29">
        <f t="shared" si="46"/>
        <v>0</v>
      </c>
      <c r="S235" s="29">
        <f t="shared" si="46"/>
        <v>0</v>
      </c>
      <c r="T235" s="30">
        <f>T373</f>
        <v>0</v>
      </c>
      <c r="U235" s="17"/>
      <c r="V235" s="10"/>
      <c r="W235" s="10"/>
      <c r="X235" s="10"/>
      <c r="Y235" s="2"/>
    </row>
    <row r="236" spans="1:25">
      <c r="B236" s="24" t="s">
        <v>18</v>
      </c>
      <c r="C236" s="25">
        <f>P243</f>
        <v>0</v>
      </c>
      <c r="D236" s="10"/>
      <c r="E236" s="10"/>
      <c r="F236" s="10"/>
      <c r="G236" s="31"/>
      <c r="H236" s="10"/>
      <c r="I236" s="10"/>
      <c r="J236" s="32" t="s">
        <v>19</v>
      </c>
      <c r="K236" s="33" t="e">
        <f>K276/K275</f>
        <v>#DIV/0!</v>
      </c>
      <c r="L236" s="33" t="e">
        <f t="shared" ref="L236:S236" si="47">L276/L275</f>
        <v>#DIV/0!</v>
      </c>
      <c r="M236" s="33" t="e">
        <f t="shared" si="47"/>
        <v>#DIV/0!</v>
      </c>
      <c r="N236" s="33" t="e">
        <f t="shared" si="47"/>
        <v>#DIV/0!</v>
      </c>
      <c r="O236" s="33" t="e">
        <f t="shared" si="47"/>
        <v>#DIV/0!</v>
      </c>
      <c r="P236" s="33" t="e">
        <f t="shared" si="47"/>
        <v>#DIV/0!</v>
      </c>
      <c r="Q236" s="33" t="e">
        <f t="shared" si="47"/>
        <v>#DIV/0!</v>
      </c>
      <c r="R236" s="33" t="e">
        <f t="shared" si="47"/>
        <v>#DIV/0!</v>
      </c>
      <c r="S236" s="33" t="e">
        <f t="shared" si="47"/>
        <v>#DIV/0!</v>
      </c>
      <c r="T236" s="23"/>
      <c r="U236" s="17" t="s">
        <v>20</v>
      </c>
      <c r="V236" s="10"/>
      <c r="W236" s="10"/>
      <c r="X236" s="10"/>
      <c r="Y236" s="2"/>
    </row>
    <row r="237" spans="1:25">
      <c r="B237" s="24" t="s">
        <v>21</v>
      </c>
      <c r="C237" s="34" t="e">
        <f>P244</f>
        <v>#DIV/0!</v>
      </c>
      <c r="D237" s="10"/>
      <c r="E237" s="10"/>
      <c r="F237" s="10"/>
      <c r="G237" s="10"/>
      <c r="H237" s="10"/>
      <c r="I237" s="10"/>
      <c r="J237" s="10"/>
      <c r="K237" s="10"/>
      <c r="L237" s="10"/>
      <c r="M237" s="10"/>
      <c r="N237" s="10"/>
      <c r="O237" s="10"/>
      <c r="P237" s="10"/>
      <c r="Q237" s="10"/>
      <c r="R237" s="10"/>
      <c r="S237" s="10"/>
      <c r="T237" s="10"/>
      <c r="U237" s="17"/>
      <c r="V237" s="10"/>
      <c r="W237" s="10"/>
      <c r="X237" s="10"/>
      <c r="Y237" s="2"/>
    </row>
    <row r="238" spans="1:25">
      <c r="B238" s="24"/>
      <c r="C238" s="25"/>
      <c r="D238" s="10"/>
      <c r="E238" s="10"/>
      <c r="F238" s="18" t="s">
        <v>22</v>
      </c>
      <c r="G238" s="19" t="s">
        <v>23</v>
      </c>
      <c r="H238" s="35" t="s">
        <v>24</v>
      </c>
      <c r="I238" s="10"/>
      <c r="J238" s="10"/>
      <c r="K238" s="36"/>
      <c r="L238" s="36"/>
      <c r="M238" s="36"/>
      <c r="N238" s="36"/>
      <c r="O238" s="36"/>
      <c r="P238" s="36"/>
      <c r="Q238" s="36"/>
      <c r="R238" s="10"/>
      <c r="S238" s="10"/>
      <c r="T238" s="10"/>
      <c r="U238" s="17"/>
      <c r="V238" s="10"/>
      <c r="W238" s="10"/>
      <c r="X238" s="10"/>
      <c r="Y238" s="2"/>
    </row>
    <row r="239" spans="1:25">
      <c r="B239" s="32" t="s">
        <v>25</v>
      </c>
      <c r="C239" s="37" t="e">
        <f>P245</f>
        <v>#DIV/0!</v>
      </c>
      <c r="D239" s="10"/>
      <c r="E239" s="18" t="s">
        <v>26</v>
      </c>
      <c r="F239" s="38">
        <f>P241</f>
        <v>0</v>
      </c>
      <c r="G239" s="39">
        <f>I275+I309+I331</f>
        <v>0</v>
      </c>
      <c r="H239" s="40"/>
      <c r="I239" s="41"/>
      <c r="J239" s="42"/>
      <c r="K239" s="43" t="s">
        <v>27</v>
      </c>
      <c r="L239" s="44"/>
      <c r="M239" s="44"/>
      <c r="N239" s="44"/>
      <c r="O239" s="44"/>
      <c r="P239" s="44"/>
      <c r="Q239" s="45"/>
      <c r="R239" s="46" t="s">
        <v>28</v>
      </c>
      <c r="S239" s="47" t="s">
        <v>29</v>
      </c>
      <c r="T239" s="10"/>
      <c r="U239" s="17"/>
      <c r="V239" s="10"/>
      <c r="W239" s="10"/>
      <c r="X239" s="10"/>
      <c r="Y239" s="2"/>
    </row>
    <row r="240" spans="1:25">
      <c r="B240" s="11"/>
      <c r="C240" s="10"/>
      <c r="D240" s="10"/>
      <c r="E240" s="24" t="s">
        <v>30</v>
      </c>
      <c r="F240" s="48">
        <f>F235</f>
        <v>0.05</v>
      </c>
      <c r="G240" s="17"/>
      <c r="H240" s="40"/>
      <c r="I240" s="41"/>
      <c r="J240" s="42"/>
      <c r="K240" s="20" t="s">
        <v>31</v>
      </c>
      <c r="L240" s="21" t="s">
        <v>32</v>
      </c>
      <c r="M240" s="21" t="s">
        <v>33</v>
      </c>
      <c r="N240" s="21" t="s">
        <v>34</v>
      </c>
      <c r="O240" s="21" t="s">
        <v>35</v>
      </c>
      <c r="P240" s="21" t="s">
        <v>36</v>
      </c>
      <c r="Q240" s="49" t="s">
        <v>37</v>
      </c>
      <c r="R240" s="50" t="s">
        <v>38</v>
      </c>
      <c r="S240" s="50" t="s">
        <v>38</v>
      </c>
      <c r="T240" s="10"/>
      <c r="U240" s="17"/>
      <c r="V240" s="10"/>
      <c r="W240" s="10"/>
      <c r="X240" s="10"/>
      <c r="Y240" s="2"/>
    </row>
    <row r="241" spans="2:25">
      <c r="B241" s="11"/>
      <c r="C241" s="10"/>
      <c r="D241" s="10"/>
      <c r="E241" s="51" t="s">
        <v>39</v>
      </c>
      <c r="F241" s="52">
        <f>F239*F240</f>
        <v>0</v>
      </c>
      <c r="G241" s="53" t="s">
        <v>40</v>
      </c>
      <c r="H241" s="54">
        <f>F241/1.12</f>
        <v>0</v>
      </c>
      <c r="I241" s="55"/>
      <c r="J241" s="42"/>
      <c r="K241" s="56"/>
      <c r="L241" s="57"/>
      <c r="M241" s="57"/>
      <c r="N241" s="57"/>
      <c r="O241" s="57"/>
      <c r="P241" s="57">
        <f>SUM(K241:O241)</f>
        <v>0</v>
      </c>
      <c r="Q241" s="58">
        <v>0</v>
      </c>
      <c r="R241" s="59">
        <f>I309+I331</f>
        <v>0</v>
      </c>
      <c r="S241" s="59">
        <f>I320+I342</f>
        <v>0</v>
      </c>
      <c r="T241" s="10"/>
      <c r="U241" s="17"/>
      <c r="V241" s="10"/>
      <c r="W241" s="10"/>
      <c r="X241" s="10"/>
      <c r="Y241" s="2"/>
    </row>
    <row r="242" spans="2:25">
      <c r="B242" s="11"/>
      <c r="C242" s="10"/>
      <c r="D242" s="10"/>
      <c r="E242" s="24" t="s">
        <v>41</v>
      </c>
      <c r="F242" s="60">
        <f>Q241</f>
        <v>0</v>
      </c>
      <c r="G242" s="61" t="s">
        <v>40</v>
      </c>
      <c r="H242" s="62"/>
      <c r="I242" s="62"/>
      <c r="J242" s="10" t="s">
        <v>42</v>
      </c>
      <c r="K242" s="63"/>
      <c r="L242" s="63"/>
      <c r="M242" s="63"/>
      <c r="N242" s="63"/>
      <c r="O242" s="63"/>
      <c r="P242" s="21">
        <f>SUM(K242:O242)</f>
        <v>0</v>
      </c>
      <c r="Q242" s="64"/>
      <c r="R242" s="63"/>
      <c r="S242" s="10"/>
      <c r="T242" s="10"/>
      <c r="U242" s="17"/>
      <c r="V242" s="10"/>
      <c r="W242" s="10"/>
      <c r="X242" s="10"/>
      <c r="Y242" s="2"/>
    </row>
    <row r="243" spans="2:25">
      <c r="B243" s="11"/>
      <c r="C243" s="10"/>
      <c r="D243" s="10"/>
      <c r="E243" s="51" t="s">
        <v>43</v>
      </c>
      <c r="F243" s="52">
        <f>F242*0.25</f>
        <v>0</v>
      </c>
      <c r="G243" s="53" t="s">
        <v>40</v>
      </c>
      <c r="H243" s="54">
        <f>F243/1.12</f>
        <v>0</v>
      </c>
      <c r="I243" s="10"/>
      <c r="J243" s="10" t="s">
        <v>44</v>
      </c>
      <c r="K243" s="63"/>
      <c r="L243" s="63"/>
      <c r="M243" s="63"/>
      <c r="N243" s="63"/>
      <c r="O243" s="63"/>
      <c r="P243" s="21">
        <f>SUM(K243:O243)</f>
        <v>0</v>
      </c>
      <c r="Q243" s="64"/>
      <c r="R243" s="63"/>
      <c r="S243" s="10"/>
      <c r="T243" s="10"/>
      <c r="U243" s="17"/>
      <c r="V243" s="10"/>
      <c r="W243" s="10"/>
      <c r="X243" s="10"/>
      <c r="Y243" s="2"/>
    </row>
    <row r="244" spans="2:25">
      <c r="B244" s="11"/>
      <c r="C244" s="10"/>
      <c r="D244" s="10"/>
      <c r="E244" s="24" t="s">
        <v>45</v>
      </c>
      <c r="F244" s="60"/>
      <c r="G244" s="61" t="s">
        <v>40</v>
      </c>
      <c r="H244" s="62"/>
      <c r="I244" s="10"/>
      <c r="J244" s="10" t="s">
        <v>46</v>
      </c>
      <c r="K244" s="31" t="e">
        <f t="shared" ref="K244:Q244" si="48">K242/(K242+K243)</f>
        <v>#DIV/0!</v>
      </c>
      <c r="L244" s="31" t="e">
        <f t="shared" si="48"/>
        <v>#DIV/0!</v>
      </c>
      <c r="M244" s="31" t="e">
        <f t="shared" si="48"/>
        <v>#DIV/0!</v>
      </c>
      <c r="N244" s="31" t="e">
        <f t="shared" si="48"/>
        <v>#DIV/0!</v>
      </c>
      <c r="O244" s="31" t="e">
        <f t="shared" si="48"/>
        <v>#DIV/0!</v>
      </c>
      <c r="P244" s="31" t="e">
        <f t="shared" si="48"/>
        <v>#DIV/0!</v>
      </c>
      <c r="Q244" s="31" t="e">
        <f t="shared" si="48"/>
        <v>#DIV/0!</v>
      </c>
      <c r="R244" s="63"/>
      <c r="S244" s="10"/>
      <c r="T244" s="10"/>
      <c r="U244" s="17"/>
      <c r="V244" s="10"/>
      <c r="W244" s="10"/>
      <c r="X244" s="10"/>
      <c r="Y244" s="2"/>
    </row>
    <row r="245" spans="2:25">
      <c r="B245" s="11"/>
      <c r="C245" s="10"/>
      <c r="D245" s="10"/>
      <c r="E245" s="51" t="s">
        <v>47</v>
      </c>
      <c r="F245" s="52">
        <f>F244*0.05</f>
        <v>0</v>
      </c>
      <c r="G245" s="65" t="s">
        <v>40</v>
      </c>
      <c r="H245" s="54">
        <f>F245/1.12</f>
        <v>0</v>
      </c>
      <c r="I245" s="42"/>
      <c r="J245" s="10" t="s">
        <v>48</v>
      </c>
      <c r="K245" s="66" t="e">
        <f>K241/K242</f>
        <v>#DIV/0!</v>
      </c>
      <c r="L245" s="66" t="e">
        <f t="shared" ref="L245:Q245" si="49">L241/L242</f>
        <v>#DIV/0!</v>
      </c>
      <c r="M245" s="66" t="e">
        <f t="shared" si="49"/>
        <v>#DIV/0!</v>
      </c>
      <c r="N245" s="66" t="e">
        <f t="shared" si="49"/>
        <v>#DIV/0!</v>
      </c>
      <c r="O245" s="66" t="e">
        <f t="shared" si="49"/>
        <v>#DIV/0!</v>
      </c>
      <c r="P245" s="66" t="e">
        <f t="shared" si="49"/>
        <v>#DIV/0!</v>
      </c>
      <c r="Q245" s="66" t="e">
        <f t="shared" si="49"/>
        <v>#DIV/0!</v>
      </c>
      <c r="R245" s="63"/>
      <c r="S245" s="10"/>
      <c r="T245" s="10"/>
      <c r="U245" s="17"/>
      <c r="V245" s="10"/>
      <c r="W245" s="10"/>
      <c r="X245" s="10"/>
      <c r="Y245" s="2"/>
    </row>
    <row r="246" spans="2:25">
      <c r="B246" s="11"/>
      <c r="C246" s="10"/>
      <c r="D246" s="10"/>
      <c r="E246" s="67" t="s">
        <v>14</v>
      </c>
      <c r="F246" s="68"/>
      <c r="G246" s="10"/>
      <c r="H246" s="54">
        <f>F246/1.12</f>
        <v>0</v>
      </c>
      <c r="I246" s="10"/>
      <c r="J246" s="10"/>
      <c r="K246" s="10"/>
      <c r="L246" s="10"/>
      <c r="M246" s="10"/>
      <c r="N246" s="10"/>
      <c r="O246" s="10"/>
      <c r="P246" s="10"/>
      <c r="Q246" s="10"/>
      <c r="R246" s="10"/>
      <c r="S246" s="10"/>
      <c r="T246" s="10"/>
      <c r="U246" s="17"/>
      <c r="V246" s="10"/>
      <c r="W246" s="10"/>
      <c r="X246" s="10"/>
      <c r="Y246" s="2"/>
    </row>
    <row r="247" spans="2:25">
      <c r="B247" s="11"/>
      <c r="C247" s="10"/>
      <c r="D247" s="10"/>
      <c r="E247" s="67" t="s">
        <v>49</v>
      </c>
      <c r="F247" s="69">
        <f>T236</f>
        <v>0</v>
      </c>
      <c r="G247" s="10"/>
      <c r="H247" s="54"/>
      <c r="I247" s="55"/>
      <c r="J247" s="42"/>
      <c r="K247" s="764" t="s">
        <v>50</v>
      </c>
      <c r="L247" s="765"/>
      <c r="M247" s="765"/>
      <c r="N247" s="765"/>
      <c r="O247" s="765"/>
      <c r="P247" s="765"/>
      <c r="Q247" s="766"/>
      <c r="R247" s="70" t="s">
        <v>28</v>
      </c>
      <c r="S247" s="71" t="s">
        <v>29</v>
      </c>
      <c r="T247" s="10"/>
      <c r="U247" s="17"/>
      <c r="V247" s="10"/>
      <c r="W247" s="10"/>
      <c r="X247" s="10"/>
      <c r="Y247" s="2"/>
    </row>
    <row r="248" spans="2:25">
      <c r="B248" s="11"/>
      <c r="C248" s="10"/>
      <c r="D248" s="10"/>
      <c r="E248" s="72"/>
      <c r="F248" s="73"/>
      <c r="G248" s="10"/>
      <c r="H248" s="10"/>
      <c r="I248" s="10"/>
      <c r="J248" s="42"/>
      <c r="K248" s="20" t="s">
        <v>31</v>
      </c>
      <c r="L248" s="21" t="s">
        <v>32</v>
      </c>
      <c r="M248" s="21" t="s">
        <v>33</v>
      </c>
      <c r="N248" s="21" t="s">
        <v>34</v>
      </c>
      <c r="O248" s="21" t="s">
        <v>35</v>
      </c>
      <c r="P248" s="21" t="s">
        <v>36</v>
      </c>
      <c r="Q248" s="49" t="s">
        <v>37</v>
      </c>
      <c r="R248" s="50" t="s">
        <v>38</v>
      </c>
      <c r="S248" s="50" t="s">
        <v>38</v>
      </c>
      <c r="T248" s="10"/>
      <c r="U248" s="17"/>
      <c r="V248" s="10"/>
      <c r="W248" s="10"/>
      <c r="X248" s="10"/>
      <c r="Y248" s="2"/>
    </row>
    <row r="249" spans="2:25">
      <c r="B249" s="11"/>
      <c r="C249" s="10"/>
      <c r="D249" s="10"/>
      <c r="E249" s="72"/>
      <c r="F249" s="73"/>
      <c r="G249" s="10"/>
      <c r="H249" s="10"/>
      <c r="I249" s="10"/>
      <c r="J249" s="42"/>
      <c r="K249" s="56"/>
      <c r="L249" s="57"/>
      <c r="M249" s="57"/>
      <c r="N249" s="57"/>
      <c r="O249" s="57"/>
      <c r="P249" s="57">
        <f>SUM(K249:O249)</f>
        <v>0</v>
      </c>
      <c r="Q249" s="58">
        <v>0</v>
      </c>
      <c r="R249" s="59">
        <f>F309+F331</f>
        <v>0</v>
      </c>
      <c r="S249" s="59">
        <f>F320+F342</f>
        <v>0</v>
      </c>
      <c r="T249" s="10"/>
      <c r="U249" s="17"/>
      <c r="V249" s="10"/>
      <c r="W249" s="10"/>
      <c r="X249" s="10"/>
      <c r="Y249" s="2"/>
    </row>
    <row r="250" spans="2:25">
      <c r="B250" s="11"/>
      <c r="C250" s="10"/>
      <c r="D250" s="10"/>
      <c r="E250" s="72"/>
      <c r="F250" s="73"/>
      <c r="G250" s="10"/>
      <c r="H250" s="10"/>
      <c r="I250" s="10"/>
      <c r="J250" s="10" t="s">
        <v>42</v>
      </c>
      <c r="K250" s="63">
        <f>K242</f>
        <v>0</v>
      </c>
      <c r="L250" s="63">
        <f t="shared" ref="L250:Q251" si="50">L242</f>
        <v>0</v>
      </c>
      <c r="M250" s="63">
        <f t="shared" si="50"/>
        <v>0</v>
      </c>
      <c r="N250" s="63">
        <f t="shared" si="50"/>
        <v>0</v>
      </c>
      <c r="O250" s="63">
        <f t="shared" si="50"/>
        <v>0</v>
      </c>
      <c r="P250" s="63">
        <f t="shared" si="50"/>
        <v>0</v>
      </c>
      <c r="Q250" s="63">
        <f t="shared" si="50"/>
        <v>0</v>
      </c>
      <c r="R250" s="63"/>
      <c r="S250" s="10"/>
      <c r="T250" s="10"/>
      <c r="U250" s="17"/>
      <c r="V250" s="10"/>
      <c r="W250" s="10"/>
      <c r="X250" s="10"/>
      <c r="Y250" s="2"/>
    </row>
    <row r="251" spans="2:25">
      <c r="B251" s="11"/>
      <c r="C251" s="10"/>
      <c r="D251" s="10"/>
      <c r="E251" s="74"/>
      <c r="F251" s="75"/>
      <c r="G251" s="10"/>
      <c r="H251" s="10"/>
      <c r="I251" s="10"/>
      <c r="J251" s="10" t="s">
        <v>44</v>
      </c>
      <c r="K251" s="63">
        <f>K243</f>
        <v>0</v>
      </c>
      <c r="L251" s="63">
        <f t="shared" si="50"/>
        <v>0</v>
      </c>
      <c r="M251" s="63">
        <f t="shared" si="50"/>
        <v>0</v>
      </c>
      <c r="N251" s="63">
        <f t="shared" si="50"/>
        <v>0</v>
      </c>
      <c r="O251" s="63">
        <f t="shared" si="50"/>
        <v>0</v>
      </c>
      <c r="P251" s="63">
        <f t="shared" si="50"/>
        <v>0</v>
      </c>
      <c r="Q251" s="63">
        <f t="shared" si="50"/>
        <v>0</v>
      </c>
      <c r="R251" s="63"/>
      <c r="S251" s="10"/>
      <c r="T251" s="10"/>
      <c r="U251" s="17"/>
      <c r="V251" s="10"/>
      <c r="W251" s="10"/>
      <c r="X251" s="10"/>
      <c r="Y251" s="2"/>
    </row>
    <row r="252" spans="2:25">
      <c r="B252" s="11"/>
      <c r="C252" s="10"/>
      <c r="D252" s="10"/>
      <c r="E252" s="12"/>
      <c r="F252" s="76"/>
      <c r="G252" s="10"/>
      <c r="H252" s="10"/>
      <c r="I252" s="10"/>
      <c r="J252" s="10" t="s">
        <v>46</v>
      </c>
      <c r="K252" s="31" t="e">
        <f t="shared" ref="K252:Q252" si="51">K250/(K250+K251)</f>
        <v>#DIV/0!</v>
      </c>
      <c r="L252" s="31" t="e">
        <f t="shared" si="51"/>
        <v>#DIV/0!</v>
      </c>
      <c r="M252" s="31" t="e">
        <f t="shared" si="51"/>
        <v>#DIV/0!</v>
      </c>
      <c r="N252" s="31" t="e">
        <f t="shared" si="51"/>
        <v>#DIV/0!</v>
      </c>
      <c r="O252" s="31" t="e">
        <f t="shared" si="51"/>
        <v>#DIV/0!</v>
      </c>
      <c r="P252" s="31" t="e">
        <f t="shared" si="51"/>
        <v>#DIV/0!</v>
      </c>
      <c r="Q252" s="31" t="e">
        <f t="shared" si="51"/>
        <v>#DIV/0!</v>
      </c>
      <c r="R252" s="63"/>
      <c r="S252" s="10"/>
      <c r="T252" s="10"/>
      <c r="U252" s="17"/>
      <c r="V252" s="10"/>
      <c r="W252" s="10"/>
      <c r="X252" s="10"/>
      <c r="Y252" s="2"/>
    </row>
    <row r="253" spans="2:25">
      <c r="B253" s="11"/>
      <c r="C253" s="10"/>
      <c r="D253" s="10"/>
      <c r="E253" s="10"/>
      <c r="F253" s="10"/>
      <c r="G253" s="10"/>
      <c r="H253" s="10"/>
      <c r="I253" s="10"/>
      <c r="J253" s="10" t="s">
        <v>48</v>
      </c>
      <c r="K253" s="66" t="e">
        <f t="shared" ref="K253:Q253" si="52">K249/K250</f>
        <v>#DIV/0!</v>
      </c>
      <c r="L253" s="66" t="e">
        <f t="shared" si="52"/>
        <v>#DIV/0!</v>
      </c>
      <c r="M253" s="66" t="e">
        <f t="shared" si="52"/>
        <v>#DIV/0!</v>
      </c>
      <c r="N253" s="66" t="e">
        <f t="shared" si="52"/>
        <v>#DIV/0!</v>
      </c>
      <c r="O253" s="66" t="e">
        <f t="shared" si="52"/>
        <v>#DIV/0!</v>
      </c>
      <c r="P253" s="66" t="e">
        <f t="shared" si="52"/>
        <v>#DIV/0!</v>
      </c>
      <c r="Q253" s="66" t="e">
        <f t="shared" si="52"/>
        <v>#DIV/0!</v>
      </c>
      <c r="R253" s="63"/>
      <c r="S253" s="10"/>
      <c r="T253" s="10"/>
      <c r="U253" s="17"/>
      <c r="V253" s="10"/>
      <c r="W253" s="10"/>
      <c r="X253" s="10"/>
      <c r="Y253" s="2"/>
    </row>
    <row r="254" spans="2:25">
      <c r="B254" s="11"/>
      <c r="C254" s="10"/>
      <c r="D254" s="10"/>
      <c r="E254" s="10"/>
      <c r="F254" s="10"/>
      <c r="G254" s="10"/>
      <c r="H254" s="10"/>
      <c r="I254" s="10"/>
      <c r="J254" s="10"/>
      <c r="K254" s="10"/>
      <c r="L254" s="10"/>
      <c r="M254" s="10"/>
      <c r="N254" s="10"/>
      <c r="O254" s="10"/>
      <c r="P254" s="10"/>
      <c r="Q254" s="10"/>
      <c r="R254" s="10"/>
      <c r="S254" s="10"/>
      <c r="T254" s="10"/>
      <c r="U254" s="17"/>
      <c r="V254" s="10"/>
      <c r="W254" s="10"/>
      <c r="X254" s="10"/>
      <c r="Y254" s="2"/>
    </row>
    <row r="255" spans="2:25">
      <c r="B255" s="11"/>
      <c r="C255" s="10"/>
      <c r="D255" s="10"/>
      <c r="E255" s="10"/>
      <c r="F255" s="10"/>
      <c r="G255" s="10"/>
      <c r="H255" s="10"/>
      <c r="I255" s="10"/>
      <c r="J255" s="10"/>
      <c r="K255" s="10"/>
      <c r="L255" s="10"/>
      <c r="M255" s="10"/>
      <c r="N255" s="10"/>
      <c r="O255" s="10"/>
      <c r="P255" s="10"/>
      <c r="Q255" s="10"/>
      <c r="R255" s="10"/>
      <c r="S255" s="10"/>
      <c r="T255" s="10"/>
      <c r="U255" s="17"/>
      <c r="V255" s="10"/>
      <c r="W255" s="10"/>
      <c r="X255" s="10"/>
      <c r="Y255" s="2"/>
    </row>
    <row r="256" spans="2:25">
      <c r="B256" s="18" t="s">
        <v>51</v>
      </c>
      <c r="C256" s="14"/>
      <c r="D256" s="14"/>
      <c r="E256" s="14"/>
      <c r="F256" s="13" t="s">
        <v>52</v>
      </c>
      <c r="G256" s="14"/>
      <c r="H256" s="14"/>
      <c r="I256" s="14"/>
      <c r="J256" s="14"/>
      <c r="K256" s="13" t="s">
        <v>3</v>
      </c>
      <c r="L256" s="14"/>
      <c r="M256" s="14"/>
      <c r="N256" s="13" t="s">
        <v>4</v>
      </c>
      <c r="O256" s="14"/>
      <c r="P256" s="14"/>
      <c r="Q256" s="13" t="s">
        <v>5</v>
      </c>
      <c r="R256" s="14"/>
      <c r="S256" s="14"/>
      <c r="T256" s="18"/>
      <c r="U256" s="16" t="s">
        <v>53</v>
      </c>
      <c r="V256" s="77"/>
      <c r="W256" s="77"/>
      <c r="X256" s="77"/>
      <c r="Y256" s="2"/>
    </row>
    <row r="257" spans="2:25">
      <c r="B257" s="24" t="s">
        <v>54</v>
      </c>
      <c r="C257" s="21" t="s">
        <v>55</v>
      </c>
      <c r="D257" s="21" t="s">
        <v>56</v>
      </c>
      <c r="E257" s="21" t="s">
        <v>57</v>
      </c>
      <c r="F257" s="20" t="s">
        <v>58</v>
      </c>
      <c r="G257" s="21" t="s">
        <v>59</v>
      </c>
      <c r="H257" s="21" t="s">
        <v>60</v>
      </c>
      <c r="I257" s="21" t="s">
        <v>26</v>
      </c>
      <c r="J257" s="22" t="s">
        <v>61</v>
      </c>
      <c r="K257" s="21" t="s">
        <v>8</v>
      </c>
      <c r="L257" s="21" t="s">
        <v>9</v>
      </c>
      <c r="M257" s="21" t="s">
        <v>10</v>
      </c>
      <c r="N257" s="20" t="s">
        <v>11</v>
      </c>
      <c r="O257" s="21" t="s">
        <v>12</v>
      </c>
      <c r="P257" s="22" t="s">
        <v>13</v>
      </c>
      <c r="Q257" s="21" t="s">
        <v>11</v>
      </c>
      <c r="R257" s="21" t="s">
        <v>12</v>
      </c>
      <c r="S257" s="21" t="s">
        <v>13</v>
      </c>
      <c r="T257" s="78" t="s">
        <v>14</v>
      </c>
      <c r="U257" s="30"/>
      <c r="V257" s="79" t="s">
        <v>62</v>
      </c>
      <c r="W257" s="80" t="s">
        <v>63</v>
      </c>
      <c r="X257" s="81" t="s">
        <v>64</v>
      </c>
      <c r="Y257" s="2"/>
    </row>
    <row r="258" spans="2:25">
      <c r="B258" s="4" t="s">
        <v>65</v>
      </c>
      <c r="C258" s="6"/>
      <c r="D258" s="6"/>
      <c r="E258" s="6"/>
      <c r="F258" s="6"/>
      <c r="G258" s="6"/>
      <c r="H258" s="6"/>
      <c r="I258" s="82"/>
      <c r="J258" s="6"/>
      <c r="K258" s="6"/>
      <c r="L258" s="6"/>
      <c r="M258" s="6"/>
      <c r="N258" s="6"/>
      <c r="O258" s="6"/>
      <c r="P258" s="6"/>
      <c r="Q258" s="6"/>
      <c r="R258" s="6"/>
      <c r="S258" s="6"/>
      <c r="T258" s="83"/>
      <c r="U258" s="6"/>
      <c r="V258" s="84"/>
      <c r="W258" s="85"/>
      <c r="X258" s="86"/>
      <c r="Y258" s="2"/>
    </row>
    <row r="259" spans="2:25">
      <c r="B259" s="87">
        <v>1</v>
      </c>
      <c r="C259" s="609"/>
      <c r="D259" s="10"/>
      <c r="E259" s="10"/>
      <c r="F259" s="62"/>
      <c r="G259" s="62"/>
      <c r="H259" s="88"/>
      <c r="I259" s="89">
        <f t="shared" ref="I259:I274" si="53">F259-G259-H259</f>
        <v>0</v>
      </c>
      <c r="J259" s="63"/>
      <c r="K259" s="63"/>
      <c r="L259" s="63"/>
      <c r="M259" s="63"/>
      <c r="N259" s="63"/>
      <c r="O259" s="63"/>
      <c r="P259" s="63"/>
      <c r="Q259" s="63"/>
      <c r="R259" s="63"/>
      <c r="S259" s="63"/>
      <c r="T259" s="63"/>
      <c r="U259" s="10"/>
      <c r="V259" s="90"/>
      <c r="W259" s="91"/>
      <c r="X259" s="92"/>
      <c r="Y259" s="2"/>
    </row>
    <row r="260" spans="2:25">
      <c r="B260" s="87">
        <f t="shared" ref="B260:B274" si="54">B259+1</f>
        <v>2</v>
      </c>
      <c r="C260" s="609"/>
      <c r="D260" s="10"/>
      <c r="E260" s="10"/>
      <c r="F260" s="62"/>
      <c r="G260" s="62"/>
      <c r="H260" s="62"/>
      <c r="I260" s="89">
        <f t="shared" si="53"/>
        <v>0</v>
      </c>
      <c r="J260" s="63"/>
      <c r="K260" s="63"/>
      <c r="L260" s="63"/>
      <c r="M260" s="63"/>
      <c r="N260" s="63"/>
      <c r="O260" s="63"/>
      <c r="P260" s="63"/>
      <c r="Q260" s="63"/>
      <c r="R260" s="63"/>
      <c r="S260" s="63"/>
      <c r="T260" s="63"/>
      <c r="U260" s="10"/>
      <c r="V260" s="90"/>
      <c r="W260" s="91"/>
      <c r="X260" s="92"/>
      <c r="Y260" s="2"/>
    </row>
    <row r="261" spans="2:25">
      <c r="B261" s="87">
        <f t="shared" si="54"/>
        <v>3</v>
      </c>
      <c r="C261" s="609"/>
      <c r="D261" s="3"/>
      <c r="E261" s="10"/>
      <c r="F261" s="62"/>
      <c r="G261" s="62"/>
      <c r="H261" s="62"/>
      <c r="I261" s="89">
        <f t="shared" si="53"/>
        <v>0</v>
      </c>
      <c r="J261" s="63"/>
      <c r="K261" s="63"/>
      <c r="L261" s="63"/>
      <c r="M261" s="63"/>
      <c r="N261" s="63"/>
      <c r="O261" s="63"/>
      <c r="P261" s="63"/>
      <c r="Q261" s="63"/>
      <c r="R261" s="63"/>
      <c r="S261" s="63"/>
      <c r="T261" s="63"/>
      <c r="U261" s="10"/>
      <c r="V261" s="90"/>
      <c r="W261" s="91"/>
      <c r="X261" s="92"/>
      <c r="Y261" s="2"/>
    </row>
    <row r="262" spans="2:25">
      <c r="B262" s="87">
        <f t="shared" si="54"/>
        <v>4</v>
      </c>
      <c r="C262" s="609"/>
      <c r="D262" s="10"/>
      <c r="E262" s="94"/>
      <c r="F262" s="62"/>
      <c r="G262" s="62"/>
      <c r="H262" s="62"/>
      <c r="I262" s="89">
        <f t="shared" si="53"/>
        <v>0</v>
      </c>
      <c r="J262" s="63"/>
      <c r="K262" s="63"/>
      <c r="L262" s="63"/>
      <c r="M262" s="63"/>
      <c r="N262" s="63"/>
      <c r="O262" s="63"/>
      <c r="P262" s="63"/>
      <c r="Q262" s="63"/>
      <c r="R262" s="63"/>
      <c r="S262" s="63"/>
      <c r="T262" s="63"/>
      <c r="U262" s="10"/>
      <c r="V262" s="90"/>
      <c r="W262" s="91"/>
      <c r="X262" s="92"/>
      <c r="Y262" s="2"/>
    </row>
    <row r="263" spans="2:25">
      <c r="B263" s="87">
        <f t="shared" si="54"/>
        <v>5</v>
      </c>
      <c r="C263" s="609"/>
      <c r="D263" s="10"/>
      <c r="E263" s="10"/>
      <c r="F263" s="62"/>
      <c r="G263" s="62"/>
      <c r="H263" s="62"/>
      <c r="I263" s="89">
        <f t="shared" si="53"/>
        <v>0</v>
      </c>
      <c r="J263" s="63"/>
      <c r="K263" s="63"/>
      <c r="L263" s="63"/>
      <c r="M263" s="63"/>
      <c r="N263" s="63"/>
      <c r="O263" s="63"/>
      <c r="P263" s="63"/>
      <c r="Q263" s="63"/>
      <c r="R263" s="63"/>
      <c r="S263" s="63"/>
      <c r="T263" s="63"/>
      <c r="U263" s="10"/>
      <c r="V263" s="90"/>
      <c r="W263" s="91"/>
      <c r="X263" s="92"/>
      <c r="Y263" s="2"/>
    </row>
    <row r="264" spans="2:25">
      <c r="B264" s="87">
        <f t="shared" si="54"/>
        <v>6</v>
      </c>
      <c r="C264" s="609"/>
      <c r="D264" s="10"/>
      <c r="E264" s="10"/>
      <c r="F264" s="62"/>
      <c r="G264" s="62"/>
      <c r="H264" s="88"/>
      <c r="I264" s="89">
        <f t="shared" si="53"/>
        <v>0</v>
      </c>
      <c r="J264" s="63"/>
      <c r="K264" s="63"/>
      <c r="L264" s="63"/>
      <c r="M264" s="63"/>
      <c r="N264" s="63"/>
      <c r="O264" s="63"/>
      <c r="P264" s="63"/>
      <c r="Q264" s="63"/>
      <c r="R264" s="63"/>
      <c r="S264" s="63"/>
      <c r="T264" s="63"/>
      <c r="U264" s="10"/>
      <c r="V264" s="90"/>
      <c r="W264" s="91"/>
      <c r="X264" s="92"/>
      <c r="Y264" s="2"/>
    </row>
    <row r="265" spans="2:25">
      <c r="B265" s="87">
        <f t="shared" si="54"/>
        <v>7</v>
      </c>
      <c r="C265" s="609"/>
      <c r="D265" s="10"/>
      <c r="E265" s="10"/>
      <c r="F265" s="62"/>
      <c r="G265" s="62"/>
      <c r="H265" s="88"/>
      <c r="I265" s="89">
        <f t="shared" si="53"/>
        <v>0</v>
      </c>
      <c r="J265" s="63"/>
      <c r="K265" s="63"/>
      <c r="L265" s="63"/>
      <c r="M265" s="63"/>
      <c r="N265" s="63"/>
      <c r="O265" s="63"/>
      <c r="P265" s="63"/>
      <c r="Q265" s="63"/>
      <c r="R265" s="63"/>
      <c r="S265" s="63"/>
      <c r="T265" s="63"/>
      <c r="U265" s="10"/>
      <c r="V265" s="90"/>
      <c r="W265" s="91"/>
      <c r="X265" s="92"/>
      <c r="Y265" s="2"/>
    </row>
    <row r="266" spans="2:25">
      <c r="B266" s="87">
        <f t="shared" si="54"/>
        <v>8</v>
      </c>
      <c r="C266" s="609"/>
      <c r="D266" s="10"/>
      <c r="E266" s="10"/>
      <c r="F266" s="62"/>
      <c r="G266" s="62"/>
      <c r="H266" s="88"/>
      <c r="I266" s="89">
        <f t="shared" si="53"/>
        <v>0</v>
      </c>
      <c r="J266" s="63"/>
      <c r="K266" s="63"/>
      <c r="L266" s="63"/>
      <c r="M266" s="63"/>
      <c r="N266" s="63"/>
      <c r="O266" s="63"/>
      <c r="P266" s="63"/>
      <c r="Q266" s="63"/>
      <c r="R266" s="63"/>
      <c r="S266" s="63"/>
      <c r="T266" s="63"/>
      <c r="U266" s="10"/>
      <c r="V266" s="90"/>
      <c r="W266" s="91"/>
      <c r="X266" s="92"/>
      <c r="Y266" s="2"/>
    </row>
    <row r="267" spans="2:25">
      <c r="B267" s="87">
        <f t="shared" si="54"/>
        <v>9</v>
      </c>
      <c r="C267" s="609"/>
      <c r="D267" s="10"/>
      <c r="E267" s="10"/>
      <c r="F267" s="62"/>
      <c r="G267" s="62"/>
      <c r="H267" s="88"/>
      <c r="I267" s="89">
        <f t="shared" si="53"/>
        <v>0</v>
      </c>
      <c r="J267" s="63"/>
      <c r="K267" s="63"/>
      <c r="L267" s="63"/>
      <c r="M267" s="63"/>
      <c r="N267" s="63"/>
      <c r="O267" s="63"/>
      <c r="P267" s="63"/>
      <c r="Q267" s="63"/>
      <c r="R267" s="63"/>
      <c r="S267" s="63"/>
      <c r="T267" s="63"/>
      <c r="U267" s="10"/>
      <c r="V267" s="90"/>
      <c r="W267" s="91"/>
      <c r="X267" s="92"/>
      <c r="Y267" s="2"/>
    </row>
    <row r="268" spans="2:25">
      <c r="B268" s="87">
        <f t="shared" si="54"/>
        <v>10</v>
      </c>
      <c r="C268" s="609"/>
      <c r="D268" s="10"/>
      <c r="E268" s="10"/>
      <c r="F268" s="62"/>
      <c r="G268" s="62"/>
      <c r="H268" s="88"/>
      <c r="I268" s="89">
        <f t="shared" si="53"/>
        <v>0</v>
      </c>
      <c r="J268" s="63"/>
      <c r="K268" s="63"/>
      <c r="L268" s="63"/>
      <c r="M268" s="63"/>
      <c r="N268" s="63"/>
      <c r="O268" s="63"/>
      <c r="P268" s="63"/>
      <c r="Q268" s="63"/>
      <c r="R268" s="63"/>
      <c r="S268" s="63"/>
      <c r="T268" s="63"/>
      <c r="U268" s="10"/>
      <c r="V268" s="90"/>
      <c r="W268" s="91"/>
      <c r="X268" s="92"/>
      <c r="Y268" s="2"/>
    </row>
    <row r="269" spans="2:25">
      <c r="B269" s="87">
        <f t="shared" si="54"/>
        <v>11</v>
      </c>
      <c r="C269" s="609"/>
      <c r="D269" s="10"/>
      <c r="E269" s="10"/>
      <c r="F269" s="95"/>
      <c r="G269" s="62"/>
      <c r="H269" s="62"/>
      <c r="I269" s="89">
        <f t="shared" si="53"/>
        <v>0</v>
      </c>
      <c r="J269" s="63"/>
      <c r="K269" s="63"/>
      <c r="L269" s="63"/>
      <c r="M269" s="63"/>
      <c r="N269" s="63"/>
      <c r="O269" s="63"/>
      <c r="P269" s="63"/>
      <c r="Q269" s="63"/>
      <c r="R269" s="63"/>
      <c r="S269" s="63"/>
      <c r="T269" s="63"/>
      <c r="U269" s="10"/>
      <c r="V269" s="90"/>
      <c r="W269" s="91"/>
      <c r="X269" s="92"/>
      <c r="Y269" s="2"/>
    </row>
    <row r="270" spans="2:25">
      <c r="B270" s="87">
        <f t="shared" si="54"/>
        <v>12</v>
      </c>
      <c r="C270" s="609"/>
      <c r="D270" s="10"/>
      <c r="E270" s="10"/>
      <c r="F270" s="95"/>
      <c r="G270" s="62"/>
      <c r="H270" s="62"/>
      <c r="I270" s="89">
        <f t="shared" si="53"/>
        <v>0</v>
      </c>
      <c r="J270" s="63"/>
      <c r="K270" s="63"/>
      <c r="L270" s="63"/>
      <c r="M270" s="63"/>
      <c r="N270" s="63"/>
      <c r="O270" s="63"/>
      <c r="P270" s="63"/>
      <c r="Q270" s="63"/>
      <c r="R270" s="63"/>
      <c r="S270" s="63"/>
      <c r="T270" s="63"/>
      <c r="U270" s="10"/>
      <c r="V270" s="90"/>
      <c r="W270" s="91"/>
      <c r="X270" s="92"/>
      <c r="Y270" s="2"/>
    </row>
    <row r="271" spans="2:25">
      <c r="B271" s="87">
        <f t="shared" si="54"/>
        <v>13</v>
      </c>
      <c r="C271" s="609"/>
      <c r="D271" s="10"/>
      <c r="E271" s="10"/>
      <c r="F271" s="95"/>
      <c r="G271" s="62"/>
      <c r="H271" s="62"/>
      <c r="I271" s="89">
        <f t="shared" si="53"/>
        <v>0</v>
      </c>
      <c r="J271" s="63"/>
      <c r="K271" s="63"/>
      <c r="L271" s="63"/>
      <c r="M271" s="63"/>
      <c r="N271" s="63"/>
      <c r="O271" s="63"/>
      <c r="P271" s="63"/>
      <c r="Q271" s="63"/>
      <c r="R271" s="63"/>
      <c r="S271" s="63"/>
      <c r="T271" s="63"/>
      <c r="U271" s="10"/>
      <c r="V271" s="90"/>
      <c r="W271" s="91"/>
      <c r="X271" s="92"/>
      <c r="Y271" s="2"/>
    </row>
    <row r="272" spans="2:25">
      <c r="B272" s="87">
        <f t="shared" si="54"/>
        <v>14</v>
      </c>
      <c r="C272" s="609"/>
      <c r="D272" s="10"/>
      <c r="E272" s="10"/>
      <c r="F272" s="95"/>
      <c r="G272" s="62"/>
      <c r="H272" s="62"/>
      <c r="I272" s="89">
        <f t="shared" si="53"/>
        <v>0</v>
      </c>
      <c r="J272" s="63"/>
      <c r="K272" s="63"/>
      <c r="L272" s="63"/>
      <c r="M272" s="63"/>
      <c r="N272" s="63"/>
      <c r="O272" s="63"/>
      <c r="P272" s="63"/>
      <c r="Q272" s="63"/>
      <c r="R272" s="63"/>
      <c r="S272" s="63"/>
      <c r="T272" s="63"/>
      <c r="U272" s="10"/>
      <c r="V272" s="90"/>
      <c r="W272" s="91"/>
      <c r="X272" s="92"/>
      <c r="Y272" s="2"/>
    </row>
    <row r="273" spans="2:25">
      <c r="B273" s="87">
        <f t="shared" si="54"/>
        <v>15</v>
      </c>
      <c r="C273" s="609"/>
      <c r="D273" s="10"/>
      <c r="E273" s="10"/>
      <c r="F273" s="95"/>
      <c r="G273" s="62"/>
      <c r="H273" s="62"/>
      <c r="I273" s="89">
        <f t="shared" si="53"/>
        <v>0</v>
      </c>
      <c r="J273" s="63"/>
      <c r="K273" s="63"/>
      <c r="L273" s="63"/>
      <c r="M273" s="63"/>
      <c r="N273" s="63"/>
      <c r="O273" s="63"/>
      <c r="P273" s="63"/>
      <c r="Q273" s="63"/>
      <c r="R273" s="63"/>
      <c r="S273" s="63"/>
      <c r="T273" s="63"/>
      <c r="U273" s="10"/>
      <c r="V273" s="90"/>
      <c r="W273" s="96"/>
      <c r="X273" s="92"/>
      <c r="Y273" s="2"/>
    </row>
    <row r="274" spans="2:25">
      <c r="B274" s="87">
        <f t="shared" si="54"/>
        <v>16</v>
      </c>
      <c r="C274" s="609"/>
      <c r="D274" s="10"/>
      <c r="E274" s="10"/>
      <c r="F274" s="95"/>
      <c r="G274" s="62"/>
      <c r="H274" s="62"/>
      <c r="I274" s="89">
        <f t="shared" si="53"/>
        <v>0</v>
      </c>
      <c r="J274" s="63"/>
      <c r="K274" s="63"/>
      <c r="L274" s="63"/>
      <c r="M274" s="63"/>
      <c r="N274" s="63"/>
      <c r="O274" s="63"/>
      <c r="P274" s="63"/>
      <c r="Q274" s="63"/>
      <c r="R274" s="63"/>
      <c r="S274" s="63"/>
      <c r="T274" s="63"/>
      <c r="U274" s="10"/>
      <c r="V274" s="90"/>
      <c r="W274" s="96"/>
      <c r="X274" s="92"/>
      <c r="Y274" s="2"/>
    </row>
    <row r="275" spans="2:25">
      <c r="B275" s="87"/>
      <c r="C275" s="609"/>
      <c r="D275" s="10"/>
      <c r="E275" s="10"/>
      <c r="F275" s="97">
        <f>SUM(F259:F274)</f>
        <v>0</v>
      </c>
      <c r="G275" s="97">
        <f>SUM(G259:G274)</f>
        <v>0</v>
      </c>
      <c r="H275" s="97">
        <f>SUM(H259:H274)</f>
        <v>0</v>
      </c>
      <c r="I275" s="98">
        <f>SUM(I259:I274)</f>
        <v>0</v>
      </c>
      <c r="J275" s="63"/>
      <c r="K275" s="63">
        <f t="shared" ref="K275:S275" si="55">COUNT(K259:K274)</f>
        <v>0</v>
      </c>
      <c r="L275" s="63">
        <f t="shared" si="55"/>
        <v>0</v>
      </c>
      <c r="M275" s="63">
        <f t="shared" si="55"/>
        <v>0</v>
      </c>
      <c r="N275" s="63">
        <f t="shared" si="55"/>
        <v>0</v>
      </c>
      <c r="O275" s="63">
        <f t="shared" si="55"/>
        <v>0</v>
      </c>
      <c r="P275" s="63">
        <f t="shared" si="55"/>
        <v>0</v>
      </c>
      <c r="Q275" s="63">
        <f t="shared" si="55"/>
        <v>0</v>
      </c>
      <c r="R275" s="63">
        <f t="shared" si="55"/>
        <v>0</v>
      </c>
      <c r="S275" s="63">
        <f t="shared" si="55"/>
        <v>0</v>
      </c>
      <c r="T275" s="63"/>
      <c r="U275" s="10"/>
      <c r="V275" s="90"/>
      <c r="W275" s="91"/>
      <c r="X275" s="92"/>
      <c r="Y275" s="2"/>
    </row>
    <row r="276" spans="2:25">
      <c r="B276" s="87"/>
      <c r="C276" s="609"/>
      <c r="D276" s="10"/>
      <c r="E276" s="10"/>
      <c r="F276" s="88"/>
      <c r="G276" s="88"/>
      <c r="H276" s="88"/>
      <c r="I276" s="99"/>
      <c r="J276" s="63"/>
      <c r="K276" s="21">
        <f t="shared" ref="K276:S276" si="56">SUM(K259:K274)</f>
        <v>0</v>
      </c>
      <c r="L276" s="21">
        <f t="shared" si="56"/>
        <v>0</v>
      </c>
      <c r="M276" s="21">
        <f t="shared" si="56"/>
        <v>0</v>
      </c>
      <c r="N276" s="21">
        <f t="shared" si="56"/>
        <v>0</v>
      </c>
      <c r="O276" s="21">
        <f t="shared" si="56"/>
        <v>0</v>
      </c>
      <c r="P276" s="21">
        <f t="shared" si="56"/>
        <v>0</v>
      </c>
      <c r="Q276" s="21">
        <f t="shared" si="56"/>
        <v>0</v>
      </c>
      <c r="R276" s="21">
        <f t="shared" si="56"/>
        <v>0</v>
      </c>
      <c r="S276" s="21">
        <f t="shared" si="56"/>
        <v>0</v>
      </c>
      <c r="T276" s="63"/>
      <c r="U276" s="10"/>
      <c r="V276" s="90"/>
      <c r="W276" s="91"/>
      <c r="X276" s="92"/>
      <c r="Y276" s="2"/>
    </row>
    <row r="277" spans="2:25">
      <c r="B277" s="11"/>
      <c r="C277" s="609"/>
      <c r="D277" s="10"/>
      <c r="E277" s="10"/>
      <c r="F277" s="88"/>
      <c r="G277" s="88"/>
      <c r="H277" s="88"/>
      <c r="I277" s="99"/>
      <c r="J277" s="63"/>
      <c r="K277" s="21"/>
      <c r="L277" s="21"/>
      <c r="M277" s="21"/>
      <c r="N277" s="21"/>
      <c r="O277" s="21"/>
      <c r="P277" s="21"/>
      <c r="Q277" s="21"/>
      <c r="R277" s="21"/>
      <c r="S277" s="21"/>
      <c r="T277" s="63"/>
      <c r="U277" s="10"/>
      <c r="V277" s="90"/>
      <c r="W277" s="91"/>
      <c r="X277" s="92"/>
      <c r="Y277" s="2"/>
    </row>
    <row r="278" spans="2:25">
      <c r="B278" s="100" t="s">
        <v>66</v>
      </c>
      <c r="C278" s="609"/>
      <c r="D278" s="10"/>
      <c r="E278" s="10"/>
      <c r="F278" s="88"/>
      <c r="G278" s="62"/>
      <c r="H278" s="88"/>
      <c r="I278" s="99"/>
      <c r="J278" s="63"/>
      <c r="K278" s="2"/>
      <c r="L278" s="2"/>
      <c r="M278" s="2"/>
      <c r="N278" s="2"/>
      <c r="O278" s="2"/>
      <c r="P278" s="2"/>
      <c r="Q278" s="2"/>
      <c r="R278" s="2"/>
      <c r="S278" s="2"/>
      <c r="T278" s="63"/>
      <c r="U278" s="94"/>
      <c r="V278" s="90"/>
      <c r="W278" s="91"/>
      <c r="X278" s="92"/>
      <c r="Y278" s="2"/>
    </row>
    <row r="279" spans="2:25">
      <c r="B279" s="87">
        <v>1</v>
      </c>
      <c r="C279" s="609"/>
      <c r="D279" s="10"/>
      <c r="E279" s="101"/>
      <c r="F279" s="62"/>
      <c r="G279" s="62"/>
      <c r="H279" s="62"/>
      <c r="I279" s="89">
        <f t="shared" ref="I279:I286" si="57">F279-G279-H279</f>
        <v>0</v>
      </c>
      <c r="J279" s="63"/>
      <c r="K279" s="63"/>
      <c r="L279" s="63"/>
      <c r="M279" s="63"/>
      <c r="N279" s="63"/>
      <c r="O279" s="63"/>
      <c r="P279" s="63"/>
      <c r="Q279" s="63"/>
      <c r="R279" s="63"/>
      <c r="S279" s="63"/>
      <c r="T279" s="63"/>
      <c r="U279" s="94"/>
      <c r="V279" s="90"/>
      <c r="W279" s="91"/>
      <c r="X279" s="92"/>
      <c r="Y279" s="2"/>
    </row>
    <row r="280" spans="2:25">
      <c r="B280" s="87">
        <f t="shared" ref="B280:B286" si="58">B279+1</f>
        <v>2</v>
      </c>
      <c r="C280" s="609"/>
      <c r="D280" s="10"/>
      <c r="E280" s="101"/>
      <c r="F280" s="62"/>
      <c r="G280" s="62"/>
      <c r="H280" s="62"/>
      <c r="I280" s="89">
        <f t="shared" si="57"/>
        <v>0</v>
      </c>
      <c r="J280" s="63"/>
      <c r="K280" s="63"/>
      <c r="L280" s="63"/>
      <c r="M280" s="63"/>
      <c r="N280" s="63"/>
      <c r="O280" s="63"/>
      <c r="P280" s="63"/>
      <c r="Q280" s="63"/>
      <c r="R280" s="63"/>
      <c r="S280" s="63"/>
      <c r="T280" s="63"/>
      <c r="U280" s="94"/>
      <c r="V280" s="90"/>
      <c r="W280" s="91"/>
      <c r="X280" s="92"/>
      <c r="Y280" s="2"/>
    </row>
    <row r="281" spans="2:25">
      <c r="B281" s="87">
        <f t="shared" si="58"/>
        <v>3</v>
      </c>
      <c r="C281" s="609"/>
      <c r="D281" s="10"/>
      <c r="E281" s="101"/>
      <c r="F281" s="62"/>
      <c r="G281" s="62"/>
      <c r="H281" s="62"/>
      <c r="I281" s="89">
        <f t="shared" si="57"/>
        <v>0</v>
      </c>
      <c r="J281" s="63"/>
      <c r="K281" s="63"/>
      <c r="L281" s="63"/>
      <c r="M281" s="63"/>
      <c r="N281" s="63"/>
      <c r="O281" s="63"/>
      <c r="P281" s="63"/>
      <c r="Q281" s="63"/>
      <c r="R281" s="63"/>
      <c r="S281" s="63"/>
      <c r="T281" s="63"/>
      <c r="U281" s="94"/>
      <c r="V281" s="90"/>
      <c r="W281" s="91"/>
      <c r="X281" s="92"/>
      <c r="Y281" s="2"/>
    </row>
    <row r="282" spans="2:25">
      <c r="B282" s="87">
        <f t="shared" si="58"/>
        <v>4</v>
      </c>
      <c r="C282" s="609"/>
      <c r="D282" s="10"/>
      <c r="E282" s="101"/>
      <c r="F282" s="62"/>
      <c r="G282" s="62"/>
      <c r="H282" s="62"/>
      <c r="I282" s="89">
        <f t="shared" si="57"/>
        <v>0</v>
      </c>
      <c r="J282" s="63"/>
      <c r="K282" s="63"/>
      <c r="L282" s="63"/>
      <c r="M282" s="63"/>
      <c r="N282" s="63"/>
      <c r="O282" s="63"/>
      <c r="P282" s="63"/>
      <c r="Q282" s="63"/>
      <c r="R282" s="63"/>
      <c r="S282" s="63"/>
      <c r="T282" s="63"/>
      <c r="U282" s="94"/>
      <c r="V282" s="90"/>
      <c r="W282" s="91"/>
      <c r="X282" s="92"/>
      <c r="Y282" s="2"/>
    </row>
    <row r="283" spans="2:25">
      <c r="B283" s="87">
        <f t="shared" si="58"/>
        <v>5</v>
      </c>
      <c r="C283" s="609"/>
      <c r="D283" s="10"/>
      <c r="E283" s="101"/>
      <c r="F283" s="62"/>
      <c r="G283" s="62"/>
      <c r="H283" s="62"/>
      <c r="I283" s="89">
        <f t="shared" si="57"/>
        <v>0</v>
      </c>
      <c r="J283" s="63"/>
      <c r="K283" s="63"/>
      <c r="L283" s="63"/>
      <c r="M283" s="63"/>
      <c r="N283" s="63"/>
      <c r="O283" s="63"/>
      <c r="P283" s="63"/>
      <c r="Q283" s="63"/>
      <c r="R283" s="63"/>
      <c r="S283" s="63"/>
      <c r="T283" s="63"/>
      <c r="U283" s="94"/>
      <c r="V283" s="90"/>
      <c r="W283" s="91"/>
      <c r="X283" s="92"/>
      <c r="Y283" s="2"/>
    </row>
    <row r="284" spans="2:25">
      <c r="B284" s="87">
        <f t="shared" si="58"/>
        <v>6</v>
      </c>
      <c r="C284" s="609"/>
      <c r="D284" s="10"/>
      <c r="E284" s="101"/>
      <c r="F284" s="62"/>
      <c r="G284" s="62"/>
      <c r="H284" s="62"/>
      <c r="I284" s="89">
        <f t="shared" si="57"/>
        <v>0</v>
      </c>
      <c r="J284" s="63"/>
      <c r="K284" s="63"/>
      <c r="L284" s="63"/>
      <c r="M284" s="63"/>
      <c r="N284" s="63"/>
      <c r="O284" s="63"/>
      <c r="P284" s="63"/>
      <c r="Q284" s="63"/>
      <c r="R284" s="63"/>
      <c r="S284" s="63"/>
      <c r="T284" s="63"/>
      <c r="U284" s="94"/>
      <c r="V284" s="90"/>
      <c r="W284" s="91"/>
      <c r="X284" s="92"/>
      <c r="Y284" s="2"/>
    </row>
    <row r="285" spans="2:25">
      <c r="B285" s="87">
        <f t="shared" si="58"/>
        <v>7</v>
      </c>
      <c r="C285" s="609"/>
      <c r="D285" s="10"/>
      <c r="E285" s="101"/>
      <c r="F285" s="62"/>
      <c r="G285" s="62"/>
      <c r="H285" s="62"/>
      <c r="I285" s="89">
        <f t="shared" si="57"/>
        <v>0</v>
      </c>
      <c r="J285" s="63"/>
      <c r="K285" s="63"/>
      <c r="L285" s="63"/>
      <c r="M285" s="63"/>
      <c r="N285" s="63"/>
      <c r="O285" s="63"/>
      <c r="P285" s="63"/>
      <c r="Q285" s="63"/>
      <c r="R285" s="63"/>
      <c r="S285" s="63"/>
      <c r="T285" s="63"/>
      <c r="U285" s="94"/>
      <c r="V285" s="90"/>
      <c r="W285" s="91"/>
      <c r="X285" s="92"/>
      <c r="Y285" s="2"/>
    </row>
    <row r="286" spans="2:25">
      <c r="B286" s="87">
        <f t="shared" si="58"/>
        <v>8</v>
      </c>
      <c r="C286" s="609"/>
      <c r="D286" s="10"/>
      <c r="E286" s="101"/>
      <c r="F286" s="62"/>
      <c r="G286" s="62"/>
      <c r="H286" s="62"/>
      <c r="I286" s="89">
        <f t="shared" si="57"/>
        <v>0</v>
      </c>
      <c r="J286" s="63"/>
      <c r="K286" s="63"/>
      <c r="L286" s="63"/>
      <c r="M286" s="63"/>
      <c r="N286" s="63"/>
      <c r="O286" s="63"/>
      <c r="P286" s="63"/>
      <c r="Q286" s="63"/>
      <c r="R286" s="63"/>
      <c r="S286" s="63"/>
      <c r="T286" s="63"/>
      <c r="U286" s="94"/>
      <c r="V286" s="90"/>
      <c r="W286" s="91"/>
      <c r="X286" s="92"/>
      <c r="Y286" s="2"/>
    </row>
    <row r="287" spans="2:25">
      <c r="B287" s="11"/>
      <c r="C287" s="609"/>
      <c r="D287" s="10"/>
      <c r="E287" s="10"/>
      <c r="F287" s="97">
        <f>SUM(F279:F286)</f>
        <v>0</v>
      </c>
      <c r="G287" s="97">
        <f>SUM(G279:G286)</f>
        <v>0</v>
      </c>
      <c r="H287" s="97">
        <f>SUM(H279:H286)</f>
        <v>0</v>
      </c>
      <c r="I287" s="98">
        <f>SUM(I279:I286)</f>
        <v>0</v>
      </c>
      <c r="J287" s="63"/>
      <c r="K287" s="21"/>
      <c r="L287" s="21"/>
      <c r="M287" s="21"/>
      <c r="N287" s="21"/>
      <c r="O287" s="21"/>
      <c r="P287" s="21"/>
      <c r="Q287" s="21"/>
      <c r="R287" s="21"/>
      <c r="S287" s="21"/>
      <c r="T287" s="63"/>
      <c r="U287" s="94"/>
      <c r="V287" s="90"/>
      <c r="W287" s="91"/>
      <c r="X287" s="92"/>
      <c r="Y287" s="2"/>
    </row>
    <row r="288" spans="2:25">
      <c r="B288" s="11"/>
      <c r="C288" s="609"/>
      <c r="D288" s="10"/>
      <c r="E288" s="10"/>
      <c r="F288" s="88"/>
      <c r="G288" s="88"/>
      <c r="H288" s="88"/>
      <c r="I288" s="99"/>
      <c r="J288" s="63"/>
      <c r="K288" s="21"/>
      <c r="L288" s="21"/>
      <c r="M288" s="21"/>
      <c r="N288" s="21"/>
      <c r="O288" s="21"/>
      <c r="P288" s="21"/>
      <c r="Q288" s="21"/>
      <c r="R288" s="21"/>
      <c r="S288" s="21"/>
      <c r="T288" s="63"/>
      <c r="U288" s="94"/>
      <c r="V288" s="90"/>
      <c r="W288" s="91"/>
      <c r="X288" s="92"/>
      <c r="Y288" s="2"/>
    </row>
    <row r="289" spans="2:25">
      <c r="B289" s="102" t="s">
        <v>67</v>
      </c>
      <c r="C289" s="610"/>
      <c r="D289" s="104"/>
      <c r="E289" s="104"/>
      <c r="F289" s="105"/>
      <c r="G289" s="106"/>
      <c r="H289" s="105"/>
      <c r="I289" s="107"/>
      <c r="J289" s="108"/>
      <c r="K289" s="109"/>
      <c r="L289" s="109"/>
      <c r="M289" s="109"/>
      <c r="N289" s="109"/>
      <c r="O289" s="109"/>
      <c r="P289" s="109"/>
      <c r="Q289" s="109"/>
      <c r="R289" s="109"/>
      <c r="S289" s="109"/>
      <c r="T289" s="108"/>
      <c r="U289" s="110"/>
      <c r="V289" s="111"/>
      <c r="W289" s="112"/>
      <c r="X289" s="113"/>
      <c r="Y289" s="2"/>
    </row>
    <row r="290" spans="2:25">
      <c r="B290" s="114">
        <v>1</v>
      </c>
      <c r="C290" s="610"/>
      <c r="D290" s="104"/>
      <c r="E290" s="115"/>
      <c r="F290" s="106"/>
      <c r="G290" s="106"/>
      <c r="H290" s="106"/>
      <c r="I290" s="116">
        <f t="shared" ref="I290:I297" si="59">F290-G290-H290</f>
        <v>0</v>
      </c>
      <c r="J290" s="108"/>
      <c r="K290" s="108"/>
      <c r="L290" s="108"/>
      <c r="M290" s="108"/>
      <c r="N290" s="108"/>
      <c r="O290" s="108"/>
      <c r="P290" s="108"/>
      <c r="Q290" s="108"/>
      <c r="R290" s="108"/>
      <c r="S290" s="108"/>
      <c r="T290" s="108"/>
      <c r="U290" s="110"/>
      <c r="V290" s="111"/>
      <c r="W290" s="112"/>
      <c r="X290" s="113"/>
      <c r="Y290" s="2"/>
    </row>
    <row r="291" spans="2:25">
      <c r="B291" s="114">
        <f t="shared" ref="B291:B297" si="60">B290+1</f>
        <v>2</v>
      </c>
      <c r="C291" s="610"/>
      <c r="D291" s="104"/>
      <c r="E291" s="115"/>
      <c r="F291" s="106"/>
      <c r="G291" s="106"/>
      <c r="H291" s="106"/>
      <c r="I291" s="116">
        <f t="shared" si="59"/>
        <v>0</v>
      </c>
      <c r="J291" s="108"/>
      <c r="K291" s="108"/>
      <c r="L291" s="108"/>
      <c r="M291" s="108"/>
      <c r="N291" s="108"/>
      <c r="O291" s="108"/>
      <c r="P291" s="108"/>
      <c r="Q291" s="108"/>
      <c r="R291" s="108"/>
      <c r="S291" s="108"/>
      <c r="T291" s="108"/>
      <c r="U291" s="110"/>
      <c r="V291" s="111"/>
      <c r="W291" s="112"/>
      <c r="X291" s="113"/>
      <c r="Y291" s="2"/>
    </row>
    <row r="292" spans="2:25">
      <c r="B292" s="114">
        <f t="shared" si="60"/>
        <v>3</v>
      </c>
      <c r="C292" s="610"/>
      <c r="D292" s="104"/>
      <c r="E292" s="115"/>
      <c r="F292" s="106"/>
      <c r="G292" s="106"/>
      <c r="H292" s="106"/>
      <c r="I292" s="116">
        <f t="shared" si="59"/>
        <v>0</v>
      </c>
      <c r="J292" s="108"/>
      <c r="K292" s="108"/>
      <c r="L292" s="108"/>
      <c r="M292" s="108"/>
      <c r="N292" s="108"/>
      <c r="O292" s="108"/>
      <c r="P292" s="108"/>
      <c r="Q292" s="108"/>
      <c r="R292" s="108"/>
      <c r="S292" s="108"/>
      <c r="T292" s="108"/>
      <c r="U292" s="110"/>
      <c r="V292" s="111"/>
      <c r="W292" s="112"/>
      <c r="X292" s="113"/>
      <c r="Y292" s="2"/>
    </row>
    <row r="293" spans="2:25">
      <c r="B293" s="114">
        <f t="shared" si="60"/>
        <v>4</v>
      </c>
      <c r="C293" s="610"/>
      <c r="D293" s="104"/>
      <c r="E293" s="115"/>
      <c r="F293" s="106"/>
      <c r="G293" s="106"/>
      <c r="H293" s="106"/>
      <c r="I293" s="116">
        <f t="shared" si="59"/>
        <v>0</v>
      </c>
      <c r="J293" s="108"/>
      <c r="K293" s="108"/>
      <c r="L293" s="108"/>
      <c r="M293" s="108"/>
      <c r="N293" s="108"/>
      <c r="O293" s="108"/>
      <c r="P293" s="108"/>
      <c r="Q293" s="108"/>
      <c r="R293" s="108"/>
      <c r="S293" s="108"/>
      <c r="T293" s="108"/>
      <c r="U293" s="110"/>
      <c r="V293" s="111"/>
      <c r="W293" s="112"/>
      <c r="X293" s="113"/>
      <c r="Y293" s="2"/>
    </row>
    <row r="294" spans="2:25">
      <c r="B294" s="114">
        <f t="shared" si="60"/>
        <v>5</v>
      </c>
      <c r="C294" s="610"/>
      <c r="D294" s="104"/>
      <c r="E294" s="115"/>
      <c r="F294" s="106"/>
      <c r="G294" s="106"/>
      <c r="H294" s="106"/>
      <c r="I294" s="116">
        <f t="shared" si="59"/>
        <v>0</v>
      </c>
      <c r="J294" s="108"/>
      <c r="K294" s="108"/>
      <c r="L294" s="108"/>
      <c r="M294" s="108"/>
      <c r="N294" s="108"/>
      <c r="O294" s="108"/>
      <c r="P294" s="108"/>
      <c r="Q294" s="108"/>
      <c r="R294" s="108"/>
      <c r="S294" s="108"/>
      <c r="T294" s="108"/>
      <c r="U294" s="110"/>
      <c r="V294" s="111"/>
      <c r="W294" s="112"/>
      <c r="X294" s="113"/>
      <c r="Y294" s="2"/>
    </row>
    <row r="295" spans="2:25">
      <c r="B295" s="114">
        <f t="shared" si="60"/>
        <v>6</v>
      </c>
      <c r="C295" s="610"/>
      <c r="D295" s="104"/>
      <c r="E295" s="115"/>
      <c r="F295" s="106"/>
      <c r="G295" s="106"/>
      <c r="H295" s="106"/>
      <c r="I295" s="116">
        <f t="shared" si="59"/>
        <v>0</v>
      </c>
      <c r="J295" s="108"/>
      <c r="K295" s="108"/>
      <c r="L295" s="108"/>
      <c r="M295" s="108"/>
      <c r="N295" s="108"/>
      <c r="O295" s="108"/>
      <c r="P295" s="108"/>
      <c r="Q295" s="108"/>
      <c r="R295" s="108"/>
      <c r="S295" s="108"/>
      <c r="T295" s="108"/>
      <c r="U295" s="110"/>
      <c r="V295" s="111"/>
      <c r="W295" s="112"/>
      <c r="X295" s="113"/>
      <c r="Y295" s="2"/>
    </row>
    <row r="296" spans="2:25">
      <c r="B296" s="114">
        <f t="shared" si="60"/>
        <v>7</v>
      </c>
      <c r="C296" s="610"/>
      <c r="D296" s="104"/>
      <c r="E296" s="115"/>
      <c r="F296" s="106"/>
      <c r="G296" s="106"/>
      <c r="H296" s="106"/>
      <c r="I296" s="116">
        <f t="shared" si="59"/>
        <v>0</v>
      </c>
      <c r="J296" s="108"/>
      <c r="K296" s="108"/>
      <c r="L296" s="108"/>
      <c r="M296" s="108"/>
      <c r="N296" s="108"/>
      <c r="O296" s="108"/>
      <c r="P296" s="108"/>
      <c r="Q296" s="108"/>
      <c r="R296" s="108"/>
      <c r="S296" s="108"/>
      <c r="T296" s="108"/>
      <c r="U296" s="110"/>
      <c r="V296" s="111"/>
      <c r="W296" s="112"/>
      <c r="X296" s="113"/>
      <c r="Y296" s="2"/>
    </row>
    <row r="297" spans="2:25">
      <c r="B297" s="114">
        <f t="shared" si="60"/>
        <v>8</v>
      </c>
      <c r="C297" s="610"/>
      <c r="D297" s="104"/>
      <c r="E297" s="115"/>
      <c r="F297" s="106"/>
      <c r="G297" s="106"/>
      <c r="H297" s="106"/>
      <c r="I297" s="116">
        <f t="shared" si="59"/>
        <v>0</v>
      </c>
      <c r="J297" s="108"/>
      <c r="K297" s="108"/>
      <c r="L297" s="108"/>
      <c r="M297" s="108"/>
      <c r="N297" s="108"/>
      <c r="O297" s="108"/>
      <c r="P297" s="108"/>
      <c r="Q297" s="108"/>
      <c r="R297" s="108"/>
      <c r="S297" s="108"/>
      <c r="T297" s="108"/>
      <c r="U297" s="110"/>
      <c r="V297" s="111"/>
      <c r="W297" s="112"/>
      <c r="X297" s="113"/>
      <c r="Y297" s="2"/>
    </row>
    <row r="298" spans="2:25">
      <c r="B298" s="117"/>
      <c r="C298" s="610"/>
      <c r="D298" s="104"/>
      <c r="E298" s="104"/>
      <c r="F298" s="118">
        <f>SUM(F290:F297)</f>
        <v>0</v>
      </c>
      <c r="G298" s="118">
        <f>SUM(G290:G297)</f>
        <v>0</v>
      </c>
      <c r="H298" s="118">
        <f>SUM(H290:H297)</f>
        <v>0</v>
      </c>
      <c r="I298" s="119">
        <f>SUM(I290:I297)</f>
        <v>0</v>
      </c>
      <c r="J298" s="108"/>
      <c r="K298" s="120"/>
      <c r="L298" s="120"/>
      <c r="M298" s="120"/>
      <c r="N298" s="120"/>
      <c r="O298" s="120"/>
      <c r="P298" s="120"/>
      <c r="Q298" s="120"/>
      <c r="R298" s="120"/>
      <c r="S298" s="120"/>
      <c r="T298" s="108"/>
      <c r="U298" s="110"/>
      <c r="V298" s="111"/>
      <c r="W298" s="112"/>
      <c r="X298" s="113"/>
      <c r="Y298" s="2"/>
    </row>
    <row r="299" spans="2:25">
      <c r="B299" s="11"/>
      <c r="C299" s="609"/>
      <c r="D299" s="10"/>
      <c r="E299" s="10"/>
      <c r="F299" s="88"/>
      <c r="G299" s="88"/>
      <c r="H299" s="88"/>
      <c r="I299" s="99"/>
      <c r="J299" s="63"/>
      <c r="K299" s="21"/>
      <c r="L299" s="21"/>
      <c r="M299" s="21"/>
      <c r="N299" s="21"/>
      <c r="O299" s="21"/>
      <c r="P299" s="21"/>
      <c r="Q299" s="21"/>
      <c r="R299" s="21"/>
      <c r="S299" s="21"/>
      <c r="T299" s="63"/>
      <c r="U299" s="94"/>
      <c r="V299" s="90"/>
      <c r="W299" s="91"/>
      <c r="X299" s="92"/>
      <c r="Y299" s="2"/>
    </row>
    <row r="300" spans="2:25">
      <c r="B300" s="121" t="s">
        <v>68</v>
      </c>
      <c r="C300" s="611"/>
      <c r="D300" s="123"/>
      <c r="E300" s="123"/>
      <c r="F300" s="124"/>
      <c r="G300" s="125"/>
      <c r="H300" s="124"/>
      <c r="I300" s="126"/>
      <c r="J300" s="127"/>
      <c r="K300" s="128"/>
      <c r="L300" s="128"/>
      <c r="M300" s="128"/>
      <c r="N300" s="128"/>
      <c r="O300" s="128"/>
      <c r="P300" s="128"/>
      <c r="Q300" s="128"/>
      <c r="R300" s="128"/>
      <c r="S300" s="128"/>
      <c r="T300" s="127"/>
      <c r="U300" s="123"/>
      <c r="V300" s="129"/>
      <c r="W300" s="130"/>
      <c r="X300" s="131"/>
      <c r="Y300" s="128"/>
    </row>
    <row r="301" spans="2:25">
      <c r="B301" s="87">
        <v>1</v>
      </c>
      <c r="C301" s="609"/>
      <c r="D301" s="10"/>
      <c r="E301" s="101"/>
      <c r="F301" s="62"/>
      <c r="G301" s="62"/>
      <c r="H301" s="62"/>
      <c r="I301" s="89">
        <f t="shared" ref="I301:I308" si="61">F301-G301-H301</f>
        <v>0</v>
      </c>
      <c r="J301" s="63"/>
      <c r="K301" s="63"/>
      <c r="L301" s="63"/>
      <c r="M301" s="63"/>
      <c r="N301" s="63"/>
      <c r="O301" s="63"/>
      <c r="P301" s="63"/>
      <c r="Q301" s="63"/>
      <c r="R301" s="63"/>
      <c r="S301" s="63"/>
      <c r="T301" s="63"/>
      <c r="U301" s="10"/>
      <c r="V301" s="90"/>
      <c r="W301" s="91"/>
      <c r="X301" s="92"/>
      <c r="Y301" s="2"/>
    </row>
    <row r="302" spans="2:25">
      <c r="B302" s="87">
        <f t="shared" ref="B302:B308" si="62">B301+1</f>
        <v>2</v>
      </c>
      <c r="C302" s="609"/>
      <c r="D302" s="10"/>
      <c r="E302" s="101"/>
      <c r="F302" s="62"/>
      <c r="G302" s="62"/>
      <c r="H302" s="62"/>
      <c r="I302" s="89">
        <f t="shared" si="61"/>
        <v>0</v>
      </c>
      <c r="J302" s="63"/>
      <c r="K302" s="63"/>
      <c r="L302" s="63"/>
      <c r="M302" s="63"/>
      <c r="N302" s="63"/>
      <c r="O302" s="63"/>
      <c r="P302" s="63"/>
      <c r="Q302" s="63"/>
      <c r="R302" s="63"/>
      <c r="S302" s="63"/>
      <c r="T302" s="63"/>
      <c r="U302" s="10"/>
      <c r="V302" s="90"/>
      <c r="W302" s="91"/>
      <c r="X302" s="92"/>
      <c r="Y302" s="2"/>
    </row>
    <row r="303" spans="2:25">
      <c r="B303" s="87">
        <f t="shared" si="62"/>
        <v>3</v>
      </c>
      <c r="C303" s="609"/>
      <c r="D303" s="10"/>
      <c r="E303" s="101"/>
      <c r="F303" s="62"/>
      <c r="G303" s="62"/>
      <c r="H303" s="62"/>
      <c r="I303" s="89">
        <f t="shared" si="61"/>
        <v>0</v>
      </c>
      <c r="J303" s="63"/>
      <c r="K303" s="63"/>
      <c r="L303" s="63"/>
      <c r="M303" s="63"/>
      <c r="N303" s="63"/>
      <c r="O303" s="63"/>
      <c r="P303" s="63"/>
      <c r="Q303" s="63"/>
      <c r="R303" s="63"/>
      <c r="S303" s="63"/>
      <c r="T303" s="63"/>
      <c r="U303" s="10"/>
      <c r="V303" s="90"/>
      <c r="W303" s="91"/>
      <c r="X303" s="92"/>
      <c r="Y303" s="2"/>
    </row>
    <row r="304" spans="2:25">
      <c r="B304" s="87">
        <f t="shared" si="62"/>
        <v>4</v>
      </c>
      <c r="C304" s="609"/>
      <c r="D304" s="10"/>
      <c r="E304" s="101"/>
      <c r="F304" s="62"/>
      <c r="G304" s="62"/>
      <c r="H304" s="62"/>
      <c r="I304" s="89">
        <f t="shared" si="61"/>
        <v>0</v>
      </c>
      <c r="J304" s="63"/>
      <c r="K304" s="63"/>
      <c r="L304" s="63"/>
      <c r="M304" s="63"/>
      <c r="N304" s="63"/>
      <c r="O304" s="63"/>
      <c r="P304" s="63"/>
      <c r="Q304" s="63"/>
      <c r="R304" s="63"/>
      <c r="S304" s="63"/>
      <c r="T304" s="63"/>
      <c r="U304" s="10"/>
      <c r="V304" s="90"/>
      <c r="W304" s="91"/>
      <c r="X304" s="92"/>
      <c r="Y304" s="2"/>
    </row>
    <row r="305" spans="2:25">
      <c r="B305" s="87">
        <f t="shared" si="62"/>
        <v>5</v>
      </c>
      <c r="C305" s="609"/>
      <c r="D305" s="10"/>
      <c r="E305" s="101"/>
      <c r="F305" s="62"/>
      <c r="G305" s="62"/>
      <c r="H305" s="62"/>
      <c r="I305" s="89">
        <f t="shared" si="61"/>
        <v>0</v>
      </c>
      <c r="J305" s="63"/>
      <c r="K305" s="63"/>
      <c r="L305" s="63"/>
      <c r="M305" s="63"/>
      <c r="N305" s="63"/>
      <c r="O305" s="63"/>
      <c r="P305" s="63"/>
      <c r="Q305" s="63"/>
      <c r="R305" s="63"/>
      <c r="S305" s="63"/>
      <c r="T305" s="63"/>
      <c r="U305" s="10"/>
      <c r="V305" s="90"/>
      <c r="W305" s="91"/>
      <c r="X305" s="92"/>
      <c r="Y305" s="2"/>
    </row>
    <row r="306" spans="2:25">
      <c r="B306" s="87">
        <f t="shared" si="62"/>
        <v>6</v>
      </c>
      <c r="C306" s="609"/>
      <c r="D306" s="10"/>
      <c r="E306" s="101"/>
      <c r="F306" s="62"/>
      <c r="G306" s="62"/>
      <c r="H306" s="62"/>
      <c r="I306" s="89">
        <f t="shared" si="61"/>
        <v>0</v>
      </c>
      <c r="J306" s="63"/>
      <c r="K306" s="63"/>
      <c r="L306" s="63"/>
      <c r="M306" s="63"/>
      <c r="N306" s="63"/>
      <c r="O306" s="63"/>
      <c r="P306" s="63"/>
      <c r="Q306" s="63"/>
      <c r="R306" s="63"/>
      <c r="S306" s="63"/>
      <c r="T306" s="63"/>
      <c r="U306" s="10"/>
      <c r="V306" s="90"/>
      <c r="W306" s="91"/>
      <c r="X306" s="92"/>
      <c r="Y306" s="2"/>
    </row>
    <row r="307" spans="2:25">
      <c r="B307" s="87">
        <f t="shared" si="62"/>
        <v>7</v>
      </c>
      <c r="C307" s="609"/>
      <c r="D307" s="10"/>
      <c r="E307" s="101"/>
      <c r="F307" s="62"/>
      <c r="G307" s="62"/>
      <c r="H307" s="62"/>
      <c r="I307" s="89">
        <f t="shared" si="61"/>
        <v>0</v>
      </c>
      <c r="J307" s="63"/>
      <c r="K307" s="63"/>
      <c r="L307" s="63"/>
      <c r="M307" s="63"/>
      <c r="N307" s="63"/>
      <c r="O307" s="63"/>
      <c r="P307" s="63"/>
      <c r="Q307" s="63"/>
      <c r="R307" s="63"/>
      <c r="S307" s="63"/>
      <c r="T307" s="63"/>
      <c r="U307" s="10"/>
      <c r="V307" s="90"/>
      <c r="W307" s="91"/>
      <c r="X307" s="92"/>
      <c r="Y307" s="2"/>
    </row>
    <row r="308" spans="2:25">
      <c r="B308" s="87">
        <f t="shared" si="62"/>
        <v>8</v>
      </c>
      <c r="C308" s="609"/>
      <c r="D308" s="10"/>
      <c r="E308" s="101"/>
      <c r="F308" s="62"/>
      <c r="G308" s="62"/>
      <c r="H308" s="62"/>
      <c r="I308" s="89">
        <f t="shared" si="61"/>
        <v>0</v>
      </c>
      <c r="J308" s="63"/>
      <c r="K308" s="63"/>
      <c r="L308" s="63"/>
      <c r="M308" s="63"/>
      <c r="N308" s="63"/>
      <c r="O308" s="63"/>
      <c r="P308" s="63"/>
      <c r="Q308" s="63"/>
      <c r="R308" s="63"/>
      <c r="S308" s="63"/>
      <c r="T308" s="63"/>
      <c r="U308" s="10"/>
      <c r="V308" s="90"/>
      <c r="W308" s="91"/>
      <c r="X308" s="92"/>
      <c r="Y308" s="2"/>
    </row>
    <row r="309" spans="2:25">
      <c r="B309" s="132"/>
      <c r="C309" s="611"/>
      <c r="D309" s="123"/>
      <c r="E309" s="123"/>
      <c r="F309" s="133">
        <f>SUM(F301:F308)</f>
        <v>0</v>
      </c>
      <c r="G309" s="133">
        <f>SUM(G301:G308)</f>
        <v>0</v>
      </c>
      <c r="H309" s="133">
        <f>SUM(H301:H308)</f>
        <v>0</v>
      </c>
      <c r="I309" s="134">
        <f>SUM(I301:I308)</f>
        <v>0</v>
      </c>
      <c r="J309" s="127"/>
      <c r="K309" s="64"/>
      <c r="L309" s="64"/>
      <c r="M309" s="64"/>
      <c r="N309" s="64"/>
      <c r="O309" s="64"/>
      <c r="P309" s="64"/>
      <c r="Q309" s="64"/>
      <c r="R309" s="64"/>
      <c r="S309" s="64"/>
      <c r="T309" s="127"/>
      <c r="U309" s="123"/>
      <c r="V309" s="129"/>
      <c r="W309" s="130"/>
      <c r="X309" s="131"/>
      <c r="Y309" s="128"/>
    </row>
    <row r="310" spans="2:25">
      <c r="B310" s="11"/>
      <c r="C310" s="609"/>
      <c r="D310" s="10"/>
      <c r="E310" s="10"/>
      <c r="F310" s="88"/>
      <c r="G310" s="88"/>
      <c r="H310" s="88"/>
      <c r="I310" s="99"/>
      <c r="J310" s="63"/>
      <c r="K310" s="21"/>
      <c r="L310" s="21"/>
      <c r="M310" s="21"/>
      <c r="N310" s="21"/>
      <c r="O310" s="21"/>
      <c r="P310" s="21"/>
      <c r="Q310" s="21"/>
      <c r="R310" s="21"/>
      <c r="S310" s="21"/>
      <c r="T310" s="63"/>
      <c r="U310" s="10"/>
      <c r="V310" s="90"/>
      <c r="W310" s="91"/>
      <c r="X310" s="92"/>
      <c r="Y310" s="2"/>
    </row>
    <row r="311" spans="2:25">
      <c r="B311" s="121" t="s">
        <v>69</v>
      </c>
      <c r="C311" s="611"/>
      <c r="D311" s="123"/>
      <c r="E311" s="123"/>
      <c r="F311" s="124"/>
      <c r="G311" s="125"/>
      <c r="H311" s="124"/>
      <c r="I311" s="126"/>
      <c r="J311" s="127"/>
      <c r="K311" s="128"/>
      <c r="L311" s="128"/>
      <c r="M311" s="128"/>
      <c r="N311" s="128"/>
      <c r="O311" s="128"/>
      <c r="P311" s="128"/>
      <c r="Q311" s="128"/>
      <c r="R311" s="128"/>
      <c r="S311" s="128"/>
      <c r="T311" s="127"/>
      <c r="U311" s="135"/>
      <c r="V311" s="129"/>
      <c r="W311" s="130"/>
      <c r="X311" s="131"/>
      <c r="Y311" s="128"/>
    </row>
    <row r="312" spans="2:25">
      <c r="B312" s="87">
        <v>1</v>
      </c>
      <c r="C312" s="609"/>
      <c r="D312" s="10"/>
      <c r="E312" s="101"/>
      <c r="F312" s="62"/>
      <c r="G312" s="62"/>
      <c r="H312" s="62"/>
      <c r="I312" s="89">
        <f t="shared" ref="I312:I319" si="63">F312-G312-H312</f>
        <v>0</v>
      </c>
      <c r="J312" s="63"/>
      <c r="K312" s="63"/>
      <c r="L312" s="63"/>
      <c r="M312" s="63"/>
      <c r="N312" s="63"/>
      <c r="O312" s="63"/>
      <c r="P312" s="63"/>
      <c r="Q312" s="63"/>
      <c r="R312" s="63"/>
      <c r="S312" s="63"/>
      <c r="T312" s="63"/>
      <c r="U312" s="94"/>
      <c r="V312" s="90"/>
      <c r="W312" s="91"/>
      <c r="X312" s="92"/>
      <c r="Y312" s="2"/>
    </row>
    <row r="313" spans="2:25">
      <c r="B313" s="87">
        <f t="shared" ref="B313:B319" si="64">B312+1</f>
        <v>2</v>
      </c>
      <c r="C313" s="609"/>
      <c r="D313" s="10"/>
      <c r="E313" s="101"/>
      <c r="F313" s="62"/>
      <c r="G313" s="62"/>
      <c r="H313" s="62"/>
      <c r="I313" s="89">
        <f t="shared" si="63"/>
        <v>0</v>
      </c>
      <c r="J313" s="63"/>
      <c r="K313" s="63"/>
      <c r="L313" s="63"/>
      <c r="M313" s="63"/>
      <c r="N313" s="63"/>
      <c r="O313" s="63"/>
      <c r="P313" s="63"/>
      <c r="Q313" s="63"/>
      <c r="R313" s="63"/>
      <c r="S313" s="63"/>
      <c r="T313" s="63"/>
      <c r="U313" s="94"/>
      <c r="V313" s="90"/>
      <c r="W313" s="91"/>
      <c r="X313" s="92"/>
      <c r="Y313" s="2"/>
    </row>
    <row r="314" spans="2:25">
      <c r="B314" s="87">
        <f t="shared" si="64"/>
        <v>3</v>
      </c>
      <c r="C314" s="609"/>
      <c r="D314" s="10"/>
      <c r="E314" s="101"/>
      <c r="F314" s="62"/>
      <c r="G314" s="62"/>
      <c r="H314" s="62"/>
      <c r="I314" s="89">
        <f t="shared" si="63"/>
        <v>0</v>
      </c>
      <c r="J314" s="63"/>
      <c r="K314" s="63"/>
      <c r="L314" s="63"/>
      <c r="M314" s="63"/>
      <c r="N314" s="63"/>
      <c r="O314" s="63"/>
      <c r="P314" s="63"/>
      <c r="Q314" s="63"/>
      <c r="R314" s="63"/>
      <c r="S314" s="63"/>
      <c r="T314" s="63"/>
      <c r="U314" s="94"/>
      <c r="V314" s="90"/>
      <c r="W314" s="91"/>
      <c r="X314" s="92"/>
      <c r="Y314" s="2"/>
    </row>
    <row r="315" spans="2:25">
      <c r="B315" s="87">
        <f t="shared" si="64"/>
        <v>4</v>
      </c>
      <c r="C315" s="609"/>
      <c r="D315" s="10"/>
      <c r="E315" s="101"/>
      <c r="F315" s="62"/>
      <c r="G315" s="62"/>
      <c r="H315" s="62"/>
      <c r="I315" s="89">
        <f t="shared" si="63"/>
        <v>0</v>
      </c>
      <c r="J315" s="63"/>
      <c r="K315" s="63"/>
      <c r="L315" s="63"/>
      <c r="M315" s="63"/>
      <c r="N315" s="63"/>
      <c r="O315" s="63"/>
      <c r="P315" s="63"/>
      <c r="Q315" s="63"/>
      <c r="R315" s="63"/>
      <c r="S315" s="63"/>
      <c r="T315" s="63"/>
      <c r="U315" s="94"/>
      <c r="V315" s="90"/>
      <c r="W315" s="91"/>
      <c r="X315" s="92"/>
      <c r="Y315" s="2"/>
    </row>
    <row r="316" spans="2:25">
      <c r="B316" s="87">
        <f t="shared" si="64"/>
        <v>5</v>
      </c>
      <c r="C316" s="609"/>
      <c r="D316" s="10"/>
      <c r="E316" s="101"/>
      <c r="F316" s="62"/>
      <c r="G316" s="62"/>
      <c r="H316" s="62"/>
      <c r="I316" s="89">
        <f t="shared" si="63"/>
        <v>0</v>
      </c>
      <c r="J316" s="63"/>
      <c r="K316" s="63"/>
      <c r="L316" s="63"/>
      <c r="M316" s="63"/>
      <c r="N316" s="63"/>
      <c r="O316" s="63"/>
      <c r="P316" s="63"/>
      <c r="Q316" s="63"/>
      <c r="R316" s="63"/>
      <c r="S316" s="63"/>
      <c r="T316" s="63"/>
      <c r="U316" s="94"/>
      <c r="V316" s="90"/>
      <c r="W316" s="91"/>
      <c r="X316" s="92"/>
      <c r="Y316" s="2"/>
    </row>
    <row r="317" spans="2:25">
      <c r="B317" s="87">
        <f t="shared" si="64"/>
        <v>6</v>
      </c>
      <c r="C317" s="609"/>
      <c r="D317" s="10"/>
      <c r="E317" s="101"/>
      <c r="F317" s="62"/>
      <c r="G317" s="62"/>
      <c r="H317" s="62"/>
      <c r="I317" s="89">
        <f t="shared" si="63"/>
        <v>0</v>
      </c>
      <c r="J317" s="63"/>
      <c r="K317" s="63"/>
      <c r="L317" s="63"/>
      <c r="M317" s="63"/>
      <c r="N317" s="63"/>
      <c r="O317" s="63"/>
      <c r="P317" s="63"/>
      <c r="Q317" s="63"/>
      <c r="R317" s="63"/>
      <c r="S317" s="63"/>
      <c r="T317" s="63"/>
      <c r="U317" s="94"/>
      <c r="V317" s="90"/>
      <c r="W317" s="91"/>
      <c r="X317" s="92"/>
      <c r="Y317" s="2"/>
    </row>
    <row r="318" spans="2:25">
      <c r="B318" s="87">
        <f t="shared" si="64"/>
        <v>7</v>
      </c>
      <c r="C318" s="609"/>
      <c r="D318" s="10"/>
      <c r="E318" s="101"/>
      <c r="F318" s="62"/>
      <c r="G318" s="62"/>
      <c r="H318" s="62"/>
      <c r="I318" s="89">
        <f t="shared" si="63"/>
        <v>0</v>
      </c>
      <c r="J318" s="63"/>
      <c r="K318" s="63"/>
      <c r="L318" s="63"/>
      <c r="M318" s="63"/>
      <c r="N318" s="63"/>
      <c r="O318" s="63"/>
      <c r="P318" s="63"/>
      <c r="Q318" s="63"/>
      <c r="R318" s="63"/>
      <c r="S318" s="63"/>
      <c r="T318" s="63"/>
      <c r="U318" s="94"/>
      <c r="V318" s="90"/>
      <c r="W318" s="91"/>
      <c r="X318" s="92"/>
      <c r="Y318" s="2"/>
    </row>
    <row r="319" spans="2:25">
      <c r="B319" s="87">
        <f t="shared" si="64"/>
        <v>8</v>
      </c>
      <c r="C319" s="609"/>
      <c r="D319" s="10"/>
      <c r="E319" s="101"/>
      <c r="F319" s="62"/>
      <c r="G319" s="62"/>
      <c r="H319" s="62"/>
      <c r="I319" s="89">
        <f t="shared" si="63"/>
        <v>0</v>
      </c>
      <c r="J319" s="63"/>
      <c r="K319" s="63"/>
      <c r="L319" s="63"/>
      <c r="M319" s="63"/>
      <c r="N319" s="63"/>
      <c r="O319" s="63"/>
      <c r="P319" s="63"/>
      <c r="Q319" s="63"/>
      <c r="R319" s="63"/>
      <c r="S319" s="63"/>
      <c r="T319" s="63"/>
      <c r="U319" s="94"/>
      <c r="V319" s="90"/>
      <c r="W319" s="91"/>
      <c r="X319" s="92"/>
      <c r="Y319" s="2"/>
    </row>
    <row r="320" spans="2:25">
      <c r="B320" s="132"/>
      <c r="C320" s="611"/>
      <c r="D320" s="123"/>
      <c r="E320" s="123"/>
      <c r="F320" s="133">
        <f>SUM(F312:F319)</f>
        <v>0</v>
      </c>
      <c r="G320" s="133">
        <f>SUM(G312:G319)</f>
        <v>0</v>
      </c>
      <c r="H320" s="133">
        <f>SUM(H312:H319)</f>
        <v>0</v>
      </c>
      <c r="I320" s="134">
        <f>SUM(I312:I319)</f>
        <v>0</v>
      </c>
      <c r="J320" s="127"/>
      <c r="K320" s="64"/>
      <c r="L320" s="64"/>
      <c r="M320" s="64"/>
      <c r="N320" s="64"/>
      <c r="O320" s="64"/>
      <c r="P320" s="64"/>
      <c r="Q320" s="64"/>
      <c r="R320" s="64"/>
      <c r="S320" s="64"/>
      <c r="T320" s="127"/>
      <c r="U320" s="135"/>
      <c r="V320" s="129"/>
      <c r="W320" s="130"/>
      <c r="X320" s="131"/>
      <c r="Y320" s="128"/>
    </row>
    <row r="321" spans="2:25">
      <c r="B321" s="11"/>
      <c r="C321" s="609"/>
      <c r="D321" s="10"/>
      <c r="E321" s="10"/>
      <c r="F321" s="88"/>
      <c r="G321" s="88"/>
      <c r="H321" s="88"/>
      <c r="I321" s="99"/>
      <c r="J321" s="63"/>
      <c r="K321" s="21"/>
      <c r="L321" s="21"/>
      <c r="M321" s="21"/>
      <c r="N321" s="21"/>
      <c r="O321" s="21"/>
      <c r="P321" s="21"/>
      <c r="Q321" s="21"/>
      <c r="R321" s="21"/>
      <c r="S321" s="21"/>
      <c r="T321" s="63"/>
      <c r="U321" s="94"/>
      <c r="V321" s="90"/>
      <c r="W321" s="91"/>
      <c r="X321" s="92"/>
      <c r="Y321" s="2"/>
    </row>
    <row r="322" spans="2:25">
      <c r="B322" s="121" t="s">
        <v>70</v>
      </c>
      <c r="C322" s="611"/>
      <c r="D322" s="123"/>
      <c r="E322" s="128"/>
      <c r="F322" s="124"/>
      <c r="G322" s="124"/>
      <c r="H322" s="124"/>
      <c r="I322" s="126"/>
      <c r="J322" s="127"/>
      <c r="K322" s="64"/>
      <c r="L322" s="64"/>
      <c r="M322" s="64"/>
      <c r="N322" s="64"/>
      <c r="O322" s="64"/>
      <c r="P322" s="64"/>
      <c r="Q322" s="64"/>
      <c r="R322" s="64"/>
      <c r="S322" s="64"/>
      <c r="T322" s="127"/>
      <c r="U322" s="135"/>
      <c r="V322" s="129"/>
      <c r="W322" s="130"/>
      <c r="X322" s="131"/>
      <c r="Y322" s="128"/>
    </row>
    <row r="323" spans="2:25">
      <c r="B323" s="87">
        <v>1</v>
      </c>
      <c r="C323" s="609"/>
      <c r="D323" s="10"/>
      <c r="E323" s="10"/>
      <c r="F323" s="62"/>
      <c r="G323" s="62"/>
      <c r="H323" s="62"/>
      <c r="I323" s="89">
        <f>F323-G323-H323</f>
        <v>0</v>
      </c>
      <c r="J323" s="63"/>
      <c r="K323" s="63"/>
      <c r="L323" s="63"/>
      <c r="M323" s="63"/>
      <c r="N323" s="63"/>
      <c r="O323" s="63"/>
      <c r="P323" s="63"/>
      <c r="Q323" s="63"/>
      <c r="R323" s="63"/>
      <c r="S323" s="63"/>
      <c r="T323" s="63"/>
      <c r="U323" s="94"/>
      <c r="V323" s="90"/>
      <c r="W323" s="136"/>
      <c r="X323" s="137"/>
      <c r="Y323" s="2"/>
    </row>
    <row r="324" spans="2:25">
      <c r="B324" s="87">
        <f t="shared" ref="B324:B330" si="65">B323+1</f>
        <v>2</v>
      </c>
      <c r="C324" s="609"/>
      <c r="D324" s="10"/>
      <c r="E324" s="10"/>
      <c r="F324" s="62"/>
      <c r="G324" s="62"/>
      <c r="H324" s="62"/>
      <c r="I324" s="89">
        <f t="shared" ref="I324" si="66">F324-G324-H324</f>
        <v>0</v>
      </c>
      <c r="J324" s="63"/>
      <c r="K324" s="63"/>
      <c r="L324" s="63"/>
      <c r="M324" s="63"/>
      <c r="N324" s="63"/>
      <c r="O324" s="63"/>
      <c r="P324" s="63"/>
      <c r="Q324" s="63"/>
      <c r="R324" s="63"/>
      <c r="S324" s="63"/>
      <c r="T324" s="63"/>
      <c r="U324" s="94"/>
      <c r="V324" s="90"/>
      <c r="W324" s="136"/>
      <c r="X324" s="137"/>
      <c r="Y324" s="2"/>
    </row>
    <row r="325" spans="2:25">
      <c r="B325" s="87">
        <f t="shared" si="65"/>
        <v>3</v>
      </c>
      <c r="C325" s="609"/>
      <c r="D325" s="10"/>
      <c r="E325" s="10"/>
      <c r="F325" s="62"/>
      <c r="G325" s="62"/>
      <c r="H325" s="62"/>
      <c r="I325" s="89">
        <f>F325-G325-H325</f>
        <v>0</v>
      </c>
      <c r="J325" s="63"/>
      <c r="K325" s="63"/>
      <c r="L325" s="63"/>
      <c r="M325" s="63"/>
      <c r="N325" s="63"/>
      <c r="O325" s="63"/>
      <c r="P325" s="63"/>
      <c r="Q325" s="63"/>
      <c r="R325" s="63"/>
      <c r="S325" s="63"/>
      <c r="T325" s="63"/>
      <c r="U325" s="94"/>
      <c r="V325" s="90"/>
      <c r="W325" s="136"/>
      <c r="X325" s="137"/>
      <c r="Y325" s="2"/>
    </row>
    <row r="326" spans="2:25">
      <c r="B326" s="87">
        <f t="shared" si="65"/>
        <v>4</v>
      </c>
      <c r="C326" s="609"/>
      <c r="D326" s="10"/>
      <c r="E326" s="10"/>
      <c r="F326" s="62"/>
      <c r="G326" s="62"/>
      <c r="H326" s="62"/>
      <c r="I326" s="89">
        <f>F326-G326-H326</f>
        <v>0</v>
      </c>
      <c r="J326" s="63"/>
      <c r="K326" s="63"/>
      <c r="L326" s="63"/>
      <c r="M326" s="63"/>
      <c r="N326" s="63"/>
      <c r="O326" s="63"/>
      <c r="P326" s="63"/>
      <c r="Q326" s="63"/>
      <c r="R326" s="63"/>
      <c r="S326" s="63"/>
      <c r="T326" s="63"/>
      <c r="U326" s="94"/>
      <c r="V326" s="90"/>
      <c r="W326" s="136"/>
      <c r="X326" s="137"/>
      <c r="Y326" s="2"/>
    </row>
    <row r="327" spans="2:25">
      <c r="B327" s="87">
        <f t="shared" si="65"/>
        <v>5</v>
      </c>
      <c r="C327" s="609"/>
      <c r="D327" s="10"/>
      <c r="E327" s="10"/>
      <c r="F327" s="62"/>
      <c r="G327" s="62"/>
      <c r="H327" s="62"/>
      <c r="I327" s="89">
        <f>F327-G327-H327</f>
        <v>0</v>
      </c>
      <c r="J327" s="63"/>
      <c r="K327" s="63"/>
      <c r="L327" s="63"/>
      <c r="M327" s="63"/>
      <c r="N327" s="63"/>
      <c r="O327" s="63"/>
      <c r="P327" s="63"/>
      <c r="Q327" s="63"/>
      <c r="R327" s="63"/>
      <c r="S327" s="63"/>
      <c r="T327" s="63"/>
      <c r="U327" s="94"/>
      <c r="V327" s="90"/>
      <c r="W327" s="136"/>
      <c r="X327" s="137"/>
      <c r="Y327" s="2"/>
    </row>
    <row r="328" spans="2:25">
      <c r="B328" s="87">
        <f t="shared" si="65"/>
        <v>6</v>
      </c>
      <c r="C328" s="609"/>
      <c r="D328" s="10"/>
      <c r="E328" s="10"/>
      <c r="F328" s="62"/>
      <c r="G328" s="62"/>
      <c r="H328" s="62"/>
      <c r="I328" s="89">
        <f>F328-G328-H328</f>
        <v>0</v>
      </c>
      <c r="J328" s="63"/>
      <c r="K328" s="63"/>
      <c r="L328" s="63"/>
      <c r="M328" s="63"/>
      <c r="N328" s="63"/>
      <c r="O328" s="63"/>
      <c r="P328" s="63"/>
      <c r="Q328" s="63"/>
      <c r="R328" s="63"/>
      <c r="S328" s="63"/>
      <c r="T328" s="63"/>
      <c r="U328" s="94"/>
      <c r="V328" s="90"/>
      <c r="W328" s="136"/>
      <c r="X328" s="137"/>
      <c r="Y328" s="2"/>
    </row>
    <row r="329" spans="2:25">
      <c r="B329" s="87">
        <f t="shared" si="65"/>
        <v>7</v>
      </c>
      <c r="C329" s="609"/>
      <c r="D329" s="10"/>
      <c r="E329" s="10"/>
      <c r="F329" s="62"/>
      <c r="G329" s="62"/>
      <c r="H329" s="62"/>
      <c r="I329" s="89">
        <f t="shared" ref="I329:I330" si="67">F329-G329-H329</f>
        <v>0</v>
      </c>
      <c r="J329" s="63"/>
      <c r="K329" s="63"/>
      <c r="L329" s="63"/>
      <c r="M329" s="63"/>
      <c r="N329" s="63"/>
      <c r="O329" s="63"/>
      <c r="P329" s="63"/>
      <c r="Q329" s="63"/>
      <c r="R329" s="63"/>
      <c r="S329" s="63"/>
      <c r="T329" s="63"/>
      <c r="U329" s="94"/>
      <c r="V329" s="90"/>
      <c r="W329" s="136"/>
      <c r="X329" s="137"/>
      <c r="Y329" s="2"/>
    </row>
    <row r="330" spans="2:25">
      <c r="B330" s="87">
        <f t="shared" si="65"/>
        <v>8</v>
      </c>
      <c r="C330" s="609"/>
      <c r="D330" s="10"/>
      <c r="E330" s="10"/>
      <c r="F330" s="62"/>
      <c r="G330" s="62"/>
      <c r="H330" s="62"/>
      <c r="I330" s="89">
        <f t="shared" si="67"/>
        <v>0</v>
      </c>
      <c r="J330" s="63"/>
      <c r="K330" s="63"/>
      <c r="L330" s="63"/>
      <c r="M330" s="63"/>
      <c r="N330" s="63"/>
      <c r="O330" s="63"/>
      <c r="P330" s="63"/>
      <c r="Q330" s="63"/>
      <c r="R330" s="63"/>
      <c r="S330" s="63"/>
      <c r="T330" s="63"/>
      <c r="U330" s="94"/>
      <c r="V330" s="90"/>
      <c r="W330" s="136"/>
      <c r="X330" s="137"/>
      <c r="Y330" s="2"/>
    </row>
    <row r="331" spans="2:25">
      <c r="B331" s="132"/>
      <c r="C331" s="611"/>
      <c r="D331" s="123"/>
      <c r="E331" s="123"/>
      <c r="F331" s="133">
        <f>SUM(F323:F330)</f>
        <v>0</v>
      </c>
      <c r="G331" s="133">
        <f t="shared" ref="G331:I331" si="68">SUM(G323:G330)</f>
        <v>0</v>
      </c>
      <c r="H331" s="133">
        <f t="shared" si="68"/>
        <v>0</v>
      </c>
      <c r="I331" s="134">
        <f t="shared" si="68"/>
        <v>0</v>
      </c>
      <c r="J331" s="127"/>
      <c r="K331" s="64"/>
      <c r="L331" s="64"/>
      <c r="M331" s="64"/>
      <c r="N331" s="64"/>
      <c r="O331" s="64"/>
      <c r="P331" s="64"/>
      <c r="Q331" s="64"/>
      <c r="R331" s="64"/>
      <c r="S331" s="64"/>
      <c r="T331" s="127"/>
      <c r="U331" s="135"/>
      <c r="V331" s="129"/>
      <c r="W331" s="130"/>
      <c r="X331" s="131"/>
      <c r="Y331" s="128"/>
    </row>
    <row r="332" spans="2:25">
      <c r="B332" s="11"/>
      <c r="C332" s="609"/>
      <c r="D332" s="10"/>
      <c r="E332" s="10"/>
      <c r="F332" s="88"/>
      <c r="G332" s="88"/>
      <c r="H332" s="88"/>
      <c r="I332" s="99"/>
      <c r="J332" s="10"/>
      <c r="K332" s="63"/>
      <c r="L332" s="63"/>
      <c r="M332" s="63"/>
      <c r="N332" s="63"/>
      <c r="O332" s="63"/>
      <c r="P332" s="63"/>
      <c r="Q332" s="63"/>
      <c r="R332" s="63"/>
      <c r="S332" s="63"/>
      <c r="T332" s="63"/>
      <c r="U332" s="94"/>
      <c r="V332" s="90"/>
      <c r="W332" s="91"/>
      <c r="X332" s="92"/>
      <c r="Y332" s="2"/>
    </row>
    <row r="333" spans="2:25">
      <c r="B333" s="121" t="s">
        <v>71</v>
      </c>
      <c r="C333" s="611"/>
      <c r="D333" s="123"/>
      <c r="E333" s="128"/>
      <c r="F333" s="124"/>
      <c r="G333" s="124"/>
      <c r="H333" s="124"/>
      <c r="I333" s="126"/>
      <c r="J333" s="127"/>
      <c r="K333" s="64"/>
      <c r="L333" s="64"/>
      <c r="M333" s="64"/>
      <c r="N333" s="64"/>
      <c r="O333" s="64"/>
      <c r="P333" s="64"/>
      <c r="Q333" s="64"/>
      <c r="R333" s="64"/>
      <c r="S333" s="64"/>
      <c r="T333" s="127"/>
      <c r="U333" s="135"/>
      <c r="V333" s="129"/>
      <c r="W333" s="130"/>
      <c r="X333" s="131"/>
      <c r="Y333" s="128"/>
    </row>
    <row r="334" spans="2:25">
      <c r="B334" s="87">
        <v>1</v>
      </c>
      <c r="C334" s="609"/>
      <c r="D334" s="10"/>
      <c r="E334" s="10"/>
      <c r="F334" s="62"/>
      <c r="G334" s="62"/>
      <c r="H334" s="62"/>
      <c r="I334" s="89">
        <f t="shared" ref="I334:I341" si="69">F334-G334-H334</f>
        <v>0</v>
      </c>
      <c r="J334" s="63"/>
      <c r="K334" s="63"/>
      <c r="L334" s="63"/>
      <c r="M334" s="63"/>
      <c r="N334" s="63"/>
      <c r="O334" s="63"/>
      <c r="P334" s="63"/>
      <c r="Q334" s="63"/>
      <c r="R334" s="63"/>
      <c r="S334" s="63"/>
      <c r="T334" s="63"/>
      <c r="U334" s="94"/>
      <c r="V334" s="90"/>
      <c r="W334" s="136"/>
      <c r="X334" s="137"/>
      <c r="Y334" s="2"/>
    </row>
    <row r="335" spans="2:25">
      <c r="B335" s="87">
        <f t="shared" ref="B335:B341" si="70">B334+1</f>
        <v>2</v>
      </c>
      <c r="C335" s="609"/>
      <c r="D335" s="10"/>
      <c r="E335" s="10"/>
      <c r="F335" s="62"/>
      <c r="G335" s="62"/>
      <c r="H335" s="62"/>
      <c r="I335" s="89">
        <f t="shared" si="69"/>
        <v>0</v>
      </c>
      <c r="J335" s="63"/>
      <c r="K335" s="63"/>
      <c r="L335" s="63"/>
      <c r="M335" s="63"/>
      <c r="N335" s="63"/>
      <c r="O335" s="63"/>
      <c r="P335" s="63"/>
      <c r="Q335" s="63"/>
      <c r="R335" s="63"/>
      <c r="S335" s="63"/>
      <c r="T335" s="63"/>
      <c r="U335" s="94"/>
      <c r="V335" s="90"/>
      <c r="W335" s="136"/>
      <c r="X335" s="137"/>
      <c r="Y335" s="2"/>
    </row>
    <row r="336" spans="2:25">
      <c r="B336" s="87">
        <f t="shared" si="70"/>
        <v>3</v>
      </c>
      <c r="C336" s="609"/>
      <c r="D336" s="10"/>
      <c r="E336" s="10"/>
      <c r="F336" s="62"/>
      <c r="G336" s="62"/>
      <c r="H336" s="62"/>
      <c r="I336" s="89">
        <f t="shared" si="69"/>
        <v>0</v>
      </c>
      <c r="J336" s="63"/>
      <c r="K336" s="63"/>
      <c r="L336" s="63"/>
      <c r="M336" s="63"/>
      <c r="N336" s="63"/>
      <c r="O336" s="63"/>
      <c r="P336" s="63"/>
      <c r="Q336" s="63"/>
      <c r="R336" s="63"/>
      <c r="S336" s="63"/>
      <c r="T336" s="63"/>
      <c r="U336" s="94"/>
      <c r="V336" s="90"/>
      <c r="W336" s="136"/>
      <c r="X336" s="137"/>
      <c r="Y336" s="2"/>
    </row>
    <row r="337" spans="2:25">
      <c r="B337" s="87">
        <f t="shared" si="70"/>
        <v>4</v>
      </c>
      <c r="C337" s="609"/>
      <c r="D337" s="10"/>
      <c r="E337" s="10"/>
      <c r="F337" s="62"/>
      <c r="G337" s="62"/>
      <c r="H337" s="62"/>
      <c r="I337" s="89">
        <f t="shared" si="69"/>
        <v>0</v>
      </c>
      <c r="J337" s="63"/>
      <c r="K337" s="63"/>
      <c r="L337" s="63"/>
      <c r="M337" s="63"/>
      <c r="N337" s="63"/>
      <c r="O337" s="63"/>
      <c r="P337" s="63"/>
      <c r="Q337" s="63"/>
      <c r="R337" s="63"/>
      <c r="S337" s="63"/>
      <c r="T337" s="63"/>
      <c r="U337" s="94"/>
      <c r="V337" s="90"/>
      <c r="W337" s="136"/>
      <c r="X337" s="137"/>
      <c r="Y337" s="2"/>
    </row>
    <row r="338" spans="2:25">
      <c r="B338" s="87">
        <f t="shared" si="70"/>
        <v>5</v>
      </c>
      <c r="C338" s="609"/>
      <c r="D338" s="10"/>
      <c r="E338" s="10"/>
      <c r="F338" s="62"/>
      <c r="G338" s="62"/>
      <c r="H338" s="62"/>
      <c r="I338" s="89">
        <f t="shared" si="69"/>
        <v>0</v>
      </c>
      <c r="J338" s="63"/>
      <c r="K338" s="63"/>
      <c r="L338" s="63"/>
      <c r="M338" s="63"/>
      <c r="N338" s="63"/>
      <c r="O338" s="63"/>
      <c r="P338" s="63"/>
      <c r="Q338" s="63"/>
      <c r="R338" s="63"/>
      <c r="S338" s="63"/>
      <c r="T338" s="63"/>
      <c r="U338" s="94"/>
      <c r="V338" s="90"/>
      <c r="W338" s="136"/>
      <c r="X338" s="137"/>
      <c r="Y338" s="2"/>
    </row>
    <row r="339" spans="2:25">
      <c r="B339" s="87">
        <f t="shared" si="70"/>
        <v>6</v>
      </c>
      <c r="C339" s="609"/>
      <c r="D339" s="10"/>
      <c r="E339" s="10"/>
      <c r="F339" s="62"/>
      <c r="G339" s="62"/>
      <c r="H339" s="62"/>
      <c r="I339" s="89">
        <f t="shared" si="69"/>
        <v>0</v>
      </c>
      <c r="J339" s="63"/>
      <c r="K339" s="63"/>
      <c r="L339" s="63"/>
      <c r="M339" s="63"/>
      <c r="N339" s="63"/>
      <c r="O339" s="63"/>
      <c r="P339" s="63"/>
      <c r="Q339" s="63"/>
      <c r="R339" s="63"/>
      <c r="S339" s="63"/>
      <c r="T339" s="63"/>
      <c r="U339" s="94"/>
      <c r="V339" s="90"/>
      <c r="W339" s="136"/>
      <c r="X339" s="137"/>
      <c r="Y339" s="2"/>
    </row>
    <row r="340" spans="2:25">
      <c r="B340" s="87">
        <f t="shared" si="70"/>
        <v>7</v>
      </c>
      <c r="C340" s="609"/>
      <c r="D340" s="10"/>
      <c r="E340" s="10"/>
      <c r="F340" s="62"/>
      <c r="G340" s="62"/>
      <c r="H340" s="62"/>
      <c r="I340" s="89">
        <f t="shared" si="69"/>
        <v>0</v>
      </c>
      <c r="J340" s="63"/>
      <c r="K340" s="63"/>
      <c r="L340" s="63"/>
      <c r="M340" s="63"/>
      <c r="N340" s="63"/>
      <c r="O340" s="63"/>
      <c r="P340" s="63"/>
      <c r="Q340" s="63"/>
      <c r="R340" s="63"/>
      <c r="S340" s="63"/>
      <c r="T340" s="63"/>
      <c r="U340" s="94"/>
      <c r="V340" s="90"/>
      <c r="W340" s="136"/>
      <c r="X340" s="137"/>
      <c r="Y340" s="2"/>
    </row>
    <row r="341" spans="2:25">
      <c r="B341" s="87">
        <f t="shared" si="70"/>
        <v>8</v>
      </c>
      <c r="C341" s="609"/>
      <c r="D341" s="10"/>
      <c r="E341" s="10"/>
      <c r="F341" s="62"/>
      <c r="G341" s="62"/>
      <c r="H341" s="62"/>
      <c r="I341" s="89">
        <f t="shared" si="69"/>
        <v>0</v>
      </c>
      <c r="J341" s="63"/>
      <c r="K341" s="63"/>
      <c r="L341" s="63"/>
      <c r="M341" s="63"/>
      <c r="N341" s="63"/>
      <c r="O341" s="63"/>
      <c r="P341" s="63"/>
      <c r="Q341" s="63"/>
      <c r="R341" s="63"/>
      <c r="S341" s="63"/>
      <c r="T341" s="63"/>
      <c r="U341" s="94"/>
      <c r="V341" s="90"/>
      <c r="W341" s="136"/>
      <c r="X341" s="137"/>
      <c r="Y341" s="2"/>
    </row>
    <row r="342" spans="2:25">
      <c r="B342" s="132"/>
      <c r="C342" s="611"/>
      <c r="D342" s="123"/>
      <c r="E342" s="123"/>
      <c r="F342" s="133">
        <f>SUM(F334:F341)</f>
        <v>0</v>
      </c>
      <c r="G342" s="133">
        <f>SUM(G334:G341)</f>
        <v>0</v>
      </c>
      <c r="H342" s="133">
        <f>SUM(H334:H341)</f>
        <v>0</v>
      </c>
      <c r="I342" s="134">
        <f>SUM(I334:I341)</f>
        <v>0</v>
      </c>
      <c r="J342" s="127"/>
      <c r="K342" s="64"/>
      <c r="L342" s="64"/>
      <c r="M342" s="64"/>
      <c r="N342" s="64"/>
      <c r="O342" s="64"/>
      <c r="P342" s="64"/>
      <c r="Q342" s="64"/>
      <c r="R342" s="64"/>
      <c r="S342" s="64"/>
      <c r="T342" s="127"/>
      <c r="U342" s="135"/>
      <c r="V342" s="129"/>
      <c r="W342" s="130"/>
      <c r="X342" s="131"/>
      <c r="Y342" s="128"/>
    </row>
    <row r="343" spans="2:25">
      <c r="B343" s="11"/>
      <c r="C343" s="609"/>
      <c r="D343" s="10"/>
      <c r="E343" s="10"/>
      <c r="F343" s="88"/>
      <c r="G343" s="88"/>
      <c r="H343" s="88"/>
      <c r="I343" s="99"/>
      <c r="J343" s="63"/>
      <c r="K343" s="21"/>
      <c r="L343" s="21"/>
      <c r="M343" s="21"/>
      <c r="N343" s="21"/>
      <c r="O343" s="21"/>
      <c r="P343" s="21"/>
      <c r="Q343" s="21"/>
      <c r="R343" s="21"/>
      <c r="S343" s="21"/>
      <c r="T343" s="63"/>
      <c r="U343" s="94"/>
      <c r="V343" s="90"/>
      <c r="W343" s="91"/>
      <c r="X343" s="92"/>
      <c r="Y343" s="2"/>
    </row>
    <row r="344" spans="2:25">
      <c r="B344" s="100" t="s">
        <v>72</v>
      </c>
      <c r="C344" s="609"/>
      <c r="D344" s="10"/>
      <c r="E344" s="10"/>
      <c r="F344" s="88"/>
      <c r="G344" s="88"/>
      <c r="H344" s="88"/>
      <c r="I344" s="99"/>
      <c r="J344" s="63"/>
      <c r="K344" s="63"/>
      <c r="L344" s="63"/>
      <c r="M344" s="63"/>
      <c r="N344" s="63"/>
      <c r="O344" s="63"/>
      <c r="P344" s="63"/>
      <c r="Q344" s="63"/>
      <c r="R344" s="63"/>
      <c r="S344" s="63"/>
      <c r="T344" s="63"/>
      <c r="U344" s="10"/>
      <c r="V344" s="90"/>
      <c r="W344" s="91"/>
      <c r="X344" s="92"/>
      <c r="Y344" s="2"/>
    </row>
    <row r="345" spans="2:25">
      <c r="B345" s="87">
        <v>1</v>
      </c>
      <c r="C345" s="609"/>
      <c r="D345" s="10"/>
      <c r="E345" s="10"/>
      <c r="F345" s="62"/>
      <c r="G345" s="62"/>
      <c r="H345" s="62"/>
      <c r="I345" s="89">
        <f t="shared" ref="I345:I362" si="71">F345-G345-H345</f>
        <v>0</v>
      </c>
      <c r="J345" s="63"/>
      <c r="K345" s="63"/>
      <c r="L345" s="63"/>
      <c r="M345" s="63"/>
      <c r="N345" s="63"/>
      <c r="O345" s="63"/>
      <c r="P345" s="63"/>
      <c r="Q345" s="63"/>
      <c r="R345" s="63"/>
      <c r="S345" s="63"/>
      <c r="T345" s="63"/>
      <c r="U345" s="3"/>
      <c r="V345" s="90"/>
      <c r="W345" s="91"/>
      <c r="X345" s="92"/>
      <c r="Y345" s="2"/>
    </row>
    <row r="346" spans="2:25">
      <c r="B346" s="87">
        <f t="shared" ref="B346:B362" si="72">B345+1</f>
        <v>2</v>
      </c>
      <c r="C346" s="609"/>
      <c r="D346" s="10"/>
      <c r="E346" s="10"/>
      <c r="F346" s="62"/>
      <c r="G346" s="62"/>
      <c r="H346" s="62"/>
      <c r="I346" s="89">
        <f t="shared" si="71"/>
        <v>0</v>
      </c>
      <c r="J346" s="63"/>
      <c r="K346" s="63"/>
      <c r="L346" s="63"/>
      <c r="M346" s="63"/>
      <c r="N346" s="63"/>
      <c r="O346" s="63"/>
      <c r="P346" s="63"/>
      <c r="Q346" s="63"/>
      <c r="R346" s="63"/>
      <c r="S346" s="63"/>
      <c r="T346" s="63"/>
      <c r="U346" s="10"/>
      <c r="V346" s="90"/>
      <c r="W346" s="136"/>
      <c r="X346" s="137"/>
      <c r="Y346" s="2"/>
    </row>
    <row r="347" spans="2:25">
      <c r="B347" s="87">
        <f t="shared" si="72"/>
        <v>3</v>
      </c>
      <c r="C347" s="609"/>
      <c r="D347" s="10"/>
      <c r="E347" s="10"/>
      <c r="F347" s="62"/>
      <c r="G347" s="62"/>
      <c r="H347" s="62"/>
      <c r="I347" s="89">
        <f t="shared" si="71"/>
        <v>0</v>
      </c>
      <c r="J347" s="63"/>
      <c r="K347" s="63"/>
      <c r="L347" s="63"/>
      <c r="M347" s="63"/>
      <c r="N347" s="63"/>
      <c r="O347" s="63"/>
      <c r="P347" s="63"/>
      <c r="Q347" s="63"/>
      <c r="R347" s="63"/>
      <c r="S347" s="63"/>
      <c r="T347" s="63"/>
      <c r="U347" s="10"/>
      <c r="V347" s="90"/>
      <c r="W347" s="136"/>
      <c r="X347" s="137"/>
      <c r="Y347" s="2"/>
    </row>
    <row r="348" spans="2:25">
      <c r="B348" s="87">
        <f t="shared" si="72"/>
        <v>4</v>
      </c>
      <c r="C348" s="609"/>
      <c r="D348" s="10"/>
      <c r="E348" s="10"/>
      <c r="F348" s="62"/>
      <c r="G348" s="62"/>
      <c r="H348" s="62"/>
      <c r="I348" s="89">
        <f t="shared" si="71"/>
        <v>0</v>
      </c>
      <c r="J348" s="63"/>
      <c r="K348" s="63"/>
      <c r="L348" s="63"/>
      <c r="M348" s="63"/>
      <c r="N348" s="63"/>
      <c r="O348" s="63"/>
      <c r="P348" s="63"/>
      <c r="Q348" s="63"/>
      <c r="R348" s="63"/>
      <c r="S348" s="63"/>
      <c r="T348" s="63"/>
      <c r="U348" s="10"/>
      <c r="V348" s="90"/>
      <c r="W348" s="136"/>
      <c r="X348" s="137"/>
      <c r="Y348" s="2"/>
    </row>
    <row r="349" spans="2:25">
      <c r="B349" s="87">
        <f t="shared" si="72"/>
        <v>5</v>
      </c>
      <c r="C349" s="609"/>
      <c r="D349" s="10"/>
      <c r="E349" s="10"/>
      <c r="F349" s="62"/>
      <c r="G349" s="62"/>
      <c r="H349" s="62"/>
      <c r="I349" s="89">
        <f t="shared" si="71"/>
        <v>0</v>
      </c>
      <c r="J349" s="63"/>
      <c r="K349" s="63"/>
      <c r="L349" s="63"/>
      <c r="M349" s="63"/>
      <c r="N349" s="63"/>
      <c r="O349" s="63"/>
      <c r="P349" s="63"/>
      <c r="Q349" s="63"/>
      <c r="R349" s="63"/>
      <c r="S349" s="63"/>
      <c r="T349" s="63"/>
      <c r="U349" s="10"/>
      <c r="V349" s="90"/>
      <c r="W349" s="136"/>
      <c r="X349" s="137"/>
      <c r="Y349" s="2"/>
    </row>
    <row r="350" spans="2:25">
      <c r="B350" s="87">
        <f t="shared" si="72"/>
        <v>6</v>
      </c>
      <c r="C350" s="609"/>
      <c r="D350" s="10"/>
      <c r="E350" s="101"/>
      <c r="F350" s="62"/>
      <c r="G350" s="62"/>
      <c r="H350" s="62"/>
      <c r="I350" s="89">
        <f t="shared" si="71"/>
        <v>0</v>
      </c>
      <c r="J350" s="63"/>
      <c r="K350" s="63"/>
      <c r="L350" s="63"/>
      <c r="M350" s="63"/>
      <c r="N350" s="63"/>
      <c r="O350" s="63"/>
      <c r="P350" s="63"/>
      <c r="Q350" s="63"/>
      <c r="R350" s="63"/>
      <c r="S350" s="63"/>
      <c r="T350" s="63"/>
      <c r="U350" s="10"/>
      <c r="V350" s="90"/>
      <c r="W350" s="136"/>
      <c r="X350" s="137"/>
      <c r="Y350" s="2"/>
    </row>
    <row r="351" spans="2:25">
      <c r="B351" s="87">
        <f t="shared" si="72"/>
        <v>7</v>
      </c>
      <c r="C351" s="609"/>
      <c r="D351" s="10"/>
      <c r="E351" s="101"/>
      <c r="F351" s="62"/>
      <c r="G351" s="62"/>
      <c r="H351" s="62"/>
      <c r="I351" s="89">
        <f t="shared" si="71"/>
        <v>0</v>
      </c>
      <c r="J351" s="63"/>
      <c r="K351" s="63"/>
      <c r="L351" s="63"/>
      <c r="M351" s="63"/>
      <c r="N351" s="63"/>
      <c r="O351" s="63"/>
      <c r="P351" s="63"/>
      <c r="Q351" s="63"/>
      <c r="R351" s="63"/>
      <c r="S351" s="63"/>
      <c r="T351" s="63"/>
      <c r="U351" s="10"/>
      <c r="V351" s="90"/>
      <c r="W351" s="136"/>
      <c r="X351" s="137"/>
      <c r="Y351" s="2"/>
    </row>
    <row r="352" spans="2:25">
      <c r="B352" s="87">
        <f t="shared" si="72"/>
        <v>8</v>
      </c>
      <c r="C352" s="609"/>
      <c r="D352" s="10"/>
      <c r="E352" s="101"/>
      <c r="F352" s="62"/>
      <c r="G352" s="62"/>
      <c r="H352" s="62"/>
      <c r="I352" s="89">
        <f t="shared" si="71"/>
        <v>0</v>
      </c>
      <c r="J352" s="63"/>
      <c r="K352" s="63"/>
      <c r="L352" s="63"/>
      <c r="M352" s="63"/>
      <c r="N352" s="63"/>
      <c r="O352" s="63"/>
      <c r="P352" s="63"/>
      <c r="Q352" s="63"/>
      <c r="R352" s="63"/>
      <c r="S352" s="63"/>
      <c r="T352" s="63"/>
      <c r="U352" s="10"/>
      <c r="V352" s="90"/>
      <c r="W352" s="136"/>
      <c r="X352" s="137"/>
      <c r="Y352" s="2"/>
    </row>
    <row r="353" spans="2:25">
      <c r="B353" s="87">
        <f t="shared" si="72"/>
        <v>9</v>
      </c>
      <c r="C353" s="609"/>
      <c r="D353" s="10"/>
      <c r="E353" s="101"/>
      <c r="F353" s="62"/>
      <c r="G353" s="62"/>
      <c r="H353" s="62"/>
      <c r="I353" s="89">
        <f t="shared" si="71"/>
        <v>0</v>
      </c>
      <c r="J353" s="63"/>
      <c r="K353" s="63"/>
      <c r="L353" s="63"/>
      <c r="M353" s="63"/>
      <c r="N353" s="63"/>
      <c r="O353" s="63"/>
      <c r="P353" s="63"/>
      <c r="Q353" s="63"/>
      <c r="R353" s="63"/>
      <c r="S353" s="63"/>
      <c r="T353" s="63"/>
      <c r="U353" s="10"/>
      <c r="V353" s="90"/>
      <c r="W353" s="136"/>
      <c r="X353" s="137"/>
      <c r="Y353" s="2"/>
    </row>
    <row r="354" spans="2:25">
      <c r="B354" s="87">
        <f t="shared" si="72"/>
        <v>10</v>
      </c>
      <c r="C354" s="609"/>
      <c r="D354" s="10"/>
      <c r="E354" s="101"/>
      <c r="F354" s="62"/>
      <c r="G354" s="62"/>
      <c r="H354" s="62"/>
      <c r="I354" s="89">
        <f t="shared" si="71"/>
        <v>0</v>
      </c>
      <c r="J354" s="63"/>
      <c r="K354" s="63"/>
      <c r="L354" s="63"/>
      <c r="M354" s="63"/>
      <c r="N354" s="63"/>
      <c r="O354" s="63"/>
      <c r="P354" s="63"/>
      <c r="Q354" s="63"/>
      <c r="R354" s="63"/>
      <c r="S354" s="63"/>
      <c r="T354" s="63"/>
      <c r="U354" s="10"/>
      <c r="V354" s="90"/>
      <c r="W354" s="136"/>
      <c r="X354" s="137"/>
      <c r="Y354" s="2"/>
    </row>
    <row r="355" spans="2:25">
      <c r="B355" s="87">
        <f t="shared" si="72"/>
        <v>11</v>
      </c>
      <c r="C355" s="609"/>
      <c r="D355" s="10"/>
      <c r="E355" s="101"/>
      <c r="F355" s="62"/>
      <c r="G355" s="62"/>
      <c r="H355" s="62"/>
      <c r="I355" s="89">
        <f t="shared" si="71"/>
        <v>0</v>
      </c>
      <c r="J355" s="63"/>
      <c r="K355" s="63"/>
      <c r="L355" s="63"/>
      <c r="M355" s="63"/>
      <c r="N355" s="63"/>
      <c r="O355" s="63"/>
      <c r="P355" s="63"/>
      <c r="Q355" s="63"/>
      <c r="R355" s="63"/>
      <c r="S355" s="63"/>
      <c r="T355" s="63"/>
      <c r="U355" s="10"/>
      <c r="V355" s="90"/>
      <c r="W355" s="136"/>
      <c r="X355" s="137"/>
      <c r="Y355" s="2"/>
    </row>
    <row r="356" spans="2:25">
      <c r="B356" s="87">
        <f t="shared" si="72"/>
        <v>12</v>
      </c>
      <c r="C356" s="609"/>
      <c r="D356" s="10"/>
      <c r="E356" s="101"/>
      <c r="F356" s="62"/>
      <c r="G356" s="62"/>
      <c r="H356" s="62"/>
      <c r="I356" s="89">
        <f t="shared" si="71"/>
        <v>0</v>
      </c>
      <c r="J356" s="63"/>
      <c r="K356" s="63"/>
      <c r="L356" s="63"/>
      <c r="M356" s="63"/>
      <c r="N356" s="63"/>
      <c r="O356" s="63"/>
      <c r="P356" s="63"/>
      <c r="Q356" s="63"/>
      <c r="R356" s="63"/>
      <c r="S356" s="63"/>
      <c r="T356" s="63"/>
      <c r="U356" s="10"/>
      <c r="V356" s="90"/>
      <c r="W356" s="136"/>
      <c r="X356" s="137"/>
      <c r="Y356" s="2"/>
    </row>
    <row r="357" spans="2:25">
      <c r="B357" s="87">
        <f t="shared" si="72"/>
        <v>13</v>
      </c>
      <c r="C357" s="609"/>
      <c r="D357" s="10"/>
      <c r="E357" s="101"/>
      <c r="F357" s="62"/>
      <c r="G357" s="62"/>
      <c r="H357" s="62"/>
      <c r="I357" s="89">
        <f t="shared" si="71"/>
        <v>0</v>
      </c>
      <c r="J357" s="63"/>
      <c r="K357" s="63"/>
      <c r="L357" s="63"/>
      <c r="M357" s="63"/>
      <c r="N357" s="63"/>
      <c r="O357" s="63"/>
      <c r="P357" s="63"/>
      <c r="Q357" s="63"/>
      <c r="R357" s="63"/>
      <c r="S357" s="63"/>
      <c r="T357" s="63"/>
      <c r="U357" s="10"/>
      <c r="V357" s="90"/>
      <c r="W357" s="136"/>
      <c r="X357" s="137"/>
      <c r="Y357" s="2"/>
    </row>
    <row r="358" spans="2:25">
      <c r="B358" s="87">
        <f t="shared" si="72"/>
        <v>14</v>
      </c>
      <c r="C358" s="609"/>
      <c r="D358" s="10"/>
      <c r="E358" s="10"/>
      <c r="F358" s="62"/>
      <c r="G358" s="62"/>
      <c r="H358" s="62"/>
      <c r="I358" s="89">
        <f t="shared" si="71"/>
        <v>0</v>
      </c>
      <c r="J358" s="63"/>
      <c r="K358" s="63"/>
      <c r="L358" s="63"/>
      <c r="M358" s="63"/>
      <c r="N358" s="63"/>
      <c r="O358" s="63"/>
      <c r="P358" s="63"/>
      <c r="Q358" s="63"/>
      <c r="R358" s="63"/>
      <c r="S358" s="63"/>
      <c r="T358" s="63"/>
      <c r="U358" s="10"/>
      <c r="V358" s="90"/>
      <c r="W358" s="136"/>
      <c r="X358" s="137"/>
      <c r="Y358" s="2"/>
    </row>
    <row r="359" spans="2:25">
      <c r="B359" s="87">
        <f t="shared" si="72"/>
        <v>15</v>
      </c>
      <c r="C359" s="609"/>
      <c r="D359" s="10"/>
      <c r="E359" s="10"/>
      <c r="F359" s="62"/>
      <c r="G359" s="62"/>
      <c r="H359" s="62"/>
      <c r="I359" s="89">
        <f t="shared" si="71"/>
        <v>0</v>
      </c>
      <c r="J359" s="63"/>
      <c r="K359" s="63"/>
      <c r="L359" s="63"/>
      <c r="M359" s="63"/>
      <c r="N359" s="63"/>
      <c r="O359" s="63"/>
      <c r="P359" s="63"/>
      <c r="Q359" s="63"/>
      <c r="R359" s="63"/>
      <c r="S359" s="63"/>
      <c r="T359" s="63"/>
      <c r="U359" s="10"/>
      <c r="V359" s="90"/>
      <c r="W359" s="136"/>
      <c r="X359" s="137"/>
      <c r="Y359" s="2"/>
    </row>
    <row r="360" spans="2:25">
      <c r="B360" s="87">
        <f t="shared" si="72"/>
        <v>16</v>
      </c>
      <c r="C360" s="609"/>
      <c r="D360" s="10"/>
      <c r="E360" s="10"/>
      <c r="F360" s="62"/>
      <c r="G360" s="62"/>
      <c r="H360" s="62"/>
      <c r="I360" s="89">
        <f t="shared" si="71"/>
        <v>0</v>
      </c>
      <c r="J360" s="63"/>
      <c r="K360" s="63"/>
      <c r="L360" s="63"/>
      <c r="M360" s="63"/>
      <c r="N360" s="63"/>
      <c r="O360" s="63"/>
      <c r="P360" s="63"/>
      <c r="Q360" s="63"/>
      <c r="R360" s="63"/>
      <c r="S360" s="63"/>
      <c r="T360" s="63"/>
      <c r="U360" s="10"/>
      <c r="V360" s="90"/>
      <c r="W360" s="136"/>
      <c r="X360" s="137"/>
      <c r="Y360" s="2"/>
    </row>
    <row r="361" spans="2:25">
      <c r="B361" s="87">
        <f t="shared" si="72"/>
        <v>17</v>
      </c>
      <c r="C361" s="609"/>
      <c r="D361" s="10"/>
      <c r="E361" s="10"/>
      <c r="F361" s="62"/>
      <c r="G361" s="62"/>
      <c r="H361" s="62"/>
      <c r="I361" s="89">
        <f t="shared" si="71"/>
        <v>0</v>
      </c>
      <c r="J361" s="63"/>
      <c r="K361" s="63"/>
      <c r="L361" s="63"/>
      <c r="M361" s="63"/>
      <c r="N361" s="63"/>
      <c r="O361" s="63"/>
      <c r="P361" s="63"/>
      <c r="Q361" s="63"/>
      <c r="R361" s="63"/>
      <c r="S361" s="63"/>
      <c r="T361" s="63"/>
      <c r="U361" s="10"/>
      <c r="V361" s="90"/>
      <c r="W361" s="136"/>
      <c r="X361" s="137"/>
      <c r="Y361" s="2"/>
    </row>
    <row r="362" spans="2:25">
      <c r="B362" s="87">
        <f t="shared" si="72"/>
        <v>18</v>
      </c>
      <c r="C362" s="609"/>
      <c r="D362" s="10"/>
      <c r="E362" s="10"/>
      <c r="F362" s="62"/>
      <c r="G362" s="62"/>
      <c r="H362" s="62"/>
      <c r="I362" s="89">
        <f t="shared" si="71"/>
        <v>0</v>
      </c>
      <c r="J362" s="63"/>
      <c r="K362" s="63"/>
      <c r="L362" s="63"/>
      <c r="M362" s="63"/>
      <c r="N362" s="63"/>
      <c r="O362" s="63"/>
      <c r="P362" s="63"/>
      <c r="Q362" s="63"/>
      <c r="R362" s="63"/>
      <c r="S362" s="63"/>
      <c r="T362" s="63"/>
      <c r="U362" s="10"/>
      <c r="V362" s="90"/>
      <c r="W362" s="136"/>
      <c r="X362" s="137"/>
      <c r="Y362" s="2"/>
    </row>
    <row r="363" spans="2:25">
      <c r="B363" s="11"/>
      <c r="C363" s="609"/>
      <c r="D363" s="10"/>
      <c r="E363" s="10"/>
      <c r="F363" s="97">
        <f>SUM(F345:F362)</f>
        <v>0</v>
      </c>
      <c r="G363" s="97">
        <f>SUM(G345:G362)</f>
        <v>0</v>
      </c>
      <c r="H363" s="97">
        <f>SUM(H345:H362)</f>
        <v>0</v>
      </c>
      <c r="I363" s="98">
        <f>SUM(I345:I362)</f>
        <v>0</v>
      </c>
      <c r="J363" s="10"/>
      <c r="K363" s="10"/>
      <c r="L363" s="10"/>
      <c r="M363" s="10"/>
      <c r="N363" s="10"/>
      <c r="O363" s="10"/>
      <c r="P363" s="10"/>
      <c r="Q363" s="10"/>
      <c r="R363" s="10"/>
      <c r="S363" s="10"/>
      <c r="T363" s="63"/>
      <c r="U363" s="10"/>
      <c r="V363" s="138"/>
      <c r="W363" s="136"/>
      <c r="X363" s="137"/>
      <c r="Y363" s="2"/>
    </row>
    <row r="364" spans="2:25">
      <c r="B364" s="11"/>
      <c r="C364" s="609"/>
      <c r="D364" s="10"/>
      <c r="E364" s="10"/>
      <c r="F364" s="88"/>
      <c r="G364" s="88"/>
      <c r="H364" s="88"/>
      <c r="I364" s="99"/>
      <c r="J364" s="10"/>
      <c r="K364" s="10"/>
      <c r="L364" s="10"/>
      <c r="M364" s="10"/>
      <c r="N364" s="10"/>
      <c r="O364" s="10"/>
      <c r="P364" s="10"/>
      <c r="Q364" s="10"/>
      <c r="R364" s="10"/>
      <c r="S364" s="10"/>
      <c r="T364" s="63"/>
      <c r="U364" s="10"/>
      <c r="V364" s="138"/>
      <c r="W364" s="136"/>
      <c r="X364" s="137"/>
      <c r="Y364" s="2"/>
    </row>
    <row r="365" spans="2:25">
      <c r="B365" s="100" t="s">
        <v>73</v>
      </c>
      <c r="C365" s="609"/>
      <c r="D365" s="10"/>
      <c r="E365" s="10"/>
      <c r="F365" s="88"/>
      <c r="G365" s="88"/>
      <c r="H365" s="88"/>
      <c r="I365" s="99"/>
      <c r="J365" s="63"/>
      <c r="K365" s="63"/>
      <c r="L365" s="63"/>
      <c r="M365" s="63"/>
      <c r="N365" s="63"/>
      <c r="O365" s="63"/>
      <c r="P365" s="63"/>
      <c r="Q365" s="63"/>
      <c r="R365" s="63"/>
      <c r="S365" s="63"/>
      <c r="T365" s="63"/>
      <c r="U365" s="94"/>
      <c r="V365" s="90"/>
      <c r="W365" s="91"/>
      <c r="X365" s="92"/>
      <c r="Y365" s="2"/>
    </row>
    <row r="366" spans="2:25">
      <c r="B366" s="87">
        <v>1</v>
      </c>
      <c r="C366" s="609"/>
      <c r="D366" s="10"/>
      <c r="E366" s="10"/>
      <c r="F366" s="62"/>
      <c r="G366" s="62"/>
      <c r="H366" s="62"/>
      <c r="I366" s="89">
        <f t="shared" ref="I366:I371" si="73">F366-G366-H366</f>
        <v>0</v>
      </c>
      <c r="J366" s="63"/>
      <c r="K366" s="63"/>
      <c r="L366" s="63"/>
      <c r="M366" s="63"/>
      <c r="N366" s="63"/>
      <c r="O366" s="63"/>
      <c r="P366" s="63"/>
      <c r="Q366" s="63"/>
      <c r="R366" s="63"/>
      <c r="S366" s="63"/>
      <c r="T366" s="63"/>
      <c r="U366" s="139"/>
      <c r="V366" s="90"/>
      <c r="W366" s="91"/>
      <c r="X366" s="92"/>
      <c r="Y366" s="2"/>
    </row>
    <row r="367" spans="2:25">
      <c r="B367" s="87">
        <f>B366+1</f>
        <v>2</v>
      </c>
      <c r="C367" s="609"/>
      <c r="D367" s="10"/>
      <c r="E367" s="10"/>
      <c r="F367" s="62"/>
      <c r="G367" s="62"/>
      <c r="H367" s="62"/>
      <c r="I367" s="89">
        <f t="shared" si="73"/>
        <v>0</v>
      </c>
      <c r="J367" s="63"/>
      <c r="K367" s="63"/>
      <c r="L367" s="63"/>
      <c r="M367" s="63"/>
      <c r="N367" s="63"/>
      <c r="O367" s="63"/>
      <c r="P367" s="63"/>
      <c r="Q367" s="63"/>
      <c r="R367" s="63"/>
      <c r="S367" s="63"/>
      <c r="T367" s="63"/>
      <c r="U367" s="94"/>
      <c r="V367" s="90"/>
      <c r="W367" s="136"/>
      <c r="X367" s="137"/>
      <c r="Y367" s="2"/>
    </row>
    <row r="368" spans="2:25">
      <c r="B368" s="87">
        <f>B367+1</f>
        <v>3</v>
      </c>
      <c r="C368" s="609"/>
      <c r="D368" s="10"/>
      <c r="E368" s="10"/>
      <c r="F368" s="62"/>
      <c r="G368" s="62"/>
      <c r="H368" s="62"/>
      <c r="I368" s="89">
        <f t="shared" si="73"/>
        <v>0</v>
      </c>
      <c r="J368" s="63"/>
      <c r="K368" s="63"/>
      <c r="L368" s="63"/>
      <c r="M368" s="63"/>
      <c r="N368" s="63"/>
      <c r="O368" s="63"/>
      <c r="P368" s="63"/>
      <c r="Q368" s="63"/>
      <c r="R368" s="63"/>
      <c r="S368" s="63"/>
      <c r="T368" s="63"/>
      <c r="U368" s="94"/>
      <c r="V368" s="90"/>
      <c r="W368" s="136"/>
      <c r="X368" s="137"/>
      <c r="Y368" s="2"/>
    </row>
    <row r="369" spans="2:25">
      <c r="B369" s="87">
        <f>B368+1</f>
        <v>4</v>
      </c>
      <c r="C369" s="609"/>
      <c r="D369" s="10"/>
      <c r="E369" s="10"/>
      <c r="F369" s="62"/>
      <c r="G369" s="62"/>
      <c r="H369" s="62"/>
      <c r="I369" s="89">
        <f t="shared" si="73"/>
        <v>0</v>
      </c>
      <c r="J369" s="63"/>
      <c r="K369" s="63"/>
      <c r="L369" s="63"/>
      <c r="M369" s="63"/>
      <c r="N369" s="63"/>
      <c r="O369" s="63"/>
      <c r="P369" s="63"/>
      <c r="Q369" s="63"/>
      <c r="R369" s="63"/>
      <c r="S369" s="63"/>
      <c r="T369" s="63"/>
      <c r="U369" s="94"/>
      <c r="V369" s="90"/>
      <c r="W369" s="136"/>
      <c r="X369" s="137"/>
      <c r="Y369" s="2"/>
    </row>
    <row r="370" spans="2:25">
      <c r="B370" s="87">
        <f>B369+1</f>
        <v>5</v>
      </c>
      <c r="C370" s="609"/>
      <c r="D370" s="10"/>
      <c r="E370" s="10"/>
      <c r="F370" s="62"/>
      <c r="G370" s="62"/>
      <c r="H370" s="62"/>
      <c r="I370" s="89">
        <f t="shared" si="73"/>
        <v>0</v>
      </c>
      <c r="J370" s="63"/>
      <c r="K370" s="63"/>
      <c r="L370" s="63"/>
      <c r="M370" s="63"/>
      <c r="N370" s="63"/>
      <c r="O370" s="63"/>
      <c r="P370" s="63"/>
      <c r="Q370" s="63"/>
      <c r="R370" s="63"/>
      <c r="S370" s="63"/>
      <c r="T370" s="63"/>
      <c r="U370" s="94"/>
      <c r="V370" s="90"/>
      <c r="W370" s="136"/>
      <c r="X370" s="137"/>
      <c r="Y370" s="2"/>
    </row>
    <row r="371" spans="2:25">
      <c r="B371" s="87">
        <f>B370+1</f>
        <v>6</v>
      </c>
      <c r="C371" s="609"/>
      <c r="D371" s="10"/>
      <c r="E371" s="101"/>
      <c r="F371" s="62"/>
      <c r="G371" s="62"/>
      <c r="H371" s="62"/>
      <c r="I371" s="89">
        <f t="shared" si="73"/>
        <v>0</v>
      </c>
      <c r="J371" s="63"/>
      <c r="K371" s="63"/>
      <c r="L371" s="63"/>
      <c r="M371" s="63"/>
      <c r="N371" s="63"/>
      <c r="O371" s="63"/>
      <c r="P371" s="63"/>
      <c r="Q371" s="63"/>
      <c r="R371" s="63"/>
      <c r="S371" s="63"/>
      <c r="T371" s="63"/>
      <c r="U371" s="94"/>
      <c r="V371" s="90"/>
      <c r="W371" s="136"/>
      <c r="X371" s="137"/>
      <c r="Y371" s="2"/>
    </row>
    <row r="372" spans="2:25">
      <c r="B372" s="11"/>
      <c r="C372" s="609"/>
      <c r="D372" s="10"/>
      <c r="E372" s="10"/>
      <c r="F372" s="97">
        <f>SUM(F366:F371)</f>
        <v>0</v>
      </c>
      <c r="G372" s="97">
        <f>SUM(G366:G371)</f>
        <v>0</v>
      </c>
      <c r="H372" s="97">
        <f>SUM(H366:H371)</f>
        <v>0</v>
      </c>
      <c r="I372" s="98">
        <f>SUM(I366:I371)</f>
        <v>0</v>
      </c>
      <c r="J372" s="10"/>
      <c r="K372" s="10"/>
      <c r="L372" s="10"/>
      <c r="M372" s="10"/>
      <c r="N372" s="10"/>
      <c r="O372" s="10"/>
      <c r="P372" s="10"/>
      <c r="Q372" s="10"/>
      <c r="R372" s="10"/>
      <c r="S372" s="10"/>
      <c r="T372" s="63"/>
      <c r="U372" s="94"/>
      <c r="V372" s="90"/>
      <c r="W372" s="91"/>
      <c r="X372" s="92"/>
      <c r="Y372" s="2"/>
    </row>
    <row r="373" spans="2:25">
      <c r="B373" s="26"/>
      <c r="C373" s="612"/>
      <c r="D373" s="141"/>
      <c r="E373" s="141"/>
      <c r="F373" s="141"/>
      <c r="G373" s="141"/>
      <c r="H373" s="141"/>
      <c r="I373" s="141"/>
      <c r="J373" s="141"/>
      <c r="K373" s="142"/>
      <c r="L373" s="142"/>
      <c r="M373" s="142"/>
      <c r="N373" s="142"/>
      <c r="O373" s="142"/>
      <c r="P373" s="142"/>
      <c r="Q373" s="142"/>
      <c r="R373" s="142"/>
      <c r="S373" s="142"/>
      <c r="T373" s="143">
        <f>SUM(T259:T372)</f>
        <v>0</v>
      </c>
      <c r="U373" s="141"/>
      <c r="V373" s="144">
        <f>SUM(V259:V372)</f>
        <v>0</v>
      </c>
      <c r="W373" s="145">
        <f>SUM(W259:W372)</f>
        <v>0</v>
      </c>
      <c r="X373" s="146">
        <f>SUM(X259:X372)</f>
        <v>0</v>
      </c>
      <c r="Y373" s="2"/>
    </row>
    <row r="374" spans="2:25">
      <c r="B374" s="10"/>
      <c r="C374" s="36"/>
      <c r="D374" s="10"/>
      <c r="E374" s="10"/>
      <c r="F374" s="10"/>
      <c r="G374" s="10"/>
      <c r="H374" s="10"/>
      <c r="I374" s="10"/>
      <c r="J374" s="10"/>
      <c r="K374" s="147"/>
      <c r="L374" s="147"/>
      <c r="M374" s="147"/>
      <c r="N374" s="147"/>
      <c r="O374" s="147"/>
      <c r="P374" s="147"/>
      <c r="Q374" s="147"/>
      <c r="R374" s="147"/>
      <c r="S374" s="147"/>
      <c r="T374" s="21"/>
      <c r="U374" s="10"/>
      <c r="V374" s="99"/>
      <c r="W374" s="99"/>
      <c r="X374" s="99"/>
      <c r="Y374" s="2"/>
    </row>
  </sheetData>
  <mergeCells count="7">
    <mergeCell ref="H66:J67"/>
    <mergeCell ref="K160:Q160"/>
    <mergeCell ref="K247:Q247"/>
    <mergeCell ref="K198:Q198"/>
    <mergeCell ref="K17:Q17"/>
    <mergeCell ref="K74:Q74"/>
    <mergeCell ref="K118:Q118"/>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B6C74-194B-47CE-A62C-8268273F28E9}">
  <sheetPr>
    <tabColor rgb="FFFF0000"/>
  </sheetPr>
  <dimension ref="A3:X1724"/>
  <sheetViews>
    <sheetView tabSelected="1" topLeftCell="A1484" workbookViewId="0">
      <selection activeCell="F1503" sqref="F1503"/>
    </sheetView>
  </sheetViews>
  <sheetFormatPr defaultRowHeight="15"/>
  <cols>
    <col min="1" max="1" width="9.140625" customWidth="1"/>
    <col min="3" max="3" width="12.28515625" customWidth="1"/>
    <col min="4" max="4" width="14.42578125" customWidth="1"/>
    <col min="5" max="5" width="24.42578125" customWidth="1"/>
    <col min="6" max="6" width="12.140625" customWidth="1"/>
    <col min="7" max="7" width="12.5703125" customWidth="1"/>
    <col min="8" max="8" width="10.85546875" customWidth="1"/>
    <col min="9" max="9" width="13.7109375" customWidth="1"/>
    <col min="10" max="10" width="10.140625" customWidth="1"/>
    <col min="11" max="11" width="10.7109375" customWidth="1"/>
    <col min="12" max="12" width="11" customWidth="1"/>
    <col min="13" max="13" width="10.28515625" customWidth="1"/>
    <col min="14" max="14" width="11" customWidth="1"/>
    <col min="15" max="15" width="10.42578125" customWidth="1"/>
    <col min="16" max="16" width="11.5703125" customWidth="1"/>
    <col min="17" max="17" width="10.85546875" customWidth="1"/>
    <col min="18" max="18" width="11.85546875" customWidth="1"/>
    <col min="19" max="19" width="10.7109375" customWidth="1"/>
    <col min="21" max="21" width="9.85546875" customWidth="1"/>
    <col min="22" max="22" width="12" customWidth="1"/>
    <col min="23" max="23" width="10.140625" customWidth="1"/>
    <col min="24" max="24" width="11.5703125" bestFit="1" customWidth="1"/>
  </cols>
  <sheetData>
    <row r="3" spans="1:24">
      <c r="A3" s="3"/>
      <c r="B3" s="4" t="s">
        <v>1</v>
      </c>
      <c r="C3" s="5"/>
      <c r="D3" s="6"/>
      <c r="E3" s="6"/>
      <c r="F3" s="7" t="s">
        <v>2</v>
      </c>
      <c r="G3" s="8">
        <v>45837</v>
      </c>
      <c r="H3" s="7"/>
      <c r="I3" s="6"/>
      <c r="J3" s="6"/>
      <c r="K3" s="6"/>
      <c r="L3" s="6"/>
      <c r="M3" s="6"/>
      <c r="N3" s="6"/>
      <c r="O3" s="6"/>
      <c r="P3" s="6"/>
      <c r="Q3" s="6"/>
      <c r="R3" s="6"/>
      <c r="S3" s="6"/>
      <c r="T3" s="6"/>
      <c r="U3" s="9"/>
      <c r="V3" s="10"/>
      <c r="W3" s="10"/>
      <c r="X3" s="10"/>
    </row>
    <row r="4" spans="1:24">
      <c r="A4" s="2"/>
      <c r="B4" s="11"/>
      <c r="C4" s="10"/>
      <c r="D4" s="10"/>
      <c r="E4" s="10"/>
      <c r="F4" s="10"/>
      <c r="G4" s="7"/>
      <c r="H4" s="12"/>
      <c r="I4" s="10"/>
      <c r="J4" s="10"/>
      <c r="K4" s="13" t="s">
        <v>3</v>
      </c>
      <c r="L4" s="14"/>
      <c r="M4" s="15"/>
      <c r="N4" s="13" t="s">
        <v>4</v>
      </c>
      <c r="O4" s="14"/>
      <c r="P4" s="15"/>
      <c r="Q4" s="13" t="s">
        <v>5</v>
      </c>
      <c r="R4" s="14"/>
      <c r="S4" s="15"/>
      <c r="T4" s="16"/>
      <c r="U4" s="17"/>
      <c r="V4" s="10"/>
      <c r="W4" s="10"/>
      <c r="X4" s="10"/>
    </row>
    <row r="5" spans="1:24">
      <c r="A5" s="2"/>
      <c r="B5" s="18" t="s">
        <v>6</v>
      </c>
      <c r="C5" s="19">
        <f>C6+C7</f>
        <v>20</v>
      </c>
      <c r="D5" s="10"/>
      <c r="E5" s="18" t="s">
        <v>7</v>
      </c>
      <c r="F5" s="6"/>
      <c r="G5" s="9"/>
      <c r="H5" s="10"/>
      <c r="I5" s="10"/>
      <c r="J5" s="10"/>
      <c r="K5" s="20" t="s">
        <v>8</v>
      </c>
      <c r="L5" s="21" t="s">
        <v>9</v>
      </c>
      <c r="M5" s="21" t="s">
        <v>10</v>
      </c>
      <c r="N5" s="20" t="s">
        <v>11</v>
      </c>
      <c r="O5" s="21" t="s">
        <v>12</v>
      </c>
      <c r="P5" s="22" t="s">
        <v>13</v>
      </c>
      <c r="Q5" s="21" t="s">
        <v>11</v>
      </c>
      <c r="R5" s="21" t="s">
        <v>12</v>
      </c>
      <c r="S5" s="22" t="s">
        <v>13</v>
      </c>
      <c r="T5" s="23" t="s">
        <v>14</v>
      </c>
      <c r="U5" s="17"/>
      <c r="V5" s="10"/>
      <c r="W5" s="10"/>
      <c r="X5" s="10"/>
    </row>
    <row r="6" spans="1:24">
      <c r="A6" s="2"/>
      <c r="B6" s="24" t="s">
        <v>15</v>
      </c>
      <c r="C6" s="25">
        <f>P13</f>
        <v>11</v>
      </c>
      <c r="D6" s="10"/>
      <c r="E6" s="26" t="s">
        <v>16</v>
      </c>
      <c r="F6" s="27">
        <v>0.05</v>
      </c>
      <c r="G6" s="28"/>
      <c r="H6" s="10"/>
      <c r="I6" s="10"/>
      <c r="J6" s="18" t="s">
        <v>17</v>
      </c>
      <c r="K6" s="29">
        <f t="shared" ref="K6:S6" si="0">K41</f>
        <v>9</v>
      </c>
      <c r="L6" s="29">
        <f t="shared" si="0"/>
        <v>8</v>
      </c>
      <c r="M6" s="29">
        <f t="shared" si="0"/>
        <v>7</v>
      </c>
      <c r="N6" s="29">
        <f t="shared" si="0"/>
        <v>9</v>
      </c>
      <c r="O6" s="29">
        <f t="shared" si="0"/>
        <v>9</v>
      </c>
      <c r="P6" s="29">
        <f t="shared" si="0"/>
        <v>9</v>
      </c>
      <c r="Q6" s="29">
        <f t="shared" si="0"/>
        <v>9</v>
      </c>
      <c r="R6" s="29">
        <f t="shared" si="0"/>
        <v>8</v>
      </c>
      <c r="S6" s="29">
        <f t="shared" si="0"/>
        <v>9</v>
      </c>
      <c r="T6" s="30">
        <f>T76</f>
        <v>0</v>
      </c>
      <c r="U6" s="17"/>
      <c r="V6" s="10"/>
      <c r="W6" s="10"/>
      <c r="X6" s="10"/>
    </row>
    <row r="7" spans="1:24">
      <c r="A7" s="2"/>
      <c r="B7" s="24" t="s">
        <v>18</v>
      </c>
      <c r="C7" s="25">
        <f>P14</f>
        <v>9</v>
      </c>
      <c r="D7" s="10"/>
      <c r="E7" s="10"/>
      <c r="F7" s="10"/>
      <c r="G7" s="31"/>
      <c r="H7" s="10"/>
      <c r="I7" s="10"/>
      <c r="J7" s="32" t="s">
        <v>19</v>
      </c>
      <c r="K7" s="33">
        <f t="shared" ref="K7:S7" si="1">K41/K40</f>
        <v>1</v>
      </c>
      <c r="L7" s="33">
        <f t="shared" si="1"/>
        <v>0.88888888888888884</v>
      </c>
      <c r="M7" s="33">
        <f t="shared" si="1"/>
        <v>0.77777777777777779</v>
      </c>
      <c r="N7" s="33">
        <f t="shared" si="1"/>
        <v>1</v>
      </c>
      <c r="O7" s="33">
        <f t="shared" si="1"/>
        <v>1</v>
      </c>
      <c r="P7" s="33">
        <f t="shared" si="1"/>
        <v>1</v>
      </c>
      <c r="Q7" s="33">
        <f t="shared" si="1"/>
        <v>1</v>
      </c>
      <c r="R7" s="33">
        <f t="shared" si="1"/>
        <v>0.88888888888888884</v>
      </c>
      <c r="S7" s="33">
        <f t="shared" si="1"/>
        <v>1</v>
      </c>
      <c r="T7" s="23"/>
      <c r="U7" s="17" t="s">
        <v>20</v>
      </c>
      <c r="V7" s="10"/>
      <c r="W7" s="10"/>
      <c r="X7" s="10"/>
    </row>
    <row r="8" spans="1:24">
      <c r="A8" s="2"/>
      <c r="B8" s="24" t="s">
        <v>21</v>
      </c>
      <c r="C8" s="34">
        <f>P15</f>
        <v>0.55000000000000004</v>
      </c>
      <c r="D8" s="10"/>
      <c r="E8" s="10"/>
      <c r="F8" s="10"/>
      <c r="G8" s="10"/>
      <c r="H8" s="10"/>
      <c r="I8" s="10"/>
      <c r="J8" s="10"/>
      <c r="K8" s="10"/>
      <c r="L8" s="10"/>
      <c r="M8" s="10"/>
      <c r="N8" s="10"/>
      <c r="O8" s="10"/>
      <c r="P8" s="10"/>
      <c r="Q8" s="10"/>
      <c r="R8" s="10"/>
      <c r="S8" s="10"/>
      <c r="T8" s="10"/>
      <c r="U8" s="17"/>
      <c r="V8" s="10"/>
      <c r="W8" s="10"/>
      <c r="X8" s="10"/>
    </row>
    <row r="9" spans="1:24">
      <c r="A9" s="2"/>
      <c r="B9" s="24"/>
      <c r="C9" s="25"/>
      <c r="D9" s="10"/>
      <c r="E9" s="10"/>
      <c r="F9" s="18" t="s">
        <v>22</v>
      </c>
      <c r="G9" s="19" t="s">
        <v>23</v>
      </c>
      <c r="H9" s="35" t="s">
        <v>24</v>
      </c>
      <c r="I9" s="10"/>
      <c r="J9" s="10"/>
      <c r="K9" s="36"/>
      <c r="L9" s="36"/>
      <c r="M9" s="36"/>
      <c r="N9" s="36"/>
      <c r="O9" s="36"/>
      <c r="P9" s="36"/>
      <c r="Q9" s="36"/>
      <c r="R9" s="10"/>
      <c r="S9" s="10"/>
      <c r="T9" s="10"/>
      <c r="U9" s="17"/>
      <c r="V9" s="10"/>
      <c r="W9" s="10"/>
      <c r="X9" s="10"/>
    </row>
    <row r="10" spans="1:24">
      <c r="A10" s="2"/>
      <c r="B10" s="32" t="s">
        <v>25</v>
      </c>
      <c r="C10" s="37">
        <f>P16</f>
        <v>1773.7336363636364</v>
      </c>
      <c r="D10" s="10"/>
      <c r="E10" s="18" t="s">
        <v>26</v>
      </c>
      <c r="F10" s="38">
        <f>P12</f>
        <v>19511.07</v>
      </c>
      <c r="G10" s="39">
        <f>I40+I52</f>
        <v>19511.07</v>
      </c>
      <c r="H10" s="40"/>
      <c r="I10" s="41"/>
      <c r="J10" s="42"/>
      <c r="K10" s="43" t="s">
        <v>27</v>
      </c>
      <c r="L10" s="44"/>
      <c r="M10" s="44"/>
      <c r="N10" s="44"/>
      <c r="O10" s="44"/>
      <c r="P10" s="44"/>
      <c r="Q10" s="45"/>
      <c r="R10" s="46" t="s">
        <v>28</v>
      </c>
      <c r="S10" s="47" t="s">
        <v>29</v>
      </c>
      <c r="T10" s="10"/>
      <c r="U10" s="17"/>
      <c r="V10" s="10"/>
      <c r="W10" s="10"/>
      <c r="X10" s="10"/>
    </row>
    <row r="11" spans="1:24">
      <c r="A11" s="2"/>
      <c r="B11" s="11"/>
      <c r="C11" s="10"/>
      <c r="D11" s="10"/>
      <c r="E11" s="24" t="s">
        <v>30</v>
      </c>
      <c r="F11" s="48">
        <f>F6</f>
        <v>0.05</v>
      </c>
      <c r="G11" s="17"/>
      <c r="H11" s="40"/>
      <c r="I11" s="41"/>
      <c r="J11" s="42"/>
      <c r="K11" s="20" t="s">
        <v>31</v>
      </c>
      <c r="L11" s="21" t="s">
        <v>32</v>
      </c>
      <c r="M11" s="21" t="s">
        <v>33</v>
      </c>
      <c r="N11" s="21" t="s">
        <v>34</v>
      </c>
      <c r="O11" s="21" t="s">
        <v>35</v>
      </c>
      <c r="P11" s="21" t="s">
        <v>36</v>
      </c>
      <c r="Q11" s="49" t="s">
        <v>37</v>
      </c>
      <c r="R11" s="50" t="s">
        <v>38</v>
      </c>
      <c r="S11" s="50" t="s">
        <v>38</v>
      </c>
      <c r="T11" s="10"/>
      <c r="U11" s="17"/>
      <c r="V11" s="10"/>
      <c r="W11" s="10"/>
      <c r="X11" s="10"/>
    </row>
    <row r="12" spans="1:24">
      <c r="A12" s="2"/>
      <c r="B12" s="11"/>
      <c r="C12" s="10"/>
      <c r="D12" s="10"/>
      <c r="E12" s="51" t="s">
        <v>39</v>
      </c>
      <c r="F12" s="52">
        <f>(F10-I33-I50-I51)*F11</f>
        <v>615.21300000000019</v>
      </c>
      <c r="G12" s="53" t="s">
        <v>40</v>
      </c>
      <c r="H12" s="54">
        <f>F12/1.12</f>
        <v>549.29732142857154</v>
      </c>
      <c r="I12" s="55"/>
      <c r="J12" s="42"/>
      <c r="K12" s="56">
        <f>I31+I32+I33+I34+I35</f>
        <v>4915.7999999999993</v>
      </c>
      <c r="L12" s="57">
        <f>I37+I36+I38+I39</f>
        <v>8612.76</v>
      </c>
      <c r="M12" s="57">
        <f>I50+I51</f>
        <v>5982.51</v>
      </c>
      <c r="N12" s="57"/>
      <c r="O12" s="57"/>
      <c r="P12" s="57">
        <f>SUM(K12:O12)</f>
        <v>19511.07</v>
      </c>
      <c r="Q12" s="58">
        <v>0</v>
      </c>
      <c r="R12" s="59">
        <f>I52</f>
        <v>5982.51</v>
      </c>
      <c r="S12" s="59">
        <v>0</v>
      </c>
      <c r="T12" s="10"/>
      <c r="U12" s="17"/>
      <c r="V12" s="10"/>
      <c r="W12" s="10"/>
      <c r="X12" s="10"/>
    </row>
    <row r="13" spans="1:24">
      <c r="A13" s="2"/>
      <c r="B13" s="11"/>
      <c r="C13" s="10"/>
      <c r="D13" s="10"/>
      <c r="E13" s="24" t="s">
        <v>41</v>
      </c>
      <c r="F13" s="60">
        <f>Q12</f>
        <v>0</v>
      </c>
      <c r="G13" s="61" t="s">
        <v>40</v>
      </c>
      <c r="H13" s="62"/>
      <c r="I13" s="62"/>
      <c r="J13" s="10" t="s">
        <v>42</v>
      </c>
      <c r="K13" s="63">
        <v>5</v>
      </c>
      <c r="L13" s="63">
        <v>4</v>
      </c>
      <c r="M13" s="63">
        <v>2</v>
      </c>
      <c r="N13" s="63"/>
      <c r="O13" s="63"/>
      <c r="P13" s="21">
        <f>SUM(K13:O13)</f>
        <v>11</v>
      </c>
      <c r="Q13" s="64"/>
      <c r="R13" s="63"/>
      <c r="S13" s="10"/>
      <c r="T13" s="10"/>
      <c r="U13" s="17"/>
      <c r="V13" s="10"/>
      <c r="W13" s="10"/>
      <c r="X13" s="10"/>
    </row>
    <row r="14" spans="1:24">
      <c r="A14" s="2"/>
      <c r="B14" s="11"/>
      <c r="C14" s="10"/>
      <c r="D14" s="10"/>
      <c r="E14" s="51" t="s">
        <v>43</v>
      </c>
      <c r="F14" s="52">
        <f>F13*0.25</f>
        <v>0</v>
      </c>
      <c r="G14" s="53" t="s">
        <v>40</v>
      </c>
      <c r="H14" s="54">
        <f>F14/1.12</f>
        <v>0</v>
      </c>
      <c r="I14" s="10"/>
      <c r="J14" s="10" t="s">
        <v>44</v>
      </c>
      <c r="K14" s="63">
        <v>4</v>
      </c>
      <c r="L14" s="63">
        <v>4</v>
      </c>
      <c r="M14" s="63">
        <v>1</v>
      </c>
      <c r="N14" s="63"/>
      <c r="O14" s="63"/>
      <c r="P14" s="21">
        <f>SUM(K14:O14)</f>
        <v>9</v>
      </c>
      <c r="Q14" s="64"/>
      <c r="R14" s="63"/>
      <c r="S14" s="10"/>
      <c r="T14" s="10"/>
      <c r="U14" s="17"/>
      <c r="V14" s="10"/>
      <c r="W14" s="10"/>
      <c r="X14" s="10"/>
    </row>
    <row r="15" spans="1:24">
      <c r="A15" s="2"/>
      <c r="B15" s="11"/>
      <c r="C15" s="10"/>
      <c r="D15" s="10"/>
      <c r="E15" s="24" t="s">
        <v>45</v>
      </c>
      <c r="F15" s="60">
        <f>I47</f>
        <v>26350.430000000004</v>
      </c>
      <c r="G15" s="61" t="s">
        <v>40</v>
      </c>
      <c r="H15" s="62"/>
      <c r="I15" s="10"/>
      <c r="J15" s="10" t="s">
        <v>46</v>
      </c>
      <c r="K15" s="31">
        <f t="shared" ref="K15:Q15" si="2">K13/(K13+K14)</f>
        <v>0.55555555555555558</v>
      </c>
      <c r="L15" s="31">
        <f t="shared" si="2"/>
        <v>0.5</v>
      </c>
      <c r="M15" s="31">
        <f t="shared" si="2"/>
        <v>0.66666666666666663</v>
      </c>
      <c r="N15" s="31" t="e">
        <f t="shared" si="2"/>
        <v>#DIV/0!</v>
      </c>
      <c r="O15" s="31" t="e">
        <f t="shared" si="2"/>
        <v>#DIV/0!</v>
      </c>
      <c r="P15" s="31">
        <f t="shared" si="2"/>
        <v>0.55000000000000004</v>
      </c>
      <c r="Q15" s="31" t="e">
        <f t="shared" si="2"/>
        <v>#DIV/0!</v>
      </c>
      <c r="R15" s="63"/>
      <c r="S15" s="10"/>
      <c r="T15" s="10"/>
      <c r="U15" s="17"/>
      <c r="V15" s="10"/>
      <c r="W15" s="10"/>
      <c r="X15" s="10"/>
    </row>
    <row r="16" spans="1:24">
      <c r="A16" s="2"/>
      <c r="B16" s="11"/>
      <c r="C16" s="10"/>
      <c r="D16" s="10"/>
      <c r="E16" s="51" t="s">
        <v>47</v>
      </c>
      <c r="F16" s="52">
        <f>F15*0.05</f>
        <v>1317.5215000000003</v>
      </c>
      <c r="G16" s="65" t="s">
        <v>40</v>
      </c>
      <c r="H16" s="54">
        <f>F16/1.12</f>
        <v>1176.3584821428574</v>
      </c>
      <c r="I16" s="42"/>
      <c r="J16" s="10" t="s">
        <v>48</v>
      </c>
      <c r="K16" s="66">
        <f t="shared" ref="K16:Q16" si="3">K12/K13</f>
        <v>983.15999999999985</v>
      </c>
      <c r="L16" s="66">
        <f t="shared" si="3"/>
        <v>2153.19</v>
      </c>
      <c r="M16" s="66">
        <f t="shared" si="3"/>
        <v>2991.2550000000001</v>
      </c>
      <c r="N16" s="66" t="e">
        <f t="shared" si="3"/>
        <v>#DIV/0!</v>
      </c>
      <c r="O16" s="66" t="e">
        <f t="shared" si="3"/>
        <v>#DIV/0!</v>
      </c>
      <c r="P16" s="66">
        <f t="shared" si="3"/>
        <v>1773.7336363636364</v>
      </c>
      <c r="Q16" s="66" t="e">
        <f t="shared" si="3"/>
        <v>#DIV/0!</v>
      </c>
      <c r="R16" s="63"/>
      <c r="S16" s="10"/>
      <c r="T16" s="10"/>
      <c r="U16" s="17"/>
      <c r="V16" s="10"/>
      <c r="W16" s="10"/>
      <c r="X16" s="10"/>
    </row>
    <row r="17" spans="1:24">
      <c r="A17" s="2"/>
      <c r="B17" s="11"/>
      <c r="C17" s="10"/>
      <c r="D17" s="10"/>
      <c r="E17" s="67" t="s">
        <v>14</v>
      </c>
      <c r="F17" s="68"/>
      <c r="G17" s="10"/>
      <c r="H17" s="54">
        <f>F17/1.12</f>
        <v>0</v>
      </c>
      <c r="I17" s="10"/>
      <c r="J17" s="10"/>
      <c r="K17" s="10"/>
      <c r="L17" s="10"/>
      <c r="M17" s="10"/>
      <c r="N17" s="10"/>
      <c r="O17" s="10"/>
      <c r="P17" s="10"/>
      <c r="Q17" s="10"/>
      <c r="R17" s="10"/>
      <c r="S17" s="10"/>
      <c r="T17" s="10"/>
      <c r="U17" s="17"/>
      <c r="V17" s="10"/>
      <c r="W17" s="10"/>
      <c r="X17" s="10"/>
    </row>
    <row r="18" spans="1:24">
      <c r="A18" s="2"/>
      <c r="B18" s="11"/>
      <c r="C18" s="10"/>
      <c r="D18" s="10"/>
      <c r="E18" s="67" t="s">
        <v>49</v>
      </c>
      <c r="F18" s="69">
        <f>T7</f>
        <v>0</v>
      </c>
      <c r="G18" s="10"/>
      <c r="H18" s="54"/>
      <c r="I18" s="55"/>
      <c r="J18" s="42"/>
      <c r="K18" s="764" t="s">
        <v>50</v>
      </c>
      <c r="L18" s="765"/>
      <c r="M18" s="765"/>
      <c r="N18" s="765"/>
      <c r="O18" s="765"/>
      <c r="P18" s="765"/>
      <c r="Q18" s="766"/>
      <c r="R18" s="70" t="s">
        <v>28</v>
      </c>
      <c r="S18" s="71" t="s">
        <v>29</v>
      </c>
      <c r="T18" s="10"/>
      <c r="U18" s="17"/>
      <c r="V18" s="10"/>
      <c r="W18" s="10"/>
      <c r="X18" s="10"/>
    </row>
    <row r="19" spans="1:24">
      <c r="A19" s="2"/>
      <c r="B19" s="11"/>
      <c r="C19" s="10"/>
      <c r="D19" s="10"/>
      <c r="E19" s="401" t="s">
        <v>2322</v>
      </c>
      <c r="F19" s="402">
        <v>-95.45</v>
      </c>
      <c r="G19" s="10"/>
      <c r="H19" s="10"/>
      <c r="I19" s="10"/>
      <c r="J19" s="42"/>
      <c r="K19" s="20" t="s">
        <v>31</v>
      </c>
      <c r="L19" s="21" t="s">
        <v>32</v>
      </c>
      <c r="M19" s="21" t="s">
        <v>33</v>
      </c>
      <c r="N19" s="21" t="s">
        <v>34</v>
      </c>
      <c r="O19" s="21" t="s">
        <v>35</v>
      </c>
      <c r="P19" s="21" t="s">
        <v>36</v>
      </c>
      <c r="Q19" s="49" t="s">
        <v>37</v>
      </c>
      <c r="R19" s="50" t="s">
        <v>38</v>
      </c>
      <c r="S19" s="50" t="s">
        <v>38</v>
      </c>
      <c r="T19" s="10"/>
      <c r="U19" s="17"/>
      <c r="V19" s="10"/>
      <c r="W19" s="10"/>
      <c r="X19" s="10"/>
    </row>
    <row r="20" spans="1:24">
      <c r="A20" s="2"/>
      <c r="B20" s="11"/>
      <c r="C20" s="10"/>
      <c r="D20" s="10"/>
      <c r="E20" s="401" t="s">
        <v>2323</v>
      </c>
      <c r="F20" s="403">
        <v>-92.56</v>
      </c>
      <c r="G20" s="10"/>
      <c r="H20" s="10"/>
      <c r="I20" s="10"/>
      <c r="J20" s="42"/>
      <c r="K20" s="56">
        <f>F31+F32+F33+F34+F35</f>
        <v>5034.8999999999996</v>
      </c>
      <c r="L20" s="57">
        <f>F37+F36+F38+F39</f>
        <v>11905.6</v>
      </c>
      <c r="M20" s="57">
        <f>F50+F51</f>
        <v>7396.6</v>
      </c>
      <c r="N20" s="57"/>
      <c r="O20" s="57"/>
      <c r="P20" s="57">
        <f>SUM(K20:O20)</f>
        <v>24337.1</v>
      </c>
      <c r="Q20" s="58">
        <v>0</v>
      </c>
      <c r="R20" s="59">
        <f>F52</f>
        <v>7396.6</v>
      </c>
      <c r="S20" s="59">
        <v>0</v>
      </c>
      <c r="T20" s="10"/>
      <c r="U20" s="17"/>
      <c r="V20" s="10"/>
      <c r="W20" s="10"/>
      <c r="X20" s="10"/>
    </row>
    <row r="21" spans="1:24">
      <c r="A21" s="2"/>
      <c r="B21" s="11"/>
      <c r="C21" s="10"/>
      <c r="D21" s="10"/>
      <c r="E21" s="10"/>
      <c r="F21" s="10"/>
      <c r="G21" s="10"/>
      <c r="H21" s="10"/>
      <c r="I21" s="10"/>
      <c r="J21" s="10" t="s">
        <v>42</v>
      </c>
      <c r="K21" s="63">
        <f t="shared" ref="K21:Q22" si="4">K13</f>
        <v>5</v>
      </c>
      <c r="L21" s="63">
        <f t="shared" si="4"/>
        <v>4</v>
      </c>
      <c r="M21" s="63">
        <f t="shared" si="4"/>
        <v>2</v>
      </c>
      <c r="N21" s="63">
        <f t="shared" si="4"/>
        <v>0</v>
      </c>
      <c r="O21" s="63">
        <f t="shared" si="4"/>
        <v>0</v>
      </c>
      <c r="P21" s="63">
        <f t="shared" si="4"/>
        <v>11</v>
      </c>
      <c r="Q21" s="63">
        <f t="shared" si="4"/>
        <v>0</v>
      </c>
      <c r="R21" s="63"/>
      <c r="S21" s="10"/>
      <c r="T21" s="10"/>
      <c r="U21" s="17"/>
      <c r="V21" s="10"/>
      <c r="W21" s="10"/>
      <c r="X21" s="10"/>
    </row>
    <row r="22" spans="1:24">
      <c r="A22" s="2"/>
      <c r="B22" s="11"/>
      <c r="C22" s="10"/>
      <c r="D22" s="10"/>
      <c r="E22" s="10"/>
      <c r="F22" s="10"/>
      <c r="G22" s="10"/>
      <c r="H22" s="10"/>
      <c r="I22" s="10"/>
      <c r="J22" s="10" t="s">
        <v>44</v>
      </c>
      <c r="K22" s="63">
        <f t="shared" si="4"/>
        <v>4</v>
      </c>
      <c r="L22" s="63">
        <f t="shared" si="4"/>
        <v>4</v>
      </c>
      <c r="M22" s="63">
        <f t="shared" si="4"/>
        <v>1</v>
      </c>
      <c r="N22" s="63">
        <f t="shared" si="4"/>
        <v>0</v>
      </c>
      <c r="O22" s="63">
        <f t="shared" si="4"/>
        <v>0</v>
      </c>
      <c r="P22" s="63">
        <f t="shared" si="4"/>
        <v>9</v>
      </c>
      <c r="Q22" s="63">
        <f t="shared" si="4"/>
        <v>0</v>
      </c>
      <c r="R22" s="63"/>
      <c r="S22" s="10"/>
      <c r="T22" s="10"/>
      <c r="U22" s="17"/>
      <c r="V22" s="10"/>
      <c r="W22" s="10"/>
      <c r="X22" s="10"/>
    </row>
    <row r="23" spans="1:24">
      <c r="A23" s="2"/>
      <c r="B23" s="11"/>
      <c r="C23" s="10"/>
      <c r="D23" s="10"/>
      <c r="E23" s="10"/>
      <c r="F23" s="10"/>
      <c r="G23" s="10"/>
      <c r="H23" s="10"/>
      <c r="I23" s="10"/>
      <c r="J23" s="10" t="s">
        <v>46</v>
      </c>
      <c r="K23" s="31">
        <f t="shared" ref="K23:Q23" si="5">K21/(K21+K22)</f>
        <v>0.55555555555555558</v>
      </c>
      <c r="L23" s="31">
        <f t="shared" si="5"/>
        <v>0.5</v>
      </c>
      <c r="M23" s="31">
        <f t="shared" si="5"/>
        <v>0.66666666666666663</v>
      </c>
      <c r="N23" s="31" t="e">
        <f t="shared" si="5"/>
        <v>#DIV/0!</v>
      </c>
      <c r="O23" s="31" t="e">
        <f t="shared" si="5"/>
        <v>#DIV/0!</v>
      </c>
      <c r="P23" s="31">
        <f t="shared" si="5"/>
        <v>0.55000000000000004</v>
      </c>
      <c r="Q23" s="31" t="e">
        <f t="shared" si="5"/>
        <v>#DIV/0!</v>
      </c>
      <c r="R23" s="63"/>
      <c r="S23" s="10"/>
      <c r="T23" s="10"/>
      <c r="U23" s="17"/>
      <c r="V23" s="10"/>
      <c r="W23" s="10"/>
      <c r="X23" s="10"/>
    </row>
    <row r="24" spans="1:24">
      <c r="A24" s="2"/>
      <c r="B24" s="11"/>
      <c r="C24" s="10"/>
      <c r="D24" s="10"/>
      <c r="E24" s="10"/>
      <c r="F24" s="10"/>
      <c r="G24" s="10"/>
      <c r="H24" s="10"/>
      <c r="I24" s="10"/>
      <c r="J24" s="10" t="s">
        <v>48</v>
      </c>
      <c r="K24" s="66">
        <f t="shared" ref="K24:Q24" si="6">K20/K21</f>
        <v>1006.9799999999999</v>
      </c>
      <c r="L24" s="66">
        <f t="shared" si="6"/>
        <v>2976.4</v>
      </c>
      <c r="M24" s="66">
        <f t="shared" si="6"/>
        <v>3698.3</v>
      </c>
      <c r="N24" s="66" t="e">
        <f t="shared" si="6"/>
        <v>#DIV/0!</v>
      </c>
      <c r="O24" s="66" t="e">
        <f t="shared" si="6"/>
        <v>#DIV/0!</v>
      </c>
      <c r="P24" s="66">
        <f t="shared" si="6"/>
        <v>2212.4636363636364</v>
      </c>
      <c r="Q24" s="66" t="e">
        <f t="shared" si="6"/>
        <v>#DIV/0!</v>
      </c>
      <c r="R24" s="63"/>
      <c r="S24" s="10"/>
      <c r="T24" s="10"/>
      <c r="U24" s="17"/>
      <c r="V24" s="10"/>
      <c r="W24" s="10"/>
      <c r="X24" s="10"/>
    </row>
    <row r="25" spans="1:24">
      <c r="A25" s="2"/>
      <c r="B25" s="11"/>
      <c r="C25" s="10"/>
      <c r="D25" s="10"/>
      <c r="E25" s="10"/>
      <c r="F25" s="10"/>
      <c r="G25" s="10"/>
      <c r="H25" s="10"/>
      <c r="I25" s="10"/>
      <c r="J25" s="10"/>
      <c r="K25" s="10"/>
      <c r="L25" s="10"/>
      <c r="M25" s="10"/>
      <c r="N25" s="10"/>
      <c r="O25" s="10"/>
      <c r="P25" s="10"/>
      <c r="Q25" s="10"/>
      <c r="R25" s="10"/>
      <c r="S25" s="10"/>
      <c r="T25" s="10"/>
      <c r="U25" s="17"/>
      <c r="V25" s="10"/>
      <c r="W25" s="10"/>
      <c r="X25" s="10"/>
    </row>
    <row r="26" spans="1:24">
      <c r="A26" s="2"/>
      <c r="B26" s="11"/>
      <c r="C26" s="10"/>
      <c r="D26" s="10"/>
      <c r="E26" s="10"/>
      <c r="F26" s="10"/>
      <c r="G26" s="10"/>
      <c r="H26" s="10"/>
      <c r="I26" s="10"/>
      <c r="J26" s="10"/>
      <c r="K26" s="10"/>
      <c r="L26" s="10"/>
      <c r="M26" s="10"/>
      <c r="N26" s="10"/>
      <c r="O26" s="10"/>
      <c r="P26" s="10"/>
      <c r="Q26" s="10"/>
      <c r="R26" s="10"/>
      <c r="S26" s="10"/>
      <c r="T26" s="10"/>
      <c r="U26" s="17"/>
      <c r="V26" s="10"/>
      <c r="W26" s="10"/>
      <c r="X26" s="10"/>
    </row>
    <row r="27" spans="1:24">
      <c r="A27" s="2"/>
      <c r="B27" s="11"/>
      <c r="C27" s="10"/>
      <c r="D27" s="10"/>
      <c r="E27" s="10"/>
      <c r="F27" s="10"/>
      <c r="G27" s="10"/>
      <c r="H27" s="10"/>
      <c r="I27" s="10"/>
      <c r="J27" s="10"/>
      <c r="K27" s="10"/>
      <c r="L27" s="10"/>
      <c r="M27" s="10"/>
      <c r="N27" s="10"/>
      <c r="O27" s="10"/>
      <c r="P27" s="10"/>
      <c r="Q27" s="10"/>
      <c r="R27" s="10"/>
      <c r="S27" s="10"/>
      <c r="T27" s="10"/>
      <c r="U27" s="17"/>
      <c r="V27" s="10"/>
      <c r="W27" s="10"/>
      <c r="X27" s="10"/>
    </row>
    <row r="28" spans="1:24">
      <c r="A28" s="2"/>
      <c r="B28" s="18" t="s">
        <v>51</v>
      </c>
      <c r="C28" s="14"/>
      <c r="D28" s="14"/>
      <c r="E28" s="14"/>
      <c r="F28" s="13" t="s">
        <v>52</v>
      </c>
      <c r="G28" s="14"/>
      <c r="H28" s="14"/>
      <c r="I28" s="14"/>
      <c r="J28" s="14"/>
      <c r="K28" s="13" t="s">
        <v>3</v>
      </c>
      <c r="L28" s="14"/>
      <c r="M28" s="14"/>
      <c r="N28" s="13" t="s">
        <v>4</v>
      </c>
      <c r="O28" s="14"/>
      <c r="P28" s="14"/>
      <c r="Q28" s="13" t="s">
        <v>5</v>
      </c>
      <c r="R28" s="14"/>
      <c r="S28" s="14"/>
      <c r="T28" s="18"/>
      <c r="U28" s="16" t="s">
        <v>53</v>
      </c>
      <c r="V28" s="77"/>
      <c r="W28" s="77"/>
      <c r="X28" s="77"/>
    </row>
    <row r="29" spans="1:24">
      <c r="A29" s="2"/>
      <c r="B29" s="24" t="s">
        <v>54</v>
      </c>
      <c r="C29" s="21" t="s">
        <v>55</v>
      </c>
      <c r="D29" s="21" t="s">
        <v>56</v>
      </c>
      <c r="E29" s="21" t="s">
        <v>57</v>
      </c>
      <c r="F29" s="20" t="s">
        <v>58</v>
      </c>
      <c r="G29" s="21" t="s">
        <v>59</v>
      </c>
      <c r="H29" s="21" t="s">
        <v>60</v>
      </c>
      <c r="I29" s="21" t="s">
        <v>26</v>
      </c>
      <c r="J29" s="22" t="s">
        <v>61</v>
      </c>
      <c r="K29" s="21" t="s">
        <v>8</v>
      </c>
      <c r="L29" s="21" t="s">
        <v>9</v>
      </c>
      <c r="M29" s="21" t="s">
        <v>10</v>
      </c>
      <c r="N29" s="20" t="s">
        <v>11</v>
      </c>
      <c r="O29" s="21" t="s">
        <v>12</v>
      </c>
      <c r="P29" s="22" t="s">
        <v>13</v>
      </c>
      <c r="Q29" s="21" t="s">
        <v>11</v>
      </c>
      <c r="R29" s="21" t="s">
        <v>12</v>
      </c>
      <c r="S29" s="21" t="s">
        <v>13</v>
      </c>
      <c r="T29" s="78" t="s">
        <v>14</v>
      </c>
      <c r="U29" s="30"/>
      <c r="V29" s="79" t="s">
        <v>62</v>
      </c>
      <c r="W29" s="80" t="s">
        <v>63</v>
      </c>
      <c r="X29" s="81" t="s">
        <v>64</v>
      </c>
    </row>
    <row r="30" spans="1:24">
      <c r="A30" s="2"/>
      <c r="B30" s="4" t="s">
        <v>65</v>
      </c>
      <c r="C30" s="6"/>
      <c r="D30" s="6"/>
      <c r="E30" s="6"/>
      <c r="F30" s="6"/>
      <c r="G30" s="6"/>
      <c r="H30" s="6"/>
      <c r="I30" s="82"/>
      <c r="J30" s="6"/>
      <c r="K30" s="6"/>
      <c r="L30" s="6"/>
      <c r="M30" s="6"/>
      <c r="N30" s="6"/>
      <c r="O30" s="6"/>
      <c r="P30" s="6"/>
      <c r="Q30" s="6"/>
      <c r="R30" s="6"/>
      <c r="S30" s="6"/>
      <c r="T30" s="83"/>
      <c r="U30" s="6"/>
      <c r="V30" s="84"/>
      <c r="W30" s="85"/>
      <c r="X30" s="86"/>
    </row>
    <row r="31" spans="1:24">
      <c r="A31" s="2"/>
      <c r="B31" s="87">
        <v>1</v>
      </c>
      <c r="C31" s="274">
        <v>45831</v>
      </c>
      <c r="D31" s="327">
        <v>70917</v>
      </c>
      <c r="E31" s="276" t="s">
        <v>1085</v>
      </c>
      <c r="F31" s="277">
        <v>681</v>
      </c>
      <c r="G31" s="277"/>
      <c r="H31" s="297"/>
      <c r="I31" s="278">
        <f t="shared" ref="I31:I39" si="7">F31-G31-H31</f>
        <v>681</v>
      </c>
      <c r="J31" s="279" t="s">
        <v>156</v>
      </c>
      <c r="K31" s="279">
        <v>1</v>
      </c>
      <c r="L31" s="279">
        <v>1</v>
      </c>
      <c r="M31" s="279">
        <v>1</v>
      </c>
      <c r="N31" s="279">
        <v>1</v>
      </c>
      <c r="O31" s="279">
        <v>1</v>
      </c>
      <c r="P31" s="279">
        <v>1</v>
      </c>
      <c r="Q31" s="279">
        <v>1</v>
      </c>
      <c r="R31" s="279">
        <v>1</v>
      </c>
      <c r="S31" s="280">
        <v>1</v>
      </c>
      <c r="T31" s="63"/>
      <c r="U31" s="10"/>
      <c r="V31" s="90">
        <v>749.1</v>
      </c>
      <c r="W31" s="91"/>
      <c r="X31" s="92"/>
    </row>
    <row r="32" spans="1:24">
      <c r="A32" s="2"/>
      <c r="B32" s="87">
        <f t="shared" ref="B32:B35" si="8">B31+1</f>
        <v>2</v>
      </c>
      <c r="C32" s="295">
        <v>45831</v>
      </c>
      <c r="D32" s="323">
        <v>70941</v>
      </c>
      <c r="E32" s="10" t="s">
        <v>998</v>
      </c>
      <c r="F32" s="62">
        <v>796</v>
      </c>
      <c r="G32" s="62">
        <v>39.700000000000003</v>
      </c>
      <c r="H32" s="62"/>
      <c r="I32" s="324">
        <f t="shared" si="7"/>
        <v>756.3</v>
      </c>
      <c r="J32" s="63" t="s">
        <v>156</v>
      </c>
      <c r="K32" s="63">
        <v>1</v>
      </c>
      <c r="L32" s="63">
        <v>1</v>
      </c>
      <c r="M32" s="325">
        <v>0</v>
      </c>
      <c r="N32" s="63">
        <v>1</v>
      </c>
      <c r="O32" s="63">
        <v>1</v>
      </c>
      <c r="P32" s="63">
        <v>1</v>
      </c>
      <c r="Q32" s="63">
        <v>1</v>
      </c>
      <c r="R32" s="63">
        <v>1</v>
      </c>
      <c r="S32" s="296">
        <v>1</v>
      </c>
      <c r="T32" s="63"/>
      <c r="U32" s="10"/>
      <c r="V32" s="90">
        <v>875.6</v>
      </c>
      <c r="W32" s="91"/>
      <c r="X32" s="92"/>
    </row>
    <row r="33" spans="1:24">
      <c r="A33" s="93" t="s">
        <v>230</v>
      </c>
      <c r="B33" s="87">
        <f t="shared" si="8"/>
        <v>3</v>
      </c>
      <c r="C33" s="295">
        <v>45831</v>
      </c>
      <c r="D33" s="323">
        <v>70937</v>
      </c>
      <c r="E33" s="10" t="s">
        <v>1073</v>
      </c>
      <c r="F33" s="62">
        <v>1264</v>
      </c>
      <c r="G33" s="62">
        <v>39.700000000000003</v>
      </c>
      <c r="H33" s="62"/>
      <c r="I33" s="369">
        <f t="shared" si="7"/>
        <v>1224.3</v>
      </c>
      <c r="J33" s="63" t="s">
        <v>156</v>
      </c>
      <c r="K33" s="63">
        <v>1</v>
      </c>
      <c r="L33" s="325">
        <v>0</v>
      </c>
      <c r="M33" s="63">
        <v>1</v>
      </c>
      <c r="N33" s="63">
        <v>1</v>
      </c>
      <c r="O33" s="63">
        <v>1</v>
      </c>
      <c r="P33" s="63">
        <v>1</v>
      </c>
      <c r="Q33" s="63">
        <v>1</v>
      </c>
      <c r="R33" s="63">
        <v>1</v>
      </c>
      <c r="S33" s="296">
        <v>1</v>
      </c>
      <c r="T33" s="63"/>
      <c r="U33" s="10"/>
      <c r="V33" s="90">
        <v>1390.4</v>
      </c>
      <c r="W33" s="91"/>
      <c r="X33" s="92"/>
    </row>
    <row r="34" spans="1:24">
      <c r="A34" s="2"/>
      <c r="B34" s="87">
        <f t="shared" si="8"/>
        <v>4</v>
      </c>
      <c r="C34" s="295">
        <v>45831</v>
      </c>
      <c r="D34" s="323">
        <v>70956</v>
      </c>
      <c r="E34" s="10" t="s">
        <v>1073</v>
      </c>
      <c r="F34" s="62">
        <v>1681</v>
      </c>
      <c r="G34" s="62">
        <v>39.700000000000003</v>
      </c>
      <c r="H34" s="62"/>
      <c r="I34" s="89">
        <f t="shared" si="7"/>
        <v>1641.3</v>
      </c>
      <c r="J34" s="63" t="s">
        <v>156</v>
      </c>
      <c r="K34" s="63">
        <v>1</v>
      </c>
      <c r="L34" s="63">
        <v>1</v>
      </c>
      <c r="M34" s="63">
        <v>1</v>
      </c>
      <c r="N34" s="63">
        <v>1</v>
      </c>
      <c r="O34" s="63">
        <v>1</v>
      </c>
      <c r="P34" s="63">
        <v>1</v>
      </c>
      <c r="Q34" s="63">
        <v>1</v>
      </c>
      <c r="R34" s="63">
        <v>1</v>
      </c>
      <c r="S34" s="296">
        <v>1</v>
      </c>
      <c r="T34" s="63"/>
      <c r="U34" s="10"/>
      <c r="V34" s="90">
        <v>1849.1</v>
      </c>
      <c r="W34" s="91"/>
      <c r="X34" s="92"/>
    </row>
    <row r="35" spans="1:24">
      <c r="A35" s="2"/>
      <c r="B35" s="87">
        <f t="shared" si="8"/>
        <v>5</v>
      </c>
      <c r="C35" s="295">
        <v>45831</v>
      </c>
      <c r="D35" s="323">
        <v>70948</v>
      </c>
      <c r="E35" s="10" t="s">
        <v>1365</v>
      </c>
      <c r="F35" s="62">
        <v>612.9</v>
      </c>
      <c r="G35" s="62"/>
      <c r="H35" s="62"/>
      <c r="I35" s="89">
        <f t="shared" si="7"/>
        <v>612.9</v>
      </c>
      <c r="J35" s="63" t="s">
        <v>156</v>
      </c>
      <c r="K35" s="63">
        <v>1</v>
      </c>
      <c r="L35" s="63">
        <v>1</v>
      </c>
      <c r="M35" s="63">
        <v>1</v>
      </c>
      <c r="N35" s="63">
        <v>1</v>
      </c>
      <c r="O35" s="63">
        <v>1</v>
      </c>
      <c r="P35" s="63">
        <v>1</v>
      </c>
      <c r="Q35" s="63">
        <v>1</v>
      </c>
      <c r="R35" s="63">
        <v>1</v>
      </c>
      <c r="S35" s="296">
        <v>1</v>
      </c>
      <c r="T35" s="63"/>
      <c r="U35" s="10" t="s">
        <v>2324</v>
      </c>
      <c r="V35" s="90">
        <v>674.19</v>
      </c>
      <c r="W35" s="91"/>
      <c r="X35" s="92"/>
    </row>
    <row r="36" spans="1:24">
      <c r="A36" s="2"/>
      <c r="B36" s="87">
        <f>B35+1</f>
        <v>6</v>
      </c>
      <c r="C36" s="274">
        <v>45832</v>
      </c>
      <c r="D36" s="327">
        <v>70951</v>
      </c>
      <c r="E36" s="276" t="s">
        <v>191</v>
      </c>
      <c r="F36" s="277">
        <v>2281</v>
      </c>
      <c r="G36" s="277">
        <f>39.7+545</f>
        <v>584.70000000000005</v>
      </c>
      <c r="H36" s="277"/>
      <c r="I36" s="321">
        <f t="shared" si="7"/>
        <v>1696.3</v>
      </c>
      <c r="J36" s="279" t="s">
        <v>156</v>
      </c>
      <c r="K36" s="279">
        <v>1</v>
      </c>
      <c r="L36" s="279">
        <v>1</v>
      </c>
      <c r="M36" s="322">
        <v>0</v>
      </c>
      <c r="N36" s="279">
        <v>1</v>
      </c>
      <c r="O36" s="279">
        <v>1</v>
      </c>
      <c r="P36" s="279">
        <v>1</v>
      </c>
      <c r="Q36" s="279">
        <v>1</v>
      </c>
      <c r="R36" s="279">
        <v>1</v>
      </c>
      <c r="S36" s="280">
        <v>1</v>
      </c>
      <c r="T36" s="63"/>
      <c r="U36" s="10" t="s">
        <v>2325</v>
      </c>
      <c r="V36" s="90">
        <f>250+2259.1</f>
        <v>2509.1</v>
      </c>
      <c r="W36" s="136"/>
      <c r="X36" s="137"/>
    </row>
    <row r="37" spans="1:24">
      <c r="A37" s="2"/>
      <c r="B37" s="87">
        <f>B36+1</f>
        <v>7</v>
      </c>
      <c r="C37" s="295">
        <v>45832</v>
      </c>
      <c r="D37" s="323">
        <v>70988</v>
      </c>
      <c r="E37" s="10" t="s">
        <v>2326</v>
      </c>
      <c r="F37" s="62">
        <v>2214</v>
      </c>
      <c r="G37" s="62">
        <f>39.7+(249.3-249.3+249.3)+200</f>
        <v>489</v>
      </c>
      <c r="H37" s="88"/>
      <c r="I37" s="89">
        <f t="shared" si="7"/>
        <v>1725</v>
      </c>
      <c r="J37" s="63" t="s">
        <v>156</v>
      </c>
      <c r="K37" s="63">
        <v>1</v>
      </c>
      <c r="L37" s="63">
        <v>1</v>
      </c>
      <c r="M37" s="63">
        <v>1</v>
      </c>
      <c r="N37" s="63">
        <v>1</v>
      </c>
      <c r="O37" s="63">
        <v>1</v>
      </c>
      <c r="P37" s="63">
        <v>1</v>
      </c>
      <c r="Q37" s="63">
        <v>1</v>
      </c>
      <c r="R37" s="325">
        <v>0</v>
      </c>
      <c r="S37" s="296">
        <v>1</v>
      </c>
      <c r="T37" s="63"/>
      <c r="U37" s="10" t="s">
        <v>2327</v>
      </c>
      <c r="V37" s="90">
        <v>2435.4</v>
      </c>
      <c r="W37" s="91"/>
      <c r="X37" s="92"/>
    </row>
    <row r="38" spans="1:24">
      <c r="A38" s="2"/>
      <c r="B38" s="87">
        <f>B37+1</f>
        <v>8</v>
      </c>
      <c r="C38" s="295">
        <v>45832</v>
      </c>
      <c r="D38" s="323">
        <v>70955</v>
      </c>
      <c r="E38" s="10" t="s">
        <v>294</v>
      </c>
      <c r="F38" s="62">
        <v>1638</v>
      </c>
      <c r="G38" s="62">
        <f>39.7+(52.13+455.65)+200</f>
        <v>747.48</v>
      </c>
      <c r="H38" s="62"/>
      <c r="I38" s="89">
        <f t="shared" si="7"/>
        <v>890.52</v>
      </c>
      <c r="J38" s="63" t="s">
        <v>1386</v>
      </c>
      <c r="K38" s="63">
        <v>1</v>
      </c>
      <c r="L38" s="63">
        <v>1</v>
      </c>
      <c r="M38" s="63">
        <v>1</v>
      </c>
      <c r="N38" s="63">
        <v>1</v>
      </c>
      <c r="O38" s="63">
        <v>1</v>
      </c>
      <c r="P38" s="63">
        <v>1</v>
      </c>
      <c r="Q38" s="63">
        <v>1</v>
      </c>
      <c r="R38" s="63">
        <v>1</v>
      </c>
      <c r="S38" s="296">
        <v>1</v>
      </c>
      <c r="T38" s="63"/>
      <c r="U38" s="10" t="s">
        <v>2328</v>
      </c>
      <c r="V38" s="90">
        <f>180+1621.8</f>
        <v>1801.8</v>
      </c>
      <c r="W38" s="136"/>
      <c r="X38" s="137"/>
    </row>
    <row r="39" spans="1:24">
      <c r="A39" s="2"/>
      <c r="B39" s="87">
        <f>B38+1</f>
        <v>9</v>
      </c>
      <c r="C39" s="282">
        <v>45832</v>
      </c>
      <c r="D39" s="368">
        <v>70967</v>
      </c>
      <c r="E39" s="283" t="s">
        <v>1249</v>
      </c>
      <c r="F39" s="284">
        <v>5772.6</v>
      </c>
      <c r="G39" s="284">
        <f>39.7+(1181.96)+250</f>
        <v>1471.66</v>
      </c>
      <c r="H39" s="284"/>
      <c r="I39" s="285">
        <f t="shared" si="7"/>
        <v>4300.9400000000005</v>
      </c>
      <c r="J39" s="286" t="s">
        <v>156</v>
      </c>
      <c r="K39" s="286">
        <v>1</v>
      </c>
      <c r="L39" s="286">
        <v>1</v>
      </c>
      <c r="M39" s="286">
        <v>1</v>
      </c>
      <c r="N39" s="286">
        <v>1</v>
      </c>
      <c r="O39" s="286">
        <v>1</v>
      </c>
      <c r="P39" s="286">
        <v>1</v>
      </c>
      <c r="Q39" s="286">
        <v>1</v>
      </c>
      <c r="R39" s="286">
        <v>1</v>
      </c>
      <c r="S39" s="287">
        <v>1</v>
      </c>
      <c r="T39" s="63"/>
      <c r="U39" s="10" t="s">
        <v>2329</v>
      </c>
      <c r="V39" s="90">
        <f>634+5715.86</f>
        <v>6349.86</v>
      </c>
      <c r="W39" s="136"/>
      <c r="X39" s="137"/>
    </row>
    <row r="40" spans="1:24">
      <c r="A40" s="2"/>
      <c r="B40" s="87"/>
      <c r="C40" s="36"/>
      <c r="D40" s="10"/>
      <c r="E40" s="10"/>
      <c r="F40" s="97">
        <f>SUM(F31:F39)</f>
        <v>16940.5</v>
      </c>
      <c r="G40" s="97">
        <f>SUM(G31:G39)</f>
        <v>3411.9400000000005</v>
      </c>
      <c r="H40" s="97">
        <f>SUM(H31:H39)</f>
        <v>0</v>
      </c>
      <c r="I40" s="98">
        <f>SUM(I31:I39)</f>
        <v>13528.56</v>
      </c>
      <c r="J40" s="63"/>
      <c r="K40" s="63">
        <f t="shared" ref="K40:S40" si="9">COUNT(K31:K39)</f>
        <v>9</v>
      </c>
      <c r="L40" s="63">
        <f t="shared" si="9"/>
        <v>9</v>
      </c>
      <c r="M40" s="63">
        <f t="shared" si="9"/>
        <v>9</v>
      </c>
      <c r="N40" s="63">
        <f t="shared" si="9"/>
        <v>9</v>
      </c>
      <c r="O40" s="63">
        <f t="shared" si="9"/>
        <v>9</v>
      </c>
      <c r="P40" s="63">
        <f t="shared" si="9"/>
        <v>9</v>
      </c>
      <c r="Q40" s="63">
        <f t="shared" si="9"/>
        <v>9</v>
      </c>
      <c r="R40" s="63">
        <f t="shared" si="9"/>
        <v>9</v>
      </c>
      <c r="S40" s="63">
        <f t="shared" si="9"/>
        <v>9</v>
      </c>
      <c r="T40" s="63"/>
      <c r="U40" s="10"/>
      <c r="V40" s="90"/>
      <c r="W40" s="91"/>
      <c r="X40" s="92"/>
    </row>
    <row r="41" spans="1:24">
      <c r="A41" s="2"/>
      <c r="B41" s="87"/>
      <c r="C41" s="36"/>
      <c r="D41" s="10"/>
      <c r="E41" s="10"/>
      <c r="F41" s="88"/>
      <c r="G41" s="88"/>
      <c r="H41" s="88"/>
      <c r="I41" s="99"/>
      <c r="J41" s="63"/>
      <c r="K41" s="21">
        <f t="shared" ref="K41:S41" si="10">SUM(K31:K39)</f>
        <v>9</v>
      </c>
      <c r="L41" s="21">
        <f t="shared" si="10"/>
        <v>8</v>
      </c>
      <c r="M41" s="21">
        <f t="shared" si="10"/>
        <v>7</v>
      </c>
      <c r="N41" s="21">
        <f t="shared" si="10"/>
        <v>9</v>
      </c>
      <c r="O41" s="21">
        <f t="shared" si="10"/>
        <v>9</v>
      </c>
      <c r="P41" s="21">
        <f t="shared" si="10"/>
        <v>9</v>
      </c>
      <c r="Q41" s="21">
        <f t="shared" si="10"/>
        <v>9</v>
      </c>
      <c r="R41" s="21">
        <f t="shared" si="10"/>
        <v>8</v>
      </c>
      <c r="S41" s="21">
        <f t="shared" si="10"/>
        <v>9</v>
      </c>
      <c r="T41" s="63"/>
      <c r="U41" s="10"/>
      <c r="V41" s="90"/>
      <c r="W41" s="91"/>
      <c r="X41" s="92"/>
    </row>
    <row r="42" spans="1:24">
      <c r="A42" s="2"/>
      <c r="B42" s="11"/>
      <c r="C42" s="36"/>
      <c r="D42" s="10"/>
      <c r="E42" s="10"/>
      <c r="F42" s="88"/>
      <c r="G42" s="88"/>
      <c r="H42" s="88"/>
      <c r="I42" s="99"/>
      <c r="J42" s="63"/>
      <c r="K42" s="21"/>
      <c r="L42" s="21"/>
      <c r="M42" s="21"/>
      <c r="N42" s="21"/>
      <c r="O42" s="21"/>
      <c r="P42" s="21"/>
      <c r="Q42" s="21"/>
      <c r="R42" s="21"/>
      <c r="S42" s="21"/>
      <c r="T42" s="63"/>
      <c r="U42" s="10"/>
      <c r="V42" s="90"/>
      <c r="W42" s="91"/>
      <c r="X42" s="92"/>
    </row>
    <row r="43" spans="1:24">
      <c r="A43" s="2"/>
      <c r="B43" s="100" t="s">
        <v>67</v>
      </c>
      <c r="C43" s="36"/>
      <c r="D43" s="10"/>
      <c r="E43" s="10"/>
      <c r="F43" s="88"/>
      <c r="G43" s="62"/>
      <c r="H43" s="88"/>
      <c r="I43" s="99"/>
      <c r="J43" s="63"/>
      <c r="K43" s="2"/>
      <c r="L43" s="2"/>
      <c r="M43" s="2"/>
      <c r="N43" s="2"/>
      <c r="O43" s="2"/>
      <c r="P43" s="2"/>
      <c r="Q43" s="2"/>
      <c r="R43" s="2"/>
      <c r="S43" s="2"/>
      <c r="T43" s="63"/>
      <c r="U43" s="94"/>
      <c r="V43" s="90"/>
      <c r="W43" s="91"/>
      <c r="X43" s="92"/>
    </row>
    <row r="44" spans="1:24">
      <c r="A44" s="261" t="s">
        <v>309</v>
      </c>
      <c r="B44" s="87">
        <v>1</v>
      </c>
      <c r="C44" s="262">
        <v>45810</v>
      </c>
      <c r="D44" s="263">
        <v>70460</v>
      </c>
      <c r="E44" s="264" t="s">
        <v>1249</v>
      </c>
      <c r="F44" s="265">
        <v>1000</v>
      </c>
      <c r="G44" s="265">
        <v>39.700000000000003</v>
      </c>
      <c r="H44" s="265"/>
      <c r="I44" s="272">
        <f>F44-G44-H44</f>
        <v>960.3</v>
      </c>
      <c r="J44" s="267" t="s">
        <v>1386</v>
      </c>
      <c r="K44" s="267">
        <v>1</v>
      </c>
      <c r="L44" s="267">
        <v>1</v>
      </c>
      <c r="M44" s="267">
        <v>1</v>
      </c>
      <c r="N44" s="267">
        <v>1</v>
      </c>
      <c r="O44" s="267">
        <v>1</v>
      </c>
      <c r="P44" s="267">
        <v>1</v>
      </c>
      <c r="Q44" s="267">
        <v>1</v>
      </c>
      <c r="R44" s="267">
        <v>1</v>
      </c>
      <c r="S44" s="269">
        <v>1</v>
      </c>
      <c r="T44" s="63"/>
      <c r="U44" s="10"/>
      <c r="V44" s="90"/>
      <c r="W44" s="91"/>
      <c r="X44" s="92"/>
    </row>
    <row r="45" spans="1:24">
      <c r="A45" s="261" t="s">
        <v>2330</v>
      </c>
      <c r="B45" s="87">
        <f>B44+1</f>
        <v>2</v>
      </c>
      <c r="C45" s="262">
        <v>45828</v>
      </c>
      <c r="D45" s="263">
        <v>70880</v>
      </c>
      <c r="E45" s="271" t="s">
        <v>752</v>
      </c>
      <c r="F45" s="265">
        <v>3261</v>
      </c>
      <c r="G45" s="265">
        <f>39.7+(35.34)+(131.12+18.26)</f>
        <v>224.42000000000002</v>
      </c>
      <c r="H45" s="265"/>
      <c r="I45" s="272">
        <f>F45-G45-H45</f>
        <v>3036.58</v>
      </c>
      <c r="J45" s="267" t="s">
        <v>228</v>
      </c>
      <c r="K45" s="267">
        <v>1</v>
      </c>
      <c r="L45" s="267">
        <v>1</v>
      </c>
      <c r="M45" s="267">
        <v>1</v>
      </c>
      <c r="N45" s="267">
        <v>1</v>
      </c>
      <c r="O45" s="267">
        <v>1</v>
      </c>
      <c r="P45" s="267">
        <v>1</v>
      </c>
      <c r="Q45" s="267"/>
      <c r="R45" s="267"/>
      <c r="S45" s="269"/>
      <c r="T45" s="63"/>
      <c r="U45" s="301" t="s">
        <v>2331</v>
      </c>
      <c r="V45" s="90">
        <f>3229.1</f>
        <v>3229.1</v>
      </c>
      <c r="W45" s="136"/>
      <c r="X45" s="137"/>
    </row>
    <row r="46" spans="1:24" s="260" customFormat="1">
      <c r="A46" s="261" t="s">
        <v>2332</v>
      </c>
      <c r="B46" s="87">
        <f>B45+1</f>
        <v>3</v>
      </c>
      <c r="C46" s="262">
        <v>45824</v>
      </c>
      <c r="D46" s="263" t="s">
        <v>2333</v>
      </c>
      <c r="E46" s="271" t="s">
        <v>2334</v>
      </c>
      <c r="F46" s="265">
        <v>25776.9</v>
      </c>
      <c r="G46" s="265">
        <f>39.7+(15.22+1353.54+535.75-74.91-58.85-260.44-14.98-35.02-25.74-50.92)+2000</f>
        <v>3423.35</v>
      </c>
      <c r="H46" s="265"/>
      <c r="I46" s="272">
        <f>F46-G46-H46</f>
        <v>22353.550000000003</v>
      </c>
      <c r="J46" s="267" t="s">
        <v>228</v>
      </c>
      <c r="K46" s="267">
        <v>1</v>
      </c>
      <c r="L46" s="267">
        <v>1</v>
      </c>
      <c r="M46" s="267">
        <v>1</v>
      </c>
      <c r="N46" s="267">
        <v>1</v>
      </c>
      <c r="O46" s="267">
        <v>1</v>
      </c>
      <c r="P46" s="267">
        <v>1</v>
      </c>
      <c r="Q46" s="267">
        <v>1</v>
      </c>
      <c r="R46" s="267">
        <v>1</v>
      </c>
      <c r="S46" s="269">
        <v>1</v>
      </c>
      <c r="T46" s="63"/>
      <c r="U46" s="10" t="s">
        <v>2335</v>
      </c>
      <c r="V46" s="90"/>
      <c r="W46" s="91"/>
      <c r="X46" s="92"/>
    </row>
    <row r="47" spans="1:24">
      <c r="A47" s="2"/>
      <c r="B47" s="11"/>
      <c r="C47" s="36"/>
      <c r="D47" s="10"/>
      <c r="E47" s="10"/>
      <c r="F47" s="97">
        <f>SUM(F44:F46)</f>
        <v>30037.9</v>
      </c>
      <c r="G47" s="97">
        <f>SUM(G44:G46)</f>
        <v>3687.47</v>
      </c>
      <c r="H47" s="97">
        <f>SUM(H44:H46)</f>
        <v>0</v>
      </c>
      <c r="I47" s="97">
        <f>SUM(I44:I46)</f>
        <v>26350.430000000004</v>
      </c>
      <c r="J47" s="63"/>
      <c r="K47" s="21"/>
      <c r="L47" s="21"/>
      <c r="M47" s="21"/>
      <c r="N47" s="21"/>
      <c r="O47" s="21"/>
      <c r="P47" s="21"/>
      <c r="Q47" s="21"/>
      <c r="R47" s="21"/>
      <c r="S47" s="21"/>
      <c r="T47" s="63"/>
      <c r="U47" s="94"/>
      <c r="V47" s="90"/>
      <c r="W47" s="91"/>
      <c r="X47" s="92"/>
    </row>
    <row r="48" spans="1:24">
      <c r="A48" s="2"/>
      <c r="B48" s="11"/>
      <c r="C48" s="36"/>
      <c r="D48" s="10"/>
      <c r="E48" s="10"/>
      <c r="F48" s="88"/>
      <c r="G48" s="88"/>
      <c r="H48" s="88"/>
      <c r="I48" s="99"/>
      <c r="J48" s="63"/>
      <c r="K48" s="21"/>
      <c r="L48" s="21"/>
      <c r="M48" s="21"/>
      <c r="N48" s="21"/>
      <c r="O48" s="21"/>
      <c r="P48" s="21"/>
      <c r="Q48" s="21"/>
      <c r="R48" s="21"/>
      <c r="S48" s="21"/>
      <c r="T48" s="63"/>
      <c r="U48" s="94"/>
      <c r="V48" s="90"/>
      <c r="W48" s="91"/>
      <c r="X48" s="92"/>
    </row>
    <row r="49" spans="1:24">
      <c r="A49" s="128"/>
      <c r="B49" s="121" t="s">
        <v>68</v>
      </c>
      <c r="C49" s="122"/>
      <c r="D49" s="123"/>
      <c r="E49" s="123"/>
      <c r="F49" s="124"/>
      <c r="G49" s="125"/>
      <c r="H49" s="124"/>
      <c r="I49" s="126"/>
      <c r="J49" s="127"/>
      <c r="K49" s="128"/>
      <c r="L49" s="128"/>
      <c r="M49" s="128"/>
      <c r="N49" s="128"/>
      <c r="O49" s="128"/>
      <c r="P49" s="128"/>
      <c r="Q49" s="128"/>
      <c r="R49" s="128"/>
      <c r="S49" s="128"/>
      <c r="T49" s="127"/>
      <c r="U49" s="123"/>
      <c r="V49" s="129"/>
      <c r="W49" s="130"/>
      <c r="X49" s="131"/>
    </row>
    <row r="50" spans="1:24" s="342" customFormat="1">
      <c r="A50" s="356" t="s">
        <v>2336</v>
      </c>
      <c r="B50" s="333">
        <v>1</v>
      </c>
      <c r="C50" s="334">
        <v>45833</v>
      </c>
      <c r="D50" s="320" t="s">
        <v>2337</v>
      </c>
      <c r="E50" s="394" t="s">
        <v>317</v>
      </c>
      <c r="F50" s="336">
        <v>5232.6000000000004</v>
      </c>
      <c r="G50" s="336">
        <f>39.7+(24.15+1060.54)+250</f>
        <v>1374.39</v>
      </c>
      <c r="H50" s="336"/>
      <c r="I50" s="337">
        <f>F50-G50-H50</f>
        <v>3858.21</v>
      </c>
      <c r="J50" s="338" t="s">
        <v>156</v>
      </c>
      <c r="K50" s="338">
        <v>1</v>
      </c>
      <c r="L50" s="338">
        <v>1</v>
      </c>
      <c r="M50" s="338">
        <v>1</v>
      </c>
      <c r="N50" s="338">
        <v>1</v>
      </c>
      <c r="O50" s="338">
        <v>1</v>
      </c>
      <c r="P50" s="322">
        <v>0</v>
      </c>
      <c r="Q50" s="322">
        <v>0</v>
      </c>
      <c r="R50" s="322">
        <v>0</v>
      </c>
      <c r="S50" s="328">
        <v>0</v>
      </c>
      <c r="T50" s="127"/>
      <c r="U50" s="123" t="s">
        <v>2338</v>
      </c>
      <c r="V50" s="129">
        <f>575+1800</f>
        <v>2375</v>
      </c>
      <c r="W50" s="130"/>
      <c r="X50" s="131"/>
    </row>
    <row r="51" spans="1:24" s="342" customFormat="1">
      <c r="A51" s="356">
        <v>0.05</v>
      </c>
      <c r="B51" s="333">
        <f t="shared" ref="B51" si="11">B50+1</f>
        <v>2</v>
      </c>
      <c r="C51" s="395">
        <v>45833</v>
      </c>
      <c r="D51" s="368">
        <v>71028</v>
      </c>
      <c r="E51" s="396" t="s">
        <v>659</v>
      </c>
      <c r="F51" s="397">
        <v>2164</v>
      </c>
      <c r="G51" s="397">
        <v>39.700000000000003</v>
      </c>
      <c r="H51" s="397"/>
      <c r="I51" s="398">
        <f>F51-G51-H51</f>
        <v>2124.3000000000002</v>
      </c>
      <c r="J51" s="399"/>
      <c r="K51" s="399">
        <v>1</v>
      </c>
      <c r="L51" s="399">
        <v>1</v>
      </c>
      <c r="M51" s="399"/>
      <c r="N51" s="399">
        <v>1</v>
      </c>
      <c r="O51" s="399">
        <v>1</v>
      </c>
      <c r="P51" s="399">
        <v>1</v>
      </c>
      <c r="Q51" s="399">
        <v>1</v>
      </c>
      <c r="R51" s="399">
        <v>1</v>
      </c>
      <c r="S51" s="400">
        <v>1</v>
      </c>
      <c r="T51" s="127"/>
      <c r="U51" s="123"/>
      <c r="V51" s="129"/>
      <c r="W51" s="130"/>
      <c r="X51" s="131"/>
    </row>
    <row r="52" spans="1:24">
      <c r="A52" s="128"/>
      <c r="B52" s="132"/>
      <c r="C52" s="122"/>
      <c r="D52" s="123"/>
      <c r="E52" s="123"/>
      <c r="F52" s="134">
        <f>SUM(F50:F51)</f>
        <v>7396.6</v>
      </c>
      <c r="G52" s="134">
        <f>SUM(G50:G51)</f>
        <v>1414.0900000000001</v>
      </c>
      <c r="H52" s="134">
        <f>SUM(H50:H51)</f>
        <v>0</v>
      </c>
      <c r="I52" s="134">
        <f>SUM(I50:I51)</f>
        <v>5982.51</v>
      </c>
      <c r="J52" s="127"/>
      <c r="K52" s="64"/>
      <c r="L52" s="64"/>
      <c r="M52" s="64"/>
      <c r="N52" s="64"/>
      <c r="O52" s="64"/>
      <c r="P52" s="64"/>
      <c r="Q52" s="64"/>
      <c r="R52" s="64"/>
      <c r="S52" s="64"/>
      <c r="T52" s="127"/>
      <c r="U52" s="123"/>
      <c r="V52" s="129"/>
      <c r="W52" s="130"/>
      <c r="X52" s="131"/>
    </row>
    <row r="53" spans="1:24">
      <c r="A53" s="2"/>
      <c r="B53" s="11"/>
      <c r="C53" s="36"/>
      <c r="D53" s="10"/>
      <c r="E53" s="10"/>
      <c r="F53" s="88"/>
      <c r="G53" s="88"/>
      <c r="H53" s="88"/>
      <c r="I53" s="99"/>
      <c r="J53" s="63"/>
      <c r="K53" s="21"/>
      <c r="L53" s="21"/>
      <c r="M53" s="21"/>
      <c r="N53" s="21"/>
      <c r="O53" s="21"/>
      <c r="P53" s="21"/>
      <c r="Q53" s="21"/>
      <c r="R53" s="21"/>
      <c r="S53" s="21"/>
      <c r="T53" s="63"/>
      <c r="U53" s="10"/>
      <c r="V53" s="90"/>
      <c r="W53" s="91"/>
      <c r="X53" s="92"/>
    </row>
    <row r="54" spans="1:24" s="260" customFormat="1">
      <c r="B54" s="100" t="s">
        <v>152</v>
      </c>
      <c r="C54" s="270"/>
      <c r="D54" s="10"/>
      <c r="E54" s="101"/>
      <c r="F54" s="88"/>
      <c r="G54" s="62"/>
      <c r="H54" s="88"/>
      <c r="I54" s="99"/>
      <c r="J54" s="63"/>
      <c r="K54" s="181"/>
      <c r="L54" s="181"/>
      <c r="M54" s="181"/>
      <c r="N54" s="181"/>
      <c r="O54" s="181"/>
      <c r="P54" s="181"/>
      <c r="Q54" s="181"/>
      <c r="R54" s="181"/>
      <c r="S54" s="181"/>
      <c r="T54" s="63"/>
      <c r="U54" s="10"/>
      <c r="V54" s="90"/>
      <c r="W54" s="91"/>
      <c r="X54" s="92"/>
    </row>
    <row r="55" spans="1:24" s="260" customFormat="1">
      <c r="A55" s="181" t="s">
        <v>619</v>
      </c>
      <c r="B55" s="87">
        <v>1</v>
      </c>
      <c r="C55" s="262">
        <v>45778</v>
      </c>
      <c r="D55" s="271">
        <v>55240</v>
      </c>
      <c r="E55" s="264" t="s">
        <v>778</v>
      </c>
      <c r="F55" s="265">
        <v>2861</v>
      </c>
      <c r="G55" s="265">
        <f>39.7+(90.06)</f>
        <v>129.76</v>
      </c>
      <c r="H55" s="265"/>
      <c r="I55" s="272">
        <f>F55-G55-H55</f>
        <v>2731.24</v>
      </c>
      <c r="J55" s="267"/>
      <c r="K55" s="267">
        <v>1</v>
      </c>
      <c r="L55" s="267">
        <v>1</v>
      </c>
      <c r="M55" s="267"/>
      <c r="N55" s="267">
        <v>1</v>
      </c>
      <c r="O55" s="267">
        <v>1</v>
      </c>
      <c r="P55" s="267">
        <v>1</v>
      </c>
      <c r="Q55" s="267">
        <v>1</v>
      </c>
      <c r="R55" s="267">
        <v>1</v>
      </c>
      <c r="S55" s="269">
        <v>1</v>
      </c>
      <c r="T55" s="63"/>
      <c r="U55" s="10"/>
      <c r="V55" s="90"/>
      <c r="W55" s="91"/>
      <c r="X55" s="92"/>
    </row>
    <row r="56" spans="1:24" s="260" customFormat="1">
      <c r="B56" s="11"/>
      <c r="C56" s="270"/>
      <c r="D56" s="10"/>
      <c r="E56" s="10"/>
      <c r="F56" s="97">
        <f>SUM(F55:F55)</f>
        <v>2861</v>
      </c>
      <c r="G56" s="97">
        <f>SUM(G55:G55)</f>
        <v>129.76</v>
      </c>
      <c r="H56" s="97">
        <f>SUM(H55:H55)</f>
        <v>0</v>
      </c>
      <c r="I56" s="97">
        <f>SUM(I55:I55)</f>
        <v>2731.24</v>
      </c>
      <c r="J56" s="63"/>
      <c r="K56" s="21"/>
      <c r="L56" s="21"/>
      <c r="M56" s="21"/>
      <c r="N56" s="21"/>
      <c r="O56" s="21"/>
      <c r="P56" s="21"/>
      <c r="Q56" s="21"/>
      <c r="R56" s="21"/>
      <c r="S56" s="21"/>
      <c r="T56" s="63"/>
      <c r="U56" s="10"/>
      <c r="V56" s="90"/>
      <c r="W56" s="91"/>
      <c r="X56" s="92"/>
    </row>
    <row r="57" spans="1:24" s="260" customFormat="1">
      <c r="B57" s="11"/>
      <c r="C57" s="270"/>
      <c r="D57" s="10"/>
      <c r="E57" s="10"/>
      <c r="F57" s="88"/>
      <c r="G57" s="88"/>
      <c r="H57" s="88"/>
      <c r="I57" s="99"/>
      <c r="J57" s="63"/>
      <c r="K57" s="21"/>
      <c r="L57" s="21"/>
      <c r="M57" s="21"/>
      <c r="N57" s="21"/>
      <c r="O57" s="21"/>
      <c r="P57" s="21"/>
      <c r="Q57" s="21"/>
      <c r="R57" s="21"/>
      <c r="S57" s="21"/>
      <c r="T57" s="63"/>
      <c r="U57" s="10"/>
      <c r="V57" s="90"/>
      <c r="W57" s="91"/>
      <c r="X57" s="92"/>
    </row>
    <row r="58" spans="1:24" s="260" customFormat="1">
      <c r="B58" s="100" t="s">
        <v>202</v>
      </c>
      <c r="C58" s="270"/>
      <c r="D58" s="10"/>
      <c r="E58" s="181"/>
      <c r="F58" s="88"/>
      <c r="G58" s="88"/>
      <c r="H58" s="88"/>
      <c r="I58" s="99"/>
      <c r="J58" s="63"/>
      <c r="K58" s="21"/>
      <c r="L58" s="21"/>
      <c r="M58" s="21"/>
      <c r="N58" s="21"/>
      <c r="O58" s="21"/>
      <c r="P58" s="21"/>
      <c r="Q58" s="21"/>
      <c r="R58" s="21"/>
      <c r="S58" s="21"/>
      <c r="T58" s="63"/>
      <c r="U58" s="10"/>
      <c r="V58" s="90"/>
      <c r="W58" s="91"/>
      <c r="X58" s="92"/>
    </row>
    <row r="59" spans="1:24" s="260" customFormat="1">
      <c r="A59" s="261">
        <v>0.05</v>
      </c>
      <c r="B59" s="87">
        <v>1</v>
      </c>
      <c r="C59" s="262">
        <v>45790</v>
      </c>
      <c r="D59" s="273" t="s">
        <v>2339</v>
      </c>
      <c r="E59" s="271" t="s">
        <v>225</v>
      </c>
      <c r="F59" s="265">
        <v>8614</v>
      </c>
      <c r="G59" s="265">
        <f>39.7+(143.54)+(86.25+50.9)+750</f>
        <v>1070.3899999999999</v>
      </c>
      <c r="H59" s="265"/>
      <c r="I59" s="272">
        <f>F59-G59-H59</f>
        <v>7543.6100000000006</v>
      </c>
      <c r="J59" s="267"/>
      <c r="K59" s="267">
        <v>1</v>
      </c>
      <c r="L59" s="267"/>
      <c r="M59" s="267"/>
      <c r="N59" s="267">
        <v>1</v>
      </c>
      <c r="O59" s="267">
        <v>1</v>
      </c>
      <c r="P59" s="267">
        <v>1</v>
      </c>
      <c r="Q59" s="267">
        <v>0</v>
      </c>
      <c r="R59" s="267">
        <v>0</v>
      </c>
      <c r="S59" s="269">
        <v>0</v>
      </c>
      <c r="T59" s="63"/>
      <c r="U59" s="10" t="s">
        <v>2340</v>
      </c>
      <c r="V59" s="90"/>
      <c r="W59" s="136"/>
      <c r="X59" s="137"/>
    </row>
    <row r="60" spans="1:24" s="260" customFormat="1">
      <c r="A60" s="261">
        <v>0.05</v>
      </c>
      <c r="B60" s="87">
        <f>B59+1</f>
        <v>2</v>
      </c>
      <c r="C60" s="262">
        <v>45799</v>
      </c>
      <c r="D60" s="273" t="s">
        <v>2341</v>
      </c>
      <c r="E60" s="271" t="s">
        <v>464</v>
      </c>
      <c r="F60" s="265">
        <v>15214.25</v>
      </c>
      <c r="G60" s="265">
        <v>39.700000000000003</v>
      </c>
      <c r="H60" s="265"/>
      <c r="I60" s="272">
        <f>F60-G60-H60</f>
        <v>15174.55</v>
      </c>
      <c r="J60" s="267"/>
      <c r="K60" s="267">
        <v>1</v>
      </c>
      <c r="L60" s="267"/>
      <c r="M60" s="267"/>
      <c r="N60" s="267">
        <v>1</v>
      </c>
      <c r="O60" s="267">
        <v>1</v>
      </c>
      <c r="P60" s="267">
        <v>0</v>
      </c>
      <c r="Q60" s="267"/>
      <c r="R60" s="267"/>
      <c r="S60" s="269"/>
      <c r="T60" s="63"/>
      <c r="U60" s="10"/>
      <c r="V60" s="90"/>
      <c r="W60" s="136"/>
      <c r="X60" s="137"/>
    </row>
    <row r="61" spans="1:24" s="381" customFormat="1">
      <c r="A61" s="371" t="s">
        <v>2342</v>
      </c>
      <c r="B61" s="372">
        <f t="shared" ref="B61:B62" si="12">B60+1</f>
        <v>3</v>
      </c>
      <c r="C61" s="442">
        <v>45821</v>
      </c>
      <c r="D61" s="443">
        <v>70725</v>
      </c>
      <c r="E61" s="444" t="s">
        <v>1104</v>
      </c>
      <c r="F61" s="445">
        <f>2281-85</f>
        <v>2196</v>
      </c>
      <c r="G61" s="445">
        <f>39.7+465</f>
        <v>504.7</v>
      </c>
      <c r="H61" s="445"/>
      <c r="I61" s="446">
        <f>F61-G61-H61</f>
        <v>1691.3</v>
      </c>
      <c r="J61" s="322" t="s">
        <v>156</v>
      </c>
      <c r="K61" s="322">
        <v>1</v>
      </c>
      <c r="L61" s="322"/>
      <c r="M61" s="322">
        <v>1</v>
      </c>
      <c r="N61" s="322">
        <v>1</v>
      </c>
      <c r="O61" s="322">
        <v>1</v>
      </c>
      <c r="P61" s="322">
        <v>1</v>
      </c>
      <c r="Q61" s="322"/>
      <c r="R61" s="322"/>
      <c r="S61" s="328"/>
      <c r="T61" s="325"/>
      <c r="U61" s="42" t="s">
        <v>2343</v>
      </c>
      <c r="V61" s="377"/>
      <c r="W61" s="392"/>
      <c r="X61" s="379"/>
    </row>
    <row r="62" spans="1:24" s="260" customFormat="1">
      <c r="A62" s="181" t="s">
        <v>619</v>
      </c>
      <c r="B62" s="87">
        <f t="shared" si="12"/>
        <v>4</v>
      </c>
      <c r="C62" s="262">
        <v>45826</v>
      </c>
      <c r="D62" s="273" t="s">
        <v>2344</v>
      </c>
      <c r="E62" s="271" t="s">
        <v>2345</v>
      </c>
      <c r="F62" s="265">
        <v>21400</v>
      </c>
      <c r="G62" s="265">
        <f>39.7+(104.18+165.91+61.7)+(78.89)+2000</f>
        <v>2450.38</v>
      </c>
      <c r="H62" s="265"/>
      <c r="I62" s="272">
        <f>F62-G62-H62</f>
        <v>18949.62</v>
      </c>
      <c r="J62" s="267"/>
      <c r="K62" s="267">
        <v>1</v>
      </c>
      <c r="L62" s="267"/>
      <c r="M62" s="267"/>
      <c r="N62" s="267">
        <v>1</v>
      </c>
      <c r="O62" s="267">
        <v>1</v>
      </c>
      <c r="P62" s="267">
        <v>0</v>
      </c>
      <c r="Q62" s="267"/>
      <c r="R62" s="267"/>
      <c r="S62" s="269"/>
      <c r="T62" s="63"/>
      <c r="U62" s="10" t="s">
        <v>2346</v>
      </c>
      <c r="V62" s="90"/>
      <c r="W62" s="136"/>
      <c r="X62" s="137"/>
    </row>
    <row r="63" spans="1:24" s="260" customFormat="1">
      <c r="A63" s="260" t="s">
        <v>2347</v>
      </c>
      <c r="B63" s="11"/>
      <c r="C63" s="270"/>
      <c r="D63" s="10"/>
      <c r="E63" s="10"/>
      <c r="F63" s="97">
        <f>SUM(F59:F62)</f>
        <v>47424.25</v>
      </c>
      <c r="G63" s="97">
        <f>SUM(G59:G62)</f>
        <v>4065.17</v>
      </c>
      <c r="H63" s="97">
        <f>SUM(H59:H62)</f>
        <v>0</v>
      </c>
      <c r="I63" s="97">
        <f>SUM(I59:I62)</f>
        <v>43359.08</v>
      </c>
      <c r="J63" s="63"/>
      <c r="K63" s="21"/>
      <c r="L63" s="21"/>
      <c r="M63" s="21"/>
      <c r="N63" s="21"/>
      <c r="O63" s="21"/>
      <c r="P63" s="21"/>
      <c r="Q63" s="21"/>
      <c r="R63" s="21"/>
      <c r="S63" s="21"/>
      <c r="T63" s="63"/>
      <c r="V63" s="90"/>
      <c r="W63" s="91"/>
      <c r="X63" s="92"/>
    </row>
    <row r="64" spans="1:24" s="260" customFormat="1">
      <c r="B64" s="11"/>
      <c r="C64" s="270"/>
      <c r="D64" s="10"/>
      <c r="E64" s="10"/>
      <c r="F64" s="88"/>
      <c r="G64" s="88"/>
      <c r="H64" s="88"/>
      <c r="I64" s="88"/>
      <c r="J64" s="63"/>
      <c r="K64" s="21"/>
      <c r="L64" s="21"/>
      <c r="M64" s="21"/>
      <c r="N64" s="21"/>
      <c r="O64" s="21"/>
      <c r="P64" s="21"/>
      <c r="Q64" s="21"/>
      <c r="R64" s="21"/>
      <c r="S64" s="21"/>
      <c r="T64" s="63"/>
      <c r="U64" s="10"/>
      <c r="V64" s="90"/>
      <c r="W64" s="91"/>
      <c r="X64" s="92"/>
    </row>
    <row r="65" spans="1:24">
      <c r="A65" s="2"/>
      <c r="B65" s="100" t="s">
        <v>72</v>
      </c>
      <c r="C65" s="36"/>
      <c r="D65" s="10"/>
      <c r="E65" s="10"/>
      <c r="F65" s="88"/>
      <c r="G65" s="88"/>
      <c r="H65" s="88"/>
      <c r="I65" s="99"/>
      <c r="J65" s="63"/>
      <c r="K65" s="63"/>
      <c r="L65" s="63"/>
      <c r="M65" s="63"/>
      <c r="N65" s="63"/>
      <c r="O65" s="63"/>
      <c r="P65" s="63"/>
      <c r="Q65" s="63"/>
      <c r="R65" s="63"/>
      <c r="S65" s="63"/>
      <c r="T65" s="63"/>
      <c r="U65" s="10"/>
      <c r="V65" s="90"/>
      <c r="W65" s="91"/>
      <c r="X65" s="92"/>
    </row>
    <row r="66" spans="1:24">
      <c r="A66" s="2"/>
      <c r="B66" s="87">
        <v>1</v>
      </c>
      <c r="C66" s="274">
        <v>45831</v>
      </c>
      <c r="D66" s="276">
        <v>70928</v>
      </c>
      <c r="E66" s="276" t="s">
        <v>1043</v>
      </c>
      <c r="F66" s="277">
        <v>1281</v>
      </c>
      <c r="G66" s="277">
        <v>39.700000000000003</v>
      </c>
      <c r="H66" s="277"/>
      <c r="I66" s="278">
        <f t="shared" ref="I66:I74" si="13">F66-G66-H66</f>
        <v>1241.3</v>
      </c>
      <c r="J66" s="279" t="s">
        <v>205</v>
      </c>
      <c r="K66" s="279">
        <v>1</v>
      </c>
      <c r="L66" s="279"/>
      <c r="M66" s="279"/>
      <c r="N66" s="279">
        <v>1</v>
      </c>
      <c r="O66" s="279"/>
      <c r="P66" s="279"/>
      <c r="Q66" s="279">
        <v>1</v>
      </c>
      <c r="R66" s="279">
        <v>1</v>
      </c>
      <c r="S66" s="280">
        <v>1</v>
      </c>
      <c r="T66" s="63"/>
      <c r="U66" s="3"/>
      <c r="V66" s="90"/>
      <c r="W66" s="91"/>
      <c r="X66" s="92"/>
    </row>
    <row r="67" spans="1:24">
      <c r="A67" s="2"/>
      <c r="B67" s="87">
        <f t="shared" ref="B67:B74" si="14">B66+1</f>
        <v>2</v>
      </c>
      <c r="C67" s="295">
        <v>45831</v>
      </c>
      <c r="D67" s="10">
        <v>70930</v>
      </c>
      <c r="E67" s="10" t="s">
        <v>2348</v>
      </c>
      <c r="F67" s="62">
        <v>2419</v>
      </c>
      <c r="G67" s="62">
        <v>39.700000000000003</v>
      </c>
      <c r="H67" s="62"/>
      <c r="I67" s="89">
        <f t="shared" si="13"/>
        <v>2379.3000000000002</v>
      </c>
      <c r="J67" s="63" t="s">
        <v>205</v>
      </c>
      <c r="K67" s="63">
        <v>1</v>
      </c>
      <c r="L67" s="63"/>
      <c r="M67" s="63"/>
      <c r="N67" s="63">
        <v>1</v>
      </c>
      <c r="O67" s="63"/>
      <c r="P67" s="63"/>
      <c r="Q67" s="63">
        <v>1</v>
      </c>
      <c r="R67" s="63">
        <v>1</v>
      </c>
      <c r="S67" s="296">
        <v>1</v>
      </c>
      <c r="T67" s="63"/>
      <c r="U67" s="10"/>
      <c r="V67" s="90"/>
      <c r="W67" s="136"/>
      <c r="X67" s="137"/>
    </row>
    <row r="68" spans="1:24">
      <c r="A68" s="2"/>
      <c r="B68" s="87">
        <f t="shared" si="14"/>
        <v>3</v>
      </c>
      <c r="C68" s="295">
        <v>45831</v>
      </c>
      <c r="D68" s="10">
        <v>70949</v>
      </c>
      <c r="E68" s="10" t="s">
        <v>172</v>
      </c>
      <c r="F68" s="62">
        <v>0</v>
      </c>
      <c r="G68" s="62"/>
      <c r="H68" s="62"/>
      <c r="I68" s="89">
        <f t="shared" si="13"/>
        <v>0</v>
      </c>
      <c r="J68" s="63" t="s">
        <v>219</v>
      </c>
      <c r="K68" s="63">
        <v>1</v>
      </c>
      <c r="L68" s="63"/>
      <c r="M68" s="63"/>
      <c r="N68" s="63"/>
      <c r="O68" s="63"/>
      <c r="P68" s="63"/>
      <c r="Q68" s="63">
        <v>1</v>
      </c>
      <c r="R68" s="63">
        <v>1</v>
      </c>
      <c r="S68" s="296">
        <v>1</v>
      </c>
      <c r="T68" s="63"/>
      <c r="U68" s="10"/>
      <c r="V68" s="90"/>
      <c r="W68" s="136"/>
      <c r="X68" s="137"/>
    </row>
    <row r="69" spans="1:24">
      <c r="A69" s="2"/>
      <c r="B69" s="87">
        <f t="shared" si="14"/>
        <v>4</v>
      </c>
      <c r="C69" s="295">
        <v>45831</v>
      </c>
      <c r="D69" s="77" t="s">
        <v>2349</v>
      </c>
      <c r="E69" s="10" t="s">
        <v>239</v>
      </c>
      <c r="F69" s="62">
        <v>526</v>
      </c>
      <c r="G69" s="62"/>
      <c r="H69" s="62"/>
      <c r="I69" s="89">
        <f t="shared" si="13"/>
        <v>526</v>
      </c>
      <c r="J69" s="63" t="s">
        <v>205</v>
      </c>
      <c r="K69" s="63">
        <v>1</v>
      </c>
      <c r="L69" s="63"/>
      <c r="M69" s="63"/>
      <c r="N69" s="63">
        <v>1</v>
      </c>
      <c r="O69" s="63"/>
      <c r="P69" s="63"/>
      <c r="Q69" s="63"/>
      <c r="R69" s="63"/>
      <c r="S69" s="296"/>
      <c r="T69" s="63"/>
      <c r="U69" s="10"/>
      <c r="V69" s="90"/>
      <c r="W69" s="136"/>
      <c r="X69" s="137"/>
    </row>
    <row r="70" spans="1:24">
      <c r="A70" s="2"/>
      <c r="B70" s="87">
        <f t="shared" si="14"/>
        <v>5</v>
      </c>
      <c r="C70" s="274">
        <v>45832</v>
      </c>
      <c r="D70" s="276">
        <v>70968</v>
      </c>
      <c r="E70" s="276" t="s">
        <v>1584</v>
      </c>
      <c r="F70" s="277">
        <v>1701</v>
      </c>
      <c r="G70" s="277">
        <v>39.700000000000003</v>
      </c>
      <c r="H70" s="277"/>
      <c r="I70" s="278">
        <f t="shared" si="13"/>
        <v>1661.3</v>
      </c>
      <c r="J70" s="279" t="s">
        <v>374</v>
      </c>
      <c r="K70" s="279">
        <v>1</v>
      </c>
      <c r="L70" s="279"/>
      <c r="M70" s="279"/>
      <c r="N70" s="279">
        <v>1</v>
      </c>
      <c r="O70" s="279"/>
      <c r="P70" s="279"/>
      <c r="Q70" s="279"/>
      <c r="R70" s="279"/>
      <c r="S70" s="280"/>
      <c r="T70" s="63"/>
      <c r="U70" s="10"/>
      <c r="V70" s="90">
        <v>93.5</v>
      </c>
      <c r="W70" s="136"/>
      <c r="X70" s="137"/>
    </row>
    <row r="71" spans="1:24">
      <c r="A71" s="2"/>
      <c r="B71" s="87">
        <f t="shared" si="14"/>
        <v>6</v>
      </c>
      <c r="C71" s="295">
        <v>45832</v>
      </c>
      <c r="D71" s="10">
        <v>70979</v>
      </c>
      <c r="E71" s="101" t="s">
        <v>1391</v>
      </c>
      <c r="F71" s="62">
        <v>1138</v>
      </c>
      <c r="G71" s="62">
        <v>39.700000000000003</v>
      </c>
      <c r="H71" s="62"/>
      <c r="I71" s="89">
        <f t="shared" si="13"/>
        <v>1098.3</v>
      </c>
      <c r="J71" s="63" t="s">
        <v>205</v>
      </c>
      <c r="K71" s="63"/>
      <c r="L71" s="63"/>
      <c r="M71" s="63"/>
      <c r="N71" s="63">
        <v>1</v>
      </c>
      <c r="O71" s="63"/>
      <c r="P71" s="63"/>
      <c r="Q71" s="63">
        <v>1</v>
      </c>
      <c r="R71" s="63">
        <v>1</v>
      </c>
      <c r="S71" s="296">
        <v>1</v>
      </c>
      <c r="T71" s="63"/>
      <c r="U71" s="10"/>
      <c r="V71" s="90"/>
      <c r="W71" s="136"/>
      <c r="X71" s="137"/>
    </row>
    <row r="72" spans="1:24">
      <c r="A72" s="2"/>
      <c r="B72" s="87">
        <f t="shared" si="14"/>
        <v>7</v>
      </c>
      <c r="C72" s="295">
        <v>45832</v>
      </c>
      <c r="D72" s="10">
        <v>70961</v>
      </c>
      <c r="E72" s="101" t="s">
        <v>294</v>
      </c>
      <c r="F72" s="62">
        <v>3114.9</v>
      </c>
      <c r="G72" s="62">
        <v>39.700000000000003</v>
      </c>
      <c r="H72" s="62"/>
      <c r="I72" s="89">
        <f t="shared" si="13"/>
        <v>3075.2000000000003</v>
      </c>
      <c r="J72" s="63" t="s">
        <v>205</v>
      </c>
      <c r="K72" s="63">
        <v>1</v>
      </c>
      <c r="L72" s="63"/>
      <c r="M72" s="63"/>
      <c r="N72" s="63">
        <v>1</v>
      </c>
      <c r="O72" s="63">
        <v>1</v>
      </c>
      <c r="P72" s="63">
        <v>1</v>
      </c>
      <c r="Q72" s="63">
        <v>1</v>
      </c>
      <c r="R72" s="63">
        <v>1</v>
      </c>
      <c r="S72" s="296">
        <v>1</v>
      </c>
      <c r="T72" s="63"/>
      <c r="U72" s="10" t="s">
        <v>2350</v>
      </c>
      <c r="V72" s="90"/>
      <c r="W72" s="136"/>
      <c r="X72" s="137"/>
    </row>
    <row r="73" spans="1:24">
      <c r="A73" s="2"/>
      <c r="B73" s="87">
        <f t="shared" si="14"/>
        <v>8</v>
      </c>
      <c r="C73" s="295">
        <v>45832</v>
      </c>
      <c r="D73" s="10">
        <v>70995</v>
      </c>
      <c r="E73" s="101" t="s">
        <v>178</v>
      </c>
      <c r="F73" s="62">
        <v>0</v>
      </c>
      <c r="G73" s="62"/>
      <c r="H73" s="62"/>
      <c r="I73" s="89">
        <f t="shared" si="13"/>
        <v>0</v>
      </c>
      <c r="J73" s="63" t="s">
        <v>219</v>
      </c>
      <c r="K73" s="63"/>
      <c r="L73" s="63"/>
      <c r="M73" s="63"/>
      <c r="N73" s="63"/>
      <c r="O73" s="63"/>
      <c r="P73" s="63"/>
      <c r="Q73" s="63"/>
      <c r="R73" s="63"/>
      <c r="S73" s="296"/>
      <c r="T73" s="63"/>
      <c r="U73" s="10"/>
      <c r="V73" s="90"/>
      <c r="W73" s="136"/>
      <c r="X73" s="137"/>
    </row>
    <row r="74" spans="1:24">
      <c r="A74" s="2"/>
      <c r="B74" s="87">
        <f t="shared" si="14"/>
        <v>9</v>
      </c>
      <c r="C74" s="262">
        <v>45833</v>
      </c>
      <c r="D74" s="273" t="s">
        <v>2351</v>
      </c>
      <c r="E74" s="271" t="s">
        <v>659</v>
      </c>
      <c r="F74" s="265">
        <v>14677</v>
      </c>
      <c r="G74" s="265">
        <v>39.700000000000003</v>
      </c>
      <c r="H74" s="265"/>
      <c r="I74" s="272">
        <f t="shared" si="13"/>
        <v>14637.3</v>
      </c>
      <c r="J74" s="267" t="s">
        <v>205</v>
      </c>
      <c r="K74" s="267">
        <v>1</v>
      </c>
      <c r="L74" s="267"/>
      <c r="M74" s="267"/>
      <c r="N74" s="267">
        <v>1</v>
      </c>
      <c r="O74" s="267"/>
      <c r="P74" s="267"/>
      <c r="Q74" s="267"/>
      <c r="R74" s="267"/>
      <c r="S74" s="269"/>
      <c r="T74" s="63"/>
      <c r="U74" s="10"/>
      <c r="V74" s="90"/>
      <c r="W74" s="136"/>
      <c r="X74" s="137"/>
    </row>
    <row r="75" spans="1:24">
      <c r="A75" s="2"/>
      <c r="B75" s="11"/>
      <c r="C75" s="36"/>
      <c r="D75" s="10"/>
      <c r="E75" s="10"/>
      <c r="F75" s="97">
        <f>SUM(F66:F74)</f>
        <v>24856.9</v>
      </c>
      <c r="G75" s="97">
        <f>SUM(G66:G74)</f>
        <v>238.2</v>
      </c>
      <c r="H75" s="97">
        <f>SUM(H66:H74)</f>
        <v>0</v>
      </c>
      <c r="I75" s="98">
        <f>SUM(I66:I74)</f>
        <v>24618.7</v>
      </c>
      <c r="J75" s="10"/>
      <c r="K75" s="10"/>
      <c r="L75" s="10"/>
      <c r="M75" s="10"/>
      <c r="N75" s="10"/>
      <c r="O75" s="10"/>
      <c r="P75" s="10"/>
      <c r="Q75" s="10"/>
      <c r="R75" s="10"/>
      <c r="S75" s="10"/>
      <c r="T75" s="63"/>
      <c r="U75" s="10"/>
      <c r="V75" s="138"/>
      <c r="W75" s="136"/>
      <c r="X75" s="137"/>
    </row>
    <row r="76" spans="1:24">
      <c r="A76" s="2"/>
      <c r="B76" s="26"/>
      <c r="C76" s="140"/>
      <c r="D76" s="141"/>
      <c r="E76" s="141"/>
      <c r="F76" s="141"/>
      <c r="G76" s="141"/>
      <c r="H76" s="141"/>
      <c r="I76" s="141"/>
      <c r="J76" s="141"/>
      <c r="K76" s="142"/>
      <c r="L76" s="142"/>
      <c r="M76" s="142"/>
      <c r="N76" s="142"/>
      <c r="O76" s="142"/>
      <c r="P76" s="142"/>
      <c r="Q76" s="142"/>
      <c r="R76" s="142"/>
      <c r="S76" s="142"/>
      <c r="T76" s="143">
        <f>SUM(T31:T75)</f>
        <v>0</v>
      </c>
      <c r="U76" s="141"/>
      <c r="V76" s="144">
        <f>SUM(V31:V75)</f>
        <v>24332.149999999998</v>
      </c>
      <c r="W76" s="145">
        <f>SUM(W31:W75)</f>
        <v>0</v>
      </c>
      <c r="X76" s="146">
        <f>SUM(X31:X75)</f>
        <v>0</v>
      </c>
    </row>
    <row r="77" spans="1:24">
      <c r="B77" s="258"/>
      <c r="C77" s="258"/>
      <c r="D77" s="258"/>
      <c r="E77" s="258"/>
      <c r="F77" s="258"/>
      <c r="G77" s="258"/>
      <c r="H77" s="258"/>
      <c r="I77" s="258"/>
      <c r="J77" s="258"/>
      <c r="K77" s="258"/>
      <c r="L77" s="258"/>
      <c r="M77" s="258"/>
      <c r="N77" s="258"/>
      <c r="O77" s="258"/>
      <c r="P77" s="258"/>
      <c r="Q77" s="258"/>
      <c r="R77" s="258"/>
      <c r="S77" s="258"/>
      <c r="T77" s="258"/>
      <c r="U77" s="258"/>
      <c r="V77" s="258"/>
      <c r="W77" s="258"/>
      <c r="X77" s="258"/>
    </row>
    <row r="80" spans="1:24">
      <c r="A80" s="3"/>
      <c r="B80" s="4" t="s">
        <v>1</v>
      </c>
      <c r="C80" s="5"/>
      <c r="D80" s="6"/>
      <c r="E80" s="6"/>
      <c r="F80" s="7" t="s">
        <v>2</v>
      </c>
      <c r="G80" s="8">
        <v>45844</v>
      </c>
      <c r="H80" s="7"/>
      <c r="I80" s="6"/>
      <c r="J80" s="6"/>
      <c r="K80" s="6"/>
      <c r="L80" s="6"/>
      <c r="M80" s="6"/>
      <c r="N80" s="6"/>
      <c r="O80" s="6"/>
      <c r="P80" s="6"/>
      <c r="Q80" s="6"/>
      <c r="R80" s="6"/>
      <c r="S80" s="6"/>
      <c r="T80" s="6"/>
      <c r="U80" s="9"/>
      <c r="V80" s="10"/>
      <c r="W80" s="10"/>
      <c r="X80" s="10"/>
    </row>
    <row r="81" spans="1:24">
      <c r="A81" s="2"/>
      <c r="B81" s="11"/>
      <c r="C81" s="10"/>
      <c r="D81" s="10"/>
      <c r="E81" s="10"/>
      <c r="F81" s="10"/>
      <c r="G81" s="7"/>
      <c r="H81" s="12"/>
      <c r="I81" s="10"/>
      <c r="J81" s="10"/>
      <c r="K81" s="13" t="s">
        <v>3</v>
      </c>
      <c r="L81" s="14"/>
      <c r="M81" s="15"/>
      <c r="N81" s="13" t="s">
        <v>4</v>
      </c>
      <c r="O81" s="14"/>
      <c r="P81" s="15"/>
      <c r="Q81" s="13" t="s">
        <v>5</v>
      </c>
      <c r="R81" s="14"/>
      <c r="S81" s="15"/>
      <c r="T81" s="16"/>
      <c r="U81" s="17"/>
      <c r="V81" s="10"/>
      <c r="W81" s="10"/>
      <c r="X81" s="10"/>
    </row>
    <row r="82" spans="1:24">
      <c r="A82" s="2"/>
      <c r="B82" s="18" t="s">
        <v>6</v>
      </c>
      <c r="C82" s="19">
        <f>C83+C84</f>
        <v>39</v>
      </c>
      <c r="D82" s="10"/>
      <c r="E82" s="18" t="s">
        <v>7</v>
      </c>
      <c r="F82" s="6"/>
      <c r="G82" s="9"/>
      <c r="H82" s="10"/>
      <c r="I82" s="10"/>
      <c r="J82" s="10"/>
      <c r="K82" s="20" t="s">
        <v>8</v>
      </c>
      <c r="L82" s="21" t="s">
        <v>9</v>
      </c>
      <c r="M82" s="21" t="s">
        <v>10</v>
      </c>
      <c r="N82" s="20" t="s">
        <v>11</v>
      </c>
      <c r="O82" s="21" t="s">
        <v>12</v>
      </c>
      <c r="P82" s="22" t="s">
        <v>13</v>
      </c>
      <c r="Q82" s="21" t="s">
        <v>11</v>
      </c>
      <c r="R82" s="21" t="s">
        <v>12</v>
      </c>
      <c r="S82" s="22" t="s">
        <v>13</v>
      </c>
      <c r="T82" s="23" t="s">
        <v>14</v>
      </c>
      <c r="U82" s="17"/>
      <c r="V82" s="10"/>
      <c r="W82" s="10"/>
      <c r="X82" s="10"/>
    </row>
    <row r="83" spans="1:24">
      <c r="A83" s="2"/>
      <c r="B83" s="24" t="s">
        <v>15</v>
      </c>
      <c r="C83" s="25">
        <f>P90</f>
        <v>18</v>
      </c>
      <c r="D83" s="10"/>
      <c r="E83" s="26" t="s">
        <v>16</v>
      </c>
      <c r="F83" s="27">
        <v>0.05</v>
      </c>
      <c r="G83" s="28"/>
      <c r="H83" s="10"/>
      <c r="I83" s="10"/>
      <c r="J83" s="18" t="s">
        <v>17</v>
      </c>
      <c r="K83" s="29">
        <f>K125</f>
        <v>17</v>
      </c>
      <c r="L83" s="29">
        <f t="shared" ref="L83:S83" si="15">L125</f>
        <v>15</v>
      </c>
      <c r="M83" s="29">
        <f t="shared" si="15"/>
        <v>15</v>
      </c>
      <c r="N83" s="29">
        <f t="shared" si="15"/>
        <v>17</v>
      </c>
      <c r="O83" s="29">
        <f t="shared" si="15"/>
        <v>17</v>
      </c>
      <c r="P83" s="29">
        <f t="shared" si="15"/>
        <v>17</v>
      </c>
      <c r="Q83" s="29">
        <f t="shared" si="15"/>
        <v>17</v>
      </c>
      <c r="R83" s="29">
        <f t="shared" si="15"/>
        <v>17</v>
      </c>
      <c r="S83" s="29">
        <f t="shared" si="15"/>
        <v>17</v>
      </c>
      <c r="T83" s="30">
        <f ca="1">T171</f>
        <v>0</v>
      </c>
      <c r="U83" s="17"/>
      <c r="V83" s="10"/>
      <c r="W83" s="10"/>
      <c r="X83" s="10"/>
    </row>
    <row r="84" spans="1:24">
      <c r="A84" s="2"/>
      <c r="B84" s="24" t="s">
        <v>18</v>
      </c>
      <c r="C84" s="25">
        <f>P91</f>
        <v>21</v>
      </c>
      <c r="D84" s="10"/>
      <c r="E84" s="10"/>
      <c r="F84" s="10"/>
      <c r="G84" s="31"/>
      <c r="H84" s="10"/>
      <c r="I84" s="10"/>
      <c r="J84" s="32" t="s">
        <v>19</v>
      </c>
      <c r="K84" s="33">
        <f>K125/K124</f>
        <v>1</v>
      </c>
      <c r="L84" s="33">
        <f t="shared" ref="L84:S84" si="16">L125/L124</f>
        <v>0.88235294117647056</v>
      </c>
      <c r="M84" s="33">
        <f t="shared" si="16"/>
        <v>0.88235294117647056</v>
      </c>
      <c r="N84" s="33">
        <f t="shared" si="16"/>
        <v>1</v>
      </c>
      <c r="O84" s="33">
        <f t="shared" si="16"/>
        <v>1</v>
      </c>
      <c r="P84" s="33">
        <f t="shared" si="16"/>
        <v>1</v>
      </c>
      <c r="Q84" s="33">
        <f t="shared" si="16"/>
        <v>1</v>
      </c>
      <c r="R84" s="33">
        <f t="shared" si="16"/>
        <v>1</v>
      </c>
      <c r="S84" s="33">
        <f t="shared" si="16"/>
        <v>1</v>
      </c>
      <c r="T84" s="23"/>
      <c r="U84" s="17" t="s">
        <v>20</v>
      </c>
      <c r="V84" s="10"/>
      <c r="W84" s="10"/>
      <c r="X84" s="10"/>
    </row>
    <row r="85" spans="1:24">
      <c r="A85" s="2"/>
      <c r="B85" s="24" t="s">
        <v>21</v>
      </c>
      <c r="C85" s="34">
        <f>P92</f>
        <v>0.46153846153846156</v>
      </c>
      <c r="D85" s="10"/>
      <c r="E85" s="10"/>
      <c r="F85" s="10"/>
      <c r="G85" s="10"/>
      <c r="H85" s="10"/>
      <c r="I85" s="10"/>
      <c r="J85" s="10"/>
      <c r="K85" s="10"/>
      <c r="L85" s="10"/>
      <c r="M85" s="10"/>
      <c r="N85" s="10"/>
      <c r="O85" s="10"/>
      <c r="P85" s="10"/>
      <c r="Q85" s="10"/>
      <c r="R85" s="10"/>
      <c r="S85" s="10"/>
      <c r="T85" s="10"/>
      <c r="U85" s="17"/>
      <c r="V85" s="10"/>
      <c r="W85" s="10"/>
      <c r="X85" s="10"/>
    </row>
    <row r="86" spans="1:24">
      <c r="A86" s="2"/>
      <c r="B86" s="24"/>
      <c r="C86" s="25"/>
      <c r="D86" s="10"/>
      <c r="E86" s="10"/>
      <c r="F86" s="18" t="s">
        <v>22</v>
      </c>
      <c r="G86" s="19" t="s">
        <v>23</v>
      </c>
      <c r="H86" s="35" t="s">
        <v>24</v>
      </c>
      <c r="I86" s="10"/>
      <c r="J86" s="10"/>
      <c r="K86" s="36"/>
      <c r="L86" s="36"/>
      <c r="M86" s="36"/>
      <c r="N86" s="36"/>
      <c r="O86" s="36"/>
      <c r="P86" s="36"/>
      <c r="Q86" s="36"/>
      <c r="R86" s="10"/>
      <c r="S86" s="10"/>
      <c r="T86" s="10"/>
      <c r="U86" s="17"/>
      <c r="V86" s="10"/>
      <c r="W86" s="10"/>
      <c r="X86" s="10"/>
    </row>
    <row r="87" spans="1:24">
      <c r="A87" s="2"/>
      <c r="B87" s="32" t="s">
        <v>25</v>
      </c>
      <c r="C87" s="37">
        <f>P93</f>
        <v>2220.7377777777779</v>
      </c>
      <c r="D87" s="10"/>
      <c r="E87" s="18" t="s">
        <v>26</v>
      </c>
      <c r="F87" s="38">
        <f>P89</f>
        <v>39973.279999999999</v>
      </c>
      <c r="G87" s="39">
        <f>I124+I133</f>
        <v>39973.279999999999</v>
      </c>
      <c r="H87" s="40"/>
      <c r="I87" s="41"/>
      <c r="J87" s="42"/>
      <c r="K87" s="43" t="s">
        <v>27</v>
      </c>
      <c r="L87" s="44"/>
      <c r="M87" s="44"/>
      <c r="N87" s="44"/>
      <c r="O87" s="44"/>
      <c r="P87" s="44"/>
      <c r="Q87" s="45"/>
      <c r="R87" s="46" t="s">
        <v>28</v>
      </c>
      <c r="S87" s="47" t="s">
        <v>29</v>
      </c>
      <c r="T87" s="10"/>
      <c r="U87" s="17"/>
      <c r="V87" s="10"/>
      <c r="W87" s="10"/>
      <c r="X87" s="10"/>
    </row>
    <row r="88" spans="1:24">
      <c r="A88" s="2"/>
      <c r="B88" s="11"/>
      <c r="C88" s="10"/>
      <c r="D88" s="10"/>
      <c r="E88" s="24" t="s">
        <v>30</v>
      </c>
      <c r="F88" s="48">
        <f>F83</f>
        <v>0.05</v>
      </c>
      <c r="G88" s="17"/>
      <c r="H88" s="40"/>
      <c r="I88" s="41"/>
      <c r="J88" s="42"/>
      <c r="K88" s="20" t="s">
        <v>31</v>
      </c>
      <c r="L88" s="21" t="s">
        <v>32</v>
      </c>
      <c r="M88" s="21" t="s">
        <v>33</v>
      </c>
      <c r="N88" s="21" t="s">
        <v>34</v>
      </c>
      <c r="O88" s="21" t="s">
        <v>35</v>
      </c>
      <c r="P88" s="21" t="s">
        <v>36</v>
      </c>
      <c r="Q88" s="49" t="s">
        <v>37</v>
      </c>
      <c r="R88" s="50" t="s">
        <v>38</v>
      </c>
      <c r="S88" s="50" t="s">
        <v>38</v>
      </c>
      <c r="T88" s="10"/>
      <c r="U88" s="17"/>
      <c r="V88" s="10"/>
      <c r="W88" s="10"/>
      <c r="X88" s="10"/>
    </row>
    <row r="89" spans="1:24">
      <c r="A89" s="2"/>
      <c r="B89" s="11"/>
      <c r="C89" s="10"/>
      <c r="D89" s="10"/>
      <c r="E89" s="51" t="s">
        <v>39</v>
      </c>
      <c r="F89" s="52">
        <f>(F87+F96+F97+F98+F99-I114-I117-I132)*F88</f>
        <v>1236.2130000000002</v>
      </c>
      <c r="G89" s="53" t="s">
        <v>40</v>
      </c>
      <c r="H89" s="54">
        <f>F89/1.12</f>
        <v>1103.7616071428572</v>
      </c>
      <c r="I89" s="55"/>
      <c r="J89" s="42"/>
      <c r="K89" s="56">
        <f>I107+I110+I108+I109</f>
        <v>11178.029999999999</v>
      </c>
      <c r="L89" s="57">
        <f>+I112+I111</f>
        <v>4307.26</v>
      </c>
      <c r="M89" s="57">
        <f>+I113+I114+I115+I116+I117</f>
        <v>4665.9000000000005</v>
      </c>
      <c r="N89" s="57">
        <f>I118+I119+I120+I132</f>
        <v>14856.52</v>
      </c>
      <c r="O89" s="57">
        <f>I121+I122+I123</f>
        <v>4965.57</v>
      </c>
      <c r="P89" s="57">
        <f>SUM(K89:O89)</f>
        <v>39973.279999999999</v>
      </c>
      <c r="Q89" s="58">
        <v>0</v>
      </c>
      <c r="R89" s="59">
        <f>I133</f>
        <v>11576.92</v>
      </c>
      <c r="S89" s="59"/>
      <c r="T89" s="10"/>
      <c r="U89" s="17"/>
      <c r="V89" s="10"/>
      <c r="W89" s="10"/>
      <c r="X89" s="10"/>
    </row>
    <row r="90" spans="1:24">
      <c r="A90" s="2"/>
      <c r="B90" s="11"/>
      <c r="C90" s="10"/>
      <c r="D90" s="10"/>
      <c r="E90" s="24" t="s">
        <v>41</v>
      </c>
      <c r="F90" s="60">
        <f>Q89</f>
        <v>0</v>
      </c>
      <c r="G90" s="61" t="s">
        <v>40</v>
      </c>
      <c r="H90" s="62"/>
      <c r="I90" s="62"/>
      <c r="J90" s="10" t="s">
        <v>42</v>
      </c>
      <c r="K90" s="63">
        <v>4</v>
      </c>
      <c r="L90" s="63">
        <v>2</v>
      </c>
      <c r="M90" s="63">
        <v>5</v>
      </c>
      <c r="N90" s="63">
        <v>4</v>
      </c>
      <c r="O90" s="63">
        <v>3</v>
      </c>
      <c r="P90" s="21">
        <f>SUM(K90:O90)</f>
        <v>18</v>
      </c>
      <c r="Q90" s="64"/>
      <c r="R90" s="63"/>
      <c r="S90" s="10"/>
      <c r="T90" s="10"/>
      <c r="U90" s="17"/>
      <c r="V90" s="10"/>
      <c r="W90" s="10"/>
      <c r="X90" s="10"/>
    </row>
    <row r="91" spans="1:24">
      <c r="A91" s="2"/>
      <c r="B91" s="11"/>
      <c r="C91" s="10"/>
      <c r="D91" s="10"/>
      <c r="E91" s="51" t="s">
        <v>43</v>
      </c>
      <c r="F91" s="52">
        <f>F90*0.25</f>
        <v>0</v>
      </c>
      <c r="G91" s="53" t="s">
        <v>40</v>
      </c>
      <c r="H91" s="54">
        <f>F91/1.12</f>
        <v>0</v>
      </c>
      <c r="I91" s="10"/>
      <c r="J91" s="10" t="s">
        <v>44</v>
      </c>
      <c r="K91" s="63">
        <v>3</v>
      </c>
      <c r="L91" s="63">
        <v>7</v>
      </c>
      <c r="M91" s="63">
        <v>3</v>
      </c>
      <c r="N91" s="63">
        <v>4</v>
      </c>
      <c r="O91" s="63">
        <v>4</v>
      </c>
      <c r="P91" s="21">
        <f>SUM(K91:O91)</f>
        <v>21</v>
      </c>
      <c r="Q91" s="64"/>
      <c r="R91" s="63"/>
      <c r="S91" s="10"/>
      <c r="T91" s="10"/>
      <c r="U91" s="17"/>
      <c r="V91" s="10"/>
      <c r="W91" s="10"/>
      <c r="X91" s="10"/>
    </row>
    <row r="92" spans="1:24">
      <c r="A92" s="2"/>
      <c r="B92" s="11"/>
      <c r="C92" s="10"/>
      <c r="D92" s="10"/>
      <c r="E92" s="24" t="s">
        <v>45</v>
      </c>
      <c r="F92" s="60">
        <f>I129</f>
        <v>0</v>
      </c>
      <c r="G92" s="61" t="s">
        <v>40</v>
      </c>
      <c r="H92" s="62"/>
      <c r="I92" s="10"/>
      <c r="J92" s="10" t="s">
        <v>46</v>
      </c>
      <c r="K92" s="31">
        <f t="shared" ref="K92:Q92" si="17">K90/(K90+K91)</f>
        <v>0.5714285714285714</v>
      </c>
      <c r="L92" s="31">
        <f t="shared" si="17"/>
        <v>0.22222222222222221</v>
      </c>
      <c r="M92" s="31">
        <f t="shared" si="17"/>
        <v>0.625</v>
      </c>
      <c r="N92" s="31">
        <f t="shared" si="17"/>
        <v>0.5</v>
      </c>
      <c r="O92" s="31">
        <f t="shared" si="17"/>
        <v>0.42857142857142855</v>
      </c>
      <c r="P92" s="31">
        <f t="shared" si="17"/>
        <v>0.46153846153846156</v>
      </c>
      <c r="Q92" s="31" t="e">
        <f t="shared" si="17"/>
        <v>#DIV/0!</v>
      </c>
      <c r="R92" s="63"/>
      <c r="S92" s="10"/>
      <c r="T92" s="10"/>
      <c r="U92" s="17"/>
      <c r="V92" s="10"/>
      <c r="W92" s="10"/>
      <c r="X92" s="10"/>
    </row>
    <row r="93" spans="1:24">
      <c r="A93" s="2"/>
      <c r="B93" s="11"/>
      <c r="C93" s="10"/>
      <c r="D93" s="10"/>
      <c r="E93" s="51" t="s">
        <v>47</v>
      </c>
      <c r="F93" s="52">
        <f>(F92-I128)*0.05</f>
        <v>0</v>
      </c>
      <c r="G93" s="65" t="s">
        <v>40</v>
      </c>
      <c r="H93" s="54">
        <f>F93/1.12</f>
        <v>0</v>
      </c>
      <c r="I93" s="42"/>
      <c r="J93" s="10" t="s">
        <v>48</v>
      </c>
      <c r="K93" s="66">
        <f>K89/K90</f>
        <v>2794.5074999999997</v>
      </c>
      <c r="L93" s="66">
        <f t="shared" ref="L93:Q93" si="18">L89/L90</f>
        <v>2153.63</v>
      </c>
      <c r="M93" s="66">
        <f t="shared" si="18"/>
        <v>933.18000000000006</v>
      </c>
      <c r="N93" s="66">
        <f t="shared" si="18"/>
        <v>3714.13</v>
      </c>
      <c r="O93" s="66">
        <f t="shared" si="18"/>
        <v>1655.1899999999998</v>
      </c>
      <c r="P93" s="66">
        <f t="shared" si="18"/>
        <v>2220.7377777777779</v>
      </c>
      <c r="Q93" s="66" t="e">
        <f t="shared" si="18"/>
        <v>#DIV/0!</v>
      </c>
      <c r="R93" s="63"/>
      <c r="S93" s="10"/>
      <c r="T93" s="10"/>
      <c r="U93" s="17"/>
      <c r="V93" s="10"/>
      <c r="W93" s="10"/>
      <c r="X93" s="10"/>
    </row>
    <row r="94" spans="1:24">
      <c r="A94" s="2"/>
      <c r="B94" s="11"/>
      <c r="C94" s="10"/>
      <c r="D94" s="10"/>
      <c r="E94" s="67" t="s">
        <v>14</v>
      </c>
      <c r="F94" s="68">
        <f>1*50</f>
        <v>50</v>
      </c>
      <c r="G94" s="10"/>
      <c r="H94" s="54">
        <f>F94/1.12</f>
        <v>44.642857142857139</v>
      </c>
      <c r="I94" s="10"/>
      <c r="J94" s="10"/>
      <c r="K94" s="10"/>
      <c r="L94" s="10"/>
      <c r="M94" s="10"/>
      <c r="N94" s="10"/>
      <c r="O94" s="10"/>
      <c r="P94" s="10"/>
      <c r="Q94" s="10"/>
      <c r="R94" s="10"/>
      <c r="S94" s="10"/>
      <c r="T94" s="10"/>
      <c r="U94" s="17"/>
      <c r="V94" s="10"/>
      <c r="W94" s="10"/>
      <c r="X94" s="10"/>
    </row>
    <row r="95" spans="1:24">
      <c r="A95" s="2"/>
      <c r="B95" s="11"/>
      <c r="C95" s="10"/>
      <c r="D95" s="10"/>
      <c r="E95" s="67" t="s">
        <v>49</v>
      </c>
      <c r="F95" s="69">
        <f>T84</f>
        <v>0</v>
      </c>
      <c r="G95" s="10"/>
      <c r="H95" s="54"/>
      <c r="I95" s="55"/>
      <c r="J95" s="42"/>
      <c r="K95" s="764" t="s">
        <v>50</v>
      </c>
      <c r="L95" s="765"/>
      <c r="M95" s="765"/>
      <c r="N95" s="765"/>
      <c r="O95" s="765"/>
      <c r="P95" s="765"/>
      <c r="Q95" s="766"/>
      <c r="R95" s="70" t="s">
        <v>28</v>
      </c>
      <c r="S95" s="71" t="s">
        <v>29</v>
      </c>
      <c r="T95" s="10"/>
      <c r="U95" s="17"/>
      <c r="V95" s="10"/>
      <c r="W95" s="10"/>
      <c r="X95" s="10"/>
    </row>
    <row r="96" spans="1:24">
      <c r="A96" s="2"/>
      <c r="B96" s="11"/>
      <c r="C96" s="10"/>
      <c r="D96" s="10"/>
      <c r="E96" s="72" t="s">
        <v>2352</v>
      </c>
      <c r="F96" s="73">
        <v>-156.22</v>
      </c>
      <c r="G96" s="10"/>
      <c r="H96" s="10"/>
      <c r="I96" s="10"/>
      <c r="J96" s="42"/>
      <c r="K96" s="20" t="s">
        <v>31</v>
      </c>
      <c r="L96" s="21" t="s">
        <v>32</v>
      </c>
      <c r="M96" s="21" t="s">
        <v>33</v>
      </c>
      <c r="N96" s="21" t="s">
        <v>34</v>
      </c>
      <c r="O96" s="21" t="s">
        <v>35</v>
      </c>
      <c r="P96" s="21" t="s">
        <v>36</v>
      </c>
      <c r="Q96" s="49" t="s">
        <v>37</v>
      </c>
      <c r="R96" s="50" t="s">
        <v>38</v>
      </c>
      <c r="S96" s="50" t="s">
        <v>38</v>
      </c>
      <c r="T96" s="10"/>
      <c r="U96" s="17"/>
      <c r="V96" s="10"/>
      <c r="W96" s="10"/>
      <c r="X96" s="10"/>
    </row>
    <row r="97" spans="1:24">
      <c r="A97" s="2"/>
      <c r="B97" s="11"/>
      <c r="C97" s="10"/>
      <c r="D97" s="10"/>
      <c r="E97" s="74" t="s">
        <v>2353</v>
      </c>
      <c r="F97" s="75">
        <f>-1138.09</f>
        <v>-1138.0899999999999</v>
      </c>
      <c r="G97" s="10"/>
      <c r="H97" s="10"/>
      <c r="I97" s="10"/>
      <c r="J97" s="42"/>
      <c r="K97" s="56">
        <f>F107+F110+F108+F109</f>
        <v>14401.8</v>
      </c>
      <c r="L97" s="57">
        <f>+F112+F111</f>
        <v>5240.7000000000007</v>
      </c>
      <c r="M97" s="57">
        <f>+F113+F114+F115+F116+F117</f>
        <v>4785</v>
      </c>
      <c r="N97" s="57">
        <f>F118+F119+F120+F132</f>
        <v>16173</v>
      </c>
      <c r="O97" s="57">
        <f>F121+F122+F123</f>
        <v>5060</v>
      </c>
      <c r="P97" s="57">
        <f>SUM(K97:O97)</f>
        <v>45660.5</v>
      </c>
      <c r="Q97" s="58">
        <v>0</v>
      </c>
      <c r="R97" s="59">
        <f>F133</f>
        <v>12814</v>
      </c>
      <c r="S97" s="59"/>
      <c r="T97" s="10"/>
      <c r="U97" s="17"/>
      <c r="V97" s="10"/>
      <c r="W97" s="10"/>
      <c r="X97" s="10"/>
    </row>
    <row r="98" spans="1:24">
      <c r="A98" s="2"/>
      <c r="B98" s="11"/>
      <c r="C98" s="10"/>
      <c r="D98" s="10"/>
      <c r="E98" s="72" t="s">
        <v>2354</v>
      </c>
      <c r="F98" s="73">
        <v>-355.77</v>
      </c>
      <c r="G98" s="10"/>
      <c r="H98" s="10"/>
      <c r="I98" s="10"/>
      <c r="J98" s="10" t="s">
        <v>42</v>
      </c>
      <c r="K98" s="63">
        <f>K90</f>
        <v>4</v>
      </c>
      <c r="L98" s="63">
        <f t="shared" ref="L98:Q99" si="19">L90</f>
        <v>2</v>
      </c>
      <c r="M98" s="63">
        <f t="shared" si="19"/>
        <v>5</v>
      </c>
      <c r="N98" s="63">
        <f t="shared" si="19"/>
        <v>4</v>
      </c>
      <c r="O98" s="63">
        <f t="shared" si="19"/>
        <v>3</v>
      </c>
      <c r="P98" s="63">
        <f t="shared" si="19"/>
        <v>18</v>
      </c>
      <c r="Q98" s="63">
        <f t="shared" si="19"/>
        <v>0</v>
      </c>
      <c r="R98" s="63"/>
      <c r="S98" s="10"/>
      <c r="T98" s="10"/>
      <c r="U98" s="17"/>
      <c r="V98" s="10"/>
      <c r="W98" s="10"/>
      <c r="X98" s="10"/>
    </row>
    <row r="99" spans="1:24">
      <c r="A99" s="2"/>
      <c r="B99" s="11"/>
      <c r="C99" s="10"/>
      <c r="D99" s="10"/>
      <c r="E99" s="74" t="s">
        <v>2355</v>
      </c>
      <c r="F99" s="75">
        <v>-99.72</v>
      </c>
      <c r="G99" s="10"/>
      <c r="H99" s="10"/>
      <c r="I99" s="10"/>
      <c r="J99" s="10" t="s">
        <v>44</v>
      </c>
      <c r="K99" s="63">
        <f>K91</f>
        <v>3</v>
      </c>
      <c r="L99" s="63">
        <f t="shared" si="19"/>
        <v>7</v>
      </c>
      <c r="M99" s="63">
        <f t="shared" si="19"/>
        <v>3</v>
      </c>
      <c r="N99" s="63">
        <f t="shared" si="19"/>
        <v>4</v>
      </c>
      <c r="O99" s="63">
        <f t="shared" si="19"/>
        <v>4</v>
      </c>
      <c r="P99" s="63">
        <f t="shared" si="19"/>
        <v>21</v>
      </c>
      <c r="Q99" s="63">
        <f t="shared" si="19"/>
        <v>0</v>
      </c>
      <c r="R99" s="63"/>
      <c r="S99" s="10"/>
      <c r="T99" s="10"/>
      <c r="U99" s="17"/>
      <c r="V99" s="10"/>
      <c r="W99" s="10"/>
      <c r="X99" s="10"/>
    </row>
    <row r="100" spans="1:24">
      <c r="A100" s="2"/>
      <c r="B100" s="11"/>
      <c r="C100" s="10"/>
      <c r="D100" s="10"/>
      <c r="E100" s="10"/>
      <c r="F100" s="10"/>
      <c r="G100" s="10"/>
      <c r="H100" s="10"/>
      <c r="I100" s="10"/>
      <c r="J100" s="10" t="s">
        <v>46</v>
      </c>
      <c r="K100" s="31">
        <f t="shared" ref="K100:Q100" si="20">K98/(K98+K99)</f>
        <v>0.5714285714285714</v>
      </c>
      <c r="L100" s="31">
        <f t="shared" si="20"/>
        <v>0.22222222222222221</v>
      </c>
      <c r="M100" s="31">
        <f t="shared" si="20"/>
        <v>0.625</v>
      </c>
      <c r="N100" s="31">
        <f t="shared" si="20"/>
        <v>0.5</v>
      </c>
      <c r="O100" s="31">
        <f t="shared" si="20"/>
        <v>0.42857142857142855</v>
      </c>
      <c r="P100" s="31">
        <f t="shared" si="20"/>
        <v>0.46153846153846156</v>
      </c>
      <c r="Q100" s="31" t="e">
        <f t="shared" si="20"/>
        <v>#DIV/0!</v>
      </c>
      <c r="R100" s="63"/>
      <c r="S100" s="10"/>
      <c r="T100" s="10"/>
      <c r="U100" s="17"/>
      <c r="V100" s="10"/>
      <c r="W100" s="10"/>
      <c r="X100" s="10"/>
    </row>
    <row r="101" spans="1:24">
      <c r="A101" s="2"/>
      <c r="B101" s="11"/>
      <c r="C101" s="10"/>
      <c r="D101" s="10"/>
      <c r="E101" s="10"/>
      <c r="F101" s="10"/>
      <c r="G101" s="10"/>
      <c r="H101" s="10"/>
      <c r="I101" s="10"/>
      <c r="J101" s="10" t="s">
        <v>48</v>
      </c>
      <c r="K101" s="66">
        <f t="shared" ref="K101:Q101" si="21">K97/K98</f>
        <v>3600.45</v>
      </c>
      <c r="L101" s="66">
        <f t="shared" si="21"/>
        <v>2620.3500000000004</v>
      </c>
      <c r="M101" s="66">
        <f t="shared" si="21"/>
        <v>957</v>
      </c>
      <c r="N101" s="66">
        <f t="shared" si="21"/>
        <v>4043.25</v>
      </c>
      <c r="O101" s="66">
        <f t="shared" si="21"/>
        <v>1686.6666666666667</v>
      </c>
      <c r="P101" s="66">
        <f t="shared" si="21"/>
        <v>2536.6944444444443</v>
      </c>
      <c r="Q101" s="66" t="e">
        <f t="shared" si="21"/>
        <v>#DIV/0!</v>
      </c>
      <c r="R101" s="63"/>
      <c r="S101" s="10"/>
      <c r="T101" s="10"/>
      <c r="U101" s="17"/>
      <c r="V101" s="10"/>
      <c r="W101" s="10"/>
      <c r="X101" s="10"/>
    </row>
    <row r="102" spans="1:24">
      <c r="A102" s="2"/>
      <c r="B102" s="11"/>
      <c r="C102" s="10"/>
      <c r="D102" s="10"/>
      <c r="E102" s="10"/>
      <c r="F102" s="10"/>
      <c r="G102" s="10"/>
      <c r="H102" s="10"/>
      <c r="I102" s="10"/>
      <c r="J102" s="10"/>
      <c r="K102" s="10"/>
      <c r="L102" s="10"/>
      <c r="M102" s="10"/>
      <c r="N102" s="10"/>
      <c r="O102" s="10"/>
      <c r="P102" s="10"/>
      <c r="Q102" s="10"/>
      <c r="R102" s="10"/>
      <c r="S102" s="10"/>
      <c r="T102" s="10"/>
      <c r="U102" s="17"/>
      <c r="V102" s="10"/>
      <c r="W102" s="10"/>
      <c r="X102" s="10"/>
    </row>
    <row r="103" spans="1:24">
      <c r="A103" s="2"/>
      <c r="B103" s="11"/>
      <c r="C103" s="10"/>
      <c r="D103" s="10"/>
      <c r="E103" s="10"/>
      <c r="F103" s="10"/>
      <c r="G103" s="10"/>
      <c r="H103" s="10"/>
      <c r="I103" s="10"/>
      <c r="J103" s="10"/>
      <c r="K103" s="10"/>
      <c r="L103" s="10"/>
      <c r="M103" s="10"/>
      <c r="N103" s="10"/>
      <c r="O103" s="10"/>
      <c r="P103" s="10"/>
      <c r="Q103" s="10"/>
      <c r="R103" s="10"/>
      <c r="S103" s="10"/>
      <c r="T103" s="10"/>
      <c r="U103" s="17"/>
      <c r="V103" s="10"/>
      <c r="W103" s="10"/>
      <c r="X103" s="10"/>
    </row>
    <row r="104" spans="1:24">
      <c r="A104" s="2"/>
      <c r="B104" s="18" t="s">
        <v>51</v>
      </c>
      <c r="C104" s="14"/>
      <c r="D104" s="14"/>
      <c r="E104" s="14"/>
      <c r="F104" s="13" t="s">
        <v>52</v>
      </c>
      <c r="G104" s="14"/>
      <c r="H104" s="14"/>
      <c r="I104" s="14"/>
      <c r="J104" s="14"/>
      <c r="K104" s="13" t="s">
        <v>3</v>
      </c>
      <c r="L104" s="14"/>
      <c r="M104" s="14"/>
      <c r="N104" s="13" t="s">
        <v>4</v>
      </c>
      <c r="O104" s="14"/>
      <c r="P104" s="14"/>
      <c r="Q104" s="13" t="s">
        <v>5</v>
      </c>
      <c r="R104" s="14"/>
      <c r="S104" s="14"/>
      <c r="T104" s="18"/>
      <c r="U104" s="16" t="s">
        <v>53</v>
      </c>
      <c r="V104" s="77"/>
      <c r="W104" s="77"/>
      <c r="X104" s="77"/>
    </row>
    <row r="105" spans="1:24">
      <c r="A105" s="2"/>
      <c r="B105" s="24" t="s">
        <v>54</v>
      </c>
      <c r="C105" s="21" t="s">
        <v>55</v>
      </c>
      <c r="D105" s="21" t="s">
        <v>56</v>
      </c>
      <c r="E105" s="21" t="s">
        <v>57</v>
      </c>
      <c r="F105" s="20" t="s">
        <v>58</v>
      </c>
      <c r="G105" s="21" t="s">
        <v>59</v>
      </c>
      <c r="H105" s="21" t="s">
        <v>60</v>
      </c>
      <c r="I105" s="21" t="s">
        <v>26</v>
      </c>
      <c r="J105" s="22" t="s">
        <v>61</v>
      </c>
      <c r="K105" s="21" t="s">
        <v>8</v>
      </c>
      <c r="L105" s="21" t="s">
        <v>9</v>
      </c>
      <c r="M105" s="21" t="s">
        <v>10</v>
      </c>
      <c r="N105" s="20" t="s">
        <v>11</v>
      </c>
      <c r="O105" s="21" t="s">
        <v>12</v>
      </c>
      <c r="P105" s="22" t="s">
        <v>13</v>
      </c>
      <c r="Q105" s="21" t="s">
        <v>11</v>
      </c>
      <c r="R105" s="21" t="s">
        <v>12</v>
      </c>
      <c r="S105" s="21" t="s">
        <v>13</v>
      </c>
      <c r="T105" s="78" t="s">
        <v>14</v>
      </c>
      <c r="U105" s="30"/>
      <c r="V105" s="79" t="s">
        <v>62</v>
      </c>
      <c r="W105" s="80" t="s">
        <v>63</v>
      </c>
      <c r="X105" s="81" t="s">
        <v>64</v>
      </c>
    </row>
    <row r="106" spans="1:24">
      <c r="A106" s="2"/>
      <c r="B106" s="4" t="s">
        <v>65</v>
      </c>
      <c r="C106" s="6"/>
      <c r="D106" s="6"/>
      <c r="E106" s="6"/>
      <c r="F106" s="6"/>
      <c r="G106" s="6"/>
      <c r="H106" s="6"/>
      <c r="I106" s="82"/>
      <c r="J106" s="6"/>
      <c r="K106" s="6"/>
      <c r="L106" s="6"/>
      <c r="M106" s="6"/>
      <c r="N106" s="6"/>
      <c r="O106" s="6"/>
      <c r="P106" s="6"/>
      <c r="Q106" s="6"/>
      <c r="R106" s="6"/>
      <c r="S106" s="6"/>
      <c r="T106" s="83"/>
      <c r="U106" s="6"/>
      <c r="V106" s="84"/>
      <c r="W106" s="85"/>
      <c r="X106" s="86"/>
    </row>
    <row r="107" spans="1:24">
      <c r="A107" s="2"/>
      <c r="B107" s="87">
        <v>1</v>
      </c>
      <c r="C107" s="274">
        <v>45838</v>
      </c>
      <c r="D107" s="327">
        <v>71083</v>
      </c>
      <c r="E107" s="276" t="s">
        <v>1030</v>
      </c>
      <c r="F107" s="277">
        <v>1138</v>
      </c>
      <c r="G107" s="277">
        <v>39.700000000000003</v>
      </c>
      <c r="H107" s="297"/>
      <c r="I107" s="321">
        <f t="shared" ref="I107:I123" si="22">F107-G107-H107</f>
        <v>1098.3</v>
      </c>
      <c r="J107" s="279" t="s">
        <v>156</v>
      </c>
      <c r="K107" s="279">
        <v>1</v>
      </c>
      <c r="L107" s="279">
        <v>1</v>
      </c>
      <c r="M107" s="322">
        <v>0</v>
      </c>
      <c r="N107" s="279">
        <v>1</v>
      </c>
      <c r="O107" s="279">
        <v>1</v>
      </c>
      <c r="P107" s="279">
        <v>1</v>
      </c>
      <c r="Q107" s="279">
        <v>1</v>
      </c>
      <c r="R107" s="279">
        <v>1</v>
      </c>
      <c r="S107" s="280">
        <v>1</v>
      </c>
      <c r="T107" s="63"/>
      <c r="U107" s="10"/>
      <c r="V107" s="90">
        <v>1251.8</v>
      </c>
      <c r="W107" s="91"/>
      <c r="X107" s="92"/>
    </row>
    <row r="108" spans="1:24">
      <c r="A108" s="2"/>
      <c r="B108" s="87">
        <f t="shared" ref="B108:B123" si="23">B107+1</f>
        <v>2</v>
      </c>
      <c r="C108" s="295">
        <v>45838</v>
      </c>
      <c r="D108" s="323">
        <v>71081</v>
      </c>
      <c r="E108" s="10" t="s">
        <v>991</v>
      </c>
      <c r="F108" s="62">
        <v>608.79999999999995</v>
      </c>
      <c r="G108" s="62"/>
      <c r="H108" s="62"/>
      <c r="I108" s="89">
        <f>F108-G108-H108</f>
        <v>608.79999999999995</v>
      </c>
      <c r="J108" s="63" t="s">
        <v>156</v>
      </c>
      <c r="K108" s="63">
        <v>1</v>
      </c>
      <c r="L108" s="63">
        <v>1</v>
      </c>
      <c r="M108" s="63">
        <v>1</v>
      </c>
      <c r="N108" s="63">
        <v>1</v>
      </c>
      <c r="O108" s="63">
        <v>1</v>
      </c>
      <c r="P108" s="63">
        <v>1</v>
      </c>
      <c r="Q108" s="63">
        <v>1</v>
      </c>
      <c r="R108" s="63">
        <v>1</v>
      </c>
      <c r="S108" s="296">
        <v>1</v>
      </c>
      <c r="T108" s="63"/>
      <c r="U108" s="94"/>
      <c r="V108" s="90">
        <v>669.68</v>
      </c>
      <c r="W108" s="136"/>
      <c r="X108" s="137"/>
    </row>
    <row r="109" spans="1:24">
      <c r="A109" s="388">
        <v>45839</v>
      </c>
      <c r="B109" s="87">
        <f t="shared" si="23"/>
        <v>3</v>
      </c>
      <c r="C109" s="295">
        <v>45838</v>
      </c>
      <c r="D109" s="323">
        <v>71120</v>
      </c>
      <c r="E109" s="10" t="s">
        <v>508</v>
      </c>
      <c r="F109" s="62">
        <v>5814</v>
      </c>
      <c r="G109" s="62">
        <f>39.7+(18.37)+(1506.65+77.81+7.26+108.43)+250</f>
        <v>2008.22</v>
      </c>
      <c r="H109" s="62"/>
      <c r="I109" s="89">
        <f>F109-G109-H109</f>
        <v>3805.7799999999997</v>
      </c>
      <c r="J109" s="63" t="s">
        <v>156</v>
      </c>
      <c r="K109" s="63">
        <v>1</v>
      </c>
      <c r="L109" s="63">
        <v>1</v>
      </c>
      <c r="M109" s="63">
        <v>1</v>
      </c>
      <c r="N109" s="63">
        <v>1</v>
      </c>
      <c r="O109" s="63">
        <v>1</v>
      </c>
      <c r="P109" s="63">
        <v>1</v>
      </c>
      <c r="Q109" s="63">
        <v>1</v>
      </c>
      <c r="R109" s="63">
        <v>1</v>
      </c>
      <c r="S109" s="296">
        <v>1</v>
      </c>
      <c r="T109" s="63"/>
      <c r="U109" s="94" t="s">
        <v>2356</v>
      </c>
      <c r="V109" s="90">
        <f>630+5765.4</f>
        <v>6395.4</v>
      </c>
      <c r="W109" s="136"/>
      <c r="X109" s="137"/>
    </row>
    <row r="110" spans="1:24">
      <c r="A110" s="2"/>
      <c r="B110" s="87">
        <f t="shared" si="23"/>
        <v>4</v>
      </c>
      <c r="C110" s="295">
        <v>45838</v>
      </c>
      <c r="D110" s="323">
        <v>71129</v>
      </c>
      <c r="E110" s="10" t="s">
        <v>1042</v>
      </c>
      <c r="F110" s="62">
        <v>6841</v>
      </c>
      <c r="G110" s="62">
        <f>39.7+(15.51)+(1120.64)</f>
        <v>1175.8500000000001</v>
      </c>
      <c r="H110" s="62"/>
      <c r="I110" s="89">
        <f t="shared" si="22"/>
        <v>5665.15</v>
      </c>
      <c r="J110" s="63" t="s">
        <v>156</v>
      </c>
      <c r="K110" s="63">
        <v>1</v>
      </c>
      <c r="L110" s="63">
        <v>1</v>
      </c>
      <c r="M110" s="63">
        <v>1</v>
      </c>
      <c r="N110" s="63">
        <v>1</v>
      </c>
      <c r="O110" s="63">
        <v>1</v>
      </c>
      <c r="P110" s="63">
        <v>1</v>
      </c>
      <c r="Q110" s="63">
        <v>1</v>
      </c>
      <c r="R110" s="63">
        <v>1</v>
      </c>
      <c r="S110" s="296">
        <v>1</v>
      </c>
      <c r="T110" s="63"/>
      <c r="U110" s="10" t="s">
        <v>2357</v>
      </c>
      <c r="V110" s="90">
        <f>750+6775.1</f>
        <v>7525.1</v>
      </c>
      <c r="W110" s="91"/>
      <c r="X110" s="92"/>
    </row>
    <row r="111" spans="1:24">
      <c r="A111" s="388">
        <v>45841</v>
      </c>
      <c r="B111" s="87">
        <f t="shared" si="23"/>
        <v>5</v>
      </c>
      <c r="C111" s="274">
        <v>45839</v>
      </c>
      <c r="D111" s="327" t="s">
        <v>2358</v>
      </c>
      <c r="E111" s="276" t="s">
        <v>2359</v>
      </c>
      <c r="F111" s="277">
        <v>4105.8</v>
      </c>
      <c r="G111" s="277">
        <f>39.7+38.53+(184.96+74.53+33.81+40.36+35.2+82.06+104.03+60.56)+200</f>
        <v>893.74</v>
      </c>
      <c r="H111" s="277"/>
      <c r="I111" s="278">
        <f>F111-G111-H111</f>
        <v>3212.0600000000004</v>
      </c>
      <c r="J111" s="279" t="s">
        <v>156</v>
      </c>
      <c r="K111" s="279">
        <v>1</v>
      </c>
      <c r="L111" s="279">
        <v>1</v>
      </c>
      <c r="M111" s="279">
        <v>1</v>
      </c>
      <c r="N111" s="279">
        <v>1</v>
      </c>
      <c r="O111" s="279">
        <v>1</v>
      </c>
      <c r="P111" s="279">
        <v>1</v>
      </c>
      <c r="Q111" s="279">
        <v>1</v>
      </c>
      <c r="R111" s="279">
        <v>1</v>
      </c>
      <c r="S111" s="280">
        <v>1</v>
      </c>
      <c r="T111" s="63"/>
      <c r="U111" s="94" t="s">
        <v>2360</v>
      </c>
      <c r="V111" s="90">
        <f>450+4066.38</f>
        <v>4516.38</v>
      </c>
      <c r="W111" s="136"/>
      <c r="X111" s="92"/>
    </row>
    <row r="112" spans="1:24">
      <c r="A112" s="93"/>
      <c r="B112" s="87">
        <f t="shared" si="23"/>
        <v>6</v>
      </c>
      <c r="C112" s="282">
        <v>45839</v>
      </c>
      <c r="D112" s="368">
        <v>71149</v>
      </c>
      <c r="E112" s="283" t="s">
        <v>211</v>
      </c>
      <c r="F112" s="284">
        <v>1134.9000000000001</v>
      </c>
      <c r="G112" s="284">
        <v>39.700000000000003</v>
      </c>
      <c r="H112" s="284"/>
      <c r="I112" s="285">
        <f t="shared" si="22"/>
        <v>1095.2</v>
      </c>
      <c r="J112" s="286" t="s">
        <v>156</v>
      </c>
      <c r="K112" s="286">
        <v>1</v>
      </c>
      <c r="L112" s="286">
        <v>1</v>
      </c>
      <c r="M112" s="286">
        <v>1</v>
      </c>
      <c r="N112" s="286">
        <v>1</v>
      </c>
      <c r="O112" s="286">
        <v>1</v>
      </c>
      <c r="P112" s="286">
        <v>1</v>
      </c>
      <c r="Q112" s="286">
        <v>1</v>
      </c>
      <c r="R112" s="286">
        <v>1</v>
      </c>
      <c r="S112" s="287">
        <v>1</v>
      </c>
      <c r="T112" s="63"/>
      <c r="U112" s="10"/>
      <c r="V112" s="90">
        <v>1248.3900000000001</v>
      </c>
      <c r="W112" s="91"/>
      <c r="X112" s="92"/>
    </row>
    <row r="113" spans="1:24">
      <c r="A113" s="2"/>
      <c r="B113" s="87">
        <f t="shared" si="23"/>
        <v>7</v>
      </c>
      <c r="C113" s="295">
        <v>45840</v>
      </c>
      <c r="D113" s="323">
        <v>71151</v>
      </c>
      <c r="E113" s="94" t="s">
        <v>2361</v>
      </c>
      <c r="F113" s="62">
        <v>861</v>
      </c>
      <c r="G113" s="62">
        <v>39.700000000000003</v>
      </c>
      <c r="H113" s="62"/>
      <c r="I113" s="89">
        <f t="shared" si="22"/>
        <v>821.3</v>
      </c>
      <c r="J113" s="63" t="s">
        <v>156</v>
      </c>
      <c r="K113" s="63">
        <v>1</v>
      </c>
      <c r="L113" s="63">
        <v>1</v>
      </c>
      <c r="M113" s="63">
        <v>1</v>
      </c>
      <c r="N113" s="63">
        <v>1</v>
      </c>
      <c r="O113" s="63">
        <v>1</v>
      </c>
      <c r="P113" s="63">
        <v>1</v>
      </c>
      <c r="Q113" s="63">
        <v>1</v>
      </c>
      <c r="R113" s="63">
        <v>1</v>
      </c>
      <c r="S113" s="296">
        <v>1</v>
      </c>
      <c r="T113" s="63"/>
      <c r="U113" s="10"/>
      <c r="V113" s="90">
        <v>947.1</v>
      </c>
      <c r="W113" s="91"/>
      <c r="X113" s="92"/>
    </row>
    <row r="114" spans="1:24">
      <c r="A114" s="2" t="s">
        <v>230</v>
      </c>
      <c r="B114" s="87">
        <f t="shared" si="23"/>
        <v>8</v>
      </c>
      <c r="C114" s="295">
        <v>45840</v>
      </c>
      <c r="D114" s="323">
        <v>71165</v>
      </c>
      <c r="E114" s="10" t="s">
        <v>1248</v>
      </c>
      <c r="F114" s="62">
        <v>681</v>
      </c>
      <c r="G114" s="62"/>
      <c r="H114" s="62"/>
      <c r="I114" s="369">
        <f t="shared" si="22"/>
        <v>681</v>
      </c>
      <c r="J114" s="63" t="s">
        <v>156</v>
      </c>
      <c r="K114" s="63">
        <v>1</v>
      </c>
      <c r="L114" s="325">
        <v>0</v>
      </c>
      <c r="M114" s="63">
        <v>1</v>
      </c>
      <c r="N114" s="63">
        <v>1</v>
      </c>
      <c r="O114" s="63">
        <v>1</v>
      </c>
      <c r="P114" s="63">
        <v>1</v>
      </c>
      <c r="Q114" s="63">
        <v>1</v>
      </c>
      <c r="R114" s="63">
        <v>1</v>
      </c>
      <c r="S114" s="296">
        <v>1</v>
      </c>
      <c r="T114" s="63"/>
      <c r="U114" s="10"/>
      <c r="V114" s="90">
        <v>749.1</v>
      </c>
      <c r="W114" s="91"/>
      <c r="X114" s="92"/>
    </row>
    <row r="115" spans="1:24">
      <c r="A115" s="2"/>
      <c r="B115" s="87">
        <f t="shared" si="23"/>
        <v>9</v>
      </c>
      <c r="C115" s="295">
        <v>45840</v>
      </c>
      <c r="D115" s="323">
        <v>71179</v>
      </c>
      <c r="E115" s="10" t="s">
        <v>2080</v>
      </c>
      <c r="F115" s="62">
        <v>681</v>
      </c>
      <c r="G115" s="62"/>
      <c r="H115" s="88"/>
      <c r="I115" s="89">
        <f t="shared" si="22"/>
        <v>681</v>
      </c>
      <c r="J115" s="63" t="s">
        <v>156</v>
      </c>
      <c r="K115" s="63">
        <v>1</v>
      </c>
      <c r="L115" s="63">
        <v>1</v>
      </c>
      <c r="M115" s="63">
        <v>1</v>
      </c>
      <c r="N115" s="63">
        <v>1</v>
      </c>
      <c r="O115" s="63">
        <v>1</v>
      </c>
      <c r="P115" s="63">
        <v>1</v>
      </c>
      <c r="Q115" s="63">
        <v>1</v>
      </c>
      <c r="R115" s="63">
        <v>1</v>
      </c>
      <c r="S115" s="296">
        <v>1</v>
      </c>
      <c r="T115" s="63"/>
      <c r="U115" s="10"/>
      <c r="V115" s="90">
        <v>749.1</v>
      </c>
      <c r="W115" s="91"/>
      <c r="X115" s="92"/>
    </row>
    <row r="116" spans="1:24">
      <c r="A116" s="2"/>
      <c r="B116" s="87">
        <f t="shared" si="23"/>
        <v>10</v>
      </c>
      <c r="C116" s="295">
        <v>45840</v>
      </c>
      <c r="D116" s="323">
        <v>71181</v>
      </c>
      <c r="E116" s="10" t="s">
        <v>211</v>
      </c>
      <c r="F116" s="62">
        <v>1281</v>
      </c>
      <c r="G116" s="62">
        <v>39.700000000000003</v>
      </c>
      <c r="H116" s="88"/>
      <c r="I116" s="89">
        <f t="shared" si="22"/>
        <v>1241.3</v>
      </c>
      <c r="J116" s="63" t="s">
        <v>156</v>
      </c>
      <c r="K116" s="63">
        <v>1</v>
      </c>
      <c r="L116" s="63">
        <v>1</v>
      </c>
      <c r="M116" s="63">
        <v>1</v>
      </c>
      <c r="N116" s="63">
        <v>1</v>
      </c>
      <c r="O116" s="63">
        <v>1</v>
      </c>
      <c r="P116" s="63">
        <v>1</v>
      </c>
      <c r="Q116" s="63">
        <v>1</v>
      </c>
      <c r="R116" s="63">
        <v>1</v>
      </c>
      <c r="S116" s="296">
        <v>1</v>
      </c>
      <c r="T116" s="63"/>
      <c r="U116" s="10"/>
      <c r="V116" s="90">
        <v>1409.1</v>
      </c>
      <c r="W116" s="91"/>
      <c r="X116" s="92"/>
    </row>
    <row r="117" spans="1:24">
      <c r="A117" s="2" t="s">
        <v>230</v>
      </c>
      <c r="B117" s="87">
        <f t="shared" si="23"/>
        <v>11</v>
      </c>
      <c r="C117" s="295">
        <v>45840</v>
      </c>
      <c r="D117" s="323">
        <v>71156</v>
      </c>
      <c r="E117" s="10" t="s">
        <v>681</v>
      </c>
      <c r="F117" s="62">
        <v>1281</v>
      </c>
      <c r="G117" s="62">
        <v>39.700000000000003</v>
      </c>
      <c r="H117" s="88"/>
      <c r="I117" s="369">
        <f t="shared" si="22"/>
        <v>1241.3</v>
      </c>
      <c r="J117" s="63" t="s">
        <v>156</v>
      </c>
      <c r="K117" s="63">
        <v>1</v>
      </c>
      <c r="L117" s="63">
        <v>1</v>
      </c>
      <c r="M117" s="63">
        <v>1</v>
      </c>
      <c r="N117" s="63">
        <v>1</v>
      </c>
      <c r="O117" s="63">
        <v>1</v>
      </c>
      <c r="P117" s="63">
        <v>1</v>
      </c>
      <c r="Q117" s="63">
        <v>1</v>
      </c>
      <c r="R117" s="63">
        <v>1</v>
      </c>
      <c r="S117" s="296">
        <v>1</v>
      </c>
      <c r="T117" s="63"/>
      <c r="U117" s="10" t="s">
        <v>2362</v>
      </c>
      <c r="V117" s="90">
        <v>1409.1</v>
      </c>
      <c r="W117" s="91"/>
      <c r="X117" s="92"/>
    </row>
    <row r="118" spans="1:24">
      <c r="A118" s="2"/>
      <c r="B118" s="87">
        <f t="shared" si="23"/>
        <v>12</v>
      </c>
      <c r="C118" s="274">
        <v>45841</v>
      </c>
      <c r="D118" s="320">
        <v>71185</v>
      </c>
      <c r="E118" s="276" t="s">
        <v>725</v>
      </c>
      <c r="F118" s="277">
        <v>1361</v>
      </c>
      <c r="G118" s="277">
        <v>39.700000000000003</v>
      </c>
      <c r="H118" s="297"/>
      <c r="I118" s="278">
        <f t="shared" si="22"/>
        <v>1321.3</v>
      </c>
      <c r="J118" s="279" t="s">
        <v>156</v>
      </c>
      <c r="K118" s="279">
        <v>1</v>
      </c>
      <c r="L118" s="279">
        <v>1</v>
      </c>
      <c r="M118" s="279">
        <v>1</v>
      </c>
      <c r="N118" s="279">
        <v>1</v>
      </c>
      <c r="O118" s="279">
        <v>1</v>
      </c>
      <c r="P118" s="279">
        <v>1</v>
      </c>
      <c r="Q118" s="279">
        <v>1</v>
      </c>
      <c r="R118" s="279">
        <v>1</v>
      </c>
      <c r="S118" s="280">
        <v>1</v>
      </c>
      <c r="T118" s="63"/>
      <c r="U118" s="10"/>
      <c r="V118" s="90">
        <v>1497.1</v>
      </c>
      <c r="W118" s="91"/>
      <c r="X118" s="92"/>
    </row>
    <row r="119" spans="1:24">
      <c r="A119" s="2"/>
      <c r="B119" s="87">
        <f t="shared" si="23"/>
        <v>13</v>
      </c>
      <c r="C119" s="295">
        <v>45841</v>
      </c>
      <c r="D119" s="323">
        <v>71180</v>
      </c>
      <c r="E119" s="10" t="s">
        <v>1538</v>
      </c>
      <c r="F119" s="62">
        <v>532</v>
      </c>
      <c r="G119" s="62"/>
      <c r="H119" s="88"/>
      <c r="I119" s="324">
        <f t="shared" si="22"/>
        <v>532</v>
      </c>
      <c r="J119" s="63" t="s">
        <v>156</v>
      </c>
      <c r="K119" s="63">
        <v>1</v>
      </c>
      <c r="L119" s="325">
        <v>0</v>
      </c>
      <c r="M119" s="63">
        <v>1</v>
      </c>
      <c r="N119" s="63">
        <v>1</v>
      </c>
      <c r="O119" s="63">
        <v>1</v>
      </c>
      <c r="P119" s="63">
        <v>1</v>
      </c>
      <c r="Q119" s="63">
        <v>1</v>
      </c>
      <c r="R119" s="63">
        <v>1</v>
      </c>
      <c r="S119" s="296">
        <v>1</v>
      </c>
      <c r="T119" s="63"/>
      <c r="U119" s="10"/>
      <c r="V119" s="90">
        <v>585.20000000000005</v>
      </c>
      <c r="W119" s="91"/>
      <c r="X119" s="92"/>
    </row>
    <row r="120" spans="1:24">
      <c r="A120" s="2"/>
      <c r="B120" s="87">
        <f t="shared" si="23"/>
        <v>14</v>
      </c>
      <c r="C120" s="282">
        <v>45841</v>
      </c>
      <c r="D120" s="368">
        <v>71219</v>
      </c>
      <c r="E120" s="283" t="s">
        <v>2363</v>
      </c>
      <c r="F120" s="284">
        <f>1651-185</f>
        <v>1466</v>
      </c>
      <c r="G120" s="284">
        <v>39.700000000000003</v>
      </c>
      <c r="H120" s="284"/>
      <c r="I120" s="300">
        <f t="shared" ref="I120" si="24">F120-G120-H120</f>
        <v>1426.3</v>
      </c>
      <c r="J120" s="286" t="s">
        <v>156</v>
      </c>
      <c r="K120" s="286">
        <v>1</v>
      </c>
      <c r="L120" s="286">
        <v>1</v>
      </c>
      <c r="M120" s="332">
        <v>0</v>
      </c>
      <c r="N120" s="286">
        <v>1</v>
      </c>
      <c r="O120" s="286">
        <v>1</v>
      </c>
      <c r="P120" s="286">
        <v>1</v>
      </c>
      <c r="Q120" s="286">
        <v>1</v>
      </c>
      <c r="R120" s="286">
        <v>1</v>
      </c>
      <c r="S120" s="287">
        <v>1</v>
      </c>
      <c r="T120" s="63"/>
      <c r="U120" s="10" t="s">
        <v>2364</v>
      </c>
      <c r="V120" s="90">
        <f>203.5+1409.1</f>
        <v>1612.6</v>
      </c>
      <c r="W120" s="91"/>
      <c r="X120" s="92"/>
    </row>
    <row r="121" spans="1:24">
      <c r="A121" s="2"/>
      <c r="B121" s="87">
        <f t="shared" si="23"/>
        <v>15</v>
      </c>
      <c r="C121" s="295">
        <v>45842</v>
      </c>
      <c r="D121" s="323">
        <v>71206</v>
      </c>
      <c r="E121" s="10" t="s">
        <v>811</v>
      </c>
      <c r="F121" s="95">
        <v>541</v>
      </c>
      <c r="G121" s="62"/>
      <c r="H121" s="62"/>
      <c r="I121" s="89">
        <f t="shared" si="22"/>
        <v>541</v>
      </c>
      <c r="J121" s="63" t="s">
        <v>150</v>
      </c>
      <c r="K121" s="63">
        <v>1</v>
      </c>
      <c r="L121" s="63">
        <v>1</v>
      </c>
      <c r="M121" s="63">
        <v>1</v>
      </c>
      <c r="N121" s="63">
        <v>1</v>
      </c>
      <c r="O121" s="63">
        <v>1</v>
      </c>
      <c r="P121" s="63">
        <v>1</v>
      </c>
      <c r="Q121" s="63">
        <v>1</v>
      </c>
      <c r="R121" s="63">
        <v>1</v>
      </c>
      <c r="S121" s="296">
        <v>1</v>
      </c>
      <c r="T121" s="63"/>
      <c r="U121" s="10"/>
      <c r="V121" s="90"/>
      <c r="W121" s="367">
        <v>595.1</v>
      </c>
      <c r="X121" s="92"/>
    </row>
    <row r="122" spans="1:24">
      <c r="A122" s="2"/>
      <c r="B122" s="87">
        <f t="shared" si="23"/>
        <v>16</v>
      </c>
      <c r="C122" s="295">
        <v>45842</v>
      </c>
      <c r="D122" s="323">
        <v>71222</v>
      </c>
      <c r="E122" s="10" t="s">
        <v>2365</v>
      </c>
      <c r="F122" s="95">
        <v>1719</v>
      </c>
      <c r="G122" s="62">
        <v>39.700000000000003</v>
      </c>
      <c r="H122" s="62"/>
      <c r="I122" s="89">
        <f t="shared" si="22"/>
        <v>1679.3</v>
      </c>
      <c r="J122" s="63" t="s">
        <v>156</v>
      </c>
      <c r="K122" s="63">
        <v>1</v>
      </c>
      <c r="L122" s="63">
        <v>1</v>
      </c>
      <c r="M122" s="63">
        <v>1</v>
      </c>
      <c r="N122" s="63">
        <v>1</v>
      </c>
      <c r="O122" s="63">
        <v>1</v>
      </c>
      <c r="P122" s="63">
        <v>1</v>
      </c>
      <c r="Q122" s="63">
        <v>1</v>
      </c>
      <c r="R122" s="63">
        <v>1</v>
      </c>
      <c r="S122" s="296">
        <v>1</v>
      </c>
      <c r="T122" s="63"/>
      <c r="U122" s="10"/>
      <c r="V122" s="90">
        <v>1890.9</v>
      </c>
      <c r="W122" s="91"/>
      <c r="X122" s="92"/>
    </row>
    <row r="123" spans="1:24">
      <c r="A123" s="2"/>
      <c r="B123" s="87">
        <f t="shared" si="23"/>
        <v>17</v>
      </c>
      <c r="C123" s="282">
        <v>45842</v>
      </c>
      <c r="D123" s="368">
        <v>71239</v>
      </c>
      <c r="E123" s="283" t="s">
        <v>382</v>
      </c>
      <c r="F123" s="423">
        <v>2800</v>
      </c>
      <c r="G123" s="284">
        <f>39.7+(15.03)</f>
        <v>54.730000000000004</v>
      </c>
      <c r="H123" s="284"/>
      <c r="I123" s="285">
        <f t="shared" si="22"/>
        <v>2745.27</v>
      </c>
      <c r="J123" s="286" t="s">
        <v>156</v>
      </c>
      <c r="K123" s="286">
        <v>1</v>
      </c>
      <c r="L123" s="286">
        <v>1</v>
      </c>
      <c r="M123" s="286">
        <v>1</v>
      </c>
      <c r="N123" s="286">
        <v>1</v>
      </c>
      <c r="O123" s="286">
        <v>1</v>
      </c>
      <c r="P123" s="286">
        <v>1</v>
      </c>
      <c r="Q123" s="286">
        <v>1</v>
      </c>
      <c r="R123" s="286">
        <v>1</v>
      </c>
      <c r="S123" s="287">
        <v>1</v>
      </c>
      <c r="T123" s="63"/>
      <c r="U123" s="10"/>
      <c r="V123" s="90">
        <v>3080</v>
      </c>
      <c r="W123" s="91"/>
      <c r="X123" s="92"/>
    </row>
    <row r="124" spans="1:24">
      <c r="A124" s="2"/>
      <c r="B124" s="87"/>
      <c r="C124" s="36"/>
      <c r="D124" s="10"/>
      <c r="E124" s="10"/>
      <c r="F124" s="97">
        <f>SUM(F107:F123)</f>
        <v>32846.5</v>
      </c>
      <c r="G124" s="97">
        <f>SUM(G107:G123)</f>
        <v>4450.1399999999985</v>
      </c>
      <c r="H124" s="97">
        <f>SUM(H107:H123)</f>
        <v>0</v>
      </c>
      <c r="I124" s="98">
        <f>SUM(I107:I123)</f>
        <v>28396.359999999997</v>
      </c>
      <c r="J124" s="63"/>
      <c r="K124" s="63">
        <f t="shared" ref="K124:S124" si="25">COUNT(K107:K123)</f>
        <v>17</v>
      </c>
      <c r="L124" s="63">
        <f t="shared" si="25"/>
        <v>17</v>
      </c>
      <c r="M124" s="63">
        <f t="shared" si="25"/>
        <v>17</v>
      </c>
      <c r="N124" s="63">
        <f t="shared" si="25"/>
        <v>17</v>
      </c>
      <c r="O124" s="63">
        <f t="shared" si="25"/>
        <v>17</v>
      </c>
      <c r="P124" s="63">
        <f t="shared" si="25"/>
        <v>17</v>
      </c>
      <c r="Q124" s="63">
        <f t="shared" si="25"/>
        <v>17</v>
      </c>
      <c r="R124" s="63">
        <f t="shared" si="25"/>
        <v>17</v>
      </c>
      <c r="S124" s="63">
        <f t="shared" si="25"/>
        <v>17</v>
      </c>
      <c r="T124" s="63"/>
      <c r="U124" s="10"/>
      <c r="V124" s="90"/>
      <c r="W124" s="91"/>
      <c r="X124" s="92"/>
    </row>
    <row r="125" spans="1:24">
      <c r="A125" s="2"/>
      <c r="B125" s="87"/>
      <c r="C125" s="36"/>
      <c r="D125" s="10"/>
      <c r="E125" s="10"/>
      <c r="F125" s="88"/>
      <c r="G125" s="88"/>
      <c r="H125" s="88"/>
      <c r="I125" s="99"/>
      <c r="J125" s="63"/>
      <c r="K125" s="21">
        <f t="shared" ref="K125:S125" si="26">SUM(K107:K123)</f>
        <v>17</v>
      </c>
      <c r="L125" s="21">
        <f t="shared" si="26"/>
        <v>15</v>
      </c>
      <c r="M125" s="21">
        <f t="shared" si="26"/>
        <v>15</v>
      </c>
      <c r="N125" s="21">
        <f t="shared" si="26"/>
        <v>17</v>
      </c>
      <c r="O125" s="21">
        <f t="shared" si="26"/>
        <v>17</v>
      </c>
      <c r="P125" s="21">
        <f t="shared" si="26"/>
        <v>17</v>
      </c>
      <c r="Q125" s="21">
        <f t="shared" si="26"/>
        <v>17</v>
      </c>
      <c r="R125" s="21">
        <f t="shared" si="26"/>
        <v>17</v>
      </c>
      <c r="S125" s="21">
        <f t="shared" si="26"/>
        <v>17</v>
      </c>
      <c r="T125" s="63"/>
      <c r="U125" s="10"/>
      <c r="V125" s="90"/>
      <c r="W125" s="91"/>
      <c r="X125" s="92"/>
    </row>
    <row r="126" spans="1:24">
      <c r="A126" s="2"/>
      <c r="B126" s="11"/>
      <c r="C126" s="36"/>
      <c r="D126" s="10"/>
      <c r="E126" s="10"/>
      <c r="F126" s="88"/>
      <c r="G126" s="88"/>
      <c r="H126" s="88"/>
      <c r="I126" s="99"/>
      <c r="J126" s="63"/>
      <c r="K126" s="21"/>
      <c r="L126" s="21"/>
      <c r="M126" s="21"/>
      <c r="N126" s="21"/>
      <c r="O126" s="21"/>
      <c r="P126" s="21"/>
      <c r="Q126" s="21"/>
      <c r="R126" s="21"/>
      <c r="S126" s="21"/>
      <c r="T126" s="63"/>
      <c r="U126" s="10"/>
      <c r="V126" s="90"/>
      <c r="W126" s="91"/>
      <c r="X126" s="92"/>
    </row>
    <row r="127" spans="1:24">
      <c r="A127" s="2"/>
      <c r="B127" s="100" t="s">
        <v>67</v>
      </c>
      <c r="C127" s="36"/>
      <c r="D127" s="10"/>
      <c r="E127" s="10"/>
      <c r="F127" s="88"/>
      <c r="G127" s="62"/>
      <c r="H127" s="88"/>
      <c r="I127" s="99"/>
      <c r="J127" s="63"/>
      <c r="K127" s="2"/>
      <c r="L127" s="2"/>
      <c r="M127" s="2"/>
      <c r="N127" s="2"/>
      <c r="O127" s="2"/>
      <c r="P127" s="2"/>
      <c r="Q127" s="2"/>
      <c r="R127" s="2"/>
      <c r="S127" s="2"/>
      <c r="T127" s="63"/>
      <c r="U127" s="94"/>
      <c r="V127" s="90"/>
      <c r="W127" s="91"/>
      <c r="X127" s="92"/>
    </row>
    <row r="128" spans="1:24">
      <c r="A128" s="371" t="s">
        <v>2366</v>
      </c>
      <c r="B128" s="458">
        <v>1</v>
      </c>
      <c r="C128" s="373">
        <v>45821</v>
      </c>
      <c r="D128" s="357">
        <v>70725</v>
      </c>
      <c r="E128" s="391" t="s">
        <v>1104</v>
      </c>
      <c r="F128" s="375">
        <f>2281-85-2196</f>
        <v>0</v>
      </c>
      <c r="G128" s="375">
        <f>39.7+465-504.7</f>
        <v>0</v>
      </c>
      <c r="H128" s="375"/>
      <c r="I128" s="459">
        <f>F128-G128-H128</f>
        <v>0</v>
      </c>
      <c r="J128" s="314" t="s">
        <v>156</v>
      </c>
      <c r="K128" s="314">
        <v>1</v>
      </c>
      <c r="L128" s="314"/>
      <c r="M128" s="314">
        <v>1</v>
      </c>
      <c r="N128" s="314">
        <v>1</v>
      </c>
      <c r="O128" s="314">
        <v>1</v>
      </c>
      <c r="P128" s="314">
        <v>1</v>
      </c>
      <c r="Q128" s="314"/>
      <c r="R128" s="314"/>
      <c r="S128" s="366"/>
      <c r="T128" s="325"/>
      <c r="U128" s="42" t="s">
        <v>2343</v>
      </c>
      <c r="V128" s="377"/>
      <c r="W128" s="392"/>
      <c r="X128" s="379"/>
    </row>
    <row r="129" spans="1:24">
      <c r="A129" s="2"/>
      <c r="B129" s="11"/>
      <c r="C129" s="36"/>
      <c r="D129" s="10"/>
      <c r="E129" s="10"/>
      <c r="F129" s="97">
        <f>SUM(F128:F128)</f>
        <v>0</v>
      </c>
      <c r="G129" s="97">
        <f>SUM(G128:G128)</f>
        <v>0</v>
      </c>
      <c r="H129" s="97">
        <f>SUM(H128:H128)</f>
        <v>0</v>
      </c>
      <c r="I129" s="98">
        <f>SUM(I128:I128)</f>
        <v>0</v>
      </c>
      <c r="J129" s="63"/>
      <c r="K129" s="21"/>
      <c r="L129" s="21"/>
      <c r="M129" s="21"/>
      <c r="N129" s="21"/>
      <c r="O129" s="21"/>
      <c r="P129" s="21"/>
      <c r="Q129" s="21"/>
      <c r="R129" s="21"/>
      <c r="S129" s="21"/>
      <c r="T129" s="63"/>
      <c r="U129" s="94"/>
      <c r="V129" s="90"/>
      <c r="W129" s="91"/>
      <c r="X129" s="92"/>
    </row>
    <row r="130" spans="1:24">
      <c r="A130" s="2"/>
      <c r="B130" s="11"/>
      <c r="C130" s="36"/>
      <c r="D130" s="10"/>
      <c r="E130" s="10"/>
      <c r="F130" s="88"/>
      <c r="G130" s="88"/>
      <c r="H130" s="88"/>
      <c r="I130" s="99"/>
      <c r="J130" s="63"/>
      <c r="K130" s="21"/>
      <c r="L130" s="21"/>
      <c r="M130" s="21"/>
      <c r="N130" s="21"/>
      <c r="O130" s="21"/>
      <c r="P130" s="21"/>
      <c r="Q130" s="21"/>
      <c r="R130" s="21"/>
      <c r="S130" s="21"/>
      <c r="T130" s="63"/>
      <c r="U130" s="94"/>
      <c r="V130" s="90"/>
      <c r="W130" s="91"/>
      <c r="X130" s="92"/>
    </row>
    <row r="131" spans="1:24">
      <c r="A131" s="128"/>
      <c r="B131" s="121" t="s">
        <v>68</v>
      </c>
      <c r="C131" s="122"/>
      <c r="D131" s="123"/>
      <c r="E131" s="128"/>
      <c r="F131" s="124"/>
      <c r="G131" s="124"/>
      <c r="H131" s="124"/>
      <c r="I131" s="126"/>
      <c r="J131" s="127"/>
      <c r="K131" s="64"/>
      <c r="L131" s="64"/>
      <c r="M131" s="64"/>
      <c r="N131" s="64"/>
      <c r="O131" s="64"/>
      <c r="P131" s="64"/>
      <c r="Q131" s="64"/>
      <c r="R131" s="64"/>
      <c r="S131" s="64"/>
      <c r="T131" s="127"/>
      <c r="U131" s="135"/>
      <c r="V131" s="129"/>
      <c r="W131" s="130"/>
      <c r="X131" s="131"/>
    </row>
    <row r="132" spans="1:24" s="342" customFormat="1">
      <c r="A132" s="457" t="s">
        <v>2367</v>
      </c>
      <c r="B132" s="333">
        <v>1</v>
      </c>
      <c r="C132" s="350">
        <v>45841</v>
      </c>
      <c r="D132" s="263" t="s">
        <v>2368</v>
      </c>
      <c r="E132" s="358" t="s">
        <v>725</v>
      </c>
      <c r="F132" s="352">
        <v>12814</v>
      </c>
      <c r="G132" s="352">
        <f>39.7+(166.25+31.13)+1000</f>
        <v>1237.08</v>
      </c>
      <c r="H132" s="352"/>
      <c r="I132" s="353">
        <f>F132-G132-H132</f>
        <v>11576.92</v>
      </c>
      <c r="J132" s="354" t="s">
        <v>228</v>
      </c>
      <c r="K132" s="354">
        <v>1</v>
      </c>
      <c r="L132" s="354">
        <v>1</v>
      </c>
      <c r="M132" s="354">
        <v>1</v>
      </c>
      <c r="N132" s="354">
        <v>1</v>
      </c>
      <c r="O132" s="354">
        <v>1</v>
      </c>
      <c r="P132" s="354">
        <v>1</v>
      </c>
      <c r="Q132" s="354">
        <v>1</v>
      </c>
      <c r="R132" s="354">
        <v>1</v>
      </c>
      <c r="S132" s="355">
        <v>1</v>
      </c>
      <c r="T132" s="127"/>
      <c r="U132" s="135" t="s">
        <v>2369</v>
      </c>
      <c r="V132" s="129">
        <f>1409.5+5000+7685.9</f>
        <v>14095.4</v>
      </c>
      <c r="W132" s="340"/>
      <c r="X132" s="341"/>
    </row>
    <row r="133" spans="1:24">
      <c r="A133" s="128"/>
      <c r="B133" s="132"/>
      <c r="C133" s="122"/>
      <c r="D133" s="123"/>
      <c r="E133" s="123"/>
      <c r="F133" s="134">
        <f>SUM(F132:F132)</f>
        <v>12814</v>
      </c>
      <c r="G133" s="134">
        <f>SUM(G132:G132)</f>
        <v>1237.08</v>
      </c>
      <c r="H133" s="134">
        <f>SUM(H132:H132)</f>
        <v>0</v>
      </c>
      <c r="I133" s="134">
        <f>SUM(I132:I132)</f>
        <v>11576.92</v>
      </c>
      <c r="J133" s="127"/>
      <c r="K133" s="64"/>
      <c r="L133" s="64"/>
      <c r="M133" s="64"/>
      <c r="N133" s="64"/>
      <c r="O133" s="64"/>
      <c r="P133" s="64"/>
      <c r="Q133" s="64"/>
      <c r="R133" s="64"/>
      <c r="S133" s="64"/>
      <c r="T133" s="127"/>
      <c r="U133" s="135"/>
      <c r="V133" s="129"/>
      <c r="W133" s="130"/>
      <c r="X133" s="131"/>
    </row>
    <row r="134" spans="1:24">
      <c r="A134" s="2"/>
      <c r="B134" s="11"/>
      <c r="C134" s="36"/>
      <c r="D134" s="10"/>
      <c r="E134" s="10"/>
      <c r="F134" s="88"/>
      <c r="G134" s="88"/>
      <c r="H134" s="88"/>
      <c r="I134" s="99"/>
      <c r="J134" s="10"/>
      <c r="K134" s="63"/>
      <c r="L134" s="63"/>
      <c r="M134" s="63"/>
      <c r="N134" s="63"/>
      <c r="O134" s="63"/>
      <c r="P134" s="63"/>
      <c r="Q134" s="63"/>
      <c r="R134" s="63"/>
      <c r="S134" s="63"/>
      <c r="T134" s="63"/>
      <c r="U134" s="94"/>
      <c r="V134" s="90"/>
      <c r="W134" s="91"/>
      <c r="X134" s="92"/>
    </row>
    <row r="135" spans="1:24" s="260" customFormat="1">
      <c r="B135" s="100" t="s">
        <v>152</v>
      </c>
      <c r="C135" s="270"/>
      <c r="D135" s="10"/>
      <c r="E135" s="101"/>
      <c r="F135" s="88"/>
      <c r="G135" s="62"/>
      <c r="H135" s="88"/>
      <c r="I135" s="99"/>
      <c r="J135" s="63"/>
      <c r="K135" s="181"/>
      <c r="L135" s="181"/>
      <c r="M135" s="181"/>
      <c r="N135" s="181"/>
      <c r="O135" s="181"/>
      <c r="P135" s="181"/>
      <c r="Q135" s="181"/>
      <c r="R135" s="181"/>
      <c r="S135" s="181"/>
      <c r="T135" s="63"/>
      <c r="U135" s="10"/>
      <c r="V135" s="90"/>
      <c r="W135" s="91"/>
      <c r="X135" s="92"/>
    </row>
    <row r="136" spans="1:24" s="260" customFormat="1">
      <c r="A136" s="181" t="s">
        <v>619</v>
      </c>
      <c r="B136" s="87">
        <v>1</v>
      </c>
      <c r="C136" s="262">
        <v>45778</v>
      </c>
      <c r="D136" s="271">
        <v>55240</v>
      </c>
      <c r="E136" s="264" t="s">
        <v>778</v>
      </c>
      <c r="F136" s="265">
        <v>2861</v>
      </c>
      <c r="G136" s="265">
        <f>39.7+(90.06)</f>
        <v>129.76</v>
      </c>
      <c r="H136" s="265"/>
      <c r="I136" s="272">
        <f>F136-G136-H136</f>
        <v>2731.24</v>
      </c>
      <c r="J136" s="267"/>
      <c r="K136" s="267">
        <v>1</v>
      </c>
      <c r="L136" s="267">
        <v>1</v>
      </c>
      <c r="M136" s="267"/>
      <c r="N136" s="267">
        <v>1</v>
      </c>
      <c r="O136" s="267">
        <v>1</v>
      </c>
      <c r="P136" s="267">
        <v>1</v>
      </c>
      <c r="Q136" s="267">
        <v>1</v>
      </c>
      <c r="R136" s="267">
        <v>1</v>
      </c>
      <c r="S136" s="269">
        <v>1</v>
      </c>
      <c r="T136" s="63"/>
      <c r="U136" s="10"/>
      <c r="V136" s="90"/>
      <c r="W136" s="91"/>
      <c r="X136" s="92"/>
    </row>
    <row r="137" spans="1:24" s="260" customFormat="1">
      <c r="A137" s="261">
        <v>0.05</v>
      </c>
      <c r="B137" s="87">
        <f>B136+1</f>
        <v>2</v>
      </c>
      <c r="C137" s="274">
        <v>45833</v>
      </c>
      <c r="D137" s="276">
        <v>71012</v>
      </c>
      <c r="E137" s="281" t="s">
        <v>317</v>
      </c>
      <c r="F137" s="277">
        <v>5232.6000000000004</v>
      </c>
      <c r="G137" s="277">
        <f>39.7+(24.15+1060.54)+250</f>
        <v>1374.39</v>
      </c>
      <c r="H137" s="277"/>
      <c r="I137" s="278">
        <f>F137-G137-H137</f>
        <v>3858.21</v>
      </c>
      <c r="J137" s="279" t="s">
        <v>156</v>
      </c>
      <c r="K137" s="279">
        <v>1</v>
      </c>
      <c r="L137" s="279">
        <v>1</v>
      </c>
      <c r="M137" s="279">
        <v>1</v>
      </c>
      <c r="N137" s="279">
        <v>1</v>
      </c>
      <c r="O137" s="279">
        <v>1</v>
      </c>
      <c r="P137" s="279">
        <v>0</v>
      </c>
      <c r="Q137" s="279">
        <v>0</v>
      </c>
      <c r="R137" s="279">
        <v>0</v>
      </c>
      <c r="S137" s="280">
        <v>0</v>
      </c>
      <c r="T137" s="63"/>
      <c r="U137" s="10" t="s">
        <v>2370</v>
      </c>
      <c r="V137" s="90"/>
      <c r="W137" s="91"/>
      <c r="X137" s="92"/>
    </row>
    <row r="138" spans="1:24" s="260" customFormat="1">
      <c r="A138" s="261">
        <v>0.05</v>
      </c>
      <c r="B138" s="87">
        <f t="shared" ref="B138" si="27">B137+1</f>
        <v>3</v>
      </c>
      <c r="C138" s="282">
        <v>45833</v>
      </c>
      <c r="D138" s="283">
        <v>71028</v>
      </c>
      <c r="E138" s="283" t="s">
        <v>659</v>
      </c>
      <c r="F138" s="284">
        <v>2164</v>
      </c>
      <c r="G138" s="284">
        <v>39.700000000000003</v>
      </c>
      <c r="H138" s="284"/>
      <c r="I138" s="285">
        <f>F138-G138-H138</f>
        <v>2124.3000000000002</v>
      </c>
      <c r="J138" s="286"/>
      <c r="K138" s="286">
        <v>1</v>
      </c>
      <c r="L138" s="286">
        <v>1</v>
      </c>
      <c r="M138" s="286"/>
      <c r="N138" s="286">
        <v>1</v>
      </c>
      <c r="O138" s="286">
        <v>1</v>
      </c>
      <c r="P138" s="286">
        <v>1</v>
      </c>
      <c r="Q138" s="286">
        <v>1</v>
      </c>
      <c r="R138" s="286">
        <v>1</v>
      </c>
      <c r="S138" s="287">
        <v>1</v>
      </c>
      <c r="T138" s="63"/>
      <c r="U138" s="10"/>
      <c r="V138" s="90"/>
      <c r="W138" s="91"/>
      <c r="X138" s="92"/>
    </row>
    <row r="139" spans="1:24" s="260" customFormat="1">
      <c r="B139" s="11"/>
      <c r="C139" s="270"/>
      <c r="D139" s="10"/>
      <c r="E139" s="10"/>
      <c r="F139" s="97">
        <f>SUM(F136:F138)</f>
        <v>10257.6</v>
      </c>
      <c r="G139" s="97">
        <f t="shared" ref="G139:I139" si="28">SUM(G136:G138)</f>
        <v>1543.8500000000001</v>
      </c>
      <c r="H139" s="97">
        <f t="shared" si="28"/>
        <v>0</v>
      </c>
      <c r="I139" s="97">
        <f t="shared" si="28"/>
        <v>8713.75</v>
      </c>
      <c r="J139" s="63"/>
      <c r="K139" s="21"/>
      <c r="L139" s="21"/>
      <c r="M139" s="21"/>
      <c r="N139" s="21"/>
      <c r="O139" s="21"/>
      <c r="P139" s="21"/>
      <c r="Q139" s="21"/>
      <c r="R139" s="21"/>
      <c r="S139" s="21"/>
      <c r="T139" s="63"/>
      <c r="U139" s="10"/>
      <c r="V139" s="90"/>
      <c r="W139" s="91"/>
      <c r="X139" s="92"/>
    </row>
    <row r="140" spans="1:24" s="260" customFormat="1">
      <c r="B140" s="11"/>
      <c r="C140" s="270"/>
      <c r="D140" s="10"/>
      <c r="E140" s="10"/>
      <c r="F140" s="88"/>
      <c r="G140" s="88"/>
      <c r="H140" s="88"/>
      <c r="I140" s="99"/>
      <c r="J140" s="63"/>
      <c r="K140" s="21"/>
      <c r="L140" s="21"/>
      <c r="M140" s="21"/>
      <c r="N140" s="21"/>
      <c r="O140" s="21"/>
      <c r="P140" s="21"/>
      <c r="Q140" s="21"/>
      <c r="R140" s="21"/>
      <c r="S140" s="21"/>
      <c r="T140" s="63"/>
      <c r="U140" s="10"/>
      <c r="V140" s="90"/>
      <c r="W140" s="91"/>
      <c r="X140" s="92"/>
    </row>
    <row r="141" spans="1:24" s="260" customFormat="1">
      <c r="B141" s="100" t="s">
        <v>202</v>
      </c>
      <c r="C141" s="270"/>
      <c r="D141" s="10"/>
      <c r="E141" s="181"/>
      <c r="F141" s="88"/>
      <c r="G141" s="88"/>
      <c r="H141" s="88"/>
      <c r="I141" s="99"/>
      <c r="J141" s="63"/>
      <c r="K141" s="21"/>
      <c r="L141" s="21"/>
      <c r="M141" s="21"/>
      <c r="N141" s="21"/>
      <c r="O141" s="21"/>
      <c r="P141" s="21"/>
      <c r="Q141" s="21"/>
      <c r="R141" s="21"/>
      <c r="S141" s="21"/>
      <c r="T141" s="63"/>
      <c r="U141" s="10"/>
      <c r="V141" s="90"/>
      <c r="W141" s="91"/>
      <c r="X141" s="92"/>
    </row>
    <row r="142" spans="1:24" s="260" customFormat="1">
      <c r="A142" s="261">
        <v>0.05</v>
      </c>
      <c r="B142" s="87">
        <v>1</v>
      </c>
      <c r="C142" s="262">
        <v>45790</v>
      </c>
      <c r="D142" s="273" t="s">
        <v>2339</v>
      </c>
      <c r="E142" s="271" t="s">
        <v>225</v>
      </c>
      <c r="F142" s="265">
        <v>8614</v>
      </c>
      <c r="G142" s="265">
        <f>39.7+(143.54)+(86.25+50.9)+750</f>
        <v>1070.3899999999999</v>
      </c>
      <c r="H142" s="265"/>
      <c r="I142" s="272">
        <f>F142-G142-H142</f>
        <v>7543.6100000000006</v>
      </c>
      <c r="J142" s="267"/>
      <c r="K142" s="267">
        <v>1</v>
      </c>
      <c r="L142" s="267"/>
      <c r="M142" s="267"/>
      <c r="N142" s="267">
        <v>1</v>
      </c>
      <c r="O142" s="267">
        <v>1</v>
      </c>
      <c r="P142" s="267">
        <v>1</v>
      </c>
      <c r="Q142" s="267">
        <v>0</v>
      </c>
      <c r="R142" s="267">
        <v>0</v>
      </c>
      <c r="S142" s="269">
        <v>0</v>
      </c>
      <c r="T142" s="63"/>
      <c r="U142" s="10" t="s">
        <v>2340</v>
      </c>
      <c r="V142" s="90"/>
      <c r="W142" s="136"/>
      <c r="X142" s="137"/>
    </row>
    <row r="143" spans="1:24" s="260" customFormat="1">
      <c r="A143" s="261">
        <v>0.05</v>
      </c>
      <c r="B143" s="87">
        <f>B142+1</f>
        <v>2</v>
      </c>
      <c r="C143" s="262">
        <v>45799</v>
      </c>
      <c r="D143" s="273" t="s">
        <v>2341</v>
      </c>
      <c r="E143" s="271" t="s">
        <v>464</v>
      </c>
      <c r="F143" s="265">
        <v>15214.25</v>
      </c>
      <c r="G143" s="265">
        <v>39.700000000000003</v>
      </c>
      <c r="H143" s="265"/>
      <c r="I143" s="272">
        <f>F143-G143-H143</f>
        <v>15174.55</v>
      </c>
      <c r="J143" s="267"/>
      <c r="K143" s="267">
        <v>1</v>
      </c>
      <c r="L143" s="267"/>
      <c r="M143" s="267"/>
      <c r="N143" s="267">
        <v>1</v>
      </c>
      <c r="O143" s="267">
        <v>1</v>
      </c>
      <c r="P143" s="267">
        <v>0</v>
      </c>
      <c r="Q143" s="267"/>
      <c r="R143" s="267"/>
      <c r="S143" s="269"/>
      <c r="T143" s="63"/>
      <c r="U143" s="10"/>
      <c r="V143" s="90"/>
      <c r="W143" s="136"/>
      <c r="X143" s="137"/>
    </row>
    <row r="144" spans="1:24" s="260" customFormat="1">
      <c r="A144" s="181" t="s">
        <v>619</v>
      </c>
      <c r="B144" s="87">
        <f>B143+1</f>
        <v>3</v>
      </c>
      <c r="C144" s="262">
        <v>45826</v>
      </c>
      <c r="D144" s="273" t="s">
        <v>2344</v>
      </c>
      <c r="E144" s="271" t="s">
        <v>2345</v>
      </c>
      <c r="F144" s="265">
        <v>21400</v>
      </c>
      <c r="G144" s="265">
        <f>39.7+(104.18+165.91+61.7)+(78.89)+2000</f>
        <v>2450.38</v>
      </c>
      <c r="H144" s="265"/>
      <c r="I144" s="272">
        <f>F144-G144-H144</f>
        <v>18949.62</v>
      </c>
      <c r="J144" s="267"/>
      <c r="K144" s="267">
        <v>1</v>
      </c>
      <c r="L144" s="267"/>
      <c r="M144" s="267"/>
      <c r="N144" s="267">
        <v>1</v>
      </c>
      <c r="O144" s="267">
        <v>1</v>
      </c>
      <c r="P144" s="267">
        <v>0</v>
      </c>
      <c r="Q144" s="267"/>
      <c r="R144" s="267"/>
      <c r="S144" s="269"/>
      <c r="T144" s="63"/>
      <c r="U144" s="10" t="s">
        <v>2346</v>
      </c>
      <c r="V144" s="90"/>
      <c r="W144" s="136"/>
      <c r="X144" s="137"/>
    </row>
    <row r="145" spans="1:24" s="260" customFormat="1">
      <c r="A145" s="260" t="s">
        <v>2347</v>
      </c>
      <c r="B145" s="11"/>
      <c r="C145" s="270"/>
      <c r="D145" s="10"/>
      <c r="E145" s="10"/>
      <c r="F145" s="97">
        <f>SUM(F142:F144)</f>
        <v>45228.25</v>
      </c>
      <c r="G145" s="97">
        <f>SUM(G142:G144)</f>
        <v>3560.4700000000003</v>
      </c>
      <c r="H145" s="97">
        <f>SUM(H142:H144)</f>
        <v>0</v>
      </c>
      <c r="I145" s="97">
        <f>SUM(I142:I144)</f>
        <v>41667.78</v>
      </c>
      <c r="J145" s="63"/>
      <c r="K145" s="21"/>
      <c r="L145" s="21"/>
      <c r="M145" s="21"/>
      <c r="N145" s="21"/>
      <c r="O145" s="21"/>
      <c r="P145" s="21"/>
      <c r="Q145" s="21"/>
      <c r="R145" s="21"/>
      <c r="S145" s="21"/>
      <c r="T145" s="63"/>
      <c r="V145" s="90"/>
      <c r="W145" s="91"/>
      <c r="X145" s="92"/>
    </row>
    <row r="146" spans="1:24" s="260" customFormat="1">
      <c r="B146" s="11"/>
      <c r="C146" s="270"/>
      <c r="D146" s="10"/>
      <c r="E146" s="10"/>
      <c r="F146" s="88"/>
      <c r="G146" s="88"/>
      <c r="H146" s="88"/>
      <c r="I146" s="88"/>
      <c r="J146" s="63"/>
      <c r="K146" s="21"/>
      <c r="L146" s="21"/>
      <c r="M146" s="21"/>
      <c r="N146" s="21"/>
      <c r="O146" s="21"/>
      <c r="P146" s="21"/>
      <c r="Q146" s="21"/>
      <c r="R146" s="21"/>
      <c r="S146" s="21"/>
      <c r="T146" s="63"/>
      <c r="U146" s="10"/>
      <c r="V146" s="90"/>
      <c r="W146" s="91"/>
      <c r="X146" s="92"/>
    </row>
    <row r="147" spans="1:24">
      <c r="A147" s="2"/>
      <c r="B147" s="100" t="s">
        <v>72</v>
      </c>
      <c r="C147" s="36"/>
      <c r="D147" s="10"/>
      <c r="E147" s="10"/>
      <c r="F147" s="88"/>
      <c r="G147" s="88"/>
      <c r="H147" s="88"/>
      <c r="I147" s="99"/>
      <c r="J147" s="63"/>
      <c r="K147" s="63"/>
      <c r="L147" s="63"/>
      <c r="M147" s="63"/>
      <c r="N147" s="63"/>
      <c r="O147" s="63"/>
      <c r="P147" s="63"/>
      <c r="Q147" s="63"/>
      <c r="R147" s="63"/>
      <c r="S147" s="63"/>
      <c r="T147" s="63"/>
      <c r="U147" s="10"/>
      <c r="V147" s="90"/>
      <c r="W147" s="91"/>
      <c r="X147" s="92"/>
    </row>
    <row r="148" spans="1:24">
      <c r="A148" s="2"/>
      <c r="B148" s="87">
        <v>1</v>
      </c>
      <c r="C148" s="274">
        <v>45838</v>
      </c>
      <c r="D148" s="276">
        <v>71088</v>
      </c>
      <c r="E148" s="276" t="s">
        <v>191</v>
      </c>
      <c r="F148" s="277">
        <v>1641</v>
      </c>
      <c r="G148" s="277">
        <v>39.700000000000003</v>
      </c>
      <c r="H148" s="277"/>
      <c r="I148" s="278">
        <f t="shared" ref="I148:I168" si="29">F148-G148-H148</f>
        <v>1601.3</v>
      </c>
      <c r="J148" s="279" t="s">
        <v>205</v>
      </c>
      <c r="K148" s="279">
        <v>1</v>
      </c>
      <c r="L148" s="279"/>
      <c r="M148" s="279"/>
      <c r="N148" s="279">
        <v>1</v>
      </c>
      <c r="O148" s="279"/>
      <c r="P148" s="279"/>
      <c r="Q148" s="279">
        <v>1</v>
      </c>
      <c r="R148" s="279">
        <v>1</v>
      </c>
      <c r="S148" s="280">
        <v>1</v>
      </c>
      <c r="T148" s="63"/>
      <c r="U148" s="3"/>
      <c r="V148" s="90"/>
      <c r="W148" s="91"/>
      <c r="X148" s="92"/>
    </row>
    <row r="149" spans="1:24">
      <c r="A149" s="2"/>
      <c r="B149" s="87">
        <f t="shared" ref="B149:B165" si="30">B148+1</f>
        <v>2</v>
      </c>
      <c r="C149" s="295">
        <v>45838</v>
      </c>
      <c r="D149" s="10" t="s">
        <v>2371</v>
      </c>
      <c r="E149" s="10" t="s">
        <v>991</v>
      </c>
      <c r="F149" s="62">
        <v>16241</v>
      </c>
      <c r="G149" s="62">
        <v>39.700000000000003</v>
      </c>
      <c r="H149" s="62"/>
      <c r="I149" s="89">
        <f t="shared" si="29"/>
        <v>16201.3</v>
      </c>
      <c r="J149" s="63" t="s">
        <v>205</v>
      </c>
      <c r="K149" s="63">
        <v>1</v>
      </c>
      <c r="L149" s="63"/>
      <c r="M149" s="63"/>
      <c r="N149" s="63">
        <v>1</v>
      </c>
      <c r="O149" s="63"/>
      <c r="P149" s="63"/>
      <c r="Q149" s="63"/>
      <c r="R149" s="63"/>
      <c r="S149" s="296"/>
      <c r="T149" s="63"/>
      <c r="U149" s="10"/>
      <c r="V149" s="90"/>
      <c r="W149" s="136"/>
      <c r="X149" s="137"/>
    </row>
    <row r="150" spans="1:24">
      <c r="A150" s="2"/>
      <c r="B150" s="87">
        <f t="shared" si="30"/>
        <v>3</v>
      </c>
      <c r="C150" s="295">
        <v>45838</v>
      </c>
      <c r="D150" s="10">
        <v>71105</v>
      </c>
      <c r="E150" s="10" t="s">
        <v>1103</v>
      </c>
      <c r="F150" s="62">
        <v>6814</v>
      </c>
      <c r="G150" s="62">
        <v>39.700000000000003</v>
      </c>
      <c r="H150" s="62"/>
      <c r="I150" s="89">
        <f t="shared" si="29"/>
        <v>6774.3</v>
      </c>
      <c r="J150" s="63" t="s">
        <v>205</v>
      </c>
      <c r="K150" s="63">
        <v>1</v>
      </c>
      <c r="L150" s="63"/>
      <c r="M150" s="63"/>
      <c r="N150" s="63">
        <v>1</v>
      </c>
      <c r="O150" s="63"/>
      <c r="P150" s="63"/>
      <c r="Q150" s="63">
        <v>1</v>
      </c>
      <c r="R150" s="63">
        <v>1</v>
      </c>
      <c r="S150" s="296">
        <v>1</v>
      </c>
      <c r="T150" s="63"/>
      <c r="U150" s="10"/>
      <c r="V150" s="90"/>
      <c r="W150" s="136"/>
      <c r="X150" s="137"/>
    </row>
    <row r="151" spans="1:24">
      <c r="A151" s="2"/>
      <c r="B151" s="87">
        <f t="shared" si="30"/>
        <v>4</v>
      </c>
      <c r="C151" s="274">
        <v>45839</v>
      </c>
      <c r="D151" s="276">
        <v>71114</v>
      </c>
      <c r="E151" s="276" t="s">
        <v>2372</v>
      </c>
      <c r="F151" s="277">
        <v>2522</v>
      </c>
      <c r="G151" s="277">
        <v>39.700000000000003</v>
      </c>
      <c r="H151" s="277"/>
      <c r="I151" s="278">
        <f t="shared" si="29"/>
        <v>2482.3000000000002</v>
      </c>
      <c r="J151" s="279" t="s">
        <v>219</v>
      </c>
      <c r="K151" s="279">
        <v>1</v>
      </c>
      <c r="L151" s="279"/>
      <c r="M151" s="279"/>
      <c r="N151" s="279">
        <v>1</v>
      </c>
      <c r="O151" s="279"/>
      <c r="P151" s="279"/>
      <c r="Q151" s="279">
        <v>1</v>
      </c>
      <c r="R151" s="279">
        <v>1</v>
      </c>
      <c r="S151" s="280">
        <v>1</v>
      </c>
      <c r="T151" s="63"/>
      <c r="U151" s="10"/>
      <c r="V151" s="90"/>
      <c r="W151" s="136"/>
      <c r="X151" s="137"/>
    </row>
    <row r="152" spans="1:24">
      <c r="A152" s="2"/>
      <c r="B152" s="87">
        <f t="shared" si="30"/>
        <v>5</v>
      </c>
      <c r="C152" s="295">
        <v>45839</v>
      </c>
      <c r="D152" s="10">
        <v>71131</v>
      </c>
      <c r="E152" s="10" t="s">
        <v>306</v>
      </c>
      <c r="F152" s="62">
        <v>814</v>
      </c>
      <c r="G152" s="62">
        <v>39.700000000000003</v>
      </c>
      <c r="H152" s="62"/>
      <c r="I152" s="89">
        <f t="shared" si="29"/>
        <v>774.3</v>
      </c>
      <c r="J152" s="63" t="s">
        <v>219</v>
      </c>
      <c r="K152" s="63">
        <v>1</v>
      </c>
      <c r="L152" s="63"/>
      <c r="M152" s="63"/>
      <c r="N152" s="63">
        <v>1</v>
      </c>
      <c r="O152" s="63"/>
      <c r="P152" s="63"/>
      <c r="Q152" s="63">
        <v>1</v>
      </c>
      <c r="R152" s="63">
        <v>1</v>
      </c>
      <c r="S152" s="296">
        <v>1</v>
      </c>
      <c r="T152" s="63"/>
      <c r="U152" s="10"/>
      <c r="V152" s="90"/>
      <c r="W152" s="136"/>
      <c r="X152" s="137"/>
    </row>
    <row r="153" spans="1:24">
      <c r="A153" s="2"/>
      <c r="B153" s="87">
        <f t="shared" si="30"/>
        <v>6</v>
      </c>
      <c r="C153" s="295">
        <v>45839</v>
      </c>
      <c r="D153" s="10">
        <v>71128</v>
      </c>
      <c r="E153" s="101" t="s">
        <v>780</v>
      </c>
      <c r="F153" s="62">
        <v>1681</v>
      </c>
      <c r="G153" s="62">
        <v>39.700000000000003</v>
      </c>
      <c r="H153" s="62"/>
      <c r="I153" s="89">
        <f t="shared" si="29"/>
        <v>1641.3</v>
      </c>
      <c r="J153" s="63" t="s">
        <v>219</v>
      </c>
      <c r="K153" s="63">
        <v>1</v>
      </c>
      <c r="L153" s="63"/>
      <c r="M153" s="63"/>
      <c r="N153" s="63">
        <v>1</v>
      </c>
      <c r="O153" s="63"/>
      <c r="P153" s="63"/>
      <c r="Q153" s="63">
        <v>1</v>
      </c>
      <c r="R153" s="63">
        <v>1</v>
      </c>
      <c r="S153" s="296">
        <v>1</v>
      </c>
      <c r="T153" s="63"/>
      <c r="U153" s="10"/>
      <c r="V153" s="90"/>
      <c r="W153" s="136"/>
      <c r="X153" s="137"/>
    </row>
    <row r="154" spans="1:24">
      <c r="A154" s="2"/>
      <c r="B154" s="87">
        <f t="shared" si="30"/>
        <v>7</v>
      </c>
      <c r="C154" s="295">
        <v>45839</v>
      </c>
      <c r="D154" s="10">
        <v>71055</v>
      </c>
      <c r="E154" s="101" t="s">
        <v>1030</v>
      </c>
      <c r="F154" s="62">
        <v>9883</v>
      </c>
      <c r="G154" s="62">
        <v>39.700000000000003</v>
      </c>
      <c r="H154" s="62"/>
      <c r="I154" s="89">
        <f t="shared" si="29"/>
        <v>9843.2999999999993</v>
      </c>
      <c r="J154" s="63" t="s">
        <v>219</v>
      </c>
      <c r="K154" s="63">
        <v>1</v>
      </c>
      <c r="L154" s="63"/>
      <c r="M154" s="63"/>
      <c r="N154" s="63">
        <v>1</v>
      </c>
      <c r="O154" s="63"/>
      <c r="P154" s="63"/>
      <c r="Q154" s="63">
        <v>1</v>
      </c>
      <c r="R154" s="63">
        <v>1</v>
      </c>
      <c r="S154" s="296">
        <v>1</v>
      </c>
      <c r="T154" s="63"/>
      <c r="U154" s="10"/>
      <c r="V154" s="90"/>
      <c r="W154" s="136"/>
      <c r="X154" s="137"/>
    </row>
    <row r="155" spans="1:24">
      <c r="A155" s="2"/>
      <c r="B155" s="87">
        <f t="shared" si="30"/>
        <v>8</v>
      </c>
      <c r="C155" s="295">
        <v>45839</v>
      </c>
      <c r="D155" s="10">
        <v>71144</v>
      </c>
      <c r="E155" s="101" t="s">
        <v>1248</v>
      </c>
      <c r="F155" s="62">
        <v>1134</v>
      </c>
      <c r="G155" s="62">
        <v>39.700000000000003</v>
      </c>
      <c r="H155" s="62"/>
      <c r="I155" s="89">
        <f t="shared" si="29"/>
        <v>1094.3</v>
      </c>
      <c r="J155" s="63" t="s">
        <v>219</v>
      </c>
      <c r="K155" s="63">
        <v>1</v>
      </c>
      <c r="L155" s="63"/>
      <c r="M155" s="63"/>
      <c r="N155" s="63">
        <v>1</v>
      </c>
      <c r="O155" s="63"/>
      <c r="P155" s="63"/>
      <c r="Q155" s="63">
        <v>1</v>
      </c>
      <c r="R155" s="63">
        <v>1</v>
      </c>
      <c r="S155" s="296">
        <v>1</v>
      </c>
      <c r="T155" s="63"/>
      <c r="U155" s="10"/>
      <c r="V155" s="90"/>
      <c r="W155" s="136"/>
      <c r="X155" s="137"/>
    </row>
    <row r="156" spans="1:24">
      <c r="A156" s="2"/>
      <c r="B156" s="87">
        <f t="shared" si="30"/>
        <v>9</v>
      </c>
      <c r="C156" s="295">
        <v>45839</v>
      </c>
      <c r="D156" s="10">
        <v>71150</v>
      </c>
      <c r="E156" s="101" t="s">
        <v>317</v>
      </c>
      <c r="F156" s="62">
        <v>1681</v>
      </c>
      <c r="G156" s="62">
        <v>39.700000000000003</v>
      </c>
      <c r="H156" s="62"/>
      <c r="I156" s="89">
        <f t="shared" si="29"/>
        <v>1641.3</v>
      </c>
      <c r="J156" s="63" t="s">
        <v>219</v>
      </c>
      <c r="K156" s="63">
        <v>1</v>
      </c>
      <c r="L156" s="63"/>
      <c r="M156" s="63"/>
      <c r="N156" s="63">
        <v>1</v>
      </c>
      <c r="O156" s="63"/>
      <c r="P156" s="63"/>
      <c r="Q156" s="63">
        <v>1</v>
      </c>
      <c r="R156" s="63">
        <v>1</v>
      </c>
      <c r="S156" s="296">
        <v>1</v>
      </c>
      <c r="T156" s="63"/>
      <c r="U156" s="10"/>
      <c r="V156" s="90"/>
      <c r="W156" s="136"/>
      <c r="X156" s="137"/>
    </row>
    <row r="157" spans="1:24">
      <c r="A157" s="2"/>
      <c r="B157" s="87">
        <f t="shared" si="30"/>
        <v>10</v>
      </c>
      <c r="C157" s="295">
        <v>45839</v>
      </c>
      <c r="D157" s="10">
        <v>71147</v>
      </c>
      <c r="E157" s="101" t="s">
        <v>2373</v>
      </c>
      <c r="F157" s="62">
        <v>2276</v>
      </c>
      <c r="G157" s="62">
        <v>39.700000000000003</v>
      </c>
      <c r="H157" s="62"/>
      <c r="I157" s="89">
        <f t="shared" si="29"/>
        <v>2236.3000000000002</v>
      </c>
      <c r="J157" s="63" t="s">
        <v>219</v>
      </c>
      <c r="K157" s="63">
        <v>1</v>
      </c>
      <c r="L157" s="63"/>
      <c r="M157" s="63"/>
      <c r="N157" s="63">
        <v>1</v>
      </c>
      <c r="O157" s="63"/>
      <c r="P157" s="63"/>
      <c r="Q157" s="63">
        <v>1</v>
      </c>
      <c r="R157" s="63">
        <v>1</v>
      </c>
      <c r="S157" s="296">
        <v>1</v>
      </c>
      <c r="T157" s="63"/>
      <c r="U157" s="10"/>
      <c r="V157" s="90"/>
      <c r="W157" s="136"/>
      <c r="X157" s="137"/>
    </row>
    <row r="158" spans="1:24">
      <c r="A158" s="2"/>
      <c r="B158" s="87">
        <f t="shared" si="30"/>
        <v>11</v>
      </c>
      <c r="C158" s="274">
        <v>45840</v>
      </c>
      <c r="D158" s="276">
        <v>71157</v>
      </c>
      <c r="E158" s="281" t="s">
        <v>737</v>
      </c>
      <c r="F158" s="277">
        <v>981</v>
      </c>
      <c r="G158" s="277">
        <v>39.700000000000003</v>
      </c>
      <c r="H158" s="277"/>
      <c r="I158" s="278">
        <f t="shared" si="29"/>
        <v>941.3</v>
      </c>
      <c r="J158" s="279" t="s">
        <v>219</v>
      </c>
      <c r="K158" s="279">
        <v>1</v>
      </c>
      <c r="L158" s="279"/>
      <c r="M158" s="279"/>
      <c r="N158" s="279">
        <v>1</v>
      </c>
      <c r="O158" s="279"/>
      <c r="P158" s="279"/>
      <c r="Q158" s="279">
        <v>1</v>
      </c>
      <c r="R158" s="279">
        <v>1</v>
      </c>
      <c r="S158" s="280">
        <v>1</v>
      </c>
      <c r="T158" s="63"/>
      <c r="U158" s="10"/>
      <c r="V158" s="90"/>
      <c r="W158" s="136"/>
      <c r="X158" s="137"/>
    </row>
    <row r="159" spans="1:24">
      <c r="A159" s="2"/>
      <c r="B159" s="87">
        <f t="shared" si="30"/>
        <v>12</v>
      </c>
      <c r="C159" s="295">
        <v>45840</v>
      </c>
      <c r="D159" s="10">
        <v>71171</v>
      </c>
      <c r="E159" s="101" t="s">
        <v>225</v>
      </c>
      <c r="F159" s="62">
        <v>2814</v>
      </c>
      <c r="G159" s="62">
        <v>39.700000000000003</v>
      </c>
      <c r="H159" s="62"/>
      <c r="I159" s="89">
        <f t="shared" si="29"/>
        <v>2774.3</v>
      </c>
      <c r="J159" s="63" t="s">
        <v>219</v>
      </c>
      <c r="K159" s="63">
        <v>1</v>
      </c>
      <c r="L159" s="63"/>
      <c r="M159" s="63"/>
      <c r="N159" s="63">
        <v>1</v>
      </c>
      <c r="O159" s="63"/>
      <c r="P159" s="63"/>
      <c r="Q159" s="63">
        <v>1</v>
      </c>
      <c r="R159" s="63">
        <v>1</v>
      </c>
      <c r="S159" s="296">
        <v>1</v>
      </c>
      <c r="T159" s="63"/>
      <c r="U159" s="10"/>
      <c r="V159" s="90"/>
      <c r="W159" s="136"/>
      <c r="X159" s="137"/>
    </row>
    <row r="160" spans="1:24">
      <c r="A160" s="2"/>
      <c r="B160" s="87">
        <f t="shared" si="30"/>
        <v>13</v>
      </c>
      <c r="C160" s="295">
        <v>45840</v>
      </c>
      <c r="D160" s="10">
        <v>71140</v>
      </c>
      <c r="E160" s="101" t="s">
        <v>2374</v>
      </c>
      <c r="F160" s="62">
        <v>2214</v>
      </c>
      <c r="G160" s="62"/>
      <c r="H160" s="62"/>
      <c r="I160" s="89">
        <f t="shared" si="29"/>
        <v>2214</v>
      </c>
      <c r="J160" s="63" t="s">
        <v>219</v>
      </c>
      <c r="K160" s="63">
        <v>1</v>
      </c>
      <c r="L160" s="63"/>
      <c r="M160" s="63"/>
      <c r="N160" s="63">
        <v>1</v>
      </c>
      <c r="O160" s="63"/>
      <c r="P160" s="63"/>
      <c r="Q160" s="63">
        <v>1</v>
      </c>
      <c r="R160" s="63">
        <v>1</v>
      </c>
      <c r="S160" s="296">
        <v>1</v>
      </c>
      <c r="T160" s="63"/>
      <c r="U160" s="10"/>
      <c r="V160" s="90"/>
      <c r="W160" s="136"/>
      <c r="X160" s="137"/>
    </row>
    <row r="161" spans="1:24">
      <c r="A161" s="2"/>
      <c r="B161" s="87">
        <f t="shared" si="30"/>
        <v>14</v>
      </c>
      <c r="C161" s="274">
        <v>45841</v>
      </c>
      <c r="D161" s="276">
        <v>71186</v>
      </c>
      <c r="E161" s="276" t="s">
        <v>1047</v>
      </c>
      <c r="F161" s="277">
        <v>681</v>
      </c>
      <c r="G161" s="277"/>
      <c r="H161" s="277"/>
      <c r="I161" s="278">
        <f t="shared" si="29"/>
        <v>681</v>
      </c>
      <c r="J161" s="279" t="s">
        <v>205</v>
      </c>
      <c r="K161" s="279">
        <v>1</v>
      </c>
      <c r="L161" s="279"/>
      <c r="M161" s="279"/>
      <c r="N161" s="279">
        <v>1</v>
      </c>
      <c r="O161" s="279"/>
      <c r="P161" s="279"/>
      <c r="Q161" s="279">
        <v>1</v>
      </c>
      <c r="R161" s="279">
        <v>1</v>
      </c>
      <c r="S161" s="280">
        <v>1</v>
      </c>
      <c r="T161" s="63"/>
      <c r="U161" s="10"/>
      <c r="V161" s="90"/>
      <c r="W161" s="136"/>
      <c r="X161" s="137"/>
    </row>
    <row r="162" spans="1:24">
      <c r="A162" s="2"/>
      <c r="B162" s="87">
        <f t="shared" si="30"/>
        <v>15</v>
      </c>
      <c r="C162" s="295">
        <v>45841</v>
      </c>
      <c r="D162" s="10">
        <v>71198</v>
      </c>
      <c r="E162" s="10" t="s">
        <v>1045</v>
      </c>
      <c r="F162" s="62">
        <v>4962</v>
      </c>
      <c r="G162" s="62">
        <v>39.700000000000003</v>
      </c>
      <c r="H162" s="62"/>
      <c r="I162" s="89">
        <f t="shared" si="29"/>
        <v>4922.3</v>
      </c>
      <c r="J162" s="63" t="s">
        <v>205</v>
      </c>
      <c r="K162" s="63">
        <v>1</v>
      </c>
      <c r="L162" s="63"/>
      <c r="M162" s="63"/>
      <c r="N162" s="63">
        <v>1</v>
      </c>
      <c r="O162" s="63"/>
      <c r="P162" s="63"/>
      <c r="Q162" s="63">
        <v>1</v>
      </c>
      <c r="R162" s="63">
        <v>1</v>
      </c>
      <c r="S162" s="296">
        <v>1</v>
      </c>
      <c r="T162" s="63"/>
      <c r="U162" s="10"/>
      <c r="V162" s="90">
        <v>93.5</v>
      </c>
      <c r="W162" s="136"/>
      <c r="X162" s="137"/>
    </row>
    <row r="163" spans="1:24">
      <c r="A163" s="2"/>
      <c r="B163" s="87">
        <f t="shared" si="30"/>
        <v>16</v>
      </c>
      <c r="C163" s="295">
        <v>45841</v>
      </c>
      <c r="D163" s="10">
        <v>71184</v>
      </c>
      <c r="E163" s="10" t="s">
        <v>2375</v>
      </c>
      <c r="F163" s="62">
        <v>5814</v>
      </c>
      <c r="G163" s="62">
        <v>39.700000000000003</v>
      </c>
      <c r="H163" s="62"/>
      <c r="I163" s="89">
        <f t="shared" si="29"/>
        <v>5774.3</v>
      </c>
      <c r="J163" s="63" t="s">
        <v>205</v>
      </c>
      <c r="K163" s="63">
        <v>1</v>
      </c>
      <c r="L163" s="63"/>
      <c r="M163" s="63"/>
      <c r="N163" s="63">
        <v>1</v>
      </c>
      <c r="O163" s="63"/>
      <c r="P163" s="63"/>
      <c r="Q163" s="63">
        <v>1</v>
      </c>
      <c r="R163" s="63">
        <v>1</v>
      </c>
      <c r="S163" s="296">
        <v>1</v>
      </c>
      <c r="T163" s="63"/>
      <c r="U163" s="10"/>
      <c r="V163" s="90"/>
      <c r="W163" s="136"/>
      <c r="X163" s="137"/>
    </row>
    <row r="164" spans="1:24">
      <c r="A164" s="2"/>
      <c r="B164" s="87">
        <f t="shared" si="30"/>
        <v>17</v>
      </c>
      <c r="C164" s="295">
        <v>45841</v>
      </c>
      <c r="D164" s="94" t="s">
        <v>2376</v>
      </c>
      <c r="E164" s="10" t="s">
        <v>798</v>
      </c>
      <c r="F164" s="62">
        <v>8214</v>
      </c>
      <c r="G164" s="62">
        <v>39.700000000000003</v>
      </c>
      <c r="H164" s="62"/>
      <c r="I164" s="89">
        <f t="shared" si="29"/>
        <v>8174.3</v>
      </c>
      <c r="J164" s="63" t="s">
        <v>205</v>
      </c>
      <c r="K164" s="63">
        <v>1</v>
      </c>
      <c r="L164" s="63"/>
      <c r="M164" s="63"/>
      <c r="N164" s="63">
        <v>1</v>
      </c>
      <c r="O164" s="63"/>
      <c r="P164" s="63"/>
      <c r="Q164" s="63"/>
      <c r="R164" s="63"/>
      <c r="S164" s="296"/>
      <c r="T164" s="63"/>
      <c r="U164" s="10"/>
      <c r="V164" s="90"/>
      <c r="W164" s="136"/>
      <c r="X164" s="137"/>
    </row>
    <row r="165" spans="1:24">
      <c r="A165" s="2"/>
      <c r="B165" s="87">
        <f t="shared" si="30"/>
        <v>18</v>
      </c>
      <c r="C165" s="274">
        <v>45842</v>
      </c>
      <c r="D165" s="276">
        <v>71214</v>
      </c>
      <c r="E165" s="276" t="s">
        <v>728</v>
      </c>
      <c r="F165" s="277">
        <v>2241</v>
      </c>
      <c r="G165" s="277">
        <v>39.700000000000003</v>
      </c>
      <c r="H165" s="277"/>
      <c r="I165" s="278">
        <f t="shared" si="29"/>
        <v>2201.3000000000002</v>
      </c>
      <c r="J165" s="279" t="s">
        <v>205</v>
      </c>
      <c r="K165" s="279">
        <v>1</v>
      </c>
      <c r="L165" s="279"/>
      <c r="M165" s="279"/>
      <c r="N165" s="279">
        <v>1</v>
      </c>
      <c r="O165" s="279"/>
      <c r="P165" s="279"/>
      <c r="Q165" s="279">
        <v>1</v>
      </c>
      <c r="R165" s="279">
        <v>1</v>
      </c>
      <c r="S165" s="280">
        <v>1</v>
      </c>
      <c r="T165" s="63"/>
      <c r="U165" s="10"/>
      <c r="V165" s="90"/>
      <c r="W165" s="136"/>
      <c r="X165" s="137"/>
    </row>
    <row r="166" spans="1:24">
      <c r="A166" s="2"/>
      <c r="B166" s="87">
        <f>B165+1</f>
        <v>19</v>
      </c>
      <c r="C166" s="295">
        <v>45842</v>
      </c>
      <c r="D166" s="10">
        <v>71227</v>
      </c>
      <c r="E166" s="10" t="s">
        <v>317</v>
      </c>
      <c r="F166" s="62">
        <v>681</v>
      </c>
      <c r="G166" s="62"/>
      <c r="H166" s="62"/>
      <c r="I166" s="89">
        <f t="shared" si="29"/>
        <v>681</v>
      </c>
      <c r="J166" s="63" t="s">
        <v>205</v>
      </c>
      <c r="K166" s="63">
        <v>1</v>
      </c>
      <c r="L166" s="63"/>
      <c r="M166" s="63"/>
      <c r="N166" s="63">
        <v>1</v>
      </c>
      <c r="O166" s="63"/>
      <c r="P166" s="63"/>
      <c r="Q166" s="63">
        <v>1</v>
      </c>
      <c r="R166" s="63">
        <v>1</v>
      </c>
      <c r="S166" s="296">
        <v>1</v>
      </c>
      <c r="T166" s="63"/>
      <c r="U166" s="10"/>
      <c r="V166" s="138"/>
      <c r="W166" s="136"/>
      <c r="X166" s="137"/>
    </row>
    <row r="167" spans="1:24">
      <c r="A167" s="2"/>
      <c r="B167" s="87">
        <f>B166+1</f>
        <v>20</v>
      </c>
      <c r="C167" s="295">
        <v>45842</v>
      </c>
      <c r="D167" s="10" t="s">
        <v>2377</v>
      </c>
      <c r="E167" s="10" t="s">
        <v>2365</v>
      </c>
      <c r="F167" s="62">
        <v>6814</v>
      </c>
      <c r="G167" s="62">
        <v>39.700000000000003</v>
      </c>
      <c r="H167" s="62"/>
      <c r="I167" s="89">
        <f t="shared" si="29"/>
        <v>6774.3</v>
      </c>
      <c r="J167" s="63" t="s">
        <v>205</v>
      </c>
      <c r="K167" s="63">
        <v>1</v>
      </c>
      <c r="L167" s="63"/>
      <c r="M167" s="63"/>
      <c r="N167" s="63">
        <v>1</v>
      </c>
      <c r="O167" s="63"/>
      <c r="P167" s="63"/>
      <c r="Q167" s="63"/>
      <c r="R167" s="63"/>
      <c r="S167" s="296"/>
      <c r="T167" s="63"/>
      <c r="U167" s="10"/>
      <c r="V167" s="138"/>
      <c r="W167" s="136"/>
      <c r="X167" s="137"/>
    </row>
    <row r="168" spans="1:24">
      <c r="A168" s="2"/>
      <c r="B168" s="87">
        <f>B167+1</f>
        <v>21</v>
      </c>
      <c r="C168" s="282">
        <v>45842</v>
      </c>
      <c r="D168" s="283" t="s">
        <v>2378</v>
      </c>
      <c r="E168" s="283" t="s">
        <v>382</v>
      </c>
      <c r="F168" s="284">
        <v>12814</v>
      </c>
      <c r="G168" s="284">
        <v>39.700000000000003</v>
      </c>
      <c r="H168" s="284"/>
      <c r="I168" s="285">
        <f t="shared" si="29"/>
        <v>12774.3</v>
      </c>
      <c r="J168" s="286" t="s">
        <v>205</v>
      </c>
      <c r="K168" s="286">
        <v>1</v>
      </c>
      <c r="L168" s="286"/>
      <c r="M168" s="286"/>
      <c r="N168" s="286">
        <v>1</v>
      </c>
      <c r="O168" s="286"/>
      <c r="P168" s="286"/>
      <c r="Q168" s="286"/>
      <c r="R168" s="286"/>
      <c r="S168" s="287"/>
      <c r="T168" s="63"/>
      <c r="U168" s="10"/>
      <c r="V168" s="138"/>
      <c r="W168" s="136"/>
      <c r="X168" s="137"/>
    </row>
    <row r="169" spans="1:24">
      <c r="A169" s="2"/>
      <c r="B169" s="11"/>
      <c r="C169" s="36"/>
      <c r="D169" s="10"/>
      <c r="E169" s="10"/>
      <c r="F169" s="98">
        <f>SUM(F148:F168)</f>
        <v>92917</v>
      </c>
      <c r="G169" s="98">
        <f>SUM(G148:G168)</f>
        <v>714.60000000000014</v>
      </c>
      <c r="H169" s="98">
        <f>SUM(H148:H168)</f>
        <v>0</v>
      </c>
      <c r="I169" s="98">
        <f>SUM(I148:I168)</f>
        <v>92202.400000000023</v>
      </c>
      <c r="J169" s="10"/>
      <c r="K169" s="10"/>
      <c r="L169" s="10"/>
      <c r="M169" s="10"/>
      <c r="N169" s="10"/>
      <c r="O169" s="10"/>
      <c r="P169" s="10"/>
      <c r="Q169" s="10"/>
      <c r="R169" s="10"/>
      <c r="S169" s="10"/>
      <c r="T169" s="63"/>
      <c r="U169" s="10"/>
      <c r="V169" s="138"/>
      <c r="W169" s="136"/>
      <c r="X169" s="137"/>
    </row>
    <row r="170" spans="1:24">
      <c r="A170" s="2"/>
      <c r="B170" s="11"/>
      <c r="C170" s="36"/>
      <c r="D170" s="10"/>
      <c r="E170" s="10"/>
      <c r="F170" s="88"/>
      <c r="G170" s="88"/>
      <c r="H170" s="88"/>
      <c r="I170" s="99"/>
      <c r="J170" s="10"/>
      <c r="K170" s="10"/>
      <c r="L170" s="10"/>
      <c r="M170" s="10"/>
      <c r="N170" s="10"/>
      <c r="O170" s="10"/>
      <c r="P170" s="10"/>
      <c r="Q170" s="10"/>
      <c r="R170" s="10"/>
      <c r="S170" s="10"/>
      <c r="T170" s="63"/>
      <c r="U170" s="10"/>
      <c r="V170" s="138"/>
      <c r="W170" s="136"/>
      <c r="X170" s="137"/>
    </row>
    <row r="171" spans="1:24">
      <c r="A171" s="2"/>
      <c r="B171" s="26"/>
      <c r="C171" s="140"/>
      <c r="D171" s="141"/>
      <c r="E171" s="141"/>
      <c r="F171" s="141"/>
      <c r="G171" s="141"/>
      <c r="H171" s="141"/>
      <c r="I171" s="141"/>
      <c r="J171" s="141"/>
      <c r="K171" s="142"/>
      <c r="L171" s="142"/>
      <c r="M171" s="142"/>
      <c r="N171" s="142"/>
      <c r="O171" s="142"/>
      <c r="P171" s="142"/>
      <c r="Q171" s="142"/>
      <c r="R171" s="142"/>
      <c r="S171" s="142"/>
      <c r="T171" s="143">
        <f ca="1">SUM(T107:T171)</f>
        <v>0</v>
      </c>
      <c r="U171" s="141"/>
      <c r="V171" s="144">
        <f>SUM(V107:V170)</f>
        <v>49724.94999999999</v>
      </c>
      <c r="W171" s="144">
        <f>SUM(W107:W170)</f>
        <v>595.1</v>
      </c>
      <c r="X171" s="144">
        <f>SUM(X107:X170)</f>
        <v>0</v>
      </c>
    </row>
    <row r="174" spans="1:24">
      <c r="B174" s="4" t="s">
        <v>1</v>
      </c>
      <c r="C174" s="5"/>
      <c r="D174" s="6"/>
      <c r="E174" s="6"/>
      <c r="F174" s="7" t="s">
        <v>2</v>
      </c>
      <c r="G174" s="8">
        <v>45851</v>
      </c>
      <c r="H174" s="7"/>
      <c r="I174" s="6"/>
      <c r="J174" s="6"/>
      <c r="K174" s="6"/>
      <c r="L174" s="6"/>
      <c r="M174" s="6"/>
      <c r="N174" s="6"/>
      <c r="O174" s="6"/>
      <c r="P174" s="6"/>
      <c r="Q174" s="6"/>
      <c r="R174" s="6"/>
      <c r="S174" s="6"/>
      <c r="T174" s="6"/>
      <c r="U174" s="9"/>
      <c r="V174" s="10"/>
      <c r="W174" s="10"/>
      <c r="X174" s="10"/>
    </row>
    <row r="175" spans="1:24">
      <c r="B175" s="11"/>
      <c r="C175" s="10"/>
      <c r="D175" s="10"/>
      <c r="E175" s="10"/>
      <c r="F175" s="10"/>
      <c r="G175" s="7"/>
      <c r="H175" s="12"/>
      <c r="I175" s="10"/>
      <c r="J175" s="10"/>
      <c r="K175" s="13" t="s">
        <v>3</v>
      </c>
      <c r="L175" s="14"/>
      <c r="M175" s="15"/>
      <c r="N175" s="13" t="s">
        <v>4</v>
      </c>
      <c r="O175" s="14"/>
      <c r="P175" s="15"/>
      <c r="Q175" s="13" t="s">
        <v>5</v>
      </c>
      <c r="R175" s="14"/>
      <c r="S175" s="15"/>
      <c r="T175" s="16"/>
      <c r="U175" s="17"/>
      <c r="V175" s="10"/>
      <c r="W175" s="10"/>
      <c r="X175" s="10"/>
    </row>
    <row r="176" spans="1:24">
      <c r="B176" s="18" t="s">
        <v>6</v>
      </c>
      <c r="C176" s="19">
        <f>C177+C178</f>
        <v>10</v>
      </c>
      <c r="D176" s="10"/>
      <c r="E176" s="18" t="s">
        <v>7</v>
      </c>
      <c r="F176" s="6"/>
      <c r="G176" s="9"/>
      <c r="H176" s="10"/>
      <c r="I176" s="10"/>
      <c r="J176" s="10"/>
      <c r="K176" s="20" t="s">
        <v>8</v>
      </c>
      <c r="L176" s="21" t="s">
        <v>9</v>
      </c>
      <c r="M176" s="21" t="s">
        <v>10</v>
      </c>
      <c r="N176" s="20" t="s">
        <v>11</v>
      </c>
      <c r="O176" s="21" t="s">
        <v>12</v>
      </c>
      <c r="P176" s="22" t="s">
        <v>13</v>
      </c>
      <c r="Q176" s="21" t="s">
        <v>11</v>
      </c>
      <c r="R176" s="21" t="s">
        <v>12</v>
      </c>
      <c r="S176" s="22" t="s">
        <v>13</v>
      </c>
      <c r="T176" s="23" t="s">
        <v>14</v>
      </c>
      <c r="U176" s="17"/>
      <c r="V176" s="10"/>
      <c r="W176" s="10"/>
      <c r="X176" s="10"/>
    </row>
    <row r="177" spans="2:24">
      <c r="B177" s="24" t="s">
        <v>15</v>
      </c>
      <c r="C177" s="25">
        <f>P184</f>
        <v>6</v>
      </c>
      <c r="D177" s="10"/>
      <c r="E177" s="26" t="s">
        <v>16</v>
      </c>
      <c r="F177" s="27">
        <v>0.05</v>
      </c>
      <c r="G177" s="28"/>
      <c r="H177" s="10"/>
      <c r="I177" s="10"/>
      <c r="J177" s="18" t="s">
        <v>17</v>
      </c>
      <c r="K177" s="29">
        <f t="shared" ref="K177:S177" si="31">K208</f>
        <v>6</v>
      </c>
      <c r="L177" s="29">
        <f t="shared" si="31"/>
        <v>5</v>
      </c>
      <c r="M177" s="29">
        <f t="shared" si="31"/>
        <v>6</v>
      </c>
      <c r="N177" s="29">
        <f t="shared" si="31"/>
        <v>6</v>
      </c>
      <c r="O177" s="29">
        <f t="shared" si="31"/>
        <v>6</v>
      </c>
      <c r="P177" s="29">
        <f t="shared" si="31"/>
        <v>5</v>
      </c>
      <c r="Q177" s="29">
        <f t="shared" si="31"/>
        <v>6</v>
      </c>
      <c r="R177" s="29">
        <f t="shared" si="31"/>
        <v>6</v>
      </c>
      <c r="S177" s="29">
        <f t="shared" si="31"/>
        <v>6</v>
      </c>
      <c r="T177" s="30">
        <f>T233</f>
        <v>0</v>
      </c>
      <c r="U177" s="17"/>
      <c r="V177" s="10"/>
      <c r="W177" s="10"/>
      <c r="X177" s="10"/>
    </row>
    <row r="178" spans="2:24">
      <c r="B178" s="24" t="s">
        <v>18</v>
      </c>
      <c r="C178" s="25">
        <f>P185</f>
        <v>4</v>
      </c>
      <c r="D178" s="10"/>
      <c r="E178" s="10"/>
      <c r="F178" s="10"/>
      <c r="G178" s="31"/>
      <c r="H178" s="10"/>
      <c r="I178" s="10"/>
      <c r="J178" s="32" t="s">
        <v>19</v>
      </c>
      <c r="K178" s="33">
        <f t="shared" ref="K178:S178" si="32">K208/K207</f>
        <v>1</v>
      </c>
      <c r="L178" s="33">
        <f t="shared" si="32"/>
        <v>0.83333333333333337</v>
      </c>
      <c r="M178" s="33">
        <f t="shared" si="32"/>
        <v>1</v>
      </c>
      <c r="N178" s="33">
        <f t="shared" si="32"/>
        <v>1</v>
      </c>
      <c r="O178" s="33">
        <f t="shared" si="32"/>
        <v>1</v>
      </c>
      <c r="P178" s="33">
        <f t="shared" si="32"/>
        <v>0.83333333333333337</v>
      </c>
      <c r="Q178" s="33">
        <f t="shared" si="32"/>
        <v>1</v>
      </c>
      <c r="R178" s="33">
        <f t="shared" si="32"/>
        <v>1</v>
      </c>
      <c r="S178" s="33">
        <f t="shared" si="32"/>
        <v>1</v>
      </c>
      <c r="T178" s="23"/>
      <c r="U178" s="17" t="s">
        <v>20</v>
      </c>
      <c r="V178" s="10"/>
      <c r="W178" s="10"/>
      <c r="X178" s="10"/>
    </row>
    <row r="179" spans="2:24">
      <c r="B179" s="24" t="s">
        <v>21</v>
      </c>
      <c r="C179" s="34">
        <f>P186</f>
        <v>0.6</v>
      </c>
      <c r="D179" s="10"/>
      <c r="E179" s="10"/>
      <c r="F179" s="10"/>
      <c r="G179" s="10"/>
      <c r="H179" s="10"/>
      <c r="I179" s="10"/>
      <c r="J179" s="10"/>
      <c r="K179" s="10"/>
      <c r="L179" s="10"/>
      <c r="M179" s="10"/>
      <c r="N179" s="10"/>
      <c r="O179" s="10"/>
      <c r="P179" s="10"/>
      <c r="Q179" s="10"/>
      <c r="R179" s="10"/>
      <c r="S179" s="10"/>
      <c r="T179" s="10"/>
      <c r="U179" s="17"/>
      <c r="V179" s="10"/>
      <c r="W179" s="10"/>
      <c r="X179" s="10"/>
    </row>
    <row r="180" spans="2:24">
      <c r="B180" s="24"/>
      <c r="C180" s="25"/>
      <c r="D180" s="10"/>
      <c r="E180" s="10"/>
      <c r="F180" s="18" t="s">
        <v>22</v>
      </c>
      <c r="G180" s="19" t="s">
        <v>23</v>
      </c>
      <c r="H180" s="35" t="s">
        <v>24</v>
      </c>
      <c r="I180" s="10"/>
      <c r="J180" s="10"/>
      <c r="K180" s="36"/>
      <c r="L180" s="36"/>
      <c r="M180" s="36"/>
      <c r="N180" s="36"/>
      <c r="O180" s="36"/>
      <c r="P180" s="36"/>
      <c r="Q180" s="36"/>
      <c r="R180" s="10"/>
      <c r="S180" s="10"/>
      <c r="T180" s="10"/>
      <c r="U180" s="17"/>
      <c r="V180" s="10"/>
      <c r="W180" s="10"/>
      <c r="X180" s="10"/>
    </row>
    <row r="181" spans="2:24">
      <c r="B181" s="32" t="s">
        <v>25</v>
      </c>
      <c r="C181" s="37">
        <f>P187</f>
        <v>2452.5133333333329</v>
      </c>
      <c r="D181" s="10"/>
      <c r="E181" s="18" t="s">
        <v>26</v>
      </c>
      <c r="F181" s="38">
        <f>P183</f>
        <v>14715.079999999998</v>
      </c>
      <c r="G181" s="39">
        <f>I207</f>
        <v>14715.079999999998</v>
      </c>
      <c r="H181" s="40"/>
      <c r="I181" s="41"/>
      <c r="J181" s="42"/>
      <c r="K181" s="43" t="s">
        <v>27</v>
      </c>
      <c r="L181" s="44"/>
      <c r="M181" s="44"/>
      <c r="N181" s="44"/>
      <c r="O181" s="44"/>
      <c r="P181" s="44"/>
      <c r="Q181" s="45"/>
      <c r="R181" s="46" t="s">
        <v>28</v>
      </c>
      <c r="S181" s="47" t="s">
        <v>29</v>
      </c>
      <c r="T181" s="10"/>
      <c r="U181" s="17"/>
      <c r="V181" s="10"/>
      <c r="W181" s="10"/>
      <c r="X181" s="10"/>
    </row>
    <row r="182" spans="2:24">
      <c r="B182" s="11"/>
      <c r="C182" s="10"/>
      <c r="D182" s="10"/>
      <c r="E182" s="24" t="s">
        <v>30</v>
      </c>
      <c r="F182" s="48">
        <f>F177</f>
        <v>0.05</v>
      </c>
      <c r="G182" s="17"/>
      <c r="H182" s="40"/>
      <c r="I182" s="41"/>
      <c r="J182" s="42"/>
      <c r="K182" s="20" t="s">
        <v>31</v>
      </c>
      <c r="L182" s="21" t="s">
        <v>32</v>
      </c>
      <c r="M182" s="21" t="s">
        <v>33</v>
      </c>
      <c r="N182" s="21" t="s">
        <v>34</v>
      </c>
      <c r="O182" s="21" t="s">
        <v>35</v>
      </c>
      <c r="P182" s="21" t="s">
        <v>36</v>
      </c>
      <c r="Q182" s="49" t="s">
        <v>37</v>
      </c>
      <c r="R182" s="50" t="s">
        <v>38</v>
      </c>
      <c r="S182" s="50" t="s">
        <v>38</v>
      </c>
      <c r="T182" s="10"/>
      <c r="U182" s="17"/>
      <c r="V182" s="10"/>
      <c r="W182" s="10"/>
      <c r="X182" s="10"/>
    </row>
    <row r="183" spans="2:24">
      <c r="B183" s="11"/>
      <c r="C183" s="10"/>
      <c r="D183" s="10"/>
      <c r="E183" s="51" t="s">
        <v>39</v>
      </c>
      <c r="F183" s="52">
        <f>F181*F182</f>
        <v>735.75399999999991</v>
      </c>
      <c r="G183" s="53" t="s">
        <v>40</v>
      </c>
      <c r="H183" s="54">
        <f>F183/1.12</f>
        <v>656.92321428571415</v>
      </c>
      <c r="I183" s="55"/>
      <c r="J183" s="42"/>
      <c r="K183" s="56">
        <f>I202+I201+I203</f>
        <v>7299.83</v>
      </c>
      <c r="L183" s="57">
        <f>I205+I206+I204</f>
        <v>7415.2499999999991</v>
      </c>
      <c r="M183" s="57"/>
      <c r="N183" s="57"/>
      <c r="O183" s="57"/>
      <c r="P183" s="57">
        <f>SUM(K183:O183)</f>
        <v>14715.079999999998</v>
      </c>
      <c r="Q183" s="58">
        <v>0</v>
      </c>
      <c r="R183" s="59">
        <f>0</f>
        <v>0</v>
      </c>
      <c r="S183" s="59">
        <f>0</f>
        <v>0</v>
      </c>
      <c r="T183" s="10"/>
      <c r="U183" s="17"/>
      <c r="V183" s="10"/>
      <c r="W183" s="10"/>
      <c r="X183" s="10"/>
    </row>
    <row r="184" spans="2:24">
      <c r="B184" s="11"/>
      <c r="C184" s="10"/>
      <c r="D184" s="10"/>
      <c r="E184" s="24" t="s">
        <v>41</v>
      </c>
      <c r="F184" s="60">
        <f>Q183</f>
        <v>0</v>
      </c>
      <c r="G184" s="61" t="s">
        <v>40</v>
      </c>
      <c r="H184" s="62"/>
      <c r="I184" s="62"/>
      <c r="J184" s="10" t="s">
        <v>42</v>
      </c>
      <c r="K184" s="63">
        <v>3</v>
      </c>
      <c r="L184" s="63">
        <v>3</v>
      </c>
      <c r="M184" s="63"/>
      <c r="N184" s="63"/>
      <c r="O184" s="63"/>
      <c r="P184" s="21">
        <f>SUM(K184:O184)</f>
        <v>6</v>
      </c>
      <c r="Q184" s="64"/>
      <c r="R184" s="63"/>
      <c r="S184" s="10"/>
      <c r="T184" s="10"/>
      <c r="U184" s="17"/>
      <c r="V184" s="10"/>
      <c r="W184" s="10"/>
      <c r="X184" s="10"/>
    </row>
    <row r="185" spans="2:24">
      <c r="B185" s="11"/>
      <c r="C185" s="10"/>
      <c r="D185" s="10"/>
      <c r="E185" s="51" t="s">
        <v>43</v>
      </c>
      <c r="F185" s="52">
        <f>F184*0.25</f>
        <v>0</v>
      </c>
      <c r="G185" s="53" t="s">
        <v>40</v>
      </c>
      <c r="H185" s="54">
        <f>F185/1.12</f>
        <v>0</v>
      </c>
      <c r="I185" s="10"/>
      <c r="J185" s="10" t="s">
        <v>44</v>
      </c>
      <c r="K185" s="63">
        <v>3</v>
      </c>
      <c r="L185" s="63">
        <v>1</v>
      </c>
      <c r="M185" s="63"/>
      <c r="N185" s="63"/>
      <c r="O185" s="63"/>
      <c r="P185" s="21">
        <f>SUM(K185:O185)</f>
        <v>4</v>
      </c>
      <c r="Q185" s="64"/>
      <c r="R185" s="63"/>
      <c r="S185" s="10"/>
      <c r="T185" s="10"/>
      <c r="U185" s="17"/>
      <c r="V185" s="10"/>
      <c r="W185" s="10"/>
      <c r="X185" s="10"/>
    </row>
    <row r="186" spans="2:24">
      <c r="B186" s="11"/>
      <c r="C186" s="10"/>
      <c r="D186" s="10"/>
      <c r="E186" s="24" t="s">
        <v>45</v>
      </c>
      <c r="F186" s="60">
        <f>I212</f>
        <v>11570.41</v>
      </c>
      <c r="G186" s="61" t="s">
        <v>40</v>
      </c>
      <c r="H186" s="62"/>
      <c r="I186" s="10"/>
      <c r="J186" s="10" t="s">
        <v>46</v>
      </c>
      <c r="K186" s="31">
        <f t="shared" ref="K186:Q186" si="33">K184/(K184+K185)</f>
        <v>0.5</v>
      </c>
      <c r="L186" s="31">
        <f t="shared" si="33"/>
        <v>0.75</v>
      </c>
      <c r="M186" s="31" t="e">
        <f t="shared" si="33"/>
        <v>#DIV/0!</v>
      </c>
      <c r="N186" s="31" t="e">
        <f t="shared" si="33"/>
        <v>#DIV/0!</v>
      </c>
      <c r="O186" s="31" t="e">
        <f t="shared" si="33"/>
        <v>#DIV/0!</v>
      </c>
      <c r="P186" s="31">
        <f t="shared" si="33"/>
        <v>0.6</v>
      </c>
      <c r="Q186" s="31" t="e">
        <f t="shared" si="33"/>
        <v>#DIV/0!</v>
      </c>
      <c r="R186" s="63"/>
      <c r="S186" s="10"/>
      <c r="T186" s="10"/>
      <c r="U186" s="17"/>
      <c r="V186" s="10"/>
      <c r="W186" s="10"/>
      <c r="X186" s="10"/>
    </row>
    <row r="187" spans="2:24">
      <c r="B187" s="11"/>
      <c r="C187" s="10"/>
      <c r="D187" s="10"/>
      <c r="E187" s="51" t="s">
        <v>47</v>
      </c>
      <c r="F187" s="52">
        <f>F186*0.05</f>
        <v>578.52049999999997</v>
      </c>
      <c r="G187" s="65" t="s">
        <v>40</v>
      </c>
      <c r="H187" s="54">
        <f>F187/1.12</f>
        <v>516.53616071428564</v>
      </c>
      <c r="I187" s="42"/>
      <c r="J187" s="10" t="s">
        <v>48</v>
      </c>
      <c r="K187" s="66">
        <f t="shared" ref="K187:Q187" si="34">K183/K184</f>
        <v>2433.2766666666666</v>
      </c>
      <c r="L187" s="66">
        <f t="shared" si="34"/>
        <v>2471.7499999999995</v>
      </c>
      <c r="M187" s="66" t="e">
        <f t="shared" si="34"/>
        <v>#DIV/0!</v>
      </c>
      <c r="N187" s="66" t="e">
        <f t="shared" si="34"/>
        <v>#DIV/0!</v>
      </c>
      <c r="O187" s="66" t="e">
        <f t="shared" si="34"/>
        <v>#DIV/0!</v>
      </c>
      <c r="P187" s="66">
        <f t="shared" si="34"/>
        <v>2452.5133333333329</v>
      </c>
      <c r="Q187" s="66" t="e">
        <f t="shared" si="34"/>
        <v>#DIV/0!</v>
      </c>
      <c r="R187" s="63"/>
      <c r="S187" s="10"/>
      <c r="T187" s="10"/>
      <c r="U187" s="17"/>
      <c r="V187" s="10"/>
      <c r="W187" s="10"/>
      <c r="X187" s="10"/>
    </row>
    <row r="188" spans="2:24">
      <c r="B188" s="11"/>
      <c r="C188" s="10"/>
      <c r="D188" s="10"/>
      <c r="E188" s="67" t="s">
        <v>14</v>
      </c>
      <c r="F188" s="68"/>
      <c r="G188" s="10"/>
      <c r="H188" s="54">
        <f>F188/1.12</f>
        <v>0</v>
      </c>
      <c r="I188" s="10"/>
      <c r="J188" s="10"/>
      <c r="K188" s="10"/>
      <c r="L188" s="10"/>
      <c r="M188" s="10"/>
      <c r="N188" s="10"/>
      <c r="O188" s="10"/>
      <c r="P188" s="10"/>
      <c r="Q188" s="10"/>
      <c r="R188" s="10"/>
      <c r="S188" s="10"/>
      <c r="T188" s="10"/>
      <c r="U188" s="17"/>
      <c r="V188" s="10"/>
      <c r="W188" s="10"/>
      <c r="X188" s="10"/>
    </row>
    <row r="189" spans="2:24">
      <c r="B189" s="11"/>
      <c r="C189" s="10"/>
      <c r="D189" s="10"/>
      <c r="E189" s="155" t="s">
        <v>49</v>
      </c>
      <c r="F189" s="364">
        <f>T178</f>
        <v>0</v>
      </c>
      <c r="G189" s="10"/>
      <c r="H189" s="54"/>
      <c r="I189" s="55"/>
      <c r="J189" s="42"/>
      <c r="K189" s="764" t="s">
        <v>50</v>
      </c>
      <c r="L189" s="765"/>
      <c r="M189" s="765"/>
      <c r="N189" s="765"/>
      <c r="O189" s="765"/>
      <c r="P189" s="765"/>
      <c r="Q189" s="766"/>
      <c r="R189" s="70" t="s">
        <v>28</v>
      </c>
      <c r="S189" s="71" t="s">
        <v>29</v>
      </c>
      <c r="T189" s="10"/>
      <c r="U189" s="17"/>
      <c r="V189" s="10"/>
      <c r="W189" s="10"/>
      <c r="X189" s="10"/>
    </row>
    <row r="190" spans="2:24">
      <c r="B190" s="11"/>
      <c r="C190" s="10"/>
      <c r="D190" s="10"/>
      <c r="E190" s="10"/>
      <c r="F190" s="10"/>
      <c r="G190" s="10"/>
      <c r="H190" s="10"/>
      <c r="I190" s="10"/>
      <c r="J190" s="42"/>
      <c r="K190" s="20" t="s">
        <v>31</v>
      </c>
      <c r="L190" s="21" t="s">
        <v>32</v>
      </c>
      <c r="M190" s="21" t="s">
        <v>33</v>
      </c>
      <c r="N190" s="21" t="s">
        <v>34</v>
      </c>
      <c r="O190" s="21" t="s">
        <v>35</v>
      </c>
      <c r="P190" s="21" t="s">
        <v>36</v>
      </c>
      <c r="Q190" s="49" t="s">
        <v>37</v>
      </c>
      <c r="R190" s="50" t="s">
        <v>38</v>
      </c>
      <c r="S190" s="50" t="s">
        <v>38</v>
      </c>
      <c r="T190" s="10"/>
      <c r="U190" s="17"/>
      <c r="V190" s="10"/>
      <c r="W190" s="10"/>
      <c r="X190" s="10"/>
    </row>
    <row r="191" spans="2:24">
      <c r="B191" s="11"/>
      <c r="C191" s="10"/>
      <c r="D191" s="10"/>
      <c r="E191" s="10"/>
      <c r="F191" s="10"/>
      <c r="G191" s="10"/>
      <c r="H191" s="10"/>
      <c r="I191" s="10"/>
      <c r="J191" s="42"/>
      <c r="K191" s="56">
        <f>F202+F201+F203</f>
        <v>8656</v>
      </c>
      <c r="L191" s="57">
        <f>F205+F206+F204</f>
        <v>8938</v>
      </c>
      <c r="M191" s="57"/>
      <c r="N191" s="57"/>
      <c r="O191" s="57"/>
      <c r="P191" s="57">
        <f>SUM(K191:O191)</f>
        <v>17594</v>
      </c>
      <c r="Q191" s="58">
        <v>0</v>
      </c>
      <c r="R191" s="59">
        <f>0</f>
        <v>0</v>
      </c>
      <c r="S191" s="59">
        <f>0</f>
        <v>0</v>
      </c>
      <c r="T191" s="10"/>
      <c r="U191" s="17"/>
      <c r="V191" s="10"/>
      <c r="W191" s="10"/>
      <c r="X191" s="10"/>
    </row>
    <row r="192" spans="2:24">
      <c r="B192" s="11"/>
      <c r="C192" s="10"/>
      <c r="D192" s="10"/>
      <c r="E192" s="10"/>
      <c r="F192" s="10"/>
      <c r="G192" s="10"/>
      <c r="H192" s="10"/>
      <c r="I192" s="10"/>
      <c r="J192" s="10" t="s">
        <v>42</v>
      </c>
      <c r="K192" s="63">
        <f t="shared" ref="K192:Q193" si="35">K184</f>
        <v>3</v>
      </c>
      <c r="L192" s="63">
        <f t="shared" si="35"/>
        <v>3</v>
      </c>
      <c r="M192" s="63">
        <f t="shared" si="35"/>
        <v>0</v>
      </c>
      <c r="N192" s="63">
        <f t="shared" si="35"/>
        <v>0</v>
      </c>
      <c r="O192" s="63">
        <f t="shared" si="35"/>
        <v>0</v>
      </c>
      <c r="P192" s="63">
        <f t="shared" si="35"/>
        <v>6</v>
      </c>
      <c r="Q192" s="63">
        <f t="shared" si="35"/>
        <v>0</v>
      </c>
      <c r="R192" s="63"/>
      <c r="S192" s="10"/>
      <c r="T192" s="10"/>
      <c r="U192" s="17"/>
      <c r="V192" s="10"/>
      <c r="W192" s="10"/>
      <c r="X192" s="10"/>
    </row>
    <row r="193" spans="1:24">
      <c r="B193" s="11"/>
      <c r="C193" s="10"/>
      <c r="D193" s="10"/>
      <c r="E193" s="10"/>
      <c r="F193" s="10"/>
      <c r="G193" s="10"/>
      <c r="H193" s="10"/>
      <c r="I193" s="10"/>
      <c r="J193" s="10" t="s">
        <v>44</v>
      </c>
      <c r="K193" s="63">
        <f t="shared" si="35"/>
        <v>3</v>
      </c>
      <c r="L193" s="63">
        <f t="shared" si="35"/>
        <v>1</v>
      </c>
      <c r="M193" s="63">
        <f t="shared" si="35"/>
        <v>0</v>
      </c>
      <c r="N193" s="63">
        <f t="shared" si="35"/>
        <v>0</v>
      </c>
      <c r="O193" s="63">
        <f t="shared" si="35"/>
        <v>0</v>
      </c>
      <c r="P193" s="63">
        <f t="shared" si="35"/>
        <v>4</v>
      </c>
      <c r="Q193" s="63">
        <f t="shared" si="35"/>
        <v>0</v>
      </c>
      <c r="R193" s="63"/>
      <c r="S193" s="10"/>
      <c r="T193" s="10"/>
      <c r="U193" s="17"/>
      <c r="V193" s="10"/>
      <c r="W193" s="10"/>
      <c r="X193" s="10"/>
    </row>
    <row r="194" spans="1:24">
      <c r="B194" s="11"/>
      <c r="C194" s="10"/>
      <c r="D194" s="10"/>
      <c r="E194" s="12"/>
      <c r="F194" s="76"/>
      <c r="G194" s="10"/>
      <c r="H194" s="10"/>
      <c r="I194" s="10"/>
      <c r="J194" s="10" t="s">
        <v>46</v>
      </c>
      <c r="K194" s="31">
        <f t="shared" ref="K194:Q194" si="36">K192/(K192+K193)</f>
        <v>0.5</v>
      </c>
      <c r="L194" s="31">
        <f t="shared" si="36"/>
        <v>0.75</v>
      </c>
      <c r="M194" s="31" t="e">
        <f t="shared" si="36"/>
        <v>#DIV/0!</v>
      </c>
      <c r="N194" s="31" t="e">
        <f t="shared" si="36"/>
        <v>#DIV/0!</v>
      </c>
      <c r="O194" s="31" t="e">
        <f t="shared" si="36"/>
        <v>#DIV/0!</v>
      </c>
      <c r="P194" s="31">
        <f t="shared" si="36"/>
        <v>0.6</v>
      </c>
      <c r="Q194" s="31" t="e">
        <f t="shared" si="36"/>
        <v>#DIV/0!</v>
      </c>
      <c r="R194" s="63"/>
      <c r="S194" s="10"/>
      <c r="T194" s="10"/>
      <c r="U194" s="17"/>
      <c r="V194" s="10"/>
      <c r="W194" s="10"/>
      <c r="X194" s="10"/>
    </row>
    <row r="195" spans="1:24">
      <c r="B195" s="11"/>
      <c r="C195" s="10"/>
      <c r="D195" s="10"/>
      <c r="E195" s="10"/>
      <c r="F195" s="10"/>
      <c r="G195" s="10"/>
      <c r="H195" s="10"/>
      <c r="I195" s="10"/>
      <c r="J195" s="10" t="s">
        <v>48</v>
      </c>
      <c r="K195" s="66">
        <f t="shared" ref="K195:Q195" si="37">K191/K192</f>
        <v>2885.3333333333335</v>
      </c>
      <c r="L195" s="66">
        <f t="shared" si="37"/>
        <v>2979.3333333333335</v>
      </c>
      <c r="M195" s="66" t="e">
        <f t="shared" si="37"/>
        <v>#DIV/0!</v>
      </c>
      <c r="N195" s="66" t="e">
        <f t="shared" si="37"/>
        <v>#DIV/0!</v>
      </c>
      <c r="O195" s="66" t="e">
        <f t="shared" si="37"/>
        <v>#DIV/0!</v>
      </c>
      <c r="P195" s="66">
        <f t="shared" si="37"/>
        <v>2932.3333333333335</v>
      </c>
      <c r="Q195" s="66" t="e">
        <f t="shared" si="37"/>
        <v>#DIV/0!</v>
      </c>
      <c r="R195" s="63"/>
      <c r="S195" s="10"/>
      <c r="T195" s="10"/>
      <c r="U195" s="17"/>
      <c r="V195" s="10"/>
      <c r="W195" s="10"/>
      <c r="X195" s="10"/>
    </row>
    <row r="196" spans="1:24">
      <c r="B196" s="11"/>
      <c r="C196" s="10"/>
      <c r="D196" s="10"/>
      <c r="E196" s="10"/>
      <c r="F196" s="10"/>
      <c r="G196" s="10"/>
      <c r="H196" s="10"/>
      <c r="I196" s="10"/>
      <c r="J196" s="10"/>
      <c r="K196" s="10"/>
      <c r="L196" s="10"/>
      <c r="M196" s="10"/>
      <c r="N196" s="10"/>
      <c r="O196" s="10"/>
      <c r="P196" s="10"/>
      <c r="Q196" s="10"/>
      <c r="R196" s="10"/>
      <c r="S196" s="10"/>
      <c r="T196" s="10"/>
      <c r="U196" s="17"/>
      <c r="V196" s="10"/>
      <c r="W196" s="10"/>
      <c r="X196" s="10"/>
    </row>
    <row r="197" spans="1:24">
      <c r="B197" s="11"/>
      <c r="C197" s="10"/>
      <c r="D197" s="10"/>
      <c r="E197" s="10"/>
      <c r="F197" s="10"/>
      <c r="G197" s="10"/>
      <c r="H197" s="10"/>
      <c r="I197" s="10"/>
      <c r="J197" s="10"/>
      <c r="K197" s="10"/>
      <c r="L197" s="10"/>
      <c r="M197" s="10"/>
      <c r="N197" s="10"/>
      <c r="O197" s="10"/>
      <c r="P197" s="10"/>
      <c r="Q197" s="10"/>
      <c r="R197" s="10"/>
      <c r="S197" s="10"/>
      <c r="T197" s="10"/>
      <c r="U197" s="17"/>
      <c r="V197" s="10"/>
      <c r="W197" s="10"/>
      <c r="X197" s="10"/>
    </row>
    <row r="198" spans="1:24">
      <c r="B198" s="18" t="s">
        <v>51</v>
      </c>
      <c r="C198" s="14"/>
      <c r="D198" s="14"/>
      <c r="E198" s="14"/>
      <c r="F198" s="13" t="s">
        <v>52</v>
      </c>
      <c r="G198" s="14"/>
      <c r="H198" s="14"/>
      <c r="I198" s="14"/>
      <c r="J198" s="14"/>
      <c r="K198" s="13" t="s">
        <v>3</v>
      </c>
      <c r="L198" s="14"/>
      <c r="M198" s="14"/>
      <c r="N198" s="13" t="s">
        <v>4</v>
      </c>
      <c r="O198" s="14"/>
      <c r="P198" s="14"/>
      <c r="Q198" s="13" t="s">
        <v>5</v>
      </c>
      <c r="R198" s="14"/>
      <c r="S198" s="14"/>
      <c r="T198" s="18"/>
      <c r="U198" s="16" t="s">
        <v>53</v>
      </c>
      <c r="V198" s="77"/>
      <c r="W198" s="77"/>
      <c r="X198" s="77"/>
    </row>
    <row r="199" spans="1:24">
      <c r="B199" s="24" t="s">
        <v>54</v>
      </c>
      <c r="C199" s="21" t="s">
        <v>55</v>
      </c>
      <c r="D199" s="21" t="s">
        <v>56</v>
      </c>
      <c r="E199" s="21" t="s">
        <v>57</v>
      </c>
      <c r="F199" s="20" t="s">
        <v>58</v>
      </c>
      <c r="G199" s="21" t="s">
        <v>59</v>
      </c>
      <c r="H199" s="21" t="s">
        <v>60</v>
      </c>
      <c r="I199" s="21" t="s">
        <v>26</v>
      </c>
      <c r="J199" s="22" t="s">
        <v>61</v>
      </c>
      <c r="K199" s="21" t="s">
        <v>8</v>
      </c>
      <c r="L199" s="21" t="s">
        <v>9</v>
      </c>
      <c r="M199" s="21" t="s">
        <v>10</v>
      </c>
      <c r="N199" s="20" t="s">
        <v>11</v>
      </c>
      <c r="O199" s="21" t="s">
        <v>12</v>
      </c>
      <c r="P199" s="22" t="s">
        <v>13</v>
      </c>
      <c r="Q199" s="21" t="s">
        <v>11</v>
      </c>
      <c r="R199" s="21" t="s">
        <v>12</v>
      </c>
      <c r="S199" s="21" t="s">
        <v>13</v>
      </c>
      <c r="T199" s="78" t="s">
        <v>14</v>
      </c>
      <c r="U199" s="30"/>
      <c r="V199" s="79" t="s">
        <v>62</v>
      </c>
      <c r="W199" s="80" t="s">
        <v>63</v>
      </c>
      <c r="X199" s="81" t="s">
        <v>64</v>
      </c>
    </row>
    <row r="200" spans="1:24">
      <c r="B200" s="4" t="s">
        <v>65</v>
      </c>
      <c r="C200" s="6"/>
      <c r="D200" s="6"/>
      <c r="E200" s="6"/>
      <c r="F200" s="6"/>
      <c r="G200" s="6"/>
      <c r="H200" s="6"/>
      <c r="I200" s="82"/>
      <c r="J200" s="6"/>
      <c r="K200" s="6"/>
      <c r="L200" s="6"/>
      <c r="M200" s="6"/>
      <c r="N200" s="6"/>
      <c r="O200" s="6"/>
      <c r="P200" s="6"/>
      <c r="Q200" s="6"/>
      <c r="R200" s="6"/>
      <c r="S200" s="6"/>
      <c r="T200" s="83"/>
      <c r="U200" s="6"/>
      <c r="V200" s="84"/>
      <c r="W200" s="85"/>
      <c r="X200" s="86"/>
    </row>
    <row r="201" spans="1:24">
      <c r="B201" s="87">
        <v>1</v>
      </c>
      <c r="C201" s="274">
        <v>45845</v>
      </c>
      <c r="D201" s="327">
        <v>71130</v>
      </c>
      <c r="E201" s="276" t="s">
        <v>2379</v>
      </c>
      <c r="F201" s="277">
        <v>4861</v>
      </c>
      <c r="G201" s="277">
        <f>39.7+(161.08)+200</f>
        <v>400.78000000000003</v>
      </c>
      <c r="H201" s="277"/>
      <c r="I201" s="321">
        <f t="shared" ref="I201:I206" si="38">F201-G201-H201</f>
        <v>4460.22</v>
      </c>
      <c r="J201" s="279" t="s">
        <v>156</v>
      </c>
      <c r="K201" s="279">
        <v>1</v>
      </c>
      <c r="L201" s="279">
        <v>1</v>
      </c>
      <c r="M201" s="279">
        <v>1</v>
      </c>
      <c r="N201" s="279">
        <v>1</v>
      </c>
      <c r="O201" s="279">
        <v>1</v>
      </c>
      <c r="P201" s="322">
        <v>0</v>
      </c>
      <c r="Q201" s="279">
        <v>1</v>
      </c>
      <c r="R201" s="279">
        <v>1</v>
      </c>
      <c r="S201" s="280">
        <v>1</v>
      </c>
      <c r="T201" s="63"/>
      <c r="U201" s="94" t="s">
        <v>2380</v>
      </c>
      <c r="V201" s="90">
        <f>534+4813.1</f>
        <v>5347.1</v>
      </c>
      <c r="W201" s="136"/>
      <c r="X201" s="137"/>
    </row>
    <row r="202" spans="1:24">
      <c r="B202" s="87">
        <f>B201+1</f>
        <v>2</v>
      </c>
      <c r="C202" s="295">
        <v>45845</v>
      </c>
      <c r="D202" s="323">
        <v>71290</v>
      </c>
      <c r="E202" s="10" t="s">
        <v>1225</v>
      </c>
      <c r="F202" s="62">
        <v>981</v>
      </c>
      <c r="G202" s="62">
        <v>39.700000000000003</v>
      </c>
      <c r="H202" s="88"/>
      <c r="I202" s="89">
        <f t="shared" si="38"/>
        <v>941.3</v>
      </c>
      <c r="J202" s="63" t="s">
        <v>156</v>
      </c>
      <c r="K202" s="63">
        <v>1</v>
      </c>
      <c r="L202" s="63">
        <v>1</v>
      </c>
      <c r="M202" s="63">
        <v>1</v>
      </c>
      <c r="N202" s="63">
        <v>1</v>
      </c>
      <c r="O202" s="63">
        <v>1</v>
      </c>
      <c r="P202" s="63">
        <v>1</v>
      </c>
      <c r="Q202" s="63">
        <v>1</v>
      </c>
      <c r="R202" s="63">
        <v>1</v>
      </c>
      <c r="S202" s="296">
        <v>1</v>
      </c>
      <c r="T202" s="63"/>
      <c r="U202" s="10" t="s">
        <v>2381</v>
      </c>
      <c r="V202" s="90">
        <v>1079.0999999999999</v>
      </c>
      <c r="W202" s="91"/>
      <c r="X202" s="92"/>
    </row>
    <row r="203" spans="1:24">
      <c r="A203" s="464">
        <v>45846</v>
      </c>
      <c r="B203" s="87">
        <f t="shared" ref="B203:B206" si="39">B202+1</f>
        <v>3</v>
      </c>
      <c r="C203" s="295">
        <v>45845</v>
      </c>
      <c r="D203" s="323">
        <v>71302</v>
      </c>
      <c r="E203" s="10" t="s">
        <v>213</v>
      </c>
      <c r="F203" s="62">
        <v>2814</v>
      </c>
      <c r="G203" s="62">
        <f>39.7+(85.07+474.32+12.1+62.7+41.8)+200</f>
        <v>915.69</v>
      </c>
      <c r="H203" s="62"/>
      <c r="I203" s="89">
        <f t="shared" si="38"/>
        <v>1898.31</v>
      </c>
      <c r="J203" s="63" t="s">
        <v>374</v>
      </c>
      <c r="K203" s="63">
        <v>1</v>
      </c>
      <c r="L203" s="63">
        <v>1</v>
      </c>
      <c r="M203" s="63">
        <v>1</v>
      </c>
      <c r="N203" s="63">
        <v>1</v>
      </c>
      <c r="O203" s="63">
        <v>1</v>
      </c>
      <c r="P203" s="63">
        <v>1</v>
      </c>
      <c r="Q203" s="63">
        <v>1</v>
      </c>
      <c r="R203" s="63">
        <v>1</v>
      </c>
      <c r="S203" s="296">
        <v>1</v>
      </c>
      <c r="T203" s="63"/>
      <c r="U203" s="94" t="s">
        <v>2382</v>
      </c>
      <c r="V203" s="90">
        <v>3095.4</v>
      </c>
      <c r="W203" s="136"/>
      <c r="X203" s="137"/>
    </row>
    <row r="204" spans="1:24">
      <c r="B204" s="87">
        <f>B203+1</f>
        <v>4</v>
      </c>
      <c r="C204" s="274">
        <v>45846</v>
      </c>
      <c r="D204" s="327">
        <v>71301</v>
      </c>
      <c r="E204" s="281" t="s">
        <v>1175</v>
      </c>
      <c r="F204" s="277">
        <v>6814</v>
      </c>
      <c r="G204" s="277">
        <f>39.7+(1096.66)+250</f>
        <v>1386.3600000000001</v>
      </c>
      <c r="H204" s="277"/>
      <c r="I204" s="278">
        <f t="shared" si="38"/>
        <v>5427.6399999999994</v>
      </c>
      <c r="J204" s="279" t="s">
        <v>374</v>
      </c>
      <c r="K204" s="279">
        <v>1</v>
      </c>
      <c r="L204" s="279">
        <v>1</v>
      </c>
      <c r="M204" s="279">
        <v>1</v>
      </c>
      <c r="N204" s="279">
        <v>1</v>
      </c>
      <c r="O204" s="279">
        <v>1</v>
      </c>
      <c r="P204" s="279">
        <v>1</v>
      </c>
      <c r="Q204" s="279">
        <v>1</v>
      </c>
      <c r="R204" s="279">
        <v>1</v>
      </c>
      <c r="S204" s="280">
        <v>1</v>
      </c>
      <c r="T204" s="63"/>
      <c r="U204" s="10" t="s">
        <v>2383</v>
      </c>
      <c r="V204" s="90">
        <v>7495.4</v>
      </c>
      <c r="W204" s="91"/>
      <c r="X204" s="92"/>
    </row>
    <row r="205" spans="1:24">
      <c r="B205" s="87">
        <f>B204+1</f>
        <v>5</v>
      </c>
      <c r="C205" s="295">
        <v>45846</v>
      </c>
      <c r="D205" s="323">
        <v>71305</v>
      </c>
      <c r="E205" s="10" t="s">
        <v>2379</v>
      </c>
      <c r="F205" s="62">
        <v>861</v>
      </c>
      <c r="G205" s="62">
        <f>39.7+(56.99)</f>
        <v>96.69</v>
      </c>
      <c r="H205" s="62"/>
      <c r="I205" s="324">
        <f t="shared" si="38"/>
        <v>764.31</v>
      </c>
      <c r="J205" s="63" t="s">
        <v>156</v>
      </c>
      <c r="K205" s="63">
        <v>1</v>
      </c>
      <c r="L205" s="325">
        <v>0</v>
      </c>
      <c r="M205" s="63">
        <v>1</v>
      </c>
      <c r="N205" s="63">
        <v>1</v>
      </c>
      <c r="O205" s="63">
        <v>1</v>
      </c>
      <c r="P205" s="63">
        <v>1</v>
      </c>
      <c r="Q205" s="63">
        <v>1</v>
      </c>
      <c r="R205" s="63">
        <v>1</v>
      </c>
      <c r="S205" s="296">
        <v>1</v>
      </c>
      <c r="T205" s="63"/>
      <c r="U205" s="10"/>
      <c r="V205" s="90">
        <v>947.1</v>
      </c>
      <c r="W205" s="91"/>
      <c r="X205" s="92"/>
    </row>
    <row r="206" spans="1:24">
      <c r="A206" s="464"/>
      <c r="B206" s="87">
        <f t="shared" si="39"/>
        <v>6</v>
      </c>
      <c r="C206" s="282">
        <v>45846</v>
      </c>
      <c r="D206" s="368">
        <v>71320</v>
      </c>
      <c r="E206" s="283" t="s">
        <v>998</v>
      </c>
      <c r="F206" s="284">
        <f>1263</f>
        <v>1263</v>
      </c>
      <c r="G206" s="284">
        <v>39.700000000000003</v>
      </c>
      <c r="H206" s="284"/>
      <c r="I206" s="285">
        <f t="shared" si="38"/>
        <v>1223.3</v>
      </c>
      <c r="J206" s="286" t="s">
        <v>156</v>
      </c>
      <c r="K206" s="286">
        <v>1</v>
      </c>
      <c r="L206" s="286">
        <v>1</v>
      </c>
      <c r="M206" s="286">
        <v>1</v>
      </c>
      <c r="N206" s="286">
        <v>1</v>
      </c>
      <c r="O206" s="286">
        <v>1</v>
      </c>
      <c r="P206" s="286">
        <v>1</v>
      </c>
      <c r="Q206" s="286">
        <v>1</v>
      </c>
      <c r="R206" s="286">
        <v>1</v>
      </c>
      <c r="S206" s="287">
        <v>1</v>
      </c>
      <c r="T206" s="63"/>
      <c r="U206" s="10" t="s">
        <v>2384</v>
      </c>
      <c r="V206" s="90">
        <v>1389.3</v>
      </c>
      <c r="W206" s="91"/>
      <c r="X206" s="92"/>
    </row>
    <row r="207" spans="1:24">
      <c r="B207" s="87"/>
      <c r="C207" s="36"/>
      <c r="D207" s="10"/>
      <c r="E207" s="10"/>
      <c r="F207" s="98">
        <f>SUM(F201:F206)</f>
        <v>17594</v>
      </c>
      <c r="G207" s="98">
        <f>SUM(G201:G206)</f>
        <v>2878.92</v>
      </c>
      <c r="H207" s="98">
        <f>SUM(H201:H206)</f>
        <v>0</v>
      </c>
      <c r="I207" s="98">
        <f>SUM(I201:I206)</f>
        <v>14715.079999999998</v>
      </c>
      <c r="J207" s="63"/>
      <c r="K207" s="63">
        <f t="shared" ref="K207:S207" si="40">COUNT(K201:K206)</f>
        <v>6</v>
      </c>
      <c r="L207" s="63">
        <f t="shared" si="40"/>
        <v>6</v>
      </c>
      <c r="M207" s="63">
        <f t="shared" si="40"/>
        <v>6</v>
      </c>
      <c r="N207" s="63">
        <f t="shared" si="40"/>
        <v>6</v>
      </c>
      <c r="O207" s="63">
        <f t="shared" si="40"/>
        <v>6</v>
      </c>
      <c r="P207" s="63">
        <f t="shared" si="40"/>
        <v>6</v>
      </c>
      <c r="Q207" s="63">
        <f t="shared" si="40"/>
        <v>6</v>
      </c>
      <c r="R207" s="63">
        <f t="shared" si="40"/>
        <v>6</v>
      </c>
      <c r="S207" s="63">
        <f t="shared" si="40"/>
        <v>6</v>
      </c>
      <c r="T207" s="63"/>
      <c r="U207" s="10"/>
      <c r="V207" s="90"/>
      <c r="W207" s="91"/>
      <c r="X207" s="92"/>
    </row>
    <row r="208" spans="1:24">
      <c r="B208" s="87"/>
      <c r="C208" s="36"/>
      <c r="D208" s="10"/>
      <c r="E208" s="10"/>
      <c r="F208" s="88"/>
      <c r="G208" s="88"/>
      <c r="H208" s="88"/>
      <c r="I208" s="99"/>
      <c r="J208" s="63"/>
      <c r="K208" s="21">
        <f t="shared" ref="K208:S208" si="41">SUM(K201:K206)</f>
        <v>6</v>
      </c>
      <c r="L208" s="21">
        <f t="shared" si="41"/>
        <v>5</v>
      </c>
      <c r="M208" s="21">
        <f t="shared" si="41"/>
        <v>6</v>
      </c>
      <c r="N208" s="21">
        <f t="shared" si="41"/>
        <v>6</v>
      </c>
      <c r="O208" s="21">
        <f t="shared" si="41"/>
        <v>6</v>
      </c>
      <c r="P208" s="21">
        <f t="shared" si="41"/>
        <v>5</v>
      </c>
      <c r="Q208" s="21">
        <f t="shared" si="41"/>
        <v>6</v>
      </c>
      <c r="R208" s="21">
        <f t="shared" si="41"/>
        <v>6</v>
      </c>
      <c r="S208" s="21">
        <f t="shared" si="41"/>
        <v>6</v>
      </c>
      <c r="T208" s="63"/>
      <c r="U208" s="10"/>
      <c r="V208" s="90"/>
      <c r="W208" s="91"/>
      <c r="X208" s="92"/>
    </row>
    <row r="209" spans="1:24">
      <c r="B209" s="11"/>
      <c r="C209" s="36"/>
      <c r="D209" s="10"/>
      <c r="E209" s="10"/>
      <c r="F209" s="88"/>
      <c r="G209" s="88"/>
      <c r="H209" s="88"/>
      <c r="I209" s="99"/>
      <c r="J209" s="63"/>
      <c r="K209" s="21"/>
      <c r="L209" s="21"/>
      <c r="M209" s="21"/>
      <c r="N209" s="21"/>
      <c r="O209" s="21"/>
      <c r="P209" s="21"/>
      <c r="Q209" s="21"/>
      <c r="R209" s="21"/>
      <c r="S209" s="21"/>
      <c r="T209" s="63"/>
      <c r="U209" s="10"/>
      <c r="V209" s="90"/>
      <c r="W209" s="91"/>
      <c r="X209" s="92"/>
    </row>
    <row r="210" spans="1:24">
      <c r="B210" s="100" t="s">
        <v>67</v>
      </c>
      <c r="C210" s="36"/>
      <c r="D210" s="10"/>
      <c r="E210" s="10"/>
      <c r="F210" s="88"/>
      <c r="G210" s="62"/>
      <c r="H210" s="88"/>
      <c r="I210" s="99"/>
      <c r="J210" s="63"/>
      <c r="K210" s="2"/>
      <c r="L210" s="2"/>
      <c r="M210" s="2"/>
      <c r="N210" s="2"/>
      <c r="O210" s="2"/>
      <c r="P210" s="2"/>
      <c r="Q210" s="2"/>
      <c r="R210" s="2"/>
      <c r="S210" s="2"/>
      <c r="T210" s="63"/>
      <c r="U210" s="94"/>
      <c r="V210" s="90"/>
      <c r="W210" s="91"/>
      <c r="X210" s="92"/>
    </row>
    <row r="211" spans="1:24" s="260" customFormat="1">
      <c r="A211" s="463" t="s">
        <v>2385</v>
      </c>
      <c r="B211" s="87">
        <v>1</v>
      </c>
      <c r="C211" s="262">
        <v>45841</v>
      </c>
      <c r="D211" s="490" t="s">
        <v>2386</v>
      </c>
      <c r="E211" s="271" t="s">
        <v>725</v>
      </c>
      <c r="F211" s="265">
        <v>12814</v>
      </c>
      <c r="G211" s="265">
        <f>39.7+(166.25+31.13+58.58-52.07)+1000</f>
        <v>1243.5899999999999</v>
      </c>
      <c r="H211" s="265"/>
      <c r="I211" s="272">
        <f>F211-G211-H211</f>
        <v>11570.41</v>
      </c>
      <c r="J211" s="267" t="s">
        <v>228</v>
      </c>
      <c r="K211" s="267">
        <v>1</v>
      </c>
      <c r="L211" s="267">
        <v>1</v>
      </c>
      <c r="M211" s="267">
        <v>1</v>
      </c>
      <c r="N211" s="267">
        <v>1</v>
      </c>
      <c r="O211" s="267">
        <v>1</v>
      </c>
      <c r="P211" s="267">
        <v>1</v>
      </c>
      <c r="Q211" s="267">
        <v>1</v>
      </c>
      <c r="R211" s="267">
        <v>1</v>
      </c>
      <c r="S211" s="269">
        <v>1</v>
      </c>
      <c r="T211" s="63"/>
      <c r="U211" s="94" t="s">
        <v>2387</v>
      </c>
      <c r="V211" s="90">
        <f>7685.9</f>
        <v>7685.9</v>
      </c>
      <c r="W211" s="136"/>
      <c r="X211" s="137"/>
    </row>
    <row r="212" spans="1:24">
      <c r="B212" s="11"/>
      <c r="C212" s="36"/>
      <c r="D212" s="10"/>
      <c r="E212" s="10"/>
      <c r="F212" s="97">
        <f>SUM(F211:F211)</f>
        <v>12814</v>
      </c>
      <c r="G212" s="97">
        <f>SUM(G211:G211)</f>
        <v>1243.5899999999999</v>
      </c>
      <c r="H212" s="97">
        <f>SUM(H211:H211)</f>
        <v>0</v>
      </c>
      <c r="I212" s="98">
        <f>SUM(I211:I211)</f>
        <v>11570.41</v>
      </c>
      <c r="J212" s="63"/>
      <c r="K212" s="21"/>
      <c r="L212" s="21"/>
      <c r="M212" s="21"/>
      <c r="N212" s="21"/>
      <c r="O212" s="21"/>
      <c r="P212" s="21"/>
      <c r="Q212" s="21"/>
      <c r="R212" s="21"/>
      <c r="S212" s="21"/>
      <c r="T212" s="63"/>
      <c r="U212" s="94"/>
      <c r="V212" s="90"/>
      <c r="W212" s="91"/>
      <c r="X212" s="92"/>
    </row>
    <row r="213" spans="1:24">
      <c r="B213" s="11"/>
      <c r="C213" s="36"/>
      <c r="D213" s="10"/>
      <c r="E213" s="10"/>
      <c r="F213" s="88"/>
      <c r="G213" s="88"/>
      <c r="H213" s="88"/>
      <c r="I213" s="99"/>
      <c r="J213" s="63"/>
      <c r="K213" s="21"/>
      <c r="L213" s="21"/>
      <c r="M213" s="21"/>
      <c r="N213" s="21"/>
      <c r="O213" s="21"/>
      <c r="P213" s="21"/>
      <c r="Q213" s="21"/>
      <c r="R213" s="21"/>
      <c r="S213" s="21"/>
      <c r="T213" s="63"/>
      <c r="U213" s="94"/>
      <c r="V213" s="90"/>
      <c r="W213" s="91"/>
      <c r="X213" s="92"/>
    </row>
    <row r="214" spans="1:24" s="260" customFormat="1">
      <c r="B214" s="100" t="s">
        <v>152</v>
      </c>
      <c r="C214" s="270"/>
      <c r="D214" s="10"/>
      <c r="E214" s="101"/>
      <c r="F214" s="88"/>
      <c r="G214" s="62"/>
      <c r="H214" s="88"/>
      <c r="I214" s="99"/>
      <c r="J214" s="63"/>
      <c r="K214" s="181"/>
      <c r="L214" s="181"/>
      <c r="M214" s="181"/>
      <c r="N214" s="181"/>
      <c r="O214" s="181"/>
      <c r="P214" s="181"/>
      <c r="Q214" s="181"/>
      <c r="R214" s="181"/>
      <c r="S214" s="181"/>
      <c r="T214" s="63"/>
      <c r="U214" s="10"/>
      <c r="V214" s="90"/>
      <c r="W214" s="91"/>
      <c r="X214" s="92"/>
    </row>
    <row r="215" spans="1:24" s="260" customFormat="1">
      <c r="A215" s="181" t="s">
        <v>619</v>
      </c>
      <c r="B215" s="87">
        <v>1</v>
      </c>
      <c r="C215" s="262">
        <v>45778</v>
      </c>
      <c r="D215" s="263">
        <v>55240</v>
      </c>
      <c r="E215" s="264" t="s">
        <v>778</v>
      </c>
      <c r="F215" s="265">
        <v>2861</v>
      </c>
      <c r="G215" s="265">
        <f>39.7+(90.06)</f>
        <v>129.76</v>
      </c>
      <c r="H215" s="265"/>
      <c r="I215" s="272">
        <f>F215-G215-H215</f>
        <v>2731.24</v>
      </c>
      <c r="J215" s="267"/>
      <c r="K215" s="267">
        <v>1</v>
      </c>
      <c r="L215" s="267">
        <v>1</v>
      </c>
      <c r="M215" s="267"/>
      <c r="N215" s="267">
        <v>1</v>
      </c>
      <c r="O215" s="267">
        <v>1</v>
      </c>
      <c r="P215" s="267">
        <v>1</v>
      </c>
      <c r="Q215" s="267">
        <v>1</v>
      </c>
      <c r="R215" s="267">
        <v>1</v>
      </c>
      <c r="S215" s="269">
        <v>1</v>
      </c>
      <c r="T215" s="63"/>
      <c r="U215" s="10"/>
      <c r="V215" s="90"/>
      <c r="W215" s="91"/>
      <c r="X215" s="92"/>
    </row>
    <row r="216" spans="1:24" s="260" customFormat="1">
      <c r="A216" s="261">
        <v>0.05</v>
      </c>
      <c r="B216" s="87">
        <f>B215+1</f>
        <v>2</v>
      </c>
      <c r="C216" s="274">
        <v>45833</v>
      </c>
      <c r="D216" s="327">
        <v>71012</v>
      </c>
      <c r="E216" s="281" t="s">
        <v>317</v>
      </c>
      <c r="F216" s="277">
        <v>5232.6000000000004</v>
      </c>
      <c r="G216" s="277">
        <f>39.7+(24.15+1060.54)+250</f>
        <v>1374.39</v>
      </c>
      <c r="H216" s="277"/>
      <c r="I216" s="278">
        <f>F216-G216-H216</f>
        <v>3858.21</v>
      </c>
      <c r="J216" s="279" t="s">
        <v>156</v>
      </c>
      <c r="K216" s="279">
        <v>1</v>
      </c>
      <c r="L216" s="279">
        <v>1</v>
      </c>
      <c r="M216" s="279">
        <v>1</v>
      </c>
      <c r="N216" s="279">
        <v>1</v>
      </c>
      <c r="O216" s="279">
        <v>1</v>
      </c>
      <c r="P216" s="279">
        <v>0</v>
      </c>
      <c r="Q216" s="279">
        <v>0</v>
      </c>
      <c r="R216" s="279">
        <v>0</v>
      </c>
      <c r="S216" s="280">
        <v>0</v>
      </c>
      <c r="T216" s="63"/>
      <c r="U216" s="10" t="s">
        <v>2370</v>
      </c>
      <c r="V216" s="90"/>
      <c r="W216" s="91"/>
      <c r="X216" s="92"/>
    </row>
    <row r="217" spans="1:24" s="260" customFormat="1">
      <c r="A217" s="261" t="s">
        <v>619</v>
      </c>
      <c r="B217" s="87">
        <f t="shared" ref="B217" si="42">B216+1</f>
        <v>3</v>
      </c>
      <c r="C217" s="282">
        <v>45833</v>
      </c>
      <c r="D217" s="368">
        <v>71028</v>
      </c>
      <c r="E217" s="283" t="s">
        <v>659</v>
      </c>
      <c r="F217" s="284">
        <v>2164</v>
      </c>
      <c r="G217" s="284">
        <v>39.700000000000003</v>
      </c>
      <c r="H217" s="284"/>
      <c r="I217" s="285">
        <f>F217-G217-H217</f>
        <v>2124.3000000000002</v>
      </c>
      <c r="J217" s="286"/>
      <c r="K217" s="286">
        <v>1</v>
      </c>
      <c r="L217" s="286">
        <v>1</v>
      </c>
      <c r="M217" s="286"/>
      <c r="N217" s="286">
        <v>1</v>
      </c>
      <c r="O217" s="286">
        <v>1</v>
      </c>
      <c r="P217" s="286">
        <v>1</v>
      </c>
      <c r="Q217" s="286">
        <v>1</v>
      </c>
      <c r="R217" s="286">
        <v>1</v>
      </c>
      <c r="S217" s="287">
        <v>1</v>
      </c>
      <c r="T217" s="63"/>
      <c r="U217" s="10"/>
      <c r="V217" s="90"/>
      <c r="W217" s="91"/>
      <c r="X217" s="92"/>
    </row>
    <row r="218" spans="1:24" s="260" customFormat="1">
      <c r="B218" s="11"/>
      <c r="C218" s="270"/>
      <c r="D218" s="10"/>
      <c r="E218" s="10"/>
      <c r="F218" s="97">
        <f>SUM(F215:F217)</f>
        <v>10257.6</v>
      </c>
      <c r="G218" s="97">
        <f>SUM(G215:G217)</f>
        <v>1543.8500000000001</v>
      </c>
      <c r="H218" s="97">
        <f>SUM(H215:H217)</f>
        <v>0</v>
      </c>
      <c r="I218" s="97">
        <f>SUM(I215:I217)</f>
        <v>8713.75</v>
      </c>
      <c r="J218" s="63"/>
      <c r="K218" s="21"/>
      <c r="L218" s="21"/>
      <c r="M218" s="21"/>
      <c r="N218" s="21"/>
      <c r="O218" s="21"/>
      <c r="P218" s="21"/>
      <c r="Q218" s="21"/>
      <c r="R218" s="21"/>
      <c r="S218" s="21"/>
      <c r="T218" s="63"/>
      <c r="U218" s="10"/>
      <c r="V218" s="90"/>
      <c r="W218" s="91"/>
      <c r="X218" s="92"/>
    </row>
    <row r="219" spans="1:24" s="260" customFormat="1">
      <c r="B219" s="11"/>
      <c r="C219" s="270"/>
      <c r="D219" s="10"/>
      <c r="E219" s="10"/>
      <c r="F219" s="88"/>
      <c r="G219" s="88"/>
      <c r="H219" s="88"/>
      <c r="I219" s="99"/>
      <c r="J219" s="63"/>
      <c r="K219" s="21"/>
      <c r="L219" s="21"/>
      <c r="M219" s="21"/>
      <c r="N219" s="21"/>
      <c r="O219" s="21"/>
      <c r="P219" s="21"/>
      <c r="Q219" s="21"/>
      <c r="R219" s="21"/>
      <c r="S219" s="21"/>
      <c r="T219" s="63"/>
      <c r="U219" s="10"/>
      <c r="V219" s="90"/>
      <c r="W219" s="91"/>
      <c r="X219" s="92"/>
    </row>
    <row r="220" spans="1:24" s="260" customFormat="1">
      <c r="B220" s="100" t="s">
        <v>202</v>
      </c>
      <c r="C220" s="270"/>
      <c r="D220" s="10"/>
      <c r="E220" s="181"/>
      <c r="F220" s="88"/>
      <c r="G220" s="88"/>
      <c r="H220" s="88"/>
      <c r="I220" s="99"/>
      <c r="J220" s="63"/>
      <c r="K220" s="21"/>
      <c r="L220" s="21"/>
      <c r="M220" s="21"/>
      <c r="N220" s="21"/>
      <c r="O220" s="21"/>
      <c r="P220" s="21"/>
      <c r="Q220" s="21"/>
      <c r="R220" s="21"/>
      <c r="S220" s="21"/>
      <c r="T220" s="63"/>
      <c r="U220" s="10"/>
      <c r="V220" s="90"/>
      <c r="W220" s="91"/>
      <c r="X220" s="92"/>
    </row>
    <row r="221" spans="1:24" s="260" customFormat="1">
      <c r="A221" s="261">
        <v>0.05</v>
      </c>
      <c r="B221" s="87">
        <v>1</v>
      </c>
      <c r="C221" s="262">
        <v>45790</v>
      </c>
      <c r="D221" s="357" t="s">
        <v>2339</v>
      </c>
      <c r="E221" s="271" t="s">
        <v>225</v>
      </c>
      <c r="F221" s="265">
        <v>8614</v>
      </c>
      <c r="G221" s="265">
        <f>39.7+(143.54)+(86.25+50.9)+750</f>
        <v>1070.3899999999999</v>
      </c>
      <c r="H221" s="265"/>
      <c r="I221" s="272">
        <f>F221-G221-H221</f>
        <v>7543.6100000000006</v>
      </c>
      <c r="J221" s="267"/>
      <c r="K221" s="267">
        <v>1</v>
      </c>
      <c r="L221" s="267"/>
      <c r="M221" s="267"/>
      <c r="N221" s="267">
        <v>1</v>
      </c>
      <c r="O221" s="267">
        <v>1</v>
      </c>
      <c r="P221" s="267">
        <v>1</v>
      </c>
      <c r="Q221" s="267">
        <v>0</v>
      </c>
      <c r="R221" s="267">
        <v>0</v>
      </c>
      <c r="S221" s="269">
        <v>0</v>
      </c>
      <c r="T221" s="63"/>
      <c r="U221" s="10" t="s">
        <v>2340</v>
      </c>
      <c r="V221" s="90"/>
      <c r="W221" s="136"/>
      <c r="X221" s="137"/>
    </row>
    <row r="222" spans="1:24" s="260" customFormat="1">
      <c r="A222" s="261">
        <v>0.05</v>
      </c>
      <c r="B222" s="87">
        <f>B221+1</f>
        <v>2</v>
      </c>
      <c r="C222" s="262">
        <v>45799</v>
      </c>
      <c r="D222" s="357" t="s">
        <v>2341</v>
      </c>
      <c r="E222" s="271" t="s">
        <v>464</v>
      </c>
      <c r="F222" s="265">
        <v>15214.25</v>
      </c>
      <c r="G222" s="265">
        <v>39.700000000000003</v>
      </c>
      <c r="H222" s="265"/>
      <c r="I222" s="272">
        <f>F222-G222-H222</f>
        <v>15174.55</v>
      </c>
      <c r="J222" s="267"/>
      <c r="K222" s="267">
        <v>1</v>
      </c>
      <c r="L222" s="267"/>
      <c r="M222" s="267"/>
      <c r="N222" s="267">
        <v>1</v>
      </c>
      <c r="O222" s="267">
        <v>1</v>
      </c>
      <c r="P222" s="267">
        <v>0</v>
      </c>
      <c r="Q222" s="267"/>
      <c r="R222" s="267"/>
      <c r="S222" s="269"/>
      <c r="T222" s="63"/>
      <c r="U222" s="10"/>
      <c r="V222" s="90"/>
      <c r="W222" s="136"/>
      <c r="X222" s="137"/>
    </row>
    <row r="223" spans="1:24" s="260" customFormat="1">
      <c r="A223" s="181" t="s">
        <v>619</v>
      </c>
      <c r="B223" s="87">
        <f>B222+1</f>
        <v>3</v>
      </c>
      <c r="C223" s="262">
        <v>45826</v>
      </c>
      <c r="D223" s="357" t="s">
        <v>2344</v>
      </c>
      <c r="E223" s="271" t="s">
        <v>2345</v>
      </c>
      <c r="F223" s="265">
        <v>21400</v>
      </c>
      <c r="G223" s="265">
        <f>39.7+(104.18+165.91+61.7)+(78.89)+2000</f>
        <v>2450.38</v>
      </c>
      <c r="H223" s="265"/>
      <c r="I223" s="272">
        <f>F223-G223-H223</f>
        <v>18949.62</v>
      </c>
      <c r="J223" s="267"/>
      <c r="K223" s="267">
        <v>1</v>
      </c>
      <c r="L223" s="267"/>
      <c r="M223" s="267"/>
      <c r="N223" s="267">
        <v>1</v>
      </c>
      <c r="O223" s="267">
        <v>1</v>
      </c>
      <c r="P223" s="267">
        <v>0</v>
      </c>
      <c r="Q223" s="267"/>
      <c r="R223" s="267"/>
      <c r="S223" s="269"/>
      <c r="T223" s="63"/>
      <c r="U223" s="10" t="s">
        <v>2346</v>
      </c>
      <c r="V223" s="90"/>
      <c r="W223" s="136"/>
      <c r="X223" s="137"/>
    </row>
    <row r="224" spans="1:24" s="260" customFormat="1">
      <c r="A224" s="260" t="s">
        <v>2347</v>
      </c>
      <c r="B224" s="11"/>
      <c r="C224" s="270"/>
      <c r="D224" s="10"/>
      <c r="E224" s="10"/>
      <c r="F224" s="97">
        <f>SUM(F221:F223)</f>
        <v>45228.25</v>
      </c>
      <c r="G224" s="97">
        <f>SUM(G221:G223)</f>
        <v>3560.4700000000003</v>
      </c>
      <c r="H224" s="97">
        <f>SUM(H221:H223)</f>
        <v>0</v>
      </c>
      <c r="I224" s="97">
        <f>SUM(I221:I223)</f>
        <v>41667.78</v>
      </c>
      <c r="J224" s="63"/>
      <c r="K224" s="21"/>
      <c r="L224" s="21"/>
      <c r="M224" s="21"/>
      <c r="N224" s="21"/>
      <c r="O224" s="21"/>
      <c r="P224" s="21"/>
      <c r="Q224" s="21"/>
      <c r="R224" s="21"/>
      <c r="S224" s="21"/>
      <c r="T224" s="63"/>
      <c r="V224" s="90"/>
      <c r="W224" s="91"/>
      <c r="X224" s="92"/>
    </row>
    <row r="225" spans="1:24" s="260" customFormat="1">
      <c r="B225" s="11"/>
      <c r="C225" s="270"/>
      <c r="D225" s="10"/>
      <c r="E225" s="10"/>
      <c r="F225" s="88"/>
      <c r="G225" s="88"/>
      <c r="H225" s="88"/>
      <c r="I225" s="88"/>
      <c r="J225" s="63"/>
      <c r="K225" s="21"/>
      <c r="L225" s="21"/>
      <c r="M225" s="21"/>
      <c r="N225" s="21"/>
      <c r="O225" s="21"/>
      <c r="P225" s="21"/>
      <c r="Q225" s="21"/>
      <c r="R225" s="21"/>
      <c r="S225" s="21"/>
      <c r="T225" s="63"/>
      <c r="U225" s="10"/>
      <c r="V225" s="90"/>
      <c r="W225" s="91"/>
      <c r="X225" s="92"/>
    </row>
    <row r="226" spans="1:24">
      <c r="B226" s="100" t="s">
        <v>72</v>
      </c>
      <c r="C226" s="36"/>
      <c r="D226" s="10"/>
      <c r="E226" s="10"/>
      <c r="F226" s="88"/>
      <c r="G226" s="88"/>
      <c r="H226" s="88"/>
      <c r="I226" s="99"/>
      <c r="J226" s="63"/>
      <c r="K226" s="63"/>
      <c r="L226" s="63"/>
      <c r="M226" s="63"/>
      <c r="N226" s="63"/>
      <c r="O226" s="63"/>
      <c r="P226" s="63"/>
      <c r="Q226" s="63"/>
      <c r="R226" s="63"/>
      <c r="S226" s="63"/>
      <c r="T226" s="63"/>
      <c r="U226" s="10"/>
      <c r="V226" s="90"/>
      <c r="W226" s="91"/>
      <c r="X226" s="92"/>
    </row>
    <row r="227" spans="1:24">
      <c r="B227" s="87">
        <v>1</v>
      </c>
      <c r="C227" s="274">
        <v>45845</v>
      </c>
      <c r="D227" s="276">
        <v>71269</v>
      </c>
      <c r="E227" s="276" t="s">
        <v>172</v>
      </c>
      <c r="F227" s="277">
        <v>841</v>
      </c>
      <c r="G227" s="277">
        <v>39.700000000000003</v>
      </c>
      <c r="H227" s="277"/>
      <c r="I227" s="278">
        <f>F227-G227-H227</f>
        <v>801.3</v>
      </c>
      <c r="J227" s="279" t="s">
        <v>205</v>
      </c>
      <c r="K227" s="279">
        <v>1</v>
      </c>
      <c r="L227" s="279"/>
      <c r="M227" s="279"/>
      <c r="N227" s="279">
        <v>1</v>
      </c>
      <c r="O227" s="279"/>
      <c r="P227" s="279"/>
      <c r="Q227" s="279">
        <v>1</v>
      </c>
      <c r="R227" s="279">
        <v>1</v>
      </c>
      <c r="S227" s="280">
        <v>1</v>
      </c>
      <c r="T227" s="63"/>
      <c r="U227" s="3"/>
      <c r="V227" s="90"/>
      <c r="W227" s="91"/>
      <c r="X227" s="92"/>
    </row>
    <row r="228" spans="1:24">
      <c r="B228" s="87">
        <f>B227+1</f>
        <v>2</v>
      </c>
      <c r="C228" s="295">
        <v>45845</v>
      </c>
      <c r="D228" s="10">
        <v>71264</v>
      </c>
      <c r="E228" s="10" t="s">
        <v>1605</v>
      </c>
      <c r="F228" s="62">
        <v>7814</v>
      </c>
      <c r="G228" s="62">
        <v>39.700000000000003</v>
      </c>
      <c r="H228" s="62"/>
      <c r="I228" s="89">
        <f>F228-G228-H228</f>
        <v>7774.3</v>
      </c>
      <c r="J228" s="63" t="s">
        <v>205</v>
      </c>
      <c r="K228" s="63">
        <v>1</v>
      </c>
      <c r="L228" s="63"/>
      <c r="M228" s="63"/>
      <c r="N228" s="63">
        <v>1</v>
      </c>
      <c r="O228" s="63"/>
      <c r="P228" s="63"/>
      <c r="Q228" s="63">
        <v>1</v>
      </c>
      <c r="R228" s="63">
        <v>1</v>
      </c>
      <c r="S228" s="296">
        <v>1</v>
      </c>
      <c r="T228" s="63"/>
      <c r="U228" s="10"/>
      <c r="V228" s="90"/>
      <c r="W228" s="136"/>
      <c r="X228" s="137"/>
    </row>
    <row r="229" spans="1:24">
      <c r="B229" s="87">
        <f>B228+1</f>
        <v>3</v>
      </c>
      <c r="C229" s="295">
        <v>45845</v>
      </c>
      <c r="D229" s="10" t="s">
        <v>2388</v>
      </c>
      <c r="E229" s="10" t="s">
        <v>1225</v>
      </c>
      <c r="F229" s="62">
        <v>13861</v>
      </c>
      <c r="G229" s="62">
        <v>39.700000000000003</v>
      </c>
      <c r="H229" s="62"/>
      <c r="I229" s="89">
        <f>F229-G229-H229</f>
        <v>13821.3</v>
      </c>
      <c r="J229" s="63" t="s">
        <v>205</v>
      </c>
      <c r="K229" s="63">
        <v>1</v>
      </c>
      <c r="L229" s="63"/>
      <c r="M229" s="63"/>
      <c r="N229" s="63">
        <v>1</v>
      </c>
      <c r="O229" s="63"/>
      <c r="P229" s="63"/>
      <c r="Q229" s="63"/>
      <c r="R229" s="63"/>
      <c r="S229" s="296"/>
      <c r="T229" s="63"/>
      <c r="U229" s="10"/>
      <c r="V229" s="90"/>
      <c r="W229" s="136"/>
      <c r="X229" s="137"/>
    </row>
    <row r="230" spans="1:24">
      <c r="B230" s="87">
        <f>B229+1</f>
        <v>4</v>
      </c>
      <c r="C230" s="274">
        <v>45846</v>
      </c>
      <c r="D230" s="276">
        <v>71257</v>
      </c>
      <c r="E230" s="276" t="s">
        <v>798</v>
      </c>
      <c r="F230" s="277">
        <v>1138</v>
      </c>
      <c r="G230" s="277">
        <v>39.700000000000003</v>
      </c>
      <c r="H230" s="277"/>
      <c r="I230" s="278">
        <f>F230-G230-H230</f>
        <v>1098.3</v>
      </c>
      <c r="J230" s="279" t="s">
        <v>205</v>
      </c>
      <c r="K230" s="279">
        <v>1</v>
      </c>
      <c r="L230" s="279"/>
      <c r="M230" s="279"/>
      <c r="N230" s="279">
        <v>1</v>
      </c>
      <c r="O230" s="279"/>
      <c r="P230" s="279"/>
      <c r="Q230" s="279"/>
      <c r="R230" s="279"/>
      <c r="S230" s="280"/>
      <c r="T230" s="63"/>
      <c r="U230" s="10"/>
      <c r="V230" s="90">
        <v>93.5</v>
      </c>
      <c r="W230" s="136"/>
      <c r="X230" s="137"/>
    </row>
    <row r="231" spans="1:24">
      <c r="A231" s="464">
        <v>45849</v>
      </c>
      <c r="B231" s="87">
        <f>B230+1</f>
        <v>5</v>
      </c>
      <c r="C231" s="282">
        <v>45846</v>
      </c>
      <c r="D231" s="461" t="s">
        <v>2389</v>
      </c>
      <c r="E231" s="283" t="s">
        <v>998</v>
      </c>
      <c r="F231" s="284">
        <v>10551</v>
      </c>
      <c r="G231" s="284">
        <v>39.700000000000003</v>
      </c>
      <c r="H231" s="284"/>
      <c r="I231" s="285">
        <f>F231-G231-H231</f>
        <v>10511.3</v>
      </c>
      <c r="J231" s="286" t="s">
        <v>156</v>
      </c>
      <c r="K231" s="286">
        <v>1</v>
      </c>
      <c r="L231" s="286"/>
      <c r="M231" s="286">
        <v>1</v>
      </c>
      <c r="N231" s="286">
        <v>1</v>
      </c>
      <c r="O231" s="286">
        <v>1</v>
      </c>
      <c r="P231" s="286">
        <v>1</v>
      </c>
      <c r="Q231" s="286"/>
      <c r="R231" s="286"/>
      <c r="S231" s="287"/>
      <c r="T231" s="63"/>
      <c r="U231" s="94" t="s">
        <v>2390</v>
      </c>
      <c r="V231" s="90">
        <v>1160</v>
      </c>
      <c r="W231" s="136"/>
      <c r="X231" s="137"/>
    </row>
    <row r="232" spans="1:24">
      <c r="B232" s="11"/>
      <c r="C232" s="36"/>
      <c r="D232" s="10"/>
      <c r="E232" s="10"/>
      <c r="F232" s="97">
        <f>SUM(F227:F231)</f>
        <v>34205</v>
      </c>
      <c r="G232" s="97">
        <f>SUM(G227:G231)</f>
        <v>198.5</v>
      </c>
      <c r="H232" s="97">
        <f>SUM(H227:H231)</f>
        <v>0</v>
      </c>
      <c r="I232" s="98">
        <f>SUM(I227:I231)</f>
        <v>34006.5</v>
      </c>
      <c r="J232" s="10"/>
      <c r="K232" s="10"/>
      <c r="L232" s="10"/>
      <c r="M232" s="10"/>
      <c r="N232" s="10"/>
      <c r="O232" s="10"/>
      <c r="P232" s="10"/>
      <c r="Q232" s="10"/>
      <c r="R232" s="10"/>
      <c r="S232" s="10"/>
      <c r="T232" s="63"/>
      <c r="U232" s="10"/>
      <c r="V232" s="138"/>
      <c r="W232" s="136"/>
      <c r="X232" s="137"/>
    </row>
    <row r="233" spans="1:24">
      <c r="B233" s="26"/>
      <c r="C233" s="140"/>
      <c r="D233" s="141"/>
      <c r="E233" s="141"/>
      <c r="F233" s="141"/>
      <c r="G233" s="141"/>
      <c r="H233" s="141"/>
      <c r="I233" s="141"/>
      <c r="J233" s="141"/>
      <c r="K233" s="142"/>
      <c r="L233" s="142"/>
      <c r="M233" s="142"/>
      <c r="N233" s="142"/>
      <c r="O233" s="142"/>
      <c r="P233" s="142"/>
      <c r="Q233" s="142"/>
      <c r="R233" s="142"/>
      <c r="S233" s="142"/>
      <c r="T233" s="143">
        <f>SUM(T200:T232)</f>
        <v>0</v>
      </c>
      <c r="U233" s="141"/>
      <c r="V233" s="144">
        <f>SUM(V200:V232)</f>
        <v>28292.799999999996</v>
      </c>
      <c r="W233" s="145">
        <f>SUM(W200:W232)</f>
        <v>0</v>
      </c>
      <c r="X233" s="146">
        <f>SUM(X200:X232)</f>
        <v>0</v>
      </c>
    </row>
    <row r="236" spans="1:24">
      <c r="A236" s="3"/>
      <c r="B236" s="4" t="s">
        <v>1</v>
      </c>
      <c r="C236" s="5"/>
      <c r="D236" s="6"/>
      <c r="E236" s="6"/>
      <c r="F236" s="7" t="s">
        <v>2</v>
      </c>
      <c r="G236" s="8">
        <v>45865</v>
      </c>
      <c r="H236" s="7" t="s">
        <v>2391</v>
      </c>
      <c r="I236" s="6"/>
      <c r="J236" s="6"/>
      <c r="K236" s="6"/>
      <c r="L236" s="6"/>
      <c r="M236" s="6"/>
      <c r="N236" s="6"/>
      <c r="O236" s="6"/>
      <c r="P236" s="6"/>
      <c r="Q236" s="6"/>
      <c r="R236" s="6"/>
      <c r="S236" s="6"/>
      <c r="T236" s="6"/>
      <c r="U236" s="9"/>
      <c r="V236" s="10"/>
      <c r="W236" s="10"/>
      <c r="X236" s="10"/>
    </row>
    <row r="237" spans="1:24">
      <c r="A237" s="2"/>
      <c r="B237" s="11"/>
      <c r="C237" s="10"/>
      <c r="D237" s="10"/>
      <c r="E237" s="10"/>
      <c r="F237" s="10"/>
      <c r="G237" s="7"/>
      <c r="H237" s="12"/>
      <c r="I237" s="10"/>
      <c r="J237" s="10"/>
      <c r="K237" s="13" t="s">
        <v>3</v>
      </c>
      <c r="L237" s="14"/>
      <c r="M237" s="15"/>
      <c r="N237" s="13" t="s">
        <v>4</v>
      </c>
      <c r="O237" s="14"/>
      <c r="P237" s="15"/>
      <c r="Q237" s="13" t="s">
        <v>5</v>
      </c>
      <c r="R237" s="14"/>
      <c r="S237" s="15"/>
      <c r="T237" s="16"/>
      <c r="U237" s="17"/>
      <c r="V237" s="10"/>
      <c r="W237" s="10"/>
      <c r="X237" s="10"/>
    </row>
    <row r="238" spans="1:24">
      <c r="A238" s="2"/>
      <c r="B238" s="18" t="s">
        <v>6</v>
      </c>
      <c r="C238" s="19">
        <f>C239+C240</f>
        <v>24</v>
      </c>
      <c r="D238" s="10"/>
      <c r="E238" s="18" t="s">
        <v>7</v>
      </c>
      <c r="F238" s="6"/>
      <c r="G238" s="9"/>
      <c r="H238" s="10"/>
      <c r="I238" s="10"/>
      <c r="J238" s="10"/>
      <c r="K238" s="20" t="s">
        <v>8</v>
      </c>
      <c r="L238" s="21" t="s">
        <v>9</v>
      </c>
      <c r="M238" s="21" t="s">
        <v>10</v>
      </c>
      <c r="N238" s="20" t="s">
        <v>11</v>
      </c>
      <c r="O238" s="21" t="s">
        <v>12</v>
      </c>
      <c r="P238" s="22" t="s">
        <v>13</v>
      </c>
      <c r="Q238" s="21" t="s">
        <v>11</v>
      </c>
      <c r="R238" s="21" t="s">
        <v>12</v>
      </c>
      <c r="S238" s="22" t="s">
        <v>13</v>
      </c>
      <c r="T238" s="23" t="s">
        <v>14</v>
      </c>
      <c r="U238" s="17"/>
      <c r="V238" s="10"/>
      <c r="W238" s="10"/>
      <c r="X238" s="10"/>
    </row>
    <row r="239" spans="1:24">
      <c r="A239" s="2"/>
      <c r="B239" s="24" t="s">
        <v>15</v>
      </c>
      <c r="C239" s="25">
        <f>P246</f>
        <v>12</v>
      </c>
      <c r="D239" s="10"/>
      <c r="E239" s="26" t="s">
        <v>16</v>
      </c>
      <c r="F239" s="27">
        <v>0.05</v>
      </c>
      <c r="G239" s="28"/>
      <c r="H239" s="10"/>
      <c r="I239" s="10"/>
      <c r="J239" s="18" t="s">
        <v>17</v>
      </c>
      <c r="K239" s="29">
        <f t="shared" ref="K239:S239" si="43">K274</f>
        <v>10</v>
      </c>
      <c r="L239" s="29">
        <f t="shared" si="43"/>
        <v>9</v>
      </c>
      <c r="M239" s="29">
        <f t="shared" si="43"/>
        <v>8</v>
      </c>
      <c r="N239" s="29">
        <f t="shared" si="43"/>
        <v>10</v>
      </c>
      <c r="O239" s="29">
        <f t="shared" si="43"/>
        <v>10</v>
      </c>
      <c r="P239" s="29">
        <f t="shared" si="43"/>
        <v>10</v>
      </c>
      <c r="Q239" s="29">
        <f t="shared" si="43"/>
        <v>10</v>
      </c>
      <c r="R239" s="29">
        <f t="shared" si="43"/>
        <v>10</v>
      </c>
      <c r="S239" s="29">
        <f t="shared" si="43"/>
        <v>10</v>
      </c>
      <c r="T239" s="30">
        <f>T310</f>
        <v>1</v>
      </c>
      <c r="U239" s="17"/>
      <c r="V239" s="10"/>
      <c r="W239" s="10"/>
      <c r="X239" s="10"/>
    </row>
    <row r="240" spans="1:24">
      <c r="A240" s="2"/>
      <c r="B240" s="24" t="s">
        <v>18</v>
      </c>
      <c r="C240" s="25">
        <f>P247</f>
        <v>12</v>
      </c>
      <c r="D240" s="10"/>
      <c r="E240" s="10"/>
      <c r="F240" s="10"/>
      <c r="G240" s="31"/>
      <c r="H240" s="10"/>
      <c r="I240" s="10"/>
      <c r="J240" s="32" t="s">
        <v>19</v>
      </c>
      <c r="K240" s="33">
        <f t="shared" ref="K240:S240" si="44">K274/K273</f>
        <v>1</v>
      </c>
      <c r="L240" s="33">
        <f t="shared" si="44"/>
        <v>0.9</v>
      </c>
      <c r="M240" s="33">
        <f t="shared" si="44"/>
        <v>0.8</v>
      </c>
      <c r="N240" s="33">
        <f t="shared" si="44"/>
        <v>1</v>
      </c>
      <c r="O240" s="33">
        <f t="shared" si="44"/>
        <v>1</v>
      </c>
      <c r="P240" s="33">
        <f t="shared" si="44"/>
        <v>1</v>
      </c>
      <c r="Q240" s="33">
        <f t="shared" si="44"/>
        <v>1</v>
      </c>
      <c r="R240" s="33">
        <f t="shared" si="44"/>
        <v>1</v>
      </c>
      <c r="S240" s="33">
        <f t="shared" si="44"/>
        <v>1</v>
      </c>
      <c r="T240" s="23"/>
      <c r="U240" s="17" t="s">
        <v>20</v>
      </c>
      <c r="V240" s="10"/>
      <c r="W240" s="10"/>
      <c r="X240" s="10"/>
    </row>
    <row r="241" spans="1:24">
      <c r="A241" s="2"/>
      <c r="B241" s="24" t="s">
        <v>21</v>
      </c>
      <c r="C241" s="34">
        <f>P248</f>
        <v>0.5</v>
      </c>
      <c r="D241" s="10"/>
      <c r="E241" s="10"/>
      <c r="F241" s="10"/>
      <c r="G241" s="10"/>
      <c r="H241" s="10"/>
      <c r="I241" s="10"/>
      <c r="J241" s="10"/>
      <c r="K241" s="10"/>
      <c r="L241" s="10"/>
      <c r="M241" s="10"/>
      <c r="N241" s="10"/>
      <c r="O241" s="10"/>
      <c r="P241" s="10"/>
      <c r="Q241" s="10"/>
      <c r="R241" s="10"/>
      <c r="S241" s="10"/>
      <c r="T241" s="10"/>
      <c r="U241" s="17"/>
      <c r="V241" s="10"/>
      <c r="W241" s="10"/>
      <c r="X241" s="10"/>
    </row>
    <row r="242" spans="1:24">
      <c r="A242" s="2"/>
      <c r="B242" s="24"/>
      <c r="C242" s="25"/>
      <c r="D242" s="10"/>
      <c r="E242" s="10"/>
      <c r="F242" s="18" t="s">
        <v>22</v>
      </c>
      <c r="G242" s="19" t="s">
        <v>23</v>
      </c>
      <c r="H242" s="35" t="s">
        <v>24</v>
      </c>
      <c r="I242" s="10"/>
      <c r="J242" s="10"/>
      <c r="K242" s="36"/>
      <c r="L242" s="36"/>
      <c r="M242" s="36"/>
      <c r="N242" s="36"/>
      <c r="O242" s="36"/>
      <c r="P242" s="36"/>
      <c r="Q242" s="36"/>
      <c r="R242" s="10"/>
      <c r="S242" s="10"/>
      <c r="T242" s="10"/>
      <c r="U242" s="17"/>
      <c r="V242" s="10"/>
      <c r="W242" s="10"/>
      <c r="X242" s="10"/>
    </row>
    <row r="243" spans="1:24">
      <c r="A243" s="2"/>
      <c r="B243" s="32" t="s">
        <v>25</v>
      </c>
      <c r="C243" s="37">
        <f>P249</f>
        <v>2387.5308333333332</v>
      </c>
      <c r="D243" s="10"/>
      <c r="E243" s="18" t="s">
        <v>26</v>
      </c>
      <c r="F243" s="38">
        <f>P245</f>
        <v>28650.37</v>
      </c>
      <c r="G243" s="39">
        <f>I273+I283</f>
        <v>28650.369999999995</v>
      </c>
      <c r="H243" s="40"/>
      <c r="I243" s="41"/>
      <c r="J243" s="42"/>
      <c r="K243" s="43" t="s">
        <v>27</v>
      </c>
      <c r="L243" s="44"/>
      <c r="M243" s="44"/>
      <c r="N243" s="44"/>
      <c r="O243" s="44"/>
      <c r="P243" s="44"/>
      <c r="Q243" s="45"/>
      <c r="R243" s="46" t="s">
        <v>28</v>
      </c>
      <c r="S243" s="47" t="s">
        <v>29</v>
      </c>
      <c r="T243" s="10"/>
      <c r="U243" s="17"/>
      <c r="V243" s="10"/>
      <c r="W243" s="10"/>
      <c r="X243" s="10"/>
    </row>
    <row r="244" spans="1:24">
      <c r="A244" s="2"/>
      <c r="B244" s="11"/>
      <c r="C244" s="10"/>
      <c r="D244" s="10"/>
      <c r="E244" s="24" t="s">
        <v>30</v>
      </c>
      <c r="F244" s="48">
        <f>F239</f>
        <v>0.05</v>
      </c>
      <c r="G244" s="17"/>
      <c r="H244" s="40"/>
      <c r="I244" s="41"/>
      <c r="J244" s="42"/>
      <c r="K244" s="20" t="s">
        <v>31</v>
      </c>
      <c r="L244" s="21" t="s">
        <v>32</v>
      </c>
      <c r="M244" s="21" t="s">
        <v>33</v>
      </c>
      <c r="N244" s="21" t="s">
        <v>34</v>
      </c>
      <c r="O244" s="21" t="s">
        <v>35</v>
      </c>
      <c r="P244" s="21" t="s">
        <v>36</v>
      </c>
      <c r="Q244" s="49" t="s">
        <v>37</v>
      </c>
      <c r="R244" s="50" t="s">
        <v>38</v>
      </c>
      <c r="S244" s="50" t="s">
        <v>38</v>
      </c>
      <c r="T244" s="10"/>
      <c r="U244" s="17"/>
      <c r="V244" s="10"/>
      <c r="W244" s="10"/>
      <c r="X244" s="10"/>
    </row>
    <row r="245" spans="1:24">
      <c r="A245" s="2"/>
      <c r="B245" s="11"/>
      <c r="C245" s="10"/>
      <c r="D245" s="10"/>
      <c r="E245" s="51" t="s">
        <v>39</v>
      </c>
      <c r="F245" s="52">
        <f>(F243-I281-I282)*F244</f>
        <v>707.96600000000001</v>
      </c>
      <c r="G245" s="53" t="s">
        <v>40</v>
      </c>
      <c r="H245" s="54">
        <f>F245/1.12</f>
        <v>632.11249999999995</v>
      </c>
      <c r="I245" s="55"/>
      <c r="J245" s="42"/>
      <c r="K245" s="56">
        <v>0</v>
      </c>
      <c r="L245" s="57">
        <f>I264+I263</f>
        <v>4682.8999999999996</v>
      </c>
      <c r="M245" s="57">
        <f>I265+I266+I281</f>
        <v>5377.4000000000005</v>
      </c>
      <c r="N245" s="57">
        <f>I267+I269+I270+I271+I268</f>
        <v>4951.8200000000006</v>
      </c>
      <c r="O245" s="57">
        <f>I272+I282</f>
        <v>13638.25</v>
      </c>
      <c r="P245" s="57">
        <f>SUM(K245:O245)</f>
        <v>28650.37</v>
      </c>
      <c r="Q245" s="58">
        <v>0</v>
      </c>
      <c r="R245" s="59">
        <f>I283</f>
        <v>14491.05</v>
      </c>
      <c r="S245" s="59">
        <v>0</v>
      </c>
      <c r="T245" s="10"/>
      <c r="U245" s="17"/>
      <c r="V245" s="10"/>
      <c r="W245" s="10"/>
      <c r="X245" s="10"/>
    </row>
    <row r="246" spans="1:24">
      <c r="A246" s="2"/>
      <c r="B246" s="11"/>
      <c r="C246" s="10"/>
      <c r="D246" s="10"/>
      <c r="E246" s="24" t="s">
        <v>41</v>
      </c>
      <c r="F246" s="60">
        <f>Q245</f>
        <v>0</v>
      </c>
      <c r="G246" s="61" t="s">
        <v>40</v>
      </c>
      <c r="H246" s="62"/>
      <c r="I246" s="62"/>
      <c r="J246" s="10" t="s">
        <v>42</v>
      </c>
      <c r="K246" s="63">
        <v>0</v>
      </c>
      <c r="L246" s="63">
        <v>2</v>
      </c>
      <c r="M246" s="63">
        <v>3</v>
      </c>
      <c r="N246" s="63">
        <v>5</v>
      </c>
      <c r="O246" s="63">
        <v>2</v>
      </c>
      <c r="P246" s="21">
        <f>SUM(K246:O246)</f>
        <v>12</v>
      </c>
      <c r="Q246" s="64"/>
      <c r="R246" s="63"/>
      <c r="S246" s="10"/>
      <c r="T246" s="10"/>
      <c r="U246" s="17"/>
      <c r="V246" s="10"/>
      <c r="W246" s="10"/>
      <c r="X246" s="10"/>
    </row>
    <row r="247" spans="1:24">
      <c r="A247" s="2"/>
      <c r="B247" s="11"/>
      <c r="C247" s="10"/>
      <c r="D247" s="10"/>
      <c r="E247" s="51" t="s">
        <v>43</v>
      </c>
      <c r="F247" s="52">
        <f>F246*0.25</f>
        <v>0</v>
      </c>
      <c r="G247" s="53" t="s">
        <v>40</v>
      </c>
      <c r="H247" s="54">
        <f>F247/1.12</f>
        <v>0</v>
      </c>
      <c r="I247" s="10"/>
      <c r="J247" s="10" t="s">
        <v>44</v>
      </c>
      <c r="K247" s="63">
        <v>0</v>
      </c>
      <c r="L247" s="63">
        <v>4</v>
      </c>
      <c r="M247" s="63">
        <v>3</v>
      </c>
      <c r="N247" s="63">
        <v>3</v>
      </c>
      <c r="O247" s="63">
        <v>2</v>
      </c>
      <c r="P247" s="21">
        <f>SUM(K247:O247)</f>
        <v>12</v>
      </c>
      <c r="Q247" s="64"/>
      <c r="R247" s="63"/>
      <c r="S247" s="10"/>
      <c r="T247" s="10"/>
      <c r="U247" s="17"/>
      <c r="V247" s="10"/>
      <c r="W247" s="10"/>
      <c r="X247" s="10"/>
    </row>
    <row r="248" spans="1:24">
      <c r="A248" s="2"/>
      <c r="B248" s="11"/>
      <c r="C248" s="10"/>
      <c r="D248" s="10"/>
      <c r="E248" s="24" t="s">
        <v>45</v>
      </c>
      <c r="F248" s="60">
        <f>I278</f>
        <v>2731.24</v>
      </c>
      <c r="G248" s="61" t="s">
        <v>40</v>
      </c>
      <c r="H248" s="62"/>
      <c r="I248" s="10"/>
      <c r="J248" s="10" t="s">
        <v>46</v>
      </c>
      <c r="K248" s="31" t="e">
        <f t="shared" ref="K248:Q248" si="45">K246/(K246+K247)</f>
        <v>#DIV/0!</v>
      </c>
      <c r="L248" s="31">
        <f t="shared" si="45"/>
        <v>0.33333333333333331</v>
      </c>
      <c r="M248" s="31">
        <f t="shared" si="45"/>
        <v>0.5</v>
      </c>
      <c r="N248" s="31">
        <f t="shared" si="45"/>
        <v>0.625</v>
      </c>
      <c r="O248" s="31">
        <f t="shared" si="45"/>
        <v>0.5</v>
      </c>
      <c r="P248" s="31">
        <f t="shared" si="45"/>
        <v>0.5</v>
      </c>
      <c r="Q248" s="31" t="e">
        <f t="shared" si="45"/>
        <v>#DIV/0!</v>
      </c>
      <c r="R248" s="63"/>
      <c r="S248" s="10"/>
      <c r="T248" s="10"/>
      <c r="U248" s="17"/>
      <c r="V248" s="10"/>
      <c r="W248" s="10"/>
      <c r="X248" s="10"/>
    </row>
    <row r="249" spans="1:24">
      <c r="A249" s="2"/>
      <c r="B249" s="11"/>
      <c r="C249" s="10"/>
      <c r="D249" s="10"/>
      <c r="E249" s="51" t="s">
        <v>47</v>
      </c>
      <c r="F249" s="52">
        <f>(F248+F252)*0.05</f>
        <v>136.64449999999999</v>
      </c>
      <c r="G249" s="65" t="s">
        <v>40</v>
      </c>
      <c r="H249" s="54">
        <f>F249/1.12</f>
        <v>122.00401785714284</v>
      </c>
      <c r="I249" s="42"/>
      <c r="J249" s="10" t="s">
        <v>48</v>
      </c>
      <c r="K249" s="66" t="e">
        <f t="shared" ref="K249:Q249" si="46">K245/K246</f>
        <v>#DIV/0!</v>
      </c>
      <c r="L249" s="66">
        <f t="shared" si="46"/>
        <v>2341.4499999999998</v>
      </c>
      <c r="M249" s="66">
        <f t="shared" si="46"/>
        <v>1792.4666666666669</v>
      </c>
      <c r="N249" s="66">
        <f t="shared" si="46"/>
        <v>990.36400000000015</v>
      </c>
      <c r="O249" s="66">
        <f t="shared" si="46"/>
        <v>6819.125</v>
      </c>
      <c r="P249" s="66">
        <f t="shared" si="46"/>
        <v>2387.5308333333332</v>
      </c>
      <c r="Q249" s="66" t="e">
        <f t="shared" si="46"/>
        <v>#DIV/0!</v>
      </c>
      <c r="R249" s="63"/>
      <c r="S249" s="10"/>
      <c r="T249" s="10"/>
      <c r="U249" s="17"/>
      <c r="V249" s="10"/>
      <c r="W249" s="10"/>
      <c r="X249" s="10"/>
    </row>
    <row r="250" spans="1:24">
      <c r="A250" s="2"/>
      <c r="B250" s="11"/>
      <c r="C250" s="10"/>
      <c r="D250" s="10"/>
      <c r="E250" s="67" t="s">
        <v>14</v>
      </c>
      <c r="F250" s="68">
        <f>50*1</f>
        <v>50</v>
      </c>
      <c r="G250" s="10"/>
      <c r="H250" s="54">
        <f>F250/1.12</f>
        <v>44.642857142857139</v>
      </c>
      <c r="I250" s="10"/>
      <c r="J250" s="10"/>
      <c r="K250" s="10"/>
      <c r="L250" s="10"/>
      <c r="M250" s="10"/>
      <c r="N250" s="10"/>
      <c r="O250" s="10"/>
      <c r="P250" s="10"/>
      <c r="Q250" s="10"/>
      <c r="R250" s="10"/>
      <c r="S250" s="10"/>
      <c r="T250" s="10"/>
      <c r="U250" s="17"/>
      <c r="V250" s="10"/>
      <c r="W250" s="10"/>
      <c r="X250" s="10"/>
    </row>
    <row r="251" spans="1:24">
      <c r="A251" s="2"/>
      <c r="B251" s="11"/>
      <c r="C251" s="10"/>
      <c r="D251" s="10"/>
      <c r="E251" s="67" t="s">
        <v>49</v>
      </c>
      <c r="F251" s="69">
        <f>T240</f>
        <v>0</v>
      </c>
      <c r="G251" s="10"/>
      <c r="H251" s="54"/>
      <c r="I251" s="55"/>
      <c r="J251" s="42"/>
      <c r="K251" s="764" t="s">
        <v>50</v>
      </c>
      <c r="L251" s="765"/>
      <c r="M251" s="765"/>
      <c r="N251" s="765"/>
      <c r="O251" s="765"/>
      <c r="P251" s="765"/>
      <c r="Q251" s="766"/>
      <c r="R251" s="70" t="s">
        <v>28</v>
      </c>
      <c r="S251" s="71" t="s">
        <v>29</v>
      </c>
      <c r="T251" s="10"/>
      <c r="U251" s="17"/>
      <c r="V251" s="10"/>
      <c r="W251" s="10"/>
      <c r="X251" s="10"/>
    </row>
    <row r="252" spans="1:24">
      <c r="A252" s="2"/>
      <c r="B252" s="11"/>
      <c r="C252" s="10"/>
      <c r="D252" s="10"/>
      <c r="E252" s="485" t="s">
        <v>2392</v>
      </c>
      <c r="F252" s="403">
        <v>1.65</v>
      </c>
      <c r="G252" s="10"/>
      <c r="H252" s="10"/>
      <c r="I252" s="10"/>
      <c r="J252" s="42"/>
      <c r="K252" s="20" t="s">
        <v>31</v>
      </c>
      <c r="L252" s="21" t="s">
        <v>32</v>
      </c>
      <c r="M252" s="21" t="s">
        <v>33</v>
      </c>
      <c r="N252" s="21" t="s">
        <v>34</v>
      </c>
      <c r="O252" s="21" t="s">
        <v>35</v>
      </c>
      <c r="P252" s="21" t="s">
        <v>36</v>
      </c>
      <c r="Q252" s="49" t="s">
        <v>37</v>
      </c>
      <c r="R252" s="50" t="s">
        <v>38</v>
      </c>
      <c r="S252" s="50" t="s">
        <v>38</v>
      </c>
      <c r="T252" s="10"/>
      <c r="U252" s="17"/>
      <c r="V252" s="10"/>
      <c r="W252" s="10"/>
      <c r="X252" s="10"/>
    </row>
    <row r="253" spans="1:24">
      <c r="A253" s="2"/>
      <c r="B253" s="11"/>
      <c r="C253" s="10"/>
      <c r="D253" s="10"/>
      <c r="E253" s="12"/>
      <c r="F253" s="76"/>
      <c r="G253" s="10"/>
      <c r="H253" s="10"/>
      <c r="I253" s="10"/>
      <c r="J253" s="42"/>
      <c r="K253" s="56">
        <v>0</v>
      </c>
      <c r="L253" s="57">
        <f>F264+F263</f>
        <v>7695</v>
      </c>
      <c r="M253" s="57">
        <f>F265+F266+F281</f>
        <v>6384</v>
      </c>
      <c r="N253" s="57">
        <f>F267+F269+F270+F271+F268</f>
        <v>5644</v>
      </c>
      <c r="O253" s="57">
        <f>F272+F282</f>
        <v>14899</v>
      </c>
      <c r="P253" s="57">
        <f>SUM(K253:O253)</f>
        <v>34622</v>
      </c>
      <c r="Q253" s="58">
        <v>0</v>
      </c>
      <c r="R253" s="59">
        <f>F283</f>
        <v>16479</v>
      </c>
      <c r="S253" s="59">
        <v>0</v>
      </c>
      <c r="T253" s="10"/>
      <c r="U253" s="17"/>
      <c r="V253" s="10"/>
      <c r="W253" s="10"/>
      <c r="X253" s="10"/>
    </row>
    <row r="254" spans="1:24">
      <c r="A254" s="2"/>
      <c r="B254" s="11"/>
      <c r="C254" s="10"/>
      <c r="D254" s="10"/>
      <c r="E254" s="12"/>
      <c r="F254" s="76"/>
      <c r="G254" s="10"/>
      <c r="H254" s="10"/>
      <c r="I254" s="10"/>
      <c r="J254" s="10" t="s">
        <v>42</v>
      </c>
      <c r="K254" s="63">
        <f t="shared" ref="K254:Q255" si="47">K246</f>
        <v>0</v>
      </c>
      <c r="L254" s="63">
        <f t="shared" si="47"/>
        <v>2</v>
      </c>
      <c r="M254" s="63">
        <f t="shared" si="47"/>
        <v>3</v>
      </c>
      <c r="N254" s="63">
        <f t="shared" si="47"/>
        <v>5</v>
      </c>
      <c r="O254" s="63">
        <f t="shared" si="47"/>
        <v>2</v>
      </c>
      <c r="P254" s="63">
        <f t="shared" si="47"/>
        <v>12</v>
      </c>
      <c r="Q254" s="63">
        <f t="shared" si="47"/>
        <v>0</v>
      </c>
      <c r="R254" s="63"/>
      <c r="S254" s="10"/>
      <c r="T254" s="10"/>
      <c r="U254" s="17"/>
      <c r="V254" s="10"/>
      <c r="W254" s="10"/>
      <c r="X254" s="10"/>
    </row>
    <row r="255" spans="1:24">
      <c r="A255" s="2"/>
      <c r="B255" s="11"/>
      <c r="C255" s="10"/>
      <c r="D255" s="10"/>
      <c r="E255" s="12"/>
      <c r="F255" s="76"/>
      <c r="G255" s="10"/>
      <c r="H255" s="10"/>
      <c r="I255" s="10"/>
      <c r="J255" s="10" t="s">
        <v>44</v>
      </c>
      <c r="K255" s="63">
        <f t="shared" si="47"/>
        <v>0</v>
      </c>
      <c r="L255" s="63">
        <f t="shared" si="47"/>
        <v>4</v>
      </c>
      <c r="M255" s="63">
        <f t="shared" si="47"/>
        <v>3</v>
      </c>
      <c r="N255" s="63">
        <f t="shared" si="47"/>
        <v>3</v>
      </c>
      <c r="O255" s="63">
        <f t="shared" si="47"/>
        <v>2</v>
      </c>
      <c r="P255" s="63">
        <f t="shared" si="47"/>
        <v>12</v>
      </c>
      <c r="Q255" s="63">
        <f t="shared" si="47"/>
        <v>0</v>
      </c>
      <c r="R255" s="63"/>
      <c r="S255" s="10"/>
      <c r="T255" s="10"/>
      <c r="U255" s="17"/>
      <c r="V255" s="10"/>
      <c r="W255" s="10"/>
      <c r="X255" s="10"/>
    </row>
    <row r="256" spans="1:24">
      <c r="A256" s="2"/>
      <c r="B256" s="11"/>
      <c r="C256" s="10"/>
      <c r="D256" s="10"/>
      <c r="E256" s="12"/>
      <c r="F256" s="76"/>
      <c r="G256" s="10"/>
      <c r="H256" s="10"/>
      <c r="I256" s="10"/>
      <c r="J256" s="10" t="s">
        <v>46</v>
      </c>
      <c r="K256" s="31" t="e">
        <f t="shared" ref="K256:Q256" si="48">K254/(K254+K255)</f>
        <v>#DIV/0!</v>
      </c>
      <c r="L256" s="31">
        <f t="shared" si="48"/>
        <v>0.33333333333333331</v>
      </c>
      <c r="M256" s="31">
        <f t="shared" si="48"/>
        <v>0.5</v>
      </c>
      <c r="N256" s="31">
        <f t="shared" si="48"/>
        <v>0.625</v>
      </c>
      <c r="O256" s="31">
        <f t="shared" si="48"/>
        <v>0.5</v>
      </c>
      <c r="P256" s="31">
        <f t="shared" si="48"/>
        <v>0.5</v>
      </c>
      <c r="Q256" s="31" t="e">
        <f t="shared" si="48"/>
        <v>#DIV/0!</v>
      </c>
      <c r="R256" s="63"/>
      <c r="S256" s="10"/>
      <c r="T256" s="10"/>
      <c r="U256" s="17"/>
      <c r="V256" s="10"/>
      <c r="W256" s="10"/>
      <c r="X256" s="10"/>
    </row>
    <row r="257" spans="1:24">
      <c r="A257" s="2"/>
      <c r="B257" s="11"/>
      <c r="C257" s="10"/>
      <c r="D257" s="10"/>
      <c r="E257" s="439" t="s">
        <v>2393</v>
      </c>
      <c r="F257" s="10"/>
      <c r="G257" s="10"/>
      <c r="H257" s="10"/>
      <c r="I257" s="10"/>
      <c r="J257" s="10" t="s">
        <v>48</v>
      </c>
      <c r="K257" s="66" t="e">
        <f t="shared" ref="K257:Q257" si="49">K253/K254</f>
        <v>#DIV/0!</v>
      </c>
      <c r="L257" s="66">
        <f t="shared" si="49"/>
        <v>3847.5</v>
      </c>
      <c r="M257" s="66">
        <f t="shared" si="49"/>
        <v>2128</v>
      </c>
      <c r="N257" s="66">
        <f t="shared" si="49"/>
        <v>1128.8</v>
      </c>
      <c r="O257" s="66">
        <f t="shared" si="49"/>
        <v>7449.5</v>
      </c>
      <c r="P257" s="66">
        <f t="shared" si="49"/>
        <v>2885.1666666666665</v>
      </c>
      <c r="Q257" s="66" t="e">
        <f t="shared" si="49"/>
        <v>#DIV/0!</v>
      </c>
      <c r="R257" s="63"/>
      <c r="S257" s="10"/>
      <c r="T257" s="10"/>
      <c r="U257" s="17"/>
      <c r="V257" s="10"/>
      <c r="W257" s="10"/>
      <c r="X257" s="10"/>
    </row>
    <row r="258" spans="1:24">
      <c r="A258" s="2"/>
      <c r="B258" s="11"/>
      <c r="C258" s="10"/>
      <c r="D258" s="10"/>
      <c r="E258" s="10"/>
      <c r="F258" s="10"/>
      <c r="G258" s="10"/>
      <c r="H258" s="10"/>
      <c r="I258" s="10"/>
      <c r="J258" s="10"/>
      <c r="K258" s="10"/>
      <c r="L258" s="10"/>
      <c r="M258" s="10"/>
      <c r="N258" s="10"/>
      <c r="O258" s="10"/>
      <c r="P258" s="10"/>
      <c r="Q258" s="10"/>
      <c r="R258" s="10"/>
      <c r="S258" s="10"/>
      <c r="T258" s="10"/>
      <c r="U258" s="17"/>
      <c r="V258" s="10"/>
      <c r="W258" s="10"/>
      <c r="X258" s="10"/>
    </row>
    <row r="259" spans="1:24">
      <c r="A259" s="2"/>
      <c r="B259" s="11"/>
      <c r="C259" s="10"/>
      <c r="D259" s="10"/>
      <c r="E259" s="10"/>
      <c r="F259" s="10"/>
      <c r="G259" s="10"/>
      <c r="H259" s="10"/>
      <c r="I259" s="10"/>
      <c r="J259" s="10"/>
      <c r="K259" s="10"/>
      <c r="L259" s="10"/>
      <c r="M259" s="10"/>
      <c r="N259" s="10"/>
      <c r="O259" s="10"/>
      <c r="P259" s="10"/>
      <c r="Q259" s="10"/>
      <c r="R259" s="10"/>
      <c r="S259" s="10"/>
      <c r="T259" s="10"/>
      <c r="U259" s="17"/>
      <c r="V259" s="10"/>
      <c r="W259" s="10"/>
      <c r="X259" s="10"/>
    </row>
    <row r="260" spans="1:24">
      <c r="A260" s="2"/>
      <c r="B260" s="18" t="s">
        <v>51</v>
      </c>
      <c r="C260" s="14"/>
      <c r="D260" s="14"/>
      <c r="E260" s="14"/>
      <c r="F260" s="13" t="s">
        <v>52</v>
      </c>
      <c r="G260" s="14"/>
      <c r="H260" s="14"/>
      <c r="I260" s="14"/>
      <c r="J260" s="14"/>
      <c r="K260" s="13" t="s">
        <v>3</v>
      </c>
      <c r="L260" s="14"/>
      <c r="M260" s="14"/>
      <c r="N260" s="13" t="s">
        <v>4</v>
      </c>
      <c r="O260" s="14"/>
      <c r="P260" s="14"/>
      <c r="Q260" s="13" t="s">
        <v>5</v>
      </c>
      <c r="R260" s="14"/>
      <c r="S260" s="14"/>
      <c r="T260" s="18"/>
      <c r="U260" s="16" t="s">
        <v>53</v>
      </c>
      <c r="V260" s="77"/>
      <c r="W260" s="77"/>
      <c r="X260" s="77"/>
    </row>
    <row r="261" spans="1:24">
      <c r="A261" s="2"/>
      <c r="B261" s="24" t="s">
        <v>54</v>
      </c>
      <c r="C261" s="21" t="s">
        <v>55</v>
      </c>
      <c r="D261" s="21" t="s">
        <v>56</v>
      </c>
      <c r="E261" s="21" t="s">
        <v>57</v>
      </c>
      <c r="F261" s="20" t="s">
        <v>58</v>
      </c>
      <c r="G261" s="21" t="s">
        <v>59</v>
      </c>
      <c r="H261" s="21" t="s">
        <v>60</v>
      </c>
      <c r="I261" s="21" t="s">
        <v>26</v>
      </c>
      <c r="J261" s="22" t="s">
        <v>61</v>
      </c>
      <c r="K261" s="21" t="s">
        <v>8</v>
      </c>
      <c r="L261" s="21" t="s">
        <v>9</v>
      </c>
      <c r="M261" s="21" t="s">
        <v>10</v>
      </c>
      <c r="N261" s="20" t="s">
        <v>11</v>
      </c>
      <c r="O261" s="21" t="s">
        <v>12</v>
      </c>
      <c r="P261" s="22" t="s">
        <v>13</v>
      </c>
      <c r="Q261" s="21" t="s">
        <v>11</v>
      </c>
      <c r="R261" s="21" t="s">
        <v>12</v>
      </c>
      <c r="S261" s="21" t="s">
        <v>13</v>
      </c>
      <c r="T261" s="78" t="s">
        <v>14</v>
      </c>
      <c r="U261" s="30"/>
      <c r="V261" s="79" t="s">
        <v>62</v>
      </c>
      <c r="W261" s="80" t="s">
        <v>63</v>
      </c>
      <c r="X261" s="81" t="s">
        <v>64</v>
      </c>
    </row>
    <row r="262" spans="1:24">
      <c r="A262" s="2"/>
      <c r="B262" s="4" t="s">
        <v>65</v>
      </c>
      <c r="C262" s="6"/>
      <c r="D262" s="6"/>
      <c r="E262" s="6"/>
      <c r="F262" s="6"/>
      <c r="G262" s="6"/>
      <c r="H262" s="6"/>
      <c r="I262" s="82"/>
      <c r="J262" s="6"/>
      <c r="K262" s="6"/>
      <c r="L262" s="6"/>
      <c r="M262" s="6"/>
      <c r="N262" s="6"/>
      <c r="O262" s="6"/>
      <c r="P262" s="6"/>
      <c r="Q262" s="6"/>
      <c r="R262" s="6"/>
      <c r="S262" s="6"/>
      <c r="T262" s="83"/>
      <c r="U262" s="6"/>
      <c r="V262" s="84"/>
      <c r="W262" s="85"/>
      <c r="X262" s="86"/>
    </row>
    <row r="263" spans="1:24">
      <c r="A263" s="2"/>
      <c r="B263" s="87">
        <v>1</v>
      </c>
      <c r="C263" s="274">
        <v>45860</v>
      </c>
      <c r="D263" s="327">
        <v>71644</v>
      </c>
      <c r="E263" s="276" t="s">
        <v>1666</v>
      </c>
      <c r="F263" s="277">
        <v>6214</v>
      </c>
      <c r="G263" s="277">
        <f>39.7+(1435.24+224.16+313.69+705.98+3.63)+250</f>
        <v>2972.4</v>
      </c>
      <c r="H263" s="277"/>
      <c r="I263" s="278">
        <f t="shared" ref="I263:I272" si="50">F263-G263-H263</f>
        <v>3241.6</v>
      </c>
      <c r="J263" s="279" t="s">
        <v>156</v>
      </c>
      <c r="K263" s="279">
        <v>1</v>
      </c>
      <c r="L263" s="279">
        <v>1</v>
      </c>
      <c r="M263" s="279">
        <v>1</v>
      </c>
      <c r="N263" s="279">
        <v>1</v>
      </c>
      <c r="O263" s="279">
        <v>1</v>
      </c>
      <c r="P263" s="279">
        <v>1</v>
      </c>
      <c r="Q263" s="279">
        <v>1</v>
      </c>
      <c r="R263" s="279">
        <v>1</v>
      </c>
      <c r="S263" s="280">
        <v>1</v>
      </c>
      <c r="T263" s="63"/>
      <c r="U263" s="94" t="s">
        <v>2394</v>
      </c>
      <c r="V263" s="90">
        <f>680+6000+155.4</f>
        <v>6835.4</v>
      </c>
      <c r="W263" s="136"/>
      <c r="X263" s="137"/>
    </row>
    <row r="264" spans="1:24">
      <c r="A264" s="2"/>
      <c r="B264" s="87">
        <f>B263+1</f>
        <v>2</v>
      </c>
      <c r="C264" s="295">
        <v>45860</v>
      </c>
      <c r="D264" s="323">
        <v>71643</v>
      </c>
      <c r="E264" s="10" t="s">
        <v>209</v>
      </c>
      <c r="F264" s="62">
        <v>1481</v>
      </c>
      <c r="G264" s="62">
        <f>39.7</f>
        <v>39.700000000000003</v>
      </c>
      <c r="H264" s="88"/>
      <c r="I264" s="89">
        <f t="shared" si="50"/>
        <v>1441.3</v>
      </c>
      <c r="J264" s="63" t="s">
        <v>156</v>
      </c>
      <c r="K264" s="63">
        <v>1</v>
      </c>
      <c r="L264" s="63">
        <v>1</v>
      </c>
      <c r="M264" s="63">
        <v>1</v>
      </c>
      <c r="N264" s="63">
        <v>1</v>
      </c>
      <c r="O264" s="63">
        <v>1</v>
      </c>
      <c r="P264" s="63">
        <v>1</v>
      </c>
      <c r="Q264" s="63">
        <v>1</v>
      </c>
      <c r="R264" s="63">
        <v>1</v>
      </c>
      <c r="S264" s="296">
        <v>1</v>
      </c>
      <c r="T264" s="63"/>
      <c r="U264" s="10" t="s">
        <v>2395</v>
      </c>
      <c r="V264" s="90">
        <v>1629.1</v>
      </c>
      <c r="W264" s="91"/>
      <c r="X264" s="92"/>
    </row>
    <row r="265" spans="1:24">
      <c r="A265" s="2"/>
      <c r="B265" s="87">
        <f t="shared" ref="B265:B272" si="51">B264+1</f>
        <v>3</v>
      </c>
      <c r="C265" s="274">
        <v>45861</v>
      </c>
      <c r="D265" s="327">
        <v>71676</v>
      </c>
      <c r="E265" s="276" t="s">
        <v>728</v>
      </c>
      <c r="F265" s="277">
        <f>3146-185</f>
        <v>2961</v>
      </c>
      <c r="G265" s="277">
        <f>39.7+200</f>
        <v>239.7</v>
      </c>
      <c r="H265" s="277"/>
      <c r="I265" s="321">
        <f t="shared" si="50"/>
        <v>2721.3</v>
      </c>
      <c r="J265" s="279" t="s">
        <v>156</v>
      </c>
      <c r="K265" s="279">
        <v>1</v>
      </c>
      <c r="L265" s="279">
        <v>1</v>
      </c>
      <c r="M265" s="322">
        <v>0</v>
      </c>
      <c r="N265" s="279">
        <v>1</v>
      </c>
      <c r="O265" s="279">
        <v>1</v>
      </c>
      <c r="P265" s="279">
        <v>1</v>
      </c>
      <c r="Q265" s="279">
        <v>1</v>
      </c>
      <c r="R265" s="279">
        <v>1</v>
      </c>
      <c r="S265" s="280">
        <v>1</v>
      </c>
      <c r="T265" s="63"/>
      <c r="U265" s="10" t="s">
        <v>2396</v>
      </c>
      <c r="V265" s="90">
        <f>203.5+3000+257.1</f>
        <v>3460.6</v>
      </c>
      <c r="W265" s="91"/>
      <c r="X265" s="92"/>
    </row>
    <row r="266" spans="1:24">
      <c r="A266" s="93"/>
      <c r="B266" s="87">
        <f t="shared" si="51"/>
        <v>4</v>
      </c>
      <c r="C266" s="295">
        <v>45861</v>
      </c>
      <c r="D266" s="323">
        <v>71591</v>
      </c>
      <c r="E266" s="101" t="s">
        <v>746</v>
      </c>
      <c r="F266" s="62">
        <v>1162</v>
      </c>
      <c r="G266" s="62">
        <v>39.700000000000003</v>
      </c>
      <c r="H266" s="62"/>
      <c r="I266" s="324">
        <f t="shared" si="50"/>
        <v>1122.3</v>
      </c>
      <c r="J266" s="63" t="s">
        <v>156</v>
      </c>
      <c r="K266" s="63">
        <v>1</v>
      </c>
      <c r="L266" s="63">
        <v>1</v>
      </c>
      <c r="M266" s="325">
        <v>0</v>
      </c>
      <c r="N266" s="63">
        <v>1</v>
      </c>
      <c r="O266" s="63">
        <v>1</v>
      </c>
      <c r="P266" s="63">
        <v>1</v>
      </c>
      <c r="Q266" s="63">
        <v>1</v>
      </c>
      <c r="R266" s="63">
        <v>1</v>
      </c>
      <c r="S266" s="296">
        <v>1</v>
      </c>
      <c r="T266" s="21">
        <v>1</v>
      </c>
      <c r="U266" s="10"/>
      <c r="V266" s="90">
        <v>1278.2</v>
      </c>
      <c r="W266" s="91"/>
      <c r="X266" s="92"/>
    </row>
    <row r="267" spans="1:24">
      <c r="A267" s="2"/>
      <c r="B267" s="87">
        <f t="shared" si="51"/>
        <v>5</v>
      </c>
      <c r="C267" s="274">
        <v>45862</v>
      </c>
      <c r="D267" s="327" t="s">
        <v>2397</v>
      </c>
      <c r="E267" s="276" t="s">
        <v>2398</v>
      </c>
      <c r="F267" s="277">
        <v>1281</v>
      </c>
      <c r="G267" s="277">
        <f>39.7</f>
        <v>39.700000000000003</v>
      </c>
      <c r="H267" s="277"/>
      <c r="I267" s="278">
        <f t="shared" si="50"/>
        <v>1241.3</v>
      </c>
      <c r="J267" s="279" t="s">
        <v>156</v>
      </c>
      <c r="K267" s="279">
        <v>1</v>
      </c>
      <c r="L267" s="279">
        <v>1</v>
      </c>
      <c r="M267" s="279">
        <v>1</v>
      </c>
      <c r="N267" s="279">
        <v>1</v>
      </c>
      <c r="O267" s="279">
        <v>1</v>
      </c>
      <c r="P267" s="279">
        <v>1</v>
      </c>
      <c r="Q267" s="279">
        <v>1</v>
      </c>
      <c r="R267" s="279">
        <v>1</v>
      </c>
      <c r="S267" s="280">
        <v>1</v>
      </c>
      <c r="T267" s="63"/>
      <c r="U267" s="10"/>
      <c r="V267" s="90">
        <v>1409.1</v>
      </c>
      <c r="W267" s="91"/>
      <c r="X267" s="92"/>
    </row>
    <row r="268" spans="1:24">
      <c r="A268" s="388">
        <v>45863</v>
      </c>
      <c r="B268" s="87">
        <f>B267+1</f>
        <v>6</v>
      </c>
      <c r="C268" s="295">
        <v>45862</v>
      </c>
      <c r="D268" s="323" t="s">
        <v>2399</v>
      </c>
      <c r="E268" s="10" t="s">
        <v>2398</v>
      </c>
      <c r="F268" s="62">
        <v>1400</v>
      </c>
      <c r="G268" s="62">
        <f>39.7+487.5</f>
        <v>527.20000000000005</v>
      </c>
      <c r="H268" s="62"/>
      <c r="I268" s="324">
        <f t="shared" si="50"/>
        <v>872.8</v>
      </c>
      <c r="J268" s="63" t="s">
        <v>156</v>
      </c>
      <c r="K268" s="63">
        <v>1</v>
      </c>
      <c r="L268" s="325">
        <v>0</v>
      </c>
      <c r="M268" s="63">
        <v>1</v>
      </c>
      <c r="N268" s="63">
        <v>1</v>
      </c>
      <c r="O268" s="63">
        <v>1</v>
      </c>
      <c r="P268" s="63">
        <v>1</v>
      </c>
      <c r="Q268" s="63">
        <v>1</v>
      </c>
      <c r="R268" s="63">
        <v>1</v>
      </c>
      <c r="S268" s="296">
        <v>1</v>
      </c>
      <c r="T268" s="63"/>
      <c r="U268" s="94" t="s">
        <v>2400</v>
      </c>
      <c r="V268" s="90">
        <v>1540</v>
      </c>
      <c r="W268" s="91"/>
      <c r="X268" s="92"/>
    </row>
    <row r="269" spans="1:24">
      <c r="A269" s="2"/>
      <c r="B269" s="87">
        <f>B268+1</f>
        <v>7</v>
      </c>
      <c r="C269" s="295">
        <v>45862</v>
      </c>
      <c r="D269" s="323">
        <v>71709</v>
      </c>
      <c r="E269" s="10" t="s">
        <v>294</v>
      </c>
      <c r="F269" s="62">
        <v>961</v>
      </c>
      <c r="G269" s="62">
        <f>39.7+(6.18)</f>
        <v>45.88</v>
      </c>
      <c r="H269" s="62"/>
      <c r="I269" s="89">
        <f t="shared" si="50"/>
        <v>915.12</v>
      </c>
      <c r="J269" s="63" t="s">
        <v>236</v>
      </c>
      <c r="K269" s="63">
        <v>1</v>
      </c>
      <c r="L269" s="63">
        <v>1</v>
      </c>
      <c r="M269" s="63">
        <v>1</v>
      </c>
      <c r="N269" s="63">
        <v>1</v>
      </c>
      <c r="O269" s="63">
        <v>1</v>
      </c>
      <c r="P269" s="63">
        <v>1</v>
      </c>
      <c r="Q269" s="63">
        <v>1</v>
      </c>
      <c r="R269" s="63">
        <v>1</v>
      </c>
      <c r="S269" s="296">
        <v>1</v>
      </c>
      <c r="T269" s="63"/>
      <c r="U269" s="10"/>
      <c r="V269" s="90">
        <v>957.1</v>
      </c>
      <c r="W269" s="440">
        <v>100</v>
      </c>
      <c r="X269" s="92"/>
    </row>
    <row r="270" spans="1:24">
      <c r="A270" s="2"/>
      <c r="B270" s="87">
        <f t="shared" si="51"/>
        <v>8</v>
      </c>
      <c r="C270" s="295">
        <v>45862</v>
      </c>
      <c r="D270" s="323">
        <v>71721</v>
      </c>
      <c r="E270" s="10" t="s">
        <v>659</v>
      </c>
      <c r="F270" s="62">
        <f>906-85</f>
        <v>821</v>
      </c>
      <c r="G270" s="62">
        <f>39.7</f>
        <v>39.700000000000003</v>
      </c>
      <c r="H270" s="88"/>
      <c r="I270" s="89">
        <f t="shared" si="50"/>
        <v>781.3</v>
      </c>
      <c r="J270" s="63" t="s">
        <v>156</v>
      </c>
      <c r="K270" s="63">
        <v>1</v>
      </c>
      <c r="L270" s="63">
        <v>1</v>
      </c>
      <c r="M270" s="63">
        <v>1</v>
      </c>
      <c r="N270" s="63">
        <v>1</v>
      </c>
      <c r="O270" s="63">
        <v>1</v>
      </c>
      <c r="P270" s="63">
        <v>1</v>
      </c>
      <c r="Q270" s="63">
        <v>1</v>
      </c>
      <c r="R270" s="63">
        <v>1</v>
      </c>
      <c r="S270" s="296">
        <v>1</v>
      </c>
      <c r="T270" s="63"/>
      <c r="U270" s="10"/>
      <c r="V270" s="90">
        <f>93.5+903.1</f>
        <v>996.6</v>
      </c>
      <c r="W270" s="91"/>
      <c r="X270" s="92"/>
    </row>
    <row r="271" spans="1:24">
      <c r="A271" s="2"/>
      <c r="B271" s="87">
        <f t="shared" si="51"/>
        <v>9</v>
      </c>
      <c r="C271" s="295">
        <v>45862</v>
      </c>
      <c r="D271" s="323">
        <v>71742</v>
      </c>
      <c r="E271" s="10" t="s">
        <v>798</v>
      </c>
      <c r="F271" s="62">
        <v>1181</v>
      </c>
      <c r="G271" s="62">
        <f>39.7</f>
        <v>39.700000000000003</v>
      </c>
      <c r="H271" s="88"/>
      <c r="I271" s="89">
        <f t="shared" si="50"/>
        <v>1141.3</v>
      </c>
      <c r="J271" s="63" t="s">
        <v>156</v>
      </c>
      <c r="K271" s="63">
        <v>1</v>
      </c>
      <c r="L271" s="63">
        <v>1</v>
      </c>
      <c r="M271" s="63">
        <v>1</v>
      </c>
      <c r="N271" s="63">
        <v>1</v>
      </c>
      <c r="O271" s="63">
        <v>1</v>
      </c>
      <c r="P271" s="63">
        <v>1</v>
      </c>
      <c r="Q271" s="63">
        <v>1</v>
      </c>
      <c r="R271" s="63">
        <v>1</v>
      </c>
      <c r="S271" s="296">
        <v>1</v>
      </c>
      <c r="T271" s="63"/>
      <c r="U271" s="10"/>
      <c r="V271" s="90">
        <v>1299.0999999999999</v>
      </c>
      <c r="W271" s="91"/>
      <c r="X271" s="92"/>
    </row>
    <row r="272" spans="1:24">
      <c r="A272" s="2" t="s">
        <v>2401</v>
      </c>
      <c r="B272" s="87">
        <f t="shared" si="51"/>
        <v>10</v>
      </c>
      <c r="C272" s="262">
        <v>45863</v>
      </c>
      <c r="D272" s="357" t="s">
        <v>2402</v>
      </c>
      <c r="E272" s="271" t="s">
        <v>169</v>
      </c>
      <c r="F272" s="265">
        <v>681</v>
      </c>
      <c r="G272" s="265"/>
      <c r="H272" s="365"/>
      <c r="I272" s="272">
        <f t="shared" si="50"/>
        <v>681</v>
      </c>
      <c r="J272" s="267" t="s">
        <v>156</v>
      </c>
      <c r="K272" s="267">
        <v>1</v>
      </c>
      <c r="L272" s="267">
        <v>1</v>
      </c>
      <c r="M272" s="267">
        <v>1</v>
      </c>
      <c r="N272" s="267">
        <v>1</v>
      </c>
      <c r="O272" s="267">
        <v>1</v>
      </c>
      <c r="P272" s="267">
        <v>1</v>
      </c>
      <c r="Q272" s="267">
        <v>1</v>
      </c>
      <c r="R272" s="267">
        <v>1</v>
      </c>
      <c r="S272" s="269">
        <v>1</v>
      </c>
      <c r="T272" s="63"/>
      <c r="U272" s="10" t="s">
        <v>2403</v>
      </c>
      <c r="V272" s="90">
        <v>749.1</v>
      </c>
      <c r="W272" s="91"/>
      <c r="X272" s="92"/>
    </row>
    <row r="273" spans="1:24">
      <c r="A273" s="2"/>
      <c r="B273" s="87"/>
      <c r="C273" s="36"/>
      <c r="D273" s="10"/>
      <c r="E273" s="10"/>
      <c r="F273" s="98">
        <f>SUM(F263:F272)</f>
        <v>18143</v>
      </c>
      <c r="G273" s="98">
        <f>SUM(G263:G272)</f>
        <v>3983.6799999999994</v>
      </c>
      <c r="H273" s="98">
        <f>SUM(H263:H272)</f>
        <v>0</v>
      </c>
      <c r="I273" s="98">
        <f>SUM(I263:I272)</f>
        <v>14159.319999999998</v>
      </c>
      <c r="J273" s="63"/>
      <c r="K273" s="63">
        <f t="shared" ref="K273:S273" si="52">COUNT(K263:K272)</f>
        <v>10</v>
      </c>
      <c r="L273" s="63">
        <f t="shared" si="52"/>
        <v>10</v>
      </c>
      <c r="M273" s="63">
        <f t="shared" si="52"/>
        <v>10</v>
      </c>
      <c r="N273" s="63">
        <f t="shared" si="52"/>
        <v>10</v>
      </c>
      <c r="O273" s="63">
        <f t="shared" si="52"/>
        <v>10</v>
      </c>
      <c r="P273" s="63">
        <f t="shared" si="52"/>
        <v>10</v>
      </c>
      <c r="Q273" s="63">
        <f t="shared" si="52"/>
        <v>10</v>
      </c>
      <c r="R273" s="63">
        <f t="shared" si="52"/>
        <v>10</v>
      </c>
      <c r="S273" s="63">
        <f t="shared" si="52"/>
        <v>10</v>
      </c>
      <c r="T273" s="63"/>
      <c r="U273" s="10"/>
      <c r="V273" s="90"/>
      <c r="W273" s="91"/>
      <c r="X273" s="92"/>
    </row>
    <row r="274" spans="1:24">
      <c r="A274" s="2"/>
      <c r="B274" s="87"/>
      <c r="C274" s="36"/>
      <c r="D274" s="10"/>
      <c r="E274" s="10"/>
      <c r="F274" s="88"/>
      <c r="G274" s="88"/>
      <c r="H274" s="88"/>
      <c r="I274" s="99"/>
      <c r="J274" s="63"/>
      <c r="K274" s="21">
        <f t="shared" ref="K274:S274" si="53">SUM(K263:K272)</f>
        <v>10</v>
      </c>
      <c r="L274" s="21">
        <f t="shared" si="53"/>
        <v>9</v>
      </c>
      <c r="M274" s="21">
        <f t="shared" si="53"/>
        <v>8</v>
      </c>
      <c r="N274" s="21">
        <f t="shared" si="53"/>
        <v>10</v>
      </c>
      <c r="O274" s="21">
        <f t="shared" si="53"/>
        <v>10</v>
      </c>
      <c r="P274" s="21">
        <f t="shared" si="53"/>
        <v>10</v>
      </c>
      <c r="Q274" s="21">
        <f t="shared" si="53"/>
        <v>10</v>
      </c>
      <c r="R274" s="21">
        <f t="shared" si="53"/>
        <v>10</v>
      </c>
      <c r="S274" s="21">
        <f t="shared" si="53"/>
        <v>10</v>
      </c>
      <c r="T274" s="63"/>
      <c r="U274" s="10"/>
      <c r="V274" s="90"/>
      <c r="W274" s="91"/>
      <c r="X274" s="92"/>
    </row>
    <row r="275" spans="1:24">
      <c r="A275" s="2"/>
      <c r="B275" s="11"/>
      <c r="C275" s="36"/>
      <c r="D275" s="10"/>
      <c r="E275" s="10"/>
      <c r="F275" s="88"/>
      <c r="G275" s="88"/>
      <c r="H275" s="88"/>
      <c r="I275" s="99"/>
      <c r="J275" s="63"/>
      <c r="K275" s="21"/>
      <c r="L275" s="21"/>
      <c r="M275" s="21"/>
      <c r="N275" s="21"/>
      <c r="O275" s="21"/>
      <c r="P275" s="21"/>
      <c r="Q275" s="21"/>
      <c r="R275" s="21"/>
      <c r="S275" s="21"/>
      <c r="T275" s="63"/>
      <c r="U275" s="10"/>
      <c r="V275" s="90"/>
      <c r="W275" s="91"/>
      <c r="X275" s="92"/>
    </row>
    <row r="276" spans="1:24">
      <c r="A276" s="2"/>
      <c r="B276" s="100" t="s">
        <v>67</v>
      </c>
      <c r="C276" s="36"/>
      <c r="D276" s="10"/>
      <c r="E276" s="10"/>
      <c r="F276" s="88"/>
      <c r="G276" s="62"/>
      <c r="H276" s="88"/>
      <c r="I276" s="99"/>
      <c r="J276" s="63"/>
      <c r="K276" s="2"/>
      <c r="L276" s="2"/>
      <c r="M276" s="2"/>
      <c r="N276" s="2"/>
      <c r="O276" s="2"/>
      <c r="P276" s="2"/>
      <c r="Q276" s="2"/>
      <c r="R276" s="2"/>
      <c r="S276" s="2"/>
      <c r="T276" s="63"/>
      <c r="U276" s="94"/>
      <c r="V276" s="90"/>
      <c r="W276" s="91"/>
      <c r="X276" s="92"/>
    </row>
    <row r="277" spans="1:24">
      <c r="A277" s="181" t="s">
        <v>2404</v>
      </c>
      <c r="B277" s="87">
        <v>1</v>
      </c>
      <c r="C277" s="262">
        <v>45778</v>
      </c>
      <c r="D277" s="263">
        <v>55240</v>
      </c>
      <c r="E277" s="264" t="s">
        <v>778</v>
      </c>
      <c r="F277" s="265">
        <v>2861</v>
      </c>
      <c r="G277" s="265">
        <f>39.7+(90.06)</f>
        <v>129.76</v>
      </c>
      <c r="H277" s="265"/>
      <c r="I277" s="272">
        <f>F277-G277-H277</f>
        <v>2731.24</v>
      </c>
      <c r="J277" s="267" t="s">
        <v>374</v>
      </c>
      <c r="K277" s="267">
        <v>1</v>
      </c>
      <c r="L277" s="267">
        <v>1</v>
      </c>
      <c r="M277" s="267">
        <v>1</v>
      </c>
      <c r="N277" s="267">
        <v>1</v>
      </c>
      <c r="O277" s="267">
        <v>1</v>
      </c>
      <c r="P277" s="267">
        <v>1</v>
      </c>
      <c r="Q277" s="267">
        <v>1</v>
      </c>
      <c r="R277" s="267">
        <v>1</v>
      </c>
      <c r="S277" s="269">
        <v>1</v>
      </c>
      <c r="T277" s="63"/>
      <c r="U277" s="10"/>
      <c r="V277" s="90">
        <f>3147.1</f>
        <v>3147.1</v>
      </c>
      <c r="W277" s="91"/>
      <c r="X277" s="92"/>
    </row>
    <row r="278" spans="1:24">
      <c r="A278" s="2"/>
      <c r="B278" s="11"/>
      <c r="C278" s="36"/>
      <c r="D278" s="10"/>
      <c r="E278" s="10"/>
      <c r="F278" s="97">
        <f>SUM(F277:F277)</f>
        <v>2861</v>
      </c>
      <c r="G278" s="97">
        <f>SUM(G277:G277)</f>
        <v>129.76</v>
      </c>
      <c r="H278" s="97">
        <f>SUM(H277:H277)</f>
        <v>0</v>
      </c>
      <c r="I278" s="98">
        <f>SUM(I277:I277)</f>
        <v>2731.24</v>
      </c>
      <c r="J278" s="63"/>
      <c r="K278" s="21"/>
      <c r="L278" s="21"/>
      <c r="M278" s="21"/>
      <c r="N278" s="21"/>
      <c r="O278" s="21"/>
      <c r="P278" s="21"/>
      <c r="Q278" s="21"/>
      <c r="R278" s="21"/>
      <c r="S278" s="21"/>
      <c r="T278" s="63"/>
      <c r="U278" s="94"/>
      <c r="V278" s="90"/>
      <c r="W278" s="91"/>
      <c r="X278" s="92"/>
    </row>
    <row r="279" spans="1:24">
      <c r="A279" s="2"/>
      <c r="B279" s="11"/>
      <c r="C279" s="36"/>
      <c r="D279" s="10"/>
      <c r="E279" s="10"/>
      <c r="F279" s="88"/>
      <c r="G279" s="88"/>
      <c r="H279" s="88"/>
      <c r="I279" s="99"/>
      <c r="J279" s="63"/>
      <c r="K279" s="21"/>
      <c r="L279" s="21"/>
      <c r="M279" s="21"/>
      <c r="N279" s="21"/>
      <c r="O279" s="21"/>
      <c r="P279" s="21"/>
      <c r="Q279" s="21"/>
      <c r="R279" s="21"/>
      <c r="S279" s="21"/>
      <c r="T279" s="63"/>
      <c r="U279" s="94"/>
      <c r="V279" s="90"/>
      <c r="W279" s="91"/>
      <c r="X279" s="92"/>
    </row>
    <row r="280" spans="1:24" s="342" customFormat="1">
      <c r="A280" s="128"/>
      <c r="B280" s="121" t="s">
        <v>70</v>
      </c>
      <c r="C280" s="122"/>
      <c r="D280" s="123"/>
      <c r="E280" s="128"/>
      <c r="F280" s="124"/>
      <c r="G280" s="124"/>
      <c r="H280" s="124"/>
      <c r="I280" s="126"/>
      <c r="J280" s="127"/>
      <c r="K280" s="64"/>
      <c r="L280" s="64"/>
      <c r="M280" s="64"/>
      <c r="N280" s="64"/>
      <c r="O280" s="64"/>
      <c r="P280" s="64"/>
      <c r="Q280" s="64"/>
      <c r="R280" s="64"/>
      <c r="S280" s="64"/>
      <c r="T280" s="127"/>
      <c r="U280" s="135"/>
      <c r="V280" s="129"/>
      <c r="W280" s="130"/>
      <c r="X280" s="131"/>
    </row>
    <row r="281" spans="1:24" s="342" customFormat="1">
      <c r="A281" s="356">
        <v>0.05</v>
      </c>
      <c r="B281" s="333">
        <v>1</v>
      </c>
      <c r="C281" s="334">
        <v>45861</v>
      </c>
      <c r="D281" s="327">
        <v>71651</v>
      </c>
      <c r="E281" s="335" t="s">
        <v>596</v>
      </c>
      <c r="F281" s="336">
        <v>2261</v>
      </c>
      <c r="G281" s="336">
        <f>39.7+487.5+200</f>
        <v>727.2</v>
      </c>
      <c r="H281" s="336"/>
      <c r="I281" s="337">
        <f>F281-G281-H281</f>
        <v>1533.8</v>
      </c>
      <c r="J281" s="338" t="s">
        <v>156</v>
      </c>
      <c r="K281" s="338">
        <v>1</v>
      </c>
      <c r="L281" s="338"/>
      <c r="M281" s="338">
        <v>1</v>
      </c>
      <c r="N281" s="338">
        <v>1</v>
      </c>
      <c r="O281" s="338">
        <v>1</v>
      </c>
      <c r="P281" s="338">
        <v>1</v>
      </c>
      <c r="Q281" s="338"/>
      <c r="R281" s="338"/>
      <c r="S281" s="339"/>
      <c r="T281" s="127"/>
      <c r="U281" s="135" t="s">
        <v>2405</v>
      </c>
      <c r="V281" s="129">
        <v>240</v>
      </c>
      <c r="W281" s="340"/>
      <c r="X281" s="341"/>
    </row>
    <row r="282" spans="1:24" s="342" customFormat="1">
      <c r="A282" s="356">
        <v>0.05</v>
      </c>
      <c r="B282" s="333">
        <f>B281+1</f>
        <v>2</v>
      </c>
      <c r="C282" s="350">
        <v>45863</v>
      </c>
      <c r="D282" s="263" t="s">
        <v>2406</v>
      </c>
      <c r="E282" s="358" t="s">
        <v>2398</v>
      </c>
      <c r="F282" s="352">
        <v>14218</v>
      </c>
      <c r="G282" s="352">
        <f>39.7+(78.82+18.7+38.9+17.61+45.74)+(21.28)+1000</f>
        <v>1260.75</v>
      </c>
      <c r="H282" s="352"/>
      <c r="I282" s="353">
        <f>F282-G282-H282</f>
        <v>12957.25</v>
      </c>
      <c r="J282" s="354" t="s">
        <v>156</v>
      </c>
      <c r="K282" s="354">
        <v>1</v>
      </c>
      <c r="L282" s="354"/>
      <c r="M282" s="354">
        <v>1</v>
      </c>
      <c r="N282" s="354">
        <v>1</v>
      </c>
      <c r="O282" s="354">
        <v>1</v>
      </c>
      <c r="P282" s="354">
        <v>1</v>
      </c>
      <c r="Q282" s="354"/>
      <c r="R282" s="354"/>
      <c r="S282" s="355"/>
      <c r="T282" s="127"/>
      <c r="U282" s="135" t="s">
        <v>2407</v>
      </c>
      <c r="V282" s="129">
        <v>1563</v>
      </c>
      <c r="W282" s="340"/>
      <c r="X282" s="341"/>
    </row>
    <row r="283" spans="1:24" s="342" customFormat="1">
      <c r="A283" s="128"/>
      <c r="B283" s="132"/>
      <c r="C283" s="122"/>
      <c r="D283" s="123"/>
      <c r="E283" s="123"/>
      <c r="F283" s="134">
        <f>SUM(F281:F282)</f>
        <v>16479</v>
      </c>
      <c r="G283" s="134">
        <f>SUM(G281:G282)</f>
        <v>1987.95</v>
      </c>
      <c r="H283" s="134">
        <f>SUM(H281:H282)</f>
        <v>0</v>
      </c>
      <c r="I283" s="134">
        <f>SUM(I281:I282)</f>
        <v>14491.05</v>
      </c>
      <c r="J283" s="127"/>
      <c r="K283" s="64"/>
      <c r="L283" s="64"/>
      <c r="M283" s="64"/>
      <c r="N283" s="64"/>
      <c r="O283" s="64"/>
      <c r="P283" s="64"/>
      <c r="Q283" s="64"/>
      <c r="R283" s="64"/>
      <c r="S283" s="64"/>
      <c r="T283" s="127"/>
      <c r="U283" s="135"/>
      <c r="V283" s="129"/>
      <c r="W283" s="130"/>
      <c r="X283" s="131"/>
    </row>
    <row r="284" spans="1:24">
      <c r="A284" s="2"/>
      <c r="B284" s="11"/>
      <c r="C284" s="36"/>
      <c r="D284" s="10"/>
      <c r="E284" s="10"/>
      <c r="F284" s="88"/>
      <c r="G284" s="88"/>
      <c r="H284" s="88"/>
      <c r="I284" s="99"/>
      <c r="J284" s="10"/>
      <c r="K284" s="63"/>
      <c r="L284" s="63"/>
      <c r="M284" s="63"/>
      <c r="N284" s="63"/>
      <c r="O284" s="63"/>
      <c r="P284" s="63"/>
      <c r="Q284" s="63"/>
      <c r="R284" s="63"/>
      <c r="S284" s="63"/>
      <c r="T284" s="63"/>
      <c r="U284" s="94"/>
      <c r="V284" s="90"/>
      <c r="W284" s="91"/>
      <c r="X284" s="92"/>
    </row>
    <row r="285" spans="1:24" s="260" customFormat="1">
      <c r="B285" s="100" t="s">
        <v>152</v>
      </c>
      <c r="C285" s="270"/>
      <c r="D285" s="10"/>
      <c r="E285" s="101"/>
      <c r="F285" s="88"/>
      <c r="G285" s="62"/>
      <c r="H285" s="88"/>
      <c r="I285" s="99"/>
      <c r="J285" s="63"/>
      <c r="K285" s="181"/>
      <c r="L285" s="181"/>
      <c r="M285" s="181"/>
      <c r="N285" s="181"/>
      <c r="O285" s="181"/>
      <c r="P285" s="181"/>
      <c r="Q285" s="181"/>
      <c r="R285" s="181"/>
      <c r="S285" s="181"/>
      <c r="T285" s="63"/>
      <c r="U285" s="10"/>
      <c r="V285" s="90"/>
      <c r="W285" s="91"/>
      <c r="X285" s="92"/>
    </row>
    <row r="286" spans="1:24" s="260" customFormat="1">
      <c r="A286" s="261">
        <v>0.05</v>
      </c>
      <c r="B286" s="87">
        <v>1</v>
      </c>
      <c r="C286" s="274">
        <v>45833</v>
      </c>
      <c r="D286" s="327">
        <v>71012</v>
      </c>
      <c r="E286" s="281" t="s">
        <v>317</v>
      </c>
      <c r="F286" s="277">
        <v>5232.6000000000004</v>
      </c>
      <c r="G286" s="277">
        <f>39.7+(24.15+1060.54)+250</f>
        <v>1374.39</v>
      </c>
      <c r="H286" s="277"/>
      <c r="I286" s="278">
        <f>F286-G286-H286</f>
        <v>3858.21</v>
      </c>
      <c r="J286" s="279" t="s">
        <v>156</v>
      </c>
      <c r="K286" s="279">
        <v>1</v>
      </c>
      <c r="L286" s="279">
        <v>1</v>
      </c>
      <c r="M286" s="279">
        <v>1</v>
      </c>
      <c r="N286" s="279">
        <v>1</v>
      </c>
      <c r="O286" s="279">
        <v>1</v>
      </c>
      <c r="P286" s="279">
        <v>0</v>
      </c>
      <c r="Q286" s="279">
        <v>0</v>
      </c>
      <c r="R286" s="279">
        <v>0</v>
      </c>
      <c r="S286" s="280">
        <v>0</v>
      </c>
      <c r="T286" s="63"/>
      <c r="U286" s="10" t="s">
        <v>2370</v>
      </c>
      <c r="V286" s="90"/>
      <c r="W286" s="91"/>
      <c r="X286" s="92"/>
    </row>
    <row r="287" spans="1:24" s="260" customFormat="1">
      <c r="A287" s="261" t="s">
        <v>619</v>
      </c>
      <c r="B287" s="87">
        <f t="shared" ref="B287" si="54">B286+1</f>
        <v>2</v>
      </c>
      <c r="C287" s="282">
        <v>45833</v>
      </c>
      <c r="D287" s="368">
        <v>71028</v>
      </c>
      <c r="E287" s="283" t="s">
        <v>659</v>
      </c>
      <c r="F287" s="284">
        <v>2164</v>
      </c>
      <c r="G287" s="284">
        <v>39.700000000000003</v>
      </c>
      <c r="H287" s="284"/>
      <c r="I287" s="285">
        <f>F287-G287-H287</f>
        <v>2124.3000000000002</v>
      </c>
      <c r="J287" s="286"/>
      <c r="K287" s="286">
        <v>1</v>
      </c>
      <c r="L287" s="286">
        <v>1</v>
      </c>
      <c r="M287" s="286"/>
      <c r="N287" s="286">
        <v>1</v>
      </c>
      <c r="O287" s="286">
        <v>1</v>
      </c>
      <c r="P287" s="286">
        <v>1</v>
      </c>
      <c r="Q287" s="286">
        <v>1</v>
      </c>
      <c r="R287" s="286">
        <v>1</v>
      </c>
      <c r="S287" s="287">
        <v>1</v>
      </c>
      <c r="T287" s="63"/>
      <c r="U287" s="10"/>
      <c r="V287" s="90"/>
      <c r="W287" s="91"/>
      <c r="X287" s="92"/>
    </row>
    <row r="288" spans="1:24" s="260" customFormat="1">
      <c r="B288" s="11"/>
      <c r="C288" s="270"/>
      <c r="D288" s="10"/>
      <c r="E288" s="10"/>
      <c r="F288" s="97">
        <f>SUM(F286:F287)</f>
        <v>7396.6</v>
      </c>
      <c r="G288" s="97">
        <f>SUM(G286:G287)</f>
        <v>1414.0900000000001</v>
      </c>
      <c r="H288" s="97">
        <f>SUM(H286:H287)</f>
        <v>0</v>
      </c>
      <c r="I288" s="97">
        <f>SUM(I286:I287)</f>
        <v>5982.51</v>
      </c>
      <c r="J288" s="63"/>
      <c r="K288" s="21"/>
      <c r="L288" s="21"/>
      <c r="M288" s="21"/>
      <c r="N288" s="21"/>
      <c r="O288" s="21"/>
      <c r="P288" s="21"/>
      <c r="Q288" s="21"/>
      <c r="R288" s="21"/>
      <c r="S288" s="21"/>
      <c r="T288" s="63"/>
      <c r="U288" s="10"/>
      <c r="V288" s="90"/>
      <c r="W288" s="91"/>
      <c r="X288" s="92"/>
    </row>
    <row r="289" spans="1:24" s="260" customFormat="1">
      <c r="B289" s="11"/>
      <c r="C289" s="270"/>
      <c r="D289" s="10"/>
      <c r="E289" s="10"/>
      <c r="F289" s="88"/>
      <c r="G289" s="88"/>
      <c r="H289" s="88"/>
      <c r="I289" s="99"/>
      <c r="J289" s="63"/>
      <c r="K289" s="21"/>
      <c r="L289" s="21"/>
      <c r="M289" s="21"/>
      <c r="N289" s="21"/>
      <c r="O289" s="21"/>
      <c r="P289" s="21"/>
      <c r="Q289" s="21"/>
      <c r="R289" s="21"/>
      <c r="S289" s="21"/>
      <c r="T289" s="63"/>
      <c r="U289" s="10"/>
      <c r="V289" s="90"/>
      <c r="W289" s="91"/>
      <c r="X289" s="92"/>
    </row>
    <row r="290" spans="1:24" s="260" customFormat="1">
      <c r="B290" s="100" t="s">
        <v>202</v>
      </c>
      <c r="C290" s="270"/>
      <c r="D290" s="10"/>
      <c r="E290" s="181"/>
      <c r="F290" s="88"/>
      <c r="G290" s="88"/>
      <c r="H290" s="88"/>
      <c r="I290" s="99"/>
      <c r="J290" s="63"/>
      <c r="K290" s="21"/>
      <c r="L290" s="21"/>
      <c r="M290" s="21"/>
      <c r="N290" s="21"/>
      <c r="O290" s="21"/>
      <c r="P290" s="21"/>
      <c r="Q290" s="21"/>
      <c r="R290" s="21"/>
      <c r="S290" s="21"/>
      <c r="T290" s="63"/>
      <c r="U290" s="10"/>
      <c r="V290" s="90"/>
      <c r="W290" s="91"/>
      <c r="X290" s="92"/>
    </row>
    <row r="291" spans="1:24" s="260" customFormat="1">
      <c r="A291" s="261">
        <v>0.05</v>
      </c>
      <c r="B291" s="87">
        <v>1</v>
      </c>
      <c r="C291" s="262">
        <v>45790</v>
      </c>
      <c r="D291" s="357" t="s">
        <v>2339</v>
      </c>
      <c r="E291" s="271" t="s">
        <v>225</v>
      </c>
      <c r="F291" s="265">
        <v>8614</v>
      </c>
      <c r="G291" s="265">
        <f>39.7+(143.54)+(86.25+50.9)+750</f>
        <v>1070.3899999999999</v>
      </c>
      <c r="H291" s="265"/>
      <c r="I291" s="272">
        <f>F291-G291-H291</f>
        <v>7543.6100000000006</v>
      </c>
      <c r="J291" s="267"/>
      <c r="K291" s="267">
        <v>1</v>
      </c>
      <c r="L291" s="267"/>
      <c r="M291" s="267"/>
      <c r="N291" s="267">
        <v>1</v>
      </c>
      <c r="O291" s="267">
        <v>1</v>
      </c>
      <c r="P291" s="267">
        <v>1</v>
      </c>
      <c r="Q291" s="267">
        <v>0</v>
      </c>
      <c r="R291" s="267">
        <v>0</v>
      </c>
      <c r="S291" s="269">
        <v>0</v>
      </c>
      <c r="T291" s="63"/>
      <c r="U291" s="10" t="s">
        <v>2340</v>
      </c>
      <c r="V291" s="90"/>
      <c r="W291" s="136"/>
      <c r="X291" s="137"/>
    </row>
    <row r="292" spans="1:24" s="260" customFormat="1">
      <c r="A292" s="261">
        <v>0.05</v>
      </c>
      <c r="B292" s="87">
        <f>B291+1</f>
        <v>2</v>
      </c>
      <c r="C292" s="262">
        <v>45799</v>
      </c>
      <c r="D292" s="357" t="s">
        <v>2341</v>
      </c>
      <c r="E292" s="271" t="s">
        <v>464</v>
      </c>
      <c r="F292" s="265">
        <v>15214.25</v>
      </c>
      <c r="G292" s="265">
        <v>39.700000000000003</v>
      </c>
      <c r="H292" s="265"/>
      <c r="I292" s="272">
        <f>F292-G292-H292</f>
        <v>15174.55</v>
      </c>
      <c r="J292" s="267"/>
      <c r="K292" s="267">
        <v>1</v>
      </c>
      <c r="L292" s="267"/>
      <c r="M292" s="267"/>
      <c r="N292" s="267">
        <v>1</v>
      </c>
      <c r="O292" s="267">
        <v>1</v>
      </c>
      <c r="P292" s="267">
        <v>0</v>
      </c>
      <c r="Q292" s="267"/>
      <c r="R292" s="267"/>
      <c r="S292" s="269"/>
      <c r="T292" s="63"/>
      <c r="U292" s="10"/>
      <c r="V292" s="90"/>
      <c r="W292" s="136"/>
      <c r="X292" s="137"/>
    </row>
    <row r="293" spans="1:24" s="260" customFormat="1">
      <c r="A293" s="181" t="s">
        <v>619</v>
      </c>
      <c r="B293" s="87">
        <f>B292+1</f>
        <v>3</v>
      </c>
      <c r="C293" s="262">
        <v>45826</v>
      </c>
      <c r="D293" s="357" t="s">
        <v>2344</v>
      </c>
      <c r="E293" s="271" t="s">
        <v>2345</v>
      </c>
      <c r="F293" s="265">
        <v>21400</v>
      </c>
      <c r="G293" s="265">
        <f>39.7+(104.18+165.91+61.7)+(78.89)+2000</f>
        <v>2450.38</v>
      </c>
      <c r="H293" s="265"/>
      <c r="I293" s="272">
        <f>F293-G293-H293</f>
        <v>18949.62</v>
      </c>
      <c r="J293" s="267"/>
      <c r="K293" s="267">
        <v>1</v>
      </c>
      <c r="L293" s="267"/>
      <c r="M293" s="267"/>
      <c r="N293" s="267">
        <v>1</v>
      </c>
      <c r="O293" s="267">
        <v>1</v>
      </c>
      <c r="P293" s="267">
        <v>0</v>
      </c>
      <c r="Q293" s="267"/>
      <c r="R293" s="267"/>
      <c r="S293" s="269"/>
      <c r="T293" s="63"/>
      <c r="U293" s="10" t="s">
        <v>2346</v>
      </c>
      <c r="V293" s="90"/>
      <c r="W293" s="136"/>
      <c r="X293" s="137"/>
    </row>
    <row r="294" spans="1:24" s="260" customFormat="1">
      <c r="A294" s="260" t="s">
        <v>2347</v>
      </c>
      <c r="B294" s="11"/>
      <c r="C294" s="270"/>
      <c r="D294" s="10"/>
      <c r="E294" s="10"/>
      <c r="F294" s="97">
        <f>SUM(F291:F293)</f>
        <v>45228.25</v>
      </c>
      <c r="G294" s="97">
        <f>SUM(G291:G293)</f>
        <v>3560.4700000000003</v>
      </c>
      <c r="H294" s="97">
        <f>SUM(H291:H293)</f>
        <v>0</v>
      </c>
      <c r="I294" s="97">
        <f>SUM(I291:I293)</f>
        <v>41667.78</v>
      </c>
      <c r="J294" s="63"/>
      <c r="K294" s="21"/>
      <c r="L294" s="21"/>
      <c r="M294" s="21"/>
      <c r="N294" s="21"/>
      <c r="O294" s="21"/>
      <c r="P294" s="21"/>
      <c r="Q294" s="21"/>
      <c r="R294" s="21"/>
      <c r="S294" s="21"/>
      <c r="T294" s="63"/>
      <c r="V294" s="90"/>
      <c r="W294" s="91"/>
      <c r="X294" s="92"/>
    </row>
    <row r="295" spans="1:24" s="260" customFormat="1">
      <c r="B295" s="11"/>
      <c r="C295" s="270"/>
      <c r="D295" s="10"/>
      <c r="E295" s="10"/>
      <c r="F295" s="88"/>
      <c r="G295" s="88"/>
      <c r="H295" s="88"/>
      <c r="I295" s="88"/>
      <c r="J295" s="63"/>
      <c r="K295" s="21"/>
      <c r="L295" s="21"/>
      <c r="M295" s="21"/>
      <c r="N295" s="21"/>
      <c r="O295" s="21"/>
      <c r="P295" s="21"/>
      <c r="Q295" s="21"/>
      <c r="R295" s="21"/>
      <c r="S295" s="21"/>
      <c r="T295" s="63"/>
      <c r="U295" s="10"/>
      <c r="V295" s="90"/>
      <c r="W295" s="91"/>
      <c r="X295" s="92"/>
    </row>
    <row r="296" spans="1:24">
      <c r="A296" s="2"/>
      <c r="B296" s="100" t="s">
        <v>72</v>
      </c>
      <c r="C296" s="36"/>
      <c r="D296" s="10"/>
      <c r="E296" s="10"/>
      <c r="F296" s="88"/>
      <c r="G296" s="88"/>
      <c r="H296" s="88"/>
      <c r="I296" s="99"/>
      <c r="J296" s="63"/>
      <c r="K296" s="63"/>
      <c r="L296" s="63"/>
      <c r="M296" s="63"/>
      <c r="N296" s="63"/>
      <c r="O296" s="63"/>
      <c r="P296" s="63"/>
      <c r="Q296" s="63"/>
      <c r="R296" s="63"/>
      <c r="S296" s="63"/>
      <c r="T296" s="63"/>
      <c r="U296" s="10"/>
      <c r="V296" s="90"/>
      <c r="W296" s="91"/>
      <c r="X296" s="92"/>
    </row>
    <row r="297" spans="1:24">
      <c r="A297" s="2"/>
      <c r="B297" s="87">
        <v>1</v>
      </c>
      <c r="C297" s="274">
        <v>45860</v>
      </c>
      <c r="D297" s="276">
        <v>71617</v>
      </c>
      <c r="E297" s="276" t="s">
        <v>294</v>
      </c>
      <c r="F297" s="277">
        <v>4765</v>
      </c>
      <c r="G297" s="277">
        <f>39.7</f>
        <v>39.700000000000003</v>
      </c>
      <c r="H297" s="277"/>
      <c r="I297" s="278">
        <f t="shared" ref="I297:I308" si="55">F297-G297-H297</f>
        <v>4725.3</v>
      </c>
      <c r="J297" s="279" t="s">
        <v>205</v>
      </c>
      <c r="K297" s="279">
        <v>1</v>
      </c>
      <c r="L297" s="279"/>
      <c r="M297" s="279"/>
      <c r="N297" s="279">
        <v>1</v>
      </c>
      <c r="O297" s="279"/>
      <c r="P297" s="279"/>
      <c r="Q297" s="279">
        <v>1</v>
      </c>
      <c r="R297" s="279">
        <v>1</v>
      </c>
      <c r="S297" s="280">
        <v>1</v>
      </c>
      <c r="T297" s="63"/>
      <c r="U297" s="3"/>
      <c r="V297" s="90"/>
      <c r="W297" s="91"/>
      <c r="X297" s="92"/>
    </row>
    <row r="298" spans="1:24">
      <c r="A298" s="2"/>
      <c r="B298" s="87">
        <f t="shared" ref="B298:B308" si="56">B297+1</f>
        <v>2</v>
      </c>
      <c r="C298" s="295">
        <v>45860</v>
      </c>
      <c r="D298" s="10">
        <v>71658</v>
      </c>
      <c r="E298" s="10" t="s">
        <v>304</v>
      </c>
      <c r="F298" s="62">
        <v>416</v>
      </c>
      <c r="G298" s="62"/>
      <c r="H298" s="62"/>
      <c r="I298" s="89">
        <f t="shared" si="55"/>
        <v>416</v>
      </c>
      <c r="J298" s="63" t="s">
        <v>205</v>
      </c>
      <c r="K298" s="63">
        <v>1</v>
      </c>
      <c r="L298" s="63"/>
      <c r="M298" s="63"/>
      <c r="N298" s="63">
        <v>1</v>
      </c>
      <c r="O298" s="63"/>
      <c r="P298" s="63"/>
      <c r="Q298" s="63">
        <v>1</v>
      </c>
      <c r="R298" s="63">
        <v>1</v>
      </c>
      <c r="S298" s="296">
        <v>1</v>
      </c>
      <c r="T298" s="63"/>
      <c r="U298" s="10"/>
      <c r="V298" s="90"/>
      <c r="W298" s="136"/>
      <c r="X298" s="137"/>
    </row>
    <row r="299" spans="1:24">
      <c r="A299" s="2"/>
      <c r="B299" s="87">
        <f t="shared" si="56"/>
        <v>3</v>
      </c>
      <c r="C299" s="295">
        <v>45860</v>
      </c>
      <c r="D299" s="10">
        <v>71521</v>
      </c>
      <c r="E299" s="10" t="s">
        <v>168</v>
      </c>
      <c r="F299" s="62">
        <v>0</v>
      </c>
      <c r="G299" s="62"/>
      <c r="H299" s="62"/>
      <c r="I299" s="89">
        <f t="shared" si="55"/>
        <v>0</v>
      </c>
      <c r="J299" s="63" t="s">
        <v>205</v>
      </c>
      <c r="K299" s="63"/>
      <c r="L299" s="63"/>
      <c r="M299" s="63"/>
      <c r="N299" s="63"/>
      <c r="O299" s="63"/>
      <c r="P299" s="63"/>
      <c r="Q299" s="63">
        <v>1</v>
      </c>
      <c r="R299" s="63">
        <v>1</v>
      </c>
      <c r="S299" s="296">
        <v>1</v>
      </c>
      <c r="T299" s="63"/>
      <c r="U299" s="10"/>
      <c r="V299" s="90"/>
      <c r="W299" s="136"/>
      <c r="X299" s="137"/>
    </row>
    <row r="300" spans="1:24">
      <c r="A300" s="2"/>
      <c r="B300" s="87">
        <f t="shared" si="56"/>
        <v>4</v>
      </c>
      <c r="C300" s="295">
        <v>45860</v>
      </c>
      <c r="D300" s="77" t="s">
        <v>2408</v>
      </c>
      <c r="E300" s="10" t="s">
        <v>209</v>
      </c>
      <c r="F300" s="62">
        <v>2861</v>
      </c>
      <c r="G300" s="62">
        <v>39.700000000000003</v>
      </c>
      <c r="H300" s="62"/>
      <c r="I300" s="89">
        <f t="shared" si="55"/>
        <v>2821.3</v>
      </c>
      <c r="J300" s="63" t="s">
        <v>205</v>
      </c>
      <c r="K300" s="63">
        <v>1</v>
      </c>
      <c r="L300" s="63"/>
      <c r="M300" s="63"/>
      <c r="N300" s="63">
        <v>1</v>
      </c>
      <c r="O300" s="63"/>
      <c r="P300" s="63"/>
      <c r="Q300" s="63"/>
      <c r="R300" s="63"/>
      <c r="S300" s="296"/>
      <c r="T300" s="63"/>
      <c r="U300" s="10"/>
      <c r="V300" s="90"/>
      <c r="W300" s="136"/>
      <c r="X300" s="137"/>
    </row>
    <row r="301" spans="1:24">
      <c r="A301" s="2"/>
      <c r="B301" s="87">
        <f t="shared" si="56"/>
        <v>5</v>
      </c>
      <c r="C301" s="274">
        <v>45861</v>
      </c>
      <c r="D301" s="276">
        <v>71669</v>
      </c>
      <c r="E301" s="276" t="s">
        <v>1173</v>
      </c>
      <c r="F301" s="277">
        <v>0</v>
      </c>
      <c r="G301" s="277"/>
      <c r="H301" s="277"/>
      <c r="I301" s="278">
        <f t="shared" si="55"/>
        <v>0</v>
      </c>
      <c r="J301" s="279" t="s">
        <v>205</v>
      </c>
      <c r="K301" s="279"/>
      <c r="L301" s="279"/>
      <c r="M301" s="279"/>
      <c r="N301" s="279"/>
      <c r="O301" s="279"/>
      <c r="P301" s="279"/>
      <c r="Q301" s="279"/>
      <c r="R301" s="279"/>
      <c r="S301" s="280"/>
      <c r="T301" s="63"/>
      <c r="U301" s="10"/>
      <c r="V301" s="90"/>
      <c r="W301" s="136"/>
      <c r="X301" s="137"/>
    </row>
    <row r="302" spans="1:24">
      <c r="A302" s="2"/>
      <c r="B302" s="87">
        <f t="shared" si="56"/>
        <v>6</v>
      </c>
      <c r="C302" s="295">
        <v>45861</v>
      </c>
      <c r="D302" s="10">
        <v>71692</v>
      </c>
      <c r="E302" s="101" t="s">
        <v>278</v>
      </c>
      <c r="F302" s="62">
        <v>5363</v>
      </c>
      <c r="G302" s="62">
        <v>39.700000000000003</v>
      </c>
      <c r="H302" s="62"/>
      <c r="I302" s="89">
        <f t="shared" si="55"/>
        <v>5323.3</v>
      </c>
      <c r="J302" s="63" t="s">
        <v>205</v>
      </c>
      <c r="K302" s="63">
        <v>1</v>
      </c>
      <c r="L302" s="63"/>
      <c r="M302" s="63"/>
      <c r="N302" s="63">
        <v>1</v>
      </c>
      <c r="O302" s="63"/>
      <c r="P302" s="63"/>
      <c r="Q302" s="63">
        <v>1</v>
      </c>
      <c r="R302" s="63">
        <v>1</v>
      </c>
      <c r="S302" s="296">
        <v>1</v>
      </c>
      <c r="T302" s="63"/>
      <c r="U302" s="10"/>
      <c r="V302" s="90"/>
      <c r="W302" s="136"/>
      <c r="X302" s="137"/>
    </row>
    <row r="303" spans="1:24">
      <c r="A303" s="2"/>
      <c r="B303" s="87">
        <f t="shared" si="56"/>
        <v>7</v>
      </c>
      <c r="C303" s="295">
        <v>45861</v>
      </c>
      <c r="D303" s="10">
        <v>71694</v>
      </c>
      <c r="E303" s="101" t="s">
        <v>294</v>
      </c>
      <c r="F303" s="62">
        <v>621</v>
      </c>
      <c r="G303" s="62"/>
      <c r="H303" s="62"/>
      <c r="I303" s="89">
        <f t="shared" si="55"/>
        <v>621</v>
      </c>
      <c r="J303" s="63" t="s">
        <v>156</v>
      </c>
      <c r="K303" s="63">
        <v>1</v>
      </c>
      <c r="L303" s="63"/>
      <c r="M303" s="63">
        <v>1</v>
      </c>
      <c r="N303" s="63">
        <v>1</v>
      </c>
      <c r="O303" s="63"/>
      <c r="P303" s="63"/>
      <c r="Q303" s="63"/>
      <c r="R303" s="63"/>
      <c r="S303" s="296"/>
      <c r="T303" s="63"/>
      <c r="U303" s="10"/>
      <c r="V303" s="90">
        <v>93.5</v>
      </c>
      <c r="W303" s="136"/>
      <c r="X303" s="137"/>
    </row>
    <row r="304" spans="1:24">
      <c r="A304" s="2"/>
      <c r="B304" s="87">
        <f t="shared" si="56"/>
        <v>8</v>
      </c>
      <c r="C304" s="274">
        <v>45862</v>
      </c>
      <c r="D304" s="276">
        <v>71684</v>
      </c>
      <c r="E304" s="281" t="s">
        <v>1002</v>
      </c>
      <c r="F304" s="277">
        <v>0</v>
      </c>
      <c r="G304" s="277"/>
      <c r="H304" s="277"/>
      <c r="I304" s="278">
        <f t="shared" si="55"/>
        <v>0</v>
      </c>
      <c r="J304" s="279" t="s">
        <v>205</v>
      </c>
      <c r="K304" s="279"/>
      <c r="L304" s="279"/>
      <c r="M304" s="279"/>
      <c r="N304" s="279"/>
      <c r="O304" s="279"/>
      <c r="P304" s="279"/>
      <c r="Q304" s="279">
        <v>1</v>
      </c>
      <c r="R304" s="279">
        <v>1</v>
      </c>
      <c r="S304" s="280">
        <v>1</v>
      </c>
      <c r="T304" s="63"/>
      <c r="U304" s="10"/>
      <c r="V304" s="90"/>
      <c r="W304" s="136"/>
      <c r="X304" s="137"/>
    </row>
    <row r="305" spans="1:24">
      <c r="A305" s="2"/>
      <c r="B305" s="87">
        <f t="shared" si="56"/>
        <v>9</v>
      </c>
      <c r="C305" s="295">
        <v>45862</v>
      </c>
      <c r="D305" s="10">
        <v>71736</v>
      </c>
      <c r="E305" s="101" t="s">
        <v>213</v>
      </c>
      <c r="F305" s="62">
        <v>0</v>
      </c>
      <c r="G305" s="62"/>
      <c r="H305" s="62"/>
      <c r="I305" s="89">
        <f t="shared" si="55"/>
        <v>0</v>
      </c>
      <c r="J305" s="63" t="s">
        <v>205</v>
      </c>
      <c r="K305" s="63">
        <v>1</v>
      </c>
      <c r="L305" s="63"/>
      <c r="M305" s="63"/>
      <c r="N305" s="63"/>
      <c r="O305" s="63"/>
      <c r="P305" s="63"/>
      <c r="Q305" s="63">
        <v>1</v>
      </c>
      <c r="R305" s="63">
        <v>1</v>
      </c>
      <c r="S305" s="296">
        <v>1</v>
      </c>
      <c r="T305" s="63"/>
      <c r="U305" s="10"/>
      <c r="V305" s="90"/>
      <c r="W305" s="136"/>
      <c r="X305" s="137"/>
    </row>
    <row r="306" spans="1:24">
      <c r="A306" s="2"/>
      <c r="B306" s="87">
        <f t="shared" si="56"/>
        <v>10</v>
      </c>
      <c r="C306" s="295">
        <v>45862</v>
      </c>
      <c r="D306" s="10">
        <v>71725</v>
      </c>
      <c r="E306" s="101" t="s">
        <v>769</v>
      </c>
      <c r="F306" s="62">
        <v>0</v>
      </c>
      <c r="G306" s="62"/>
      <c r="H306" s="62"/>
      <c r="I306" s="89">
        <f t="shared" si="55"/>
        <v>0</v>
      </c>
      <c r="J306" s="63" t="s">
        <v>205</v>
      </c>
      <c r="K306" s="63">
        <v>1</v>
      </c>
      <c r="L306" s="63"/>
      <c r="M306" s="63"/>
      <c r="N306" s="63"/>
      <c r="O306" s="63"/>
      <c r="P306" s="63"/>
      <c r="Q306" s="63">
        <v>1</v>
      </c>
      <c r="R306" s="63">
        <v>1</v>
      </c>
      <c r="S306" s="296">
        <v>1</v>
      </c>
      <c r="T306" s="63"/>
      <c r="U306" s="10"/>
      <c r="V306" s="90"/>
      <c r="W306" s="136"/>
      <c r="X306" s="137"/>
    </row>
    <row r="307" spans="1:24">
      <c r="A307" s="2"/>
      <c r="B307" s="87">
        <f t="shared" si="56"/>
        <v>11</v>
      </c>
      <c r="C307" s="274">
        <v>45863</v>
      </c>
      <c r="D307" s="276">
        <v>71553</v>
      </c>
      <c r="E307" s="281" t="s">
        <v>1085</v>
      </c>
      <c r="F307" s="277">
        <v>5232.6000000000004</v>
      </c>
      <c r="G307" s="277">
        <v>39.700000000000003</v>
      </c>
      <c r="H307" s="277"/>
      <c r="I307" s="278">
        <f t="shared" si="55"/>
        <v>5192.9000000000005</v>
      </c>
      <c r="J307" s="279" t="s">
        <v>205</v>
      </c>
      <c r="K307" s="279">
        <v>1</v>
      </c>
      <c r="L307" s="279"/>
      <c r="M307" s="279"/>
      <c r="N307" s="279">
        <v>1</v>
      </c>
      <c r="O307" s="279"/>
      <c r="P307" s="279"/>
      <c r="Q307" s="279">
        <v>1</v>
      </c>
      <c r="R307" s="279">
        <v>1</v>
      </c>
      <c r="S307" s="280">
        <v>1</v>
      </c>
      <c r="T307" s="63"/>
      <c r="U307" s="10"/>
      <c r="V307" s="90"/>
      <c r="W307" s="136"/>
      <c r="X307" s="137"/>
    </row>
    <row r="308" spans="1:24">
      <c r="A308" s="2"/>
      <c r="B308" s="87">
        <f t="shared" si="56"/>
        <v>12</v>
      </c>
      <c r="C308" s="282">
        <v>45863</v>
      </c>
      <c r="D308" s="283">
        <v>71769</v>
      </c>
      <c r="E308" s="319" t="s">
        <v>1217</v>
      </c>
      <c r="F308" s="284">
        <v>5232.6000000000004</v>
      </c>
      <c r="G308" s="284">
        <v>39.700000000000003</v>
      </c>
      <c r="H308" s="284"/>
      <c r="I308" s="285">
        <f t="shared" si="55"/>
        <v>5192.9000000000005</v>
      </c>
      <c r="J308" s="286" t="s">
        <v>205</v>
      </c>
      <c r="K308" s="286">
        <v>1</v>
      </c>
      <c r="L308" s="286"/>
      <c r="M308" s="286"/>
      <c r="N308" s="286">
        <v>1</v>
      </c>
      <c r="O308" s="286"/>
      <c r="P308" s="286"/>
      <c r="Q308" s="286">
        <v>1</v>
      </c>
      <c r="R308" s="286">
        <v>1</v>
      </c>
      <c r="S308" s="287">
        <v>1</v>
      </c>
      <c r="T308" s="63"/>
      <c r="U308" s="10"/>
      <c r="V308" s="90"/>
      <c r="W308" s="136"/>
      <c r="X308" s="137"/>
    </row>
    <row r="309" spans="1:24">
      <c r="A309" s="2"/>
      <c r="B309" s="11"/>
      <c r="C309" s="36"/>
      <c r="D309" s="10"/>
      <c r="E309" s="10"/>
      <c r="F309" s="97">
        <f>SUM(F297:F308)</f>
        <v>24491.199999999997</v>
      </c>
      <c r="G309" s="97">
        <f>SUM(G297:G308)</f>
        <v>198.5</v>
      </c>
      <c r="H309" s="97">
        <f>SUM(H297:H308)</f>
        <v>0</v>
      </c>
      <c r="I309" s="98">
        <f>SUM(I297:I308)</f>
        <v>24292.700000000004</v>
      </c>
      <c r="J309" s="10"/>
      <c r="K309" s="10"/>
      <c r="L309" s="10"/>
      <c r="M309" s="10"/>
      <c r="N309" s="10"/>
      <c r="O309" s="10"/>
      <c r="P309" s="10"/>
      <c r="Q309" s="10"/>
      <c r="R309" s="10"/>
      <c r="S309" s="10"/>
      <c r="T309" s="63"/>
      <c r="U309" s="10"/>
      <c r="V309" s="138"/>
      <c r="W309" s="136"/>
      <c r="X309" s="137"/>
    </row>
    <row r="310" spans="1:24">
      <c r="A310" s="2"/>
      <c r="B310" s="26"/>
      <c r="C310" s="140"/>
      <c r="D310" s="141"/>
      <c r="E310" s="141"/>
      <c r="F310" s="141"/>
      <c r="G310" s="141"/>
      <c r="H310" s="141"/>
      <c r="I310" s="141"/>
      <c r="J310" s="141"/>
      <c r="K310" s="142"/>
      <c r="L310" s="142"/>
      <c r="M310" s="142"/>
      <c r="N310" s="142"/>
      <c r="O310" s="142"/>
      <c r="P310" s="142"/>
      <c r="Q310" s="142"/>
      <c r="R310" s="142"/>
      <c r="S310" s="142"/>
      <c r="T310" s="143">
        <f>SUM(T262:T309)</f>
        <v>1</v>
      </c>
      <c r="U310" s="141"/>
      <c r="V310" s="144">
        <f>SUM(V262:V309)</f>
        <v>25197.899999999994</v>
      </c>
      <c r="W310" s="145">
        <f>SUM(W262:W309)</f>
        <v>100</v>
      </c>
      <c r="X310" s="146">
        <f>SUM(X262:X309)</f>
        <v>0</v>
      </c>
    </row>
    <row r="313" spans="1:24">
      <c r="B313" s="4" t="s">
        <v>1</v>
      </c>
      <c r="C313" s="5"/>
      <c r="D313" s="6"/>
      <c r="E313" s="6"/>
      <c r="F313" s="7" t="s">
        <v>2</v>
      </c>
      <c r="G313" s="8">
        <v>45872</v>
      </c>
      <c r="H313" s="7"/>
      <c r="I313" s="6"/>
      <c r="J313" s="6"/>
      <c r="K313" s="6"/>
      <c r="L313" s="6"/>
      <c r="M313" s="6"/>
      <c r="N313" s="6"/>
      <c r="O313" s="6"/>
      <c r="P313" s="6"/>
      <c r="Q313" s="6"/>
      <c r="R313" s="6"/>
      <c r="S313" s="6"/>
      <c r="T313" s="6"/>
      <c r="U313" s="9"/>
      <c r="V313" s="10"/>
      <c r="W313" s="10"/>
      <c r="X313" s="10"/>
    </row>
    <row r="314" spans="1:24">
      <c r="B314" s="11"/>
      <c r="C314" s="10"/>
      <c r="D314" s="10"/>
      <c r="E314" s="10"/>
      <c r="F314" s="10"/>
      <c r="G314" s="7"/>
      <c r="H314" s="12"/>
      <c r="I314" s="10"/>
      <c r="J314" s="10"/>
      <c r="K314" s="13" t="s">
        <v>3</v>
      </c>
      <c r="L314" s="14"/>
      <c r="M314" s="15"/>
      <c r="N314" s="13" t="s">
        <v>4</v>
      </c>
      <c r="O314" s="14"/>
      <c r="P314" s="15"/>
      <c r="Q314" s="13" t="s">
        <v>5</v>
      </c>
      <c r="R314" s="14"/>
      <c r="S314" s="15"/>
      <c r="T314" s="16"/>
      <c r="U314" s="17"/>
      <c r="V314" s="10"/>
      <c r="W314" s="10"/>
      <c r="X314" s="10"/>
    </row>
    <row r="315" spans="1:24">
      <c r="B315" s="18" t="s">
        <v>6</v>
      </c>
      <c r="C315" s="19">
        <f>C316+C317</f>
        <v>35</v>
      </c>
      <c r="D315" s="10"/>
      <c r="E315" s="18" t="s">
        <v>7</v>
      </c>
      <c r="F315" s="6"/>
      <c r="G315" s="9"/>
      <c r="H315" s="10"/>
      <c r="I315" s="10"/>
      <c r="J315" s="10"/>
      <c r="K315" s="20" t="s">
        <v>8</v>
      </c>
      <c r="L315" s="21" t="s">
        <v>9</v>
      </c>
      <c r="M315" s="21" t="s">
        <v>10</v>
      </c>
      <c r="N315" s="20" t="s">
        <v>11</v>
      </c>
      <c r="O315" s="21" t="s">
        <v>12</v>
      </c>
      <c r="P315" s="22" t="s">
        <v>13</v>
      </c>
      <c r="Q315" s="21" t="s">
        <v>11</v>
      </c>
      <c r="R315" s="21" t="s">
        <v>12</v>
      </c>
      <c r="S315" s="22" t="s">
        <v>13</v>
      </c>
      <c r="T315" s="23" t="s">
        <v>14</v>
      </c>
      <c r="U315" s="17"/>
      <c r="V315" s="10"/>
      <c r="W315" s="10"/>
      <c r="X315" s="10"/>
    </row>
    <row r="316" spans="1:24">
      <c r="B316" s="24" t="s">
        <v>15</v>
      </c>
      <c r="C316" s="25">
        <f>P323</f>
        <v>18</v>
      </c>
      <c r="D316" s="10"/>
      <c r="E316" s="26" t="s">
        <v>16</v>
      </c>
      <c r="F316" s="27">
        <v>0.05</v>
      </c>
      <c r="G316" s="28"/>
      <c r="H316" s="10"/>
      <c r="I316" s="10"/>
      <c r="J316" s="18" t="s">
        <v>17</v>
      </c>
      <c r="K316" s="29">
        <f t="shared" ref="K316:S316" si="57">K359</f>
        <v>17</v>
      </c>
      <c r="L316" s="29">
        <f t="shared" si="57"/>
        <v>13</v>
      </c>
      <c r="M316" s="29">
        <f t="shared" si="57"/>
        <v>12</v>
      </c>
      <c r="N316" s="29">
        <f t="shared" si="57"/>
        <v>17</v>
      </c>
      <c r="O316" s="29">
        <f t="shared" si="57"/>
        <v>17</v>
      </c>
      <c r="P316" s="29">
        <f t="shared" si="57"/>
        <v>14</v>
      </c>
      <c r="Q316" s="29">
        <f t="shared" si="57"/>
        <v>16</v>
      </c>
      <c r="R316" s="29">
        <f t="shared" si="57"/>
        <v>16</v>
      </c>
      <c r="S316" s="29">
        <f t="shared" si="57"/>
        <v>15</v>
      </c>
      <c r="T316" s="30">
        <f>T397</f>
        <v>1</v>
      </c>
      <c r="U316" s="17"/>
      <c r="V316" s="10"/>
      <c r="W316" s="10"/>
      <c r="X316" s="10"/>
    </row>
    <row r="317" spans="1:24">
      <c r="B317" s="24" t="s">
        <v>18</v>
      </c>
      <c r="C317" s="25">
        <f>P324</f>
        <v>17</v>
      </c>
      <c r="D317" s="10"/>
      <c r="E317" s="10"/>
      <c r="F317" s="10"/>
      <c r="G317" s="31"/>
      <c r="H317" s="10"/>
      <c r="I317" s="10"/>
      <c r="J317" s="32" t="s">
        <v>19</v>
      </c>
      <c r="K317" s="33">
        <f t="shared" ref="K317:S317" si="58">K359/K358</f>
        <v>1</v>
      </c>
      <c r="L317" s="33">
        <f t="shared" si="58"/>
        <v>0.76470588235294112</v>
      </c>
      <c r="M317" s="33">
        <f t="shared" si="58"/>
        <v>0.70588235294117652</v>
      </c>
      <c r="N317" s="33">
        <f t="shared" si="58"/>
        <v>1</v>
      </c>
      <c r="O317" s="33">
        <f t="shared" si="58"/>
        <v>1</v>
      </c>
      <c r="P317" s="33">
        <f t="shared" si="58"/>
        <v>0.82352941176470584</v>
      </c>
      <c r="Q317" s="33">
        <f t="shared" si="58"/>
        <v>0.94117647058823528</v>
      </c>
      <c r="R317" s="33">
        <f t="shared" si="58"/>
        <v>0.94117647058823528</v>
      </c>
      <c r="S317" s="33">
        <f t="shared" si="58"/>
        <v>0.88235294117647056</v>
      </c>
      <c r="T317" s="23">
        <v>1</v>
      </c>
      <c r="U317" s="17" t="s">
        <v>20</v>
      </c>
      <c r="V317" s="10"/>
      <c r="W317" s="10"/>
      <c r="X317" s="10"/>
    </row>
    <row r="318" spans="1:24">
      <c r="B318" s="24" t="s">
        <v>21</v>
      </c>
      <c r="C318" s="34">
        <f>P325</f>
        <v>0.51428571428571423</v>
      </c>
      <c r="D318" s="10"/>
      <c r="E318" s="10"/>
      <c r="F318" s="10"/>
      <c r="G318" s="10"/>
      <c r="H318" s="10"/>
      <c r="I318" s="10"/>
      <c r="J318" s="10"/>
      <c r="K318" s="10"/>
      <c r="L318" s="10"/>
      <c r="M318" s="10"/>
      <c r="N318" s="10"/>
      <c r="O318" s="10"/>
      <c r="P318" s="10"/>
      <c r="Q318" s="10"/>
      <c r="R318" s="10"/>
      <c r="S318" s="10"/>
      <c r="T318" s="10"/>
      <c r="U318" s="17"/>
      <c r="V318" s="10"/>
      <c r="W318" s="10"/>
      <c r="X318" s="10"/>
    </row>
    <row r="319" spans="1:24">
      <c r="B319" s="24"/>
      <c r="C319" s="25"/>
      <c r="D319" s="10"/>
      <c r="E319" s="10"/>
      <c r="F319" s="18" t="s">
        <v>22</v>
      </c>
      <c r="G319" s="19" t="s">
        <v>23</v>
      </c>
      <c r="H319" s="35" t="s">
        <v>24</v>
      </c>
      <c r="I319" s="10"/>
      <c r="J319" s="10"/>
      <c r="K319" s="36"/>
      <c r="L319" s="36"/>
      <c r="M319" s="36"/>
      <c r="N319" s="36"/>
      <c r="O319" s="36"/>
      <c r="P319" s="36"/>
      <c r="Q319" s="36"/>
      <c r="R319" s="10"/>
      <c r="S319" s="10"/>
      <c r="T319" s="10"/>
      <c r="U319" s="17"/>
      <c r="V319" s="10"/>
      <c r="W319" s="10"/>
      <c r="X319" s="10"/>
    </row>
    <row r="320" spans="1:24">
      <c r="B320" s="32" t="s">
        <v>25</v>
      </c>
      <c r="C320" s="37">
        <f>P326</f>
        <v>1068.0738888888889</v>
      </c>
      <c r="D320" s="10"/>
      <c r="E320" s="18" t="s">
        <v>26</v>
      </c>
      <c r="F320" s="38">
        <f>P322</f>
        <v>19225.329999999998</v>
      </c>
      <c r="G320" s="39">
        <f>I358+I363</f>
        <v>19225.329999999998</v>
      </c>
      <c r="H320" s="40"/>
      <c r="I320" s="41"/>
      <c r="J320" s="42"/>
      <c r="K320" s="43" t="s">
        <v>27</v>
      </c>
      <c r="L320" s="44"/>
      <c r="M320" s="44"/>
      <c r="N320" s="44"/>
      <c r="O320" s="44"/>
      <c r="P320" s="44"/>
      <c r="Q320" s="45"/>
      <c r="R320" s="46" t="s">
        <v>28</v>
      </c>
      <c r="S320" s="47" t="s">
        <v>29</v>
      </c>
      <c r="T320" s="10"/>
      <c r="U320" s="17"/>
      <c r="V320" s="10"/>
      <c r="W320" s="10"/>
      <c r="X320" s="10"/>
    </row>
    <row r="321" spans="2:24">
      <c r="B321" s="11"/>
      <c r="C321" s="10"/>
      <c r="D321" s="10"/>
      <c r="E321" s="24" t="s">
        <v>30</v>
      </c>
      <c r="F321" s="48">
        <f>F316</f>
        <v>0.05</v>
      </c>
      <c r="G321" s="17"/>
      <c r="H321" s="40"/>
      <c r="I321" s="41"/>
      <c r="J321" s="42"/>
      <c r="K321" s="20" t="s">
        <v>31</v>
      </c>
      <c r="L321" s="21" t="s">
        <v>32</v>
      </c>
      <c r="M321" s="21" t="s">
        <v>33</v>
      </c>
      <c r="N321" s="21" t="s">
        <v>34</v>
      </c>
      <c r="O321" s="21" t="s">
        <v>35</v>
      </c>
      <c r="P321" s="21" t="s">
        <v>36</v>
      </c>
      <c r="Q321" s="49" t="s">
        <v>37</v>
      </c>
      <c r="R321" s="50" t="s">
        <v>38</v>
      </c>
      <c r="S321" s="50" t="s">
        <v>38</v>
      </c>
      <c r="T321" s="10"/>
      <c r="U321" s="17"/>
      <c r="V321" s="10"/>
      <c r="W321" s="10"/>
      <c r="X321" s="10"/>
    </row>
    <row r="322" spans="2:24">
      <c r="B322" s="11"/>
      <c r="C322" s="10"/>
      <c r="D322" s="10"/>
      <c r="E322" s="51" t="s">
        <v>39</v>
      </c>
      <c r="F322" s="52">
        <f>(F320+F329+F330+F331+F332+F333+F334+F335-I341-I349-I362)*F321</f>
        <v>739.40900000000022</v>
      </c>
      <c r="G322" s="53" t="s">
        <v>40</v>
      </c>
      <c r="H322" s="54">
        <f>F322/1.12</f>
        <v>660.18660714285727</v>
      </c>
      <c r="I322" s="55"/>
      <c r="J322" s="42"/>
      <c r="K322" s="56">
        <f>I341+I342+I343+I344</f>
        <v>4325.43</v>
      </c>
      <c r="L322" s="57">
        <f>I345+I346+I347+I348+I362</f>
        <v>7047.5000000000009</v>
      </c>
      <c r="M322" s="57">
        <f>I349+I350+I351+I352</f>
        <v>3693.8</v>
      </c>
      <c r="N322" s="57">
        <f>I353</f>
        <v>1098.3</v>
      </c>
      <c r="O322" s="57">
        <f>I354+I355+I356+I357</f>
        <v>3060.3</v>
      </c>
      <c r="P322" s="57">
        <f>SUM(K322:O322)</f>
        <v>19225.329999999998</v>
      </c>
      <c r="Q322" s="58">
        <v>0</v>
      </c>
      <c r="R322" s="59">
        <f>I363</f>
        <v>2021.3</v>
      </c>
      <c r="S322" s="59">
        <v>0</v>
      </c>
      <c r="T322" s="10"/>
      <c r="U322" s="17"/>
      <c r="V322" s="10"/>
      <c r="W322" s="10"/>
      <c r="X322" s="10"/>
    </row>
    <row r="323" spans="2:24">
      <c r="B323" s="11"/>
      <c r="C323" s="10"/>
      <c r="D323" s="10"/>
      <c r="E323" s="24" t="s">
        <v>41</v>
      </c>
      <c r="F323" s="60">
        <f>Q322</f>
        <v>0</v>
      </c>
      <c r="G323" s="61" t="s">
        <v>40</v>
      </c>
      <c r="H323" s="62"/>
      <c r="I323" s="62"/>
      <c r="J323" s="10" t="s">
        <v>42</v>
      </c>
      <c r="K323" s="63">
        <v>4</v>
      </c>
      <c r="L323" s="63">
        <v>5</v>
      </c>
      <c r="M323" s="63">
        <v>4</v>
      </c>
      <c r="N323" s="63">
        <v>1</v>
      </c>
      <c r="O323" s="63">
        <v>4</v>
      </c>
      <c r="P323" s="21">
        <f>SUM(K323:O323)</f>
        <v>18</v>
      </c>
      <c r="Q323" s="64"/>
      <c r="R323" s="63"/>
      <c r="S323" s="10"/>
      <c r="T323" s="10"/>
      <c r="U323" s="17"/>
      <c r="V323" s="10"/>
      <c r="W323" s="10"/>
      <c r="X323" s="10"/>
    </row>
    <row r="324" spans="2:24">
      <c r="B324" s="11"/>
      <c r="C324" s="10"/>
      <c r="D324" s="10"/>
      <c r="E324" s="51" t="s">
        <v>43</v>
      </c>
      <c r="F324" s="52">
        <f>F323*0.25</f>
        <v>0</v>
      </c>
      <c r="G324" s="53" t="s">
        <v>40</v>
      </c>
      <c r="H324" s="54">
        <f>F324/1.12</f>
        <v>0</v>
      </c>
      <c r="I324" s="10"/>
      <c r="J324" s="10" t="s">
        <v>44</v>
      </c>
      <c r="K324" s="63">
        <v>3</v>
      </c>
      <c r="L324" s="63">
        <v>5</v>
      </c>
      <c r="M324" s="63">
        <v>2</v>
      </c>
      <c r="N324" s="63">
        <v>4</v>
      </c>
      <c r="O324" s="63">
        <v>3</v>
      </c>
      <c r="P324" s="21">
        <f>SUM(K324:O324)</f>
        <v>17</v>
      </c>
      <c r="Q324" s="64"/>
      <c r="R324" s="63"/>
      <c r="S324" s="10"/>
      <c r="T324" s="10"/>
      <c r="U324" s="17"/>
      <c r="V324" s="10"/>
      <c r="W324" s="10"/>
      <c r="X324" s="10"/>
    </row>
    <row r="325" spans="2:24">
      <c r="B325" s="11"/>
      <c r="C325" s="10"/>
      <c r="D325" s="10"/>
      <c r="E325" s="24" t="s">
        <v>45</v>
      </c>
      <c r="F325" s="60"/>
      <c r="G325" s="61" t="s">
        <v>40</v>
      </c>
      <c r="H325" s="62"/>
      <c r="I325" s="10"/>
      <c r="J325" s="10" t="s">
        <v>46</v>
      </c>
      <c r="K325" s="31">
        <f t="shared" ref="K325:Q325" si="59">K323/(K323+K324)</f>
        <v>0.5714285714285714</v>
      </c>
      <c r="L325" s="31">
        <f t="shared" si="59"/>
        <v>0.5</v>
      </c>
      <c r="M325" s="31">
        <f t="shared" si="59"/>
        <v>0.66666666666666663</v>
      </c>
      <c r="N325" s="31">
        <f t="shared" si="59"/>
        <v>0.2</v>
      </c>
      <c r="O325" s="31">
        <f t="shared" si="59"/>
        <v>0.5714285714285714</v>
      </c>
      <c r="P325" s="31">
        <f t="shared" si="59"/>
        <v>0.51428571428571423</v>
      </c>
      <c r="Q325" s="31" t="e">
        <f t="shared" si="59"/>
        <v>#DIV/0!</v>
      </c>
      <c r="R325" s="63"/>
      <c r="S325" s="10"/>
      <c r="T325" s="10"/>
      <c r="U325" s="17"/>
      <c r="V325" s="10"/>
      <c r="W325" s="10"/>
      <c r="X325" s="10"/>
    </row>
    <row r="326" spans="2:24">
      <c r="B326" s="11"/>
      <c r="C326" s="10"/>
      <c r="D326" s="10"/>
      <c r="E326" s="51" t="s">
        <v>47</v>
      </c>
      <c r="F326" s="52">
        <f>F325*0.05</f>
        <v>0</v>
      </c>
      <c r="G326" s="65" t="s">
        <v>40</v>
      </c>
      <c r="H326" s="54">
        <f>F326/1.12</f>
        <v>0</v>
      </c>
      <c r="I326" s="42"/>
      <c r="J326" s="10" t="s">
        <v>48</v>
      </c>
      <c r="K326" s="66">
        <f t="shared" ref="K326:Q326" si="60">K322/K323</f>
        <v>1081.3575000000001</v>
      </c>
      <c r="L326" s="66">
        <f t="shared" si="60"/>
        <v>1409.5000000000002</v>
      </c>
      <c r="M326" s="66">
        <f t="shared" si="60"/>
        <v>923.45</v>
      </c>
      <c r="N326" s="66">
        <f t="shared" si="60"/>
        <v>1098.3</v>
      </c>
      <c r="O326" s="66">
        <f t="shared" si="60"/>
        <v>765.07500000000005</v>
      </c>
      <c r="P326" s="66">
        <f t="shared" si="60"/>
        <v>1068.0738888888889</v>
      </c>
      <c r="Q326" s="66" t="e">
        <f t="shared" si="60"/>
        <v>#DIV/0!</v>
      </c>
      <c r="R326" s="63"/>
      <c r="S326" s="10"/>
      <c r="T326" s="10"/>
      <c r="U326" s="17"/>
      <c r="V326" s="10"/>
      <c r="W326" s="10"/>
      <c r="X326" s="10"/>
    </row>
    <row r="327" spans="2:24">
      <c r="B327" s="11"/>
      <c r="C327" s="10"/>
      <c r="D327" s="10"/>
      <c r="E327" s="67" t="s">
        <v>14</v>
      </c>
      <c r="F327" s="68">
        <f>1*50</f>
        <v>50</v>
      </c>
      <c r="G327" s="10"/>
      <c r="H327" s="54">
        <f>F327/1.12</f>
        <v>44.642857142857139</v>
      </c>
      <c r="I327" s="10"/>
      <c r="J327" s="10"/>
      <c r="K327" s="10"/>
      <c r="L327" s="10"/>
      <c r="M327" s="10"/>
      <c r="N327" s="10"/>
      <c r="O327" s="10"/>
      <c r="P327" s="10"/>
      <c r="Q327" s="10"/>
      <c r="R327" s="10"/>
      <c r="S327" s="10"/>
      <c r="T327" s="10"/>
      <c r="U327" s="17"/>
      <c r="V327" s="10"/>
      <c r="W327" s="10"/>
      <c r="X327" s="10"/>
    </row>
    <row r="328" spans="2:24">
      <c r="B328" s="11"/>
      <c r="C328" s="10"/>
      <c r="D328" s="10"/>
      <c r="E328" s="67" t="s">
        <v>49</v>
      </c>
      <c r="F328" s="69">
        <f>T317</f>
        <v>1</v>
      </c>
      <c r="G328" s="10"/>
      <c r="H328" s="54"/>
      <c r="I328" s="55"/>
      <c r="J328" s="42"/>
      <c r="K328" s="764" t="s">
        <v>50</v>
      </c>
      <c r="L328" s="765"/>
      <c r="M328" s="765"/>
      <c r="N328" s="765"/>
      <c r="O328" s="765"/>
      <c r="P328" s="765"/>
      <c r="Q328" s="766"/>
      <c r="R328" s="70" t="s">
        <v>28</v>
      </c>
      <c r="S328" s="71" t="s">
        <v>29</v>
      </c>
      <c r="T328" s="10"/>
      <c r="U328" s="17"/>
      <c r="V328" s="10"/>
      <c r="W328" s="10"/>
      <c r="X328" s="10"/>
    </row>
    <row r="329" spans="2:24">
      <c r="B329" s="11"/>
      <c r="C329" s="10"/>
      <c r="D329" s="10"/>
      <c r="E329" s="72" t="s">
        <v>2409</v>
      </c>
      <c r="F329" s="73">
        <v>-805.92</v>
      </c>
      <c r="G329" s="10"/>
      <c r="H329" s="10"/>
      <c r="I329" s="10"/>
      <c r="J329" s="42"/>
      <c r="K329" s="20" t="s">
        <v>31</v>
      </c>
      <c r="L329" s="21" t="s">
        <v>32</v>
      </c>
      <c r="M329" s="21" t="s">
        <v>33</v>
      </c>
      <c r="N329" s="21" t="s">
        <v>34</v>
      </c>
      <c r="O329" s="21" t="s">
        <v>35</v>
      </c>
      <c r="P329" s="21" t="s">
        <v>36</v>
      </c>
      <c r="Q329" s="49" t="s">
        <v>37</v>
      </c>
      <c r="R329" s="50" t="s">
        <v>38</v>
      </c>
      <c r="S329" s="50" t="s">
        <v>38</v>
      </c>
      <c r="T329" s="10"/>
      <c r="U329" s="17"/>
      <c r="V329" s="10"/>
      <c r="W329" s="10"/>
      <c r="X329" s="10"/>
    </row>
    <row r="330" spans="2:24">
      <c r="B330" s="11"/>
      <c r="C330" s="10"/>
      <c r="D330" s="10"/>
      <c r="E330" s="72" t="s">
        <v>2410</v>
      </c>
      <c r="F330" s="73">
        <v>-33.35</v>
      </c>
      <c r="G330" s="10"/>
      <c r="H330" s="10"/>
      <c r="I330" s="10"/>
      <c r="J330" s="42"/>
      <c r="K330" s="56">
        <f>F341+F342+F343+F344</f>
        <v>4582.8500000000004</v>
      </c>
      <c r="L330" s="57">
        <f>F345+F346+F347+F348+F362</f>
        <v>8046</v>
      </c>
      <c r="M330" s="57">
        <f>F349+F350+F351+F352</f>
        <v>4012.9</v>
      </c>
      <c r="N330" s="57">
        <f>F353</f>
        <v>1138</v>
      </c>
      <c r="O330" s="57">
        <f>F354+F355+F356+F357</f>
        <v>3100</v>
      </c>
      <c r="P330" s="57">
        <f>SUM(K330:O330)</f>
        <v>20879.75</v>
      </c>
      <c r="Q330" s="58">
        <v>0</v>
      </c>
      <c r="R330" s="59">
        <f>F363</f>
        <v>2261</v>
      </c>
      <c r="S330" s="59">
        <v>0</v>
      </c>
      <c r="T330" s="10"/>
      <c r="U330" s="17"/>
      <c r="V330" s="10"/>
      <c r="W330" s="10"/>
      <c r="X330" s="10"/>
    </row>
    <row r="331" spans="2:24">
      <c r="B331" s="11"/>
      <c r="C331" s="10"/>
      <c r="D331" s="10"/>
      <c r="E331" s="72" t="s">
        <v>2411</v>
      </c>
      <c r="F331" s="73">
        <v>-24.81</v>
      </c>
      <c r="G331" s="10"/>
      <c r="H331" s="10"/>
      <c r="I331" s="10"/>
      <c r="J331" s="10" t="s">
        <v>42</v>
      </c>
      <c r="K331" s="63">
        <f t="shared" ref="K331:Q332" si="61">K323</f>
        <v>4</v>
      </c>
      <c r="L331" s="63">
        <f t="shared" si="61"/>
        <v>5</v>
      </c>
      <c r="M331" s="63">
        <f t="shared" si="61"/>
        <v>4</v>
      </c>
      <c r="N331" s="63">
        <f t="shared" si="61"/>
        <v>1</v>
      </c>
      <c r="O331" s="63">
        <f t="shared" si="61"/>
        <v>4</v>
      </c>
      <c r="P331" s="63">
        <f t="shared" si="61"/>
        <v>18</v>
      </c>
      <c r="Q331" s="63">
        <f t="shared" si="61"/>
        <v>0</v>
      </c>
      <c r="R331" s="63"/>
      <c r="S331" s="10"/>
      <c r="T331" s="10"/>
      <c r="U331" s="17"/>
      <c r="V331" s="10"/>
      <c r="W331" s="10"/>
      <c r="X331" s="10"/>
    </row>
    <row r="332" spans="2:24">
      <c r="B332" s="11"/>
      <c r="C332" s="10"/>
      <c r="D332" s="10"/>
      <c r="E332" s="74" t="s">
        <v>2412</v>
      </c>
      <c r="F332" s="75">
        <v>-201.42</v>
      </c>
      <c r="G332" s="10"/>
      <c r="H332" s="10"/>
      <c r="I332" s="10"/>
      <c r="J332" s="10" t="s">
        <v>44</v>
      </c>
      <c r="K332" s="63">
        <f t="shared" si="61"/>
        <v>3</v>
      </c>
      <c r="L332" s="63">
        <f t="shared" si="61"/>
        <v>5</v>
      </c>
      <c r="M332" s="63">
        <f t="shared" si="61"/>
        <v>2</v>
      </c>
      <c r="N332" s="63">
        <f t="shared" si="61"/>
        <v>4</v>
      </c>
      <c r="O332" s="63">
        <f t="shared" si="61"/>
        <v>3</v>
      </c>
      <c r="P332" s="63">
        <f t="shared" si="61"/>
        <v>17</v>
      </c>
      <c r="Q332" s="63">
        <f t="shared" si="61"/>
        <v>0</v>
      </c>
      <c r="R332" s="63"/>
      <c r="S332" s="10"/>
      <c r="T332" s="10"/>
      <c r="U332" s="17"/>
      <c r="V332" s="10"/>
      <c r="W332" s="10"/>
      <c r="X332" s="10"/>
    </row>
    <row r="333" spans="2:24">
      <c r="B333" s="11"/>
      <c r="C333" s="10"/>
      <c r="D333" s="10"/>
      <c r="E333" s="72" t="s">
        <v>2413</v>
      </c>
      <c r="F333" s="73">
        <v>-26.73</v>
      </c>
      <c r="G333" s="10"/>
      <c r="H333" s="10"/>
      <c r="I333" s="10"/>
      <c r="J333" s="10" t="s">
        <v>46</v>
      </c>
      <c r="K333" s="31">
        <f t="shared" ref="K333:Q333" si="62">K331/(K331+K332)</f>
        <v>0.5714285714285714</v>
      </c>
      <c r="L333" s="31">
        <f t="shared" si="62"/>
        <v>0.5</v>
      </c>
      <c r="M333" s="31">
        <f t="shared" si="62"/>
        <v>0.66666666666666663</v>
      </c>
      <c r="N333" s="31">
        <f t="shared" si="62"/>
        <v>0.2</v>
      </c>
      <c r="O333" s="31">
        <f t="shared" si="62"/>
        <v>0.5714285714285714</v>
      </c>
      <c r="P333" s="31">
        <f t="shared" si="62"/>
        <v>0.51428571428571423</v>
      </c>
      <c r="Q333" s="31" t="e">
        <f t="shared" si="62"/>
        <v>#DIV/0!</v>
      </c>
      <c r="R333" s="63"/>
      <c r="S333" s="10"/>
      <c r="T333" s="10"/>
      <c r="U333" s="17"/>
      <c r="V333" s="10"/>
      <c r="W333" s="10"/>
      <c r="X333" s="10"/>
    </row>
    <row r="334" spans="2:24">
      <c r="B334" s="11"/>
      <c r="C334" s="10"/>
      <c r="D334" s="10"/>
      <c r="E334" s="72" t="s">
        <v>2414</v>
      </c>
      <c r="F334" s="73">
        <v>-44.25</v>
      </c>
      <c r="G334" s="10"/>
      <c r="H334" s="10"/>
      <c r="I334" s="10"/>
      <c r="J334" s="10" t="s">
        <v>48</v>
      </c>
      <c r="K334" s="66">
        <f t="shared" ref="K334:Q334" si="63">K330/K331</f>
        <v>1145.7125000000001</v>
      </c>
      <c r="L334" s="66">
        <f t="shared" si="63"/>
        <v>1609.2</v>
      </c>
      <c r="M334" s="66">
        <f t="shared" si="63"/>
        <v>1003.225</v>
      </c>
      <c r="N334" s="66">
        <f t="shared" si="63"/>
        <v>1138</v>
      </c>
      <c r="O334" s="66">
        <f t="shared" si="63"/>
        <v>775</v>
      </c>
      <c r="P334" s="66">
        <f t="shared" si="63"/>
        <v>1159.9861111111111</v>
      </c>
      <c r="Q334" s="66" t="e">
        <f t="shared" si="63"/>
        <v>#DIV/0!</v>
      </c>
      <c r="R334" s="63"/>
      <c r="S334" s="10"/>
      <c r="T334" s="10"/>
      <c r="U334" s="17"/>
      <c r="V334" s="10"/>
      <c r="W334" s="10"/>
      <c r="X334" s="10"/>
    </row>
    <row r="335" spans="2:24">
      <c r="B335" s="11"/>
      <c r="C335" s="10"/>
      <c r="D335" s="10"/>
      <c r="E335" s="74" t="s">
        <v>2415</v>
      </c>
      <c r="F335" s="75">
        <v>17.63</v>
      </c>
      <c r="G335" s="10"/>
      <c r="H335" s="10"/>
      <c r="I335" s="10"/>
      <c r="J335" s="10"/>
      <c r="K335" s="66"/>
      <c r="L335" s="66"/>
      <c r="M335" s="66"/>
      <c r="N335" s="66"/>
      <c r="O335" s="66"/>
      <c r="P335" s="66"/>
      <c r="Q335" s="66"/>
      <c r="R335" s="63"/>
      <c r="S335" s="10"/>
      <c r="T335" s="10"/>
      <c r="U335" s="17"/>
      <c r="V335" s="10"/>
      <c r="W335" s="10"/>
      <c r="X335" s="10"/>
    </row>
    <row r="336" spans="2:24">
      <c r="B336" s="11"/>
      <c r="C336" s="10"/>
      <c r="D336" s="10"/>
      <c r="E336" s="10"/>
      <c r="F336" s="10"/>
      <c r="G336" s="10"/>
      <c r="H336" s="10"/>
      <c r="I336" s="10"/>
      <c r="J336" s="10"/>
      <c r="K336" s="10"/>
      <c r="L336" s="10"/>
      <c r="M336" s="10"/>
      <c r="N336" s="10"/>
      <c r="O336" s="10"/>
      <c r="P336" s="10"/>
      <c r="Q336" s="10"/>
      <c r="R336" s="10"/>
      <c r="S336" s="10"/>
      <c r="T336" s="10"/>
      <c r="U336" s="17"/>
      <c r="V336" s="10"/>
      <c r="W336" s="10"/>
      <c r="X336" s="10"/>
    </row>
    <row r="337" spans="1:24">
      <c r="B337" s="11"/>
      <c r="C337" s="10"/>
      <c r="D337" s="10"/>
      <c r="E337" s="10"/>
      <c r="F337" s="10"/>
      <c r="G337" s="10"/>
      <c r="H337" s="10"/>
      <c r="I337" s="10"/>
      <c r="J337" s="10"/>
      <c r="K337" s="10"/>
      <c r="L337" s="10"/>
      <c r="M337" s="10"/>
      <c r="N337" s="10"/>
      <c r="O337" s="10"/>
      <c r="P337" s="10"/>
      <c r="Q337" s="10"/>
      <c r="R337" s="10"/>
      <c r="S337" s="10"/>
      <c r="T337" s="10"/>
      <c r="U337" s="17"/>
      <c r="V337" s="10"/>
      <c r="W337" s="10"/>
      <c r="X337" s="10"/>
    </row>
    <row r="338" spans="1:24">
      <c r="B338" s="18" t="s">
        <v>51</v>
      </c>
      <c r="C338" s="14"/>
      <c r="D338" s="14"/>
      <c r="E338" s="14"/>
      <c r="F338" s="13" t="s">
        <v>52</v>
      </c>
      <c r="G338" s="14"/>
      <c r="H338" s="14"/>
      <c r="I338" s="14"/>
      <c r="J338" s="14"/>
      <c r="K338" s="13" t="s">
        <v>3</v>
      </c>
      <c r="L338" s="14"/>
      <c r="M338" s="14"/>
      <c r="N338" s="13" t="s">
        <v>4</v>
      </c>
      <c r="O338" s="14"/>
      <c r="P338" s="14"/>
      <c r="Q338" s="13" t="s">
        <v>5</v>
      </c>
      <c r="R338" s="14"/>
      <c r="S338" s="14"/>
      <c r="T338" s="18"/>
      <c r="U338" s="16" t="s">
        <v>53</v>
      </c>
      <c r="V338" s="77"/>
      <c r="W338" s="77"/>
      <c r="X338" s="77"/>
    </row>
    <row r="339" spans="1:24">
      <c r="B339" s="24" t="s">
        <v>54</v>
      </c>
      <c r="C339" s="21" t="s">
        <v>55</v>
      </c>
      <c r="D339" s="21" t="s">
        <v>56</v>
      </c>
      <c r="E339" s="21" t="s">
        <v>57</v>
      </c>
      <c r="F339" s="20" t="s">
        <v>58</v>
      </c>
      <c r="G339" s="21" t="s">
        <v>59</v>
      </c>
      <c r="H339" s="21" t="s">
        <v>60</v>
      </c>
      <c r="I339" s="21" t="s">
        <v>26</v>
      </c>
      <c r="J339" s="22" t="s">
        <v>61</v>
      </c>
      <c r="K339" s="21" t="s">
        <v>8</v>
      </c>
      <c r="L339" s="21" t="s">
        <v>9</v>
      </c>
      <c r="M339" s="21" t="s">
        <v>10</v>
      </c>
      <c r="N339" s="20" t="s">
        <v>11</v>
      </c>
      <c r="O339" s="21" t="s">
        <v>12</v>
      </c>
      <c r="P339" s="22" t="s">
        <v>13</v>
      </c>
      <c r="Q339" s="21" t="s">
        <v>11</v>
      </c>
      <c r="R339" s="21" t="s">
        <v>12</v>
      </c>
      <c r="S339" s="21" t="s">
        <v>13</v>
      </c>
      <c r="T339" s="78" t="s">
        <v>14</v>
      </c>
      <c r="U339" s="30"/>
      <c r="V339" s="79" t="s">
        <v>62</v>
      </c>
      <c r="W339" s="80" t="s">
        <v>63</v>
      </c>
      <c r="X339" s="81" t="s">
        <v>64</v>
      </c>
    </row>
    <row r="340" spans="1:24">
      <c r="B340" s="4" t="s">
        <v>65</v>
      </c>
      <c r="C340" s="6"/>
      <c r="D340" s="6"/>
      <c r="E340" s="6"/>
      <c r="F340" s="6"/>
      <c r="G340" s="6"/>
      <c r="H340" s="6"/>
      <c r="I340" s="82"/>
      <c r="J340" s="6"/>
      <c r="K340" s="6"/>
      <c r="L340" s="6"/>
      <c r="M340" s="6"/>
      <c r="N340" s="6"/>
      <c r="O340" s="6"/>
      <c r="P340" s="6"/>
      <c r="Q340" s="6"/>
      <c r="R340" s="6"/>
      <c r="S340" s="6"/>
      <c r="T340" s="83"/>
      <c r="U340" s="6"/>
      <c r="V340" s="84"/>
      <c r="W340" s="85"/>
      <c r="X340" s="86"/>
    </row>
    <row r="341" spans="1:24">
      <c r="A341" t="s">
        <v>2416</v>
      </c>
      <c r="B341" s="87">
        <v>1</v>
      </c>
      <c r="C341" s="274">
        <v>45866</v>
      </c>
      <c r="D341" s="327" t="s">
        <v>2417</v>
      </c>
      <c r="E341" s="276" t="s">
        <v>1401</v>
      </c>
      <c r="F341" s="277">
        <v>681</v>
      </c>
      <c r="G341" s="277"/>
      <c r="H341" s="297"/>
      <c r="I341" s="329">
        <f t="shared" ref="I341:I357" si="64">F341-G341-H341</f>
        <v>681</v>
      </c>
      <c r="J341" s="279" t="s">
        <v>156</v>
      </c>
      <c r="K341" s="279">
        <v>1</v>
      </c>
      <c r="L341" s="279">
        <v>1</v>
      </c>
      <c r="M341" s="279">
        <v>1</v>
      </c>
      <c r="N341" s="279">
        <v>1</v>
      </c>
      <c r="O341" s="279">
        <v>1</v>
      </c>
      <c r="P341" s="279">
        <v>1</v>
      </c>
      <c r="Q341" s="279">
        <v>1</v>
      </c>
      <c r="R341" s="279">
        <v>1</v>
      </c>
      <c r="S341" s="280">
        <v>1</v>
      </c>
      <c r="T341" s="63"/>
      <c r="U341" s="17" t="s">
        <v>2418</v>
      </c>
      <c r="V341" s="90">
        <v>749.1</v>
      </c>
      <c r="W341" s="91"/>
      <c r="X341" s="92"/>
    </row>
    <row r="342" spans="1:24">
      <c r="A342" t="s">
        <v>2419</v>
      </c>
      <c r="B342" s="87">
        <f t="shared" ref="B342:B357" si="65">B341+1</f>
        <v>2</v>
      </c>
      <c r="C342" s="295">
        <v>45866</v>
      </c>
      <c r="D342" s="323">
        <v>71792</v>
      </c>
      <c r="E342" s="10" t="s">
        <v>216</v>
      </c>
      <c r="F342" s="62">
        <v>1512.9</v>
      </c>
      <c r="G342" s="62">
        <f>39.7+(123.56)</f>
        <v>163.26</v>
      </c>
      <c r="H342" s="62"/>
      <c r="I342" s="89">
        <f t="shared" si="64"/>
        <v>1349.64</v>
      </c>
      <c r="J342" s="63" t="s">
        <v>156</v>
      </c>
      <c r="K342" s="63">
        <v>1</v>
      </c>
      <c r="L342" s="63">
        <v>1</v>
      </c>
      <c r="M342" s="63">
        <v>1</v>
      </c>
      <c r="N342" s="63">
        <v>1</v>
      </c>
      <c r="O342" s="63">
        <v>1</v>
      </c>
      <c r="P342" s="63">
        <v>1</v>
      </c>
      <c r="Q342" s="63">
        <v>1</v>
      </c>
      <c r="R342" s="63">
        <v>1</v>
      </c>
      <c r="S342" s="296">
        <v>1</v>
      </c>
      <c r="T342" s="63"/>
      <c r="U342" s="10" t="s">
        <v>2420</v>
      </c>
      <c r="V342" s="90">
        <v>1664.19</v>
      </c>
      <c r="W342" s="91"/>
      <c r="X342" s="92"/>
    </row>
    <row r="343" spans="1:24">
      <c r="B343" s="87">
        <f t="shared" si="65"/>
        <v>3</v>
      </c>
      <c r="C343" s="295">
        <v>45866</v>
      </c>
      <c r="D343" s="323">
        <v>71796</v>
      </c>
      <c r="E343" s="10" t="s">
        <v>172</v>
      </c>
      <c r="F343" s="62">
        <v>1767.95</v>
      </c>
      <c r="G343" s="62">
        <f>39.7+(54.46)</f>
        <v>94.16</v>
      </c>
      <c r="H343" s="62"/>
      <c r="I343" s="89">
        <f t="shared" si="64"/>
        <v>1673.79</v>
      </c>
      <c r="J343" s="63" t="s">
        <v>156</v>
      </c>
      <c r="K343" s="63">
        <v>1</v>
      </c>
      <c r="L343" s="63">
        <v>1</v>
      </c>
      <c r="M343" s="63">
        <v>1</v>
      </c>
      <c r="N343" s="63">
        <v>1</v>
      </c>
      <c r="O343" s="63">
        <v>1</v>
      </c>
      <c r="P343" s="63">
        <v>1</v>
      </c>
      <c r="Q343" s="63">
        <v>1</v>
      </c>
      <c r="R343" s="63">
        <v>1</v>
      </c>
      <c r="S343" s="296">
        <v>1</v>
      </c>
      <c r="T343" s="94" t="s">
        <v>2421</v>
      </c>
      <c r="U343" s="10"/>
      <c r="V343" s="90">
        <v>1944.75</v>
      </c>
      <c r="W343" s="91"/>
      <c r="X343" s="92"/>
    </row>
    <row r="344" spans="1:24">
      <c r="B344" s="87">
        <f t="shared" si="65"/>
        <v>4</v>
      </c>
      <c r="C344" s="295">
        <v>45866</v>
      </c>
      <c r="D344" s="323">
        <v>71758</v>
      </c>
      <c r="E344" s="101" t="s">
        <v>2422</v>
      </c>
      <c r="F344" s="62">
        <v>621</v>
      </c>
      <c r="G344" s="62"/>
      <c r="H344" s="62"/>
      <c r="I344" s="89">
        <f t="shared" si="64"/>
        <v>621</v>
      </c>
      <c r="J344" s="63" t="s">
        <v>156</v>
      </c>
      <c r="K344" s="63">
        <v>1</v>
      </c>
      <c r="L344" s="63">
        <v>1</v>
      </c>
      <c r="M344" s="63">
        <v>1</v>
      </c>
      <c r="N344" s="63">
        <v>1</v>
      </c>
      <c r="O344" s="63">
        <v>1</v>
      </c>
      <c r="P344" s="63">
        <v>1</v>
      </c>
      <c r="Q344" s="63">
        <v>1</v>
      </c>
      <c r="R344" s="63">
        <v>1</v>
      </c>
      <c r="S344" s="296">
        <v>1</v>
      </c>
      <c r="T344" s="63"/>
      <c r="U344" s="10"/>
      <c r="V344" s="90">
        <v>683.1</v>
      </c>
      <c r="W344" s="91"/>
      <c r="X344" s="92"/>
    </row>
    <row r="345" spans="1:24">
      <c r="B345" s="87">
        <f t="shared" si="65"/>
        <v>5</v>
      </c>
      <c r="C345" s="274">
        <v>45867</v>
      </c>
      <c r="D345" s="526" t="s">
        <v>2423</v>
      </c>
      <c r="E345" s="276" t="s">
        <v>1410</v>
      </c>
      <c r="F345" s="277">
        <v>1162</v>
      </c>
      <c r="G345" s="277">
        <f>39.7+200</f>
        <v>239.7</v>
      </c>
      <c r="H345" s="277"/>
      <c r="I345" s="321">
        <f t="shared" si="64"/>
        <v>922.3</v>
      </c>
      <c r="J345" s="279" t="s">
        <v>156</v>
      </c>
      <c r="K345" s="279">
        <v>1</v>
      </c>
      <c r="L345" s="322">
        <v>0</v>
      </c>
      <c r="M345" s="279">
        <v>1</v>
      </c>
      <c r="N345" s="279">
        <v>1</v>
      </c>
      <c r="O345" s="279">
        <v>1</v>
      </c>
      <c r="P345" s="279">
        <v>1</v>
      </c>
      <c r="Q345" s="279">
        <v>1</v>
      </c>
      <c r="R345" s="279">
        <v>1</v>
      </c>
      <c r="S345" s="280">
        <v>1</v>
      </c>
      <c r="T345" s="63"/>
      <c r="U345" s="10" t="s">
        <v>2424</v>
      </c>
      <c r="V345" s="90">
        <f>127+1151.2</f>
        <v>1278.2</v>
      </c>
      <c r="W345" s="91"/>
      <c r="X345" s="92"/>
    </row>
    <row r="346" spans="1:24">
      <c r="B346" s="87">
        <f t="shared" si="65"/>
        <v>6</v>
      </c>
      <c r="C346" s="295">
        <v>45867</v>
      </c>
      <c r="D346" s="346" t="s">
        <v>2425</v>
      </c>
      <c r="E346" s="10" t="s">
        <v>2426</v>
      </c>
      <c r="F346" s="62">
        <v>2381</v>
      </c>
      <c r="G346" s="62">
        <f>39.7</f>
        <v>39.700000000000003</v>
      </c>
      <c r="H346" s="88"/>
      <c r="I346" s="324">
        <f t="shared" si="64"/>
        <v>2341.3000000000002</v>
      </c>
      <c r="J346" s="63" t="s">
        <v>156</v>
      </c>
      <c r="K346" s="63">
        <v>1</v>
      </c>
      <c r="L346" s="63">
        <v>1</v>
      </c>
      <c r="M346" s="63">
        <v>1</v>
      </c>
      <c r="N346" s="63">
        <v>1</v>
      </c>
      <c r="O346" s="63">
        <v>1</v>
      </c>
      <c r="P346" s="63">
        <v>1</v>
      </c>
      <c r="Q346" s="63">
        <v>1</v>
      </c>
      <c r="R346" s="63">
        <v>1</v>
      </c>
      <c r="S346" s="296">
        <v>1</v>
      </c>
      <c r="T346" s="63"/>
      <c r="U346" s="10"/>
      <c r="V346" s="90">
        <f>819.1+1800</f>
        <v>2619.1</v>
      </c>
      <c r="W346" s="91"/>
      <c r="X346" s="92"/>
    </row>
    <row r="347" spans="1:24">
      <c r="B347" s="87">
        <f t="shared" si="65"/>
        <v>7</v>
      </c>
      <c r="C347" s="295">
        <v>45867</v>
      </c>
      <c r="D347" s="506" t="s">
        <v>2427</v>
      </c>
      <c r="E347" s="10" t="s">
        <v>2426</v>
      </c>
      <c r="F347" s="62">
        <f>1261</f>
        <v>1261</v>
      </c>
      <c r="G347" s="62">
        <f>39.7+200</f>
        <v>239.7</v>
      </c>
      <c r="H347" s="88"/>
      <c r="I347" s="324">
        <f t="shared" si="64"/>
        <v>1021.3</v>
      </c>
      <c r="J347" s="63" t="s">
        <v>156</v>
      </c>
      <c r="K347" s="63">
        <v>1</v>
      </c>
      <c r="L347" s="63">
        <v>1</v>
      </c>
      <c r="M347" s="325">
        <v>0</v>
      </c>
      <c r="N347" s="63">
        <v>1</v>
      </c>
      <c r="O347" s="63">
        <v>1</v>
      </c>
      <c r="P347" s="325">
        <v>0</v>
      </c>
      <c r="Q347" s="63">
        <v>1</v>
      </c>
      <c r="R347" s="63">
        <v>1</v>
      </c>
      <c r="S347" s="326">
        <v>0</v>
      </c>
      <c r="T347" s="63"/>
      <c r="U347" s="10" t="s">
        <v>2428</v>
      </c>
      <c r="V347" s="90">
        <v>1387.1</v>
      </c>
      <c r="W347" s="91"/>
      <c r="X347" s="92"/>
    </row>
    <row r="348" spans="1:24">
      <c r="B348" s="87">
        <f>B347+1</f>
        <v>8</v>
      </c>
      <c r="C348" s="282">
        <v>45867</v>
      </c>
      <c r="D348" s="368">
        <v>71858</v>
      </c>
      <c r="E348" s="283" t="s">
        <v>187</v>
      </c>
      <c r="F348" s="284">
        <v>981</v>
      </c>
      <c r="G348" s="284">
        <f>39.7+200</f>
        <v>239.7</v>
      </c>
      <c r="H348" s="315"/>
      <c r="I348" s="300">
        <f t="shared" si="64"/>
        <v>741.3</v>
      </c>
      <c r="J348" s="286" t="s">
        <v>150</v>
      </c>
      <c r="K348" s="286">
        <v>1</v>
      </c>
      <c r="L348" s="286">
        <v>1</v>
      </c>
      <c r="M348" s="286">
        <v>1</v>
      </c>
      <c r="N348" s="286">
        <v>1</v>
      </c>
      <c r="O348" s="286">
        <v>1</v>
      </c>
      <c r="P348" s="332">
        <v>0</v>
      </c>
      <c r="Q348" s="332">
        <v>0</v>
      </c>
      <c r="R348" s="332">
        <v>0</v>
      </c>
      <c r="S348" s="370">
        <v>0</v>
      </c>
      <c r="T348" s="63"/>
      <c r="U348" s="10" t="s">
        <v>2428</v>
      </c>
      <c r="V348" s="90">
        <v>0</v>
      </c>
      <c r="W348" s="440">
        <f>810+270</f>
        <v>1080</v>
      </c>
      <c r="X348" s="92"/>
    </row>
    <row r="349" spans="1:24">
      <c r="A349" t="s">
        <v>230</v>
      </c>
      <c r="B349" s="87">
        <f>B348+1</f>
        <v>9</v>
      </c>
      <c r="C349" s="295">
        <v>45868</v>
      </c>
      <c r="D349" s="323">
        <v>71874</v>
      </c>
      <c r="E349" s="10" t="s">
        <v>769</v>
      </c>
      <c r="F349" s="62">
        <v>616</v>
      </c>
      <c r="G349" s="62"/>
      <c r="H349" s="88"/>
      <c r="I349" s="369">
        <f t="shared" si="64"/>
        <v>616</v>
      </c>
      <c r="J349" s="63" t="s">
        <v>156</v>
      </c>
      <c r="K349" s="63">
        <v>1</v>
      </c>
      <c r="L349" s="63">
        <v>1</v>
      </c>
      <c r="M349" s="63">
        <v>1</v>
      </c>
      <c r="N349" s="63">
        <v>1</v>
      </c>
      <c r="O349" s="63">
        <v>1</v>
      </c>
      <c r="P349" s="63">
        <v>1</v>
      </c>
      <c r="Q349" s="63">
        <v>1</v>
      </c>
      <c r="R349" s="63">
        <v>1</v>
      </c>
      <c r="S349" s="296">
        <v>1</v>
      </c>
      <c r="T349" s="63"/>
      <c r="U349" s="10"/>
      <c r="V349" s="90">
        <v>677.6</v>
      </c>
      <c r="X349" s="92"/>
    </row>
    <row r="350" spans="1:24">
      <c r="A350" t="s">
        <v>2429</v>
      </c>
      <c r="B350" s="87">
        <f>B349+1</f>
        <v>10</v>
      </c>
      <c r="C350" s="295">
        <v>45868</v>
      </c>
      <c r="D350" s="506" t="s">
        <v>2430</v>
      </c>
      <c r="E350" s="10" t="s">
        <v>253</v>
      </c>
      <c r="F350" s="62">
        <v>1481</v>
      </c>
      <c r="G350" s="62">
        <f>39.7+200</f>
        <v>239.7</v>
      </c>
      <c r="H350" s="88"/>
      <c r="I350" s="324">
        <f t="shared" si="64"/>
        <v>1241.3</v>
      </c>
      <c r="J350" s="63" t="s">
        <v>156</v>
      </c>
      <c r="K350" s="63">
        <v>1</v>
      </c>
      <c r="L350" s="63">
        <v>1</v>
      </c>
      <c r="M350" s="63">
        <v>1</v>
      </c>
      <c r="N350" s="63">
        <v>1</v>
      </c>
      <c r="O350" s="63">
        <v>1</v>
      </c>
      <c r="P350" s="325">
        <v>0</v>
      </c>
      <c r="Q350" s="63">
        <v>1</v>
      </c>
      <c r="R350" s="63">
        <v>1</v>
      </c>
      <c r="S350" s="296">
        <v>1</v>
      </c>
      <c r="T350" s="63"/>
      <c r="U350" s="10" t="s">
        <v>2431</v>
      </c>
      <c r="V350" s="90">
        <f>162+1467.1</f>
        <v>1629.1</v>
      </c>
      <c r="W350" s="91"/>
      <c r="X350" s="92"/>
    </row>
    <row r="351" spans="1:24">
      <c r="B351" s="87">
        <f t="shared" si="65"/>
        <v>11</v>
      </c>
      <c r="C351" s="295">
        <v>45868</v>
      </c>
      <c r="D351" s="323">
        <v>71876</v>
      </c>
      <c r="E351" s="10" t="s">
        <v>813</v>
      </c>
      <c r="F351" s="62">
        <v>1134.9000000000001</v>
      </c>
      <c r="G351" s="62">
        <f>39.7</f>
        <v>39.700000000000003</v>
      </c>
      <c r="H351" s="62"/>
      <c r="I351" s="324">
        <f t="shared" si="64"/>
        <v>1095.2</v>
      </c>
      <c r="J351" s="63" t="s">
        <v>156</v>
      </c>
      <c r="K351" s="63">
        <v>1</v>
      </c>
      <c r="L351" s="325">
        <v>0</v>
      </c>
      <c r="M351" s="325">
        <v>0</v>
      </c>
      <c r="N351" s="63">
        <v>1</v>
      </c>
      <c r="O351" s="63">
        <v>1</v>
      </c>
      <c r="P351" s="63">
        <v>1</v>
      </c>
      <c r="Q351" s="63">
        <v>1</v>
      </c>
      <c r="R351" s="63">
        <v>1</v>
      </c>
      <c r="S351" s="296">
        <v>1</v>
      </c>
      <c r="T351" s="63"/>
      <c r="U351" s="94" t="s">
        <v>2432</v>
      </c>
      <c r="V351" s="90">
        <v>1248.3900000000001</v>
      </c>
      <c r="W351" s="91"/>
      <c r="X351" s="92"/>
    </row>
    <row r="352" spans="1:24">
      <c r="B352" s="87">
        <f t="shared" si="65"/>
        <v>12</v>
      </c>
      <c r="C352" s="295">
        <v>45868</v>
      </c>
      <c r="D352" s="323">
        <v>71880</v>
      </c>
      <c r="E352" s="10" t="s">
        <v>2433</v>
      </c>
      <c r="F352" s="95">
        <v>781</v>
      </c>
      <c r="G352" s="62">
        <f>39.7</f>
        <v>39.700000000000003</v>
      </c>
      <c r="H352" s="62"/>
      <c r="I352" s="324">
        <f t="shared" si="64"/>
        <v>741.3</v>
      </c>
      <c r="J352" s="63" t="s">
        <v>156</v>
      </c>
      <c r="K352" s="63">
        <v>1</v>
      </c>
      <c r="L352" s="325">
        <v>0</v>
      </c>
      <c r="M352" s="325">
        <v>0</v>
      </c>
      <c r="N352" s="63">
        <v>1</v>
      </c>
      <c r="O352" s="63">
        <v>1</v>
      </c>
      <c r="P352" s="63">
        <v>1</v>
      </c>
      <c r="Q352" s="63">
        <v>1</v>
      </c>
      <c r="R352" s="63">
        <v>1</v>
      </c>
      <c r="S352" s="296">
        <v>1</v>
      </c>
      <c r="T352" s="63"/>
      <c r="U352" s="10" t="s">
        <v>2434</v>
      </c>
      <c r="V352" s="90">
        <v>859.1</v>
      </c>
      <c r="W352" s="91"/>
      <c r="X352" s="92"/>
    </row>
    <row r="353" spans="1:24">
      <c r="B353" s="87">
        <f t="shared" si="65"/>
        <v>13</v>
      </c>
      <c r="C353" s="274">
        <v>45869</v>
      </c>
      <c r="D353" s="327">
        <v>71914</v>
      </c>
      <c r="E353" s="276" t="s">
        <v>1013</v>
      </c>
      <c r="F353" s="447">
        <v>1138</v>
      </c>
      <c r="G353" s="277">
        <f>39.7</f>
        <v>39.700000000000003</v>
      </c>
      <c r="H353" s="277"/>
      <c r="I353" s="278">
        <f t="shared" si="64"/>
        <v>1098.3</v>
      </c>
      <c r="J353" s="279" t="s">
        <v>156</v>
      </c>
      <c r="K353" s="279">
        <v>1</v>
      </c>
      <c r="L353" s="279">
        <v>1</v>
      </c>
      <c r="M353" s="279">
        <v>1</v>
      </c>
      <c r="N353" s="279">
        <v>1</v>
      </c>
      <c r="O353" s="279">
        <v>1</v>
      </c>
      <c r="P353" s="279">
        <v>1</v>
      </c>
      <c r="Q353" s="279">
        <v>1</v>
      </c>
      <c r="R353" s="279">
        <v>1</v>
      </c>
      <c r="S353" s="280">
        <v>1</v>
      </c>
      <c r="T353" s="21">
        <v>1</v>
      </c>
      <c r="U353" s="10"/>
      <c r="V353" s="90">
        <v>1251.8</v>
      </c>
      <c r="W353" s="91"/>
      <c r="X353" s="92"/>
    </row>
    <row r="354" spans="1:24">
      <c r="B354" s="87">
        <f t="shared" si="65"/>
        <v>14</v>
      </c>
      <c r="C354" s="274">
        <v>45870</v>
      </c>
      <c r="D354" s="327" t="s">
        <v>2435</v>
      </c>
      <c r="E354" s="276" t="s">
        <v>430</v>
      </c>
      <c r="F354" s="447">
        <v>1138</v>
      </c>
      <c r="G354" s="277">
        <f>39.7</f>
        <v>39.700000000000003</v>
      </c>
      <c r="H354" s="277"/>
      <c r="I354" s="278">
        <f t="shared" si="64"/>
        <v>1098.3</v>
      </c>
      <c r="J354" s="279" t="s">
        <v>156</v>
      </c>
      <c r="K354" s="279">
        <v>1</v>
      </c>
      <c r="L354" s="279">
        <v>1</v>
      </c>
      <c r="M354" s="279">
        <v>1</v>
      </c>
      <c r="N354" s="279">
        <v>1</v>
      </c>
      <c r="O354" s="279">
        <v>1</v>
      </c>
      <c r="P354" s="279">
        <v>1</v>
      </c>
      <c r="Q354" s="279">
        <v>1</v>
      </c>
      <c r="R354" s="279">
        <v>1</v>
      </c>
      <c r="S354" s="280">
        <v>1</v>
      </c>
      <c r="T354" s="63"/>
      <c r="U354" s="10"/>
      <c r="V354" s="90">
        <v>1251.8</v>
      </c>
      <c r="W354" s="91"/>
      <c r="X354" s="92"/>
    </row>
    <row r="355" spans="1:24">
      <c r="B355" s="87">
        <f t="shared" si="65"/>
        <v>15</v>
      </c>
      <c r="C355" s="295">
        <v>45870</v>
      </c>
      <c r="D355" s="323">
        <v>71948</v>
      </c>
      <c r="E355" s="10" t="s">
        <v>2436</v>
      </c>
      <c r="F355" s="95">
        <v>681</v>
      </c>
      <c r="G355" s="62"/>
      <c r="H355" s="62"/>
      <c r="I355" s="324">
        <f t="shared" si="64"/>
        <v>681</v>
      </c>
      <c r="J355" s="63" t="s">
        <v>156</v>
      </c>
      <c r="K355" s="63">
        <v>1</v>
      </c>
      <c r="L355" s="63">
        <v>1</v>
      </c>
      <c r="M355" s="325">
        <v>0</v>
      </c>
      <c r="N355" s="63">
        <v>1</v>
      </c>
      <c r="O355" s="63">
        <v>1</v>
      </c>
      <c r="P355" s="63">
        <v>1</v>
      </c>
      <c r="Q355" s="63">
        <v>1</v>
      </c>
      <c r="R355" s="63">
        <v>1</v>
      </c>
      <c r="S355" s="296">
        <v>1</v>
      </c>
      <c r="T355" s="63"/>
      <c r="U355" s="10"/>
      <c r="V355" s="90">
        <v>749.1</v>
      </c>
      <c r="W355" s="91"/>
      <c r="X355" s="92"/>
    </row>
    <row r="356" spans="1:24">
      <c r="B356" s="87">
        <f t="shared" si="65"/>
        <v>16</v>
      </c>
      <c r="C356" s="295">
        <v>45870</v>
      </c>
      <c r="D356" s="323" t="s">
        <v>2437</v>
      </c>
      <c r="E356" s="10" t="s">
        <v>444</v>
      </c>
      <c r="F356" s="95">
        <v>681</v>
      </c>
      <c r="G356" s="62"/>
      <c r="H356" s="62"/>
      <c r="I356" s="324">
        <f t="shared" si="64"/>
        <v>681</v>
      </c>
      <c r="J356" s="63" t="s">
        <v>156</v>
      </c>
      <c r="K356" s="63">
        <v>1</v>
      </c>
      <c r="L356" s="325">
        <v>0</v>
      </c>
      <c r="M356" s="325">
        <v>0</v>
      </c>
      <c r="N356" s="63">
        <v>1</v>
      </c>
      <c r="O356" s="63">
        <v>1</v>
      </c>
      <c r="P356" s="63">
        <v>1</v>
      </c>
      <c r="Q356" s="63">
        <v>1</v>
      </c>
      <c r="R356" s="63">
        <v>1</v>
      </c>
      <c r="S356" s="296">
        <v>1</v>
      </c>
      <c r="T356" s="63"/>
      <c r="U356" s="10"/>
      <c r="V356" s="90">
        <v>749.1</v>
      </c>
      <c r="W356" s="96"/>
      <c r="X356" s="92"/>
    </row>
    <row r="357" spans="1:24">
      <c r="B357" s="87">
        <f t="shared" si="65"/>
        <v>17</v>
      </c>
      <c r="C357" s="282">
        <v>45870</v>
      </c>
      <c r="D357" s="368">
        <v>71970</v>
      </c>
      <c r="E357" s="283" t="s">
        <v>271</v>
      </c>
      <c r="F357" s="423">
        <v>600</v>
      </c>
      <c r="G357" s="284"/>
      <c r="H357" s="284"/>
      <c r="I357" s="285">
        <f t="shared" si="64"/>
        <v>600</v>
      </c>
      <c r="J357" s="286" t="s">
        <v>156</v>
      </c>
      <c r="K357" s="286">
        <v>1</v>
      </c>
      <c r="L357" s="286">
        <v>1</v>
      </c>
      <c r="M357" s="286">
        <v>1</v>
      </c>
      <c r="N357" s="286">
        <v>1</v>
      </c>
      <c r="O357" s="286">
        <v>1</v>
      </c>
      <c r="P357" s="286">
        <v>1</v>
      </c>
      <c r="Q357" s="286">
        <v>1</v>
      </c>
      <c r="R357" s="286">
        <v>1</v>
      </c>
      <c r="S357" s="287">
        <v>1</v>
      </c>
      <c r="T357" s="63"/>
      <c r="U357" s="10"/>
      <c r="V357" s="90">
        <v>660</v>
      </c>
      <c r="W357" s="96"/>
      <c r="X357" s="92"/>
    </row>
    <row r="358" spans="1:24">
      <c r="B358" s="87"/>
      <c r="C358" s="36"/>
      <c r="D358" s="10"/>
      <c r="E358" s="10"/>
      <c r="F358" s="97">
        <f>SUM(F341:F357)</f>
        <v>18618.75</v>
      </c>
      <c r="G358" s="97">
        <f>SUM(G341:G357)</f>
        <v>1414.7200000000003</v>
      </c>
      <c r="H358" s="97">
        <f>SUM(H341:H357)</f>
        <v>0</v>
      </c>
      <c r="I358" s="98">
        <f>SUM(I341:I357)</f>
        <v>17204.03</v>
      </c>
      <c r="J358" s="63"/>
      <c r="K358" s="63">
        <f t="shared" ref="K358:S358" si="66">COUNT(K341:K357)</f>
        <v>17</v>
      </c>
      <c r="L358" s="63">
        <f t="shared" si="66"/>
        <v>17</v>
      </c>
      <c r="M358" s="63">
        <f t="shared" si="66"/>
        <v>17</v>
      </c>
      <c r="N358" s="63">
        <f t="shared" si="66"/>
        <v>17</v>
      </c>
      <c r="O358" s="63">
        <f t="shared" si="66"/>
        <v>17</v>
      </c>
      <c r="P358" s="63">
        <f t="shared" si="66"/>
        <v>17</v>
      </c>
      <c r="Q358" s="63">
        <f t="shared" si="66"/>
        <v>17</v>
      </c>
      <c r="R358" s="63">
        <f t="shared" si="66"/>
        <v>17</v>
      </c>
      <c r="S358" s="63">
        <f t="shared" si="66"/>
        <v>17</v>
      </c>
      <c r="T358" s="63"/>
      <c r="U358" s="10"/>
      <c r="V358" s="90"/>
      <c r="W358" s="91"/>
      <c r="X358" s="92"/>
    </row>
    <row r="359" spans="1:24">
      <c r="B359" s="87"/>
      <c r="C359" s="36"/>
      <c r="D359" s="10"/>
      <c r="E359" s="10"/>
      <c r="F359" s="88"/>
      <c r="G359" s="88"/>
      <c r="H359" s="88"/>
      <c r="I359" s="99"/>
      <c r="J359" s="63"/>
      <c r="K359" s="21">
        <f t="shared" ref="K359:S359" si="67">SUM(K341:K357)</f>
        <v>17</v>
      </c>
      <c r="L359" s="21">
        <f t="shared" si="67"/>
        <v>13</v>
      </c>
      <c r="M359" s="21">
        <f t="shared" si="67"/>
        <v>12</v>
      </c>
      <c r="N359" s="21">
        <f t="shared" si="67"/>
        <v>17</v>
      </c>
      <c r="O359" s="21">
        <f t="shared" si="67"/>
        <v>17</v>
      </c>
      <c r="P359" s="21">
        <f t="shared" si="67"/>
        <v>14</v>
      </c>
      <c r="Q359" s="21">
        <f t="shared" si="67"/>
        <v>16</v>
      </c>
      <c r="R359" s="21">
        <f t="shared" si="67"/>
        <v>16</v>
      </c>
      <c r="S359" s="21">
        <f t="shared" si="67"/>
        <v>15</v>
      </c>
      <c r="T359" s="63"/>
      <c r="U359" s="10"/>
      <c r="V359" s="90"/>
      <c r="W359" s="91"/>
      <c r="X359" s="92"/>
    </row>
    <row r="360" spans="1:24">
      <c r="B360" s="11"/>
      <c r="C360" s="36"/>
      <c r="D360" s="10"/>
      <c r="E360" s="10"/>
      <c r="F360" s="88"/>
      <c r="G360" s="88"/>
      <c r="H360" s="88"/>
      <c r="I360" s="99"/>
      <c r="J360" s="63"/>
      <c r="K360" s="21"/>
      <c r="L360" s="21"/>
      <c r="M360" s="21"/>
      <c r="N360" s="21"/>
      <c r="O360" s="21"/>
      <c r="P360" s="21"/>
      <c r="Q360" s="21"/>
      <c r="R360" s="21"/>
      <c r="S360" s="21"/>
      <c r="T360" s="63"/>
      <c r="U360" s="94"/>
      <c r="V360" s="90"/>
      <c r="W360" s="91"/>
      <c r="X360" s="92"/>
    </row>
    <row r="361" spans="1:24" s="342" customFormat="1">
      <c r="B361" s="121" t="s">
        <v>68</v>
      </c>
      <c r="C361" s="122"/>
      <c r="D361" s="123"/>
      <c r="E361" s="123"/>
      <c r="F361" s="124"/>
      <c r="G361" s="125"/>
      <c r="H361" s="124"/>
      <c r="I361" s="126"/>
      <c r="J361" s="127"/>
      <c r="K361" s="128"/>
      <c r="L361" s="128"/>
      <c r="M361" s="128"/>
      <c r="N361" s="128"/>
      <c r="O361" s="128"/>
      <c r="P361" s="128"/>
      <c r="Q361" s="128"/>
      <c r="R361" s="128"/>
      <c r="S361" s="128"/>
      <c r="T361" s="127"/>
      <c r="U361" s="123"/>
      <c r="V361" s="129"/>
      <c r="W361" s="130"/>
      <c r="X361" s="131"/>
    </row>
    <row r="362" spans="1:24" s="342" customFormat="1">
      <c r="A362" s="492">
        <v>0.05</v>
      </c>
      <c r="B362" s="333">
        <v>1</v>
      </c>
      <c r="C362" s="350">
        <v>45867</v>
      </c>
      <c r="D362" s="263">
        <v>71860</v>
      </c>
      <c r="E362" s="358" t="s">
        <v>426</v>
      </c>
      <c r="F362" s="352">
        <f>2346-85</f>
        <v>2261</v>
      </c>
      <c r="G362" s="352">
        <f>39.7+200</f>
        <v>239.7</v>
      </c>
      <c r="H362" s="352"/>
      <c r="I362" s="353">
        <f>F362-G362-H362</f>
        <v>2021.3</v>
      </c>
      <c r="J362" s="354" t="s">
        <v>156</v>
      </c>
      <c r="K362" s="354">
        <v>1</v>
      </c>
      <c r="L362" s="354">
        <v>1</v>
      </c>
      <c r="M362" s="354">
        <v>1</v>
      </c>
      <c r="N362" s="354">
        <v>1</v>
      </c>
      <c r="O362" s="354">
        <v>1</v>
      </c>
      <c r="P362" s="354">
        <v>1</v>
      </c>
      <c r="Q362" s="354">
        <v>1</v>
      </c>
      <c r="R362" s="354">
        <v>1</v>
      </c>
      <c r="S362" s="355">
        <v>1</v>
      </c>
      <c r="T362" s="127"/>
      <c r="U362" s="123" t="s">
        <v>2438</v>
      </c>
      <c r="V362" s="129">
        <f>93.5+239</f>
        <v>332.5</v>
      </c>
      <c r="W362" s="130"/>
      <c r="X362" s="131"/>
    </row>
    <row r="363" spans="1:24" s="342" customFormat="1">
      <c r="B363" s="132"/>
      <c r="C363" s="122"/>
      <c r="D363" s="123"/>
      <c r="E363" s="123"/>
      <c r="F363" s="134">
        <f>SUM(F362:F362)</f>
        <v>2261</v>
      </c>
      <c r="G363" s="134">
        <f>SUM(G362:G362)</f>
        <v>239.7</v>
      </c>
      <c r="H363" s="134">
        <f>SUM(H362:H362)</f>
        <v>0</v>
      </c>
      <c r="I363" s="134">
        <f>SUM(I362:I362)</f>
        <v>2021.3</v>
      </c>
      <c r="J363" s="127"/>
      <c r="K363" s="64"/>
      <c r="L363" s="64"/>
      <c r="M363" s="64"/>
      <c r="N363" s="64"/>
      <c r="O363" s="64"/>
      <c r="P363" s="64"/>
      <c r="Q363" s="64"/>
      <c r="R363" s="64"/>
      <c r="S363" s="64"/>
      <c r="T363" s="127"/>
      <c r="U363" s="123"/>
      <c r="V363" s="129"/>
      <c r="W363" s="130"/>
      <c r="X363" s="131"/>
    </row>
    <row r="364" spans="1:24">
      <c r="B364" s="11"/>
      <c r="C364" s="36"/>
      <c r="D364" s="10"/>
      <c r="E364" s="10"/>
      <c r="F364" s="88"/>
      <c r="G364" s="88"/>
      <c r="H364" s="88"/>
      <c r="I364" s="99"/>
      <c r="J364" s="63"/>
      <c r="K364" s="21"/>
      <c r="L364" s="21"/>
      <c r="M364" s="21"/>
      <c r="N364" s="21"/>
      <c r="O364" s="21"/>
      <c r="P364" s="21"/>
      <c r="Q364" s="21"/>
      <c r="R364" s="21"/>
      <c r="S364" s="21"/>
      <c r="T364" s="63"/>
      <c r="U364" s="94"/>
      <c r="V364" s="90"/>
      <c r="W364" s="91"/>
      <c r="X364" s="92"/>
    </row>
    <row r="365" spans="1:24" s="260" customFormat="1">
      <c r="B365" s="100" t="s">
        <v>152</v>
      </c>
      <c r="C365" s="270"/>
      <c r="D365" s="10"/>
      <c r="E365" s="101"/>
      <c r="F365" s="88"/>
      <c r="G365" s="62"/>
      <c r="H365" s="88"/>
      <c r="I365" s="99"/>
      <c r="J365" s="63"/>
      <c r="K365" s="181"/>
      <c r="L365" s="181"/>
      <c r="M365" s="181"/>
      <c r="N365" s="181"/>
      <c r="O365" s="181"/>
      <c r="P365" s="181"/>
      <c r="Q365" s="181"/>
      <c r="R365" s="181"/>
      <c r="S365" s="181"/>
      <c r="T365" s="63"/>
      <c r="U365" s="10"/>
      <c r="V365" s="90"/>
      <c r="W365" s="91"/>
      <c r="X365" s="92"/>
    </row>
    <row r="366" spans="1:24" s="260" customFormat="1">
      <c r="A366" s="261">
        <v>0.05</v>
      </c>
      <c r="B366" s="87">
        <v>1</v>
      </c>
      <c r="C366" s="274">
        <v>45833</v>
      </c>
      <c r="D366" s="327">
        <v>71012</v>
      </c>
      <c r="E366" s="281" t="s">
        <v>317</v>
      </c>
      <c r="F366" s="277">
        <v>5232.6000000000004</v>
      </c>
      <c r="G366" s="277">
        <f>39.7+(24.15+1060.54)+250</f>
        <v>1374.39</v>
      </c>
      <c r="H366" s="277"/>
      <c r="I366" s="278">
        <f>F366-G366-H366</f>
        <v>3858.21</v>
      </c>
      <c r="J366" s="279" t="s">
        <v>156</v>
      </c>
      <c r="K366" s="279">
        <v>1</v>
      </c>
      <c r="L366" s="279">
        <v>1</v>
      </c>
      <c r="M366" s="279">
        <v>1</v>
      </c>
      <c r="N366" s="279">
        <v>1</v>
      </c>
      <c r="O366" s="279">
        <v>1</v>
      </c>
      <c r="P366" s="279">
        <v>0</v>
      </c>
      <c r="Q366" s="279">
        <v>0</v>
      </c>
      <c r="R366" s="279">
        <v>0</v>
      </c>
      <c r="S366" s="280">
        <v>0</v>
      </c>
      <c r="T366" s="63"/>
      <c r="U366" s="10" t="s">
        <v>2370</v>
      </c>
      <c r="V366" s="90"/>
      <c r="W366" s="91"/>
      <c r="X366" s="92"/>
    </row>
    <row r="367" spans="1:24" s="260" customFormat="1">
      <c r="A367" s="261" t="s">
        <v>619</v>
      </c>
      <c r="B367" s="87">
        <f t="shared" ref="B367" si="68">B366+1</f>
        <v>2</v>
      </c>
      <c r="C367" s="282">
        <v>45833</v>
      </c>
      <c r="D367" s="368">
        <v>71028</v>
      </c>
      <c r="E367" s="283" t="s">
        <v>659</v>
      </c>
      <c r="F367" s="284">
        <v>2164</v>
      </c>
      <c r="G367" s="284">
        <v>39.700000000000003</v>
      </c>
      <c r="H367" s="284"/>
      <c r="I367" s="285">
        <f>F367-G367-H367</f>
        <v>2124.3000000000002</v>
      </c>
      <c r="J367" s="286"/>
      <c r="K367" s="286">
        <v>1</v>
      </c>
      <c r="L367" s="286">
        <v>1</v>
      </c>
      <c r="M367" s="286"/>
      <c r="N367" s="286">
        <v>1</v>
      </c>
      <c r="O367" s="286">
        <v>1</v>
      </c>
      <c r="P367" s="286">
        <v>1</v>
      </c>
      <c r="Q367" s="286">
        <v>1</v>
      </c>
      <c r="R367" s="286">
        <v>1</v>
      </c>
      <c r="S367" s="287">
        <v>1</v>
      </c>
      <c r="T367" s="63"/>
      <c r="U367" s="10"/>
      <c r="V367" s="90"/>
      <c r="W367" s="91"/>
      <c r="X367" s="92"/>
    </row>
    <row r="368" spans="1:24" s="260" customFormat="1">
      <c r="B368" s="11"/>
      <c r="C368" s="270"/>
      <c r="D368" s="10"/>
      <c r="E368" s="10"/>
      <c r="F368" s="97">
        <f>SUM(F366:F367)</f>
        <v>7396.6</v>
      </c>
      <c r="G368" s="97">
        <f>SUM(G366:G367)</f>
        <v>1414.0900000000001</v>
      </c>
      <c r="H368" s="97">
        <f>SUM(H366:H367)</f>
        <v>0</v>
      </c>
      <c r="I368" s="97">
        <f>SUM(I366:I367)</f>
        <v>5982.51</v>
      </c>
      <c r="J368" s="63"/>
      <c r="K368" s="21"/>
      <c r="L368" s="21"/>
      <c r="M368" s="21"/>
      <c r="N368" s="21"/>
      <c r="O368" s="21"/>
      <c r="P368" s="21"/>
      <c r="Q368" s="21"/>
      <c r="R368" s="21"/>
      <c r="S368" s="21"/>
      <c r="T368" s="63"/>
      <c r="U368" s="10"/>
      <c r="V368" s="90"/>
      <c r="W368" s="91"/>
      <c r="X368" s="92"/>
    </row>
    <row r="369" spans="1:24" s="260" customFormat="1">
      <c r="B369" s="11"/>
      <c r="C369" s="270"/>
      <c r="D369" s="10"/>
      <c r="E369" s="10"/>
      <c r="F369" s="88"/>
      <c r="G369" s="88"/>
      <c r="H369" s="88"/>
      <c r="I369" s="99"/>
      <c r="J369" s="63"/>
      <c r="K369" s="21"/>
      <c r="L369" s="21"/>
      <c r="M369" s="21"/>
      <c r="N369" s="21"/>
      <c r="O369" s="21"/>
      <c r="P369" s="21"/>
      <c r="Q369" s="21"/>
      <c r="R369" s="21"/>
      <c r="S369" s="21"/>
      <c r="T369" s="63"/>
      <c r="U369" s="10"/>
      <c r="V369" s="90"/>
      <c r="W369" s="91"/>
      <c r="X369" s="92"/>
    </row>
    <row r="370" spans="1:24" s="260" customFormat="1">
      <c r="B370" s="100" t="s">
        <v>202</v>
      </c>
      <c r="C370" s="270"/>
      <c r="D370" s="10"/>
      <c r="E370" s="181"/>
      <c r="F370" s="88"/>
      <c r="G370" s="88"/>
      <c r="H370" s="88"/>
      <c r="I370" s="99"/>
      <c r="J370" s="63"/>
      <c r="K370" s="21"/>
      <c r="L370" s="21"/>
      <c r="M370" s="21"/>
      <c r="N370" s="21"/>
      <c r="O370" s="21"/>
      <c r="P370" s="21"/>
      <c r="Q370" s="21"/>
      <c r="R370" s="21"/>
      <c r="S370" s="21"/>
      <c r="T370" s="63"/>
      <c r="U370" s="10"/>
      <c r="V370" s="90"/>
      <c r="W370" s="91"/>
      <c r="X370" s="92"/>
    </row>
    <row r="371" spans="1:24" s="260" customFormat="1">
      <c r="A371" s="261">
        <v>0.05</v>
      </c>
      <c r="B371" s="87">
        <v>1</v>
      </c>
      <c r="C371" s="262">
        <v>45790</v>
      </c>
      <c r="D371" s="357" t="s">
        <v>2339</v>
      </c>
      <c r="E371" s="271" t="s">
        <v>225</v>
      </c>
      <c r="F371" s="265">
        <v>8614</v>
      </c>
      <c r="G371" s="265">
        <f>39.7+(143.54)+(86.25+50.9)+750</f>
        <v>1070.3899999999999</v>
      </c>
      <c r="H371" s="265"/>
      <c r="I371" s="272">
        <f>F371-G371-H371</f>
        <v>7543.6100000000006</v>
      </c>
      <c r="J371" s="267"/>
      <c r="K371" s="267">
        <v>1</v>
      </c>
      <c r="L371" s="267"/>
      <c r="M371" s="267"/>
      <c r="N371" s="267">
        <v>1</v>
      </c>
      <c r="O371" s="267">
        <v>1</v>
      </c>
      <c r="P371" s="267">
        <v>1</v>
      </c>
      <c r="Q371" s="267">
        <v>0</v>
      </c>
      <c r="R371" s="267">
        <v>0</v>
      </c>
      <c r="S371" s="269">
        <v>0</v>
      </c>
      <c r="T371" s="63"/>
      <c r="U371" s="10" t="s">
        <v>2340</v>
      </c>
      <c r="V371" s="90"/>
      <c r="W371" s="136"/>
      <c r="X371" s="137"/>
    </row>
    <row r="372" spans="1:24" s="260" customFormat="1">
      <c r="A372" s="261">
        <v>0.05</v>
      </c>
      <c r="B372" s="87">
        <f>B371+1</f>
        <v>2</v>
      </c>
      <c r="C372" s="262">
        <v>45799</v>
      </c>
      <c r="D372" s="357" t="s">
        <v>2341</v>
      </c>
      <c r="E372" s="271" t="s">
        <v>464</v>
      </c>
      <c r="F372" s="265">
        <v>15214.25</v>
      </c>
      <c r="G372" s="265">
        <v>39.700000000000003</v>
      </c>
      <c r="H372" s="265"/>
      <c r="I372" s="272">
        <f>F372-G372-H372</f>
        <v>15174.55</v>
      </c>
      <c r="J372" s="267"/>
      <c r="K372" s="267">
        <v>1</v>
      </c>
      <c r="L372" s="267"/>
      <c r="M372" s="267"/>
      <c r="N372" s="267">
        <v>1</v>
      </c>
      <c r="O372" s="267">
        <v>1</v>
      </c>
      <c r="P372" s="267">
        <v>0</v>
      </c>
      <c r="Q372" s="267"/>
      <c r="R372" s="267"/>
      <c r="S372" s="269"/>
      <c r="T372" s="63"/>
      <c r="U372" s="10"/>
      <c r="V372" s="90"/>
      <c r="W372" s="136"/>
      <c r="X372" s="137"/>
    </row>
    <row r="373" spans="1:24" s="260" customFormat="1">
      <c r="A373" s="181" t="s">
        <v>619</v>
      </c>
      <c r="B373" s="87">
        <f>B372+1</f>
        <v>3</v>
      </c>
      <c r="C373" s="262">
        <v>45826</v>
      </c>
      <c r="D373" s="357" t="s">
        <v>2344</v>
      </c>
      <c r="E373" s="271" t="s">
        <v>2345</v>
      </c>
      <c r="F373" s="265">
        <v>21400</v>
      </c>
      <c r="G373" s="265">
        <f>39.7+(104.18+165.91+61.7)+(78.89)+2000</f>
        <v>2450.38</v>
      </c>
      <c r="H373" s="265"/>
      <c r="I373" s="272">
        <f>F373-G373-H373</f>
        <v>18949.62</v>
      </c>
      <c r="J373" s="267"/>
      <c r="K373" s="267">
        <v>1</v>
      </c>
      <c r="L373" s="267"/>
      <c r="M373" s="267"/>
      <c r="N373" s="267">
        <v>1</v>
      </c>
      <c r="O373" s="267">
        <v>1</v>
      </c>
      <c r="P373" s="267">
        <v>0</v>
      </c>
      <c r="Q373" s="267"/>
      <c r="R373" s="267"/>
      <c r="S373" s="269"/>
      <c r="T373" s="63"/>
      <c r="U373" s="10" t="s">
        <v>2346</v>
      </c>
      <c r="V373" s="90"/>
      <c r="W373" s="136"/>
      <c r="X373" s="137"/>
    </row>
    <row r="374" spans="1:24" s="260" customFormat="1">
      <c r="A374" s="261">
        <v>0.05</v>
      </c>
      <c r="B374" s="87">
        <f t="shared" ref="B374:B375" si="69">B373+1</f>
        <v>4</v>
      </c>
      <c r="C374" s="274">
        <v>45861</v>
      </c>
      <c r="D374" s="327">
        <v>71651</v>
      </c>
      <c r="E374" s="276" t="s">
        <v>596</v>
      </c>
      <c r="F374" s="277">
        <v>2261</v>
      </c>
      <c r="G374" s="277">
        <f>39.7+487.5+200</f>
        <v>727.2</v>
      </c>
      <c r="H374" s="277"/>
      <c r="I374" s="278">
        <f>F374-G374-H374</f>
        <v>1533.8</v>
      </c>
      <c r="J374" s="279" t="s">
        <v>156</v>
      </c>
      <c r="K374" s="279">
        <v>1</v>
      </c>
      <c r="L374" s="279"/>
      <c r="M374" s="279">
        <v>1</v>
      </c>
      <c r="N374" s="279">
        <v>1</v>
      </c>
      <c r="O374" s="279">
        <v>1</v>
      </c>
      <c r="P374" s="279">
        <v>1</v>
      </c>
      <c r="Q374" s="279"/>
      <c r="R374" s="279"/>
      <c r="S374" s="280"/>
      <c r="T374" s="63"/>
      <c r="U374" s="94" t="s">
        <v>2405</v>
      </c>
      <c r="V374" s="90"/>
      <c r="W374" s="136"/>
      <c r="X374" s="137"/>
    </row>
    <row r="375" spans="1:24" s="260" customFormat="1">
      <c r="A375" s="261">
        <v>0.05</v>
      </c>
      <c r="B375" s="87">
        <f t="shared" si="69"/>
        <v>5</v>
      </c>
      <c r="C375" s="262">
        <v>45863</v>
      </c>
      <c r="D375" s="263" t="s">
        <v>2406</v>
      </c>
      <c r="E375" s="271" t="s">
        <v>2398</v>
      </c>
      <c r="F375" s="265">
        <v>14218</v>
      </c>
      <c r="G375" s="265">
        <f>39.7+(78.82+18.7+38.9+17.61+45.74)+(21.28)+1000</f>
        <v>1260.75</v>
      </c>
      <c r="H375" s="265"/>
      <c r="I375" s="272">
        <f>F375-G375-H375</f>
        <v>12957.25</v>
      </c>
      <c r="J375" s="267" t="s">
        <v>156</v>
      </c>
      <c r="K375" s="267">
        <v>1</v>
      </c>
      <c r="L375" s="267"/>
      <c r="M375" s="267">
        <v>1</v>
      </c>
      <c r="N375" s="267">
        <v>1</v>
      </c>
      <c r="O375" s="267">
        <v>1</v>
      </c>
      <c r="P375" s="267">
        <v>1</v>
      </c>
      <c r="Q375" s="267"/>
      <c r="R375" s="267"/>
      <c r="S375" s="269"/>
      <c r="T375" s="63"/>
      <c r="U375" s="94" t="s">
        <v>2407</v>
      </c>
      <c r="V375" s="90"/>
      <c r="W375" s="136"/>
      <c r="X375" s="137"/>
    </row>
    <row r="376" spans="1:24" s="260" customFormat="1">
      <c r="A376" s="260" t="s">
        <v>2347</v>
      </c>
      <c r="B376" s="11"/>
      <c r="C376" s="270"/>
      <c r="D376" s="10"/>
      <c r="E376" s="10"/>
      <c r="F376" s="97">
        <f>SUM(F371:F375)</f>
        <v>61707.25</v>
      </c>
      <c r="G376" s="97">
        <f>SUM(G371:G375)</f>
        <v>5548.42</v>
      </c>
      <c r="H376" s="97">
        <f>SUM(H371:H375)</f>
        <v>0</v>
      </c>
      <c r="I376" s="97">
        <f>SUM(I371:I375)</f>
        <v>56158.83</v>
      </c>
      <c r="J376" s="63"/>
      <c r="K376" s="21"/>
      <c r="L376" s="21"/>
      <c r="M376" s="21"/>
      <c r="N376" s="21"/>
      <c r="O376" s="21"/>
      <c r="P376" s="21"/>
      <c r="Q376" s="21"/>
      <c r="R376" s="21"/>
      <c r="S376" s="21"/>
      <c r="T376" s="63"/>
      <c r="V376" s="90"/>
      <c r="W376" s="91"/>
      <c r="X376" s="92"/>
    </row>
    <row r="377" spans="1:24" s="260" customFormat="1">
      <c r="B377" s="11"/>
      <c r="C377" s="270"/>
      <c r="D377" s="10"/>
      <c r="E377" s="10"/>
      <c r="F377" s="88"/>
      <c r="G377" s="88"/>
      <c r="H377" s="88"/>
      <c r="I377" s="88"/>
      <c r="J377" s="63"/>
      <c r="K377" s="21"/>
      <c r="L377" s="21"/>
      <c r="M377" s="21"/>
      <c r="N377" s="21"/>
      <c r="O377" s="21"/>
      <c r="P377" s="21"/>
      <c r="Q377" s="21"/>
      <c r="R377" s="21"/>
      <c r="S377" s="21"/>
      <c r="T377" s="63"/>
      <c r="U377" s="10"/>
      <c r="V377" s="90"/>
      <c r="W377" s="91"/>
      <c r="X377" s="92"/>
    </row>
    <row r="378" spans="1:24">
      <c r="B378" s="100" t="s">
        <v>72</v>
      </c>
      <c r="C378" s="36"/>
      <c r="D378" s="10"/>
      <c r="E378" s="10"/>
      <c r="F378" s="88"/>
      <c r="G378" s="88"/>
      <c r="H378" s="88"/>
      <c r="I378" s="99"/>
      <c r="J378" s="63"/>
      <c r="K378" s="63"/>
      <c r="L378" s="63"/>
      <c r="M378" s="63"/>
      <c r="N378" s="63"/>
      <c r="O378" s="63"/>
      <c r="P378" s="63"/>
      <c r="Q378" s="63"/>
      <c r="R378" s="63"/>
      <c r="S378" s="63"/>
      <c r="T378" s="63"/>
      <c r="U378" s="10"/>
      <c r="V378" s="90"/>
      <c r="W378" s="91"/>
      <c r="X378" s="92"/>
    </row>
    <row r="379" spans="1:24">
      <c r="B379" s="87">
        <v>1</v>
      </c>
      <c r="C379" s="274">
        <v>45866</v>
      </c>
      <c r="D379" s="276">
        <v>71751</v>
      </c>
      <c r="E379" s="509" t="s">
        <v>1008</v>
      </c>
      <c r="F379" s="277">
        <v>13861</v>
      </c>
      <c r="G379" s="277">
        <v>39.700000000000003</v>
      </c>
      <c r="H379" s="277"/>
      <c r="I379" s="278">
        <f t="shared" ref="I379:I395" si="70">F379-G379-H379</f>
        <v>13821.3</v>
      </c>
      <c r="J379" s="279" t="s">
        <v>205</v>
      </c>
      <c r="K379" s="279">
        <v>1</v>
      </c>
      <c r="L379" s="279"/>
      <c r="M379" s="279"/>
      <c r="N379" s="279">
        <v>1</v>
      </c>
      <c r="O379" s="279"/>
      <c r="P379" s="279"/>
      <c r="Q379" s="279">
        <v>1</v>
      </c>
      <c r="R379" s="279">
        <v>1</v>
      </c>
      <c r="S379" s="280">
        <v>1</v>
      </c>
      <c r="T379" s="63"/>
      <c r="U379" s="3"/>
      <c r="V379" s="90"/>
      <c r="W379" s="91"/>
      <c r="X379" s="92"/>
    </row>
    <row r="380" spans="1:24">
      <c r="A380" s="464"/>
      <c r="B380" s="87">
        <f>B379+1</f>
        <v>2</v>
      </c>
      <c r="C380" s="295">
        <v>45866</v>
      </c>
      <c r="D380" s="10" t="s">
        <v>2439</v>
      </c>
      <c r="E380" s="10" t="s">
        <v>1401</v>
      </c>
      <c r="F380" s="62">
        <v>5249.7</v>
      </c>
      <c r="G380" s="62">
        <v>39.700000000000003</v>
      </c>
      <c r="H380" s="62"/>
      <c r="I380" s="89">
        <f t="shared" si="70"/>
        <v>5210</v>
      </c>
      <c r="J380" s="63" t="s">
        <v>205</v>
      </c>
      <c r="K380" s="63">
        <v>1</v>
      </c>
      <c r="L380" s="63"/>
      <c r="M380" s="63"/>
      <c r="N380" s="63">
        <v>1</v>
      </c>
      <c r="O380" s="63"/>
      <c r="P380" s="63"/>
      <c r="Q380" s="63"/>
      <c r="R380" s="63"/>
      <c r="S380" s="296"/>
      <c r="T380" s="63"/>
      <c r="U380" s="10"/>
      <c r="V380" s="90"/>
      <c r="W380" s="136"/>
      <c r="X380" s="137"/>
    </row>
    <row r="381" spans="1:24">
      <c r="B381" s="87">
        <f t="shared" ref="B381:B395" si="71">B380+1</f>
        <v>3</v>
      </c>
      <c r="C381" s="282">
        <v>45866</v>
      </c>
      <c r="D381" s="283">
        <v>71806</v>
      </c>
      <c r="E381" s="283" t="s">
        <v>2440</v>
      </c>
      <c r="F381" s="284">
        <v>6132.6</v>
      </c>
      <c r="G381" s="284">
        <v>39.700000000000003</v>
      </c>
      <c r="H381" s="284"/>
      <c r="I381" s="285">
        <f t="shared" si="70"/>
        <v>6092.9000000000005</v>
      </c>
      <c r="J381" s="286" t="s">
        <v>205</v>
      </c>
      <c r="K381" s="286">
        <v>1</v>
      </c>
      <c r="L381" s="286"/>
      <c r="M381" s="286"/>
      <c r="N381" s="286">
        <v>1</v>
      </c>
      <c r="O381" s="286"/>
      <c r="P381" s="286"/>
      <c r="Q381" s="286">
        <v>1</v>
      </c>
      <c r="R381" s="286">
        <v>1</v>
      </c>
      <c r="S381" s="287">
        <v>1</v>
      </c>
      <c r="T381" s="63"/>
      <c r="U381" s="10"/>
      <c r="V381" s="90"/>
      <c r="W381" s="136"/>
      <c r="X381" s="137"/>
    </row>
    <row r="382" spans="1:24">
      <c r="B382" s="87">
        <f t="shared" si="71"/>
        <v>4</v>
      </c>
      <c r="C382" s="295">
        <v>45867</v>
      </c>
      <c r="D382" s="10" t="s">
        <v>2441</v>
      </c>
      <c r="E382" s="10" t="s">
        <v>1410</v>
      </c>
      <c r="F382" s="62">
        <v>8641</v>
      </c>
      <c r="G382" s="62">
        <f>39.7</f>
        <v>39.700000000000003</v>
      </c>
      <c r="H382" s="62"/>
      <c r="I382" s="89">
        <f t="shared" si="70"/>
        <v>8601.2999999999993</v>
      </c>
      <c r="J382" s="63" t="s">
        <v>205</v>
      </c>
      <c r="K382" s="63">
        <v>1</v>
      </c>
      <c r="L382" s="63"/>
      <c r="M382" s="63"/>
      <c r="N382" s="63">
        <v>1</v>
      </c>
      <c r="O382" s="63"/>
      <c r="P382" s="63"/>
      <c r="Q382" s="63"/>
      <c r="R382" s="63"/>
      <c r="S382" s="296"/>
      <c r="T382" s="63"/>
      <c r="U382" s="10"/>
      <c r="V382" s="90"/>
      <c r="W382" s="136"/>
      <c r="X382" s="137"/>
    </row>
    <row r="383" spans="1:24">
      <c r="B383" s="87">
        <f t="shared" si="71"/>
        <v>5</v>
      </c>
      <c r="C383" s="295">
        <v>45867</v>
      </c>
      <c r="D383" s="10">
        <v>71829</v>
      </c>
      <c r="E383" s="10" t="s">
        <v>780</v>
      </c>
      <c r="F383" s="62">
        <v>5832.9</v>
      </c>
      <c r="G383" s="62">
        <f>39.7</f>
        <v>39.700000000000003</v>
      </c>
      <c r="H383" s="62"/>
      <c r="I383" s="89">
        <f t="shared" si="70"/>
        <v>5793.2</v>
      </c>
      <c r="J383" s="63" t="s">
        <v>205</v>
      </c>
      <c r="K383" s="63">
        <v>1</v>
      </c>
      <c r="L383" s="63"/>
      <c r="M383" s="63"/>
      <c r="N383" s="63">
        <v>1</v>
      </c>
      <c r="O383" s="63"/>
      <c r="P383" s="63"/>
      <c r="Q383" s="63"/>
      <c r="R383" s="63"/>
      <c r="S383" s="296"/>
      <c r="T383" s="63"/>
      <c r="U383" s="10"/>
      <c r="V383" s="90"/>
      <c r="W383" s="136"/>
      <c r="X383" s="137"/>
    </row>
    <row r="384" spans="1:24">
      <c r="B384" s="87">
        <f t="shared" si="71"/>
        <v>6</v>
      </c>
      <c r="C384" s="295">
        <v>45867</v>
      </c>
      <c r="D384" s="10">
        <v>71823</v>
      </c>
      <c r="E384" s="101" t="s">
        <v>2073</v>
      </c>
      <c r="F384" s="62">
        <v>0</v>
      </c>
      <c r="G384" s="62"/>
      <c r="H384" s="62"/>
      <c r="I384" s="89">
        <f t="shared" si="70"/>
        <v>0</v>
      </c>
      <c r="J384" s="63" t="s">
        <v>219</v>
      </c>
      <c r="K384" s="63"/>
      <c r="L384" s="63"/>
      <c r="M384" s="63"/>
      <c r="N384" s="63"/>
      <c r="O384" s="63"/>
      <c r="P384" s="63"/>
      <c r="Q384" s="63"/>
      <c r="R384" s="63"/>
      <c r="S384" s="296"/>
      <c r="T384" s="63"/>
      <c r="U384" s="10"/>
      <c r="V384" s="90"/>
      <c r="W384" s="136"/>
      <c r="X384" s="137"/>
    </row>
    <row r="385" spans="1:24">
      <c r="B385" s="87">
        <f t="shared" si="71"/>
        <v>7</v>
      </c>
      <c r="C385" s="295">
        <v>45867</v>
      </c>
      <c r="D385" s="10">
        <v>71842</v>
      </c>
      <c r="E385" s="101" t="s">
        <v>286</v>
      </c>
      <c r="F385" s="62">
        <v>7392.6</v>
      </c>
      <c r="G385" s="62">
        <v>39.700000000000003</v>
      </c>
      <c r="H385" s="62"/>
      <c r="I385" s="89">
        <f t="shared" si="70"/>
        <v>7352.9000000000005</v>
      </c>
      <c r="J385" s="63" t="s">
        <v>205</v>
      </c>
      <c r="K385" s="63">
        <v>1</v>
      </c>
      <c r="L385" s="63"/>
      <c r="M385" s="63"/>
      <c r="N385" s="63">
        <v>1</v>
      </c>
      <c r="O385" s="63"/>
      <c r="P385" s="63"/>
      <c r="Q385" s="63"/>
      <c r="R385" s="63"/>
      <c r="S385" s="296"/>
      <c r="T385" s="63"/>
      <c r="U385" s="10"/>
      <c r="V385" s="90"/>
      <c r="W385" s="136"/>
      <c r="X385" s="137"/>
    </row>
    <row r="386" spans="1:24">
      <c r="B386" s="87">
        <f t="shared" si="71"/>
        <v>8</v>
      </c>
      <c r="C386" s="295">
        <v>45867</v>
      </c>
      <c r="D386" s="10">
        <v>71849</v>
      </c>
      <c r="E386" s="101" t="s">
        <v>155</v>
      </c>
      <c r="F386" s="62">
        <v>1861</v>
      </c>
      <c r="G386" s="62">
        <f>39.7</f>
        <v>39.700000000000003</v>
      </c>
      <c r="H386" s="62"/>
      <c r="I386" s="89">
        <f t="shared" si="70"/>
        <v>1821.3</v>
      </c>
      <c r="J386" s="63" t="s">
        <v>205</v>
      </c>
      <c r="K386" s="63">
        <v>1</v>
      </c>
      <c r="L386" s="63"/>
      <c r="M386" s="63"/>
      <c r="N386" s="63">
        <v>1</v>
      </c>
      <c r="O386" s="63"/>
      <c r="P386" s="63"/>
      <c r="Q386" s="63"/>
      <c r="R386" s="63"/>
      <c r="S386" s="296"/>
      <c r="T386" s="63"/>
      <c r="U386" s="10"/>
      <c r="V386" s="90"/>
      <c r="W386" s="136"/>
      <c r="X386" s="137"/>
    </row>
    <row r="387" spans="1:24" s="260" customFormat="1">
      <c r="A387" s="530">
        <v>45873</v>
      </c>
      <c r="B387" s="87">
        <f>B386+1</f>
        <v>9</v>
      </c>
      <c r="C387" s="274">
        <v>45868</v>
      </c>
      <c r="D387" s="276">
        <v>71826</v>
      </c>
      <c r="E387" s="276" t="s">
        <v>189</v>
      </c>
      <c r="F387" s="277">
        <v>8156</v>
      </c>
      <c r="G387" s="277">
        <f>39.7+(1381.92-1381.91)+250</f>
        <v>289.70999999999998</v>
      </c>
      <c r="H387" s="277"/>
      <c r="I387" s="278">
        <f t="shared" si="70"/>
        <v>7866.29</v>
      </c>
      <c r="J387" s="279" t="s">
        <v>156</v>
      </c>
      <c r="K387" s="279">
        <v>1</v>
      </c>
      <c r="L387" s="279"/>
      <c r="M387" s="279">
        <v>1</v>
      </c>
      <c r="N387" s="279">
        <v>1</v>
      </c>
      <c r="O387" s="279">
        <v>1</v>
      </c>
      <c r="P387" s="279">
        <v>1</v>
      </c>
      <c r="Q387" s="279"/>
      <c r="R387" s="279"/>
      <c r="S387" s="280"/>
      <c r="T387" s="63"/>
      <c r="U387" s="94" t="s">
        <v>2442</v>
      </c>
      <c r="V387" s="90">
        <f>897</f>
        <v>897</v>
      </c>
      <c r="W387" s="136"/>
      <c r="X387" s="137"/>
    </row>
    <row r="388" spans="1:24">
      <c r="B388" s="87">
        <f>B387+1</f>
        <v>10</v>
      </c>
      <c r="C388" s="282">
        <v>45868</v>
      </c>
      <c r="D388" s="283">
        <v>71883</v>
      </c>
      <c r="E388" s="319" t="s">
        <v>172</v>
      </c>
      <c r="F388" s="284">
        <v>1138</v>
      </c>
      <c r="G388" s="284">
        <f>39.7</f>
        <v>39.700000000000003</v>
      </c>
      <c r="H388" s="284"/>
      <c r="I388" s="285">
        <f t="shared" si="70"/>
        <v>1098.3</v>
      </c>
      <c r="J388" s="286" t="s">
        <v>205</v>
      </c>
      <c r="K388" s="286">
        <v>1</v>
      </c>
      <c r="L388" s="286"/>
      <c r="M388" s="286"/>
      <c r="N388" s="286">
        <v>1</v>
      </c>
      <c r="O388" s="286"/>
      <c r="P388" s="286"/>
      <c r="Q388" s="286">
        <v>1</v>
      </c>
      <c r="R388" s="286">
        <v>1</v>
      </c>
      <c r="S388" s="287">
        <v>1</v>
      </c>
      <c r="T388" s="63"/>
      <c r="U388" s="10"/>
      <c r="V388" s="90"/>
      <c r="W388" s="136"/>
      <c r="X388" s="137"/>
    </row>
    <row r="389" spans="1:24">
      <c r="B389" s="87">
        <f t="shared" si="71"/>
        <v>11</v>
      </c>
      <c r="C389" s="295">
        <v>45869</v>
      </c>
      <c r="D389" s="10">
        <v>71845</v>
      </c>
      <c r="E389" s="10" t="s">
        <v>2443</v>
      </c>
      <c r="F389" s="62">
        <v>2861</v>
      </c>
      <c r="G389" s="62">
        <v>39.700000000000003</v>
      </c>
      <c r="H389" s="62"/>
      <c r="I389" s="89">
        <f t="shared" si="70"/>
        <v>2821.3</v>
      </c>
      <c r="J389" s="63" t="s">
        <v>205</v>
      </c>
      <c r="K389" s="63">
        <v>1</v>
      </c>
      <c r="L389" s="63"/>
      <c r="M389" s="63"/>
      <c r="N389" s="63"/>
      <c r="O389" s="63"/>
      <c r="P389" s="63"/>
      <c r="Q389" s="63">
        <v>1</v>
      </c>
      <c r="R389" s="63">
        <v>1</v>
      </c>
      <c r="S389" s="296">
        <v>1</v>
      </c>
      <c r="T389" s="63"/>
      <c r="U389" s="94" t="s">
        <v>2444</v>
      </c>
      <c r="V389" s="90"/>
      <c r="W389" s="136"/>
      <c r="X389" s="137"/>
    </row>
    <row r="390" spans="1:24">
      <c r="B390" s="87">
        <f t="shared" si="71"/>
        <v>12</v>
      </c>
      <c r="C390" s="295">
        <v>45869</v>
      </c>
      <c r="D390" s="10">
        <v>71905</v>
      </c>
      <c r="E390" s="101" t="s">
        <v>991</v>
      </c>
      <c r="F390" s="62">
        <v>861</v>
      </c>
      <c r="G390" s="62">
        <v>39.700000000000003</v>
      </c>
      <c r="H390" s="62"/>
      <c r="I390" s="89">
        <f t="shared" si="70"/>
        <v>821.3</v>
      </c>
      <c r="J390" s="63" t="s">
        <v>205</v>
      </c>
      <c r="K390" s="63">
        <v>1</v>
      </c>
      <c r="L390" s="63"/>
      <c r="M390" s="63"/>
      <c r="N390" s="63">
        <v>1</v>
      </c>
      <c r="O390" s="63"/>
      <c r="P390" s="63"/>
      <c r="Q390" s="63">
        <v>1</v>
      </c>
      <c r="R390" s="63">
        <v>1</v>
      </c>
      <c r="S390" s="296">
        <v>1</v>
      </c>
      <c r="T390" s="63"/>
      <c r="U390" s="10"/>
      <c r="V390" s="90"/>
      <c r="W390" s="136"/>
      <c r="X390" s="137"/>
    </row>
    <row r="391" spans="1:24">
      <c r="B391" s="87">
        <f t="shared" si="71"/>
        <v>13</v>
      </c>
      <c r="C391" s="295">
        <v>45869</v>
      </c>
      <c r="D391" s="10">
        <v>71923</v>
      </c>
      <c r="E391" s="101" t="s">
        <v>274</v>
      </c>
      <c r="F391" s="62">
        <v>616</v>
      </c>
      <c r="G391" s="62"/>
      <c r="H391" s="62"/>
      <c r="I391" s="89">
        <f t="shared" si="70"/>
        <v>616</v>
      </c>
      <c r="J391" s="63" t="s">
        <v>205</v>
      </c>
      <c r="K391" s="63">
        <v>1</v>
      </c>
      <c r="L391" s="63"/>
      <c r="M391" s="63"/>
      <c r="N391" s="63">
        <v>1</v>
      </c>
      <c r="O391" s="63"/>
      <c r="P391" s="63"/>
      <c r="Q391" s="63">
        <v>1</v>
      </c>
      <c r="R391" s="63">
        <v>1</v>
      </c>
      <c r="S391" s="296">
        <v>1</v>
      </c>
      <c r="T391" s="63"/>
      <c r="U391" s="10"/>
      <c r="V391" s="90"/>
      <c r="W391" s="136"/>
      <c r="X391" s="137"/>
    </row>
    <row r="392" spans="1:24">
      <c r="B392" s="87">
        <f t="shared" si="71"/>
        <v>14</v>
      </c>
      <c r="C392" s="295">
        <v>45869</v>
      </c>
      <c r="D392" s="10">
        <v>71926</v>
      </c>
      <c r="E392" s="101" t="s">
        <v>1155</v>
      </c>
      <c r="F392" s="62">
        <v>3474.9</v>
      </c>
      <c r="G392" s="62">
        <v>39.700000000000003</v>
      </c>
      <c r="H392" s="62"/>
      <c r="I392" s="89">
        <f t="shared" si="70"/>
        <v>3435.2000000000003</v>
      </c>
      <c r="J392" s="63" t="s">
        <v>205</v>
      </c>
      <c r="K392" s="63">
        <v>1</v>
      </c>
      <c r="L392" s="63"/>
      <c r="M392" s="63"/>
      <c r="N392" s="63">
        <v>1</v>
      </c>
      <c r="O392" s="63"/>
      <c r="P392" s="63"/>
      <c r="Q392" s="63">
        <v>1</v>
      </c>
      <c r="R392" s="63">
        <v>1</v>
      </c>
      <c r="S392" s="296">
        <v>1</v>
      </c>
      <c r="T392" s="63"/>
      <c r="U392" s="10"/>
      <c r="V392" s="90"/>
      <c r="W392" s="136"/>
      <c r="X392" s="137"/>
    </row>
    <row r="393" spans="1:24">
      <c r="B393" s="87">
        <f t="shared" si="71"/>
        <v>15</v>
      </c>
      <c r="C393" s="274">
        <v>45870</v>
      </c>
      <c r="D393" s="276">
        <v>71958</v>
      </c>
      <c r="E393" s="281" t="s">
        <v>1863</v>
      </c>
      <c r="F393" s="277">
        <v>5814</v>
      </c>
      <c r="G393" s="277">
        <f>39.7</f>
        <v>39.700000000000003</v>
      </c>
      <c r="H393" s="277"/>
      <c r="I393" s="278">
        <f t="shared" si="70"/>
        <v>5774.3</v>
      </c>
      <c r="J393" s="279" t="s">
        <v>205</v>
      </c>
      <c r="K393" s="279">
        <v>1</v>
      </c>
      <c r="L393" s="279"/>
      <c r="M393" s="279"/>
      <c r="N393" s="279">
        <v>1</v>
      </c>
      <c r="O393" s="279"/>
      <c r="P393" s="279"/>
      <c r="Q393" s="279"/>
      <c r="R393" s="279"/>
      <c r="S393" s="280"/>
      <c r="T393" s="63"/>
      <c r="U393" s="10"/>
      <c r="V393" s="90"/>
      <c r="W393" s="136"/>
      <c r="X393" s="137"/>
    </row>
    <row r="394" spans="1:24">
      <c r="B394" s="87">
        <f t="shared" si="71"/>
        <v>16</v>
      </c>
      <c r="C394" s="295">
        <v>45870</v>
      </c>
      <c r="D394" s="10" t="s">
        <v>2445</v>
      </c>
      <c r="E394" s="10" t="s">
        <v>444</v>
      </c>
      <c r="F394" s="62">
        <v>2261</v>
      </c>
      <c r="G394" s="62">
        <v>39.700000000000003</v>
      </c>
      <c r="H394" s="62"/>
      <c r="I394" s="89">
        <f t="shared" si="70"/>
        <v>2221.3000000000002</v>
      </c>
      <c r="J394" s="63" t="s">
        <v>205</v>
      </c>
      <c r="K394" s="63">
        <v>1</v>
      </c>
      <c r="L394" s="63"/>
      <c r="M394" s="63"/>
      <c r="N394" s="63">
        <v>1</v>
      </c>
      <c r="O394" s="63"/>
      <c r="P394" s="63"/>
      <c r="Q394" s="63"/>
      <c r="R394" s="63"/>
      <c r="S394" s="296"/>
      <c r="T394" s="63"/>
      <c r="U394" s="10"/>
      <c r="V394" s="90"/>
      <c r="W394" s="136"/>
      <c r="X394" s="137"/>
    </row>
    <row r="395" spans="1:24">
      <c r="B395" s="87">
        <f t="shared" si="71"/>
        <v>17</v>
      </c>
      <c r="C395" s="282">
        <v>45870</v>
      </c>
      <c r="D395" s="283">
        <v>71968</v>
      </c>
      <c r="E395" s="283" t="s">
        <v>172</v>
      </c>
      <c r="F395" s="284">
        <v>0</v>
      </c>
      <c r="G395" s="284">
        <v>0</v>
      </c>
      <c r="H395" s="284"/>
      <c r="I395" s="285">
        <f t="shared" si="70"/>
        <v>0</v>
      </c>
      <c r="J395" s="286" t="s">
        <v>205</v>
      </c>
      <c r="K395" s="286">
        <v>1</v>
      </c>
      <c r="L395" s="286"/>
      <c r="M395" s="286"/>
      <c r="N395" s="286"/>
      <c r="O395" s="286"/>
      <c r="P395" s="286"/>
      <c r="Q395" s="286">
        <v>1</v>
      </c>
      <c r="R395" s="286">
        <v>1</v>
      </c>
      <c r="S395" s="287">
        <v>1</v>
      </c>
      <c r="T395" s="63"/>
      <c r="U395" s="10"/>
      <c r="V395" s="90"/>
      <c r="W395" s="136"/>
      <c r="X395" s="137"/>
    </row>
    <row r="396" spans="1:24">
      <c r="B396" s="11"/>
      <c r="C396" s="36"/>
      <c r="D396" s="10"/>
      <c r="E396" s="10"/>
      <c r="F396" s="97">
        <f>SUM(F379:F395)</f>
        <v>74152.7</v>
      </c>
      <c r="G396" s="97">
        <f>SUM(G379:G395)</f>
        <v>805.81000000000017</v>
      </c>
      <c r="H396" s="97">
        <f>SUM(H379:H395)</f>
        <v>0</v>
      </c>
      <c r="I396" s="98">
        <f>SUM(I379:I395)</f>
        <v>73346.890000000014</v>
      </c>
      <c r="J396" s="10"/>
      <c r="K396" s="10"/>
      <c r="L396" s="10"/>
      <c r="M396" s="10"/>
      <c r="N396" s="10"/>
      <c r="O396" s="10"/>
      <c r="P396" s="10"/>
      <c r="Q396" s="10"/>
      <c r="R396" s="10"/>
      <c r="S396" s="10"/>
      <c r="T396" s="63"/>
      <c r="U396" s="10"/>
      <c r="V396" s="138"/>
      <c r="W396" s="136"/>
      <c r="X396" s="137"/>
    </row>
    <row r="397" spans="1:24">
      <c r="B397" s="26"/>
      <c r="C397" s="140"/>
      <c r="D397" s="141"/>
      <c r="E397" s="141"/>
      <c r="F397" s="141"/>
      <c r="G397" s="141"/>
      <c r="H397" s="141"/>
      <c r="I397" s="141"/>
      <c r="J397" s="141"/>
      <c r="K397" s="142"/>
      <c r="L397" s="142"/>
      <c r="M397" s="142"/>
      <c r="N397" s="142"/>
      <c r="O397" s="142"/>
      <c r="P397" s="142"/>
      <c r="Q397" s="142"/>
      <c r="R397" s="142"/>
      <c r="S397" s="142"/>
      <c r="T397" s="143">
        <f>SUM(T340:T396)</f>
        <v>1</v>
      </c>
      <c r="U397" s="141"/>
      <c r="V397" s="144">
        <f>SUM(V340:V396)</f>
        <v>20631.03</v>
      </c>
      <c r="W397" s="145">
        <f>SUM(W340:W396)</f>
        <v>1080</v>
      </c>
      <c r="X397" s="146">
        <f>SUM(X340:X396)</f>
        <v>0</v>
      </c>
    </row>
    <row r="400" spans="1:24">
      <c r="A400" s="3"/>
      <c r="B400" s="4" t="s">
        <v>1</v>
      </c>
      <c r="C400" s="5"/>
      <c r="D400" s="6"/>
      <c r="E400" s="6"/>
      <c r="F400" s="7" t="s">
        <v>2</v>
      </c>
      <c r="G400" s="8">
        <v>45879</v>
      </c>
      <c r="H400" s="7"/>
      <c r="I400" s="6"/>
      <c r="J400" s="6"/>
      <c r="K400" s="6"/>
      <c r="L400" s="6"/>
      <c r="M400" s="6"/>
      <c r="N400" s="6"/>
      <c r="O400" s="6"/>
      <c r="P400" s="6"/>
      <c r="Q400" s="6"/>
      <c r="R400" s="6"/>
      <c r="S400" s="6"/>
      <c r="T400" s="6"/>
      <c r="U400" s="9"/>
      <c r="V400" s="10"/>
      <c r="W400" s="10"/>
      <c r="X400" s="10"/>
    </row>
    <row r="401" spans="1:24">
      <c r="A401" s="2"/>
      <c r="B401" s="11"/>
      <c r="C401" s="10"/>
      <c r="D401" s="10"/>
      <c r="E401" s="10"/>
      <c r="F401" s="10"/>
      <c r="G401" s="7"/>
      <c r="H401" s="12"/>
      <c r="I401" s="10"/>
      <c r="J401" s="10"/>
      <c r="K401" s="13" t="s">
        <v>3</v>
      </c>
      <c r="L401" s="14"/>
      <c r="M401" s="15"/>
      <c r="N401" s="13" t="s">
        <v>4</v>
      </c>
      <c r="O401" s="14"/>
      <c r="P401" s="15"/>
      <c r="Q401" s="13" t="s">
        <v>5</v>
      </c>
      <c r="R401" s="14"/>
      <c r="S401" s="15"/>
      <c r="T401" s="16"/>
      <c r="U401" s="17"/>
      <c r="V401" s="10"/>
      <c r="W401" s="10"/>
      <c r="X401" s="10"/>
    </row>
    <row r="402" spans="1:24">
      <c r="A402" s="2"/>
      <c r="B402" s="18" t="s">
        <v>6</v>
      </c>
      <c r="C402" s="19">
        <f>C403+C404</f>
        <v>32</v>
      </c>
      <c r="D402" s="10"/>
      <c r="E402" s="18" t="s">
        <v>7</v>
      </c>
      <c r="F402" s="6"/>
      <c r="G402" s="9"/>
      <c r="H402" s="10"/>
      <c r="I402" s="10"/>
      <c r="J402" s="10"/>
      <c r="K402" s="20" t="s">
        <v>8</v>
      </c>
      <c r="L402" s="21" t="s">
        <v>9</v>
      </c>
      <c r="M402" s="21" t="s">
        <v>10</v>
      </c>
      <c r="N402" s="20" t="s">
        <v>11</v>
      </c>
      <c r="O402" s="21" t="s">
        <v>12</v>
      </c>
      <c r="P402" s="22" t="s">
        <v>13</v>
      </c>
      <c r="Q402" s="21" t="s">
        <v>11</v>
      </c>
      <c r="R402" s="21" t="s">
        <v>12</v>
      </c>
      <c r="S402" s="22" t="s">
        <v>13</v>
      </c>
      <c r="T402" s="23" t="s">
        <v>14</v>
      </c>
      <c r="U402" s="17"/>
      <c r="V402" s="10"/>
      <c r="W402" s="10"/>
      <c r="X402" s="10"/>
    </row>
    <row r="403" spans="1:24">
      <c r="A403" s="2"/>
      <c r="B403" s="24" t="s">
        <v>15</v>
      </c>
      <c r="C403" s="25">
        <f>P410</f>
        <v>11</v>
      </c>
      <c r="D403" s="10"/>
      <c r="E403" s="26" t="s">
        <v>16</v>
      </c>
      <c r="F403" s="27">
        <v>0.05</v>
      </c>
      <c r="G403" s="28"/>
      <c r="H403" s="10"/>
      <c r="I403" s="10"/>
      <c r="J403" s="18" t="s">
        <v>17</v>
      </c>
      <c r="K403" s="29">
        <f>K438</f>
        <v>10</v>
      </c>
      <c r="L403" s="29">
        <f t="shared" ref="L403:S403" si="72">L438</f>
        <v>9</v>
      </c>
      <c r="M403" s="29">
        <f t="shared" si="72"/>
        <v>8</v>
      </c>
      <c r="N403" s="29">
        <f t="shared" si="72"/>
        <v>10</v>
      </c>
      <c r="O403" s="29">
        <f t="shared" si="72"/>
        <v>10</v>
      </c>
      <c r="P403" s="29">
        <f t="shared" si="72"/>
        <v>10</v>
      </c>
      <c r="Q403" s="29">
        <f t="shared" si="72"/>
        <v>10</v>
      </c>
      <c r="R403" s="29">
        <f t="shared" si="72"/>
        <v>10</v>
      </c>
      <c r="S403" s="29">
        <f t="shared" si="72"/>
        <v>10</v>
      </c>
      <c r="T403" s="30">
        <f>T481</f>
        <v>0</v>
      </c>
      <c r="U403" s="17"/>
      <c r="V403" s="10"/>
      <c r="W403" s="10"/>
      <c r="X403" s="10"/>
    </row>
    <row r="404" spans="1:24">
      <c r="A404" s="2"/>
      <c r="B404" s="24" t="s">
        <v>18</v>
      </c>
      <c r="C404" s="25">
        <f>P411</f>
        <v>21</v>
      </c>
      <c r="D404" s="10"/>
      <c r="E404" s="10"/>
      <c r="F404" s="10"/>
      <c r="G404" s="31"/>
      <c r="H404" s="10"/>
      <c r="I404" s="10"/>
      <c r="J404" s="32" t="s">
        <v>19</v>
      </c>
      <c r="K404" s="33">
        <f>K438/K437</f>
        <v>1</v>
      </c>
      <c r="L404" s="33">
        <f t="shared" ref="L404:S404" si="73">L438/L437</f>
        <v>0.9</v>
      </c>
      <c r="M404" s="33">
        <f t="shared" si="73"/>
        <v>0.8</v>
      </c>
      <c r="N404" s="33">
        <f t="shared" si="73"/>
        <v>1</v>
      </c>
      <c r="O404" s="33">
        <f t="shared" si="73"/>
        <v>1</v>
      </c>
      <c r="P404" s="33">
        <f t="shared" si="73"/>
        <v>1</v>
      </c>
      <c r="Q404" s="33">
        <f t="shared" si="73"/>
        <v>1</v>
      </c>
      <c r="R404" s="33">
        <f t="shared" si="73"/>
        <v>1</v>
      </c>
      <c r="S404" s="33">
        <f t="shared" si="73"/>
        <v>1</v>
      </c>
      <c r="T404" s="23"/>
      <c r="U404" s="17" t="s">
        <v>20</v>
      </c>
      <c r="V404" s="10"/>
      <c r="W404" s="10"/>
      <c r="X404" s="10"/>
    </row>
    <row r="405" spans="1:24">
      <c r="A405" s="2"/>
      <c r="B405" s="24" t="s">
        <v>21</v>
      </c>
      <c r="C405" s="34">
        <f>P412</f>
        <v>0.34375</v>
      </c>
      <c r="D405" s="10"/>
      <c r="E405" s="10"/>
      <c r="F405" s="10"/>
      <c r="G405" s="10"/>
      <c r="H405" s="10"/>
      <c r="I405" s="10"/>
      <c r="J405" s="10"/>
      <c r="K405" s="10"/>
      <c r="L405" s="10"/>
      <c r="M405" s="10"/>
      <c r="N405" s="10"/>
      <c r="O405" s="10"/>
      <c r="P405" s="10"/>
      <c r="Q405" s="10"/>
      <c r="R405" s="10"/>
      <c r="S405" s="10"/>
      <c r="T405" s="10"/>
      <c r="U405" s="17"/>
      <c r="V405" s="10"/>
      <c r="W405" s="10"/>
      <c r="X405" s="10"/>
    </row>
    <row r="406" spans="1:24">
      <c r="A406" s="2"/>
      <c r="B406" s="24"/>
      <c r="C406" s="25"/>
      <c r="D406" s="10"/>
      <c r="E406" s="10"/>
      <c r="F406" s="18" t="s">
        <v>22</v>
      </c>
      <c r="G406" s="19" t="s">
        <v>23</v>
      </c>
      <c r="H406" s="35" t="s">
        <v>24</v>
      </c>
      <c r="I406" s="10"/>
      <c r="J406" s="10"/>
      <c r="K406" s="36"/>
      <c r="L406" s="36"/>
      <c r="M406" s="36"/>
      <c r="N406" s="36"/>
      <c r="O406" s="36"/>
      <c r="P406" s="36"/>
      <c r="Q406" s="36"/>
      <c r="R406" s="10"/>
      <c r="S406" s="10"/>
      <c r="T406" s="10"/>
      <c r="U406" s="17"/>
      <c r="V406" s="10"/>
      <c r="W406" s="10"/>
      <c r="X406" s="10"/>
    </row>
    <row r="407" spans="1:24">
      <c r="A407" s="2"/>
      <c r="B407" s="32" t="s">
        <v>25</v>
      </c>
      <c r="C407" s="37">
        <f>P413</f>
        <v>1533.8636363636363</v>
      </c>
      <c r="D407" s="10"/>
      <c r="E407" s="18" t="s">
        <v>26</v>
      </c>
      <c r="F407" s="38">
        <f>P409</f>
        <v>16872.5</v>
      </c>
      <c r="G407" s="39">
        <f>I437+I442</f>
        <v>16872.5</v>
      </c>
      <c r="H407" s="767" t="s">
        <v>415</v>
      </c>
      <c r="I407" s="767"/>
      <c r="J407" s="767"/>
      <c r="K407" s="43" t="s">
        <v>27</v>
      </c>
      <c r="L407" s="44"/>
      <c r="M407" s="44"/>
      <c r="N407" s="44"/>
      <c r="O407" s="44"/>
      <c r="P407" s="44"/>
      <c r="Q407" s="45"/>
      <c r="R407" s="46" t="s">
        <v>28</v>
      </c>
      <c r="S407" s="47" t="s">
        <v>29</v>
      </c>
      <c r="T407" s="10"/>
      <c r="U407" s="17"/>
      <c r="V407" s="10"/>
      <c r="W407" s="10"/>
      <c r="X407" s="10"/>
    </row>
    <row r="408" spans="1:24">
      <c r="A408" s="2"/>
      <c r="B408" s="11"/>
      <c r="C408" s="10"/>
      <c r="D408" s="10"/>
      <c r="E408" s="24" t="s">
        <v>30</v>
      </c>
      <c r="F408" s="48">
        <f>F403</f>
        <v>0.05</v>
      </c>
      <c r="G408" s="17"/>
      <c r="H408" s="767"/>
      <c r="I408" s="767"/>
      <c r="J408" s="767"/>
      <c r="K408" s="20" t="s">
        <v>31</v>
      </c>
      <c r="L408" s="21" t="s">
        <v>32</v>
      </c>
      <c r="M408" s="21" t="s">
        <v>33</v>
      </c>
      <c r="N408" s="21" t="s">
        <v>34</v>
      </c>
      <c r="O408" s="21" t="s">
        <v>35</v>
      </c>
      <c r="P408" s="21" t="s">
        <v>36</v>
      </c>
      <c r="Q408" s="49" t="s">
        <v>37</v>
      </c>
      <c r="R408" s="50" t="s">
        <v>38</v>
      </c>
      <c r="S408" s="50" t="s">
        <v>38</v>
      </c>
      <c r="T408" s="10"/>
      <c r="U408" s="17"/>
      <c r="V408" s="10"/>
      <c r="W408" s="10"/>
      <c r="X408" s="10"/>
    </row>
    <row r="409" spans="1:24">
      <c r="A409" s="2"/>
      <c r="B409" s="11"/>
      <c r="C409" s="10"/>
      <c r="D409" s="10"/>
      <c r="E409" s="51" t="s">
        <v>39</v>
      </c>
      <c r="F409" s="52">
        <f>(F407+F416-I441)*F408</f>
        <v>668.5619999999999</v>
      </c>
      <c r="G409" s="53" t="s">
        <v>40</v>
      </c>
      <c r="H409" s="54">
        <f>F409/1.12</f>
        <v>596.93035714285702</v>
      </c>
      <c r="I409" s="570" t="s">
        <v>2446</v>
      </c>
      <c r="J409" s="42"/>
      <c r="K409" s="56">
        <f>I427+I428+I429</f>
        <v>2836.6</v>
      </c>
      <c r="L409" s="57">
        <f>I430+I431</f>
        <v>1584.2</v>
      </c>
      <c r="M409" s="57">
        <f>I432+I433</f>
        <v>2942.6</v>
      </c>
      <c r="N409" s="57">
        <f>I434+I441</f>
        <v>7316.5</v>
      </c>
      <c r="O409" s="57">
        <f>I435+I436</f>
        <v>2192.6</v>
      </c>
      <c r="P409" s="57">
        <f>SUM(K409:O409)</f>
        <v>16872.5</v>
      </c>
      <c r="Q409" s="58">
        <v>0</v>
      </c>
      <c r="R409" s="59">
        <f>+I442</f>
        <v>3495.2000000000003</v>
      </c>
      <c r="S409" s="59">
        <v>0</v>
      </c>
      <c r="T409" s="10"/>
      <c r="U409" s="17"/>
      <c r="V409" s="10"/>
      <c r="W409" s="10"/>
      <c r="X409" s="10"/>
    </row>
    <row r="410" spans="1:24">
      <c r="A410" s="2"/>
      <c r="B410" s="11"/>
      <c r="C410" s="10"/>
      <c r="D410" s="10"/>
      <c r="E410" s="24" t="s">
        <v>41</v>
      </c>
      <c r="F410" s="60">
        <f>Q409</f>
        <v>0</v>
      </c>
      <c r="G410" s="61" t="s">
        <v>40</v>
      </c>
      <c r="H410" s="62"/>
      <c r="I410" s="62"/>
      <c r="J410" s="10" t="s">
        <v>42</v>
      </c>
      <c r="K410" s="63">
        <v>3</v>
      </c>
      <c r="L410" s="63">
        <v>2</v>
      </c>
      <c r="M410" s="63">
        <v>2</v>
      </c>
      <c r="N410" s="63">
        <v>2</v>
      </c>
      <c r="O410" s="63">
        <v>2</v>
      </c>
      <c r="P410" s="21">
        <f>SUM(K410:O410)</f>
        <v>11</v>
      </c>
      <c r="Q410" s="64"/>
      <c r="R410" s="63"/>
      <c r="S410" s="10"/>
      <c r="T410" s="10"/>
      <c r="U410" s="17"/>
      <c r="V410" s="10"/>
      <c r="W410" s="10"/>
      <c r="X410" s="10"/>
    </row>
    <row r="411" spans="1:24">
      <c r="A411" s="2"/>
      <c r="B411" s="11"/>
      <c r="C411" s="10"/>
      <c r="D411" s="10"/>
      <c r="E411" s="51" t="s">
        <v>43</v>
      </c>
      <c r="F411" s="52">
        <f>F410*0.25</f>
        <v>0</v>
      </c>
      <c r="G411" s="53" t="s">
        <v>40</v>
      </c>
      <c r="H411" s="54">
        <f>F411/1.12</f>
        <v>0</v>
      </c>
      <c r="I411" s="10"/>
      <c r="J411" s="10" t="s">
        <v>44</v>
      </c>
      <c r="K411" s="63">
        <v>5</v>
      </c>
      <c r="L411" s="63">
        <v>6</v>
      </c>
      <c r="M411" s="63">
        <v>4</v>
      </c>
      <c r="N411" s="63">
        <v>4</v>
      </c>
      <c r="O411" s="63">
        <v>2</v>
      </c>
      <c r="P411" s="21">
        <f>SUM(K411:O411)</f>
        <v>21</v>
      </c>
      <c r="Q411" s="64"/>
      <c r="R411" s="63"/>
      <c r="S411" s="10"/>
      <c r="T411" s="10"/>
      <c r="U411" s="17"/>
      <c r="V411" s="10"/>
      <c r="W411" s="10"/>
      <c r="X411" s="10"/>
    </row>
    <row r="412" spans="1:24">
      <c r="A412" s="2"/>
      <c r="B412" s="11"/>
      <c r="C412" s="10"/>
      <c r="D412" s="10"/>
      <c r="E412" s="24" t="s">
        <v>45</v>
      </c>
      <c r="F412" s="60"/>
      <c r="G412" s="61" t="s">
        <v>40</v>
      </c>
      <c r="H412" s="62"/>
      <c r="I412" s="10"/>
      <c r="J412" s="10" t="s">
        <v>46</v>
      </c>
      <c r="K412" s="31">
        <f t="shared" ref="K412:Q412" si="74">K410/(K410+K411)</f>
        <v>0.375</v>
      </c>
      <c r="L412" s="31">
        <f t="shared" si="74"/>
        <v>0.25</v>
      </c>
      <c r="M412" s="31">
        <f t="shared" si="74"/>
        <v>0.33333333333333331</v>
      </c>
      <c r="N412" s="31">
        <f t="shared" si="74"/>
        <v>0.33333333333333331</v>
      </c>
      <c r="O412" s="31">
        <f t="shared" si="74"/>
        <v>0.5</v>
      </c>
      <c r="P412" s="31">
        <f t="shared" si="74"/>
        <v>0.34375</v>
      </c>
      <c r="Q412" s="31" t="e">
        <f t="shared" si="74"/>
        <v>#DIV/0!</v>
      </c>
      <c r="R412" s="63"/>
      <c r="S412" s="10"/>
      <c r="T412" s="10"/>
      <c r="U412" s="17"/>
      <c r="V412" s="10"/>
      <c r="W412" s="10"/>
      <c r="X412" s="10"/>
    </row>
    <row r="413" spans="1:24">
      <c r="A413" s="2"/>
      <c r="B413" s="11"/>
      <c r="C413" s="10"/>
      <c r="D413" s="10"/>
      <c r="E413" s="51" t="s">
        <v>47</v>
      </c>
      <c r="F413" s="52">
        <f>F412*0.05</f>
        <v>0</v>
      </c>
      <c r="G413" s="65" t="s">
        <v>40</v>
      </c>
      <c r="H413" s="54">
        <f>F413/1.12</f>
        <v>0</v>
      </c>
      <c r="I413" s="42"/>
      <c r="J413" s="10" t="s">
        <v>48</v>
      </c>
      <c r="K413" s="66">
        <f>K409/K410</f>
        <v>945.5333333333333</v>
      </c>
      <c r="L413" s="66">
        <f t="shared" ref="L413:Q413" si="75">L409/L410</f>
        <v>792.1</v>
      </c>
      <c r="M413" s="66">
        <f t="shared" si="75"/>
        <v>1471.3</v>
      </c>
      <c r="N413" s="66">
        <f t="shared" si="75"/>
        <v>3658.25</v>
      </c>
      <c r="O413" s="66">
        <f t="shared" si="75"/>
        <v>1096.3</v>
      </c>
      <c r="P413" s="66">
        <f t="shared" si="75"/>
        <v>1533.8636363636363</v>
      </c>
      <c r="Q413" s="66" t="e">
        <f t="shared" si="75"/>
        <v>#DIV/0!</v>
      </c>
      <c r="R413" s="63"/>
      <c r="S413" s="10"/>
      <c r="T413" s="10"/>
      <c r="U413" s="17"/>
      <c r="V413" s="10"/>
      <c r="W413" s="10"/>
      <c r="X413" s="10"/>
    </row>
    <row r="414" spans="1:24">
      <c r="A414" s="2"/>
      <c r="B414" s="11"/>
      <c r="C414" s="10"/>
      <c r="D414" s="10"/>
      <c r="E414" s="67" t="s">
        <v>14</v>
      </c>
      <c r="F414" s="68"/>
      <c r="G414" s="10"/>
      <c r="H414" s="54">
        <f>F414/1.12</f>
        <v>0</v>
      </c>
      <c r="I414" s="10"/>
      <c r="J414" s="10"/>
      <c r="K414" s="10"/>
      <c r="L414" s="10"/>
      <c r="M414" s="10"/>
      <c r="N414" s="10"/>
      <c r="O414" s="10"/>
      <c r="P414" s="10"/>
      <c r="Q414" s="10"/>
      <c r="R414" s="10"/>
      <c r="S414" s="10"/>
      <c r="T414" s="10"/>
      <c r="U414" s="17"/>
      <c r="V414" s="10"/>
      <c r="W414" s="10"/>
      <c r="X414" s="10"/>
    </row>
    <row r="415" spans="1:24">
      <c r="A415" s="2"/>
      <c r="B415" s="11"/>
      <c r="C415" s="10"/>
      <c r="D415" s="10"/>
      <c r="E415" s="67" t="s">
        <v>49</v>
      </c>
      <c r="F415" s="69">
        <f>T404</f>
        <v>0</v>
      </c>
      <c r="G415" s="10"/>
      <c r="H415" s="54"/>
      <c r="I415" s="55"/>
      <c r="J415" s="42"/>
      <c r="K415" s="764" t="s">
        <v>50</v>
      </c>
      <c r="L415" s="765"/>
      <c r="M415" s="765"/>
      <c r="N415" s="765"/>
      <c r="O415" s="765"/>
      <c r="P415" s="765"/>
      <c r="Q415" s="766"/>
      <c r="R415" s="70" t="s">
        <v>28</v>
      </c>
      <c r="S415" s="71" t="s">
        <v>29</v>
      </c>
      <c r="T415" s="10"/>
      <c r="U415" s="17"/>
      <c r="V415" s="10"/>
      <c r="W415" s="10"/>
      <c r="X415" s="10"/>
    </row>
    <row r="416" spans="1:24">
      <c r="A416" s="2"/>
      <c r="B416" s="11"/>
      <c r="C416" s="10"/>
      <c r="D416" s="10"/>
      <c r="E416" s="74" t="s">
        <v>2447</v>
      </c>
      <c r="F416" s="75">
        <v>-6.06</v>
      </c>
      <c r="G416" s="10"/>
      <c r="H416" s="10"/>
      <c r="I416" s="10"/>
      <c r="J416" s="42"/>
      <c r="K416" s="20" t="s">
        <v>31</v>
      </c>
      <c r="L416" s="21" t="s">
        <v>32</v>
      </c>
      <c r="M416" s="21" t="s">
        <v>33</v>
      </c>
      <c r="N416" s="21" t="s">
        <v>34</v>
      </c>
      <c r="O416" s="21" t="s">
        <v>35</v>
      </c>
      <c r="P416" s="21" t="s">
        <v>36</v>
      </c>
      <c r="Q416" s="49" t="s">
        <v>37</v>
      </c>
      <c r="R416" s="50" t="s">
        <v>38</v>
      </c>
      <c r="S416" s="50" t="s">
        <v>38</v>
      </c>
      <c r="T416" s="10"/>
      <c r="U416" s="17"/>
      <c r="V416" s="10"/>
      <c r="W416" s="10"/>
      <c r="X416" s="10"/>
    </row>
    <row r="417" spans="1:24">
      <c r="A417" s="2"/>
      <c r="B417" s="11"/>
      <c r="C417" s="10"/>
      <c r="D417" s="10"/>
      <c r="E417" s="10"/>
      <c r="F417" s="10"/>
      <c r="G417" s="10"/>
      <c r="H417" s="10"/>
      <c r="I417" s="10"/>
      <c r="J417" s="42"/>
      <c r="K417" s="56">
        <f>F427+F428+F429</f>
        <v>3116</v>
      </c>
      <c r="L417" s="57">
        <f>F430+F431</f>
        <v>1823.9</v>
      </c>
      <c r="M417" s="57">
        <f>F432+F433</f>
        <v>3022</v>
      </c>
      <c r="N417" s="57">
        <f>F434+F441</f>
        <v>7695.9</v>
      </c>
      <c r="O417" s="57">
        <f>F435+F436</f>
        <v>2272</v>
      </c>
      <c r="P417" s="57">
        <f>SUM(K417:O417)</f>
        <v>17929.8</v>
      </c>
      <c r="Q417" s="58">
        <v>0</v>
      </c>
      <c r="R417" s="59">
        <f>+F442</f>
        <v>3834.9</v>
      </c>
      <c r="S417" s="59">
        <v>0</v>
      </c>
      <c r="T417" s="10"/>
      <c r="U417" s="17"/>
      <c r="V417" s="10"/>
      <c r="W417" s="10"/>
      <c r="X417" s="10"/>
    </row>
    <row r="418" spans="1:24">
      <c r="A418" s="2"/>
      <c r="B418" s="11"/>
      <c r="C418" s="10"/>
      <c r="D418" s="10"/>
      <c r="E418" s="10"/>
      <c r="F418" s="10"/>
      <c r="G418" s="10"/>
      <c r="H418" s="10"/>
      <c r="I418" s="10"/>
      <c r="J418" s="10" t="s">
        <v>42</v>
      </c>
      <c r="K418" s="63">
        <f>K410</f>
        <v>3</v>
      </c>
      <c r="L418" s="63">
        <f t="shared" ref="L418:Q419" si="76">L410</f>
        <v>2</v>
      </c>
      <c r="M418" s="63">
        <f t="shared" si="76"/>
        <v>2</v>
      </c>
      <c r="N418" s="63">
        <f t="shared" si="76"/>
        <v>2</v>
      </c>
      <c r="O418" s="63">
        <f t="shared" si="76"/>
        <v>2</v>
      </c>
      <c r="P418" s="63">
        <f t="shared" si="76"/>
        <v>11</v>
      </c>
      <c r="Q418" s="63">
        <f t="shared" si="76"/>
        <v>0</v>
      </c>
      <c r="R418" s="63"/>
      <c r="S418" s="10"/>
      <c r="T418" s="10"/>
      <c r="U418" s="17"/>
      <c r="V418" s="10"/>
      <c r="W418" s="10"/>
      <c r="X418" s="10"/>
    </row>
    <row r="419" spans="1:24">
      <c r="A419" s="2"/>
      <c r="B419" s="11"/>
      <c r="C419" s="10"/>
      <c r="D419" s="10"/>
      <c r="E419" s="10"/>
      <c r="F419" s="10"/>
      <c r="G419" s="10"/>
      <c r="H419" s="10"/>
      <c r="I419" s="10"/>
      <c r="J419" s="10" t="s">
        <v>44</v>
      </c>
      <c r="K419" s="63">
        <f>K411</f>
        <v>5</v>
      </c>
      <c r="L419" s="63">
        <f t="shared" si="76"/>
        <v>6</v>
      </c>
      <c r="M419" s="63">
        <f t="shared" si="76"/>
        <v>4</v>
      </c>
      <c r="N419" s="63">
        <f t="shared" si="76"/>
        <v>4</v>
      </c>
      <c r="O419" s="63">
        <f t="shared" si="76"/>
        <v>2</v>
      </c>
      <c r="P419" s="63">
        <f t="shared" si="76"/>
        <v>21</v>
      </c>
      <c r="Q419" s="63">
        <f t="shared" si="76"/>
        <v>0</v>
      </c>
      <c r="R419" s="63"/>
      <c r="S419" s="10"/>
      <c r="T419" s="10"/>
      <c r="U419" s="17"/>
      <c r="V419" s="10"/>
      <c r="W419" s="10"/>
      <c r="X419" s="10"/>
    </row>
    <row r="420" spans="1:24">
      <c r="A420" s="2"/>
      <c r="B420" s="11"/>
      <c r="C420" s="10"/>
      <c r="D420" s="10"/>
      <c r="E420" s="10"/>
      <c r="F420" s="10"/>
      <c r="G420" s="10"/>
      <c r="H420" s="10"/>
      <c r="I420" s="10"/>
      <c r="J420" s="10" t="s">
        <v>46</v>
      </c>
      <c r="K420" s="31">
        <f t="shared" ref="K420:Q420" si="77">K418/(K418+K419)</f>
        <v>0.375</v>
      </c>
      <c r="L420" s="31">
        <f t="shared" si="77"/>
        <v>0.25</v>
      </c>
      <c r="M420" s="31">
        <f t="shared" si="77"/>
        <v>0.33333333333333331</v>
      </c>
      <c r="N420" s="31">
        <f t="shared" si="77"/>
        <v>0.33333333333333331</v>
      </c>
      <c r="O420" s="31">
        <f t="shared" si="77"/>
        <v>0.5</v>
      </c>
      <c r="P420" s="31">
        <f t="shared" si="77"/>
        <v>0.34375</v>
      </c>
      <c r="Q420" s="31" t="e">
        <f t="shared" si="77"/>
        <v>#DIV/0!</v>
      </c>
      <c r="R420" s="63"/>
      <c r="S420" s="10"/>
      <c r="T420" s="10"/>
      <c r="U420" s="17"/>
      <c r="V420" s="10"/>
      <c r="W420" s="10"/>
      <c r="X420" s="10"/>
    </row>
    <row r="421" spans="1:24">
      <c r="A421" s="2"/>
      <c r="B421" s="11"/>
      <c r="C421" s="10"/>
      <c r="D421" s="10"/>
      <c r="E421" s="10"/>
      <c r="F421" s="10"/>
      <c r="G421" s="10"/>
      <c r="H421" s="10"/>
      <c r="I421" s="10"/>
      <c r="J421" s="10" t="s">
        <v>48</v>
      </c>
      <c r="K421" s="66">
        <f t="shared" ref="K421:Q421" si="78">K417/K418</f>
        <v>1038.6666666666667</v>
      </c>
      <c r="L421" s="66">
        <f t="shared" si="78"/>
        <v>911.95</v>
      </c>
      <c r="M421" s="66">
        <f t="shared" si="78"/>
        <v>1511</v>
      </c>
      <c r="N421" s="66">
        <f t="shared" si="78"/>
        <v>3847.95</v>
      </c>
      <c r="O421" s="66">
        <f t="shared" si="78"/>
        <v>1136</v>
      </c>
      <c r="P421" s="66">
        <f t="shared" si="78"/>
        <v>1629.9818181818182</v>
      </c>
      <c r="Q421" s="66" t="e">
        <f t="shared" si="78"/>
        <v>#DIV/0!</v>
      </c>
      <c r="R421" s="63"/>
      <c r="S421" s="10"/>
      <c r="T421" s="10"/>
      <c r="U421" s="17"/>
      <c r="V421" s="10"/>
      <c r="W421" s="10"/>
      <c r="X421" s="10"/>
    </row>
    <row r="422" spans="1:24">
      <c r="A422" s="2"/>
      <c r="B422" s="11"/>
      <c r="C422" s="10"/>
      <c r="D422" s="10"/>
      <c r="E422" s="10"/>
      <c r="F422" s="10"/>
      <c r="G422" s="10"/>
      <c r="H422" s="10"/>
      <c r="I422" s="10"/>
      <c r="J422" s="10"/>
      <c r="K422" s="10"/>
      <c r="L422" s="10"/>
      <c r="M422" s="10"/>
      <c r="N422" s="10"/>
      <c r="O422" s="10"/>
      <c r="P422" s="10"/>
      <c r="Q422" s="10"/>
      <c r="R422" s="10"/>
      <c r="S422" s="10"/>
      <c r="T422" s="10"/>
      <c r="U422" s="17"/>
      <c r="V422" s="10"/>
      <c r="W422" s="10"/>
      <c r="X422" s="10"/>
    </row>
    <row r="423" spans="1:24">
      <c r="A423" s="2"/>
      <c r="B423" s="11"/>
      <c r="C423" s="10"/>
      <c r="D423" s="10"/>
      <c r="E423" s="10"/>
      <c r="F423" s="10"/>
      <c r="G423" s="10"/>
      <c r="H423" s="10"/>
      <c r="I423" s="10"/>
      <c r="J423" s="10"/>
      <c r="K423" s="10"/>
      <c r="L423" s="10"/>
      <c r="M423" s="10"/>
      <c r="N423" s="10"/>
      <c r="O423" s="10"/>
      <c r="P423" s="10"/>
      <c r="Q423" s="10"/>
      <c r="R423" s="10"/>
      <c r="S423" s="10"/>
      <c r="T423" s="10"/>
      <c r="U423" s="17"/>
      <c r="V423" s="10"/>
      <c r="W423" s="10"/>
      <c r="X423" s="10"/>
    </row>
    <row r="424" spans="1:24">
      <c r="A424" s="2"/>
      <c r="B424" s="18" t="s">
        <v>51</v>
      </c>
      <c r="C424" s="14"/>
      <c r="D424" s="14"/>
      <c r="E424" s="14"/>
      <c r="F424" s="13" t="s">
        <v>52</v>
      </c>
      <c r="G424" s="14"/>
      <c r="H424" s="14"/>
      <c r="I424" s="14"/>
      <c r="J424" s="14"/>
      <c r="K424" s="13" t="s">
        <v>3</v>
      </c>
      <c r="L424" s="14"/>
      <c r="M424" s="14"/>
      <c r="N424" s="13" t="s">
        <v>4</v>
      </c>
      <c r="O424" s="14"/>
      <c r="P424" s="14"/>
      <c r="Q424" s="13" t="s">
        <v>5</v>
      </c>
      <c r="R424" s="14"/>
      <c r="S424" s="14"/>
      <c r="T424" s="18"/>
      <c r="U424" s="16" t="s">
        <v>53</v>
      </c>
      <c r="V424" s="77"/>
      <c r="W424" s="77"/>
      <c r="X424" s="77"/>
    </row>
    <row r="425" spans="1:24">
      <c r="A425" s="2"/>
      <c r="B425" s="24" t="s">
        <v>54</v>
      </c>
      <c r="C425" s="143" t="s">
        <v>55</v>
      </c>
      <c r="D425" s="21" t="s">
        <v>56</v>
      </c>
      <c r="E425" s="21" t="s">
        <v>57</v>
      </c>
      <c r="F425" s="20" t="s">
        <v>58</v>
      </c>
      <c r="G425" s="21" t="s">
        <v>59</v>
      </c>
      <c r="H425" s="21" t="s">
        <v>60</v>
      </c>
      <c r="I425" s="21" t="s">
        <v>26</v>
      </c>
      <c r="J425" s="22" t="s">
        <v>61</v>
      </c>
      <c r="K425" s="21" t="s">
        <v>8</v>
      </c>
      <c r="L425" s="21" t="s">
        <v>9</v>
      </c>
      <c r="M425" s="21" t="s">
        <v>10</v>
      </c>
      <c r="N425" s="20" t="s">
        <v>11</v>
      </c>
      <c r="O425" s="21" t="s">
        <v>12</v>
      </c>
      <c r="P425" s="22" t="s">
        <v>13</v>
      </c>
      <c r="Q425" s="21" t="s">
        <v>11</v>
      </c>
      <c r="R425" s="21" t="s">
        <v>12</v>
      </c>
      <c r="S425" s="21" t="s">
        <v>13</v>
      </c>
      <c r="T425" s="78" t="s">
        <v>14</v>
      </c>
      <c r="U425" s="30"/>
      <c r="V425" s="79" t="s">
        <v>62</v>
      </c>
      <c r="W425" s="80" t="s">
        <v>63</v>
      </c>
      <c r="X425" s="81" t="s">
        <v>64</v>
      </c>
    </row>
    <row r="426" spans="1:24">
      <c r="A426" s="2"/>
      <c r="B426" s="4" t="s">
        <v>65</v>
      </c>
      <c r="C426" s="36"/>
      <c r="D426" s="6"/>
      <c r="E426" s="6"/>
      <c r="F426" s="6"/>
      <c r="G426" s="6"/>
      <c r="H426" s="6"/>
      <c r="I426" s="82"/>
      <c r="J426" s="6"/>
      <c r="K426" s="6"/>
      <c r="L426" s="6"/>
      <c r="M426" s="6"/>
      <c r="N426" s="6"/>
      <c r="O426" s="6"/>
      <c r="P426" s="6"/>
      <c r="Q426" s="6"/>
      <c r="R426" s="6"/>
      <c r="S426" s="6"/>
      <c r="T426" s="83"/>
      <c r="U426" s="6"/>
      <c r="V426" s="84"/>
      <c r="W426" s="85"/>
      <c r="X426" s="86"/>
    </row>
    <row r="427" spans="1:24">
      <c r="A427" s="2" t="s">
        <v>2448</v>
      </c>
      <c r="B427" s="87">
        <v>1</v>
      </c>
      <c r="C427" s="274">
        <v>45873</v>
      </c>
      <c r="D427" s="320" t="s">
        <v>2449</v>
      </c>
      <c r="E427" s="276" t="s">
        <v>1835</v>
      </c>
      <c r="F427" s="277">
        <v>1362</v>
      </c>
      <c r="G427" s="277">
        <f>39.7+200</f>
        <v>239.7</v>
      </c>
      <c r="H427" s="297"/>
      <c r="I427" s="278">
        <f t="shared" ref="I427:I436" si="79">F427-G427-H427</f>
        <v>1122.3</v>
      </c>
      <c r="J427" s="279" t="s">
        <v>156</v>
      </c>
      <c r="K427" s="279">
        <v>1</v>
      </c>
      <c r="L427" s="279">
        <v>1</v>
      </c>
      <c r="M427" s="279">
        <v>1</v>
      </c>
      <c r="N427" s="279">
        <v>1</v>
      </c>
      <c r="O427" s="279">
        <v>1</v>
      </c>
      <c r="P427" s="279">
        <v>1</v>
      </c>
      <c r="Q427" s="279">
        <v>1</v>
      </c>
      <c r="R427" s="279">
        <v>1</v>
      </c>
      <c r="S427" s="280">
        <v>1</v>
      </c>
      <c r="T427" s="63"/>
      <c r="U427" s="10" t="s">
        <v>2450</v>
      </c>
      <c r="V427" s="90">
        <v>1498.2</v>
      </c>
      <c r="W427" s="91"/>
      <c r="X427" s="92"/>
    </row>
    <row r="428" spans="1:24">
      <c r="A428" s="2"/>
      <c r="B428" s="87">
        <f t="shared" ref="B428:B436" si="80">B427+1</f>
        <v>2</v>
      </c>
      <c r="C428" s="295">
        <v>45873</v>
      </c>
      <c r="D428" s="323">
        <v>72014</v>
      </c>
      <c r="E428" s="10" t="s">
        <v>2451</v>
      </c>
      <c r="F428" s="62">
        <v>1138</v>
      </c>
      <c r="G428" s="62">
        <f>39.7</f>
        <v>39.700000000000003</v>
      </c>
      <c r="H428" s="62"/>
      <c r="I428" s="89">
        <f t="shared" si="79"/>
        <v>1098.3</v>
      </c>
      <c r="J428" s="63" t="s">
        <v>156</v>
      </c>
      <c r="K428" s="63">
        <v>1</v>
      </c>
      <c r="L428" s="63">
        <v>1</v>
      </c>
      <c r="M428" s="63">
        <v>1</v>
      </c>
      <c r="N428" s="63">
        <v>1</v>
      </c>
      <c r="O428" s="63">
        <v>1</v>
      </c>
      <c r="P428" s="63">
        <v>1</v>
      </c>
      <c r="Q428" s="63">
        <v>1</v>
      </c>
      <c r="R428" s="63">
        <v>1</v>
      </c>
      <c r="S428" s="296">
        <v>1</v>
      </c>
      <c r="T428" s="63"/>
      <c r="U428" s="10"/>
      <c r="V428" s="90">
        <v>1251.8</v>
      </c>
      <c r="W428" s="91"/>
      <c r="X428" s="92"/>
    </row>
    <row r="429" spans="1:24">
      <c r="A429" s="93"/>
      <c r="B429" s="87">
        <f t="shared" si="80"/>
        <v>3</v>
      </c>
      <c r="C429" s="295">
        <v>45873</v>
      </c>
      <c r="D429" s="323">
        <v>72018</v>
      </c>
      <c r="E429" s="10" t="s">
        <v>2422</v>
      </c>
      <c r="F429" s="62">
        <v>616</v>
      </c>
      <c r="G429" s="62"/>
      <c r="H429" s="62"/>
      <c r="I429" s="89">
        <f t="shared" si="79"/>
        <v>616</v>
      </c>
      <c r="J429" s="63" t="s">
        <v>150</v>
      </c>
      <c r="K429" s="63">
        <v>1</v>
      </c>
      <c r="L429" s="63">
        <v>1</v>
      </c>
      <c r="M429" s="63">
        <v>1</v>
      </c>
      <c r="N429" s="63">
        <v>1</v>
      </c>
      <c r="O429" s="63">
        <v>1</v>
      </c>
      <c r="P429" s="63">
        <v>1</v>
      </c>
      <c r="Q429" s="63">
        <v>1</v>
      </c>
      <c r="R429" s="63">
        <v>1</v>
      </c>
      <c r="S429" s="296">
        <v>1</v>
      </c>
      <c r="T429" s="63"/>
      <c r="U429" s="10" t="s">
        <v>424</v>
      </c>
      <c r="V429" s="90">
        <v>0</v>
      </c>
      <c r="W429" s="440">
        <v>677.6</v>
      </c>
      <c r="X429" s="92"/>
    </row>
    <row r="430" spans="1:24">
      <c r="A430" s="93"/>
      <c r="B430" s="87">
        <f>B429+1</f>
        <v>4</v>
      </c>
      <c r="C430" s="274">
        <v>45874</v>
      </c>
      <c r="D430" s="327" t="s">
        <v>2452</v>
      </c>
      <c r="E430" s="276" t="s">
        <v>1080</v>
      </c>
      <c r="F430" s="277">
        <v>581</v>
      </c>
      <c r="G430" s="277"/>
      <c r="H430" s="277"/>
      <c r="I430" s="278">
        <f t="shared" si="79"/>
        <v>581</v>
      </c>
      <c r="J430" s="279" t="s">
        <v>156</v>
      </c>
      <c r="K430" s="279">
        <v>1</v>
      </c>
      <c r="L430" s="279">
        <v>1</v>
      </c>
      <c r="M430" s="279">
        <v>1</v>
      </c>
      <c r="N430" s="279">
        <v>1</v>
      </c>
      <c r="O430" s="279">
        <v>1</v>
      </c>
      <c r="P430" s="279">
        <v>1</v>
      </c>
      <c r="Q430" s="279">
        <v>1</v>
      </c>
      <c r="R430" s="279">
        <v>1</v>
      </c>
      <c r="S430" s="280">
        <v>1</v>
      </c>
      <c r="T430" s="63"/>
      <c r="U430" s="10"/>
      <c r="V430" s="90">
        <v>639.1</v>
      </c>
      <c r="W430" s="91"/>
      <c r="X430" s="92"/>
    </row>
    <row r="431" spans="1:24">
      <c r="A431" s="2"/>
      <c r="B431" s="87">
        <f>B430+1</f>
        <v>5</v>
      </c>
      <c r="C431" s="295">
        <v>45874</v>
      </c>
      <c r="D431" s="323" t="s">
        <v>2453</v>
      </c>
      <c r="E431" s="10" t="s">
        <v>1034</v>
      </c>
      <c r="F431" s="62">
        <v>1242.9000000000001</v>
      </c>
      <c r="G431" s="62">
        <f>39.7+200</f>
        <v>239.7</v>
      </c>
      <c r="H431" s="62"/>
      <c r="I431" s="324">
        <f t="shared" si="79"/>
        <v>1003.2</v>
      </c>
      <c r="J431" s="63" t="s">
        <v>156</v>
      </c>
      <c r="K431" s="63">
        <v>1</v>
      </c>
      <c r="L431" s="325">
        <v>0</v>
      </c>
      <c r="M431" s="63">
        <v>1</v>
      </c>
      <c r="N431" s="63">
        <v>1</v>
      </c>
      <c r="O431" s="63">
        <v>1</v>
      </c>
      <c r="P431" s="63">
        <v>1</v>
      </c>
      <c r="Q431" s="63">
        <v>1</v>
      </c>
      <c r="R431" s="63">
        <v>1</v>
      </c>
      <c r="S431" s="296">
        <v>1</v>
      </c>
      <c r="T431" s="63"/>
      <c r="U431" s="10" t="s">
        <v>2454</v>
      </c>
      <c r="V431" s="90">
        <v>1367.19</v>
      </c>
      <c r="W431" s="91"/>
      <c r="X431" s="92"/>
    </row>
    <row r="432" spans="1:24">
      <c r="A432" s="2"/>
      <c r="B432" s="87">
        <f t="shared" si="80"/>
        <v>6</v>
      </c>
      <c r="C432" s="274">
        <v>45875</v>
      </c>
      <c r="D432" s="327">
        <v>72044</v>
      </c>
      <c r="E432" s="276" t="s">
        <v>211</v>
      </c>
      <c r="F432" s="277">
        <v>1461</v>
      </c>
      <c r="G432" s="277">
        <f>39.7</f>
        <v>39.700000000000003</v>
      </c>
      <c r="H432" s="277"/>
      <c r="I432" s="278">
        <f t="shared" si="79"/>
        <v>1421.3</v>
      </c>
      <c r="J432" s="279" t="s">
        <v>156</v>
      </c>
      <c r="K432" s="279">
        <v>1</v>
      </c>
      <c r="L432" s="279">
        <v>1</v>
      </c>
      <c r="M432" s="279">
        <v>1</v>
      </c>
      <c r="N432" s="279">
        <v>1</v>
      </c>
      <c r="O432" s="279">
        <v>1</v>
      </c>
      <c r="P432" s="279">
        <v>1</v>
      </c>
      <c r="Q432" s="279">
        <v>1</v>
      </c>
      <c r="R432" s="279">
        <v>1</v>
      </c>
      <c r="S432" s="280">
        <v>1</v>
      </c>
      <c r="T432" s="63"/>
      <c r="U432" s="10"/>
      <c r="V432" s="90">
        <v>1607.1</v>
      </c>
      <c r="W432" s="91"/>
      <c r="X432" s="92"/>
    </row>
    <row r="433" spans="1:24">
      <c r="A433" s="2" t="s">
        <v>2455</v>
      </c>
      <c r="B433" s="87">
        <f t="shared" si="80"/>
        <v>7</v>
      </c>
      <c r="C433" s="295">
        <v>45875</v>
      </c>
      <c r="D433" s="346" t="s">
        <v>2456</v>
      </c>
      <c r="E433" s="101" t="s">
        <v>304</v>
      </c>
      <c r="F433" s="62">
        <v>1561</v>
      </c>
      <c r="G433" s="62">
        <f>39.7</f>
        <v>39.700000000000003</v>
      </c>
      <c r="H433" s="62"/>
      <c r="I433" s="89">
        <f>F433-G433-H433</f>
        <v>1521.3</v>
      </c>
      <c r="J433" s="63" t="s">
        <v>374</v>
      </c>
      <c r="K433" s="63">
        <v>1</v>
      </c>
      <c r="L433" s="63">
        <v>1</v>
      </c>
      <c r="M433" s="63">
        <v>1</v>
      </c>
      <c r="N433" s="63">
        <v>1</v>
      </c>
      <c r="O433" s="63">
        <v>1</v>
      </c>
      <c r="P433" s="63">
        <v>1</v>
      </c>
      <c r="Q433" s="63">
        <v>1</v>
      </c>
      <c r="R433" s="63">
        <v>1</v>
      </c>
      <c r="S433" s="296">
        <v>1</v>
      </c>
      <c r="T433" s="63"/>
      <c r="U433" s="10" t="s">
        <v>2457</v>
      </c>
      <c r="V433" s="90">
        <v>1717.1</v>
      </c>
      <c r="W433" s="91"/>
      <c r="X433" s="92"/>
    </row>
    <row r="434" spans="1:24">
      <c r="A434" s="2"/>
      <c r="B434" s="87">
        <f t="shared" si="80"/>
        <v>8</v>
      </c>
      <c r="C434" s="274">
        <v>45876</v>
      </c>
      <c r="D434" s="327">
        <v>72137</v>
      </c>
      <c r="E434" s="276" t="s">
        <v>604</v>
      </c>
      <c r="F434" s="277">
        <f>3946-85</f>
        <v>3861</v>
      </c>
      <c r="G434" s="277">
        <f>39.7</f>
        <v>39.700000000000003</v>
      </c>
      <c r="H434" s="297"/>
      <c r="I434" s="278">
        <f t="shared" si="79"/>
        <v>3821.3</v>
      </c>
      <c r="J434" s="279" t="s">
        <v>156</v>
      </c>
      <c r="K434" s="279">
        <v>1</v>
      </c>
      <c r="L434" s="279">
        <v>1</v>
      </c>
      <c r="M434" s="279">
        <v>1</v>
      </c>
      <c r="N434" s="279">
        <v>1</v>
      </c>
      <c r="O434" s="279">
        <v>1</v>
      </c>
      <c r="P434" s="279">
        <v>1</v>
      </c>
      <c r="Q434" s="279">
        <v>1</v>
      </c>
      <c r="R434" s="279">
        <v>1</v>
      </c>
      <c r="S434" s="280">
        <v>1</v>
      </c>
      <c r="T434" s="63"/>
      <c r="U434" s="10"/>
      <c r="V434" s="90">
        <f>93.5+4247.1</f>
        <v>4340.6000000000004</v>
      </c>
      <c r="W434" s="91"/>
      <c r="X434" s="92"/>
    </row>
    <row r="435" spans="1:24">
      <c r="A435" s="2"/>
      <c r="B435" s="87">
        <f t="shared" si="80"/>
        <v>9</v>
      </c>
      <c r="C435" s="274">
        <v>45877</v>
      </c>
      <c r="D435" s="327">
        <v>72161</v>
      </c>
      <c r="E435" s="276" t="s">
        <v>1678</v>
      </c>
      <c r="F435" s="277">
        <v>1134</v>
      </c>
      <c r="G435" s="277">
        <f>39.7</f>
        <v>39.700000000000003</v>
      </c>
      <c r="H435" s="297"/>
      <c r="I435" s="321">
        <f t="shared" si="79"/>
        <v>1094.3</v>
      </c>
      <c r="J435" s="279" t="s">
        <v>156</v>
      </c>
      <c r="K435" s="279">
        <v>1</v>
      </c>
      <c r="L435" s="279">
        <v>1</v>
      </c>
      <c r="M435" s="322">
        <v>0</v>
      </c>
      <c r="N435" s="279">
        <v>1</v>
      </c>
      <c r="O435" s="279">
        <v>1</v>
      </c>
      <c r="P435" s="279">
        <v>1</v>
      </c>
      <c r="Q435" s="279">
        <v>1</v>
      </c>
      <c r="R435" s="279">
        <v>1</v>
      </c>
      <c r="S435" s="280">
        <v>1</v>
      </c>
      <c r="T435" s="63"/>
      <c r="U435" s="10"/>
      <c r="V435" s="90">
        <v>1247.4000000000001</v>
      </c>
      <c r="W435" s="91"/>
      <c r="X435" s="92"/>
    </row>
    <row r="436" spans="1:24">
      <c r="A436" s="2"/>
      <c r="B436" s="87">
        <f t="shared" si="80"/>
        <v>10</v>
      </c>
      <c r="C436" s="282">
        <v>45877</v>
      </c>
      <c r="D436" s="330" t="s">
        <v>2458</v>
      </c>
      <c r="E436" s="283" t="s">
        <v>218</v>
      </c>
      <c r="F436" s="284">
        <v>1138</v>
      </c>
      <c r="G436" s="284">
        <f>39.7</f>
        <v>39.700000000000003</v>
      </c>
      <c r="H436" s="315"/>
      <c r="I436" s="300">
        <f t="shared" si="79"/>
        <v>1098.3</v>
      </c>
      <c r="J436" s="286" t="s">
        <v>156</v>
      </c>
      <c r="K436" s="286">
        <v>1</v>
      </c>
      <c r="L436" s="286">
        <v>1</v>
      </c>
      <c r="M436" s="332">
        <v>0</v>
      </c>
      <c r="N436" s="286">
        <v>1</v>
      </c>
      <c r="O436" s="286">
        <v>1</v>
      </c>
      <c r="P436" s="286">
        <v>1</v>
      </c>
      <c r="Q436" s="286">
        <v>1</v>
      </c>
      <c r="R436" s="286">
        <v>1</v>
      </c>
      <c r="S436" s="287">
        <v>1</v>
      </c>
      <c r="T436" s="63"/>
      <c r="U436" s="10"/>
      <c r="V436" s="90">
        <v>1251.8</v>
      </c>
      <c r="W436" s="91"/>
      <c r="X436" s="92"/>
    </row>
    <row r="437" spans="1:24">
      <c r="A437" s="2"/>
      <c r="B437" s="87"/>
      <c r="C437" s="36"/>
      <c r="D437" s="10"/>
      <c r="E437" s="10"/>
      <c r="F437" s="97">
        <f>SUM(F427:F436)</f>
        <v>14094.9</v>
      </c>
      <c r="G437" s="97">
        <f>SUM(G427:G436)</f>
        <v>717.60000000000014</v>
      </c>
      <c r="H437" s="97">
        <f>SUM(H427:H436)</f>
        <v>0</v>
      </c>
      <c r="I437" s="98">
        <f>SUM(I427:I436)</f>
        <v>13377.3</v>
      </c>
      <c r="J437" s="63"/>
      <c r="K437" s="63">
        <f>COUNT(K427:K436)</f>
        <v>10</v>
      </c>
      <c r="L437" s="63">
        <f>COUNT(L427:L436)</f>
        <v>10</v>
      </c>
      <c r="M437" s="63">
        <f>COUNT(M427:M436)</f>
        <v>10</v>
      </c>
      <c r="N437" s="63">
        <f>COUNT(N427:N436)</f>
        <v>10</v>
      </c>
      <c r="O437" s="63">
        <f>COUNT(O427:O436)</f>
        <v>10</v>
      </c>
      <c r="P437" s="63">
        <f>COUNT(P427:P436)</f>
        <v>10</v>
      </c>
      <c r="Q437" s="63">
        <f>COUNT(Q427:Q436)</f>
        <v>10</v>
      </c>
      <c r="R437" s="63">
        <f>COUNT(R427:R436)</f>
        <v>10</v>
      </c>
      <c r="S437" s="63">
        <f>COUNT(S427:S436)</f>
        <v>10</v>
      </c>
      <c r="T437" s="63"/>
      <c r="U437" s="10"/>
      <c r="V437" s="90"/>
      <c r="W437" s="91"/>
      <c r="X437" s="92"/>
    </row>
    <row r="438" spans="1:24">
      <c r="A438" s="2"/>
      <c r="B438" s="87"/>
      <c r="C438" s="36"/>
      <c r="D438" s="10"/>
      <c r="E438" s="10"/>
      <c r="F438" s="88"/>
      <c r="G438" s="88"/>
      <c r="H438" s="88"/>
      <c r="I438" s="99"/>
      <c r="J438" s="63"/>
      <c r="K438" s="21">
        <f>SUM(K427:K436)</f>
        <v>10</v>
      </c>
      <c r="L438" s="21">
        <f>SUM(L427:L436)</f>
        <v>9</v>
      </c>
      <c r="M438" s="21">
        <f>SUM(M427:M436)</f>
        <v>8</v>
      </c>
      <c r="N438" s="21">
        <f>SUM(N427:N436)</f>
        <v>10</v>
      </c>
      <c r="O438" s="21">
        <f>SUM(O427:O436)</f>
        <v>10</v>
      </c>
      <c r="P438" s="21">
        <f>SUM(P427:P436)</f>
        <v>10</v>
      </c>
      <c r="Q438" s="21">
        <f>SUM(Q427:Q436)</f>
        <v>10</v>
      </c>
      <c r="R438" s="21">
        <f>SUM(R427:R436)</f>
        <v>10</v>
      </c>
      <c r="S438" s="21">
        <f>SUM(S427:S436)</f>
        <v>10</v>
      </c>
      <c r="T438" s="63"/>
      <c r="U438" s="10"/>
      <c r="V438" s="90"/>
      <c r="W438" s="91"/>
      <c r="X438" s="92"/>
    </row>
    <row r="439" spans="1:24">
      <c r="A439" s="2"/>
      <c r="B439" s="11"/>
      <c r="C439" s="36"/>
      <c r="D439" s="10"/>
      <c r="E439" s="10"/>
      <c r="F439" s="88"/>
      <c r="G439" s="88"/>
      <c r="H439" s="88"/>
      <c r="I439" s="99"/>
      <c r="J439" s="63"/>
      <c r="K439" s="21"/>
      <c r="L439" s="21"/>
      <c r="M439" s="21"/>
      <c r="N439" s="21"/>
      <c r="O439" s="21"/>
      <c r="P439" s="21"/>
      <c r="Q439" s="21"/>
      <c r="R439" s="21"/>
      <c r="S439" s="21"/>
      <c r="T439" s="63"/>
      <c r="U439" s="94"/>
      <c r="V439" s="90"/>
      <c r="W439" s="91"/>
      <c r="X439" s="92"/>
    </row>
    <row r="440" spans="1:24">
      <c r="A440" s="128"/>
      <c r="B440" s="121" t="s">
        <v>70</v>
      </c>
      <c r="C440" s="122"/>
      <c r="D440" s="123"/>
      <c r="E440" s="128"/>
      <c r="F440" s="124"/>
      <c r="G440" s="124"/>
      <c r="H440" s="124"/>
      <c r="I440" s="126"/>
      <c r="J440" s="127"/>
      <c r="K440" s="64"/>
      <c r="L440" s="64"/>
      <c r="M440" s="64"/>
      <c r="N440" s="64"/>
      <c r="O440" s="64"/>
      <c r="P440" s="64"/>
      <c r="Q440" s="64"/>
      <c r="R440" s="64"/>
      <c r="S440" s="64"/>
      <c r="T440" s="127"/>
      <c r="U440" s="135"/>
      <c r="V440" s="129"/>
      <c r="W440" s="130"/>
      <c r="X440" s="131"/>
    </row>
    <row r="441" spans="1:24" s="342" customFormat="1">
      <c r="A441" s="356">
        <v>0.05</v>
      </c>
      <c r="B441" s="333">
        <v>1</v>
      </c>
      <c r="C441" s="350">
        <v>45876</v>
      </c>
      <c r="D441" s="263">
        <v>72130</v>
      </c>
      <c r="E441" s="358" t="s">
        <v>294</v>
      </c>
      <c r="F441" s="352">
        <v>3834.9</v>
      </c>
      <c r="G441" s="352">
        <f>39.7+300</f>
        <v>339.7</v>
      </c>
      <c r="H441" s="352"/>
      <c r="I441" s="353">
        <f>F441-G441-H441</f>
        <v>3495.2000000000003</v>
      </c>
      <c r="J441" s="354" t="s">
        <v>374</v>
      </c>
      <c r="K441" s="354">
        <v>1</v>
      </c>
      <c r="L441" s="354"/>
      <c r="M441" s="354">
        <v>1</v>
      </c>
      <c r="N441" s="354">
        <v>1</v>
      </c>
      <c r="O441" s="354">
        <v>1</v>
      </c>
      <c r="P441" s="354">
        <v>1</v>
      </c>
      <c r="Q441" s="354"/>
      <c r="R441" s="354"/>
      <c r="S441" s="355"/>
      <c r="T441" s="127"/>
      <c r="U441" s="135"/>
      <c r="V441" s="129">
        <f>1500+420</f>
        <v>1920</v>
      </c>
      <c r="W441" s="340"/>
      <c r="X441" s="341"/>
    </row>
    <row r="442" spans="1:24">
      <c r="A442" s="128"/>
      <c r="B442" s="132"/>
      <c r="C442" s="122"/>
      <c r="D442" s="123"/>
      <c r="E442" s="123"/>
      <c r="F442" s="134">
        <f>SUM(F441:F441)</f>
        <v>3834.9</v>
      </c>
      <c r="G442" s="134">
        <f>SUM(G441:G441)</f>
        <v>339.7</v>
      </c>
      <c r="H442" s="134">
        <f>SUM(H441:H441)</f>
        <v>0</v>
      </c>
      <c r="I442" s="134">
        <f>SUM(I441:I441)</f>
        <v>3495.2000000000003</v>
      </c>
      <c r="J442" s="127"/>
      <c r="K442" s="64"/>
      <c r="L442" s="64"/>
      <c r="M442" s="64"/>
      <c r="N442" s="64"/>
      <c r="O442" s="64"/>
      <c r="P442" s="64"/>
      <c r="Q442" s="64"/>
      <c r="R442" s="64"/>
      <c r="S442" s="64"/>
      <c r="T442" s="127"/>
      <c r="U442" s="135"/>
      <c r="V442" s="129"/>
      <c r="W442" s="130"/>
      <c r="X442" s="131"/>
    </row>
    <row r="443" spans="1:24">
      <c r="A443" s="2"/>
      <c r="B443" s="11"/>
      <c r="C443" s="36"/>
      <c r="D443" s="10"/>
      <c r="E443" s="10"/>
      <c r="F443" s="88"/>
      <c r="G443" s="88"/>
      <c r="H443" s="88"/>
      <c r="I443" s="99"/>
      <c r="J443" s="63"/>
      <c r="K443" s="21"/>
      <c r="L443" s="21"/>
      <c r="M443" s="21"/>
      <c r="N443" s="21"/>
      <c r="O443" s="21"/>
      <c r="P443" s="21"/>
      <c r="Q443" s="21"/>
      <c r="R443" s="21"/>
      <c r="S443" s="21"/>
      <c r="T443" s="63"/>
      <c r="U443" s="94"/>
      <c r="V443" s="90"/>
      <c r="W443" s="91"/>
      <c r="X443" s="92"/>
    </row>
    <row r="444" spans="1:24" s="260" customFormat="1">
      <c r="B444" s="100" t="s">
        <v>152</v>
      </c>
      <c r="C444" s="270"/>
      <c r="D444" s="10"/>
      <c r="E444" s="101"/>
      <c r="F444" s="88"/>
      <c r="G444" s="62"/>
      <c r="H444" s="88"/>
      <c r="I444" s="99"/>
      <c r="J444" s="63"/>
      <c r="K444" s="181"/>
      <c r="L444" s="181"/>
      <c r="M444" s="181"/>
      <c r="N444" s="181"/>
      <c r="O444" s="181"/>
      <c r="P444" s="181"/>
      <c r="Q444" s="181"/>
      <c r="R444" s="181"/>
      <c r="S444" s="181"/>
      <c r="T444" s="63"/>
      <c r="U444" s="10"/>
      <c r="V444" s="90"/>
      <c r="W444" s="91"/>
      <c r="X444" s="92"/>
    </row>
    <row r="445" spans="1:24" s="260" customFormat="1">
      <c r="A445" s="261">
        <v>0.05</v>
      </c>
      <c r="B445" s="87">
        <v>1</v>
      </c>
      <c r="C445" s="274">
        <v>45833</v>
      </c>
      <c r="D445" s="327">
        <v>71012</v>
      </c>
      <c r="E445" s="281" t="s">
        <v>317</v>
      </c>
      <c r="F445" s="277">
        <v>5232.6000000000004</v>
      </c>
      <c r="G445" s="277">
        <f>39.7+(24.15+1060.54)+250</f>
        <v>1374.39</v>
      </c>
      <c r="H445" s="277"/>
      <c r="I445" s="278">
        <f>F445-G445-H445</f>
        <v>3858.21</v>
      </c>
      <c r="J445" s="279" t="s">
        <v>156</v>
      </c>
      <c r="K445" s="279">
        <v>1</v>
      </c>
      <c r="L445" s="279">
        <v>1</v>
      </c>
      <c r="M445" s="279">
        <v>1</v>
      </c>
      <c r="N445" s="279">
        <v>1</v>
      </c>
      <c r="O445" s="279">
        <v>1</v>
      </c>
      <c r="P445" s="279">
        <v>0</v>
      </c>
      <c r="Q445" s="279">
        <v>0</v>
      </c>
      <c r="R445" s="279">
        <v>0</v>
      </c>
      <c r="S445" s="280">
        <v>0</v>
      </c>
      <c r="T445" s="63"/>
      <c r="U445" s="10" t="s">
        <v>2370</v>
      </c>
      <c r="V445" s="90"/>
      <c r="W445" s="91"/>
      <c r="X445" s="92"/>
    </row>
    <row r="446" spans="1:24" s="260" customFormat="1">
      <c r="A446" s="261" t="s">
        <v>619</v>
      </c>
      <c r="B446" s="87">
        <f t="shared" ref="B446:B447" si="81">B445+1</f>
        <v>2</v>
      </c>
      <c r="C446" s="282">
        <v>45833</v>
      </c>
      <c r="D446" s="368">
        <v>71028</v>
      </c>
      <c r="E446" s="283" t="s">
        <v>659</v>
      </c>
      <c r="F446" s="284">
        <v>2164</v>
      </c>
      <c r="G446" s="284">
        <v>39.700000000000003</v>
      </c>
      <c r="H446" s="284"/>
      <c r="I446" s="285">
        <f>F446-G446-H446</f>
        <v>2124.3000000000002</v>
      </c>
      <c r="J446" s="286"/>
      <c r="K446" s="286">
        <v>1</v>
      </c>
      <c r="L446" s="286">
        <v>1</v>
      </c>
      <c r="M446" s="286"/>
      <c r="N446" s="286">
        <v>1</v>
      </c>
      <c r="O446" s="286">
        <v>1</v>
      </c>
      <c r="P446" s="286">
        <v>1</v>
      </c>
      <c r="Q446" s="286">
        <v>1</v>
      </c>
      <c r="R446" s="286">
        <v>1</v>
      </c>
      <c r="S446" s="287">
        <v>1</v>
      </c>
      <c r="T446" s="63"/>
      <c r="U446" s="10"/>
      <c r="V446" s="90"/>
      <c r="W446" s="91"/>
      <c r="X446" s="92"/>
    </row>
    <row r="447" spans="1:24" s="260" customFormat="1">
      <c r="A447" s="494">
        <v>0.05</v>
      </c>
      <c r="B447" s="87">
        <f t="shared" si="81"/>
        <v>3</v>
      </c>
      <c r="C447" s="262">
        <v>45867</v>
      </c>
      <c r="D447" s="263">
        <v>71860</v>
      </c>
      <c r="E447" s="271" t="s">
        <v>426</v>
      </c>
      <c r="F447" s="265">
        <f>2346-85</f>
        <v>2261</v>
      </c>
      <c r="G447" s="265">
        <f>39.7+200</f>
        <v>239.7</v>
      </c>
      <c r="H447" s="265"/>
      <c r="I447" s="272">
        <f>F447-G447-H447</f>
        <v>2021.3</v>
      </c>
      <c r="J447" s="267" t="s">
        <v>156</v>
      </c>
      <c r="K447" s="267">
        <v>1</v>
      </c>
      <c r="L447" s="267">
        <v>1</v>
      </c>
      <c r="M447" s="267">
        <v>1</v>
      </c>
      <c r="N447" s="267">
        <v>1</v>
      </c>
      <c r="O447" s="267">
        <v>1</v>
      </c>
      <c r="P447" s="267">
        <v>1</v>
      </c>
      <c r="Q447" s="267">
        <v>1</v>
      </c>
      <c r="R447" s="267">
        <v>1</v>
      </c>
      <c r="S447" s="269">
        <v>1</v>
      </c>
      <c r="T447" s="63"/>
      <c r="U447" s="10" t="s">
        <v>2438</v>
      </c>
      <c r="V447" s="90"/>
      <c r="W447" s="91"/>
      <c r="X447" s="92"/>
    </row>
    <row r="448" spans="1:24" s="260" customFormat="1">
      <c r="B448" s="11"/>
      <c r="C448" s="270"/>
      <c r="D448" s="10"/>
      <c r="E448" s="10"/>
      <c r="F448" s="97">
        <f>SUM(F445:F447)</f>
        <v>9657.6</v>
      </c>
      <c r="G448" s="97">
        <f t="shared" ref="G448:I448" si="82">SUM(G445:G447)</f>
        <v>1653.7900000000002</v>
      </c>
      <c r="H448" s="97">
        <f t="shared" si="82"/>
        <v>0</v>
      </c>
      <c r="I448" s="97">
        <f t="shared" si="82"/>
        <v>8003.81</v>
      </c>
      <c r="J448" s="63"/>
      <c r="K448" s="21"/>
      <c r="L448" s="21"/>
      <c r="M448" s="21"/>
      <c r="N448" s="21"/>
      <c r="O448" s="21"/>
      <c r="P448" s="21"/>
      <c r="Q448" s="21"/>
      <c r="R448" s="21"/>
      <c r="S448" s="21"/>
      <c r="T448" s="63"/>
      <c r="U448" s="10"/>
      <c r="V448" s="90"/>
      <c r="W448" s="91"/>
      <c r="X448" s="92"/>
    </row>
    <row r="449" spans="1:24" s="260" customFormat="1">
      <c r="B449" s="11"/>
      <c r="C449" s="270"/>
      <c r="D449" s="10"/>
      <c r="E449" s="10"/>
      <c r="F449" s="88"/>
      <c r="G449" s="88"/>
      <c r="H449" s="88"/>
      <c r="I449" s="99"/>
      <c r="J449" s="63"/>
      <c r="K449" s="21"/>
      <c r="L449" s="21"/>
      <c r="M449" s="21"/>
      <c r="N449" s="21"/>
      <c r="O449" s="21"/>
      <c r="P449" s="21"/>
      <c r="Q449" s="21"/>
      <c r="R449" s="21"/>
      <c r="S449" s="21"/>
      <c r="T449" s="63"/>
      <c r="U449" s="10"/>
      <c r="V449" s="90"/>
      <c r="W449" s="91"/>
      <c r="X449" s="92"/>
    </row>
    <row r="450" spans="1:24" s="260" customFormat="1">
      <c r="B450" s="100" t="s">
        <v>202</v>
      </c>
      <c r="C450" s="270"/>
      <c r="D450" s="10"/>
      <c r="E450" s="181"/>
      <c r="F450" s="88"/>
      <c r="G450" s="88"/>
      <c r="H450" s="88"/>
      <c r="I450" s="99"/>
      <c r="J450" s="63"/>
      <c r="K450" s="21"/>
      <c r="L450" s="21"/>
      <c r="M450" s="21"/>
      <c r="N450" s="21"/>
      <c r="O450" s="21"/>
      <c r="P450" s="21"/>
      <c r="Q450" s="21"/>
      <c r="R450" s="21"/>
      <c r="S450" s="21"/>
      <c r="T450" s="63"/>
      <c r="U450" s="10"/>
      <c r="V450" s="90"/>
      <c r="W450" s="91"/>
      <c r="X450" s="92"/>
    </row>
    <row r="451" spans="1:24" s="260" customFormat="1">
      <c r="A451" s="261">
        <v>0.05</v>
      </c>
      <c r="B451" s="87">
        <v>1</v>
      </c>
      <c r="C451" s="262">
        <v>45790</v>
      </c>
      <c r="D451" s="357" t="s">
        <v>2339</v>
      </c>
      <c r="E451" s="271" t="s">
        <v>225</v>
      </c>
      <c r="F451" s="265">
        <v>8614</v>
      </c>
      <c r="G451" s="265">
        <f>39.7+(143.54)+(86.25+50.9)+750</f>
        <v>1070.3899999999999</v>
      </c>
      <c r="H451" s="265"/>
      <c r="I451" s="272">
        <f>F451-G451-H451</f>
        <v>7543.6100000000006</v>
      </c>
      <c r="J451" s="267"/>
      <c r="K451" s="267">
        <v>1</v>
      </c>
      <c r="L451" s="267"/>
      <c r="M451" s="267"/>
      <c r="N451" s="267">
        <v>1</v>
      </c>
      <c r="O451" s="267">
        <v>1</v>
      </c>
      <c r="P451" s="267">
        <v>1</v>
      </c>
      <c r="Q451" s="267">
        <v>0</v>
      </c>
      <c r="R451" s="267">
        <v>0</v>
      </c>
      <c r="S451" s="269">
        <v>0</v>
      </c>
      <c r="T451" s="63"/>
      <c r="U451" s="10" t="s">
        <v>2340</v>
      </c>
      <c r="V451" s="90"/>
      <c r="W451" s="136"/>
      <c r="X451" s="137"/>
    </row>
    <row r="452" spans="1:24" s="260" customFormat="1">
      <c r="A452" s="261">
        <v>0.05</v>
      </c>
      <c r="B452" s="87">
        <f>B451+1</f>
        <v>2</v>
      </c>
      <c r="C452" s="262">
        <v>45799</v>
      </c>
      <c r="D452" s="357" t="s">
        <v>2341</v>
      </c>
      <c r="E452" s="271" t="s">
        <v>464</v>
      </c>
      <c r="F452" s="265">
        <v>15214.25</v>
      </c>
      <c r="G452" s="265">
        <v>39.700000000000003</v>
      </c>
      <c r="H452" s="265"/>
      <c r="I452" s="272">
        <f>F452-G452-H452</f>
        <v>15174.55</v>
      </c>
      <c r="J452" s="267"/>
      <c r="K452" s="267">
        <v>1</v>
      </c>
      <c r="L452" s="267"/>
      <c r="M452" s="267"/>
      <c r="N452" s="267">
        <v>1</v>
      </c>
      <c r="O452" s="267">
        <v>1</v>
      </c>
      <c r="P452" s="267">
        <v>0</v>
      </c>
      <c r="Q452" s="267"/>
      <c r="R452" s="267"/>
      <c r="S452" s="269"/>
      <c r="T452" s="63"/>
      <c r="U452" s="10"/>
      <c r="V452" s="90"/>
      <c r="W452" s="136"/>
      <c r="X452" s="137"/>
    </row>
    <row r="453" spans="1:24" s="260" customFormat="1">
      <c r="A453" s="181" t="s">
        <v>619</v>
      </c>
      <c r="B453" s="87">
        <f>B452+1</f>
        <v>3</v>
      </c>
      <c r="C453" s="262">
        <v>45826</v>
      </c>
      <c r="D453" s="357" t="s">
        <v>2344</v>
      </c>
      <c r="E453" s="271" t="s">
        <v>2345</v>
      </c>
      <c r="F453" s="265">
        <v>21400</v>
      </c>
      <c r="G453" s="265">
        <f>39.7+(104.18+165.91+61.7)+(78.89)+2000</f>
        <v>2450.38</v>
      </c>
      <c r="H453" s="265"/>
      <c r="I453" s="272">
        <f>F453-G453-H453</f>
        <v>18949.62</v>
      </c>
      <c r="J453" s="267"/>
      <c r="K453" s="267">
        <v>1</v>
      </c>
      <c r="L453" s="267"/>
      <c r="M453" s="267"/>
      <c r="N453" s="267">
        <v>1</v>
      </c>
      <c r="O453" s="267">
        <v>1</v>
      </c>
      <c r="P453" s="267">
        <v>0</v>
      </c>
      <c r="Q453" s="267"/>
      <c r="R453" s="267"/>
      <c r="S453" s="269"/>
      <c r="T453" s="63"/>
      <c r="U453" s="10" t="s">
        <v>2346</v>
      </c>
      <c r="V453" s="90"/>
      <c r="W453" s="136"/>
      <c r="X453" s="137"/>
    </row>
    <row r="454" spans="1:24" s="260" customFormat="1">
      <c r="A454" s="261">
        <v>0.05</v>
      </c>
      <c r="B454" s="87">
        <f t="shared" ref="B454:B455" si="83">B453+1</f>
        <v>4</v>
      </c>
      <c r="C454" s="274">
        <v>45861</v>
      </c>
      <c r="D454" s="327">
        <v>71651</v>
      </c>
      <c r="E454" s="276" t="s">
        <v>596</v>
      </c>
      <c r="F454" s="277">
        <v>2261</v>
      </c>
      <c r="G454" s="277">
        <f>39.7+487.5+200</f>
        <v>727.2</v>
      </c>
      <c r="H454" s="277"/>
      <c r="I454" s="278">
        <f>F454-G454-H454</f>
        <v>1533.8</v>
      </c>
      <c r="J454" s="279" t="s">
        <v>156</v>
      </c>
      <c r="K454" s="279">
        <v>1</v>
      </c>
      <c r="L454" s="279"/>
      <c r="M454" s="279">
        <v>1</v>
      </c>
      <c r="N454" s="279">
        <v>1</v>
      </c>
      <c r="O454" s="279">
        <v>1</v>
      </c>
      <c r="P454" s="279">
        <v>1</v>
      </c>
      <c r="Q454" s="279"/>
      <c r="R454" s="279"/>
      <c r="S454" s="280"/>
      <c r="T454" s="63"/>
      <c r="U454" s="94" t="s">
        <v>2405</v>
      </c>
      <c r="V454" s="90"/>
      <c r="W454" s="136"/>
      <c r="X454" s="137"/>
    </row>
    <row r="455" spans="1:24" s="260" customFormat="1">
      <c r="A455" s="261">
        <v>0.05</v>
      </c>
      <c r="B455" s="87">
        <f t="shared" si="83"/>
        <v>5</v>
      </c>
      <c r="C455" s="262">
        <v>45863</v>
      </c>
      <c r="D455" s="263" t="s">
        <v>2406</v>
      </c>
      <c r="E455" s="271" t="s">
        <v>2398</v>
      </c>
      <c r="F455" s="265">
        <v>14218</v>
      </c>
      <c r="G455" s="265">
        <f>39.7+(78.82+18.7+38.9+17.61+45.74)+(21.28)+1000</f>
        <v>1260.75</v>
      </c>
      <c r="H455" s="265"/>
      <c r="I455" s="272">
        <f>F455-G455-H455</f>
        <v>12957.25</v>
      </c>
      <c r="J455" s="267" t="s">
        <v>156</v>
      </c>
      <c r="K455" s="267">
        <v>1</v>
      </c>
      <c r="L455" s="267"/>
      <c r="M455" s="267">
        <v>1</v>
      </c>
      <c r="N455" s="267">
        <v>1</v>
      </c>
      <c r="O455" s="267">
        <v>1</v>
      </c>
      <c r="P455" s="267">
        <v>1</v>
      </c>
      <c r="Q455" s="267"/>
      <c r="R455" s="267"/>
      <c r="S455" s="269"/>
      <c r="T455" s="63"/>
      <c r="U455" s="94" t="s">
        <v>2407</v>
      </c>
      <c r="V455" s="90"/>
      <c r="W455" s="136"/>
      <c r="X455" s="137"/>
    </row>
    <row r="456" spans="1:24" s="260" customFormat="1">
      <c r="A456" s="260" t="s">
        <v>2347</v>
      </c>
      <c r="B456" s="11"/>
      <c r="C456" s="270"/>
      <c r="D456" s="10"/>
      <c r="E456" s="10"/>
      <c r="F456" s="97">
        <f>SUM(F451:F455)</f>
        <v>61707.25</v>
      </c>
      <c r="G456" s="97">
        <f t="shared" ref="G456:I456" si="84">SUM(G451:G455)</f>
        <v>5548.42</v>
      </c>
      <c r="H456" s="97">
        <f t="shared" si="84"/>
        <v>0</v>
      </c>
      <c r="I456" s="97">
        <f t="shared" si="84"/>
        <v>56158.83</v>
      </c>
      <c r="J456" s="63"/>
      <c r="K456" s="21"/>
      <c r="L456" s="21"/>
      <c r="M456" s="21"/>
      <c r="N456" s="21"/>
      <c r="O456" s="21"/>
      <c r="P456" s="21"/>
      <c r="Q456" s="21"/>
      <c r="R456" s="21"/>
      <c r="S456" s="21"/>
      <c r="T456" s="63"/>
      <c r="V456" s="90"/>
      <c r="W456" s="91"/>
      <c r="X456" s="92"/>
    </row>
    <row r="457" spans="1:24" s="260" customFormat="1">
      <c r="B457" s="11"/>
      <c r="C457" s="270"/>
      <c r="D457" s="10"/>
      <c r="E457" s="10"/>
      <c r="F457" s="88"/>
      <c r="G457" s="88"/>
      <c r="H457" s="88"/>
      <c r="I457" s="88"/>
      <c r="J457" s="63"/>
      <c r="K457" s="21"/>
      <c r="L457" s="21"/>
      <c r="M457" s="21"/>
      <c r="N457" s="21"/>
      <c r="O457" s="21"/>
      <c r="P457" s="21"/>
      <c r="Q457" s="21"/>
      <c r="R457" s="21"/>
      <c r="S457" s="21"/>
      <c r="T457" s="63"/>
      <c r="U457" s="10"/>
      <c r="V457" s="90"/>
      <c r="W457" s="91"/>
      <c r="X457" s="92"/>
    </row>
    <row r="458" spans="1:24">
      <c r="A458" s="2"/>
      <c r="B458" s="100" t="s">
        <v>72</v>
      </c>
      <c r="C458" s="36"/>
      <c r="D458" s="10"/>
      <c r="E458" s="10"/>
      <c r="F458" s="88"/>
      <c r="G458" s="88"/>
      <c r="H458" s="88"/>
      <c r="I458" s="99"/>
      <c r="J458" s="63"/>
      <c r="K458" s="63"/>
      <c r="L458" s="63"/>
      <c r="M458" s="63"/>
      <c r="N458" s="63"/>
      <c r="O458" s="63"/>
      <c r="P458" s="63"/>
      <c r="Q458" s="63"/>
      <c r="R458" s="63"/>
      <c r="S458" s="63"/>
      <c r="T458" s="63"/>
      <c r="U458" s="10"/>
      <c r="V458" s="90"/>
      <c r="W458" s="91"/>
      <c r="X458" s="92"/>
    </row>
    <row r="459" spans="1:24">
      <c r="A459" s="2"/>
      <c r="B459" s="87">
        <v>1</v>
      </c>
      <c r="C459" s="274">
        <v>45873</v>
      </c>
      <c r="D459" s="276">
        <v>71971</v>
      </c>
      <c r="E459" s="276" t="s">
        <v>780</v>
      </c>
      <c r="F459" s="277">
        <v>1861</v>
      </c>
      <c r="G459" s="277">
        <v>39.700000000000003</v>
      </c>
      <c r="H459" s="277"/>
      <c r="I459" s="278">
        <f t="shared" ref="I459:I479" si="85">F459-G459-H459</f>
        <v>1821.3</v>
      </c>
      <c r="J459" s="279" t="s">
        <v>205</v>
      </c>
      <c r="K459" s="279">
        <v>1</v>
      </c>
      <c r="L459" s="279"/>
      <c r="M459" s="279"/>
      <c r="N459" s="279">
        <v>1</v>
      </c>
      <c r="O459" s="279"/>
      <c r="P459" s="279"/>
      <c r="Q459" s="279">
        <v>1</v>
      </c>
      <c r="R459" s="279">
        <v>1</v>
      </c>
      <c r="S459" s="280">
        <v>1</v>
      </c>
      <c r="T459" s="63"/>
      <c r="U459" s="3"/>
      <c r="V459" s="90"/>
      <c r="W459" s="91"/>
      <c r="X459" s="92"/>
    </row>
    <row r="460" spans="1:24">
      <c r="A460" s="2"/>
      <c r="B460" s="87">
        <f t="shared" ref="B460:B477" si="86">B459+1</f>
        <v>2</v>
      </c>
      <c r="C460" s="295">
        <v>45873</v>
      </c>
      <c r="D460" s="10">
        <v>71972</v>
      </c>
      <c r="E460" s="10" t="s">
        <v>991</v>
      </c>
      <c r="F460" s="62">
        <v>2276</v>
      </c>
      <c r="G460" s="62">
        <v>39.700000000000003</v>
      </c>
      <c r="H460" s="62"/>
      <c r="I460" s="89">
        <f t="shared" si="85"/>
        <v>2236.3000000000002</v>
      </c>
      <c r="J460" s="63" t="s">
        <v>205</v>
      </c>
      <c r="K460" s="63">
        <v>1</v>
      </c>
      <c r="L460" s="63"/>
      <c r="M460" s="63"/>
      <c r="N460" s="63">
        <v>1</v>
      </c>
      <c r="O460" s="63">
        <v>1</v>
      </c>
      <c r="P460" s="63"/>
      <c r="Q460" s="63">
        <v>1</v>
      </c>
      <c r="R460" s="63">
        <v>1</v>
      </c>
      <c r="S460" s="296"/>
      <c r="T460" s="63"/>
      <c r="U460" s="10" t="s">
        <v>2459</v>
      </c>
      <c r="V460" s="90">
        <v>0</v>
      </c>
      <c r="W460" s="136"/>
      <c r="X460" s="137"/>
    </row>
    <row r="461" spans="1:24">
      <c r="A461" s="2"/>
      <c r="B461" s="87">
        <f t="shared" si="86"/>
        <v>3</v>
      </c>
      <c r="C461" s="295">
        <v>45873</v>
      </c>
      <c r="D461" s="10">
        <v>71992</v>
      </c>
      <c r="E461" s="10" t="s">
        <v>973</v>
      </c>
      <c r="F461" s="62">
        <v>5034.6000000000004</v>
      </c>
      <c r="G461" s="62">
        <f>39.7</f>
        <v>39.700000000000003</v>
      </c>
      <c r="H461" s="62"/>
      <c r="I461" s="89">
        <f t="shared" si="85"/>
        <v>4994.9000000000005</v>
      </c>
      <c r="J461" s="63" t="s">
        <v>205</v>
      </c>
      <c r="K461" s="63">
        <v>1</v>
      </c>
      <c r="L461" s="63"/>
      <c r="M461" s="63"/>
      <c r="N461" s="63">
        <v>1</v>
      </c>
      <c r="O461" s="63"/>
      <c r="P461" s="63"/>
      <c r="Q461" s="63">
        <v>1</v>
      </c>
      <c r="R461" s="63">
        <v>1</v>
      </c>
      <c r="S461" s="296">
        <v>1</v>
      </c>
      <c r="T461" s="63"/>
      <c r="U461" s="10"/>
      <c r="V461" s="90"/>
      <c r="W461" s="136"/>
      <c r="X461" s="137"/>
    </row>
    <row r="462" spans="1:24">
      <c r="A462" s="2"/>
      <c r="B462" s="87">
        <f t="shared" si="86"/>
        <v>4</v>
      </c>
      <c r="C462" s="295">
        <v>45873</v>
      </c>
      <c r="D462" s="10">
        <v>71994</v>
      </c>
      <c r="E462" s="10" t="s">
        <v>1037</v>
      </c>
      <c r="F462" s="62">
        <v>5814</v>
      </c>
      <c r="G462" s="62">
        <v>39.700000000000003</v>
      </c>
      <c r="H462" s="62"/>
      <c r="I462" s="89">
        <f t="shared" si="85"/>
        <v>5774.3</v>
      </c>
      <c r="J462" s="63" t="s">
        <v>205</v>
      </c>
      <c r="K462" s="63">
        <v>1</v>
      </c>
      <c r="L462" s="63"/>
      <c r="M462" s="63"/>
      <c r="N462" s="63">
        <v>1</v>
      </c>
      <c r="O462" s="63"/>
      <c r="P462" s="63"/>
      <c r="Q462" s="63">
        <v>1</v>
      </c>
      <c r="R462" s="63">
        <v>1</v>
      </c>
      <c r="S462" s="296">
        <v>1</v>
      </c>
      <c r="T462" s="63"/>
      <c r="U462" s="10"/>
      <c r="V462" s="90"/>
      <c r="W462" s="136"/>
      <c r="X462" s="137"/>
    </row>
    <row r="463" spans="1:24">
      <c r="A463" s="2"/>
      <c r="B463" s="87">
        <f t="shared" si="86"/>
        <v>5</v>
      </c>
      <c r="C463" s="295">
        <v>45873</v>
      </c>
      <c r="D463" s="10">
        <v>71998</v>
      </c>
      <c r="E463" s="10" t="s">
        <v>1249</v>
      </c>
      <c r="F463" s="62">
        <v>1152.9000000000001</v>
      </c>
      <c r="G463" s="62">
        <f>39.7</f>
        <v>39.700000000000003</v>
      </c>
      <c r="H463" s="62"/>
      <c r="I463" s="89">
        <f t="shared" si="85"/>
        <v>1113.2</v>
      </c>
      <c r="J463" s="63" t="s">
        <v>205</v>
      </c>
      <c r="K463" s="63">
        <v>1</v>
      </c>
      <c r="L463" s="63"/>
      <c r="M463" s="63"/>
      <c r="N463" s="63">
        <v>1</v>
      </c>
      <c r="O463" s="63"/>
      <c r="P463" s="63"/>
      <c r="Q463" s="63">
        <v>1</v>
      </c>
      <c r="R463" s="63">
        <v>1</v>
      </c>
      <c r="S463" s="296">
        <v>1</v>
      </c>
      <c r="T463" s="63"/>
      <c r="U463" s="10"/>
      <c r="V463" s="90"/>
      <c r="W463" s="136"/>
      <c r="X463" s="137"/>
    </row>
    <row r="464" spans="1:24">
      <c r="A464" s="2"/>
      <c r="B464" s="87">
        <f t="shared" si="86"/>
        <v>6</v>
      </c>
      <c r="C464" s="274">
        <v>45874</v>
      </c>
      <c r="D464" s="460" t="s">
        <v>2460</v>
      </c>
      <c r="E464" s="276" t="s">
        <v>1080</v>
      </c>
      <c r="F464" s="277">
        <v>4633</v>
      </c>
      <c r="G464" s="277">
        <f>39.7</f>
        <v>39.700000000000003</v>
      </c>
      <c r="H464" s="277"/>
      <c r="I464" s="278">
        <f t="shared" si="85"/>
        <v>4593.3</v>
      </c>
      <c r="J464" s="279" t="s">
        <v>205</v>
      </c>
      <c r="K464" s="279">
        <v>1</v>
      </c>
      <c r="L464" s="279"/>
      <c r="M464" s="279"/>
      <c r="N464" s="279">
        <v>1</v>
      </c>
      <c r="O464" s="279"/>
      <c r="P464" s="279"/>
      <c r="Q464" s="279"/>
      <c r="R464" s="279"/>
      <c r="S464" s="280"/>
      <c r="T464" s="63"/>
      <c r="U464" s="10"/>
      <c r="V464" s="90"/>
      <c r="W464" s="136"/>
      <c r="X464" s="137"/>
    </row>
    <row r="465" spans="1:24">
      <c r="A465" s="2"/>
      <c r="B465" s="87">
        <f t="shared" si="86"/>
        <v>7</v>
      </c>
      <c r="C465" s="295">
        <v>45874</v>
      </c>
      <c r="D465" s="10">
        <v>72033</v>
      </c>
      <c r="E465" s="101" t="s">
        <v>1034</v>
      </c>
      <c r="F465" s="62">
        <v>3675</v>
      </c>
      <c r="G465" s="62">
        <f>39.7</f>
        <v>39.700000000000003</v>
      </c>
      <c r="H465" s="62"/>
      <c r="I465" s="89">
        <f t="shared" si="85"/>
        <v>3635.3</v>
      </c>
      <c r="J465" s="63" t="s">
        <v>205</v>
      </c>
      <c r="K465" s="63">
        <v>1</v>
      </c>
      <c r="L465" s="63"/>
      <c r="M465" s="63"/>
      <c r="N465" s="63">
        <v>1</v>
      </c>
      <c r="O465" s="63"/>
      <c r="P465" s="63"/>
      <c r="Q465" s="63">
        <v>1</v>
      </c>
      <c r="R465" s="63">
        <v>1</v>
      </c>
      <c r="S465" s="296">
        <v>1</v>
      </c>
      <c r="T465" s="63"/>
      <c r="U465" s="10"/>
      <c r="V465" s="90"/>
      <c r="W465" s="136"/>
      <c r="X465" s="137"/>
    </row>
    <row r="466" spans="1:24">
      <c r="A466" s="2"/>
      <c r="B466" s="87">
        <f t="shared" si="86"/>
        <v>8</v>
      </c>
      <c r="C466" s="295">
        <v>45874</v>
      </c>
      <c r="D466" s="10">
        <v>72045</v>
      </c>
      <c r="E466" s="101" t="s">
        <v>1072</v>
      </c>
      <c r="F466" s="62">
        <v>0</v>
      </c>
      <c r="G466" s="62">
        <v>0</v>
      </c>
      <c r="H466" s="62"/>
      <c r="I466" s="89">
        <f t="shared" si="85"/>
        <v>0</v>
      </c>
      <c r="J466" s="63" t="s">
        <v>205</v>
      </c>
      <c r="K466" s="63">
        <v>1</v>
      </c>
      <c r="L466" s="63"/>
      <c r="M466" s="63"/>
      <c r="N466" s="63"/>
      <c r="O466" s="63"/>
      <c r="P466" s="63"/>
      <c r="Q466" s="63">
        <v>1</v>
      </c>
      <c r="R466" s="63">
        <v>1</v>
      </c>
      <c r="S466" s="296">
        <v>1</v>
      </c>
      <c r="T466" s="63"/>
      <c r="U466" s="10"/>
      <c r="V466" s="90"/>
      <c r="W466" s="136"/>
      <c r="X466" s="137"/>
    </row>
    <row r="467" spans="1:24" s="260" customFormat="1">
      <c r="A467" s="181"/>
      <c r="B467" s="87">
        <f>B466+1</f>
        <v>9</v>
      </c>
      <c r="C467" s="295">
        <v>45874</v>
      </c>
      <c r="D467" s="10" t="s">
        <v>2461</v>
      </c>
      <c r="E467" s="10" t="s">
        <v>1034</v>
      </c>
      <c r="F467" s="62">
        <v>14861</v>
      </c>
      <c r="G467" s="62">
        <f>39.7+1000</f>
        <v>1039.7</v>
      </c>
      <c r="H467" s="62"/>
      <c r="I467" s="89">
        <f>F467-G467-H467</f>
        <v>13821.3</v>
      </c>
      <c r="J467" s="63"/>
      <c r="K467" s="63">
        <v>1</v>
      </c>
      <c r="L467" s="63"/>
      <c r="M467" s="63"/>
      <c r="N467" s="63">
        <v>1</v>
      </c>
      <c r="O467" s="63">
        <v>1</v>
      </c>
      <c r="P467" s="63"/>
      <c r="Q467" s="63"/>
      <c r="R467" s="63"/>
      <c r="S467" s="296"/>
      <c r="T467" s="63"/>
      <c r="U467" s="94" t="s">
        <v>2462</v>
      </c>
      <c r="V467" s="90">
        <v>0</v>
      </c>
      <c r="W467" s="136"/>
      <c r="X467" s="137"/>
    </row>
    <row r="468" spans="1:24">
      <c r="A468" s="2"/>
      <c r="B468" s="87">
        <f>B467+1</f>
        <v>10</v>
      </c>
      <c r="C468" s="295">
        <v>45874</v>
      </c>
      <c r="D468" s="10">
        <v>72049</v>
      </c>
      <c r="E468" s="101" t="s">
        <v>1117</v>
      </c>
      <c r="F468" s="62">
        <v>0</v>
      </c>
      <c r="G468" s="62">
        <v>0</v>
      </c>
      <c r="H468" s="62"/>
      <c r="I468" s="89">
        <f t="shared" si="85"/>
        <v>0</v>
      </c>
      <c r="J468" s="63" t="s">
        <v>205</v>
      </c>
      <c r="K468" s="63">
        <v>1</v>
      </c>
      <c r="L468" s="63"/>
      <c r="M468" s="63"/>
      <c r="N468" s="63"/>
      <c r="O468" s="63"/>
      <c r="P468" s="63"/>
      <c r="Q468" s="63">
        <v>1</v>
      </c>
      <c r="R468" s="63">
        <v>1</v>
      </c>
      <c r="S468" s="296"/>
      <c r="T468" s="63"/>
      <c r="U468" s="10"/>
      <c r="V468" s="90"/>
      <c r="W468" s="136"/>
      <c r="X468" s="137"/>
    </row>
    <row r="469" spans="1:24">
      <c r="A469" s="2"/>
      <c r="B469" s="87">
        <f t="shared" si="86"/>
        <v>11</v>
      </c>
      <c r="C469" s="295">
        <v>45874</v>
      </c>
      <c r="D469" s="10">
        <v>72042</v>
      </c>
      <c r="E469" s="101" t="s">
        <v>218</v>
      </c>
      <c r="F469" s="62">
        <v>1681</v>
      </c>
      <c r="G469" s="62">
        <f>39.7</f>
        <v>39.700000000000003</v>
      </c>
      <c r="H469" s="62"/>
      <c r="I469" s="89">
        <f t="shared" si="85"/>
        <v>1641.3</v>
      </c>
      <c r="J469" s="63" t="s">
        <v>205</v>
      </c>
      <c r="K469" s="63">
        <v>1</v>
      </c>
      <c r="L469" s="63"/>
      <c r="M469" s="63"/>
      <c r="N469" s="63">
        <v>1</v>
      </c>
      <c r="O469" s="63"/>
      <c r="P469" s="63"/>
      <c r="Q469" s="63">
        <v>1</v>
      </c>
      <c r="R469" s="63">
        <v>1</v>
      </c>
      <c r="S469" s="296">
        <v>1</v>
      </c>
      <c r="T469" s="63"/>
      <c r="U469" s="10"/>
      <c r="V469" s="90"/>
      <c r="W469" s="136"/>
      <c r="X469" s="137"/>
    </row>
    <row r="470" spans="1:24">
      <c r="A470" s="2"/>
      <c r="B470" s="87">
        <f t="shared" si="86"/>
        <v>12</v>
      </c>
      <c r="C470" s="274">
        <v>45875</v>
      </c>
      <c r="D470" s="276">
        <v>72069</v>
      </c>
      <c r="E470" s="281" t="s">
        <v>317</v>
      </c>
      <c r="F470" s="277">
        <v>0</v>
      </c>
      <c r="G470" s="277">
        <v>0</v>
      </c>
      <c r="H470" s="277"/>
      <c r="I470" s="278">
        <f t="shared" si="85"/>
        <v>0</v>
      </c>
      <c r="J470" s="279" t="s">
        <v>205</v>
      </c>
      <c r="K470" s="279">
        <v>1</v>
      </c>
      <c r="L470" s="279"/>
      <c r="M470" s="279"/>
      <c r="N470" s="279"/>
      <c r="O470" s="279"/>
      <c r="P470" s="279"/>
      <c r="Q470" s="279">
        <v>1</v>
      </c>
      <c r="R470" s="279">
        <v>1</v>
      </c>
      <c r="S470" s="280">
        <v>1</v>
      </c>
      <c r="T470" s="63"/>
      <c r="U470" s="10"/>
      <c r="V470" s="90"/>
      <c r="W470" s="136"/>
      <c r="X470" s="137"/>
    </row>
    <row r="471" spans="1:24">
      <c r="A471" s="2"/>
      <c r="B471" s="87">
        <f t="shared" si="86"/>
        <v>13</v>
      </c>
      <c r="C471" s="295">
        <v>45875</v>
      </c>
      <c r="D471" s="10">
        <v>72095</v>
      </c>
      <c r="E471" s="101" t="s">
        <v>278</v>
      </c>
      <c r="F471" s="62">
        <v>1264</v>
      </c>
      <c r="G471" s="62">
        <f>39.7</f>
        <v>39.700000000000003</v>
      </c>
      <c r="H471" s="62"/>
      <c r="I471" s="89">
        <f t="shared" si="85"/>
        <v>1224.3</v>
      </c>
      <c r="J471" s="63" t="s">
        <v>205</v>
      </c>
      <c r="K471" s="63">
        <v>1</v>
      </c>
      <c r="L471" s="63"/>
      <c r="M471" s="63"/>
      <c r="N471" s="63">
        <v>1</v>
      </c>
      <c r="O471" s="63"/>
      <c r="P471" s="63"/>
      <c r="Q471" s="63">
        <v>1</v>
      </c>
      <c r="R471" s="63">
        <v>1</v>
      </c>
      <c r="S471" s="296">
        <v>1</v>
      </c>
      <c r="T471" s="63"/>
      <c r="U471" s="10"/>
      <c r="V471" s="90"/>
      <c r="W471" s="136"/>
      <c r="X471" s="137"/>
    </row>
    <row r="472" spans="1:24">
      <c r="A472" s="2"/>
      <c r="B472" s="87">
        <f>B471+1</f>
        <v>14</v>
      </c>
      <c r="C472" s="295">
        <v>45875</v>
      </c>
      <c r="D472" s="10">
        <v>72108</v>
      </c>
      <c r="E472" s="10" t="s">
        <v>769</v>
      </c>
      <c r="F472" s="62">
        <f>2466-185</f>
        <v>2281</v>
      </c>
      <c r="G472" s="62">
        <f>39.7</f>
        <v>39.700000000000003</v>
      </c>
      <c r="H472" s="62"/>
      <c r="I472" s="89">
        <f t="shared" ref="I472" si="87">F472-G472-H472</f>
        <v>2241.3000000000002</v>
      </c>
      <c r="J472" s="63" t="s">
        <v>156</v>
      </c>
      <c r="K472" s="63">
        <v>1</v>
      </c>
      <c r="L472" s="63"/>
      <c r="M472" s="63">
        <v>1</v>
      </c>
      <c r="N472" s="63">
        <v>1</v>
      </c>
      <c r="O472" s="63">
        <v>1</v>
      </c>
      <c r="P472" s="63">
        <v>1</v>
      </c>
      <c r="Q472" s="63"/>
      <c r="R472" s="63"/>
      <c r="S472" s="296"/>
      <c r="T472" s="63"/>
      <c r="U472" s="94" t="s">
        <v>2463</v>
      </c>
      <c r="V472" s="90">
        <f>203.5+250</f>
        <v>453.5</v>
      </c>
      <c r="W472" s="136"/>
      <c r="X472" s="137"/>
    </row>
    <row r="473" spans="1:24">
      <c r="A473" s="2"/>
      <c r="B473" s="87">
        <f>B472+1</f>
        <v>15</v>
      </c>
      <c r="C473" s="282">
        <v>45875</v>
      </c>
      <c r="D473" s="283">
        <v>72084</v>
      </c>
      <c r="E473" s="319" t="s">
        <v>725</v>
      </c>
      <c r="F473" s="284">
        <v>10814</v>
      </c>
      <c r="G473" s="284">
        <f>39.7</f>
        <v>39.700000000000003</v>
      </c>
      <c r="H473" s="284"/>
      <c r="I473" s="285">
        <f t="shared" si="85"/>
        <v>10774.3</v>
      </c>
      <c r="J473" s="286" t="s">
        <v>205</v>
      </c>
      <c r="K473" s="286">
        <v>1</v>
      </c>
      <c r="L473" s="286"/>
      <c r="M473" s="286"/>
      <c r="N473" s="286">
        <v>1</v>
      </c>
      <c r="O473" s="286"/>
      <c r="P473" s="286"/>
      <c r="Q473" s="286"/>
      <c r="R473" s="286"/>
      <c r="S473" s="287"/>
      <c r="T473" s="63"/>
      <c r="U473" s="10"/>
      <c r="V473" s="90"/>
      <c r="W473" s="136"/>
      <c r="X473" s="137"/>
    </row>
    <row r="474" spans="1:24">
      <c r="A474" s="2"/>
      <c r="B474" s="87">
        <f t="shared" si="86"/>
        <v>16</v>
      </c>
      <c r="C474" s="295">
        <v>45876</v>
      </c>
      <c r="D474" s="10">
        <v>72055</v>
      </c>
      <c r="E474" s="10" t="s">
        <v>211</v>
      </c>
      <c r="F474" s="62">
        <v>0</v>
      </c>
      <c r="G474" s="62">
        <v>0</v>
      </c>
      <c r="H474" s="62"/>
      <c r="I474" s="89">
        <f t="shared" si="85"/>
        <v>0</v>
      </c>
      <c r="J474" s="63" t="s">
        <v>205</v>
      </c>
      <c r="K474" s="63"/>
      <c r="L474" s="63"/>
      <c r="M474" s="63"/>
      <c r="N474" s="63"/>
      <c r="O474" s="63"/>
      <c r="P474" s="63"/>
      <c r="Q474" s="63"/>
      <c r="R474" s="63"/>
      <c r="S474" s="296"/>
      <c r="T474" s="63"/>
      <c r="U474" s="10"/>
      <c r="V474" s="90"/>
      <c r="W474" s="136"/>
      <c r="X474" s="137"/>
    </row>
    <row r="475" spans="1:24">
      <c r="A475" s="2"/>
      <c r="B475" s="87">
        <f t="shared" si="86"/>
        <v>17</v>
      </c>
      <c r="C475" s="295">
        <v>45876</v>
      </c>
      <c r="D475" s="10">
        <v>72146</v>
      </c>
      <c r="E475" s="10" t="s">
        <v>218</v>
      </c>
      <c r="F475" s="62">
        <v>0</v>
      </c>
      <c r="G475" s="62">
        <v>0</v>
      </c>
      <c r="H475" s="62"/>
      <c r="I475" s="89">
        <f t="shared" si="85"/>
        <v>0</v>
      </c>
      <c r="J475" s="63" t="s">
        <v>205</v>
      </c>
      <c r="K475" s="63">
        <v>1</v>
      </c>
      <c r="L475" s="63"/>
      <c r="M475" s="63"/>
      <c r="N475" s="63"/>
      <c r="O475" s="63"/>
      <c r="P475" s="63"/>
      <c r="Q475" s="63"/>
      <c r="R475" s="63"/>
      <c r="S475" s="296"/>
      <c r="T475" s="63"/>
      <c r="U475" s="10"/>
      <c r="V475" s="90"/>
      <c r="W475" s="136"/>
      <c r="X475" s="137"/>
    </row>
    <row r="476" spans="1:24">
      <c r="A476" s="2"/>
      <c r="B476" s="87">
        <f t="shared" si="86"/>
        <v>18</v>
      </c>
      <c r="C476" s="295">
        <v>45876</v>
      </c>
      <c r="D476" s="10">
        <v>72149</v>
      </c>
      <c r="E476" s="10" t="s">
        <v>294</v>
      </c>
      <c r="F476" s="62">
        <v>1138</v>
      </c>
      <c r="G476" s="62">
        <f>39.7</f>
        <v>39.700000000000003</v>
      </c>
      <c r="H476" s="62"/>
      <c r="I476" s="89">
        <f t="shared" si="85"/>
        <v>1098.3</v>
      </c>
      <c r="J476" s="63" t="s">
        <v>156</v>
      </c>
      <c r="K476" s="63">
        <v>1</v>
      </c>
      <c r="L476" s="63"/>
      <c r="M476" s="63">
        <v>1</v>
      </c>
      <c r="N476" s="63">
        <v>1</v>
      </c>
      <c r="O476" s="63"/>
      <c r="P476" s="63"/>
      <c r="Q476" s="63"/>
      <c r="R476" s="63"/>
      <c r="S476" s="296"/>
      <c r="T476" s="63"/>
      <c r="U476" s="10"/>
      <c r="V476" s="90">
        <v>93.5</v>
      </c>
      <c r="W476" s="136"/>
      <c r="X476" s="137"/>
    </row>
    <row r="477" spans="1:24">
      <c r="A477" s="2"/>
      <c r="B477" s="87">
        <f t="shared" si="86"/>
        <v>19</v>
      </c>
      <c r="C477" s="295">
        <v>45876</v>
      </c>
      <c r="D477" s="10">
        <v>72155</v>
      </c>
      <c r="E477" s="10" t="s">
        <v>296</v>
      </c>
      <c r="F477" s="62">
        <v>2242</v>
      </c>
      <c r="G477" s="62">
        <f>39.7</f>
        <v>39.700000000000003</v>
      </c>
      <c r="H477" s="62"/>
      <c r="I477" s="89">
        <f t="shared" si="85"/>
        <v>2202.3000000000002</v>
      </c>
      <c r="J477" s="63" t="s">
        <v>156</v>
      </c>
      <c r="K477" s="63">
        <v>1</v>
      </c>
      <c r="L477" s="63"/>
      <c r="M477" s="63">
        <v>1</v>
      </c>
      <c r="N477" s="63">
        <v>1</v>
      </c>
      <c r="O477" s="63"/>
      <c r="P477" s="63"/>
      <c r="Q477" s="63"/>
      <c r="R477" s="63"/>
      <c r="S477" s="296"/>
      <c r="T477" s="63"/>
      <c r="U477" s="10"/>
      <c r="V477" s="90">
        <v>93.5</v>
      </c>
      <c r="W477" s="136"/>
      <c r="X477" s="137"/>
    </row>
    <row r="478" spans="1:24">
      <c r="A478" s="2"/>
      <c r="B478" s="87">
        <f>B477+1</f>
        <v>20</v>
      </c>
      <c r="C478" s="274">
        <v>45877</v>
      </c>
      <c r="D478" s="276">
        <v>72144</v>
      </c>
      <c r="E478" s="276" t="s">
        <v>169</v>
      </c>
      <c r="F478" s="277">
        <v>3142</v>
      </c>
      <c r="G478" s="277">
        <f>39.7</f>
        <v>39.700000000000003</v>
      </c>
      <c r="H478" s="277"/>
      <c r="I478" s="278">
        <f t="shared" si="85"/>
        <v>3102.3</v>
      </c>
      <c r="J478" s="279" t="s">
        <v>205</v>
      </c>
      <c r="K478" s="279">
        <v>1</v>
      </c>
      <c r="L478" s="279"/>
      <c r="M478" s="279"/>
      <c r="N478" s="279">
        <v>1</v>
      </c>
      <c r="O478" s="279"/>
      <c r="P478" s="279"/>
      <c r="Q478" s="279"/>
      <c r="R478" s="279"/>
      <c r="S478" s="280"/>
      <c r="T478" s="63"/>
      <c r="U478" s="10"/>
      <c r="V478" s="90"/>
      <c r="W478" s="136"/>
      <c r="X478" s="137"/>
    </row>
    <row r="479" spans="1:24">
      <c r="A479" s="2"/>
      <c r="B479" s="87">
        <f>B478+1</f>
        <v>21</v>
      </c>
      <c r="C479" s="282">
        <v>45877</v>
      </c>
      <c r="D479" s="302" t="s">
        <v>2464</v>
      </c>
      <c r="E479" s="283" t="s">
        <v>218</v>
      </c>
      <c r="F479" s="284">
        <v>1138</v>
      </c>
      <c r="G479" s="284">
        <v>39.700000000000003</v>
      </c>
      <c r="H479" s="284"/>
      <c r="I479" s="285">
        <f t="shared" si="85"/>
        <v>1098.3</v>
      </c>
      <c r="J479" s="286" t="s">
        <v>205</v>
      </c>
      <c r="K479" s="286">
        <v>1</v>
      </c>
      <c r="L479" s="286"/>
      <c r="M479" s="286"/>
      <c r="N479" s="286">
        <v>1</v>
      </c>
      <c r="O479" s="286"/>
      <c r="P479" s="286"/>
      <c r="Q479" s="286"/>
      <c r="R479" s="286"/>
      <c r="S479" s="287"/>
      <c r="T479" s="63"/>
      <c r="U479" s="10"/>
      <c r="V479" s="90"/>
      <c r="W479" s="136"/>
      <c r="X479" s="137"/>
    </row>
    <row r="480" spans="1:24">
      <c r="A480" s="2"/>
      <c r="B480" s="11"/>
      <c r="C480" s="36"/>
      <c r="D480" s="10"/>
      <c r="E480" s="10"/>
      <c r="F480" s="97">
        <f>SUM(F459:F479)</f>
        <v>63007.5</v>
      </c>
      <c r="G480" s="97">
        <f>SUM(G459:G479)</f>
        <v>1635.2000000000003</v>
      </c>
      <c r="H480" s="97">
        <f>SUM(H459:H479)</f>
        <v>0</v>
      </c>
      <c r="I480" s="98">
        <f>SUM(I459:I479)</f>
        <v>61372.300000000017</v>
      </c>
      <c r="J480" s="10"/>
      <c r="K480" s="10"/>
      <c r="L480" s="10"/>
      <c r="M480" s="10"/>
      <c r="N480" s="10"/>
      <c r="O480" s="10"/>
      <c r="P480" s="10"/>
      <c r="Q480" s="10"/>
      <c r="R480" s="10"/>
      <c r="S480" s="10"/>
      <c r="T480" s="63"/>
      <c r="U480" s="10"/>
      <c r="V480" s="138"/>
      <c r="W480" s="136"/>
      <c r="X480" s="137"/>
    </row>
    <row r="481" spans="1:24">
      <c r="A481" s="2"/>
      <c r="B481" s="26"/>
      <c r="C481" s="140"/>
      <c r="D481" s="141"/>
      <c r="E481" s="141"/>
      <c r="F481" s="141"/>
      <c r="G481" s="141"/>
      <c r="H481" s="141"/>
      <c r="I481" s="141"/>
      <c r="J481" s="141"/>
      <c r="K481" s="142"/>
      <c r="L481" s="142"/>
      <c r="M481" s="142"/>
      <c r="N481" s="142"/>
      <c r="O481" s="142"/>
      <c r="P481" s="142"/>
      <c r="Q481" s="142"/>
      <c r="R481" s="142"/>
      <c r="S481" s="142"/>
      <c r="T481" s="143">
        <f>SUM(T427:T480)</f>
        <v>0</v>
      </c>
      <c r="U481" s="141"/>
      <c r="V481" s="144">
        <f>SUM(V427:V480)</f>
        <v>17480.79</v>
      </c>
      <c r="W481" s="145">
        <f>SUM(W427:W480)</f>
        <v>677.6</v>
      </c>
      <c r="X481" s="146">
        <f>SUM(X427:X480)</f>
        <v>0</v>
      </c>
    </row>
    <row r="484" spans="1:24">
      <c r="A484" s="3"/>
      <c r="B484" s="4" t="s">
        <v>1</v>
      </c>
      <c r="C484" s="5"/>
      <c r="D484" s="6"/>
      <c r="E484" s="6"/>
      <c r="F484" s="7" t="s">
        <v>2</v>
      </c>
      <c r="G484" s="8">
        <v>45886</v>
      </c>
      <c r="H484" s="7"/>
      <c r="I484" s="6"/>
      <c r="J484" s="6"/>
      <c r="K484" s="6"/>
      <c r="L484" s="6"/>
      <c r="M484" s="6"/>
      <c r="N484" s="6"/>
      <c r="O484" s="6"/>
      <c r="P484" s="6"/>
      <c r="Q484" s="6"/>
      <c r="R484" s="6"/>
      <c r="S484" s="6"/>
      <c r="T484" s="6"/>
      <c r="U484" s="9"/>
      <c r="V484" s="10"/>
      <c r="W484" s="10"/>
      <c r="X484" s="10"/>
    </row>
    <row r="485" spans="1:24">
      <c r="A485" s="2"/>
      <c r="B485" s="11"/>
      <c r="C485" s="10"/>
      <c r="D485" s="10"/>
      <c r="E485" s="10"/>
      <c r="F485" s="10"/>
      <c r="G485" s="7"/>
      <c r="H485" s="12"/>
      <c r="I485" s="10"/>
      <c r="J485" s="10"/>
      <c r="K485" s="13" t="s">
        <v>3</v>
      </c>
      <c r="L485" s="14"/>
      <c r="M485" s="15"/>
      <c r="N485" s="13" t="s">
        <v>4</v>
      </c>
      <c r="O485" s="14"/>
      <c r="P485" s="15"/>
      <c r="Q485" s="13" t="s">
        <v>5</v>
      </c>
      <c r="R485" s="14"/>
      <c r="S485" s="15"/>
      <c r="T485" s="16"/>
      <c r="U485" s="17"/>
      <c r="V485" s="10"/>
      <c r="W485" s="10"/>
      <c r="X485" s="10"/>
    </row>
    <row r="486" spans="1:24">
      <c r="A486" s="2"/>
      <c r="B486" s="18" t="s">
        <v>6</v>
      </c>
      <c r="C486" s="19">
        <f>C487+C488</f>
        <v>30</v>
      </c>
      <c r="D486" s="10"/>
      <c r="E486" s="18" t="s">
        <v>7</v>
      </c>
      <c r="F486" s="6"/>
      <c r="G486" s="9"/>
      <c r="H486" s="10"/>
      <c r="I486" s="10"/>
      <c r="J486" s="10"/>
      <c r="K486" s="20" t="s">
        <v>8</v>
      </c>
      <c r="L486" s="21" t="s">
        <v>9</v>
      </c>
      <c r="M486" s="21" t="s">
        <v>10</v>
      </c>
      <c r="N486" s="20" t="s">
        <v>11</v>
      </c>
      <c r="O486" s="21" t="s">
        <v>12</v>
      </c>
      <c r="P486" s="22" t="s">
        <v>13</v>
      </c>
      <c r="Q486" s="21" t="s">
        <v>11</v>
      </c>
      <c r="R486" s="21" t="s">
        <v>12</v>
      </c>
      <c r="S486" s="22" t="s">
        <v>13</v>
      </c>
      <c r="T486" s="23" t="s">
        <v>14</v>
      </c>
      <c r="U486" s="17"/>
      <c r="V486" s="10"/>
      <c r="W486" s="10"/>
      <c r="X486" s="10"/>
    </row>
    <row r="487" spans="1:24">
      <c r="A487" s="2"/>
      <c r="B487" s="24" t="s">
        <v>15</v>
      </c>
      <c r="C487" s="25">
        <f>P494</f>
        <v>16</v>
      </c>
      <c r="D487" s="10"/>
      <c r="E487" s="26" t="s">
        <v>16</v>
      </c>
      <c r="F487" s="27">
        <v>0.05</v>
      </c>
      <c r="G487" s="28"/>
      <c r="H487" s="10"/>
      <c r="I487" s="10"/>
      <c r="J487" s="18" t="s">
        <v>17</v>
      </c>
      <c r="K487" s="29">
        <f>K524</f>
        <v>12</v>
      </c>
      <c r="L487" s="29">
        <f t="shared" ref="L487:S487" si="88">L524</f>
        <v>12</v>
      </c>
      <c r="M487" s="29">
        <f t="shared" si="88"/>
        <v>8</v>
      </c>
      <c r="N487" s="29">
        <f t="shared" si="88"/>
        <v>12</v>
      </c>
      <c r="O487" s="29">
        <f t="shared" si="88"/>
        <v>12</v>
      </c>
      <c r="P487" s="29">
        <f t="shared" si="88"/>
        <v>12</v>
      </c>
      <c r="Q487" s="29">
        <f t="shared" si="88"/>
        <v>12</v>
      </c>
      <c r="R487" s="29">
        <f t="shared" si="88"/>
        <v>12</v>
      </c>
      <c r="S487" s="29">
        <f t="shared" si="88"/>
        <v>12</v>
      </c>
      <c r="T487" s="30">
        <f>T570</f>
        <v>8</v>
      </c>
      <c r="U487" s="17"/>
      <c r="V487" s="10"/>
      <c r="W487" s="10"/>
      <c r="X487" s="10"/>
    </row>
    <row r="488" spans="1:24">
      <c r="A488" s="2"/>
      <c r="B488" s="24" t="s">
        <v>18</v>
      </c>
      <c r="C488" s="25">
        <f>P495</f>
        <v>14</v>
      </c>
      <c r="D488" s="10"/>
      <c r="E488" s="10"/>
      <c r="F488" s="10"/>
      <c r="G488" s="31"/>
      <c r="H488" s="10"/>
      <c r="I488" s="10"/>
      <c r="J488" s="32" t="s">
        <v>19</v>
      </c>
      <c r="K488" s="33">
        <f>K524/K523</f>
        <v>1</v>
      </c>
      <c r="L488" s="33">
        <f t="shared" ref="L488:S488" si="89">L524/L523</f>
        <v>1</v>
      </c>
      <c r="M488" s="33">
        <f t="shared" si="89"/>
        <v>0.66666666666666663</v>
      </c>
      <c r="N488" s="33">
        <f t="shared" si="89"/>
        <v>1</v>
      </c>
      <c r="O488" s="33">
        <f t="shared" si="89"/>
        <v>1</v>
      </c>
      <c r="P488" s="33">
        <f t="shared" si="89"/>
        <v>1</v>
      </c>
      <c r="Q488" s="33">
        <f t="shared" si="89"/>
        <v>1</v>
      </c>
      <c r="R488" s="33">
        <f t="shared" si="89"/>
        <v>1</v>
      </c>
      <c r="S488" s="33">
        <f t="shared" si="89"/>
        <v>1</v>
      </c>
      <c r="T488" s="23"/>
      <c r="U488" s="17" t="s">
        <v>20</v>
      </c>
      <c r="V488" s="10"/>
      <c r="W488" s="10"/>
      <c r="X488" s="10"/>
    </row>
    <row r="489" spans="1:24">
      <c r="A489" s="2"/>
      <c r="B489" s="24" t="s">
        <v>21</v>
      </c>
      <c r="C489" s="34">
        <f>P496</f>
        <v>0.53333333333333333</v>
      </c>
      <c r="D489" s="10"/>
      <c r="E489" s="10"/>
      <c r="F489" s="10"/>
      <c r="G489" s="10"/>
      <c r="H489" s="10"/>
      <c r="I489" s="10"/>
      <c r="J489" s="10"/>
      <c r="K489" s="10"/>
      <c r="L489" s="10"/>
      <c r="M489" s="10"/>
      <c r="N489" s="10"/>
      <c r="O489" s="10"/>
      <c r="P489" s="10"/>
      <c r="Q489" s="10"/>
      <c r="R489" s="10"/>
      <c r="S489" s="10"/>
      <c r="T489" s="10"/>
      <c r="U489" s="17"/>
      <c r="V489" s="10"/>
      <c r="W489" s="10"/>
      <c r="X489" s="10"/>
    </row>
    <row r="490" spans="1:24">
      <c r="A490" s="2"/>
      <c r="B490" s="24"/>
      <c r="C490" s="25"/>
      <c r="D490" s="10"/>
      <c r="E490" s="10"/>
      <c r="F490" s="18" t="s">
        <v>22</v>
      </c>
      <c r="G490" s="19" t="s">
        <v>23</v>
      </c>
      <c r="H490" s="35" t="s">
        <v>24</v>
      </c>
      <c r="I490" s="10"/>
      <c r="J490" s="10"/>
      <c r="K490" s="36"/>
      <c r="L490" s="36"/>
      <c r="M490" s="36"/>
      <c r="N490" s="36"/>
      <c r="O490" s="36"/>
      <c r="P490" s="36"/>
      <c r="Q490" s="36"/>
      <c r="R490" s="10"/>
      <c r="S490" s="10"/>
      <c r="T490" s="10"/>
      <c r="U490" s="17"/>
      <c r="V490" s="10"/>
      <c r="W490" s="10"/>
      <c r="X490" s="10"/>
    </row>
    <row r="491" spans="1:24">
      <c r="A491" s="2"/>
      <c r="B491" s="32" t="s">
        <v>25</v>
      </c>
      <c r="C491" s="37">
        <f>P497</f>
        <v>4029.33</v>
      </c>
      <c r="D491" s="10"/>
      <c r="E491" s="18" t="s">
        <v>26</v>
      </c>
      <c r="F491" s="38">
        <f>P493</f>
        <v>64469.279999999999</v>
      </c>
      <c r="G491" s="39">
        <f>I523+I532+I538</f>
        <v>64469.279999999999</v>
      </c>
      <c r="H491" s="40"/>
      <c r="I491" s="41"/>
      <c r="J491" s="42"/>
      <c r="K491" s="43" t="s">
        <v>27</v>
      </c>
      <c r="L491" s="44"/>
      <c r="M491" s="44"/>
      <c r="N491" s="44"/>
      <c r="O491" s="44"/>
      <c r="P491" s="44"/>
      <c r="Q491" s="45"/>
      <c r="R491" s="46" t="s">
        <v>28</v>
      </c>
      <c r="S491" s="47" t="s">
        <v>29</v>
      </c>
      <c r="T491" s="10"/>
      <c r="U491" s="17"/>
      <c r="V491" s="10"/>
      <c r="W491" s="10"/>
      <c r="X491" s="10"/>
    </row>
    <row r="492" spans="1:24">
      <c r="A492" s="2"/>
      <c r="B492" s="11"/>
      <c r="C492" s="10"/>
      <c r="D492" s="10"/>
      <c r="E492" s="24" t="s">
        <v>30</v>
      </c>
      <c r="F492" s="48">
        <f>F487</f>
        <v>0.05</v>
      </c>
      <c r="G492" s="17"/>
      <c r="H492" s="40"/>
      <c r="I492" s="41"/>
      <c r="J492" s="42"/>
      <c r="K492" s="20" t="s">
        <v>31</v>
      </c>
      <c r="L492" s="21" t="s">
        <v>32</v>
      </c>
      <c r="M492" s="21" t="s">
        <v>33</v>
      </c>
      <c r="N492" s="21" t="s">
        <v>34</v>
      </c>
      <c r="O492" s="21" t="s">
        <v>35</v>
      </c>
      <c r="P492" s="21" t="s">
        <v>36</v>
      </c>
      <c r="Q492" s="49" t="s">
        <v>37</v>
      </c>
      <c r="R492" s="50" t="s">
        <v>38</v>
      </c>
      <c r="S492" s="50" t="s">
        <v>38</v>
      </c>
      <c r="T492" s="10"/>
      <c r="U492" s="17"/>
      <c r="V492" s="10"/>
      <c r="W492" s="10"/>
      <c r="X492" s="10"/>
    </row>
    <row r="493" spans="1:24">
      <c r="A493" s="2"/>
      <c r="B493" s="11"/>
      <c r="C493" s="10"/>
      <c r="D493" s="10"/>
      <c r="E493" s="51" t="s">
        <v>39</v>
      </c>
      <c r="F493" s="52">
        <f>(F491-I514-I515-I531-I535-I536-I537)*F492</f>
        <v>1393.5244999999998</v>
      </c>
      <c r="G493" s="53" t="s">
        <v>40</v>
      </c>
      <c r="H493" s="54">
        <f>F493/1.12</f>
        <v>1244.2183035714284</v>
      </c>
      <c r="I493" s="55"/>
      <c r="J493" s="42"/>
      <c r="K493" s="56">
        <f>I511+I531</f>
        <v>2635.6</v>
      </c>
      <c r="L493" s="57">
        <f>I512</f>
        <v>4229.83</v>
      </c>
      <c r="M493" s="57">
        <f>I514+I515+I516+I513+I535</f>
        <v>21661.29</v>
      </c>
      <c r="N493" s="57">
        <f>I517+I518+I519+I520+I536</f>
        <v>13082.71</v>
      </c>
      <c r="O493" s="57">
        <f>I521+I522+I537</f>
        <v>22859.85</v>
      </c>
      <c r="P493" s="57">
        <f>SUM(K493:O493)</f>
        <v>64469.279999999999</v>
      </c>
      <c r="Q493" s="58">
        <v>0</v>
      </c>
      <c r="R493" s="59">
        <f>I532+I538</f>
        <v>35042.29</v>
      </c>
      <c r="S493" s="59">
        <v>0</v>
      </c>
      <c r="T493" s="10"/>
      <c r="U493" s="17"/>
      <c r="V493" s="10"/>
      <c r="W493" s="10"/>
      <c r="X493" s="10"/>
    </row>
    <row r="494" spans="1:24">
      <c r="A494" s="2"/>
      <c r="B494" s="11"/>
      <c r="C494" s="10"/>
      <c r="D494" s="10"/>
      <c r="E494" s="24" t="s">
        <v>41</v>
      </c>
      <c r="F494" s="60">
        <f>Q493</f>
        <v>0</v>
      </c>
      <c r="G494" s="61" t="s">
        <v>40</v>
      </c>
      <c r="H494" s="62"/>
      <c r="I494" s="62"/>
      <c r="J494" s="10" t="s">
        <v>42</v>
      </c>
      <c r="K494" s="63">
        <v>2</v>
      </c>
      <c r="L494" s="63">
        <v>1</v>
      </c>
      <c r="M494" s="63">
        <v>5</v>
      </c>
      <c r="N494" s="63">
        <v>5</v>
      </c>
      <c r="O494" s="63">
        <v>3</v>
      </c>
      <c r="P494" s="21">
        <f>SUM(K494:O494)</f>
        <v>16</v>
      </c>
      <c r="Q494" s="64"/>
      <c r="R494" s="63"/>
      <c r="S494" s="10"/>
      <c r="T494" s="10"/>
      <c r="U494" s="17"/>
      <c r="V494" s="10"/>
      <c r="W494" s="10"/>
      <c r="X494" s="10"/>
    </row>
    <row r="495" spans="1:24">
      <c r="A495" s="2"/>
      <c r="B495" s="11"/>
      <c r="C495" s="10"/>
      <c r="D495" s="10"/>
      <c r="E495" s="51" t="s">
        <v>43</v>
      </c>
      <c r="F495" s="52">
        <f>F494*0.25</f>
        <v>0</v>
      </c>
      <c r="G495" s="53" t="s">
        <v>40</v>
      </c>
      <c r="H495" s="54">
        <f>F495/1.12</f>
        <v>0</v>
      </c>
      <c r="I495" s="10"/>
      <c r="J495" s="10" t="s">
        <v>44</v>
      </c>
      <c r="K495" s="63">
        <v>6</v>
      </c>
      <c r="L495" s="63">
        <v>3</v>
      </c>
      <c r="M495" s="63">
        <v>1</v>
      </c>
      <c r="N495" s="63">
        <v>1</v>
      </c>
      <c r="O495" s="63">
        <v>3</v>
      </c>
      <c r="P495" s="21">
        <f>SUM(K495:O495)</f>
        <v>14</v>
      </c>
      <c r="Q495" s="64"/>
      <c r="R495" s="63"/>
      <c r="S495" s="10"/>
      <c r="T495" s="10"/>
      <c r="U495" s="17"/>
      <c r="V495" s="10"/>
      <c r="W495" s="10"/>
      <c r="X495" s="10"/>
    </row>
    <row r="496" spans="1:24">
      <c r="A496" s="2"/>
      <c r="B496" s="11"/>
      <c r="C496" s="10"/>
      <c r="D496" s="10"/>
      <c r="E496" s="24" t="s">
        <v>45</v>
      </c>
      <c r="F496" s="60">
        <f>I528</f>
        <v>3428.32</v>
      </c>
      <c r="G496" s="61" t="s">
        <v>40</v>
      </c>
      <c r="H496" s="62"/>
      <c r="I496" s="10"/>
      <c r="J496" s="10" t="s">
        <v>46</v>
      </c>
      <c r="K496" s="31">
        <f t="shared" ref="K496:Q496" si="90">K494/(K494+K495)</f>
        <v>0.25</v>
      </c>
      <c r="L496" s="31">
        <f t="shared" si="90"/>
        <v>0.25</v>
      </c>
      <c r="M496" s="31">
        <f t="shared" si="90"/>
        <v>0.83333333333333337</v>
      </c>
      <c r="N496" s="31">
        <f t="shared" si="90"/>
        <v>0.83333333333333337</v>
      </c>
      <c r="O496" s="31">
        <f t="shared" si="90"/>
        <v>0.5</v>
      </c>
      <c r="P496" s="31">
        <f t="shared" si="90"/>
        <v>0.53333333333333333</v>
      </c>
      <c r="Q496" s="31" t="e">
        <f t="shared" si="90"/>
        <v>#DIV/0!</v>
      </c>
      <c r="R496" s="63"/>
      <c r="S496" s="10"/>
      <c r="T496" s="10"/>
      <c r="U496" s="17"/>
      <c r="V496" s="10"/>
      <c r="W496" s="10"/>
      <c r="X496" s="10"/>
    </row>
    <row r="497" spans="1:24">
      <c r="A497" s="2"/>
      <c r="B497" s="11"/>
      <c r="C497" s="10"/>
      <c r="D497" s="10"/>
      <c r="E497" s="51" t="s">
        <v>47</v>
      </c>
      <c r="F497" s="52">
        <f>F496*0.05</f>
        <v>171.41600000000003</v>
      </c>
      <c r="G497" s="65" t="s">
        <v>40</v>
      </c>
      <c r="H497" s="54">
        <f>F497/1.12</f>
        <v>153.05000000000001</v>
      </c>
      <c r="I497" s="42"/>
      <c r="J497" s="10" t="s">
        <v>48</v>
      </c>
      <c r="K497" s="66">
        <f>K493/K494</f>
        <v>1317.8</v>
      </c>
      <c r="L497" s="66">
        <f t="shared" ref="L497:Q497" si="91">L493/L494</f>
        <v>4229.83</v>
      </c>
      <c r="M497" s="66">
        <f t="shared" si="91"/>
        <v>4332.2579999999998</v>
      </c>
      <c r="N497" s="66">
        <f t="shared" si="91"/>
        <v>2616.5419999999999</v>
      </c>
      <c r="O497" s="66">
        <f t="shared" si="91"/>
        <v>7619.95</v>
      </c>
      <c r="P497" s="66">
        <f t="shared" si="91"/>
        <v>4029.33</v>
      </c>
      <c r="Q497" s="66" t="e">
        <f t="shared" si="91"/>
        <v>#DIV/0!</v>
      </c>
      <c r="R497" s="63"/>
      <c r="S497" s="10"/>
      <c r="T497" s="10"/>
      <c r="U497" s="17"/>
      <c r="V497" s="10"/>
      <c r="W497" s="10"/>
      <c r="X497" s="10"/>
    </row>
    <row r="498" spans="1:24">
      <c r="A498" s="2"/>
      <c r="B498" s="11"/>
      <c r="C498" s="10"/>
      <c r="D498" s="10"/>
      <c r="E498" s="67" t="s">
        <v>14</v>
      </c>
      <c r="F498" s="68">
        <f>8*50</f>
        <v>400</v>
      </c>
      <c r="G498" s="10"/>
      <c r="H498" s="54">
        <f>F498/1.12</f>
        <v>357.14285714285711</v>
      </c>
      <c r="I498" s="10"/>
      <c r="J498" s="10"/>
      <c r="K498" s="10"/>
      <c r="L498" s="10"/>
      <c r="M498" s="10"/>
      <c r="N498" s="10"/>
      <c r="O498" s="10"/>
      <c r="P498" s="10"/>
      <c r="Q498" s="10"/>
      <c r="R498" s="10"/>
      <c r="S498" s="10"/>
      <c r="T498" s="10"/>
      <c r="U498" s="17"/>
      <c r="V498" s="10"/>
      <c r="W498" s="10"/>
      <c r="X498" s="10"/>
    </row>
    <row r="499" spans="1:24">
      <c r="A499" s="2"/>
      <c r="B499" s="11"/>
      <c r="C499" s="10"/>
      <c r="D499" s="10"/>
      <c r="E499" s="67" t="s">
        <v>49</v>
      </c>
      <c r="F499" s="69">
        <f>T488</f>
        <v>0</v>
      </c>
      <c r="G499" s="10"/>
      <c r="H499" s="54"/>
      <c r="I499" s="55"/>
      <c r="J499" s="42"/>
      <c r="K499" s="764" t="s">
        <v>50</v>
      </c>
      <c r="L499" s="765"/>
      <c r="M499" s="765"/>
      <c r="N499" s="765"/>
      <c r="O499" s="765"/>
      <c r="P499" s="765"/>
      <c r="Q499" s="766"/>
      <c r="R499" s="70" t="s">
        <v>28</v>
      </c>
      <c r="S499" s="71" t="s">
        <v>29</v>
      </c>
      <c r="T499" s="10"/>
      <c r="U499" s="17"/>
      <c r="V499" s="10"/>
      <c r="W499" s="10"/>
      <c r="X499" s="10"/>
    </row>
    <row r="500" spans="1:24">
      <c r="A500" s="2"/>
      <c r="B500" s="11"/>
      <c r="C500" s="10"/>
      <c r="D500" s="10"/>
      <c r="E500" s="67" t="s">
        <v>533</v>
      </c>
      <c r="F500" s="68">
        <f>$F$409</f>
        <v>668.5619999999999</v>
      </c>
      <c r="G500" s="123"/>
      <c r="H500" s="54">
        <f>F500/1.12</f>
        <v>596.93035714285702</v>
      </c>
      <c r="I500" s="10"/>
      <c r="J500" s="42"/>
      <c r="K500" s="20" t="s">
        <v>31</v>
      </c>
      <c r="L500" s="21" t="s">
        <v>32</v>
      </c>
      <c r="M500" s="21" t="s">
        <v>33</v>
      </c>
      <c r="N500" s="21" t="s">
        <v>34</v>
      </c>
      <c r="O500" s="21" t="s">
        <v>35</v>
      </c>
      <c r="P500" s="21" t="s">
        <v>36</v>
      </c>
      <c r="Q500" s="49" t="s">
        <v>37</v>
      </c>
      <c r="R500" s="50" t="s">
        <v>38</v>
      </c>
      <c r="S500" s="50" t="s">
        <v>38</v>
      </c>
      <c r="T500" s="10"/>
      <c r="U500" s="17"/>
      <c r="V500" s="10"/>
      <c r="W500" s="10"/>
      <c r="X500" s="10"/>
    </row>
    <row r="501" spans="1:24">
      <c r="A501" s="2"/>
      <c r="B501" s="11"/>
      <c r="C501" s="10"/>
      <c r="D501" s="10"/>
      <c r="E501" s="155" t="s">
        <v>285</v>
      </c>
      <c r="F501" s="156">
        <f>180/7*2</f>
        <v>51.428571428571431</v>
      </c>
      <c r="G501" s="10"/>
      <c r="H501" s="10"/>
      <c r="I501" s="10"/>
      <c r="J501" s="42"/>
      <c r="K501" s="56">
        <f>F511+F531</f>
        <v>2715</v>
      </c>
      <c r="L501" s="57">
        <f>F512</f>
        <v>6156.9</v>
      </c>
      <c r="M501" s="57">
        <f>F514+F515+F516+F513+F535</f>
        <v>23732.199999999997</v>
      </c>
      <c r="N501" s="57">
        <f>F517+F518+F519+F520+F536</f>
        <v>16830.099999999999</v>
      </c>
      <c r="O501" s="57">
        <f>F521+F522+F537</f>
        <v>30433</v>
      </c>
      <c r="P501" s="57">
        <f>SUM(K501:O501)</f>
        <v>79867.199999999997</v>
      </c>
      <c r="Q501" s="58">
        <v>0</v>
      </c>
      <c r="R501" s="59">
        <f>F532+F538</f>
        <v>45638.3</v>
      </c>
      <c r="S501" s="59">
        <v>0</v>
      </c>
      <c r="T501" s="10"/>
      <c r="U501" s="17"/>
      <c r="V501" s="10"/>
      <c r="W501" s="10"/>
      <c r="X501" s="10"/>
    </row>
    <row r="502" spans="1:24">
      <c r="A502" s="2"/>
      <c r="B502" s="11"/>
      <c r="C502" s="10"/>
      <c r="D502" s="10"/>
      <c r="E502" s="10"/>
      <c r="F502" s="10"/>
      <c r="G502" s="10"/>
      <c r="H502" s="10"/>
      <c r="I502" s="10"/>
      <c r="J502" s="10" t="s">
        <v>42</v>
      </c>
      <c r="K502" s="63">
        <f>K494</f>
        <v>2</v>
      </c>
      <c r="L502" s="63">
        <f t="shared" ref="L502:Q503" si="92">L494</f>
        <v>1</v>
      </c>
      <c r="M502" s="63">
        <f t="shared" si="92"/>
        <v>5</v>
      </c>
      <c r="N502" s="63">
        <f t="shared" si="92"/>
        <v>5</v>
      </c>
      <c r="O502" s="63">
        <f t="shared" si="92"/>
        <v>3</v>
      </c>
      <c r="P502" s="63">
        <f t="shared" si="92"/>
        <v>16</v>
      </c>
      <c r="Q502" s="63">
        <f t="shared" si="92"/>
        <v>0</v>
      </c>
      <c r="R502" s="63"/>
      <c r="S502" s="10"/>
      <c r="T502" s="10"/>
      <c r="U502" s="17"/>
      <c r="V502" s="10"/>
      <c r="W502" s="10"/>
      <c r="X502" s="10"/>
    </row>
    <row r="503" spans="1:24">
      <c r="A503" s="2"/>
      <c r="B503" s="11"/>
      <c r="C503" s="10"/>
      <c r="D503" s="10"/>
      <c r="E503" s="10"/>
      <c r="F503" s="10"/>
      <c r="G503" s="10"/>
      <c r="H503" s="10"/>
      <c r="I503" s="10"/>
      <c r="J503" s="10" t="s">
        <v>44</v>
      </c>
      <c r="K503" s="63">
        <f>K495</f>
        <v>6</v>
      </c>
      <c r="L503" s="63">
        <f t="shared" si="92"/>
        <v>3</v>
      </c>
      <c r="M503" s="63">
        <f t="shared" si="92"/>
        <v>1</v>
      </c>
      <c r="N503" s="63">
        <f t="shared" si="92"/>
        <v>1</v>
      </c>
      <c r="O503" s="63">
        <f t="shared" si="92"/>
        <v>3</v>
      </c>
      <c r="P503" s="63">
        <f t="shared" si="92"/>
        <v>14</v>
      </c>
      <c r="Q503" s="63">
        <f t="shared" si="92"/>
        <v>0</v>
      </c>
      <c r="R503" s="63"/>
      <c r="S503" s="10"/>
      <c r="T503" s="10"/>
      <c r="U503" s="17"/>
      <c r="V503" s="10"/>
      <c r="W503" s="10"/>
      <c r="X503" s="10"/>
    </row>
    <row r="504" spans="1:24">
      <c r="A504" s="2"/>
      <c r="B504" s="11"/>
      <c r="C504" s="10"/>
      <c r="D504" s="10"/>
      <c r="E504" s="10"/>
      <c r="F504" s="10"/>
      <c r="G504" s="10"/>
      <c r="H504" s="10"/>
      <c r="I504" s="10"/>
      <c r="J504" s="10" t="s">
        <v>46</v>
      </c>
      <c r="K504" s="31">
        <f t="shared" ref="K504:Q504" si="93">K502/(K502+K503)</f>
        <v>0.25</v>
      </c>
      <c r="L504" s="31">
        <f t="shared" si="93"/>
        <v>0.25</v>
      </c>
      <c r="M504" s="31">
        <f t="shared" si="93"/>
        <v>0.83333333333333337</v>
      </c>
      <c r="N504" s="31">
        <f t="shared" si="93"/>
        <v>0.83333333333333337</v>
      </c>
      <c r="O504" s="31">
        <f t="shared" si="93"/>
        <v>0.5</v>
      </c>
      <c r="P504" s="31">
        <f t="shared" si="93"/>
        <v>0.53333333333333333</v>
      </c>
      <c r="Q504" s="31" t="e">
        <f t="shared" si="93"/>
        <v>#DIV/0!</v>
      </c>
      <c r="R504" s="63"/>
      <c r="S504" s="10"/>
      <c r="T504" s="10"/>
      <c r="U504" s="17"/>
      <c r="V504" s="10"/>
      <c r="W504" s="10"/>
      <c r="X504" s="10"/>
    </row>
    <row r="505" spans="1:24">
      <c r="A505" s="2"/>
      <c r="B505" s="11"/>
      <c r="C505" s="10"/>
      <c r="D505" s="10"/>
      <c r="E505" s="10"/>
      <c r="F505" s="10"/>
      <c r="G505" s="10"/>
      <c r="H505" s="10"/>
      <c r="I505" s="10"/>
      <c r="J505" s="10" t="s">
        <v>48</v>
      </c>
      <c r="K505" s="66">
        <f t="shared" ref="K505:Q505" si="94">K501/K502</f>
        <v>1357.5</v>
      </c>
      <c r="L505" s="66">
        <f t="shared" si="94"/>
        <v>6156.9</v>
      </c>
      <c r="M505" s="66">
        <f t="shared" si="94"/>
        <v>4746.4399999999996</v>
      </c>
      <c r="N505" s="66">
        <f t="shared" si="94"/>
        <v>3366.0199999999995</v>
      </c>
      <c r="O505" s="66">
        <f t="shared" si="94"/>
        <v>10144.333333333334</v>
      </c>
      <c r="P505" s="66">
        <f t="shared" si="94"/>
        <v>4991.7</v>
      </c>
      <c r="Q505" s="66" t="e">
        <f t="shared" si="94"/>
        <v>#DIV/0!</v>
      </c>
      <c r="R505" s="63"/>
      <c r="S505" s="10"/>
      <c r="T505" s="10"/>
      <c r="U505" s="17"/>
      <c r="V505" s="10"/>
      <c r="W505" s="10"/>
      <c r="X505" s="10"/>
    </row>
    <row r="506" spans="1:24">
      <c r="A506" s="2"/>
      <c r="B506" s="11"/>
      <c r="C506" s="10"/>
      <c r="D506" s="10"/>
      <c r="E506" s="10"/>
      <c r="F506" s="10"/>
      <c r="G506" s="10"/>
      <c r="H506" s="10"/>
      <c r="I506" s="10"/>
      <c r="J506" s="10"/>
      <c r="K506" s="10"/>
      <c r="L506" s="10"/>
      <c r="M506" s="10"/>
      <c r="N506" s="10"/>
      <c r="O506" s="10"/>
      <c r="P506" s="10"/>
      <c r="Q506" s="10"/>
      <c r="R506" s="10"/>
      <c r="S506" s="10"/>
      <c r="T506" s="10"/>
      <c r="U506" s="17"/>
      <c r="V506" s="10"/>
      <c r="W506" s="10"/>
      <c r="X506" s="10"/>
    </row>
    <row r="507" spans="1:24">
      <c r="A507" s="2"/>
      <c r="B507" s="11"/>
      <c r="C507" s="10"/>
      <c r="D507" s="10"/>
      <c r="E507" s="10"/>
      <c r="F507" s="10"/>
      <c r="G507" s="10"/>
      <c r="H507" s="10"/>
      <c r="I507" s="10"/>
      <c r="J507" s="10"/>
      <c r="K507" s="10"/>
      <c r="L507" s="10"/>
      <c r="M507" s="10"/>
      <c r="N507" s="10"/>
      <c r="O507" s="10"/>
      <c r="P507" s="10"/>
      <c r="Q507" s="10"/>
      <c r="R507" s="10"/>
      <c r="S507" s="10"/>
      <c r="T507" s="10"/>
      <c r="U507" s="17"/>
      <c r="V507" s="10"/>
      <c r="W507" s="10"/>
      <c r="X507" s="10"/>
    </row>
    <row r="508" spans="1:24">
      <c r="A508" s="2"/>
      <c r="B508" s="18" t="s">
        <v>51</v>
      </c>
      <c r="C508" s="14"/>
      <c r="D508" s="14"/>
      <c r="E508" s="14"/>
      <c r="F508" s="13" t="s">
        <v>52</v>
      </c>
      <c r="G508" s="14"/>
      <c r="H508" s="14"/>
      <c r="I508" s="14"/>
      <c r="J508" s="14"/>
      <c r="K508" s="13" t="s">
        <v>3</v>
      </c>
      <c r="L508" s="14"/>
      <c r="M508" s="14"/>
      <c r="N508" s="13" t="s">
        <v>4</v>
      </c>
      <c r="O508" s="14"/>
      <c r="P508" s="14"/>
      <c r="Q508" s="13" t="s">
        <v>5</v>
      </c>
      <c r="R508" s="14"/>
      <c r="S508" s="14"/>
      <c r="T508" s="18"/>
      <c r="U508" s="16" t="s">
        <v>53</v>
      </c>
      <c r="V508" s="77"/>
      <c r="W508" s="77"/>
      <c r="X508" s="77"/>
    </row>
    <row r="509" spans="1:24">
      <c r="A509" s="2"/>
      <c r="B509" s="24" t="s">
        <v>54</v>
      </c>
      <c r="C509" s="21" t="s">
        <v>55</v>
      </c>
      <c r="D509" s="21" t="s">
        <v>56</v>
      </c>
      <c r="E509" s="21" t="s">
        <v>57</v>
      </c>
      <c r="F509" s="20" t="s">
        <v>58</v>
      </c>
      <c r="G509" s="21" t="s">
        <v>59</v>
      </c>
      <c r="H509" s="21" t="s">
        <v>60</v>
      </c>
      <c r="I509" s="21" t="s">
        <v>26</v>
      </c>
      <c r="J509" s="22" t="s">
        <v>61</v>
      </c>
      <c r="K509" s="21" t="s">
        <v>8</v>
      </c>
      <c r="L509" s="21" t="s">
        <v>9</v>
      </c>
      <c r="M509" s="21" t="s">
        <v>10</v>
      </c>
      <c r="N509" s="20" t="s">
        <v>11</v>
      </c>
      <c r="O509" s="21" t="s">
        <v>12</v>
      </c>
      <c r="P509" s="22" t="s">
        <v>13</v>
      </c>
      <c r="Q509" s="21" t="s">
        <v>11</v>
      </c>
      <c r="R509" s="21" t="s">
        <v>12</v>
      </c>
      <c r="S509" s="21" t="s">
        <v>13</v>
      </c>
      <c r="T509" s="78" t="s">
        <v>14</v>
      </c>
      <c r="U509" s="30"/>
      <c r="V509" s="79" t="s">
        <v>62</v>
      </c>
      <c r="W509" s="80" t="s">
        <v>63</v>
      </c>
      <c r="X509" s="81" t="s">
        <v>64</v>
      </c>
    </row>
    <row r="510" spans="1:24">
      <c r="A510" s="2"/>
      <c r="B510" s="4" t="s">
        <v>65</v>
      </c>
      <c r="C510" s="6"/>
      <c r="D510" s="6"/>
      <c r="E510" s="6"/>
      <c r="F510" s="6"/>
      <c r="G510" s="6"/>
      <c r="H510" s="6"/>
      <c r="I510" s="82"/>
      <c r="J510" s="6"/>
      <c r="K510" s="6"/>
      <c r="L510" s="6"/>
      <c r="M510" s="6"/>
      <c r="N510" s="6"/>
      <c r="O510" s="6"/>
      <c r="P510" s="6"/>
      <c r="Q510" s="6"/>
      <c r="R510" s="6"/>
      <c r="S510" s="6"/>
      <c r="T510" s="83"/>
      <c r="U510" s="6"/>
      <c r="V510" s="84"/>
      <c r="W510" s="85"/>
      <c r="X510" s="86"/>
    </row>
    <row r="511" spans="1:24">
      <c r="A511" s="2"/>
      <c r="B511" s="87">
        <v>1</v>
      </c>
      <c r="C511" s="274">
        <v>45880</v>
      </c>
      <c r="D511" s="327">
        <v>72186</v>
      </c>
      <c r="E511" s="276" t="s">
        <v>294</v>
      </c>
      <c r="F511" s="277">
        <v>1173</v>
      </c>
      <c r="G511" s="277">
        <v>39.700000000000003</v>
      </c>
      <c r="H511" s="297"/>
      <c r="I511" s="278">
        <f t="shared" ref="I511" si="95">F511-G511-H511</f>
        <v>1133.3</v>
      </c>
      <c r="J511" s="279" t="s">
        <v>374</v>
      </c>
      <c r="K511" s="279">
        <v>1</v>
      </c>
      <c r="L511" s="279">
        <v>1</v>
      </c>
      <c r="M511" s="279">
        <v>1</v>
      </c>
      <c r="N511" s="279">
        <v>1</v>
      </c>
      <c r="O511" s="279">
        <v>1</v>
      </c>
      <c r="P511" s="279">
        <v>1</v>
      </c>
      <c r="Q511" s="279">
        <v>1</v>
      </c>
      <c r="R511" s="279">
        <v>1</v>
      </c>
      <c r="S511" s="280">
        <v>1</v>
      </c>
      <c r="T511" s="21">
        <v>1</v>
      </c>
      <c r="U511" s="10"/>
      <c r="V511" s="90">
        <f>1290.3</f>
        <v>1290.3</v>
      </c>
      <c r="W511" s="91"/>
      <c r="X511" s="92"/>
    </row>
    <row r="512" spans="1:24">
      <c r="A512" s="2"/>
      <c r="B512" s="87">
        <f t="shared" ref="B512:B522" si="96">B511+1</f>
        <v>2</v>
      </c>
      <c r="C512" s="274">
        <v>45881</v>
      </c>
      <c r="D512" s="327">
        <v>72252</v>
      </c>
      <c r="E512" s="276" t="s">
        <v>746</v>
      </c>
      <c r="F512" s="277">
        <v>6156.9</v>
      </c>
      <c r="G512" s="277">
        <f>39.7+(1637.37)+250</f>
        <v>1927.07</v>
      </c>
      <c r="H512" s="277"/>
      <c r="I512" s="278">
        <f t="shared" ref="I512:I520" si="97">F512-G512-H512</f>
        <v>4229.83</v>
      </c>
      <c r="J512" s="279" t="s">
        <v>156</v>
      </c>
      <c r="K512" s="279">
        <v>1</v>
      </c>
      <c r="L512" s="279">
        <v>1</v>
      </c>
      <c r="M512" s="279">
        <v>1</v>
      </c>
      <c r="N512" s="279">
        <v>1</v>
      </c>
      <c r="O512" s="279">
        <v>1</v>
      </c>
      <c r="P512" s="279">
        <v>1</v>
      </c>
      <c r="Q512" s="279">
        <v>1</v>
      </c>
      <c r="R512" s="279">
        <v>1</v>
      </c>
      <c r="S512" s="280">
        <v>1</v>
      </c>
      <c r="T512" s="63"/>
      <c r="U512" s="10"/>
      <c r="V512" s="90">
        <f>677+6095.59</f>
        <v>6772.59</v>
      </c>
      <c r="W512" s="91"/>
      <c r="X512" s="92"/>
    </row>
    <row r="513" spans="1:24" s="260" customFormat="1">
      <c r="A513" s="181"/>
      <c r="B513" s="87">
        <f t="shared" si="96"/>
        <v>3</v>
      </c>
      <c r="C513" s="274">
        <v>45882</v>
      </c>
      <c r="D513" s="327">
        <v>72307</v>
      </c>
      <c r="E513" s="281" t="s">
        <v>2465</v>
      </c>
      <c r="F513" s="277">
        <f>7826-185</f>
        <v>7641</v>
      </c>
      <c r="G513" s="277">
        <f>39.7+750</f>
        <v>789.7</v>
      </c>
      <c r="H513" s="277"/>
      <c r="I513" s="278">
        <f>F513-G513-H513</f>
        <v>6851.3</v>
      </c>
      <c r="J513" s="279" t="s">
        <v>228</v>
      </c>
      <c r="K513" s="279">
        <v>1</v>
      </c>
      <c r="L513" s="279">
        <v>1</v>
      </c>
      <c r="M513" s="279">
        <v>1</v>
      </c>
      <c r="N513" s="279">
        <v>1</v>
      </c>
      <c r="O513" s="279">
        <v>1</v>
      </c>
      <c r="P513" s="279">
        <v>1</v>
      </c>
      <c r="Q513" s="279">
        <v>1</v>
      </c>
      <c r="R513" s="279">
        <v>1</v>
      </c>
      <c r="S513" s="280">
        <v>1</v>
      </c>
      <c r="T513" s="63"/>
      <c r="U513" s="10" t="s">
        <v>2466</v>
      </c>
      <c r="V513" s="90">
        <f>203.5+820+7585.1</f>
        <v>8608.6</v>
      </c>
      <c r="W513" s="91"/>
      <c r="X513" s="92"/>
    </row>
    <row r="514" spans="1:24">
      <c r="A514" s="93"/>
      <c r="B514" s="87">
        <f t="shared" si="96"/>
        <v>4</v>
      </c>
      <c r="C514" s="295">
        <v>45882</v>
      </c>
      <c r="D514" s="323">
        <v>72288</v>
      </c>
      <c r="E514" s="10" t="s">
        <v>211</v>
      </c>
      <c r="F514" s="62">
        <v>774.9</v>
      </c>
      <c r="G514" s="62">
        <f>39.7</f>
        <v>39.700000000000003</v>
      </c>
      <c r="H514" s="62"/>
      <c r="I514" s="369">
        <f t="shared" si="97"/>
        <v>735.19999999999993</v>
      </c>
      <c r="J514" s="63" t="s">
        <v>156</v>
      </c>
      <c r="K514" s="63">
        <v>1</v>
      </c>
      <c r="L514" s="63">
        <v>1</v>
      </c>
      <c r="M514" s="63">
        <v>1</v>
      </c>
      <c r="N514" s="63">
        <v>1</v>
      </c>
      <c r="O514" s="63">
        <v>1</v>
      </c>
      <c r="P514" s="63">
        <v>1</v>
      </c>
      <c r="Q514" s="63">
        <v>1</v>
      </c>
      <c r="R514" s="63">
        <v>1</v>
      </c>
      <c r="S514" s="296">
        <v>1</v>
      </c>
      <c r="T514" s="63"/>
      <c r="U514" s="10" t="s">
        <v>2467</v>
      </c>
      <c r="V514" s="90">
        <f>852.39</f>
        <v>852.39</v>
      </c>
      <c r="W514" s="91"/>
      <c r="X514" s="92"/>
    </row>
    <row r="515" spans="1:24">
      <c r="A515" s="2"/>
      <c r="B515" s="87">
        <f t="shared" si="96"/>
        <v>5</v>
      </c>
      <c r="C515" s="295">
        <v>45882</v>
      </c>
      <c r="D515" s="323">
        <v>72262</v>
      </c>
      <c r="E515" s="94" t="s">
        <v>169</v>
      </c>
      <c r="F515" s="62">
        <v>861</v>
      </c>
      <c r="G515" s="62">
        <f>39.7</f>
        <v>39.700000000000003</v>
      </c>
      <c r="H515" s="62"/>
      <c r="I515" s="369">
        <f t="shared" si="97"/>
        <v>821.3</v>
      </c>
      <c r="J515" s="63" t="s">
        <v>156</v>
      </c>
      <c r="K515" s="63">
        <v>1</v>
      </c>
      <c r="L515" s="63">
        <v>1</v>
      </c>
      <c r="M515" s="63">
        <v>1</v>
      </c>
      <c r="N515" s="63">
        <v>1</v>
      </c>
      <c r="O515" s="63">
        <v>1</v>
      </c>
      <c r="P515" s="63">
        <v>1</v>
      </c>
      <c r="Q515" s="63">
        <v>1</v>
      </c>
      <c r="R515" s="63">
        <v>1</v>
      </c>
      <c r="S515" s="296">
        <v>1</v>
      </c>
      <c r="T515" s="21">
        <v>1</v>
      </c>
      <c r="U515" s="10" t="s">
        <v>2468</v>
      </c>
      <c r="V515" s="90">
        <f>947.1</f>
        <v>947.1</v>
      </c>
      <c r="W515" s="91"/>
      <c r="X515" s="92"/>
    </row>
    <row r="516" spans="1:24">
      <c r="A516" s="388">
        <v>45883</v>
      </c>
      <c r="B516" s="87">
        <f t="shared" si="96"/>
        <v>6</v>
      </c>
      <c r="C516" s="282">
        <v>45882</v>
      </c>
      <c r="D516" s="368">
        <v>72305</v>
      </c>
      <c r="E516" s="283" t="s">
        <v>172</v>
      </c>
      <c r="F516" s="284">
        <v>5814</v>
      </c>
      <c r="G516" s="284">
        <f>39.7+(122.41)+250</f>
        <v>412.11</v>
      </c>
      <c r="H516" s="284"/>
      <c r="I516" s="285">
        <f t="shared" ref="I516" si="98">F516-G516-H516</f>
        <v>5401.89</v>
      </c>
      <c r="J516" s="286" t="s">
        <v>228</v>
      </c>
      <c r="K516" s="286">
        <v>1</v>
      </c>
      <c r="L516" s="286">
        <v>1</v>
      </c>
      <c r="M516" s="286">
        <v>1</v>
      </c>
      <c r="N516" s="286">
        <v>1</v>
      </c>
      <c r="O516" s="286">
        <v>1</v>
      </c>
      <c r="P516" s="286">
        <v>1</v>
      </c>
      <c r="Q516" s="286">
        <v>1</v>
      </c>
      <c r="R516" s="286">
        <v>1</v>
      </c>
      <c r="S516" s="287">
        <v>1</v>
      </c>
      <c r="T516" s="63"/>
      <c r="U516" s="94" t="s">
        <v>2469</v>
      </c>
      <c r="V516" s="90">
        <f>639.2+5756.2</f>
        <v>6395.4</v>
      </c>
      <c r="W516" s="91"/>
      <c r="X516" s="92"/>
    </row>
    <row r="517" spans="1:24">
      <c r="A517" s="2"/>
      <c r="B517" s="87">
        <f t="shared" si="96"/>
        <v>7</v>
      </c>
      <c r="C517" s="295">
        <v>45883</v>
      </c>
      <c r="D517" s="323">
        <v>72302</v>
      </c>
      <c r="E517" s="10" t="s">
        <v>155</v>
      </c>
      <c r="F517" s="62">
        <v>6132.6</v>
      </c>
      <c r="G517" s="62">
        <f>39.7+(1105.43)+250</f>
        <v>1395.13</v>
      </c>
      <c r="H517" s="62"/>
      <c r="I517" s="324">
        <f>F517-G517-H517</f>
        <v>4737.47</v>
      </c>
      <c r="J517" s="63" t="s">
        <v>228</v>
      </c>
      <c r="K517" s="63">
        <v>1</v>
      </c>
      <c r="L517" s="63">
        <v>1</v>
      </c>
      <c r="M517" s="325">
        <v>0</v>
      </c>
      <c r="N517" s="63">
        <v>1</v>
      </c>
      <c r="O517" s="63">
        <v>1</v>
      </c>
      <c r="P517" s="63">
        <v>1</v>
      </c>
      <c r="Q517" s="63">
        <v>1</v>
      </c>
      <c r="R517" s="63">
        <v>1</v>
      </c>
      <c r="S517" s="296">
        <v>1</v>
      </c>
      <c r="T517" s="21">
        <v>1</v>
      </c>
      <c r="U517" s="10"/>
      <c r="V517" s="90">
        <f>674+6071.86</f>
        <v>6745.86</v>
      </c>
      <c r="W517" s="91"/>
      <c r="X517" s="92"/>
    </row>
    <row r="518" spans="1:24">
      <c r="A518" s="2"/>
      <c r="B518" s="87">
        <f t="shared" si="96"/>
        <v>8</v>
      </c>
      <c r="C518" s="295">
        <v>45883</v>
      </c>
      <c r="D518" s="323">
        <v>72337</v>
      </c>
      <c r="E518" s="10" t="s">
        <v>158</v>
      </c>
      <c r="F518" s="62">
        <v>1351.8</v>
      </c>
      <c r="G518" s="62">
        <f>39.7</f>
        <v>39.700000000000003</v>
      </c>
      <c r="H518" s="88"/>
      <c r="I518" s="324">
        <f>F518-G518-H518</f>
        <v>1312.1</v>
      </c>
      <c r="J518" s="63" t="s">
        <v>156</v>
      </c>
      <c r="K518" s="63">
        <v>1</v>
      </c>
      <c r="L518" s="63">
        <v>1</v>
      </c>
      <c r="M518" s="325">
        <v>0</v>
      </c>
      <c r="N518" s="63">
        <v>1</v>
      </c>
      <c r="O518" s="63">
        <v>1</v>
      </c>
      <c r="P518" s="63">
        <v>1</v>
      </c>
      <c r="Q518" s="63">
        <v>1</v>
      </c>
      <c r="R518" s="63">
        <v>1</v>
      </c>
      <c r="S518" s="296">
        <v>1</v>
      </c>
      <c r="T518" s="21">
        <v>1</v>
      </c>
      <c r="U518" s="10"/>
      <c r="V518" s="90">
        <f>1486.98</f>
        <v>1486.98</v>
      </c>
      <c r="W518" s="91"/>
      <c r="X518" s="92"/>
    </row>
    <row r="519" spans="1:24">
      <c r="A519" s="2"/>
      <c r="B519" s="87">
        <f t="shared" si="96"/>
        <v>9</v>
      </c>
      <c r="C519" s="295">
        <v>45883</v>
      </c>
      <c r="D519" s="323">
        <v>72322</v>
      </c>
      <c r="E519" s="10" t="s">
        <v>203</v>
      </c>
      <c r="F519" s="62">
        <v>1152.9000000000001</v>
      </c>
      <c r="G519" s="62">
        <f>39.7</f>
        <v>39.700000000000003</v>
      </c>
      <c r="H519" s="88"/>
      <c r="I519" s="324">
        <f t="shared" si="97"/>
        <v>1113.2</v>
      </c>
      <c r="J519" s="63" t="s">
        <v>156</v>
      </c>
      <c r="K519" s="63">
        <v>1</v>
      </c>
      <c r="L519" s="63">
        <v>1</v>
      </c>
      <c r="M519" s="325">
        <v>0</v>
      </c>
      <c r="N519" s="63">
        <v>1</v>
      </c>
      <c r="O519" s="63">
        <v>1</v>
      </c>
      <c r="P519" s="63">
        <v>1</v>
      </c>
      <c r="Q519" s="63">
        <v>1</v>
      </c>
      <c r="R519" s="63">
        <v>1</v>
      </c>
      <c r="S519" s="296">
        <v>1</v>
      </c>
      <c r="T519" s="21">
        <v>1</v>
      </c>
      <c r="U519" s="10" t="s">
        <v>2470</v>
      </c>
      <c r="V519" s="90">
        <f>1268.19</f>
        <v>1268.19</v>
      </c>
      <c r="W519" s="91"/>
      <c r="X519" s="92"/>
    </row>
    <row r="520" spans="1:24">
      <c r="A520" s="2"/>
      <c r="B520" s="87">
        <f t="shared" si="96"/>
        <v>10</v>
      </c>
      <c r="C520" s="282">
        <v>45883</v>
      </c>
      <c r="D520" s="368">
        <v>72337</v>
      </c>
      <c r="E520" s="283" t="s">
        <v>158</v>
      </c>
      <c r="F520" s="284">
        <v>1351.8</v>
      </c>
      <c r="G520" s="284">
        <f>39.7</f>
        <v>39.700000000000003</v>
      </c>
      <c r="H520" s="315"/>
      <c r="I520" s="300">
        <f t="shared" si="97"/>
        <v>1312.1</v>
      </c>
      <c r="J520" s="286" t="s">
        <v>156</v>
      </c>
      <c r="K520" s="286">
        <v>1</v>
      </c>
      <c r="L520" s="286">
        <v>1</v>
      </c>
      <c r="M520" s="332">
        <v>0</v>
      </c>
      <c r="N520" s="286">
        <v>1</v>
      </c>
      <c r="O520" s="286">
        <v>1</v>
      </c>
      <c r="P520" s="286">
        <v>1</v>
      </c>
      <c r="Q520" s="286">
        <v>1</v>
      </c>
      <c r="R520" s="286">
        <v>1</v>
      </c>
      <c r="S520" s="287">
        <v>1</v>
      </c>
      <c r="T520" s="21">
        <v>1</v>
      </c>
      <c r="U520" s="10" t="s">
        <v>479</v>
      </c>
      <c r="V520" s="90">
        <f>1486.98</f>
        <v>1486.98</v>
      </c>
      <c r="W520" s="91"/>
      <c r="X520" s="92"/>
    </row>
    <row r="521" spans="1:24">
      <c r="A521" s="2"/>
      <c r="B521" s="87">
        <f t="shared" si="96"/>
        <v>11</v>
      </c>
      <c r="C521" s="274">
        <v>45884</v>
      </c>
      <c r="D521" s="327">
        <v>72260</v>
      </c>
      <c r="E521" s="281" t="s">
        <v>401</v>
      </c>
      <c r="F521" s="277">
        <v>681</v>
      </c>
      <c r="G521" s="277"/>
      <c r="H521" s="277"/>
      <c r="I521" s="278">
        <f>F521-G521-H521</f>
        <v>681</v>
      </c>
      <c r="J521" s="279" t="s">
        <v>374</v>
      </c>
      <c r="K521" s="279">
        <v>1</v>
      </c>
      <c r="L521" s="279">
        <v>1</v>
      </c>
      <c r="M521" s="279">
        <v>1</v>
      </c>
      <c r="N521" s="279">
        <v>1</v>
      </c>
      <c r="O521" s="279">
        <v>1</v>
      </c>
      <c r="P521" s="279">
        <v>1</v>
      </c>
      <c r="Q521" s="279">
        <v>1</v>
      </c>
      <c r="R521" s="279">
        <v>1</v>
      </c>
      <c r="S521" s="280">
        <v>1</v>
      </c>
      <c r="T521" s="21">
        <v>1</v>
      </c>
      <c r="U521" s="10" t="s">
        <v>2471</v>
      </c>
      <c r="V521" s="90">
        <v>749.1</v>
      </c>
      <c r="W521" s="91"/>
      <c r="X521" s="92"/>
    </row>
    <row r="522" spans="1:24" s="260" customFormat="1">
      <c r="A522" s="181"/>
      <c r="B522" s="87">
        <f t="shared" si="96"/>
        <v>12</v>
      </c>
      <c r="C522" s="282">
        <v>45884</v>
      </c>
      <c r="D522" s="368">
        <v>72321</v>
      </c>
      <c r="E522" s="319" t="s">
        <v>407</v>
      </c>
      <c r="F522" s="284">
        <v>1138</v>
      </c>
      <c r="G522" s="284">
        <f>39.7</f>
        <v>39.700000000000003</v>
      </c>
      <c r="H522" s="284"/>
      <c r="I522" s="285">
        <f>F522-G522-H522</f>
        <v>1098.3</v>
      </c>
      <c r="J522" s="286" t="s">
        <v>374</v>
      </c>
      <c r="K522" s="286">
        <v>1</v>
      </c>
      <c r="L522" s="286">
        <v>1</v>
      </c>
      <c r="M522" s="286">
        <v>1</v>
      </c>
      <c r="N522" s="286">
        <v>1</v>
      </c>
      <c r="O522" s="286">
        <v>1</v>
      </c>
      <c r="P522" s="286">
        <v>1</v>
      </c>
      <c r="Q522" s="286">
        <v>1</v>
      </c>
      <c r="R522" s="286">
        <v>1</v>
      </c>
      <c r="S522" s="287">
        <v>1</v>
      </c>
      <c r="T522" s="63"/>
      <c r="U522" s="10" t="s">
        <v>2472</v>
      </c>
      <c r="V522" s="90">
        <v>1251.8</v>
      </c>
      <c r="W522" s="91"/>
      <c r="X522" s="92"/>
    </row>
    <row r="523" spans="1:24">
      <c r="A523" s="2"/>
      <c r="B523" s="87"/>
      <c r="C523" s="36"/>
      <c r="D523" s="10"/>
      <c r="E523" s="10"/>
      <c r="F523" s="98">
        <f>SUM(F511:F522)</f>
        <v>34228.9</v>
      </c>
      <c r="G523" s="98">
        <f>SUM(G511:G522)</f>
        <v>4801.91</v>
      </c>
      <c r="H523" s="98">
        <f>SUM(H511:H522)</f>
        <v>0</v>
      </c>
      <c r="I523" s="98">
        <f>SUM(I511:I522)</f>
        <v>29426.989999999998</v>
      </c>
      <c r="J523" s="63"/>
      <c r="K523" s="63">
        <f>COUNT(K511:K522)</f>
        <v>12</v>
      </c>
      <c r="L523" s="63">
        <f>COUNT(L511:L522)</f>
        <v>12</v>
      </c>
      <c r="M523" s="63">
        <f>COUNT(M511:M522)</f>
        <v>12</v>
      </c>
      <c r="N523" s="63">
        <f>COUNT(N511:N522)</f>
        <v>12</v>
      </c>
      <c r="O523" s="63">
        <f>COUNT(O511:O522)</f>
        <v>12</v>
      </c>
      <c r="P523" s="63">
        <f>COUNT(P511:P522)</f>
        <v>12</v>
      </c>
      <c r="Q523" s="63">
        <f>COUNT(Q511:Q522)</f>
        <v>12</v>
      </c>
      <c r="R523" s="63">
        <f>COUNT(R511:R522)</f>
        <v>12</v>
      </c>
      <c r="S523" s="63">
        <f>COUNT(S511:S522)</f>
        <v>12</v>
      </c>
      <c r="T523" s="63"/>
      <c r="U523" s="10"/>
      <c r="V523" s="90"/>
      <c r="W523" s="91"/>
      <c r="X523" s="92"/>
    </row>
    <row r="524" spans="1:24">
      <c r="A524" s="2"/>
      <c r="B524" s="87"/>
      <c r="C524" s="36"/>
      <c r="D524" s="10"/>
      <c r="E524" s="10"/>
      <c r="F524" s="88"/>
      <c r="G524" s="88"/>
      <c r="H524" s="88"/>
      <c r="I524" s="99"/>
      <c r="J524" s="63"/>
      <c r="K524" s="21">
        <f>SUM(K511:K522)</f>
        <v>12</v>
      </c>
      <c r="L524" s="21">
        <f>SUM(L511:L522)</f>
        <v>12</v>
      </c>
      <c r="M524" s="21">
        <f>SUM(M511:M522)</f>
        <v>8</v>
      </c>
      <c r="N524" s="21">
        <f>SUM(N511:N522)</f>
        <v>12</v>
      </c>
      <c r="O524" s="21">
        <f>SUM(O511:O522)</f>
        <v>12</v>
      </c>
      <c r="P524" s="21">
        <f>SUM(P511:P522)</f>
        <v>12</v>
      </c>
      <c r="Q524" s="21">
        <f>SUM(Q511:Q522)</f>
        <v>12</v>
      </c>
      <c r="R524" s="21">
        <f>SUM(R511:R522)</f>
        <v>12</v>
      </c>
      <c r="S524" s="21">
        <f>SUM(S511:S522)</f>
        <v>12</v>
      </c>
      <c r="T524" s="63"/>
      <c r="U524" s="10"/>
      <c r="V524" s="90"/>
      <c r="W524" s="91"/>
      <c r="X524" s="92"/>
    </row>
    <row r="525" spans="1:24">
      <c r="A525" s="2"/>
      <c r="B525" s="11"/>
      <c r="C525" s="36"/>
      <c r="D525" s="10"/>
      <c r="E525" s="10"/>
      <c r="F525" s="88"/>
      <c r="G525" s="88"/>
      <c r="H525" s="88"/>
      <c r="I525" s="99"/>
      <c r="J525" s="63"/>
      <c r="K525" s="21"/>
      <c r="L525" s="21"/>
      <c r="M525" s="21"/>
      <c r="N525" s="21"/>
      <c r="O525" s="21"/>
      <c r="P525" s="21"/>
      <c r="Q525" s="21"/>
      <c r="R525" s="21"/>
      <c r="S525" s="21"/>
      <c r="T525" s="63"/>
      <c r="U525" s="10"/>
      <c r="V525" s="90"/>
      <c r="W525" s="91"/>
      <c r="X525" s="92"/>
    </row>
    <row r="526" spans="1:24">
      <c r="A526" s="2"/>
      <c r="B526" s="100" t="s">
        <v>67</v>
      </c>
      <c r="C526" s="36"/>
      <c r="D526" s="10"/>
      <c r="E526" s="10"/>
      <c r="F526" s="88"/>
      <c r="G526" s="62"/>
      <c r="H526" s="88"/>
      <c r="I526" s="99"/>
      <c r="J526" s="63"/>
      <c r="K526" s="2"/>
      <c r="L526" s="2"/>
      <c r="M526" s="2"/>
      <c r="N526" s="2"/>
      <c r="O526" s="2"/>
      <c r="P526" s="2"/>
      <c r="Q526" s="2"/>
      <c r="R526" s="2"/>
      <c r="S526" s="2"/>
      <c r="T526" s="63"/>
      <c r="U526" s="94"/>
      <c r="V526" s="90"/>
      <c r="W526" s="91"/>
      <c r="X526" s="92"/>
    </row>
    <row r="527" spans="1:24">
      <c r="A527" s="261" t="s">
        <v>2473</v>
      </c>
      <c r="B527" s="87">
        <v>1</v>
      </c>
      <c r="C527" s="262">
        <v>45876</v>
      </c>
      <c r="D527" s="263">
        <v>72130</v>
      </c>
      <c r="E527" s="271" t="s">
        <v>294</v>
      </c>
      <c r="F527" s="265">
        <v>3834.9</v>
      </c>
      <c r="G527" s="265">
        <f>39.7+(34.36+32.52)+300</f>
        <v>406.58</v>
      </c>
      <c r="H527" s="265"/>
      <c r="I527" s="266">
        <f>F527-G527-H527</f>
        <v>3428.32</v>
      </c>
      <c r="J527" s="267" t="s">
        <v>374</v>
      </c>
      <c r="K527" s="267">
        <v>1</v>
      </c>
      <c r="L527" s="267">
        <v>1</v>
      </c>
      <c r="M527" s="267">
        <v>1</v>
      </c>
      <c r="N527" s="267">
        <v>1</v>
      </c>
      <c r="O527" s="267">
        <v>1</v>
      </c>
      <c r="P527" s="267">
        <v>1</v>
      </c>
      <c r="Q527" s="314">
        <v>0</v>
      </c>
      <c r="R527" s="314">
        <v>0</v>
      </c>
      <c r="S527" s="366">
        <v>0</v>
      </c>
      <c r="T527" s="63"/>
      <c r="U527" s="94" t="s">
        <v>2474</v>
      </c>
      <c r="V527" s="90">
        <f>2298.39</f>
        <v>2298.39</v>
      </c>
      <c r="W527" s="136"/>
      <c r="X527" s="137"/>
    </row>
    <row r="528" spans="1:24">
      <c r="A528" s="2"/>
      <c r="B528" s="11"/>
      <c r="C528" s="36"/>
      <c r="D528" s="10"/>
      <c r="E528" s="10"/>
      <c r="F528" s="97">
        <f>SUM(F527:F527)</f>
        <v>3834.9</v>
      </c>
      <c r="G528" s="97">
        <f>SUM(G527:G527)</f>
        <v>406.58</v>
      </c>
      <c r="H528" s="97">
        <f>SUM(H527:H527)</f>
        <v>0</v>
      </c>
      <c r="I528" s="98">
        <f>SUM(I527:I527)</f>
        <v>3428.32</v>
      </c>
      <c r="J528" s="63"/>
      <c r="K528" s="21"/>
      <c r="L528" s="21"/>
      <c r="M528" s="21"/>
      <c r="N528" s="21"/>
      <c r="O528" s="21"/>
      <c r="P528" s="21"/>
      <c r="Q528" s="21"/>
      <c r="R528" s="21"/>
      <c r="S528" s="21"/>
      <c r="T528" s="63"/>
      <c r="U528" s="94"/>
      <c r="V528" s="90"/>
      <c r="W528" s="91"/>
      <c r="X528" s="92"/>
    </row>
    <row r="529" spans="1:24">
      <c r="A529" s="2"/>
      <c r="B529" s="11"/>
      <c r="C529" s="36"/>
      <c r="D529" s="10"/>
      <c r="E529" s="10"/>
      <c r="F529" s="88"/>
      <c r="G529" s="88"/>
      <c r="H529" s="88"/>
      <c r="I529" s="99"/>
      <c r="J529" s="63"/>
      <c r="K529" s="21"/>
      <c r="L529" s="21"/>
      <c r="M529" s="21"/>
      <c r="N529" s="21"/>
      <c r="O529" s="21"/>
      <c r="P529" s="21"/>
      <c r="Q529" s="21"/>
      <c r="R529" s="21"/>
      <c r="S529" s="21"/>
      <c r="T529" s="63"/>
      <c r="U529" s="94"/>
      <c r="V529" s="90"/>
      <c r="W529" s="91"/>
      <c r="X529" s="92"/>
    </row>
    <row r="530" spans="1:24" s="342" customFormat="1">
      <c r="A530" s="128"/>
      <c r="B530" s="121" t="s">
        <v>68</v>
      </c>
      <c r="C530" s="122"/>
      <c r="D530" s="123"/>
      <c r="E530" s="123"/>
      <c r="F530" s="124"/>
      <c r="G530" s="125"/>
      <c r="H530" s="124"/>
      <c r="I530" s="126"/>
      <c r="J530" s="127"/>
      <c r="K530" s="128"/>
      <c r="L530" s="128"/>
      <c r="M530" s="128"/>
      <c r="N530" s="128"/>
      <c r="O530" s="128"/>
      <c r="P530" s="128"/>
      <c r="Q530" s="128"/>
      <c r="R530" s="128"/>
      <c r="S530" s="128"/>
      <c r="T530" s="127"/>
      <c r="U530" s="123"/>
      <c r="V530" s="129"/>
      <c r="W530" s="130"/>
      <c r="X530" s="131"/>
    </row>
    <row r="531" spans="1:24" s="342" customFormat="1">
      <c r="A531" s="356">
        <v>0.05</v>
      </c>
      <c r="B531" s="333">
        <v>1</v>
      </c>
      <c r="C531" s="350">
        <v>45880</v>
      </c>
      <c r="D531" s="357" t="s">
        <v>2475</v>
      </c>
      <c r="E531" s="351" t="s">
        <v>294</v>
      </c>
      <c r="F531" s="352">
        <v>1542</v>
      </c>
      <c r="G531" s="352">
        <f>39.7</f>
        <v>39.700000000000003</v>
      </c>
      <c r="H531" s="352"/>
      <c r="I531" s="353">
        <f t="shared" ref="I531" si="99">F531-G531-H531</f>
        <v>1502.3</v>
      </c>
      <c r="J531" s="354" t="s">
        <v>156</v>
      </c>
      <c r="K531" s="354">
        <v>1</v>
      </c>
      <c r="L531" s="314">
        <v>0</v>
      </c>
      <c r="M531" s="354">
        <v>1</v>
      </c>
      <c r="N531" s="354">
        <v>1</v>
      </c>
      <c r="O531" s="354">
        <v>1</v>
      </c>
      <c r="P531" s="354">
        <v>1</v>
      </c>
      <c r="Q531" s="354">
        <v>1</v>
      </c>
      <c r="R531" s="354">
        <v>1</v>
      </c>
      <c r="S531" s="355">
        <v>1</v>
      </c>
      <c r="T531" s="127"/>
      <c r="U531" s="123" t="s">
        <v>2476</v>
      </c>
      <c r="V531" s="129">
        <f>160</f>
        <v>160</v>
      </c>
      <c r="W531" s="130"/>
      <c r="X531" s="131"/>
    </row>
    <row r="532" spans="1:24" s="342" customFormat="1">
      <c r="A532" s="128"/>
      <c r="B532" s="132"/>
      <c r="C532" s="122"/>
      <c r="D532" s="123"/>
      <c r="E532" s="123"/>
      <c r="F532" s="134">
        <f>SUM(F531:F531)</f>
        <v>1542</v>
      </c>
      <c r="G532" s="134">
        <f>SUM(G531:G531)</f>
        <v>39.700000000000003</v>
      </c>
      <c r="H532" s="134">
        <f>SUM(H531:H531)</f>
        <v>0</v>
      </c>
      <c r="I532" s="134">
        <f>SUM(I531:I531)</f>
        <v>1502.3</v>
      </c>
      <c r="J532" s="127"/>
      <c r="K532" s="64"/>
      <c r="L532" s="64"/>
      <c r="M532" s="64"/>
      <c r="N532" s="64"/>
      <c r="O532" s="64"/>
      <c r="P532" s="64"/>
      <c r="Q532" s="64"/>
      <c r="R532" s="64"/>
      <c r="S532" s="64"/>
      <c r="T532" s="127"/>
      <c r="U532" s="123"/>
      <c r="V532" s="129"/>
      <c r="W532" s="130"/>
      <c r="X532" s="131"/>
    </row>
    <row r="533" spans="1:24" s="342" customFormat="1">
      <c r="A533" s="128"/>
      <c r="B533" s="132"/>
      <c r="C533" s="122"/>
      <c r="D533" s="123"/>
      <c r="E533" s="123"/>
      <c r="F533" s="124"/>
      <c r="G533" s="124"/>
      <c r="H533" s="124"/>
      <c r="I533" s="126"/>
      <c r="J533" s="127"/>
      <c r="K533" s="64"/>
      <c r="L533" s="64"/>
      <c r="M533" s="64"/>
      <c r="N533" s="64"/>
      <c r="O533" s="64"/>
      <c r="P533" s="64"/>
      <c r="Q533" s="64"/>
      <c r="R533" s="64"/>
      <c r="S533" s="64"/>
      <c r="T533" s="127"/>
      <c r="U533" s="123"/>
      <c r="V533" s="129"/>
      <c r="W533" s="130"/>
      <c r="X533" s="131"/>
    </row>
    <row r="534" spans="1:24" s="342" customFormat="1">
      <c r="A534" s="128"/>
      <c r="B534" s="121" t="s">
        <v>70</v>
      </c>
      <c r="C534" s="122"/>
      <c r="D534" s="123"/>
      <c r="E534" s="128"/>
      <c r="F534" s="124"/>
      <c r="G534" s="124"/>
      <c r="H534" s="124"/>
      <c r="I534" s="126"/>
      <c r="J534" s="127"/>
      <c r="K534" s="64"/>
      <c r="L534" s="64"/>
      <c r="M534" s="64"/>
      <c r="N534" s="64"/>
      <c r="O534" s="64"/>
      <c r="P534" s="64"/>
      <c r="Q534" s="64"/>
      <c r="R534" s="64"/>
      <c r="S534" s="64"/>
      <c r="T534" s="127"/>
      <c r="U534" s="135"/>
      <c r="V534" s="129"/>
      <c r="W534" s="130"/>
      <c r="X534" s="131"/>
    </row>
    <row r="535" spans="1:24" s="342" customFormat="1">
      <c r="A535" s="356">
        <v>0.05</v>
      </c>
      <c r="B535" s="333">
        <v>1</v>
      </c>
      <c r="C535" s="334">
        <v>45882</v>
      </c>
      <c r="D535" s="327">
        <v>72290</v>
      </c>
      <c r="E535" s="335" t="s">
        <v>1731</v>
      </c>
      <c r="F535" s="336">
        <v>8641.2999999999993</v>
      </c>
      <c r="G535" s="336">
        <f>39.7+750</f>
        <v>789.7</v>
      </c>
      <c r="H535" s="336"/>
      <c r="I535" s="337">
        <f>F535-G535-H535</f>
        <v>7851.5999999999995</v>
      </c>
      <c r="J535" s="338" t="s">
        <v>228</v>
      </c>
      <c r="K535" s="338">
        <v>1</v>
      </c>
      <c r="L535" s="338"/>
      <c r="M535" s="338">
        <v>1</v>
      </c>
      <c r="N535" s="338">
        <v>1</v>
      </c>
      <c r="O535" s="338">
        <v>1</v>
      </c>
      <c r="P535" s="338">
        <v>1</v>
      </c>
      <c r="Q535" s="338"/>
      <c r="R535" s="338"/>
      <c r="S535" s="339"/>
      <c r="T535" s="127"/>
      <c r="U535" s="135" t="s">
        <v>2477</v>
      </c>
      <c r="V535" s="129">
        <f>950+3500</f>
        <v>4450</v>
      </c>
      <c r="W535" s="340"/>
      <c r="X535" s="341"/>
    </row>
    <row r="536" spans="1:24" s="342" customFormat="1">
      <c r="A536" s="356">
        <v>0.05</v>
      </c>
      <c r="B536" s="333">
        <f>B535+1</f>
        <v>2</v>
      </c>
      <c r="C536" s="334">
        <v>45883</v>
      </c>
      <c r="D536" s="327">
        <v>72318</v>
      </c>
      <c r="E536" s="335" t="s">
        <v>813</v>
      </c>
      <c r="F536" s="336">
        <v>6841</v>
      </c>
      <c r="G536" s="336">
        <f>39.7+(58.93+886.83+38.72+967.64-8.66)+250</f>
        <v>2233.16</v>
      </c>
      <c r="H536" s="336"/>
      <c r="I536" s="337">
        <f>F536-G536-H536</f>
        <v>4607.84</v>
      </c>
      <c r="J536" s="338" t="s">
        <v>156</v>
      </c>
      <c r="K536" s="338">
        <v>1</v>
      </c>
      <c r="L536" s="338"/>
      <c r="M536" s="338">
        <v>1</v>
      </c>
      <c r="N536" s="338">
        <v>1</v>
      </c>
      <c r="O536" s="338">
        <v>1</v>
      </c>
      <c r="P536" s="338">
        <v>1</v>
      </c>
      <c r="Q536" s="338"/>
      <c r="R536" s="338"/>
      <c r="S536" s="339"/>
      <c r="T536" s="127"/>
      <c r="U536" s="135" t="s">
        <v>2478</v>
      </c>
      <c r="V536" s="129">
        <f>750</f>
        <v>750</v>
      </c>
      <c r="W536" s="340"/>
      <c r="X536" s="341"/>
    </row>
    <row r="537" spans="1:24" s="342" customFormat="1">
      <c r="A537" s="356">
        <v>0.05</v>
      </c>
      <c r="B537" s="333">
        <f>B536+1</f>
        <v>3</v>
      </c>
      <c r="C537" s="350">
        <v>45884</v>
      </c>
      <c r="D537" s="357" t="s">
        <v>2479</v>
      </c>
      <c r="E537" s="358" t="s">
        <v>407</v>
      </c>
      <c r="F537" s="352">
        <v>28614</v>
      </c>
      <c r="G537" s="352">
        <f>39.7+(27.12)+(313.13)+(F537*0.25)</f>
        <v>7533.45</v>
      </c>
      <c r="H537" s="352"/>
      <c r="I537" s="353">
        <f>F537-G537-H537</f>
        <v>21080.55</v>
      </c>
      <c r="J537" s="354" t="s">
        <v>374</v>
      </c>
      <c r="K537" s="354">
        <v>1</v>
      </c>
      <c r="L537" s="354"/>
      <c r="M537" s="354">
        <v>1</v>
      </c>
      <c r="N537" s="354">
        <v>1</v>
      </c>
      <c r="O537" s="354">
        <v>1</v>
      </c>
      <c r="P537" s="354">
        <v>0</v>
      </c>
      <c r="Q537" s="354"/>
      <c r="R537" s="354"/>
      <c r="S537" s="355"/>
      <c r="T537" s="127"/>
      <c r="U537" s="135" t="s">
        <v>2480</v>
      </c>
      <c r="V537" s="129">
        <f>3000</f>
        <v>3000</v>
      </c>
      <c r="W537" s="340"/>
      <c r="X537" s="341"/>
    </row>
    <row r="538" spans="1:24" s="342" customFormat="1">
      <c r="A538" s="128"/>
      <c r="B538" s="132"/>
      <c r="C538" s="122"/>
      <c r="D538" s="123"/>
      <c r="E538" s="123"/>
      <c r="F538" s="133">
        <f>SUM(F535:F537)</f>
        <v>44096.3</v>
      </c>
      <c r="G538" s="133">
        <f>SUM(G535:G537)</f>
        <v>10556.31</v>
      </c>
      <c r="H538" s="133">
        <f>SUM(H535:H537)</f>
        <v>0</v>
      </c>
      <c r="I538" s="134">
        <f>SUM(I535:I537)</f>
        <v>33539.99</v>
      </c>
      <c r="J538" s="127"/>
      <c r="K538" s="64"/>
      <c r="L538" s="64"/>
      <c r="M538" s="64"/>
      <c r="N538" s="64"/>
      <c r="O538" s="64"/>
      <c r="P538" s="64"/>
      <c r="Q538" s="64"/>
      <c r="R538" s="64"/>
      <c r="S538" s="64"/>
      <c r="T538" s="127"/>
      <c r="U538" s="135"/>
      <c r="V538" s="129"/>
      <c r="W538" s="130"/>
      <c r="X538" s="131"/>
    </row>
    <row r="539" spans="1:24">
      <c r="A539" s="2"/>
      <c r="B539" s="11"/>
      <c r="C539" s="36"/>
      <c r="D539" s="10"/>
      <c r="E539" s="10"/>
      <c r="F539" s="88"/>
      <c r="G539" s="88"/>
      <c r="H539" s="88"/>
      <c r="I539" s="99"/>
      <c r="J539" s="63"/>
      <c r="K539" s="21"/>
      <c r="L539" s="21"/>
      <c r="M539" s="21"/>
      <c r="N539" s="21"/>
      <c r="O539" s="21"/>
      <c r="P539" s="21"/>
      <c r="Q539" s="21"/>
      <c r="R539" s="21"/>
      <c r="S539" s="21"/>
      <c r="T539" s="63"/>
      <c r="U539" s="94"/>
      <c r="V539" s="90"/>
      <c r="W539" s="91"/>
      <c r="X539" s="92"/>
    </row>
    <row r="540" spans="1:24" s="260" customFormat="1">
      <c r="B540" s="100" t="s">
        <v>152</v>
      </c>
      <c r="C540" s="270"/>
      <c r="D540" s="10"/>
      <c r="E540" s="101"/>
      <c r="F540" s="88"/>
      <c r="G540" s="62"/>
      <c r="H540" s="88"/>
      <c r="I540" s="99"/>
      <c r="J540" s="63"/>
      <c r="K540" s="181"/>
      <c r="L540" s="181"/>
      <c r="M540" s="181"/>
      <c r="N540" s="181"/>
      <c r="O540" s="181"/>
      <c r="P540" s="181"/>
      <c r="Q540" s="181"/>
      <c r="R540" s="181"/>
      <c r="S540" s="181"/>
      <c r="T540" s="63"/>
      <c r="U540" s="10"/>
      <c r="V540" s="90"/>
      <c r="W540" s="91"/>
      <c r="X540" s="92"/>
    </row>
    <row r="541" spans="1:24" s="260" customFormat="1">
      <c r="A541" s="261">
        <v>0.05</v>
      </c>
      <c r="B541" s="87">
        <v>1</v>
      </c>
      <c r="C541" s="274">
        <v>45833</v>
      </c>
      <c r="D541" s="327">
        <v>71012</v>
      </c>
      <c r="E541" s="281" t="s">
        <v>317</v>
      </c>
      <c r="F541" s="277">
        <v>5232.6000000000004</v>
      </c>
      <c r="G541" s="277">
        <f>39.7+(24.15+1060.54)+250</f>
        <v>1374.39</v>
      </c>
      <c r="H541" s="277"/>
      <c r="I541" s="278">
        <f>F541-G541-H541</f>
        <v>3858.21</v>
      </c>
      <c r="J541" s="279" t="s">
        <v>156</v>
      </c>
      <c r="K541" s="279">
        <v>1</v>
      </c>
      <c r="L541" s="279">
        <v>1</v>
      </c>
      <c r="M541" s="279">
        <v>1</v>
      </c>
      <c r="N541" s="279">
        <v>1</v>
      </c>
      <c r="O541" s="279">
        <v>1</v>
      </c>
      <c r="P541" s="279">
        <v>0</v>
      </c>
      <c r="Q541" s="279">
        <v>0</v>
      </c>
      <c r="R541" s="279">
        <v>0</v>
      </c>
      <c r="S541" s="280">
        <v>0</v>
      </c>
      <c r="T541" s="63"/>
      <c r="U541" s="10" t="s">
        <v>2370</v>
      </c>
      <c r="V541" s="90"/>
      <c r="W541" s="91"/>
      <c r="X541" s="92"/>
    </row>
    <row r="542" spans="1:24" s="260" customFormat="1">
      <c r="A542" s="261" t="s">
        <v>619</v>
      </c>
      <c r="B542" s="87">
        <f t="shared" ref="B542:B543" si="100">B541+1</f>
        <v>2</v>
      </c>
      <c r="C542" s="282">
        <v>45833</v>
      </c>
      <c r="D542" s="368">
        <v>71028</v>
      </c>
      <c r="E542" s="283" t="s">
        <v>659</v>
      </c>
      <c r="F542" s="284">
        <v>2164</v>
      </c>
      <c r="G542" s="284">
        <v>39.700000000000003</v>
      </c>
      <c r="H542" s="284"/>
      <c r="I542" s="285">
        <f>F542-G542-H542</f>
        <v>2124.3000000000002</v>
      </c>
      <c r="J542" s="286"/>
      <c r="K542" s="286">
        <v>1</v>
      </c>
      <c r="L542" s="286">
        <v>1</v>
      </c>
      <c r="M542" s="286"/>
      <c r="N542" s="286">
        <v>1</v>
      </c>
      <c r="O542" s="286">
        <v>1</v>
      </c>
      <c r="P542" s="286">
        <v>1</v>
      </c>
      <c r="Q542" s="286">
        <v>1</v>
      </c>
      <c r="R542" s="286">
        <v>1</v>
      </c>
      <c r="S542" s="287">
        <v>1</v>
      </c>
      <c r="T542" s="63"/>
      <c r="U542" s="10"/>
      <c r="V542" s="90"/>
      <c r="W542" s="91"/>
      <c r="X542" s="92"/>
    </row>
    <row r="543" spans="1:24" s="260" customFormat="1">
      <c r="A543" s="494">
        <v>0.05</v>
      </c>
      <c r="B543" s="87">
        <f t="shared" si="100"/>
        <v>3</v>
      </c>
      <c r="C543" s="262">
        <v>45867</v>
      </c>
      <c r="D543" s="263">
        <v>71860</v>
      </c>
      <c r="E543" s="271" t="s">
        <v>426</v>
      </c>
      <c r="F543" s="265">
        <f>2346-85</f>
        <v>2261</v>
      </c>
      <c r="G543" s="265">
        <f>39.7+200</f>
        <v>239.7</v>
      </c>
      <c r="H543" s="265"/>
      <c r="I543" s="272">
        <f>F543-G543-H543</f>
        <v>2021.3</v>
      </c>
      <c r="J543" s="267" t="s">
        <v>156</v>
      </c>
      <c r="K543" s="267">
        <v>1</v>
      </c>
      <c r="L543" s="267">
        <v>1</v>
      </c>
      <c r="M543" s="267">
        <v>1</v>
      </c>
      <c r="N543" s="267">
        <v>1</v>
      </c>
      <c r="O543" s="267">
        <v>1</v>
      </c>
      <c r="P543" s="267">
        <v>1</v>
      </c>
      <c r="Q543" s="267">
        <v>1</v>
      </c>
      <c r="R543" s="267">
        <v>1</v>
      </c>
      <c r="S543" s="269">
        <v>1</v>
      </c>
      <c r="T543" s="63"/>
      <c r="U543" s="10" t="s">
        <v>2438</v>
      </c>
      <c r="V543" s="90"/>
      <c r="W543" s="91"/>
      <c r="X543" s="92"/>
    </row>
    <row r="544" spans="1:24" s="260" customFormat="1">
      <c r="B544" s="11"/>
      <c r="C544" s="270"/>
      <c r="D544" s="10"/>
      <c r="E544" s="10"/>
      <c r="F544" s="97">
        <f>SUM(F541:F543)</f>
        <v>9657.6</v>
      </c>
      <c r="G544" s="97">
        <f t="shared" ref="G544:I544" si="101">SUM(G541:G543)</f>
        <v>1653.7900000000002</v>
      </c>
      <c r="H544" s="97">
        <f t="shared" si="101"/>
        <v>0</v>
      </c>
      <c r="I544" s="97">
        <f t="shared" si="101"/>
        <v>8003.81</v>
      </c>
      <c r="J544" s="63"/>
      <c r="K544" s="21"/>
      <c r="L544" s="21"/>
      <c r="M544" s="21"/>
      <c r="N544" s="21"/>
      <c r="O544" s="21"/>
      <c r="P544" s="21"/>
      <c r="Q544" s="21"/>
      <c r="R544" s="21"/>
      <c r="S544" s="21"/>
      <c r="T544" s="63"/>
      <c r="U544" s="10"/>
      <c r="V544" s="90"/>
      <c r="W544" s="91"/>
      <c r="X544" s="92"/>
    </row>
    <row r="545" spans="1:24" s="260" customFormat="1">
      <c r="B545" s="11"/>
      <c r="C545" s="270"/>
      <c r="D545" s="10"/>
      <c r="E545" s="10"/>
      <c r="F545" s="88"/>
      <c r="G545" s="88"/>
      <c r="H545" s="88"/>
      <c r="I545" s="99"/>
      <c r="J545" s="63"/>
      <c r="K545" s="21"/>
      <c r="L545" s="21"/>
      <c r="M545" s="21"/>
      <c r="N545" s="21"/>
      <c r="O545" s="21"/>
      <c r="P545" s="21"/>
      <c r="Q545" s="21"/>
      <c r="R545" s="21"/>
      <c r="S545" s="21"/>
      <c r="T545" s="63"/>
      <c r="U545" s="10"/>
      <c r="V545" s="90"/>
      <c r="W545" s="91"/>
      <c r="X545" s="92"/>
    </row>
    <row r="546" spans="1:24" s="260" customFormat="1">
      <c r="B546" s="100" t="s">
        <v>202</v>
      </c>
      <c r="C546" s="270"/>
      <c r="D546" s="10"/>
      <c r="E546" s="181"/>
      <c r="F546" s="88"/>
      <c r="G546" s="88"/>
      <c r="H546" s="88"/>
      <c r="I546" s="99"/>
      <c r="J546" s="63"/>
      <c r="K546" s="21"/>
      <c r="L546" s="21"/>
      <c r="M546" s="21"/>
      <c r="N546" s="21"/>
      <c r="O546" s="21"/>
      <c r="P546" s="21"/>
      <c r="Q546" s="21"/>
      <c r="R546" s="21"/>
      <c r="S546" s="21"/>
      <c r="T546" s="63"/>
      <c r="U546" s="10"/>
      <c r="V546" s="90"/>
      <c r="W546" s="91"/>
      <c r="X546" s="92"/>
    </row>
    <row r="547" spans="1:24" s="260" customFormat="1">
      <c r="A547" s="261">
        <v>0.05</v>
      </c>
      <c r="B547" s="87">
        <v>1</v>
      </c>
      <c r="C547" s="262">
        <v>45790</v>
      </c>
      <c r="D547" s="357" t="s">
        <v>2339</v>
      </c>
      <c r="E547" s="271" t="s">
        <v>225</v>
      </c>
      <c r="F547" s="265">
        <v>8614</v>
      </c>
      <c r="G547" s="265">
        <f>39.7+(143.54)+(86.25+50.9)+750</f>
        <v>1070.3899999999999</v>
      </c>
      <c r="H547" s="265"/>
      <c r="I547" s="272">
        <f>F547-G547-H547</f>
        <v>7543.6100000000006</v>
      </c>
      <c r="J547" s="267"/>
      <c r="K547" s="267">
        <v>1</v>
      </c>
      <c r="L547" s="267"/>
      <c r="M547" s="267"/>
      <c r="N547" s="267">
        <v>1</v>
      </c>
      <c r="O547" s="267">
        <v>1</v>
      </c>
      <c r="P547" s="267">
        <v>1</v>
      </c>
      <c r="Q547" s="267">
        <v>0</v>
      </c>
      <c r="R547" s="267">
        <v>0</v>
      </c>
      <c r="S547" s="269">
        <v>0</v>
      </c>
      <c r="T547" s="63"/>
      <c r="U547" s="10" t="s">
        <v>2340</v>
      </c>
      <c r="V547" s="90"/>
      <c r="W547" s="136"/>
      <c r="X547" s="137"/>
    </row>
    <row r="548" spans="1:24" s="260" customFormat="1">
      <c r="A548" s="261">
        <v>0.05</v>
      </c>
      <c r="B548" s="87">
        <f>B547+1</f>
        <v>2</v>
      </c>
      <c r="C548" s="262">
        <v>45799</v>
      </c>
      <c r="D548" s="357" t="s">
        <v>2341</v>
      </c>
      <c r="E548" s="271" t="s">
        <v>464</v>
      </c>
      <c r="F548" s="265">
        <v>15214.25</v>
      </c>
      <c r="G548" s="265">
        <v>39.700000000000003</v>
      </c>
      <c r="H548" s="265"/>
      <c r="I548" s="272">
        <f>F548-G548-H548</f>
        <v>15174.55</v>
      </c>
      <c r="J548" s="267"/>
      <c r="K548" s="267">
        <v>1</v>
      </c>
      <c r="L548" s="267"/>
      <c r="M548" s="267"/>
      <c r="N548" s="267">
        <v>1</v>
      </c>
      <c r="O548" s="267">
        <v>1</v>
      </c>
      <c r="P548" s="267">
        <v>0</v>
      </c>
      <c r="Q548" s="267"/>
      <c r="R548" s="267"/>
      <c r="S548" s="269"/>
      <c r="T548" s="63"/>
      <c r="U548" s="10"/>
      <c r="V548" s="90"/>
      <c r="W548" s="136"/>
      <c r="X548" s="137"/>
    </row>
    <row r="549" spans="1:24" s="260" customFormat="1">
      <c r="A549" s="181" t="s">
        <v>619</v>
      </c>
      <c r="B549" s="87">
        <f>B548+1</f>
        <v>3</v>
      </c>
      <c r="C549" s="262">
        <v>45826</v>
      </c>
      <c r="D549" s="357" t="s">
        <v>2344</v>
      </c>
      <c r="E549" s="271" t="s">
        <v>2345</v>
      </c>
      <c r="F549" s="265">
        <v>21400</v>
      </c>
      <c r="G549" s="265">
        <f>39.7+(104.18+165.91+61.7)+(78.89)+2000</f>
        <v>2450.38</v>
      </c>
      <c r="H549" s="265"/>
      <c r="I549" s="272">
        <f>F549-G549-H549</f>
        <v>18949.62</v>
      </c>
      <c r="J549" s="267"/>
      <c r="K549" s="267">
        <v>1</v>
      </c>
      <c r="L549" s="267"/>
      <c r="M549" s="267"/>
      <c r="N549" s="267">
        <v>1</v>
      </c>
      <c r="O549" s="267">
        <v>1</v>
      </c>
      <c r="P549" s="267">
        <v>0</v>
      </c>
      <c r="Q549" s="267"/>
      <c r="R549" s="267"/>
      <c r="S549" s="269"/>
      <c r="T549" s="63"/>
      <c r="U549" s="10" t="s">
        <v>2346</v>
      </c>
      <c r="V549" s="90"/>
      <c r="W549" s="136"/>
      <c r="X549" s="137"/>
    </row>
    <row r="550" spans="1:24" s="260" customFormat="1">
      <c r="A550" s="261">
        <v>0.05</v>
      </c>
      <c r="B550" s="87">
        <f t="shared" ref="B550:B551" si="102">B549+1</f>
        <v>4</v>
      </c>
      <c r="C550" s="274">
        <v>45861</v>
      </c>
      <c r="D550" s="327">
        <v>71651</v>
      </c>
      <c r="E550" s="276" t="s">
        <v>596</v>
      </c>
      <c r="F550" s="277">
        <v>2261</v>
      </c>
      <c r="G550" s="277">
        <f>39.7+487.5+200</f>
        <v>727.2</v>
      </c>
      <c r="H550" s="277"/>
      <c r="I550" s="278">
        <f>F550-G550-H550</f>
        <v>1533.8</v>
      </c>
      <c r="J550" s="279" t="s">
        <v>156</v>
      </c>
      <c r="K550" s="279">
        <v>1</v>
      </c>
      <c r="L550" s="279"/>
      <c r="M550" s="279">
        <v>1</v>
      </c>
      <c r="N550" s="279">
        <v>1</v>
      </c>
      <c r="O550" s="279">
        <v>1</v>
      </c>
      <c r="P550" s="279">
        <v>1</v>
      </c>
      <c r="Q550" s="279"/>
      <c r="R550" s="279"/>
      <c r="S550" s="280"/>
      <c r="T550" s="63"/>
      <c r="U550" s="94" t="s">
        <v>2405</v>
      </c>
      <c r="V550" s="90"/>
      <c r="W550" s="136"/>
      <c r="X550" s="137"/>
    </row>
    <row r="551" spans="1:24" s="260" customFormat="1">
      <c r="A551" s="261">
        <v>0.05</v>
      </c>
      <c r="B551" s="87">
        <f t="shared" si="102"/>
        <v>5</v>
      </c>
      <c r="C551" s="262">
        <v>45863</v>
      </c>
      <c r="D551" s="263" t="s">
        <v>2406</v>
      </c>
      <c r="E551" s="271" t="s">
        <v>2398</v>
      </c>
      <c r="F551" s="265">
        <v>14218</v>
      </c>
      <c r="G551" s="265">
        <f>39.7+487.5+(78.82+18.7+38.9+17.61+45.74)+(21.28)+1000</f>
        <v>1748.25</v>
      </c>
      <c r="H551" s="265"/>
      <c r="I551" s="272">
        <f>F551-G551-H551</f>
        <v>12469.75</v>
      </c>
      <c r="J551" s="267" t="s">
        <v>156</v>
      </c>
      <c r="K551" s="267">
        <v>1</v>
      </c>
      <c r="L551" s="267"/>
      <c r="M551" s="267">
        <v>1</v>
      </c>
      <c r="N551" s="267">
        <v>1</v>
      </c>
      <c r="O551" s="267">
        <v>1</v>
      </c>
      <c r="P551" s="267">
        <v>1</v>
      </c>
      <c r="Q551" s="267"/>
      <c r="R551" s="267"/>
      <c r="S551" s="269"/>
      <c r="T551" s="63"/>
      <c r="U551" s="94" t="s">
        <v>2407</v>
      </c>
      <c r="V551" s="90"/>
      <c r="W551" s="136"/>
      <c r="X551" s="137"/>
    </row>
    <row r="552" spans="1:24" s="260" customFormat="1">
      <c r="A552" s="260" t="s">
        <v>2347</v>
      </c>
      <c r="B552" s="11"/>
      <c r="C552" s="270"/>
      <c r="D552" s="10"/>
      <c r="E552" s="10"/>
      <c r="F552" s="97">
        <f>SUM(F547:F551)</f>
        <v>61707.25</v>
      </c>
      <c r="G552" s="97">
        <f>SUM(G547:G551)</f>
        <v>6035.92</v>
      </c>
      <c r="H552" s="97">
        <f>SUM(H547:H551)</f>
        <v>0</v>
      </c>
      <c r="I552" s="97">
        <f>SUM(I547:I551)</f>
        <v>55671.33</v>
      </c>
      <c r="J552" s="63"/>
      <c r="K552" s="21"/>
      <c r="L552" s="21"/>
      <c r="M552" s="21"/>
      <c r="N552" s="21"/>
      <c r="O552" s="21"/>
      <c r="P552" s="21"/>
      <c r="Q552" s="21"/>
      <c r="R552" s="21"/>
      <c r="S552" s="21"/>
      <c r="T552" s="63"/>
      <c r="V552" s="90"/>
      <c r="W552" s="91"/>
      <c r="X552" s="92"/>
    </row>
    <row r="553" spans="1:24" s="260" customFormat="1">
      <c r="B553" s="11"/>
      <c r="C553" s="270"/>
      <c r="D553" s="10"/>
      <c r="E553" s="10"/>
      <c r="F553" s="88"/>
      <c r="G553" s="88"/>
      <c r="H553" s="88"/>
      <c r="I553" s="88"/>
      <c r="J553" s="63"/>
      <c r="K553" s="21"/>
      <c r="L553" s="21"/>
      <c r="M553" s="21"/>
      <c r="N553" s="21"/>
      <c r="O553" s="21"/>
      <c r="P553" s="21"/>
      <c r="Q553" s="21"/>
      <c r="R553" s="21"/>
      <c r="S553" s="21"/>
      <c r="T553" s="63"/>
      <c r="U553" s="10"/>
      <c r="V553" s="90"/>
      <c r="W553" s="91"/>
      <c r="X553" s="92"/>
    </row>
    <row r="554" spans="1:24">
      <c r="A554" s="2"/>
      <c r="B554" s="100" t="s">
        <v>72</v>
      </c>
      <c r="C554" s="36"/>
      <c r="D554" s="10"/>
      <c r="E554" s="10"/>
      <c r="F554" s="88"/>
      <c r="G554" s="88"/>
      <c r="H554" s="88"/>
      <c r="I554" s="99"/>
      <c r="J554" s="63"/>
      <c r="K554" s="63"/>
      <c r="L554" s="63"/>
      <c r="M554" s="63"/>
      <c r="N554" s="63"/>
      <c r="O554" s="63"/>
      <c r="P554" s="63"/>
      <c r="Q554" s="63"/>
      <c r="R554" s="63"/>
      <c r="S554" s="63"/>
      <c r="T554" s="63"/>
      <c r="U554" s="10"/>
      <c r="V554" s="90"/>
      <c r="W554" s="91"/>
      <c r="X554" s="92"/>
    </row>
    <row r="555" spans="1:24">
      <c r="A555" s="2"/>
      <c r="B555" s="87">
        <v>1</v>
      </c>
      <c r="C555" s="274">
        <v>45880</v>
      </c>
      <c r="D555" s="276">
        <v>72037</v>
      </c>
      <c r="E555" s="276" t="s">
        <v>2398</v>
      </c>
      <c r="F555" s="277">
        <v>3929.55</v>
      </c>
      <c r="G555" s="277">
        <f>39.7</f>
        <v>39.700000000000003</v>
      </c>
      <c r="H555" s="277"/>
      <c r="I555" s="278">
        <f t="shared" ref="I555:I568" si="103">F555-G555-H555</f>
        <v>3889.8500000000004</v>
      </c>
      <c r="J555" s="279" t="s">
        <v>205</v>
      </c>
      <c r="K555" s="279">
        <v>1</v>
      </c>
      <c r="L555" s="279"/>
      <c r="M555" s="279">
        <v>1</v>
      </c>
      <c r="N555" s="279">
        <v>1</v>
      </c>
      <c r="O555" s="279"/>
      <c r="P555" s="279"/>
      <c r="Q555" s="279">
        <v>1</v>
      </c>
      <c r="R555" s="279">
        <v>1</v>
      </c>
      <c r="S555" s="280">
        <v>1</v>
      </c>
      <c r="T555" s="63"/>
      <c r="U555" s="3"/>
      <c r="V555" s="90"/>
      <c r="W555" s="91"/>
      <c r="X555" s="92"/>
    </row>
    <row r="556" spans="1:24">
      <c r="A556" s="2"/>
      <c r="B556" s="87">
        <f t="shared" ref="B556:B568" si="104">B555+1</f>
        <v>2</v>
      </c>
      <c r="C556" s="295">
        <v>45880</v>
      </c>
      <c r="D556" s="10" t="s">
        <v>2481</v>
      </c>
      <c r="E556" s="101" t="s">
        <v>294</v>
      </c>
      <c r="F556" s="62">
        <v>4461</v>
      </c>
      <c r="G556" s="62">
        <f>39.7</f>
        <v>39.700000000000003</v>
      </c>
      <c r="H556" s="62"/>
      <c r="I556" s="89">
        <f t="shared" si="103"/>
        <v>4421.3</v>
      </c>
      <c r="J556" s="63" t="s">
        <v>205</v>
      </c>
      <c r="K556" s="63">
        <v>1</v>
      </c>
      <c r="L556" s="63"/>
      <c r="M556" s="63"/>
      <c r="N556" s="63">
        <v>1</v>
      </c>
      <c r="O556" s="63"/>
      <c r="P556" s="63"/>
      <c r="Q556" s="63"/>
      <c r="R556" s="63"/>
      <c r="S556" s="296"/>
      <c r="T556" s="63"/>
      <c r="U556" s="10"/>
      <c r="V556" s="90"/>
      <c r="W556" s="136"/>
      <c r="X556" s="137"/>
    </row>
    <row r="557" spans="1:24">
      <c r="A557" s="2"/>
      <c r="B557" s="87">
        <f t="shared" si="104"/>
        <v>3</v>
      </c>
      <c r="C557" s="295">
        <v>45880</v>
      </c>
      <c r="D557" s="10" t="s">
        <v>2482</v>
      </c>
      <c r="E557" s="101" t="s">
        <v>294</v>
      </c>
      <c r="F557" s="62">
        <v>4461</v>
      </c>
      <c r="G557" s="62">
        <v>39.700000000000003</v>
      </c>
      <c r="H557" s="62"/>
      <c r="I557" s="89">
        <f t="shared" si="103"/>
        <v>4421.3</v>
      </c>
      <c r="J557" s="63" t="s">
        <v>205</v>
      </c>
      <c r="K557" s="63">
        <v>1</v>
      </c>
      <c r="L557" s="63"/>
      <c r="M557" s="63"/>
      <c r="N557" s="63">
        <v>1</v>
      </c>
      <c r="O557" s="63"/>
      <c r="P557" s="63"/>
      <c r="Q557" s="63"/>
      <c r="R557" s="63"/>
      <c r="S557" s="296"/>
      <c r="T557" s="63"/>
      <c r="U557" s="10"/>
      <c r="V557" s="90"/>
      <c r="W557" s="136"/>
      <c r="X557" s="137"/>
    </row>
    <row r="558" spans="1:24">
      <c r="A558" s="2"/>
      <c r="B558" s="87">
        <f t="shared" si="104"/>
        <v>4</v>
      </c>
      <c r="C558" s="295">
        <v>45880</v>
      </c>
      <c r="D558" s="10">
        <v>72215</v>
      </c>
      <c r="E558" s="10" t="s">
        <v>659</v>
      </c>
      <c r="F558" s="62">
        <v>0</v>
      </c>
      <c r="G558" s="62">
        <v>0</v>
      </c>
      <c r="H558" s="62"/>
      <c r="I558" s="89">
        <f t="shared" si="103"/>
        <v>0</v>
      </c>
      <c r="J558" s="63" t="s">
        <v>205</v>
      </c>
      <c r="K558" s="63">
        <v>1</v>
      </c>
      <c r="L558" s="63"/>
      <c r="M558" s="63"/>
      <c r="N558" s="63"/>
      <c r="O558" s="63"/>
      <c r="P558" s="63"/>
      <c r="Q558" s="63"/>
      <c r="R558" s="63"/>
      <c r="S558" s="296"/>
      <c r="T558" s="63"/>
      <c r="U558" s="10"/>
      <c r="V558" s="90"/>
      <c r="W558" s="136"/>
      <c r="X558" s="137"/>
    </row>
    <row r="559" spans="1:24">
      <c r="A559" s="2"/>
      <c r="B559" s="87">
        <f t="shared" si="104"/>
        <v>5</v>
      </c>
      <c r="C559" s="295">
        <v>45880</v>
      </c>
      <c r="D559" s="10">
        <v>72140</v>
      </c>
      <c r="E559" s="10" t="s">
        <v>296</v>
      </c>
      <c r="F559" s="62">
        <v>4861</v>
      </c>
      <c r="G559" s="62">
        <f>39.7</f>
        <v>39.700000000000003</v>
      </c>
      <c r="H559" s="62"/>
      <c r="I559" s="89">
        <f t="shared" si="103"/>
        <v>4821.3</v>
      </c>
      <c r="J559" s="63" t="s">
        <v>205</v>
      </c>
      <c r="K559" s="63">
        <v>1</v>
      </c>
      <c r="L559" s="63"/>
      <c r="M559" s="63"/>
      <c r="N559" s="63">
        <v>1</v>
      </c>
      <c r="O559" s="63"/>
      <c r="P559" s="63"/>
      <c r="Q559" s="63">
        <v>1</v>
      </c>
      <c r="R559" s="63">
        <v>1</v>
      </c>
      <c r="S559" s="296">
        <v>1</v>
      </c>
      <c r="T559" s="63"/>
      <c r="U559" s="10"/>
      <c r="V559" s="90"/>
      <c r="W559" s="136"/>
      <c r="X559" s="137"/>
    </row>
    <row r="560" spans="1:24">
      <c r="A560" s="2"/>
      <c r="B560" s="87">
        <f t="shared" si="104"/>
        <v>6</v>
      </c>
      <c r="C560" s="295">
        <v>45880</v>
      </c>
      <c r="D560" s="10">
        <v>72222</v>
      </c>
      <c r="E560" s="101" t="s">
        <v>203</v>
      </c>
      <c r="F560" s="62">
        <v>681</v>
      </c>
      <c r="G560" s="62"/>
      <c r="H560" s="62"/>
      <c r="I560" s="89">
        <f t="shared" si="103"/>
        <v>681</v>
      </c>
      <c r="J560" s="63" t="s">
        <v>205</v>
      </c>
      <c r="K560" s="63">
        <v>1</v>
      </c>
      <c r="L560" s="63"/>
      <c r="M560" s="63"/>
      <c r="N560" s="63">
        <v>1</v>
      </c>
      <c r="O560" s="63"/>
      <c r="P560" s="63"/>
      <c r="Q560" s="63">
        <v>1</v>
      </c>
      <c r="R560" s="63">
        <v>1</v>
      </c>
      <c r="S560" s="296">
        <v>1</v>
      </c>
      <c r="T560" s="63"/>
      <c r="U560" s="10"/>
      <c r="V560" s="90"/>
      <c r="W560" s="136"/>
      <c r="X560" s="137"/>
    </row>
    <row r="561" spans="1:24">
      <c r="A561" s="2"/>
      <c r="B561" s="87">
        <f t="shared" si="104"/>
        <v>7</v>
      </c>
      <c r="C561" s="274">
        <v>45881</v>
      </c>
      <c r="D561" s="276">
        <v>72250</v>
      </c>
      <c r="E561" s="281" t="s">
        <v>998</v>
      </c>
      <c r="F561" s="277">
        <v>2281</v>
      </c>
      <c r="G561" s="277">
        <v>39.700000000000003</v>
      </c>
      <c r="H561" s="277"/>
      <c r="I561" s="278">
        <f t="shared" si="103"/>
        <v>2241.3000000000002</v>
      </c>
      <c r="J561" s="279" t="s">
        <v>156</v>
      </c>
      <c r="K561" s="279">
        <v>1</v>
      </c>
      <c r="L561" s="279"/>
      <c r="M561" s="279">
        <v>0</v>
      </c>
      <c r="N561" s="279">
        <v>1</v>
      </c>
      <c r="O561" s="279"/>
      <c r="P561" s="279"/>
      <c r="Q561" s="279"/>
      <c r="R561" s="279"/>
      <c r="S561" s="280"/>
      <c r="T561" s="63"/>
      <c r="U561" s="10"/>
      <c r="V561" s="90">
        <v>93.5</v>
      </c>
      <c r="W561" s="136"/>
      <c r="X561" s="137"/>
    </row>
    <row r="562" spans="1:24">
      <c r="A562" s="2"/>
      <c r="B562" s="87">
        <f t="shared" si="104"/>
        <v>8</v>
      </c>
      <c r="C562" s="295">
        <v>45881</v>
      </c>
      <c r="D562" s="10">
        <v>72247</v>
      </c>
      <c r="E562" s="101" t="s">
        <v>2483</v>
      </c>
      <c r="F562" s="62">
        <v>681</v>
      </c>
      <c r="G562" s="62"/>
      <c r="H562" s="62"/>
      <c r="I562" s="89">
        <f t="shared" si="103"/>
        <v>681</v>
      </c>
      <c r="J562" s="63" t="s">
        <v>205</v>
      </c>
      <c r="K562" s="63">
        <v>1</v>
      </c>
      <c r="L562" s="63"/>
      <c r="M562" s="63"/>
      <c r="N562" s="63">
        <v>1</v>
      </c>
      <c r="O562" s="63"/>
      <c r="P562" s="63"/>
      <c r="Q562" s="63"/>
      <c r="R562" s="63"/>
      <c r="S562" s="296"/>
      <c r="T562" s="21">
        <v>1</v>
      </c>
      <c r="U562" s="10"/>
      <c r="V562" s="90"/>
      <c r="W562" s="136"/>
      <c r="X562" s="137"/>
    </row>
    <row r="563" spans="1:24">
      <c r="A563" s="2"/>
      <c r="B563" s="87">
        <f t="shared" si="104"/>
        <v>9</v>
      </c>
      <c r="C563" s="295">
        <v>45881</v>
      </c>
      <c r="D563" s="10">
        <v>72249</v>
      </c>
      <c r="E563" s="101" t="s">
        <v>1231</v>
      </c>
      <c r="F563" s="62">
        <v>1481</v>
      </c>
      <c r="G563" s="62">
        <v>39.700000000000003</v>
      </c>
      <c r="H563" s="62"/>
      <c r="I563" s="89">
        <f t="shared" si="103"/>
        <v>1441.3</v>
      </c>
      <c r="J563" s="63" t="s">
        <v>205</v>
      </c>
      <c r="K563" s="63">
        <v>1</v>
      </c>
      <c r="L563" s="63"/>
      <c r="M563" s="63"/>
      <c r="N563" s="63">
        <v>1</v>
      </c>
      <c r="O563" s="63"/>
      <c r="P563" s="63"/>
      <c r="Q563" s="63">
        <v>1</v>
      </c>
      <c r="R563" s="63">
        <v>1</v>
      </c>
      <c r="S563" s="296">
        <v>1</v>
      </c>
      <c r="T563" s="63"/>
      <c r="U563" s="10"/>
      <c r="V563" s="90"/>
      <c r="W563" s="136"/>
      <c r="X563" s="137"/>
    </row>
    <row r="564" spans="1:24">
      <c r="A564" s="2"/>
      <c r="B564" s="87">
        <f t="shared" si="104"/>
        <v>10</v>
      </c>
      <c r="C564" s="274">
        <v>45882</v>
      </c>
      <c r="D564" s="276">
        <v>72297</v>
      </c>
      <c r="E564" s="281" t="s">
        <v>211</v>
      </c>
      <c r="F564" s="277">
        <v>2641</v>
      </c>
      <c r="G564" s="277">
        <f>39.7</f>
        <v>39.700000000000003</v>
      </c>
      <c r="H564" s="277"/>
      <c r="I564" s="278">
        <f t="shared" si="103"/>
        <v>2601.3000000000002</v>
      </c>
      <c r="J564" s="279" t="s">
        <v>205</v>
      </c>
      <c r="K564" s="279">
        <v>1</v>
      </c>
      <c r="L564" s="279"/>
      <c r="M564" s="279"/>
      <c r="N564" s="279">
        <v>1</v>
      </c>
      <c r="O564" s="279"/>
      <c r="P564" s="279"/>
      <c r="Q564" s="279">
        <v>1</v>
      </c>
      <c r="R564" s="279">
        <v>1</v>
      </c>
      <c r="S564" s="280">
        <v>1</v>
      </c>
      <c r="T564" s="63"/>
      <c r="U564" s="10"/>
      <c r="V564" s="90"/>
      <c r="W564" s="136"/>
      <c r="X564" s="137"/>
    </row>
    <row r="565" spans="1:24">
      <c r="A565" s="2"/>
      <c r="B565" s="87">
        <f t="shared" si="104"/>
        <v>11</v>
      </c>
      <c r="C565" s="274">
        <v>45883</v>
      </c>
      <c r="D565" s="276">
        <v>72299</v>
      </c>
      <c r="E565" s="281" t="s">
        <v>2484</v>
      </c>
      <c r="F565" s="277">
        <v>2681</v>
      </c>
      <c r="G565" s="277">
        <f>39.7</f>
        <v>39.700000000000003</v>
      </c>
      <c r="H565" s="277"/>
      <c r="I565" s="278">
        <f>F565-G565-H565</f>
        <v>2641.3</v>
      </c>
      <c r="J565" s="279" t="s">
        <v>205</v>
      </c>
      <c r="K565" s="279"/>
      <c r="L565" s="279"/>
      <c r="M565" s="279"/>
      <c r="N565" s="279">
        <v>1</v>
      </c>
      <c r="O565" s="279">
        <v>1</v>
      </c>
      <c r="P565" s="279">
        <v>1</v>
      </c>
      <c r="Q565" s="279">
        <v>1</v>
      </c>
      <c r="R565" s="279">
        <v>1</v>
      </c>
      <c r="S565" s="280">
        <v>1</v>
      </c>
      <c r="T565" s="63"/>
      <c r="U565" s="10"/>
      <c r="V565" s="90"/>
      <c r="W565" s="136"/>
      <c r="X565" s="137"/>
    </row>
    <row r="566" spans="1:24">
      <c r="A566" s="2"/>
      <c r="B566" s="87">
        <f t="shared" si="104"/>
        <v>12</v>
      </c>
      <c r="C566" s="274">
        <v>45884</v>
      </c>
      <c r="D566" s="276">
        <v>72279</v>
      </c>
      <c r="E566" s="281" t="s">
        <v>302</v>
      </c>
      <c r="F566" s="277">
        <v>1681</v>
      </c>
      <c r="G566" s="277">
        <v>39.700000000000003</v>
      </c>
      <c r="H566" s="277"/>
      <c r="I566" s="278">
        <f t="shared" si="103"/>
        <v>1641.3</v>
      </c>
      <c r="J566" s="279" t="s">
        <v>205</v>
      </c>
      <c r="K566" s="279">
        <v>1</v>
      </c>
      <c r="L566" s="279"/>
      <c r="M566" s="279"/>
      <c r="N566" s="279">
        <v>1</v>
      </c>
      <c r="O566" s="279"/>
      <c r="P566" s="279"/>
      <c r="Q566" s="279"/>
      <c r="R566" s="279"/>
      <c r="S566" s="280"/>
      <c r="T566" s="63"/>
      <c r="U566" s="10"/>
      <c r="V566" s="90"/>
      <c r="W566" s="136"/>
      <c r="X566" s="137"/>
    </row>
    <row r="567" spans="1:24">
      <c r="A567" s="2"/>
      <c r="B567" s="87">
        <f t="shared" si="104"/>
        <v>13</v>
      </c>
      <c r="C567" s="295">
        <v>45884</v>
      </c>
      <c r="D567" s="10">
        <v>72339</v>
      </c>
      <c r="E567" s="101" t="s">
        <v>327</v>
      </c>
      <c r="F567" s="62">
        <v>0</v>
      </c>
      <c r="G567" s="62"/>
      <c r="H567" s="62"/>
      <c r="I567" s="89">
        <f t="shared" si="103"/>
        <v>0</v>
      </c>
      <c r="J567" s="63" t="s">
        <v>205</v>
      </c>
      <c r="K567" s="63">
        <v>1</v>
      </c>
      <c r="L567" s="63"/>
      <c r="M567" s="63"/>
      <c r="N567" s="63"/>
      <c r="O567" s="63"/>
      <c r="P567" s="63"/>
      <c r="Q567" s="63">
        <v>1</v>
      </c>
      <c r="R567" s="63">
        <v>1</v>
      </c>
      <c r="S567" s="296">
        <v>1</v>
      </c>
      <c r="T567" s="63"/>
      <c r="U567" s="10"/>
      <c r="V567" s="90"/>
      <c r="W567" s="136"/>
      <c r="X567" s="137"/>
    </row>
    <row r="568" spans="1:24">
      <c r="A568" s="2"/>
      <c r="B568" s="87">
        <f t="shared" si="104"/>
        <v>14</v>
      </c>
      <c r="C568" s="282">
        <v>45884</v>
      </c>
      <c r="D568" s="283">
        <v>72311</v>
      </c>
      <c r="E568" s="283" t="s">
        <v>299</v>
      </c>
      <c r="F568" s="284">
        <v>0</v>
      </c>
      <c r="G568" s="284"/>
      <c r="H568" s="284"/>
      <c r="I568" s="285">
        <f t="shared" si="103"/>
        <v>0</v>
      </c>
      <c r="J568" s="286" t="s">
        <v>219</v>
      </c>
      <c r="K568" s="286"/>
      <c r="L568" s="286"/>
      <c r="M568" s="286"/>
      <c r="N568" s="286"/>
      <c r="O568" s="286"/>
      <c r="P568" s="286"/>
      <c r="Q568" s="286"/>
      <c r="R568" s="286"/>
      <c r="S568" s="287"/>
      <c r="T568" s="63"/>
      <c r="U568" s="10"/>
      <c r="V568" s="90"/>
      <c r="W568" s="136"/>
      <c r="X568" s="137"/>
    </row>
    <row r="569" spans="1:24">
      <c r="A569" s="2"/>
      <c r="B569" s="11"/>
      <c r="C569" s="36"/>
      <c r="D569" s="10"/>
      <c r="E569" s="10"/>
      <c r="F569" s="97">
        <f>SUM(F555:F568)</f>
        <v>29839.55</v>
      </c>
      <c r="G569" s="97">
        <f>SUM(G555:G568)</f>
        <v>357.29999999999995</v>
      </c>
      <c r="H569" s="97">
        <f>SUM(H555:H568)</f>
        <v>0</v>
      </c>
      <c r="I569" s="98">
        <f>SUM(I555:I568)</f>
        <v>29482.249999999996</v>
      </c>
      <c r="J569" s="10"/>
      <c r="K569" s="10"/>
      <c r="L569" s="10"/>
      <c r="M569" s="10"/>
      <c r="N569" s="10"/>
      <c r="O569" s="10"/>
      <c r="P569" s="10"/>
      <c r="Q569" s="10"/>
      <c r="R569" s="10"/>
      <c r="S569" s="10"/>
      <c r="T569" s="63"/>
      <c r="U569" s="10"/>
      <c r="V569" s="138"/>
      <c r="W569" s="136"/>
      <c r="X569" s="137"/>
    </row>
    <row r="570" spans="1:24">
      <c r="A570" s="2"/>
      <c r="B570" s="26"/>
      <c r="C570" s="140"/>
      <c r="D570" s="141"/>
      <c r="E570" s="141"/>
      <c r="F570" s="141"/>
      <c r="G570" s="141"/>
      <c r="H570" s="141"/>
      <c r="I570" s="141"/>
      <c r="J570" s="141"/>
      <c r="K570" s="142"/>
      <c r="L570" s="142"/>
      <c r="M570" s="142"/>
      <c r="N570" s="142"/>
      <c r="O570" s="142"/>
      <c r="P570" s="142"/>
      <c r="Q570" s="142"/>
      <c r="R570" s="142"/>
      <c r="S570" s="142"/>
      <c r="T570" s="143">
        <f>SUM(T510:T569)</f>
        <v>8</v>
      </c>
      <c r="U570" s="141"/>
      <c r="V570" s="144">
        <f>SUM(V510:V569)</f>
        <v>48607.180000000008</v>
      </c>
      <c r="W570" s="145">
        <f>SUM(W510:W569)</f>
        <v>0</v>
      </c>
      <c r="X570" s="146">
        <f>SUM(X510:X569)</f>
        <v>0</v>
      </c>
    </row>
    <row r="573" spans="1:24">
      <c r="A573" s="3"/>
      <c r="B573" s="4" t="s">
        <v>1</v>
      </c>
      <c r="C573" s="5"/>
      <c r="D573" s="6"/>
      <c r="E573" s="6"/>
      <c r="F573" s="7" t="s">
        <v>2</v>
      </c>
      <c r="G573" s="8">
        <v>45893</v>
      </c>
      <c r="H573" s="7"/>
      <c r="I573" s="6"/>
      <c r="J573" s="6"/>
      <c r="K573" s="6"/>
      <c r="L573" s="6"/>
      <c r="M573" s="6"/>
      <c r="N573" s="6"/>
      <c r="O573" s="6"/>
      <c r="P573" s="6"/>
      <c r="Q573" s="6"/>
      <c r="R573" s="6"/>
      <c r="S573" s="6"/>
      <c r="T573" s="6"/>
      <c r="U573" s="9"/>
      <c r="V573" s="10"/>
      <c r="W573" s="10"/>
      <c r="X573" s="10"/>
    </row>
    <row r="574" spans="1:24">
      <c r="A574" s="2"/>
      <c r="B574" s="11"/>
      <c r="C574" s="10"/>
      <c r="D574" s="10"/>
      <c r="E574" s="10"/>
      <c r="F574" s="10"/>
      <c r="G574" s="7"/>
      <c r="H574" s="12"/>
      <c r="I574" s="10"/>
      <c r="J574" s="10"/>
      <c r="K574" s="13" t="s">
        <v>3</v>
      </c>
      <c r="L574" s="14"/>
      <c r="M574" s="15"/>
      <c r="N574" s="13" t="s">
        <v>4</v>
      </c>
      <c r="O574" s="14"/>
      <c r="P574" s="15"/>
      <c r="Q574" s="13" t="s">
        <v>5</v>
      </c>
      <c r="R574" s="14"/>
      <c r="S574" s="15"/>
      <c r="T574" s="16"/>
      <c r="U574" s="17"/>
      <c r="V574" s="10"/>
      <c r="W574" s="10"/>
      <c r="X574" s="10"/>
    </row>
    <row r="575" spans="1:24">
      <c r="A575" s="2"/>
      <c r="B575" s="18" t="s">
        <v>6</v>
      </c>
      <c r="C575" s="19">
        <f>C576+C577</f>
        <v>34</v>
      </c>
      <c r="D575" s="10"/>
      <c r="E575" s="18" t="s">
        <v>7</v>
      </c>
      <c r="F575" s="6"/>
      <c r="G575" s="9"/>
      <c r="H575" s="10"/>
      <c r="I575" s="10"/>
      <c r="J575" s="10"/>
      <c r="K575" s="20" t="s">
        <v>8</v>
      </c>
      <c r="L575" s="21" t="s">
        <v>9</v>
      </c>
      <c r="M575" s="21" t="s">
        <v>10</v>
      </c>
      <c r="N575" s="20" t="s">
        <v>11</v>
      </c>
      <c r="O575" s="21" t="s">
        <v>12</v>
      </c>
      <c r="P575" s="22" t="s">
        <v>13</v>
      </c>
      <c r="Q575" s="21" t="s">
        <v>11</v>
      </c>
      <c r="R575" s="21" t="s">
        <v>12</v>
      </c>
      <c r="S575" s="22" t="s">
        <v>13</v>
      </c>
      <c r="T575" s="23" t="s">
        <v>14</v>
      </c>
      <c r="U575" s="17"/>
      <c r="V575" s="10"/>
      <c r="W575" s="10"/>
      <c r="X575" s="10"/>
    </row>
    <row r="576" spans="1:24">
      <c r="A576" s="2"/>
      <c r="B576" s="24" t="s">
        <v>15</v>
      </c>
      <c r="C576" s="25">
        <f>P583</f>
        <v>16</v>
      </c>
      <c r="D576" s="10"/>
      <c r="E576" s="26" t="s">
        <v>16</v>
      </c>
      <c r="F576" s="27">
        <v>0.05</v>
      </c>
      <c r="G576" s="28"/>
      <c r="H576" s="10"/>
      <c r="I576" s="10"/>
      <c r="J576" s="18" t="s">
        <v>17</v>
      </c>
      <c r="K576" s="29">
        <f>K615</f>
        <v>14</v>
      </c>
      <c r="L576" s="29">
        <f t="shared" ref="L576:S576" si="105">L615</f>
        <v>13</v>
      </c>
      <c r="M576" s="29">
        <f t="shared" si="105"/>
        <v>13</v>
      </c>
      <c r="N576" s="29">
        <f t="shared" si="105"/>
        <v>14</v>
      </c>
      <c r="O576" s="29">
        <f t="shared" si="105"/>
        <v>14</v>
      </c>
      <c r="P576" s="29">
        <f t="shared" si="105"/>
        <v>14</v>
      </c>
      <c r="Q576" s="29">
        <f t="shared" si="105"/>
        <v>14</v>
      </c>
      <c r="R576" s="29">
        <f t="shared" si="105"/>
        <v>13</v>
      </c>
      <c r="S576" s="29">
        <f t="shared" si="105"/>
        <v>12</v>
      </c>
      <c r="T576" s="30">
        <f>T678</f>
        <v>6</v>
      </c>
      <c r="U576" s="17" t="s">
        <v>2485</v>
      </c>
      <c r="V576" s="10"/>
      <c r="W576" s="10"/>
      <c r="X576" s="10"/>
    </row>
    <row r="577" spans="1:24">
      <c r="A577" s="2"/>
      <c r="B577" s="24" t="s">
        <v>18</v>
      </c>
      <c r="C577" s="25">
        <f>P584</f>
        <v>18</v>
      </c>
      <c r="D577" s="10"/>
      <c r="E577" s="10"/>
      <c r="F577" s="10"/>
      <c r="G577" s="31"/>
      <c r="H577" s="10"/>
      <c r="I577" s="10"/>
      <c r="J577" s="32" t="s">
        <v>19</v>
      </c>
      <c r="K577" s="33">
        <f>K615/K614</f>
        <v>1</v>
      </c>
      <c r="L577" s="33">
        <f t="shared" ref="L577:S577" si="106">L615/L614</f>
        <v>0.9285714285714286</v>
      </c>
      <c r="M577" s="33">
        <f t="shared" si="106"/>
        <v>0.9285714285714286</v>
      </c>
      <c r="N577" s="33">
        <f t="shared" si="106"/>
        <v>1</v>
      </c>
      <c r="O577" s="33">
        <f t="shared" si="106"/>
        <v>1</v>
      </c>
      <c r="P577" s="33">
        <f t="shared" si="106"/>
        <v>1</v>
      </c>
      <c r="Q577" s="33">
        <f t="shared" si="106"/>
        <v>1</v>
      </c>
      <c r="R577" s="33">
        <f t="shared" si="106"/>
        <v>0.9285714285714286</v>
      </c>
      <c r="S577" s="33">
        <f t="shared" si="106"/>
        <v>0.8571428571428571</v>
      </c>
      <c r="T577" s="23"/>
      <c r="U577" s="17" t="s">
        <v>20</v>
      </c>
      <c r="V577" s="10"/>
      <c r="W577" s="10"/>
      <c r="X577" s="10"/>
    </row>
    <row r="578" spans="1:24">
      <c r="A578" s="2"/>
      <c r="B578" s="24" t="s">
        <v>21</v>
      </c>
      <c r="C578" s="34">
        <f>P585</f>
        <v>0.47058823529411764</v>
      </c>
      <c r="D578" s="10"/>
      <c r="E578" s="10"/>
      <c r="F578" s="10"/>
      <c r="G578" s="10"/>
      <c r="H578" s="10"/>
      <c r="I578" s="10"/>
      <c r="J578" s="10"/>
      <c r="K578" s="10"/>
      <c r="L578" s="10"/>
      <c r="M578" s="10"/>
      <c r="N578" s="10"/>
      <c r="O578" s="10"/>
      <c r="P578" s="10"/>
      <c r="Q578" s="10"/>
      <c r="R578" s="10"/>
      <c r="S578" s="10"/>
      <c r="T578" s="10"/>
      <c r="U578" s="17"/>
      <c r="V578" s="10"/>
      <c r="W578" s="10"/>
      <c r="X578" s="10"/>
    </row>
    <row r="579" spans="1:24">
      <c r="A579" s="2"/>
      <c r="B579" s="24"/>
      <c r="C579" s="25"/>
      <c r="D579" s="10"/>
      <c r="E579" s="10"/>
      <c r="F579" s="18" t="s">
        <v>22</v>
      </c>
      <c r="G579" s="19" t="s">
        <v>23</v>
      </c>
      <c r="H579" s="35" t="s">
        <v>24</v>
      </c>
      <c r="I579" s="10"/>
      <c r="J579" s="10"/>
      <c r="K579" s="36"/>
      <c r="L579" s="36"/>
      <c r="M579" s="36"/>
      <c r="N579" s="36"/>
      <c r="O579" s="36"/>
      <c r="P579" s="36"/>
      <c r="Q579" s="36"/>
      <c r="R579" s="10"/>
      <c r="S579" s="10"/>
      <c r="T579" s="10"/>
      <c r="U579" s="17"/>
      <c r="V579" s="10"/>
      <c r="W579" s="10"/>
      <c r="X579" s="10"/>
    </row>
    <row r="580" spans="1:24">
      <c r="A580" s="2"/>
      <c r="B580" s="32" t="s">
        <v>25</v>
      </c>
      <c r="C580" s="37">
        <f>P586</f>
        <v>2398.0037499999999</v>
      </c>
      <c r="D580" s="10"/>
      <c r="E580" s="18" t="s">
        <v>26</v>
      </c>
      <c r="F580" s="38">
        <f>P582</f>
        <v>38368.06</v>
      </c>
      <c r="G580" s="39">
        <f>I614+I633+I637</f>
        <v>38368.060000000005</v>
      </c>
      <c r="H580" s="40"/>
      <c r="I580" s="41"/>
      <c r="J580" s="42"/>
      <c r="K580" s="43" t="s">
        <v>27</v>
      </c>
      <c r="L580" s="44"/>
      <c r="M580" s="44"/>
      <c r="N580" s="44"/>
      <c r="O580" s="44"/>
      <c r="P580" s="44"/>
      <c r="Q580" s="45"/>
      <c r="R580" s="46" t="s">
        <v>28</v>
      </c>
      <c r="S580" s="47" t="s">
        <v>29</v>
      </c>
      <c r="T580" s="10"/>
      <c r="U580" s="17"/>
      <c r="V580" s="10"/>
      <c r="W580" s="10"/>
      <c r="X580" s="10"/>
    </row>
    <row r="581" spans="1:24">
      <c r="A581" s="2"/>
      <c r="B581" s="11"/>
      <c r="C581" s="10"/>
      <c r="D581" s="10"/>
      <c r="E581" s="24" t="s">
        <v>30</v>
      </c>
      <c r="F581" s="48">
        <f>F576</f>
        <v>0.05</v>
      </c>
      <c r="G581" s="17"/>
      <c r="H581" s="40"/>
      <c r="I581" s="41"/>
      <c r="J581" s="42"/>
      <c r="K581" s="20" t="s">
        <v>31</v>
      </c>
      <c r="L581" s="21" t="s">
        <v>32</v>
      </c>
      <c r="M581" s="21" t="s">
        <v>33</v>
      </c>
      <c r="N581" s="21" t="s">
        <v>34</v>
      </c>
      <c r="O581" s="21" t="s">
        <v>35</v>
      </c>
      <c r="P581" s="21" t="s">
        <v>36</v>
      </c>
      <c r="Q581" s="49" t="s">
        <v>37</v>
      </c>
      <c r="R581" s="50" t="s">
        <v>38</v>
      </c>
      <c r="S581" s="50" t="s">
        <v>38</v>
      </c>
      <c r="T581" s="10"/>
      <c r="U581" s="17"/>
      <c r="V581" s="10"/>
      <c r="W581" s="10"/>
      <c r="X581" s="10"/>
    </row>
    <row r="582" spans="1:24">
      <c r="A582" s="2"/>
      <c r="B582" s="11"/>
      <c r="C582" s="10"/>
      <c r="D582" s="10"/>
      <c r="E582" s="51" t="s">
        <v>39</v>
      </c>
      <c r="F582" s="52">
        <f>(F580-I611-I632-I636)*F581</f>
        <v>1759.1514999999997</v>
      </c>
      <c r="G582" s="53" t="s">
        <v>40</v>
      </c>
      <c r="H582" s="54">
        <f>F582/1.12</f>
        <v>1570.6709821428567</v>
      </c>
      <c r="I582" s="55"/>
      <c r="J582" s="42"/>
      <c r="K582" s="56">
        <f>I602+I603+I600+I601</f>
        <v>13252.16</v>
      </c>
      <c r="L582" s="57">
        <f>I604+I605</f>
        <v>9171.5</v>
      </c>
      <c r="M582" s="57">
        <f>I606+I607+I608+I609</f>
        <v>6974.1100000000006</v>
      </c>
      <c r="N582" s="57">
        <f>I611+I632+I610+I636</f>
        <v>7369.7900000000009</v>
      </c>
      <c r="O582" s="57">
        <f>I612+I613</f>
        <v>1600.5</v>
      </c>
      <c r="P582" s="57">
        <f>SUM(K582:O582)</f>
        <v>38368.06</v>
      </c>
      <c r="Q582" s="58">
        <f>+I618+I619+I620+I621</f>
        <v>8667.93</v>
      </c>
      <c r="R582" s="59">
        <f>I633+I637</f>
        <v>2504.0300000000007</v>
      </c>
      <c r="S582" s="59">
        <f>0</f>
        <v>0</v>
      </c>
      <c r="T582" s="10"/>
      <c r="U582" s="17"/>
      <c r="V582" s="10"/>
      <c r="W582" s="10"/>
      <c r="X582" s="10"/>
    </row>
    <row r="583" spans="1:24">
      <c r="A583" s="2"/>
      <c r="B583" s="11"/>
      <c r="C583" s="10"/>
      <c r="D583" s="10"/>
      <c r="E583" s="24" t="s">
        <v>41</v>
      </c>
      <c r="F583" s="60">
        <f>Q582</f>
        <v>8667.93</v>
      </c>
      <c r="G583" s="61" t="s">
        <v>40</v>
      </c>
      <c r="H583" s="62"/>
      <c r="I583" s="62"/>
      <c r="J583" s="10" t="s">
        <v>42</v>
      </c>
      <c r="K583" s="63">
        <v>4</v>
      </c>
      <c r="L583" s="63">
        <v>2</v>
      </c>
      <c r="M583" s="63">
        <v>4</v>
      </c>
      <c r="N583" s="63">
        <v>4</v>
      </c>
      <c r="O583" s="63">
        <v>2</v>
      </c>
      <c r="P583" s="21">
        <f>SUM(K583:O583)</f>
        <v>16</v>
      </c>
      <c r="Q583" s="64">
        <v>4</v>
      </c>
      <c r="R583" s="63"/>
      <c r="S583" s="10"/>
      <c r="T583" s="10"/>
      <c r="U583" s="17"/>
      <c r="V583" s="10"/>
      <c r="W583" s="10"/>
      <c r="X583" s="10"/>
    </row>
    <row r="584" spans="1:24">
      <c r="A584" s="2"/>
      <c r="B584" s="11"/>
      <c r="C584" s="10"/>
      <c r="D584" s="10"/>
      <c r="E584" s="51" t="s">
        <v>43</v>
      </c>
      <c r="F584" s="52">
        <f>(F583)*0.25</f>
        <v>2166.9825000000001</v>
      </c>
      <c r="G584" s="53" t="s">
        <v>40</v>
      </c>
      <c r="H584" s="54">
        <f>F584/1.12</f>
        <v>1934.8058035714284</v>
      </c>
      <c r="I584" s="10"/>
      <c r="J584" s="10" t="s">
        <v>44</v>
      </c>
      <c r="K584" s="63">
        <v>3</v>
      </c>
      <c r="L584" s="63">
        <v>5</v>
      </c>
      <c r="M584" s="63">
        <v>1</v>
      </c>
      <c r="N584" s="63">
        <v>5</v>
      </c>
      <c r="O584" s="63">
        <v>4</v>
      </c>
      <c r="P584" s="21">
        <f>SUM(K584:O584)</f>
        <v>18</v>
      </c>
      <c r="Q584" s="64">
        <v>2</v>
      </c>
      <c r="R584" s="63"/>
      <c r="S584" s="10"/>
      <c r="T584" s="10"/>
      <c r="U584" s="17"/>
      <c r="V584" s="10"/>
      <c r="W584" s="10"/>
      <c r="X584" s="603"/>
    </row>
    <row r="585" spans="1:24">
      <c r="A585" s="2"/>
      <c r="B585" s="11"/>
      <c r="C585" s="10"/>
      <c r="D585" s="10"/>
      <c r="E585" s="24" t="s">
        <v>45</v>
      </c>
      <c r="F585" s="60">
        <f>I629</f>
        <v>20445.34</v>
      </c>
      <c r="G585" s="61" t="s">
        <v>40</v>
      </c>
      <c r="H585" s="62"/>
      <c r="I585" s="10"/>
      <c r="J585" s="10" t="s">
        <v>46</v>
      </c>
      <c r="K585" s="31">
        <f t="shared" ref="K585:Q585" si="107">K583/(K583+K584)</f>
        <v>0.5714285714285714</v>
      </c>
      <c r="L585" s="31">
        <f t="shared" si="107"/>
        <v>0.2857142857142857</v>
      </c>
      <c r="M585" s="31">
        <f t="shared" si="107"/>
        <v>0.8</v>
      </c>
      <c r="N585" s="31">
        <f t="shared" si="107"/>
        <v>0.44444444444444442</v>
      </c>
      <c r="O585" s="31">
        <f t="shared" si="107"/>
        <v>0.33333333333333331</v>
      </c>
      <c r="P585" s="31">
        <f t="shared" si="107"/>
        <v>0.47058823529411764</v>
      </c>
      <c r="Q585" s="31">
        <f t="shared" si="107"/>
        <v>0.66666666666666663</v>
      </c>
      <c r="R585" s="63"/>
      <c r="S585" s="10"/>
      <c r="T585" s="10"/>
      <c r="U585" s="17"/>
      <c r="V585" s="10"/>
      <c r="W585" s="10"/>
      <c r="X585" s="10"/>
    </row>
    <row r="586" spans="1:24">
      <c r="A586" s="2"/>
      <c r="B586" s="11"/>
      <c r="C586" s="10"/>
      <c r="D586" s="10"/>
      <c r="E586" s="51" t="s">
        <v>47</v>
      </c>
      <c r="F586" s="52">
        <f>(F585+F590-I626-I627-I628)*0.05</f>
        <v>1000.2670000000001</v>
      </c>
      <c r="G586" s="65" t="s">
        <v>40</v>
      </c>
      <c r="H586" s="54">
        <f>F586/1.12</f>
        <v>893.09553571428569</v>
      </c>
      <c r="I586" s="42"/>
      <c r="J586" s="10" t="s">
        <v>48</v>
      </c>
      <c r="K586" s="66">
        <f>K582/K583</f>
        <v>3313.04</v>
      </c>
      <c r="L586" s="66">
        <f t="shared" ref="L586:Q586" si="108">L582/L583</f>
        <v>4585.75</v>
      </c>
      <c r="M586" s="66">
        <f t="shared" si="108"/>
        <v>1743.5275000000001</v>
      </c>
      <c r="N586" s="66">
        <f t="shared" si="108"/>
        <v>1842.4475000000002</v>
      </c>
      <c r="O586" s="66">
        <f t="shared" si="108"/>
        <v>800.25</v>
      </c>
      <c r="P586" s="66">
        <f t="shared" si="108"/>
        <v>2398.0037499999999</v>
      </c>
      <c r="Q586" s="66">
        <f t="shared" si="108"/>
        <v>2166.9825000000001</v>
      </c>
      <c r="R586" s="63"/>
      <c r="S586" s="10"/>
      <c r="T586" s="10"/>
      <c r="U586" s="17"/>
      <c r="V586" s="10"/>
      <c r="W586" s="10"/>
      <c r="X586" s="10"/>
    </row>
    <row r="587" spans="1:24">
      <c r="A587" s="2"/>
      <c r="B587" s="11"/>
      <c r="C587" s="10"/>
      <c r="D587" s="10"/>
      <c r="E587" s="67" t="s">
        <v>14</v>
      </c>
      <c r="F587" s="68">
        <f>5*50</f>
        <v>250</v>
      </c>
      <c r="G587" s="10"/>
      <c r="H587" s="54">
        <f>F587/1.12</f>
        <v>223.21428571428569</v>
      </c>
      <c r="I587" s="10"/>
      <c r="J587" s="10"/>
      <c r="K587" s="10"/>
      <c r="L587" s="10"/>
      <c r="M587" s="10"/>
      <c r="N587" s="10"/>
      <c r="O587" s="10"/>
      <c r="P587" s="10"/>
      <c r="Q587" s="10"/>
      <c r="R587" s="10"/>
      <c r="S587" s="10"/>
      <c r="T587" s="10"/>
      <c r="U587" s="17"/>
      <c r="V587" s="10"/>
      <c r="W587" s="10"/>
      <c r="X587" s="10"/>
    </row>
    <row r="588" spans="1:24">
      <c r="A588" s="2"/>
      <c r="B588" s="11"/>
      <c r="C588" s="10"/>
      <c r="D588" s="10"/>
      <c r="E588" s="67" t="s">
        <v>49</v>
      </c>
      <c r="F588" s="69">
        <f>T577</f>
        <v>0</v>
      </c>
      <c r="G588" s="10"/>
      <c r="H588" s="54"/>
      <c r="I588" s="55"/>
      <c r="J588" s="42"/>
      <c r="K588" s="764" t="s">
        <v>50</v>
      </c>
      <c r="L588" s="765"/>
      <c r="M588" s="765"/>
      <c r="N588" s="765"/>
      <c r="O588" s="765"/>
      <c r="P588" s="765"/>
      <c r="Q588" s="766"/>
      <c r="R588" s="70" t="s">
        <v>28</v>
      </c>
      <c r="S588" s="71" t="s">
        <v>29</v>
      </c>
      <c r="T588" s="10"/>
      <c r="U588" s="17"/>
      <c r="V588" s="10"/>
      <c r="W588" s="10"/>
      <c r="X588" s="10"/>
    </row>
    <row r="589" spans="1:24">
      <c r="A589" s="2"/>
      <c r="B589" s="11"/>
      <c r="C589" s="10"/>
      <c r="D589" s="10"/>
      <c r="E589" s="67" t="s">
        <v>285</v>
      </c>
      <c r="F589" s="68">
        <f>180/7*4</f>
        <v>102.85714285714286</v>
      </c>
      <c r="G589" s="10"/>
      <c r="H589" s="10"/>
      <c r="I589" s="10"/>
      <c r="J589" s="42"/>
      <c r="K589" s="20" t="s">
        <v>31</v>
      </c>
      <c r="L589" s="21" t="s">
        <v>32</v>
      </c>
      <c r="M589" s="21" t="s">
        <v>33</v>
      </c>
      <c r="N589" s="21" t="s">
        <v>34</v>
      </c>
      <c r="O589" s="21" t="s">
        <v>35</v>
      </c>
      <c r="P589" s="21" t="s">
        <v>36</v>
      </c>
      <c r="Q589" s="49" t="s">
        <v>37</v>
      </c>
      <c r="R589" s="50" t="s">
        <v>38</v>
      </c>
      <c r="S589" s="50" t="s">
        <v>38</v>
      </c>
      <c r="T589" s="10"/>
      <c r="U589" s="17"/>
      <c r="V589" s="10"/>
      <c r="W589" s="10"/>
      <c r="X589" s="10"/>
    </row>
    <row r="590" spans="1:24">
      <c r="A590" s="2"/>
      <c r="B590" s="11"/>
      <c r="C590" s="10"/>
      <c r="D590" s="10"/>
      <c r="E590" s="74" t="s">
        <v>2486</v>
      </c>
      <c r="F590" s="75">
        <f>-440</f>
        <v>-440</v>
      </c>
      <c r="G590" s="10"/>
      <c r="H590" s="10"/>
      <c r="I590" s="10"/>
      <c r="J590" s="42"/>
      <c r="K590" s="56">
        <f>F602+F603+F600+F601</f>
        <v>14179</v>
      </c>
      <c r="L590" s="57">
        <f>F604+F605</f>
        <v>11295</v>
      </c>
      <c r="M590" s="57">
        <f>F606+F607+F608+F609</f>
        <v>7420</v>
      </c>
      <c r="N590" s="57">
        <f>F611+F632+F610+F636</f>
        <v>10361.9</v>
      </c>
      <c r="O590" s="57">
        <f>F612+F613</f>
        <v>1640.2</v>
      </c>
      <c r="P590" s="57">
        <f>SUM(K590:O590)</f>
        <v>44896.1</v>
      </c>
      <c r="Q590" s="58">
        <f>F618+F619+F620+F621</f>
        <v>10078.9</v>
      </c>
      <c r="R590" s="59">
        <f>F633+F637</f>
        <v>5199.8999999999996</v>
      </c>
      <c r="S590" s="59">
        <f>0</f>
        <v>0</v>
      </c>
      <c r="T590" s="10"/>
      <c r="U590" s="17"/>
      <c r="V590" s="10"/>
      <c r="W590" s="10"/>
      <c r="X590" s="10"/>
    </row>
    <row r="591" spans="1:24">
      <c r="A591" s="2"/>
      <c r="B591" s="11"/>
      <c r="C591" s="10"/>
      <c r="D591" s="10"/>
      <c r="E591" s="10"/>
      <c r="F591" s="10"/>
      <c r="G591" s="10"/>
      <c r="H591" s="10"/>
      <c r="I591" s="10"/>
      <c r="J591" s="10" t="s">
        <v>42</v>
      </c>
      <c r="K591" s="63">
        <f>K583</f>
        <v>4</v>
      </c>
      <c r="L591" s="63">
        <f t="shared" ref="L591:Q592" si="109">L583</f>
        <v>2</v>
      </c>
      <c r="M591" s="63">
        <f t="shared" si="109"/>
        <v>4</v>
      </c>
      <c r="N591" s="63">
        <f t="shared" si="109"/>
        <v>4</v>
      </c>
      <c r="O591" s="63">
        <f t="shared" si="109"/>
        <v>2</v>
      </c>
      <c r="P591" s="63">
        <f t="shared" si="109"/>
        <v>16</v>
      </c>
      <c r="Q591" s="63">
        <f t="shared" si="109"/>
        <v>4</v>
      </c>
      <c r="R591" s="63"/>
      <c r="S591" s="10"/>
      <c r="T591" s="10"/>
      <c r="U591" s="17"/>
      <c r="V591" s="10"/>
      <c r="W591" s="10"/>
      <c r="X591" s="10"/>
    </row>
    <row r="592" spans="1:24">
      <c r="A592" s="2"/>
      <c r="B592" s="11"/>
      <c r="C592" s="10"/>
      <c r="D592" s="10"/>
      <c r="E592" s="10"/>
      <c r="F592" s="10"/>
      <c r="G592" s="10"/>
      <c r="H592" s="10"/>
      <c r="I592" s="10"/>
      <c r="J592" s="10" t="s">
        <v>44</v>
      </c>
      <c r="K592" s="63">
        <f>K584</f>
        <v>3</v>
      </c>
      <c r="L592" s="63">
        <f t="shared" si="109"/>
        <v>5</v>
      </c>
      <c r="M592" s="63">
        <f t="shared" si="109"/>
        <v>1</v>
      </c>
      <c r="N592" s="63">
        <f t="shared" si="109"/>
        <v>5</v>
      </c>
      <c r="O592" s="63">
        <f t="shared" si="109"/>
        <v>4</v>
      </c>
      <c r="P592" s="63">
        <f t="shared" si="109"/>
        <v>18</v>
      </c>
      <c r="Q592" s="63">
        <f t="shared" si="109"/>
        <v>2</v>
      </c>
      <c r="R592" s="63"/>
      <c r="S592" s="10"/>
      <c r="T592" s="10"/>
      <c r="U592" s="17"/>
      <c r="V592" s="10"/>
      <c r="W592" s="10"/>
      <c r="X592" s="10"/>
    </row>
    <row r="593" spans="1:24">
      <c r="A593" s="2"/>
      <c r="B593" s="11"/>
      <c r="C593" s="10"/>
      <c r="D593" s="10"/>
      <c r="E593" s="10"/>
      <c r="F593" s="10"/>
      <c r="G593" s="10"/>
      <c r="H593" s="10"/>
      <c r="I593" s="10"/>
      <c r="J593" s="10" t="s">
        <v>46</v>
      </c>
      <c r="K593" s="31">
        <f t="shared" ref="K593:Q593" si="110">K591/(K591+K592)</f>
        <v>0.5714285714285714</v>
      </c>
      <c r="L593" s="31">
        <f t="shared" si="110"/>
        <v>0.2857142857142857</v>
      </c>
      <c r="M593" s="31">
        <f t="shared" si="110"/>
        <v>0.8</v>
      </c>
      <c r="N593" s="31">
        <f t="shared" si="110"/>
        <v>0.44444444444444442</v>
      </c>
      <c r="O593" s="31">
        <f t="shared" si="110"/>
        <v>0.33333333333333331</v>
      </c>
      <c r="P593" s="31">
        <f t="shared" si="110"/>
        <v>0.47058823529411764</v>
      </c>
      <c r="Q593" s="31">
        <f t="shared" si="110"/>
        <v>0.66666666666666663</v>
      </c>
      <c r="R593" s="63"/>
      <c r="S593" s="10"/>
      <c r="T593" s="10"/>
      <c r="U593" s="17"/>
      <c r="V593" s="10"/>
      <c r="W593" s="10"/>
      <c r="X593" s="10"/>
    </row>
    <row r="594" spans="1:24">
      <c r="A594" s="2"/>
      <c r="B594" s="11"/>
      <c r="C594" s="10"/>
      <c r="D594" s="10"/>
      <c r="E594" s="10"/>
      <c r="F594" s="10"/>
      <c r="G594" s="10"/>
      <c r="H594" s="10"/>
      <c r="I594" s="10"/>
      <c r="J594" s="10" t="s">
        <v>48</v>
      </c>
      <c r="K594" s="66">
        <f t="shared" ref="K594:Q594" si="111">K590/K591</f>
        <v>3544.75</v>
      </c>
      <c r="L594" s="66">
        <f t="shared" si="111"/>
        <v>5647.5</v>
      </c>
      <c r="M594" s="66">
        <f t="shared" si="111"/>
        <v>1855</v>
      </c>
      <c r="N594" s="66">
        <f t="shared" si="111"/>
        <v>2590.4749999999999</v>
      </c>
      <c r="O594" s="66">
        <f t="shared" si="111"/>
        <v>820.1</v>
      </c>
      <c r="P594" s="66">
        <f t="shared" si="111"/>
        <v>2806.0062499999999</v>
      </c>
      <c r="Q594" s="66">
        <f t="shared" si="111"/>
        <v>2519.7249999999999</v>
      </c>
      <c r="R594" s="63"/>
      <c r="S594" s="10"/>
      <c r="T594" s="10"/>
      <c r="U594" s="17"/>
      <c r="V594" s="10"/>
      <c r="W594" s="10"/>
      <c r="X594" s="10"/>
    </row>
    <row r="595" spans="1:24">
      <c r="A595" s="2"/>
      <c r="B595" s="11"/>
      <c r="C595" s="10"/>
      <c r="D595" s="10"/>
      <c r="E595" s="10"/>
      <c r="F595" s="10"/>
      <c r="G595" s="10"/>
      <c r="H595" s="10"/>
      <c r="I595" s="10"/>
      <c r="J595" s="10"/>
      <c r="K595" s="10"/>
      <c r="L595" s="10"/>
      <c r="M595" s="10"/>
      <c r="N595" s="10"/>
      <c r="O595" s="10"/>
      <c r="P595" s="10"/>
      <c r="Q595" s="10"/>
      <c r="R595" s="10"/>
      <c r="S595" s="10"/>
      <c r="T595" s="10"/>
      <c r="U595" s="17"/>
      <c r="V595" s="10"/>
      <c r="W595" s="10"/>
      <c r="X595" s="10"/>
    </row>
    <row r="596" spans="1:24">
      <c r="A596" s="2"/>
      <c r="B596" s="11"/>
      <c r="C596" s="10"/>
      <c r="D596" s="10"/>
      <c r="E596" s="10"/>
      <c r="F596" s="10"/>
      <c r="G596" s="10"/>
      <c r="H596" s="10"/>
      <c r="I596" s="10"/>
      <c r="J596" s="10"/>
      <c r="K596" s="10"/>
      <c r="L596" s="10"/>
      <c r="M596" s="10"/>
      <c r="N596" s="10"/>
      <c r="O596" s="10"/>
      <c r="P596" s="10"/>
      <c r="Q596" s="10"/>
      <c r="R596" s="10"/>
      <c r="S596" s="10"/>
      <c r="T596" s="10"/>
      <c r="U596" s="17"/>
      <c r="V596" s="10"/>
      <c r="W596" s="10"/>
      <c r="X596" s="10"/>
    </row>
    <row r="597" spans="1:24">
      <c r="A597" s="2"/>
      <c r="B597" s="18" t="s">
        <v>51</v>
      </c>
      <c r="C597" s="14"/>
      <c r="D597" s="14"/>
      <c r="E597" s="14"/>
      <c r="F597" s="13" t="s">
        <v>52</v>
      </c>
      <c r="G597" s="14"/>
      <c r="H597" s="14"/>
      <c r="I597" s="14"/>
      <c r="J597" s="14"/>
      <c r="K597" s="13" t="s">
        <v>3</v>
      </c>
      <c r="L597" s="14"/>
      <c r="M597" s="14"/>
      <c r="N597" s="13" t="s">
        <v>4</v>
      </c>
      <c r="O597" s="14"/>
      <c r="P597" s="14"/>
      <c r="Q597" s="13" t="s">
        <v>5</v>
      </c>
      <c r="R597" s="14"/>
      <c r="S597" s="14"/>
      <c r="T597" s="18"/>
      <c r="U597" s="16" t="s">
        <v>53</v>
      </c>
      <c r="V597" s="77"/>
      <c r="W597" s="77"/>
      <c r="X597" s="77"/>
    </row>
    <row r="598" spans="1:24">
      <c r="A598" s="2"/>
      <c r="B598" s="24" t="s">
        <v>54</v>
      </c>
      <c r="C598" s="21" t="s">
        <v>55</v>
      </c>
      <c r="D598" s="21" t="s">
        <v>56</v>
      </c>
      <c r="E598" s="21" t="s">
        <v>57</v>
      </c>
      <c r="F598" s="20" t="s">
        <v>58</v>
      </c>
      <c r="G598" s="21" t="s">
        <v>59</v>
      </c>
      <c r="H598" s="21" t="s">
        <v>60</v>
      </c>
      <c r="I598" s="21" t="s">
        <v>26</v>
      </c>
      <c r="J598" s="22" t="s">
        <v>61</v>
      </c>
      <c r="K598" s="21" t="s">
        <v>8</v>
      </c>
      <c r="L598" s="21" t="s">
        <v>9</v>
      </c>
      <c r="M598" s="21" t="s">
        <v>10</v>
      </c>
      <c r="N598" s="20" t="s">
        <v>11</v>
      </c>
      <c r="O598" s="21" t="s">
        <v>12</v>
      </c>
      <c r="P598" s="22" t="s">
        <v>13</v>
      </c>
      <c r="Q598" s="21" t="s">
        <v>11</v>
      </c>
      <c r="R598" s="21" t="s">
        <v>12</v>
      </c>
      <c r="S598" s="21" t="s">
        <v>13</v>
      </c>
      <c r="T598" s="78" t="s">
        <v>14</v>
      </c>
      <c r="U598" s="30"/>
      <c r="V598" s="79" t="s">
        <v>62</v>
      </c>
      <c r="W598" s="80" t="s">
        <v>63</v>
      </c>
      <c r="X598" s="81" t="s">
        <v>64</v>
      </c>
    </row>
    <row r="599" spans="1:24">
      <c r="A599" s="2"/>
      <c r="B599" s="4" t="s">
        <v>65</v>
      </c>
      <c r="C599" s="6"/>
      <c r="D599" s="6"/>
      <c r="E599" s="6"/>
      <c r="F599" s="6"/>
      <c r="G599" s="6"/>
      <c r="H599" s="6"/>
      <c r="I599" s="82"/>
      <c r="J599" s="6"/>
      <c r="K599" s="6"/>
      <c r="L599" s="6"/>
      <c r="M599" s="6"/>
      <c r="N599" s="6"/>
      <c r="O599" s="6"/>
      <c r="P599" s="6"/>
      <c r="Q599" s="6"/>
      <c r="R599" s="6"/>
      <c r="S599" s="6"/>
      <c r="T599" s="83"/>
      <c r="U599" s="6"/>
      <c r="V599" s="84"/>
      <c r="W599" s="85"/>
      <c r="X599" s="86"/>
    </row>
    <row r="600" spans="1:24">
      <c r="A600" s="2"/>
      <c r="B600" s="87">
        <v>1</v>
      </c>
      <c r="C600" s="274">
        <v>45887</v>
      </c>
      <c r="D600" s="327" t="s">
        <v>2487</v>
      </c>
      <c r="E600" s="276" t="s">
        <v>168</v>
      </c>
      <c r="F600" s="277">
        <v>2681</v>
      </c>
      <c r="G600" s="277">
        <f>39.7</f>
        <v>39.700000000000003</v>
      </c>
      <c r="H600" s="277"/>
      <c r="I600" s="321">
        <f>F600-G600-H600</f>
        <v>2641.3</v>
      </c>
      <c r="J600" s="279" t="s">
        <v>374</v>
      </c>
      <c r="K600" s="279">
        <v>1</v>
      </c>
      <c r="L600" s="279">
        <v>1</v>
      </c>
      <c r="M600" s="279">
        <v>1</v>
      </c>
      <c r="N600" s="279">
        <v>1</v>
      </c>
      <c r="O600" s="279">
        <v>1</v>
      </c>
      <c r="P600" s="279">
        <v>1</v>
      </c>
      <c r="Q600" s="279">
        <v>1</v>
      </c>
      <c r="R600" s="322">
        <v>0</v>
      </c>
      <c r="S600" s="328">
        <v>0</v>
      </c>
      <c r="T600" s="63"/>
      <c r="U600" s="94" t="s">
        <v>2488</v>
      </c>
      <c r="V600" s="90">
        <v>2949.1</v>
      </c>
      <c r="W600" s="578"/>
      <c r="X600" s="579"/>
    </row>
    <row r="601" spans="1:24">
      <c r="A601" s="2"/>
      <c r="B601" s="87">
        <f>B600+1</f>
        <v>2</v>
      </c>
      <c r="C601" s="295">
        <v>45887</v>
      </c>
      <c r="D601" s="323">
        <v>72375</v>
      </c>
      <c r="E601" s="10" t="s">
        <v>306</v>
      </c>
      <c r="F601" s="62">
        <v>8675</v>
      </c>
      <c r="G601" s="62">
        <f>39.7+(19.92+16.8)+(188.6+42.72)+300</f>
        <v>607.74</v>
      </c>
      <c r="H601" s="62"/>
      <c r="I601" s="89">
        <f t="shared" ref="I601" si="112">F601-G601-H601</f>
        <v>8067.26</v>
      </c>
      <c r="J601" s="63" t="s">
        <v>374</v>
      </c>
      <c r="K601" s="63">
        <v>1</v>
      </c>
      <c r="L601" s="63">
        <v>1</v>
      </c>
      <c r="M601" s="63">
        <v>1</v>
      </c>
      <c r="N601" s="63">
        <v>1</v>
      </c>
      <c r="O601" s="63">
        <v>1</v>
      </c>
      <c r="P601" s="63">
        <v>1</v>
      </c>
      <c r="Q601" s="63">
        <v>1</v>
      </c>
      <c r="R601" s="63">
        <v>1</v>
      </c>
      <c r="S601" s="296">
        <v>1</v>
      </c>
      <c r="T601" s="63"/>
      <c r="U601" s="94" t="s">
        <v>2489</v>
      </c>
      <c r="V601" s="90">
        <f>954+8588.5</f>
        <v>9542.5</v>
      </c>
      <c r="W601" s="578"/>
      <c r="X601" s="579"/>
    </row>
    <row r="602" spans="1:24">
      <c r="A602" s="2" t="s">
        <v>2490</v>
      </c>
      <c r="B602" s="87">
        <f>B601+1</f>
        <v>3</v>
      </c>
      <c r="C602" s="295">
        <v>45887</v>
      </c>
      <c r="D602" s="346" t="s">
        <v>2491</v>
      </c>
      <c r="E602" s="10" t="s">
        <v>1034</v>
      </c>
      <c r="F602" s="62">
        <v>1542</v>
      </c>
      <c r="G602" s="62">
        <f>39.7+200</f>
        <v>239.7</v>
      </c>
      <c r="H602" s="88"/>
      <c r="I602" s="89">
        <f t="shared" ref="I602:I612" si="113">F602-G602-H602</f>
        <v>1302.3</v>
      </c>
      <c r="J602" s="63" t="s">
        <v>156</v>
      </c>
      <c r="K602" s="63">
        <v>1</v>
      </c>
      <c r="L602" s="63">
        <v>1</v>
      </c>
      <c r="M602" s="63">
        <v>1</v>
      </c>
      <c r="N602" s="63">
        <v>1</v>
      </c>
      <c r="O602" s="63">
        <v>1</v>
      </c>
      <c r="P602" s="63">
        <v>1</v>
      </c>
      <c r="Q602" s="63">
        <v>1</v>
      </c>
      <c r="R602" s="63">
        <v>1</v>
      </c>
      <c r="S602" s="296">
        <v>1</v>
      </c>
      <c r="T602" s="21">
        <v>1</v>
      </c>
      <c r="U602" s="10" t="s">
        <v>2492</v>
      </c>
      <c r="V602" s="90">
        <f>1696.2</f>
        <v>1696.2</v>
      </c>
      <c r="W602" s="91"/>
      <c r="X602" s="92"/>
    </row>
    <row r="603" spans="1:24">
      <c r="A603" s="2"/>
      <c r="B603" s="87">
        <f>B602+1</f>
        <v>4</v>
      </c>
      <c r="C603" s="282">
        <v>45887</v>
      </c>
      <c r="D603" s="368">
        <v>72385</v>
      </c>
      <c r="E603" s="283" t="s">
        <v>1186</v>
      </c>
      <c r="F603" s="284">
        <v>1281</v>
      </c>
      <c r="G603" s="284">
        <f>39.7</f>
        <v>39.700000000000003</v>
      </c>
      <c r="H603" s="284"/>
      <c r="I603" s="285">
        <f t="shared" si="113"/>
        <v>1241.3</v>
      </c>
      <c r="J603" s="286" t="s">
        <v>156</v>
      </c>
      <c r="K603" s="286">
        <v>1</v>
      </c>
      <c r="L603" s="286">
        <v>1</v>
      </c>
      <c r="M603" s="286">
        <v>1</v>
      </c>
      <c r="N603" s="286">
        <v>1</v>
      </c>
      <c r="O603" s="286">
        <v>1</v>
      </c>
      <c r="P603" s="286">
        <v>1</v>
      </c>
      <c r="Q603" s="286">
        <v>1</v>
      </c>
      <c r="R603" s="286">
        <v>1</v>
      </c>
      <c r="S603" s="287">
        <v>1</v>
      </c>
      <c r="T603" s="21">
        <v>1</v>
      </c>
      <c r="U603" s="10" t="s">
        <v>2493</v>
      </c>
      <c r="V603" s="90">
        <v>1409.1</v>
      </c>
      <c r="W603" s="91"/>
      <c r="X603" s="92"/>
    </row>
    <row r="604" spans="1:24">
      <c r="A604" s="93"/>
      <c r="B604" s="87">
        <f>B603+1</f>
        <v>5</v>
      </c>
      <c r="C604" s="295">
        <v>45888</v>
      </c>
      <c r="D604" s="323" t="s">
        <v>2494</v>
      </c>
      <c r="E604" s="10" t="s">
        <v>1080</v>
      </c>
      <c r="F604" s="62">
        <v>681</v>
      </c>
      <c r="G604" s="62"/>
      <c r="H604" s="62"/>
      <c r="I604" s="89">
        <f t="shared" si="113"/>
        <v>681</v>
      </c>
      <c r="J604" s="63" t="s">
        <v>156</v>
      </c>
      <c r="K604" s="63">
        <v>1</v>
      </c>
      <c r="L604" s="63">
        <v>1</v>
      </c>
      <c r="M604" s="63">
        <v>1</v>
      </c>
      <c r="N604" s="63">
        <v>1</v>
      </c>
      <c r="O604" s="63">
        <v>1</v>
      </c>
      <c r="P604" s="63">
        <v>1</v>
      </c>
      <c r="Q604" s="63">
        <v>1</v>
      </c>
      <c r="R604" s="63">
        <v>1</v>
      </c>
      <c r="S604" s="296">
        <v>1</v>
      </c>
      <c r="T604" s="63"/>
      <c r="U604" s="10"/>
      <c r="V604" s="90">
        <v>749.1</v>
      </c>
      <c r="W604" s="91"/>
      <c r="X604" s="92"/>
    </row>
    <row r="605" spans="1:24">
      <c r="A605" s="93" t="s">
        <v>2495</v>
      </c>
      <c r="B605" s="87">
        <f>B604+1</f>
        <v>6</v>
      </c>
      <c r="C605" s="282">
        <v>45888</v>
      </c>
      <c r="D605" s="368" t="s">
        <v>2496</v>
      </c>
      <c r="E605" s="441" t="s">
        <v>1073</v>
      </c>
      <c r="F605" s="284">
        <v>10614</v>
      </c>
      <c r="G605" s="284">
        <f>39.7+724.9+(1108.9)+250</f>
        <v>2123.5</v>
      </c>
      <c r="H605" s="284"/>
      <c r="I605" s="300">
        <f t="shared" ref="I605" si="114">F605-G605-H605</f>
        <v>8490.5</v>
      </c>
      <c r="J605" s="286" t="s">
        <v>374</v>
      </c>
      <c r="K605" s="286">
        <v>1</v>
      </c>
      <c r="L605" s="332">
        <v>0</v>
      </c>
      <c r="M605" s="286">
        <v>1</v>
      </c>
      <c r="N605" s="286">
        <v>1</v>
      </c>
      <c r="O605" s="286">
        <v>1</v>
      </c>
      <c r="P605" s="286">
        <v>1</v>
      </c>
      <c r="Q605" s="286">
        <v>1</v>
      </c>
      <c r="R605" s="286">
        <v>1</v>
      </c>
      <c r="S605" s="287">
        <v>1</v>
      </c>
      <c r="T605" s="21">
        <v>1</v>
      </c>
      <c r="U605" s="10" t="s">
        <v>2497</v>
      </c>
      <c r="V605" s="90">
        <f>1160+10514.4</f>
        <v>11674.4</v>
      </c>
      <c r="W605" s="91"/>
      <c r="X605" s="92"/>
    </row>
    <row r="606" spans="1:24">
      <c r="A606" s="2"/>
      <c r="B606" s="87">
        <f>B605+1</f>
        <v>7</v>
      </c>
      <c r="C606" s="574">
        <v>45889</v>
      </c>
      <c r="D606" s="327">
        <v>72446</v>
      </c>
      <c r="E606" s="593" t="s">
        <v>1045</v>
      </c>
      <c r="F606" s="575">
        <v>814</v>
      </c>
      <c r="G606" s="575">
        <f>39.7+(29.74)</f>
        <v>69.44</v>
      </c>
      <c r="H606" s="575"/>
      <c r="I606" s="596">
        <f>F606-G606-H606</f>
        <v>744.56</v>
      </c>
      <c r="J606" s="576" t="s">
        <v>156</v>
      </c>
      <c r="K606" s="576">
        <v>1</v>
      </c>
      <c r="L606" s="576">
        <v>1</v>
      </c>
      <c r="M606" s="576">
        <v>1</v>
      </c>
      <c r="N606" s="576">
        <v>1</v>
      </c>
      <c r="O606" s="576">
        <v>1</v>
      </c>
      <c r="P606" s="576">
        <v>1</v>
      </c>
      <c r="Q606" s="576">
        <v>1</v>
      </c>
      <c r="R606" s="576">
        <v>1</v>
      </c>
      <c r="S606" s="595">
        <v>1</v>
      </c>
      <c r="T606" s="580"/>
      <c r="U606" s="3"/>
      <c r="V606" s="551">
        <f>93.5+801.9</f>
        <v>895.4</v>
      </c>
      <c r="W606" s="581"/>
      <c r="X606" s="582"/>
    </row>
    <row r="607" spans="1:24">
      <c r="A607" s="2" t="s">
        <v>2498</v>
      </c>
      <c r="B607" s="87">
        <f>B606+1</f>
        <v>8</v>
      </c>
      <c r="C607" s="295">
        <v>45889</v>
      </c>
      <c r="D607" s="323" t="s">
        <v>2499</v>
      </c>
      <c r="E607" s="10" t="s">
        <v>761</v>
      </c>
      <c r="F607" s="62">
        <v>2614</v>
      </c>
      <c r="G607" s="62">
        <v>39.700000000000003</v>
      </c>
      <c r="H607" s="62"/>
      <c r="I607" s="89">
        <f t="shared" si="113"/>
        <v>2574.3000000000002</v>
      </c>
      <c r="J607" s="63" t="s">
        <v>156</v>
      </c>
      <c r="K607" s="63">
        <v>1</v>
      </c>
      <c r="L607" s="63">
        <v>1</v>
      </c>
      <c r="M607" s="63">
        <v>1</v>
      </c>
      <c r="N607" s="63">
        <v>1</v>
      </c>
      <c r="O607" s="63">
        <v>1</v>
      </c>
      <c r="P607" s="63">
        <v>1</v>
      </c>
      <c r="Q607" s="63">
        <v>1</v>
      </c>
      <c r="R607" s="63">
        <v>1</v>
      </c>
      <c r="S607" s="296">
        <v>1</v>
      </c>
      <c r="T607" s="63"/>
      <c r="U607" s="10" t="s">
        <v>2500</v>
      </c>
      <c r="V607" s="90">
        <v>2875.4</v>
      </c>
      <c r="W607" s="91"/>
      <c r="X607" s="92"/>
    </row>
    <row r="608" spans="1:24">
      <c r="A608" s="2"/>
      <c r="B608" s="87">
        <f>B607+1</f>
        <v>9</v>
      </c>
      <c r="C608" s="295">
        <v>45889</v>
      </c>
      <c r="D608" s="323">
        <v>72485</v>
      </c>
      <c r="E608" s="10" t="s">
        <v>728</v>
      </c>
      <c r="F608" s="62">
        <f>3727-185</f>
        <v>3542</v>
      </c>
      <c r="G608" s="62">
        <f>39.7+(97.05)</f>
        <v>136.75</v>
      </c>
      <c r="H608" s="88"/>
      <c r="I608" s="89">
        <f t="shared" si="113"/>
        <v>3405.25</v>
      </c>
      <c r="J608" s="63" t="s">
        <v>156</v>
      </c>
      <c r="K608" s="63">
        <v>1</v>
      </c>
      <c r="L608" s="63">
        <v>1</v>
      </c>
      <c r="M608" s="63">
        <v>1</v>
      </c>
      <c r="N608" s="63">
        <v>1</v>
      </c>
      <c r="O608" s="63">
        <v>1</v>
      </c>
      <c r="P608" s="63">
        <v>1</v>
      </c>
      <c r="Q608" s="63">
        <v>1</v>
      </c>
      <c r="R608" s="63">
        <v>1</v>
      </c>
      <c r="S608" s="296">
        <v>1</v>
      </c>
      <c r="T608" s="63"/>
      <c r="U608" s="10"/>
      <c r="V608" s="90">
        <f>203.5+360+3332.7</f>
        <v>3896.2</v>
      </c>
      <c r="W608" s="91"/>
      <c r="X608" s="92"/>
    </row>
    <row r="609" spans="1:24">
      <c r="A609" s="2" t="s">
        <v>2501</v>
      </c>
      <c r="B609" s="87">
        <f>B608+1</f>
        <v>10</v>
      </c>
      <c r="C609" s="295">
        <v>45889</v>
      </c>
      <c r="D609" s="323">
        <v>72482</v>
      </c>
      <c r="E609" s="10" t="s">
        <v>306</v>
      </c>
      <c r="F609" s="62">
        <v>450</v>
      </c>
      <c r="G609" s="62">
        <f>200</f>
        <v>200</v>
      </c>
      <c r="H609" s="88"/>
      <c r="I609" s="89">
        <f t="shared" si="113"/>
        <v>250</v>
      </c>
      <c r="J609" s="63" t="s">
        <v>156</v>
      </c>
      <c r="K609" s="63">
        <v>1</v>
      </c>
      <c r="L609" s="63">
        <v>1</v>
      </c>
      <c r="M609" s="63">
        <v>1</v>
      </c>
      <c r="N609" s="63">
        <v>1</v>
      </c>
      <c r="O609" s="63">
        <v>1</v>
      </c>
      <c r="P609" s="63">
        <v>1</v>
      </c>
      <c r="Q609" s="63">
        <v>1</v>
      </c>
      <c r="R609" s="63">
        <v>1</v>
      </c>
      <c r="S609" s="296">
        <v>1</v>
      </c>
      <c r="T609" s="63"/>
      <c r="U609" s="10" t="s">
        <v>2502</v>
      </c>
      <c r="V609" s="90">
        <v>495</v>
      </c>
      <c r="W609" s="91"/>
      <c r="X609" s="92"/>
    </row>
    <row r="610" spans="1:24">
      <c r="A610" s="2"/>
      <c r="B610" s="87">
        <f>B609+1</f>
        <v>11</v>
      </c>
      <c r="C610" s="574">
        <v>45890</v>
      </c>
      <c r="D610" s="327">
        <v>72528</v>
      </c>
      <c r="E610" s="597" t="s">
        <v>1008</v>
      </c>
      <c r="F610" s="575">
        <v>4481</v>
      </c>
      <c r="G610" s="575">
        <f>39.7+(17)+(39.54)+200</f>
        <v>296.24</v>
      </c>
      <c r="H610" s="575"/>
      <c r="I610" s="596">
        <f>F610-G610-H610</f>
        <v>4184.76</v>
      </c>
      <c r="J610" s="576" t="s">
        <v>228</v>
      </c>
      <c r="K610" s="576">
        <v>1</v>
      </c>
      <c r="L610" s="576">
        <v>1</v>
      </c>
      <c r="M610" s="576">
        <v>0</v>
      </c>
      <c r="N610" s="576">
        <v>1</v>
      </c>
      <c r="O610" s="576">
        <v>1</v>
      </c>
      <c r="P610" s="576">
        <v>1</v>
      </c>
      <c r="Q610" s="576">
        <v>1</v>
      </c>
      <c r="R610" s="576">
        <v>1</v>
      </c>
      <c r="S610" s="595">
        <v>1</v>
      </c>
      <c r="T610" s="537"/>
      <c r="U610" s="3" t="s">
        <v>2503</v>
      </c>
      <c r="V610" s="551">
        <f>429+4500.1</f>
        <v>4929.1000000000004</v>
      </c>
      <c r="W610" s="581"/>
      <c r="X610" s="582"/>
    </row>
    <row r="611" spans="1:24">
      <c r="A611" s="2"/>
      <c r="B611" s="87">
        <f>B610+1</f>
        <v>12</v>
      </c>
      <c r="C611" s="295">
        <v>45890</v>
      </c>
      <c r="D611" s="323">
        <v>72518</v>
      </c>
      <c r="E611" s="10" t="s">
        <v>737</v>
      </c>
      <c r="F611" s="62">
        <v>681</v>
      </c>
      <c r="G611" s="62"/>
      <c r="H611" s="88"/>
      <c r="I611" s="369">
        <f t="shared" si="113"/>
        <v>681</v>
      </c>
      <c r="J611" s="63" t="s">
        <v>156</v>
      </c>
      <c r="K611" s="63">
        <v>1</v>
      </c>
      <c r="L611" s="63">
        <v>1</v>
      </c>
      <c r="M611" s="63">
        <v>1</v>
      </c>
      <c r="N611" s="63">
        <v>1</v>
      </c>
      <c r="O611" s="63">
        <v>1</v>
      </c>
      <c r="P611" s="63">
        <v>1</v>
      </c>
      <c r="Q611" s="63">
        <v>1</v>
      </c>
      <c r="R611" s="63">
        <v>1</v>
      </c>
      <c r="S611" s="326">
        <v>0</v>
      </c>
      <c r="T611" s="63"/>
      <c r="U611" s="10" t="s">
        <v>2504</v>
      </c>
      <c r="V611" s="90">
        <f>749.1</f>
        <v>749.1</v>
      </c>
      <c r="W611" s="91"/>
      <c r="X611" s="92"/>
    </row>
    <row r="612" spans="1:24">
      <c r="A612" s="2"/>
      <c r="B612" s="87">
        <f>B611+1</f>
        <v>13</v>
      </c>
      <c r="C612" s="274">
        <v>45891</v>
      </c>
      <c r="D612" s="320" t="s">
        <v>2505</v>
      </c>
      <c r="E612" s="276" t="s">
        <v>207</v>
      </c>
      <c r="F612" s="277">
        <v>681</v>
      </c>
      <c r="G612" s="277"/>
      <c r="H612" s="297"/>
      <c r="I612" s="278">
        <f t="shared" si="113"/>
        <v>681</v>
      </c>
      <c r="J612" s="279" t="s">
        <v>156</v>
      </c>
      <c r="K612" s="279">
        <v>1</v>
      </c>
      <c r="L612" s="279">
        <v>1</v>
      </c>
      <c r="M612" s="279">
        <v>1</v>
      </c>
      <c r="N612" s="279">
        <v>1</v>
      </c>
      <c r="O612" s="279">
        <v>1</v>
      </c>
      <c r="P612" s="279">
        <v>1</v>
      </c>
      <c r="Q612" s="279">
        <v>1</v>
      </c>
      <c r="R612" s="279">
        <v>1</v>
      </c>
      <c r="S612" s="280">
        <v>1</v>
      </c>
      <c r="T612" s="63"/>
      <c r="U612" s="10"/>
      <c r="V612" s="90">
        <v>749.1</v>
      </c>
      <c r="W612" s="91"/>
      <c r="X612" s="92"/>
    </row>
    <row r="613" spans="1:24">
      <c r="A613" s="388">
        <v>45898</v>
      </c>
      <c r="B613" s="87">
        <f>B612+1</f>
        <v>14</v>
      </c>
      <c r="C613" s="554">
        <v>45891</v>
      </c>
      <c r="D613" s="368">
        <v>72552</v>
      </c>
      <c r="E613" s="573" t="s">
        <v>979</v>
      </c>
      <c r="F613" s="556">
        <f>1024.2-65</f>
        <v>959.2</v>
      </c>
      <c r="G613" s="556">
        <v>39.700000000000003</v>
      </c>
      <c r="H613" s="556"/>
      <c r="I613" s="557">
        <f>F613-G613-H613</f>
        <v>919.5</v>
      </c>
      <c r="J613" s="558" t="s">
        <v>374</v>
      </c>
      <c r="K613" s="558">
        <v>1</v>
      </c>
      <c r="L613" s="558">
        <v>1</v>
      </c>
      <c r="M613" s="558">
        <v>1</v>
      </c>
      <c r="N613" s="558">
        <v>1</v>
      </c>
      <c r="O613" s="558">
        <v>1</v>
      </c>
      <c r="P613" s="558">
        <v>1</v>
      </c>
      <c r="Q613" s="558">
        <v>1</v>
      </c>
      <c r="R613" s="558">
        <v>1</v>
      </c>
      <c r="S613" s="559">
        <v>1</v>
      </c>
      <c r="T613" s="537"/>
      <c r="U613" s="3" t="s">
        <v>2506</v>
      </c>
      <c r="V613" s="551">
        <f>1126.62</f>
        <v>1126.6199999999999</v>
      </c>
      <c r="W613" s="581"/>
      <c r="X613" s="582"/>
    </row>
    <row r="614" spans="1:24">
      <c r="A614" s="2"/>
      <c r="B614" s="87"/>
      <c r="C614" s="36"/>
      <c r="D614" s="10"/>
      <c r="E614" s="10"/>
      <c r="F614" s="98">
        <f>SUM(F600:F613)</f>
        <v>39696.199999999997</v>
      </c>
      <c r="G614" s="98">
        <f>SUM(G600:G613)</f>
        <v>3832.17</v>
      </c>
      <c r="H614" s="98">
        <f>SUM(H600:H613)</f>
        <v>0</v>
      </c>
      <c r="I614" s="98">
        <f>SUM(I600:I613)</f>
        <v>35864.03</v>
      </c>
      <c r="J614" s="63"/>
      <c r="K614" s="63">
        <f>COUNT(K600:K613)</f>
        <v>14</v>
      </c>
      <c r="L614" s="63">
        <f>COUNT(L600:L613)</f>
        <v>14</v>
      </c>
      <c r="M614" s="63">
        <f>COUNT(M600:M613)</f>
        <v>14</v>
      </c>
      <c r="N614" s="63">
        <f>COUNT(N600:N613)</f>
        <v>14</v>
      </c>
      <c r="O614" s="63">
        <f>COUNT(O600:O613)</f>
        <v>14</v>
      </c>
      <c r="P614" s="63">
        <f>COUNT(P600:P613)</f>
        <v>14</v>
      </c>
      <c r="Q614" s="63">
        <f>COUNT(Q600:Q613)</f>
        <v>14</v>
      </c>
      <c r="R614" s="63">
        <f>COUNT(R600:R613)</f>
        <v>14</v>
      </c>
      <c r="S614" s="63">
        <f>COUNT(S600:S613)</f>
        <v>14</v>
      </c>
      <c r="T614" s="63"/>
      <c r="U614" s="10"/>
      <c r="V614" s="90"/>
      <c r="W614" s="91"/>
      <c r="X614" s="92"/>
    </row>
    <row r="615" spans="1:24">
      <c r="A615" s="2"/>
      <c r="B615" s="87"/>
      <c r="C615" s="36"/>
      <c r="D615" s="10"/>
      <c r="E615" s="10"/>
      <c r="F615" s="88"/>
      <c r="G615" s="88"/>
      <c r="H615" s="88"/>
      <c r="I615" s="99"/>
      <c r="J615" s="63"/>
      <c r="K615" s="21">
        <f>SUM(K600:K613)</f>
        <v>14</v>
      </c>
      <c r="L615" s="21">
        <f>SUM(L600:L613)</f>
        <v>13</v>
      </c>
      <c r="M615" s="21">
        <f>SUM(M600:M613)</f>
        <v>13</v>
      </c>
      <c r="N615" s="21">
        <f>SUM(N600:N613)</f>
        <v>14</v>
      </c>
      <c r="O615" s="21">
        <f>SUM(O600:O613)</f>
        <v>14</v>
      </c>
      <c r="P615" s="21">
        <f>SUM(P600:P613)</f>
        <v>14</v>
      </c>
      <c r="Q615" s="21">
        <f>SUM(Q600:Q613)</f>
        <v>14</v>
      </c>
      <c r="R615" s="21">
        <f>SUM(R600:R613)</f>
        <v>13</v>
      </c>
      <c r="S615" s="21">
        <f>SUM(S600:S613)</f>
        <v>12</v>
      </c>
      <c r="T615" s="63"/>
      <c r="U615" s="10"/>
      <c r="V615" s="90"/>
      <c r="W615" s="91"/>
      <c r="X615" s="92"/>
    </row>
    <row r="616" spans="1:24">
      <c r="A616" s="2"/>
      <c r="B616" s="11"/>
      <c r="C616" s="36"/>
      <c r="D616" s="10"/>
      <c r="E616" s="10"/>
      <c r="F616" s="88"/>
      <c r="G616" s="88"/>
      <c r="H616" s="88"/>
      <c r="I616" s="99"/>
      <c r="J616" s="63"/>
      <c r="K616" s="21"/>
      <c r="L616" s="21"/>
      <c r="M616" s="21"/>
      <c r="N616" s="21"/>
      <c r="O616" s="21"/>
      <c r="P616" s="21"/>
      <c r="Q616" s="21"/>
      <c r="R616" s="21"/>
      <c r="S616" s="21"/>
      <c r="T616" s="63"/>
      <c r="U616" s="10"/>
      <c r="V616" s="90"/>
      <c r="W616" s="91"/>
      <c r="X616" s="92"/>
    </row>
    <row r="617" spans="1:24">
      <c r="A617" s="2"/>
      <c r="B617" s="100" t="s">
        <v>66</v>
      </c>
      <c r="C617" s="36"/>
      <c r="D617" s="10"/>
      <c r="E617" s="10"/>
      <c r="F617" s="88"/>
      <c r="G617" s="62"/>
      <c r="H617" s="88"/>
      <c r="I617" s="99"/>
      <c r="J617" s="63"/>
      <c r="K617" s="2"/>
      <c r="L617" s="2"/>
      <c r="M617" s="2"/>
      <c r="N617" s="2"/>
      <c r="O617" s="2"/>
      <c r="P617" s="2"/>
      <c r="Q617" s="2"/>
      <c r="R617" s="2"/>
      <c r="S617" s="2"/>
      <c r="T617" s="63"/>
      <c r="U617" s="94"/>
      <c r="V617" s="90"/>
      <c r="W617" s="91"/>
      <c r="X617" s="92"/>
    </row>
    <row r="618" spans="1:24">
      <c r="A618" s="2"/>
      <c r="B618" s="87">
        <v>1</v>
      </c>
      <c r="C618" s="274">
        <v>45892</v>
      </c>
      <c r="D618" s="327">
        <v>72555</v>
      </c>
      <c r="E618" s="281" t="s">
        <v>210</v>
      </c>
      <c r="F618" s="277">
        <f>666-85</f>
        <v>581</v>
      </c>
      <c r="G618" s="277"/>
      <c r="H618" s="277"/>
      <c r="I618" s="278">
        <f t="shared" ref="I618:I621" si="115">F618-G618-H618</f>
        <v>581</v>
      </c>
      <c r="J618" s="279" t="s">
        <v>156</v>
      </c>
      <c r="K618" s="279">
        <v>1</v>
      </c>
      <c r="L618" s="279">
        <v>1</v>
      </c>
      <c r="M618" s="279">
        <v>1</v>
      </c>
      <c r="N618" s="279">
        <v>1</v>
      </c>
      <c r="O618" s="279">
        <v>1</v>
      </c>
      <c r="P618" s="279">
        <v>1</v>
      </c>
      <c r="Q618" s="279">
        <v>1</v>
      </c>
      <c r="R618" s="279">
        <v>1</v>
      </c>
      <c r="S618" s="280">
        <v>1</v>
      </c>
      <c r="T618" s="63"/>
      <c r="U618" s="94"/>
      <c r="V618" s="90">
        <f>93.5+639.1</f>
        <v>732.6</v>
      </c>
      <c r="W618" s="91"/>
      <c r="X618" s="92"/>
    </row>
    <row r="619" spans="1:24">
      <c r="A619" s="388">
        <v>45894</v>
      </c>
      <c r="B619" s="87">
        <f>B618+1</f>
        <v>2</v>
      </c>
      <c r="C619" s="295">
        <v>45892</v>
      </c>
      <c r="D619" s="323">
        <v>72551</v>
      </c>
      <c r="E619" s="10" t="s">
        <v>1886</v>
      </c>
      <c r="F619" s="62">
        <v>6678.9</v>
      </c>
      <c r="G619" s="62">
        <f>39.7+(1041.87)+250</f>
        <v>1331.57</v>
      </c>
      <c r="H619" s="62"/>
      <c r="I619" s="89">
        <f>F619-G619-H619</f>
        <v>5347.33</v>
      </c>
      <c r="J619" s="63" t="s">
        <v>228</v>
      </c>
      <c r="K619" s="63">
        <v>1</v>
      </c>
      <c r="L619" s="63">
        <v>1</v>
      </c>
      <c r="M619" s="63">
        <v>1</v>
      </c>
      <c r="N619" s="63">
        <v>1</v>
      </c>
      <c r="O619" s="63">
        <v>1</v>
      </c>
      <c r="P619" s="63">
        <v>1</v>
      </c>
      <c r="Q619" s="63">
        <v>1</v>
      </c>
      <c r="R619" s="63">
        <v>1</v>
      </c>
      <c r="S619" s="296">
        <v>1</v>
      </c>
      <c r="T619" s="21">
        <v>1</v>
      </c>
      <c r="U619" s="94" t="s">
        <v>2507</v>
      </c>
      <c r="V619" s="90">
        <f>734+6612.79</f>
        <v>7346.79</v>
      </c>
      <c r="W619" s="91"/>
      <c r="X619" s="92"/>
    </row>
    <row r="620" spans="1:24">
      <c r="A620" s="2"/>
      <c r="B620" s="87">
        <f>B619+1</f>
        <v>3</v>
      </c>
      <c r="C620" s="295">
        <v>45892</v>
      </c>
      <c r="D620" s="323">
        <v>72569</v>
      </c>
      <c r="E620" s="101" t="s">
        <v>225</v>
      </c>
      <c r="F620" s="62">
        <f>1223-85</f>
        <v>1138</v>
      </c>
      <c r="G620" s="62">
        <v>39.700000000000003</v>
      </c>
      <c r="H620" s="62"/>
      <c r="I620" s="89">
        <f t="shared" si="115"/>
        <v>1098.3</v>
      </c>
      <c r="J620" s="63" t="s">
        <v>156</v>
      </c>
      <c r="K620" s="63">
        <v>1</v>
      </c>
      <c r="L620" s="63">
        <v>1</v>
      </c>
      <c r="M620" s="63">
        <v>1</v>
      </c>
      <c r="N620" s="63">
        <v>1</v>
      </c>
      <c r="O620" s="63">
        <v>1</v>
      </c>
      <c r="P620" s="63">
        <v>1</v>
      </c>
      <c r="Q620" s="63">
        <v>1</v>
      </c>
      <c r="R620" s="63">
        <v>1</v>
      </c>
      <c r="S620" s="296">
        <v>1</v>
      </c>
      <c r="T620" s="63"/>
      <c r="U620" s="94"/>
      <c r="V620" s="90">
        <f>93.5+1251.8</f>
        <v>1345.3</v>
      </c>
      <c r="W620" s="91"/>
      <c r="X620" s="92"/>
    </row>
    <row r="621" spans="1:24">
      <c r="A621" s="2"/>
      <c r="B621" s="87">
        <f t="shared" ref="B621" si="116">B620+1</f>
        <v>4</v>
      </c>
      <c r="C621" s="282">
        <v>45892</v>
      </c>
      <c r="D621" s="368">
        <v>72565</v>
      </c>
      <c r="E621" s="319" t="s">
        <v>786</v>
      </c>
      <c r="F621" s="284">
        <f>1766-85</f>
        <v>1681</v>
      </c>
      <c r="G621" s="284">
        <v>39.700000000000003</v>
      </c>
      <c r="H621" s="284"/>
      <c r="I621" s="285">
        <f t="shared" si="115"/>
        <v>1641.3</v>
      </c>
      <c r="J621" s="286" t="s">
        <v>156</v>
      </c>
      <c r="K621" s="286">
        <v>1</v>
      </c>
      <c r="L621" s="286">
        <v>1</v>
      </c>
      <c r="M621" s="286">
        <v>1</v>
      </c>
      <c r="N621" s="286">
        <v>1</v>
      </c>
      <c r="O621" s="286">
        <v>1</v>
      </c>
      <c r="P621" s="286">
        <v>1</v>
      </c>
      <c r="Q621" s="286">
        <v>1</v>
      </c>
      <c r="R621" s="286">
        <v>1</v>
      </c>
      <c r="S621" s="287">
        <v>1</v>
      </c>
      <c r="T621" s="63"/>
      <c r="U621" s="94"/>
      <c r="V621" s="90">
        <f>93.5+1849.1</f>
        <v>1942.6</v>
      </c>
      <c r="W621" s="91"/>
      <c r="X621" s="92"/>
    </row>
    <row r="622" spans="1:24">
      <c r="A622" s="2"/>
      <c r="B622" s="11"/>
      <c r="C622" s="36"/>
      <c r="D622" s="10"/>
      <c r="E622" s="10"/>
      <c r="F622" s="97">
        <f>SUM(F618:F621)</f>
        <v>10078.9</v>
      </c>
      <c r="G622" s="97">
        <f>SUM(G618:G621)</f>
        <v>1410.97</v>
      </c>
      <c r="H622" s="97">
        <f>SUM(H618:H621)</f>
        <v>0</v>
      </c>
      <c r="I622" s="98">
        <f>SUM(I618:I621)</f>
        <v>8667.93</v>
      </c>
      <c r="J622" s="63"/>
      <c r="K622" s="21"/>
      <c r="L622" s="21"/>
      <c r="M622" s="21"/>
      <c r="N622" s="21"/>
      <c r="O622" s="21"/>
      <c r="P622" s="21"/>
      <c r="Q622" s="21"/>
      <c r="R622" s="21"/>
      <c r="S622" s="21"/>
      <c r="T622" s="63"/>
      <c r="U622" s="94"/>
      <c r="V622" s="90"/>
      <c r="W622" s="91"/>
      <c r="X622" s="92"/>
    </row>
    <row r="623" spans="1:24">
      <c r="A623" s="2"/>
      <c r="B623" s="11"/>
      <c r="C623" s="36"/>
      <c r="D623" s="10"/>
      <c r="E623" s="10"/>
      <c r="F623" s="88"/>
      <c r="G623" s="88"/>
      <c r="H623" s="88"/>
      <c r="I623" s="99"/>
      <c r="J623" s="63"/>
      <c r="K623" s="21"/>
      <c r="L623" s="21"/>
      <c r="M623" s="21"/>
      <c r="N623" s="21"/>
      <c r="O623" s="21"/>
      <c r="P623" s="21"/>
      <c r="Q623" s="21"/>
      <c r="R623" s="21"/>
      <c r="S623" s="21"/>
      <c r="T623" s="63"/>
      <c r="U623" s="94"/>
      <c r="V623" s="90"/>
      <c r="W623" s="91"/>
      <c r="X623" s="92"/>
    </row>
    <row r="624" spans="1:24" s="2" customFormat="1">
      <c r="B624" s="100" t="s">
        <v>67</v>
      </c>
      <c r="C624" s="36"/>
      <c r="D624" s="10"/>
      <c r="E624" s="10"/>
      <c r="F624" s="88"/>
      <c r="G624" s="62"/>
      <c r="H624" s="88"/>
      <c r="I624" s="99"/>
      <c r="J624" s="63"/>
      <c r="T624" s="63"/>
      <c r="U624" s="94"/>
      <c r="V624" s="90"/>
      <c r="W624" s="91"/>
      <c r="X624" s="92"/>
    </row>
    <row r="625" spans="1:24" s="2" customFormat="1">
      <c r="A625" s="261" t="s">
        <v>552</v>
      </c>
      <c r="B625" s="87">
        <v>1</v>
      </c>
      <c r="C625" s="262">
        <v>45884</v>
      </c>
      <c r="D625" s="357" t="s">
        <v>2479</v>
      </c>
      <c r="E625" s="271" t="s">
        <v>407</v>
      </c>
      <c r="F625" s="265">
        <v>28614</v>
      </c>
      <c r="G625" s="265">
        <f>39.7+420+(27.12+69.29+13.89)+(313.13+88.3+16.7+21.46+5.57)+(F625*0.25)</f>
        <v>8168.66</v>
      </c>
      <c r="H625" s="265"/>
      <c r="I625" s="272">
        <f>F625-G625-H625</f>
        <v>20445.34</v>
      </c>
      <c r="J625" s="267" t="s">
        <v>374</v>
      </c>
      <c r="K625" s="267">
        <v>1</v>
      </c>
      <c r="L625" s="267"/>
      <c r="M625" s="267">
        <v>1</v>
      </c>
      <c r="N625" s="267">
        <v>1</v>
      </c>
      <c r="O625" s="267">
        <v>1</v>
      </c>
      <c r="P625" s="314">
        <v>0</v>
      </c>
      <c r="Q625" s="267">
        <v>1</v>
      </c>
      <c r="R625" s="267">
        <v>1</v>
      </c>
      <c r="S625" s="269">
        <v>1</v>
      </c>
      <c r="T625" s="63"/>
      <c r="U625" s="94" t="s">
        <v>2508</v>
      </c>
      <c r="V625" s="90">
        <f>7000+4000+8000+8223.6</f>
        <v>27223.599999999999</v>
      </c>
      <c r="W625" s="136"/>
      <c r="X625" s="137"/>
    </row>
    <row r="626" spans="1:24" s="380" customFormat="1">
      <c r="A626" s="371" t="s">
        <v>2509</v>
      </c>
      <c r="B626" s="372">
        <f>B625+1</f>
        <v>2</v>
      </c>
      <c r="C626" s="373">
        <v>45799</v>
      </c>
      <c r="D626" s="357" t="s">
        <v>2341</v>
      </c>
      <c r="E626" s="391" t="s">
        <v>464</v>
      </c>
      <c r="F626" s="375">
        <f>15214.25-15214.25</f>
        <v>0</v>
      </c>
      <c r="G626" s="375">
        <f>39.7-39.7</f>
        <v>0</v>
      </c>
      <c r="H626" s="375"/>
      <c r="I626" s="376">
        <f>F626-G626-H626</f>
        <v>0</v>
      </c>
      <c r="J626" s="314"/>
      <c r="K626" s="314">
        <v>1</v>
      </c>
      <c r="L626" s="314"/>
      <c r="M626" s="314"/>
      <c r="N626" s="314">
        <v>1</v>
      </c>
      <c r="O626" s="314">
        <v>1</v>
      </c>
      <c r="P626" s="314">
        <v>0</v>
      </c>
      <c r="Q626" s="314"/>
      <c r="R626" s="314"/>
      <c r="S626" s="366"/>
      <c r="T626" s="325"/>
      <c r="U626" s="42"/>
      <c r="V626" s="377"/>
      <c r="W626" s="392"/>
      <c r="X626" s="379"/>
    </row>
    <row r="627" spans="1:24" s="2" customFormat="1">
      <c r="A627" s="371" t="s">
        <v>2510</v>
      </c>
      <c r="B627" s="372">
        <f t="shared" ref="B627:B628" si="117">B626+1</f>
        <v>3</v>
      </c>
      <c r="C627" s="373">
        <v>45826</v>
      </c>
      <c r="D627" s="357" t="s">
        <v>2344</v>
      </c>
      <c r="E627" s="391" t="s">
        <v>2345</v>
      </c>
      <c r="F627" s="375">
        <f>21400-21400</f>
        <v>0</v>
      </c>
      <c r="G627" s="375">
        <f>39.7+(104.18+165.91+61.7)+(78.89)+2000-2450.38</f>
        <v>0</v>
      </c>
      <c r="H627" s="375"/>
      <c r="I627" s="376">
        <f>F627-G627-H627</f>
        <v>0</v>
      </c>
      <c r="J627" s="314"/>
      <c r="K627" s="314">
        <v>1</v>
      </c>
      <c r="L627" s="314"/>
      <c r="M627" s="314"/>
      <c r="N627" s="314">
        <v>1</v>
      </c>
      <c r="O627" s="314">
        <v>1</v>
      </c>
      <c r="P627" s="314">
        <v>0</v>
      </c>
      <c r="Q627" s="314"/>
      <c r="R627" s="314"/>
      <c r="S627" s="366"/>
      <c r="T627" s="325"/>
      <c r="U627" s="42" t="s">
        <v>2346</v>
      </c>
      <c r="V627" s="377"/>
      <c r="W627" s="392"/>
      <c r="X627" s="379"/>
    </row>
    <row r="628" spans="1:24" s="2" customFormat="1">
      <c r="A628" s="371" t="s">
        <v>2509</v>
      </c>
      <c r="B628" s="372">
        <f t="shared" si="117"/>
        <v>4</v>
      </c>
      <c r="C628" s="373">
        <v>45861</v>
      </c>
      <c r="D628" s="357">
        <v>71651</v>
      </c>
      <c r="E628" s="391" t="s">
        <v>596</v>
      </c>
      <c r="F628" s="375">
        <f>2261-2261</f>
        <v>0</v>
      </c>
      <c r="G628" s="375">
        <f>39.7+487.5+200-727.2</f>
        <v>0</v>
      </c>
      <c r="H628" s="375"/>
      <c r="I628" s="376">
        <f>F628-G628-H628</f>
        <v>0</v>
      </c>
      <c r="J628" s="314" t="s">
        <v>156</v>
      </c>
      <c r="K628" s="314">
        <v>1</v>
      </c>
      <c r="L628" s="314"/>
      <c r="M628" s="314">
        <v>1</v>
      </c>
      <c r="N628" s="314">
        <v>1</v>
      </c>
      <c r="O628" s="314">
        <v>1</v>
      </c>
      <c r="P628" s="314">
        <v>1</v>
      </c>
      <c r="Q628" s="314"/>
      <c r="R628" s="314"/>
      <c r="S628" s="366"/>
      <c r="T628" s="325"/>
      <c r="U628" s="42" t="s">
        <v>2511</v>
      </c>
      <c r="V628" s="377"/>
      <c r="W628" s="392"/>
      <c r="X628" s="379"/>
    </row>
    <row r="629" spans="1:24" s="2" customFormat="1">
      <c r="B629" s="11"/>
      <c r="C629" s="36"/>
      <c r="D629" s="10"/>
      <c r="E629" s="10"/>
      <c r="F629" s="97">
        <f>SUM(F625:F628)</f>
        <v>28614</v>
      </c>
      <c r="G629" s="97">
        <f>SUM(G625:G628)</f>
        <v>8168.66</v>
      </c>
      <c r="H629" s="97">
        <f>SUM(H625:H628)</f>
        <v>0</v>
      </c>
      <c r="I629" s="98">
        <f>SUM(I625:I628)</f>
        <v>20445.34</v>
      </c>
      <c r="J629" s="63"/>
      <c r="K629" s="21"/>
      <c r="L629" s="21"/>
      <c r="M629" s="21"/>
      <c r="N629" s="21"/>
      <c r="O629" s="21"/>
      <c r="P629" s="21"/>
      <c r="Q629" s="21"/>
      <c r="R629" s="21"/>
      <c r="S629" s="21"/>
      <c r="T629" s="63"/>
      <c r="U629" s="94"/>
      <c r="V629" s="90"/>
      <c r="W629" s="91"/>
      <c r="X629" s="92"/>
    </row>
    <row r="630" spans="1:24" s="2" customFormat="1">
      <c r="B630" s="11"/>
      <c r="C630" s="36"/>
      <c r="D630" s="10"/>
      <c r="E630" s="10"/>
      <c r="F630" s="88"/>
      <c r="G630" s="88"/>
      <c r="H630" s="88"/>
      <c r="I630" s="99"/>
      <c r="J630" s="63"/>
      <c r="K630" s="21"/>
      <c r="L630" s="21"/>
      <c r="M630" s="21"/>
      <c r="N630" s="21"/>
      <c r="O630" s="21"/>
      <c r="P630" s="21"/>
      <c r="Q630" s="21"/>
      <c r="R630" s="21"/>
      <c r="S630" s="21"/>
      <c r="T630" s="63"/>
      <c r="U630" s="94"/>
      <c r="V630" s="90"/>
      <c r="W630" s="91"/>
      <c r="X630" s="92"/>
    </row>
    <row r="631" spans="1:24" s="342" customFormat="1">
      <c r="A631" s="128"/>
      <c r="B631" s="121" t="s">
        <v>68</v>
      </c>
      <c r="C631" s="122"/>
      <c r="D631" s="123"/>
      <c r="E631" s="123"/>
      <c r="F631" s="124"/>
      <c r="G631" s="125"/>
      <c r="H631" s="124"/>
      <c r="I631" s="126"/>
      <c r="J631" s="127"/>
      <c r="K631" s="128"/>
      <c r="L631" s="128"/>
      <c r="M631" s="128"/>
      <c r="N631" s="128"/>
      <c r="O631" s="128"/>
      <c r="P631" s="128"/>
      <c r="Q631" s="128"/>
      <c r="R631" s="128"/>
      <c r="S631" s="128"/>
      <c r="T631" s="127"/>
      <c r="U631" s="123"/>
      <c r="V631" s="129"/>
      <c r="W631" s="130"/>
      <c r="X631" s="131"/>
    </row>
    <row r="632" spans="1:24" s="342" customFormat="1">
      <c r="A632" s="356">
        <v>0.05</v>
      </c>
      <c r="B632" s="333">
        <v>1</v>
      </c>
      <c r="C632" s="350">
        <v>45890</v>
      </c>
      <c r="D632" s="263">
        <v>72465</v>
      </c>
      <c r="E632" s="351" t="s">
        <v>162</v>
      </c>
      <c r="F632" s="352">
        <v>1281</v>
      </c>
      <c r="G632" s="352">
        <v>39.700000000000003</v>
      </c>
      <c r="H632" s="352"/>
      <c r="I632" s="353">
        <f t="shared" ref="I632" si="118">F632-G632-H632</f>
        <v>1241.3</v>
      </c>
      <c r="J632" s="354"/>
      <c r="K632" s="354">
        <v>1</v>
      </c>
      <c r="L632" s="354">
        <v>1</v>
      </c>
      <c r="M632" s="354"/>
      <c r="N632" s="354">
        <v>1</v>
      </c>
      <c r="O632" s="354">
        <v>1</v>
      </c>
      <c r="P632" s="354">
        <v>1</v>
      </c>
      <c r="Q632" s="354">
        <v>1</v>
      </c>
      <c r="R632" s="354">
        <v>1</v>
      </c>
      <c r="S632" s="355">
        <v>1</v>
      </c>
      <c r="T632" s="127"/>
      <c r="U632" s="123"/>
      <c r="V632" s="129"/>
      <c r="W632" s="130"/>
      <c r="X632" s="131"/>
    </row>
    <row r="633" spans="1:24" s="342" customFormat="1">
      <c r="A633" s="128"/>
      <c r="B633" s="132"/>
      <c r="C633" s="122"/>
      <c r="D633" s="123"/>
      <c r="E633" s="123"/>
      <c r="F633" s="134">
        <f>SUM(F632:F632)</f>
        <v>1281</v>
      </c>
      <c r="G633" s="134">
        <f>SUM(G632:G632)</f>
        <v>39.700000000000003</v>
      </c>
      <c r="H633" s="134">
        <f>SUM(H632:H632)</f>
        <v>0</v>
      </c>
      <c r="I633" s="134">
        <f>SUM(I632:I632)</f>
        <v>1241.3</v>
      </c>
      <c r="J633" s="127"/>
      <c r="K633" s="64"/>
      <c r="L633" s="64"/>
      <c r="M633" s="64"/>
      <c r="N633" s="64"/>
      <c r="O633" s="64"/>
      <c r="P633" s="64"/>
      <c r="Q633" s="64"/>
      <c r="R633" s="64"/>
      <c r="S633" s="64"/>
      <c r="T633" s="127"/>
      <c r="U633" s="123"/>
      <c r="V633" s="129"/>
      <c r="W633" s="130"/>
      <c r="X633" s="131"/>
    </row>
    <row r="634" spans="1:24" s="342" customFormat="1">
      <c r="A634" s="128"/>
      <c r="B634" s="132"/>
      <c r="C634" s="122"/>
      <c r="D634" s="123"/>
      <c r="E634" s="123"/>
      <c r="F634" s="124"/>
      <c r="G634" s="124"/>
      <c r="H634" s="124"/>
      <c r="I634" s="126"/>
      <c r="J634" s="127"/>
      <c r="K634" s="64"/>
      <c r="L634" s="64"/>
      <c r="M634" s="64"/>
      <c r="N634" s="64"/>
      <c r="O634" s="64"/>
      <c r="P634" s="64"/>
      <c r="Q634" s="64"/>
      <c r="R634" s="64"/>
      <c r="S634" s="64"/>
      <c r="T634" s="127"/>
      <c r="U634" s="123"/>
      <c r="V634" s="129"/>
      <c r="W634" s="130"/>
      <c r="X634" s="131"/>
    </row>
    <row r="635" spans="1:24" s="342" customFormat="1">
      <c r="A635" s="128"/>
      <c r="B635" s="121" t="s">
        <v>70</v>
      </c>
      <c r="C635" s="122"/>
      <c r="D635" s="123"/>
      <c r="E635" s="128"/>
      <c r="F635" s="124"/>
      <c r="G635" s="124"/>
      <c r="H635" s="124"/>
      <c r="I635" s="126"/>
      <c r="J635" s="127"/>
      <c r="K635" s="64"/>
      <c r="L635" s="64"/>
      <c r="M635" s="64"/>
      <c r="N635" s="64"/>
      <c r="O635" s="64"/>
      <c r="P635" s="64"/>
      <c r="Q635" s="64"/>
      <c r="R635" s="64"/>
      <c r="S635" s="64"/>
      <c r="T635" s="127"/>
      <c r="U635" s="135"/>
      <c r="V635" s="129"/>
      <c r="W635" s="130"/>
      <c r="X635" s="131"/>
    </row>
    <row r="636" spans="1:24" s="342" customFormat="1">
      <c r="A636" s="356">
        <v>0.05</v>
      </c>
      <c r="B636" s="333">
        <v>1</v>
      </c>
      <c r="C636" s="350">
        <v>45890</v>
      </c>
      <c r="D636" s="357" t="s">
        <v>2512</v>
      </c>
      <c r="E636" s="358" t="s">
        <v>737</v>
      </c>
      <c r="F636" s="352">
        <f>4533-614.1</f>
        <v>3918.9</v>
      </c>
      <c r="G636" s="352">
        <f>39.7+(2366.47)+250</f>
        <v>2656.1699999999996</v>
      </c>
      <c r="H636" s="352"/>
      <c r="I636" s="353">
        <f>F636-G636-H636</f>
        <v>1262.7300000000005</v>
      </c>
      <c r="J636" s="354" t="s">
        <v>156</v>
      </c>
      <c r="K636" s="354">
        <v>1</v>
      </c>
      <c r="L636" s="354"/>
      <c r="M636" s="354">
        <v>1</v>
      </c>
      <c r="N636" s="354">
        <v>1</v>
      </c>
      <c r="O636" s="354">
        <v>1</v>
      </c>
      <c r="P636" s="354">
        <v>1</v>
      </c>
      <c r="Q636" s="354"/>
      <c r="R636" s="354"/>
      <c r="S636" s="355"/>
      <c r="T636" s="127"/>
      <c r="U636" s="135" t="s">
        <v>2513</v>
      </c>
      <c r="V636" s="129">
        <f>498+3900</f>
        <v>4398</v>
      </c>
      <c r="W636" s="340"/>
      <c r="X636" s="341"/>
    </row>
    <row r="637" spans="1:24" s="342" customFormat="1">
      <c r="A637" s="128"/>
      <c r="B637" s="132"/>
      <c r="C637" s="122"/>
      <c r="D637" s="123"/>
      <c r="E637" s="123"/>
      <c r="F637" s="134">
        <f>SUM(F636:F636)</f>
        <v>3918.9</v>
      </c>
      <c r="G637" s="134">
        <f>SUM(G636:G636)</f>
        <v>2656.1699999999996</v>
      </c>
      <c r="H637" s="134">
        <f>SUM(H636:H636)</f>
        <v>0</v>
      </c>
      <c r="I637" s="134">
        <f>SUM(I636:I636)</f>
        <v>1262.7300000000005</v>
      </c>
      <c r="J637" s="127"/>
      <c r="K637" s="64"/>
      <c r="L637" s="64"/>
      <c r="M637" s="64"/>
      <c r="N637" s="64"/>
      <c r="O637" s="64"/>
      <c r="P637" s="64"/>
      <c r="Q637" s="64"/>
      <c r="R637" s="64"/>
      <c r="S637" s="64"/>
      <c r="T637" s="127"/>
      <c r="U637" s="135"/>
      <c r="V637" s="129"/>
      <c r="W637" s="130"/>
      <c r="X637" s="131"/>
    </row>
    <row r="638" spans="1:24" s="342" customFormat="1">
      <c r="A638" s="128"/>
      <c r="B638" s="132"/>
      <c r="C638" s="122"/>
      <c r="D638" s="123"/>
      <c r="E638" s="123"/>
      <c r="F638" s="124"/>
      <c r="G638" s="124"/>
      <c r="H638" s="124"/>
      <c r="I638" s="126"/>
      <c r="J638" s="123"/>
      <c r="K638" s="127"/>
      <c r="L638" s="127"/>
      <c r="M638" s="127"/>
      <c r="N638" s="127"/>
      <c r="O638" s="127"/>
      <c r="P638" s="127"/>
      <c r="Q638" s="127"/>
      <c r="R638" s="127"/>
      <c r="S638" s="127"/>
      <c r="T638" s="127"/>
      <c r="U638" s="135"/>
      <c r="V638" s="129"/>
      <c r="W638" s="130"/>
      <c r="X638" s="131"/>
    </row>
    <row r="639" spans="1:24" s="260" customFormat="1">
      <c r="B639" s="100" t="s">
        <v>152</v>
      </c>
      <c r="C639" s="270"/>
      <c r="D639" s="10"/>
      <c r="E639" s="101"/>
      <c r="F639" s="88"/>
      <c r="G639" s="62"/>
      <c r="H639" s="88"/>
      <c r="I639" s="99"/>
      <c r="J639" s="63"/>
      <c r="K639" s="181"/>
      <c r="L639" s="181"/>
      <c r="M639" s="181"/>
      <c r="N639" s="181"/>
      <c r="O639" s="181"/>
      <c r="P639" s="181"/>
      <c r="Q639" s="181"/>
      <c r="R639" s="181"/>
      <c r="S639" s="181"/>
      <c r="T639" s="63"/>
      <c r="U639" s="10"/>
      <c r="V639" s="90"/>
      <c r="W639" s="91"/>
      <c r="X639" s="92"/>
    </row>
    <row r="640" spans="1:24" s="260" customFormat="1">
      <c r="A640" s="261">
        <v>0.05</v>
      </c>
      <c r="B640" s="87">
        <v>1</v>
      </c>
      <c r="C640" s="274">
        <v>45833</v>
      </c>
      <c r="D640" s="327">
        <v>71012</v>
      </c>
      <c r="E640" s="281" t="s">
        <v>317</v>
      </c>
      <c r="F640" s="277">
        <v>5232.6000000000004</v>
      </c>
      <c r="G640" s="277">
        <f>39.7+(24.15+1060.54)+250</f>
        <v>1374.39</v>
      </c>
      <c r="H640" s="277"/>
      <c r="I640" s="278">
        <f>F640-G640-H640</f>
        <v>3858.21</v>
      </c>
      <c r="J640" s="279" t="s">
        <v>156</v>
      </c>
      <c r="K640" s="279">
        <v>1</v>
      </c>
      <c r="L640" s="279">
        <v>1</v>
      </c>
      <c r="M640" s="279">
        <v>1</v>
      </c>
      <c r="N640" s="279">
        <v>1</v>
      </c>
      <c r="O640" s="279">
        <v>1</v>
      </c>
      <c r="P640" s="322">
        <v>0</v>
      </c>
      <c r="Q640" s="322">
        <v>0</v>
      </c>
      <c r="R640" s="322">
        <v>0</v>
      </c>
      <c r="S640" s="328">
        <v>0</v>
      </c>
      <c r="T640" s="63"/>
      <c r="U640" s="10" t="s">
        <v>2370</v>
      </c>
      <c r="V640" s="90"/>
      <c r="W640" s="91"/>
      <c r="X640" s="92"/>
    </row>
    <row r="641" spans="1:24" s="260" customFormat="1">
      <c r="A641" s="261" t="s">
        <v>619</v>
      </c>
      <c r="B641" s="87">
        <f t="shared" ref="B641:B643" si="119">B640+1</f>
        <v>2</v>
      </c>
      <c r="C641" s="282">
        <v>45833</v>
      </c>
      <c r="D641" s="368">
        <v>71028</v>
      </c>
      <c r="E641" s="283" t="s">
        <v>659</v>
      </c>
      <c r="F641" s="284">
        <v>2164</v>
      </c>
      <c r="G641" s="284">
        <v>39.700000000000003</v>
      </c>
      <c r="H641" s="284"/>
      <c r="I641" s="285">
        <f>F641-G641-H641</f>
        <v>2124.3000000000002</v>
      </c>
      <c r="J641" s="286"/>
      <c r="K641" s="286">
        <v>1</v>
      </c>
      <c r="L641" s="286">
        <v>1</v>
      </c>
      <c r="M641" s="286"/>
      <c r="N641" s="286">
        <v>1</v>
      </c>
      <c r="O641" s="286">
        <v>1</v>
      </c>
      <c r="P641" s="286">
        <v>1</v>
      </c>
      <c r="Q641" s="286">
        <v>1</v>
      </c>
      <c r="R641" s="286">
        <v>1</v>
      </c>
      <c r="S641" s="287">
        <v>1</v>
      </c>
      <c r="T641" s="63"/>
      <c r="U641" s="10"/>
      <c r="V641" s="90"/>
      <c r="W641" s="91"/>
      <c r="X641" s="92"/>
    </row>
    <row r="642" spans="1:24" s="260" customFormat="1">
      <c r="A642" s="494">
        <v>0.05</v>
      </c>
      <c r="B642" s="87">
        <f t="shared" si="119"/>
        <v>3</v>
      </c>
      <c r="C642" s="262">
        <v>45867</v>
      </c>
      <c r="D642" s="263">
        <v>71860</v>
      </c>
      <c r="E642" s="271" t="s">
        <v>426</v>
      </c>
      <c r="F642" s="265">
        <f>2346-85</f>
        <v>2261</v>
      </c>
      <c r="G642" s="265">
        <f>39.7+200</f>
        <v>239.7</v>
      </c>
      <c r="H642" s="265"/>
      <c r="I642" s="272">
        <f>F642-G642-H642</f>
        <v>2021.3</v>
      </c>
      <c r="J642" s="267" t="s">
        <v>156</v>
      </c>
      <c r="K642" s="267">
        <v>1</v>
      </c>
      <c r="L642" s="267">
        <v>1</v>
      </c>
      <c r="M642" s="267">
        <v>1</v>
      </c>
      <c r="N642" s="267">
        <v>1</v>
      </c>
      <c r="O642" s="267">
        <v>1</v>
      </c>
      <c r="P642" s="267">
        <v>1</v>
      </c>
      <c r="Q642" s="267">
        <v>1</v>
      </c>
      <c r="R642" s="267">
        <v>1</v>
      </c>
      <c r="S642" s="269">
        <v>1</v>
      </c>
      <c r="T642" s="63"/>
      <c r="U642" s="10" t="s">
        <v>2438</v>
      </c>
      <c r="V642" s="90"/>
      <c r="W642" s="91"/>
      <c r="X642" s="92"/>
    </row>
    <row r="643" spans="1:24" s="260" customFormat="1">
      <c r="A643" s="261">
        <v>0.05</v>
      </c>
      <c r="B643" s="87">
        <f t="shared" si="119"/>
        <v>4</v>
      </c>
      <c r="C643" s="274">
        <v>45880</v>
      </c>
      <c r="D643" s="320" t="s">
        <v>2475</v>
      </c>
      <c r="E643" s="281" t="s">
        <v>294</v>
      </c>
      <c r="F643" s="277">
        <v>1542</v>
      </c>
      <c r="G643" s="277">
        <f>39.7</f>
        <v>39.700000000000003</v>
      </c>
      <c r="H643" s="277"/>
      <c r="I643" s="278">
        <f t="shared" ref="I643" si="120">F643-G643-H643</f>
        <v>1502.3</v>
      </c>
      <c r="J643" s="279" t="s">
        <v>156</v>
      </c>
      <c r="K643" s="279">
        <v>1</v>
      </c>
      <c r="L643" s="322">
        <v>0</v>
      </c>
      <c r="M643" s="279">
        <v>1</v>
      </c>
      <c r="N643" s="279">
        <v>1</v>
      </c>
      <c r="O643" s="279">
        <v>1</v>
      </c>
      <c r="P643" s="279">
        <v>1</v>
      </c>
      <c r="Q643" s="279">
        <v>1</v>
      </c>
      <c r="R643" s="279">
        <v>1</v>
      </c>
      <c r="S643" s="280">
        <v>1</v>
      </c>
      <c r="T643" s="63"/>
      <c r="U643" s="10" t="s">
        <v>2476</v>
      </c>
      <c r="V643" s="90"/>
      <c r="W643" s="91"/>
      <c r="X643" s="92"/>
    </row>
    <row r="644" spans="1:24" s="260" customFormat="1">
      <c r="A644" s="261">
        <v>0.05</v>
      </c>
      <c r="B644" s="87">
        <f>B643+1</f>
        <v>5</v>
      </c>
      <c r="C644" s="274">
        <v>45882</v>
      </c>
      <c r="D644" s="327">
        <v>72290</v>
      </c>
      <c r="E644" s="276" t="s">
        <v>1731</v>
      </c>
      <c r="F644" s="277">
        <v>8641.2999999999993</v>
      </c>
      <c r="G644" s="277">
        <f>39.7+(91.25)+750</f>
        <v>880.95</v>
      </c>
      <c r="H644" s="277"/>
      <c r="I644" s="278">
        <f>F644-G644-H644</f>
        <v>7760.3499999999995</v>
      </c>
      <c r="J644" s="279" t="s">
        <v>228</v>
      </c>
      <c r="K644" s="279">
        <v>1</v>
      </c>
      <c r="L644" s="279">
        <v>1</v>
      </c>
      <c r="M644" s="279">
        <v>1</v>
      </c>
      <c r="N644" s="279">
        <v>1</v>
      </c>
      <c r="O644" s="279">
        <v>1</v>
      </c>
      <c r="P644" s="279">
        <v>1</v>
      </c>
      <c r="Q644" s="279">
        <v>1</v>
      </c>
      <c r="R644" s="279">
        <v>1</v>
      </c>
      <c r="S644" s="280">
        <v>1</v>
      </c>
      <c r="T644" s="63"/>
      <c r="U644" s="94" t="s">
        <v>2514</v>
      </c>
      <c r="V644" s="90"/>
      <c r="W644" s="136"/>
      <c r="X644" s="137"/>
    </row>
    <row r="645" spans="1:24" s="260" customFormat="1">
      <c r="A645" s="261">
        <v>0.05</v>
      </c>
      <c r="B645" s="87">
        <f>B644+1</f>
        <v>6</v>
      </c>
      <c r="C645" s="262">
        <v>45883</v>
      </c>
      <c r="D645" s="263">
        <v>72318</v>
      </c>
      <c r="E645" s="271" t="s">
        <v>813</v>
      </c>
      <c r="F645" s="265">
        <v>6841</v>
      </c>
      <c r="G645" s="265">
        <f>39.7+1752.3+(58.93+886.83+38.72+967.64-8.66+46.62)+250</f>
        <v>4032.08</v>
      </c>
      <c r="H645" s="265">
        <f>F645*0.2</f>
        <v>1368.2</v>
      </c>
      <c r="I645" s="272">
        <f>F645-G645-H645</f>
        <v>1440.72</v>
      </c>
      <c r="J645" s="267" t="s">
        <v>185</v>
      </c>
      <c r="K645" s="267">
        <v>1</v>
      </c>
      <c r="L645" s="267">
        <v>1</v>
      </c>
      <c r="M645" s="267">
        <v>1</v>
      </c>
      <c r="N645" s="267">
        <v>1</v>
      </c>
      <c r="O645" s="267">
        <v>1</v>
      </c>
      <c r="P645" s="267">
        <v>1</v>
      </c>
      <c r="Q645" s="267">
        <v>1</v>
      </c>
      <c r="R645" s="267">
        <v>1</v>
      </c>
      <c r="S645" s="269">
        <v>1</v>
      </c>
      <c r="T645" s="63"/>
      <c r="U645" s="94" t="s">
        <v>2515</v>
      </c>
      <c r="V645" s="90"/>
      <c r="W645" s="136"/>
      <c r="X645" s="137"/>
    </row>
    <row r="646" spans="1:24" s="260" customFormat="1">
      <c r="B646" s="11"/>
      <c r="C646" s="270"/>
      <c r="D646" s="10"/>
      <c r="E646" s="10"/>
      <c r="F646" s="97">
        <f>SUM(F640:F645)</f>
        <v>26681.9</v>
      </c>
      <c r="G646" s="97">
        <f>SUM(G640:G645)</f>
        <v>6606.52</v>
      </c>
      <c r="H646" s="97">
        <f>SUM(H640:H645)</f>
        <v>1368.2</v>
      </c>
      <c r="I646" s="97">
        <f>SUM(I640:I645)</f>
        <v>18707.18</v>
      </c>
      <c r="J646" s="63"/>
      <c r="K646" s="21"/>
      <c r="L646" s="21"/>
      <c r="M646" s="21"/>
      <c r="N646" s="21"/>
      <c r="O646" s="21"/>
      <c r="P646" s="21"/>
      <c r="Q646" s="21"/>
      <c r="R646" s="21"/>
      <c r="S646" s="21"/>
      <c r="T646" s="63"/>
      <c r="U646" s="10"/>
      <c r="V646" s="90"/>
      <c r="W646" s="91"/>
      <c r="X646" s="92"/>
    </row>
    <row r="647" spans="1:24" s="260" customFormat="1">
      <c r="B647" s="11"/>
      <c r="C647" s="270"/>
      <c r="D647" s="10"/>
      <c r="E647" s="10"/>
      <c r="F647" s="88"/>
      <c r="G647" s="88"/>
      <c r="H647" s="88"/>
      <c r="I647" s="99"/>
      <c r="J647" s="63"/>
      <c r="K647" s="21"/>
      <c r="L647" s="21"/>
      <c r="M647" s="21"/>
      <c r="N647" s="21"/>
      <c r="O647" s="21"/>
      <c r="P647" s="21"/>
      <c r="Q647" s="21"/>
      <c r="R647" s="21"/>
      <c r="S647" s="21"/>
      <c r="T647" s="63"/>
      <c r="U647" s="10"/>
      <c r="V647" s="90"/>
      <c r="W647" s="91"/>
      <c r="X647" s="92"/>
    </row>
    <row r="648" spans="1:24" s="260" customFormat="1">
      <c r="B648" s="100" t="s">
        <v>202</v>
      </c>
      <c r="C648" s="270"/>
      <c r="D648" s="10"/>
      <c r="E648" s="181"/>
      <c r="F648" s="88"/>
      <c r="G648" s="88"/>
      <c r="H648" s="88"/>
      <c r="I648" s="99"/>
      <c r="J648" s="63"/>
      <c r="K648" s="21"/>
      <c r="L648" s="21"/>
      <c r="M648" s="21"/>
      <c r="N648" s="21"/>
      <c r="O648" s="21"/>
      <c r="P648" s="21"/>
      <c r="Q648" s="21"/>
      <c r="R648" s="21"/>
      <c r="S648" s="21"/>
      <c r="T648" s="63"/>
      <c r="U648" s="10"/>
      <c r="V648" s="90"/>
      <c r="W648" s="91"/>
      <c r="X648" s="92"/>
    </row>
    <row r="649" spans="1:24" s="260" customFormat="1">
      <c r="A649" s="261">
        <v>0.05</v>
      </c>
      <c r="B649" s="87">
        <v>1</v>
      </c>
      <c r="C649" s="262">
        <v>45790</v>
      </c>
      <c r="D649" s="357" t="s">
        <v>2339</v>
      </c>
      <c r="E649" s="271" t="s">
        <v>225</v>
      </c>
      <c r="F649" s="265">
        <v>8614</v>
      </c>
      <c r="G649" s="265">
        <f>39.7+(143.54)+(86.25+50.9)+750</f>
        <v>1070.3899999999999</v>
      </c>
      <c r="H649" s="265"/>
      <c r="I649" s="272">
        <f>F649-G649-H649</f>
        <v>7543.6100000000006</v>
      </c>
      <c r="J649" s="267"/>
      <c r="K649" s="267">
        <v>1</v>
      </c>
      <c r="L649" s="267"/>
      <c r="M649" s="267"/>
      <c r="N649" s="267">
        <v>1</v>
      </c>
      <c r="O649" s="267">
        <v>1</v>
      </c>
      <c r="P649" s="267">
        <v>1</v>
      </c>
      <c r="Q649" s="267"/>
      <c r="R649" s="267"/>
      <c r="S649" s="269"/>
      <c r="T649" s="63"/>
      <c r="U649" s="10" t="s">
        <v>2340</v>
      </c>
      <c r="V649" s="90"/>
      <c r="W649" s="136"/>
      <c r="X649" s="137"/>
    </row>
    <row r="650" spans="1:24" s="260" customFormat="1">
      <c r="A650" s="261">
        <v>0.05</v>
      </c>
      <c r="B650" s="87">
        <f>B649+1</f>
        <v>2</v>
      </c>
      <c r="C650" s="262">
        <v>45863</v>
      </c>
      <c r="D650" s="263" t="s">
        <v>2406</v>
      </c>
      <c r="E650" s="271" t="s">
        <v>2398</v>
      </c>
      <c r="F650" s="265">
        <v>14218</v>
      </c>
      <c r="G650" s="265">
        <f>39.7+487.5+(78.82+18.7+38.9+17.61+45.74)+(21.28)+1000</f>
        <v>1748.25</v>
      </c>
      <c r="H650" s="265"/>
      <c r="I650" s="272">
        <f>F650-G650-H650</f>
        <v>12469.75</v>
      </c>
      <c r="J650" s="267" t="s">
        <v>156</v>
      </c>
      <c r="K650" s="267">
        <v>1</v>
      </c>
      <c r="L650" s="267"/>
      <c r="M650" s="267">
        <v>1</v>
      </c>
      <c r="N650" s="267">
        <v>1</v>
      </c>
      <c r="O650" s="267">
        <v>1</v>
      </c>
      <c r="P650" s="267">
        <v>1</v>
      </c>
      <c r="Q650" s="267"/>
      <c r="R650" s="267"/>
      <c r="S650" s="269"/>
      <c r="T650" s="63"/>
      <c r="U650" s="94" t="s">
        <v>2407</v>
      </c>
      <c r="V650" s="90"/>
      <c r="W650" s="136"/>
      <c r="X650" s="137"/>
    </row>
    <row r="651" spans="1:24" s="260" customFormat="1">
      <c r="A651" s="260" t="s">
        <v>2347</v>
      </c>
      <c r="B651" s="11"/>
      <c r="C651" s="270"/>
      <c r="D651" s="10"/>
      <c r="E651" s="10"/>
      <c r="F651" s="97">
        <f>SUM(F649:F650)</f>
        <v>22832</v>
      </c>
      <c r="G651" s="97">
        <f>SUM(G649:G650)</f>
        <v>2818.64</v>
      </c>
      <c r="H651" s="97">
        <f>SUM(H649:H650)</f>
        <v>0</v>
      </c>
      <c r="I651" s="97">
        <f>SUM(I649:I650)</f>
        <v>20013.36</v>
      </c>
      <c r="J651" s="63"/>
      <c r="K651" s="21"/>
      <c r="L651" s="21"/>
      <c r="M651" s="21"/>
      <c r="N651" s="21"/>
      <c r="O651" s="21"/>
      <c r="P651" s="21"/>
      <c r="Q651" s="21"/>
      <c r="R651" s="21"/>
      <c r="S651" s="21"/>
      <c r="T651" s="63"/>
      <c r="V651" s="90"/>
      <c r="W651" s="91"/>
      <c r="X651" s="92"/>
    </row>
    <row r="652" spans="1:24" s="260" customFormat="1">
      <c r="B652" s="11"/>
      <c r="C652" s="270"/>
      <c r="D652" s="10"/>
      <c r="E652" s="10"/>
      <c r="F652" s="88"/>
      <c r="G652" s="88"/>
      <c r="H652" s="88"/>
      <c r="I652" s="88"/>
      <c r="J652" s="63"/>
      <c r="K652" s="21"/>
      <c r="L652" s="21"/>
      <c r="M652" s="21"/>
      <c r="N652" s="21"/>
      <c r="O652" s="21"/>
      <c r="P652" s="21"/>
      <c r="Q652" s="21"/>
      <c r="R652" s="21"/>
      <c r="S652" s="21"/>
      <c r="T652" s="63"/>
      <c r="U652" s="10"/>
      <c r="V652" s="90"/>
      <c r="W652" s="91"/>
      <c r="X652" s="92"/>
    </row>
    <row r="653" spans="1:24">
      <c r="A653" s="2"/>
      <c r="B653" s="100" t="s">
        <v>72</v>
      </c>
      <c r="C653" s="36"/>
      <c r="D653" s="10"/>
      <c r="E653" s="10"/>
      <c r="F653" s="88"/>
      <c r="G653" s="88"/>
      <c r="H653" s="88"/>
      <c r="I653" s="99"/>
      <c r="J653" s="63"/>
      <c r="K653" s="63"/>
      <c r="L653" s="63"/>
      <c r="M653" s="63"/>
      <c r="N653" s="63"/>
      <c r="O653" s="63"/>
      <c r="P653" s="63"/>
      <c r="Q653" s="63"/>
      <c r="R653" s="63"/>
      <c r="S653" s="63"/>
      <c r="T653" s="63"/>
      <c r="U653" s="10"/>
      <c r="V653" s="90"/>
      <c r="W653" s="91"/>
      <c r="X653" s="92"/>
    </row>
    <row r="654" spans="1:24">
      <c r="A654" s="2"/>
      <c r="B654" s="87">
        <v>1</v>
      </c>
      <c r="C654" s="274">
        <v>45887</v>
      </c>
      <c r="D654" s="276" t="s">
        <v>2516</v>
      </c>
      <c r="E654" s="276" t="s">
        <v>168</v>
      </c>
      <c r="F654" s="277">
        <v>62814</v>
      </c>
      <c r="G654" s="277">
        <v>39.700000000000003</v>
      </c>
      <c r="H654" s="277"/>
      <c r="I654" s="278">
        <f t="shared" ref="I654:I671" si="121">F654-G654-H654</f>
        <v>62774.3</v>
      </c>
      <c r="J654" s="279" t="s">
        <v>205</v>
      </c>
      <c r="K654" s="279">
        <v>1</v>
      </c>
      <c r="L654" s="279"/>
      <c r="M654" s="279"/>
      <c r="N654" s="279">
        <v>1</v>
      </c>
      <c r="O654" s="279"/>
      <c r="P654" s="279"/>
      <c r="Q654" s="279"/>
      <c r="R654" s="279"/>
      <c r="S654" s="280"/>
      <c r="T654" s="63"/>
      <c r="U654" s="3"/>
      <c r="V654" s="90"/>
      <c r="W654" s="91"/>
      <c r="X654" s="92"/>
    </row>
    <row r="655" spans="1:24">
      <c r="A655" s="2"/>
      <c r="B655" s="87">
        <f t="shared" ref="B655:B671" si="122">B654+1</f>
        <v>2</v>
      </c>
      <c r="C655" s="295">
        <v>45887</v>
      </c>
      <c r="D655" s="10">
        <v>72374</v>
      </c>
      <c r="E655" s="10" t="s">
        <v>218</v>
      </c>
      <c r="F655" s="62">
        <v>0</v>
      </c>
      <c r="G655" s="62">
        <v>0</v>
      </c>
      <c r="H655" s="62"/>
      <c r="I655" s="89">
        <f t="shared" si="121"/>
        <v>0</v>
      </c>
      <c r="J655" s="63" t="s">
        <v>205</v>
      </c>
      <c r="K655" s="63">
        <v>1</v>
      </c>
      <c r="L655" s="63"/>
      <c r="M655" s="63"/>
      <c r="N655" s="63"/>
      <c r="O655" s="63"/>
      <c r="P655" s="63"/>
      <c r="Q655" s="63">
        <v>1</v>
      </c>
      <c r="R655" s="63">
        <v>1</v>
      </c>
      <c r="S655" s="296">
        <v>1</v>
      </c>
      <c r="T655" s="21">
        <v>1</v>
      </c>
      <c r="U655" s="10"/>
      <c r="V655" s="90"/>
      <c r="W655" s="136"/>
      <c r="X655" s="137"/>
    </row>
    <row r="656" spans="1:24">
      <c r="A656" s="2"/>
      <c r="B656" s="87">
        <f>B655+1</f>
        <v>3</v>
      </c>
      <c r="C656" s="295">
        <v>45887</v>
      </c>
      <c r="D656" s="10">
        <v>72397</v>
      </c>
      <c r="E656" s="10" t="s">
        <v>1132</v>
      </c>
      <c r="F656" s="62">
        <v>2861</v>
      </c>
      <c r="G656" s="62">
        <v>39.700000000000003</v>
      </c>
      <c r="H656" s="62"/>
      <c r="I656" s="89">
        <f t="shared" si="121"/>
        <v>2821.3</v>
      </c>
      <c r="J656" s="63" t="s">
        <v>205</v>
      </c>
      <c r="K656" s="63">
        <v>1</v>
      </c>
      <c r="L656" s="63"/>
      <c r="M656" s="63"/>
      <c r="N656" s="63">
        <v>1</v>
      </c>
      <c r="O656" s="63"/>
      <c r="P656" s="63"/>
      <c r="Q656" s="63">
        <v>1</v>
      </c>
      <c r="R656" s="63">
        <v>1</v>
      </c>
      <c r="S656" s="296">
        <v>1</v>
      </c>
      <c r="T656" s="63"/>
      <c r="U656" s="10"/>
      <c r="V656" s="90"/>
      <c r="W656" s="136"/>
      <c r="X656" s="137"/>
    </row>
    <row r="657" spans="1:24">
      <c r="A657" s="2"/>
      <c r="B657" s="87">
        <f>B656+1</f>
        <v>4</v>
      </c>
      <c r="C657" s="274">
        <v>45888</v>
      </c>
      <c r="D657" s="509" t="s">
        <v>2517</v>
      </c>
      <c r="E657" s="276" t="s">
        <v>1080</v>
      </c>
      <c r="F657" s="277">
        <v>18621</v>
      </c>
      <c r="G657" s="277">
        <v>39.700000000000003</v>
      </c>
      <c r="H657" s="277"/>
      <c r="I657" s="278">
        <f t="shared" si="121"/>
        <v>18581.3</v>
      </c>
      <c r="J657" s="279" t="s">
        <v>205</v>
      </c>
      <c r="K657" s="279">
        <v>1</v>
      </c>
      <c r="L657" s="279"/>
      <c r="M657" s="279"/>
      <c r="N657" s="279">
        <v>1</v>
      </c>
      <c r="O657" s="279"/>
      <c r="P657" s="279"/>
      <c r="Q657" s="279"/>
      <c r="R657" s="279"/>
      <c r="S657" s="280"/>
      <c r="T657" s="63"/>
      <c r="U657" s="10"/>
      <c r="V657" s="90"/>
      <c r="W657" s="136"/>
      <c r="X657" s="137"/>
    </row>
    <row r="658" spans="1:24">
      <c r="A658" s="2"/>
      <c r="B658" s="87">
        <f>B657+1</f>
        <v>5</v>
      </c>
      <c r="C658" s="295">
        <v>45888</v>
      </c>
      <c r="D658" s="10">
        <v>72410</v>
      </c>
      <c r="E658" s="10" t="s">
        <v>1080</v>
      </c>
      <c r="F658" s="62">
        <v>2861</v>
      </c>
      <c r="G658" s="62">
        <v>39.700000000000003</v>
      </c>
      <c r="H658" s="62"/>
      <c r="I658" s="89">
        <f t="shared" si="121"/>
        <v>2821.3</v>
      </c>
      <c r="J658" s="63" t="s">
        <v>205</v>
      </c>
      <c r="K658" s="63">
        <v>1</v>
      </c>
      <c r="L658" s="63"/>
      <c r="M658" s="63"/>
      <c r="N658" s="63">
        <v>1</v>
      </c>
      <c r="O658" s="63"/>
      <c r="P658" s="63"/>
      <c r="Q658" s="63"/>
      <c r="R658" s="63"/>
      <c r="S658" s="296"/>
      <c r="T658" s="63"/>
      <c r="U658" s="10"/>
      <c r="V658" s="90"/>
      <c r="W658" s="136"/>
      <c r="X658" s="137"/>
    </row>
    <row r="659" spans="1:24">
      <c r="A659" s="2"/>
      <c r="B659" s="87">
        <f>B658+1</f>
        <v>6</v>
      </c>
      <c r="C659" s="295">
        <v>45888</v>
      </c>
      <c r="D659" s="10">
        <v>72405</v>
      </c>
      <c r="E659" s="101" t="s">
        <v>1088</v>
      </c>
      <c r="F659" s="62">
        <v>0</v>
      </c>
      <c r="G659" s="62">
        <v>0</v>
      </c>
      <c r="H659" s="62"/>
      <c r="I659" s="89">
        <f t="shared" si="121"/>
        <v>0</v>
      </c>
      <c r="J659" s="63" t="s">
        <v>219</v>
      </c>
      <c r="K659" s="63"/>
      <c r="L659" s="63"/>
      <c r="M659" s="63"/>
      <c r="N659" s="63"/>
      <c r="O659" s="63"/>
      <c r="P659" s="63"/>
      <c r="Q659" s="63"/>
      <c r="R659" s="63"/>
      <c r="S659" s="296"/>
      <c r="T659" s="63"/>
      <c r="U659" s="10"/>
      <c r="V659" s="90"/>
      <c r="W659" s="136"/>
      <c r="X659" s="137"/>
    </row>
    <row r="660" spans="1:24">
      <c r="A660" s="388">
        <v>45898</v>
      </c>
      <c r="B660" s="577">
        <f>B659+1</f>
        <v>7</v>
      </c>
      <c r="C660" s="586">
        <v>45888</v>
      </c>
      <c r="D660" s="3">
        <v>72421</v>
      </c>
      <c r="E660" s="3" t="s">
        <v>1062</v>
      </c>
      <c r="F660" s="585">
        <v>4609.8</v>
      </c>
      <c r="G660" s="585">
        <f>39.7</f>
        <v>39.700000000000003</v>
      </c>
      <c r="H660" s="585"/>
      <c r="I660" s="602">
        <f>F660-G660-H660</f>
        <v>4570.1000000000004</v>
      </c>
      <c r="J660" s="537" t="s">
        <v>156</v>
      </c>
      <c r="K660" s="537">
        <v>1</v>
      </c>
      <c r="L660" s="537"/>
      <c r="M660" s="537">
        <v>1</v>
      </c>
      <c r="N660" s="537">
        <v>1</v>
      </c>
      <c r="O660" s="537">
        <v>1</v>
      </c>
      <c r="P660" s="537">
        <v>1</v>
      </c>
      <c r="Q660" s="537">
        <v>1</v>
      </c>
      <c r="R660" s="537">
        <v>1</v>
      </c>
      <c r="S660" s="538">
        <v>1</v>
      </c>
      <c r="T660" s="537"/>
      <c r="U660" s="164" t="s">
        <v>2518</v>
      </c>
      <c r="V660" s="551">
        <f>507</f>
        <v>507</v>
      </c>
      <c r="W660" s="552"/>
      <c r="X660" s="553"/>
    </row>
    <row r="661" spans="1:24">
      <c r="A661" s="2"/>
      <c r="B661" s="87">
        <f>B660+1</f>
        <v>8</v>
      </c>
      <c r="C661" s="282">
        <v>45888</v>
      </c>
      <c r="D661" s="283">
        <v>72407</v>
      </c>
      <c r="E661" s="319" t="s">
        <v>1509</v>
      </c>
      <c r="F661" s="284">
        <v>0</v>
      </c>
      <c r="G661" s="284">
        <v>0</v>
      </c>
      <c r="H661" s="284"/>
      <c r="I661" s="285">
        <f t="shared" si="121"/>
        <v>0</v>
      </c>
      <c r="J661" s="286" t="s">
        <v>205</v>
      </c>
      <c r="K661" s="286"/>
      <c r="L661" s="286"/>
      <c r="M661" s="286"/>
      <c r="N661" s="286"/>
      <c r="O661" s="286"/>
      <c r="P661" s="286"/>
      <c r="Q661" s="286">
        <v>1</v>
      </c>
      <c r="R661" s="286">
        <v>1</v>
      </c>
      <c r="S661" s="287">
        <v>1</v>
      </c>
      <c r="T661" s="21">
        <v>1</v>
      </c>
      <c r="U661" s="10"/>
      <c r="V661" s="90"/>
      <c r="W661" s="136"/>
      <c r="X661" s="137"/>
    </row>
    <row r="662" spans="1:24">
      <c r="A662" s="2"/>
      <c r="B662" s="87">
        <f>B661+1</f>
        <v>9</v>
      </c>
      <c r="C662" s="295">
        <v>45889</v>
      </c>
      <c r="D662" s="10">
        <v>72497</v>
      </c>
      <c r="E662" s="101" t="s">
        <v>761</v>
      </c>
      <c r="F662" s="62">
        <v>0</v>
      </c>
      <c r="G662" s="62">
        <v>0</v>
      </c>
      <c r="H662" s="62"/>
      <c r="I662" s="89">
        <f t="shared" si="121"/>
        <v>0</v>
      </c>
      <c r="J662" s="63" t="s">
        <v>205</v>
      </c>
      <c r="K662" s="63">
        <v>1</v>
      </c>
      <c r="L662" s="63"/>
      <c r="M662" s="63"/>
      <c r="N662" s="63"/>
      <c r="O662" s="63"/>
      <c r="P662" s="63"/>
      <c r="Q662" s="63">
        <v>1</v>
      </c>
      <c r="R662" s="63">
        <v>1</v>
      </c>
      <c r="S662" s="296"/>
      <c r="T662" s="63"/>
      <c r="U662" s="10"/>
      <c r="V662" s="90"/>
      <c r="W662" s="136"/>
      <c r="X662" s="137"/>
    </row>
    <row r="663" spans="1:24">
      <c r="A663" s="2"/>
      <c r="B663" s="87">
        <f>B662+1</f>
        <v>10</v>
      </c>
      <c r="C663" s="274">
        <v>45890</v>
      </c>
      <c r="D663" s="276">
        <v>72492</v>
      </c>
      <c r="E663" s="281" t="s">
        <v>809</v>
      </c>
      <c r="F663" s="277">
        <v>681</v>
      </c>
      <c r="G663" s="277"/>
      <c r="H663" s="277"/>
      <c r="I663" s="278">
        <f t="shared" si="121"/>
        <v>681</v>
      </c>
      <c r="J663" s="279" t="s">
        <v>205</v>
      </c>
      <c r="K663" s="279">
        <v>1</v>
      </c>
      <c r="L663" s="279"/>
      <c r="M663" s="279"/>
      <c r="N663" s="279">
        <v>1</v>
      </c>
      <c r="O663" s="279"/>
      <c r="P663" s="279"/>
      <c r="Q663" s="279">
        <v>1</v>
      </c>
      <c r="R663" s="279">
        <v>1</v>
      </c>
      <c r="S663" s="280">
        <v>1</v>
      </c>
      <c r="T663" s="63"/>
      <c r="U663" s="10"/>
      <c r="V663" s="90"/>
      <c r="W663" s="136"/>
      <c r="X663" s="137"/>
    </row>
    <row r="664" spans="1:24">
      <c r="A664" s="2"/>
      <c r="B664" s="87">
        <f>B663+1</f>
        <v>11</v>
      </c>
      <c r="C664" s="295">
        <v>45890</v>
      </c>
      <c r="D664" s="10">
        <v>72509</v>
      </c>
      <c r="E664" s="101" t="s">
        <v>162</v>
      </c>
      <c r="F664" s="62">
        <v>1861</v>
      </c>
      <c r="G664" s="62">
        <v>39.700000000000003</v>
      </c>
      <c r="H664" s="62"/>
      <c r="I664" s="89">
        <f t="shared" si="121"/>
        <v>1821.3</v>
      </c>
      <c r="J664" s="63" t="s">
        <v>205</v>
      </c>
      <c r="K664" s="63">
        <v>1</v>
      </c>
      <c r="L664" s="63"/>
      <c r="M664" s="63"/>
      <c r="N664" s="63">
        <v>1</v>
      </c>
      <c r="O664" s="63"/>
      <c r="P664" s="63"/>
      <c r="Q664" s="63">
        <v>1</v>
      </c>
      <c r="R664" s="63">
        <v>1</v>
      </c>
      <c r="S664" s="296">
        <v>1</v>
      </c>
      <c r="T664" s="63"/>
      <c r="U664" s="10"/>
      <c r="V664" s="90"/>
      <c r="W664" s="136"/>
      <c r="X664" s="137"/>
    </row>
    <row r="665" spans="1:24">
      <c r="A665" s="2"/>
      <c r="B665" s="87">
        <f>B664+1</f>
        <v>12</v>
      </c>
      <c r="C665" s="295">
        <v>45890</v>
      </c>
      <c r="D665" s="10" t="s">
        <v>2519</v>
      </c>
      <c r="E665" s="101" t="s">
        <v>1249</v>
      </c>
      <c r="F665" s="62">
        <v>681</v>
      </c>
      <c r="G665" s="62"/>
      <c r="H665" s="62"/>
      <c r="I665" s="89">
        <f t="shared" si="121"/>
        <v>681</v>
      </c>
      <c r="J665" s="63" t="s">
        <v>205</v>
      </c>
      <c r="K665" s="63">
        <v>1</v>
      </c>
      <c r="L665" s="63"/>
      <c r="M665" s="63"/>
      <c r="N665" s="63">
        <v>1</v>
      </c>
      <c r="O665" s="63"/>
      <c r="P665" s="63"/>
      <c r="Q665" s="63">
        <v>1</v>
      </c>
      <c r="R665" s="63">
        <v>1</v>
      </c>
      <c r="S665" s="296">
        <v>1</v>
      </c>
      <c r="T665" s="63"/>
      <c r="U665" s="10"/>
      <c r="V665" s="90"/>
      <c r="W665" s="136"/>
      <c r="X665" s="137"/>
    </row>
    <row r="666" spans="1:24">
      <c r="A666" s="2"/>
      <c r="B666" s="87">
        <f>B665+1</f>
        <v>13</v>
      </c>
      <c r="C666" s="295">
        <v>45890</v>
      </c>
      <c r="D666" s="10" t="s">
        <v>2520</v>
      </c>
      <c r="E666" s="101" t="s">
        <v>1249</v>
      </c>
      <c r="F666" s="62">
        <v>12814</v>
      </c>
      <c r="G666" s="62">
        <v>39.700000000000003</v>
      </c>
      <c r="H666" s="62"/>
      <c r="I666" s="89">
        <f t="shared" si="121"/>
        <v>12774.3</v>
      </c>
      <c r="J666" s="63" t="s">
        <v>205</v>
      </c>
      <c r="K666" s="63">
        <v>1</v>
      </c>
      <c r="L666" s="63"/>
      <c r="M666" s="63"/>
      <c r="N666" s="63">
        <v>1</v>
      </c>
      <c r="O666" s="63"/>
      <c r="P666" s="63"/>
      <c r="Q666" s="63">
        <v>1</v>
      </c>
      <c r="R666" s="63">
        <v>1</v>
      </c>
      <c r="S666" s="296">
        <v>1</v>
      </c>
      <c r="T666" s="63"/>
      <c r="U666" s="10"/>
      <c r="V666" s="90"/>
      <c r="W666" s="136"/>
      <c r="X666" s="137"/>
    </row>
    <row r="667" spans="1:24">
      <c r="A667" s="2"/>
      <c r="B667" s="87">
        <f>B666+1</f>
        <v>14</v>
      </c>
      <c r="C667" s="295">
        <v>45890</v>
      </c>
      <c r="D667" s="10">
        <v>72506</v>
      </c>
      <c r="E667" s="101" t="s">
        <v>2521</v>
      </c>
      <c r="F667" s="62">
        <v>861</v>
      </c>
      <c r="G667" s="62">
        <v>39.700000000000003</v>
      </c>
      <c r="H667" s="62"/>
      <c r="I667" s="89">
        <f t="shared" si="121"/>
        <v>821.3</v>
      </c>
      <c r="J667" s="63" t="s">
        <v>205</v>
      </c>
      <c r="K667" s="63">
        <v>1</v>
      </c>
      <c r="L667" s="63"/>
      <c r="M667" s="63"/>
      <c r="N667" s="63">
        <v>1</v>
      </c>
      <c r="O667" s="63"/>
      <c r="P667" s="63"/>
      <c r="Q667" s="63">
        <v>1</v>
      </c>
      <c r="R667" s="63">
        <v>1</v>
      </c>
      <c r="S667" s="296">
        <v>1</v>
      </c>
      <c r="T667" s="63"/>
      <c r="U667" s="10"/>
      <c r="V667" s="90"/>
      <c r="W667" s="136"/>
      <c r="X667" s="137"/>
    </row>
    <row r="668" spans="1:24">
      <c r="A668" s="2"/>
      <c r="B668" s="87">
        <f>B667+1</f>
        <v>15</v>
      </c>
      <c r="C668" s="274">
        <v>45891</v>
      </c>
      <c r="D668" s="276">
        <v>72513</v>
      </c>
      <c r="E668" s="276" t="s">
        <v>780</v>
      </c>
      <c r="F668" s="277">
        <v>7870.5</v>
      </c>
      <c r="G668" s="277">
        <v>39.700000000000003</v>
      </c>
      <c r="H668" s="277"/>
      <c r="I668" s="278">
        <f t="shared" si="121"/>
        <v>7830.8</v>
      </c>
      <c r="J668" s="279" t="s">
        <v>205</v>
      </c>
      <c r="K668" s="279">
        <v>1</v>
      </c>
      <c r="L668" s="279"/>
      <c r="M668" s="279"/>
      <c r="N668" s="279">
        <v>1</v>
      </c>
      <c r="O668" s="279"/>
      <c r="P668" s="279"/>
      <c r="Q668" s="279"/>
      <c r="R668" s="279"/>
      <c r="S668" s="280"/>
      <c r="T668" s="63"/>
      <c r="U668" s="10"/>
      <c r="V668" s="90"/>
      <c r="W668" s="136"/>
      <c r="X668" s="137"/>
    </row>
    <row r="669" spans="1:24">
      <c r="A669" s="2"/>
      <c r="B669" s="87">
        <f>B668+1</f>
        <v>16</v>
      </c>
      <c r="C669" s="295">
        <v>45891</v>
      </c>
      <c r="D669" s="10">
        <v>72350</v>
      </c>
      <c r="E669" s="10" t="s">
        <v>2522</v>
      </c>
      <c r="F669" s="62">
        <v>0</v>
      </c>
      <c r="G669" s="62"/>
      <c r="H669" s="62"/>
      <c r="I669" s="89">
        <f t="shared" si="121"/>
        <v>0</v>
      </c>
      <c r="J669" s="63" t="s">
        <v>219</v>
      </c>
      <c r="K669" s="63">
        <v>1</v>
      </c>
      <c r="L669" s="63"/>
      <c r="M669" s="63"/>
      <c r="N669" s="63"/>
      <c r="O669" s="63"/>
      <c r="P669" s="63"/>
      <c r="Q669" s="63">
        <v>1</v>
      </c>
      <c r="R669" s="63">
        <v>1</v>
      </c>
      <c r="S669" s="296">
        <v>1</v>
      </c>
      <c r="T669" s="63"/>
      <c r="U669" s="10"/>
      <c r="V669" s="90"/>
      <c r="W669" s="136"/>
      <c r="X669" s="137"/>
    </row>
    <row r="670" spans="1:24">
      <c r="A670" s="2"/>
      <c r="B670" s="87">
        <f>B669+1</f>
        <v>17</v>
      </c>
      <c r="C670" s="295">
        <v>45891</v>
      </c>
      <c r="D670" s="10">
        <v>72511</v>
      </c>
      <c r="E670" s="10" t="s">
        <v>2522</v>
      </c>
      <c r="F670" s="62">
        <v>861</v>
      </c>
      <c r="G670" s="62">
        <v>39.700000000000003</v>
      </c>
      <c r="H670" s="62"/>
      <c r="I670" s="89">
        <f t="shared" si="121"/>
        <v>821.3</v>
      </c>
      <c r="J670" s="63" t="s">
        <v>205</v>
      </c>
      <c r="K670" s="63">
        <v>1</v>
      </c>
      <c r="L670" s="63"/>
      <c r="M670" s="63"/>
      <c r="N670" s="63">
        <v>1</v>
      </c>
      <c r="O670" s="63"/>
      <c r="P670" s="63"/>
      <c r="Q670" s="63">
        <v>1</v>
      </c>
      <c r="R670" s="63">
        <v>1</v>
      </c>
      <c r="S670" s="296">
        <v>1</v>
      </c>
      <c r="T670" s="63"/>
      <c r="U670" s="10"/>
      <c r="V670" s="90"/>
      <c r="W670" s="136"/>
      <c r="X670" s="137"/>
    </row>
    <row r="671" spans="1:24">
      <c r="A671" s="388">
        <v>45898</v>
      </c>
      <c r="B671" s="87">
        <f>B670+1</f>
        <v>18</v>
      </c>
      <c r="C671" s="282">
        <v>45891</v>
      </c>
      <c r="D671" s="302" t="s">
        <v>2523</v>
      </c>
      <c r="E671" s="283" t="s">
        <v>979</v>
      </c>
      <c r="F671" s="284">
        <v>14993.75</v>
      </c>
      <c r="G671" s="284">
        <v>39.700000000000003</v>
      </c>
      <c r="H671" s="284"/>
      <c r="I671" s="285">
        <f t="shared" si="121"/>
        <v>14954.05</v>
      </c>
      <c r="J671" s="286" t="s">
        <v>205</v>
      </c>
      <c r="K671" s="286"/>
      <c r="L671" s="286"/>
      <c r="M671" s="286"/>
      <c r="N671" s="286">
        <v>1</v>
      </c>
      <c r="O671" s="286"/>
      <c r="P671" s="286"/>
      <c r="Q671" s="286"/>
      <c r="R671" s="286"/>
      <c r="S671" s="287"/>
      <c r="T671" s="63"/>
      <c r="U671" s="10"/>
      <c r="V671" s="90"/>
      <c r="W671" s="136"/>
      <c r="X671" s="137"/>
    </row>
    <row r="672" spans="1:24">
      <c r="A672" s="2"/>
      <c r="B672" s="11"/>
      <c r="C672" s="36"/>
      <c r="D672" s="10"/>
      <c r="E672" s="10"/>
      <c r="F672" s="97">
        <f>SUM(F654:F671)</f>
        <v>132390.04999999999</v>
      </c>
      <c r="G672" s="97">
        <f>SUM(G654:G671)</f>
        <v>436.69999999999993</v>
      </c>
      <c r="H672" s="97">
        <f>SUM(H654:H671)</f>
        <v>0</v>
      </c>
      <c r="I672" s="98">
        <f>SUM(I654:I671)</f>
        <v>131953.35000000003</v>
      </c>
      <c r="J672" s="10"/>
      <c r="K672" s="10"/>
      <c r="L672" s="10"/>
      <c r="M672" s="10"/>
      <c r="N672" s="10"/>
      <c r="O672" s="10"/>
      <c r="P672" s="10"/>
      <c r="Q672" s="10"/>
      <c r="R672" s="10"/>
      <c r="S672" s="10"/>
      <c r="T672" s="63"/>
      <c r="U672" s="10"/>
      <c r="V672" s="138"/>
      <c r="W672" s="136"/>
      <c r="X672" s="137"/>
    </row>
    <row r="673" spans="1:24">
      <c r="A673" s="2"/>
      <c r="B673" s="11"/>
      <c r="C673" s="36"/>
      <c r="D673" s="10"/>
      <c r="E673" s="10"/>
      <c r="F673" s="88"/>
      <c r="G673" s="88"/>
      <c r="H673" s="88"/>
      <c r="I673" s="99"/>
      <c r="J673" s="10"/>
      <c r="K673" s="10"/>
      <c r="L673" s="10"/>
      <c r="M673" s="10"/>
      <c r="N673" s="10"/>
      <c r="O673" s="10"/>
      <c r="P673" s="10"/>
      <c r="Q673" s="10"/>
      <c r="R673" s="10"/>
      <c r="S673" s="10"/>
      <c r="T673" s="63"/>
      <c r="U673" s="10"/>
      <c r="V673" s="138"/>
      <c r="W673" s="136"/>
      <c r="X673" s="137"/>
    </row>
    <row r="674" spans="1:24">
      <c r="A674" s="2"/>
      <c r="B674" s="100" t="s">
        <v>73</v>
      </c>
      <c r="C674" s="36"/>
      <c r="D674" s="10"/>
      <c r="E674" s="10"/>
      <c r="F674" s="88"/>
      <c r="G674" s="88"/>
      <c r="H674" s="88"/>
      <c r="I674" s="99"/>
      <c r="J674" s="63"/>
      <c r="K674" s="63"/>
      <c r="L674" s="63"/>
      <c r="M674" s="63"/>
      <c r="N674" s="63"/>
      <c r="O674" s="63"/>
      <c r="P674" s="63"/>
      <c r="Q674" s="63"/>
      <c r="R674" s="63"/>
      <c r="S674" s="63"/>
      <c r="T674" s="63"/>
      <c r="U674" s="94"/>
      <c r="V674" s="90"/>
      <c r="W674" s="91"/>
      <c r="X674" s="92"/>
    </row>
    <row r="675" spans="1:24" s="260" customFormat="1">
      <c r="A675" s="181"/>
      <c r="B675" s="87">
        <v>1</v>
      </c>
      <c r="C675" s="262">
        <v>45892</v>
      </c>
      <c r="D675" s="271" t="s">
        <v>2524</v>
      </c>
      <c r="E675" s="264" t="s">
        <v>225</v>
      </c>
      <c r="F675" s="265">
        <v>18161</v>
      </c>
      <c r="G675" s="265">
        <v>39.700000000000003</v>
      </c>
      <c r="H675" s="265"/>
      <c r="I675" s="272">
        <f t="shared" ref="I675" si="123">F675-G675-H675</f>
        <v>18121.3</v>
      </c>
      <c r="J675" s="267" t="s">
        <v>205</v>
      </c>
      <c r="K675" s="267">
        <v>1</v>
      </c>
      <c r="L675" s="267"/>
      <c r="M675" s="267"/>
      <c r="N675" s="267">
        <v>1</v>
      </c>
      <c r="O675" s="267"/>
      <c r="P675" s="267"/>
      <c r="Q675" s="267"/>
      <c r="R675" s="267"/>
      <c r="S675" s="269"/>
      <c r="T675" s="63"/>
      <c r="U675" s="604"/>
      <c r="V675" s="90"/>
      <c r="W675" s="91"/>
      <c r="X675" s="92"/>
    </row>
    <row r="676" spans="1:24" s="260" customFormat="1">
      <c r="A676" s="181" t="s">
        <v>2525</v>
      </c>
      <c r="B676" s="87">
        <f>B675+1</f>
        <v>2</v>
      </c>
      <c r="C676" s="262">
        <v>45892</v>
      </c>
      <c r="D676" s="273" t="s">
        <v>2526</v>
      </c>
      <c r="E676" s="264" t="s">
        <v>786</v>
      </c>
      <c r="F676" s="265">
        <v>15960</v>
      </c>
      <c r="G676" s="265">
        <f>39.7+1500</f>
        <v>1539.7</v>
      </c>
      <c r="H676" s="265"/>
      <c r="I676" s="272">
        <f t="shared" ref="I676" si="124">F676-G676-H676</f>
        <v>14420.3</v>
      </c>
      <c r="J676" s="267" t="s">
        <v>156</v>
      </c>
      <c r="K676" s="267">
        <v>1</v>
      </c>
      <c r="L676" s="267"/>
      <c r="M676" s="267">
        <v>1</v>
      </c>
      <c r="N676" s="267">
        <v>1</v>
      </c>
      <c r="O676" s="267">
        <v>1</v>
      </c>
      <c r="P676" s="267">
        <v>1</v>
      </c>
      <c r="Q676" s="267"/>
      <c r="R676" s="267"/>
      <c r="S676" s="269"/>
      <c r="T676" s="63"/>
      <c r="U676" s="94" t="s">
        <v>2527</v>
      </c>
      <c r="V676" s="90">
        <v>1755.6</v>
      </c>
      <c r="W676" s="136"/>
      <c r="X676" s="137"/>
    </row>
    <row r="677" spans="1:24">
      <c r="A677" s="2"/>
      <c r="B677" s="11"/>
      <c r="C677" s="36"/>
      <c r="D677" s="10"/>
      <c r="E677" s="10"/>
      <c r="F677" s="97">
        <f>SUM(F675:F676)</f>
        <v>34121</v>
      </c>
      <c r="G677" s="97">
        <f t="shared" ref="G677:I677" si="125">SUM(G675:G676)</f>
        <v>1579.4</v>
      </c>
      <c r="H677" s="97">
        <f t="shared" si="125"/>
        <v>0</v>
      </c>
      <c r="I677" s="97">
        <f t="shared" si="125"/>
        <v>32541.599999999999</v>
      </c>
      <c r="J677" s="10"/>
      <c r="K677" s="10"/>
      <c r="L677" s="10"/>
      <c r="M677" s="10"/>
      <c r="N677" s="10"/>
      <c r="O677" s="10"/>
      <c r="P677" s="10"/>
      <c r="Q677" s="10"/>
      <c r="R677" s="10"/>
      <c r="S677" s="10"/>
      <c r="T677" s="63"/>
      <c r="U677" s="94"/>
      <c r="V677" s="90"/>
      <c r="W677" s="91"/>
      <c r="X677" s="92"/>
    </row>
    <row r="678" spans="1:24">
      <c r="A678" s="2"/>
      <c r="B678" s="26"/>
      <c r="C678" s="140"/>
      <c r="D678" s="141"/>
      <c r="E678" s="141"/>
      <c r="F678" s="141"/>
      <c r="G678" s="141"/>
      <c r="H678" s="141"/>
      <c r="I678" s="141"/>
      <c r="J678" s="141"/>
      <c r="K678" s="142"/>
      <c r="L678" s="142"/>
      <c r="M678" s="142"/>
      <c r="N678" s="142"/>
      <c r="O678" s="142"/>
      <c r="P678" s="142"/>
      <c r="Q678" s="142"/>
      <c r="R678" s="142"/>
      <c r="S678" s="142"/>
      <c r="T678" s="143">
        <f>SUM(T599:T677)</f>
        <v>6</v>
      </c>
      <c r="U678" s="141"/>
      <c r="V678" s="144">
        <f>SUM(V599:V677)</f>
        <v>88987.81</v>
      </c>
      <c r="W678" s="144">
        <f>SUM(W599:W677)</f>
        <v>0</v>
      </c>
      <c r="X678" s="144">
        <f>SUM(X599:X677)</f>
        <v>0</v>
      </c>
    </row>
    <row r="681" spans="1:24">
      <c r="A681" s="3"/>
      <c r="B681" s="4" t="s">
        <v>1</v>
      </c>
      <c r="C681" s="5"/>
      <c r="D681" s="6"/>
      <c r="E681" s="6"/>
      <c r="F681" s="7" t="s">
        <v>2</v>
      </c>
      <c r="G681" s="590">
        <v>45900</v>
      </c>
      <c r="H681" s="7"/>
      <c r="I681" s="6"/>
      <c r="J681" s="6"/>
      <c r="K681" s="6"/>
      <c r="L681" s="6"/>
      <c r="M681" s="6"/>
      <c r="N681" s="6"/>
      <c r="O681" s="6"/>
      <c r="P681" s="6"/>
      <c r="Q681" s="6"/>
      <c r="R681" s="6"/>
      <c r="S681" s="6"/>
      <c r="T681" s="6"/>
      <c r="U681" s="9"/>
      <c r="V681" s="10"/>
      <c r="W681" s="10"/>
      <c r="X681" s="10"/>
    </row>
    <row r="682" spans="1:24">
      <c r="A682" s="2"/>
      <c r="B682" s="11"/>
      <c r="C682" s="10"/>
      <c r="D682" s="10"/>
      <c r="E682" s="10"/>
      <c r="F682" s="10"/>
      <c r="G682" s="7"/>
      <c r="H682" s="12"/>
      <c r="I682" s="10"/>
      <c r="J682" s="10"/>
      <c r="K682" s="13" t="s">
        <v>3</v>
      </c>
      <c r="L682" s="14"/>
      <c r="M682" s="15"/>
      <c r="N682" s="13" t="s">
        <v>4</v>
      </c>
      <c r="O682" s="14"/>
      <c r="P682" s="15"/>
      <c r="Q682" s="13" t="s">
        <v>5</v>
      </c>
      <c r="R682" s="14"/>
      <c r="S682" s="15"/>
      <c r="T682" s="16"/>
      <c r="U682" s="17"/>
      <c r="V682" s="10"/>
      <c r="W682" s="10"/>
      <c r="X682" s="10"/>
    </row>
    <row r="683" spans="1:24">
      <c r="A683" s="2"/>
      <c r="B683" s="18" t="s">
        <v>6</v>
      </c>
      <c r="C683" s="19">
        <f>C684+C685</f>
        <v>30</v>
      </c>
      <c r="D683" s="10"/>
      <c r="E683" s="18" t="s">
        <v>7</v>
      </c>
      <c r="F683" s="6"/>
      <c r="G683" s="9"/>
      <c r="H683" s="10"/>
      <c r="I683" s="10"/>
      <c r="J683" s="10"/>
      <c r="K683" s="20" t="s">
        <v>8</v>
      </c>
      <c r="L683" s="21" t="s">
        <v>9</v>
      </c>
      <c r="M683" s="21" t="s">
        <v>10</v>
      </c>
      <c r="N683" s="20" t="s">
        <v>11</v>
      </c>
      <c r="O683" s="21" t="s">
        <v>12</v>
      </c>
      <c r="P683" s="22" t="s">
        <v>13</v>
      </c>
      <c r="Q683" s="21" t="s">
        <v>11</v>
      </c>
      <c r="R683" s="21" t="s">
        <v>12</v>
      </c>
      <c r="S683" s="22" t="s">
        <v>13</v>
      </c>
      <c r="T683" s="23" t="s">
        <v>14</v>
      </c>
      <c r="U683" s="17"/>
      <c r="V683" s="10"/>
      <c r="W683" s="10"/>
      <c r="X683" s="10"/>
    </row>
    <row r="684" spans="1:24">
      <c r="A684" s="2"/>
      <c r="B684" s="24" t="s">
        <v>15</v>
      </c>
      <c r="C684" s="25">
        <f>P691</f>
        <v>12</v>
      </c>
      <c r="D684" s="10"/>
      <c r="E684" s="26" t="s">
        <v>16</v>
      </c>
      <c r="F684" s="27">
        <v>0.05</v>
      </c>
      <c r="G684" s="28"/>
      <c r="H684" s="10"/>
      <c r="I684" s="10"/>
      <c r="J684" s="18" t="s">
        <v>17</v>
      </c>
      <c r="K684" s="29">
        <f>K720</f>
        <v>11</v>
      </c>
      <c r="L684" s="29">
        <f t="shared" ref="L684:S684" si="126">L720</f>
        <v>10</v>
      </c>
      <c r="M684" s="29">
        <f t="shared" si="126"/>
        <v>8</v>
      </c>
      <c r="N684" s="29">
        <f t="shared" si="126"/>
        <v>11</v>
      </c>
      <c r="O684" s="29">
        <f t="shared" si="126"/>
        <v>11</v>
      </c>
      <c r="P684" s="29">
        <f t="shared" si="126"/>
        <v>11</v>
      </c>
      <c r="Q684" s="29">
        <f t="shared" si="126"/>
        <v>11</v>
      </c>
      <c r="R684" s="29">
        <f t="shared" si="126"/>
        <v>11</v>
      </c>
      <c r="S684" s="29">
        <f t="shared" si="126"/>
        <v>11</v>
      </c>
      <c r="T684" s="30">
        <f>T765</f>
        <v>6</v>
      </c>
      <c r="U684" s="17" t="s">
        <v>2528</v>
      </c>
      <c r="V684" s="10"/>
      <c r="W684" s="10"/>
      <c r="X684" s="10"/>
    </row>
    <row r="685" spans="1:24">
      <c r="A685" s="2"/>
      <c r="B685" s="24" t="s">
        <v>18</v>
      </c>
      <c r="C685" s="25">
        <f>P692</f>
        <v>18</v>
      </c>
      <c r="D685" s="10"/>
      <c r="E685" s="10"/>
      <c r="F685" s="10"/>
      <c r="G685" s="31"/>
      <c r="H685" s="10"/>
      <c r="I685" s="10"/>
      <c r="J685" s="32" t="s">
        <v>19</v>
      </c>
      <c r="K685" s="33">
        <f>K720/K719</f>
        <v>1</v>
      </c>
      <c r="L685" s="33">
        <f t="shared" ref="L685:S685" si="127">L720/L719</f>
        <v>0.90909090909090906</v>
      </c>
      <c r="M685" s="33">
        <f t="shared" si="127"/>
        <v>0.72727272727272729</v>
      </c>
      <c r="N685" s="33">
        <f t="shared" si="127"/>
        <v>1</v>
      </c>
      <c r="O685" s="33">
        <f t="shared" si="127"/>
        <v>1</v>
      </c>
      <c r="P685" s="33">
        <f t="shared" si="127"/>
        <v>1</v>
      </c>
      <c r="Q685" s="33">
        <f t="shared" si="127"/>
        <v>1</v>
      </c>
      <c r="R685" s="33">
        <f t="shared" si="127"/>
        <v>1</v>
      </c>
      <c r="S685" s="33">
        <f t="shared" si="127"/>
        <v>1</v>
      </c>
      <c r="T685" s="23"/>
      <c r="U685" s="17" t="s">
        <v>20</v>
      </c>
      <c r="V685" s="10"/>
      <c r="W685" s="10"/>
      <c r="X685" s="10"/>
    </row>
    <row r="686" spans="1:24">
      <c r="A686" s="2"/>
      <c r="B686" s="24" t="s">
        <v>21</v>
      </c>
      <c r="C686" s="34">
        <f>P693</f>
        <v>0.4</v>
      </c>
      <c r="D686" s="10"/>
      <c r="E686" s="10"/>
      <c r="F686" s="10"/>
      <c r="G686" s="10"/>
      <c r="H686" s="10"/>
      <c r="I686" s="10"/>
      <c r="J686" s="10"/>
      <c r="K686" s="10"/>
      <c r="L686" s="10"/>
      <c r="M686" s="10"/>
      <c r="N686" s="10"/>
      <c r="O686" s="10"/>
      <c r="P686" s="10"/>
      <c r="Q686" s="10"/>
      <c r="R686" s="10"/>
      <c r="S686" s="10"/>
      <c r="T686" s="10"/>
      <c r="U686" s="17"/>
      <c r="V686" s="10"/>
      <c r="W686" s="10"/>
      <c r="X686" s="10"/>
    </row>
    <row r="687" spans="1:24">
      <c r="A687" s="2"/>
      <c r="B687" s="24"/>
      <c r="C687" s="25"/>
      <c r="D687" s="10"/>
      <c r="E687" s="10"/>
      <c r="F687" s="18" t="s">
        <v>22</v>
      </c>
      <c r="G687" s="19" t="s">
        <v>23</v>
      </c>
      <c r="H687" s="35" t="s">
        <v>24</v>
      </c>
      <c r="I687" s="10"/>
      <c r="J687" s="10"/>
      <c r="K687" s="36"/>
      <c r="L687" s="36"/>
      <c r="M687" s="36"/>
      <c r="N687" s="36"/>
      <c r="O687" s="36"/>
      <c r="P687" s="36"/>
      <c r="Q687" s="36"/>
      <c r="R687" s="10"/>
      <c r="S687" s="10"/>
      <c r="T687" s="10"/>
      <c r="U687" s="17"/>
      <c r="V687" s="10"/>
      <c r="W687" s="10"/>
      <c r="X687" s="10"/>
    </row>
    <row r="688" spans="1:24">
      <c r="A688" s="2"/>
      <c r="B688" s="32" t="s">
        <v>25</v>
      </c>
      <c r="C688" s="37">
        <f>P694</f>
        <v>2553.3875000000003</v>
      </c>
      <c r="D688" s="10"/>
      <c r="E688" s="18" t="s">
        <v>26</v>
      </c>
      <c r="F688" s="38">
        <f>P690</f>
        <v>30640.65</v>
      </c>
      <c r="G688" s="39">
        <f>I719+I730</f>
        <v>30640.649999999998</v>
      </c>
      <c r="H688" s="40"/>
      <c r="I688" s="41"/>
      <c r="J688" s="42"/>
      <c r="K688" s="43" t="s">
        <v>27</v>
      </c>
      <c r="L688" s="44"/>
      <c r="M688" s="44"/>
      <c r="N688" s="44"/>
      <c r="O688" s="44"/>
      <c r="P688" s="44"/>
      <c r="Q688" s="45"/>
      <c r="R688" s="46" t="s">
        <v>28</v>
      </c>
      <c r="S688" s="47" t="s">
        <v>29</v>
      </c>
      <c r="T688" s="10"/>
      <c r="U688" s="17"/>
      <c r="V688" s="10"/>
      <c r="W688" s="10"/>
      <c r="X688" s="10"/>
    </row>
    <row r="689" spans="1:24">
      <c r="A689" s="2"/>
      <c r="B689" s="11"/>
      <c r="C689" s="10"/>
      <c r="D689" s="10"/>
      <c r="E689" s="24" t="s">
        <v>30</v>
      </c>
      <c r="F689" s="48">
        <f>F684</f>
        <v>0.05</v>
      </c>
      <c r="G689" s="17"/>
      <c r="H689" s="40"/>
      <c r="I689" s="41"/>
      <c r="J689" s="42"/>
      <c r="K689" s="20" t="s">
        <v>31</v>
      </c>
      <c r="L689" s="21" t="s">
        <v>32</v>
      </c>
      <c r="M689" s="21" t="s">
        <v>33</v>
      </c>
      <c r="N689" s="21" t="s">
        <v>34</v>
      </c>
      <c r="O689" s="21" t="s">
        <v>35</v>
      </c>
      <c r="P689" s="21" t="s">
        <v>36</v>
      </c>
      <c r="Q689" s="49" t="s">
        <v>37</v>
      </c>
      <c r="R689" s="50" t="s">
        <v>38</v>
      </c>
      <c r="S689" s="50" t="s">
        <v>38</v>
      </c>
      <c r="T689" s="10"/>
      <c r="U689" s="17"/>
      <c r="V689" s="10"/>
      <c r="W689" s="10"/>
      <c r="X689" s="10"/>
    </row>
    <row r="690" spans="1:24">
      <c r="A690" s="2"/>
      <c r="B690" s="11"/>
      <c r="C690" s="10"/>
      <c r="D690" s="10"/>
      <c r="E690" s="51" t="s">
        <v>39</v>
      </c>
      <c r="F690" s="52">
        <f>(F688-I729)*F689</f>
        <v>893.79650000000004</v>
      </c>
      <c r="G690" s="53" t="s">
        <v>40</v>
      </c>
      <c r="H690" s="54">
        <f>F690/1.12</f>
        <v>798.03258928571427</v>
      </c>
      <c r="I690" s="55"/>
      <c r="J690" s="42"/>
      <c r="K690" s="56">
        <f>I708+I709+I729</f>
        <v>14430.220000000001</v>
      </c>
      <c r="L690" s="57">
        <f>I710+I711+I712+I713</f>
        <v>6828</v>
      </c>
      <c r="M690" s="57">
        <f>I714+I715</f>
        <v>5443.64</v>
      </c>
      <c r="N690" s="57">
        <f>I716</f>
        <v>821.3</v>
      </c>
      <c r="O690" s="57">
        <f>I717+I718</f>
        <v>3117.49</v>
      </c>
      <c r="P690" s="57">
        <f>SUM(K690:O690)</f>
        <v>30640.65</v>
      </c>
      <c r="Q690" s="58">
        <v>0</v>
      </c>
      <c r="R690" s="59">
        <f>I730</f>
        <v>12764.720000000001</v>
      </c>
      <c r="S690" s="59">
        <v>0</v>
      </c>
      <c r="T690" s="10"/>
      <c r="U690" s="17"/>
      <c r="V690" s="10"/>
      <c r="W690" s="10"/>
      <c r="X690" s="10"/>
    </row>
    <row r="691" spans="1:24">
      <c r="A691" s="2"/>
      <c r="B691" s="11"/>
      <c r="C691" s="10"/>
      <c r="D691" s="10"/>
      <c r="E691" s="24" t="s">
        <v>41</v>
      </c>
      <c r="F691" s="60">
        <f>Q690</f>
        <v>0</v>
      </c>
      <c r="G691" s="61" t="s">
        <v>40</v>
      </c>
      <c r="H691" s="62"/>
      <c r="I691" s="62"/>
      <c r="J691" s="10" t="s">
        <v>42</v>
      </c>
      <c r="K691" s="63">
        <v>3</v>
      </c>
      <c r="L691" s="63">
        <v>4</v>
      </c>
      <c r="M691" s="63">
        <v>2</v>
      </c>
      <c r="N691" s="63">
        <v>1</v>
      </c>
      <c r="O691" s="63">
        <v>2</v>
      </c>
      <c r="P691" s="21">
        <f>SUM(K691:O691)</f>
        <v>12</v>
      </c>
      <c r="Q691" s="64"/>
      <c r="R691" s="63"/>
      <c r="S691" s="10"/>
      <c r="T691" s="10"/>
      <c r="U691" s="17"/>
      <c r="V691" s="10"/>
      <c r="W691" s="10"/>
      <c r="X691" s="10"/>
    </row>
    <row r="692" spans="1:24">
      <c r="A692" s="2"/>
      <c r="B692" s="11"/>
      <c r="C692" s="10"/>
      <c r="D692" s="10"/>
      <c r="E692" s="51" t="s">
        <v>43</v>
      </c>
      <c r="F692" s="52">
        <f>F691*0.25</f>
        <v>0</v>
      </c>
      <c r="G692" s="53" t="s">
        <v>40</v>
      </c>
      <c r="H692" s="54">
        <f>F692/1.12</f>
        <v>0</v>
      </c>
      <c r="I692" s="10"/>
      <c r="J692" s="10" t="s">
        <v>44</v>
      </c>
      <c r="K692" s="63">
        <v>3</v>
      </c>
      <c r="L692" s="63">
        <v>3</v>
      </c>
      <c r="M692" s="63">
        <v>4</v>
      </c>
      <c r="N692" s="63">
        <v>7</v>
      </c>
      <c r="O692" s="63">
        <v>1</v>
      </c>
      <c r="P692" s="21">
        <f>SUM(K692:O692)</f>
        <v>18</v>
      </c>
      <c r="Q692" s="64"/>
      <c r="R692" s="63"/>
      <c r="S692" s="10"/>
      <c r="T692" s="10"/>
      <c r="U692" s="17"/>
      <c r="V692" s="10"/>
      <c r="W692" s="10"/>
      <c r="X692" s="10"/>
    </row>
    <row r="693" spans="1:24">
      <c r="A693" s="2"/>
      <c r="B693" s="11"/>
      <c r="C693" s="10"/>
      <c r="D693" s="10"/>
      <c r="E693" s="24" t="s">
        <v>45</v>
      </c>
      <c r="F693" s="60">
        <f>I726</f>
        <v>12292.99</v>
      </c>
      <c r="G693" s="61" t="s">
        <v>40</v>
      </c>
      <c r="H693" s="62"/>
      <c r="I693" s="10"/>
      <c r="J693" s="10" t="s">
        <v>46</v>
      </c>
      <c r="K693" s="31">
        <f t="shared" ref="K693:Q693" si="128">K691/(K691+K692)</f>
        <v>0.5</v>
      </c>
      <c r="L693" s="31">
        <f t="shared" si="128"/>
        <v>0.5714285714285714</v>
      </c>
      <c r="M693" s="31">
        <f t="shared" si="128"/>
        <v>0.33333333333333331</v>
      </c>
      <c r="N693" s="31">
        <f t="shared" si="128"/>
        <v>0.125</v>
      </c>
      <c r="O693" s="31">
        <f t="shared" si="128"/>
        <v>0.66666666666666663</v>
      </c>
      <c r="P693" s="31">
        <f t="shared" si="128"/>
        <v>0.4</v>
      </c>
      <c r="Q693" s="31" t="e">
        <f t="shared" si="128"/>
        <v>#DIV/0!</v>
      </c>
      <c r="R693" s="63"/>
      <c r="S693" s="10"/>
      <c r="T693" s="10"/>
      <c r="U693" s="17"/>
      <c r="V693" s="10"/>
      <c r="W693" s="10"/>
      <c r="X693" s="10"/>
    </row>
    <row r="694" spans="1:24">
      <c r="A694" s="2"/>
      <c r="B694" s="11"/>
      <c r="C694" s="10"/>
      <c r="D694" s="10"/>
      <c r="E694" s="51" t="s">
        <v>47</v>
      </c>
      <c r="F694" s="52">
        <f>(F693+F697+F698-I725)*0.05</f>
        <v>540.58800000000008</v>
      </c>
      <c r="G694" s="65" t="s">
        <v>40</v>
      </c>
      <c r="H694" s="54">
        <f>F694/1.12</f>
        <v>482.66785714285714</v>
      </c>
      <c r="I694" s="42"/>
      <c r="J694" s="10" t="s">
        <v>48</v>
      </c>
      <c r="K694" s="66">
        <f>K690/K691</f>
        <v>4810.0733333333337</v>
      </c>
      <c r="L694" s="66">
        <f t="shared" ref="L694:Q694" si="129">L690/L691</f>
        <v>1707</v>
      </c>
      <c r="M694" s="66">
        <f t="shared" si="129"/>
        <v>2721.82</v>
      </c>
      <c r="N694" s="66">
        <f t="shared" si="129"/>
        <v>821.3</v>
      </c>
      <c r="O694" s="66">
        <f t="shared" si="129"/>
        <v>1558.7449999999999</v>
      </c>
      <c r="P694" s="66">
        <f t="shared" si="129"/>
        <v>2553.3875000000003</v>
      </c>
      <c r="Q694" s="66" t="e">
        <f t="shared" si="129"/>
        <v>#DIV/0!</v>
      </c>
      <c r="R694" s="63"/>
      <c r="S694" s="10"/>
      <c r="T694" s="10"/>
      <c r="U694" s="17"/>
      <c r="V694" s="10"/>
      <c r="W694" s="10"/>
      <c r="X694" s="10"/>
    </row>
    <row r="695" spans="1:24">
      <c r="A695" s="2"/>
      <c r="B695" s="11"/>
      <c r="C695" s="10"/>
      <c r="D695" s="10"/>
      <c r="E695" s="67" t="s">
        <v>14</v>
      </c>
      <c r="F695" s="68">
        <f>2*50</f>
        <v>100</v>
      </c>
      <c r="G695" s="10"/>
      <c r="H695" s="54">
        <f>F695/1.12</f>
        <v>89.285714285714278</v>
      </c>
      <c r="I695" s="10"/>
      <c r="J695" s="10"/>
      <c r="K695" s="10"/>
      <c r="L695" s="10"/>
      <c r="M695" s="10"/>
      <c r="N695" s="10"/>
      <c r="O695" s="10"/>
      <c r="P695" s="10"/>
      <c r="Q695" s="10"/>
      <c r="R695" s="10"/>
      <c r="S695" s="10"/>
      <c r="T695" s="10"/>
      <c r="U695" s="17"/>
      <c r="V695" s="10"/>
      <c r="W695" s="10"/>
      <c r="X695" s="10"/>
    </row>
    <row r="696" spans="1:24">
      <c r="A696" s="2"/>
      <c r="B696" s="11"/>
      <c r="C696" s="10"/>
      <c r="D696" s="10"/>
      <c r="E696" s="67" t="s">
        <v>49</v>
      </c>
      <c r="F696" s="69">
        <f>T685</f>
        <v>0</v>
      </c>
      <c r="G696" s="10"/>
      <c r="H696" s="54"/>
      <c r="I696" s="55"/>
      <c r="J696" s="42"/>
      <c r="K696" s="764" t="s">
        <v>50</v>
      </c>
      <c r="L696" s="765"/>
      <c r="M696" s="765"/>
      <c r="N696" s="765"/>
      <c r="O696" s="765"/>
      <c r="P696" s="765"/>
      <c r="Q696" s="766"/>
      <c r="R696" s="70" t="s">
        <v>28</v>
      </c>
      <c r="S696" s="71" t="s">
        <v>29</v>
      </c>
      <c r="T696" s="10"/>
      <c r="U696" s="17"/>
      <c r="V696" s="10"/>
      <c r="W696" s="10"/>
      <c r="X696" s="10"/>
    </row>
    <row r="697" spans="1:24">
      <c r="A697" s="2"/>
      <c r="B697" s="11"/>
      <c r="C697" s="10"/>
      <c r="D697" s="10"/>
      <c r="E697" s="72" t="s">
        <v>2529</v>
      </c>
      <c r="F697" s="73">
        <v>-617.75</v>
      </c>
      <c r="G697" s="10"/>
      <c r="H697" s="10"/>
      <c r="I697" s="10"/>
      <c r="J697" s="42"/>
      <c r="K697" s="20" t="s">
        <v>31</v>
      </c>
      <c r="L697" s="21" t="s">
        <v>32</v>
      </c>
      <c r="M697" s="21" t="s">
        <v>33</v>
      </c>
      <c r="N697" s="21" t="s">
        <v>34</v>
      </c>
      <c r="O697" s="21" t="s">
        <v>35</v>
      </c>
      <c r="P697" s="21" t="s">
        <v>36</v>
      </c>
      <c r="Q697" s="49" t="s">
        <v>37</v>
      </c>
      <c r="R697" s="50" t="s">
        <v>38</v>
      </c>
      <c r="S697" s="50" t="s">
        <v>38</v>
      </c>
      <c r="T697" s="10"/>
      <c r="U697" s="17"/>
      <c r="V697" s="10"/>
      <c r="W697" s="10"/>
      <c r="X697" s="10"/>
    </row>
    <row r="698" spans="1:24">
      <c r="A698" s="2"/>
      <c r="B698" s="11"/>
      <c r="C698" s="10"/>
      <c r="D698" s="10"/>
      <c r="E698" s="74" t="s">
        <v>2530</v>
      </c>
      <c r="F698" s="75">
        <v>-189.05</v>
      </c>
      <c r="G698" s="10"/>
      <c r="H698" s="10"/>
      <c r="I698" s="10"/>
      <c r="J698" s="42"/>
      <c r="K698" s="56">
        <f>F708+F709+F729</f>
        <v>17126.7</v>
      </c>
      <c r="L698" s="57">
        <f>F710+F711+F712+F713</f>
        <v>6986.7999999999993</v>
      </c>
      <c r="M698" s="57">
        <f>F714+F715</f>
        <v>6861</v>
      </c>
      <c r="N698" s="57">
        <f>F716</f>
        <v>861</v>
      </c>
      <c r="O698" s="57">
        <f>F717+F718</f>
        <v>3503</v>
      </c>
      <c r="P698" s="57">
        <f>SUM(K698:O698)</f>
        <v>35338.5</v>
      </c>
      <c r="Q698" s="58">
        <v>0</v>
      </c>
      <c r="R698" s="59">
        <f>F730</f>
        <v>15421.5</v>
      </c>
      <c r="S698" s="59">
        <v>0</v>
      </c>
      <c r="T698" s="10"/>
      <c r="U698" s="17"/>
      <c r="V698" s="10"/>
      <c r="W698" s="10"/>
      <c r="X698" s="10"/>
    </row>
    <row r="699" spans="1:24">
      <c r="A699" s="2"/>
      <c r="B699" s="11"/>
      <c r="C699" s="10"/>
      <c r="D699" s="10"/>
      <c r="E699" s="10"/>
      <c r="F699" s="10"/>
      <c r="G699" s="10"/>
      <c r="H699" s="10"/>
      <c r="I699" s="10"/>
      <c r="J699" s="10" t="s">
        <v>42</v>
      </c>
      <c r="K699" s="63">
        <f>K691</f>
        <v>3</v>
      </c>
      <c r="L699" s="63">
        <f t="shared" ref="L699:Q700" si="130">L691</f>
        <v>4</v>
      </c>
      <c r="M699" s="63">
        <f t="shared" si="130"/>
        <v>2</v>
      </c>
      <c r="N699" s="63">
        <f t="shared" si="130"/>
        <v>1</v>
      </c>
      <c r="O699" s="63">
        <f t="shared" si="130"/>
        <v>2</v>
      </c>
      <c r="P699" s="63">
        <f t="shared" si="130"/>
        <v>12</v>
      </c>
      <c r="Q699" s="63">
        <f t="shared" si="130"/>
        <v>0</v>
      </c>
      <c r="R699" s="63"/>
      <c r="S699" s="10"/>
      <c r="T699" s="10"/>
      <c r="U699" s="17"/>
      <c r="V699" s="10"/>
      <c r="W699" s="10"/>
      <c r="X699" s="10"/>
    </row>
    <row r="700" spans="1:24">
      <c r="A700" s="2"/>
      <c r="B700" s="11"/>
      <c r="C700" s="10"/>
      <c r="D700" s="10"/>
      <c r="E700" s="10"/>
      <c r="F700" s="10"/>
      <c r="G700" s="10"/>
      <c r="H700" s="10"/>
      <c r="I700" s="10"/>
      <c r="J700" s="10" t="s">
        <v>44</v>
      </c>
      <c r="K700" s="63">
        <f>K692</f>
        <v>3</v>
      </c>
      <c r="L700" s="63">
        <f t="shared" si="130"/>
        <v>3</v>
      </c>
      <c r="M700" s="63">
        <f t="shared" si="130"/>
        <v>4</v>
      </c>
      <c r="N700" s="63">
        <f t="shared" si="130"/>
        <v>7</v>
      </c>
      <c r="O700" s="63">
        <f t="shared" si="130"/>
        <v>1</v>
      </c>
      <c r="P700" s="63">
        <f t="shared" si="130"/>
        <v>18</v>
      </c>
      <c r="Q700" s="63">
        <f t="shared" si="130"/>
        <v>0</v>
      </c>
      <c r="R700" s="63"/>
      <c r="S700" s="10"/>
      <c r="T700" s="10"/>
      <c r="U700" s="17"/>
      <c r="V700" s="10"/>
      <c r="W700" s="10"/>
      <c r="X700" s="10"/>
    </row>
    <row r="701" spans="1:24">
      <c r="A701" s="2"/>
      <c r="B701" s="11"/>
      <c r="C701" s="10"/>
      <c r="D701" s="10"/>
      <c r="E701" s="12"/>
      <c r="F701" s="76"/>
      <c r="G701" s="10"/>
      <c r="H701" s="10"/>
      <c r="I701" s="10"/>
      <c r="J701" s="10" t="s">
        <v>46</v>
      </c>
      <c r="K701" s="31">
        <f t="shared" ref="K701:Q701" si="131">K699/(K699+K700)</f>
        <v>0.5</v>
      </c>
      <c r="L701" s="31">
        <f t="shared" si="131"/>
        <v>0.5714285714285714</v>
      </c>
      <c r="M701" s="31">
        <f t="shared" si="131"/>
        <v>0.33333333333333331</v>
      </c>
      <c r="N701" s="31">
        <f t="shared" si="131"/>
        <v>0.125</v>
      </c>
      <c r="O701" s="31">
        <f t="shared" si="131"/>
        <v>0.66666666666666663</v>
      </c>
      <c r="P701" s="31">
        <f t="shared" si="131"/>
        <v>0.4</v>
      </c>
      <c r="Q701" s="31" t="e">
        <f t="shared" si="131"/>
        <v>#DIV/0!</v>
      </c>
      <c r="R701" s="63"/>
      <c r="S701" s="10"/>
      <c r="T701" s="10"/>
      <c r="U701" s="17"/>
      <c r="V701" s="10"/>
      <c r="W701" s="10"/>
      <c r="X701" s="10"/>
    </row>
    <row r="702" spans="1:24">
      <c r="A702" s="2"/>
      <c r="B702" s="11"/>
      <c r="C702" s="10"/>
      <c r="D702" s="10"/>
      <c r="E702" s="10"/>
      <c r="F702" s="10"/>
      <c r="G702" s="10"/>
      <c r="H702" s="10"/>
      <c r="I702" s="10"/>
      <c r="J702" s="10" t="s">
        <v>48</v>
      </c>
      <c r="K702" s="66">
        <f t="shared" ref="K702:Q702" si="132">K698/K699</f>
        <v>5708.9000000000005</v>
      </c>
      <c r="L702" s="66">
        <f t="shared" si="132"/>
        <v>1746.6999999999998</v>
      </c>
      <c r="M702" s="66">
        <f t="shared" si="132"/>
        <v>3430.5</v>
      </c>
      <c r="N702" s="66">
        <f t="shared" si="132"/>
        <v>861</v>
      </c>
      <c r="O702" s="66">
        <f t="shared" si="132"/>
        <v>1751.5</v>
      </c>
      <c r="P702" s="66">
        <f t="shared" si="132"/>
        <v>2944.875</v>
      </c>
      <c r="Q702" s="66" t="e">
        <f t="shared" si="132"/>
        <v>#DIV/0!</v>
      </c>
      <c r="R702" s="63"/>
      <c r="S702" s="10"/>
      <c r="T702" s="10"/>
      <c r="U702" s="17"/>
      <c r="V702" s="10"/>
      <c r="W702" s="10"/>
      <c r="X702" s="10"/>
    </row>
    <row r="703" spans="1:24">
      <c r="A703" s="2"/>
      <c r="B703" s="11"/>
      <c r="C703" s="10"/>
      <c r="D703" s="10"/>
      <c r="E703" s="10"/>
      <c r="F703" s="10"/>
      <c r="G703" s="10"/>
      <c r="H703" s="10"/>
      <c r="I703" s="10"/>
      <c r="J703" s="10"/>
      <c r="K703" s="10"/>
      <c r="L703" s="10"/>
      <c r="M703" s="10"/>
      <c r="N703" s="10"/>
      <c r="O703" s="10"/>
      <c r="P703" s="10"/>
      <c r="Q703" s="10"/>
      <c r="R703" s="10"/>
      <c r="S703" s="10"/>
      <c r="T703" s="10"/>
      <c r="U703" s="17"/>
      <c r="V703" s="10"/>
      <c r="W703" s="10"/>
      <c r="X703" s="10"/>
    </row>
    <row r="704" spans="1:24">
      <c r="A704" s="2"/>
      <c r="B704" s="11"/>
      <c r="C704" s="10"/>
      <c r="D704" s="10"/>
      <c r="E704" s="10"/>
      <c r="F704" s="10"/>
      <c r="G704" s="10"/>
      <c r="H704" s="10"/>
      <c r="I704" s="10"/>
      <c r="J704" s="10"/>
      <c r="K704" s="10"/>
      <c r="L704" s="10"/>
      <c r="M704" s="10"/>
      <c r="N704" s="10"/>
      <c r="O704" s="10"/>
      <c r="P704" s="10"/>
      <c r="Q704" s="10"/>
      <c r="R704" s="10"/>
      <c r="S704" s="10"/>
      <c r="T704" s="10"/>
      <c r="U704" s="17"/>
      <c r="V704" s="10"/>
      <c r="W704" s="10"/>
      <c r="X704" s="10"/>
    </row>
    <row r="705" spans="1:24">
      <c r="A705" s="2"/>
      <c r="B705" s="18" t="s">
        <v>51</v>
      </c>
      <c r="C705" s="14"/>
      <c r="D705" s="14"/>
      <c r="E705" s="14"/>
      <c r="F705" s="13" t="s">
        <v>52</v>
      </c>
      <c r="G705" s="14"/>
      <c r="H705" s="14"/>
      <c r="I705" s="14"/>
      <c r="J705" s="14"/>
      <c r="K705" s="13" t="s">
        <v>3</v>
      </c>
      <c r="L705" s="14"/>
      <c r="M705" s="14"/>
      <c r="N705" s="13" t="s">
        <v>4</v>
      </c>
      <c r="O705" s="14"/>
      <c r="P705" s="14"/>
      <c r="Q705" s="13" t="s">
        <v>5</v>
      </c>
      <c r="R705" s="14"/>
      <c r="S705" s="14"/>
      <c r="T705" s="18"/>
      <c r="U705" s="16" t="s">
        <v>53</v>
      </c>
      <c r="V705" s="77"/>
      <c r="W705" s="77"/>
      <c r="X705" s="77"/>
    </row>
    <row r="706" spans="1:24">
      <c r="A706" s="2"/>
      <c r="B706" s="24" t="s">
        <v>54</v>
      </c>
      <c r="C706" s="21" t="s">
        <v>55</v>
      </c>
      <c r="D706" s="21" t="s">
        <v>56</v>
      </c>
      <c r="E706" s="21" t="s">
        <v>57</v>
      </c>
      <c r="F706" s="20" t="s">
        <v>58</v>
      </c>
      <c r="G706" s="21" t="s">
        <v>59</v>
      </c>
      <c r="H706" s="21" t="s">
        <v>60</v>
      </c>
      <c r="I706" s="21" t="s">
        <v>26</v>
      </c>
      <c r="J706" s="22" t="s">
        <v>61</v>
      </c>
      <c r="K706" s="21" t="s">
        <v>8</v>
      </c>
      <c r="L706" s="21" t="s">
        <v>9</v>
      </c>
      <c r="M706" s="21" t="s">
        <v>10</v>
      </c>
      <c r="N706" s="20" t="s">
        <v>11</v>
      </c>
      <c r="O706" s="21" t="s">
        <v>12</v>
      </c>
      <c r="P706" s="22" t="s">
        <v>13</v>
      </c>
      <c r="Q706" s="21" t="s">
        <v>11</v>
      </c>
      <c r="R706" s="21" t="s">
        <v>12</v>
      </c>
      <c r="S706" s="21" t="s">
        <v>13</v>
      </c>
      <c r="T706" s="78" t="s">
        <v>14</v>
      </c>
      <c r="U706" s="30"/>
      <c r="V706" s="79" t="s">
        <v>62</v>
      </c>
      <c r="W706" s="80" t="s">
        <v>63</v>
      </c>
      <c r="X706" s="81" t="s">
        <v>64</v>
      </c>
    </row>
    <row r="707" spans="1:24">
      <c r="A707" s="2"/>
      <c r="B707" s="4" t="s">
        <v>65</v>
      </c>
      <c r="C707" s="6"/>
      <c r="D707" s="6"/>
      <c r="E707" s="6"/>
      <c r="F707" s="6"/>
      <c r="G707" s="6"/>
      <c r="H707" s="6"/>
      <c r="I707" s="82"/>
      <c r="J707" s="6"/>
      <c r="K707" s="6"/>
      <c r="L707" s="6"/>
      <c r="M707" s="6"/>
      <c r="N707" s="6"/>
      <c r="O707" s="6"/>
      <c r="P707" s="6"/>
      <c r="Q707" s="6"/>
      <c r="R707" s="6"/>
      <c r="S707" s="6"/>
      <c r="T707" s="83"/>
      <c r="U707" s="6"/>
      <c r="V707" s="84"/>
      <c r="W707" s="85"/>
      <c r="X707" s="86"/>
    </row>
    <row r="708" spans="1:24">
      <c r="A708" s="2" t="s">
        <v>1701</v>
      </c>
      <c r="B708" s="87">
        <v>1</v>
      </c>
      <c r="C708" s="274">
        <v>45894</v>
      </c>
      <c r="D708" s="327" t="s">
        <v>2531</v>
      </c>
      <c r="E708" s="276" t="s">
        <v>780</v>
      </c>
      <c r="F708" s="277">
        <v>1024.2</v>
      </c>
      <c r="G708" s="277">
        <f>39.7</f>
        <v>39.700000000000003</v>
      </c>
      <c r="H708" s="297"/>
      <c r="I708" s="278">
        <f t="shared" ref="I708:I718" si="133">F708-G708-H708</f>
        <v>984.5</v>
      </c>
      <c r="J708" s="279" t="s">
        <v>156</v>
      </c>
      <c r="K708" s="279">
        <v>1</v>
      </c>
      <c r="L708" s="279">
        <v>1</v>
      </c>
      <c r="M708" s="279">
        <v>1</v>
      </c>
      <c r="N708" s="279">
        <v>1</v>
      </c>
      <c r="O708" s="279">
        <v>1</v>
      </c>
      <c r="P708" s="279">
        <v>1</v>
      </c>
      <c r="Q708" s="279">
        <v>1</v>
      </c>
      <c r="R708" s="279">
        <v>1</v>
      </c>
      <c r="S708" s="280">
        <v>1</v>
      </c>
      <c r="T708" s="63"/>
      <c r="U708" s="10" t="s">
        <v>2532</v>
      </c>
      <c r="V708" s="90">
        <v>1126.6199999999999</v>
      </c>
      <c r="W708" s="91"/>
      <c r="X708" s="92"/>
    </row>
    <row r="709" spans="1:24">
      <c r="A709" s="2"/>
      <c r="B709" s="87">
        <f t="shared" ref="B709:B718" si="134">B708+1</f>
        <v>2</v>
      </c>
      <c r="C709" s="295">
        <v>45894</v>
      </c>
      <c r="D709" s="323">
        <v>72580</v>
      </c>
      <c r="E709" s="10" t="s">
        <v>2374</v>
      </c>
      <c r="F709" s="62">
        <v>681</v>
      </c>
      <c r="G709" s="62"/>
      <c r="H709" s="62"/>
      <c r="I709" s="324">
        <f t="shared" si="133"/>
        <v>681</v>
      </c>
      <c r="J709" s="63" t="s">
        <v>156</v>
      </c>
      <c r="K709" s="63">
        <v>1</v>
      </c>
      <c r="L709" s="63">
        <v>1</v>
      </c>
      <c r="M709" s="325">
        <v>0</v>
      </c>
      <c r="N709" s="63">
        <v>1</v>
      </c>
      <c r="O709" s="63">
        <v>1</v>
      </c>
      <c r="P709" s="63">
        <v>1</v>
      </c>
      <c r="Q709" s="63">
        <v>1</v>
      </c>
      <c r="R709" s="63">
        <v>1</v>
      </c>
      <c r="S709" s="296">
        <v>1</v>
      </c>
      <c r="T709" s="63"/>
      <c r="U709" s="10"/>
      <c r="V709" s="90">
        <v>749.1</v>
      </c>
      <c r="W709" s="91"/>
      <c r="X709" s="92"/>
    </row>
    <row r="710" spans="1:24">
      <c r="A710" s="93"/>
      <c r="B710" s="87">
        <f t="shared" si="134"/>
        <v>3</v>
      </c>
      <c r="C710" s="274">
        <v>45895</v>
      </c>
      <c r="D710" s="327">
        <v>72607</v>
      </c>
      <c r="E710" s="276" t="s">
        <v>511</v>
      </c>
      <c r="F710" s="277">
        <v>1138</v>
      </c>
      <c r="G710" s="277">
        <v>39.700000000000003</v>
      </c>
      <c r="H710" s="277"/>
      <c r="I710" s="278">
        <f t="shared" si="133"/>
        <v>1098.3</v>
      </c>
      <c r="J710" s="279" t="s">
        <v>156</v>
      </c>
      <c r="K710" s="279">
        <v>1</v>
      </c>
      <c r="L710" s="279">
        <v>1</v>
      </c>
      <c r="M710" s="279">
        <v>1</v>
      </c>
      <c r="N710" s="279">
        <v>1</v>
      </c>
      <c r="O710" s="279">
        <v>1</v>
      </c>
      <c r="P710" s="279">
        <v>1</v>
      </c>
      <c r="Q710" s="279">
        <v>1</v>
      </c>
      <c r="R710" s="279">
        <v>1</v>
      </c>
      <c r="S710" s="280">
        <v>1</v>
      </c>
      <c r="T710" s="21">
        <v>1</v>
      </c>
      <c r="U710" s="10"/>
      <c r="V710" s="90">
        <v>1251.8</v>
      </c>
      <c r="W710" s="91"/>
      <c r="X710" s="92"/>
    </row>
    <row r="711" spans="1:24">
      <c r="A711" s="2"/>
      <c r="B711" s="87">
        <f t="shared" si="134"/>
        <v>4</v>
      </c>
      <c r="C711" s="295">
        <v>45895</v>
      </c>
      <c r="D711" s="323">
        <v>72640</v>
      </c>
      <c r="E711" s="94" t="s">
        <v>2433</v>
      </c>
      <c r="F711" s="62">
        <f>2666-185</f>
        <v>2481</v>
      </c>
      <c r="G711" s="62">
        <v>39.700000000000003</v>
      </c>
      <c r="H711" s="62"/>
      <c r="I711" s="89">
        <f t="shared" si="133"/>
        <v>2441.3000000000002</v>
      </c>
      <c r="J711" s="63" t="s">
        <v>156</v>
      </c>
      <c r="K711" s="63">
        <v>1</v>
      </c>
      <c r="L711" s="63">
        <v>1</v>
      </c>
      <c r="M711" s="63">
        <v>1</v>
      </c>
      <c r="N711" s="63">
        <v>1</v>
      </c>
      <c r="O711" s="63">
        <v>1</v>
      </c>
      <c r="P711" s="63">
        <v>1</v>
      </c>
      <c r="Q711" s="63">
        <v>1</v>
      </c>
      <c r="R711" s="63">
        <v>1</v>
      </c>
      <c r="S711" s="296">
        <v>1</v>
      </c>
      <c r="T711" s="63"/>
      <c r="U711" s="10"/>
      <c r="V711" s="90">
        <f>203.5+2525.6</f>
        <v>2729.1</v>
      </c>
      <c r="W711" s="91"/>
      <c r="X711" s="92"/>
    </row>
    <row r="712" spans="1:24">
      <c r="A712" s="2"/>
      <c r="B712" s="87">
        <f t="shared" si="134"/>
        <v>5</v>
      </c>
      <c r="C712" s="295">
        <v>45895</v>
      </c>
      <c r="D712" s="323">
        <v>72650</v>
      </c>
      <c r="E712" s="10" t="s">
        <v>786</v>
      </c>
      <c r="F712" s="62">
        <v>2034.9</v>
      </c>
      <c r="G712" s="62">
        <v>39.700000000000003</v>
      </c>
      <c r="H712" s="62"/>
      <c r="I712" s="89">
        <f t="shared" si="133"/>
        <v>1995.2</v>
      </c>
      <c r="J712" s="63" t="s">
        <v>156</v>
      </c>
      <c r="K712" s="63">
        <v>1</v>
      </c>
      <c r="L712" s="63">
        <v>1</v>
      </c>
      <c r="M712" s="325">
        <v>0</v>
      </c>
      <c r="N712" s="63">
        <v>1</v>
      </c>
      <c r="O712" s="63">
        <v>1</v>
      </c>
      <c r="P712" s="63">
        <v>1</v>
      </c>
      <c r="Q712" s="63">
        <v>1</v>
      </c>
      <c r="R712" s="63">
        <v>1</v>
      </c>
      <c r="S712" s="296">
        <v>1</v>
      </c>
      <c r="T712" s="63"/>
      <c r="U712" s="10"/>
      <c r="V712" s="90">
        <v>2238.39</v>
      </c>
      <c r="W712" s="91"/>
      <c r="X712" s="92"/>
    </row>
    <row r="713" spans="1:24">
      <c r="A713" s="2"/>
      <c r="B713" s="87">
        <f t="shared" si="134"/>
        <v>6</v>
      </c>
      <c r="C713" s="295">
        <v>45895</v>
      </c>
      <c r="D713" s="323" t="s">
        <v>2533</v>
      </c>
      <c r="E713" s="10" t="s">
        <v>786</v>
      </c>
      <c r="F713" s="62">
        <v>1332.9</v>
      </c>
      <c r="G713" s="62">
        <v>39.700000000000003</v>
      </c>
      <c r="H713" s="62"/>
      <c r="I713" s="89">
        <f>F713-G713-H713</f>
        <v>1293.2</v>
      </c>
      <c r="J713" s="63" t="s">
        <v>374</v>
      </c>
      <c r="K713" s="63">
        <v>1</v>
      </c>
      <c r="L713" s="63">
        <v>1</v>
      </c>
      <c r="M713" s="63">
        <v>1</v>
      </c>
      <c r="N713" s="63">
        <v>1</v>
      </c>
      <c r="O713" s="63">
        <v>1</v>
      </c>
      <c r="P713" s="63">
        <v>1</v>
      </c>
      <c r="Q713" s="63">
        <v>1</v>
      </c>
      <c r="R713" s="63">
        <v>1</v>
      </c>
      <c r="S713" s="296">
        <v>1</v>
      </c>
      <c r="T713" s="63"/>
      <c r="U713" s="10"/>
      <c r="V713" s="90">
        <v>1466.19</v>
      </c>
      <c r="W713" s="91"/>
      <c r="X713" s="92"/>
    </row>
    <row r="714" spans="1:24">
      <c r="A714" s="2"/>
      <c r="B714" s="87">
        <f t="shared" si="134"/>
        <v>7</v>
      </c>
      <c r="C714" s="274">
        <v>45896</v>
      </c>
      <c r="D714" s="327">
        <v>72550</v>
      </c>
      <c r="E714" s="276" t="s">
        <v>1079</v>
      </c>
      <c r="F714" s="277">
        <v>1861</v>
      </c>
      <c r="G714" s="277">
        <v>39.700000000000003</v>
      </c>
      <c r="H714" s="297"/>
      <c r="I714" s="321">
        <f t="shared" si="133"/>
        <v>1821.3</v>
      </c>
      <c r="J714" s="279" t="s">
        <v>236</v>
      </c>
      <c r="K714" s="279">
        <v>1</v>
      </c>
      <c r="L714" s="322">
        <v>0</v>
      </c>
      <c r="M714" s="279">
        <v>1</v>
      </c>
      <c r="N714" s="279">
        <v>1</v>
      </c>
      <c r="O714" s="279">
        <v>1</v>
      </c>
      <c r="P714" s="279">
        <v>1</v>
      </c>
      <c r="Q714" s="279">
        <v>1</v>
      </c>
      <c r="R714" s="279">
        <v>1</v>
      </c>
      <c r="S714" s="280">
        <v>1</v>
      </c>
      <c r="T714" s="63"/>
      <c r="U714" s="10"/>
      <c r="V714" s="90">
        <v>1147.0999999999999</v>
      </c>
      <c r="W714" s="440">
        <v>900</v>
      </c>
      <c r="X714" s="92"/>
    </row>
    <row r="715" spans="1:24">
      <c r="A715" s="2"/>
      <c r="B715" s="87">
        <f t="shared" si="134"/>
        <v>8</v>
      </c>
      <c r="C715" s="295">
        <v>45896</v>
      </c>
      <c r="D715" s="323">
        <v>72678</v>
      </c>
      <c r="E715" s="10" t="s">
        <v>1013</v>
      </c>
      <c r="F715" s="62">
        <v>5000</v>
      </c>
      <c r="G715" s="62">
        <f>39.7+(1087.96)+250</f>
        <v>1377.66</v>
      </c>
      <c r="H715" s="88"/>
      <c r="I715" s="89">
        <f t="shared" si="133"/>
        <v>3622.34</v>
      </c>
      <c r="J715" s="63" t="s">
        <v>156</v>
      </c>
      <c r="K715" s="63">
        <v>1</v>
      </c>
      <c r="L715" s="63">
        <v>1</v>
      </c>
      <c r="M715" s="63">
        <v>1</v>
      </c>
      <c r="N715" s="63">
        <v>1</v>
      </c>
      <c r="O715" s="63">
        <v>1</v>
      </c>
      <c r="P715" s="63">
        <v>1</v>
      </c>
      <c r="Q715" s="63">
        <v>1</v>
      </c>
      <c r="R715" s="63">
        <v>1</v>
      </c>
      <c r="S715" s="296">
        <v>1</v>
      </c>
      <c r="T715" s="63"/>
      <c r="U715" s="10" t="s">
        <v>2534</v>
      </c>
      <c r="V715" s="90">
        <f>500+5000</f>
        <v>5500</v>
      </c>
      <c r="W715" s="91"/>
      <c r="X715" s="92"/>
    </row>
    <row r="716" spans="1:24">
      <c r="A716" s="2"/>
      <c r="B716" s="87">
        <f t="shared" si="134"/>
        <v>9</v>
      </c>
      <c r="C716" s="274">
        <v>45897</v>
      </c>
      <c r="D716" s="320">
        <v>72697</v>
      </c>
      <c r="E716" s="281" t="s">
        <v>1010</v>
      </c>
      <c r="F716" s="277">
        <v>861</v>
      </c>
      <c r="G716" s="277">
        <f>39.7</f>
        <v>39.700000000000003</v>
      </c>
      <c r="H716" s="297"/>
      <c r="I716" s="278">
        <f t="shared" si="133"/>
        <v>821.3</v>
      </c>
      <c r="J716" s="279" t="s">
        <v>156</v>
      </c>
      <c r="K716" s="279">
        <v>1</v>
      </c>
      <c r="L716" s="279">
        <v>1</v>
      </c>
      <c r="M716" s="279">
        <v>1</v>
      </c>
      <c r="N716" s="279">
        <v>1</v>
      </c>
      <c r="O716" s="279">
        <v>1</v>
      </c>
      <c r="P716" s="279">
        <v>1</v>
      </c>
      <c r="Q716" s="279">
        <v>1</v>
      </c>
      <c r="R716" s="279">
        <v>1</v>
      </c>
      <c r="S716" s="280">
        <v>1</v>
      </c>
      <c r="T716" s="21">
        <v>1</v>
      </c>
      <c r="U716" s="10"/>
      <c r="V716" s="90">
        <v>947.1</v>
      </c>
      <c r="W716" s="91"/>
      <c r="X716" s="92"/>
    </row>
    <row r="717" spans="1:24">
      <c r="A717" s="2" t="s">
        <v>2535</v>
      </c>
      <c r="B717" s="87">
        <f t="shared" si="134"/>
        <v>10</v>
      </c>
      <c r="C717" s="274">
        <v>45898</v>
      </c>
      <c r="D717" s="327">
        <v>72579</v>
      </c>
      <c r="E717" s="276" t="s">
        <v>1156</v>
      </c>
      <c r="F717" s="277">
        <v>2722</v>
      </c>
      <c r="G717" s="277">
        <f>39.7+(125.74-19.63)+200</f>
        <v>345.81</v>
      </c>
      <c r="H717" s="297"/>
      <c r="I717" s="278">
        <f t="shared" si="133"/>
        <v>2376.19</v>
      </c>
      <c r="J717" s="279" t="s">
        <v>156</v>
      </c>
      <c r="K717" s="279">
        <v>1</v>
      </c>
      <c r="L717" s="279">
        <v>1</v>
      </c>
      <c r="M717" s="322">
        <v>0</v>
      </c>
      <c r="N717" s="279">
        <v>1</v>
      </c>
      <c r="O717" s="279">
        <v>1</v>
      </c>
      <c r="P717" s="279">
        <v>1</v>
      </c>
      <c r="Q717" s="279">
        <v>1</v>
      </c>
      <c r="R717" s="279">
        <v>1</v>
      </c>
      <c r="S717" s="280">
        <v>1</v>
      </c>
      <c r="T717" s="63"/>
      <c r="U717" s="10" t="s">
        <v>2536</v>
      </c>
      <c r="V717" s="90">
        <f>299+2695.2</f>
        <v>2994.2</v>
      </c>
      <c r="W717" s="91"/>
      <c r="X717" s="92"/>
    </row>
    <row r="718" spans="1:24">
      <c r="A718" s="2"/>
      <c r="B718" s="87">
        <f t="shared" si="134"/>
        <v>11</v>
      </c>
      <c r="C718" s="282">
        <v>45898</v>
      </c>
      <c r="D718" s="368">
        <v>72770</v>
      </c>
      <c r="E718" s="283" t="s">
        <v>2537</v>
      </c>
      <c r="F718" s="423">
        <v>781</v>
      </c>
      <c r="G718" s="284">
        <f>39.7</f>
        <v>39.700000000000003</v>
      </c>
      <c r="H718" s="284"/>
      <c r="I718" s="285">
        <f t="shared" si="133"/>
        <v>741.3</v>
      </c>
      <c r="J718" s="286" t="s">
        <v>156</v>
      </c>
      <c r="K718" s="286">
        <v>1</v>
      </c>
      <c r="L718" s="286">
        <v>1</v>
      </c>
      <c r="M718" s="286">
        <v>1</v>
      </c>
      <c r="N718" s="286">
        <v>1</v>
      </c>
      <c r="O718" s="286">
        <v>1</v>
      </c>
      <c r="P718" s="286">
        <v>1</v>
      </c>
      <c r="Q718" s="286">
        <v>1</v>
      </c>
      <c r="R718" s="286">
        <v>1</v>
      </c>
      <c r="S718" s="287">
        <v>1</v>
      </c>
      <c r="T718" s="63"/>
      <c r="U718" s="10"/>
      <c r="V718" s="90">
        <v>859.1</v>
      </c>
      <c r="W718" s="91"/>
      <c r="X718" s="92"/>
    </row>
    <row r="719" spans="1:24">
      <c r="A719" s="2"/>
      <c r="B719" s="87"/>
      <c r="C719" s="36"/>
      <c r="D719" s="10"/>
      <c r="E719" s="10"/>
      <c r="F719" s="97">
        <f>SUM(F708:F718)</f>
        <v>19917</v>
      </c>
      <c r="G719" s="97">
        <f>SUM(G708:G718)</f>
        <v>2041.0700000000002</v>
      </c>
      <c r="H719" s="97">
        <f>SUM(H708:H718)</f>
        <v>0</v>
      </c>
      <c r="I719" s="98">
        <f>SUM(I708:I718)</f>
        <v>17875.929999999997</v>
      </c>
      <c r="J719" s="63"/>
      <c r="K719" s="63">
        <f>COUNT(K708:K718)</f>
        <v>11</v>
      </c>
      <c r="L719" s="63">
        <f>COUNT(L708:L718)</f>
        <v>11</v>
      </c>
      <c r="M719" s="63">
        <f>COUNT(M708:M718)</f>
        <v>11</v>
      </c>
      <c r="N719" s="63">
        <f>COUNT(N708:N718)</f>
        <v>11</v>
      </c>
      <c r="O719" s="63">
        <f>COUNT(O708:O718)</f>
        <v>11</v>
      </c>
      <c r="P719" s="63">
        <f>COUNT(P708:P718)</f>
        <v>11</v>
      </c>
      <c r="Q719" s="63">
        <f>COUNT(Q708:Q718)</f>
        <v>11</v>
      </c>
      <c r="R719" s="63">
        <f>COUNT(R708:R718)</f>
        <v>11</v>
      </c>
      <c r="S719" s="63">
        <f>COUNT(S708:S718)</f>
        <v>11</v>
      </c>
      <c r="T719" s="63"/>
      <c r="U719" s="10"/>
      <c r="V719" s="90"/>
      <c r="W719" s="91"/>
      <c r="X719" s="92"/>
    </row>
    <row r="720" spans="1:24">
      <c r="A720" s="2"/>
      <c r="B720" s="87"/>
      <c r="C720" s="36"/>
      <c r="D720" s="10"/>
      <c r="E720" s="10"/>
      <c r="F720" s="88"/>
      <c r="G720" s="88"/>
      <c r="H720" s="88"/>
      <c r="I720" s="99"/>
      <c r="J720" s="63"/>
      <c r="K720" s="21">
        <f>SUM(K708:K718)</f>
        <v>11</v>
      </c>
      <c r="L720" s="21">
        <f>SUM(L708:L718)</f>
        <v>10</v>
      </c>
      <c r="M720" s="21">
        <f>SUM(M708:M718)</f>
        <v>8</v>
      </c>
      <c r="N720" s="21">
        <f>SUM(N708:N718)</f>
        <v>11</v>
      </c>
      <c r="O720" s="21">
        <f>SUM(O708:O718)</f>
        <v>11</v>
      </c>
      <c r="P720" s="21">
        <f>SUM(P708:P718)</f>
        <v>11</v>
      </c>
      <c r="Q720" s="21">
        <f>SUM(Q708:Q718)</f>
        <v>11</v>
      </c>
      <c r="R720" s="21">
        <f>SUM(R708:R718)</f>
        <v>11</v>
      </c>
      <c r="S720" s="21">
        <f>SUM(S708:S718)</f>
        <v>11</v>
      </c>
      <c r="T720" s="63"/>
      <c r="U720" s="10"/>
      <c r="V720" s="90"/>
      <c r="W720" s="91"/>
      <c r="X720" s="92"/>
    </row>
    <row r="721" spans="1:24">
      <c r="A721" s="2"/>
      <c r="B721" s="11"/>
      <c r="C721" s="36"/>
      <c r="D721" s="10"/>
      <c r="E721" s="10"/>
      <c r="F721" s="88"/>
      <c r="G721" s="88"/>
      <c r="H721" s="88"/>
      <c r="I721" s="99"/>
      <c r="J721" s="63"/>
      <c r="K721" s="21"/>
      <c r="L721" s="21"/>
      <c r="M721" s="21"/>
      <c r="N721" s="21"/>
      <c r="O721" s="21"/>
      <c r="P721" s="21"/>
      <c r="Q721" s="21"/>
      <c r="R721" s="21"/>
      <c r="S721" s="21"/>
      <c r="T721" s="63"/>
      <c r="U721" s="94"/>
      <c r="V721" s="90"/>
      <c r="W721" s="91"/>
      <c r="X721" s="92"/>
    </row>
    <row r="722" spans="1:24">
      <c r="A722" s="2"/>
      <c r="B722" s="100" t="s">
        <v>67</v>
      </c>
      <c r="C722" s="36"/>
      <c r="D722" s="10"/>
      <c r="E722" s="10"/>
      <c r="F722" s="88"/>
      <c r="G722" s="62"/>
      <c r="H722" s="88"/>
      <c r="I722" s="99"/>
      <c r="J722" s="63"/>
      <c r="K722" s="2"/>
      <c r="L722" s="2"/>
      <c r="M722" s="2"/>
      <c r="N722" s="2"/>
      <c r="O722" s="2"/>
      <c r="P722" s="2"/>
      <c r="Q722" s="2"/>
      <c r="R722" s="2"/>
      <c r="S722" s="2"/>
      <c r="T722" s="63"/>
      <c r="U722" s="94"/>
      <c r="V722" s="90"/>
      <c r="W722" s="91"/>
      <c r="X722" s="92"/>
    </row>
    <row r="723" spans="1:24">
      <c r="A723" s="261" t="s">
        <v>1633</v>
      </c>
      <c r="B723" s="87">
        <v>1</v>
      </c>
      <c r="C723" s="274">
        <v>45833</v>
      </c>
      <c r="D723" s="327">
        <v>71012</v>
      </c>
      <c r="E723" s="281" t="s">
        <v>317</v>
      </c>
      <c r="F723" s="277">
        <v>5232.6000000000004</v>
      </c>
      <c r="G723" s="277">
        <f>39.7+(24.15+1060.54)+250</f>
        <v>1374.39</v>
      </c>
      <c r="H723" s="277"/>
      <c r="I723" s="321">
        <f>F723-G723-H723</f>
        <v>3858.21</v>
      </c>
      <c r="J723" s="279" t="s">
        <v>156</v>
      </c>
      <c r="K723" s="279">
        <v>1</v>
      </c>
      <c r="L723" s="279">
        <v>1</v>
      </c>
      <c r="M723" s="279">
        <v>1</v>
      </c>
      <c r="N723" s="279">
        <v>1</v>
      </c>
      <c r="O723" s="279">
        <v>1</v>
      </c>
      <c r="P723" s="322">
        <v>0</v>
      </c>
      <c r="Q723" s="322">
        <v>0</v>
      </c>
      <c r="R723" s="322">
        <v>0</v>
      </c>
      <c r="S723" s="328">
        <v>0</v>
      </c>
      <c r="T723" s="63"/>
      <c r="U723" s="10" t="s">
        <v>2370</v>
      </c>
      <c r="V723" s="90">
        <f>1880.86</f>
        <v>1880.86</v>
      </c>
      <c r="W723" s="91"/>
      <c r="X723" s="92"/>
    </row>
    <row r="724" spans="1:24">
      <c r="A724" s="261" t="s">
        <v>2538</v>
      </c>
      <c r="B724" s="87">
        <f>B723+1</f>
        <v>2</v>
      </c>
      <c r="C724" s="262">
        <v>45882</v>
      </c>
      <c r="D724" s="263">
        <v>72290</v>
      </c>
      <c r="E724" s="271" t="s">
        <v>1731</v>
      </c>
      <c r="F724" s="265">
        <v>8641.2999999999993</v>
      </c>
      <c r="G724" s="265">
        <f>39.7+(91.25)+750</f>
        <v>880.95</v>
      </c>
      <c r="H724" s="265"/>
      <c r="I724" s="272">
        <f>F724-G724-H724</f>
        <v>7760.3499999999995</v>
      </c>
      <c r="J724" s="267" t="s">
        <v>228</v>
      </c>
      <c r="K724" s="267">
        <v>1</v>
      </c>
      <c r="L724" s="267">
        <v>1</v>
      </c>
      <c r="M724" s="267">
        <v>1</v>
      </c>
      <c r="N724" s="267">
        <v>1</v>
      </c>
      <c r="O724" s="267">
        <v>1</v>
      </c>
      <c r="P724" s="267">
        <v>1</v>
      </c>
      <c r="Q724" s="267">
        <v>1</v>
      </c>
      <c r="R724" s="267">
        <v>1</v>
      </c>
      <c r="S724" s="269">
        <v>1</v>
      </c>
      <c r="T724" s="63"/>
      <c r="U724" s="94" t="s">
        <v>2514</v>
      </c>
      <c r="V724" s="90"/>
      <c r="W724" s="136"/>
      <c r="X724" s="137"/>
    </row>
    <row r="725" spans="1:24" s="381" customFormat="1">
      <c r="A725" s="371" t="s">
        <v>249</v>
      </c>
      <c r="B725" s="372">
        <f>B742+1</f>
        <v>3</v>
      </c>
      <c r="C725" s="373">
        <v>45890</v>
      </c>
      <c r="D725" s="357" t="s">
        <v>2512</v>
      </c>
      <c r="E725" s="391" t="s">
        <v>737</v>
      </c>
      <c r="F725" s="375">
        <f>4533-614.1-588.3</f>
        <v>3330.6000000000004</v>
      </c>
      <c r="G725" s="375">
        <f>39.7+(2366.47)+250</f>
        <v>2656.1699999999996</v>
      </c>
      <c r="H725" s="375"/>
      <c r="I725" s="376">
        <f>F725-G725-H725</f>
        <v>674.43000000000075</v>
      </c>
      <c r="J725" s="314" t="s">
        <v>156</v>
      </c>
      <c r="K725" s="314">
        <v>1</v>
      </c>
      <c r="L725" s="314">
        <v>1</v>
      </c>
      <c r="M725" s="314">
        <v>1</v>
      </c>
      <c r="N725" s="314">
        <v>1</v>
      </c>
      <c r="O725" s="314">
        <v>1</v>
      </c>
      <c r="P725" s="314">
        <v>1</v>
      </c>
      <c r="Q725" s="314">
        <v>0</v>
      </c>
      <c r="R725" s="314">
        <v>0</v>
      </c>
      <c r="S725" s="366">
        <v>0</v>
      </c>
      <c r="T725" s="325"/>
      <c r="U725" s="430" t="s">
        <v>2539</v>
      </c>
      <c r="V725" s="377"/>
      <c r="W725" s="392"/>
      <c r="X725" s="379"/>
    </row>
    <row r="726" spans="1:24">
      <c r="A726" s="2"/>
      <c r="B726" s="11"/>
      <c r="C726" s="36"/>
      <c r="D726" s="10"/>
      <c r="E726" s="10"/>
      <c r="F726" s="97">
        <f>SUM(F723:F725)</f>
        <v>17204.5</v>
      </c>
      <c r="G726" s="97">
        <f>SUM(G723:G725)</f>
        <v>4911.51</v>
      </c>
      <c r="H726" s="97">
        <f>SUM(H723:H725)</f>
        <v>0</v>
      </c>
      <c r="I726" s="98">
        <f>SUM(I723:I725)</f>
        <v>12292.99</v>
      </c>
      <c r="J726" s="63"/>
      <c r="K726" s="21"/>
      <c r="L726" s="21"/>
      <c r="M726" s="21"/>
      <c r="N726" s="21"/>
      <c r="O726" s="21"/>
      <c r="P726" s="21"/>
      <c r="Q726" s="21"/>
      <c r="R726" s="21"/>
      <c r="S726" s="21"/>
      <c r="T726" s="63"/>
      <c r="U726" s="94"/>
      <c r="V726" s="90"/>
      <c r="W726" s="91"/>
      <c r="X726" s="92"/>
    </row>
    <row r="727" spans="1:24">
      <c r="A727" s="2"/>
      <c r="B727" s="11"/>
      <c r="C727" s="36"/>
      <c r="D727" s="10"/>
      <c r="E727" s="10"/>
      <c r="F727" s="88"/>
      <c r="G727" s="88"/>
      <c r="H727" s="88"/>
      <c r="I727" s="99"/>
      <c r="J727" s="63"/>
      <c r="K727" s="21"/>
      <c r="L727" s="21"/>
      <c r="M727" s="21"/>
      <c r="N727" s="21"/>
      <c r="O727" s="21"/>
      <c r="P727" s="21"/>
      <c r="Q727" s="21"/>
      <c r="R727" s="21"/>
      <c r="S727" s="21"/>
      <c r="T727" s="63"/>
      <c r="U727" s="94"/>
      <c r="V727" s="90"/>
      <c r="W727" s="91"/>
      <c r="X727" s="92"/>
    </row>
    <row r="728" spans="1:24">
      <c r="A728" s="128"/>
      <c r="B728" s="121" t="s">
        <v>68</v>
      </c>
      <c r="C728" s="122"/>
      <c r="D728" s="123"/>
      <c r="E728" s="123"/>
      <c r="F728" s="124"/>
      <c r="G728" s="125"/>
      <c r="H728" s="124"/>
      <c r="I728" s="126"/>
      <c r="J728" s="127"/>
      <c r="K728" s="128"/>
      <c r="L728" s="128"/>
      <c r="M728" s="128"/>
      <c r="N728" s="128"/>
      <c r="O728" s="128"/>
      <c r="P728" s="128"/>
      <c r="Q728" s="128"/>
      <c r="R728" s="128"/>
      <c r="S728" s="128"/>
      <c r="T728" s="127"/>
      <c r="U728" s="123"/>
      <c r="V728" s="129"/>
      <c r="W728" s="130"/>
      <c r="X728" s="131"/>
    </row>
    <row r="729" spans="1:24" s="342" customFormat="1">
      <c r="A729" s="356">
        <v>0.05</v>
      </c>
      <c r="B729" s="333">
        <v>1</v>
      </c>
      <c r="C729" s="350">
        <v>45894</v>
      </c>
      <c r="D729" s="263" t="s">
        <v>2540</v>
      </c>
      <c r="E729" s="358" t="s">
        <v>780</v>
      </c>
      <c r="F729" s="352">
        <v>15421.5</v>
      </c>
      <c r="G729" s="352">
        <f>39.7+596.8+52.8+(47.03+38.86+165.2)+(216.39)+1500</f>
        <v>2656.7799999999997</v>
      </c>
      <c r="H729" s="352"/>
      <c r="I729" s="353">
        <f>F729-G729-H729</f>
        <v>12764.720000000001</v>
      </c>
      <c r="J729" s="354" t="s">
        <v>156</v>
      </c>
      <c r="K729" s="354">
        <v>1</v>
      </c>
      <c r="L729" s="354">
        <v>1</v>
      </c>
      <c r="M729" s="354">
        <v>1</v>
      </c>
      <c r="N729" s="354">
        <v>1</v>
      </c>
      <c r="O729" s="354">
        <v>1</v>
      </c>
      <c r="P729" s="354">
        <v>1</v>
      </c>
      <c r="Q729" s="354">
        <v>1</v>
      </c>
      <c r="R729" s="354">
        <v>1</v>
      </c>
      <c r="S729" s="355">
        <v>1</v>
      </c>
      <c r="T729" s="64">
        <v>1</v>
      </c>
      <c r="U729" s="135" t="s">
        <v>2541</v>
      </c>
      <c r="V729" s="129">
        <f>1696</f>
        <v>1696</v>
      </c>
      <c r="W729" s="130"/>
      <c r="X729" s="131"/>
    </row>
    <row r="730" spans="1:24">
      <c r="A730" s="128"/>
      <c r="B730" s="132"/>
      <c r="C730" s="122"/>
      <c r="D730" s="123"/>
      <c r="E730" s="123"/>
      <c r="F730" s="134">
        <f>SUM(F729:F729)</f>
        <v>15421.5</v>
      </c>
      <c r="G730" s="134">
        <f>SUM(G729:G729)</f>
        <v>2656.7799999999997</v>
      </c>
      <c r="H730" s="134">
        <f>SUM(H729:H729)</f>
        <v>0</v>
      </c>
      <c r="I730" s="134">
        <f>SUM(I729:I729)</f>
        <v>12764.720000000001</v>
      </c>
      <c r="J730" s="127"/>
      <c r="K730" s="64"/>
      <c r="L730" s="64"/>
      <c r="M730" s="64"/>
      <c r="N730" s="64"/>
      <c r="O730" s="64"/>
      <c r="P730" s="64"/>
      <c r="Q730" s="64"/>
      <c r="R730" s="64"/>
      <c r="S730" s="64"/>
      <c r="T730" s="127"/>
      <c r="U730" s="123"/>
      <c r="V730" s="129"/>
      <c r="W730" s="130"/>
      <c r="X730" s="131"/>
    </row>
    <row r="731" spans="1:24">
      <c r="A731" s="2"/>
      <c r="B731" s="11"/>
      <c r="C731" s="36"/>
      <c r="D731" s="10"/>
      <c r="E731" s="10"/>
      <c r="F731" s="88"/>
      <c r="G731" s="88"/>
      <c r="H731" s="88"/>
      <c r="I731" s="99"/>
      <c r="J731" s="63"/>
      <c r="K731" s="21"/>
      <c r="L731" s="21"/>
      <c r="M731" s="21"/>
      <c r="N731" s="21"/>
      <c r="O731" s="21"/>
      <c r="P731" s="21"/>
      <c r="Q731" s="21"/>
      <c r="R731" s="21"/>
      <c r="S731" s="21"/>
      <c r="T731" s="63"/>
      <c r="U731" s="94"/>
      <c r="V731" s="90"/>
      <c r="W731" s="91"/>
      <c r="X731" s="92"/>
    </row>
    <row r="732" spans="1:24" s="260" customFormat="1">
      <c r="B732" s="100" t="s">
        <v>152</v>
      </c>
      <c r="C732" s="270"/>
      <c r="D732" s="10"/>
      <c r="E732" s="101"/>
      <c r="F732" s="88"/>
      <c r="G732" s="62"/>
      <c r="H732" s="88"/>
      <c r="I732" s="99"/>
      <c r="J732" s="63"/>
      <c r="K732" s="181"/>
      <c r="L732" s="181"/>
      <c r="M732" s="181"/>
      <c r="N732" s="181"/>
      <c r="O732" s="181"/>
      <c r="P732" s="181"/>
      <c r="Q732" s="181"/>
      <c r="R732" s="181"/>
      <c r="S732" s="181"/>
      <c r="T732" s="63"/>
      <c r="U732" s="10"/>
      <c r="V732" s="90"/>
      <c r="W732" s="91"/>
      <c r="X732" s="92"/>
    </row>
    <row r="733" spans="1:24" s="260" customFormat="1">
      <c r="A733" s="261" t="s">
        <v>619</v>
      </c>
      <c r="B733" s="87">
        <v>1</v>
      </c>
      <c r="C733" s="262">
        <v>45833</v>
      </c>
      <c r="D733" s="263">
        <v>71028</v>
      </c>
      <c r="E733" s="271" t="s">
        <v>659</v>
      </c>
      <c r="F733" s="265">
        <v>2164</v>
      </c>
      <c r="G733" s="265">
        <v>39.700000000000003</v>
      </c>
      <c r="H733" s="265"/>
      <c r="I733" s="272">
        <f>F733-G733-H733</f>
        <v>2124.3000000000002</v>
      </c>
      <c r="J733" s="267"/>
      <c r="K733" s="267">
        <v>1</v>
      </c>
      <c r="L733" s="267">
        <v>1</v>
      </c>
      <c r="M733" s="267"/>
      <c r="N733" s="267">
        <v>1</v>
      </c>
      <c r="O733" s="267">
        <v>1</v>
      </c>
      <c r="P733" s="267">
        <v>1</v>
      </c>
      <c r="Q733" s="267">
        <v>1</v>
      </c>
      <c r="R733" s="267">
        <v>1</v>
      </c>
      <c r="S733" s="269">
        <v>1</v>
      </c>
      <c r="T733" s="63"/>
      <c r="U733" s="10"/>
      <c r="V733" s="90"/>
      <c r="W733" s="91"/>
      <c r="X733" s="92"/>
    </row>
    <row r="734" spans="1:24" s="260" customFormat="1">
      <c r="A734" s="494">
        <v>0.05</v>
      </c>
      <c r="B734" s="87">
        <f t="shared" ref="B734:B737" si="135">B733+1</f>
        <v>2</v>
      </c>
      <c r="C734" s="282">
        <v>45867</v>
      </c>
      <c r="D734" s="368">
        <v>71860</v>
      </c>
      <c r="E734" s="283" t="s">
        <v>426</v>
      </c>
      <c r="F734" s="284">
        <f>2346-85</f>
        <v>2261</v>
      </c>
      <c r="G734" s="284">
        <f>39.7+200</f>
        <v>239.7</v>
      </c>
      <c r="H734" s="284"/>
      <c r="I734" s="285">
        <f>F734-G734-H734</f>
        <v>2021.3</v>
      </c>
      <c r="J734" s="286" t="s">
        <v>156</v>
      </c>
      <c r="K734" s="286">
        <v>1</v>
      </c>
      <c r="L734" s="286">
        <v>1</v>
      </c>
      <c r="M734" s="286">
        <v>1</v>
      </c>
      <c r="N734" s="286">
        <v>1</v>
      </c>
      <c r="O734" s="286">
        <v>1</v>
      </c>
      <c r="P734" s="286">
        <v>1</v>
      </c>
      <c r="Q734" s="286">
        <v>1</v>
      </c>
      <c r="R734" s="286">
        <v>1</v>
      </c>
      <c r="S734" s="287">
        <v>1</v>
      </c>
      <c r="T734" s="63"/>
      <c r="U734" s="10" t="s">
        <v>2438</v>
      </c>
      <c r="V734" s="90"/>
      <c r="W734" s="91"/>
      <c r="X734" s="92"/>
    </row>
    <row r="735" spans="1:24" s="260" customFormat="1">
      <c r="A735" s="261">
        <v>0.05</v>
      </c>
      <c r="B735" s="87">
        <f t="shared" si="135"/>
        <v>3</v>
      </c>
      <c r="C735" s="274">
        <v>45880</v>
      </c>
      <c r="D735" s="320" t="s">
        <v>2475</v>
      </c>
      <c r="E735" s="281" t="s">
        <v>294</v>
      </c>
      <c r="F735" s="277">
        <v>1542</v>
      </c>
      <c r="G735" s="277">
        <f>39.7</f>
        <v>39.700000000000003</v>
      </c>
      <c r="H735" s="277"/>
      <c r="I735" s="278">
        <f t="shared" ref="I735" si="136">F735-G735-H735</f>
        <v>1502.3</v>
      </c>
      <c r="J735" s="279" t="s">
        <v>156</v>
      </c>
      <c r="K735" s="279">
        <v>1</v>
      </c>
      <c r="L735" s="322">
        <v>0</v>
      </c>
      <c r="M735" s="279">
        <v>1</v>
      </c>
      <c r="N735" s="279">
        <v>1</v>
      </c>
      <c r="O735" s="279">
        <v>1</v>
      </c>
      <c r="P735" s="279">
        <v>1</v>
      </c>
      <c r="Q735" s="279">
        <v>1</v>
      </c>
      <c r="R735" s="279">
        <v>1</v>
      </c>
      <c r="S735" s="280">
        <v>1</v>
      </c>
      <c r="T735" s="63"/>
      <c r="U735" s="10" t="s">
        <v>2476</v>
      </c>
      <c r="V735" s="90"/>
      <c r="W735" s="91"/>
      <c r="X735" s="92"/>
    </row>
    <row r="736" spans="1:24" s="260" customFormat="1">
      <c r="A736" s="261">
        <v>0.05</v>
      </c>
      <c r="B736" s="87">
        <f t="shared" si="135"/>
        <v>4</v>
      </c>
      <c r="C736" s="262">
        <v>45883</v>
      </c>
      <c r="D736" s="263">
        <v>72318</v>
      </c>
      <c r="E736" s="271" t="s">
        <v>813</v>
      </c>
      <c r="F736" s="265">
        <v>6841</v>
      </c>
      <c r="G736" s="265">
        <f>39.7+1752.3+(58.93+886.83+38.72+967.64-8.66+46.62)+250</f>
        <v>4032.08</v>
      </c>
      <c r="H736" s="265">
        <f>F736*0.2</f>
        <v>1368.2</v>
      </c>
      <c r="I736" s="272">
        <f>F736-G736-H736</f>
        <v>1440.72</v>
      </c>
      <c r="J736" s="267" t="s">
        <v>185</v>
      </c>
      <c r="K736" s="267">
        <v>1</v>
      </c>
      <c r="L736" s="267">
        <v>1</v>
      </c>
      <c r="M736" s="267">
        <v>1</v>
      </c>
      <c r="N736" s="267">
        <v>1</v>
      </c>
      <c r="O736" s="267">
        <v>1</v>
      </c>
      <c r="P736" s="267">
        <v>1</v>
      </c>
      <c r="Q736" s="267">
        <v>1</v>
      </c>
      <c r="R736" s="267">
        <v>1</v>
      </c>
      <c r="S736" s="269">
        <v>1</v>
      </c>
      <c r="T736" s="63"/>
      <c r="U736" s="94" t="s">
        <v>2515</v>
      </c>
      <c r="V736" s="90"/>
      <c r="W736" s="136"/>
      <c r="X736" s="137"/>
    </row>
    <row r="737" spans="1:24" s="260" customFormat="1">
      <c r="A737" s="261" t="s">
        <v>2542</v>
      </c>
      <c r="B737" s="87">
        <f t="shared" si="135"/>
        <v>5</v>
      </c>
      <c r="C737" s="262">
        <v>45890</v>
      </c>
      <c r="D737" s="263">
        <v>72465</v>
      </c>
      <c r="E737" s="264" t="s">
        <v>162</v>
      </c>
      <c r="F737" s="265">
        <v>1281</v>
      </c>
      <c r="G737" s="265">
        <v>39.700000000000003</v>
      </c>
      <c r="H737" s="265"/>
      <c r="I737" s="272">
        <f t="shared" ref="I737" si="137">F737-G737-H737</f>
        <v>1241.3</v>
      </c>
      <c r="J737" s="267" t="s">
        <v>374</v>
      </c>
      <c r="K737" s="267">
        <v>1</v>
      </c>
      <c r="L737" s="267">
        <v>1</v>
      </c>
      <c r="M737" s="267">
        <v>1</v>
      </c>
      <c r="N737" s="267">
        <v>1</v>
      </c>
      <c r="O737" s="267">
        <v>1</v>
      </c>
      <c r="P737" s="267">
        <v>1</v>
      </c>
      <c r="Q737" s="267">
        <v>1</v>
      </c>
      <c r="R737" s="267">
        <v>1</v>
      </c>
      <c r="S737" s="269">
        <v>1</v>
      </c>
      <c r="T737" s="63"/>
      <c r="U737" s="10"/>
      <c r="V737" s="90"/>
      <c r="W737" s="91"/>
      <c r="X737" s="92"/>
    </row>
    <row r="738" spans="1:24" s="260" customFormat="1">
      <c r="B738" s="11"/>
      <c r="C738" s="270"/>
      <c r="D738" s="10"/>
      <c r="E738" s="10"/>
      <c r="F738" s="97">
        <f>SUM(F723:F737)</f>
        <v>79341</v>
      </c>
      <c r="G738" s="97">
        <f>SUM(G723:G737)</f>
        <v>19527.460000000003</v>
      </c>
      <c r="H738" s="97">
        <f>SUM(H723:H737)</f>
        <v>1368.2</v>
      </c>
      <c r="I738" s="97">
        <f>SUM(I723:I737)</f>
        <v>58445.340000000011</v>
      </c>
      <c r="J738" s="63"/>
      <c r="K738" s="21"/>
      <c r="L738" s="21"/>
      <c r="M738" s="21"/>
      <c r="N738" s="21"/>
      <c r="O738" s="21"/>
      <c r="P738" s="21"/>
      <c r="Q738" s="21"/>
      <c r="R738" s="21"/>
      <c r="S738" s="21"/>
      <c r="T738" s="63"/>
      <c r="U738" s="10"/>
      <c r="V738" s="90"/>
      <c r="W738" s="91"/>
      <c r="X738" s="92"/>
    </row>
    <row r="739" spans="1:24" s="260" customFormat="1">
      <c r="B739" s="11"/>
      <c r="C739" s="270"/>
      <c r="D739" s="10"/>
      <c r="E739" s="10"/>
      <c r="F739" s="88"/>
      <c r="G739" s="88"/>
      <c r="H739" s="88"/>
      <c r="I739" s="99"/>
      <c r="J739" s="63"/>
      <c r="K739" s="21"/>
      <c r="L739" s="21"/>
      <c r="M739" s="21"/>
      <c r="N739" s="21"/>
      <c r="O739" s="21"/>
      <c r="P739" s="21"/>
      <c r="Q739" s="21"/>
      <c r="R739" s="21"/>
      <c r="S739" s="21"/>
      <c r="T739" s="63"/>
      <c r="U739" s="10"/>
      <c r="V739" s="90"/>
      <c r="W739" s="91"/>
      <c r="X739" s="92"/>
    </row>
    <row r="740" spans="1:24" s="260" customFormat="1">
      <c r="B740" s="100" t="s">
        <v>202</v>
      </c>
      <c r="C740" s="270"/>
      <c r="D740" s="10"/>
      <c r="E740" s="181"/>
      <c r="F740" s="88"/>
      <c r="G740" s="88"/>
      <c r="H740" s="88"/>
      <c r="I740" s="99"/>
      <c r="J740" s="63"/>
      <c r="K740" s="21"/>
      <c r="L740" s="21"/>
      <c r="M740" s="21"/>
      <c r="N740" s="21"/>
      <c r="O740" s="21"/>
      <c r="P740" s="21"/>
      <c r="Q740" s="21"/>
      <c r="R740" s="21"/>
      <c r="S740" s="21"/>
      <c r="T740" s="63"/>
      <c r="U740" s="10"/>
      <c r="V740" s="90"/>
      <c r="W740" s="91"/>
      <c r="X740" s="92"/>
    </row>
    <row r="741" spans="1:24" s="260" customFormat="1">
      <c r="A741" s="261">
        <v>0.05</v>
      </c>
      <c r="B741" s="87">
        <v>1</v>
      </c>
      <c r="C741" s="262">
        <v>45790</v>
      </c>
      <c r="D741" s="357" t="s">
        <v>2339</v>
      </c>
      <c r="E741" s="271" t="s">
        <v>225</v>
      </c>
      <c r="F741" s="265">
        <v>8614</v>
      </c>
      <c r="G741" s="265">
        <f>39.7+(143.54)+(86.25+50.9)+750</f>
        <v>1070.3899999999999</v>
      </c>
      <c r="H741" s="265"/>
      <c r="I741" s="272">
        <f>F741-G741-H741</f>
        <v>7543.6100000000006</v>
      </c>
      <c r="J741" s="267"/>
      <c r="K741" s="267">
        <v>1</v>
      </c>
      <c r="L741" s="267"/>
      <c r="M741" s="267"/>
      <c r="N741" s="267">
        <v>1</v>
      </c>
      <c r="O741" s="267">
        <v>1</v>
      </c>
      <c r="P741" s="267">
        <v>1</v>
      </c>
      <c r="Q741" s="267"/>
      <c r="R741" s="267"/>
      <c r="S741" s="269"/>
      <c r="T741" s="63"/>
      <c r="U741" s="10" t="s">
        <v>2340</v>
      </c>
      <c r="V741" s="90"/>
      <c r="W741" s="136"/>
      <c r="X741" s="137"/>
    </row>
    <row r="742" spans="1:24" s="260" customFormat="1">
      <c r="A742" s="261">
        <v>0.05</v>
      </c>
      <c r="B742" s="87">
        <f>B741+1</f>
        <v>2</v>
      </c>
      <c r="C742" s="262">
        <v>45863</v>
      </c>
      <c r="D742" s="263" t="s">
        <v>2406</v>
      </c>
      <c r="E742" s="271" t="s">
        <v>2398</v>
      </c>
      <c r="F742" s="265">
        <v>14218</v>
      </c>
      <c r="G742" s="265">
        <f>39.7+487.5+(78.82+18.7+38.9+17.61+45.74)+(21.28)+1000</f>
        <v>1748.25</v>
      </c>
      <c r="H742" s="265"/>
      <c r="I742" s="272">
        <f>F742-G742-H742</f>
        <v>12469.75</v>
      </c>
      <c r="J742" s="267" t="s">
        <v>156</v>
      </c>
      <c r="K742" s="267">
        <v>1</v>
      </c>
      <c r="L742" s="267"/>
      <c r="M742" s="267">
        <v>1</v>
      </c>
      <c r="N742" s="267">
        <v>1</v>
      </c>
      <c r="O742" s="267">
        <v>1</v>
      </c>
      <c r="P742" s="267">
        <v>1</v>
      </c>
      <c r="Q742" s="267"/>
      <c r="R742" s="267"/>
      <c r="S742" s="269"/>
      <c r="T742" s="63"/>
      <c r="U742" s="94" t="s">
        <v>2407</v>
      </c>
      <c r="V742" s="90"/>
      <c r="W742" s="136"/>
      <c r="X742" s="137"/>
    </row>
    <row r="743" spans="1:24" s="260" customFormat="1">
      <c r="A743" s="260" t="s">
        <v>2347</v>
      </c>
      <c r="B743" s="11"/>
      <c r="C743" s="270"/>
      <c r="D743" s="10"/>
      <c r="E743" s="10"/>
      <c r="F743" s="97">
        <f>SUM(F741:F742)</f>
        <v>22832</v>
      </c>
      <c r="G743" s="97">
        <f>SUM(G741:G742)</f>
        <v>2818.64</v>
      </c>
      <c r="H743" s="97">
        <f>SUM(H741:H742)</f>
        <v>0</v>
      </c>
      <c r="I743" s="97">
        <f>SUM(I741:I742)</f>
        <v>20013.36</v>
      </c>
      <c r="J743" s="63"/>
      <c r="K743" s="21"/>
      <c r="L743" s="21"/>
      <c r="M743" s="21"/>
      <c r="N743" s="21"/>
      <c r="O743" s="21"/>
      <c r="P743" s="21"/>
      <c r="Q743" s="21"/>
      <c r="R743" s="21"/>
      <c r="S743" s="21"/>
      <c r="T743" s="63"/>
      <c r="V743" s="90"/>
      <c r="W743" s="91"/>
      <c r="X743" s="92"/>
    </row>
    <row r="744" spans="1:24" s="260" customFormat="1">
      <c r="B744" s="11"/>
      <c r="C744" s="270"/>
      <c r="D744" s="10"/>
      <c r="E744" s="10"/>
      <c r="F744" s="88"/>
      <c r="G744" s="88"/>
      <c r="H744" s="88"/>
      <c r="I744" s="88"/>
      <c r="J744" s="63"/>
      <c r="K744" s="21"/>
      <c r="L744" s="21"/>
      <c r="M744" s="21"/>
      <c r="N744" s="21"/>
      <c r="O744" s="21"/>
      <c r="P744" s="21"/>
      <c r="Q744" s="21"/>
      <c r="R744" s="21"/>
      <c r="S744" s="21"/>
      <c r="T744" s="63"/>
      <c r="U744" s="10"/>
      <c r="V744" s="90"/>
      <c r="W744" s="91"/>
      <c r="X744" s="92"/>
    </row>
    <row r="745" spans="1:24">
      <c r="A745" s="2"/>
      <c r="B745" s="100" t="s">
        <v>72</v>
      </c>
      <c r="C745" s="36"/>
      <c r="D745" s="10"/>
      <c r="E745" s="10"/>
      <c r="F745" s="88"/>
      <c r="G745" s="88"/>
      <c r="H745" s="88"/>
      <c r="I745" s="99"/>
      <c r="J745" s="63"/>
      <c r="K745" s="63"/>
      <c r="L745" s="63"/>
      <c r="M745" s="63"/>
      <c r="N745" s="63"/>
      <c r="O745" s="63"/>
      <c r="P745" s="63"/>
      <c r="Q745" s="63"/>
      <c r="R745" s="63"/>
      <c r="S745" s="63"/>
      <c r="T745" s="63"/>
      <c r="U745" s="10"/>
      <c r="V745" s="90"/>
      <c r="W745" s="91"/>
      <c r="X745" s="92"/>
    </row>
    <row r="746" spans="1:24">
      <c r="A746" s="2"/>
      <c r="B746" s="87">
        <v>1</v>
      </c>
      <c r="C746" s="274">
        <v>45894</v>
      </c>
      <c r="D746" s="276">
        <v>72575</v>
      </c>
      <c r="E746" s="276" t="s">
        <v>187</v>
      </c>
      <c r="F746" s="277">
        <v>481</v>
      </c>
      <c r="G746" s="277"/>
      <c r="H746" s="277"/>
      <c r="I746" s="278">
        <f t="shared" ref="I746:I763" si="138">F746-G746-H746</f>
        <v>481</v>
      </c>
      <c r="J746" s="279" t="s">
        <v>205</v>
      </c>
      <c r="K746" s="279">
        <v>1</v>
      </c>
      <c r="L746" s="279"/>
      <c r="M746" s="279"/>
      <c r="N746" s="279">
        <v>1</v>
      </c>
      <c r="O746" s="279"/>
      <c r="P746" s="279"/>
      <c r="Q746" s="279">
        <v>1</v>
      </c>
      <c r="R746" s="279">
        <v>1</v>
      </c>
      <c r="S746" s="280">
        <v>1</v>
      </c>
      <c r="T746" s="63"/>
      <c r="U746" s="3"/>
      <c r="V746" s="90"/>
      <c r="W746" s="91"/>
      <c r="X746" s="92"/>
    </row>
    <row r="747" spans="1:24">
      <c r="A747" s="2"/>
      <c r="B747" s="87">
        <f t="shared" ref="B747:B761" si="139">B746+1</f>
        <v>2</v>
      </c>
      <c r="C747" s="295">
        <v>45894</v>
      </c>
      <c r="D747" s="10">
        <v>72598</v>
      </c>
      <c r="E747" s="10" t="s">
        <v>991</v>
      </c>
      <c r="F747" s="62">
        <v>0</v>
      </c>
      <c r="G747" s="62">
        <v>0</v>
      </c>
      <c r="H747" s="62"/>
      <c r="I747" s="89">
        <f t="shared" si="138"/>
        <v>0</v>
      </c>
      <c r="J747" s="63" t="s">
        <v>205</v>
      </c>
      <c r="K747" s="63">
        <v>1</v>
      </c>
      <c r="L747" s="63"/>
      <c r="M747" s="63"/>
      <c r="N747" s="63"/>
      <c r="O747" s="63"/>
      <c r="P747" s="63"/>
      <c r="Q747" s="63">
        <v>1</v>
      </c>
      <c r="R747" s="63">
        <v>1</v>
      </c>
      <c r="S747" s="296"/>
      <c r="T747" s="21">
        <v>1</v>
      </c>
      <c r="U747" s="10"/>
      <c r="V747" s="90"/>
      <c r="W747" s="136"/>
      <c r="X747" s="137"/>
    </row>
    <row r="748" spans="1:24">
      <c r="A748" s="2"/>
      <c r="B748" s="87">
        <f t="shared" si="139"/>
        <v>3</v>
      </c>
      <c r="C748" s="295">
        <v>45894</v>
      </c>
      <c r="D748" s="10">
        <v>72589</v>
      </c>
      <c r="E748" s="10" t="s">
        <v>187</v>
      </c>
      <c r="F748" s="62">
        <v>0</v>
      </c>
      <c r="G748" s="62">
        <v>0</v>
      </c>
      <c r="H748" s="62"/>
      <c r="I748" s="89">
        <f t="shared" si="138"/>
        <v>0</v>
      </c>
      <c r="J748" s="63" t="s">
        <v>205</v>
      </c>
      <c r="K748" s="63">
        <v>1</v>
      </c>
      <c r="L748" s="63"/>
      <c r="M748" s="63"/>
      <c r="N748" s="63"/>
      <c r="O748" s="63"/>
      <c r="P748" s="63"/>
      <c r="Q748" s="63">
        <v>1</v>
      </c>
      <c r="R748" s="63">
        <v>1</v>
      </c>
      <c r="S748" s="296">
        <v>1</v>
      </c>
      <c r="T748" s="63"/>
      <c r="U748" s="10"/>
      <c r="V748" s="90"/>
      <c r="W748" s="136"/>
      <c r="X748" s="137"/>
    </row>
    <row r="749" spans="1:24">
      <c r="A749" s="2"/>
      <c r="B749" s="87">
        <f t="shared" si="139"/>
        <v>4</v>
      </c>
      <c r="C749" s="274">
        <v>45895</v>
      </c>
      <c r="D749" s="276">
        <v>72628</v>
      </c>
      <c r="E749" s="276" t="s">
        <v>168</v>
      </c>
      <c r="F749" s="277">
        <v>8614</v>
      </c>
      <c r="G749" s="277">
        <v>39.700000000000003</v>
      </c>
      <c r="H749" s="277"/>
      <c r="I749" s="278">
        <f t="shared" si="138"/>
        <v>8574.2999999999993</v>
      </c>
      <c r="J749" s="279" t="s">
        <v>205</v>
      </c>
      <c r="K749" s="279">
        <v>1</v>
      </c>
      <c r="L749" s="279"/>
      <c r="M749" s="279"/>
      <c r="N749" s="279">
        <v>1</v>
      </c>
      <c r="O749" s="279"/>
      <c r="P749" s="279"/>
      <c r="Q749" s="279">
        <v>1</v>
      </c>
      <c r="R749" s="279">
        <v>1</v>
      </c>
      <c r="S749" s="280"/>
      <c r="T749" s="63"/>
      <c r="U749" s="10"/>
      <c r="V749" s="90"/>
      <c r="W749" s="136"/>
      <c r="X749" s="137"/>
    </row>
    <row r="750" spans="1:24">
      <c r="A750" s="2"/>
      <c r="B750" s="87">
        <f t="shared" si="139"/>
        <v>5</v>
      </c>
      <c r="C750" s="295">
        <v>45895</v>
      </c>
      <c r="D750" s="3" t="s">
        <v>2543</v>
      </c>
      <c r="E750" s="10" t="s">
        <v>511</v>
      </c>
      <c r="F750" s="62">
        <v>9742</v>
      </c>
      <c r="G750" s="62">
        <v>39.700000000000003</v>
      </c>
      <c r="H750" s="62"/>
      <c r="I750" s="89">
        <f t="shared" si="138"/>
        <v>9702.2999999999993</v>
      </c>
      <c r="J750" s="63" t="s">
        <v>205</v>
      </c>
      <c r="K750" s="63">
        <v>1</v>
      </c>
      <c r="L750" s="63"/>
      <c r="M750" s="63"/>
      <c r="N750" s="63">
        <v>1</v>
      </c>
      <c r="O750" s="63"/>
      <c r="P750" s="63"/>
      <c r="Q750" s="63"/>
      <c r="R750" s="63"/>
      <c r="S750" s="296"/>
      <c r="T750" s="63"/>
      <c r="U750" s="10"/>
      <c r="V750" s="90"/>
      <c r="W750" s="136"/>
      <c r="X750" s="137"/>
    </row>
    <row r="751" spans="1:24">
      <c r="A751" s="2"/>
      <c r="B751" s="87">
        <f t="shared" si="139"/>
        <v>6</v>
      </c>
      <c r="C751" s="295">
        <v>45895</v>
      </c>
      <c r="D751" s="10">
        <v>72639</v>
      </c>
      <c r="E751" s="101" t="s">
        <v>272</v>
      </c>
      <c r="F751" s="62">
        <v>1681</v>
      </c>
      <c r="G751" s="62">
        <v>39.700000000000003</v>
      </c>
      <c r="H751" s="62"/>
      <c r="I751" s="89">
        <f t="shared" si="138"/>
        <v>1641.3</v>
      </c>
      <c r="J751" s="63" t="s">
        <v>205</v>
      </c>
      <c r="K751" s="63"/>
      <c r="L751" s="63"/>
      <c r="M751" s="63"/>
      <c r="N751" s="63">
        <v>1</v>
      </c>
      <c r="O751" s="63"/>
      <c r="P751" s="63"/>
      <c r="Q751" s="63">
        <v>1</v>
      </c>
      <c r="R751" s="63">
        <v>1</v>
      </c>
      <c r="S751" s="296">
        <v>1</v>
      </c>
      <c r="T751" s="63"/>
      <c r="U751" s="10"/>
      <c r="V751" s="90"/>
      <c r="W751" s="136"/>
      <c r="X751" s="137"/>
    </row>
    <row r="752" spans="1:24">
      <c r="A752" s="2"/>
      <c r="B752" s="87">
        <f>B751+1</f>
        <v>7</v>
      </c>
      <c r="C752" s="274">
        <v>45896</v>
      </c>
      <c r="D752" s="276" t="s">
        <v>2544</v>
      </c>
      <c r="E752" s="276" t="s">
        <v>1079</v>
      </c>
      <c r="F752" s="277">
        <v>4461</v>
      </c>
      <c r="G752" s="277">
        <v>39.700000000000003</v>
      </c>
      <c r="H752" s="277"/>
      <c r="I752" s="278">
        <f t="shared" si="138"/>
        <v>4421.3</v>
      </c>
      <c r="J752" s="279" t="s">
        <v>205</v>
      </c>
      <c r="K752" s="279">
        <v>1</v>
      </c>
      <c r="L752" s="279"/>
      <c r="M752" s="279"/>
      <c r="N752" s="279">
        <v>1</v>
      </c>
      <c r="O752" s="279"/>
      <c r="P752" s="279"/>
      <c r="Q752" s="279">
        <v>1</v>
      </c>
      <c r="R752" s="279">
        <v>1</v>
      </c>
      <c r="S752" s="280">
        <v>1</v>
      </c>
      <c r="T752" s="63"/>
      <c r="U752" s="10"/>
      <c r="V752" s="90"/>
      <c r="W752" s="136"/>
      <c r="X752" s="137"/>
    </row>
    <row r="753" spans="1:24">
      <c r="A753" s="2"/>
      <c r="B753" s="87">
        <f t="shared" si="139"/>
        <v>8</v>
      </c>
      <c r="C753" s="295">
        <v>45896</v>
      </c>
      <c r="D753" s="10">
        <v>72667</v>
      </c>
      <c r="E753" s="101" t="s">
        <v>737</v>
      </c>
      <c r="F753" s="62">
        <v>0</v>
      </c>
      <c r="G753" s="62">
        <v>0</v>
      </c>
      <c r="H753" s="62"/>
      <c r="I753" s="89">
        <f t="shared" si="138"/>
        <v>0</v>
      </c>
      <c r="J753" s="63" t="s">
        <v>205</v>
      </c>
      <c r="K753" s="63"/>
      <c r="L753" s="63"/>
      <c r="M753" s="63"/>
      <c r="N753" s="63"/>
      <c r="O753" s="63"/>
      <c r="P753" s="63"/>
      <c r="Q753" s="63">
        <v>1</v>
      </c>
      <c r="R753" s="63">
        <v>1</v>
      </c>
      <c r="S753" s="296">
        <v>1</v>
      </c>
      <c r="T753" s="63"/>
      <c r="U753" s="10"/>
      <c r="V753" s="90"/>
      <c r="W753" s="136"/>
      <c r="X753" s="137"/>
    </row>
    <row r="754" spans="1:24">
      <c r="A754" s="2"/>
      <c r="B754" s="87">
        <f t="shared" si="139"/>
        <v>9</v>
      </c>
      <c r="C754" s="295">
        <v>45896</v>
      </c>
      <c r="D754" s="10">
        <v>72700</v>
      </c>
      <c r="E754" s="101" t="s">
        <v>1013</v>
      </c>
      <c r="F754" s="62">
        <v>0</v>
      </c>
      <c r="G754" s="62">
        <v>0</v>
      </c>
      <c r="H754" s="62"/>
      <c r="I754" s="89">
        <f t="shared" si="138"/>
        <v>0</v>
      </c>
      <c r="J754" s="63" t="s">
        <v>205</v>
      </c>
      <c r="S754" s="605"/>
      <c r="U754" s="10"/>
      <c r="V754" s="90"/>
      <c r="W754" s="136"/>
      <c r="X754" s="137"/>
    </row>
    <row r="755" spans="1:24">
      <c r="A755" s="2"/>
      <c r="B755" s="87">
        <f t="shared" si="139"/>
        <v>10</v>
      </c>
      <c r="C755" s="295">
        <v>45896</v>
      </c>
      <c r="D755" s="10">
        <v>72708</v>
      </c>
      <c r="E755" s="101" t="s">
        <v>2443</v>
      </c>
      <c r="F755" s="62">
        <v>0</v>
      </c>
      <c r="G755" s="62">
        <v>0</v>
      </c>
      <c r="H755" s="62"/>
      <c r="I755" s="89">
        <f t="shared" si="138"/>
        <v>0</v>
      </c>
      <c r="J755" s="63" t="s">
        <v>205</v>
      </c>
      <c r="K755" s="63">
        <v>1</v>
      </c>
      <c r="L755" s="63"/>
      <c r="M755" s="63"/>
      <c r="N755" s="63"/>
      <c r="O755" s="63"/>
      <c r="P755" s="63"/>
      <c r="Q755" s="63">
        <v>1</v>
      </c>
      <c r="R755" s="63">
        <v>1</v>
      </c>
      <c r="S755" s="296">
        <v>1</v>
      </c>
      <c r="T755" s="21">
        <v>1</v>
      </c>
      <c r="U755" s="10"/>
      <c r="V755" s="90"/>
      <c r="W755" s="136"/>
      <c r="X755" s="137"/>
    </row>
    <row r="756" spans="1:24">
      <c r="A756" s="2"/>
      <c r="B756" s="87">
        <f t="shared" si="139"/>
        <v>11</v>
      </c>
      <c r="C756" s="274">
        <v>45897</v>
      </c>
      <c r="D756" s="276">
        <v>72714</v>
      </c>
      <c r="E756" s="281" t="s">
        <v>1249</v>
      </c>
      <c r="F756" s="277">
        <v>0</v>
      </c>
      <c r="G756" s="277">
        <v>0</v>
      </c>
      <c r="H756" s="277"/>
      <c r="I756" s="278">
        <f t="shared" si="138"/>
        <v>0</v>
      </c>
      <c r="J756" s="279" t="s">
        <v>205</v>
      </c>
      <c r="K756" s="279">
        <v>1</v>
      </c>
      <c r="L756" s="279"/>
      <c r="M756" s="279"/>
      <c r="N756" s="279"/>
      <c r="O756" s="279"/>
      <c r="P756" s="279"/>
      <c r="Q756" s="279"/>
      <c r="R756" s="279"/>
      <c r="S756" s="280"/>
      <c r="T756" s="21"/>
      <c r="U756" s="10"/>
      <c r="V756" s="90"/>
      <c r="W756" s="136"/>
      <c r="X756" s="137"/>
    </row>
    <row r="757" spans="1:24">
      <c r="A757" s="2"/>
      <c r="B757" s="87">
        <f t="shared" si="139"/>
        <v>12</v>
      </c>
      <c r="C757" s="295">
        <v>45897</v>
      </c>
      <c r="D757" s="10">
        <v>72733</v>
      </c>
      <c r="E757" s="101" t="s">
        <v>1156</v>
      </c>
      <c r="F757" s="62">
        <v>0</v>
      </c>
      <c r="G757" s="62">
        <v>0</v>
      </c>
      <c r="H757" s="62"/>
      <c r="I757" s="89">
        <f t="shared" si="138"/>
        <v>0</v>
      </c>
      <c r="J757" s="63" t="s">
        <v>205</v>
      </c>
      <c r="K757" s="63"/>
      <c r="L757" s="63"/>
      <c r="M757" s="63"/>
      <c r="N757" s="63"/>
      <c r="O757" s="63"/>
      <c r="P757" s="63"/>
      <c r="Q757" s="63">
        <v>1</v>
      </c>
      <c r="R757" s="63">
        <v>1</v>
      </c>
      <c r="S757" s="296"/>
      <c r="T757" s="21">
        <v>1</v>
      </c>
      <c r="U757" s="10"/>
      <c r="V757" s="90"/>
      <c r="W757" s="136"/>
      <c r="X757" s="137"/>
    </row>
    <row r="758" spans="1:24">
      <c r="A758" s="2"/>
      <c r="B758" s="87">
        <f t="shared" si="139"/>
        <v>13</v>
      </c>
      <c r="C758" s="295">
        <v>45897</v>
      </c>
      <c r="D758" s="10">
        <v>72726</v>
      </c>
      <c r="E758" s="10" t="s">
        <v>1062</v>
      </c>
      <c r="F758" s="62">
        <v>0</v>
      </c>
      <c r="G758" s="62">
        <v>0</v>
      </c>
      <c r="H758" s="62"/>
      <c r="I758" s="89">
        <f t="shared" si="138"/>
        <v>0</v>
      </c>
      <c r="J758" s="63" t="s">
        <v>205</v>
      </c>
      <c r="K758" s="63"/>
      <c r="L758" s="63"/>
      <c r="M758" s="63"/>
      <c r="N758" s="63"/>
      <c r="O758" s="63"/>
      <c r="P758" s="63"/>
      <c r="Q758" s="63">
        <v>1</v>
      </c>
      <c r="R758" s="63">
        <v>1</v>
      </c>
      <c r="S758" s="296">
        <v>1</v>
      </c>
      <c r="T758" s="63"/>
      <c r="U758" s="10"/>
      <c r="V758" s="90"/>
      <c r="W758" s="136"/>
      <c r="X758" s="137"/>
    </row>
    <row r="759" spans="1:24">
      <c r="A759" s="2"/>
      <c r="B759" s="87">
        <f t="shared" si="139"/>
        <v>14</v>
      </c>
      <c r="C759" s="295">
        <v>45897</v>
      </c>
      <c r="D759" s="10">
        <v>72747</v>
      </c>
      <c r="E759" s="10" t="s">
        <v>1030</v>
      </c>
      <c r="F759" s="62">
        <v>1461</v>
      </c>
      <c r="G759" s="62">
        <v>39.700000000000003</v>
      </c>
      <c r="H759" s="62"/>
      <c r="I759" s="89">
        <f t="shared" si="138"/>
        <v>1421.3</v>
      </c>
      <c r="J759" s="63" t="s">
        <v>205</v>
      </c>
      <c r="K759" s="63">
        <v>1</v>
      </c>
      <c r="L759" s="63"/>
      <c r="M759" s="63"/>
      <c r="N759" s="63">
        <v>1</v>
      </c>
      <c r="O759" s="63"/>
      <c r="P759" s="63"/>
      <c r="Q759" s="63">
        <v>1</v>
      </c>
      <c r="R759" s="63">
        <v>1</v>
      </c>
      <c r="S759" s="296"/>
      <c r="T759" s="63"/>
      <c r="U759" s="10"/>
      <c r="V759" s="90"/>
      <c r="W759" s="136"/>
      <c r="X759" s="137"/>
    </row>
    <row r="760" spans="1:24">
      <c r="A760" s="2"/>
      <c r="B760" s="87">
        <f t="shared" si="139"/>
        <v>15</v>
      </c>
      <c r="C760" s="295">
        <v>45897</v>
      </c>
      <c r="D760" s="10">
        <v>72749</v>
      </c>
      <c r="E760" s="10" t="s">
        <v>1150</v>
      </c>
      <c r="F760" s="62">
        <v>481</v>
      </c>
      <c r="G760" s="62"/>
      <c r="H760" s="62"/>
      <c r="I760" s="89">
        <f t="shared" si="138"/>
        <v>481</v>
      </c>
      <c r="J760" s="63" t="s">
        <v>205</v>
      </c>
      <c r="K760" s="63">
        <v>1</v>
      </c>
      <c r="L760" s="63"/>
      <c r="M760" s="63"/>
      <c r="N760" s="63">
        <v>1</v>
      </c>
      <c r="O760" s="63"/>
      <c r="P760" s="63"/>
      <c r="Q760" s="63">
        <v>1</v>
      </c>
      <c r="R760" s="63">
        <v>1</v>
      </c>
      <c r="S760" s="296"/>
      <c r="T760" s="63"/>
      <c r="U760" s="10"/>
      <c r="V760" s="90"/>
      <c r="W760" s="136"/>
      <c r="X760" s="137"/>
    </row>
    <row r="761" spans="1:24">
      <c r="A761" s="2"/>
      <c r="B761" s="87">
        <f t="shared" si="139"/>
        <v>16</v>
      </c>
      <c r="C761" s="295">
        <v>45897</v>
      </c>
      <c r="D761" s="10">
        <v>72756</v>
      </c>
      <c r="E761" s="10" t="s">
        <v>189</v>
      </c>
      <c r="F761" s="62">
        <v>3681</v>
      </c>
      <c r="G761" s="62">
        <v>39.700000000000003</v>
      </c>
      <c r="H761" s="62"/>
      <c r="I761" s="89">
        <f t="shared" si="138"/>
        <v>3641.3</v>
      </c>
      <c r="J761" s="63" t="s">
        <v>156</v>
      </c>
      <c r="K761" s="63">
        <v>1</v>
      </c>
      <c r="L761" s="63"/>
      <c r="M761" s="63">
        <v>1</v>
      </c>
      <c r="N761" s="63"/>
      <c r="O761" s="63"/>
      <c r="P761" s="63"/>
      <c r="Q761" s="63">
        <v>1</v>
      </c>
      <c r="R761" s="63">
        <v>1</v>
      </c>
      <c r="S761" s="296"/>
      <c r="T761" s="63"/>
      <c r="U761" s="10"/>
      <c r="V761" s="90">
        <v>93.5</v>
      </c>
      <c r="W761" s="136"/>
      <c r="X761" s="137"/>
    </row>
    <row r="762" spans="1:24">
      <c r="A762" s="2"/>
      <c r="B762" s="87">
        <f>B761+1</f>
        <v>17</v>
      </c>
      <c r="C762" s="282">
        <v>45897</v>
      </c>
      <c r="D762" s="283">
        <v>72753</v>
      </c>
      <c r="E762" s="283" t="s">
        <v>2259</v>
      </c>
      <c r="F762" s="284">
        <v>1314.9</v>
      </c>
      <c r="G762" s="284">
        <f>39.7+(272.1-272.1)</f>
        <v>39.700000000000003</v>
      </c>
      <c r="H762" s="284"/>
      <c r="I762" s="285">
        <f t="shared" ref="I762" si="140">F762-G762-H762</f>
        <v>1275.2</v>
      </c>
      <c r="J762" s="286" t="s">
        <v>156</v>
      </c>
      <c r="K762" s="286">
        <v>1</v>
      </c>
      <c r="L762" s="286"/>
      <c r="M762" s="286">
        <v>1</v>
      </c>
      <c r="N762" s="286">
        <v>1</v>
      </c>
      <c r="O762" s="286">
        <v>1</v>
      </c>
      <c r="P762" s="286">
        <v>1</v>
      </c>
      <c r="Q762" s="286"/>
      <c r="R762" s="286"/>
      <c r="S762" s="287"/>
      <c r="T762" s="63"/>
      <c r="U762" s="94" t="s">
        <v>2545</v>
      </c>
      <c r="V762" s="90">
        <f>144</f>
        <v>144</v>
      </c>
      <c r="W762" s="136"/>
      <c r="X762" s="137"/>
    </row>
    <row r="763" spans="1:24">
      <c r="A763" s="2"/>
      <c r="B763" s="87">
        <f>B762+1</f>
        <v>18</v>
      </c>
      <c r="C763" s="282">
        <v>45898</v>
      </c>
      <c r="D763" s="283">
        <v>72758</v>
      </c>
      <c r="E763" s="283" t="s">
        <v>1313</v>
      </c>
      <c r="F763" s="284">
        <v>5436.9</v>
      </c>
      <c r="G763" s="284">
        <v>39.700000000000003</v>
      </c>
      <c r="H763" s="284"/>
      <c r="I763" s="285">
        <f t="shared" si="138"/>
        <v>5397.2</v>
      </c>
      <c r="J763" s="286" t="s">
        <v>205</v>
      </c>
      <c r="K763" s="286">
        <v>1</v>
      </c>
      <c r="L763" s="286"/>
      <c r="M763" s="286"/>
      <c r="N763" s="286">
        <v>1</v>
      </c>
      <c r="O763" s="286"/>
      <c r="P763" s="286"/>
      <c r="Q763" s="286">
        <v>1</v>
      </c>
      <c r="R763" s="286">
        <v>1</v>
      </c>
      <c r="S763" s="287">
        <v>1</v>
      </c>
      <c r="T763" s="63"/>
      <c r="U763" s="10"/>
      <c r="V763" s="90"/>
      <c r="W763" s="136"/>
      <c r="X763" s="137"/>
    </row>
    <row r="764" spans="1:24">
      <c r="A764" s="2"/>
      <c r="B764" s="11"/>
      <c r="C764" s="36"/>
      <c r="D764" s="10"/>
      <c r="E764" s="10"/>
      <c r="F764" s="97">
        <f>SUM(F746:F763)</f>
        <v>37353.800000000003</v>
      </c>
      <c r="G764" s="97">
        <f>SUM(G746:G763)</f>
        <v>317.59999999999997</v>
      </c>
      <c r="H764" s="97">
        <f>SUM(H746:H763)</f>
        <v>0</v>
      </c>
      <c r="I764" s="98">
        <f>SUM(I746:I763)</f>
        <v>37036.199999999997</v>
      </c>
      <c r="J764" s="10"/>
      <c r="K764" s="10"/>
      <c r="L764" s="10"/>
      <c r="M764" s="10"/>
      <c r="N764" s="10"/>
      <c r="O764" s="10"/>
      <c r="P764" s="10"/>
      <c r="Q764" s="10"/>
      <c r="R764" s="10"/>
      <c r="S764" s="10"/>
      <c r="T764" s="63"/>
      <c r="U764" s="10"/>
      <c r="V764" s="138"/>
      <c r="W764" s="136"/>
      <c r="X764" s="137"/>
    </row>
    <row r="765" spans="1:24">
      <c r="A765" s="2"/>
      <c r="B765" s="26"/>
      <c r="C765" s="140"/>
      <c r="D765" s="141"/>
      <c r="E765" s="141"/>
      <c r="F765" s="141"/>
      <c r="G765" s="141"/>
      <c r="H765" s="141"/>
      <c r="I765" s="141"/>
      <c r="J765" s="141"/>
      <c r="K765" s="142"/>
      <c r="L765" s="142"/>
      <c r="M765" s="142"/>
      <c r="N765" s="142"/>
      <c r="O765" s="142"/>
      <c r="P765" s="142"/>
      <c r="Q765" s="142"/>
      <c r="R765" s="142"/>
      <c r="S765" s="142"/>
      <c r="T765" s="143">
        <f>SUM(T707:T764)</f>
        <v>6</v>
      </c>
      <c r="U765" s="141"/>
      <c r="V765" s="144">
        <f>SUM(V707:V764)</f>
        <v>24823.059999999998</v>
      </c>
      <c r="W765" s="144">
        <f t="shared" ref="W765:X765" si="141">SUM(W707:W764)</f>
        <v>900</v>
      </c>
      <c r="X765" s="144">
        <f t="shared" si="141"/>
        <v>0</v>
      </c>
    </row>
    <row r="768" spans="1:24">
      <c r="B768" s="4" t="s">
        <v>1</v>
      </c>
      <c r="C768" s="5"/>
      <c r="D768" s="6"/>
      <c r="E768" s="6"/>
      <c r="F768" s="7" t="s">
        <v>2</v>
      </c>
      <c r="G768" s="8">
        <v>45907</v>
      </c>
      <c r="H768" s="7"/>
      <c r="I768" s="6"/>
      <c r="J768" s="6"/>
      <c r="K768" s="6"/>
      <c r="L768" s="6"/>
      <c r="M768" s="6"/>
      <c r="N768" s="6"/>
      <c r="O768" s="6"/>
      <c r="P768" s="6"/>
      <c r="Q768" s="6"/>
      <c r="R768" s="6"/>
      <c r="S768" s="6"/>
      <c r="T768" s="6"/>
      <c r="U768" s="9"/>
      <c r="V768" s="10"/>
      <c r="W768" s="10"/>
      <c r="X768" s="10"/>
    </row>
    <row r="769" spans="2:24">
      <c r="B769" s="11"/>
      <c r="C769" s="10"/>
      <c r="D769" s="10"/>
      <c r="E769" s="10"/>
      <c r="F769" s="10"/>
      <c r="G769" s="7"/>
      <c r="H769" s="12"/>
      <c r="I769" s="10"/>
      <c r="J769" s="10"/>
      <c r="K769" s="13" t="s">
        <v>3</v>
      </c>
      <c r="L769" s="14"/>
      <c r="M769" s="15"/>
      <c r="N769" s="13" t="s">
        <v>4</v>
      </c>
      <c r="O769" s="14"/>
      <c r="P769" s="15"/>
      <c r="Q769" s="13" t="s">
        <v>5</v>
      </c>
      <c r="R769" s="14"/>
      <c r="S769" s="15"/>
      <c r="T769" s="16"/>
      <c r="U769" s="17"/>
      <c r="V769" s="10"/>
      <c r="W769" s="10"/>
      <c r="X769" s="10"/>
    </row>
    <row r="770" spans="2:24">
      <c r="B770" s="18" t="s">
        <v>6</v>
      </c>
      <c r="C770" s="19">
        <f>C771+C772</f>
        <v>42</v>
      </c>
      <c r="D770" s="10"/>
      <c r="E770" s="18" t="s">
        <v>7</v>
      </c>
      <c r="F770" s="6"/>
      <c r="G770" s="9"/>
      <c r="H770" s="10"/>
      <c r="I770" s="10"/>
      <c r="J770" s="10"/>
      <c r="K770" s="20" t="s">
        <v>8</v>
      </c>
      <c r="L770" s="21" t="s">
        <v>9</v>
      </c>
      <c r="M770" s="21" t="s">
        <v>10</v>
      </c>
      <c r="N770" s="20" t="s">
        <v>11</v>
      </c>
      <c r="O770" s="21" t="s">
        <v>12</v>
      </c>
      <c r="P770" s="22" t="s">
        <v>13</v>
      </c>
      <c r="Q770" s="21" t="s">
        <v>11</v>
      </c>
      <c r="R770" s="21" t="s">
        <v>12</v>
      </c>
      <c r="S770" s="22" t="s">
        <v>13</v>
      </c>
      <c r="T770" s="23" t="s">
        <v>14</v>
      </c>
      <c r="U770" s="17"/>
      <c r="V770" s="10"/>
      <c r="W770" s="10"/>
      <c r="X770" s="10"/>
    </row>
    <row r="771" spans="2:24">
      <c r="B771" s="24" t="s">
        <v>15</v>
      </c>
      <c r="C771" s="25">
        <f>P778</f>
        <v>25</v>
      </c>
      <c r="D771" s="10"/>
      <c r="E771" s="26" t="s">
        <v>16</v>
      </c>
      <c r="F771" s="27">
        <v>0.05</v>
      </c>
      <c r="G771" s="28"/>
      <c r="H771" s="10"/>
      <c r="I771" s="10"/>
      <c r="J771" s="18" t="s">
        <v>17</v>
      </c>
      <c r="K771" s="29">
        <f>K820</f>
        <v>24</v>
      </c>
      <c r="L771" s="29">
        <f t="shared" ref="L771:S771" si="142">L820</f>
        <v>19</v>
      </c>
      <c r="M771" s="29">
        <f t="shared" si="142"/>
        <v>22</v>
      </c>
      <c r="N771" s="29">
        <f t="shared" si="142"/>
        <v>24</v>
      </c>
      <c r="O771" s="29">
        <f t="shared" si="142"/>
        <v>24</v>
      </c>
      <c r="P771" s="29">
        <f t="shared" si="142"/>
        <v>23</v>
      </c>
      <c r="Q771" s="29">
        <f t="shared" si="142"/>
        <v>24</v>
      </c>
      <c r="R771" s="29">
        <f t="shared" si="142"/>
        <v>24</v>
      </c>
      <c r="S771" s="29">
        <f t="shared" si="142"/>
        <v>24</v>
      </c>
      <c r="T771" s="30">
        <f>T863</f>
        <v>7</v>
      </c>
      <c r="U771" s="17" t="s">
        <v>2546</v>
      </c>
      <c r="V771" s="10"/>
      <c r="W771" s="10"/>
      <c r="X771" s="10"/>
    </row>
    <row r="772" spans="2:24">
      <c r="B772" s="24" t="s">
        <v>18</v>
      </c>
      <c r="C772" s="25">
        <f>P779</f>
        <v>17</v>
      </c>
      <c r="D772" s="10"/>
      <c r="E772" s="10"/>
      <c r="F772" s="10"/>
      <c r="G772" s="31"/>
      <c r="H772" s="10"/>
      <c r="I772" s="10"/>
      <c r="J772" s="32" t="s">
        <v>19</v>
      </c>
      <c r="K772" s="33">
        <f>K820/K819</f>
        <v>1</v>
      </c>
      <c r="L772" s="33">
        <f t="shared" ref="L772:S772" si="143">L820/L819</f>
        <v>0.79166666666666663</v>
      </c>
      <c r="M772" s="33">
        <f t="shared" si="143"/>
        <v>0.91666666666666663</v>
      </c>
      <c r="N772" s="33">
        <f t="shared" si="143"/>
        <v>1</v>
      </c>
      <c r="O772" s="33">
        <f t="shared" si="143"/>
        <v>1</v>
      </c>
      <c r="P772" s="33">
        <f t="shared" si="143"/>
        <v>0.95833333333333337</v>
      </c>
      <c r="Q772" s="33">
        <f t="shared" si="143"/>
        <v>1</v>
      </c>
      <c r="R772" s="33">
        <f t="shared" si="143"/>
        <v>1</v>
      </c>
      <c r="S772" s="33">
        <f t="shared" si="143"/>
        <v>1</v>
      </c>
      <c r="T772" s="23"/>
      <c r="U772" s="17" t="s">
        <v>20</v>
      </c>
      <c r="V772" s="10"/>
      <c r="W772" s="10"/>
      <c r="X772" s="10"/>
    </row>
    <row r="773" spans="2:24">
      <c r="B773" s="24" t="s">
        <v>21</v>
      </c>
      <c r="C773" s="34">
        <f>P780</f>
        <v>0.59523809523809523</v>
      </c>
      <c r="D773" s="10"/>
      <c r="E773" s="10"/>
      <c r="F773" s="10"/>
      <c r="G773" s="10"/>
      <c r="H773" s="10"/>
      <c r="I773" s="10"/>
      <c r="J773" s="10"/>
      <c r="K773" s="10"/>
      <c r="L773" s="10"/>
      <c r="M773" s="10"/>
      <c r="N773" s="10"/>
      <c r="O773" s="10"/>
      <c r="P773" s="10"/>
      <c r="Q773" s="10"/>
      <c r="R773" s="10"/>
      <c r="S773" s="10"/>
      <c r="T773" s="10"/>
      <c r="U773" s="17"/>
      <c r="V773" s="10"/>
      <c r="W773" s="10"/>
      <c r="X773" s="10"/>
    </row>
    <row r="774" spans="2:24">
      <c r="B774" s="24"/>
      <c r="C774" s="25"/>
      <c r="D774" s="10"/>
      <c r="E774" s="10"/>
      <c r="F774" s="18" t="s">
        <v>22</v>
      </c>
      <c r="G774" s="19" t="s">
        <v>23</v>
      </c>
      <c r="H774" s="35" t="s">
        <v>24</v>
      </c>
      <c r="I774" s="10"/>
      <c r="J774" s="10"/>
      <c r="K774" s="36"/>
      <c r="L774" s="36"/>
      <c r="M774" s="36"/>
      <c r="N774" s="36"/>
      <c r="O774" s="36"/>
      <c r="P774" s="36"/>
      <c r="Q774" s="36"/>
      <c r="R774" s="10"/>
      <c r="S774" s="10"/>
      <c r="T774" s="10"/>
      <c r="U774" s="17"/>
      <c r="V774" s="10"/>
      <c r="W774" s="10"/>
      <c r="X774" s="10"/>
    </row>
    <row r="775" spans="2:24">
      <c r="B775" s="32" t="s">
        <v>25</v>
      </c>
      <c r="C775" s="37">
        <f>P781</f>
        <v>1514.91</v>
      </c>
      <c r="D775" s="10"/>
      <c r="E775" s="18" t="s">
        <v>26</v>
      </c>
      <c r="F775" s="38">
        <f>P777</f>
        <v>37872.75</v>
      </c>
      <c r="G775" s="39">
        <f>I819+I830</f>
        <v>37872.75</v>
      </c>
      <c r="H775" s="40"/>
      <c r="I775" s="41"/>
      <c r="J775" s="42"/>
      <c r="K775" s="43" t="s">
        <v>27</v>
      </c>
      <c r="L775" s="44"/>
      <c r="M775" s="44"/>
      <c r="N775" s="44"/>
      <c r="O775" s="44"/>
      <c r="P775" s="44"/>
      <c r="Q775" s="45"/>
      <c r="R775" s="46" t="s">
        <v>28</v>
      </c>
      <c r="S775" s="47" t="s">
        <v>29</v>
      </c>
      <c r="T775" s="10"/>
      <c r="U775" s="17"/>
      <c r="V775" s="10"/>
      <c r="W775" s="10"/>
      <c r="X775" s="10"/>
    </row>
    <row r="776" spans="2:24">
      <c r="B776" s="11"/>
      <c r="C776" s="10"/>
      <c r="D776" s="10"/>
      <c r="E776" s="24" t="s">
        <v>30</v>
      </c>
      <c r="F776" s="48">
        <f>F771</f>
        <v>0.05</v>
      </c>
      <c r="G776" s="17"/>
      <c r="H776" s="40"/>
      <c r="I776" s="41"/>
      <c r="J776" s="42"/>
      <c r="K776" s="20" t="s">
        <v>31</v>
      </c>
      <c r="L776" s="21" t="s">
        <v>32</v>
      </c>
      <c r="M776" s="21" t="s">
        <v>33</v>
      </c>
      <c r="N776" s="21" t="s">
        <v>34</v>
      </c>
      <c r="O776" s="21" t="s">
        <v>35</v>
      </c>
      <c r="P776" s="21" t="s">
        <v>36</v>
      </c>
      <c r="Q776" s="49" t="s">
        <v>37</v>
      </c>
      <c r="R776" s="50" t="s">
        <v>38</v>
      </c>
      <c r="S776" s="50" t="s">
        <v>38</v>
      </c>
      <c r="T776" s="10"/>
      <c r="U776" s="17"/>
      <c r="V776" s="10"/>
      <c r="W776" s="10"/>
      <c r="X776" s="10"/>
    </row>
    <row r="777" spans="2:24">
      <c r="B777" s="11"/>
      <c r="C777" s="10"/>
      <c r="D777" s="10"/>
      <c r="E777" s="51" t="s">
        <v>39</v>
      </c>
      <c r="F777" s="52">
        <f>(F775-I796-I800-I803-I809-I811-I829)*F776</f>
        <v>1392.9945</v>
      </c>
      <c r="G777" s="53" t="s">
        <v>40</v>
      </c>
      <c r="H777" s="54">
        <f>F777/1.12</f>
        <v>1243.7450892857141</v>
      </c>
      <c r="I777" s="55"/>
      <c r="J777" s="42"/>
      <c r="K777" s="56">
        <f>I795+I796+I797+I799+I800+I798</f>
        <v>8331.64</v>
      </c>
      <c r="L777" s="57">
        <f>I802+I803+I804+I805+I801</f>
        <v>11111.650000000001</v>
      </c>
      <c r="M777" s="57">
        <f>I806+I807+I808+I809+I810</f>
        <v>7426.12</v>
      </c>
      <c r="N777" s="57">
        <f>I811+I812+I813+I829</f>
        <v>4364.8999999999996</v>
      </c>
      <c r="O777" s="57">
        <f>I814+I815+I817+I818+I816</f>
        <v>6638.44</v>
      </c>
      <c r="P777" s="57">
        <f>SUM(K777:O777)</f>
        <v>37872.75</v>
      </c>
      <c r="Q777" s="58">
        <v>0</v>
      </c>
      <c r="R777" s="59">
        <f>+I830</f>
        <v>2221.3000000000002</v>
      </c>
      <c r="S777" s="59">
        <v>0</v>
      </c>
      <c r="T777" s="10"/>
      <c r="U777" s="17"/>
      <c r="V777" s="10"/>
      <c r="W777" s="10"/>
      <c r="X777" s="10"/>
    </row>
    <row r="778" spans="2:24">
      <c r="B778" s="11"/>
      <c r="C778" s="10"/>
      <c r="D778" s="10"/>
      <c r="E778" s="24" t="s">
        <v>41</v>
      </c>
      <c r="F778" s="60">
        <f>Q777</f>
        <v>0</v>
      </c>
      <c r="G778" s="61" t="s">
        <v>40</v>
      </c>
      <c r="H778" s="62"/>
      <c r="I778" s="62"/>
      <c r="J778" s="10" t="s">
        <v>42</v>
      </c>
      <c r="K778" s="63">
        <v>6</v>
      </c>
      <c r="L778" s="63">
        <v>5</v>
      </c>
      <c r="M778" s="63">
        <v>5</v>
      </c>
      <c r="N778" s="63">
        <v>4</v>
      </c>
      <c r="O778" s="63">
        <v>5</v>
      </c>
      <c r="P778" s="21">
        <f>SUM(K778:O778)</f>
        <v>25</v>
      </c>
      <c r="Q778" s="64"/>
      <c r="R778" s="63"/>
      <c r="S778" s="10"/>
      <c r="T778" s="10"/>
      <c r="U778" s="17"/>
      <c r="V778" s="10"/>
      <c r="W778" s="10"/>
      <c r="X778" s="10"/>
    </row>
    <row r="779" spans="2:24">
      <c r="B779" s="11"/>
      <c r="C779" s="10"/>
      <c r="D779" s="10"/>
      <c r="E779" s="51" t="s">
        <v>43</v>
      </c>
      <c r="F779" s="52">
        <f>F778*0.25</f>
        <v>0</v>
      </c>
      <c r="G779" s="53" t="s">
        <v>40</v>
      </c>
      <c r="H779" s="54">
        <f>F779/1.12</f>
        <v>0</v>
      </c>
      <c r="I779" s="10"/>
      <c r="J779" s="10" t="s">
        <v>44</v>
      </c>
      <c r="K779" s="63">
        <v>5</v>
      </c>
      <c r="L779" s="63">
        <v>1</v>
      </c>
      <c r="M779" s="63">
        <v>6</v>
      </c>
      <c r="N779" s="63">
        <v>3</v>
      </c>
      <c r="O779" s="63">
        <v>2</v>
      </c>
      <c r="P779" s="21">
        <f>SUM(K779:O779)</f>
        <v>17</v>
      </c>
      <c r="Q779" s="64"/>
      <c r="R779" s="63"/>
      <c r="S779" s="10"/>
      <c r="T779" s="10"/>
      <c r="U779" s="17"/>
      <c r="V779" s="10"/>
      <c r="W779" s="10"/>
      <c r="X779" s="10"/>
    </row>
    <row r="780" spans="2:24">
      <c r="B780" s="11"/>
      <c r="C780" s="10"/>
      <c r="D780" s="10"/>
      <c r="E780" s="24" t="s">
        <v>45</v>
      </c>
      <c r="F780" s="60">
        <f>I826</f>
        <v>4527.2800000000007</v>
      </c>
      <c r="G780" s="61" t="s">
        <v>40</v>
      </c>
      <c r="H780" s="62"/>
      <c r="I780" s="10"/>
      <c r="J780" s="10" t="s">
        <v>46</v>
      </c>
      <c r="K780" s="31">
        <f t="shared" ref="K780:Q780" si="144">K778/(K778+K779)</f>
        <v>0.54545454545454541</v>
      </c>
      <c r="L780" s="31">
        <f t="shared" si="144"/>
        <v>0.83333333333333337</v>
      </c>
      <c r="M780" s="31">
        <f t="shared" si="144"/>
        <v>0.45454545454545453</v>
      </c>
      <c r="N780" s="31">
        <f t="shared" si="144"/>
        <v>0.5714285714285714</v>
      </c>
      <c r="O780" s="31">
        <f t="shared" si="144"/>
        <v>0.7142857142857143</v>
      </c>
      <c r="P780" s="31">
        <f t="shared" si="144"/>
        <v>0.59523809523809523</v>
      </c>
      <c r="Q780" s="31" t="e">
        <f t="shared" si="144"/>
        <v>#DIV/0!</v>
      </c>
      <c r="R780" s="63"/>
      <c r="S780" s="10"/>
      <c r="T780" s="10"/>
      <c r="U780" s="17"/>
      <c r="V780" s="10"/>
      <c r="W780" s="10"/>
      <c r="X780" s="10"/>
    </row>
    <row r="781" spans="2:24">
      <c r="B781" s="11"/>
      <c r="C781" s="10"/>
      <c r="D781" s="10"/>
      <c r="E781" s="51" t="s">
        <v>47</v>
      </c>
      <c r="F781" s="52">
        <f>(F780+F784-I823)*0.05</f>
        <v>95.399000000000029</v>
      </c>
      <c r="G781" s="65" t="s">
        <v>40</v>
      </c>
      <c r="H781" s="54">
        <f>F781/1.12</f>
        <v>85.177678571428586</v>
      </c>
      <c r="I781" s="42"/>
      <c r="J781" s="10" t="s">
        <v>48</v>
      </c>
      <c r="K781" s="66">
        <f>K777/K778</f>
        <v>1388.6066666666666</v>
      </c>
      <c r="L781" s="66">
        <f t="shared" ref="L781:Q781" si="145">L777/L778</f>
        <v>2222.3300000000004</v>
      </c>
      <c r="M781" s="66">
        <f t="shared" si="145"/>
        <v>1485.2239999999999</v>
      </c>
      <c r="N781" s="66">
        <f t="shared" si="145"/>
        <v>1091.2249999999999</v>
      </c>
      <c r="O781" s="66">
        <f t="shared" si="145"/>
        <v>1327.6879999999999</v>
      </c>
      <c r="P781" s="66">
        <f t="shared" si="145"/>
        <v>1514.91</v>
      </c>
      <c r="Q781" s="66" t="e">
        <f t="shared" si="145"/>
        <v>#DIV/0!</v>
      </c>
      <c r="R781" s="63"/>
      <c r="S781" s="10"/>
      <c r="T781" s="10"/>
      <c r="U781" s="17"/>
      <c r="V781" s="10"/>
      <c r="W781" s="10"/>
      <c r="X781" s="10"/>
    </row>
    <row r="782" spans="2:24">
      <c r="B782" s="11"/>
      <c r="C782" s="10"/>
      <c r="D782" s="10"/>
      <c r="E782" s="67" t="s">
        <v>14</v>
      </c>
      <c r="F782" s="68">
        <f>4*50/2</f>
        <v>100</v>
      </c>
      <c r="G782" s="10"/>
      <c r="H782" s="54">
        <f>F782/1.12</f>
        <v>89.285714285714278</v>
      </c>
      <c r="I782" s="10"/>
      <c r="J782" s="10"/>
      <c r="K782" s="10"/>
      <c r="L782" s="10"/>
      <c r="M782" s="10"/>
      <c r="N782" s="10"/>
      <c r="O782" s="10"/>
      <c r="P782" s="10"/>
      <c r="Q782" s="10"/>
      <c r="R782" s="10"/>
      <c r="S782" s="10"/>
      <c r="T782" s="10"/>
      <c r="U782" s="17"/>
      <c r="V782" s="10"/>
      <c r="W782" s="10"/>
      <c r="X782" s="10"/>
    </row>
    <row r="783" spans="2:24">
      <c r="B783" s="11"/>
      <c r="C783" s="10"/>
      <c r="D783" s="10"/>
      <c r="E783" s="67" t="s">
        <v>49</v>
      </c>
      <c r="F783" s="69">
        <f>T772</f>
        <v>0</v>
      </c>
      <c r="G783" s="10"/>
      <c r="H783" s="54"/>
      <c r="I783" s="55"/>
      <c r="J783" s="42"/>
      <c r="K783" s="764" t="s">
        <v>50</v>
      </c>
      <c r="L783" s="765"/>
      <c r="M783" s="765"/>
      <c r="N783" s="765"/>
      <c r="O783" s="765"/>
      <c r="P783" s="765"/>
      <c r="Q783" s="766"/>
      <c r="R783" s="70" t="s">
        <v>28</v>
      </c>
      <c r="S783" s="71" t="s">
        <v>29</v>
      </c>
      <c r="T783" s="10"/>
      <c r="U783" s="17"/>
      <c r="V783" s="10"/>
      <c r="W783" s="10"/>
      <c r="X783" s="10"/>
    </row>
    <row r="784" spans="2:24">
      <c r="B784" s="11"/>
      <c r="C784" s="10"/>
      <c r="D784" s="10"/>
      <c r="E784" s="74" t="s">
        <v>2547</v>
      </c>
      <c r="F784" s="75">
        <f>-495</f>
        <v>-495</v>
      </c>
      <c r="G784" s="10"/>
      <c r="H784" s="10"/>
      <c r="I784" s="10"/>
      <c r="J784" s="42"/>
      <c r="K784" s="20" t="s">
        <v>31</v>
      </c>
      <c r="L784" s="21" t="s">
        <v>32</v>
      </c>
      <c r="M784" s="21" t="s">
        <v>33</v>
      </c>
      <c r="N784" s="21" t="s">
        <v>34</v>
      </c>
      <c r="O784" s="21" t="s">
        <v>35</v>
      </c>
      <c r="P784" s="21" t="s">
        <v>36</v>
      </c>
      <c r="Q784" s="49" t="s">
        <v>37</v>
      </c>
      <c r="R784" s="50" t="s">
        <v>38</v>
      </c>
      <c r="S784" s="50" t="s">
        <v>38</v>
      </c>
      <c r="T784" s="10"/>
      <c r="U784" s="17"/>
      <c r="V784" s="10"/>
      <c r="W784" s="10"/>
      <c r="X784" s="10"/>
    </row>
    <row r="785" spans="1:24">
      <c r="B785" s="11"/>
      <c r="C785" s="10"/>
      <c r="D785" s="10"/>
      <c r="E785" s="12"/>
      <c r="F785" s="76"/>
      <c r="G785" s="10"/>
      <c r="H785" s="10"/>
      <c r="I785" s="10"/>
      <c r="J785" s="42"/>
      <c r="K785" s="56">
        <f>F795+F796+F797+F799+F800+F798</f>
        <v>9809.2000000000007</v>
      </c>
      <c r="L785" s="57">
        <f>F802+F803+F804+F805+F801</f>
        <v>13641.4</v>
      </c>
      <c r="M785" s="57">
        <f>F806+F807+F808+F809+F810</f>
        <v>11802</v>
      </c>
      <c r="N785" s="57">
        <f>F811+F812+F813+F829</f>
        <v>4484</v>
      </c>
      <c r="O785" s="57">
        <f>F814+F815+F817+F818+F816</f>
        <v>7210.4</v>
      </c>
      <c r="P785" s="57">
        <f>SUM(K785:O785)</f>
        <v>46947</v>
      </c>
      <c r="Q785" s="58">
        <v>0</v>
      </c>
      <c r="R785" s="59">
        <f>+F830</f>
        <v>2261</v>
      </c>
      <c r="S785" s="59">
        <v>0</v>
      </c>
      <c r="T785" s="10"/>
      <c r="U785" s="17"/>
      <c r="V785" s="10"/>
      <c r="W785" s="10"/>
      <c r="X785" s="10"/>
    </row>
    <row r="786" spans="1:24">
      <c r="B786" s="11"/>
      <c r="C786" s="10"/>
      <c r="D786" s="10"/>
      <c r="E786" s="10"/>
      <c r="F786" s="10"/>
      <c r="G786" s="10"/>
      <c r="H786" s="10"/>
      <c r="I786" s="10"/>
      <c r="J786" s="10" t="s">
        <v>42</v>
      </c>
      <c r="K786" s="63">
        <f>K778</f>
        <v>6</v>
      </c>
      <c r="L786" s="63">
        <f t="shared" ref="L786:Q787" si="146">L778</f>
        <v>5</v>
      </c>
      <c r="M786" s="63">
        <f t="shared" si="146"/>
        <v>5</v>
      </c>
      <c r="N786" s="63">
        <f t="shared" si="146"/>
        <v>4</v>
      </c>
      <c r="O786" s="63">
        <f t="shared" si="146"/>
        <v>5</v>
      </c>
      <c r="P786" s="63">
        <f t="shared" si="146"/>
        <v>25</v>
      </c>
      <c r="Q786" s="63">
        <f t="shared" si="146"/>
        <v>0</v>
      </c>
      <c r="R786" s="63"/>
      <c r="S786" s="10"/>
      <c r="T786" s="10"/>
      <c r="U786" s="17"/>
      <c r="V786" s="10"/>
      <c r="W786" s="10"/>
      <c r="X786" s="10"/>
    </row>
    <row r="787" spans="1:24">
      <c r="B787" s="11"/>
      <c r="C787" s="10"/>
      <c r="D787" s="10"/>
      <c r="E787" s="10"/>
      <c r="F787" s="10"/>
      <c r="G787" s="10"/>
      <c r="H787" s="10"/>
      <c r="I787" s="10"/>
      <c r="J787" s="10" t="s">
        <v>44</v>
      </c>
      <c r="K787" s="63">
        <f>K779</f>
        <v>5</v>
      </c>
      <c r="L787" s="63">
        <f t="shared" si="146"/>
        <v>1</v>
      </c>
      <c r="M787" s="63">
        <f t="shared" si="146"/>
        <v>6</v>
      </c>
      <c r="N787" s="63">
        <f t="shared" si="146"/>
        <v>3</v>
      </c>
      <c r="O787" s="63">
        <f t="shared" si="146"/>
        <v>2</v>
      </c>
      <c r="P787" s="63">
        <f t="shared" si="146"/>
        <v>17</v>
      </c>
      <c r="Q787" s="63">
        <f t="shared" si="146"/>
        <v>0</v>
      </c>
      <c r="R787" s="63"/>
      <c r="S787" s="10"/>
      <c r="T787" s="10"/>
      <c r="U787" s="17"/>
      <c r="V787" s="10"/>
      <c r="W787" s="10"/>
      <c r="X787" s="10"/>
    </row>
    <row r="788" spans="1:24">
      <c r="B788" s="11"/>
      <c r="C788" s="10"/>
      <c r="D788" s="10"/>
      <c r="E788" s="12"/>
      <c r="F788" s="76"/>
      <c r="G788" s="10"/>
      <c r="H788" s="10"/>
      <c r="I788" s="10"/>
      <c r="J788" s="10" t="s">
        <v>46</v>
      </c>
      <c r="K788" s="31">
        <f t="shared" ref="K788:Q788" si="147">K786/(K786+K787)</f>
        <v>0.54545454545454541</v>
      </c>
      <c r="L788" s="31">
        <f t="shared" si="147"/>
        <v>0.83333333333333337</v>
      </c>
      <c r="M788" s="31">
        <f t="shared" si="147"/>
        <v>0.45454545454545453</v>
      </c>
      <c r="N788" s="31">
        <f t="shared" si="147"/>
        <v>0.5714285714285714</v>
      </c>
      <c r="O788" s="31">
        <f t="shared" si="147"/>
        <v>0.7142857142857143</v>
      </c>
      <c r="P788" s="31">
        <f t="shared" si="147"/>
        <v>0.59523809523809523</v>
      </c>
      <c r="Q788" s="31" t="e">
        <f t="shared" si="147"/>
        <v>#DIV/0!</v>
      </c>
      <c r="R788" s="63"/>
      <c r="S788" s="10"/>
      <c r="T788" s="10"/>
      <c r="U788" s="17"/>
      <c r="V788" s="10"/>
      <c r="W788" s="10"/>
      <c r="X788" s="10"/>
    </row>
    <row r="789" spans="1:24">
      <c r="B789" s="11"/>
      <c r="C789" s="10"/>
      <c r="D789" s="10"/>
      <c r="E789" s="10"/>
      <c r="F789" s="10"/>
      <c r="G789" s="10"/>
      <c r="H789" s="10"/>
      <c r="I789" s="10"/>
      <c r="J789" s="10" t="s">
        <v>48</v>
      </c>
      <c r="K789" s="66">
        <f t="shared" ref="K789:Q789" si="148">K785/K786</f>
        <v>1634.8666666666668</v>
      </c>
      <c r="L789" s="66">
        <f t="shared" si="148"/>
        <v>2728.2799999999997</v>
      </c>
      <c r="M789" s="66">
        <f t="shared" si="148"/>
        <v>2360.4</v>
      </c>
      <c r="N789" s="66">
        <f t="shared" si="148"/>
        <v>1121</v>
      </c>
      <c r="O789" s="66">
        <f t="shared" si="148"/>
        <v>1442.08</v>
      </c>
      <c r="P789" s="66">
        <f t="shared" si="148"/>
        <v>1877.88</v>
      </c>
      <c r="Q789" s="66" t="e">
        <f t="shared" si="148"/>
        <v>#DIV/0!</v>
      </c>
      <c r="R789" s="63"/>
      <c r="S789" s="10"/>
      <c r="T789" s="10"/>
      <c r="U789" s="17"/>
      <c r="V789" s="10"/>
      <c r="W789" s="10"/>
      <c r="X789" s="10"/>
    </row>
    <row r="790" spans="1:24">
      <c r="B790" s="11"/>
      <c r="C790" s="10"/>
      <c r="D790" s="10"/>
      <c r="E790" s="10"/>
      <c r="F790" s="10"/>
      <c r="G790" s="10"/>
      <c r="H790" s="10"/>
      <c r="I790" s="10"/>
      <c r="J790" s="10"/>
      <c r="K790" s="10"/>
      <c r="L790" s="10"/>
      <c r="M790" s="10"/>
      <c r="N790" s="10"/>
      <c r="O790" s="10"/>
      <c r="P790" s="10"/>
      <c r="Q790" s="10"/>
      <c r="R790" s="10"/>
      <c r="S790" s="10"/>
      <c r="T790" s="10"/>
      <c r="U790" s="17"/>
      <c r="V790" s="10"/>
      <c r="W790" s="10"/>
      <c r="X790" s="10"/>
    </row>
    <row r="791" spans="1:24">
      <c r="B791" s="11"/>
      <c r="C791" s="10"/>
      <c r="D791" s="10"/>
      <c r="E791" s="10"/>
      <c r="F791" s="10"/>
      <c r="G791" s="10"/>
      <c r="H791" s="10"/>
      <c r="I791" s="10"/>
      <c r="J791" s="10"/>
      <c r="K791" s="10"/>
      <c r="L791" s="10"/>
      <c r="M791" s="10"/>
      <c r="N791" s="10"/>
      <c r="O791" s="10"/>
      <c r="P791" s="10"/>
      <c r="Q791" s="10"/>
      <c r="R791" s="10"/>
      <c r="S791" s="10"/>
      <c r="T791" s="10"/>
      <c r="U791" s="17"/>
      <c r="V791" s="10"/>
      <c r="W791" s="10"/>
      <c r="X791" s="10"/>
    </row>
    <row r="792" spans="1:24">
      <c r="B792" s="18" t="s">
        <v>51</v>
      </c>
      <c r="C792" s="14"/>
      <c r="D792" s="14"/>
      <c r="E792" s="14"/>
      <c r="F792" s="13" t="s">
        <v>52</v>
      </c>
      <c r="G792" s="14"/>
      <c r="H792" s="14"/>
      <c r="I792" s="14"/>
      <c r="J792" s="14"/>
      <c r="K792" s="13" t="s">
        <v>3</v>
      </c>
      <c r="L792" s="14"/>
      <c r="M792" s="14"/>
      <c r="N792" s="13" t="s">
        <v>4</v>
      </c>
      <c r="O792" s="14"/>
      <c r="P792" s="14"/>
      <c r="Q792" s="13" t="s">
        <v>5</v>
      </c>
      <c r="R792" s="14"/>
      <c r="S792" s="14"/>
      <c r="T792" s="18"/>
      <c r="U792" s="16" t="s">
        <v>53</v>
      </c>
      <c r="V792" s="77"/>
      <c r="W792" s="77"/>
      <c r="X792" s="77"/>
    </row>
    <row r="793" spans="1:24">
      <c r="B793" s="24" t="s">
        <v>54</v>
      </c>
      <c r="C793" s="21" t="s">
        <v>55</v>
      </c>
      <c r="D793" s="21" t="s">
        <v>56</v>
      </c>
      <c r="E793" s="21" t="s">
        <v>57</v>
      </c>
      <c r="F793" s="20" t="s">
        <v>58</v>
      </c>
      <c r="G793" s="21" t="s">
        <v>59</v>
      </c>
      <c r="H793" s="21" t="s">
        <v>60</v>
      </c>
      <c r="I793" s="21" t="s">
        <v>26</v>
      </c>
      <c r="J793" s="22" t="s">
        <v>61</v>
      </c>
      <c r="K793" s="21" t="s">
        <v>8</v>
      </c>
      <c r="L793" s="21" t="s">
        <v>9</v>
      </c>
      <c r="M793" s="21" t="s">
        <v>10</v>
      </c>
      <c r="N793" s="20" t="s">
        <v>11</v>
      </c>
      <c r="O793" s="21" t="s">
        <v>12</v>
      </c>
      <c r="P793" s="22" t="s">
        <v>13</v>
      </c>
      <c r="Q793" s="21" t="s">
        <v>11</v>
      </c>
      <c r="R793" s="21" t="s">
        <v>12</v>
      </c>
      <c r="S793" s="21" t="s">
        <v>13</v>
      </c>
      <c r="T793" s="78" t="s">
        <v>14</v>
      </c>
      <c r="U793" s="30"/>
      <c r="V793" s="79" t="s">
        <v>62</v>
      </c>
      <c r="W793" s="80" t="s">
        <v>63</v>
      </c>
      <c r="X793" s="81" t="s">
        <v>64</v>
      </c>
    </row>
    <row r="794" spans="1:24">
      <c r="B794" s="4" t="s">
        <v>65</v>
      </c>
      <c r="C794" s="6"/>
      <c r="D794" s="6"/>
      <c r="E794" s="6"/>
      <c r="F794" s="6"/>
      <c r="G794" s="6"/>
      <c r="H794" s="6"/>
      <c r="I794" s="82"/>
      <c r="J794" s="6"/>
      <c r="K794" s="6"/>
      <c r="L794" s="6"/>
      <c r="M794" s="6"/>
      <c r="N794" s="6"/>
      <c r="O794" s="6"/>
      <c r="P794" s="6"/>
      <c r="Q794" s="6"/>
      <c r="R794" s="6"/>
      <c r="S794" s="6"/>
      <c r="T794" s="83"/>
      <c r="U794" s="6"/>
      <c r="V794" s="84"/>
      <c r="W794" s="85"/>
      <c r="X794" s="86"/>
    </row>
    <row r="795" spans="1:24">
      <c r="B795" s="87">
        <v>1</v>
      </c>
      <c r="C795" s="274">
        <v>45901</v>
      </c>
      <c r="D795" s="327">
        <v>72819</v>
      </c>
      <c r="E795" s="276" t="s">
        <v>1248</v>
      </c>
      <c r="F795" s="277">
        <v>628</v>
      </c>
      <c r="G795" s="277"/>
      <c r="H795" s="297"/>
      <c r="I795" s="278">
        <f t="shared" ref="I795:I818" si="149">F795-G795-H795</f>
        <v>628</v>
      </c>
      <c r="J795" s="279" t="s">
        <v>156</v>
      </c>
      <c r="K795" s="279">
        <v>1</v>
      </c>
      <c r="L795" s="279">
        <v>1</v>
      </c>
      <c r="M795" s="279">
        <v>1</v>
      </c>
      <c r="N795" s="279">
        <v>1</v>
      </c>
      <c r="O795" s="279">
        <v>1</v>
      </c>
      <c r="P795" s="279">
        <v>1</v>
      </c>
      <c r="Q795" s="279">
        <v>1</v>
      </c>
      <c r="R795" s="279">
        <v>1</v>
      </c>
      <c r="S795" s="280">
        <v>1</v>
      </c>
      <c r="T795" s="63"/>
      <c r="U795" s="10"/>
      <c r="V795" s="90">
        <v>690.8</v>
      </c>
      <c r="W795" s="91"/>
      <c r="X795" s="92"/>
    </row>
    <row r="796" spans="1:24">
      <c r="A796" t="s">
        <v>230</v>
      </c>
      <c r="B796" s="87">
        <f t="shared" ref="B796:B809" si="150">B795+1</f>
        <v>2</v>
      </c>
      <c r="C796" s="295">
        <v>45901</v>
      </c>
      <c r="D796" s="323">
        <v>72828</v>
      </c>
      <c r="E796" s="10" t="s">
        <v>991</v>
      </c>
      <c r="F796" s="62">
        <v>681</v>
      </c>
      <c r="G796" s="62"/>
      <c r="H796" s="62"/>
      <c r="I796" s="369">
        <f t="shared" si="149"/>
        <v>681</v>
      </c>
      <c r="J796" s="63" t="s">
        <v>156</v>
      </c>
      <c r="K796" s="63">
        <v>1</v>
      </c>
      <c r="L796" s="63">
        <v>1</v>
      </c>
      <c r="M796" s="63">
        <v>1</v>
      </c>
      <c r="N796" s="63">
        <v>1</v>
      </c>
      <c r="O796" s="63">
        <v>1</v>
      </c>
      <c r="P796" s="63">
        <v>1</v>
      </c>
      <c r="Q796" s="63">
        <v>1</v>
      </c>
      <c r="R796" s="63">
        <v>1</v>
      </c>
      <c r="S796" s="296">
        <v>1</v>
      </c>
      <c r="T796" s="63"/>
      <c r="U796" s="10"/>
      <c r="V796" s="90">
        <v>749.1</v>
      </c>
      <c r="W796" s="91"/>
      <c r="X796" s="92"/>
    </row>
    <row r="797" spans="1:24">
      <c r="B797" s="87">
        <f t="shared" si="150"/>
        <v>3</v>
      </c>
      <c r="C797" s="295">
        <v>45901</v>
      </c>
      <c r="D797" s="323">
        <v>72835</v>
      </c>
      <c r="E797" s="10" t="s">
        <v>216</v>
      </c>
      <c r="F797" s="62">
        <v>681</v>
      </c>
      <c r="G797" s="62"/>
      <c r="H797" s="62"/>
      <c r="I797" s="89">
        <f t="shared" si="149"/>
        <v>681</v>
      </c>
      <c r="J797" s="63" t="s">
        <v>156</v>
      </c>
      <c r="K797" s="63">
        <v>1</v>
      </c>
      <c r="L797" s="63">
        <v>1</v>
      </c>
      <c r="M797" s="63">
        <v>1</v>
      </c>
      <c r="N797" s="63">
        <v>1</v>
      </c>
      <c r="O797" s="63">
        <v>1</v>
      </c>
      <c r="P797" s="63">
        <v>1</v>
      </c>
      <c r="Q797" s="63">
        <v>1</v>
      </c>
      <c r="R797" s="63">
        <v>1</v>
      </c>
      <c r="S797" s="296">
        <v>1</v>
      </c>
      <c r="T797" s="63"/>
      <c r="U797" s="10"/>
      <c r="V797" s="90">
        <v>749.1</v>
      </c>
      <c r="W797" s="91"/>
      <c r="X797" s="92"/>
    </row>
    <row r="798" spans="1:24">
      <c r="A798" s="464">
        <v>45902</v>
      </c>
      <c r="B798" s="87">
        <f>B797+1</f>
        <v>4</v>
      </c>
      <c r="C798" s="295">
        <v>45901</v>
      </c>
      <c r="D798" s="323" t="s">
        <v>2548</v>
      </c>
      <c r="E798" s="10" t="s">
        <v>216</v>
      </c>
      <c r="F798" s="62">
        <v>5814</v>
      </c>
      <c r="G798" s="62">
        <f>39.7+(1398.16)</f>
        <v>1437.8600000000001</v>
      </c>
      <c r="H798" s="62"/>
      <c r="I798" s="324">
        <f>F798-G798-H798</f>
        <v>4376.1399999999994</v>
      </c>
      <c r="J798" s="63" t="s">
        <v>156</v>
      </c>
      <c r="K798" s="63">
        <v>1</v>
      </c>
      <c r="L798" s="325">
        <v>0</v>
      </c>
      <c r="M798" s="63">
        <v>1</v>
      </c>
      <c r="N798" s="63">
        <v>1</v>
      </c>
      <c r="O798" s="63">
        <v>1</v>
      </c>
      <c r="P798" s="63">
        <v>1</v>
      </c>
      <c r="Q798" s="63">
        <v>1</v>
      </c>
      <c r="R798" s="63">
        <v>1</v>
      </c>
      <c r="S798" s="296">
        <v>1</v>
      </c>
      <c r="T798" s="63"/>
      <c r="U798" s="94" t="s">
        <v>2549</v>
      </c>
      <c r="V798" s="90">
        <f>639+5756.4</f>
        <v>6395.4</v>
      </c>
      <c r="W798" s="91"/>
      <c r="X798" s="92"/>
    </row>
    <row r="799" spans="1:24">
      <c r="B799" s="87">
        <f>B798+1</f>
        <v>5</v>
      </c>
      <c r="C799" s="295">
        <v>45901</v>
      </c>
      <c r="D799" s="323" t="s">
        <v>2550</v>
      </c>
      <c r="E799" s="94" t="s">
        <v>274</v>
      </c>
      <c r="F799" s="62">
        <v>1422.9</v>
      </c>
      <c r="G799" s="62">
        <f>39.7</f>
        <v>39.700000000000003</v>
      </c>
      <c r="H799" s="62"/>
      <c r="I799" s="89">
        <f t="shared" si="149"/>
        <v>1383.2</v>
      </c>
      <c r="J799" s="63" t="s">
        <v>156</v>
      </c>
      <c r="K799" s="63">
        <v>1</v>
      </c>
      <c r="L799" s="63">
        <v>1</v>
      </c>
      <c r="M799" s="63">
        <v>1</v>
      </c>
      <c r="N799" s="63">
        <v>1</v>
      </c>
      <c r="O799" s="63">
        <v>1</v>
      </c>
      <c r="P799" s="63">
        <v>1</v>
      </c>
      <c r="Q799" s="63">
        <v>1</v>
      </c>
      <c r="R799" s="63">
        <v>1</v>
      </c>
      <c r="S799" s="296">
        <v>1</v>
      </c>
      <c r="T799" s="63"/>
      <c r="U799" s="10"/>
      <c r="V799" s="90">
        <v>1565.19</v>
      </c>
      <c r="W799" s="91"/>
      <c r="X799" s="92"/>
    </row>
    <row r="800" spans="1:24">
      <c r="B800" s="87">
        <f t="shared" si="150"/>
        <v>6</v>
      </c>
      <c r="C800" s="295">
        <v>45901</v>
      </c>
      <c r="D800" s="323" t="s">
        <v>2551</v>
      </c>
      <c r="E800" s="94" t="s">
        <v>274</v>
      </c>
      <c r="F800" s="62">
        <v>582.29999999999995</v>
      </c>
      <c r="G800" s="62"/>
      <c r="H800" s="62"/>
      <c r="I800" s="369">
        <f t="shared" si="149"/>
        <v>582.29999999999995</v>
      </c>
      <c r="J800" s="63" t="s">
        <v>156</v>
      </c>
      <c r="K800" s="63">
        <v>1</v>
      </c>
      <c r="L800" s="63">
        <v>1</v>
      </c>
      <c r="M800" s="63">
        <v>1</v>
      </c>
      <c r="N800" s="63">
        <v>1</v>
      </c>
      <c r="O800" s="63">
        <v>1</v>
      </c>
      <c r="P800" s="325">
        <v>0</v>
      </c>
      <c r="Q800" s="63">
        <v>1</v>
      </c>
      <c r="R800" s="63">
        <v>1</v>
      </c>
      <c r="S800" s="296">
        <v>1</v>
      </c>
      <c r="T800" s="63"/>
      <c r="U800" s="10" t="s">
        <v>2552</v>
      </c>
      <c r="V800" s="90">
        <v>640.53</v>
      </c>
      <c r="W800" s="91"/>
      <c r="X800" s="92"/>
    </row>
    <row r="801" spans="1:24">
      <c r="B801" s="87">
        <f>B800+1</f>
        <v>7</v>
      </c>
      <c r="C801" s="274">
        <v>45902</v>
      </c>
      <c r="D801" s="327">
        <v>72846</v>
      </c>
      <c r="E801" s="276" t="s">
        <v>2553</v>
      </c>
      <c r="F801" s="277">
        <v>2034.9</v>
      </c>
      <c r="G801" s="277">
        <f>39.7+398</f>
        <v>437.7</v>
      </c>
      <c r="H801" s="277"/>
      <c r="I801" s="278">
        <f>F801-G801-H801</f>
        <v>1597.2</v>
      </c>
      <c r="J801" s="279" t="s">
        <v>236</v>
      </c>
      <c r="K801" s="279">
        <v>1</v>
      </c>
      <c r="L801" s="279">
        <v>1</v>
      </c>
      <c r="M801" s="279">
        <v>1</v>
      </c>
      <c r="N801" s="279">
        <v>1</v>
      </c>
      <c r="O801" s="279">
        <v>1</v>
      </c>
      <c r="P801" s="279">
        <v>1</v>
      </c>
      <c r="Q801" s="279">
        <v>1</v>
      </c>
      <c r="R801" s="279">
        <v>1</v>
      </c>
      <c r="S801" s="280">
        <v>1</v>
      </c>
      <c r="T801" s="63"/>
      <c r="U801" s="94" t="s">
        <v>2554</v>
      </c>
      <c r="V801" s="90">
        <v>2018.39</v>
      </c>
      <c r="W801" s="456">
        <v>220</v>
      </c>
      <c r="X801" s="92"/>
    </row>
    <row r="802" spans="1:24">
      <c r="B802" s="87">
        <f>B801+1</f>
        <v>8</v>
      </c>
      <c r="C802" s="295">
        <v>45902</v>
      </c>
      <c r="D802" s="323">
        <v>72788</v>
      </c>
      <c r="E802" s="10" t="s">
        <v>1666</v>
      </c>
      <c r="F802" s="62">
        <f>1138</f>
        <v>1138</v>
      </c>
      <c r="G802" s="62">
        <f>39.7</f>
        <v>39.700000000000003</v>
      </c>
      <c r="H802" s="88"/>
      <c r="I802" s="89">
        <f t="shared" si="149"/>
        <v>1098.3</v>
      </c>
      <c r="J802" s="63" t="s">
        <v>156</v>
      </c>
      <c r="K802" s="63">
        <v>1</v>
      </c>
      <c r="L802" s="325">
        <v>0</v>
      </c>
      <c r="M802" s="63">
        <v>1</v>
      </c>
      <c r="N802" s="63">
        <v>1</v>
      </c>
      <c r="O802" s="63">
        <v>1</v>
      </c>
      <c r="P802" s="63">
        <v>1</v>
      </c>
      <c r="Q802" s="63">
        <v>1</v>
      </c>
      <c r="R802" s="63">
        <v>1</v>
      </c>
      <c r="S802" s="296">
        <v>1</v>
      </c>
      <c r="T802" s="63"/>
      <c r="U802" s="10"/>
      <c r="V802" s="90">
        <v>1251.8</v>
      </c>
      <c r="W802" s="91"/>
      <c r="X802" s="92"/>
    </row>
    <row r="803" spans="1:24">
      <c r="A803" t="s">
        <v>230</v>
      </c>
      <c r="B803" s="87">
        <f t="shared" si="150"/>
        <v>9</v>
      </c>
      <c r="C803" s="295">
        <v>45902</v>
      </c>
      <c r="D803" s="323">
        <v>72874</v>
      </c>
      <c r="E803" s="10" t="s">
        <v>2555</v>
      </c>
      <c r="F803" s="62">
        <v>4014.9</v>
      </c>
      <c r="G803" s="62">
        <f>39.7</f>
        <v>39.700000000000003</v>
      </c>
      <c r="H803" s="88"/>
      <c r="I803" s="369">
        <f t="shared" si="149"/>
        <v>3975.2000000000003</v>
      </c>
      <c r="J803" s="63" t="s">
        <v>156</v>
      </c>
      <c r="K803" s="63">
        <v>1</v>
      </c>
      <c r="L803" s="63">
        <v>1</v>
      </c>
      <c r="M803" s="63">
        <v>1</v>
      </c>
      <c r="N803" s="63">
        <v>1</v>
      </c>
      <c r="O803" s="63">
        <v>1</v>
      </c>
      <c r="P803" s="63">
        <v>1</v>
      </c>
      <c r="Q803" s="63">
        <v>1</v>
      </c>
      <c r="R803" s="63">
        <v>1</v>
      </c>
      <c r="S803" s="296">
        <v>1</v>
      </c>
      <c r="T803" s="63"/>
      <c r="U803" s="10"/>
      <c r="V803" s="90">
        <v>4416.3900000000003</v>
      </c>
      <c r="W803" s="91"/>
      <c r="X803" s="92"/>
    </row>
    <row r="804" spans="1:24">
      <c r="B804" s="87">
        <f t="shared" si="150"/>
        <v>10</v>
      </c>
      <c r="C804" s="295">
        <v>45902</v>
      </c>
      <c r="D804" s="323">
        <v>72880</v>
      </c>
      <c r="E804" s="101" t="s">
        <v>1835</v>
      </c>
      <c r="F804" s="62">
        <v>5592.6</v>
      </c>
      <c r="G804" s="62">
        <f>39.7+(1683.25)+250</f>
        <v>1972.95</v>
      </c>
      <c r="H804" s="62"/>
      <c r="I804" s="89">
        <f t="shared" si="149"/>
        <v>3619.6500000000005</v>
      </c>
      <c r="J804" s="63" t="s">
        <v>156</v>
      </c>
      <c r="K804" s="63">
        <v>1</v>
      </c>
      <c r="L804" s="63">
        <v>1</v>
      </c>
      <c r="M804" s="325">
        <v>0</v>
      </c>
      <c r="N804" s="63">
        <v>1</v>
      </c>
      <c r="O804" s="63">
        <v>1</v>
      </c>
      <c r="P804" s="63">
        <v>1</v>
      </c>
      <c r="Q804" s="63">
        <v>1</v>
      </c>
      <c r="R804" s="63">
        <v>1</v>
      </c>
      <c r="S804" s="296">
        <v>1</v>
      </c>
      <c r="T804" s="63"/>
      <c r="U804" s="10" t="s">
        <v>2556</v>
      </c>
      <c r="V804" s="90">
        <f>500+5651.86</f>
        <v>6151.86</v>
      </c>
      <c r="W804" s="91"/>
      <c r="X804" s="92"/>
    </row>
    <row r="805" spans="1:24">
      <c r="B805" s="87">
        <f t="shared" si="150"/>
        <v>11</v>
      </c>
      <c r="C805" s="295">
        <v>45902</v>
      </c>
      <c r="D805" s="323">
        <v>72894</v>
      </c>
      <c r="E805" s="10" t="s">
        <v>1037</v>
      </c>
      <c r="F805" s="62">
        <v>861</v>
      </c>
      <c r="G805" s="62">
        <f>39.7</f>
        <v>39.700000000000003</v>
      </c>
      <c r="H805" s="88"/>
      <c r="I805" s="89">
        <f t="shared" si="149"/>
        <v>821.3</v>
      </c>
      <c r="J805" s="63" t="s">
        <v>156</v>
      </c>
      <c r="K805" s="63">
        <v>1</v>
      </c>
      <c r="L805" s="63">
        <v>1</v>
      </c>
      <c r="M805" s="63">
        <v>1</v>
      </c>
      <c r="N805" s="63">
        <v>1</v>
      </c>
      <c r="O805" s="63">
        <v>1</v>
      </c>
      <c r="P805" s="63">
        <v>1</v>
      </c>
      <c r="Q805" s="63">
        <v>1</v>
      </c>
      <c r="R805" s="63">
        <v>1</v>
      </c>
      <c r="S805" s="296">
        <v>1</v>
      </c>
      <c r="T805" s="21">
        <v>1</v>
      </c>
      <c r="U805" s="10"/>
      <c r="V805" s="90">
        <v>947.1</v>
      </c>
      <c r="W805" s="91"/>
      <c r="X805" s="92"/>
    </row>
    <row r="806" spans="1:24">
      <c r="B806" s="87">
        <f t="shared" si="150"/>
        <v>12</v>
      </c>
      <c r="C806" s="274">
        <v>45903</v>
      </c>
      <c r="D806" s="327">
        <v>72898</v>
      </c>
      <c r="E806" s="276" t="s">
        <v>1173</v>
      </c>
      <c r="F806" s="277">
        <v>1024.2</v>
      </c>
      <c r="G806" s="277">
        <f>39.7</f>
        <v>39.700000000000003</v>
      </c>
      <c r="H806" s="297"/>
      <c r="I806" s="278">
        <f t="shared" si="149"/>
        <v>984.5</v>
      </c>
      <c r="J806" s="279" t="s">
        <v>156</v>
      </c>
      <c r="K806" s="279">
        <v>1</v>
      </c>
      <c r="L806" s="279">
        <v>1</v>
      </c>
      <c r="M806" s="279">
        <v>1</v>
      </c>
      <c r="N806" s="279">
        <v>1</v>
      </c>
      <c r="O806" s="279">
        <v>1</v>
      </c>
      <c r="P806" s="279">
        <v>1</v>
      </c>
      <c r="Q806" s="279">
        <v>1</v>
      </c>
      <c r="R806" s="279">
        <v>1</v>
      </c>
      <c r="S806" s="280">
        <v>1</v>
      </c>
      <c r="T806" s="63"/>
      <c r="U806" s="10" t="s">
        <v>2557</v>
      </c>
      <c r="V806" s="90">
        <v>1126.6199999999999</v>
      </c>
      <c r="W806" s="91"/>
      <c r="X806" s="92"/>
    </row>
    <row r="807" spans="1:24">
      <c r="B807" s="87">
        <f t="shared" si="150"/>
        <v>13</v>
      </c>
      <c r="C807" s="295">
        <v>45903</v>
      </c>
      <c r="D807" s="323">
        <v>72929</v>
      </c>
      <c r="E807" s="10" t="s">
        <v>1008</v>
      </c>
      <c r="F807" s="95">
        <v>581</v>
      </c>
      <c r="G807" s="62"/>
      <c r="H807" s="62"/>
      <c r="I807" s="89">
        <f t="shared" si="149"/>
        <v>581</v>
      </c>
      <c r="J807" s="63" t="s">
        <v>156</v>
      </c>
      <c r="K807" s="63">
        <v>1</v>
      </c>
      <c r="L807" s="63">
        <v>1</v>
      </c>
      <c r="M807" s="63">
        <v>1</v>
      </c>
      <c r="N807" s="63">
        <v>1</v>
      </c>
      <c r="O807" s="63">
        <v>1</v>
      </c>
      <c r="P807" s="63">
        <v>1</v>
      </c>
      <c r="Q807" s="63">
        <v>1</v>
      </c>
      <c r="R807" s="63">
        <v>1</v>
      </c>
      <c r="S807" s="296">
        <v>1</v>
      </c>
      <c r="T807" s="21">
        <v>1</v>
      </c>
      <c r="U807" s="10"/>
      <c r="V807" s="90">
        <v>639.1</v>
      </c>
      <c r="W807" s="91"/>
      <c r="X807" s="92"/>
    </row>
    <row r="808" spans="1:24">
      <c r="B808" s="87">
        <f t="shared" si="150"/>
        <v>14</v>
      </c>
      <c r="C808" s="295">
        <v>45903</v>
      </c>
      <c r="D808" s="323">
        <v>72920</v>
      </c>
      <c r="E808" s="101" t="s">
        <v>2558</v>
      </c>
      <c r="F808" s="62">
        <v>1861</v>
      </c>
      <c r="G808" s="62">
        <f>39.7</f>
        <v>39.700000000000003</v>
      </c>
      <c r="H808" s="62"/>
      <c r="I808" s="89">
        <f>F808-G808-H808</f>
        <v>1821.3</v>
      </c>
      <c r="J808" s="63" t="s">
        <v>374</v>
      </c>
      <c r="K808" s="63">
        <v>1</v>
      </c>
      <c r="L808" s="63">
        <v>1</v>
      </c>
      <c r="M808" s="63">
        <v>1</v>
      </c>
      <c r="N808" s="63">
        <v>1</v>
      </c>
      <c r="O808" s="63">
        <v>1</v>
      </c>
      <c r="P808" s="63">
        <v>1</v>
      </c>
      <c r="Q808" s="63">
        <v>1</v>
      </c>
      <c r="R808" s="63">
        <v>1</v>
      </c>
      <c r="S808" s="296">
        <v>1</v>
      </c>
      <c r="T808" s="21">
        <v>1</v>
      </c>
      <c r="U808" s="10" t="s">
        <v>2557</v>
      </c>
      <c r="V808" s="90">
        <v>2047.1</v>
      </c>
      <c r="W808" s="91"/>
      <c r="X808" s="92"/>
    </row>
    <row r="809" spans="1:24">
      <c r="A809" t="s">
        <v>2559</v>
      </c>
      <c r="B809" s="87">
        <f t="shared" si="150"/>
        <v>15</v>
      </c>
      <c r="C809" s="295">
        <v>45903</v>
      </c>
      <c r="D809" s="323" t="s">
        <v>2560</v>
      </c>
      <c r="E809" s="101" t="s">
        <v>2558</v>
      </c>
      <c r="F809" s="62">
        <v>2412.9</v>
      </c>
      <c r="G809" s="62">
        <f>39.7+(199.74+241.7)+200</f>
        <v>681.14</v>
      </c>
      <c r="H809" s="62"/>
      <c r="I809" s="369">
        <f>F809-G809-H809</f>
        <v>1731.7600000000002</v>
      </c>
      <c r="J809" s="63" t="s">
        <v>374</v>
      </c>
      <c r="K809" s="63">
        <v>1</v>
      </c>
      <c r="L809" s="63">
        <v>1</v>
      </c>
      <c r="M809" s="63">
        <v>1</v>
      </c>
      <c r="N809" s="63">
        <v>1</v>
      </c>
      <c r="O809" s="63">
        <v>1</v>
      </c>
      <c r="P809" s="63">
        <v>1</v>
      </c>
      <c r="Q809" s="63">
        <v>1</v>
      </c>
      <c r="R809" s="63">
        <v>1</v>
      </c>
      <c r="S809" s="296">
        <v>1</v>
      </c>
      <c r="T809" s="21">
        <v>1</v>
      </c>
      <c r="U809" s="10" t="s">
        <v>2561</v>
      </c>
      <c r="V809" s="90">
        <v>2654.19</v>
      </c>
      <c r="W809" s="91"/>
      <c r="X809" s="92"/>
    </row>
    <row r="810" spans="1:24">
      <c r="A810" s="464">
        <v>45905</v>
      </c>
      <c r="B810" s="87">
        <f>B809+1</f>
        <v>16</v>
      </c>
      <c r="C810" s="295">
        <v>45903</v>
      </c>
      <c r="D810" s="323">
        <v>72936</v>
      </c>
      <c r="E810" s="10" t="s">
        <v>1835</v>
      </c>
      <c r="F810" s="62">
        <v>5922.9</v>
      </c>
      <c r="G810" s="62">
        <f>39.7+(1931.65+1343.99)+300</f>
        <v>3615.34</v>
      </c>
      <c r="H810" s="62"/>
      <c r="I810" s="89">
        <f>F810-G810-H810</f>
        <v>2307.5599999999995</v>
      </c>
      <c r="J810" s="63" t="s">
        <v>156</v>
      </c>
      <c r="K810" s="63">
        <v>1</v>
      </c>
      <c r="L810" s="63">
        <v>1</v>
      </c>
      <c r="M810" s="63">
        <v>1</v>
      </c>
      <c r="N810" s="63">
        <v>1</v>
      </c>
      <c r="O810" s="63">
        <v>1</v>
      </c>
      <c r="P810" s="63">
        <v>1</v>
      </c>
      <c r="Q810" s="63">
        <v>1</v>
      </c>
      <c r="R810" s="63">
        <v>1</v>
      </c>
      <c r="S810" s="296">
        <v>1</v>
      </c>
      <c r="T810" s="63"/>
      <c r="U810" s="94" t="s">
        <v>2562</v>
      </c>
      <c r="V810" s="90">
        <f>650+5665.19+200</f>
        <v>6515.19</v>
      </c>
      <c r="W810" s="91"/>
      <c r="X810" s="92"/>
    </row>
    <row r="811" spans="1:24">
      <c r="A811" t="s">
        <v>230</v>
      </c>
      <c r="B811" s="87">
        <f>B810+1</f>
        <v>17</v>
      </c>
      <c r="C811" s="274">
        <v>45904</v>
      </c>
      <c r="D811" s="327">
        <v>72957</v>
      </c>
      <c r="E811" s="276" t="s">
        <v>2563</v>
      </c>
      <c r="F811" s="447">
        <v>861</v>
      </c>
      <c r="G811" s="277">
        <f>39.7</f>
        <v>39.700000000000003</v>
      </c>
      <c r="H811" s="277"/>
      <c r="I811" s="329">
        <f t="shared" si="149"/>
        <v>821.3</v>
      </c>
      <c r="J811" s="279" t="s">
        <v>156</v>
      </c>
      <c r="K811" s="279">
        <v>1</v>
      </c>
      <c r="L811" s="279">
        <v>1</v>
      </c>
      <c r="M811" s="279">
        <v>1</v>
      </c>
      <c r="N811" s="279">
        <v>1</v>
      </c>
      <c r="O811" s="279">
        <v>1</v>
      </c>
      <c r="P811" s="279">
        <v>1</v>
      </c>
      <c r="Q811" s="279">
        <v>1</v>
      </c>
      <c r="R811" s="279">
        <v>1</v>
      </c>
      <c r="S811" s="280">
        <v>1</v>
      </c>
      <c r="T811" s="63"/>
      <c r="U811" s="10"/>
      <c r="V811" s="90">
        <v>947.1</v>
      </c>
      <c r="W811" s="91"/>
      <c r="X811" s="92"/>
    </row>
    <row r="812" spans="1:24">
      <c r="B812" s="87">
        <f>B811+1</f>
        <v>18</v>
      </c>
      <c r="C812" s="295">
        <v>45904</v>
      </c>
      <c r="D812" s="323">
        <v>72938</v>
      </c>
      <c r="E812" s="10" t="s">
        <v>172</v>
      </c>
      <c r="F812" s="95">
        <v>581</v>
      </c>
      <c r="G812" s="62"/>
      <c r="H812" s="62"/>
      <c r="I812" s="89">
        <f t="shared" si="149"/>
        <v>581</v>
      </c>
      <c r="J812" s="63" t="s">
        <v>236</v>
      </c>
      <c r="K812" s="63">
        <v>1</v>
      </c>
      <c r="L812" s="63">
        <v>1</v>
      </c>
      <c r="M812" s="63">
        <v>1</v>
      </c>
      <c r="N812" s="63">
        <v>1</v>
      </c>
      <c r="O812" s="63">
        <v>1</v>
      </c>
      <c r="P812" s="63">
        <v>1</v>
      </c>
      <c r="Q812" s="63">
        <v>1</v>
      </c>
      <c r="R812" s="63">
        <v>1</v>
      </c>
      <c r="S812" s="296">
        <v>1</v>
      </c>
      <c r="T812" s="21">
        <v>1</v>
      </c>
      <c r="U812" s="10"/>
      <c r="V812" s="90">
        <v>439.1</v>
      </c>
      <c r="W812" s="697">
        <v>200</v>
      </c>
      <c r="X812" s="92"/>
    </row>
    <row r="813" spans="1:24">
      <c r="B813" s="87">
        <f>B812+1</f>
        <v>19</v>
      </c>
      <c r="C813" s="295">
        <v>45904</v>
      </c>
      <c r="D813" s="323">
        <v>72976</v>
      </c>
      <c r="E813" s="10" t="s">
        <v>317</v>
      </c>
      <c r="F813" s="62">
        <v>781</v>
      </c>
      <c r="G813" s="62">
        <f>39.7</f>
        <v>39.700000000000003</v>
      </c>
      <c r="H813" s="62"/>
      <c r="I813" s="324">
        <f>F813-G813-H813</f>
        <v>741.3</v>
      </c>
      <c r="J813" s="63" t="s">
        <v>374</v>
      </c>
      <c r="K813" s="63">
        <v>1</v>
      </c>
      <c r="L813" s="325">
        <v>0</v>
      </c>
      <c r="M813" s="63">
        <v>1</v>
      </c>
      <c r="N813" s="63">
        <v>1</v>
      </c>
      <c r="O813" s="63">
        <v>1</v>
      </c>
      <c r="P813" s="63">
        <v>1</v>
      </c>
      <c r="Q813" s="63">
        <v>1</v>
      </c>
      <c r="R813" s="63">
        <v>1</v>
      </c>
      <c r="S813" s="296">
        <v>1</v>
      </c>
      <c r="T813" s="63"/>
      <c r="U813" s="10"/>
      <c r="V813" s="90">
        <v>859.1</v>
      </c>
      <c r="W813" s="96"/>
      <c r="X813" s="92"/>
    </row>
    <row r="814" spans="1:24">
      <c r="B814" s="87">
        <f>B813+1</f>
        <v>20</v>
      </c>
      <c r="C814" s="274">
        <v>45905</v>
      </c>
      <c r="D814" s="327">
        <v>72993</v>
      </c>
      <c r="E814" s="276" t="s">
        <v>1012</v>
      </c>
      <c r="F814" s="447">
        <v>2542</v>
      </c>
      <c r="G814" s="277">
        <f>39.7+(252.86)</f>
        <v>292.56</v>
      </c>
      <c r="H814" s="277"/>
      <c r="I814" s="278">
        <f t="shared" si="149"/>
        <v>2249.44</v>
      </c>
      <c r="J814" s="279" t="s">
        <v>150</v>
      </c>
      <c r="K814" s="279">
        <v>1</v>
      </c>
      <c r="L814" s="279">
        <v>1</v>
      </c>
      <c r="M814" s="279">
        <v>1</v>
      </c>
      <c r="N814" s="279">
        <v>1</v>
      </c>
      <c r="O814" s="279">
        <v>1</v>
      </c>
      <c r="P814" s="279">
        <v>1</v>
      </c>
      <c r="Q814" s="279">
        <v>1</v>
      </c>
      <c r="R814" s="279">
        <v>1</v>
      </c>
      <c r="S814" s="280">
        <v>1</v>
      </c>
      <c r="T814" s="63"/>
      <c r="U814" s="10" t="s">
        <v>2564</v>
      </c>
      <c r="V814" s="90">
        <v>0</v>
      </c>
      <c r="W814" s="697">
        <v>2800</v>
      </c>
      <c r="X814" s="92"/>
    </row>
    <row r="815" spans="1:24">
      <c r="B815" s="87">
        <f>B814+1</f>
        <v>21</v>
      </c>
      <c r="C815" s="295">
        <v>45905</v>
      </c>
      <c r="D815" s="323">
        <v>73010</v>
      </c>
      <c r="E815" s="10" t="s">
        <v>1249</v>
      </c>
      <c r="F815" s="95">
        <v>1984.5</v>
      </c>
      <c r="G815" s="62">
        <v>39.700000000000003</v>
      </c>
      <c r="H815" s="62"/>
      <c r="I815" s="324">
        <f t="shared" si="149"/>
        <v>1944.8</v>
      </c>
      <c r="J815" s="63" t="s">
        <v>156</v>
      </c>
      <c r="K815" s="63">
        <v>1</v>
      </c>
      <c r="L815" s="325">
        <v>0</v>
      </c>
      <c r="M815" s="63">
        <v>1</v>
      </c>
      <c r="N815" s="63">
        <v>1</v>
      </c>
      <c r="O815" s="63">
        <v>1</v>
      </c>
      <c r="P815" s="63">
        <v>1</v>
      </c>
      <c r="Q815" s="63">
        <v>1</v>
      </c>
      <c r="R815" s="63">
        <v>1</v>
      </c>
      <c r="S815" s="296">
        <v>1</v>
      </c>
      <c r="T815" s="63"/>
      <c r="U815" s="10"/>
      <c r="V815" s="90">
        <v>2182.9499999999998</v>
      </c>
      <c r="W815" s="96"/>
      <c r="X815" s="92"/>
    </row>
    <row r="816" spans="1:24">
      <c r="A816" s="464">
        <v>45906</v>
      </c>
      <c r="B816" s="87">
        <f>B815+1</f>
        <v>22</v>
      </c>
      <c r="C816" s="295">
        <v>45905</v>
      </c>
      <c r="D816" s="323" t="s">
        <v>2565</v>
      </c>
      <c r="E816" s="10" t="s">
        <v>1249</v>
      </c>
      <c r="F816" s="62">
        <v>1440</v>
      </c>
      <c r="G816" s="62">
        <f>39.7+200</f>
        <v>239.7</v>
      </c>
      <c r="H816" s="62"/>
      <c r="I816" s="324">
        <f>F816-G816-H816</f>
        <v>1200.3</v>
      </c>
      <c r="J816" s="63" t="s">
        <v>156</v>
      </c>
      <c r="K816" s="63">
        <v>1</v>
      </c>
      <c r="L816" s="325">
        <v>0</v>
      </c>
      <c r="M816" s="325">
        <v>0</v>
      </c>
      <c r="N816" s="63">
        <v>1</v>
      </c>
      <c r="O816" s="63">
        <v>1</v>
      </c>
      <c r="P816" s="63">
        <v>1</v>
      </c>
      <c r="Q816" s="63">
        <v>1</v>
      </c>
      <c r="R816" s="63">
        <v>1</v>
      </c>
      <c r="S816" s="296">
        <v>1</v>
      </c>
      <c r="T816" s="63"/>
      <c r="U816" s="94" t="s">
        <v>2566</v>
      </c>
      <c r="V816" s="90">
        <f>158+1426</f>
        <v>1584</v>
      </c>
      <c r="W816" s="96"/>
      <c r="X816" s="92"/>
    </row>
    <row r="817" spans="1:24">
      <c r="B817" s="87">
        <f>B816+1</f>
        <v>23</v>
      </c>
      <c r="C817" s="295">
        <v>45905</v>
      </c>
      <c r="D817" s="323">
        <v>72983</v>
      </c>
      <c r="E817" s="10" t="s">
        <v>1150</v>
      </c>
      <c r="F817" s="95">
        <v>721</v>
      </c>
      <c r="G817" s="62"/>
      <c r="H817" s="62"/>
      <c r="I817" s="324">
        <f t="shared" si="149"/>
        <v>721</v>
      </c>
      <c r="J817" s="63" t="s">
        <v>156</v>
      </c>
      <c r="K817" s="63">
        <v>1</v>
      </c>
      <c r="L817" s="63">
        <v>1</v>
      </c>
      <c r="M817" s="63">
        <v>1</v>
      </c>
      <c r="N817" s="63">
        <v>1</v>
      </c>
      <c r="O817" s="63">
        <v>1</v>
      </c>
      <c r="P817" s="63">
        <v>1</v>
      </c>
      <c r="Q817" s="63">
        <v>1</v>
      </c>
      <c r="R817" s="63">
        <v>1</v>
      </c>
      <c r="S817" s="296">
        <v>1</v>
      </c>
      <c r="T817" s="63"/>
      <c r="U817" s="10" t="s">
        <v>2567</v>
      </c>
      <c r="V817" s="90">
        <v>793.1</v>
      </c>
      <c r="W817" s="96"/>
      <c r="X817" s="92"/>
    </row>
    <row r="818" spans="1:24">
      <c r="B818" s="87">
        <f>B817+1</f>
        <v>24</v>
      </c>
      <c r="C818" s="282">
        <v>45905</v>
      </c>
      <c r="D818" s="368">
        <v>73015</v>
      </c>
      <c r="E818" s="283" t="s">
        <v>991</v>
      </c>
      <c r="F818" s="423">
        <v>522.9</v>
      </c>
      <c r="G818" s="284"/>
      <c r="H818" s="284"/>
      <c r="I818" s="285">
        <f t="shared" si="149"/>
        <v>522.9</v>
      </c>
      <c r="J818" s="286" t="s">
        <v>156</v>
      </c>
      <c r="K818" s="286">
        <v>1</v>
      </c>
      <c r="L818" s="286">
        <v>1</v>
      </c>
      <c r="M818" s="286">
        <v>1</v>
      </c>
      <c r="N818" s="286">
        <v>1</v>
      </c>
      <c r="O818" s="286">
        <v>1</v>
      </c>
      <c r="P818" s="286">
        <v>1</v>
      </c>
      <c r="Q818" s="286">
        <v>1</v>
      </c>
      <c r="R818" s="286">
        <v>1</v>
      </c>
      <c r="S818" s="287">
        <v>1</v>
      </c>
      <c r="T818" s="63"/>
      <c r="U818" s="10"/>
      <c r="V818" s="90">
        <v>575.19000000000005</v>
      </c>
      <c r="W818" s="96"/>
      <c r="X818" s="92"/>
    </row>
    <row r="819" spans="1:24">
      <c r="B819" s="87"/>
      <c r="C819" s="36"/>
      <c r="D819" s="10"/>
      <c r="E819" s="10"/>
      <c r="F819" s="97">
        <f>SUM(F795:F818)</f>
        <v>44686</v>
      </c>
      <c r="G819" s="97">
        <f>SUM(G795:G818)</f>
        <v>9034.5500000000029</v>
      </c>
      <c r="H819" s="97">
        <f>SUM(H795:H818)</f>
        <v>0</v>
      </c>
      <c r="I819" s="98">
        <f>SUM(I795:I818)</f>
        <v>35651.449999999997</v>
      </c>
      <c r="J819" s="63"/>
      <c r="K819" s="63">
        <f t="shared" ref="K819:S819" si="151">COUNT(K795:K818)</f>
        <v>24</v>
      </c>
      <c r="L819" s="63">
        <f t="shared" si="151"/>
        <v>24</v>
      </c>
      <c r="M819" s="63">
        <f t="shared" si="151"/>
        <v>24</v>
      </c>
      <c r="N819" s="63">
        <f t="shared" si="151"/>
        <v>24</v>
      </c>
      <c r="O819" s="63">
        <f t="shared" si="151"/>
        <v>24</v>
      </c>
      <c r="P819" s="63">
        <f t="shared" si="151"/>
        <v>24</v>
      </c>
      <c r="Q819" s="63">
        <f t="shared" si="151"/>
        <v>24</v>
      </c>
      <c r="R819" s="63">
        <f t="shared" si="151"/>
        <v>24</v>
      </c>
      <c r="S819" s="63">
        <f t="shared" si="151"/>
        <v>24</v>
      </c>
      <c r="T819" s="63"/>
      <c r="U819" s="10"/>
      <c r="V819" s="90"/>
      <c r="W819" s="91"/>
      <c r="X819" s="92"/>
    </row>
    <row r="820" spans="1:24">
      <c r="B820" s="87"/>
      <c r="C820" s="36"/>
      <c r="D820" s="10"/>
      <c r="E820" s="10"/>
      <c r="F820" s="88"/>
      <c r="G820" s="88"/>
      <c r="H820" s="88"/>
      <c r="I820" s="99"/>
      <c r="J820" s="63"/>
      <c r="K820" s="21">
        <f t="shared" ref="K820:S820" si="152">SUM(K795:K818)</f>
        <v>24</v>
      </c>
      <c r="L820" s="21">
        <f t="shared" si="152"/>
        <v>19</v>
      </c>
      <c r="M820" s="21">
        <f t="shared" si="152"/>
        <v>22</v>
      </c>
      <c r="N820" s="21">
        <f t="shared" si="152"/>
        <v>24</v>
      </c>
      <c r="O820" s="21">
        <f t="shared" si="152"/>
        <v>24</v>
      </c>
      <c r="P820" s="21">
        <f t="shared" si="152"/>
        <v>23</v>
      </c>
      <c r="Q820" s="21">
        <f t="shared" si="152"/>
        <v>24</v>
      </c>
      <c r="R820" s="21">
        <f t="shared" si="152"/>
        <v>24</v>
      </c>
      <c r="S820" s="21">
        <f t="shared" si="152"/>
        <v>24</v>
      </c>
      <c r="T820" s="63"/>
      <c r="U820" s="10"/>
      <c r="V820" s="90"/>
      <c r="W820" s="91"/>
      <c r="X820" s="92"/>
    </row>
    <row r="821" spans="1:24">
      <c r="B821" s="11"/>
      <c r="C821" s="36"/>
      <c r="D821" s="10"/>
      <c r="E821" s="10"/>
      <c r="F821" s="88"/>
      <c r="G821" s="88"/>
      <c r="H821" s="88"/>
      <c r="I821" s="99"/>
      <c r="J821" s="63"/>
      <c r="K821" s="21"/>
      <c r="L821" s="21"/>
      <c r="M821" s="21"/>
      <c r="N821" s="21"/>
      <c r="O821" s="21"/>
      <c r="P821" s="21"/>
      <c r="Q821" s="21"/>
      <c r="R821" s="21"/>
      <c r="S821" s="21"/>
      <c r="T821" s="63"/>
      <c r="U821" s="94"/>
      <c r="V821" s="90"/>
      <c r="W821" s="91"/>
      <c r="X821" s="92"/>
    </row>
    <row r="822" spans="1:24">
      <c r="B822" s="100" t="s">
        <v>67</v>
      </c>
      <c r="C822" s="36"/>
      <c r="D822" s="10"/>
      <c r="E822" s="10"/>
      <c r="F822" s="88"/>
      <c r="G822" s="62"/>
      <c r="H822" s="88"/>
      <c r="I822" s="99"/>
      <c r="J822" s="63"/>
      <c r="K822" s="2"/>
      <c r="L822" s="2"/>
      <c r="M822" s="2"/>
      <c r="N822" s="2"/>
      <c r="O822" s="2"/>
      <c r="P822" s="2"/>
      <c r="Q822" s="2"/>
      <c r="R822" s="2"/>
      <c r="S822" s="2"/>
      <c r="T822" s="63"/>
      <c r="U822" s="94"/>
      <c r="V822" s="90"/>
      <c r="W822" s="91"/>
      <c r="X822" s="92"/>
    </row>
    <row r="823" spans="1:24" s="381" customFormat="1">
      <c r="A823" s="371" t="s">
        <v>2568</v>
      </c>
      <c r="B823" s="372">
        <v>1</v>
      </c>
      <c r="C823" s="373">
        <v>45833</v>
      </c>
      <c r="D823" s="263">
        <v>71028</v>
      </c>
      <c r="E823" s="391" t="s">
        <v>659</v>
      </c>
      <c r="F823" s="375">
        <v>2164</v>
      </c>
      <c r="G823" s="375">
        <v>39.700000000000003</v>
      </c>
      <c r="H823" s="375"/>
      <c r="I823" s="376">
        <f>F823-G823-H823</f>
        <v>2124.3000000000002</v>
      </c>
      <c r="J823" s="314"/>
      <c r="K823" s="314">
        <v>1</v>
      </c>
      <c r="L823" s="314">
        <v>1</v>
      </c>
      <c r="M823" s="314"/>
      <c r="N823" s="314">
        <v>1</v>
      </c>
      <c r="O823" s="314">
        <v>1</v>
      </c>
      <c r="P823" s="314">
        <v>1</v>
      </c>
      <c r="Q823" s="314">
        <v>1</v>
      </c>
      <c r="R823" s="314">
        <v>1</v>
      </c>
      <c r="S823" s="366">
        <v>1</v>
      </c>
      <c r="T823" s="325"/>
      <c r="U823" s="42" t="s">
        <v>2569</v>
      </c>
      <c r="V823" s="377"/>
      <c r="W823" s="378"/>
      <c r="X823" s="393"/>
    </row>
    <row r="824" spans="1:24">
      <c r="A824" s="261" t="s">
        <v>552</v>
      </c>
      <c r="B824" s="87">
        <f>B823+1</f>
        <v>2</v>
      </c>
      <c r="C824" s="262">
        <v>45883</v>
      </c>
      <c r="D824" s="263">
        <v>72318</v>
      </c>
      <c r="E824" s="271" t="s">
        <v>813</v>
      </c>
      <c r="F824" s="265">
        <v>6841</v>
      </c>
      <c r="G824" s="265">
        <f>39.7+1752.3+(58.93+886.83+38.72+967.64-8.66+46.62)+250</f>
        <v>4032.08</v>
      </c>
      <c r="H824" s="265">
        <f>1497.49+149.75</f>
        <v>1647.24</v>
      </c>
      <c r="I824" s="272">
        <f>F824-G824-H824</f>
        <v>1161.68</v>
      </c>
      <c r="J824" s="267" t="s">
        <v>185</v>
      </c>
      <c r="K824" s="267">
        <v>1</v>
      </c>
      <c r="L824" s="267">
        <v>1</v>
      </c>
      <c r="M824" s="267">
        <v>1</v>
      </c>
      <c r="N824" s="267">
        <v>1</v>
      </c>
      <c r="O824" s="267">
        <v>1</v>
      </c>
      <c r="P824" s="267">
        <v>1</v>
      </c>
      <c r="Q824" s="267">
        <v>1</v>
      </c>
      <c r="R824" s="267">
        <v>1</v>
      </c>
      <c r="S824" s="269">
        <v>1</v>
      </c>
      <c r="T824" s="63"/>
      <c r="U824" s="94" t="s">
        <v>2570</v>
      </c>
      <c r="V824" s="90"/>
      <c r="W824" s="136"/>
      <c r="X824" s="137"/>
    </row>
    <row r="825" spans="1:24">
      <c r="A825" s="261" t="s">
        <v>2542</v>
      </c>
      <c r="B825" s="87">
        <f>B824+1</f>
        <v>3</v>
      </c>
      <c r="C825" s="262">
        <v>45890</v>
      </c>
      <c r="D825" s="263">
        <v>72465</v>
      </c>
      <c r="E825" s="264" t="s">
        <v>162</v>
      </c>
      <c r="F825" s="265">
        <v>1281</v>
      </c>
      <c r="G825" s="265">
        <v>39.700000000000003</v>
      </c>
      <c r="H825" s="265"/>
      <c r="I825" s="272">
        <f t="shared" ref="I825" si="153">F825-G825-H825</f>
        <v>1241.3</v>
      </c>
      <c r="J825" s="267" t="s">
        <v>374</v>
      </c>
      <c r="K825" s="267">
        <v>1</v>
      </c>
      <c r="L825" s="267">
        <v>1</v>
      </c>
      <c r="M825" s="267">
        <v>1</v>
      </c>
      <c r="N825" s="267">
        <v>1</v>
      </c>
      <c r="O825" s="267">
        <v>1</v>
      </c>
      <c r="P825" s="267">
        <v>1</v>
      </c>
      <c r="Q825" s="267">
        <v>1</v>
      </c>
      <c r="R825" s="267">
        <v>1</v>
      </c>
      <c r="S825" s="269">
        <v>1</v>
      </c>
      <c r="T825" s="63"/>
      <c r="U825" s="10"/>
      <c r="V825" s="90"/>
      <c r="W825" s="91"/>
      <c r="X825" s="92"/>
    </row>
    <row r="826" spans="1:24">
      <c r="B826" s="11"/>
      <c r="C826" s="36"/>
      <c r="D826" s="10"/>
      <c r="E826" s="10"/>
      <c r="F826" s="97">
        <f>SUM(F823:F825)</f>
        <v>10286</v>
      </c>
      <c r="G826" s="97">
        <f>SUM(G823:G825)</f>
        <v>4111.4799999999996</v>
      </c>
      <c r="H826" s="97">
        <f>SUM(H823:H825)</f>
        <v>1647.24</v>
      </c>
      <c r="I826" s="98">
        <f>SUM(I823:I825)</f>
        <v>4527.2800000000007</v>
      </c>
      <c r="J826" s="63"/>
      <c r="K826" s="21"/>
      <c r="L826" s="21"/>
      <c r="M826" s="21"/>
      <c r="N826" s="21"/>
      <c r="O826" s="21"/>
      <c r="P826" s="21"/>
      <c r="Q826" s="21"/>
      <c r="R826" s="21"/>
      <c r="S826" s="21"/>
      <c r="T826" s="63"/>
      <c r="U826" s="94"/>
      <c r="V826" s="90"/>
      <c r="W826" s="91"/>
      <c r="X826" s="92"/>
    </row>
    <row r="827" spans="1:24">
      <c r="B827" s="11"/>
      <c r="C827" s="36"/>
      <c r="D827" s="10"/>
      <c r="E827" s="10"/>
      <c r="F827" s="88"/>
      <c r="G827" s="88"/>
      <c r="H827" s="88"/>
      <c r="I827" s="99"/>
      <c r="J827" s="63"/>
      <c r="K827" s="21"/>
      <c r="L827" s="21"/>
      <c r="M827" s="21"/>
      <c r="N827" s="21"/>
      <c r="O827" s="21"/>
      <c r="P827" s="21"/>
      <c r="Q827" s="21"/>
      <c r="R827" s="21"/>
      <c r="S827" s="21"/>
      <c r="T827" s="63"/>
      <c r="U827" s="94"/>
      <c r="V827" s="90"/>
      <c r="W827" s="91"/>
      <c r="X827" s="92"/>
    </row>
    <row r="828" spans="1:24" s="342" customFormat="1">
      <c r="B828" s="121" t="s">
        <v>70</v>
      </c>
      <c r="C828" s="122"/>
      <c r="D828" s="123"/>
      <c r="E828" s="128"/>
      <c r="F828" s="124"/>
      <c r="G828" s="124"/>
      <c r="H828" s="124"/>
      <c r="I828" s="126"/>
      <c r="J828" s="127"/>
      <c r="K828" s="64"/>
      <c r="L828" s="64"/>
      <c r="M828" s="64"/>
      <c r="N828" s="64"/>
      <c r="O828" s="64"/>
      <c r="P828" s="64"/>
      <c r="Q828" s="64"/>
      <c r="R828" s="64"/>
      <c r="S828" s="64"/>
      <c r="T828" s="127"/>
      <c r="U828" s="135"/>
      <c r="V828" s="129"/>
      <c r="W828" s="130"/>
      <c r="X828" s="131"/>
    </row>
    <row r="829" spans="1:24" s="342" customFormat="1">
      <c r="A829" s="342" t="s">
        <v>1092</v>
      </c>
      <c r="B829" s="333">
        <v>1</v>
      </c>
      <c r="C829" s="350">
        <v>45904</v>
      </c>
      <c r="D829" s="263" t="s">
        <v>2571</v>
      </c>
      <c r="E829" s="358" t="s">
        <v>798</v>
      </c>
      <c r="F829" s="352">
        <v>2261</v>
      </c>
      <c r="G829" s="352">
        <f>39.7</f>
        <v>39.700000000000003</v>
      </c>
      <c r="H829" s="352"/>
      <c r="I829" s="353">
        <f>F829-G829-H829</f>
        <v>2221.3000000000002</v>
      </c>
      <c r="J829" s="354" t="s">
        <v>156</v>
      </c>
      <c r="K829" s="354">
        <v>1</v>
      </c>
      <c r="L829" s="354">
        <v>1</v>
      </c>
      <c r="M829" s="354">
        <v>1</v>
      </c>
      <c r="N829" s="354">
        <v>1</v>
      </c>
      <c r="O829" s="354">
        <v>1</v>
      </c>
      <c r="P829" s="354">
        <v>1</v>
      </c>
      <c r="Q829" s="354">
        <v>1</v>
      </c>
      <c r="R829" s="354">
        <v>1</v>
      </c>
      <c r="S829" s="355">
        <v>1</v>
      </c>
      <c r="T829" s="127"/>
      <c r="U829" s="135" t="s">
        <v>2572</v>
      </c>
      <c r="V829" s="129">
        <f>248</f>
        <v>248</v>
      </c>
      <c r="W829" s="340"/>
      <c r="X829" s="341"/>
    </row>
    <row r="830" spans="1:24" s="342" customFormat="1">
      <c r="B830" s="132"/>
      <c r="C830" s="122"/>
      <c r="D830" s="123"/>
      <c r="E830" s="123"/>
      <c r="F830" s="134">
        <f>SUM(F829:F829)</f>
        <v>2261</v>
      </c>
      <c r="G830" s="134">
        <f>SUM(G829:G829)</f>
        <v>39.700000000000003</v>
      </c>
      <c r="H830" s="134">
        <f>SUM(H829:H829)</f>
        <v>0</v>
      </c>
      <c r="I830" s="134">
        <f>SUM(I829:I829)</f>
        <v>2221.3000000000002</v>
      </c>
      <c r="J830" s="127"/>
      <c r="K830" s="64"/>
      <c r="L830" s="64"/>
      <c r="M830" s="64"/>
      <c r="N830" s="64"/>
      <c r="O830" s="64"/>
      <c r="P830" s="64"/>
      <c r="Q830" s="64"/>
      <c r="R830" s="64"/>
      <c r="S830" s="64"/>
      <c r="T830" s="127"/>
      <c r="U830" s="135"/>
      <c r="V830" s="129"/>
      <c r="W830" s="130"/>
      <c r="X830" s="131"/>
    </row>
    <row r="831" spans="1:24">
      <c r="B831" s="11"/>
      <c r="C831" s="36"/>
      <c r="D831" s="10"/>
      <c r="E831" s="10"/>
      <c r="F831" s="88"/>
      <c r="G831" s="88"/>
      <c r="H831" s="88"/>
      <c r="I831" s="99"/>
      <c r="J831" s="63"/>
      <c r="K831" s="21"/>
      <c r="L831" s="21"/>
      <c r="M831" s="21"/>
      <c r="N831" s="21"/>
      <c r="O831" s="21"/>
      <c r="P831" s="21"/>
      <c r="Q831" s="21"/>
      <c r="R831" s="21"/>
      <c r="S831" s="21"/>
      <c r="T831" s="63"/>
      <c r="U831" s="94"/>
      <c r="V831" s="90"/>
      <c r="W831" s="91"/>
      <c r="X831" s="92"/>
    </row>
    <row r="832" spans="1:24" s="260" customFormat="1">
      <c r="B832" s="100" t="s">
        <v>152</v>
      </c>
      <c r="C832" s="270"/>
      <c r="D832" s="10"/>
      <c r="E832" s="101"/>
      <c r="F832" s="88"/>
      <c r="G832" s="62"/>
      <c r="H832" s="88"/>
      <c r="I832" s="99"/>
      <c r="J832" s="63"/>
      <c r="K832" s="181"/>
      <c r="L832" s="181"/>
      <c r="M832" s="181"/>
      <c r="N832" s="181"/>
      <c r="O832" s="181"/>
      <c r="P832" s="181"/>
      <c r="Q832" s="181"/>
      <c r="R832" s="181"/>
      <c r="S832" s="181"/>
      <c r="T832" s="63"/>
      <c r="U832" s="10"/>
      <c r="V832" s="90"/>
      <c r="W832" s="91"/>
      <c r="X832" s="92"/>
    </row>
    <row r="833" spans="1:24" s="260" customFormat="1">
      <c r="A833" s="261">
        <v>0.05</v>
      </c>
      <c r="B833" s="87">
        <v>1</v>
      </c>
      <c r="C833" s="262">
        <v>45790</v>
      </c>
      <c r="D833" s="357" t="s">
        <v>2339</v>
      </c>
      <c r="E833" s="271" t="s">
        <v>225</v>
      </c>
      <c r="F833" s="265">
        <v>8614</v>
      </c>
      <c r="G833" s="265">
        <f>39.7+(143.54)+(86.25+50.9-26.76)+750</f>
        <v>1043.6300000000001</v>
      </c>
      <c r="H833" s="265"/>
      <c r="I833" s="272">
        <f>F833-G833-H833</f>
        <v>7570.37</v>
      </c>
      <c r="J833" s="267"/>
      <c r="K833" s="267">
        <v>1</v>
      </c>
      <c r="L833" s="267"/>
      <c r="M833" s="267"/>
      <c r="N833" s="267">
        <v>1</v>
      </c>
      <c r="O833" s="267">
        <v>1</v>
      </c>
      <c r="P833" s="267">
        <v>1</v>
      </c>
      <c r="Q833" s="267"/>
      <c r="R833" s="267"/>
      <c r="S833" s="269"/>
      <c r="T833" s="63"/>
      <c r="U833" s="10" t="s">
        <v>2340</v>
      </c>
      <c r="V833" s="90"/>
      <c r="W833" s="136"/>
      <c r="X833" s="137"/>
    </row>
    <row r="834" spans="1:24" s="260" customFormat="1">
      <c r="A834" s="494">
        <v>0.05</v>
      </c>
      <c r="B834" s="87">
        <f>B833+1</f>
        <v>2</v>
      </c>
      <c r="C834" s="262">
        <v>45867</v>
      </c>
      <c r="D834" s="263">
        <v>71860</v>
      </c>
      <c r="E834" s="271" t="s">
        <v>426</v>
      </c>
      <c r="F834" s="265">
        <f>2346-85</f>
        <v>2261</v>
      </c>
      <c r="G834" s="265">
        <f>39.7+200</f>
        <v>239.7</v>
      </c>
      <c r="H834" s="265"/>
      <c r="I834" s="272">
        <f>F834-G834-H834</f>
        <v>2021.3</v>
      </c>
      <c r="J834" s="267" t="s">
        <v>156</v>
      </c>
      <c r="K834" s="267">
        <v>1</v>
      </c>
      <c r="L834" s="267">
        <v>1</v>
      </c>
      <c r="M834" s="267">
        <v>1</v>
      </c>
      <c r="N834" s="267">
        <v>1</v>
      </c>
      <c r="O834" s="267">
        <v>1</v>
      </c>
      <c r="P834" s="267">
        <v>1</v>
      </c>
      <c r="Q834" s="267">
        <v>1</v>
      </c>
      <c r="R834" s="267">
        <v>1</v>
      </c>
      <c r="S834" s="269">
        <v>1</v>
      </c>
      <c r="T834" s="63"/>
      <c r="U834" s="10" t="s">
        <v>2438</v>
      </c>
      <c r="V834" s="90"/>
      <c r="W834" s="91"/>
      <c r="X834" s="92"/>
    </row>
    <row r="835" spans="1:24" s="260" customFormat="1">
      <c r="A835" s="261">
        <v>0.05</v>
      </c>
      <c r="B835" s="87">
        <f t="shared" ref="B835:B836" si="154">B834+1</f>
        <v>3</v>
      </c>
      <c r="C835" s="295">
        <v>45880</v>
      </c>
      <c r="D835" s="346" t="s">
        <v>2475</v>
      </c>
      <c r="E835" s="101" t="s">
        <v>294</v>
      </c>
      <c r="F835" s="62">
        <v>1542</v>
      </c>
      <c r="G835" s="62">
        <f>39.7</f>
        <v>39.700000000000003</v>
      </c>
      <c r="H835" s="62"/>
      <c r="I835" s="89">
        <f t="shared" ref="I835" si="155">F835-G835-H835</f>
        <v>1502.3</v>
      </c>
      <c r="J835" s="63" t="s">
        <v>156</v>
      </c>
      <c r="K835" s="63">
        <v>1</v>
      </c>
      <c r="L835" s="325">
        <v>0</v>
      </c>
      <c r="M835" s="63">
        <v>1</v>
      </c>
      <c r="N835" s="63">
        <v>1</v>
      </c>
      <c r="O835" s="63">
        <v>1</v>
      </c>
      <c r="P835" s="63">
        <v>1</v>
      </c>
      <c r="Q835" s="63">
        <v>1</v>
      </c>
      <c r="R835" s="63">
        <v>1</v>
      </c>
      <c r="S835" s="296">
        <v>1</v>
      </c>
      <c r="T835" s="63"/>
      <c r="U835" s="10" t="s">
        <v>2476</v>
      </c>
      <c r="V835" s="90"/>
      <c r="W835" s="91"/>
      <c r="X835" s="92"/>
    </row>
    <row r="836" spans="1:24" s="342" customFormat="1">
      <c r="A836" s="261">
        <v>0.05</v>
      </c>
      <c r="B836" s="87">
        <f t="shared" si="154"/>
        <v>4</v>
      </c>
      <c r="C836" s="262">
        <v>45894</v>
      </c>
      <c r="D836" s="263" t="s">
        <v>2540</v>
      </c>
      <c r="E836" s="264" t="s">
        <v>780</v>
      </c>
      <c r="F836" s="265">
        <v>15421.5</v>
      </c>
      <c r="G836" s="265">
        <f>39.7+596.8+52.8+(47.03+38.86+165.2+49.48)+(216.39)+1500</f>
        <v>2706.2599999999998</v>
      </c>
      <c r="H836" s="265"/>
      <c r="I836" s="272">
        <f>F836-G836-H836</f>
        <v>12715.24</v>
      </c>
      <c r="J836" s="267" t="s">
        <v>156</v>
      </c>
      <c r="K836" s="267">
        <v>1</v>
      </c>
      <c r="L836" s="267">
        <v>1</v>
      </c>
      <c r="M836" s="267">
        <v>1</v>
      </c>
      <c r="N836" s="267">
        <v>1</v>
      </c>
      <c r="O836" s="267">
        <v>1</v>
      </c>
      <c r="P836" s="267">
        <v>1</v>
      </c>
      <c r="Q836" s="267">
        <v>1</v>
      </c>
      <c r="R836" s="267">
        <v>1</v>
      </c>
      <c r="S836" s="269">
        <v>1</v>
      </c>
      <c r="T836" s="63"/>
      <c r="U836" s="10" t="s">
        <v>2541</v>
      </c>
      <c r="V836" s="90"/>
      <c r="W836" s="91"/>
      <c r="X836" s="92"/>
    </row>
    <row r="837" spans="1:24" s="260" customFormat="1">
      <c r="B837" s="11"/>
      <c r="C837" s="270"/>
      <c r="D837" s="10"/>
      <c r="E837" s="10"/>
      <c r="F837" s="97">
        <f>SUM(F833:F836)</f>
        <v>27838.5</v>
      </c>
      <c r="G837" s="97">
        <f t="shared" ref="G837:I837" si="156">SUM(G833:G836)</f>
        <v>4029.29</v>
      </c>
      <c r="H837" s="97">
        <f t="shared" si="156"/>
        <v>0</v>
      </c>
      <c r="I837" s="97">
        <f t="shared" si="156"/>
        <v>23809.21</v>
      </c>
      <c r="J837" s="63"/>
      <c r="K837" s="21"/>
      <c r="L837" s="21"/>
      <c r="M837" s="21"/>
      <c r="N837" s="21"/>
      <c r="O837" s="21"/>
      <c r="P837" s="21"/>
      <c r="Q837" s="21"/>
      <c r="R837" s="21"/>
      <c r="S837" s="21"/>
      <c r="T837" s="63"/>
      <c r="U837" s="10"/>
      <c r="V837" s="90"/>
      <c r="W837" s="91"/>
      <c r="X837" s="92"/>
    </row>
    <row r="838" spans="1:24" s="260" customFormat="1">
      <c r="B838" s="11"/>
      <c r="C838" s="270"/>
      <c r="D838" s="10"/>
      <c r="E838" s="10"/>
      <c r="F838" s="88"/>
      <c r="G838" s="88"/>
      <c r="H838" s="88"/>
      <c r="I838" s="99"/>
      <c r="J838" s="63"/>
      <c r="K838" s="21"/>
      <c r="L838" s="21"/>
      <c r="M838" s="21"/>
      <c r="N838" s="21"/>
      <c r="O838" s="21"/>
      <c r="P838" s="21"/>
      <c r="Q838" s="21"/>
      <c r="R838" s="21"/>
      <c r="S838" s="21"/>
      <c r="T838" s="63"/>
      <c r="U838" s="10"/>
      <c r="V838" s="90"/>
      <c r="W838" s="91"/>
      <c r="X838" s="92"/>
    </row>
    <row r="839" spans="1:24" s="260" customFormat="1">
      <c r="B839" s="100" t="s">
        <v>202</v>
      </c>
      <c r="C839" s="270"/>
      <c r="D839" s="10"/>
      <c r="E839" s="181"/>
      <c r="F839" s="88"/>
      <c r="G839" s="88"/>
      <c r="H839" s="88"/>
      <c r="I839" s="99"/>
      <c r="J839" s="63"/>
      <c r="K839" s="21"/>
      <c r="L839" s="21"/>
      <c r="M839" s="21"/>
      <c r="N839" s="21"/>
      <c r="O839" s="21"/>
      <c r="P839" s="21"/>
      <c r="Q839" s="21"/>
      <c r="R839" s="21"/>
      <c r="S839" s="21"/>
      <c r="T839" s="63"/>
      <c r="U839" s="10"/>
      <c r="V839" s="90"/>
      <c r="W839" s="91"/>
      <c r="X839" s="92"/>
    </row>
    <row r="840" spans="1:24" s="260" customFormat="1">
      <c r="A840" s="261">
        <v>0.05</v>
      </c>
      <c r="B840" s="87">
        <v>1</v>
      </c>
      <c r="C840" s="262">
        <v>45863</v>
      </c>
      <c r="D840" s="263" t="s">
        <v>2406</v>
      </c>
      <c r="E840" s="271" t="s">
        <v>2398</v>
      </c>
      <c r="F840" s="265">
        <v>14218</v>
      </c>
      <c r="G840" s="265">
        <f>39.7+487.5+(78.82+18.7+38.9+17.61+45.74)+(21.28)+1000</f>
        <v>1748.25</v>
      </c>
      <c r="H840" s="265"/>
      <c r="I840" s="272">
        <f>F840-G840-H840</f>
        <v>12469.75</v>
      </c>
      <c r="J840" s="267" t="s">
        <v>156</v>
      </c>
      <c r="K840" s="267">
        <v>1</v>
      </c>
      <c r="L840" s="267"/>
      <c r="M840" s="267">
        <v>1</v>
      </c>
      <c r="N840" s="267">
        <v>1</v>
      </c>
      <c r="O840" s="267">
        <v>1</v>
      </c>
      <c r="P840" s="267">
        <v>1</v>
      </c>
      <c r="Q840" s="267"/>
      <c r="R840" s="267"/>
      <c r="S840" s="269"/>
      <c r="T840" s="63"/>
      <c r="U840" s="94" t="s">
        <v>2407</v>
      </c>
      <c r="V840" s="90"/>
      <c r="W840" s="136"/>
      <c r="X840" s="137"/>
    </row>
    <row r="841" spans="1:24" s="260" customFormat="1">
      <c r="A841" s="261">
        <v>0.05</v>
      </c>
      <c r="B841" s="87">
        <f>B840+1</f>
        <v>2</v>
      </c>
      <c r="C841" s="262">
        <v>45894</v>
      </c>
      <c r="D841" s="263" t="s">
        <v>2540</v>
      </c>
      <c r="E841" s="271" t="s">
        <v>780</v>
      </c>
      <c r="F841" s="265">
        <v>15421.5</v>
      </c>
      <c r="G841" s="265">
        <f>39.7+596.8+52.8+(47.03+38.86+165.2)+(216.39)+1500</f>
        <v>2656.7799999999997</v>
      </c>
      <c r="H841" s="265"/>
      <c r="I841" s="272">
        <f>F841-G841-H841</f>
        <v>12764.720000000001</v>
      </c>
      <c r="J841" s="267" t="s">
        <v>156</v>
      </c>
      <c r="K841" s="267">
        <v>1</v>
      </c>
      <c r="L841" s="267">
        <v>1</v>
      </c>
      <c r="M841" s="267">
        <v>1</v>
      </c>
      <c r="N841" s="267">
        <v>1</v>
      </c>
      <c r="O841" s="267">
        <v>1</v>
      </c>
      <c r="P841" s="267">
        <v>1</v>
      </c>
      <c r="Q841" s="267">
        <v>1</v>
      </c>
      <c r="R841" s="267">
        <v>1</v>
      </c>
      <c r="S841" s="269">
        <v>1</v>
      </c>
      <c r="T841" s="21"/>
      <c r="U841" s="94" t="s">
        <v>2541</v>
      </c>
      <c r="V841" s="90"/>
      <c r="W841" s="91"/>
      <c r="X841" s="92"/>
    </row>
    <row r="842" spans="1:24" s="260" customFormat="1">
      <c r="A842" s="260" t="s">
        <v>2347</v>
      </c>
      <c r="B842" s="11"/>
      <c r="C842" s="270"/>
      <c r="D842" s="10"/>
      <c r="E842" s="10"/>
      <c r="F842" s="97">
        <f>SUM(F840:F841)</f>
        <v>29639.5</v>
      </c>
      <c r="G842" s="97">
        <f t="shared" ref="G842:I842" si="157">SUM(G840:G841)</f>
        <v>4405.03</v>
      </c>
      <c r="H842" s="97">
        <f t="shared" si="157"/>
        <v>0</v>
      </c>
      <c r="I842" s="97">
        <f t="shared" si="157"/>
        <v>25234.47</v>
      </c>
      <c r="J842" s="63"/>
      <c r="K842" s="21"/>
      <c r="L842" s="21"/>
      <c r="M842" s="21"/>
      <c r="N842" s="21"/>
      <c r="O842" s="21"/>
      <c r="P842" s="21"/>
      <c r="Q842" s="21"/>
      <c r="R842" s="21"/>
      <c r="S842" s="21"/>
      <c r="T842" s="63"/>
      <c r="V842" s="90"/>
      <c r="W842" s="91"/>
      <c r="X842" s="92"/>
    </row>
    <row r="843" spans="1:24" s="260" customFormat="1">
      <c r="B843" s="11"/>
      <c r="C843" s="270"/>
      <c r="D843" s="10"/>
      <c r="E843" s="10"/>
      <c r="F843" s="88"/>
      <c r="G843" s="88"/>
      <c r="H843" s="88"/>
      <c r="I843" s="88"/>
      <c r="J843" s="63"/>
      <c r="K843" s="21"/>
      <c r="L843" s="21"/>
      <c r="M843" s="21"/>
      <c r="N843" s="21"/>
      <c r="O843" s="21"/>
      <c r="P843" s="21"/>
      <c r="Q843" s="21"/>
      <c r="R843" s="21"/>
      <c r="S843" s="21"/>
      <c r="T843" s="63"/>
      <c r="U843" s="10"/>
      <c r="V843" s="90"/>
      <c r="W843" s="91"/>
      <c r="X843" s="92"/>
    </row>
    <row r="844" spans="1:24">
      <c r="B844" s="100" t="s">
        <v>72</v>
      </c>
      <c r="C844" s="36"/>
      <c r="D844" s="10"/>
      <c r="E844" s="10"/>
      <c r="F844" s="88"/>
      <c r="G844" s="88"/>
      <c r="H844" s="88"/>
      <c r="I844" s="99"/>
      <c r="J844" s="63"/>
      <c r="K844" s="63"/>
      <c r="L844" s="63"/>
      <c r="M844" s="63"/>
      <c r="N844" s="63"/>
      <c r="O844" s="63"/>
      <c r="P844" s="63"/>
      <c r="Q844" s="63"/>
      <c r="R844" s="63"/>
      <c r="S844" s="63"/>
      <c r="T844" s="63"/>
      <c r="U844" s="10"/>
      <c r="V844" s="90"/>
      <c r="W844" s="91"/>
      <c r="X844" s="92"/>
    </row>
    <row r="845" spans="1:24">
      <c r="B845" s="87">
        <v>1</v>
      </c>
      <c r="C845" s="274">
        <v>45901</v>
      </c>
      <c r="D845" s="276">
        <v>72795</v>
      </c>
      <c r="E845" s="276" t="s">
        <v>769</v>
      </c>
      <c r="F845" s="277">
        <v>1264</v>
      </c>
      <c r="G845" s="277">
        <v>39.700000000000003</v>
      </c>
      <c r="H845" s="277"/>
      <c r="I845" s="278">
        <f t="shared" ref="I845:I861" si="158">F845-G845-H845</f>
        <v>1224.3</v>
      </c>
      <c r="J845" s="279" t="s">
        <v>205</v>
      </c>
      <c r="K845" s="279">
        <v>1</v>
      </c>
      <c r="L845" s="279"/>
      <c r="M845" s="279"/>
      <c r="N845" s="279">
        <v>1</v>
      </c>
      <c r="O845" s="279"/>
      <c r="P845" s="279"/>
      <c r="Q845" s="279">
        <v>1</v>
      </c>
      <c r="R845" s="279">
        <v>1</v>
      </c>
      <c r="S845" s="280">
        <v>1</v>
      </c>
      <c r="T845" s="63"/>
      <c r="U845" s="3"/>
      <c r="V845" s="90"/>
      <c r="W845" s="91"/>
      <c r="X845" s="92"/>
    </row>
    <row r="846" spans="1:24">
      <c r="B846" s="87">
        <f t="shared" ref="B846:B861" si="159">B845+1</f>
        <v>2</v>
      </c>
      <c r="C846" s="295">
        <v>45901</v>
      </c>
      <c r="D846" s="10">
        <v>72832</v>
      </c>
      <c r="E846" s="10" t="s">
        <v>2374</v>
      </c>
      <c r="F846" s="62">
        <v>1264</v>
      </c>
      <c r="G846" s="62">
        <v>39.700000000000003</v>
      </c>
      <c r="H846" s="62"/>
      <c r="I846" s="89">
        <f t="shared" si="158"/>
        <v>1224.3</v>
      </c>
      <c r="J846" s="63" t="s">
        <v>205</v>
      </c>
      <c r="K846" s="63">
        <v>1</v>
      </c>
      <c r="L846" s="63"/>
      <c r="M846" s="63"/>
      <c r="N846" s="63">
        <v>1</v>
      </c>
      <c r="O846" s="63"/>
      <c r="P846" s="63"/>
      <c r="Q846" s="63">
        <v>1</v>
      </c>
      <c r="R846" s="63">
        <v>1</v>
      </c>
      <c r="S846" s="296">
        <v>1</v>
      </c>
      <c r="T846" s="63"/>
      <c r="U846" s="10"/>
      <c r="V846" s="90"/>
      <c r="W846" s="136"/>
      <c r="X846" s="137"/>
    </row>
    <row r="847" spans="1:24">
      <c r="B847" s="87">
        <f t="shared" si="159"/>
        <v>3</v>
      </c>
      <c r="C847" s="295">
        <v>45901</v>
      </c>
      <c r="D847" s="10">
        <v>72855</v>
      </c>
      <c r="E847" s="10" t="s">
        <v>780</v>
      </c>
      <c r="F847" s="62">
        <v>2532.6</v>
      </c>
      <c r="G847" s="62">
        <v>39.700000000000003</v>
      </c>
      <c r="H847" s="62"/>
      <c r="I847" s="89">
        <f t="shared" si="158"/>
        <v>2492.9</v>
      </c>
      <c r="J847" s="63" t="s">
        <v>205</v>
      </c>
      <c r="K847" s="63">
        <v>1</v>
      </c>
      <c r="L847" s="63"/>
      <c r="M847" s="63"/>
      <c r="N847" s="63">
        <v>1</v>
      </c>
      <c r="O847" s="63"/>
      <c r="P847" s="63"/>
      <c r="Q847" s="63">
        <v>1</v>
      </c>
      <c r="R847" s="63">
        <v>1</v>
      </c>
      <c r="S847" s="296">
        <v>1</v>
      </c>
      <c r="T847" s="63"/>
      <c r="U847" s="10"/>
      <c r="V847" s="90"/>
      <c r="W847" s="136"/>
      <c r="X847" s="137"/>
    </row>
    <row r="848" spans="1:24">
      <c r="B848" s="87">
        <f t="shared" si="159"/>
        <v>4</v>
      </c>
      <c r="C848" s="295">
        <v>45901</v>
      </c>
      <c r="D848" s="10">
        <v>72838</v>
      </c>
      <c r="E848" s="10" t="s">
        <v>1835</v>
      </c>
      <c r="F848" s="62">
        <v>527.85</v>
      </c>
      <c r="G848" s="62">
        <v>0</v>
      </c>
      <c r="H848" s="62"/>
      <c r="I848" s="89">
        <f t="shared" si="158"/>
        <v>527.85</v>
      </c>
      <c r="J848" s="63" t="s">
        <v>205</v>
      </c>
      <c r="K848" s="63">
        <v>1</v>
      </c>
      <c r="L848" s="63"/>
      <c r="M848" s="63"/>
      <c r="N848" s="63"/>
      <c r="O848" s="63"/>
      <c r="P848" s="63"/>
      <c r="Q848" s="63"/>
      <c r="R848" s="63"/>
      <c r="S848" s="296"/>
      <c r="T848" s="21">
        <v>1</v>
      </c>
      <c r="U848" s="10"/>
      <c r="V848" s="90"/>
      <c r="W848" s="136"/>
      <c r="X848" s="137"/>
    </row>
    <row r="849" spans="2:24">
      <c r="B849" s="87">
        <f t="shared" si="159"/>
        <v>5</v>
      </c>
      <c r="C849" s="295">
        <v>45901</v>
      </c>
      <c r="D849" s="77" t="s">
        <v>2573</v>
      </c>
      <c r="E849" s="94" t="s">
        <v>274</v>
      </c>
      <c r="F849" s="62">
        <v>19621</v>
      </c>
      <c r="G849" s="62">
        <f>39.7</f>
        <v>39.700000000000003</v>
      </c>
      <c r="H849" s="62"/>
      <c r="I849" s="89">
        <f t="shared" ref="I849" si="160">F849-G849-H849</f>
        <v>19581.3</v>
      </c>
      <c r="J849" s="63" t="s">
        <v>156</v>
      </c>
      <c r="K849" s="63">
        <v>1</v>
      </c>
      <c r="L849" s="63"/>
      <c r="M849" s="63">
        <v>1</v>
      </c>
      <c r="N849" s="63"/>
      <c r="O849" s="63"/>
      <c r="P849" s="63"/>
      <c r="Q849" s="63"/>
      <c r="R849" s="63"/>
      <c r="S849" s="296"/>
      <c r="T849" s="63"/>
      <c r="U849" s="94" t="s">
        <v>2574</v>
      </c>
      <c r="V849" s="90">
        <f>2158</f>
        <v>2158</v>
      </c>
      <c r="W849" s="136"/>
      <c r="X849" s="137"/>
    </row>
    <row r="850" spans="2:24">
      <c r="B850" s="87">
        <f t="shared" si="159"/>
        <v>6</v>
      </c>
      <c r="C850" s="274">
        <v>45902</v>
      </c>
      <c r="D850" s="275">
        <v>72892</v>
      </c>
      <c r="E850" s="281" t="s">
        <v>1530</v>
      </c>
      <c r="F850" s="277">
        <v>15861</v>
      </c>
      <c r="G850" s="277">
        <v>39.700000000000003</v>
      </c>
      <c r="H850" s="277"/>
      <c r="I850" s="278">
        <f t="shared" si="158"/>
        <v>15821.3</v>
      </c>
      <c r="J850" s="279" t="s">
        <v>205</v>
      </c>
      <c r="K850" s="279">
        <v>1</v>
      </c>
      <c r="L850" s="279"/>
      <c r="M850" s="279"/>
      <c r="N850" s="279">
        <v>1</v>
      </c>
      <c r="O850" s="279"/>
      <c r="P850" s="279"/>
      <c r="Q850" s="279">
        <v>1</v>
      </c>
      <c r="R850" s="279">
        <v>1</v>
      </c>
      <c r="S850" s="280">
        <v>1</v>
      </c>
      <c r="T850" s="63"/>
      <c r="U850" s="10"/>
      <c r="V850" s="90"/>
      <c r="W850" s="136"/>
      <c r="X850" s="137"/>
    </row>
    <row r="851" spans="2:24">
      <c r="B851" s="87">
        <f t="shared" si="159"/>
        <v>7</v>
      </c>
      <c r="C851" s="274">
        <v>45903</v>
      </c>
      <c r="D851" s="275" t="s">
        <v>2575</v>
      </c>
      <c r="E851" s="276" t="s">
        <v>1173</v>
      </c>
      <c r="F851" s="277">
        <v>15861</v>
      </c>
      <c r="G851" s="277">
        <v>39.700000000000003</v>
      </c>
      <c r="H851" s="277"/>
      <c r="I851" s="278">
        <f t="shared" si="158"/>
        <v>15821.3</v>
      </c>
      <c r="J851" s="279" t="s">
        <v>205</v>
      </c>
      <c r="K851" s="279">
        <v>1</v>
      </c>
      <c r="L851" s="279"/>
      <c r="M851" s="279"/>
      <c r="N851" s="279">
        <v>1</v>
      </c>
      <c r="O851" s="279"/>
      <c r="P851" s="279"/>
      <c r="Q851" s="279"/>
      <c r="R851" s="279"/>
      <c r="S851" s="280"/>
      <c r="T851" s="63"/>
      <c r="U851" s="10"/>
      <c r="V851" s="90"/>
      <c r="W851" s="136"/>
      <c r="X851" s="137"/>
    </row>
    <row r="852" spans="2:24">
      <c r="B852" s="87">
        <f t="shared" si="159"/>
        <v>8</v>
      </c>
      <c r="C852" s="295">
        <v>45903</v>
      </c>
      <c r="D852" s="77" t="s">
        <v>2576</v>
      </c>
      <c r="E852" s="101" t="s">
        <v>2553</v>
      </c>
      <c r="F852" s="62">
        <v>22695</v>
      </c>
      <c r="G852" s="62">
        <f>39.7</f>
        <v>39.700000000000003</v>
      </c>
      <c r="H852" s="62"/>
      <c r="I852" s="89">
        <f t="shared" si="158"/>
        <v>22655.3</v>
      </c>
      <c r="J852" s="63" t="s">
        <v>205</v>
      </c>
      <c r="K852" s="63">
        <v>1</v>
      </c>
      <c r="L852" s="63"/>
      <c r="M852" s="63"/>
      <c r="N852" s="63">
        <v>1</v>
      </c>
      <c r="O852" s="63"/>
      <c r="P852" s="63"/>
      <c r="Q852" s="63"/>
      <c r="R852" s="63"/>
      <c r="S852" s="296"/>
      <c r="T852" s="63"/>
      <c r="U852" s="10"/>
      <c r="V852" s="90"/>
      <c r="W852" s="136"/>
      <c r="X852" s="137"/>
    </row>
    <row r="853" spans="2:24">
      <c r="B853" s="87">
        <f t="shared" si="159"/>
        <v>9</v>
      </c>
      <c r="C853" s="295">
        <v>45903</v>
      </c>
      <c r="D853" s="10">
        <v>72917</v>
      </c>
      <c r="E853" s="101" t="s">
        <v>1008</v>
      </c>
      <c r="F853" s="62">
        <v>4962</v>
      </c>
      <c r="G853" s="62">
        <v>39.700000000000003</v>
      </c>
      <c r="H853" s="62"/>
      <c r="I853" s="89">
        <f t="shared" si="158"/>
        <v>4922.3</v>
      </c>
      <c r="J853" s="63" t="s">
        <v>205</v>
      </c>
      <c r="K853" s="63">
        <v>1</v>
      </c>
      <c r="L853" s="63"/>
      <c r="M853" s="63"/>
      <c r="N853" s="63">
        <v>1</v>
      </c>
      <c r="O853" s="63"/>
      <c r="P853" s="63"/>
      <c r="Q853" s="63">
        <v>1</v>
      </c>
      <c r="R853" s="63">
        <v>1</v>
      </c>
      <c r="S853" s="296">
        <v>1</v>
      </c>
      <c r="T853" s="63"/>
      <c r="U853" s="10"/>
      <c r="V853" s="90"/>
      <c r="W853" s="136"/>
      <c r="X853" s="137"/>
    </row>
    <row r="854" spans="2:24">
      <c r="B854" s="87">
        <f t="shared" si="159"/>
        <v>10</v>
      </c>
      <c r="C854" s="295">
        <v>45903</v>
      </c>
      <c r="D854" s="10">
        <v>72934</v>
      </c>
      <c r="E854" s="101" t="s">
        <v>1008</v>
      </c>
      <c r="F854" s="62">
        <v>0</v>
      </c>
      <c r="G854" s="62">
        <v>0</v>
      </c>
      <c r="H854" s="62"/>
      <c r="I854" s="89">
        <f t="shared" si="158"/>
        <v>0</v>
      </c>
      <c r="J854" s="63" t="s">
        <v>205</v>
      </c>
      <c r="K854" s="63"/>
      <c r="L854" s="63"/>
      <c r="M854" s="63"/>
      <c r="N854" s="63"/>
      <c r="O854" s="63"/>
      <c r="P854" s="63"/>
      <c r="Q854" s="63">
        <v>1</v>
      </c>
      <c r="R854" s="63">
        <v>1</v>
      </c>
      <c r="S854" s="296">
        <v>1</v>
      </c>
      <c r="T854" s="63"/>
      <c r="U854" s="10"/>
      <c r="V854" s="90"/>
      <c r="W854" s="136"/>
      <c r="X854" s="137"/>
    </row>
    <row r="855" spans="2:24">
      <c r="B855" s="87">
        <f t="shared" si="159"/>
        <v>11</v>
      </c>
      <c r="C855" s="295">
        <v>45903</v>
      </c>
      <c r="D855" s="10">
        <v>72931</v>
      </c>
      <c r="E855" s="101" t="s">
        <v>1064</v>
      </c>
      <c r="F855" s="62">
        <v>0</v>
      </c>
      <c r="G855" s="62">
        <v>0</v>
      </c>
      <c r="H855" s="62"/>
      <c r="I855" s="89">
        <f t="shared" si="158"/>
        <v>0</v>
      </c>
      <c r="J855" s="63" t="s">
        <v>205</v>
      </c>
      <c r="K855" s="63">
        <v>1</v>
      </c>
      <c r="L855" s="63"/>
      <c r="M855" s="63"/>
      <c r="N855" s="63"/>
      <c r="O855" s="63"/>
      <c r="P855" s="63"/>
      <c r="Q855" s="63">
        <v>1</v>
      </c>
      <c r="R855" s="63">
        <v>1</v>
      </c>
      <c r="S855" s="296">
        <v>1</v>
      </c>
      <c r="T855" s="63"/>
      <c r="U855" s="10"/>
      <c r="V855" s="90"/>
      <c r="W855" s="136"/>
      <c r="X855" s="137"/>
    </row>
    <row r="856" spans="2:24">
      <c r="B856" s="87">
        <f t="shared" si="159"/>
        <v>12</v>
      </c>
      <c r="C856" s="295">
        <v>45903</v>
      </c>
      <c r="D856" s="10">
        <v>72952</v>
      </c>
      <c r="E856" s="101" t="s">
        <v>604</v>
      </c>
      <c r="F856" s="62">
        <v>4212.8999999999996</v>
      </c>
      <c r="G856" s="62">
        <v>39.700000000000003</v>
      </c>
      <c r="H856" s="62"/>
      <c r="I856" s="89">
        <f t="shared" si="158"/>
        <v>4173.2</v>
      </c>
      <c r="J856" s="63" t="s">
        <v>156</v>
      </c>
      <c r="K856" s="63">
        <v>1</v>
      </c>
      <c r="L856" s="63"/>
      <c r="M856" s="63">
        <v>1</v>
      </c>
      <c r="N856" s="63">
        <v>1</v>
      </c>
      <c r="O856" s="63"/>
      <c r="P856" s="63"/>
      <c r="Q856" s="63">
        <v>1</v>
      </c>
      <c r="R856" s="63">
        <v>1</v>
      </c>
      <c r="S856" s="296">
        <v>1</v>
      </c>
      <c r="T856" s="63"/>
      <c r="U856" s="10"/>
      <c r="V856" s="90">
        <v>170.5</v>
      </c>
      <c r="W856" s="136"/>
      <c r="X856" s="137"/>
    </row>
    <row r="857" spans="2:24">
      <c r="B857" s="87">
        <f t="shared" si="159"/>
        <v>13</v>
      </c>
      <c r="C857" s="274">
        <v>45904</v>
      </c>
      <c r="D857" s="276" t="s">
        <v>2577</v>
      </c>
      <c r="E857" s="276" t="s">
        <v>2563</v>
      </c>
      <c r="F857" s="277">
        <v>8214</v>
      </c>
      <c r="G857" s="277">
        <v>39.700000000000003</v>
      </c>
      <c r="H857" s="277"/>
      <c r="I857" s="278">
        <f t="shared" si="158"/>
        <v>8174.3</v>
      </c>
      <c r="J857" s="279" t="s">
        <v>205</v>
      </c>
      <c r="K857" s="279">
        <v>1</v>
      </c>
      <c r="L857" s="279"/>
      <c r="M857" s="279"/>
      <c r="N857" s="279">
        <v>1</v>
      </c>
      <c r="O857" s="279"/>
      <c r="P857" s="279"/>
      <c r="Q857" s="279"/>
      <c r="R857" s="279"/>
      <c r="S857" s="280"/>
      <c r="T857" s="63"/>
      <c r="U857" s="10"/>
      <c r="V857" s="90"/>
      <c r="W857" s="136"/>
      <c r="X857" s="137"/>
    </row>
    <row r="858" spans="2:24">
      <c r="B858" s="87">
        <f t="shared" si="159"/>
        <v>14</v>
      </c>
      <c r="C858" s="295">
        <v>45904</v>
      </c>
      <c r="D858" s="10">
        <v>72961</v>
      </c>
      <c r="E858" s="10" t="s">
        <v>728</v>
      </c>
      <c r="F858" s="62">
        <v>0</v>
      </c>
      <c r="G858" s="62">
        <v>0</v>
      </c>
      <c r="H858" s="62"/>
      <c r="I858" s="89">
        <f t="shared" si="158"/>
        <v>0</v>
      </c>
      <c r="J858" s="63" t="s">
        <v>205</v>
      </c>
      <c r="K858" s="63">
        <v>1</v>
      </c>
      <c r="L858" s="63"/>
      <c r="M858" s="63"/>
      <c r="N858" s="63"/>
      <c r="O858" s="63"/>
      <c r="P858" s="63"/>
      <c r="Q858" s="63">
        <v>1</v>
      </c>
      <c r="R858" s="63">
        <v>1</v>
      </c>
      <c r="S858" s="296"/>
      <c r="T858" s="21">
        <v>1</v>
      </c>
      <c r="U858" s="10"/>
      <c r="V858" s="90"/>
      <c r="W858" s="136"/>
      <c r="X858" s="137"/>
    </row>
    <row r="859" spans="2:24">
      <c r="B859" s="87">
        <f t="shared" si="159"/>
        <v>15</v>
      </c>
      <c r="C859" s="295">
        <v>45904</v>
      </c>
      <c r="D859" s="10">
        <v>72897</v>
      </c>
      <c r="E859" s="10" t="s">
        <v>213</v>
      </c>
      <c r="F859" s="62">
        <v>0</v>
      </c>
      <c r="G859" s="62">
        <v>0</v>
      </c>
      <c r="H859" s="62"/>
      <c r="I859" s="89">
        <f t="shared" si="158"/>
        <v>0</v>
      </c>
      <c r="J859" s="63" t="s">
        <v>219</v>
      </c>
      <c r="K859" s="63"/>
      <c r="L859" s="63"/>
      <c r="M859" s="63"/>
      <c r="N859" s="63"/>
      <c r="O859" s="63"/>
      <c r="P859" s="63"/>
      <c r="Q859" s="63"/>
      <c r="R859" s="63"/>
      <c r="S859" s="296"/>
      <c r="T859" s="63"/>
      <c r="U859" s="10"/>
      <c r="V859" s="90"/>
      <c r="W859" s="136"/>
      <c r="X859" s="137"/>
    </row>
    <row r="860" spans="2:24">
      <c r="B860" s="87">
        <f t="shared" si="159"/>
        <v>16</v>
      </c>
      <c r="C860" s="274">
        <v>45905</v>
      </c>
      <c r="D860" s="276">
        <v>72973</v>
      </c>
      <c r="E860" s="276" t="s">
        <v>333</v>
      </c>
      <c r="F860" s="277">
        <v>0</v>
      </c>
      <c r="G860" s="277">
        <v>0</v>
      </c>
      <c r="H860" s="277"/>
      <c r="I860" s="278">
        <f t="shared" si="158"/>
        <v>0</v>
      </c>
      <c r="J860" s="279" t="s">
        <v>205</v>
      </c>
      <c r="K860" s="279">
        <v>1</v>
      </c>
      <c r="L860" s="279"/>
      <c r="M860" s="279"/>
      <c r="N860" s="279">
        <v>1</v>
      </c>
      <c r="O860" s="279"/>
      <c r="P860" s="279"/>
      <c r="Q860" s="279">
        <v>1</v>
      </c>
      <c r="R860" s="279">
        <v>1</v>
      </c>
      <c r="S860" s="280">
        <v>1</v>
      </c>
      <c r="T860" s="63"/>
      <c r="U860" s="10"/>
      <c r="V860" s="90"/>
      <c r="W860" s="136"/>
      <c r="X860" s="137"/>
    </row>
    <row r="861" spans="2:24">
      <c r="B861" s="87">
        <f t="shared" si="159"/>
        <v>17</v>
      </c>
      <c r="C861" s="282">
        <v>45905</v>
      </c>
      <c r="D861" s="283">
        <v>73016</v>
      </c>
      <c r="E861" s="283" t="s">
        <v>1013</v>
      </c>
      <c r="F861" s="284">
        <v>7614</v>
      </c>
      <c r="G861" s="284">
        <v>39.700000000000003</v>
      </c>
      <c r="H861" s="284"/>
      <c r="I861" s="285">
        <f t="shared" si="158"/>
        <v>7574.3</v>
      </c>
      <c r="J861" s="286" t="s">
        <v>205</v>
      </c>
      <c r="K861" s="286">
        <v>1</v>
      </c>
      <c r="L861" s="286"/>
      <c r="M861" s="286"/>
      <c r="N861" s="286">
        <v>1</v>
      </c>
      <c r="O861" s="286"/>
      <c r="P861" s="286"/>
      <c r="Q861" s="286">
        <v>1</v>
      </c>
      <c r="R861" s="286">
        <v>1</v>
      </c>
      <c r="S861" s="287">
        <v>1</v>
      </c>
      <c r="T861" s="63"/>
      <c r="U861" s="10"/>
      <c r="V861" s="90"/>
      <c r="W861" s="136"/>
      <c r="X861" s="137"/>
    </row>
    <row r="862" spans="2:24">
      <c r="B862" s="11"/>
      <c r="C862" s="36"/>
      <c r="D862" s="10"/>
      <c r="E862" s="10"/>
      <c r="F862" s="97">
        <f>SUM(F845:F861)</f>
        <v>104629.34999999999</v>
      </c>
      <c r="G862" s="97">
        <f>SUM(G845:G861)</f>
        <v>436.69999999999993</v>
      </c>
      <c r="H862" s="97">
        <f>SUM(H845:H861)</f>
        <v>0</v>
      </c>
      <c r="I862" s="98">
        <f>SUM(I845:I861)</f>
        <v>104192.65000000001</v>
      </c>
      <c r="J862" s="10"/>
      <c r="K862" s="10"/>
      <c r="L862" s="10"/>
      <c r="M862" s="10"/>
      <c r="N862" s="10"/>
      <c r="O862" s="10"/>
      <c r="P862" s="10"/>
      <c r="Q862" s="10"/>
      <c r="R862" s="10"/>
      <c r="S862" s="10"/>
      <c r="T862" s="63"/>
      <c r="U862" s="10"/>
      <c r="V862" s="138"/>
      <c r="W862" s="136"/>
      <c r="X862" s="137"/>
    </row>
    <row r="863" spans="2:24">
      <c r="B863" s="26"/>
      <c r="C863" s="140"/>
      <c r="D863" s="141"/>
      <c r="E863" s="141"/>
      <c r="F863" s="141"/>
      <c r="G863" s="141"/>
      <c r="H863" s="141"/>
      <c r="I863" s="141"/>
      <c r="J863" s="141"/>
      <c r="K863" s="142"/>
      <c r="L863" s="142"/>
      <c r="M863" s="142"/>
      <c r="N863" s="142"/>
      <c r="O863" s="142"/>
      <c r="P863" s="142"/>
      <c r="Q863" s="142"/>
      <c r="R863" s="142"/>
      <c r="S863" s="142"/>
      <c r="T863" s="143">
        <f>SUM(T795:T862)</f>
        <v>7</v>
      </c>
      <c r="U863" s="141"/>
      <c r="V863" s="144">
        <f>SUM(V795:V862)</f>
        <v>48514.899999999987</v>
      </c>
      <c r="W863" s="145">
        <f>SUM(W795:W862)</f>
        <v>3220</v>
      </c>
      <c r="X863" s="146">
        <f>SUM(X795:X862)</f>
        <v>0</v>
      </c>
    </row>
    <row r="864" spans="2:24">
      <c r="B864" s="10"/>
      <c r="C864" s="36"/>
      <c r="D864" s="10"/>
      <c r="E864" s="10"/>
      <c r="F864" s="10"/>
      <c r="G864" s="10"/>
      <c r="H864" s="10"/>
      <c r="I864" s="10"/>
      <c r="J864" s="10"/>
      <c r="K864" s="147"/>
      <c r="L864" s="147"/>
      <c r="M864" s="147"/>
      <c r="N864" s="147"/>
      <c r="O864" s="147"/>
      <c r="P864" s="147"/>
      <c r="Q864" s="147"/>
      <c r="R864" s="147"/>
      <c r="S864" s="147"/>
      <c r="T864" s="21"/>
      <c r="U864" s="10"/>
      <c r="V864" s="99"/>
      <c r="W864" s="99"/>
      <c r="X864" s="99"/>
    </row>
    <row r="866" spans="1:24">
      <c r="A866" s="616" t="s">
        <v>74</v>
      </c>
      <c r="B866" s="4" t="s">
        <v>1</v>
      </c>
      <c r="C866" s="5"/>
      <c r="D866" s="83"/>
      <c r="E866" s="6"/>
      <c r="F866" s="7" t="s">
        <v>2</v>
      </c>
      <c r="G866" s="608">
        <v>45914</v>
      </c>
      <c r="H866" s="7"/>
      <c r="I866" s="6"/>
      <c r="J866" s="6"/>
      <c r="K866" s="6"/>
      <c r="L866" s="6"/>
      <c r="M866" s="6"/>
      <c r="N866" s="6"/>
      <c r="O866" s="6"/>
      <c r="P866" s="6"/>
      <c r="Q866" s="6"/>
      <c r="R866" s="6"/>
      <c r="S866" s="6"/>
      <c r="T866" s="6"/>
      <c r="U866" s="149"/>
      <c r="V866" s="77"/>
      <c r="W866" s="77"/>
      <c r="X866" s="77"/>
    </row>
    <row r="867" spans="1:24">
      <c r="A867" s="617" t="s">
        <v>75</v>
      </c>
      <c r="B867" s="11"/>
      <c r="C867" s="10"/>
      <c r="D867" s="63"/>
      <c r="E867" s="10"/>
      <c r="F867" s="10"/>
      <c r="G867" s="7"/>
      <c r="H867" s="12"/>
      <c r="I867" s="10"/>
      <c r="J867" s="10"/>
      <c r="K867" s="13" t="s">
        <v>3</v>
      </c>
      <c r="L867" s="14"/>
      <c r="M867" s="15"/>
      <c r="N867" s="13" t="s">
        <v>4</v>
      </c>
      <c r="O867" s="14"/>
      <c r="P867" s="15"/>
      <c r="Q867" s="13" t="s">
        <v>5</v>
      </c>
      <c r="R867" s="14"/>
      <c r="S867" s="15"/>
      <c r="T867" s="16"/>
      <c r="U867" s="151"/>
      <c r="V867" s="77"/>
      <c r="W867" s="77"/>
      <c r="X867" s="77"/>
    </row>
    <row r="868" spans="1:24">
      <c r="A868" s="616" t="s">
        <v>76</v>
      </c>
      <c r="B868" s="18" t="s">
        <v>6</v>
      </c>
      <c r="C868" s="19">
        <f>C869+C870</f>
        <v>34</v>
      </c>
      <c r="D868" s="63"/>
      <c r="E868" s="18" t="s">
        <v>7</v>
      </c>
      <c r="F868" s="6"/>
      <c r="G868" s="9"/>
      <c r="H868" s="10"/>
      <c r="I868" s="10"/>
      <c r="J868" s="10"/>
      <c r="K868" s="20" t="s">
        <v>8</v>
      </c>
      <c r="L868" s="21" t="s">
        <v>9</v>
      </c>
      <c r="M868" s="21" t="s">
        <v>10</v>
      </c>
      <c r="N868" s="20" t="s">
        <v>11</v>
      </c>
      <c r="O868" s="21" t="s">
        <v>12</v>
      </c>
      <c r="P868" s="22" t="s">
        <v>13</v>
      </c>
      <c r="Q868" s="21" t="s">
        <v>11</v>
      </c>
      <c r="R868" s="21" t="s">
        <v>12</v>
      </c>
      <c r="S868" s="22" t="s">
        <v>13</v>
      </c>
      <c r="T868" s="23" t="s">
        <v>14</v>
      </c>
      <c r="U868" s="151"/>
      <c r="V868" s="77"/>
      <c r="W868" s="77"/>
      <c r="X868" s="77"/>
    </row>
    <row r="869" spans="1:24">
      <c r="A869" s="652" t="s">
        <v>77</v>
      </c>
      <c r="B869" s="24" t="s">
        <v>15</v>
      </c>
      <c r="C869" s="25">
        <f>P876</f>
        <v>19</v>
      </c>
      <c r="D869" s="63"/>
      <c r="E869" s="11" t="s">
        <v>16</v>
      </c>
      <c r="F869" s="10" t="s">
        <v>78</v>
      </c>
      <c r="G869" s="153">
        <v>0.05</v>
      </c>
      <c r="H869" s="10"/>
      <c r="I869" s="10"/>
      <c r="J869" s="18" t="s">
        <v>17</v>
      </c>
      <c r="K869" s="29">
        <f>K907</f>
        <v>12</v>
      </c>
      <c r="L869" s="29">
        <f t="shared" ref="L869:S869" si="161">L907</f>
        <v>11</v>
      </c>
      <c r="M869" s="29">
        <f t="shared" si="161"/>
        <v>13</v>
      </c>
      <c r="N869" s="29">
        <f t="shared" si="161"/>
        <v>13</v>
      </c>
      <c r="O869" s="29">
        <f t="shared" si="161"/>
        <v>13</v>
      </c>
      <c r="P869" s="29">
        <f t="shared" si="161"/>
        <v>13</v>
      </c>
      <c r="Q869" s="29">
        <f t="shared" si="161"/>
        <v>13</v>
      </c>
      <c r="R869" s="29">
        <f t="shared" si="161"/>
        <v>13</v>
      </c>
      <c r="S869" s="29">
        <f t="shared" si="161"/>
        <v>11</v>
      </c>
      <c r="T869" s="30">
        <f>T954</f>
        <v>6</v>
      </c>
      <c r="U869" s="151" t="s">
        <v>2578</v>
      </c>
      <c r="V869" s="77"/>
      <c r="W869" s="77"/>
      <c r="X869" s="77"/>
    </row>
    <row r="870" spans="1:24">
      <c r="A870" s="614"/>
      <c r="B870" s="24" t="s">
        <v>18</v>
      </c>
      <c r="C870" s="25">
        <f>P877</f>
        <v>15</v>
      </c>
      <c r="D870" s="63"/>
      <c r="E870" s="26" t="s">
        <v>80</v>
      </c>
      <c r="F870" s="141" t="s">
        <v>81</v>
      </c>
      <c r="G870" s="154">
        <v>0.1</v>
      </c>
      <c r="H870" s="10"/>
      <c r="I870" s="10"/>
      <c r="J870" s="32" t="s">
        <v>19</v>
      </c>
      <c r="K870" s="33">
        <f>K907/K906</f>
        <v>0.92307692307692313</v>
      </c>
      <c r="L870" s="33">
        <f t="shared" ref="L870:S870" si="162">L907/L906</f>
        <v>0.84615384615384615</v>
      </c>
      <c r="M870" s="33">
        <f t="shared" si="162"/>
        <v>1</v>
      </c>
      <c r="N870" s="33">
        <f t="shared" si="162"/>
        <v>1</v>
      </c>
      <c r="O870" s="33">
        <f t="shared" si="162"/>
        <v>1</v>
      </c>
      <c r="P870" s="33">
        <f t="shared" si="162"/>
        <v>1</v>
      </c>
      <c r="Q870" s="33">
        <f t="shared" si="162"/>
        <v>1</v>
      </c>
      <c r="R870" s="33">
        <f t="shared" si="162"/>
        <v>1</v>
      </c>
      <c r="S870" s="33">
        <f t="shared" si="162"/>
        <v>0.84615384615384615</v>
      </c>
      <c r="T870" s="23">
        <v>1</v>
      </c>
      <c r="U870" s="151" t="s">
        <v>20</v>
      </c>
      <c r="V870" s="77"/>
      <c r="W870" s="77"/>
      <c r="X870" s="77"/>
    </row>
    <row r="871" spans="1:24">
      <c r="A871" s="614"/>
      <c r="B871" s="24" t="s">
        <v>21</v>
      </c>
      <c r="C871" s="34">
        <f>P878</f>
        <v>0.55882352941176472</v>
      </c>
      <c r="D871" s="63"/>
      <c r="E871" s="10"/>
      <c r="F871" s="10"/>
      <c r="G871" s="10"/>
      <c r="H871" s="10"/>
      <c r="I871" s="10"/>
      <c r="J871" s="10"/>
      <c r="K871" s="10"/>
      <c r="L871" s="10"/>
      <c r="M871" s="10"/>
      <c r="N871" s="10"/>
      <c r="O871" s="10"/>
      <c r="P871" s="10"/>
      <c r="Q871" s="10"/>
      <c r="R871" s="10"/>
      <c r="S871" s="10"/>
      <c r="T871" s="10"/>
      <c r="U871" s="151"/>
      <c r="V871" s="77"/>
      <c r="W871" s="77"/>
      <c r="X871" s="77"/>
    </row>
    <row r="872" spans="1:24">
      <c r="A872" s="614"/>
      <c r="B872" s="24"/>
      <c r="C872" s="25"/>
      <c r="D872" s="63"/>
      <c r="E872" s="10"/>
      <c r="F872" s="18" t="s">
        <v>22</v>
      </c>
      <c r="G872" s="19" t="s">
        <v>23</v>
      </c>
      <c r="H872" s="35" t="s">
        <v>24</v>
      </c>
      <c r="I872" s="10"/>
      <c r="J872" s="10"/>
      <c r="K872" s="36"/>
      <c r="L872" s="36"/>
      <c r="M872" s="36"/>
      <c r="N872" s="36"/>
      <c r="O872" s="36"/>
      <c r="P872" s="36"/>
      <c r="Q872" s="36"/>
      <c r="R872" s="10"/>
      <c r="S872" s="10"/>
      <c r="T872" s="10"/>
      <c r="U872" s="151"/>
      <c r="V872" s="77"/>
      <c r="W872" s="77"/>
      <c r="X872" s="77"/>
    </row>
    <row r="873" spans="1:24">
      <c r="A873" s="614"/>
      <c r="B873" s="32" t="s">
        <v>25</v>
      </c>
      <c r="C873" s="37">
        <f>P879</f>
        <v>3782.5752631578953</v>
      </c>
      <c r="D873" s="63"/>
      <c r="E873" s="18" t="s">
        <v>26</v>
      </c>
      <c r="F873" s="38">
        <f>P875</f>
        <v>71868.930000000008</v>
      </c>
      <c r="G873" s="39">
        <f>I906+I918+I924</f>
        <v>71868.930000000008</v>
      </c>
      <c r="H873" s="40"/>
      <c r="I873" s="41"/>
      <c r="J873" s="42"/>
      <c r="K873" s="43" t="s">
        <v>27</v>
      </c>
      <c r="L873" s="44"/>
      <c r="M873" s="44"/>
      <c r="N873" s="44"/>
      <c r="O873" s="44"/>
      <c r="P873" s="44"/>
      <c r="Q873" s="45"/>
      <c r="R873" s="46" t="s">
        <v>28</v>
      </c>
      <c r="S873" s="47" t="s">
        <v>29</v>
      </c>
      <c r="T873" s="10"/>
      <c r="U873" s="151"/>
      <c r="V873" s="77"/>
      <c r="W873" s="77"/>
      <c r="X873" s="77"/>
    </row>
    <row r="874" spans="1:24">
      <c r="A874" s="614"/>
      <c r="B874" s="11"/>
      <c r="C874" s="10"/>
      <c r="D874" s="63"/>
      <c r="E874" s="24" t="s">
        <v>30</v>
      </c>
      <c r="F874" s="48">
        <f>IF(F873&gt;=25000,10%,5%)</f>
        <v>0.1</v>
      </c>
      <c r="G874" s="17"/>
      <c r="H874" s="40"/>
      <c r="I874" s="41"/>
      <c r="J874" s="42"/>
      <c r="K874" s="20" t="s">
        <v>31</v>
      </c>
      <c r="L874" s="21" t="s">
        <v>32</v>
      </c>
      <c r="M874" s="21" t="s">
        <v>33</v>
      </c>
      <c r="N874" s="21" t="s">
        <v>34</v>
      </c>
      <c r="O874" s="21" t="s">
        <v>35</v>
      </c>
      <c r="P874" s="21" t="s">
        <v>36</v>
      </c>
      <c r="Q874" s="49" t="s">
        <v>37</v>
      </c>
      <c r="R874" s="50" t="s">
        <v>38</v>
      </c>
      <c r="S874" s="50" t="s">
        <v>38</v>
      </c>
      <c r="T874" s="10"/>
      <c r="U874" s="151"/>
      <c r="V874" s="77"/>
      <c r="W874" s="77"/>
      <c r="X874" s="77"/>
    </row>
    <row r="875" spans="1:24">
      <c r="A875" s="614"/>
      <c r="B875" s="11"/>
      <c r="C875" s="10"/>
      <c r="D875" s="63"/>
      <c r="E875" s="51" t="s">
        <v>39</v>
      </c>
      <c r="F875" s="52">
        <f>(F873-I901-I915-I916-I917-I921-I922-I923)*F874</f>
        <v>2288.2959999999998</v>
      </c>
      <c r="G875" s="53" t="s">
        <v>40</v>
      </c>
      <c r="H875" s="54">
        <f>F875/1.12</f>
        <v>2043.1214285714282</v>
      </c>
      <c r="I875" s="55"/>
      <c r="J875" s="42"/>
      <c r="K875" s="56">
        <f>I893+I895+I894</f>
        <v>9299.43</v>
      </c>
      <c r="L875" s="57">
        <f>I896+I897+I898+I899+I900+I916+I915</f>
        <v>29556.050000000003</v>
      </c>
      <c r="M875" s="57">
        <f>I901+I902+I903</f>
        <v>3732.8</v>
      </c>
      <c r="N875" s="57">
        <f>I904+I905+I917+I921+I922</f>
        <v>23342.690000000002</v>
      </c>
      <c r="O875" s="57">
        <f>I923</f>
        <v>5937.96</v>
      </c>
      <c r="P875" s="57">
        <f>SUM(K875:O875)</f>
        <v>71868.930000000008</v>
      </c>
      <c r="Q875" s="58">
        <v>0</v>
      </c>
      <c r="R875" s="59">
        <f>I918+I924</f>
        <v>47464.670000000006</v>
      </c>
      <c r="S875" s="59">
        <v>0</v>
      </c>
      <c r="T875" s="10"/>
      <c r="U875" s="151"/>
      <c r="V875" s="77"/>
      <c r="W875" s="77"/>
      <c r="X875" s="77"/>
    </row>
    <row r="876" spans="1:24">
      <c r="A876" s="614"/>
      <c r="B876" s="11"/>
      <c r="C876" s="10"/>
      <c r="D876" s="63"/>
      <c r="E876" s="24" t="s">
        <v>41</v>
      </c>
      <c r="F876" s="60">
        <f>Q875</f>
        <v>0</v>
      </c>
      <c r="G876" s="61" t="s">
        <v>40</v>
      </c>
      <c r="H876" s="62"/>
      <c r="I876" s="62"/>
      <c r="J876" s="10" t="s">
        <v>42</v>
      </c>
      <c r="K876" s="63">
        <v>3</v>
      </c>
      <c r="L876" s="63">
        <v>7</v>
      </c>
      <c r="M876" s="63">
        <v>3</v>
      </c>
      <c r="N876" s="63">
        <v>5</v>
      </c>
      <c r="O876" s="63">
        <v>1</v>
      </c>
      <c r="P876" s="21">
        <f>SUM(K876:O876)</f>
        <v>19</v>
      </c>
      <c r="Q876" s="64"/>
      <c r="R876" s="63"/>
      <c r="S876" s="10"/>
      <c r="T876" s="10"/>
      <c r="U876" s="151"/>
      <c r="V876" s="77"/>
      <c r="W876" s="77"/>
      <c r="X876" s="77"/>
    </row>
    <row r="877" spans="1:24">
      <c r="A877" s="614"/>
      <c r="B877" s="11"/>
      <c r="C877" s="10"/>
      <c r="D877" s="63"/>
      <c r="E877" s="51" t="s">
        <v>43</v>
      </c>
      <c r="F877" s="52">
        <f>F876*0.25</f>
        <v>0</v>
      </c>
      <c r="G877" s="53" t="s">
        <v>40</v>
      </c>
      <c r="H877" s="54">
        <f>F877/1.12</f>
        <v>0</v>
      </c>
      <c r="I877" s="10"/>
      <c r="J877" s="10" t="s">
        <v>44</v>
      </c>
      <c r="K877" s="63">
        <v>3</v>
      </c>
      <c r="L877" s="63">
        <v>3</v>
      </c>
      <c r="M877" s="63">
        <v>3</v>
      </c>
      <c r="N877" s="63">
        <v>4</v>
      </c>
      <c r="O877" s="63">
        <v>2</v>
      </c>
      <c r="P877" s="21">
        <f>SUM(K877:O877)</f>
        <v>15</v>
      </c>
      <c r="Q877" s="64"/>
      <c r="R877" s="63"/>
      <c r="S877" s="10"/>
      <c r="T877" s="10"/>
      <c r="U877" s="151"/>
      <c r="V877" s="77"/>
      <c r="W877" s="77"/>
      <c r="X877" s="77"/>
    </row>
    <row r="878" spans="1:24">
      <c r="A878" s="614"/>
      <c r="B878" s="11"/>
      <c r="C878" s="10"/>
      <c r="D878" s="63"/>
      <c r="E878" s="24" t="s">
        <v>45</v>
      </c>
      <c r="F878" s="60">
        <f>I912</f>
        <v>3844.6</v>
      </c>
      <c r="G878" s="61" t="s">
        <v>40</v>
      </c>
      <c r="H878" s="62"/>
      <c r="I878" s="10"/>
      <c r="J878" s="10" t="s">
        <v>46</v>
      </c>
      <c r="K878" s="31">
        <f t="shared" ref="K878:Q878" si="163">K876/(K876+K877)</f>
        <v>0.5</v>
      </c>
      <c r="L878" s="31">
        <f t="shared" si="163"/>
        <v>0.7</v>
      </c>
      <c r="M878" s="31">
        <f t="shared" si="163"/>
        <v>0.5</v>
      </c>
      <c r="N878" s="31">
        <f t="shared" si="163"/>
        <v>0.55555555555555558</v>
      </c>
      <c r="O878" s="31">
        <f t="shared" si="163"/>
        <v>0.33333333333333331</v>
      </c>
      <c r="P878" s="31">
        <f t="shared" si="163"/>
        <v>0.55882352941176472</v>
      </c>
      <c r="Q878" s="31" t="e">
        <f t="shared" si="163"/>
        <v>#DIV/0!</v>
      </c>
      <c r="R878" s="63"/>
      <c r="S878" s="10"/>
      <c r="T878" s="10"/>
      <c r="U878" s="151"/>
      <c r="V878" s="77"/>
      <c r="W878" s="77"/>
      <c r="X878" s="77"/>
    </row>
    <row r="879" spans="1:24">
      <c r="A879" s="614"/>
      <c r="B879" s="11"/>
      <c r="C879" s="10"/>
      <c r="D879" s="63"/>
      <c r="E879" s="51" t="s">
        <v>47</v>
      </c>
      <c r="F879" s="52">
        <f>F878*0.05</f>
        <v>192.23000000000002</v>
      </c>
      <c r="G879" s="65" t="s">
        <v>40</v>
      </c>
      <c r="H879" s="54">
        <f>F879/1.12</f>
        <v>171.63392857142858</v>
      </c>
      <c r="I879" s="42"/>
      <c r="J879" s="10" t="s">
        <v>48</v>
      </c>
      <c r="K879" s="66">
        <f>K875/K876</f>
        <v>3099.81</v>
      </c>
      <c r="L879" s="66">
        <f t="shared" ref="L879:Q879" si="164">L875/L876</f>
        <v>4222.2928571428574</v>
      </c>
      <c r="M879" s="66">
        <f t="shared" si="164"/>
        <v>1244.2666666666667</v>
      </c>
      <c r="N879" s="66">
        <f t="shared" si="164"/>
        <v>4668.5380000000005</v>
      </c>
      <c r="O879" s="66">
        <f t="shared" si="164"/>
        <v>5937.96</v>
      </c>
      <c r="P879" s="66">
        <f t="shared" si="164"/>
        <v>3782.5752631578953</v>
      </c>
      <c r="Q879" s="66" t="e">
        <f t="shared" si="164"/>
        <v>#DIV/0!</v>
      </c>
      <c r="R879" s="63"/>
      <c r="S879" s="10"/>
      <c r="T879" s="10"/>
      <c r="U879" s="151"/>
      <c r="V879" s="77"/>
      <c r="W879" s="77"/>
      <c r="X879" s="77"/>
    </row>
    <row r="880" spans="1:24">
      <c r="A880" s="615"/>
      <c r="B880" s="132"/>
      <c r="C880" s="123"/>
      <c r="D880" s="127"/>
      <c r="E880" s="155" t="s">
        <v>14</v>
      </c>
      <c r="F880" s="156">
        <f>7*50</f>
        <v>350</v>
      </c>
      <c r="G880" s="123"/>
      <c r="H880" s="54">
        <f>F880/1.12</f>
        <v>312.49999999999994</v>
      </c>
      <c r="I880" s="123"/>
      <c r="J880" s="123"/>
      <c r="K880" s="123"/>
      <c r="L880" s="123"/>
      <c r="M880" s="123"/>
      <c r="N880" s="123"/>
      <c r="O880" s="123"/>
      <c r="P880" s="123"/>
      <c r="Q880" s="123"/>
      <c r="R880" s="123"/>
      <c r="S880" s="123"/>
      <c r="T880" s="123"/>
      <c r="U880" s="157"/>
      <c r="V880" s="123"/>
      <c r="W880" s="123"/>
      <c r="X880" s="123"/>
    </row>
    <row r="881" spans="1:24">
      <c r="A881" s="615"/>
      <c r="B881" s="132"/>
      <c r="C881" s="123"/>
      <c r="D881" s="127"/>
      <c r="E881" s="158" t="s">
        <v>49</v>
      </c>
      <c r="F881" s="159">
        <f>T870</f>
        <v>1</v>
      </c>
      <c r="G881" s="123"/>
      <c r="H881" s="54"/>
      <c r="I881" s="123"/>
      <c r="J881" s="42"/>
      <c r="K881" s="764" t="s">
        <v>50</v>
      </c>
      <c r="L881" s="765"/>
      <c r="M881" s="765"/>
      <c r="N881" s="765"/>
      <c r="O881" s="765"/>
      <c r="P881" s="765"/>
      <c r="Q881" s="766"/>
      <c r="R881" s="70" t="s">
        <v>28</v>
      </c>
      <c r="S881" s="71" t="s">
        <v>29</v>
      </c>
      <c r="T881" s="123"/>
      <c r="U881" s="157"/>
      <c r="V881" s="123"/>
      <c r="W881" s="123"/>
      <c r="X881" s="123"/>
    </row>
    <row r="882" spans="1:24">
      <c r="A882" s="615"/>
      <c r="B882" s="132"/>
      <c r="C882" s="123"/>
      <c r="D882" s="127"/>
      <c r="E882" s="12"/>
      <c r="F882" s="160"/>
      <c r="G882" s="123"/>
      <c r="H882" s="54"/>
      <c r="I882" s="123"/>
      <c r="J882" s="42"/>
      <c r="K882" s="20" t="s">
        <v>31</v>
      </c>
      <c r="L882" s="21" t="s">
        <v>32</v>
      </c>
      <c r="M882" s="21" t="s">
        <v>33</v>
      </c>
      <c r="N882" s="21" t="s">
        <v>34</v>
      </c>
      <c r="O882" s="21" t="s">
        <v>35</v>
      </c>
      <c r="P882" s="21" t="s">
        <v>36</v>
      </c>
      <c r="Q882" s="49" t="s">
        <v>37</v>
      </c>
      <c r="R882" s="50" t="s">
        <v>38</v>
      </c>
      <c r="S882" s="50" t="s">
        <v>38</v>
      </c>
      <c r="T882" s="123"/>
      <c r="U882" s="157"/>
      <c r="V882" s="123"/>
      <c r="W882" s="123"/>
      <c r="X882" s="123"/>
    </row>
    <row r="883" spans="1:24">
      <c r="A883" s="615"/>
      <c r="B883" s="132"/>
      <c r="C883" s="123"/>
      <c r="D883" s="127"/>
      <c r="E883" s="12"/>
      <c r="F883" s="160"/>
      <c r="G883" s="123"/>
      <c r="H883" s="54"/>
      <c r="I883" s="123"/>
      <c r="J883" s="42"/>
      <c r="K883" s="56">
        <f>F893+F895+F894</f>
        <v>9887.6</v>
      </c>
      <c r="L883" s="57">
        <f>F896+F897+F898+F899+F900+F916+F915</f>
        <v>34137.9</v>
      </c>
      <c r="M883" s="57">
        <f>F901+F902+F903</f>
        <v>3851.9</v>
      </c>
      <c r="N883" s="57">
        <f>F904+F905+F917+F921+F922</f>
        <v>25872.800000000003</v>
      </c>
      <c r="O883" s="57">
        <f>F923</f>
        <v>7814</v>
      </c>
      <c r="P883" s="57">
        <f>SUM(K883:O883)</f>
        <v>81564.200000000012</v>
      </c>
      <c r="Q883" s="58">
        <v>0</v>
      </c>
      <c r="R883" s="59">
        <f>F918+F924</f>
        <v>54071.700000000004</v>
      </c>
      <c r="S883" s="59">
        <v>0</v>
      </c>
      <c r="T883" s="123"/>
      <c r="U883" s="157"/>
      <c r="V883" s="123"/>
      <c r="W883" s="123"/>
      <c r="X883" s="123"/>
    </row>
    <row r="884" spans="1:24">
      <c r="A884" s="615"/>
      <c r="B884" s="132"/>
      <c r="C884" s="123"/>
      <c r="D884" s="127"/>
      <c r="E884" s="12"/>
      <c r="F884" s="160"/>
      <c r="G884" s="123"/>
      <c r="H884" s="54"/>
      <c r="I884" s="123"/>
      <c r="J884" s="10" t="s">
        <v>42</v>
      </c>
      <c r="K884" s="63">
        <f t="shared" ref="K884:Q885" si="165">K876</f>
        <v>3</v>
      </c>
      <c r="L884" s="63">
        <f t="shared" si="165"/>
        <v>7</v>
      </c>
      <c r="M884" s="63">
        <f t="shared" si="165"/>
        <v>3</v>
      </c>
      <c r="N884" s="63">
        <f t="shared" si="165"/>
        <v>5</v>
      </c>
      <c r="O884" s="63">
        <f t="shared" si="165"/>
        <v>1</v>
      </c>
      <c r="P884" s="63">
        <f t="shared" si="165"/>
        <v>19</v>
      </c>
      <c r="Q884" s="63">
        <f t="shared" si="165"/>
        <v>0</v>
      </c>
      <c r="R884" s="63"/>
      <c r="S884" s="10"/>
      <c r="T884" s="123"/>
      <c r="U884" s="157"/>
      <c r="V884" s="123"/>
      <c r="W884" s="123"/>
      <c r="X884" s="123"/>
    </row>
    <row r="885" spans="1:24">
      <c r="A885" s="615"/>
      <c r="B885" s="132"/>
      <c r="C885" s="123"/>
      <c r="D885" s="127"/>
      <c r="E885" s="12"/>
      <c r="F885" s="12"/>
      <c r="G885" s="123"/>
      <c r="H885" s="54"/>
      <c r="I885" s="123"/>
      <c r="J885" s="10" t="s">
        <v>44</v>
      </c>
      <c r="K885" s="63">
        <f t="shared" si="165"/>
        <v>3</v>
      </c>
      <c r="L885" s="63">
        <f t="shared" si="165"/>
        <v>3</v>
      </c>
      <c r="M885" s="63">
        <f t="shared" si="165"/>
        <v>3</v>
      </c>
      <c r="N885" s="63">
        <f t="shared" si="165"/>
        <v>4</v>
      </c>
      <c r="O885" s="63">
        <f t="shared" si="165"/>
        <v>2</v>
      </c>
      <c r="P885" s="63">
        <f t="shared" si="165"/>
        <v>15</v>
      </c>
      <c r="Q885" s="63">
        <f t="shared" si="165"/>
        <v>0</v>
      </c>
      <c r="R885" s="63"/>
      <c r="S885" s="10"/>
      <c r="T885" s="123"/>
      <c r="U885" s="157"/>
      <c r="V885" s="123"/>
      <c r="W885" s="123"/>
      <c r="X885" s="123"/>
    </row>
    <row r="886" spans="1:24">
      <c r="A886" s="615"/>
      <c r="B886" s="132"/>
      <c r="C886" s="123"/>
      <c r="D886" s="127"/>
      <c r="E886" s="12"/>
      <c r="F886" s="160"/>
      <c r="G886" s="123"/>
      <c r="H886" s="54"/>
      <c r="I886" s="123"/>
      <c r="J886" s="10" t="s">
        <v>46</v>
      </c>
      <c r="K886" s="31">
        <f t="shared" ref="K886:Q886" si="166">K884/(K884+K885)</f>
        <v>0.5</v>
      </c>
      <c r="L886" s="31">
        <f t="shared" si="166"/>
        <v>0.7</v>
      </c>
      <c r="M886" s="31">
        <f t="shared" si="166"/>
        <v>0.5</v>
      </c>
      <c r="N886" s="31">
        <f t="shared" si="166"/>
        <v>0.55555555555555558</v>
      </c>
      <c r="O886" s="31">
        <f t="shared" si="166"/>
        <v>0.33333333333333331</v>
      </c>
      <c r="P886" s="31">
        <f t="shared" si="166"/>
        <v>0.55882352941176472</v>
      </c>
      <c r="Q886" s="31" t="e">
        <f t="shared" si="166"/>
        <v>#DIV/0!</v>
      </c>
      <c r="R886" s="63"/>
      <c r="S886" s="10"/>
      <c r="T886" s="123"/>
      <c r="U886" s="157"/>
      <c r="V886" s="123"/>
      <c r="W886" s="123"/>
      <c r="X886" s="123"/>
    </row>
    <row r="887" spans="1:24">
      <c r="A887" s="615"/>
      <c r="B887" s="132"/>
      <c r="C887" s="123"/>
      <c r="D887" s="127"/>
      <c r="E887" s="12"/>
      <c r="F887" s="160"/>
      <c r="G887" s="123"/>
      <c r="H887" s="54"/>
      <c r="I887" s="123"/>
      <c r="J887" s="10" t="s">
        <v>48</v>
      </c>
      <c r="K887" s="66">
        <f t="shared" ref="K887:Q887" si="167">K883/K884</f>
        <v>3295.8666666666668</v>
      </c>
      <c r="L887" s="66">
        <f t="shared" si="167"/>
        <v>4876.8428571428576</v>
      </c>
      <c r="M887" s="66">
        <f t="shared" si="167"/>
        <v>1283.9666666666667</v>
      </c>
      <c r="N887" s="66">
        <f t="shared" si="167"/>
        <v>5174.5600000000004</v>
      </c>
      <c r="O887" s="66">
        <f t="shared" si="167"/>
        <v>7814</v>
      </c>
      <c r="P887" s="66">
        <f t="shared" si="167"/>
        <v>4292.8526315789477</v>
      </c>
      <c r="Q887" s="66" t="e">
        <f t="shared" si="167"/>
        <v>#DIV/0!</v>
      </c>
      <c r="R887" s="63"/>
      <c r="S887" s="10"/>
      <c r="T887" s="123"/>
      <c r="U887" s="157"/>
      <c r="V887" s="123"/>
      <c r="W887" s="123"/>
      <c r="X887" s="123"/>
    </row>
    <row r="888" spans="1:24">
      <c r="A888" s="615"/>
      <c r="B888" s="132"/>
      <c r="C888" s="123"/>
      <c r="D888" s="127"/>
      <c r="E888" s="12"/>
      <c r="F888" s="160"/>
      <c r="G888" s="123"/>
      <c r="H888" s="54"/>
      <c r="I888" s="123"/>
      <c r="J888" s="123"/>
      <c r="K888" s="123"/>
      <c r="L888" s="123"/>
      <c r="M888" s="123"/>
      <c r="N888" s="123"/>
      <c r="O888" s="123"/>
      <c r="P888" s="123"/>
      <c r="Q888" s="123"/>
      <c r="R888" s="123"/>
      <c r="S888" s="123"/>
      <c r="T888" s="123"/>
      <c r="U888" s="157"/>
      <c r="V888" s="123"/>
      <c r="W888" s="123"/>
      <c r="X888" s="123"/>
    </row>
    <row r="889" spans="1:24">
      <c r="A889" s="614"/>
      <c r="B889" s="11"/>
      <c r="C889" s="10"/>
      <c r="D889" s="63"/>
      <c r="E889" s="10"/>
      <c r="F889" s="10"/>
      <c r="G889" s="10"/>
      <c r="H889" s="10"/>
      <c r="I889" s="10"/>
      <c r="J889" s="10"/>
      <c r="K889" s="10"/>
      <c r="L889" s="10"/>
      <c r="M889" s="10"/>
      <c r="N889" s="10"/>
      <c r="O889" s="10"/>
      <c r="P889" s="10"/>
      <c r="Q889" s="10"/>
      <c r="R889" s="10"/>
      <c r="S889" s="10"/>
      <c r="T889" s="10"/>
      <c r="U889" s="151"/>
      <c r="V889" s="77"/>
      <c r="W889" s="77"/>
      <c r="X889" s="77"/>
    </row>
    <row r="890" spans="1:24">
      <c r="A890" s="614"/>
      <c r="B890" s="18" t="s">
        <v>51</v>
      </c>
      <c r="C890" s="14"/>
      <c r="D890" s="14"/>
      <c r="E890" s="14"/>
      <c r="F890" s="13" t="s">
        <v>52</v>
      </c>
      <c r="G890" s="14"/>
      <c r="H890" s="14"/>
      <c r="I890" s="14"/>
      <c r="J890" s="14"/>
      <c r="K890" s="13" t="s">
        <v>3</v>
      </c>
      <c r="L890" s="14"/>
      <c r="M890" s="14"/>
      <c r="N890" s="13" t="s">
        <v>4</v>
      </c>
      <c r="O890" s="14"/>
      <c r="P890" s="14"/>
      <c r="Q890" s="13" t="s">
        <v>5</v>
      </c>
      <c r="R890" s="14"/>
      <c r="S890" s="14"/>
      <c r="T890" s="18"/>
      <c r="U890" s="161" t="s">
        <v>53</v>
      </c>
      <c r="V890" s="77"/>
      <c r="W890" s="77"/>
      <c r="X890" s="77"/>
    </row>
    <row r="891" spans="1:24">
      <c r="A891" s="614"/>
      <c r="B891" s="24" t="s">
        <v>54</v>
      </c>
      <c r="C891" s="21" t="s">
        <v>55</v>
      </c>
      <c r="D891" s="21" t="s">
        <v>56</v>
      </c>
      <c r="E891" s="21" t="s">
        <v>57</v>
      </c>
      <c r="F891" s="20" t="s">
        <v>58</v>
      </c>
      <c r="G891" s="21" t="s">
        <v>59</v>
      </c>
      <c r="H891" s="21" t="s">
        <v>60</v>
      </c>
      <c r="I891" s="21" t="s">
        <v>26</v>
      </c>
      <c r="J891" s="22" t="s">
        <v>61</v>
      </c>
      <c r="K891" s="21" t="s">
        <v>8</v>
      </c>
      <c r="L891" s="21" t="s">
        <v>9</v>
      </c>
      <c r="M891" s="21" t="s">
        <v>10</v>
      </c>
      <c r="N891" s="20" t="s">
        <v>11</v>
      </c>
      <c r="O891" s="21" t="s">
        <v>12</v>
      </c>
      <c r="P891" s="22" t="s">
        <v>13</v>
      </c>
      <c r="Q891" s="21" t="s">
        <v>11</v>
      </c>
      <c r="R891" s="21" t="s">
        <v>12</v>
      </c>
      <c r="S891" s="21" t="s">
        <v>13</v>
      </c>
      <c r="T891" s="78" t="s">
        <v>14</v>
      </c>
      <c r="U891" s="162"/>
      <c r="V891" s="79" t="s">
        <v>62</v>
      </c>
      <c r="W891" s="80" t="s">
        <v>63</v>
      </c>
      <c r="X891" s="81" t="s">
        <v>64</v>
      </c>
    </row>
    <row r="892" spans="1:24">
      <c r="A892" s="614"/>
      <c r="B892" s="4" t="s">
        <v>65</v>
      </c>
      <c r="C892" s="6"/>
      <c r="D892" s="6"/>
      <c r="E892" s="6"/>
      <c r="F892" s="6"/>
      <c r="G892" s="6"/>
      <c r="H892" s="6"/>
      <c r="I892" s="82"/>
      <c r="J892" s="6"/>
      <c r="K892" s="6"/>
      <c r="L892" s="6"/>
      <c r="M892" s="6"/>
      <c r="N892" s="6"/>
      <c r="O892" s="6"/>
      <c r="P892" s="6"/>
      <c r="Q892" s="6"/>
      <c r="R892" s="6"/>
      <c r="S892" s="6"/>
      <c r="T892" s="83"/>
      <c r="U892" s="163"/>
      <c r="V892" s="84"/>
      <c r="W892" s="85"/>
      <c r="X892" s="86"/>
    </row>
    <row r="893" spans="1:24">
      <c r="A893" s="614"/>
      <c r="B893" s="87">
        <v>1</v>
      </c>
      <c r="C893" s="274">
        <v>45908</v>
      </c>
      <c r="D893" s="327" t="s">
        <v>2579</v>
      </c>
      <c r="E893" s="276" t="s">
        <v>798</v>
      </c>
      <c r="F893" s="277">
        <v>5592.6</v>
      </c>
      <c r="G893" s="277">
        <f>39.7+200</f>
        <v>239.7</v>
      </c>
      <c r="H893" s="277"/>
      <c r="I893" s="321">
        <f>F893-G893-H893</f>
        <v>5352.9000000000005</v>
      </c>
      <c r="J893" s="279" t="s">
        <v>156</v>
      </c>
      <c r="K893" s="279">
        <v>1</v>
      </c>
      <c r="L893" s="279">
        <v>1</v>
      </c>
      <c r="M893" s="279">
        <v>1</v>
      </c>
      <c r="N893" s="279">
        <v>1</v>
      </c>
      <c r="O893" s="279">
        <v>1</v>
      </c>
      <c r="P893" s="279">
        <v>1</v>
      </c>
      <c r="Q893" s="279">
        <v>1</v>
      </c>
      <c r="R893" s="279">
        <v>1</v>
      </c>
      <c r="S893" s="328">
        <v>0</v>
      </c>
      <c r="T893" s="63"/>
      <c r="U893" s="94" t="s">
        <v>2580</v>
      </c>
      <c r="V893" s="90">
        <f>615+5536.86</f>
        <v>6151.86</v>
      </c>
      <c r="W893" s="91"/>
      <c r="X893" s="92"/>
    </row>
    <row r="894" spans="1:24">
      <c r="A894" s="614"/>
      <c r="B894" s="87">
        <f>B893+1</f>
        <v>2</v>
      </c>
      <c r="C894" s="295">
        <v>45908</v>
      </c>
      <c r="D894" s="323">
        <v>73051</v>
      </c>
      <c r="E894" s="101" t="s">
        <v>216</v>
      </c>
      <c r="F894" s="62">
        <v>2614</v>
      </c>
      <c r="G894" s="62">
        <f>39.7+(269.07)</f>
        <v>308.77</v>
      </c>
      <c r="H894" s="62"/>
      <c r="I894" s="89">
        <f>F894-G894-H894</f>
        <v>2305.23</v>
      </c>
      <c r="J894" s="63" t="s">
        <v>228</v>
      </c>
      <c r="K894" s="63">
        <v>1</v>
      </c>
      <c r="L894" s="63">
        <v>1</v>
      </c>
      <c r="M894" s="63">
        <v>1</v>
      </c>
      <c r="N894" s="63">
        <v>1</v>
      </c>
      <c r="O894" s="63">
        <v>1</v>
      </c>
      <c r="P894" s="63">
        <v>1</v>
      </c>
      <c r="Q894" s="63">
        <v>1</v>
      </c>
      <c r="R894" s="63">
        <v>1</v>
      </c>
      <c r="S894" s="296">
        <v>1</v>
      </c>
      <c r="T894" s="94" t="s">
        <v>1732</v>
      </c>
      <c r="U894" s="94"/>
      <c r="V894" s="90">
        <f>287+2588.4</f>
        <v>2875.4</v>
      </c>
      <c r="W894" s="91"/>
      <c r="X894" s="92"/>
    </row>
    <row r="895" spans="1:24">
      <c r="A895" s="614"/>
      <c r="B895" s="87">
        <f>B894+1</f>
        <v>3</v>
      </c>
      <c r="C895" s="282">
        <v>45908</v>
      </c>
      <c r="D895" s="368">
        <v>73059</v>
      </c>
      <c r="E895" s="283" t="s">
        <v>1008</v>
      </c>
      <c r="F895" s="284">
        <v>1681</v>
      </c>
      <c r="G895" s="284">
        <f>39.7</f>
        <v>39.700000000000003</v>
      </c>
      <c r="H895" s="284"/>
      <c r="I895" s="285">
        <f t="shared" ref="I895:I905" si="168">F895-G895-H895</f>
        <v>1641.3</v>
      </c>
      <c r="J895" s="286" t="s">
        <v>156</v>
      </c>
      <c r="K895" s="286">
        <v>1</v>
      </c>
      <c r="L895" s="286">
        <v>1</v>
      </c>
      <c r="M895" s="286">
        <v>1</v>
      </c>
      <c r="N895" s="286">
        <v>1</v>
      </c>
      <c r="O895" s="286">
        <v>1</v>
      </c>
      <c r="P895" s="286">
        <v>1</v>
      </c>
      <c r="Q895" s="286">
        <v>1</v>
      </c>
      <c r="R895" s="286">
        <v>1</v>
      </c>
      <c r="S895" s="287">
        <v>1</v>
      </c>
      <c r="T895" s="21">
        <v>1</v>
      </c>
      <c r="U895" s="94"/>
      <c r="V895" s="90">
        <v>1849.1</v>
      </c>
      <c r="W895" s="91"/>
      <c r="X895" s="92"/>
    </row>
    <row r="896" spans="1:24">
      <c r="A896" s="613"/>
      <c r="B896" s="87">
        <f t="shared" ref="B896:B905" si="169">B895+1</f>
        <v>4</v>
      </c>
      <c r="C896" s="295">
        <v>45909</v>
      </c>
      <c r="D896" s="323">
        <v>73116</v>
      </c>
      <c r="E896" s="94" t="s">
        <v>1111</v>
      </c>
      <c r="F896" s="62">
        <v>1281</v>
      </c>
      <c r="G896" s="62">
        <f>39.7</f>
        <v>39.700000000000003</v>
      </c>
      <c r="H896" s="62"/>
      <c r="I896" s="89">
        <f t="shared" si="168"/>
        <v>1241.3</v>
      </c>
      <c r="J896" s="63" t="s">
        <v>156</v>
      </c>
      <c r="K896" s="63">
        <v>1</v>
      </c>
      <c r="L896" s="63">
        <v>1</v>
      </c>
      <c r="M896" s="63">
        <v>1</v>
      </c>
      <c r="N896" s="63">
        <v>1</v>
      </c>
      <c r="O896" s="63">
        <v>1</v>
      </c>
      <c r="P896" s="63">
        <v>1</v>
      </c>
      <c r="Q896" s="63">
        <v>1</v>
      </c>
      <c r="R896" s="63">
        <v>1</v>
      </c>
      <c r="S896" s="296">
        <v>1</v>
      </c>
      <c r="T896" s="21">
        <v>1</v>
      </c>
      <c r="U896" s="10"/>
      <c r="V896" s="90">
        <v>1409.1</v>
      </c>
      <c r="W896" s="91"/>
      <c r="X896" s="92"/>
    </row>
    <row r="897" spans="1:24">
      <c r="A897" s="614"/>
      <c r="B897" s="87">
        <f t="shared" si="169"/>
        <v>5</v>
      </c>
      <c r="C897" s="295">
        <v>45909</v>
      </c>
      <c r="D897" s="323">
        <v>73137</v>
      </c>
      <c r="E897" s="94" t="s">
        <v>2553</v>
      </c>
      <c r="F897" s="62">
        <v>681</v>
      </c>
      <c r="G897" s="62"/>
      <c r="H897" s="62"/>
      <c r="I897" s="89">
        <f t="shared" si="168"/>
        <v>681</v>
      </c>
      <c r="J897" s="63" t="s">
        <v>156</v>
      </c>
      <c r="K897" s="63">
        <v>1</v>
      </c>
      <c r="L897" s="63">
        <v>1</v>
      </c>
      <c r="M897" s="63">
        <v>1</v>
      </c>
      <c r="N897" s="63">
        <v>1</v>
      </c>
      <c r="O897" s="63">
        <v>1</v>
      </c>
      <c r="P897" s="63">
        <v>1</v>
      </c>
      <c r="Q897" s="63">
        <v>1</v>
      </c>
      <c r="R897" s="63">
        <v>1</v>
      </c>
      <c r="S897" s="296">
        <v>1</v>
      </c>
      <c r="T897" s="63"/>
      <c r="U897" s="94"/>
      <c r="V897" s="90">
        <v>749.1</v>
      </c>
      <c r="W897" s="91"/>
      <c r="X897" s="92"/>
    </row>
    <row r="898" spans="1:24">
      <c r="A898" s="614"/>
      <c r="B898" s="87">
        <f t="shared" si="169"/>
        <v>6</v>
      </c>
      <c r="C898" s="295">
        <v>45909</v>
      </c>
      <c r="D898" s="323" t="s">
        <v>2581</v>
      </c>
      <c r="E898" s="94" t="s">
        <v>2553</v>
      </c>
      <c r="F898" s="62">
        <v>5133</v>
      </c>
      <c r="G898" s="62">
        <f>39.7+(12.96+1879.81)+250</f>
        <v>2182.4700000000003</v>
      </c>
      <c r="H898" s="62"/>
      <c r="I898" s="324">
        <f>F898-G898-H898</f>
        <v>2950.5299999999997</v>
      </c>
      <c r="J898" s="63" t="s">
        <v>156</v>
      </c>
      <c r="K898" s="63">
        <v>1</v>
      </c>
      <c r="L898" s="63">
        <v>1</v>
      </c>
      <c r="M898" s="63">
        <v>1</v>
      </c>
      <c r="N898" s="63">
        <v>1</v>
      </c>
      <c r="O898" s="63">
        <v>1</v>
      </c>
      <c r="P898" s="63">
        <v>1</v>
      </c>
      <c r="Q898" s="63">
        <v>1</v>
      </c>
      <c r="R898" s="63">
        <v>1</v>
      </c>
      <c r="S898" s="326">
        <v>0</v>
      </c>
      <c r="T898" s="63"/>
      <c r="U898" s="94" t="s">
        <v>2582</v>
      </c>
      <c r="V898" s="90">
        <f>564+5082.3</f>
        <v>5646.3</v>
      </c>
      <c r="W898" s="91"/>
      <c r="X898" s="92"/>
    </row>
    <row r="899" spans="1:24">
      <c r="A899" s="614"/>
      <c r="B899" s="87">
        <f t="shared" si="169"/>
        <v>7</v>
      </c>
      <c r="C899" s="295">
        <v>45909</v>
      </c>
      <c r="D899" s="323">
        <v>73127</v>
      </c>
      <c r="E899" s="10" t="s">
        <v>2583</v>
      </c>
      <c r="F899" s="62">
        <v>1512.9</v>
      </c>
      <c r="G899" s="62">
        <f>39.7</f>
        <v>39.700000000000003</v>
      </c>
      <c r="H899" s="88"/>
      <c r="I899" s="324">
        <f t="shared" si="168"/>
        <v>1473.2</v>
      </c>
      <c r="J899" s="63" t="s">
        <v>156</v>
      </c>
      <c r="K899" s="63">
        <v>1</v>
      </c>
      <c r="L899" s="325">
        <v>0</v>
      </c>
      <c r="M899" s="63">
        <v>1</v>
      </c>
      <c r="N899" s="63">
        <v>1</v>
      </c>
      <c r="O899" s="63">
        <v>1</v>
      </c>
      <c r="P899" s="63">
        <v>1</v>
      </c>
      <c r="Q899" s="63">
        <v>1</v>
      </c>
      <c r="R899" s="63">
        <v>1</v>
      </c>
      <c r="S899" s="296">
        <v>1</v>
      </c>
      <c r="T899" s="63"/>
      <c r="U899" s="94"/>
      <c r="V899" s="90">
        <v>1664.19</v>
      </c>
      <c r="W899" s="91"/>
      <c r="X899" s="92"/>
    </row>
    <row r="900" spans="1:24">
      <c r="A900" s="614"/>
      <c r="B900" s="87">
        <f t="shared" si="169"/>
        <v>8</v>
      </c>
      <c r="C900" s="295">
        <v>45909</v>
      </c>
      <c r="D900" s="323" t="s">
        <v>2584</v>
      </c>
      <c r="E900" s="10" t="s">
        <v>2583</v>
      </c>
      <c r="F900" s="62">
        <v>2303.1</v>
      </c>
      <c r="G900" s="62">
        <f>39.7</f>
        <v>39.700000000000003</v>
      </c>
      <c r="H900" s="88"/>
      <c r="I900" s="89">
        <f>F900-G900-H900</f>
        <v>2263.4</v>
      </c>
      <c r="J900" s="63" t="s">
        <v>156</v>
      </c>
      <c r="K900" s="63">
        <v>1</v>
      </c>
      <c r="L900" s="63">
        <v>1</v>
      </c>
      <c r="M900" s="63">
        <v>1</v>
      </c>
      <c r="N900" s="63">
        <v>1</v>
      </c>
      <c r="O900" s="63">
        <v>1</v>
      </c>
      <c r="P900" s="63">
        <v>1</v>
      </c>
      <c r="Q900" s="63">
        <v>1</v>
      </c>
      <c r="R900" s="63">
        <v>1</v>
      </c>
      <c r="S900" s="296">
        <v>1</v>
      </c>
      <c r="T900" s="21">
        <v>1</v>
      </c>
      <c r="U900" s="94"/>
      <c r="V900" s="90">
        <v>2533.41</v>
      </c>
      <c r="W900" s="91"/>
      <c r="X900" s="92"/>
    </row>
    <row r="901" spans="1:24">
      <c r="A901" s="614" t="s">
        <v>230</v>
      </c>
      <c r="B901" s="87">
        <f t="shared" si="169"/>
        <v>9</v>
      </c>
      <c r="C901" s="274">
        <v>45910</v>
      </c>
      <c r="D901" s="327">
        <v>73155</v>
      </c>
      <c r="E901" s="276" t="s">
        <v>1401</v>
      </c>
      <c r="F901" s="277">
        <f>1861-300</f>
        <v>1561</v>
      </c>
      <c r="G901" s="277">
        <f>39.7</f>
        <v>39.700000000000003</v>
      </c>
      <c r="H901" s="297"/>
      <c r="I901" s="329">
        <f>F901-G901-H901</f>
        <v>1521.3</v>
      </c>
      <c r="J901" s="279" t="s">
        <v>156</v>
      </c>
      <c r="K901" s="279">
        <v>1</v>
      </c>
      <c r="L901" s="279">
        <v>1</v>
      </c>
      <c r="M901" s="279">
        <v>1</v>
      </c>
      <c r="N901" s="279">
        <v>1</v>
      </c>
      <c r="O901" s="279">
        <v>1</v>
      </c>
      <c r="P901" s="279">
        <v>1</v>
      </c>
      <c r="Q901" s="279">
        <v>1</v>
      </c>
      <c r="R901" s="279">
        <v>1</v>
      </c>
      <c r="S901" s="280">
        <v>1</v>
      </c>
      <c r="T901" s="63"/>
      <c r="U901" s="94"/>
      <c r="V901" s="90">
        <v>2047.1</v>
      </c>
      <c r="W901" s="91"/>
      <c r="X901" s="92"/>
    </row>
    <row r="902" spans="1:24">
      <c r="A902" s="614"/>
      <c r="B902" s="87">
        <f t="shared" si="169"/>
        <v>10</v>
      </c>
      <c r="C902" s="295">
        <v>45910</v>
      </c>
      <c r="D902" s="323">
        <v>73176</v>
      </c>
      <c r="E902" s="10" t="s">
        <v>1835</v>
      </c>
      <c r="F902" s="62">
        <v>1138</v>
      </c>
      <c r="G902" s="62">
        <f>39.7</f>
        <v>39.700000000000003</v>
      </c>
      <c r="H902" s="88"/>
      <c r="I902" s="89">
        <f>F902-G902-H902</f>
        <v>1098.3</v>
      </c>
      <c r="J902" s="63" t="s">
        <v>156</v>
      </c>
      <c r="K902" s="63">
        <v>1</v>
      </c>
      <c r="L902" s="63">
        <v>1</v>
      </c>
      <c r="M902" s="63">
        <v>1</v>
      </c>
      <c r="N902" s="63">
        <v>1</v>
      </c>
      <c r="O902" s="63">
        <v>1</v>
      </c>
      <c r="P902" s="63">
        <v>1</v>
      </c>
      <c r="Q902" s="63">
        <v>1</v>
      </c>
      <c r="R902" s="63">
        <v>1</v>
      </c>
      <c r="S902" s="296">
        <v>1</v>
      </c>
      <c r="T902" s="21">
        <v>1</v>
      </c>
      <c r="U902" s="94"/>
      <c r="V902" s="90">
        <v>1251.8</v>
      </c>
      <c r="W902" s="91"/>
      <c r="X902" s="92"/>
    </row>
    <row r="903" spans="1:24">
      <c r="A903" s="614"/>
      <c r="B903" s="87">
        <f t="shared" si="169"/>
        <v>11</v>
      </c>
      <c r="C903" s="295">
        <v>45910</v>
      </c>
      <c r="D903" s="323">
        <v>73192</v>
      </c>
      <c r="E903" s="10" t="s">
        <v>1159</v>
      </c>
      <c r="F903" s="62">
        <v>1152.9000000000001</v>
      </c>
      <c r="G903" s="62">
        <f>39.7</f>
        <v>39.700000000000003</v>
      </c>
      <c r="H903" s="88"/>
      <c r="I903" s="89">
        <f>F903-G903-H903</f>
        <v>1113.2</v>
      </c>
      <c r="J903" s="63" t="s">
        <v>156</v>
      </c>
      <c r="K903" s="63">
        <v>1</v>
      </c>
      <c r="L903" s="63">
        <v>1</v>
      </c>
      <c r="M903" s="63">
        <v>1</v>
      </c>
      <c r="N903" s="63">
        <v>1</v>
      </c>
      <c r="O903" s="63">
        <v>1</v>
      </c>
      <c r="P903" s="63">
        <v>1</v>
      </c>
      <c r="Q903" s="63">
        <v>1</v>
      </c>
      <c r="R903" s="63">
        <v>1</v>
      </c>
      <c r="S903" s="296">
        <v>1</v>
      </c>
      <c r="T903" s="63"/>
      <c r="U903" s="94"/>
      <c r="V903" s="90">
        <v>1268.19</v>
      </c>
      <c r="W903" s="91"/>
      <c r="X903" s="92"/>
    </row>
    <row r="904" spans="1:24">
      <c r="A904" s="614"/>
      <c r="B904" s="87">
        <f t="shared" si="169"/>
        <v>12</v>
      </c>
      <c r="C904" s="274">
        <v>45911</v>
      </c>
      <c r="D904" s="327">
        <v>73210</v>
      </c>
      <c r="E904" s="276" t="s">
        <v>333</v>
      </c>
      <c r="F904" s="447">
        <v>1461</v>
      </c>
      <c r="G904" s="277">
        <f>39.7</f>
        <v>39.700000000000003</v>
      </c>
      <c r="H904" s="277"/>
      <c r="I904" s="278">
        <f t="shared" si="168"/>
        <v>1421.3</v>
      </c>
      <c r="J904" s="279" t="s">
        <v>156</v>
      </c>
      <c r="K904" s="279">
        <v>1</v>
      </c>
      <c r="L904" s="279">
        <v>1</v>
      </c>
      <c r="M904" s="279">
        <v>1</v>
      </c>
      <c r="N904" s="279">
        <v>1</v>
      </c>
      <c r="O904" s="279">
        <v>1</v>
      </c>
      <c r="P904" s="279">
        <v>1</v>
      </c>
      <c r="Q904" s="279">
        <v>1</v>
      </c>
      <c r="R904" s="279">
        <v>1</v>
      </c>
      <c r="S904" s="280">
        <v>1</v>
      </c>
      <c r="T904" s="63"/>
      <c r="U904" s="94"/>
      <c r="V904" s="90">
        <v>1607.1</v>
      </c>
      <c r="W904" s="91"/>
      <c r="X904" s="92"/>
    </row>
    <row r="905" spans="1:24">
      <c r="A905" s="614"/>
      <c r="B905" s="87">
        <f t="shared" si="169"/>
        <v>13</v>
      </c>
      <c r="C905" s="282">
        <v>45911</v>
      </c>
      <c r="D905" s="368">
        <v>73222</v>
      </c>
      <c r="E905" s="283" t="s">
        <v>1159</v>
      </c>
      <c r="F905" s="423">
        <v>1381</v>
      </c>
      <c r="G905" s="284">
        <f>39.7</f>
        <v>39.700000000000003</v>
      </c>
      <c r="H905" s="284"/>
      <c r="I905" s="300">
        <f t="shared" si="168"/>
        <v>1341.3</v>
      </c>
      <c r="J905" s="286" t="s">
        <v>156</v>
      </c>
      <c r="K905" s="332">
        <v>0</v>
      </c>
      <c r="L905" s="332">
        <v>0</v>
      </c>
      <c r="M905" s="286">
        <v>1</v>
      </c>
      <c r="N905" s="286">
        <v>1</v>
      </c>
      <c r="O905" s="286">
        <v>1</v>
      </c>
      <c r="P905" s="286">
        <v>1</v>
      </c>
      <c r="Q905" s="286">
        <v>1</v>
      </c>
      <c r="R905" s="286">
        <v>1</v>
      </c>
      <c r="S905" s="287">
        <v>1</v>
      </c>
      <c r="T905" s="63"/>
      <c r="U905" s="94"/>
      <c r="V905" s="90">
        <v>1519.1</v>
      </c>
      <c r="W905" s="91"/>
      <c r="X905" s="92"/>
    </row>
    <row r="906" spans="1:24">
      <c r="A906" s="614"/>
      <c r="B906" s="87"/>
      <c r="C906" s="36"/>
      <c r="D906" s="10"/>
      <c r="E906" s="10"/>
      <c r="F906" s="97">
        <f>SUM(F893:F905)</f>
        <v>27492.5</v>
      </c>
      <c r="G906" s="97">
        <f>SUM(G893:G905)</f>
        <v>3088.2399999999989</v>
      </c>
      <c r="H906" s="97">
        <f>SUM(H893:H905)</f>
        <v>0</v>
      </c>
      <c r="I906" s="98">
        <f>SUM(I893:I905)</f>
        <v>24404.26</v>
      </c>
      <c r="J906" s="63"/>
      <c r="K906" s="63">
        <f>COUNT(K893:K905)</f>
        <v>13</v>
      </c>
      <c r="L906" s="63">
        <f>COUNT(L893:L905)</f>
        <v>13</v>
      </c>
      <c r="M906" s="63">
        <f>COUNT(M893:M905)</f>
        <v>13</v>
      </c>
      <c r="N906" s="63">
        <f>COUNT(N893:N905)</f>
        <v>13</v>
      </c>
      <c r="O906" s="63">
        <f>COUNT(O893:O905)</f>
        <v>13</v>
      </c>
      <c r="P906" s="63">
        <f>COUNT(P893:P905)</f>
        <v>13</v>
      </c>
      <c r="Q906" s="63">
        <f>COUNT(Q893:Q905)</f>
        <v>13</v>
      </c>
      <c r="R906" s="63">
        <f>COUNT(R893:R905)</f>
        <v>13</v>
      </c>
      <c r="S906" s="63">
        <f>COUNT(S893:S905)</f>
        <v>13</v>
      </c>
      <c r="T906" s="63"/>
      <c r="U906" s="94"/>
      <c r="V906" s="90"/>
      <c r="W906" s="91"/>
      <c r="X906" s="92"/>
    </row>
    <row r="907" spans="1:24">
      <c r="A907" s="614"/>
      <c r="B907" s="87"/>
      <c r="C907" s="36"/>
      <c r="D907" s="10"/>
      <c r="E907" s="10"/>
      <c r="F907" s="88"/>
      <c r="G907" s="88"/>
      <c r="H907" s="88"/>
      <c r="I907" s="99"/>
      <c r="J907" s="63"/>
      <c r="K907" s="21">
        <f>SUM(K893:K905)</f>
        <v>12</v>
      </c>
      <c r="L907" s="21">
        <f>SUM(L893:L905)</f>
        <v>11</v>
      </c>
      <c r="M907" s="21">
        <f>SUM(M893:M905)</f>
        <v>13</v>
      </c>
      <c r="N907" s="21">
        <f>SUM(N893:N905)</f>
        <v>13</v>
      </c>
      <c r="O907" s="21">
        <f>SUM(O893:O905)</f>
        <v>13</v>
      </c>
      <c r="P907" s="21">
        <f>SUM(P893:P905)</f>
        <v>13</v>
      </c>
      <c r="Q907" s="21">
        <f>SUM(Q893:Q905)</f>
        <v>13</v>
      </c>
      <c r="R907" s="21">
        <f>SUM(R893:R905)</f>
        <v>13</v>
      </c>
      <c r="S907" s="21">
        <f>SUM(S893:S905)</f>
        <v>11</v>
      </c>
      <c r="T907" s="63"/>
      <c r="U907" s="94"/>
      <c r="V907" s="90"/>
      <c r="W907" s="91"/>
      <c r="X907" s="92"/>
    </row>
    <row r="908" spans="1:24">
      <c r="A908" s="614"/>
      <c r="B908" s="11"/>
      <c r="C908" s="36"/>
      <c r="D908" s="10"/>
      <c r="E908" s="10"/>
      <c r="F908" s="88"/>
      <c r="G908" s="88"/>
      <c r="H908" s="88"/>
      <c r="I908" s="99"/>
      <c r="J908" s="63"/>
      <c r="K908" s="21"/>
      <c r="L908" s="21"/>
      <c r="M908" s="21"/>
      <c r="N908" s="21"/>
      <c r="O908" s="21"/>
      <c r="P908" s="21"/>
      <c r="Q908" s="21"/>
      <c r="R908" s="21"/>
      <c r="S908" s="21"/>
      <c r="T908" s="63"/>
      <c r="U908" s="94"/>
      <c r="V908" s="90"/>
      <c r="W908" s="91"/>
      <c r="X908" s="92"/>
    </row>
    <row r="909" spans="1:24">
      <c r="A909" s="614"/>
      <c r="B909" s="100" t="s">
        <v>67</v>
      </c>
      <c r="C909" s="36"/>
      <c r="D909" s="10"/>
      <c r="E909" s="10"/>
      <c r="F909" s="88"/>
      <c r="G909" s="62"/>
      <c r="H909" s="88"/>
      <c r="I909" s="99"/>
      <c r="J909" s="63"/>
      <c r="K909" s="2"/>
      <c r="L909" s="2"/>
      <c r="M909" s="2"/>
      <c r="N909" s="2"/>
      <c r="O909" s="2"/>
      <c r="P909" s="2"/>
      <c r="Q909" s="2"/>
      <c r="R909" s="2"/>
      <c r="S909" s="2"/>
      <c r="T909" s="63"/>
      <c r="U909" s="94"/>
      <c r="V909" s="90"/>
      <c r="W909" s="91"/>
      <c r="X909" s="92"/>
    </row>
    <row r="910" spans="1:24">
      <c r="A910" s="494" t="s">
        <v>1682</v>
      </c>
      <c r="B910" s="87">
        <v>1</v>
      </c>
      <c r="C910" s="262">
        <v>45867</v>
      </c>
      <c r="D910" s="263">
        <v>71860</v>
      </c>
      <c r="E910" s="271" t="s">
        <v>426</v>
      </c>
      <c r="F910" s="265">
        <f>2346-85</f>
        <v>2261</v>
      </c>
      <c r="G910" s="265">
        <f>39.7+200</f>
        <v>239.7</v>
      </c>
      <c r="H910" s="265"/>
      <c r="I910" s="272">
        <f>F910-G910-H910</f>
        <v>2021.3</v>
      </c>
      <c r="J910" s="267" t="s">
        <v>156</v>
      </c>
      <c r="K910" s="267">
        <v>1</v>
      </c>
      <c r="L910" s="267">
        <v>1</v>
      </c>
      <c r="M910" s="267">
        <v>1</v>
      </c>
      <c r="N910" s="267">
        <v>1</v>
      </c>
      <c r="O910" s="267">
        <v>1</v>
      </c>
      <c r="P910" s="267">
        <v>1</v>
      </c>
      <c r="Q910" s="267">
        <v>1</v>
      </c>
      <c r="R910" s="267">
        <v>1</v>
      </c>
      <c r="S910" s="269">
        <v>1</v>
      </c>
      <c r="T910" s="63"/>
      <c r="U910" s="10" t="s">
        <v>2438</v>
      </c>
      <c r="V910" s="90">
        <f>2154.6</f>
        <v>2154.6</v>
      </c>
      <c r="W910" s="91"/>
      <c r="X910" s="92"/>
    </row>
    <row r="911" spans="1:24">
      <c r="A911" s="260" t="s">
        <v>1092</v>
      </c>
      <c r="B911" s="87">
        <f>B910+1</f>
        <v>2</v>
      </c>
      <c r="C911" s="262">
        <v>45904</v>
      </c>
      <c r="D911" s="263" t="s">
        <v>2571</v>
      </c>
      <c r="E911" s="271" t="s">
        <v>798</v>
      </c>
      <c r="F911" s="265">
        <v>2261</v>
      </c>
      <c r="G911" s="265">
        <f>39.7+398</f>
        <v>437.7</v>
      </c>
      <c r="H911" s="265"/>
      <c r="I911" s="272">
        <f>F911-G911-H911</f>
        <v>1823.3</v>
      </c>
      <c r="J911" s="267" t="s">
        <v>156</v>
      </c>
      <c r="K911" s="267">
        <v>1</v>
      </c>
      <c r="L911" s="267">
        <v>1</v>
      </c>
      <c r="M911" s="267">
        <v>1</v>
      </c>
      <c r="N911" s="267">
        <v>1</v>
      </c>
      <c r="O911" s="267">
        <v>1</v>
      </c>
      <c r="P911" s="267">
        <v>1</v>
      </c>
      <c r="Q911" s="267">
        <v>1</v>
      </c>
      <c r="R911" s="267">
        <v>1</v>
      </c>
      <c r="S911" s="269">
        <v>1</v>
      </c>
      <c r="T911" s="63"/>
      <c r="U911" s="94" t="s">
        <v>2572</v>
      </c>
      <c r="V911" s="90">
        <f>2239.1</f>
        <v>2239.1</v>
      </c>
      <c r="W911" s="136"/>
      <c r="X911" s="137"/>
    </row>
    <row r="912" spans="1:24">
      <c r="A912" s="614"/>
      <c r="B912" s="11"/>
      <c r="C912" s="36"/>
      <c r="D912" s="10"/>
      <c r="E912" s="10"/>
      <c r="F912" s="97">
        <f>SUM(F910:F911)</f>
        <v>4522</v>
      </c>
      <c r="G912" s="97">
        <f>SUM(G910:G911)</f>
        <v>677.4</v>
      </c>
      <c r="H912" s="97">
        <f>SUM(H910:H911)</f>
        <v>0</v>
      </c>
      <c r="I912" s="98">
        <f>SUM(I910:I911)</f>
        <v>3844.6</v>
      </c>
      <c r="J912" s="63"/>
      <c r="K912" s="21"/>
      <c r="L912" s="21"/>
      <c r="M912" s="21"/>
      <c r="N912" s="21"/>
      <c r="O912" s="21"/>
      <c r="P912" s="21"/>
      <c r="Q912" s="21"/>
      <c r="R912" s="21"/>
      <c r="S912" s="21"/>
      <c r="T912" s="63"/>
      <c r="U912" s="94"/>
      <c r="V912" s="90"/>
      <c r="W912" s="91"/>
      <c r="X912" s="92"/>
    </row>
    <row r="913" spans="1:24">
      <c r="A913" s="614"/>
      <c r="B913" s="11"/>
      <c r="C913" s="36"/>
      <c r="D913" s="10"/>
      <c r="E913" s="10"/>
      <c r="F913" s="88"/>
      <c r="G913" s="88"/>
      <c r="H913" s="88"/>
      <c r="I913" s="99"/>
      <c r="J913" s="63"/>
      <c r="K913" s="21"/>
      <c r="L913" s="21"/>
      <c r="M913" s="21"/>
      <c r="N913" s="21"/>
      <c r="O913" s="21"/>
      <c r="P913" s="21"/>
      <c r="Q913" s="21"/>
      <c r="R913" s="21"/>
      <c r="S913" s="21"/>
      <c r="T913" s="63"/>
      <c r="U913" s="94"/>
      <c r="V913" s="90"/>
      <c r="W913" s="91"/>
      <c r="X913" s="92"/>
    </row>
    <row r="914" spans="1:24">
      <c r="A914" s="615"/>
      <c r="B914" s="121" t="s">
        <v>68</v>
      </c>
      <c r="C914" s="36"/>
      <c r="D914" s="123"/>
      <c r="E914" s="123"/>
      <c r="F914" s="124"/>
      <c r="G914" s="125"/>
      <c r="H914" s="124"/>
      <c r="I914" s="126"/>
      <c r="J914" s="127"/>
      <c r="K914" s="128"/>
      <c r="L914" s="128"/>
      <c r="M914" s="128"/>
      <c r="N914" s="128"/>
      <c r="O914" s="128"/>
      <c r="P914" s="128"/>
      <c r="Q914" s="128"/>
      <c r="R914" s="128"/>
      <c r="S914" s="128"/>
      <c r="T914" s="127"/>
      <c r="U914" s="135"/>
      <c r="V914" s="129"/>
      <c r="W914" s="130"/>
      <c r="X914" s="131"/>
    </row>
    <row r="915" spans="1:24">
      <c r="A915" s="356" t="s">
        <v>2585</v>
      </c>
      <c r="B915" s="333">
        <v>1</v>
      </c>
      <c r="C915" s="334">
        <v>45909</v>
      </c>
      <c r="D915" s="327">
        <v>73115</v>
      </c>
      <c r="E915" s="335" t="s">
        <v>2080</v>
      </c>
      <c r="F915" s="336">
        <v>22614</v>
      </c>
      <c r="G915" s="336">
        <f>39.7+(21.24)+(219.34)+2000</f>
        <v>2280.2799999999997</v>
      </c>
      <c r="H915" s="336"/>
      <c r="I915" s="337">
        <f>F915-G915-H915</f>
        <v>20333.72</v>
      </c>
      <c r="J915" s="338" t="s">
        <v>156</v>
      </c>
      <c r="K915" s="338">
        <v>1</v>
      </c>
      <c r="L915" s="338">
        <v>1</v>
      </c>
      <c r="M915" s="338">
        <v>1</v>
      </c>
      <c r="N915" s="338">
        <v>1</v>
      </c>
      <c r="O915" s="338">
        <v>1</v>
      </c>
      <c r="P915" s="338">
        <v>1</v>
      </c>
      <c r="Q915" s="338">
        <v>1</v>
      </c>
      <c r="R915" s="338">
        <v>1</v>
      </c>
      <c r="S915" s="339">
        <v>1</v>
      </c>
      <c r="T915" s="127"/>
      <c r="U915" s="135" t="s">
        <v>2586</v>
      </c>
      <c r="V915" s="129">
        <f>5000+5000+7000</f>
        <v>17000</v>
      </c>
      <c r="W915" s="130"/>
      <c r="X915" s="131"/>
    </row>
    <row r="916" spans="1:24" s="342" customFormat="1">
      <c r="A916" s="356">
        <v>0.1</v>
      </c>
      <c r="B916" s="333">
        <f>B915+1</f>
        <v>2</v>
      </c>
      <c r="C916" s="395">
        <v>45909</v>
      </c>
      <c r="D916" s="368">
        <v>73126</v>
      </c>
      <c r="E916" s="454" t="s">
        <v>780</v>
      </c>
      <c r="F916" s="397">
        <v>612.9</v>
      </c>
      <c r="G916" s="397"/>
      <c r="H916" s="397"/>
      <c r="I916" s="398">
        <f t="shared" ref="I916" si="170">F916-G916-H916</f>
        <v>612.9</v>
      </c>
      <c r="J916" s="399" t="s">
        <v>374</v>
      </c>
      <c r="K916" s="399">
        <v>1</v>
      </c>
      <c r="L916" s="399">
        <v>1</v>
      </c>
      <c r="M916" s="399">
        <v>1</v>
      </c>
      <c r="N916" s="399">
        <v>1</v>
      </c>
      <c r="O916" s="332">
        <v>0</v>
      </c>
      <c r="P916" s="399">
        <v>1</v>
      </c>
      <c r="Q916" s="399">
        <v>1</v>
      </c>
      <c r="R916" s="332">
        <v>0</v>
      </c>
      <c r="S916" s="400">
        <v>1</v>
      </c>
      <c r="T916" s="127"/>
      <c r="U916" s="135" t="s">
        <v>2587</v>
      </c>
      <c r="V916" s="129"/>
      <c r="W916" s="130"/>
      <c r="X916" s="131"/>
    </row>
    <row r="917" spans="1:24" s="342" customFormat="1">
      <c r="A917" s="356" t="s">
        <v>2588</v>
      </c>
      <c r="B917" s="333">
        <f t="shared" ref="B917" si="171">B916+1</f>
        <v>3</v>
      </c>
      <c r="C917" s="395">
        <v>45911</v>
      </c>
      <c r="D917" s="368">
        <v>73228</v>
      </c>
      <c r="E917" s="454" t="s">
        <v>1037</v>
      </c>
      <c r="F917" s="397">
        <v>4914.8999999999996</v>
      </c>
      <c r="G917" s="397">
        <f>39.7</f>
        <v>39.700000000000003</v>
      </c>
      <c r="H917" s="397"/>
      <c r="I917" s="398">
        <f>F917-G917-H917</f>
        <v>4875.2</v>
      </c>
      <c r="J917" s="399" t="s">
        <v>156</v>
      </c>
      <c r="K917" s="399">
        <v>1</v>
      </c>
      <c r="L917" s="399">
        <v>1</v>
      </c>
      <c r="M917" s="399">
        <v>1</v>
      </c>
      <c r="N917" s="399">
        <v>1</v>
      </c>
      <c r="O917" s="399">
        <v>1</v>
      </c>
      <c r="P917" s="399">
        <v>1</v>
      </c>
      <c r="Q917" s="399">
        <v>1</v>
      </c>
      <c r="R917" s="399">
        <v>1</v>
      </c>
      <c r="S917" s="400">
        <v>1</v>
      </c>
      <c r="T917" s="64">
        <v>1</v>
      </c>
      <c r="U917" s="135" t="s">
        <v>2589</v>
      </c>
      <c r="V917" s="129">
        <f>1000</f>
        <v>1000</v>
      </c>
      <c r="W917" s="130"/>
      <c r="X917" s="131"/>
    </row>
    <row r="918" spans="1:24">
      <c r="A918" s="615"/>
      <c r="B918" s="132"/>
      <c r="C918" s="36"/>
      <c r="D918" s="123"/>
      <c r="E918" s="123"/>
      <c r="F918" s="134">
        <f>SUM(F915:F917)</f>
        <v>28141.800000000003</v>
      </c>
      <c r="G918" s="134">
        <f>SUM(G915:G917)</f>
        <v>2319.9799999999996</v>
      </c>
      <c r="H918" s="134">
        <f>SUM(H915:H917)</f>
        <v>0</v>
      </c>
      <c r="I918" s="134">
        <f>SUM(I915:I917)</f>
        <v>25821.820000000003</v>
      </c>
      <c r="J918" s="709"/>
      <c r="K918" s="64"/>
      <c r="L918" s="64"/>
      <c r="M918" s="64"/>
      <c r="N918" s="64"/>
      <c r="O918" s="64"/>
      <c r="P918" s="64"/>
      <c r="Q918" s="64"/>
      <c r="R918" s="64"/>
      <c r="S918" s="64"/>
      <c r="T918" s="127"/>
      <c r="U918" s="135"/>
      <c r="V918" s="129"/>
      <c r="W918" s="130"/>
      <c r="X918" s="131"/>
    </row>
    <row r="919" spans="1:24">
      <c r="A919" s="614"/>
      <c r="B919" s="11"/>
      <c r="C919" s="36"/>
      <c r="D919" s="10"/>
      <c r="E919" s="10"/>
      <c r="F919" s="88"/>
      <c r="G919" s="88"/>
      <c r="H919" s="88"/>
      <c r="I919" s="99"/>
      <c r="J919" s="63"/>
      <c r="K919" s="21"/>
      <c r="L919" s="21"/>
      <c r="M919" s="21"/>
      <c r="N919" s="21"/>
      <c r="O919" s="21"/>
      <c r="P919" s="21"/>
      <c r="Q919" s="21"/>
      <c r="R919" s="21"/>
      <c r="S919" s="21"/>
      <c r="T919" s="63"/>
      <c r="U919" s="94"/>
      <c r="V919" s="90"/>
      <c r="W919" s="91"/>
      <c r="X919" s="92"/>
    </row>
    <row r="920" spans="1:24">
      <c r="A920" s="615"/>
      <c r="B920" s="121" t="s">
        <v>70</v>
      </c>
      <c r="C920" s="36"/>
      <c r="D920" s="123"/>
      <c r="E920" s="128"/>
      <c r="F920" s="124"/>
      <c r="G920" s="124"/>
      <c r="H920" s="124"/>
      <c r="I920" s="126"/>
      <c r="J920" s="127"/>
      <c r="K920" s="64"/>
      <c r="L920" s="64"/>
      <c r="M920" s="64"/>
      <c r="N920" s="64"/>
      <c r="O920" s="64"/>
      <c r="P920" s="64"/>
      <c r="Q920" s="64"/>
      <c r="R920" s="64"/>
      <c r="S920" s="64"/>
      <c r="T920" s="127"/>
      <c r="U920" s="135"/>
      <c r="V920" s="129"/>
      <c r="W920" s="130"/>
      <c r="X920" s="131"/>
    </row>
    <row r="921" spans="1:24" s="342" customFormat="1">
      <c r="A921" s="356" t="s">
        <v>2585</v>
      </c>
      <c r="B921" s="333">
        <v>1</v>
      </c>
      <c r="C921" s="334">
        <v>45911</v>
      </c>
      <c r="D921" s="327" t="s">
        <v>2590</v>
      </c>
      <c r="E921" s="335" t="s">
        <v>1159</v>
      </c>
      <c r="F921" s="336">
        <v>1681</v>
      </c>
      <c r="G921" s="336">
        <f>39.7+398</f>
        <v>437.7</v>
      </c>
      <c r="H921" s="336"/>
      <c r="I921" s="337">
        <f>F921-G921-H921</f>
        <v>1243.3</v>
      </c>
      <c r="J921" s="338" t="s">
        <v>156</v>
      </c>
      <c r="K921" s="322">
        <v>0</v>
      </c>
      <c r="L921" s="338">
        <v>1</v>
      </c>
      <c r="M921" s="338">
        <v>1</v>
      </c>
      <c r="N921" s="338">
        <v>1</v>
      </c>
      <c r="O921" s="338">
        <v>1</v>
      </c>
      <c r="P921" s="338">
        <v>1</v>
      </c>
      <c r="Q921" s="322">
        <v>0</v>
      </c>
      <c r="R921" s="322">
        <v>0</v>
      </c>
      <c r="S921" s="328">
        <v>0</v>
      </c>
      <c r="T921" s="127"/>
      <c r="U921" s="135" t="s">
        <v>2591</v>
      </c>
      <c r="V921" s="129">
        <f>184</f>
        <v>184</v>
      </c>
      <c r="W921" s="340"/>
      <c r="X921" s="341"/>
    </row>
    <row r="922" spans="1:24" s="342" customFormat="1">
      <c r="A922" s="356">
        <v>0.1</v>
      </c>
      <c r="B922" s="333">
        <f t="shared" ref="B922:B923" si="172">B921+1</f>
        <v>2</v>
      </c>
      <c r="C922" s="345">
        <v>45911</v>
      </c>
      <c r="D922" s="323" t="s">
        <v>2592</v>
      </c>
      <c r="E922" s="123" t="s">
        <v>2080</v>
      </c>
      <c r="F922" s="125">
        <v>16434.900000000001</v>
      </c>
      <c r="G922" s="125">
        <f>+(217.8)+(255.51)+1500</f>
        <v>1973.31</v>
      </c>
      <c r="H922" s="125"/>
      <c r="I922" s="347">
        <f>F922-G922-H922</f>
        <v>14461.590000000002</v>
      </c>
      <c r="J922" s="127" t="s">
        <v>156</v>
      </c>
      <c r="K922" s="127">
        <v>1</v>
      </c>
      <c r="L922" s="127"/>
      <c r="M922" s="127">
        <v>1</v>
      </c>
      <c r="N922" s="127">
        <v>1</v>
      </c>
      <c r="O922" s="127">
        <v>1</v>
      </c>
      <c r="P922" s="127">
        <v>1</v>
      </c>
      <c r="Q922" s="127"/>
      <c r="R922" s="127"/>
      <c r="S922" s="349"/>
      <c r="T922" s="127"/>
      <c r="U922" s="135" t="s">
        <v>2593</v>
      </c>
      <c r="V922" s="129">
        <f>5000+4000</f>
        <v>9000</v>
      </c>
      <c r="W922" s="340"/>
      <c r="X922" s="341"/>
    </row>
    <row r="923" spans="1:24" s="342" customFormat="1">
      <c r="A923" s="356" t="s">
        <v>2585</v>
      </c>
      <c r="B923" s="333">
        <f t="shared" si="172"/>
        <v>3</v>
      </c>
      <c r="C923" s="350">
        <v>45912</v>
      </c>
      <c r="D923" s="263">
        <v>73265</v>
      </c>
      <c r="E923" s="358" t="s">
        <v>294</v>
      </c>
      <c r="F923" s="352">
        <v>7814</v>
      </c>
      <c r="G923" s="352">
        <f>39.7+102+454.3+(1280.04)</f>
        <v>1876.04</v>
      </c>
      <c r="H923" s="352"/>
      <c r="I923" s="353">
        <f>F923-G923-H923</f>
        <v>5937.96</v>
      </c>
      <c r="J923" s="354" t="s">
        <v>156</v>
      </c>
      <c r="K923" s="354">
        <v>1</v>
      </c>
      <c r="L923" s="354">
        <v>1</v>
      </c>
      <c r="M923" s="354">
        <v>1</v>
      </c>
      <c r="N923" s="354">
        <v>1</v>
      </c>
      <c r="O923" s="354">
        <v>1</v>
      </c>
      <c r="P923" s="354">
        <v>1</v>
      </c>
      <c r="Q923" s="354">
        <v>1</v>
      </c>
      <c r="R923" s="354">
        <v>1</v>
      </c>
      <c r="S923" s="355">
        <v>1</v>
      </c>
      <c r="T923" s="127"/>
      <c r="U923" s="135" t="s">
        <v>2594</v>
      </c>
      <c r="V923" s="129">
        <f>859+7736.4</f>
        <v>8595.4</v>
      </c>
      <c r="W923" s="340"/>
      <c r="X923" s="341"/>
    </row>
    <row r="924" spans="1:24">
      <c r="A924" s="615"/>
      <c r="B924" s="132"/>
      <c r="C924" s="36"/>
      <c r="D924" s="123"/>
      <c r="E924" s="123"/>
      <c r="F924" s="134">
        <f>SUM(F921:F923)</f>
        <v>25929.9</v>
      </c>
      <c r="G924" s="134">
        <f>SUM(G921:G923)</f>
        <v>4287.0499999999993</v>
      </c>
      <c r="H924" s="134">
        <f>SUM(H921:H923)</f>
        <v>0</v>
      </c>
      <c r="I924" s="134">
        <f>SUM(I921:I923)</f>
        <v>21642.850000000002</v>
      </c>
      <c r="J924" s="127"/>
      <c r="K924" s="64"/>
      <c r="L924" s="64"/>
      <c r="M924" s="64"/>
      <c r="N924" s="64"/>
      <c r="O924" s="64"/>
      <c r="P924" s="64"/>
      <c r="Q924" s="64"/>
      <c r="R924" s="64"/>
      <c r="S924" s="64"/>
      <c r="T924" s="127"/>
      <c r="U924" s="135"/>
      <c r="V924" s="129"/>
      <c r="W924" s="130"/>
      <c r="X924" s="131"/>
    </row>
    <row r="925" spans="1:24">
      <c r="A925" s="614"/>
      <c r="B925" s="11"/>
      <c r="C925" s="36"/>
      <c r="D925" s="10"/>
      <c r="E925" s="10"/>
      <c r="F925" s="88"/>
      <c r="G925" s="88"/>
      <c r="H925" s="88"/>
      <c r="I925" s="99"/>
      <c r="J925" s="63"/>
      <c r="K925" s="21"/>
      <c r="L925" s="21"/>
      <c r="M925" s="21"/>
      <c r="N925" s="21"/>
      <c r="O925" s="21"/>
      <c r="P925" s="21"/>
      <c r="Q925" s="21"/>
      <c r="R925" s="21" t="s">
        <v>2347</v>
      </c>
      <c r="S925" s="21"/>
      <c r="T925" s="63"/>
      <c r="U925" s="94"/>
      <c r="V925" s="90"/>
      <c r="W925" s="91"/>
      <c r="X925" s="92"/>
    </row>
    <row r="926" spans="1:24" s="260" customFormat="1">
      <c r="B926" s="100" t="s">
        <v>152</v>
      </c>
      <c r="C926" s="270"/>
      <c r="D926" s="10"/>
      <c r="E926" s="101"/>
      <c r="F926" s="88"/>
      <c r="G926" s="62"/>
      <c r="H926" s="88"/>
      <c r="I926" s="99"/>
      <c r="J926" s="63"/>
      <c r="K926" s="181"/>
      <c r="L926" s="181"/>
      <c r="M926" s="181"/>
      <c r="N926" s="181"/>
      <c r="O926" s="181"/>
      <c r="P926" s="181"/>
      <c r="Q926" s="181"/>
      <c r="R926" s="181"/>
      <c r="S926" s="181"/>
      <c r="T926" s="63"/>
      <c r="U926" s="10"/>
      <c r="V926" s="90"/>
      <c r="W926" s="91"/>
      <c r="X926" s="92"/>
    </row>
    <row r="927" spans="1:24" s="260" customFormat="1">
      <c r="A927" s="261">
        <v>0.05</v>
      </c>
      <c r="B927" s="87">
        <v>1</v>
      </c>
      <c r="C927" s="262">
        <v>45790</v>
      </c>
      <c r="D927" s="357" t="s">
        <v>2339</v>
      </c>
      <c r="E927" s="271" t="s">
        <v>225</v>
      </c>
      <c r="F927" s="265">
        <v>8614</v>
      </c>
      <c r="G927" s="265">
        <f>39.7+(143.54)+(86.25+50.9-26.76)+750</f>
        <v>1043.6300000000001</v>
      </c>
      <c r="H927" s="265"/>
      <c r="I927" s="272">
        <f>F927-G927-H927</f>
        <v>7570.37</v>
      </c>
      <c r="J927" s="267"/>
      <c r="K927" s="267">
        <v>1</v>
      </c>
      <c r="L927" s="267"/>
      <c r="M927" s="267"/>
      <c r="N927" s="267">
        <v>1</v>
      </c>
      <c r="O927" s="267">
        <v>1</v>
      </c>
      <c r="P927" s="267">
        <v>1</v>
      </c>
      <c r="Q927" s="267"/>
      <c r="R927" s="267"/>
      <c r="S927" s="269"/>
      <c r="T927" s="63"/>
      <c r="U927" s="10" t="s">
        <v>2340</v>
      </c>
      <c r="V927" s="90"/>
      <c r="W927" s="136"/>
      <c r="X927" s="137"/>
    </row>
    <row r="928" spans="1:24" s="260" customFormat="1">
      <c r="A928" s="261">
        <v>0.05</v>
      </c>
      <c r="B928" s="87">
        <f>B927+1</f>
        <v>2</v>
      </c>
      <c r="C928" s="295">
        <v>45880</v>
      </c>
      <c r="D928" s="346" t="s">
        <v>2475</v>
      </c>
      <c r="E928" s="101" t="s">
        <v>294</v>
      </c>
      <c r="F928" s="62">
        <v>1542</v>
      </c>
      <c r="G928" s="62">
        <f>39.7</f>
        <v>39.700000000000003</v>
      </c>
      <c r="H928" s="62"/>
      <c r="I928" s="89">
        <f t="shared" ref="I928" si="173">F928-G928-H928</f>
        <v>1502.3</v>
      </c>
      <c r="J928" s="63" t="s">
        <v>156</v>
      </c>
      <c r="K928" s="63">
        <v>1</v>
      </c>
      <c r="L928" s="325">
        <v>0</v>
      </c>
      <c r="M928" s="63">
        <v>1</v>
      </c>
      <c r="N928" s="63">
        <v>1</v>
      </c>
      <c r="O928" s="63">
        <v>1</v>
      </c>
      <c r="P928" s="63">
        <v>1</v>
      </c>
      <c r="Q928" s="63">
        <v>1</v>
      </c>
      <c r="R928" s="63">
        <v>1</v>
      </c>
      <c r="S928" s="296">
        <v>1</v>
      </c>
      <c r="T928" s="63"/>
      <c r="U928" s="10" t="s">
        <v>2476</v>
      </c>
      <c r="V928" s="90"/>
      <c r="W928" s="91"/>
      <c r="X928" s="92"/>
    </row>
    <row r="929" spans="1:24" s="342" customFormat="1">
      <c r="A929" s="261">
        <v>0.05</v>
      </c>
      <c r="B929" s="87">
        <f t="shared" ref="B929:B930" si="174">B928+1</f>
        <v>3</v>
      </c>
      <c r="C929" s="262">
        <v>45894</v>
      </c>
      <c r="D929" s="263" t="s">
        <v>2540</v>
      </c>
      <c r="E929" s="264" t="s">
        <v>780</v>
      </c>
      <c r="F929" s="265">
        <v>15421.5</v>
      </c>
      <c r="G929" s="265">
        <f>39.7+596.8+52.8+(47.03+38.86+165.2+49.48)+(216.39)+1500</f>
        <v>2706.2599999999998</v>
      </c>
      <c r="H929" s="265"/>
      <c r="I929" s="272">
        <f>F929-G929-H929</f>
        <v>12715.24</v>
      </c>
      <c r="J929" s="267" t="s">
        <v>156</v>
      </c>
      <c r="K929" s="267">
        <v>1</v>
      </c>
      <c r="L929" s="267">
        <v>1</v>
      </c>
      <c r="M929" s="267">
        <v>1</v>
      </c>
      <c r="N929" s="267">
        <v>1</v>
      </c>
      <c r="O929" s="267">
        <v>1</v>
      </c>
      <c r="P929" s="267">
        <v>1</v>
      </c>
      <c r="Q929" s="267">
        <v>1</v>
      </c>
      <c r="R929" s="267">
        <v>1</v>
      </c>
      <c r="S929" s="269">
        <v>1</v>
      </c>
      <c r="T929" s="63"/>
      <c r="U929" s="10" t="s">
        <v>2541</v>
      </c>
      <c r="V929" s="90"/>
      <c r="W929" s="91"/>
      <c r="X929" s="92"/>
    </row>
    <row r="930" spans="1:24" s="260" customFormat="1">
      <c r="A930" s="261">
        <v>0.05</v>
      </c>
      <c r="B930" s="87">
        <f t="shared" si="174"/>
        <v>4</v>
      </c>
      <c r="C930" s="262">
        <v>45894</v>
      </c>
      <c r="D930" s="263" t="s">
        <v>2540</v>
      </c>
      <c r="E930" s="271" t="s">
        <v>780</v>
      </c>
      <c r="F930" s="265">
        <v>15421.5</v>
      </c>
      <c r="G930" s="265">
        <f>39.7+596.8+52.8+(47.03+38.86+165.2)+(216.39)+1500</f>
        <v>2656.7799999999997</v>
      </c>
      <c r="H930" s="265"/>
      <c r="I930" s="272">
        <f>F930-G930-H930</f>
        <v>12764.720000000001</v>
      </c>
      <c r="J930" s="267" t="s">
        <v>156</v>
      </c>
      <c r="K930" s="267">
        <v>1</v>
      </c>
      <c r="L930" s="267">
        <v>1</v>
      </c>
      <c r="M930" s="267">
        <v>1</v>
      </c>
      <c r="N930" s="267">
        <v>1</v>
      </c>
      <c r="O930" s="267">
        <v>1</v>
      </c>
      <c r="P930" s="267">
        <v>1</v>
      </c>
      <c r="Q930" s="267">
        <v>1</v>
      </c>
      <c r="R930" s="267">
        <v>1</v>
      </c>
      <c r="S930" s="269">
        <v>1</v>
      </c>
      <c r="T930" s="21"/>
      <c r="U930" s="94" t="s">
        <v>2541</v>
      </c>
      <c r="V930" s="90"/>
      <c r="W930" s="91"/>
      <c r="X930" s="92"/>
    </row>
    <row r="931" spans="1:24" s="260" customFormat="1">
      <c r="B931" s="11"/>
      <c r="C931" s="270"/>
      <c r="D931" s="10"/>
      <c r="E931" s="10"/>
      <c r="F931" s="97">
        <f>SUM(F927:F930)</f>
        <v>40999</v>
      </c>
      <c r="G931" s="97">
        <f t="shared" ref="G931:I931" si="175">SUM(G927:G930)</f>
        <v>6446.37</v>
      </c>
      <c r="H931" s="97">
        <f t="shared" si="175"/>
        <v>0</v>
      </c>
      <c r="I931" s="97">
        <f t="shared" si="175"/>
        <v>34552.630000000005</v>
      </c>
      <c r="J931" s="63"/>
      <c r="K931" s="21"/>
      <c r="L931" s="21"/>
      <c r="M931" s="21"/>
      <c r="N931" s="21"/>
      <c r="O931" s="21"/>
      <c r="P931" s="21"/>
      <c r="Q931" s="21"/>
      <c r="R931" s="21"/>
      <c r="S931" s="21"/>
      <c r="T931" s="63"/>
      <c r="U931" s="10"/>
      <c r="V931" s="90"/>
      <c r="W931" s="91"/>
      <c r="X931" s="92"/>
    </row>
    <row r="932" spans="1:24" s="260" customFormat="1">
      <c r="B932" s="11"/>
      <c r="C932" s="270"/>
      <c r="D932" s="10"/>
      <c r="E932" s="10"/>
      <c r="F932" s="88"/>
      <c r="G932" s="88"/>
      <c r="H932" s="88"/>
      <c r="I932" s="99"/>
      <c r="J932" s="63"/>
      <c r="K932" s="21"/>
      <c r="L932" s="21"/>
      <c r="M932" s="21"/>
      <c r="N932" s="21"/>
      <c r="O932" s="21"/>
      <c r="P932" s="21"/>
      <c r="Q932" s="21"/>
      <c r="R932" s="21"/>
      <c r="S932" s="21"/>
      <c r="T932" s="63"/>
      <c r="U932" s="10"/>
      <c r="V932" s="90"/>
      <c r="W932" s="91"/>
      <c r="X932" s="92"/>
    </row>
    <row r="933" spans="1:24" s="260" customFormat="1">
      <c r="B933" s="100" t="s">
        <v>202</v>
      </c>
      <c r="C933" s="270"/>
      <c r="D933" s="10"/>
      <c r="E933" s="181"/>
      <c r="F933" s="88"/>
      <c r="G933" s="88"/>
      <c r="H933" s="88"/>
      <c r="I933" s="99"/>
      <c r="J933" s="63"/>
      <c r="K933" s="21"/>
      <c r="L933" s="21"/>
      <c r="M933" s="21"/>
      <c r="N933" s="21"/>
      <c r="O933" s="21"/>
      <c r="P933" s="21"/>
      <c r="Q933" s="21"/>
      <c r="R933" s="21"/>
      <c r="S933" s="21"/>
      <c r="T933" s="63"/>
      <c r="U933" s="10"/>
      <c r="V933" s="90"/>
      <c r="W933" s="91"/>
      <c r="X933" s="92"/>
    </row>
    <row r="934" spans="1:24" s="260" customFormat="1">
      <c r="A934" s="261">
        <v>0.05</v>
      </c>
      <c r="B934" s="87">
        <v>1</v>
      </c>
      <c r="C934" s="262">
        <v>45863</v>
      </c>
      <c r="D934" s="263" t="s">
        <v>2406</v>
      </c>
      <c r="E934" s="271" t="s">
        <v>2398</v>
      </c>
      <c r="F934" s="265">
        <v>14218</v>
      </c>
      <c r="G934" s="265">
        <f>39.7+487.5+(78.82+18.7+38.9+17.61+45.74)+(21.28)+1000</f>
        <v>1748.25</v>
      </c>
      <c r="H934" s="265"/>
      <c r="I934" s="272">
        <f>F934-G934-H934</f>
        <v>12469.75</v>
      </c>
      <c r="J934" s="267" t="s">
        <v>156</v>
      </c>
      <c r="K934" s="267">
        <v>1</v>
      </c>
      <c r="L934" s="267"/>
      <c r="M934" s="267">
        <v>1</v>
      </c>
      <c r="N934" s="267">
        <v>1</v>
      </c>
      <c r="O934" s="267">
        <v>1</v>
      </c>
      <c r="P934" s="267">
        <v>1</v>
      </c>
      <c r="Q934" s="267"/>
      <c r="R934" s="267"/>
      <c r="S934" s="269"/>
      <c r="T934" s="63"/>
      <c r="U934" s="94" t="s">
        <v>2407</v>
      </c>
      <c r="V934" s="90"/>
      <c r="W934" s="136"/>
      <c r="X934" s="137"/>
    </row>
    <row r="935" spans="1:24" s="260" customFormat="1">
      <c r="A935" s="260" t="s">
        <v>2347</v>
      </c>
      <c r="B935" s="11"/>
      <c r="C935" s="270"/>
      <c r="D935" s="10"/>
      <c r="E935" s="10"/>
      <c r="F935" s="97">
        <f>SUM(F934:F934)</f>
        <v>14218</v>
      </c>
      <c r="G935" s="97">
        <f>SUM(G934:G934)</f>
        <v>1748.25</v>
      </c>
      <c r="H935" s="97">
        <f>SUM(H934:H934)</f>
        <v>0</v>
      </c>
      <c r="I935" s="97">
        <f>SUM(I934:I934)</f>
        <v>12469.75</v>
      </c>
      <c r="J935" s="63"/>
      <c r="K935" s="21"/>
      <c r="L935" s="21"/>
      <c r="M935" s="21"/>
      <c r="N935" s="21"/>
      <c r="O935" s="21"/>
      <c r="P935" s="21"/>
      <c r="Q935" s="21"/>
      <c r="R935" s="21"/>
      <c r="S935" s="21"/>
      <c r="T935" s="63"/>
      <c r="V935" s="90"/>
      <c r="W935" s="91"/>
      <c r="X935" s="92"/>
    </row>
    <row r="936" spans="1:24" s="260" customFormat="1">
      <c r="B936" s="11"/>
      <c r="C936" s="270"/>
      <c r="D936" s="10"/>
      <c r="E936" s="10"/>
      <c r="F936" s="88"/>
      <c r="G936" s="88"/>
      <c r="H936" s="88"/>
      <c r="I936" s="88"/>
      <c r="J936" s="63"/>
      <c r="K936" s="21"/>
      <c r="L936" s="21"/>
      <c r="M936" s="21"/>
      <c r="N936" s="21"/>
      <c r="O936" s="21"/>
      <c r="P936" s="21"/>
      <c r="Q936" s="21"/>
      <c r="R936" s="21"/>
      <c r="S936" s="21"/>
      <c r="T936" s="63"/>
      <c r="U936" s="10"/>
      <c r="V936" s="90"/>
      <c r="W936" s="91"/>
      <c r="X936" s="92"/>
    </row>
    <row r="937" spans="1:24">
      <c r="A937" s="614"/>
      <c r="B937" s="100" t="s">
        <v>72</v>
      </c>
      <c r="C937" s="36"/>
      <c r="D937" s="10"/>
      <c r="E937" s="10"/>
      <c r="F937" s="88"/>
      <c r="G937" s="88"/>
      <c r="H937" s="88"/>
      <c r="I937" s="99"/>
      <c r="J937" s="63"/>
      <c r="K937" s="63"/>
      <c r="L937" s="63"/>
      <c r="M937" s="63"/>
      <c r="N937" s="63"/>
      <c r="O937" s="63"/>
      <c r="P937" s="63"/>
      <c r="Q937" s="63"/>
      <c r="R937" s="63"/>
      <c r="S937" s="63"/>
      <c r="T937" s="63"/>
      <c r="U937" s="94"/>
      <c r="V937" s="90"/>
      <c r="W937" s="91"/>
      <c r="X937" s="92"/>
    </row>
    <row r="938" spans="1:24">
      <c r="A938" s="614"/>
      <c r="B938" s="87">
        <v>1</v>
      </c>
      <c r="C938" s="274">
        <v>45908</v>
      </c>
      <c r="D938" s="276">
        <v>73044</v>
      </c>
      <c r="E938" s="276" t="s">
        <v>162</v>
      </c>
      <c r="F938" s="277">
        <v>0</v>
      </c>
      <c r="G938" s="277">
        <v>0</v>
      </c>
      <c r="H938" s="277"/>
      <c r="I938" s="278">
        <f>F938-G938-H938</f>
        <v>0</v>
      </c>
      <c r="J938" s="279" t="s">
        <v>205</v>
      </c>
      <c r="K938" s="279"/>
      <c r="L938" s="279"/>
      <c r="M938" s="279"/>
      <c r="N938" s="279"/>
      <c r="O938" s="279"/>
      <c r="P938" s="279"/>
      <c r="Q938" s="279"/>
      <c r="R938" s="279"/>
      <c r="S938" s="280"/>
      <c r="T938" s="63"/>
      <c r="U938" s="164"/>
      <c r="V938" s="90"/>
      <c r="W938" s="91"/>
      <c r="X938" s="92"/>
    </row>
    <row r="939" spans="1:24">
      <c r="A939" s="614"/>
      <c r="B939" s="87">
        <f>B938+1</f>
        <v>2</v>
      </c>
      <c r="C939" s="295">
        <v>45908</v>
      </c>
      <c r="D939" s="10" t="s">
        <v>2595</v>
      </c>
      <c r="E939" s="10" t="s">
        <v>798</v>
      </c>
      <c r="F939" s="62">
        <v>9261</v>
      </c>
      <c r="G939" s="62"/>
      <c r="H939" s="62"/>
      <c r="I939" s="89">
        <f t="shared" ref="I939:I952" si="176">F939-G939-H939</f>
        <v>9261</v>
      </c>
      <c r="J939" s="63" t="s">
        <v>205</v>
      </c>
      <c r="K939" s="63">
        <v>1</v>
      </c>
      <c r="L939" s="63"/>
      <c r="M939" s="63"/>
      <c r="N939" s="63">
        <v>1</v>
      </c>
      <c r="O939" s="63"/>
      <c r="P939" s="63"/>
      <c r="Q939" s="63"/>
      <c r="R939" s="63"/>
      <c r="S939" s="296"/>
      <c r="T939" s="63"/>
      <c r="U939" s="94"/>
      <c r="V939" s="90"/>
      <c r="W939" s="136"/>
      <c r="X939" s="137"/>
    </row>
    <row r="940" spans="1:24">
      <c r="A940" s="614"/>
      <c r="B940" s="87">
        <f t="shared" ref="B940:B952" si="177">B939+1</f>
        <v>3</v>
      </c>
      <c r="C940" s="295">
        <v>45908</v>
      </c>
      <c r="D940" s="10">
        <v>73085</v>
      </c>
      <c r="E940" s="10" t="s">
        <v>216</v>
      </c>
      <c r="F940" s="62">
        <v>0</v>
      </c>
      <c r="G940" s="62">
        <v>0</v>
      </c>
      <c r="H940" s="62"/>
      <c r="I940" s="89">
        <f t="shared" si="176"/>
        <v>0</v>
      </c>
      <c r="J940" s="63" t="s">
        <v>205</v>
      </c>
      <c r="K940" s="63">
        <v>1</v>
      </c>
      <c r="L940" s="63"/>
      <c r="M940" s="63"/>
      <c r="N940" s="63"/>
      <c r="O940" s="63"/>
      <c r="P940" s="63"/>
      <c r="Q940" s="63">
        <v>1</v>
      </c>
      <c r="R940" s="63">
        <v>1</v>
      </c>
      <c r="S940" s="296">
        <v>1</v>
      </c>
      <c r="T940" s="63"/>
      <c r="U940" s="94"/>
      <c r="V940" s="90"/>
      <c r="W940" s="136"/>
      <c r="X940" s="137"/>
    </row>
    <row r="941" spans="1:24">
      <c r="A941" s="614"/>
      <c r="B941" s="87">
        <f t="shared" si="177"/>
        <v>4</v>
      </c>
      <c r="C941" s="274">
        <v>45909</v>
      </c>
      <c r="D941" s="276">
        <v>73089</v>
      </c>
      <c r="E941" s="276" t="s">
        <v>1401</v>
      </c>
      <c r="F941" s="277">
        <v>1281</v>
      </c>
      <c r="G941" s="277">
        <v>39.700000000000003</v>
      </c>
      <c r="H941" s="277"/>
      <c r="I941" s="278">
        <f t="shared" si="176"/>
        <v>1241.3</v>
      </c>
      <c r="J941" s="279" t="s">
        <v>205</v>
      </c>
      <c r="K941" s="279">
        <v>1</v>
      </c>
      <c r="L941" s="279"/>
      <c r="M941" s="279"/>
      <c r="N941" s="279">
        <v>1</v>
      </c>
      <c r="O941" s="279"/>
      <c r="P941" s="279"/>
      <c r="Q941" s="279">
        <v>1</v>
      </c>
      <c r="R941" s="279">
        <v>1</v>
      </c>
      <c r="S941" s="280">
        <v>1</v>
      </c>
      <c r="T941" s="63"/>
      <c r="U941" s="94"/>
      <c r="V941" s="90"/>
      <c r="W941" s="136"/>
      <c r="X941" s="137"/>
    </row>
    <row r="942" spans="1:24">
      <c r="A942" s="614"/>
      <c r="B942" s="87">
        <f t="shared" si="177"/>
        <v>5</v>
      </c>
      <c r="C942" s="295">
        <v>45909</v>
      </c>
      <c r="D942" s="10">
        <v>73090</v>
      </c>
      <c r="E942" s="10" t="s">
        <v>809</v>
      </c>
      <c r="F942" s="62">
        <v>0</v>
      </c>
      <c r="G942" s="62">
        <v>0</v>
      </c>
      <c r="H942" s="62"/>
      <c r="I942" s="89">
        <f t="shared" si="176"/>
        <v>0</v>
      </c>
      <c r="J942" s="63" t="s">
        <v>205</v>
      </c>
      <c r="K942" s="63">
        <v>1</v>
      </c>
      <c r="L942" s="63"/>
      <c r="M942" s="63"/>
      <c r="N942" s="63">
        <v>1</v>
      </c>
      <c r="O942" s="63"/>
      <c r="P942" s="63"/>
      <c r="Q942" s="63">
        <v>1</v>
      </c>
      <c r="R942" s="63">
        <v>1</v>
      </c>
      <c r="S942" s="296">
        <v>1</v>
      </c>
      <c r="T942" s="63"/>
      <c r="U942" s="94"/>
      <c r="V942" s="90"/>
      <c r="W942" s="136"/>
      <c r="X942" s="137"/>
    </row>
    <row r="943" spans="1:24">
      <c r="A943" s="614"/>
      <c r="B943" s="87">
        <f t="shared" si="177"/>
        <v>6</v>
      </c>
      <c r="C943" s="295">
        <v>45909</v>
      </c>
      <c r="D943" s="10">
        <v>73105</v>
      </c>
      <c r="E943" s="101" t="s">
        <v>780</v>
      </c>
      <c r="F943" s="62">
        <v>0</v>
      </c>
      <c r="G943" s="62">
        <v>0</v>
      </c>
      <c r="H943" s="62"/>
      <c r="I943" s="89">
        <f t="shared" si="176"/>
        <v>0</v>
      </c>
      <c r="J943" s="63" t="s">
        <v>205</v>
      </c>
      <c r="K943" s="63">
        <v>1</v>
      </c>
      <c r="L943" s="63"/>
      <c r="M943" s="63"/>
      <c r="N943" s="63"/>
      <c r="O943" s="63"/>
      <c r="P943" s="63"/>
      <c r="Q943" s="63">
        <v>1</v>
      </c>
      <c r="R943" s="63">
        <v>1</v>
      </c>
      <c r="S943" s="296">
        <v>1</v>
      </c>
      <c r="T943" s="21">
        <v>1</v>
      </c>
      <c r="U943" s="94"/>
      <c r="V943" s="90"/>
      <c r="W943" s="136"/>
      <c r="X943" s="137"/>
    </row>
    <row r="944" spans="1:24">
      <c r="A944" s="614"/>
      <c r="B944" s="87">
        <f t="shared" si="177"/>
        <v>7</v>
      </c>
      <c r="C944" s="274">
        <v>45910</v>
      </c>
      <c r="D944" s="276">
        <v>73168</v>
      </c>
      <c r="E944" s="281" t="s">
        <v>1085</v>
      </c>
      <c r="F944" s="277">
        <v>1138</v>
      </c>
      <c r="G944" s="277">
        <v>39.700000000000003</v>
      </c>
      <c r="H944" s="277"/>
      <c r="I944" s="278">
        <f t="shared" si="176"/>
        <v>1098.3</v>
      </c>
      <c r="J944" s="279" t="s">
        <v>205</v>
      </c>
      <c r="K944" s="279">
        <v>1</v>
      </c>
      <c r="L944" s="279"/>
      <c r="M944" s="279"/>
      <c r="N944" s="279">
        <v>1</v>
      </c>
      <c r="O944" s="279"/>
      <c r="P944" s="279"/>
      <c r="Q944" s="279">
        <v>1</v>
      </c>
      <c r="R944" s="279">
        <v>1</v>
      </c>
      <c r="S944" s="280">
        <v>1</v>
      </c>
      <c r="T944" s="63"/>
      <c r="U944" s="94"/>
      <c r="V944" s="90"/>
      <c r="W944" s="136"/>
      <c r="X944" s="137"/>
    </row>
    <row r="945" spans="1:24">
      <c r="A945" s="614"/>
      <c r="B945" s="87">
        <f t="shared" si="177"/>
        <v>8</v>
      </c>
      <c r="C945" s="295">
        <v>45910</v>
      </c>
      <c r="D945" s="10" t="s">
        <v>2596</v>
      </c>
      <c r="E945" s="101" t="s">
        <v>464</v>
      </c>
      <c r="F945" s="62">
        <v>681</v>
      </c>
      <c r="G945" s="62"/>
      <c r="H945" s="62"/>
      <c r="I945" s="89">
        <f t="shared" si="176"/>
        <v>681</v>
      </c>
      <c r="J945" s="63" t="s">
        <v>205</v>
      </c>
      <c r="K945" s="63">
        <v>1</v>
      </c>
      <c r="L945" s="63"/>
      <c r="M945" s="63"/>
      <c r="N945" s="63">
        <v>1</v>
      </c>
      <c r="O945" s="63"/>
      <c r="P945" s="63"/>
      <c r="Q945" s="63"/>
      <c r="R945" s="63"/>
      <c r="S945" s="296"/>
      <c r="T945" s="63"/>
      <c r="U945" s="94"/>
      <c r="V945" s="90"/>
      <c r="W945" s="136"/>
      <c r="X945" s="137"/>
    </row>
    <row r="946" spans="1:24">
      <c r="A946" s="614"/>
      <c r="B946" s="87">
        <f t="shared" si="177"/>
        <v>9</v>
      </c>
      <c r="C946" s="295">
        <v>45910</v>
      </c>
      <c r="D946" s="10" t="s">
        <v>2597</v>
      </c>
      <c r="E946" s="101" t="s">
        <v>464</v>
      </c>
      <c r="F946" s="62">
        <v>5592.6</v>
      </c>
      <c r="G946" s="62">
        <v>39.700000000000003</v>
      </c>
      <c r="H946" s="62"/>
      <c r="I946" s="89">
        <f t="shared" si="176"/>
        <v>5552.9000000000005</v>
      </c>
      <c r="J946" s="63" t="s">
        <v>205</v>
      </c>
      <c r="K946" s="63">
        <v>1</v>
      </c>
      <c r="L946" s="63"/>
      <c r="M946" s="63"/>
      <c r="N946" s="63">
        <v>1</v>
      </c>
      <c r="O946" s="63"/>
      <c r="P946" s="63"/>
      <c r="Q946" s="63"/>
      <c r="R946" s="63"/>
      <c r="S946" s="296"/>
      <c r="T946" s="63"/>
      <c r="U946" s="94"/>
      <c r="V946" s="90"/>
      <c r="W946" s="136"/>
      <c r="X946" s="137"/>
    </row>
    <row r="947" spans="1:24" s="260" customFormat="1">
      <c r="A947" s="704"/>
      <c r="B947" s="87">
        <f>B946+1</f>
        <v>10</v>
      </c>
      <c r="C947" s="274">
        <v>45911</v>
      </c>
      <c r="D947" s="276" t="s">
        <v>2598</v>
      </c>
      <c r="E947" s="276" t="s">
        <v>333</v>
      </c>
      <c r="F947" s="277">
        <v>10071.6</v>
      </c>
      <c r="G947" s="277">
        <f>39.7</f>
        <v>39.700000000000003</v>
      </c>
      <c r="H947" s="277"/>
      <c r="I947" s="278">
        <f>F947-G947-H947</f>
        <v>10031.9</v>
      </c>
      <c r="J947" s="279" t="s">
        <v>219</v>
      </c>
      <c r="K947" s="279">
        <v>1</v>
      </c>
      <c r="L947" s="279"/>
      <c r="M947" s="279"/>
      <c r="N947" s="279">
        <v>1</v>
      </c>
      <c r="O947" s="279">
        <v>1</v>
      </c>
      <c r="P947" s="279">
        <v>1</v>
      </c>
      <c r="Q947" s="279"/>
      <c r="R947" s="279"/>
      <c r="S947" s="280"/>
      <c r="T947" s="63"/>
      <c r="U947" s="94" t="s">
        <v>2599</v>
      </c>
      <c r="V947" s="90"/>
      <c r="W947" s="136"/>
      <c r="X947" s="137"/>
    </row>
    <row r="948" spans="1:24">
      <c r="A948" s="614"/>
      <c r="B948" s="87">
        <f>B947+1</f>
        <v>11</v>
      </c>
      <c r="C948" s="295">
        <v>45911</v>
      </c>
      <c r="D948" s="10">
        <v>73193</v>
      </c>
      <c r="E948" s="101" t="s">
        <v>991</v>
      </c>
      <c r="F948" s="62">
        <v>0</v>
      </c>
      <c r="G948" s="62">
        <v>0</v>
      </c>
      <c r="H948" s="62"/>
      <c r="I948" s="89">
        <f t="shared" si="176"/>
        <v>0</v>
      </c>
      <c r="J948" s="63" t="s">
        <v>205</v>
      </c>
      <c r="K948" s="63">
        <v>1</v>
      </c>
      <c r="L948" s="63"/>
      <c r="M948" s="63"/>
      <c r="N948" s="63"/>
      <c r="O948" s="63"/>
      <c r="P948" s="63"/>
      <c r="Q948" s="63">
        <v>1</v>
      </c>
      <c r="R948" s="63">
        <v>1</v>
      </c>
      <c r="S948" s="296">
        <v>1</v>
      </c>
      <c r="T948" s="63"/>
      <c r="U948" s="94"/>
      <c r="V948" s="90"/>
      <c r="W948" s="136"/>
      <c r="X948" s="137"/>
    </row>
    <row r="949" spans="1:24">
      <c r="A949" s="614"/>
      <c r="B949" s="87">
        <f t="shared" si="177"/>
        <v>12</v>
      </c>
      <c r="C949" s="295">
        <v>45911</v>
      </c>
      <c r="D949" s="10">
        <v>73244</v>
      </c>
      <c r="E949" s="101" t="s">
        <v>1530</v>
      </c>
      <c r="F949" s="62">
        <v>2261</v>
      </c>
      <c r="G949" s="62">
        <v>39.700000000000003</v>
      </c>
      <c r="H949" s="62"/>
      <c r="I949" s="89">
        <f t="shared" si="176"/>
        <v>2221.3000000000002</v>
      </c>
      <c r="J949" s="63" t="s">
        <v>205</v>
      </c>
      <c r="K949" s="63">
        <v>1</v>
      </c>
      <c r="L949" s="63"/>
      <c r="M949" s="63"/>
      <c r="N949" s="63">
        <v>1</v>
      </c>
      <c r="O949" s="63"/>
      <c r="P949" s="63"/>
      <c r="Q949" s="63">
        <v>1</v>
      </c>
      <c r="R949" s="63">
        <v>1</v>
      </c>
      <c r="S949" s="296">
        <v>1</v>
      </c>
      <c r="T949" s="63"/>
      <c r="U949" s="94"/>
      <c r="V949" s="90"/>
      <c r="W949" s="136"/>
      <c r="X949" s="137"/>
    </row>
    <row r="950" spans="1:24">
      <c r="A950" s="614"/>
      <c r="B950" s="87">
        <f t="shared" si="177"/>
        <v>13</v>
      </c>
      <c r="C950" s="295">
        <v>45911</v>
      </c>
      <c r="D950" s="10">
        <v>73236</v>
      </c>
      <c r="E950" s="101" t="s">
        <v>780</v>
      </c>
      <c r="F950" s="62">
        <v>5412</v>
      </c>
      <c r="G950" s="62">
        <v>39.700000000000003</v>
      </c>
      <c r="H950" s="62"/>
      <c r="I950" s="89">
        <f t="shared" si="176"/>
        <v>5372.3</v>
      </c>
      <c r="J950" s="63" t="s">
        <v>205</v>
      </c>
      <c r="K950" s="63">
        <v>1</v>
      </c>
      <c r="L950" s="63"/>
      <c r="M950" s="63"/>
      <c r="N950" s="63">
        <v>1</v>
      </c>
      <c r="O950" s="63"/>
      <c r="P950" s="63"/>
      <c r="Q950" s="63">
        <v>1</v>
      </c>
      <c r="R950" s="63">
        <v>1</v>
      </c>
      <c r="S950" s="296">
        <v>1</v>
      </c>
      <c r="T950" s="63"/>
      <c r="U950" s="94"/>
      <c r="V950" s="90"/>
      <c r="W950" s="136"/>
      <c r="X950" s="137"/>
    </row>
    <row r="951" spans="1:24">
      <c r="A951" s="614"/>
      <c r="B951" s="87">
        <f t="shared" si="177"/>
        <v>14</v>
      </c>
      <c r="C951" s="274">
        <v>45912</v>
      </c>
      <c r="D951" s="276">
        <v>73195</v>
      </c>
      <c r="E951" s="276" t="s">
        <v>178</v>
      </c>
      <c r="F951" s="447">
        <v>0</v>
      </c>
      <c r="G951" s="277">
        <v>0</v>
      </c>
      <c r="H951" s="277"/>
      <c r="I951" s="278">
        <f t="shared" si="176"/>
        <v>0</v>
      </c>
      <c r="J951" s="279" t="s">
        <v>219</v>
      </c>
      <c r="K951" s="279"/>
      <c r="L951" s="279"/>
      <c r="M951" s="279"/>
      <c r="N951" s="279"/>
      <c r="O951" s="279"/>
      <c r="P951" s="279"/>
      <c r="Q951" s="279"/>
      <c r="R951" s="279"/>
      <c r="S951" s="280"/>
      <c r="T951" s="63"/>
      <c r="U951" s="94"/>
      <c r="V951" s="90"/>
      <c r="W951" s="136"/>
      <c r="X951" s="137"/>
    </row>
    <row r="952" spans="1:24">
      <c r="A952" s="614"/>
      <c r="B952" s="87">
        <f t="shared" si="177"/>
        <v>15</v>
      </c>
      <c r="C952" s="282">
        <v>45912</v>
      </c>
      <c r="D952" s="283">
        <v>73239</v>
      </c>
      <c r="E952" s="283" t="s">
        <v>159</v>
      </c>
      <c r="F952" s="423">
        <v>34618</v>
      </c>
      <c r="G952" s="284">
        <v>39.700000000000003</v>
      </c>
      <c r="H952" s="284"/>
      <c r="I952" s="285">
        <f t="shared" si="176"/>
        <v>34578.300000000003</v>
      </c>
      <c r="J952" s="286" t="s">
        <v>156</v>
      </c>
      <c r="K952" s="286">
        <v>1</v>
      </c>
      <c r="L952" s="286"/>
      <c r="M952" s="286">
        <v>1</v>
      </c>
      <c r="N952" s="286">
        <v>1</v>
      </c>
      <c r="O952" s="286"/>
      <c r="P952" s="286"/>
      <c r="Q952" s="286"/>
      <c r="R952" s="286"/>
      <c r="S952" s="287"/>
      <c r="T952" s="63"/>
      <c r="U952" s="94"/>
      <c r="V952" s="90">
        <v>93.5</v>
      </c>
      <c r="W952" s="136"/>
      <c r="X952" s="137"/>
    </row>
    <row r="953" spans="1:24">
      <c r="A953" s="614"/>
      <c r="B953" s="11"/>
      <c r="C953" s="36"/>
      <c r="D953" s="10"/>
      <c r="E953" s="10"/>
      <c r="F953" s="97">
        <f>SUM(F938:F952)</f>
        <v>70316.2</v>
      </c>
      <c r="G953" s="97">
        <f>SUM(G938:G952)</f>
        <v>277.89999999999998</v>
      </c>
      <c r="H953" s="97">
        <f>SUM(H938:H952)</f>
        <v>0</v>
      </c>
      <c r="I953" s="98">
        <f>SUM(I938:I952)</f>
        <v>70038.3</v>
      </c>
      <c r="J953" s="10"/>
      <c r="K953" s="10"/>
      <c r="L953" s="10"/>
      <c r="M953" s="10"/>
      <c r="N953" s="10"/>
      <c r="O953" s="10"/>
      <c r="P953" s="10"/>
      <c r="Q953" s="10"/>
      <c r="R953" s="10"/>
      <c r="S953" s="10"/>
      <c r="T953" s="63"/>
      <c r="U953" s="94"/>
      <c r="V953" s="90"/>
      <c r="W953" s="91"/>
      <c r="X953" s="92"/>
    </row>
    <row r="954" spans="1:24">
      <c r="A954" s="614"/>
      <c r="B954" s="26"/>
      <c r="C954" s="612"/>
      <c r="D954" s="141"/>
      <c r="E954" s="141"/>
      <c r="F954" s="141"/>
      <c r="G954" s="141"/>
      <c r="H954" s="141"/>
      <c r="I954" s="141"/>
      <c r="J954" s="141"/>
      <c r="K954" s="142"/>
      <c r="L954" s="142"/>
      <c r="M954" s="142"/>
      <c r="N954" s="142"/>
      <c r="O954" s="142"/>
      <c r="P954" s="142"/>
      <c r="Q954" s="142"/>
      <c r="R954" s="142"/>
      <c r="S954" s="142"/>
      <c r="T954" s="143">
        <f>SUM(T892:T953)</f>
        <v>6</v>
      </c>
      <c r="U954" s="168"/>
      <c r="V954" s="144">
        <f>SUM(V892:V953)</f>
        <v>70838.349999999991</v>
      </c>
      <c r="W954" s="145">
        <f>SUM(W892:W953)</f>
        <v>0</v>
      </c>
      <c r="X954" s="146">
        <f>SUM(X892:X953)</f>
        <v>0</v>
      </c>
    </row>
    <row r="957" spans="1:24">
      <c r="A957" s="616" t="s">
        <v>74</v>
      </c>
      <c r="B957" s="4" t="s">
        <v>1</v>
      </c>
      <c r="C957" s="5"/>
      <c r="D957" s="83"/>
      <c r="E957" s="6"/>
      <c r="F957" s="7" t="s">
        <v>2</v>
      </c>
      <c r="G957" s="608">
        <v>45921</v>
      </c>
      <c r="H957" s="7"/>
      <c r="I957" s="6"/>
      <c r="J957" s="6"/>
      <c r="K957" s="6"/>
      <c r="L957" s="6"/>
      <c r="M957" s="6"/>
      <c r="N957" s="6"/>
      <c r="O957" s="6"/>
      <c r="P957" s="6"/>
      <c r="Q957" s="6"/>
      <c r="R957" s="6"/>
      <c r="S957" s="6"/>
      <c r="T957" s="6"/>
      <c r="U957" s="149"/>
      <c r="V957" s="77"/>
      <c r="W957" s="77"/>
      <c r="X957" s="77"/>
    </row>
    <row r="958" spans="1:24">
      <c r="A958" s="617" t="s">
        <v>75</v>
      </c>
      <c r="B958" s="11"/>
      <c r="C958" s="10"/>
      <c r="D958" s="63"/>
      <c r="E958" s="10"/>
      <c r="F958" s="10"/>
      <c r="G958" s="7"/>
      <c r="H958" s="12"/>
      <c r="I958" s="10"/>
      <c r="J958" s="10"/>
      <c r="K958" s="13" t="s">
        <v>3</v>
      </c>
      <c r="L958" s="14"/>
      <c r="M958" s="15"/>
      <c r="N958" s="13" t="s">
        <v>4</v>
      </c>
      <c r="O958" s="14"/>
      <c r="P958" s="15"/>
      <c r="Q958" s="13" t="s">
        <v>5</v>
      </c>
      <c r="R958" s="14"/>
      <c r="S958" s="15"/>
      <c r="T958" s="16"/>
      <c r="U958" s="151"/>
      <c r="V958" s="77"/>
      <c r="W958" s="77"/>
      <c r="X958" s="77"/>
    </row>
    <row r="959" spans="1:24">
      <c r="A959" s="616" t="s">
        <v>76</v>
      </c>
      <c r="B959" s="18" t="s">
        <v>6</v>
      </c>
      <c r="C959" s="19">
        <f>C960+C961</f>
        <v>18</v>
      </c>
      <c r="D959" s="63"/>
      <c r="E959" s="18" t="s">
        <v>7</v>
      </c>
      <c r="F959" s="6"/>
      <c r="G959" s="9"/>
      <c r="H959" s="10"/>
      <c r="I959" s="10"/>
      <c r="J959" s="10"/>
      <c r="K959" s="20" t="s">
        <v>8</v>
      </c>
      <c r="L959" s="21" t="s">
        <v>9</v>
      </c>
      <c r="M959" s="21" t="s">
        <v>10</v>
      </c>
      <c r="N959" s="20" t="s">
        <v>11</v>
      </c>
      <c r="O959" s="21" t="s">
        <v>12</v>
      </c>
      <c r="P959" s="22" t="s">
        <v>13</v>
      </c>
      <c r="Q959" s="21" t="s">
        <v>11</v>
      </c>
      <c r="R959" s="21" t="s">
        <v>12</v>
      </c>
      <c r="S959" s="22" t="s">
        <v>13</v>
      </c>
      <c r="T959" s="23" t="s">
        <v>14</v>
      </c>
      <c r="U959" s="151"/>
      <c r="V959" s="77"/>
      <c r="W959" s="77"/>
      <c r="X959" s="77"/>
    </row>
    <row r="960" spans="1:24">
      <c r="A960" s="652" t="s">
        <v>77</v>
      </c>
      <c r="B960" s="24" t="s">
        <v>15</v>
      </c>
      <c r="C960" s="25">
        <f>P967</f>
        <v>7</v>
      </c>
      <c r="D960" s="63"/>
      <c r="E960" s="11" t="s">
        <v>16</v>
      </c>
      <c r="F960" s="10" t="s">
        <v>78</v>
      </c>
      <c r="G960" s="153">
        <v>0.05</v>
      </c>
      <c r="H960" s="10"/>
      <c r="I960" s="10"/>
      <c r="J960" s="18" t="s">
        <v>17</v>
      </c>
      <c r="K960" s="29">
        <f>K993</f>
        <v>7</v>
      </c>
      <c r="L960" s="29">
        <f t="shared" ref="L960:S960" si="178">L993</f>
        <v>7</v>
      </c>
      <c r="M960" s="29">
        <f t="shared" si="178"/>
        <v>5</v>
      </c>
      <c r="N960" s="29">
        <f t="shared" si="178"/>
        <v>7</v>
      </c>
      <c r="O960" s="29">
        <f t="shared" si="178"/>
        <v>7</v>
      </c>
      <c r="P960" s="29">
        <f t="shared" si="178"/>
        <v>7</v>
      </c>
      <c r="Q960" s="29">
        <f t="shared" si="178"/>
        <v>6</v>
      </c>
      <c r="R960" s="29">
        <f t="shared" si="178"/>
        <v>6</v>
      </c>
      <c r="S960" s="29">
        <f t="shared" si="178"/>
        <v>6</v>
      </c>
      <c r="T960" s="30">
        <f>T1027</f>
        <v>2</v>
      </c>
      <c r="U960" s="151"/>
      <c r="V960" s="77"/>
      <c r="W960" s="77"/>
      <c r="X960" s="77"/>
    </row>
    <row r="961" spans="1:24">
      <c r="A961" s="652" t="s">
        <v>79</v>
      </c>
      <c r="B961" s="24" t="s">
        <v>18</v>
      </c>
      <c r="C961" s="25">
        <f>P968</f>
        <v>11</v>
      </c>
      <c r="D961" s="63"/>
      <c r="E961" s="26" t="s">
        <v>80</v>
      </c>
      <c r="F961" s="141" t="s">
        <v>81</v>
      </c>
      <c r="G961" s="154">
        <v>0.1</v>
      </c>
      <c r="H961" s="10"/>
      <c r="I961" s="10"/>
      <c r="J961" s="32" t="s">
        <v>19</v>
      </c>
      <c r="K961" s="33">
        <f>K993/K992</f>
        <v>1</v>
      </c>
      <c r="L961" s="33">
        <f t="shared" ref="L961:S961" si="179">L993/L992</f>
        <v>1</v>
      </c>
      <c r="M961" s="33">
        <f t="shared" si="179"/>
        <v>0.7142857142857143</v>
      </c>
      <c r="N961" s="33">
        <f t="shared" si="179"/>
        <v>1</v>
      </c>
      <c r="O961" s="33">
        <f t="shared" si="179"/>
        <v>1</v>
      </c>
      <c r="P961" s="33">
        <f t="shared" si="179"/>
        <v>1</v>
      </c>
      <c r="Q961" s="33">
        <f t="shared" si="179"/>
        <v>0.8571428571428571</v>
      </c>
      <c r="R961" s="33">
        <f t="shared" si="179"/>
        <v>0.8571428571428571</v>
      </c>
      <c r="S961" s="33">
        <f t="shared" si="179"/>
        <v>0.8571428571428571</v>
      </c>
      <c r="T961" s="23"/>
      <c r="U961" s="151" t="s">
        <v>20</v>
      </c>
      <c r="V961" s="77"/>
      <c r="W961" s="77"/>
      <c r="X961" s="77"/>
    </row>
    <row r="962" spans="1:24">
      <c r="A962" s="614"/>
      <c r="B962" s="24" t="s">
        <v>21</v>
      </c>
      <c r="C962" s="34">
        <f>P969</f>
        <v>0.3888888888888889</v>
      </c>
      <c r="D962" s="63"/>
      <c r="E962" s="10"/>
      <c r="F962" s="10"/>
      <c r="G962" s="10"/>
      <c r="H962" s="10"/>
      <c r="I962" s="10"/>
      <c r="J962" s="10"/>
      <c r="K962" s="10"/>
      <c r="L962" s="10"/>
      <c r="M962" s="10"/>
      <c r="N962" s="10"/>
      <c r="O962" s="10"/>
      <c r="P962" s="10"/>
      <c r="Q962" s="10"/>
      <c r="R962" s="10"/>
      <c r="S962" s="10"/>
      <c r="T962" s="10"/>
      <c r="U962" s="151"/>
      <c r="V962" s="77"/>
      <c r="W962" s="77"/>
      <c r="X962" s="77"/>
    </row>
    <row r="963" spans="1:24">
      <c r="A963" s="614"/>
      <c r="B963" s="24"/>
      <c r="C963" s="25"/>
      <c r="D963" s="63"/>
      <c r="E963" s="10"/>
      <c r="F963" s="18" t="s">
        <v>22</v>
      </c>
      <c r="G963" s="19" t="s">
        <v>23</v>
      </c>
      <c r="H963" s="35" t="s">
        <v>24</v>
      </c>
      <c r="I963" s="10"/>
      <c r="J963" s="10"/>
      <c r="K963" s="36"/>
      <c r="L963" s="36"/>
      <c r="M963" s="36"/>
      <c r="N963" s="36"/>
      <c r="O963" s="36"/>
      <c r="P963" s="36"/>
      <c r="Q963" s="36"/>
      <c r="R963" s="10"/>
      <c r="S963" s="10"/>
      <c r="T963" s="10"/>
      <c r="U963" s="151"/>
      <c r="V963" s="77"/>
      <c r="W963" s="77"/>
      <c r="X963" s="77"/>
    </row>
    <row r="964" spans="1:24">
      <c r="A964" s="614"/>
      <c r="B964" s="32" t="s">
        <v>25</v>
      </c>
      <c r="C964" s="37">
        <f>P970</f>
        <v>2611.2642857142855</v>
      </c>
      <c r="D964" s="63"/>
      <c r="E964" s="18" t="s">
        <v>26</v>
      </c>
      <c r="F964" s="38">
        <f>P966</f>
        <v>18278.849999999999</v>
      </c>
      <c r="G964" s="39">
        <f>I992</f>
        <v>18278.849999999999</v>
      </c>
      <c r="H964" s="767" t="s">
        <v>583</v>
      </c>
      <c r="I964" s="767"/>
      <c r="J964" s="767"/>
      <c r="K964" s="43" t="s">
        <v>27</v>
      </c>
      <c r="L964" s="44"/>
      <c r="M964" s="44"/>
      <c r="N964" s="44"/>
      <c r="O964" s="44"/>
      <c r="P964" s="44"/>
      <c r="Q964" s="45"/>
      <c r="R964" s="46" t="s">
        <v>28</v>
      </c>
      <c r="S964" s="47" t="s">
        <v>29</v>
      </c>
      <c r="T964" s="10"/>
      <c r="U964" s="151"/>
      <c r="V964" s="77"/>
      <c r="W964" s="77"/>
      <c r="X964" s="77"/>
    </row>
    <row r="965" spans="1:24">
      <c r="A965" s="614"/>
      <c r="B965" s="11"/>
      <c r="C965" s="10"/>
      <c r="D965" s="63"/>
      <c r="E965" s="24" t="s">
        <v>30</v>
      </c>
      <c r="F965" s="48">
        <f>IF(F964&gt;=25000,10%,5%)</f>
        <v>0.05</v>
      </c>
      <c r="G965" s="17"/>
      <c r="H965" s="767"/>
      <c r="I965" s="767"/>
      <c r="J965" s="767"/>
      <c r="K965" s="20" t="s">
        <v>31</v>
      </c>
      <c r="L965" s="21" t="s">
        <v>32</v>
      </c>
      <c r="M965" s="21" t="s">
        <v>33</v>
      </c>
      <c r="N965" s="21" t="s">
        <v>34</v>
      </c>
      <c r="O965" s="21" t="s">
        <v>35</v>
      </c>
      <c r="P965" s="21" t="s">
        <v>36</v>
      </c>
      <c r="Q965" s="49" t="s">
        <v>37</v>
      </c>
      <c r="R965" s="50" t="s">
        <v>38</v>
      </c>
      <c r="S965" s="50" t="s">
        <v>38</v>
      </c>
      <c r="T965" s="10"/>
      <c r="U965" s="151"/>
      <c r="V965" s="77"/>
      <c r="W965" s="77"/>
      <c r="X965" s="77"/>
    </row>
    <row r="966" spans="1:24">
      <c r="A966" s="614"/>
      <c r="B966" s="11"/>
      <c r="C966" s="10"/>
      <c r="D966" s="63"/>
      <c r="E966" s="51" t="s">
        <v>39</v>
      </c>
      <c r="F966" s="52">
        <f>F964*F965</f>
        <v>913.9425</v>
      </c>
      <c r="G966" s="53" t="s">
        <v>40</v>
      </c>
      <c r="H966" s="54">
        <f>F966/1.12</f>
        <v>816.02008928571422</v>
      </c>
      <c r="I966" s="570" t="s">
        <v>2600</v>
      </c>
      <c r="J966" s="42"/>
      <c r="K966" s="56">
        <v>0</v>
      </c>
      <c r="L966" s="57">
        <v>0</v>
      </c>
      <c r="M966" s="57">
        <f>I986+I987+I985+I988</f>
        <v>9191.51</v>
      </c>
      <c r="N966" s="57">
        <f>I989+I990</f>
        <v>7766.04</v>
      </c>
      <c r="O966" s="57">
        <f>I991</f>
        <v>1321.3</v>
      </c>
      <c r="P966" s="57">
        <f>SUM(K966:O966)</f>
        <v>18278.849999999999</v>
      </c>
      <c r="Q966" s="58">
        <v>0</v>
      </c>
      <c r="R966" s="59">
        <v>0</v>
      </c>
      <c r="S966" s="59">
        <v>0</v>
      </c>
      <c r="T966" s="10"/>
      <c r="U966" s="151"/>
      <c r="V966" s="77"/>
      <c r="W966" s="77"/>
      <c r="X966" s="77"/>
    </row>
    <row r="967" spans="1:24">
      <c r="A967" s="614"/>
      <c r="B967" s="11"/>
      <c r="C967" s="10"/>
      <c r="D967" s="63"/>
      <c r="E967" s="24" t="s">
        <v>41</v>
      </c>
      <c r="F967" s="60">
        <f>Q966</f>
        <v>0</v>
      </c>
      <c r="G967" s="61" t="s">
        <v>40</v>
      </c>
      <c r="H967" s="62"/>
      <c r="I967" s="62"/>
      <c r="J967" s="10" t="s">
        <v>42</v>
      </c>
      <c r="K967" s="63">
        <v>0</v>
      </c>
      <c r="L967" s="63">
        <v>0</v>
      </c>
      <c r="M967" s="63">
        <v>4</v>
      </c>
      <c r="N967" s="63">
        <v>2</v>
      </c>
      <c r="O967" s="63">
        <v>1</v>
      </c>
      <c r="P967" s="21">
        <f>SUM(K967:O967)</f>
        <v>7</v>
      </c>
      <c r="Q967" s="64"/>
      <c r="R967" s="63"/>
      <c r="S967" s="10"/>
      <c r="T967" s="10"/>
      <c r="U967" s="151"/>
      <c r="V967" s="77"/>
      <c r="W967" s="77"/>
      <c r="X967" s="77"/>
    </row>
    <row r="968" spans="1:24">
      <c r="A968" s="614"/>
      <c r="B968" s="11"/>
      <c r="C968" s="10"/>
      <c r="D968" s="63"/>
      <c r="E968" s="51" t="s">
        <v>43</v>
      </c>
      <c r="F968" s="52">
        <f>F967*0.25</f>
        <v>0</v>
      </c>
      <c r="G968" s="53" t="s">
        <v>40</v>
      </c>
      <c r="H968" s="54">
        <f>F968/1.12</f>
        <v>0</v>
      </c>
      <c r="I968" s="10"/>
      <c r="J968" s="10" t="s">
        <v>44</v>
      </c>
      <c r="K968" s="63">
        <v>0</v>
      </c>
      <c r="L968" s="63">
        <v>0</v>
      </c>
      <c r="M968" s="63">
        <v>4</v>
      </c>
      <c r="N968" s="63">
        <v>3</v>
      </c>
      <c r="O968" s="63">
        <v>4</v>
      </c>
      <c r="P968" s="21">
        <f>SUM(K968:O968)</f>
        <v>11</v>
      </c>
      <c r="Q968" s="64"/>
      <c r="R968" s="63"/>
      <c r="S968" s="10"/>
      <c r="T968" s="10"/>
      <c r="U968" s="151"/>
      <c r="V968" s="77"/>
      <c r="W968" s="77"/>
      <c r="X968" s="77"/>
    </row>
    <row r="969" spans="1:24">
      <c r="A969" s="614"/>
      <c r="B969" s="11"/>
      <c r="C969" s="10"/>
      <c r="D969" s="63"/>
      <c r="E969" s="24" t="s">
        <v>45</v>
      </c>
      <c r="F969" s="60">
        <f>I1000</f>
        <v>28127.88</v>
      </c>
      <c r="G969" s="61" t="s">
        <v>40</v>
      </c>
      <c r="H969" s="62"/>
      <c r="I969" s="10"/>
      <c r="J969" s="10" t="s">
        <v>46</v>
      </c>
      <c r="K969" s="31" t="e">
        <f t="shared" ref="K969:Q969" si="180">K967/(K967+K968)</f>
        <v>#DIV/0!</v>
      </c>
      <c r="L969" s="31" t="e">
        <f t="shared" si="180"/>
        <v>#DIV/0!</v>
      </c>
      <c r="M969" s="31">
        <f t="shared" si="180"/>
        <v>0.5</v>
      </c>
      <c r="N969" s="31">
        <f t="shared" si="180"/>
        <v>0.4</v>
      </c>
      <c r="O969" s="31">
        <f t="shared" si="180"/>
        <v>0.2</v>
      </c>
      <c r="P969" s="31">
        <f t="shared" si="180"/>
        <v>0.3888888888888889</v>
      </c>
      <c r="Q969" s="31" t="e">
        <f t="shared" si="180"/>
        <v>#DIV/0!</v>
      </c>
      <c r="R969" s="63"/>
      <c r="S969" s="10"/>
      <c r="T969" s="10"/>
      <c r="U969" s="151"/>
      <c r="V969" s="77"/>
      <c r="W969" s="77"/>
      <c r="X969" s="77"/>
    </row>
    <row r="970" spans="1:24">
      <c r="A970" s="614"/>
      <c r="B970" s="11"/>
      <c r="C970" s="10"/>
      <c r="D970" s="63"/>
      <c r="E970" s="51" t="s">
        <v>47</v>
      </c>
      <c r="F970" s="52">
        <f>(F969+F973)*0.1</f>
        <v>2810.3180000000002</v>
      </c>
      <c r="G970" s="65" t="s">
        <v>40</v>
      </c>
      <c r="H970" s="54">
        <f>F970/1.12</f>
        <v>2509.2125000000001</v>
      </c>
      <c r="I970" s="42"/>
      <c r="J970" s="10" t="s">
        <v>48</v>
      </c>
      <c r="K970" s="66" t="e">
        <f>K966/K967</f>
        <v>#DIV/0!</v>
      </c>
      <c r="L970" s="66" t="e">
        <f t="shared" ref="L970:Q970" si="181">L966/L967</f>
        <v>#DIV/0!</v>
      </c>
      <c r="M970" s="66">
        <f t="shared" si="181"/>
        <v>2297.8775000000001</v>
      </c>
      <c r="N970" s="66">
        <f t="shared" si="181"/>
        <v>3883.02</v>
      </c>
      <c r="O970" s="66">
        <f t="shared" si="181"/>
        <v>1321.3</v>
      </c>
      <c r="P970" s="66">
        <f t="shared" si="181"/>
        <v>2611.2642857142855</v>
      </c>
      <c r="Q970" s="66" t="e">
        <f t="shared" si="181"/>
        <v>#DIV/0!</v>
      </c>
      <c r="R970" s="63"/>
      <c r="S970" s="10"/>
      <c r="T970" s="10"/>
      <c r="U970" s="151"/>
      <c r="V970" s="77"/>
      <c r="W970" s="77"/>
      <c r="X970" s="77"/>
    </row>
    <row r="971" spans="1:24">
      <c r="A971" s="615"/>
      <c r="B971" s="132"/>
      <c r="C971" s="123"/>
      <c r="D971" s="127"/>
      <c r="E971" s="155" t="s">
        <v>14</v>
      </c>
      <c r="F971" s="156">
        <f>2*50</f>
        <v>100</v>
      </c>
      <c r="G971" s="123"/>
      <c r="H971" s="54">
        <f>F971/1.12</f>
        <v>89.285714285714278</v>
      </c>
      <c r="I971" s="123"/>
      <c r="J971" s="123"/>
      <c r="K971" s="123"/>
      <c r="L971" s="123"/>
      <c r="M971" s="123"/>
      <c r="N971" s="123"/>
      <c r="O971" s="123"/>
      <c r="P971" s="123"/>
      <c r="Q971" s="123"/>
      <c r="R971" s="123"/>
      <c r="S971" s="123"/>
      <c r="T971" s="123"/>
      <c r="U971" s="157"/>
      <c r="V971" s="123"/>
      <c r="W971" s="123"/>
      <c r="X971" s="123"/>
    </row>
    <row r="972" spans="1:24">
      <c r="A972" s="615"/>
      <c r="B972" s="132"/>
      <c r="C972" s="123"/>
      <c r="D972" s="127"/>
      <c r="E972" s="568" t="s">
        <v>49</v>
      </c>
      <c r="F972" s="569">
        <f>T961</f>
        <v>0</v>
      </c>
      <c r="G972" s="123"/>
      <c r="H972" s="54"/>
      <c r="I972" s="123"/>
      <c r="J972" s="42"/>
      <c r="K972" s="764" t="s">
        <v>50</v>
      </c>
      <c r="L972" s="765"/>
      <c r="M972" s="765"/>
      <c r="N972" s="765"/>
      <c r="O972" s="765"/>
      <c r="P972" s="765"/>
      <c r="Q972" s="766"/>
      <c r="R972" s="70" t="s">
        <v>28</v>
      </c>
      <c r="S972" s="71" t="s">
        <v>29</v>
      </c>
      <c r="T972" s="123"/>
      <c r="U972" s="157"/>
      <c r="V972" s="123"/>
      <c r="W972" s="123"/>
      <c r="X972" s="123"/>
    </row>
    <row r="973" spans="1:24">
      <c r="A973" s="615"/>
      <c r="B973" s="132"/>
      <c r="C973" s="123"/>
      <c r="D973" s="127"/>
      <c r="E973" s="74" t="s">
        <v>2601</v>
      </c>
      <c r="F973" s="75">
        <v>-24.7</v>
      </c>
      <c r="G973" s="123"/>
      <c r="H973" s="54"/>
      <c r="I973" s="123"/>
      <c r="J973" s="42"/>
      <c r="K973" s="20" t="s">
        <v>31</v>
      </c>
      <c r="L973" s="21" t="s">
        <v>32</v>
      </c>
      <c r="M973" s="21" t="s">
        <v>33</v>
      </c>
      <c r="N973" s="21" t="s">
        <v>34</v>
      </c>
      <c r="O973" s="21" t="s">
        <v>35</v>
      </c>
      <c r="P973" s="21" t="s">
        <v>36</v>
      </c>
      <c r="Q973" s="49" t="s">
        <v>37</v>
      </c>
      <c r="R973" s="50" t="s">
        <v>38</v>
      </c>
      <c r="S973" s="50" t="s">
        <v>38</v>
      </c>
      <c r="T973" s="123"/>
      <c r="U973" s="157"/>
      <c r="V973" s="123"/>
      <c r="W973" s="123"/>
      <c r="X973" s="123"/>
    </row>
    <row r="974" spans="1:24">
      <c r="A974" s="615"/>
      <c r="B974" s="132"/>
      <c r="C974" s="123"/>
      <c r="D974" s="127"/>
      <c r="E974" s="12"/>
      <c r="F974" s="160"/>
      <c r="G974" s="123"/>
      <c r="H974" s="54"/>
      <c r="I974" s="123"/>
      <c r="J974" s="42"/>
      <c r="K974" s="56">
        <v>0</v>
      </c>
      <c r="L974" s="57">
        <v>0</v>
      </c>
      <c r="M974" s="57">
        <f>F986+F987+F985+F988</f>
        <v>11577.7</v>
      </c>
      <c r="N974" s="57">
        <f>F989+F990</f>
        <v>9575</v>
      </c>
      <c r="O974" s="57">
        <f>F991</f>
        <v>1361</v>
      </c>
      <c r="P974" s="57">
        <f>SUM(K974:O974)</f>
        <v>22513.7</v>
      </c>
      <c r="Q974" s="58">
        <v>0</v>
      </c>
      <c r="R974" s="59">
        <v>0</v>
      </c>
      <c r="S974" s="59">
        <v>0</v>
      </c>
      <c r="T974" s="123"/>
      <c r="U974" s="157"/>
      <c r="V974" s="123"/>
      <c r="W974" s="123"/>
      <c r="X974" s="123"/>
    </row>
    <row r="975" spans="1:24">
      <c r="A975" s="615"/>
      <c r="B975" s="132"/>
      <c r="C975" s="123"/>
      <c r="D975" s="127"/>
      <c r="E975" s="12"/>
      <c r="F975" s="160"/>
      <c r="G975" s="123"/>
      <c r="H975" s="54"/>
      <c r="I975" s="123"/>
      <c r="J975" s="10" t="s">
        <v>42</v>
      </c>
      <c r="K975" s="63">
        <f t="shared" ref="K975:Q976" si="182">K967</f>
        <v>0</v>
      </c>
      <c r="L975" s="63">
        <f t="shared" si="182"/>
        <v>0</v>
      </c>
      <c r="M975" s="63">
        <f t="shared" si="182"/>
        <v>4</v>
      </c>
      <c r="N975" s="63">
        <f t="shared" si="182"/>
        <v>2</v>
      </c>
      <c r="O975" s="63">
        <f t="shared" si="182"/>
        <v>1</v>
      </c>
      <c r="P975" s="63">
        <f t="shared" si="182"/>
        <v>7</v>
      </c>
      <c r="Q975" s="63">
        <f t="shared" si="182"/>
        <v>0</v>
      </c>
      <c r="R975" s="63"/>
      <c r="S975" s="10"/>
      <c r="T975" s="123"/>
      <c r="U975" s="157"/>
      <c r="V975" s="123"/>
      <c r="W975" s="123"/>
      <c r="X975" s="123"/>
    </row>
    <row r="976" spans="1:24">
      <c r="A976" s="615"/>
      <c r="B976" s="132"/>
      <c r="C976" s="123"/>
      <c r="D976" s="127"/>
      <c r="E976" s="12"/>
      <c r="F976" s="160"/>
      <c r="G976" s="123"/>
      <c r="H976" s="54"/>
      <c r="I976" s="123"/>
      <c r="J976" s="10" t="s">
        <v>44</v>
      </c>
      <c r="K976" s="63">
        <f t="shared" si="182"/>
        <v>0</v>
      </c>
      <c r="L976" s="63">
        <f t="shared" si="182"/>
        <v>0</v>
      </c>
      <c r="M976" s="63">
        <f t="shared" si="182"/>
        <v>4</v>
      </c>
      <c r="N976" s="63">
        <f t="shared" si="182"/>
        <v>3</v>
      </c>
      <c r="O976" s="63">
        <f t="shared" si="182"/>
        <v>4</v>
      </c>
      <c r="P976" s="63">
        <f t="shared" si="182"/>
        <v>11</v>
      </c>
      <c r="Q976" s="63">
        <f t="shared" si="182"/>
        <v>0</v>
      </c>
      <c r="R976" s="63"/>
      <c r="S976" s="10"/>
      <c r="T976" s="123"/>
      <c r="U976" s="157"/>
      <c r="V976" s="123"/>
      <c r="W976" s="123"/>
      <c r="X976" s="123"/>
    </row>
    <row r="977" spans="1:24">
      <c r="A977" s="615"/>
      <c r="B977" s="132"/>
      <c r="C977" s="123"/>
      <c r="D977" s="127"/>
      <c r="E977" s="12"/>
      <c r="F977" s="160"/>
      <c r="G977" s="123"/>
      <c r="H977" s="54"/>
      <c r="I977" s="123"/>
      <c r="J977" s="10" t="s">
        <v>46</v>
      </c>
      <c r="K977" s="31" t="e">
        <f t="shared" ref="K977:Q977" si="183">K975/(K975+K976)</f>
        <v>#DIV/0!</v>
      </c>
      <c r="L977" s="31" t="e">
        <f t="shared" si="183"/>
        <v>#DIV/0!</v>
      </c>
      <c r="M977" s="31">
        <f t="shared" si="183"/>
        <v>0.5</v>
      </c>
      <c r="N977" s="31">
        <f t="shared" si="183"/>
        <v>0.4</v>
      </c>
      <c r="O977" s="31">
        <f t="shared" si="183"/>
        <v>0.2</v>
      </c>
      <c r="P977" s="31">
        <f t="shared" si="183"/>
        <v>0.3888888888888889</v>
      </c>
      <c r="Q977" s="31" t="e">
        <f t="shared" si="183"/>
        <v>#DIV/0!</v>
      </c>
      <c r="R977" s="63"/>
      <c r="S977" s="10"/>
      <c r="T977" s="123"/>
      <c r="U977" s="157"/>
      <c r="V977" s="123"/>
      <c r="W977" s="123"/>
      <c r="X977" s="123"/>
    </row>
    <row r="978" spans="1:24">
      <c r="A978" s="615"/>
      <c r="B978" s="132"/>
      <c r="C978" s="123"/>
      <c r="D978" s="127"/>
      <c r="E978" s="12"/>
      <c r="F978" s="160"/>
      <c r="G978" s="123"/>
      <c r="H978" s="54"/>
      <c r="I978" s="123"/>
      <c r="J978" s="10" t="s">
        <v>48</v>
      </c>
      <c r="K978" s="66" t="e">
        <f t="shared" ref="K978:Q978" si="184">K974/K975</f>
        <v>#DIV/0!</v>
      </c>
      <c r="L978" s="66" t="e">
        <f t="shared" si="184"/>
        <v>#DIV/0!</v>
      </c>
      <c r="M978" s="66">
        <f t="shared" si="184"/>
        <v>2894.4250000000002</v>
      </c>
      <c r="N978" s="66">
        <f t="shared" si="184"/>
        <v>4787.5</v>
      </c>
      <c r="O978" s="66">
        <f t="shared" si="184"/>
        <v>1361</v>
      </c>
      <c r="P978" s="66">
        <f t="shared" si="184"/>
        <v>3216.2428571428572</v>
      </c>
      <c r="Q978" s="66" t="e">
        <f t="shared" si="184"/>
        <v>#DIV/0!</v>
      </c>
      <c r="R978" s="63"/>
      <c r="S978" s="10"/>
      <c r="T978" s="123"/>
      <c r="U978" s="157"/>
      <c r="V978" s="123"/>
      <c r="W978" s="123"/>
      <c r="X978" s="123"/>
    </row>
    <row r="979" spans="1:24">
      <c r="A979" s="615"/>
      <c r="B979" s="132"/>
      <c r="C979" s="123"/>
      <c r="D979" s="127"/>
      <c r="E979" s="12"/>
      <c r="F979" s="160"/>
      <c r="G979" s="123"/>
      <c r="H979" s="54"/>
      <c r="I979" s="123"/>
      <c r="J979" s="123"/>
      <c r="K979" s="123"/>
      <c r="L979" s="123"/>
      <c r="M979" s="123"/>
      <c r="N979" s="123"/>
      <c r="O979" s="123"/>
      <c r="P979" s="123"/>
      <c r="Q979" s="123"/>
      <c r="R979" s="123"/>
      <c r="S979" s="123"/>
      <c r="T979" s="123"/>
      <c r="U979" s="157"/>
      <c r="V979" s="123"/>
      <c r="W979" s="123"/>
      <c r="X979" s="123"/>
    </row>
    <row r="980" spans="1:24">
      <c r="A980" s="614"/>
      <c r="B980" s="11"/>
      <c r="C980" s="10"/>
      <c r="D980" s="63"/>
      <c r="E980" s="12"/>
      <c r="F980" s="12"/>
      <c r="G980" s="10"/>
      <c r="H980" s="10"/>
      <c r="I980" s="10"/>
      <c r="J980" s="10"/>
      <c r="K980" s="10"/>
      <c r="L980" s="10"/>
      <c r="M980" s="10"/>
      <c r="N980" s="10"/>
      <c r="O980" s="10"/>
      <c r="P980" s="10"/>
      <c r="Q980" s="10"/>
      <c r="R980" s="10"/>
      <c r="S980" s="10"/>
      <c r="T980" s="10"/>
      <c r="U980" s="151"/>
      <c r="V980" s="77"/>
      <c r="W980" s="77"/>
      <c r="X980" s="77"/>
    </row>
    <row r="981" spans="1:24">
      <c r="A981" s="614"/>
      <c r="B981" s="11"/>
      <c r="C981" s="10"/>
      <c r="D981" s="63"/>
      <c r="E981" s="10"/>
      <c r="F981" s="10"/>
      <c r="G981" s="10"/>
      <c r="H981" s="10"/>
      <c r="I981" s="10"/>
      <c r="J981" s="10"/>
      <c r="K981" s="10"/>
      <c r="L981" s="10"/>
      <c r="M981" s="10"/>
      <c r="N981" s="10"/>
      <c r="O981" s="10"/>
      <c r="P981" s="10"/>
      <c r="Q981" s="10"/>
      <c r="R981" s="10"/>
      <c r="S981" s="10"/>
      <c r="T981" s="10"/>
      <c r="U981" s="151"/>
      <c r="V981" s="77"/>
      <c r="W981" s="77"/>
      <c r="X981" s="77"/>
    </row>
    <row r="982" spans="1:24">
      <c r="A982" s="614"/>
      <c r="B982" s="18" t="s">
        <v>51</v>
      </c>
      <c r="C982" s="14"/>
      <c r="D982" s="14"/>
      <c r="E982" s="14"/>
      <c r="F982" s="13" t="s">
        <v>52</v>
      </c>
      <c r="G982" s="14"/>
      <c r="H982" s="14"/>
      <c r="I982" s="14"/>
      <c r="J982" s="14"/>
      <c r="K982" s="13" t="s">
        <v>3</v>
      </c>
      <c r="L982" s="14"/>
      <c r="M982" s="14"/>
      <c r="N982" s="13" t="s">
        <v>4</v>
      </c>
      <c r="O982" s="14"/>
      <c r="P982" s="14"/>
      <c r="Q982" s="13" t="s">
        <v>5</v>
      </c>
      <c r="R982" s="14"/>
      <c r="S982" s="14"/>
      <c r="T982" s="18"/>
      <c r="U982" s="161" t="s">
        <v>53</v>
      </c>
      <c r="V982" s="77"/>
      <c r="W982" s="77"/>
      <c r="X982" s="77"/>
    </row>
    <row r="983" spans="1:24">
      <c r="A983" s="614"/>
      <c r="B983" s="24" t="s">
        <v>54</v>
      </c>
      <c r="C983" s="21" t="s">
        <v>55</v>
      </c>
      <c r="D983" s="21" t="s">
        <v>56</v>
      </c>
      <c r="E983" s="21" t="s">
        <v>57</v>
      </c>
      <c r="F983" s="20" t="s">
        <v>58</v>
      </c>
      <c r="G983" s="21" t="s">
        <v>59</v>
      </c>
      <c r="H983" s="21" t="s">
        <v>60</v>
      </c>
      <c r="I983" s="21" t="s">
        <v>26</v>
      </c>
      <c r="J983" s="22" t="s">
        <v>61</v>
      </c>
      <c r="K983" s="21" t="s">
        <v>8</v>
      </c>
      <c r="L983" s="21" t="s">
        <v>9</v>
      </c>
      <c r="M983" s="21" t="s">
        <v>10</v>
      </c>
      <c r="N983" s="20" t="s">
        <v>11</v>
      </c>
      <c r="O983" s="21" t="s">
        <v>12</v>
      </c>
      <c r="P983" s="22" t="s">
        <v>13</v>
      </c>
      <c r="Q983" s="21" t="s">
        <v>11</v>
      </c>
      <c r="R983" s="21" t="s">
        <v>12</v>
      </c>
      <c r="S983" s="21" t="s">
        <v>13</v>
      </c>
      <c r="T983" s="78" t="s">
        <v>14</v>
      </c>
      <c r="U983" s="162"/>
      <c r="V983" s="79" t="s">
        <v>62</v>
      </c>
      <c r="W983" s="80" t="s">
        <v>63</v>
      </c>
      <c r="X983" s="81" t="s">
        <v>64</v>
      </c>
    </row>
    <row r="984" spans="1:24">
      <c r="A984" s="614"/>
      <c r="B984" s="4" t="s">
        <v>65</v>
      </c>
      <c r="C984" s="6"/>
      <c r="D984" s="6"/>
      <c r="E984" s="6"/>
      <c r="F984" s="6"/>
      <c r="G984" s="6"/>
      <c r="H984" s="6"/>
      <c r="I984" s="82"/>
      <c r="J984" s="6"/>
      <c r="K984" s="6"/>
      <c r="L984" s="6"/>
      <c r="M984" s="6"/>
      <c r="N984" s="6"/>
      <c r="O984" s="6"/>
      <c r="P984" s="6"/>
      <c r="Q984" s="6"/>
      <c r="R984" s="6"/>
      <c r="S984" s="6"/>
      <c r="T984" s="83"/>
      <c r="U984" s="163"/>
      <c r="V984" s="84"/>
      <c r="W984" s="85"/>
      <c r="X984" s="86"/>
    </row>
    <row r="985" spans="1:24">
      <c r="A985" s="614"/>
      <c r="B985" s="87">
        <v>1</v>
      </c>
      <c r="C985" s="274">
        <v>45917</v>
      </c>
      <c r="D985" s="327">
        <v>73345</v>
      </c>
      <c r="E985" s="276" t="s">
        <v>1012</v>
      </c>
      <c r="F985" s="277">
        <v>2269.8000000000002</v>
      </c>
      <c r="G985" s="277">
        <f>39.7+(413.24)</f>
        <v>452.94</v>
      </c>
      <c r="H985" s="297"/>
      <c r="I985" s="278">
        <f>F985-G985-H985</f>
        <v>1816.8600000000001</v>
      </c>
      <c r="J985" s="279" t="s">
        <v>374</v>
      </c>
      <c r="K985" s="279">
        <v>1</v>
      </c>
      <c r="L985" s="279">
        <v>1</v>
      </c>
      <c r="M985" s="279">
        <v>1</v>
      </c>
      <c r="N985" s="279">
        <v>1</v>
      </c>
      <c r="O985" s="279">
        <v>1</v>
      </c>
      <c r="P985" s="279">
        <v>1</v>
      </c>
      <c r="Q985" s="279">
        <v>1</v>
      </c>
      <c r="R985" s="279">
        <v>1</v>
      </c>
      <c r="S985" s="280">
        <v>1</v>
      </c>
      <c r="T985" s="21">
        <v>1</v>
      </c>
      <c r="U985" s="94"/>
      <c r="V985" s="90">
        <v>2496.7800000000002</v>
      </c>
      <c r="W985" s="578"/>
      <c r="X985" s="579"/>
    </row>
    <row r="986" spans="1:24">
      <c r="A986" s="614"/>
      <c r="B986" s="87">
        <f>B985+1</f>
        <v>2</v>
      </c>
      <c r="C986" s="295">
        <v>45917</v>
      </c>
      <c r="D986" s="323">
        <v>73395</v>
      </c>
      <c r="E986" s="10" t="s">
        <v>1036</v>
      </c>
      <c r="F986" s="62">
        <v>1361</v>
      </c>
      <c r="G986" s="62">
        <f>39.7</f>
        <v>39.700000000000003</v>
      </c>
      <c r="H986" s="88"/>
      <c r="I986" s="89">
        <f>F986-G986-H986</f>
        <v>1321.3</v>
      </c>
      <c r="J986" s="63" t="s">
        <v>156</v>
      </c>
      <c r="K986" s="63">
        <v>1</v>
      </c>
      <c r="L986" s="63">
        <v>1</v>
      </c>
      <c r="M986" s="63">
        <v>1</v>
      </c>
      <c r="N986" s="63">
        <v>1</v>
      </c>
      <c r="O986" s="63">
        <v>1</v>
      </c>
      <c r="P986" s="63">
        <v>1</v>
      </c>
      <c r="Q986" s="63">
        <v>1</v>
      </c>
      <c r="R986" s="63">
        <v>1</v>
      </c>
      <c r="S986" s="296">
        <v>1</v>
      </c>
      <c r="T986" s="63"/>
      <c r="U986" s="94"/>
      <c r="V986" s="90">
        <v>1497.1</v>
      </c>
      <c r="W986" s="91"/>
      <c r="X986" s="92"/>
    </row>
    <row r="987" spans="1:24">
      <c r="A987" s="614"/>
      <c r="B987" s="87">
        <f t="shared" ref="B987:B991" si="185">B986+1</f>
        <v>3</v>
      </c>
      <c r="C987" s="295">
        <v>45917</v>
      </c>
      <c r="D987" s="323">
        <v>73396</v>
      </c>
      <c r="E987" s="10" t="s">
        <v>187</v>
      </c>
      <c r="F987" s="62">
        <v>2952.9</v>
      </c>
      <c r="G987" s="62">
        <f>39.7</f>
        <v>39.700000000000003</v>
      </c>
      <c r="H987" s="62"/>
      <c r="I987" s="89">
        <f t="shared" ref="I987:I991" si="186">F987-G987-H987</f>
        <v>2913.2000000000003</v>
      </c>
      <c r="J987" s="63" t="s">
        <v>156</v>
      </c>
      <c r="K987" s="63">
        <v>1</v>
      </c>
      <c r="L987" s="63">
        <v>1</v>
      </c>
      <c r="M987" s="63">
        <v>1</v>
      </c>
      <c r="N987" s="63">
        <v>1</v>
      </c>
      <c r="O987" s="63">
        <v>1</v>
      </c>
      <c r="P987" s="63">
        <v>1</v>
      </c>
      <c r="Q987" s="63">
        <v>1</v>
      </c>
      <c r="R987" s="63">
        <v>1</v>
      </c>
      <c r="S987" s="296">
        <v>1</v>
      </c>
      <c r="T987" s="63"/>
      <c r="U987" s="94"/>
      <c r="V987" s="90">
        <v>3248.19</v>
      </c>
      <c r="W987" s="91"/>
      <c r="X987" s="92"/>
    </row>
    <row r="988" spans="1:24">
      <c r="A988" s="704">
        <v>45918</v>
      </c>
      <c r="B988" s="87">
        <f>B987+1</f>
        <v>4</v>
      </c>
      <c r="C988" s="295">
        <v>45917</v>
      </c>
      <c r="D988" s="323">
        <v>73388</v>
      </c>
      <c r="E988" s="10" t="s">
        <v>1156</v>
      </c>
      <c r="F988" s="62">
        <v>4994</v>
      </c>
      <c r="G988" s="62">
        <f>39.7+(1564.15)+250</f>
        <v>1853.8500000000001</v>
      </c>
      <c r="H988" s="62"/>
      <c r="I988" s="324">
        <f>F988-G988-H988</f>
        <v>3140.1499999999996</v>
      </c>
      <c r="J988" s="63" t="s">
        <v>156</v>
      </c>
      <c r="K988" s="63">
        <v>1</v>
      </c>
      <c r="L988" s="63">
        <v>1</v>
      </c>
      <c r="M988" s="325">
        <v>0</v>
      </c>
      <c r="N988" s="63">
        <v>1</v>
      </c>
      <c r="O988" s="63">
        <v>1</v>
      </c>
      <c r="P988" s="63">
        <v>1</v>
      </c>
      <c r="Q988" s="325">
        <v>0</v>
      </c>
      <c r="R988" s="325">
        <v>0</v>
      </c>
      <c r="S988" s="326">
        <v>0</v>
      </c>
      <c r="T988" s="63"/>
      <c r="U988" s="94" t="s">
        <v>2602</v>
      </c>
      <c r="V988" s="90">
        <f>549+4944.4</f>
        <v>5493.4</v>
      </c>
      <c r="W988" s="91"/>
      <c r="X988" s="92"/>
    </row>
    <row r="989" spans="1:24">
      <c r="A989" s="704"/>
      <c r="B989" s="87">
        <f>B988+1</f>
        <v>5</v>
      </c>
      <c r="C989" s="274">
        <v>45918</v>
      </c>
      <c r="D989" s="327">
        <v>73406</v>
      </c>
      <c r="E989" s="281" t="s">
        <v>596</v>
      </c>
      <c r="F989" s="277">
        <f>1046-85</f>
        <v>961</v>
      </c>
      <c r="G989" s="277">
        <f>39.7</f>
        <v>39.700000000000003</v>
      </c>
      <c r="H989" s="277"/>
      <c r="I989" s="278">
        <f>F989-G989-H989</f>
        <v>921.3</v>
      </c>
      <c r="J989" s="279" t="s">
        <v>228</v>
      </c>
      <c r="K989" s="279">
        <v>1</v>
      </c>
      <c r="L989" s="279">
        <v>1</v>
      </c>
      <c r="M989" s="279">
        <v>1</v>
      </c>
      <c r="N989" s="279">
        <v>1</v>
      </c>
      <c r="O989" s="279">
        <v>1</v>
      </c>
      <c r="P989" s="279">
        <v>1</v>
      </c>
      <c r="Q989" s="279">
        <v>1</v>
      </c>
      <c r="R989" s="279">
        <v>1</v>
      </c>
      <c r="S989" s="280">
        <v>1</v>
      </c>
      <c r="T989" s="63"/>
      <c r="U989" s="94"/>
      <c r="V989" s="90">
        <f>93.5+1057.1</f>
        <v>1150.5999999999999</v>
      </c>
      <c r="W989" s="91"/>
      <c r="X989" s="92"/>
    </row>
    <row r="990" spans="1:24">
      <c r="A990" s="613">
        <v>45919</v>
      </c>
      <c r="B990" s="87">
        <f>B989+1</f>
        <v>6</v>
      </c>
      <c r="C990" s="295">
        <v>45918</v>
      </c>
      <c r="D990" s="323">
        <v>73434</v>
      </c>
      <c r="E990" s="10" t="s">
        <v>172</v>
      </c>
      <c r="F990" s="62">
        <f>8699-85</f>
        <v>8614</v>
      </c>
      <c r="G990" s="62">
        <f>39.7+750+(148.09+81.47)+750</f>
        <v>1769.26</v>
      </c>
      <c r="H990" s="62"/>
      <c r="I990" s="89">
        <f>F990-G990-H990</f>
        <v>6844.74</v>
      </c>
      <c r="J990" s="63" t="s">
        <v>156</v>
      </c>
      <c r="K990" s="63">
        <v>1</v>
      </c>
      <c r="L990" s="63">
        <v>1</v>
      </c>
      <c r="M990" s="63">
        <v>1</v>
      </c>
      <c r="N990" s="63">
        <v>1</v>
      </c>
      <c r="O990" s="63">
        <v>1</v>
      </c>
      <c r="P990" s="63">
        <v>1</v>
      </c>
      <c r="Q990" s="63">
        <v>1</v>
      </c>
      <c r="R990" s="63">
        <v>1</v>
      </c>
      <c r="S990" s="296">
        <v>1</v>
      </c>
      <c r="T990" s="21">
        <v>1</v>
      </c>
      <c r="U990" s="94" t="s">
        <v>2603</v>
      </c>
      <c r="V990" s="90">
        <f>93.5+947+8528.4</f>
        <v>9568.9</v>
      </c>
      <c r="W990" s="91"/>
      <c r="X990" s="92"/>
    </row>
    <row r="991" spans="1:24">
      <c r="A991" s="614"/>
      <c r="B991" s="87">
        <f t="shared" si="185"/>
        <v>7</v>
      </c>
      <c r="C991" s="262">
        <v>45919</v>
      </c>
      <c r="D991" s="263">
        <v>73471</v>
      </c>
      <c r="E991" s="309" t="s">
        <v>1678</v>
      </c>
      <c r="F991" s="265">
        <v>1361</v>
      </c>
      <c r="G991" s="265">
        <f>39.7</f>
        <v>39.700000000000003</v>
      </c>
      <c r="H991" s="265"/>
      <c r="I991" s="266">
        <f t="shared" si="186"/>
        <v>1321.3</v>
      </c>
      <c r="J991" s="267" t="s">
        <v>156</v>
      </c>
      <c r="K991" s="267">
        <v>1</v>
      </c>
      <c r="L991" s="267">
        <v>1</v>
      </c>
      <c r="M991" s="314">
        <v>0</v>
      </c>
      <c r="N991" s="267">
        <v>1</v>
      </c>
      <c r="O991" s="267">
        <v>1</v>
      </c>
      <c r="P991" s="267">
        <v>1</v>
      </c>
      <c r="Q991" s="267">
        <v>1</v>
      </c>
      <c r="R991" s="267">
        <v>1</v>
      </c>
      <c r="S991" s="269">
        <v>1</v>
      </c>
      <c r="T991" s="63"/>
      <c r="U991" s="94"/>
      <c r="V991" s="90">
        <v>1497.1</v>
      </c>
      <c r="W991" s="91"/>
      <c r="X991" s="92"/>
    </row>
    <row r="992" spans="1:24">
      <c r="A992" s="614"/>
      <c r="B992" s="87"/>
      <c r="C992" s="36"/>
      <c r="D992" s="10"/>
      <c r="E992" s="10"/>
      <c r="F992" s="98">
        <f>SUM(F985:F991)</f>
        <v>22513.7</v>
      </c>
      <c r="G992" s="98">
        <f>SUM(G985:G991)</f>
        <v>4234.8499999999995</v>
      </c>
      <c r="H992" s="98">
        <f>SUM(H985:H991)</f>
        <v>0</v>
      </c>
      <c r="I992" s="98">
        <f>SUM(I985:I991)</f>
        <v>18278.849999999999</v>
      </c>
      <c r="J992" s="63"/>
      <c r="K992" s="63">
        <f>COUNT(K985:K991)</f>
        <v>7</v>
      </c>
      <c r="L992" s="63">
        <f>COUNT(L985:L991)</f>
        <v>7</v>
      </c>
      <c r="M992" s="63">
        <f>COUNT(M985:M991)</f>
        <v>7</v>
      </c>
      <c r="N992" s="63">
        <f>COUNT(N985:N991)</f>
        <v>7</v>
      </c>
      <c r="O992" s="63">
        <f>COUNT(O985:O991)</f>
        <v>7</v>
      </c>
      <c r="P992" s="63">
        <f>COUNT(P985:P991)</f>
        <v>7</v>
      </c>
      <c r="Q992" s="63">
        <f>COUNT(Q985:Q991)</f>
        <v>7</v>
      </c>
      <c r="R992" s="63">
        <f>COUNT(R985:R991)</f>
        <v>7</v>
      </c>
      <c r="S992" s="63">
        <f>COUNT(S985:S991)</f>
        <v>7</v>
      </c>
      <c r="T992" s="63"/>
      <c r="U992" s="94"/>
      <c r="V992" s="90"/>
      <c r="W992" s="91"/>
      <c r="X992" s="92"/>
    </row>
    <row r="993" spans="1:24">
      <c r="A993" s="614"/>
      <c r="B993" s="87"/>
      <c r="C993" s="36"/>
      <c r="D993" s="10"/>
      <c r="E993" s="10"/>
      <c r="F993" s="88"/>
      <c r="G993" s="88"/>
      <c r="H993" s="88"/>
      <c r="I993" s="99"/>
      <c r="J993" s="63"/>
      <c r="K993" s="21">
        <f>SUM(K985:K991)</f>
        <v>7</v>
      </c>
      <c r="L993" s="21">
        <f>SUM(L985:L991)</f>
        <v>7</v>
      </c>
      <c r="M993" s="21">
        <f>SUM(M985:M991)</f>
        <v>5</v>
      </c>
      <c r="N993" s="21">
        <f>SUM(N985:N991)</f>
        <v>7</v>
      </c>
      <c r="O993" s="21">
        <f>SUM(O985:O991)</f>
        <v>7</v>
      </c>
      <c r="P993" s="21">
        <f>SUM(P985:P991)</f>
        <v>7</v>
      </c>
      <c r="Q993" s="21">
        <f>SUM(Q985:Q991)</f>
        <v>6</v>
      </c>
      <c r="R993" s="21">
        <f>SUM(R985:R991)</f>
        <v>6</v>
      </c>
      <c r="S993" s="21">
        <f>SUM(S985:S991)</f>
        <v>6</v>
      </c>
      <c r="T993" s="63"/>
      <c r="U993" s="94"/>
      <c r="V993" s="90"/>
      <c r="W993" s="91"/>
      <c r="X993" s="92"/>
    </row>
    <row r="994" spans="1:24">
      <c r="A994" s="614"/>
      <c r="B994" s="11"/>
      <c r="C994" s="609"/>
      <c r="D994" s="10"/>
      <c r="E994" s="10"/>
      <c r="F994" s="88"/>
      <c r="G994" s="88"/>
      <c r="H994" s="88"/>
      <c r="I994" s="99"/>
      <c r="J994" s="63"/>
      <c r="K994" s="21"/>
      <c r="L994" s="21"/>
      <c r="M994" s="21"/>
      <c r="N994" s="21"/>
      <c r="O994" s="21"/>
      <c r="P994" s="21"/>
      <c r="Q994" s="21"/>
      <c r="R994" s="21"/>
      <c r="S994" s="21"/>
      <c r="T994" s="63"/>
      <c r="U994" s="94"/>
      <c r="V994" s="90"/>
      <c r="W994" s="91"/>
      <c r="X994" s="92"/>
    </row>
    <row r="995" spans="1:24">
      <c r="A995" s="614"/>
      <c r="B995" s="100" t="s">
        <v>67</v>
      </c>
      <c r="C995" s="609"/>
      <c r="D995" s="10"/>
      <c r="E995" s="10"/>
      <c r="F995" s="88"/>
      <c r="G995" s="62"/>
      <c r="H995" s="88"/>
      <c r="I995" s="99"/>
      <c r="J995" s="63"/>
      <c r="K995" s="2"/>
      <c r="L995" s="2"/>
      <c r="M995" s="2"/>
      <c r="N995" s="2"/>
      <c r="O995" s="2"/>
      <c r="P995" s="2"/>
      <c r="Q995" s="2"/>
      <c r="R995" s="2"/>
      <c r="S995" s="2"/>
      <c r="T995" s="63"/>
      <c r="U995" s="94"/>
      <c r="V995" s="90"/>
      <c r="W995" s="91"/>
      <c r="X995" s="92"/>
    </row>
    <row r="996" spans="1:24" s="260" customFormat="1">
      <c r="A996" s="261" t="s">
        <v>2585</v>
      </c>
      <c r="B996" s="87">
        <v>1</v>
      </c>
      <c r="C996" s="274">
        <v>45909</v>
      </c>
      <c r="D996" s="327">
        <v>73115</v>
      </c>
      <c r="E996" s="276" t="s">
        <v>2080</v>
      </c>
      <c r="F996" s="277">
        <v>22614</v>
      </c>
      <c r="G996" s="277">
        <f>39.7+(21.24)+(219.34)+2000</f>
        <v>2280.2799999999997</v>
      </c>
      <c r="H996" s="277"/>
      <c r="I996" s="278">
        <f>F996-G996-H996</f>
        <v>20333.72</v>
      </c>
      <c r="J996" s="279" t="s">
        <v>156</v>
      </c>
      <c r="K996" s="279">
        <v>1</v>
      </c>
      <c r="L996" s="279">
        <v>1</v>
      </c>
      <c r="M996" s="279">
        <v>1</v>
      </c>
      <c r="N996" s="279">
        <v>1</v>
      </c>
      <c r="O996" s="279">
        <v>1</v>
      </c>
      <c r="P996" s="279">
        <v>1</v>
      </c>
      <c r="Q996" s="279">
        <v>1</v>
      </c>
      <c r="R996" s="279">
        <v>1</v>
      </c>
      <c r="S996" s="280">
        <v>1</v>
      </c>
      <c r="T996" s="63"/>
      <c r="U996" s="94" t="s">
        <v>2586</v>
      </c>
      <c r="V996" s="90">
        <f>7875.4</f>
        <v>7875.4</v>
      </c>
      <c r="W996" s="91"/>
      <c r="X996" s="92"/>
    </row>
    <row r="997" spans="1:24" s="260" customFormat="1">
      <c r="A997" s="261" t="s">
        <v>2585</v>
      </c>
      <c r="B997" s="87">
        <f>B996+1</f>
        <v>2</v>
      </c>
      <c r="C997" s="274">
        <v>45911</v>
      </c>
      <c r="D997" s="327" t="s">
        <v>2590</v>
      </c>
      <c r="E997" s="276" t="s">
        <v>1159</v>
      </c>
      <c r="F997" s="277">
        <v>1681</v>
      </c>
      <c r="G997" s="277">
        <f>39.7+398</f>
        <v>437.7</v>
      </c>
      <c r="H997" s="277"/>
      <c r="I997" s="321">
        <f>F997-G997-H997</f>
        <v>1243.3</v>
      </c>
      <c r="J997" s="279" t="s">
        <v>156</v>
      </c>
      <c r="K997" s="322">
        <v>0</v>
      </c>
      <c r="L997" s="279">
        <v>1</v>
      </c>
      <c r="M997" s="279">
        <v>1</v>
      </c>
      <c r="N997" s="279">
        <v>1</v>
      </c>
      <c r="O997" s="279">
        <v>1</v>
      </c>
      <c r="P997" s="279">
        <v>1</v>
      </c>
      <c r="Q997" s="322">
        <v>0</v>
      </c>
      <c r="R997" s="322">
        <v>0</v>
      </c>
      <c r="S997" s="328">
        <v>0</v>
      </c>
      <c r="T997" s="63"/>
      <c r="U997" s="94" t="s">
        <v>2591</v>
      </c>
      <c r="V997" s="90">
        <f>1665.1</f>
        <v>1665.1</v>
      </c>
      <c r="W997" s="136"/>
      <c r="X997" s="137"/>
    </row>
    <row r="998" spans="1:24" s="260" customFormat="1">
      <c r="A998" s="261" t="s">
        <v>2585</v>
      </c>
      <c r="B998" s="87">
        <f t="shared" ref="B998:B999" si="187">B997+1</f>
        <v>3</v>
      </c>
      <c r="C998" s="262">
        <v>45912</v>
      </c>
      <c r="D998" s="263">
        <v>73265</v>
      </c>
      <c r="E998" s="271" t="s">
        <v>294</v>
      </c>
      <c r="F998" s="265">
        <v>7814</v>
      </c>
      <c r="G998" s="265">
        <f>39.7+102+454.3+(1280.04)</f>
        <v>1876.04</v>
      </c>
      <c r="H998" s="265"/>
      <c r="I998" s="272">
        <f>F998-G998-H998</f>
        <v>5937.96</v>
      </c>
      <c r="J998" s="267" t="s">
        <v>156</v>
      </c>
      <c r="K998" s="267">
        <v>1</v>
      </c>
      <c r="L998" s="267">
        <v>1</v>
      </c>
      <c r="M998" s="267">
        <v>1</v>
      </c>
      <c r="N998" s="267">
        <v>1</v>
      </c>
      <c r="O998" s="267">
        <v>1</v>
      </c>
      <c r="P998" s="267">
        <v>1</v>
      </c>
      <c r="Q998" s="267">
        <v>1</v>
      </c>
      <c r="R998" s="267">
        <v>1</v>
      </c>
      <c r="S998" s="269">
        <v>1</v>
      </c>
      <c r="T998" s="63"/>
      <c r="U998" s="94" t="s">
        <v>2594</v>
      </c>
      <c r="V998" s="90">
        <f>859+7736.4</f>
        <v>8595.4</v>
      </c>
      <c r="W998" s="136"/>
      <c r="X998" s="137"/>
    </row>
    <row r="999" spans="1:24">
      <c r="A999" s="261" t="s">
        <v>2604</v>
      </c>
      <c r="B999" s="87">
        <f t="shared" si="187"/>
        <v>4</v>
      </c>
      <c r="C999" s="282">
        <v>45909</v>
      </c>
      <c r="D999" s="368">
        <v>73126</v>
      </c>
      <c r="E999" s="319" t="s">
        <v>780</v>
      </c>
      <c r="F999" s="284">
        <v>612.9</v>
      </c>
      <c r="G999" s="284"/>
      <c r="H999" s="284"/>
      <c r="I999" s="300">
        <f t="shared" ref="I999" si="188">F999-G999-H999</f>
        <v>612.9</v>
      </c>
      <c r="J999" s="286" t="s">
        <v>374</v>
      </c>
      <c r="K999" s="286">
        <v>1</v>
      </c>
      <c r="L999" s="286">
        <v>1</v>
      </c>
      <c r="M999" s="286">
        <v>1</v>
      </c>
      <c r="N999" s="286">
        <v>1</v>
      </c>
      <c r="O999" s="332">
        <v>0</v>
      </c>
      <c r="P999" s="286">
        <v>1</v>
      </c>
      <c r="Q999" s="286">
        <v>1</v>
      </c>
      <c r="R999" s="332">
        <v>0</v>
      </c>
      <c r="S999" s="287">
        <v>1</v>
      </c>
      <c r="T999" s="63"/>
      <c r="U999" s="94" t="s">
        <v>2587</v>
      </c>
      <c r="V999" s="90">
        <f>674.19</f>
        <v>674.19</v>
      </c>
      <c r="W999" s="91"/>
      <c r="X999" s="92"/>
    </row>
    <row r="1000" spans="1:24">
      <c r="A1000" s="614"/>
      <c r="B1000" s="11"/>
      <c r="C1000" s="609"/>
      <c r="D1000" s="10"/>
      <c r="E1000" s="10"/>
      <c r="F1000" s="97">
        <f>SUM(F996:F999)</f>
        <v>32721.9</v>
      </c>
      <c r="G1000" s="97">
        <f>SUM(G996:G999)</f>
        <v>4594.0199999999995</v>
      </c>
      <c r="H1000" s="97">
        <f>SUM(H996:H999)</f>
        <v>0</v>
      </c>
      <c r="I1000" s="98">
        <f>SUM(I996:I999)</f>
        <v>28127.88</v>
      </c>
      <c r="J1000" s="63"/>
      <c r="K1000" s="21"/>
      <c r="L1000" s="21"/>
      <c r="M1000" s="21"/>
      <c r="N1000" s="21"/>
      <c r="O1000" s="21"/>
      <c r="P1000" s="21"/>
      <c r="Q1000" s="21"/>
      <c r="R1000" s="21"/>
      <c r="S1000" s="21"/>
      <c r="T1000" s="63"/>
      <c r="U1000" s="94"/>
      <c r="V1000" s="90"/>
      <c r="W1000" s="91"/>
      <c r="X1000" s="92"/>
    </row>
    <row r="1001" spans="1:24">
      <c r="A1001" s="614"/>
      <c r="B1001" s="11"/>
      <c r="C1001" s="609"/>
      <c r="D1001" s="10"/>
      <c r="E1001" s="10"/>
      <c r="F1001" s="88"/>
      <c r="G1001" s="88"/>
      <c r="H1001" s="88"/>
      <c r="I1001" s="99"/>
      <c r="J1001" s="63"/>
      <c r="K1001" s="21"/>
      <c r="L1001" s="21"/>
      <c r="M1001" s="21"/>
      <c r="N1001" s="21"/>
      <c r="O1001" s="21"/>
      <c r="P1001" s="21"/>
      <c r="Q1001" s="21"/>
      <c r="R1001" s="21"/>
      <c r="S1001" s="21"/>
      <c r="T1001" s="63"/>
      <c r="U1001" s="94"/>
      <c r="V1001" s="90"/>
      <c r="W1001" s="91"/>
      <c r="X1001" s="92"/>
    </row>
    <row r="1002" spans="1:24" s="260" customFormat="1">
      <c r="B1002" s="100" t="s">
        <v>152</v>
      </c>
      <c r="C1002" s="270"/>
      <c r="D1002" s="10"/>
      <c r="E1002" s="101"/>
      <c r="F1002" s="88"/>
      <c r="G1002" s="62"/>
      <c r="H1002" s="88"/>
      <c r="I1002" s="99"/>
      <c r="J1002" s="63"/>
      <c r="K1002" s="181"/>
      <c r="L1002" s="181"/>
      <c r="M1002" s="181"/>
      <c r="N1002" s="181"/>
      <c r="O1002" s="181"/>
      <c r="P1002" s="181"/>
      <c r="Q1002" s="181"/>
      <c r="R1002" s="181"/>
      <c r="S1002" s="181"/>
      <c r="T1002" s="63"/>
      <c r="U1002" s="10"/>
      <c r="V1002" s="90"/>
      <c r="W1002" s="91"/>
      <c r="X1002" s="92"/>
    </row>
    <row r="1003" spans="1:24" s="260" customFormat="1">
      <c r="A1003" s="261">
        <v>0.05</v>
      </c>
      <c r="B1003" s="87">
        <v>1</v>
      </c>
      <c r="C1003" s="262">
        <v>45790</v>
      </c>
      <c r="D1003" s="357" t="s">
        <v>2339</v>
      </c>
      <c r="E1003" s="271" t="s">
        <v>225</v>
      </c>
      <c r="F1003" s="265">
        <v>8614</v>
      </c>
      <c r="G1003" s="265">
        <f>39.7+(143.54)+(86.25+50.9-26.76)+750</f>
        <v>1043.6300000000001</v>
      </c>
      <c r="H1003" s="265"/>
      <c r="I1003" s="272">
        <f>F1003-G1003-H1003</f>
        <v>7570.37</v>
      </c>
      <c r="J1003" s="267"/>
      <c r="K1003" s="267">
        <v>1</v>
      </c>
      <c r="L1003" s="267"/>
      <c r="M1003" s="267"/>
      <c r="N1003" s="267">
        <v>1</v>
      </c>
      <c r="O1003" s="267">
        <v>1</v>
      </c>
      <c r="P1003" s="267">
        <v>1</v>
      </c>
      <c r="Q1003" s="267"/>
      <c r="R1003" s="267"/>
      <c r="S1003" s="269"/>
      <c r="T1003" s="63"/>
      <c r="U1003" s="10" t="s">
        <v>2340</v>
      </c>
      <c r="V1003" s="90"/>
      <c r="W1003" s="136"/>
      <c r="X1003" s="137"/>
    </row>
    <row r="1004" spans="1:24" s="260" customFormat="1">
      <c r="A1004" s="261">
        <v>0.05</v>
      </c>
      <c r="B1004" s="87">
        <f>B1003+1</f>
        <v>2</v>
      </c>
      <c r="C1004" s="295">
        <v>45880</v>
      </c>
      <c r="D1004" s="346" t="s">
        <v>2475</v>
      </c>
      <c r="E1004" s="101" t="s">
        <v>294</v>
      </c>
      <c r="F1004" s="62">
        <v>1542</v>
      </c>
      <c r="G1004" s="62">
        <f>39.7</f>
        <v>39.700000000000003</v>
      </c>
      <c r="H1004" s="62"/>
      <c r="I1004" s="89">
        <f t="shared" ref="I1004" si="189">F1004-G1004-H1004</f>
        <v>1502.3</v>
      </c>
      <c r="J1004" s="63" t="s">
        <v>156</v>
      </c>
      <c r="K1004" s="63">
        <v>1</v>
      </c>
      <c r="L1004" s="325">
        <v>0</v>
      </c>
      <c r="M1004" s="63">
        <v>1</v>
      </c>
      <c r="N1004" s="63">
        <v>1</v>
      </c>
      <c r="O1004" s="63">
        <v>1</v>
      </c>
      <c r="P1004" s="63">
        <v>1</v>
      </c>
      <c r="Q1004" s="63">
        <v>1</v>
      </c>
      <c r="R1004" s="63">
        <v>1</v>
      </c>
      <c r="S1004" s="296">
        <v>1</v>
      </c>
      <c r="T1004" s="63"/>
      <c r="U1004" s="10" t="s">
        <v>2476</v>
      </c>
      <c r="V1004" s="90"/>
      <c r="W1004" s="91"/>
      <c r="X1004" s="92"/>
    </row>
    <row r="1005" spans="1:24" s="342" customFormat="1">
      <c r="A1005" s="261">
        <v>0.05</v>
      </c>
      <c r="B1005" s="87">
        <f t="shared" ref="B1005:B1006" si="190">B1004+1</f>
        <v>3</v>
      </c>
      <c r="C1005" s="262">
        <v>45894</v>
      </c>
      <c r="D1005" s="263" t="s">
        <v>2540</v>
      </c>
      <c r="E1005" s="264" t="s">
        <v>780</v>
      </c>
      <c r="F1005" s="265">
        <v>15421.5</v>
      </c>
      <c r="G1005" s="265">
        <f>39.7+596.8+52.8+(47.03+38.86+165.2+49.48)+(216.39)+1500</f>
        <v>2706.2599999999998</v>
      </c>
      <c r="H1005" s="265"/>
      <c r="I1005" s="272">
        <f>F1005-G1005-H1005</f>
        <v>12715.24</v>
      </c>
      <c r="J1005" s="267" t="s">
        <v>156</v>
      </c>
      <c r="K1005" s="267">
        <v>1</v>
      </c>
      <c r="L1005" s="267">
        <v>1</v>
      </c>
      <c r="M1005" s="267">
        <v>1</v>
      </c>
      <c r="N1005" s="267">
        <v>1</v>
      </c>
      <c r="O1005" s="267">
        <v>1</v>
      </c>
      <c r="P1005" s="267">
        <v>1</v>
      </c>
      <c r="Q1005" s="267">
        <v>1</v>
      </c>
      <c r="R1005" s="267">
        <v>1</v>
      </c>
      <c r="S1005" s="269">
        <v>1</v>
      </c>
      <c r="T1005" s="63"/>
      <c r="U1005" s="10" t="s">
        <v>2541</v>
      </c>
      <c r="V1005" s="90"/>
      <c r="W1005" s="91"/>
      <c r="X1005" s="92"/>
    </row>
    <row r="1006" spans="1:24" s="260" customFormat="1">
      <c r="A1006" s="261" t="s">
        <v>2588</v>
      </c>
      <c r="B1006" s="87">
        <f t="shared" si="190"/>
        <v>4</v>
      </c>
      <c r="C1006" s="282">
        <v>45911</v>
      </c>
      <c r="D1006" s="368">
        <v>73228</v>
      </c>
      <c r="E1006" s="319" t="s">
        <v>1037</v>
      </c>
      <c r="F1006" s="284">
        <v>4914.8999999999996</v>
      </c>
      <c r="G1006" s="284">
        <f>39.7</f>
        <v>39.700000000000003</v>
      </c>
      <c r="H1006" s="284"/>
      <c r="I1006" s="285">
        <f>F1006-G1006-H1006</f>
        <v>4875.2</v>
      </c>
      <c r="J1006" s="286" t="s">
        <v>156</v>
      </c>
      <c r="K1006" s="286">
        <v>1</v>
      </c>
      <c r="L1006" s="286">
        <v>1</v>
      </c>
      <c r="M1006" s="286">
        <v>1</v>
      </c>
      <c r="N1006" s="286">
        <v>1</v>
      </c>
      <c r="O1006" s="286">
        <v>1</v>
      </c>
      <c r="P1006" s="286">
        <v>1</v>
      </c>
      <c r="Q1006" s="286">
        <v>1</v>
      </c>
      <c r="R1006" s="286">
        <v>1</v>
      </c>
      <c r="S1006" s="287">
        <v>1</v>
      </c>
      <c r="T1006" s="21"/>
      <c r="U1006" s="94" t="s">
        <v>2589</v>
      </c>
      <c r="V1006" s="90"/>
      <c r="W1006" s="91"/>
      <c r="X1006" s="92"/>
    </row>
    <row r="1007" spans="1:24" s="260" customFormat="1">
      <c r="B1007" s="11"/>
      <c r="C1007" s="270"/>
      <c r="D1007" s="10"/>
      <c r="E1007" s="10"/>
      <c r="F1007" s="97">
        <f>SUM(F1003:F1005)</f>
        <v>25577.5</v>
      </c>
      <c r="G1007" s="97">
        <f>SUM(G1003:G1005)</f>
        <v>3789.59</v>
      </c>
      <c r="H1007" s="97">
        <f>SUM(H1003:H1005)</f>
        <v>0</v>
      </c>
      <c r="I1007" s="97">
        <f>SUM(I1003:I1005)</f>
        <v>21787.91</v>
      </c>
      <c r="J1007" s="63"/>
      <c r="K1007" s="21"/>
      <c r="L1007" s="21"/>
      <c r="M1007" s="21"/>
      <c r="N1007" s="21"/>
      <c r="O1007" s="21"/>
      <c r="P1007" s="21"/>
      <c r="Q1007" s="21"/>
      <c r="R1007" s="21"/>
      <c r="S1007" s="21"/>
      <c r="T1007" s="63"/>
      <c r="U1007" s="10"/>
      <c r="V1007" s="90"/>
      <c r="W1007" s="91"/>
      <c r="X1007" s="92"/>
    </row>
    <row r="1008" spans="1:24" s="260" customFormat="1">
      <c r="B1008" s="11"/>
      <c r="C1008" s="270"/>
      <c r="D1008" s="10"/>
      <c r="E1008" s="10"/>
      <c r="F1008" s="88"/>
      <c r="G1008" s="88"/>
      <c r="H1008" s="88"/>
      <c r="I1008" s="99"/>
      <c r="J1008" s="63"/>
      <c r="K1008" s="21"/>
      <c r="L1008" s="21"/>
      <c r="M1008" s="21"/>
      <c r="N1008" s="21"/>
      <c r="O1008" s="21"/>
      <c r="P1008" s="21"/>
      <c r="Q1008" s="21"/>
      <c r="R1008" s="21"/>
      <c r="S1008" s="21"/>
      <c r="T1008" s="63"/>
      <c r="U1008" s="10"/>
      <c r="V1008" s="90"/>
      <c r="W1008" s="91"/>
      <c r="X1008" s="92"/>
    </row>
    <row r="1009" spans="1:24" s="260" customFormat="1">
      <c r="B1009" s="100" t="s">
        <v>202</v>
      </c>
      <c r="C1009" s="270"/>
      <c r="D1009" s="10"/>
      <c r="E1009" s="181"/>
      <c r="F1009" s="88"/>
      <c r="G1009" s="88"/>
      <c r="H1009" s="88"/>
      <c r="I1009" s="99"/>
      <c r="J1009" s="63"/>
      <c r="K1009" s="21"/>
      <c r="L1009" s="21"/>
      <c r="M1009" s="21"/>
      <c r="N1009" s="21"/>
      <c r="O1009" s="21"/>
      <c r="P1009" s="21"/>
      <c r="Q1009" s="21"/>
      <c r="R1009" s="21"/>
      <c r="S1009" s="21"/>
      <c r="T1009" s="63"/>
      <c r="U1009" s="10"/>
      <c r="V1009" s="90"/>
      <c r="W1009" s="91"/>
      <c r="X1009" s="92"/>
    </row>
    <row r="1010" spans="1:24" s="260" customFormat="1">
      <c r="A1010" s="261">
        <v>0.05</v>
      </c>
      <c r="B1010" s="87">
        <v>1</v>
      </c>
      <c r="C1010" s="274">
        <v>45863</v>
      </c>
      <c r="D1010" s="327" t="s">
        <v>2406</v>
      </c>
      <c r="E1010" s="276" t="s">
        <v>2398</v>
      </c>
      <c r="F1010" s="277">
        <v>14218</v>
      </c>
      <c r="G1010" s="277">
        <f>39.7+487.5+(78.82+18.7+38.9+17.61+45.74)+(21.28)+1000</f>
        <v>1748.25</v>
      </c>
      <c r="H1010" s="277"/>
      <c r="I1010" s="278">
        <f>F1010-G1010-H1010</f>
        <v>12469.75</v>
      </c>
      <c r="J1010" s="279" t="s">
        <v>156</v>
      </c>
      <c r="K1010" s="279">
        <v>1</v>
      </c>
      <c r="L1010" s="279"/>
      <c r="M1010" s="279">
        <v>1</v>
      </c>
      <c r="N1010" s="279">
        <v>1</v>
      </c>
      <c r="O1010" s="279">
        <v>1</v>
      </c>
      <c r="P1010" s="279">
        <v>1</v>
      </c>
      <c r="Q1010" s="279"/>
      <c r="R1010" s="279"/>
      <c r="S1010" s="280"/>
      <c r="T1010" s="63"/>
      <c r="U1010" s="94" t="s">
        <v>2407</v>
      </c>
      <c r="V1010" s="90"/>
      <c r="W1010" s="136"/>
      <c r="X1010" s="137"/>
    </row>
    <row r="1011" spans="1:24" s="260" customFormat="1">
      <c r="A1011" s="261">
        <v>0.1</v>
      </c>
      <c r="B1011" s="87">
        <f>B1010+1</f>
        <v>2</v>
      </c>
      <c r="C1011" s="262">
        <v>45911</v>
      </c>
      <c r="D1011" s="263" t="s">
        <v>2592</v>
      </c>
      <c r="E1011" s="271" t="s">
        <v>2080</v>
      </c>
      <c r="F1011" s="265">
        <v>16434.900000000001</v>
      </c>
      <c r="G1011" s="265">
        <f>+(217.8)+(255.51)+1500</f>
        <v>1973.31</v>
      </c>
      <c r="H1011" s="265"/>
      <c r="I1011" s="272">
        <f>F1011-G1011-H1011</f>
        <v>14461.590000000002</v>
      </c>
      <c r="J1011" s="267" t="s">
        <v>156</v>
      </c>
      <c r="K1011" s="267">
        <v>1</v>
      </c>
      <c r="L1011" s="267"/>
      <c r="M1011" s="267">
        <v>1</v>
      </c>
      <c r="N1011" s="267">
        <v>1</v>
      </c>
      <c r="O1011" s="267">
        <v>1</v>
      </c>
      <c r="P1011" s="267">
        <v>1</v>
      </c>
      <c r="Q1011" s="267"/>
      <c r="R1011" s="267"/>
      <c r="S1011" s="269"/>
      <c r="T1011" s="63"/>
      <c r="U1011" s="94" t="s">
        <v>2605</v>
      </c>
      <c r="V1011" s="90">
        <f>3000+2000</f>
        <v>5000</v>
      </c>
      <c r="W1011" s="136"/>
      <c r="X1011" s="137"/>
    </row>
    <row r="1012" spans="1:24" s="260" customFormat="1">
      <c r="A1012" s="260" t="s">
        <v>2347</v>
      </c>
      <c r="B1012" s="11"/>
      <c r="C1012" s="270"/>
      <c r="D1012" s="10"/>
      <c r="E1012" s="10"/>
      <c r="F1012" s="97">
        <f>SUM(F1010:F1010)</f>
        <v>14218</v>
      </c>
      <c r="G1012" s="97">
        <f>SUM(G1010:G1010)</f>
        <v>1748.25</v>
      </c>
      <c r="H1012" s="97">
        <f>SUM(H1010:H1010)</f>
        <v>0</v>
      </c>
      <c r="I1012" s="97">
        <f>SUM(I1010:I1010)</f>
        <v>12469.75</v>
      </c>
      <c r="J1012" s="63"/>
      <c r="K1012" s="21"/>
      <c r="L1012" s="21"/>
      <c r="M1012" s="21"/>
      <c r="N1012" s="21"/>
      <c r="O1012" s="21"/>
      <c r="P1012" s="21"/>
      <c r="Q1012" s="21"/>
      <c r="R1012" s="21"/>
      <c r="S1012" s="21"/>
      <c r="T1012" s="63"/>
      <c r="V1012" s="90"/>
      <c r="W1012" s="91"/>
      <c r="X1012" s="92"/>
    </row>
    <row r="1013" spans="1:24" s="260" customFormat="1">
      <c r="B1013" s="11"/>
      <c r="C1013" s="270"/>
      <c r="D1013" s="10"/>
      <c r="E1013" s="10"/>
      <c r="F1013" s="88"/>
      <c r="G1013" s="88"/>
      <c r="H1013" s="88"/>
      <c r="I1013" s="88"/>
      <c r="J1013" s="63"/>
      <c r="K1013" s="21"/>
      <c r="L1013" s="21"/>
      <c r="M1013" s="21"/>
      <c r="N1013" s="21"/>
      <c r="O1013" s="21"/>
      <c r="P1013" s="21"/>
      <c r="Q1013" s="21"/>
      <c r="R1013" s="21"/>
      <c r="S1013" s="21"/>
      <c r="T1013" s="63"/>
      <c r="U1013" s="10"/>
      <c r="V1013" s="90"/>
      <c r="W1013" s="91"/>
      <c r="X1013" s="92"/>
    </row>
    <row r="1014" spans="1:24">
      <c r="A1014" s="614"/>
      <c r="B1014" s="100" t="s">
        <v>72</v>
      </c>
      <c r="C1014" s="609"/>
      <c r="D1014" s="10"/>
      <c r="E1014" s="10"/>
      <c r="F1014" s="88"/>
      <c r="G1014" s="88"/>
      <c r="H1014" s="88"/>
      <c r="I1014" s="99"/>
      <c r="J1014" s="63"/>
      <c r="K1014" s="63"/>
      <c r="L1014" s="63"/>
      <c r="M1014" s="63"/>
      <c r="N1014" s="63"/>
      <c r="O1014" s="63"/>
      <c r="P1014" s="63"/>
      <c r="Q1014" s="63"/>
      <c r="R1014" s="63"/>
      <c r="S1014" s="63"/>
      <c r="T1014" s="63"/>
      <c r="U1014" s="94"/>
      <c r="V1014" s="90"/>
      <c r="W1014" s="91"/>
      <c r="X1014" s="92"/>
    </row>
    <row r="1015" spans="1:24">
      <c r="A1015" s="614"/>
      <c r="B1015" s="87">
        <v>1</v>
      </c>
      <c r="C1015" s="274">
        <v>45917</v>
      </c>
      <c r="D1015" s="276">
        <v>73198</v>
      </c>
      <c r="E1015" s="276" t="s">
        <v>162</v>
      </c>
      <c r="F1015" s="277">
        <v>14562.9</v>
      </c>
      <c r="G1015" s="277">
        <v>39.700000000000003</v>
      </c>
      <c r="H1015" s="277"/>
      <c r="I1015" s="278">
        <f>F1015-G1015-H1015</f>
        <v>14523.199999999999</v>
      </c>
      <c r="J1015" s="279" t="s">
        <v>205</v>
      </c>
      <c r="K1015" s="279">
        <v>1</v>
      </c>
      <c r="L1015" s="279"/>
      <c r="M1015" s="279"/>
      <c r="N1015" s="279">
        <v>1</v>
      </c>
      <c r="O1015" s="279"/>
      <c r="P1015" s="279"/>
      <c r="Q1015" s="279"/>
      <c r="R1015" s="279"/>
      <c r="S1015" s="280"/>
      <c r="T1015" s="63"/>
      <c r="U1015" s="164"/>
      <c r="V1015" s="90"/>
      <c r="W1015" s="91"/>
      <c r="X1015" s="92"/>
    </row>
    <row r="1016" spans="1:24">
      <c r="A1016" s="614"/>
      <c r="B1016" s="87">
        <f>B1015+1</f>
        <v>2</v>
      </c>
      <c r="C1016" s="295">
        <v>45917</v>
      </c>
      <c r="D1016" s="10">
        <v>73354</v>
      </c>
      <c r="E1016" s="10" t="s">
        <v>2073</v>
      </c>
      <c r="F1016" s="62">
        <v>0</v>
      </c>
      <c r="G1016" s="62">
        <v>0</v>
      </c>
      <c r="H1016" s="62"/>
      <c r="I1016" s="89">
        <f t="shared" ref="I1016:I1025" si="191">F1016-G1016-H1016</f>
        <v>0</v>
      </c>
      <c r="J1016" s="63" t="s">
        <v>810</v>
      </c>
      <c r="K1016" s="63"/>
      <c r="L1016" s="63"/>
      <c r="M1016" s="63"/>
      <c r="N1016" s="63"/>
      <c r="O1016" s="63"/>
      <c r="P1016" s="63"/>
      <c r="Q1016" s="63"/>
      <c r="R1016" s="63"/>
      <c r="S1016" s="296"/>
      <c r="T1016" s="63"/>
      <c r="U1016" s="94"/>
      <c r="V1016" s="90"/>
      <c r="W1016" s="136"/>
      <c r="X1016" s="137"/>
    </row>
    <row r="1017" spans="1:24">
      <c r="A1017" s="614"/>
      <c r="B1017" s="87">
        <f t="shared" ref="B1017:B1025" si="192">B1016+1</f>
        <v>3</v>
      </c>
      <c r="C1017" s="295">
        <v>45917</v>
      </c>
      <c r="D1017" s="10">
        <v>73373</v>
      </c>
      <c r="E1017" s="10" t="s">
        <v>1012</v>
      </c>
      <c r="F1017" s="62">
        <v>6814</v>
      </c>
      <c r="G1017" s="62">
        <v>39.700000000000003</v>
      </c>
      <c r="H1017" s="62"/>
      <c r="I1017" s="89">
        <f t="shared" si="191"/>
        <v>6774.3</v>
      </c>
      <c r="J1017" s="63" t="s">
        <v>205</v>
      </c>
      <c r="K1017" s="63">
        <v>1</v>
      </c>
      <c r="L1017" s="63"/>
      <c r="M1017" s="63"/>
      <c r="N1017" s="63">
        <v>1</v>
      </c>
      <c r="O1017" s="63"/>
      <c r="P1017" s="63"/>
      <c r="Q1017" s="63">
        <v>1</v>
      </c>
      <c r="R1017" s="63">
        <v>1</v>
      </c>
      <c r="S1017" s="296">
        <v>1</v>
      </c>
      <c r="T1017" s="63"/>
      <c r="U1017" s="94"/>
      <c r="V1017" s="90"/>
      <c r="W1017" s="136"/>
      <c r="X1017" s="137"/>
    </row>
    <row r="1018" spans="1:24">
      <c r="A1018" s="614"/>
      <c r="B1018" s="87">
        <f t="shared" si="192"/>
        <v>4</v>
      </c>
      <c r="C1018" s="295">
        <v>45917</v>
      </c>
      <c r="D1018" s="10">
        <v>73380</v>
      </c>
      <c r="E1018" s="10" t="s">
        <v>2606</v>
      </c>
      <c r="F1018" s="62">
        <v>0</v>
      </c>
      <c r="G1018" s="62">
        <v>0</v>
      </c>
      <c r="H1018" s="62"/>
      <c r="I1018" s="89">
        <f t="shared" si="191"/>
        <v>0</v>
      </c>
      <c r="J1018" s="63" t="s">
        <v>205</v>
      </c>
      <c r="K1018" s="63"/>
      <c r="L1018" s="63"/>
      <c r="M1018" s="63"/>
      <c r="N1018" s="63"/>
      <c r="O1018" s="63"/>
      <c r="P1018" s="63"/>
      <c r="Q1018" s="63">
        <v>1</v>
      </c>
      <c r="R1018" s="63">
        <v>1</v>
      </c>
      <c r="S1018" s="296">
        <v>1</v>
      </c>
      <c r="T1018" s="63"/>
      <c r="U1018" s="94"/>
      <c r="V1018" s="90"/>
      <c r="W1018" s="136"/>
      <c r="X1018" s="137"/>
    </row>
    <row r="1019" spans="1:24">
      <c r="A1019" s="614"/>
      <c r="B1019" s="87">
        <f t="shared" si="192"/>
        <v>5</v>
      </c>
      <c r="C1019" s="274">
        <v>45918</v>
      </c>
      <c r="D1019" s="276">
        <v>73422</v>
      </c>
      <c r="E1019" s="276" t="s">
        <v>1173</v>
      </c>
      <c r="F1019" s="277">
        <v>0</v>
      </c>
      <c r="G1019" s="277">
        <v>0</v>
      </c>
      <c r="H1019" s="277"/>
      <c r="I1019" s="278">
        <f t="shared" si="191"/>
        <v>0</v>
      </c>
      <c r="J1019" s="279" t="s">
        <v>205</v>
      </c>
      <c r="K1019" s="279">
        <v>1</v>
      </c>
      <c r="L1019" s="279"/>
      <c r="M1019" s="279"/>
      <c r="N1019" s="279"/>
      <c r="O1019" s="279"/>
      <c r="P1019" s="279"/>
      <c r="Q1019" s="279">
        <v>1</v>
      </c>
      <c r="R1019" s="279">
        <v>1</v>
      </c>
      <c r="S1019" s="280">
        <v>1</v>
      </c>
      <c r="T1019" s="63"/>
      <c r="U1019" s="94"/>
      <c r="V1019" s="90"/>
      <c r="W1019" s="136"/>
      <c r="X1019" s="137"/>
    </row>
    <row r="1020" spans="1:24">
      <c r="A1020" s="614"/>
      <c r="B1020" s="87">
        <f t="shared" si="192"/>
        <v>6</v>
      </c>
      <c r="C1020" s="295">
        <v>45918</v>
      </c>
      <c r="D1020" s="10">
        <v>73413</v>
      </c>
      <c r="E1020" s="101" t="s">
        <v>2259</v>
      </c>
      <c r="F1020" s="62">
        <v>4419</v>
      </c>
      <c r="G1020" s="62">
        <v>39.700000000000003</v>
      </c>
      <c r="H1020" s="62"/>
      <c r="I1020" s="89">
        <f t="shared" si="191"/>
        <v>4379.3</v>
      </c>
      <c r="J1020" s="63" t="s">
        <v>205</v>
      </c>
      <c r="K1020" s="63">
        <v>1</v>
      </c>
      <c r="L1020" s="63"/>
      <c r="M1020" s="63"/>
      <c r="N1020" s="63">
        <v>1</v>
      </c>
      <c r="O1020" s="63"/>
      <c r="P1020" s="63"/>
      <c r="Q1020" s="63">
        <v>1</v>
      </c>
      <c r="R1020" s="63">
        <v>1</v>
      </c>
      <c r="S1020" s="296">
        <v>1</v>
      </c>
      <c r="T1020" s="63"/>
      <c r="U1020" s="94"/>
      <c r="V1020" s="90"/>
      <c r="W1020" s="136"/>
      <c r="X1020" s="137"/>
    </row>
    <row r="1021" spans="1:24">
      <c r="A1021" s="614"/>
      <c r="B1021" s="87">
        <f t="shared" si="192"/>
        <v>7</v>
      </c>
      <c r="C1021" s="295">
        <v>45918</v>
      </c>
      <c r="D1021" s="10">
        <v>73441</v>
      </c>
      <c r="E1021" s="101" t="s">
        <v>2374</v>
      </c>
      <c r="F1021" s="62">
        <v>681</v>
      </c>
      <c r="G1021" s="62">
        <v>39.700000000000003</v>
      </c>
      <c r="H1021" s="62"/>
      <c r="I1021" s="89">
        <f t="shared" si="191"/>
        <v>641.29999999999995</v>
      </c>
      <c r="J1021" s="63" t="s">
        <v>205</v>
      </c>
      <c r="K1021" s="63">
        <v>1</v>
      </c>
      <c r="L1021" s="63"/>
      <c r="M1021" s="63"/>
      <c r="N1021" s="63">
        <v>1</v>
      </c>
      <c r="O1021" s="63"/>
      <c r="P1021" s="63"/>
      <c r="Q1021" s="63">
        <v>1</v>
      </c>
      <c r="R1021" s="63">
        <v>1</v>
      </c>
      <c r="S1021" s="296">
        <v>1</v>
      </c>
      <c r="T1021" s="63"/>
      <c r="U1021" s="94"/>
      <c r="V1021" s="90"/>
      <c r="W1021" s="136"/>
      <c r="X1021" s="137"/>
    </row>
    <row r="1022" spans="1:24">
      <c r="A1022" s="614"/>
      <c r="B1022" s="87">
        <f t="shared" si="192"/>
        <v>8</v>
      </c>
      <c r="C1022" s="274">
        <v>45919</v>
      </c>
      <c r="D1022" s="276">
        <v>73458</v>
      </c>
      <c r="E1022" s="281" t="s">
        <v>1313</v>
      </c>
      <c r="F1022" s="277">
        <v>4692.6000000000004</v>
      </c>
      <c r="G1022" s="277">
        <v>39.700000000000003</v>
      </c>
      <c r="H1022" s="277"/>
      <c r="I1022" s="278">
        <f t="shared" si="191"/>
        <v>4652.9000000000005</v>
      </c>
      <c r="J1022" s="279" t="s">
        <v>205</v>
      </c>
      <c r="K1022" s="279">
        <v>1</v>
      </c>
      <c r="L1022" s="279"/>
      <c r="M1022" s="279"/>
      <c r="N1022" s="279">
        <v>1</v>
      </c>
      <c r="O1022" s="279"/>
      <c r="P1022" s="279"/>
      <c r="Q1022" s="279">
        <v>1</v>
      </c>
      <c r="R1022" s="279">
        <v>1</v>
      </c>
      <c r="S1022" s="280"/>
      <c r="T1022" s="63"/>
      <c r="U1022" s="94"/>
      <c r="V1022" s="90"/>
      <c r="W1022" s="136"/>
      <c r="X1022" s="137"/>
    </row>
    <row r="1023" spans="1:24">
      <c r="A1023" s="614"/>
      <c r="B1023" s="87">
        <f t="shared" si="192"/>
        <v>9</v>
      </c>
      <c r="C1023" s="295">
        <v>45919</v>
      </c>
      <c r="D1023" s="10">
        <v>73475</v>
      </c>
      <c r="E1023" s="101" t="s">
        <v>1678</v>
      </c>
      <c r="F1023" s="62">
        <v>2352.6</v>
      </c>
      <c r="G1023" s="62">
        <v>39.700000000000003</v>
      </c>
      <c r="H1023" s="62"/>
      <c r="I1023" s="89">
        <f t="shared" si="191"/>
        <v>2312.9</v>
      </c>
      <c r="J1023" s="63" t="s">
        <v>205</v>
      </c>
      <c r="K1023" s="63">
        <v>1</v>
      </c>
      <c r="L1023" s="63"/>
      <c r="M1023" s="63"/>
      <c r="N1023" s="63">
        <v>1</v>
      </c>
      <c r="O1023" s="63"/>
      <c r="P1023" s="63"/>
      <c r="Q1023" s="63">
        <v>1</v>
      </c>
      <c r="R1023" s="63">
        <v>1</v>
      </c>
      <c r="S1023" s="296">
        <v>1</v>
      </c>
      <c r="T1023" s="63"/>
      <c r="U1023" s="94"/>
      <c r="V1023" s="90"/>
      <c r="W1023" s="136"/>
      <c r="X1023" s="137"/>
    </row>
    <row r="1024" spans="1:24">
      <c r="A1024" s="614"/>
      <c r="B1024" s="87">
        <f t="shared" si="192"/>
        <v>10</v>
      </c>
      <c r="C1024" s="295">
        <v>45919</v>
      </c>
      <c r="D1024" s="10">
        <v>73439</v>
      </c>
      <c r="E1024" s="101" t="s">
        <v>1211</v>
      </c>
      <c r="F1024" s="62">
        <v>8214</v>
      </c>
      <c r="G1024" s="62">
        <v>39.700000000000003</v>
      </c>
      <c r="H1024" s="62"/>
      <c r="I1024" s="89">
        <f t="shared" si="191"/>
        <v>8174.3</v>
      </c>
      <c r="J1024" s="63" t="s">
        <v>205</v>
      </c>
      <c r="K1024" s="63">
        <v>1</v>
      </c>
      <c r="L1024" s="63"/>
      <c r="M1024" s="63"/>
      <c r="N1024" s="63">
        <v>1</v>
      </c>
      <c r="O1024" s="63"/>
      <c r="P1024" s="63"/>
      <c r="Q1024" s="63">
        <v>1</v>
      </c>
      <c r="R1024" s="63">
        <v>1</v>
      </c>
      <c r="S1024" s="296">
        <v>1</v>
      </c>
      <c r="T1024" s="63"/>
      <c r="U1024" s="94"/>
      <c r="V1024" s="90"/>
      <c r="W1024" s="136"/>
      <c r="X1024" s="137"/>
    </row>
    <row r="1025" spans="1:24">
      <c r="A1025" s="614"/>
      <c r="B1025" s="87">
        <f t="shared" si="192"/>
        <v>11</v>
      </c>
      <c r="C1025" s="282">
        <v>45919</v>
      </c>
      <c r="D1025" s="283">
        <v>73419</v>
      </c>
      <c r="E1025" s="319" t="s">
        <v>1085</v>
      </c>
      <c r="F1025" s="284">
        <v>4281</v>
      </c>
      <c r="G1025" s="284">
        <v>39.700000000000003</v>
      </c>
      <c r="H1025" s="284"/>
      <c r="I1025" s="285">
        <f t="shared" si="191"/>
        <v>4241.3</v>
      </c>
      <c r="J1025" s="286" t="s">
        <v>205</v>
      </c>
      <c r="K1025" s="286">
        <v>1</v>
      </c>
      <c r="L1025" s="286"/>
      <c r="M1025" s="286"/>
      <c r="N1025" s="286">
        <v>1</v>
      </c>
      <c r="O1025" s="286">
        <v>1</v>
      </c>
      <c r="P1025" s="286">
        <v>1</v>
      </c>
      <c r="Q1025" s="286">
        <v>1</v>
      </c>
      <c r="R1025" s="286">
        <v>1</v>
      </c>
      <c r="S1025" s="287">
        <v>1</v>
      </c>
      <c r="T1025" s="63"/>
      <c r="U1025" s="94"/>
      <c r="V1025" s="90"/>
      <c r="W1025" s="136"/>
      <c r="X1025" s="137"/>
    </row>
    <row r="1026" spans="1:24">
      <c r="A1026" s="614"/>
      <c r="B1026" s="11"/>
      <c r="C1026" s="36"/>
      <c r="D1026" s="10"/>
      <c r="E1026" s="10"/>
      <c r="F1026" s="97">
        <f>SUM(F1015:F1025)</f>
        <v>46017.1</v>
      </c>
      <c r="G1026" s="97">
        <f>SUM(G1015:G1025)</f>
        <v>317.59999999999997</v>
      </c>
      <c r="H1026" s="97">
        <f>SUM(H1015:H1025)</f>
        <v>0</v>
      </c>
      <c r="I1026" s="98">
        <f>SUM(I1015:I1025)</f>
        <v>45699.500000000007</v>
      </c>
      <c r="J1026" s="10"/>
      <c r="K1026" s="10"/>
      <c r="L1026" s="10"/>
      <c r="M1026" s="10"/>
      <c r="N1026" s="10"/>
      <c r="O1026" s="10"/>
      <c r="P1026" s="10"/>
      <c r="Q1026" s="10"/>
      <c r="R1026" s="10"/>
      <c r="S1026" s="10"/>
      <c r="T1026" s="63"/>
      <c r="U1026" s="94"/>
      <c r="V1026" s="90"/>
      <c r="W1026" s="91"/>
      <c r="X1026" s="92"/>
    </row>
    <row r="1027" spans="1:24">
      <c r="A1027" s="614"/>
      <c r="B1027" s="26"/>
      <c r="C1027" s="612"/>
      <c r="D1027" s="141"/>
      <c r="E1027" s="141"/>
      <c r="F1027" s="141"/>
      <c r="G1027" s="141"/>
      <c r="H1027" s="141"/>
      <c r="I1027" s="141"/>
      <c r="J1027" s="141"/>
      <c r="K1027" s="142"/>
      <c r="L1027" s="142"/>
      <c r="M1027" s="142"/>
      <c r="N1027" s="142"/>
      <c r="O1027" s="142"/>
      <c r="P1027" s="142"/>
      <c r="Q1027" s="142"/>
      <c r="R1027" s="142"/>
      <c r="S1027" s="142"/>
      <c r="T1027" s="143">
        <f>SUM(T984:T1026)</f>
        <v>2</v>
      </c>
      <c r="U1027" s="168"/>
      <c r="V1027" s="144">
        <f>SUM(V984:V1026)</f>
        <v>48762.16</v>
      </c>
      <c r="W1027" s="145">
        <f>SUM(W984:W1026)</f>
        <v>0</v>
      </c>
      <c r="X1027" s="146">
        <f>SUM(X984:X1026)</f>
        <v>0</v>
      </c>
    </row>
    <row r="1030" spans="1:24">
      <c r="B1030" s="4" t="s">
        <v>1</v>
      </c>
      <c r="C1030" s="5"/>
      <c r="D1030" s="83"/>
      <c r="E1030" s="6"/>
      <c r="F1030" s="7" t="s">
        <v>2</v>
      </c>
      <c r="G1030" s="608">
        <v>45928</v>
      </c>
      <c r="H1030" s="7"/>
      <c r="I1030" s="6"/>
      <c r="J1030" s="6"/>
      <c r="K1030" s="6"/>
      <c r="L1030" s="6"/>
      <c r="M1030" s="6"/>
      <c r="N1030" s="6"/>
      <c r="O1030" s="6"/>
      <c r="P1030" s="6"/>
      <c r="Q1030" s="6"/>
      <c r="R1030" s="6"/>
      <c r="S1030" s="6"/>
      <c r="T1030" s="6"/>
      <c r="U1030" s="149"/>
      <c r="V1030" s="77"/>
      <c r="W1030" s="77"/>
      <c r="X1030" s="77"/>
    </row>
    <row r="1031" spans="1:24">
      <c r="B1031" s="11"/>
      <c r="C1031" s="10"/>
      <c r="D1031" s="63"/>
      <c r="E1031" s="10"/>
      <c r="F1031" s="10"/>
      <c r="G1031" s="7"/>
      <c r="H1031" s="12"/>
      <c r="I1031" s="10"/>
      <c r="J1031" s="10"/>
      <c r="K1031" s="13" t="s">
        <v>3</v>
      </c>
      <c r="L1031" s="14"/>
      <c r="M1031" s="15"/>
      <c r="N1031" s="13" t="s">
        <v>4</v>
      </c>
      <c r="O1031" s="14"/>
      <c r="P1031" s="15"/>
      <c r="Q1031" s="13" t="s">
        <v>5</v>
      </c>
      <c r="R1031" s="14"/>
      <c r="S1031" s="15"/>
      <c r="T1031" s="16"/>
      <c r="U1031" s="151"/>
      <c r="V1031" s="77"/>
      <c r="W1031" s="77"/>
      <c r="X1031" s="77"/>
    </row>
    <row r="1032" spans="1:24">
      <c r="B1032" s="18" t="s">
        <v>6</v>
      </c>
      <c r="C1032" s="19">
        <f>C1033+C1034</f>
        <v>37</v>
      </c>
      <c r="D1032" s="63"/>
      <c r="E1032" s="18" t="s">
        <v>7</v>
      </c>
      <c r="F1032" s="6"/>
      <c r="G1032" s="9"/>
      <c r="H1032" s="10"/>
      <c r="I1032" s="10"/>
      <c r="J1032" s="10"/>
      <c r="K1032" s="20" t="s">
        <v>8</v>
      </c>
      <c r="L1032" s="21" t="s">
        <v>9</v>
      </c>
      <c r="M1032" s="21" t="s">
        <v>10</v>
      </c>
      <c r="N1032" s="20" t="s">
        <v>11</v>
      </c>
      <c r="O1032" s="21" t="s">
        <v>12</v>
      </c>
      <c r="P1032" s="22" t="s">
        <v>13</v>
      </c>
      <c r="Q1032" s="21" t="s">
        <v>11</v>
      </c>
      <c r="R1032" s="21" t="s">
        <v>12</v>
      </c>
      <c r="S1032" s="22" t="s">
        <v>13</v>
      </c>
      <c r="T1032" s="23" t="s">
        <v>14</v>
      </c>
      <c r="U1032" s="151"/>
      <c r="V1032" s="77"/>
      <c r="W1032" s="77"/>
      <c r="X1032" s="77"/>
    </row>
    <row r="1033" spans="1:24">
      <c r="B1033" s="24" t="s">
        <v>15</v>
      </c>
      <c r="C1033" s="25">
        <f>P1040</f>
        <v>15</v>
      </c>
      <c r="D1033" s="63"/>
      <c r="E1033" s="11" t="s">
        <v>16</v>
      </c>
      <c r="F1033" s="10" t="s">
        <v>78</v>
      </c>
      <c r="G1033" s="153">
        <v>0.05</v>
      </c>
      <c r="H1033" s="10"/>
      <c r="I1033" s="10"/>
      <c r="J1033" s="18" t="s">
        <v>17</v>
      </c>
      <c r="K1033" s="29">
        <f>K1073</f>
        <v>14</v>
      </c>
      <c r="L1033" s="29">
        <f t="shared" ref="L1033:S1033" si="193">L1073</f>
        <v>14</v>
      </c>
      <c r="M1033" s="29">
        <f t="shared" si="193"/>
        <v>14</v>
      </c>
      <c r="N1033" s="29">
        <f t="shared" si="193"/>
        <v>14</v>
      </c>
      <c r="O1033" s="29">
        <f t="shared" si="193"/>
        <v>14</v>
      </c>
      <c r="P1033" s="29">
        <f t="shared" si="193"/>
        <v>14</v>
      </c>
      <c r="Q1033" s="29">
        <f t="shared" si="193"/>
        <v>13</v>
      </c>
      <c r="R1033" s="29">
        <f t="shared" si="193"/>
        <v>13</v>
      </c>
      <c r="S1033" s="29">
        <f t="shared" si="193"/>
        <v>12</v>
      </c>
      <c r="T1033" s="30">
        <f>T1115</f>
        <v>8</v>
      </c>
      <c r="U1033" s="151"/>
      <c r="V1033" s="77"/>
      <c r="W1033" s="77"/>
      <c r="X1033" s="77"/>
    </row>
    <row r="1034" spans="1:24">
      <c r="B1034" s="24" t="s">
        <v>18</v>
      </c>
      <c r="C1034" s="25">
        <f>P1041</f>
        <v>22</v>
      </c>
      <c r="D1034" s="63"/>
      <c r="E1034" s="26" t="s">
        <v>80</v>
      </c>
      <c r="F1034" s="141" t="s">
        <v>81</v>
      </c>
      <c r="G1034" s="154">
        <v>0.1</v>
      </c>
      <c r="H1034" s="10"/>
      <c r="I1034" s="10"/>
      <c r="J1034" s="32" t="s">
        <v>19</v>
      </c>
      <c r="K1034" s="33">
        <f>K1073/K1072</f>
        <v>1</v>
      </c>
      <c r="L1034" s="33">
        <f t="shared" ref="L1034:S1034" si="194">L1073/L1072</f>
        <v>1</v>
      </c>
      <c r="M1034" s="33">
        <f t="shared" si="194"/>
        <v>1</v>
      </c>
      <c r="N1034" s="33">
        <f t="shared" si="194"/>
        <v>1</v>
      </c>
      <c r="O1034" s="33">
        <f t="shared" si="194"/>
        <v>1</v>
      </c>
      <c r="P1034" s="33">
        <f t="shared" si="194"/>
        <v>1</v>
      </c>
      <c r="Q1034" s="33">
        <f t="shared" si="194"/>
        <v>0.9285714285714286</v>
      </c>
      <c r="R1034" s="33">
        <f t="shared" si="194"/>
        <v>0.9285714285714286</v>
      </c>
      <c r="S1034" s="33">
        <f t="shared" si="194"/>
        <v>0.8571428571428571</v>
      </c>
      <c r="T1034" s="23"/>
      <c r="U1034" s="151" t="s">
        <v>20</v>
      </c>
      <c r="V1034" s="77"/>
      <c r="W1034" s="77"/>
      <c r="X1034" s="77"/>
    </row>
    <row r="1035" spans="1:24">
      <c r="B1035" s="24" t="s">
        <v>21</v>
      </c>
      <c r="C1035" s="34">
        <f>P1042</f>
        <v>0.40540540540540543</v>
      </c>
      <c r="D1035" s="63"/>
      <c r="E1035" s="10"/>
      <c r="F1035" s="10"/>
      <c r="G1035" s="10"/>
      <c r="H1035" s="10"/>
      <c r="I1035" s="10"/>
      <c r="J1035" s="10"/>
      <c r="K1035" s="10"/>
      <c r="L1035" s="10"/>
      <c r="M1035" s="10"/>
      <c r="N1035" s="10"/>
      <c r="O1035" s="10"/>
      <c r="P1035" s="10"/>
      <c r="Q1035" s="10"/>
      <c r="R1035" s="10"/>
      <c r="S1035" s="10"/>
      <c r="T1035" s="10"/>
      <c r="U1035" s="151"/>
      <c r="V1035" s="77"/>
      <c r="W1035" s="77"/>
      <c r="X1035" s="77"/>
    </row>
    <row r="1036" spans="1:24">
      <c r="B1036" s="24"/>
      <c r="C1036" s="25"/>
      <c r="D1036" s="63"/>
      <c r="E1036" s="10"/>
      <c r="F1036" s="18" t="s">
        <v>22</v>
      </c>
      <c r="G1036" s="19" t="s">
        <v>23</v>
      </c>
      <c r="H1036" s="35" t="s">
        <v>24</v>
      </c>
      <c r="I1036" s="10"/>
      <c r="J1036" s="10"/>
      <c r="K1036" s="36"/>
      <c r="L1036" s="36"/>
      <c r="M1036" s="36"/>
      <c r="N1036" s="36"/>
      <c r="O1036" s="36"/>
      <c r="P1036" s="36"/>
      <c r="Q1036" s="36"/>
      <c r="R1036" s="10"/>
      <c r="S1036" s="10"/>
      <c r="T1036" s="10"/>
      <c r="U1036" s="151"/>
      <c r="V1036" s="77"/>
      <c r="W1036" s="77"/>
      <c r="X1036" s="77"/>
    </row>
    <row r="1037" spans="1:24">
      <c r="B1037" s="32" t="s">
        <v>25</v>
      </c>
      <c r="C1037" s="37">
        <f>P1043</f>
        <v>2418.6193333333335</v>
      </c>
      <c r="D1037" s="63"/>
      <c r="E1037" s="18" t="s">
        <v>26</v>
      </c>
      <c r="F1037" s="38">
        <f>P1039</f>
        <v>36279.29</v>
      </c>
      <c r="G1037" s="39">
        <f>I1072+I1077</f>
        <v>36279.289999999994</v>
      </c>
      <c r="H1037" s="40"/>
      <c r="I1037" s="41"/>
      <c r="J1037" s="42"/>
      <c r="K1037" s="43" t="s">
        <v>27</v>
      </c>
      <c r="L1037" s="44"/>
      <c r="M1037" s="44"/>
      <c r="N1037" s="44"/>
      <c r="O1037" s="44"/>
      <c r="P1037" s="44"/>
      <c r="Q1037" s="45"/>
      <c r="R1037" s="46" t="s">
        <v>28</v>
      </c>
      <c r="S1037" s="47" t="s">
        <v>29</v>
      </c>
      <c r="T1037" s="10"/>
      <c r="U1037" s="151"/>
      <c r="V1037" s="77"/>
      <c r="W1037" s="77"/>
      <c r="X1037" s="77"/>
    </row>
    <row r="1038" spans="1:24">
      <c r="B1038" s="11"/>
      <c r="C1038" s="10"/>
      <c r="D1038" s="63"/>
      <c r="E1038" s="24" t="s">
        <v>30</v>
      </c>
      <c r="F1038" s="48">
        <f>IF(F1037&gt;=25000,10%,5%)</f>
        <v>0.1</v>
      </c>
      <c r="G1038" s="17"/>
      <c r="H1038" s="40"/>
      <c r="I1038" s="41"/>
      <c r="J1038" s="42"/>
      <c r="K1038" s="20" t="s">
        <v>31</v>
      </c>
      <c r="L1038" s="21" t="s">
        <v>32</v>
      </c>
      <c r="M1038" s="21" t="s">
        <v>33</v>
      </c>
      <c r="N1038" s="21" t="s">
        <v>34</v>
      </c>
      <c r="O1038" s="21" t="s">
        <v>35</v>
      </c>
      <c r="P1038" s="21" t="s">
        <v>36</v>
      </c>
      <c r="Q1038" s="49" t="s">
        <v>37</v>
      </c>
      <c r="R1038" s="50" t="s">
        <v>38</v>
      </c>
      <c r="S1038" s="50" t="s">
        <v>38</v>
      </c>
      <c r="T1038" s="10"/>
      <c r="U1038" s="151"/>
      <c r="V1038" s="77"/>
      <c r="W1038" s="77"/>
      <c r="X1038" s="77"/>
    </row>
    <row r="1039" spans="1:24">
      <c r="B1039" s="11"/>
      <c r="C1039" s="10"/>
      <c r="D1039" s="63"/>
      <c r="E1039" s="51" t="s">
        <v>39</v>
      </c>
      <c r="F1039" s="52">
        <f>(F1037+F1047+F1048-I1063-I1076)*F1038</f>
        <v>2862.1540000000005</v>
      </c>
      <c r="G1039" s="53" t="s">
        <v>40</v>
      </c>
      <c r="H1039" s="54">
        <f>F1039/1.12</f>
        <v>2555.4946428571429</v>
      </c>
      <c r="I1039" s="55"/>
      <c r="J1039" s="42"/>
      <c r="K1039" s="56">
        <f>I1059+I1060+I1058</f>
        <v>9744.7200000000012</v>
      </c>
      <c r="L1039" s="57">
        <f>I1061+I1062+I1063+I1064+I1066+I1065</f>
        <v>9520.93</v>
      </c>
      <c r="M1039" s="57">
        <f>I1067+I1068+I1069</f>
        <v>8568.14</v>
      </c>
      <c r="N1039" s="57">
        <f>I1070+I1071+I1076</f>
        <v>8445.5</v>
      </c>
      <c r="O1039" s="57"/>
      <c r="P1039" s="57">
        <f>SUM(K1039:O1039)</f>
        <v>36279.29</v>
      </c>
      <c r="Q1039" s="58">
        <v>0</v>
      </c>
      <c r="R1039" s="59">
        <f>+I1077</f>
        <v>6578.4000000000005</v>
      </c>
      <c r="S1039" s="59">
        <f>0</f>
        <v>0</v>
      </c>
      <c r="T1039" s="10"/>
      <c r="U1039" s="151"/>
      <c r="V1039" s="77"/>
      <c r="W1039" s="77"/>
      <c r="X1039" s="77"/>
    </row>
    <row r="1040" spans="1:24">
      <c r="B1040" s="11"/>
      <c r="C1040" s="10"/>
      <c r="D1040" s="63"/>
      <c r="E1040" s="24" t="s">
        <v>41</v>
      </c>
      <c r="F1040" s="60">
        <f>Q1039</f>
        <v>0</v>
      </c>
      <c r="G1040" s="61" t="s">
        <v>40</v>
      </c>
      <c r="H1040" s="62"/>
      <c r="I1040" s="62"/>
      <c r="J1040" s="10" t="s">
        <v>42</v>
      </c>
      <c r="K1040" s="63">
        <v>3</v>
      </c>
      <c r="L1040" s="63">
        <v>6</v>
      </c>
      <c r="M1040" s="63">
        <v>3</v>
      </c>
      <c r="N1040" s="63">
        <v>3</v>
      </c>
      <c r="O1040" s="63"/>
      <c r="P1040" s="21">
        <f>SUM(K1040:O1040)</f>
        <v>15</v>
      </c>
      <c r="Q1040" s="64"/>
      <c r="R1040" s="63"/>
      <c r="S1040" s="10"/>
      <c r="T1040" s="10"/>
      <c r="U1040" s="151"/>
      <c r="V1040" s="77"/>
      <c r="W1040" s="77"/>
      <c r="X1040" s="77"/>
    </row>
    <row r="1041" spans="2:24">
      <c r="B1041" s="11"/>
      <c r="C1041" s="10"/>
      <c r="D1041" s="63"/>
      <c r="E1041" s="51" t="s">
        <v>43</v>
      </c>
      <c r="F1041" s="52">
        <f>F1040*0.25</f>
        <v>0</v>
      </c>
      <c r="G1041" s="53" t="s">
        <v>40</v>
      </c>
      <c r="H1041" s="54">
        <f>F1041/1.12</f>
        <v>0</v>
      </c>
      <c r="I1041" s="10"/>
      <c r="J1041" s="10" t="s">
        <v>44</v>
      </c>
      <c r="K1041" s="63">
        <v>6</v>
      </c>
      <c r="L1041" s="63">
        <v>4</v>
      </c>
      <c r="M1041" s="63">
        <v>6</v>
      </c>
      <c r="N1041" s="63">
        <v>6</v>
      </c>
      <c r="O1041" s="63"/>
      <c r="P1041" s="21">
        <f>SUM(K1041:O1041)</f>
        <v>22</v>
      </c>
      <c r="Q1041" s="64"/>
      <c r="R1041" s="63"/>
      <c r="S1041" s="10"/>
      <c r="T1041" s="10"/>
      <c r="U1041" s="151"/>
      <c r="V1041" s="77"/>
      <c r="W1041" s="77"/>
      <c r="X1041" s="77"/>
    </row>
    <row r="1042" spans="2:24">
      <c r="B1042" s="11"/>
      <c r="C1042" s="10"/>
      <c r="D1042" s="63"/>
      <c r="E1042" s="24" t="s">
        <v>45</v>
      </c>
      <c r="F1042" s="60">
        <v>0</v>
      </c>
      <c r="G1042" s="61" t="s">
        <v>40</v>
      </c>
      <c r="H1042" s="62"/>
      <c r="I1042" s="10"/>
      <c r="J1042" s="10" t="s">
        <v>46</v>
      </c>
      <c r="K1042" s="31">
        <f t="shared" ref="K1042:Q1042" si="195">K1040/(K1040+K1041)</f>
        <v>0.33333333333333331</v>
      </c>
      <c r="L1042" s="31">
        <f t="shared" si="195"/>
        <v>0.6</v>
      </c>
      <c r="M1042" s="31">
        <f t="shared" si="195"/>
        <v>0.33333333333333331</v>
      </c>
      <c r="N1042" s="31">
        <f t="shared" si="195"/>
        <v>0.33333333333333331</v>
      </c>
      <c r="O1042" s="31" t="e">
        <f t="shared" si="195"/>
        <v>#DIV/0!</v>
      </c>
      <c r="P1042" s="31">
        <f t="shared" si="195"/>
        <v>0.40540540540540543</v>
      </c>
      <c r="Q1042" s="31" t="e">
        <f t="shared" si="195"/>
        <v>#DIV/0!</v>
      </c>
      <c r="R1042" s="63"/>
      <c r="S1042" s="10"/>
      <c r="T1042" s="10"/>
      <c r="U1042" s="151"/>
      <c r="V1042" s="77"/>
      <c r="W1042" s="77"/>
      <c r="X1042" s="77"/>
    </row>
    <row r="1043" spans="2:24">
      <c r="B1043" s="11"/>
      <c r="C1043" s="10"/>
      <c r="D1043" s="63"/>
      <c r="E1043" s="51" t="s">
        <v>47</v>
      </c>
      <c r="F1043" s="52">
        <f>F1042*0.05</f>
        <v>0</v>
      </c>
      <c r="G1043" s="65" t="s">
        <v>40</v>
      </c>
      <c r="H1043" s="54">
        <f>F1043/1.12</f>
        <v>0</v>
      </c>
      <c r="I1043" s="42"/>
      <c r="J1043" s="10" t="s">
        <v>48</v>
      </c>
      <c r="K1043" s="66">
        <f>K1039/K1040</f>
        <v>3248.2400000000002</v>
      </c>
      <c r="L1043" s="66">
        <f t="shared" ref="L1043:Q1043" si="196">L1039/L1040</f>
        <v>1586.8216666666667</v>
      </c>
      <c r="M1043" s="66">
        <f t="shared" si="196"/>
        <v>2856.0466666666666</v>
      </c>
      <c r="N1043" s="66">
        <f t="shared" si="196"/>
        <v>2815.1666666666665</v>
      </c>
      <c r="O1043" s="66" t="e">
        <f t="shared" si="196"/>
        <v>#DIV/0!</v>
      </c>
      <c r="P1043" s="66">
        <f t="shared" si="196"/>
        <v>2418.6193333333335</v>
      </c>
      <c r="Q1043" s="66" t="e">
        <f t="shared" si="196"/>
        <v>#DIV/0!</v>
      </c>
      <c r="R1043" s="63"/>
      <c r="S1043" s="10"/>
      <c r="T1043" s="10"/>
      <c r="U1043" s="151"/>
      <c r="V1043" s="77"/>
      <c r="W1043" s="77"/>
      <c r="X1043" s="77"/>
    </row>
    <row r="1044" spans="2:24">
      <c r="B1044" s="132"/>
      <c r="C1044" s="123"/>
      <c r="D1044" s="127"/>
      <c r="E1044" s="155" t="s">
        <v>14</v>
      </c>
      <c r="F1044" s="156">
        <f>8*50</f>
        <v>400</v>
      </c>
      <c r="G1044" s="123"/>
      <c r="H1044" s="54">
        <f>F1044/1.12</f>
        <v>357.14285714285711</v>
      </c>
      <c r="I1044" s="123"/>
      <c r="J1044" s="123"/>
      <c r="K1044" s="123"/>
      <c r="L1044" s="123"/>
      <c r="M1044" s="123"/>
      <c r="N1044" s="123"/>
      <c r="O1044" s="123"/>
      <c r="P1044" s="123"/>
      <c r="Q1044" s="123"/>
      <c r="R1044" s="123"/>
      <c r="S1044" s="123"/>
      <c r="T1044" s="123"/>
      <c r="U1044" s="157"/>
      <c r="V1044" s="123"/>
      <c r="W1044" s="123"/>
      <c r="X1044" s="123"/>
    </row>
    <row r="1045" spans="2:24">
      <c r="B1045" s="132"/>
      <c r="C1045" s="123"/>
      <c r="D1045" s="127"/>
      <c r="E1045" s="158" t="s">
        <v>49</v>
      </c>
      <c r="F1045" s="159">
        <f>T1034</f>
        <v>0</v>
      </c>
      <c r="G1045" s="123"/>
      <c r="H1045" s="54"/>
      <c r="I1045" s="123"/>
      <c r="J1045" s="42"/>
      <c r="K1045" s="764" t="s">
        <v>50</v>
      </c>
      <c r="L1045" s="765"/>
      <c r="M1045" s="765"/>
      <c r="N1045" s="765"/>
      <c r="O1045" s="765"/>
      <c r="P1045" s="765"/>
      <c r="Q1045" s="766"/>
      <c r="R1045" s="70" t="s">
        <v>28</v>
      </c>
      <c r="S1045" s="71" t="s">
        <v>29</v>
      </c>
      <c r="T1045" s="123"/>
      <c r="U1045" s="157"/>
      <c r="V1045" s="123"/>
      <c r="W1045" s="123"/>
      <c r="X1045" s="123"/>
    </row>
    <row r="1046" spans="2:24">
      <c r="B1046" s="132"/>
      <c r="C1046" s="123"/>
      <c r="D1046" s="127"/>
      <c r="E1046" s="67" t="s">
        <v>2607</v>
      </c>
      <c r="F1046" s="68">
        <f>$F$966</f>
        <v>913.9425</v>
      </c>
      <c r="G1046" s="123"/>
      <c r="H1046" s="54">
        <f>F1046/1.12</f>
        <v>816.02008928571422</v>
      </c>
      <c r="I1046" s="123"/>
      <c r="J1046" s="42"/>
      <c r="K1046" s="20" t="s">
        <v>31</v>
      </c>
      <c r="L1046" s="21" t="s">
        <v>32</v>
      </c>
      <c r="M1046" s="21" t="s">
        <v>33</v>
      </c>
      <c r="N1046" s="21" t="s">
        <v>34</v>
      </c>
      <c r="O1046" s="21" t="s">
        <v>35</v>
      </c>
      <c r="P1046" s="21" t="s">
        <v>36</v>
      </c>
      <c r="Q1046" s="49" t="s">
        <v>37</v>
      </c>
      <c r="R1046" s="50" t="s">
        <v>38</v>
      </c>
      <c r="S1046" s="50" t="s">
        <v>38</v>
      </c>
      <c r="T1046" s="123"/>
      <c r="U1046" s="157"/>
      <c r="V1046" s="123"/>
      <c r="W1046" s="123"/>
      <c r="X1046" s="123"/>
    </row>
    <row r="1047" spans="2:24">
      <c r="B1047" s="132"/>
      <c r="C1047" s="123"/>
      <c r="D1047" s="127"/>
      <c r="E1047" s="74" t="s">
        <v>2608</v>
      </c>
      <c r="F1047" s="75">
        <v>-198.17</v>
      </c>
      <c r="G1047" s="123"/>
      <c r="H1047" s="54"/>
      <c r="I1047" s="123"/>
      <c r="J1047" s="42"/>
      <c r="K1047" s="56">
        <f>F1059+F1060+F1058</f>
        <v>13209</v>
      </c>
      <c r="L1047" s="57">
        <f>F1061+F1062+F1063+F1064+F1066+F1065</f>
        <v>11308.6</v>
      </c>
      <c r="M1047" s="57">
        <f>F1067+F1068+F1069</f>
        <v>8732.6</v>
      </c>
      <c r="N1047" s="57">
        <f>F1070+F1071+F1076</f>
        <v>9024.9</v>
      </c>
      <c r="O1047" s="57"/>
      <c r="P1047" s="57">
        <f>SUM(K1047:O1047)</f>
        <v>42275.1</v>
      </c>
      <c r="Q1047" s="58">
        <v>0</v>
      </c>
      <c r="R1047" s="59">
        <f>0</f>
        <v>0</v>
      </c>
      <c r="S1047" s="59">
        <f>0</f>
        <v>0</v>
      </c>
      <c r="T1047" s="123"/>
      <c r="U1047" s="157"/>
      <c r="V1047" s="123"/>
      <c r="W1047" s="123"/>
      <c r="X1047" s="123"/>
    </row>
    <row r="1048" spans="2:24">
      <c r="B1048" s="132"/>
      <c r="C1048" s="123"/>
      <c r="D1048" s="127"/>
      <c r="E1048" s="74" t="s">
        <v>2609</v>
      </c>
      <c r="F1048" s="75">
        <v>16.72</v>
      </c>
      <c r="G1048" s="123"/>
      <c r="H1048" s="54"/>
      <c r="I1048" s="123"/>
      <c r="J1048" s="10" t="s">
        <v>42</v>
      </c>
      <c r="K1048" s="63">
        <f t="shared" ref="K1048:Q1049" si="197">K1040</f>
        <v>3</v>
      </c>
      <c r="L1048" s="63">
        <f t="shared" si="197"/>
        <v>6</v>
      </c>
      <c r="M1048" s="63">
        <f t="shared" si="197"/>
        <v>3</v>
      </c>
      <c r="N1048" s="63">
        <f t="shared" si="197"/>
        <v>3</v>
      </c>
      <c r="O1048" s="63">
        <f t="shared" si="197"/>
        <v>0</v>
      </c>
      <c r="P1048" s="63">
        <f t="shared" si="197"/>
        <v>15</v>
      </c>
      <c r="Q1048" s="63">
        <f t="shared" si="197"/>
        <v>0</v>
      </c>
      <c r="R1048" s="63"/>
      <c r="S1048" s="10"/>
      <c r="T1048" s="123"/>
      <c r="U1048" s="157"/>
      <c r="V1048" s="123"/>
      <c r="W1048" s="123"/>
      <c r="X1048" s="123"/>
    </row>
    <row r="1049" spans="2:24">
      <c r="B1049" s="132"/>
      <c r="C1049" s="123"/>
      <c r="D1049" s="127"/>
      <c r="E1049" s="12"/>
      <c r="F1049" s="160"/>
      <c r="G1049" s="123"/>
      <c r="H1049" s="54"/>
      <c r="I1049" s="123"/>
      <c r="J1049" s="10" t="s">
        <v>44</v>
      </c>
      <c r="K1049" s="63">
        <f t="shared" si="197"/>
        <v>6</v>
      </c>
      <c r="L1049" s="63">
        <f t="shared" si="197"/>
        <v>4</v>
      </c>
      <c r="M1049" s="63">
        <f t="shared" si="197"/>
        <v>6</v>
      </c>
      <c r="N1049" s="63">
        <f t="shared" si="197"/>
        <v>6</v>
      </c>
      <c r="O1049" s="63">
        <f t="shared" si="197"/>
        <v>0</v>
      </c>
      <c r="P1049" s="63">
        <f t="shared" si="197"/>
        <v>22</v>
      </c>
      <c r="Q1049" s="63">
        <f t="shared" si="197"/>
        <v>0</v>
      </c>
      <c r="R1049" s="63"/>
      <c r="S1049" s="10"/>
      <c r="T1049" s="123"/>
      <c r="U1049" s="157"/>
      <c r="V1049" s="123"/>
      <c r="W1049" s="123"/>
      <c r="X1049" s="123"/>
    </row>
    <row r="1050" spans="2:24">
      <c r="B1050" s="132"/>
      <c r="C1050" s="123"/>
      <c r="D1050" s="127"/>
      <c r="E1050" s="12"/>
      <c r="F1050" s="160"/>
      <c r="G1050" s="123"/>
      <c r="H1050" s="54"/>
      <c r="I1050" s="123"/>
      <c r="J1050" s="10" t="s">
        <v>46</v>
      </c>
      <c r="K1050" s="31">
        <f t="shared" ref="K1050:Q1050" si="198">K1048/(K1048+K1049)</f>
        <v>0.33333333333333331</v>
      </c>
      <c r="L1050" s="31">
        <f t="shared" si="198"/>
        <v>0.6</v>
      </c>
      <c r="M1050" s="31">
        <f t="shared" si="198"/>
        <v>0.33333333333333331</v>
      </c>
      <c r="N1050" s="31">
        <f t="shared" si="198"/>
        <v>0.33333333333333331</v>
      </c>
      <c r="O1050" s="31" t="e">
        <f t="shared" si="198"/>
        <v>#DIV/0!</v>
      </c>
      <c r="P1050" s="31">
        <f t="shared" si="198"/>
        <v>0.40540540540540543</v>
      </c>
      <c r="Q1050" s="31" t="e">
        <f t="shared" si="198"/>
        <v>#DIV/0!</v>
      </c>
      <c r="R1050" s="63"/>
      <c r="S1050" s="10"/>
      <c r="T1050" s="123"/>
      <c r="U1050" s="157"/>
      <c r="V1050" s="123"/>
      <c r="W1050" s="123"/>
      <c r="X1050" s="123"/>
    </row>
    <row r="1051" spans="2:24">
      <c r="B1051" s="132"/>
      <c r="C1051" s="123"/>
      <c r="D1051" s="127"/>
      <c r="E1051" s="12"/>
      <c r="F1051" s="160"/>
      <c r="G1051" s="123"/>
      <c r="H1051" s="54"/>
      <c r="I1051" s="123"/>
      <c r="J1051" s="10" t="s">
        <v>48</v>
      </c>
      <c r="K1051" s="66">
        <f t="shared" ref="K1051:Q1051" si="199">K1047/K1048</f>
        <v>4403</v>
      </c>
      <c r="L1051" s="66">
        <f t="shared" si="199"/>
        <v>1884.7666666666667</v>
      </c>
      <c r="M1051" s="66">
        <f t="shared" si="199"/>
        <v>2910.8666666666668</v>
      </c>
      <c r="N1051" s="66">
        <f t="shared" si="199"/>
        <v>3008.2999999999997</v>
      </c>
      <c r="O1051" s="66" t="e">
        <f t="shared" si="199"/>
        <v>#DIV/0!</v>
      </c>
      <c r="P1051" s="66">
        <f t="shared" si="199"/>
        <v>2818.3399999999997</v>
      </c>
      <c r="Q1051" s="66" t="e">
        <f t="shared" si="199"/>
        <v>#DIV/0!</v>
      </c>
      <c r="R1051" s="63"/>
      <c r="S1051" s="10"/>
      <c r="T1051" s="123"/>
      <c r="U1051" s="157"/>
      <c r="V1051" s="123"/>
      <c r="W1051" s="123"/>
      <c r="X1051" s="123"/>
    </row>
    <row r="1052" spans="2:24">
      <c r="B1052" s="132"/>
      <c r="C1052" s="123"/>
      <c r="D1052" s="127"/>
      <c r="E1052" s="12"/>
      <c r="F1052" s="160"/>
      <c r="G1052" s="123"/>
      <c r="H1052" s="54"/>
      <c r="I1052" s="123"/>
      <c r="J1052" s="123"/>
      <c r="K1052" s="123"/>
      <c r="L1052" s="123"/>
      <c r="M1052" s="123"/>
      <c r="N1052" s="123"/>
      <c r="O1052" s="123"/>
      <c r="P1052" s="123"/>
      <c r="Q1052" s="123"/>
      <c r="R1052" s="123"/>
      <c r="S1052" s="123"/>
      <c r="T1052" s="123"/>
      <c r="U1052" s="157"/>
      <c r="V1052" s="123"/>
      <c r="W1052" s="123"/>
      <c r="X1052" s="123"/>
    </row>
    <row r="1053" spans="2:24">
      <c r="B1053" s="11"/>
      <c r="C1053" s="10"/>
      <c r="D1053" s="63"/>
      <c r="E1053" s="12"/>
      <c r="F1053" s="12"/>
      <c r="G1053" s="10"/>
      <c r="H1053" s="10"/>
      <c r="I1053" s="10"/>
      <c r="J1053" s="10"/>
      <c r="K1053" s="10"/>
      <c r="L1053" s="10"/>
      <c r="M1053" s="10"/>
      <c r="N1053" s="10"/>
      <c r="O1053" s="10"/>
      <c r="P1053" s="10"/>
      <c r="Q1053" s="10"/>
      <c r="R1053" s="10"/>
      <c r="S1053" s="10"/>
      <c r="T1053" s="10"/>
      <c r="U1053" s="151"/>
      <c r="V1053" s="77"/>
      <c r="W1053" s="77"/>
      <c r="X1053" s="77"/>
    </row>
    <row r="1054" spans="2:24">
      <c r="B1054" s="11"/>
      <c r="C1054" s="10"/>
      <c r="D1054" s="63"/>
      <c r="E1054" s="10"/>
      <c r="F1054" s="10"/>
      <c r="G1054" s="10"/>
      <c r="H1054" s="10"/>
      <c r="I1054" s="10"/>
      <c r="J1054" s="10"/>
      <c r="K1054" s="10"/>
      <c r="L1054" s="10"/>
      <c r="M1054" s="10"/>
      <c r="N1054" s="10"/>
      <c r="O1054" s="10"/>
      <c r="P1054" s="10"/>
      <c r="Q1054" s="10"/>
      <c r="R1054" s="10"/>
      <c r="S1054" s="10"/>
      <c r="T1054" s="10"/>
      <c r="U1054" s="151"/>
      <c r="V1054" s="77"/>
      <c r="W1054" s="77"/>
      <c r="X1054" s="77"/>
    </row>
    <row r="1055" spans="2:24">
      <c r="B1055" s="18" t="s">
        <v>51</v>
      </c>
      <c r="C1055" s="14"/>
      <c r="D1055" s="14"/>
      <c r="E1055" s="14"/>
      <c r="F1055" s="13" t="s">
        <v>52</v>
      </c>
      <c r="G1055" s="14"/>
      <c r="H1055" s="14"/>
      <c r="I1055" s="14"/>
      <c r="J1055" s="14"/>
      <c r="K1055" s="13" t="s">
        <v>3</v>
      </c>
      <c r="L1055" s="14"/>
      <c r="M1055" s="14"/>
      <c r="N1055" s="13" t="s">
        <v>4</v>
      </c>
      <c r="O1055" s="14"/>
      <c r="P1055" s="14"/>
      <c r="Q1055" s="13" t="s">
        <v>5</v>
      </c>
      <c r="R1055" s="14"/>
      <c r="S1055" s="14"/>
      <c r="T1055" s="18"/>
      <c r="U1055" s="161" t="s">
        <v>53</v>
      </c>
      <c r="V1055" s="77"/>
      <c r="W1055" s="77"/>
      <c r="X1055" s="77"/>
    </row>
    <row r="1056" spans="2:24">
      <c r="B1056" s="24" t="s">
        <v>54</v>
      </c>
      <c r="C1056" s="21" t="s">
        <v>55</v>
      </c>
      <c r="D1056" s="21" t="s">
        <v>56</v>
      </c>
      <c r="E1056" s="21" t="s">
        <v>57</v>
      </c>
      <c r="F1056" s="20" t="s">
        <v>58</v>
      </c>
      <c r="G1056" s="21" t="s">
        <v>59</v>
      </c>
      <c r="H1056" s="21" t="s">
        <v>60</v>
      </c>
      <c r="I1056" s="21" t="s">
        <v>26</v>
      </c>
      <c r="J1056" s="22" t="s">
        <v>61</v>
      </c>
      <c r="K1056" s="21" t="s">
        <v>8</v>
      </c>
      <c r="L1056" s="21" t="s">
        <v>9</v>
      </c>
      <c r="M1056" s="21" t="s">
        <v>10</v>
      </c>
      <c r="N1056" s="20" t="s">
        <v>11</v>
      </c>
      <c r="O1056" s="21" t="s">
        <v>12</v>
      </c>
      <c r="P1056" s="22" t="s">
        <v>13</v>
      </c>
      <c r="Q1056" s="21" t="s">
        <v>11</v>
      </c>
      <c r="R1056" s="21" t="s">
        <v>12</v>
      </c>
      <c r="S1056" s="21" t="s">
        <v>13</v>
      </c>
      <c r="T1056" s="78" t="s">
        <v>14</v>
      </c>
      <c r="U1056" s="162"/>
      <c r="V1056" s="79" t="s">
        <v>62</v>
      </c>
      <c r="W1056" s="80" t="s">
        <v>63</v>
      </c>
      <c r="X1056" s="81" t="s">
        <v>64</v>
      </c>
    </row>
    <row r="1057" spans="1:24">
      <c r="B1057" s="4" t="s">
        <v>65</v>
      </c>
      <c r="C1057" s="6"/>
      <c r="D1057" s="6"/>
      <c r="E1057" s="6"/>
      <c r="F1057" s="6"/>
      <c r="G1057" s="6"/>
      <c r="H1057" s="6"/>
      <c r="I1057" s="82"/>
      <c r="J1057" s="6"/>
      <c r="K1057" s="6"/>
      <c r="L1057" s="6"/>
      <c r="M1057" s="6"/>
      <c r="N1057" s="6"/>
      <c r="O1057" s="6"/>
      <c r="P1057" s="6"/>
      <c r="Q1057" s="6"/>
      <c r="R1057" s="6"/>
      <c r="S1057" s="6"/>
      <c r="T1057" s="83"/>
      <c r="U1057" s="163"/>
      <c r="V1057" s="84"/>
      <c r="W1057" s="85"/>
      <c r="X1057" s="86"/>
    </row>
    <row r="1058" spans="1:24">
      <c r="A1058" s="464">
        <v>45924</v>
      </c>
      <c r="B1058" s="87">
        <v>1</v>
      </c>
      <c r="C1058" s="274">
        <v>45922</v>
      </c>
      <c r="D1058" s="327">
        <v>73497</v>
      </c>
      <c r="E1058" s="276" t="s">
        <v>187</v>
      </c>
      <c r="F1058" s="277">
        <v>5614</v>
      </c>
      <c r="G1058" s="277">
        <f>39.7+(1399.3)+250</f>
        <v>1689</v>
      </c>
      <c r="H1058" s="277"/>
      <c r="I1058" s="278">
        <f>F1058-G1058-H1058</f>
        <v>3925</v>
      </c>
      <c r="J1058" s="279" t="s">
        <v>228</v>
      </c>
      <c r="K1058" s="279">
        <v>1</v>
      </c>
      <c r="L1058" s="279">
        <v>1</v>
      </c>
      <c r="M1058" s="279">
        <v>1</v>
      </c>
      <c r="N1058" s="279">
        <v>1</v>
      </c>
      <c r="O1058" s="279">
        <v>1</v>
      </c>
      <c r="P1058" s="279">
        <v>1</v>
      </c>
      <c r="Q1058" s="279">
        <v>1</v>
      </c>
      <c r="R1058" s="279">
        <v>1</v>
      </c>
      <c r="S1058" s="280">
        <v>1</v>
      </c>
      <c r="T1058" s="63"/>
      <c r="U1058" s="94" t="s">
        <v>2610</v>
      </c>
      <c r="V1058" s="90">
        <f>639+5536.4</f>
        <v>6175.4</v>
      </c>
      <c r="W1058" s="578"/>
      <c r="X1058" s="579"/>
    </row>
    <row r="1059" spans="1:24">
      <c r="B1059" s="87">
        <f>B1058+1</f>
        <v>2</v>
      </c>
      <c r="C1059" s="295">
        <v>45922</v>
      </c>
      <c r="D1059" s="323">
        <v>73536</v>
      </c>
      <c r="E1059" s="10" t="s">
        <v>1835</v>
      </c>
      <c r="F1059" s="62">
        <v>6814</v>
      </c>
      <c r="G1059" s="62">
        <f>39.7+(1695.88)</f>
        <v>1735.5800000000002</v>
      </c>
      <c r="H1059" s="88"/>
      <c r="I1059" s="324">
        <f>F1059-G1059-H1059</f>
        <v>5078.42</v>
      </c>
      <c r="J1059" s="63" t="s">
        <v>156</v>
      </c>
      <c r="K1059" s="63">
        <v>1</v>
      </c>
      <c r="L1059" s="63">
        <v>1</v>
      </c>
      <c r="M1059" s="63">
        <v>1</v>
      </c>
      <c r="N1059" s="63">
        <v>1</v>
      </c>
      <c r="O1059" s="63">
        <v>1</v>
      </c>
      <c r="P1059" s="63">
        <v>1</v>
      </c>
      <c r="Q1059" s="325">
        <v>0</v>
      </c>
      <c r="R1059" s="325">
        <v>0</v>
      </c>
      <c r="S1059" s="326">
        <v>0</v>
      </c>
      <c r="T1059" s="63"/>
      <c r="U1059" s="94"/>
      <c r="V1059" s="90">
        <f>749.54+6745.86</f>
        <v>7495.4</v>
      </c>
      <c r="W1059" s="91"/>
      <c r="X1059" s="92"/>
    </row>
    <row r="1060" spans="1:24">
      <c r="B1060" s="87">
        <f>B1059+1</f>
        <v>3</v>
      </c>
      <c r="C1060" s="295">
        <v>45922</v>
      </c>
      <c r="D1060" s="323">
        <v>73551</v>
      </c>
      <c r="E1060" s="10" t="s">
        <v>991</v>
      </c>
      <c r="F1060" s="62">
        <v>781</v>
      </c>
      <c r="G1060" s="62">
        <f>39.7</f>
        <v>39.700000000000003</v>
      </c>
      <c r="H1060" s="62"/>
      <c r="I1060" s="89">
        <f t="shared" ref="I1060:I1071" si="200">F1060-G1060-H1060</f>
        <v>741.3</v>
      </c>
      <c r="J1060" s="63" t="s">
        <v>156</v>
      </c>
      <c r="K1060" s="63">
        <v>1</v>
      </c>
      <c r="L1060" s="63">
        <v>1</v>
      </c>
      <c r="M1060" s="63">
        <v>1</v>
      </c>
      <c r="N1060" s="63">
        <v>1</v>
      </c>
      <c r="O1060" s="63">
        <v>1</v>
      </c>
      <c r="P1060" s="63">
        <v>1</v>
      </c>
      <c r="Q1060" s="63">
        <v>1</v>
      </c>
      <c r="R1060" s="63">
        <v>1</v>
      </c>
      <c r="S1060" s="296">
        <v>1</v>
      </c>
      <c r="T1060" s="21">
        <v>1</v>
      </c>
      <c r="U1060" s="94"/>
      <c r="V1060" s="90">
        <v>859.1</v>
      </c>
      <c r="W1060" s="91"/>
      <c r="X1060" s="92"/>
    </row>
    <row r="1061" spans="1:24">
      <c r="B1061" s="87">
        <f t="shared" ref="B1061:B1071" si="201">B1060+1</f>
        <v>4</v>
      </c>
      <c r="C1061" s="274">
        <v>45923</v>
      </c>
      <c r="D1061" s="327">
        <v>73561</v>
      </c>
      <c r="E1061" s="276" t="s">
        <v>1013</v>
      </c>
      <c r="F1061" s="277">
        <v>1181</v>
      </c>
      <c r="G1061" s="277">
        <f>39.7+(82.5)</f>
        <v>122.2</v>
      </c>
      <c r="H1061" s="277"/>
      <c r="I1061" s="321">
        <f t="shared" si="200"/>
        <v>1058.8</v>
      </c>
      <c r="J1061" s="279" t="s">
        <v>156</v>
      </c>
      <c r="K1061" s="279">
        <v>1</v>
      </c>
      <c r="L1061" s="279">
        <v>1</v>
      </c>
      <c r="M1061" s="279">
        <v>1</v>
      </c>
      <c r="N1061" s="279">
        <v>1</v>
      </c>
      <c r="O1061" s="279">
        <v>1</v>
      </c>
      <c r="P1061" s="279">
        <v>1</v>
      </c>
      <c r="Q1061" s="279">
        <v>1</v>
      </c>
      <c r="R1061" s="279">
        <v>1</v>
      </c>
      <c r="S1061" s="328">
        <v>0</v>
      </c>
      <c r="T1061" s="21">
        <v>1</v>
      </c>
      <c r="U1061" s="94" t="s">
        <v>2611</v>
      </c>
      <c r="V1061" s="90">
        <v>1299.0999999999999</v>
      </c>
      <c r="W1061" s="91"/>
      <c r="X1061" s="92"/>
    </row>
    <row r="1062" spans="1:24">
      <c r="B1062" s="87">
        <f t="shared" si="201"/>
        <v>5</v>
      </c>
      <c r="C1062" s="295">
        <v>45923</v>
      </c>
      <c r="D1062" s="323">
        <v>73594</v>
      </c>
      <c r="E1062" s="94" t="s">
        <v>1345</v>
      </c>
      <c r="F1062" s="62">
        <v>681</v>
      </c>
      <c r="G1062" s="62"/>
      <c r="H1062" s="62"/>
      <c r="I1062" s="89">
        <f t="shared" si="200"/>
        <v>681</v>
      </c>
      <c r="J1062" s="63" t="s">
        <v>156</v>
      </c>
      <c r="K1062" s="63">
        <v>1</v>
      </c>
      <c r="L1062" s="63">
        <v>1</v>
      </c>
      <c r="M1062" s="63">
        <v>1</v>
      </c>
      <c r="N1062" s="63">
        <v>1</v>
      </c>
      <c r="O1062" s="63">
        <v>1</v>
      </c>
      <c r="P1062" s="63">
        <v>1</v>
      </c>
      <c r="Q1062" s="63">
        <v>1</v>
      </c>
      <c r="R1062" s="63">
        <v>1</v>
      </c>
      <c r="S1062" s="296">
        <v>1</v>
      </c>
      <c r="T1062" s="63"/>
      <c r="U1062" s="94"/>
      <c r="V1062" s="90">
        <v>749.1</v>
      </c>
      <c r="W1062" s="91"/>
      <c r="X1062" s="92"/>
    </row>
    <row r="1063" spans="1:24">
      <c r="A1063" s="614" t="s">
        <v>2612</v>
      </c>
      <c r="B1063" s="87">
        <f t="shared" si="201"/>
        <v>6</v>
      </c>
      <c r="C1063" s="295">
        <v>45923</v>
      </c>
      <c r="D1063" s="323">
        <v>73598</v>
      </c>
      <c r="E1063" s="10" t="s">
        <v>1036</v>
      </c>
      <c r="F1063" s="62">
        <v>1137.5999999999999</v>
      </c>
      <c r="G1063" s="62">
        <f>39.7+200</f>
        <v>239.7</v>
      </c>
      <c r="H1063" s="62"/>
      <c r="I1063" s="369">
        <f t="shared" si="200"/>
        <v>897.89999999999986</v>
      </c>
      <c r="J1063" s="63" t="s">
        <v>156</v>
      </c>
      <c r="K1063" s="63">
        <v>1</v>
      </c>
      <c r="L1063" s="63">
        <v>1</v>
      </c>
      <c r="M1063" s="63">
        <v>1</v>
      </c>
      <c r="N1063" s="63">
        <v>1</v>
      </c>
      <c r="O1063" s="63">
        <v>1</v>
      </c>
      <c r="P1063" s="63">
        <v>1</v>
      </c>
      <c r="Q1063" s="63">
        <v>1</v>
      </c>
      <c r="R1063" s="63">
        <v>1</v>
      </c>
      <c r="S1063" s="296">
        <v>1</v>
      </c>
      <c r="T1063" s="63"/>
      <c r="U1063" s="94" t="s">
        <v>2613</v>
      </c>
      <c r="V1063" s="90">
        <v>1251.3599999999999</v>
      </c>
      <c r="W1063" s="91"/>
      <c r="X1063" s="92"/>
    </row>
    <row r="1064" spans="1:24">
      <c r="B1064" s="87">
        <f t="shared" si="201"/>
        <v>7</v>
      </c>
      <c r="C1064" s="295">
        <v>45923</v>
      </c>
      <c r="D1064" s="323">
        <v>73609</v>
      </c>
      <c r="E1064" s="10" t="s">
        <v>780</v>
      </c>
      <c r="F1064" s="62">
        <v>1281</v>
      </c>
      <c r="G1064" s="62">
        <f>39.7</f>
        <v>39.700000000000003</v>
      </c>
      <c r="H1064" s="88"/>
      <c r="I1064" s="89">
        <f t="shared" si="200"/>
        <v>1241.3</v>
      </c>
      <c r="J1064" s="63" t="s">
        <v>156</v>
      </c>
      <c r="K1064" s="63">
        <v>1</v>
      </c>
      <c r="L1064" s="63">
        <v>1</v>
      </c>
      <c r="M1064" s="63">
        <v>1</v>
      </c>
      <c r="N1064" s="63">
        <v>1</v>
      </c>
      <c r="O1064" s="63">
        <v>1</v>
      </c>
      <c r="P1064" s="63">
        <v>1</v>
      </c>
      <c r="Q1064" s="63">
        <v>1</v>
      </c>
      <c r="R1064" s="63">
        <v>1</v>
      </c>
      <c r="S1064" s="296">
        <v>1</v>
      </c>
      <c r="T1064" s="63"/>
      <c r="U1064" s="94"/>
      <c r="V1064" s="90">
        <v>1409.1</v>
      </c>
      <c r="W1064" s="91"/>
      <c r="X1064" s="92"/>
    </row>
    <row r="1065" spans="1:24">
      <c r="A1065" s="464">
        <v>45924</v>
      </c>
      <c r="B1065" s="87">
        <f t="shared" si="201"/>
        <v>8</v>
      </c>
      <c r="C1065" s="295">
        <v>45923</v>
      </c>
      <c r="D1065" s="323">
        <v>73606</v>
      </c>
      <c r="E1065" s="10" t="s">
        <v>1143</v>
      </c>
      <c r="F1065" s="62">
        <v>6214</v>
      </c>
      <c r="G1065" s="62">
        <f>39.7+(1056.67)+250</f>
        <v>1346.3700000000001</v>
      </c>
      <c r="H1065" s="62"/>
      <c r="I1065" s="89">
        <f>F1065-G1065-H1065</f>
        <v>4867.63</v>
      </c>
      <c r="J1065" s="63" t="s">
        <v>156</v>
      </c>
      <c r="K1065" s="63">
        <v>1</v>
      </c>
      <c r="L1065" s="63">
        <v>1</v>
      </c>
      <c r="M1065" s="63">
        <v>1</v>
      </c>
      <c r="N1065" s="63">
        <v>1</v>
      </c>
      <c r="O1065" s="63">
        <v>1</v>
      </c>
      <c r="P1065" s="63">
        <v>1</v>
      </c>
      <c r="Q1065" s="63">
        <v>1</v>
      </c>
      <c r="R1065" s="63">
        <v>1</v>
      </c>
      <c r="S1065" s="296">
        <v>1</v>
      </c>
      <c r="T1065" s="63"/>
      <c r="U1065" s="94" t="s">
        <v>2614</v>
      </c>
      <c r="V1065" s="90">
        <f>683+6152.4</f>
        <v>6835.4</v>
      </c>
      <c r="W1065" s="91"/>
      <c r="X1065" s="92"/>
    </row>
    <row r="1066" spans="1:24">
      <c r="B1066" s="87">
        <f t="shared" si="201"/>
        <v>9</v>
      </c>
      <c r="C1066" s="295">
        <v>45923</v>
      </c>
      <c r="D1066" s="323">
        <v>73573</v>
      </c>
      <c r="E1066" s="10" t="s">
        <v>172</v>
      </c>
      <c r="F1066" s="62">
        <v>814</v>
      </c>
      <c r="G1066" s="62">
        <f>39.7</f>
        <v>39.700000000000003</v>
      </c>
      <c r="H1066" s="88"/>
      <c r="I1066" s="89">
        <f>F1066-G1066-H1066</f>
        <v>774.3</v>
      </c>
      <c r="J1066" s="63" t="s">
        <v>156</v>
      </c>
      <c r="K1066" s="63">
        <v>1</v>
      </c>
      <c r="L1066" s="63">
        <v>1</v>
      </c>
      <c r="M1066" s="63">
        <v>1</v>
      </c>
      <c r="N1066" s="63">
        <v>1</v>
      </c>
      <c r="O1066" s="63">
        <v>1</v>
      </c>
      <c r="P1066" s="63">
        <v>1</v>
      </c>
      <c r="Q1066" s="63">
        <v>1</v>
      </c>
      <c r="R1066" s="63">
        <v>1</v>
      </c>
      <c r="S1066" s="296">
        <v>1</v>
      </c>
      <c r="T1066" s="21">
        <v>1</v>
      </c>
      <c r="U1066" s="94"/>
      <c r="V1066" s="90">
        <v>895.4</v>
      </c>
      <c r="W1066" s="91"/>
      <c r="X1066" s="92"/>
    </row>
    <row r="1067" spans="1:24">
      <c r="B1067" s="87">
        <f t="shared" si="201"/>
        <v>10</v>
      </c>
      <c r="C1067" s="274">
        <v>45924</v>
      </c>
      <c r="D1067" s="327">
        <v>73610</v>
      </c>
      <c r="E1067" s="276" t="s">
        <v>333</v>
      </c>
      <c r="F1067" s="277">
        <v>6214</v>
      </c>
      <c r="G1067" s="277">
        <f>39.7+(45.36)</f>
        <v>85.06</v>
      </c>
      <c r="H1067" s="297"/>
      <c r="I1067" s="278">
        <f>F1067-G1067-H1067</f>
        <v>6128.94</v>
      </c>
      <c r="J1067" s="279" t="s">
        <v>156</v>
      </c>
      <c r="K1067" s="279">
        <v>1</v>
      </c>
      <c r="L1067" s="279">
        <v>1</v>
      </c>
      <c r="M1067" s="279">
        <v>1</v>
      </c>
      <c r="N1067" s="279">
        <v>1</v>
      </c>
      <c r="O1067" s="279">
        <v>1</v>
      </c>
      <c r="P1067" s="279">
        <v>1</v>
      </c>
      <c r="Q1067" s="279">
        <v>1</v>
      </c>
      <c r="R1067" s="279">
        <v>1</v>
      </c>
      <c r="S1067" s="280">
        <v>1</v>
      </c>
      <c r="T1067" s="63"/>
      <c r="U1067" s="94" t="s">
        <v>2615</v>
      </c>
      <c r="V1067" s="90">
        <f>683+6152.4</f>
        <v>6835.4</v>
      </c>
      <c r="W1067" s="91"/>
      <c r="X1067" s="92"/>
    </row>
    <row r="1068" spans="1:24">
      <c r="B1068" s="87">
        <f t="shared" si="201"/>
        <v>11</v>
      </c>
      <c r="C1068" s="295">
        <v>45924</v>
      </c>
      <c r="D1068" s="323">
        <v>73640</v>
      </c>
      <c r="E1068" s="10" t="s">
        <v>1111</v>
      </c>
      <c r="F1068" s="62">
        <v>1137.5999999999999</v>
      </c>
      <c r="G1068" s="62">
        <f>39.7</f>
        <v>39.700000000000003</v>
      </c>
      <c r="H1068" s="88"/>
      <c r="I1068" s="89">
        <f>F1068-G1068-H1068</f>
        <v>1097.8999999999999</v>
      </c>
      <c r="J1068" s="63" t="s">
        <v>156</v>
      </c>
      <c r="K1068" s="63">
        <v>1</v>
      </c>
      <c r="L1068" s="63">
        <v>1</v>
      </c>
      <c r="M1068" s="63">
        <v>1</v>
      </c>
      <c r="N1068" s="63">
        <v>1</v>
      </c>
      <c r="O1068" s="63">
        <v>1</v>
      </c>
      <c r="P1068" s="63">
        <v>1</v>
      </c>
      <c r="Q1068" s="63">
        <v>1</v>
      </c>
      <c r="R1068" s="63">
        <v>1</v>
      </c>
      <c r="S1068" s="296">
        <v>1</v>
      </c>
      <c r="T1068" s="63"/>
      <c r="U1068" s="94"/>
      <c r="V1068" s="90">
        <v>1251.3599999999999</v>
      </c>
      <c r="W1068" s="91"/>
      <c r="X1068" s="92"/>
    </row>
    <row r="1069" spans="1:24">
      <c r="B1069" s="87">
        <f t="shared" si="201"/>
        <v>12</v>
      </c>
      <c r="C1069" s="295">
        <v>45924</v>
      </c>
      <c r="D1069" s="323" t="s">
        <v>2616</v>
      </c>
      <c r="E1069" s="101" t="s">
        <v>1249</v>
      </c>
      <c r="F1069" s="62">
        <v>1381</v>
      </c>
      <c r="G1069" s="62">
        <f>39.7</f>
        <v>39.700000000000003</v>
      </c>
      <c r="H1069" s="62"/>
      <c r="I1069" s="89">
        <f>F1069-G1069-H1069</f>
        <v>1341.3</v>
      </c>
      <c r="J1069" s="63" t="s">
        <v>374</v>
      </c>
      <c r="K1069" s="63">
        <v>1</v>
      </c>
      <c r="L1069" s="63">
        <v>1</v>
      </c>
      <c r="M1069" s="63">
        <v>1</v>
      </c>
      <c r="N1069" s="63">
        <v>1</v>
      </c>
      <c r="O1069" s="63">
        <v>1</v>
      </c>
      <c r="P1069" s="63">
        <v>1</v>
      </c>
      <c r="Q1069" s="63">
        <v>1</v>
      </c>
      <c r="R1069" s="63">
        <v>1</v>
      </c>
      <c r="S1069" s="296">
        <v>1</v>
      </c>
      <c r="T1069" s="63"/>
      <c r="U1069" s="94"/>
      <c r="V1069" s="90">
        <v>1519.1</v>
      </c>
      <c r="W1069" s="91"/>
      <c r="X1069" s="92"/>
    </row>
    <row r="1070" spans="1:24">
      <c r="B1070" s="87">
        <f t="shared" si="201"/>
        <v>13</v>
      </c>
      <c r="C1070" s="274">
        <v>45925</v>
      </c>
      <c r="D1070" s="327">
        <v>73654</v>
      </c>
      <c r="E1070" s="276" t="s">
        <v>2617</v>
      </c>
      <c r="F1070" s="277">
        <v>1225.8</v>
      </c>
      <c r="G1070" s="277">
        <f>39.7</f>
        <v>39.700000000000003</v>
      </c>
      <c r="H1070" s="297"/>
      <c r="I1070" s="278">
        <f>F1070-G1070-H1070</f>
        <v>1186.0999999999999</v>
      </c>
      <c r="J1070" s="279" t="s">
        <v>156</v>
      </c>
      <c r="K1070" s="279">
        <v>1</v>
      </c>
      <c r="L1070" s="279">
        <v>1</v>
      </c>
      <c r="M1070" s="279">
        <v>1</v>
      </c>
      <c r="N1070" s="279">
        <v>1</v>
      </c>
      <c r="O1070" s="279">
        <v>1</v>
      </c>
      <c r="P1070" s="279">
        <v>1</v>
      </c>
      <c r="Q1070" s="279">
        <v>1</v>
      </c>
      <c r="R1070" s="279">
        <v>1</v>
      </c>
      <c r="S1070" s="280">
        <v>1</v>
      </c>
      <c r="T1070" s="21">
        <v>1</v>
      </c>
      <c r="U1070" s="94"/>
      <c r="V1070" s="90">
        <v>1348.38</v>
      </c>
      <c r="W1070" s="91"/>
      <c r="X1070" s="92"/>
    </row>
    <row r="1071" spans="1:24">
      <c r="B1071" s="87">
        <f t="shared" si="201"/>
        <v>14</v>
      </c>
      <c r="C1071" s="282">
        <v>45925</v>
      </c>
      <c r="D1071" s="368">
        <v>73697</v>
      </c>
      <c r="E1071" s="283" t="s">
        <v>1391</v>
      </c>
      <c r="F1071" s="423">
        <v>681</v>
      </c>
      <c r="G1071" s="284"/>
      <c r="H1071" s="284"/>
      <c r="I1071" s="285">
        <f t="shared" si="200"/>
        <v>681</v>
      </c>
      <c r="J1071" s="286" t="s">
        <v>156</v>
      </c>
      <c r="K1071" s="286">
        <v>1</v>
      </c>
      <c r="L1071" s="286">
        <v>1</v>
      </c>
      <c r="M1071" s="286">
        <v>1</v>
      </c>
      <c r="N1071" s="286">
        <v>1</v>
      </c>
      <c r="O1071" s="286">
        <v>1</v>
      </c>
      <c r="P1071" s="286">
        <v>1</v>
      </c>
      <c r="Q1071" s="286">
        <v>1</v>
      </c>
      <c r="R1071" s="286">
        <v>1</v>
      </c>
      <c r="S1071" s="287">
        <v>1</v>
      </c>
      <c r="T1071" s="21">
        <v>1</v>
      </c>
      <c r="U1071" s="94"/>
      <c r="V1071" s="90">
        <v>749.1</v>
      </c>
      <c r="W1071" s="91"/>
      <c r="X1071" s="92"/>
    </row>
    <row r="1072" spans="1:24">
      <c r="B1072" s="87"/>
      <c r="C1072" s="36"/>
      <c r="D1072" s="10"/>
      <c r="E1072" s="10"/>
      <c r="F1072" s="98">
        <f>SUM(F1058:F1071)</f>
        <v>35157</v>
      </c>
      <c r="G1072" s="98">
        <f>SUM(G1058:G1071)</f>
        <v>5456.1099999999988</v>
      </c>
      <c r="H1072" s="98">
        <f>SUM(H1058:H1071)</f>
        <v>0</v>
      </c>
      <c r="I1072" s="98">
        <f>SUM(I1058:I1071)</f>
        <v>29700.889999999996</v>
      </c>
      <c r="J1072" s="63"/>
      <c r="K1072" s="63">
        <f>COUNT(K1058:K1071)</f>
        <v>14</v>
      </c>
      <c r="L1072" s="63">
        <f>COUNT(L1058:L1071)</f>
        <v>14</v>
      </c>
      <c r="M1072" s="63">
        <f>COUNT(M1058:M1071)</f>
        <v>14</v>
      </c>
      <c r="N1072" s="63">
        <f>COUNT(N1058:N1071)</f>
        <v>14</v>
      </c>
      <c r="O1072" s="63">
        <f>COUNT(O1058:O1071)</f>
        <v>14</v>
      </c>
      <c r="P1072" s="63">
        <f>COUNT(P1058:P1071)</f>
        <v>14</v>
      </c>
      <c r="Q1072" s="63">
        <f>COUNT(Q1058:Q1071)</f>
        <v>14</v>
      </c>
      <c r="R1072" s="63">
        <f>COUNT(R1058:R1071)</f>
        <v>14</v>
      </c>
      <c r="S1072" s="63">
        <f>COUNT(S1058:S1071)</f>
        <v>14</v>
      </c>
      <c r="T1072" s="63"/>
      <c r="U1072" s="94"/>
      <c r="V1072" s="90"/>
      <c r="W1072" s="91"/>
      <c r="X1072" s="92"/>
    </row>
    <row r="1073" spans="1:24">
      <c r="B1073" s="87"/>
      <c r="C1073" s="36"/>
      <c r="D1073" s="10"/>
      <c r="E1073" s="10"/>
      <c r="F1073" s="88"/>
      <c r="G1073" s="88"/>
      <c r="H1073" s="88"/>
      <c r="I1073" s="99"/>
      <c r="J1073" s="63"/>
      <c r="K1073" s="21">
        <f>SUM(K1058:K1071)</f>
        <v>14</v>
      </c>
      <c r="L1073" s="21">
        <f>SUM(L1058:L1071)</f>
        <v>14</v>
      </c>
      <c r="M1073" s="21">
        <f>SUM(M1058:M1071)</f>
        <v>14</v>
      </c>
      <c r="N1073" s="21">
        <f>SUM(N1058:N1071)</f>
        <v>14</v>
      </c>
      <c r="O1073" s="21">
        <f>SUM(O1058:O1071)</f>
        <v>14</v>
      </c>
      <c r="P1073" s="21">
        <f>SUM(P1058:P1071)</f>
        <v>14</v>
      </c>
      <c r="Q1073" s="21">
        <f>SUM(Q1058:Q1071)</f>
        <v>13</v>
      </c>
      <c r="R1073" s="21">
        <f>SUM(R1058:R1071)</f>
        <v>13</v>
      </c>
      <c r="S1073" s="21">
        <f>SUM(S1058:S1071)</f>
        <v>12</v>
      </c>
      <c r="T1073" s="63"/>
      <c r="U1073" s="94"/>
      <c r="V1073" s="90"/>
      <c r="W1073" s="91"/>
      <c r="X1073" s="92"/>
    </row>
    <row r="1074" spans="1:24">
      <c r="B1074" s="11"/>
      <c r="C1074" s="36"/>
      <c r="D1074" s="10"/>
      <c r="E1074" s="10"/>
      <c r="F1074" s="88"/>
      <c r="G1074" s="88"/>
      <c r="H1074" s="88"/>
      <c r="I1074" s="99"/>
      <c r="J1074" s="63"/>
      <c r="K1074" s="21"/>
      <c r="L1074" s="21"/>
      <c r="M1074" s="21"/>
      <c r="N1074" s="21"/>
      <c r="O1074" s="21"/>
      <c r="P1074" s="21"/>
      <c r="Q1074" s="21"/>
      <c r="R1074" s="21"/>
      <c r="S1074" s="21"/>
      <c r="T1074" s="63"/>
      <c r="U1074" s="94"/>
      <c r="V1074" s="90"/>
      <c r="W1074" s="91"/>
      <c r="X1074" s="92"/>
    </row>
    <row r="1075" spans="1:24">
      <c r="B1075" s="121" t="s">
        <v>70</v>
      </c>
      <c r="C1075" s="36"/>
      <c r="D1075" s="123"/>
      <c r="E1075" s="128"/>
      <c r="F1075" s="124"/>
      <c r="G1075" s="124"/>
      <c r="H1075" s="124"/>
      <c r="I1075" s="126"/>
      <c r="J1075" s="127"/>
      <c r="K1075" s="64"/>
      <c r="L1075" s="64"/>
      <c r="M1075" s="64"/>
      <c r="N1075" s="64"/>
      <c r="O1075" s="64"/>
      <c r="P1075" s="64"/>
      <c r="Q1075" s="64"/>
      <c r="R1075" s="64"/>
      <c r="S1075" s="64"/>
      <c r="T1075" s="127"/>
      <c r="U1075" s="135"/>
      <c r="V1075" s="129"/>
      <c r="W1075" s="130"/>
      <c r="X1075" s="131"/>
    </row>
    <row r="1076" spans="1:24" s="342" customFormat="1">
      <c r="A1076" s="492">
        <v>0.1</v>
      </c>
      <c r="B1076" s="333">
        <v>1</v>
      </c>
      <c r="C1076" s="350">
        <v>45925</v>
      </c>
      <c r="D1076" s="263">
        <v>73655</v>
      </c>
      <c r="E1076" s="351" t="s">
        <v>1401</v>
      </c>
      <c r="F1076" s="352">
        <v>7118.1</v>
      </c>
      <c r="G1076" s="352">
        <f>39.7+500</f>
        <v>539.70000000000005</v>
      </c>
      <c r="H1076" s="352"/>
      <c r="I1076" s="353">
        <f t="shared" ref="I1076" si="202">F1076-G1076-H1076</f>
        <v>6578.4000000000005</v>
      </c>
      <c r="J1076" s="354"/>
      <c r="K1076" s="354">
        <v>1</v>
      </c>
      <c r="L1076" s="354"/>
      <c r="M1076" s="354"/>
      <c r="N1076" s="354">
        <v>1</v>
      </c>
      <c r="O1076" s="354">
        <v>1</v>
      </c>
      <c r="P1076" s="314">
        <v>0</v>
      </c>
      <c r="Q1076" s="354"/>
      <c r="R1076" s="354"/>
      <c r="S1076" s="355"/>
      <c r="T1076" s="127"/>
      <c r="U1076" s="135" t="s">
        <v>2618</v>
      </c>
      <c r="V1076" s="129"/>
      <c r="W1076" s="340"/>
      <c r="X1076" s="341"/>
    </row>
    <row r="1077" spans="1:24">
      <c r="B1077" s="132"/>
      <c r="C1077" s="36"/>
      <c r="D1077" s="123"/>
      <c r="E1077" s="123"/>
      <c r="F1077" s="134">
        <f>SUM(F1076:F1076)</f>
        <v>7118.1</v>
      </c>
      <c r="G1077" s="134">
        <f>SUM(G1076:G1076)</f>
        <v>539.70000000000005</v>
      </c>
      <c r="H1077" s="134">
        <f>SUM(H1076:H1076)</f>
        <v>0</v>
      </c>
      <c r="I1077" s="134">
        <f>SUM(I1076:I1076)</f>
        <v>6578.4000000000005</v>
      </c>
      <c r="J1077" s="127"/>
      <c r="K1077" s="64"/>
      <c r="L1077" s="64"/>
      <c r="M1077" s="64"/>
      <c r="N1077" s="64"/>
      <c r="O1077" s="64"/>
      <c r="P1077" s="64"/>
      <c r="Q1077" s="64"/>
      <c r="R1077" s="64"/>
      <c r="S1077" s="64"/>
      <c r="T1077" s="127"/>
      <c r="U1077" s="135"/>
      <c r="V1077" s="129"/>
      <c r="W1077" s="130"/>
      <c r="X1077" s="131"/>
    </row>
    <row r="1078" spans="1:24">
      <c r="B1078" s="11"/>
      <c r="C1078" s="36"/>
      <c r="D1078" s="10"/>
      <c r="E1078" s="10"/>
      <c r="F1078" s="88"/>
      <c r="G1078" s="88"/>
      <c r="H1078" s="88"/>
      <c r="I1078" s="99"/>
      <c r="J1078" s="10"/>
      <c r="K1078" s="63"/>
      <c r="L1078" s="63"/>
      <c r="M1078" s="63"/>
      <c r="N1078" s="63"/>
      <c r="O1078" s="63"/>
      <c r="P1078" s="63"/>
      <c r="Q1078" s="63"/>
      <c r="R1078" s="63"/>
      <c r="S1078" s="63"/>
      <c r="T1078" s="63"/>
      <c r="U1078" s="94"/>
      <c r="V1078" s="90"/>
      <c r="W1078" s="91"/>
      <c r="X1078" s="92"/>
    </row>
    <row r="1079" spans="1:24" s="260" customFormat="1">
      <c r="B1079" s="100" t="s">
        <v>152</v>
      </c>
      <c r="C1079" s="270"/>
      <c r="D1079" s="10"/>
      <c r="E1079" s="101"/>
      <c r="F1079" s="88"/>
      <c r="G1079" s="62"/>
      <c r="H1079" s="88"/>
      <c r="I1079" s="99"/>
      <c r="J1079" s="63"/>
      <c r="K1079" s="181"/>
      <c r="L1079" s="181"/>
      <c r="M1079" s="181"/>
      <c r="N1079" s="181"/>
      <c r="O1079" s="181"/>
      <c r="P1079" s="181"/>
      <c r="Q1079" s="181"/>
      <c r="R1079" s="181"/>
      <c r="S1079" s="181"/>
      <c r="T1079" s="63"/>
      <c r="U1079" s="10"/>
      <c r="V1079" s="90"/>
      <c r="W1079" s="91"/>
      <c r="X1079" s="92"/>
    </row>
    <row r="1080" spans="1:24" s="260" customFormat="1">
      <c r="A1080" s="261">
        <v>0.05</v>
      </c>
      <c r="B1080" s="87">
        <v>1</v>
      </c>
      <c r="C1080" s="262">
        <v>45790</v>
      </c>
      <c r="D1080" s="357" t="s">
        <v>2339</v>
      </c>
      <c r="E1080" s="271" t="s">
        <v>225</v>
      </c>
      <c r="F1080" s="265">
        <v>8614</v>
      </c>
      <c r="G1080" s="265">
        <f>39.7+(143.54)+(86.25+50.9-26.76)+750</f>
        <v>1043.6300000000001</v>
      </c>
      <c r="H1080" s="265"/>
      <c r="I1080" s="272">
        <f>F1080-G1080-H1080</f>
        <v>7570.37</v>
      </c>
      <c r="J1080" s="267"/>
      <c r="K1080" s="267">
        <v>1</v>
      </c>
      <c r="L1080" s="267"/>
      <c r="M1080" s="267"/>
      <c r="N1080" s="267">
        <v>1</v>
      </c>
      <c r="O1080" s="267">
        <v>1</v>
      </c>
      <c r="P1080" s="267">
        <v>1</v>
      </c>
      <c r="Q1080" s="267"/>
      <c r="R1080" s="267"/>
      <c r="S1080" s="269"/>
      <c r="T1080" s="63"/>
      <c r="U1080" s="10" t="s">
        <v>2340</v>
      </c>
      <c r="V1080" s="90"/>
      <c r="W1080" s="136"/>
      <c r="X1080" s="137"/>
    </row>
    <row r="1081" spans="1:24" s="260" customFormat="1">
      <c r="A1081" s="261">
        <v>0.05</v>
      </c>
      <c r="B1081" s="87">
        <f>B1080+1</f>
        <v>2</v>
      </c>
      <c r="C1081" s="295">
        <v>45880</v>
      </c>
      <c r="D1081" s="346" t="s">
        <v>2475</v>
      </c>
      <c r="E1081" s="101" t="s">
        <v>294</v>
      </c>
      <c r="F1081" s="62">
        <v>1542</v>
      </c>
      <c r="G1081" s="62">
        <f>39.7</f>
        <v>39.700000000000003</v>
      </c>
      <c r="H1081" s="62"/>
      <c r="I1081" s="89">
        <f>F1081-G1081-H1081</f>
        <v>1502.3</v>
      </c>
      <c r="J1081" s="63" t="s">
        <v>156</v>
      </c>
      <c r="K1081" s="63">
        <v>1</v>
      </c>
      <c r="L1081" s="325">
        <v>0</v>
      </c>
      <c r="M1081" s="63">
        <v>1</v>
      </c>
      <c r="N1081" s="63">
        <v>1</v>
      </c>
      <c r="O1081" s="63">
        <v>1</v>
      </c>
      <c r="P1081" s="63">
        <v>1</v>
      </c>
      <c r="Q1081" s="63">
        <v>1</v>
      </c>
      <c r="R1081" s="63">
        <v>1</v>
      </c>
      <c r="S1081" s="296">
        <v>1</v>
      </c>
      <c r="T1081" s="63"/>
      <c r="U1081" s="10" t="s">
        <v>2476</v>
      </c>
      <c r="V1081" s="90"/>
      <c r="W1081" s="91"/>
      <c r="X1081" s="92"/>
    </row>
    <row r="1082" spans="1:24" s="342" customFormat="1">
      <c r="A1082" s="261">
        <v>0.05</v>
      </c>
      <c r="B1082" s="87">
        <f>B1081+1</f>
        <v>3</v>
      </c>
      <c r="C1082" s="262">
        <v>45894</v>
      </c>
      <c r="D1082" s="263" t="s">
        <v>2540</v>
      </c>
      <c r="E1082" s="264" t="s">
        <v>780</v>
      </c>
      <c r="F1082" s="265">
        <v>15421.5</v>
      </c>
      <c r="G1082" s="265">
        <f>39.7+596.8+52.8+(47.03+38.86+165.2+49.48)+(216.39)+1500</f>
        <v>2706.2599999999998</v>
      </c>
      <c r="H1082" s="265"/>
      <c r="I1082" s="272">
        <f>F1082-G1082-H1082</f>
        <v>12715.24</v>
      </c>
      <c r="J1082" s="267" t="s">
        <v>156</v>
      </c>
      <c r="K1082" s="267">
        <v>1</v>
      </c>
      <c r="L1082" s="267">
        <v>1</v>
      </c>
      <c r="M1082" s="267">
        <v>1</v>
      </c>
      <c r="N1082" s="267">
        <v>1</v>
      </c>
      <c r="O1082" s="267">
        <v>1</v>
      </c>
      <c r="P1082" s="267">
        <v>1</v>
      </c>
      <c r="Q1082" s="267">
        <v>1</v>
      </c>
      <c r="R1082" s="267">
        <v>1</v>
      </c>
      <c r="S1082" s="269">
        <v>1</v>
      </c>
      <c r="T1082" s="63"/>
      <c r="U1082" s="10" t="s">
        <v>2541</v>
      </c>
      <c r="V1082" s="90"/>
      <c r="W1082" s="91"/>
      <c r="X1082" s="92"/>
    </row>
    <row r="1083" spans="1:24" s="260" customFormat="1">
      <c r="A1083" s="261" t="s">
        <v>2588</v>
      </c>
      <c r="B1083" s="87">
        <f>B1082+1</f>
        <v>4</v>
      </c>
      <c r="C1083" s="282">
        <v>45911</v>
      </c>
      <c r="D1083" s="368">
        <v>73228</v>
      </c>
      <c r="E1083" s="319" t="s">
        <v>1037</v>
      </c>
      <c r="F1083" s="284">
        <v>4914.8999999999996</v>
      </c>
      <c r="G1083" s="284">
        <f>39.7</f>
        <v>39.700000000000003</v>
      </c>
      <c r="H1083" s="284"/>
      <c r="I1083" s="285">
        <f>F1083-G1083-H1083</f>
        <v>4875.2</v>
      </c>
      <c r="J1083" s="286" t="s">
        <v>156</v>
      </c>
      <c r="K1083" s="286">
        <v>1</v>
      </c>
      <c r="L1083" s="286">
        <v>1</v>
      </c>
      <c r="M1083" s="286">
        <v>1</v>
      </c>
      <c r="N1083" s="286">
        <v>1</v>
      </c>
      <c r="O1083" s="286">
        <v>1</v>
      </c>
      <c r="P1083" s="286">
        <v>1</v>
      </c>
      <c r="Q1083" s="286">
        <v>1</v>
      </c>
      <c r="R1083" s="286">
        <v>1</v>
      </c>
      <c r="S1083" s="287">
        <v>1</v>
      </c>
      <c r="T1083" s="21"/>
      <c r="U1083" s="94" t="s">
        <v>2589</v>
      </c>
      <c r="V1083" s="90"/>
      <c r="W1083" s="91"/>
      <c r="X1083" s="92"/>
    </row>
    <row r="1084" spans="1:24" s="260" customFormat="1">
      <c r="B1084" s="11"/>
      <c r="C1084" s="270"/>
      <c r="D1084" s="10"/>
      <c r="E1084" s="10"/>
      <c r="F1084" s="97">
        <f>SUM(F1080:F1082)</f>
        <v>25577.5</v>
      </c>
      <c r="G1084" s="97">
        <f>SUM(G1080:G1082)</f>
        <v>3789.59</v>
      </c>
      <c r="H1084" s="97">
        <f>SUM(H1080:H1082)</f>
        <v>0</v>
      </c>
      <c r="I1084" s="97">
        <f>SUM(I1080:I1082)</f>
        <v>21787.91</v>
      </c>
      <c r="J1084" s="63"/>
      <c r="K1084" s="21"/>
      <c r="L1084" s="21"/>
      <c r="M1084" s="21"/>
      <c r="N1084" s="21"/>
      <c r="O1084" s="21"/>
      <c r="P1084" s="21"/>
      <c r="Q1084" s="21"/>
      <c r="R1084" s="21"/>
      <c r="S1084" s="21"/>
      <c r="T1084" s="63"/>
      <c r="U1084" s="10"/>
      <c r="V1084" s="90"/>
      <c r="W1084" s="91"/>
      <c r="X1084" s="92"/>
    </row>
    <row r="1085" spans="1:24" s="260" customFormat="1">
      <c r="B1085" s="11"/>
      <c r="C1085" s="270"/>
      <c r="D1085" s="10"/>
      <c r="E1085" s="10"/>
      <c r="F1085" s="88"/>
      <c r="G1085" s="88"/>
      <c r="H1085" s="88"/>
      <c r="I1085" s="99"/>
      <c r="J1085" s="63"/>
      <c r="K1085" s="21"/>
      <c r="L1085" s="21"/>
      <c r="M1085" s="21"/>
      <c r="N1085" s="21"/>
      <c r="O1085" s="21"/>
      <c r="P1085" s="21"/>
      <c r="Q1085" s="21"/>
      <c r="R1085" s="21"/>
      <c r="S1085" s="21"/>
      <c r="T1085" s="63"/>
      <c r="U1085" s="10"/>
      <c r="V1085" s="90"/>
      <c r="W1085" s="91"/>
      <c r="X1085" s="92"/>
    </row>
    <row r="1086" spans="1:24" s="260" customFormat="1">
      <c r="B1086" s="100" t="s">
        <v>202</v>
      </c>
      <c r="C1086" s="270"/>
      <c r="D1086" s="10"/>
      <c r="E1086" s="181"/>
      <c r="F1086" s="88"/>
      <c r="G1086" s="88"/>
      <c r="H1086" s="88"/>
      <c r="I1086" s="99"/>
      <c r="J1086" s="63"/>
      <c r="K1086" s="21"/>
      <c r="L1086" s="21"/>
      <c r="M1086" s="21"/>
      <c r="N1086" s="21"/>
      <c r="O1086" s="21"/>
      <c r="P1086" s="21"/>
      <c r="Q1086" s="21"/>
      <c r="R1086" s="21"/>
      <c r="S1086" s="21"/>
      <c r="T1086" s="63"/>
      <c r="U1086" s="10"/>
      <c r="V1086" s="90"/>
      <c r="W1086" s="91"/>
      <c r="X1086" s="92"/>
    </row>
    <row r="1087" spans="1:24" s="260" customFormat="1">
      <c r="A1087" s="261">
        <v>0.05</v>
      </c>
      <c r="B1087" s="87">
        <v>1</v>
      </c>
      <c r="C1087" s="274">
        <v>45863</v>
      </c>
      <c r="D1087" s="327" t="s">
        <v>2406</v>
      </c>
      <c r="E1087" s="276" t="s">
        <v>2398</v>
      </c>
      <c r="F1087" s="277">
        <v>14218</v>
      </c>
      <c r="G1087" s="277">
        <f>39.7+487.5+(78.82+18.7+38.9+17.61+45.74)+(21.28)+1000</f>
        <v>1748.25</v>
      </c>
      <c r="H1087" s="277"/>
      <c r="I1087" s="278">
        <f>F1087-G1087-H1087</f>
        <v>12469.75</v>
      </c>
      <c r="J1087" s="279" t="s">
        <v>156</v>
      </c>
      <c r="K1087" s="279">
        <v>1</v>
      </c>
      <c r="L1087" s="279"/>
      <c r="M1087" s="279">
        <v>1</v>
      </c>
      <c r="N1087" s="279">
        <v>1</v>
      </c>
      <c r="O1087" s="279">
        <v>1</v>
      </c>
      <c r="P1087" s="279">
        <v>1</v>
      </c>
      <c r="Q1087" s="279"/>
      <c r="R1087" s="279"/>
      <c r="S1087" s="280"/>
      <c r="T1087" s="63"/>
      <c r="U1087" s="94" t="s">
        <v>2407</v>
      </c>
      <c r="V1087" s="90"/>
      <c r="W1087" s="136"/>
      <c r="X1087" s="137"/>
    </row>
    <row r="1088" spans="1:24" s="260" customFormat="1">
      <c r="A1088" s="261">
        <v>0.1</v>
      </c>
      <c r="B1088" s="87">
        <f>B1087+1</f>
        <v>2</v>
      </c>
      <c r="C1088" s="262">
        <v>45911</v>
      </c>
      <c r="D1088" s="263" t="s">
        <v>2592</v>
      </c>
      <c r="E1088" s="271" t="s">
        <v>2080</v>
      </c>
      <c r="F1088" s="265">
        <v>16434.900000000001</v>
      </c>
      <c r="G1088" s="265">
        <f>5307.26+(217.8+133.26)+(255.51)+1500</f>
        <v>7413.8300000000008</v>
      </c>
      <c r="H1088" s="265"/>
      <c r="I1088" s="272">
        <f>F1088-G1088-H1088</f>
        <v>9021.07</v>
      </c>
      <c r="J1088" s="267" t="s">
        <v>156</v>
      </c>
      <c r="K1088" s="267">
        <v>1</v>
      </c>
      <c r="L1088" s="267"/>
      <c r="M1088" s="267">
        <v>1</v>
      </c>
      <c r="N1088" s="267">
        <v>1</v>
      </c>
      <c r="O1088" s="267">
        <v>1</v>
      </c>
      <c r="P1088" s="267">
        <v>1</v>
      </c>
      <c r="Q1088" s="267"/>
      <c r="R1088" s="267"/>
      <c r="S1088" s="269"/>
      <c r="T1088" s="63"/>
      <c r="U1088" s="94" t="s">
        <v>2619</v>
      </c>
      <c r="V1088" s="90">
        <f>3000+2000</f>
        <v>5000</v>
      </c>
      <c r="W1088" s="136"/>
      <c r="X1088" s="137"/>
    </row>
    <row r="1089" spans="1:24" s="260" customFormat="1">
      <c r="A1089" s="260" t="s">
        <v>2347</v>
      </c>
      <c r="B1089" s="11"/>
      <c r="C1089" s="270"/>
      <c r="D1089" s="10"/>
      <c r="E1089" s="10"/>
      <c r="F1089" s="97">
        <f>SUM(F1087:F1087)</f>
        <v>14218</v>
      </c>
      <c r="G1089" s="97">
        <f>SUM(G1087:G1087)</f>
        <v>1748.25</v>
      </c>
      <c r="H1089" s="97">
        <f>SUM(H1087:H1087)</f>
        <v>0</v>
      </c>
      <c r="I1089" s="97">
        <f>SUM(I1087:I1087)</f>
        <v>12469.75</v>
      </c>
      <c r="J1089" s="63"/>
      <c r="K1089" s="21"/>
      <c r="L1089" s="21"/>
      <c r="M1089" s="21"/>
      <c r="N1089" s="21"/>
      <c r="O1089" s="21"/>
      <c r="P1089" s="21"/>
      <c r="Q1089" s="21"/>
      <c r="R1089" s="21"/>
      <c r="S1089" s="21"/>
      <c r="T1089" s="63"/>
      <c r="V1089" s="90"/>
      <c r="W1089" s="91"/>
      <c r="X1089" s="92"/>
    </row>
    <row r="1090" spans="1:24" s="260" customFormat="1">
      <c r="B1090" s="11"/>
      <c r="C1090" s="270"/>
      <c r="D1090" s="10"/>
      <c r="E1090" s="10"/>
      <c r="F1090" s="88"/>
      <c r="G1090" s="88"/>
      <c r="H1090" s="88"/>
      <c r="I1090" s="88"/>
      <c r="J1090" s="63"/>
      <c r="K1090" s="21"/>
      <c r="L1090" s="21"/>
      <c r="M1090" s="21"/>
      <c r="N1090" s="21"/>
      <c r="O1090" s="21"/>
      <c r="P1090" s="21"/>
      <c r="Q1090" s="21"/>
      <c r="R1090" s="21"/>
      <c r="S1090" s="21"/>
      <c r="T1090" s="63"/>
      <c r="U1090" s="10"/>
      <c r="V1090" s="90"/>
      <c r="W1090" s="91"/>
      <c r="X1090" s="92"/>
    </row>
    <row r="1091" spans="1:24">
      <c r="B1091" s="100" t="s">
        <v>72</v>
      </c>
      <c r="C1091" s="36"/>
      <c r="D1091" s="10"/>
      <c r="E1091" s="10"/>
      <c r="F1091" s="88"/>
      <c r="G1091" s="88"/>
      <c r="H1091" s="88"/>
      <c r="I1091" s="99"/>
      <c r="J1091" s="63"/>
      <c r="K1091" s="63"/>
      <c r="L1091" s="63"/>
      <c r="M1091" s="63"/>
      <c r="N1091" s="63"/>
      <c r="O1091" s="63"/>
      <c r="P1091" s="63"/>
      <c r="Q1091" s="63"/>
      <c r="R1091" s="63"/>
      <c r="S1091" s="63"/>
      <c r="T1091" s="63"/>
      <c r="U1091" s="94"/>
      <c r="V1091" s="90"/>
      <c r="W1091" s="91"/>
      <c r="X1091" s="92"/>
    </row>
    <row r="1092" spans="1:24">
      <c r="B1092" s="87">
        <v>1</v>
      </c>
      <c r="C1092" s="274">
        <v>45922</v>
      </c>
      <c r="D1092" s="276">
        <v>73466</v>
      </c>
      <c r="E1092" s="276" t="s">
        <v>2620</v>
      </c>
      <c r="F1092" s="277">
        <v>861</v>
      </c>
      <c r="G1092" s="277">
        <f>39.7</f>
        <v>39.700000000000003</v>
      </c>
      <c r="H1092" s="277"/>
      <c r="I1092" s="278">
        <f>F1092-G1092-H1092</f>
        <v>821.3</v>
      </c>
      <c r="J1092" s="279" t="s">
        <v>205</v>
      </c>
      <c r="K1092" s="279">
        <v>1</v>
      </c>
      <c r="L1092" s="279"/>
      <c r="M1092" s="279"/>
      <c r="N1092" s="279">
        <v>1</v>
      </c>
      <c r="O1092" s="279"/>
      <c r="P1092" s="279"/>
      <c r="Q1092" s="279">
        <v>1</v>
      </c>
      <c r="R1092" s="279">
        <v>1</v>
      </c>
      <c r="S1092" s="280">
        <v>1</v>
      </c>
      <c r="T1092" s="21">
        <v>1</v>
      </c>
      <c r="U1092" s="164"/>
      <c r="V1092" s="90"/>
      <c r="W1092" s="91"/>
      <c r="X1092" s="92"/>
    </row>
    <row r="1093" spans="1:24">
      <c r="B1093" s="87">
        <f>B1092+1</f>
        <v>2</v>
      </c>
      <c r="C1093" s="295">
        <v>45922</v>
      </c>
      <c r="D1093" s="10">
        <v>73482</v>
      </c>
      <c r="E1093" s="10" t="s">
        <v>1013</v>
      </c>
      <c r="F1093" s="62">
        <v>1152.9000000000001</v>
      </c>
      <c r="G1093" s="62">
        <v>39.700000000000003</v>
      </c>
      <c r="H1093" s="62"/>
      <c r="I1093" s="89">
        <f t="shared" ref="I1093:I1113" si="203">F1093-G1093-H1093</f>
        <v>1113.2</v>
      </c>
      <c r="J1093" s="63" t="s">
        <v>205</v>
      </c>
      <c r="K1093" s="63">
        <v>1</v>
      </c>
      <c r="L1093" s="63"/>
      <c r="M1093" s="63"/>
      <c r="N1093" s="63">
        <v>1</v>
      </c>
      <c r="O1093" s="63"/>
      <c r="P1093" s="63"/>
      <c r="Q1093" s="63">
        <v>1</v>
      </c>
      <c r="R1093" s="63">
        <v>1</v>
      </c>
      <c r="S1093" s="296">
        <v>1</v>
      </c>
      <c r="T1093" s="63"/>
      <c r="U1093" s="94"/>
      <c r="V1093" s="90"/>
      <c r="W1093" s="136"/>
      <c r="X1093" s="137"/>
    </row>
    <row r="1094" spans="1:24">
      <c r="B1094" s="87">
        <f t="shared" ref="B1094:B1107" si="204">B1093+1</f>
        <v>3</v>
      </c>
      <c r="C1094" s="295">
        <v>45922</v>
      </c>
      <c r="D1094" s="10">
        <v>73492</v>
      </c>
      <c r="E1094" s="10" t="s">
        <v>2553</v>
      </c>
      <c r="F1094" s="62">
        <v>981</v>
      </c>
      <c r="G1094" s="62">
        <v>39.700000000000003</v>
      </c>
      <c r="H1094" s="62"/>
      <c r="I1094" s="89">
        <f t="shared" si="203"/>
        <v>941.3</v>
      </c>
      <c r="J1094" s="63" t="s">
        <v>205</v>
      </c>
      <c r="K1094" s="63">
        <v>1</v>
      </c>
      <c r="L1094" s="63"/>
      <c r="M1094" s="63"/>
      <c r="N1094" s="63">
        <v>1</v>
      </c>
      <c r="O1094" s="63"/>
      <c r="P1094" s="63"/>
      <c r="Q1094" s="63">
        <v>1</v>
      </c>
      <c r="R1094" s="63">
        <v>1</v>
      </c>
      <c r="S1094" s="296">
        <v>1</v>
      </c>
      <c r="T1094" s="63"/>
      <c r="U1094" s="94"/>
      <c r="V1094" s="90"/>
      <c r="W1094" s="136"/>
      <c r="X1094" s="137"/>
    </row>
    <row r="1095" spans="1:24">
      <c r="B1095" s="87">
        <f t="shared" si="204"/>
        <v>4</v>
      </c>
      <c r="C1095" s="295">
        <v>45922</v>
      </c>
      <c r="D1095" s="10">
        <v>73528</v>
      </c>
      <c r="E1095" s="10" t="s">
        <v>780</v>
      </c>
      <c r="F1095" s="62">
        <v>6814</v>
      </c>
      <c r="G1095" s="62">
        <v>39.700000000000003</v>
      </c>
      <c r="H1095" s="62"/>
      <c r="I1095" s="89">
        <f t="shared" si="203"/>
        <v>6774.3</v>
      </c>
      <c r="J1095" s="63" t="s">
        <v>205</v>
      </c>
      <c r="K1095" s="63"/>
      <c r="L1095" s="63"/>
      <c r="M1095" s="63"/>
      <c r="N1095" s="63">
        <v>1</v>
      </c>
      <c r="O1095" s="63"/>
      <c r="P1095" s="63"/>
      <c r="Q1095" s="63">
        <v>1</v>
      </c>
      <c r="R1095" s="63">
        <v>1</v>
      </c>
      <c r="S1095" s="296">
        <v>1</v>
      </c>
      <c r="T1095" s="63"/>
      <c r="U1095" s="94"/>
      <c r="V1095" s="90"/>
      <c r="W1095" s="136"/>
      <c r="X1095" s="137"/>
    </row>
    <row r="1096" spans="1:24">
      <c r="B1096" s="87">
        <f t="shared" si="204"/>
        <v>5</v>
      </c>
      <c r="C1096" s="295">
        <v>45922</v>
      </c>
      <c r="D1096" s="10">
        <v>73541</v>
      </c>
      <c r="E1096" s="10" t="s">
        <v>1156</v>
      </c>
      <c r="F1096" s="62">
        <v>3977.1</v>
      </c>
      <c r="G1096" s="62">
        <v>39.700000000000003</v>
      </c>
      <c r="H1096" s="62"/>
      <c r="I1096" s="89">
        <f t="shared" si="203"/>
        <v>3937.4</v>
      </c>
      <c r="J1096" s="63" t="s">
        <v>205</v>
      </c>
      <c r="K1096" s="63">
        <v>1</v>
      </c>
      <c r="L1096" s="63"/>
      <c r="M1096" s="63"/>
      <c r="N1096" s="63">
        <v>1</v>
      </c>
      <c r="O1096" s="63"/>
      <c r="P1096" s="63"/>
      <c r="Q1096" s="63">
        <v>1</v>
      </c>
      <c r="R1096" s="63">
        <v>1</v>
      </c>
      <c r="S1096" s="296">
        <v>1</v>
      </c>
      <c r="T1096" s="63"/>
      <c r="U1096" s="94"/>
      <c r="V1096" s="90"/>
      <c r="W1096" s="136"/>
      <c r="X1096" s="137"/>
    </row>
    <row r="1097" spans="1:24">
      <c r="B1097" s="87">
        <f t="shared" si="204"/>
        <v>6</v>
      </c>
      <c r="C1097" s="295">
        <v>45922</v>
      </c>
      <c r="D1097" s="10">
        <v>73562</v>
      </c>
      <c r="E1097" s="101" t="s">
        <v>1012</v>
      </c>
      <c r="F1097" s="62">
        <v>0</v>
      </c>
      <c r="G1097" s="62">
        <v>0</v>
      </c>
      <c r="H1097" s="62"/>
      <c r="I1097" s="89">
        <f t="shared" si="203"/>
        <v>0</v>
      </c>
      <c r="J1097" s="63" t="s">
        <v>205</v>
      </c>
      <c r="K1097" s="63">
        <v>1</v>
      </c>
      <c r="L1097" s="63"/>
      <c r="M1097" s="63"/>
      <c r="N1097" s="63"/>
      <c r="O1097" s="63"/>
      <c r="P1097" s="63"/>
      <c r="Q1097" s="63">
        <v>1</v>
      </c>
      <c r="R1097" s="63">
        <v>1</v>
      </c>
      <c r="S1097" s="296">
        <v>1</v>
      </c>
      <c r="T1097" s="21">
        <v>1</v>
      </c>
      <c r="U1097" s="94"/>
      <c r="V1097" s="90"/>
      <c r="W1097" s="136"/>
      <c r="X1097" s="137"/>
    </row>
    <row r="1098" spans="1:24">
      <c r="B1098" s="87">
        <f t="shared" si="204"/>
        <v>7</v>
      </c>
      <c r="C1098" s="274">
        <v>45923</v>
      </c>
      <c r="D1098" s="276">
        <v>73578</v>
      </c>
      <c r="E1098" s="281" t="s">
        <v>809</v>
      </c>
      <c r="F1098" s="277">
        <v>0</v>
      </c>
      <c r="G1098" s="277">
        <v>0</v>
      </c>
      <c r="H1098" s="277"/>
      <c r="I1098" s="278">
        <f t="shared" si="203"/>
        <v>0</v>
      </c>
      <c r="J1098" s="279" t="s">
        <v>205</v>
      </c>
      <c r="K1098" s="279">
        <v>1</v>
      </c>
      <c r="L1098" s="279"/>
      <c r="M1098" s="279"/>
      <c r="N1098" s="279"/>
      <c r="O1098" s="279"/>
      <c r="P1098" s="279"/>
      <c r="Q1098" s="279">
        <v>1</v>
      </c>
      <c r="R1098" s="279">
        <v>1</v>
      </c>
      <c r="S1098" s="280">
        <v>1</v>
      </c>
      <c r="T1098" s="21">
        <v>1</v>
      </c>
      <c r="U1098" s="94"/>
      <c r="V1098" s="90"/>
      <c r="W1098" s="136"/>
      <c r="X1098" s="137"/>
    </row>
    <row r="1099" spans="1:24">
      <c r="B1099" s="87">
        <f t="shared" si="204"/>
        <v>8</v>
      </c>
      <c r="C1099" s="295">
        <v>45923</v>
      </c>
      <c r="D1099" s="10">
        <v>73582</v>
      </c>
      <c r="E1099" s="101" t="s">
        <v>809</v>
      </c>
      <c r="F1099" s="62">
        <v>0</v>
      </c>
      <c r="G1099" s="62">
        <v>0</v>
      </c>
      <c r="H1099" s="62"/>
      <c r="I1099" s="89">
        <f t="shared" si="203"/>
        <v>0</v>
      </c>
      <c r="J1099" s="63" t="s">
        <v>205</v>
      </c>
      <c r="K1099" s="63"/>
      <c r="L1099" s="63"/>
      <c r="M1099" s="63"/>
      <c r="N1099" s="63"/>
      <c r="O1099" s="63"/>
      <c r="P1099" s="63"/>
      <c r="Q1099" s="63">
        <v>1</v>
      </c>
      <c r="R1099" s="63">
        <v>1</v>
      </c>
      <c r="S1099" s="296">
        <v>1</v>
      </c>
      <c r="T1099" s="63"/>
      <c r="U1099" s="94"/>
      <c r="V1099" s="90"/>
      <c r="W1099" s="136"/>
      <c r="X1099" s="137"/>
    </row>
    <row r="1100" spans="1:24">
      <c r="B1100" s="87">
        <f t="shared" si="204"/>
        <v>9</v>
      </c>
      <c r="C1100" s="295">
        <v>45923</v>
      </c>
      <c r="D1100" s="10">
        <v>73592</v>
      </c>
      <c r="E1100" s="101" t="s">
        <v>2374</v>
      </c>
      <c r="F1100" s="62">
        <v>0</v>
      </c>
      <c r="G1100" s="62">
        <v>0</v>
      </c>
      <c r="H1100" s="62"/>
      <c r="I1100" s="89">
        <f t="shared" si="203"/>
        <v>0</v>
      </c>
      <c r="J1100" s="63" t="s">
        <v>810</v>
      </c>
      <c r="K1100" s="63"/>
      <c r="L1100" s="63"/>
      <c r="M1100" s="63"/>
      <c r="N1100" s="63"/>
      <c r="O1100" s="63"/>
      <c r="P1100" s="63"/>
      <c r="Q1100" s="63"/>
      <c r="R1100" s="63"/>
      <c r="S1100" s="296"/>
      <c r="T1100" s="63"/>
      <c r="U1100" s="94"/>
      <c r="V1100" s="90"/>
      <c r="W1100" s="136"/>
      <c r="X1100" s="137"/>
    </row>
    <row r="1101" spans="1:24">
      <c r="B1101" s="87">
        <f t="shared" si="204"/>
        <v>10</v>
      </c>
      <c r="C1101" s="295">
        <v>45923</v>
      </c>
      <c r="D1101" s="10" t="s">
        <v>2621</v>
      </c>
      <c r="E1101" s="94" t="s">
        <v>1345</v>
      </c>
      <c r="F1101" s="62">
        <v>5814</v>
      </c>
      <c r="G1101" s="62">
        <v>39.700000000000003</v>
      </c>
      <c r="H1101" s="62"/>
      <c r="I1101" s="89">
        <f t="shared" si="203"/>
        <v>5774.3</v>
      </c>
      <c r="J1101" s="63" t="s">
        <v>205</v>
      </c>
      <c r="K1101" s="63">
        <v>1</v>
      </c>
      <c r="L1101" s="63"/>
      <c r="M1101" s="63"/>
      <c r="N1101" s="63">
        <v>1</v>
      </c>
      <c r="O1101" s="63"/>
      <c r="P1101" s="63"/>
      <c r="Q1101" s="63"/>
      <c r="R1101" s="63"/>
      <c r="S1101" s="296"/>
      <c r="T1101" s="63"/>
      <c r="U1101" s="94"/>
      <c r="V1101" s="90"/>
      <c r="W1101" s="136"/>
      <c r="X1101" s="137"/>
    </row>
    <row r="1102" spans="1:24">
      <c r="B1102" s="87">
        <f t="shared" si="204"/>
        <v>11</v>
      </c>
      <c r="C1102" s="274">
        <v>45924</v>
      </c>
      <c r="D1102" s="276" t="s">
        <v>2622</v>
      </c>
      <c r="E1102" s="276" t="s">
        <v>333</v>
      </c>
      <c r="F1102" s="277">
        <v>28614</v>
      </c>
      <c r="G1102" s="277">
        <v>39.700000000000003</v>
      </c>
      <c r="H1102" s="277"/>
      <c r="I1102" s="278">
        <f t="shared" si="203"/>
        <v>28574.3</v>
      </c>
      <c r="J1102" s="279" t="s">
        <v>205</v>
      </c>
      <c r="K1102" s="279">
        <v>1</v>
      </c>
      <c r="L1102" s="279"/>
      <c r="M1102" s="279"/>
      <c r="N1102" s="279">
        <v>1</v>
      </c>
      <c r="O1102" s="279"/>
      <c r="P1102" s="279"/>
      <c r="Q1102" s="279"/>
      <c r="R1102" s="279"/>
      <c r="S1102" s="280"/>
      <c r="T1102" s="63"/>
      <c r="U1102" s="94"/>
      <c r="V1102" s="90"/>
      <c r="W1102" s="136"/>
      <c r="X1102" s="137"/>
    </row>
    <row r="1103" spans="1:24">
      <c r="B1103" s="87">
        <f t="shared" si="204"/>
        <v>12</v>
      </c>
      <c r="C1103" s="295">
        <v>45924</v>
      </c>
      <c r="D1103" s="10">
        <v>73540</v>
      </c>
      <c r="E1103" s="101" t="s">
        <v>1666</v>
      </c>
      <c r="F1103" s="62">
        <v>0</v>
      </c>
      <c r="G1103" s="62">
        <v>0</v>
      </c>
      <c r="H1103" s="62"/>
      <c r="I1103" s="89">
        <f t="shared" si="203"/>
        <v>0</v>
      </c>
      <c r="J1103" s="63" t="s">
        <v>205</v>
      </c>
      <c r="K1103" s="63"/>
      <c r="L1103" s="63"/>
      <c r="M1103" s="63"/>
      <c r="N1103" s="63"/>
      <c r="O1103" s="63"/>
      <c r="P1103" s="63"/>
      <c r="Q1103" s="63">
        <v>1</v>
      </c>
      <c r="R1103" s="63">
        <v>1</v>
      </c>
      <c r="S1103" s="296">
        <v>1</v>
      </c>
      <c r="T1103" s="63"/>
      <c r="U1103" s="94"/>
      <c r="V1103" s="90"/>
      <c r="W1103" s="136"/>
      <c r="X1103" s="137"/>
    </row>
    <row r="1104" spans="1:24">
      <c r="B1104" s="87">
        <f t="shared" si="204"/>
        <v>13</v>
      </c>
      <c r="C1104" s="295">
        <v>45924</v>
      </c>
      <c r="D1104" s="10">
        <v>73618</v>
      </c>
      <c r="E1104" s="101" t="s">
        <v>1288</v>
      </c>
      <c r="F1104" s="62">
        <v>0</v>
      </c>
      <c r="G1104" s="62">
        <v>0</v>
      </c>
      <c r="H1104" s="62"/>
      <c r="I1104" s="89">
        <f t="shared" si="203"/>
        <v>0</v>
      </c>
      <c r="J1104" s="63" t="s">
        <v>205</v>
      </c>
      <c r="K1104" s="63"/>
      <c r="L1104" s="63"/>
      <c r="M1104" s="63"/>
      <c r="N1104" s="63"/>
      <c r="O1104" s="63"/>
      <c r="P1104" s="63"/>
      <c r="Q1104" s="63">
        <v>1</v>
      </c>
      <c r="R1104" s="63">
        <v>1</v>
      </c>
      <c r="S1104" s="296">
        <v>1</v>
      </c>
      <c r="T1104" s="63"/>
      <c r="U1104" s="94"/>
      <c r="V1104" s="90"/>
      <c r="W1104" s="136"/>
      <c r="X1104" s="137"/>
    </row>
    <row r="1105" spans="1:24">
      <c r="B1105" s="87">
        <f t="shared" si="204"/>
        <v>14</v>
      </c>
      <c r="C1105" s="295">
        <v>45924</v>
      </c>
      <c r="D1105" s="10" t="s">
        <v>2623</v>
      </c>
      <c r="E1105" s="101" t="s">
        <v>1249</v>
      </c>
      <c r="F1105" s="62">
        <v>891</v>
      </c>
      <c r="G1105" s="62">
        <v>39.700000000000003</v>
      </c>
      <c r="H1105" s="62"/>
      <c r="I1105" s="89">
        <f t="shared" si="203"/>
        <v>851.3</v>
      </c>
      <c r="J1105" s="63" t="s">
        <v>205</v>
      </c>
      <c r="K1105" s="63">
        <v>1</v>
      </c>
      <c r="L1105" s="63"/>
      <c r="M1105" s="63"/>
      <c r="N1105" s="63">
        <v>1</v>
      </c>
      <c r="O1105" s="63"/>
      <c r="P1105" s="63"/>
      <c r="Q1105" s="63"/>
      <c r="R1105" s="63"/>
      <c r="S1105" s="296"/>
      <c r="T1105" s="63"/>
      <c r="U1105" s="94"/>
      <c r="V1105" s="90"/>
      <c r="W1105" s="136"/>
      <c r="X1105" s="137"/>
    </row>
    <row r="1106" spans="1:24">
      <c r="B1106" s="87">
        <f t="shared" si="204"/>
        <v>15</v>
      </c>
      <c r="C1106" s="295">
        <v>45924</v>
      </c>
      <c r="D1106" s="10" t="s">
        <v>2624</v>
      </c>
      <c r="E1106" s="101" t="s">
        <v>1249</v>
      </c>
      <c r="F1106" s="62">
        <v>18161</v>
      </c>
      <c r="G1106" s="62">
        <v>39.700000000000003</v>
      </c>
      <c r="H1106" s="62"/>
      <c r="I1106" s="89">
        <f t="shared" si="203"/>
        <v>18121.3</v>
      </c>
      <c r="J1106" s="63" t="s">
        <v>205</v>
      </c>
      <c r="K1106" s="63">
        <v>1</v>
      </c>
      <c r="L1106" s="63"/>
      <c r="M1106" s="63"/>
      <c r="N1106" s="63">
        <v>1</v>
      </c>
      <c r="O1106" s="63"/>
      <c r="P1106" s="63"/>
      <c r="Q1106" s="63"/>
      <c r="R1106" s="63"/>
      <c r="S1106" s="296"/>
      <c r="T1106" s="63"/>
      <c r="U1106" s="94"/>
      <c r="V1106" s="90"/>
      <c r="W1106" s="136"/>
      <c r="X1106" s="137"/>
    </row>
    <row r="1107" spans="1:24">
      <c r="B1107" s="87">
        <f t="shared" si="204"/>
        <v>16</v>
      </c>
      <c r="C1107" s="295">
        <v>45924</v>
      </c>
      <c r="D1107" s="10">
        <v>73337</v>
      </c>
      <c r="E1107" s="10" t="s">
        <v>769</v>
      </c>
      <c r="F1107" s="62">
        <v>0</v>
      </c>
      <c r="G1107" s="62">
        <v>0</v>
      </c>
      <c r="H1107" s="62"/>
      <c r="I1107" s="89">
        <f t="shared" si="203"/>
        <v>0</v>
      </c>
      <c r="J1107" s="63" t="s">
        <v>219</v>
      </c>
      <c r="K1107" s="63"/>
      <c r="L1107" s="63"/>
      <c r="M1107" s="63"/>
      <c r="N1107" s="63"/>
      <c r="O1107" s="63"/>
      <c r="P1107" s="63"/>
      <c r="Q1107" s="63"/>
      <c r="R1107" s="63"/>
      <c r="S1107" s="296"/>
      <c r="T1107" s="63"/>
      <c r="U1107" s="94"/>
      <c r="V1107" s="90"/>
      <c r="W1107" s="136"/>
      <c r="X1107" s="137"/>
    </row>
    <row r="1108" spans="1:24">
      <c r="B1108" s="87">
        <f>B1107+1</f>
        <v>17</v>
      </c>
      <c r="C1108" s="274">
        <v>45925</v>
      </c>
      <c r="D1108" s="276">
        <v>73648</v>
      </c>
      <c r="E1108" s="276" t="s">
        <v>1085</v>
      </c>
      <c r="F1108" s="277">
        <v>571</v>
      </c>
      <c r="G1108" s="277"/>
      <c r="H1108" s="277"/>
      <c r="I1108" s="278">
        <f t="shared" si="203"/>
        <v>571</v>
      </c>
      <c r="J1108" s="279" t="s">
        <v>205</v>
      </c>
      <c r="K1108" s="279">
        <v>1</v>
      </c>
      <c r="L1108" s="279"/>
      <c r="M1108" s="279"/>
      <c r="N1108" s="279">
        <v>1</v>
      </c>
      <c r="O1108" s="279"/>
      <c r="P1108" s="279"/>
      <c r="Q1108" s="279">
        <v>1</v>
      </c>
      <c r="R1108" s="279">
        <v>1</v>
      </c>
      <c r="S1108" s="280"/>
      <c r="T1108" s="63"/>
      <c r="U1108" s="94"/>
      <c r="V1108" s="90"/>
      <c r="W1108" s="136"/>
      <c r="X1108" s="137"/>
    </row>
    <row r="1109" spans="1:24">
      <c r="B1109" s="87">
        <f>B1108+1</f>
        <v>18</v>
      </c>
      <c r="C1109" s="295">
        <v>45925</v>
      </c>
      <c r="D1109" s="10">
        <v>73622</v>
      </c>
      <c r="E1109" s="10" t="s">
        <v>2625</v>
      </c>
      <c r="F1109" s="62">
        <v>2261</v>
      </c>
      <c r="G1109" s="62">
        <v>39.700000000000003</v>
      </c>
      <c r="H1109" s="62"/>
      <c r="I1109" s="89">
        <f t="shared" si="203"/>
        <v>2221.3000000000002</v>
      </c>
      <c r="J1109" s="63" t="s">
        <v>205</v>
      </c>
      <c r="K1109" s="63">
        <v>1</v>
      </c>
      <c r="L1109" s="63"/>
      <c r="M1109" s="63"/>
      <c r="N1109" s="63">
        <v>1</v>
      </c>
      <c r="O1109" s="63"/>
      <c r="P1109" s="63"/>
      <c r="Q1109" s="63">
        <v>1</v>
      </c>
      <c r="R1109" s="63">
        <v>1</v>
      </c>
      <c r="S1109" s="296">
        <v>1</v>
      </c>
      <c r="T1109" s="63"/>
      <c r="U1109" s="94"/>
      <c r="V1109" s="90"/>
      <c r="W1109" s="136"/>
      <c r="X1109" s="137"/>
    </row>
    <row r="1110" spans="1:24">
      <c r="B1110" s="87">
        <f>B1109+1</f>
        <v>19</v>
      </c>
      <c r="C1110" s="295">
        <v>45925</v>
      </c>
      <c r="D1110" s="10">
        <v>73659</v>
      </c>
      <c r="E1110" s="10" t="s">
        <v>1008</v>
      </c>
      <c r="F1110" s="62">
        <v>4461</v>
      </c>
      <c r="G1110" s="62">
        <v>39.700000000000003</v>
      </c>
      <c r="H1110" s="62"/>
      <c r="I1110" s="89">
        <f t="shared" si="203"/>
        <v>4421.3</v>
      </c>
      <c r="J1110" s="63" t="s">
        <v>205</v>
      </c>
      <c r="K1110" s="63">
        <v>1</v>
      </c>
      <c r="L1110" s="63"/>
      <c r="M1110" s="63"/>
      <c r="N1110" s="63">
        <v>1</v>
      </c>
      <c r="O1110" s="63"/>
      <c r="P1110" s="63"/>
      <c r="Q1110" s="63">
        <v>1</v>
      </c>
      <c r="R1110" s="63">
        <v>1</v>
      </c>
      <c r="S1110" s="296">
        <v>1</v>
      </c>
      <c r="T1110" s="63"/>
      <c r="U1110" s="94"/>
      <c r="V1110" s="90"/>
      <c r="W1110" s="136"/>
      <c r="X1110" s="137"/>
    </row>
    <row r="1111" spans="1:24">
      <c r="B1111" s="87">
        <f>B1110+1</f>
        <v>20</v>
      </c>
      <c r="C1111" s="295">
        <v>45925</v>
      </c>
      <c r="D1111" s="10">
        <v>73689</v>
      </c>
      <c r="E1111" s="10" t="s">
        <v>1313</v>
      </c>
      <c r="F1111" s="62">
        <v>681</v>
      </c>
      <c r="G1111" s="62"/>
      <c r="H1111" s="62"/>
      <c r="I1111" s="89">
        <f t="shared" si="203"/>
        <v>681</v>
      </c>
      <c r="J1111" s="63" t="s">
        <v>205</v>
      </c>
      <c r="K1111" s="63">
        <v>1</v>
      </c>
      <c r="L1111" s="63"/>
      <c r="M1111" s="63"/>
      <c r="N1111" s="63">
        <v>1</v>
      </c>
      <c r="O1111" s="63"/>
      <c r="P1111" s="63"/>
      <c r="Q1111" s="63">
        <v>1</v>
      </c>
      <c r="R1111" s="63">
        <v>1</v>
      </c>
      <c r="S1111" s="296">
        <v>1</v>
      </c>
      <c r="T1111" s="63"/>
      <c r="U1111" s="94"/>
      <c r="V1111" s="90"/>
      <c r="W1111" s="136"/>
      <c r="X1111" s="137"/>
    </row>
    <row r="1112" spans="1:24">
      <c r="B1112" s="87">
        <f>B1111+1</f>
        <v>21</v>
      </c>
      <c r="C1112" s="295">
        <v>45925</v>
      </c>
      <c r="D1112" s="10">
        <v>73662</v>
      </c>
      <c r="E1112" s="10" t="s">
        <v>761</v>
      </c>
      <c r="F1112" s="62">
        <v>1242</v>
      </c>
      <c r="G1112" s="62">
        <v>39.700000000000003</v>
      </c>
      <c r="H1112" s="62"/>
      <c r="I1112" s="89">
        <f t="shared" si="203"/>
        <v>1202.3</v>
      </c>
      <c r="J1112" s="63" t="s">
        <v>205</v>
      </c>
      <c r="K1112" s="63">
        <v>1</v>
      </c>
      <c r="L1112" s="63"/>
      <c r="M1112" s="63"/>
      <c r="N1112" s="63">
        <v>1</v>
      </c>
      <c r="O1112" s="63"/>
      <c r="P1112" s="63"/>
      <c r="Q1112" s="63">
        <v>1</v>
      </c>
      <c r="R1112" s="63">
        <v>1</v>
      </c>
      <c r="S1112" s="296">
        <v>1</v>
      </c>
      <c r="T1112" s="63"/>
      <c r="U1112" s="94"/>
      <c r="V1112" s="90"/>
      <c r="W1112" s="136"/>
      <c r="X1112" s="137"/>
    </row>
    <row r="1113" spans="1:24">
      <c r="B1113" s="87">
        <f>B1112+1</f>
        <v>22</v>
      </c>
      <c r="C1113" s="282">
        <v>45925</v>
      </c>
      <c r="D1113" s="283">
        <v>73679</v>
      </c>
      <c r="E1113" s="283" t="s">
        <v>604</v>
      </c>
      <c r="F1113" s="284">
        <v>1419</v>
      </c>
      <c r="G1113" s="284">
        <v>39.700000000000003</v>
      </c>
      <c r="H1113" s="284"/>
      <c r="I1113" s="285">
        <f t="shared" si="203"/>
        <v>1379.3</v>
      </c>
      <c r="J1113" s="286" t="s">
        <v>205</v>
      </c>
      <c r="K1113" s="286">
        <v>1</v>
      </c>
      <c r="L1113" s="286"/>
      <c r="M1113" s="286"/>
      <c r="N1113" s="286">
        <v>1</v>
      </c>
      <c r="O1113" s="286"/>
      <c r="P1113" s="286"/>
      <c r="Q1113" s="286">
        <v>1</v>
      </c>
      <c r="R1113" s="286">
        <v>1</v>
      </c>
      <c r="S1113" s="287">
        <v>1</v>
      </c>
      <c r="T1113" s="63"/>
      <c r="U1113" s="94"/>
      <c r="V1113" s="90"/>
      <c r="W1113" s="136"/>
      <c r="X1113" s="137"/>
    </row>
    <row r="1114" spans="1:24">
      <c r="B1114" s="11"/>
      <c r="C1114" s="36"/>
      <c r="D1114" s="10"/>
      <c r="E1114" s="10"/>
      <c r="F1114" s="97">
        <f>SUM(F1092:F1113)</f>
        <v>77901</v>
      </c>
      <c r="G1114" s="97">
        <f>SUM(G1092:G1113)</f>
        <v>516.09999999999991</v>
      </c>
      <c r="H1114" s="97">
        <f>SUM(H1092:H1113)</f>
        <v>0</v>
      </c>
      <c r="I1114" s="98">
        <f>SUM(I1092:I1113)</f>
        <v>77384.900000000009</v>
      </c>
      <c r="J1114" s="10"/>
      <c r="K1114" s="10"/>
      <c r="L1114" s="10"/>
      <c r="M1114" s="10"/>
      <c r="N1114" s="10"/>
      <c r="O1114" s="10"/>
      <c r="P1114" s="10"/>
      <c r="Q1114" s="10"/>
      <c r="R1114" s="10"/>
      <c r="S1114" s="10"/>
      <c r="T1114" s="63"/>
      <c r="U1114" s="94"/>
      <c r="V1114" s="90"/>
      <c r="W1114" s="91"/>
      <c r="X1114" s="92"/>
    </row>
    <row r="1115" spans="1:24">
      <c r="B1115" s="26"/>
      <c r="C1115" s="612"/>
      <c r="D1115" s="141"/>
      <c r="E1115" s="141"/>
      <c r="F1115" s="141"/>
      <c r="G1115" s="141"/>
      <c r="H1115" s="141"/>
      <c r="I1115" s="141"/>
      <c r="J1115" s="141"/>
      <c r="K1115" s="142"/>
      <c r="L1115" s="142"/>
      <c r="M1115" s="142"/>
      <c r="N1115" s="142"/>
      <c r="O1115" s="142"/>
      <c r="P1115" s="142"/>
      <c r="Q1115" s="142"/>
      <c r="R1115" s="142"/>
      <c r="S1115" s="142"/>
      <c r="T1115" s="143">
        <f>SUM(T1057:T1114)</f>
        <v>8</v>
      </c>
      <c r="U1115" s="168"/>
      <c r="V1115" s="144">
        <f>SUM(V1057:V1114)</f>
        <v>43672.7</v>
      </c>
      <c r="W1115" s="145">
        <f>SUM(W1057:W1114)</f>
        <v>0</v>
      </c>
      <c r="X1115" s="146">
        <f>SUM(X1057:X1114)</f>
        <v>0</v>
      </c>
    </row>
    <row r="1116" spans="1:24">
      <c r="B1116" s="2"/>
      <c r="C1116" s="2"/>
      <c r="D1116" s="2"/>
      <c r="E1116" s="2"/>
      <c r="F1116" s="2"/>
      <c r="G1116" s="2"/>
      <c r="H1116" s="2"/>
      <c r="I1116" s="2"/>
      <c r="J1116" s="2"/>
      <c r="K1116" s="2"/>
      <c r="L1116" s="2"/>
      <c r="M1116" s="2"/>
      <c r="N1116" s="2"/>
      <c r="O1116" s="2"/>
      <c r="P1116" s="2"/>
      <c r="Q1116" s="2"/>
      <c r="R1116" s="2"/>
      <c r="S1116" s="2"/>
      <c r="T1116" s="2"/>
      <c r="U1116" s="2"/>
      <c r="V1116" s="2"/>
      <c r="W1116" s="2"/>
      <c r="X1116" s="2"/>
    </row>
    <row r="1118" spans="1:24">
      <c r="A1118" s="616" t="s">
        <v>74</v>
      </c>
      <c r="B1118" s="4" t="s">
        <v>1</v>
      </c>
      <c r="C1118" s="5"/>
      <c r="D1118" s="83"/>
      <c r="E1118" s="6"/>
      <c r="F1118" s="7" t="s">
        <v>2</v>
      </c>
      <c r="G1118" s="608">
        <v>45935</v>
      </c>
      <c r="H1118" s="7"/>
      <c r="I1118" s="6"/>
      <c r="J1118" s="6"/>
      <c r="K1118" s="6"/>
      <c r="L1118" s="6"/>
      <c r="M1118" s="6"/>
      <c r="N1118" s="6"/>
      <c r="O1118" s="6"/>
      <c r="P1118" s="6"/>
      <c r="Q1118" s="6"/>
      <c r="R1118" s="6"/>
      <c r="S1118" s="6"/>
      <c r="T1118" s="6"/>
      <c r="U1118" s="149"/>
      <c r="V1118" s="77"/>
      <c r="W1118" s="77"/>
      <c r="X1118" s="77"/>
    </row>
    <row r="1119" spans="1:24">
      <c r="A1119" s="617" t="s">
        <v>75</v>
      </c>
      <c r="B1119" s="11"/>
      <c r="C1119" s="10"/>
      <c r="D1119" s="63"/>
      <c r="E1119" s="10"/>
      <c r="F1119" s="10"/>
      <c r="G1119" s="7"/>
      <c r="H1119" s="12"/>
      <c r="I1119" s="10"/>
      <c r="J1119" s="10"/>
      <c r="K1119" s="13" t="s">
        <v>3</v>
      </c>
      <c r="L1119" s="14"/>
      <c r="M1119" s="15"/>
      <c r="N1119" s="13" t="s">
        <v>4</v>
      </c>
      <c r="O1119" s="14"/>
      <c r="P1119" s="15"/>
      <c r="Q1119" s="13" t="s">
        <v>5</v>
      </c>
      <c r="R1119" s="14"/>
      <c r="S1119" s="15"/>
      <c r="T1119" s="16"/>
      <c r="U1119" s="151"/>
      <c r="V1119" s="77"/>
      <c r="W1119" s="77"/>
      <c r="X1119" s="77"/>
    </row>
    <row r="1120" spans="1:24">
      <c r="A1120" s="616" t="s">
        <v>76</v>
      </c>
      <c r="B1120" s="18" t="s">
        <v>6</v>
      </c>
      <c r="C1120" s="19">
        <f>C1121+C1122</f>
        <v>33</v>
      </c>
      <c r="D1120" s="63"/>
      <c r="E1120" s="18" t="s">
        <v>7</v>
      </c>
      <c r="F1120" s="6"/>
      <c r="G1120" s="9"/>
      <c r="H1120" s="10"/>
      <c r="I1120" s="10"/>
      <c r="J1120" s="10"/>
      <c r="K1120" s="20" t="s">
        <v>8</v>
      </c>
      <c r="L1120" s="21" t="s">
        <v>9</v>
      </c>
      <c r="M1120" s="21" t="s">
        <v>10</v>
      </c>
      <c r="N1120" s="20" t="s">
        <v>11</v>
      </c>
      <c r="O1120" s="21" t="s">
        <v>12</v>
      </c>
      <c r="P1120" s="22" t="s">
        <v>13</v>
      </c>
      <c r="Q1120" s="21" t="s">
        <v>11</v>
      </c>
      <c r="R1120" s="21" t="s">
        <v>12</v>
      </c>
      <c r="S1120" s="22" t="s">
        <v>13</v>
      </c>
      <c r="T1120" s="23" t="s">
        <v>14</v>
      </c>
      <c r="U1120" s="151"/>
      <c r="V1120" s="77"/>
      <c r="W1120" s="77"/>
      <c r="X1120" s="77"/>
    </row>
    <row r="1121" spans="1:24">
      <c r="A1121" s="652" t="s">
        <v>77</v>
      </c>
      <c r="B1121" s="24" t="s">
        <v>15</v>
      </c>
      <c r="C1121" s="25">
        <f>P1128</f>
        <v>17</v>
      </c>
      <c r="D1121" s="63"/>
      <c r="E1121" s="11" t="s">
        <v>16</v>
      </c>
      <c r="F1121" s="10" t="s">
        <v>78</v>
      </c>
      <c r="G1121" s="153">
        <v>0.05</v>
      </c>
      <c r="H1121" s="10"/>
      <c r="I1121" s="10"/>
      <c r="J1121" s="18" t="s">
        <v>17</v>
      </c>
      <c r="K1121" s="29">
        <f>K1160</f>
        <v>13</v>
      </c>
      <c r="L1121" s="29">
        <f t="shared" ref="L1121:S1121" si="205">L1160</f>
        <v>12</v>
      </c>
      <c r="M1121" s="29">
        <f t="shared" si="205"/>
        <v>13</v>
      </c>
      <c r="N1121" s="29">
        <f t="shared" si="205"/>
        <v>12</v>
      </c>
      <c r="O1121" s="29">
        <f t="shared" si="205"/>
        <v>12</v>
      </c>
      <c r="P1121" s="29">
        <f t="shared" si="205"/>
        <v>11</v>
      </c>
      <c r="Q1121" s="29">
        <f t="shared" si="205"/>
        <v>13</v>
      </c>
      <c r="R1121" s="29">
        <f t="shared" si="205"/>
        <v>13</v>
      </c>
      <c r="S1121" s="29">
        <f t="shared" si="205"/>
        <v>13</v>
      </c>
      <c r="T1121" s="30">
        <f>T1219</f>
        <v>5</v>
      </c>
      <c r="U1121" s="151"/>
      <c r="V1121" s="77"/>
      <c r="W1121" s="77"/>
      <c r="X1121" s="77"/>
    </row>
    <row r="1122" spans="1:24">
      <c r="A1122" s="652" t="s">
        <v>79</v>
      </c>
      <c r="B1122" s="24" t="s">
        <v>18</v>
      </c>
      <c r="C1122" s="25">
        <f>P1129</f>
        <v>16</v>
      </c>
      <c r="D1122" s="63"/>
      <c r="E1122" s="26" t="s">
        <v>80</v>
      </c>
      <c r="F1122" s="141" t="s">
        <v>81</v>
      </c>
      <c r="G1122" s="154">
        <v>0.1</v>
      </c>
      <c r="H1122" s="10"/>
      <c r="I1122" s="10"/>
      <c r="J1122" s="32" t="s">
        <v>19</v>
      </c>
      <c r="K1122" s="33">
        <f>K1160/K1159</f>
        <v>1</v>
      </c>
      <c r="L1122" s="33">
        <f t="shared" ref="L1122:S1122" si="206">L1160/L1159</f>
        <v>0.92307692307692313</v>
      </c>
      <c r="M1122" s="33">
        <f t="shared" si="206"/>
        <v>1</v>
      </c>
      <c r="N1122" s="33">
        <f t="shared" si="206"/>
        <v>0.92307692307692313</v>
      </c>
      <c r="O1122" s="33">
        <f t="shared" si="206"/>
        <v>0.92307692307692313</v>
      </c>
      <c r="P1122" s="33">
        <f t="shared" si="206"/>
        <v>0.84615384615384615</v>
      </c>
      <c r="Q1122" s="33">
        <f t="shared" si="206"/>
        <v>1</v>
      </c>
      <c r="R1122" s="33">
        <f t="shared" si="206"/>
        <v>1</v>
      </c>
      <c r="S1122" s="33">
        <f t="shared" si="206"/>
        <v>1</v>
      </c>
      <c r="T1122" s="23"/>
      <c r="U1122" s="151" t="s">
        <v>20</v>
      </c>
      <c r="V1122" s="77"/>
      <c r="W1122" s="77"/>
      <c r="X1122" s="77"/>
    </row>
    <row r="1123" spans="1:24">
      <c r="A1123" s="652" t="s">
        <v>82</v>
      </c>
      <c r="B1123" s="24" t="s">
        <v>21</v>
      </c>
      <c r="C1123" s="34">
        <f>P1130</f>
        <v>0.51515151515151514</v>
      </c>
      <c r="D1123" s="63"/>
      <c r="E1123" s="10"/>
      <c r="F1123" s="10"/>
      <c r="G1123" s="10"/>
      <c r="H1123" s="10"/>
      <c r="I1123" s="10"/>
      <c r="J1123" s="10"/>
      <c r="K1123" s="10"/>
      <c r="L1123" s="10"/>
      <c r="M1123" s="10"/>
      <c r="N1123" s="10"/>
      <c r="O1123" s="10"/>
      <c r="P1123" s="10"/>
      <c r="Q1123" s="10"/>
      <c r="R1123" s="10"/>
      <c r="S1123" s="10"/>
      <c r="T1123" s="10"/>
      <c r="U1123" s="151"/>
      <c r="V1123" s="77"/>
      <c r="W1123" s="77"/>
      <c r="X1123" s="77"/>
    </row>
    <row r="1124" spans="1:24">
      <c r="A1124" s="652" t="s">
        <v>83</v>
      </c>
      <c r="B1124" s="24"/>
      <c r="C1124" s="25"/>
      <c r="D1124" s="63"/>
      <c r="E1124" s="10"/>
      <c r="F1124" s="18" t="s">
        <v>22</v>
      </c>
      <c r="G1124" s="19" t="s">
        <v>23</v>
      </c>
      <c r="H1124" s="35" t="s">
        <v>24</v>
      </c>
      <c r="I1124" s="10"/>
      <c r="J1124" s="10"/>
      <c r="K1124" s="36"/>
      <c r="L1124" s="36"/>
      <c r="M1124" s="36"/>
      <c r="N1124" s="36"/>
      <c r="O1124" s="36"/>
      <c r="P1124" s="36"/>
      <c r="Q1124" s="36"/>
      <c r="R1124" s="10"/>
      <c r="S1124" s="10"/>
      <c r="T1124" s="10"/>
      <c r="U1124" s="151"/>
      <c r="V1124" s="77"/>
      <c r="W1124" s="77"/>
      <c r="X1124" s="77"/>
    </row>
    <row r="1125" spans="1:24">
      <c r="A1125" s="614"/>
      <c r="B1125" s="32" t="s">
        <v>25</v>
      </c>
      <c r="C1125" s="37">
        <f>P1131</f>
        <v>3301.0511764705884</v>
      </c>
      <c r="D1125" s="63"/>
      <c r="E1125" s="18" t="s">
        <v>26</v>
      </c>
      <c r="F1125" s="38">
        <f>P1127</f>
        <v>56117.87</v>
      </c>
      <c r="G1125" s="39">
        <f>I1159+I1179+I1183</f>
        <v>56117.869999999995</v>
      </c>
      <c r="H1125" s="40"/>
      <c r="I1125" s="41"/>
      <c r="J1125" s="42"/>
      <c r="K1125" s="43" t="s">
        <v>27</v>
      </c>
      <c r="L1125" s="44"/>
      <c r="M1125" s="44"/>
      <c r="N1125" s="44"/>
      <c r="O1125" s="44"/>
      <c r="P1125" s="44"/>
      <c r="Q1125" s="45"/>
      <c r="R1125" s="46" t="s">
        <v>28</v>
      </c>
      <c r="S1125" s="47" t="s">
        <v>29</v>
      </c>
      <c r="T1125" s="10"/>
      <c r="U1125" s="151"/>
      <c r="V1125" s="77"/>
      <c r="W1125" s="77"/>
      <c r="X1125" s="77"/>
    </row>
    <row r="1126" spans="1:24">
      <c r="A1126" s="614"/>
      <c r="B1126" s="11"/>
      <c r="C1126" s="10"/>
      <c r="D1126" s="63"/>
      <c r="E1126" s="24" t="s">
        <v>30</v>
      </c>
      <c r="F1126" s="48">
        <f>IF(F1125&gt;=25000,10%,5%)</f>
        <v>0.1</v>
      </c>
      <c r="G1126" s="17"/>
      <c r="H1126" s="40"/>
      <c r="I1126" s="41"/>
      <c r="J1126" s="42"/>
      <c r="K1126" s="20" t="s">
        <v>31</v>
      </c>
      <c r="L1126" s="21" t="s">
        <v>32</v>
      </c>
      <c r="M1126" s="21" t="s">
        <v>33</v>
      </c>
      <c r="N1126" s="21" t="s">
        <v>34</v>
      </c>
      <c r="O1126" s="21" t="s">
        <v>35</v>
      </c>
      <c r="P1126" s="21" t="s">
        <v>36</v>
      </c>
      <c r="Q1126" s="49" t="s">
        <v>37</v>
      </c>
      <c r="R1126" s="50" t="s">
        <v>38</v>
      </c>
      <c r="S1126" s="50" t="s">
        <v>38</v>
      </c>
      <c r="T1126" s="10"/>
      <c r="U1126" s="151"/>
      <c r="V1126" s="77"/>
      <c r="W1126" s="77"/>
      <c r="X1126" s="77"/>
    </row>
    <row r="1127" spans="1:24">
      <c r="A1127" s="614"/>
      <c r="B1127" s="11"/>
      <c r="C1127" s="10"/>
      <c r="D1127" s="63"/>
      <c r="E1127" s="51" t="s">
        <v>39</v>
      </c>
      <c r="F1127" s="52">
        <f>(F1125-I1176-I1177-I1178-I1182)*F1126</f>
        <v>3370.6170000000002</v>
      </c>
      <c r="G1127" s="53" t="s">
        <v>40</v>
      </c>
      <c r="H1127" s="54">
        <f>F1127/1.12</f>
        <v>3009.4794642857141</v>
      </c>
      <c r="I1127" s="529" t="s">
        <v>2626</v>
      </c>
      <c r="J1127" s="42"/>
      <c r="K1127" s="56">
        <f>I1146+I1147+I1148+I1149</f>
        <v>7716.14</v>
      </c>
      <c r="L1127" s="57">
        <f>I1151+I1152+I1150</f>
        <v>18795.5</v>
      </c>
      <c r="M1127" s="57">
        <f>I1153+I1176+I1182+I1154</f>
        <v>19938.160000000003</v>
      </c>
      <c r="N1127" s="57">
        <f>I1155+I1156</f>
        <v>2710.58</v>
      </c>
      <c r="O1127" s="57">
        <f>I1157+I1158+I1177+I1178</f>
        <v>6957.49</v>
      </c>
      <c r="P1127" s="57">
        <f>SUM(K1127:O1127)</f>
        <v>56117.87</v>
      </c>
      <c r="Q1127" s="58">
        <f>I1163+I1164</f>
        <v>2022.3</v>
      </c>
      <c r="R1127" s="59">
        <f>I1179+I1183</f>
        <v>22411.7</v>
      </c>
      <c r="S1127" s="59">
        <v>0</v>
      </c>
      <c r="T1127" s="10"/>
      <c r="U1127" s="151"/>
      <c r="V1127" s="77"/>
      <c r="W1127" s="77"/>
      <c r="X1127" s="77"/>
    </row>
    <row r="1128" spans="1:24">
      <c r="A1128" s="614"/>
      <c r="B1128" s="11"/>
      <c r="C1128" s="10"/>
      <c r="D1128" s="63"/>
      <c r="E1128" s="24" t="s">
        <v>41</v>
      </c>
      <c r="F1128" s="60">
        <f>Q1127</f>
        <v>2022.3</v>
      </c>
      <c r="G1128" s="61" t="s">
        <v>40</v>
      </c>
      <c r="H1128" s="62"/>
      <c r="I1128" s="384">
        <f>4.5*67.5</f>
        <v>303.75</v>
      </c>
      <c r="J1128" s="10" t="s">
        <v>42</v>
      </c>
      <c r="K1128" s="63">
        <v>4</v>
      </c>
      <c r="L1128" s="63">
        <v>3</v>
      </c>
      <c r="M1128" s="63">
        <v>4</v>
      </c>
      <c r="N1128" s="63">
        <v>2</v>
      </c>
      <c r="O1128" s="63">
        <v>4</v>
      </c>
      <c r="P1128" s="21">
        <f>SUM(K1128:O1128)</f>
        <v>17</v>
      </c>
      <c r="Q1128" s="64">
        <v>2</v>
      </c>
      <c r="R1128" s="63"/>
      <c r="S1128" s="10"/>
      <c r="T1128" s="10"/>
      <c r="U1128" s="151"/>
      <c r="V1128" s="77"/>
      <c r="W1128" s="77"/>
      <c r="X1128" s="77"/>
    </row>
    <row r="1129" spans="1:24">
      <c r="A1129" s="614"/>
      <c r="B1129" s="11"/>
      <c r="C1129" s="10"/>
      <c r="D1129" s="63"/>
      <c r="E1129" s="51" t="s">
        <v>43</v>
      </c>
      <c r="F1129" s="52">
        <f>F1128*0.25</f>
        <v>505.57499999999999</v>
      </c>
      <c r="G1129" s="53" t="s">
        <v>40</v>
      </c>
      <c r="H1129" s="54">
        <f>F1129/1.12</f>
        <v>451.40624999999994</v>
      </c>
      <c r="I1129" s="10"/>
      <c r="J1129" s="10" t="s">
        <v>44</v>
      </c>
      <c r="K1129" s="63">
        <v>3</v>
      </c>
      <c r="L1129" s="63">
        <v>4</v>
      </c>
      <c r="M1129" s="63">
        <v>3</v>
      </c>
      <c r="N1129" s="63">
        <v>4</v>
      </c>
      <c r="O1129" s="63">
        <v>2</v>
      </c>
      <c r="P1129" s="21">
        <f>SUM(K1129:O1129)</f>
        <v>16</v>
      </c>
      <c r="Q1129" s="64">
        <v>2</v>
      </c>
      <c r="R1129" s="63"/>
      <c r="S1129" s="10"/>
      <c r="T1129" s="10"/>
      <c r="U1129" s="151"/>
      <c r="V1129" s="77"/>
      <c r="W1129" s="77"/>
      <c r="X1129" s="77"/>
    </row>
    <row r="1130" spans="1:24">
      <c r="A1130" s="614"/>
      <c r="B1130" s="11"/>
      <c r="C1130" s="10"/>
      <c r="D1130" s="63"/>
      <c r="E1130" s="18" t="s">
        <v>697</v>
      </c>
      <c r="F1130" s="38">
        <f>I1169</f>
        <v>11064.94</v>
      </c>
      <c r="G1130" s="39" t="s">
        <v>40</v>
      </c>
      <c r="H1130" s="62"/>
      <c r="I1130" s="10"/>
      <c r="J1130" s="10" t="s">
        <v>46</v>
      </c>
      <c r="K1130" s="31">
        <f t="shared" ref="K1130:Q1130" si="207">K1128/(K1128+K1129)</f>
        <v>0.5714285714285714</v>
      </c>
      <c r="L1130" s="31">
        <f t="shared" si="207"/>
        <v>0.42857142857142855</v>
      </c>
      <c r="M1130" s="31">
        <f t="shared" si="207"/>
        <v>0.5714285714285714</v>
      </c>
      <c r="N1130" s="31">
        <f t="shared" si="207"/>
        <v>0.33333333333333331</v>
      </c>
      <c r="O1130" s="31">
        <f t="shared" si="207"/>
        <v>0.66666666666666663</v>
      </c>
      <c r="P1130" s="31">
        <f t="shared" si="207"/>
        <v>0.51515151515151514</v>
      </c>
      <c r="Q1130" s="31">
        <f t="shared" si="207"/>
        <v>0.5</v>
      </c>
      <c r="R1130" s="63"/>
      <c r="S1130" s="10"/>
      <c r="T1130" s="10"/>
      <c r="U1130" s="151"/>
      <c r="V1130" s="77"/>
      <c r="W1130" s="77"/>
      <c r="X1130" s="77"/>
    </row>
    <row r="1131" spans="1:24">
      <c r="A1131" s="614"/>
      <c r="B1131" s="11"/>
      <c r="C1131" s="10"/>
      <c r="D1131" s="63"/>
      <c r="E1131" s="51" t="s">
        <v>47</v>
      </c>
      <c r="F1131" s="52">
        <f>F1130*0.05</f>
        <v>553.24700000000007</v>
      </c>
      <c r="G1131" s="53" t="s">
        <v>40</v>
      </c>
      <c r="H1131" s="54">
        <f>F1131/1.12</f>
        <v>493.97053571428575</v>
      </c>
      <c r="I1131" s="42"/>
      <c r="J1131" s="10" t="s">
        <v>48</v>
      </c>
      <c r="K1131" s="66">
        <f>K1127/K1128</f>
        <v>1929.0350000000001</v>
      </c>
      <c r="L1131" s="66">
        <f t="shared" ref="L1131:Q1131" si="208">L1127/L1128</f>
        <v>6265.166666666667</v>
      </c>
      <c r="M1131" s="66">
        <f t="shared" si="208"/>
        <v>4984.5400000000009</v>
      </c>
      <c r="N1131" s="66">
        <f t="shared" si="208"/>
        <v>1355.29</v>
      </c>
      <c r="O1131" s="66">
        <f t="shared" si="208"/>
        <v>1739.3724999999999</v>
      </c>
      <c r="P1131" s="66">
        <f t="shared" si="208"/>
        <v>3301.0511764705884</v>
      </c>
      <c r="Q1131" s="66">
        <f t="shared" si="208"/>
        <v>1011.15</v>
      </c>
      <c r="R1131" s="63"/>
      <c r="S1131" s="10"/>
      <c r="T1131" s="10"/>
      <c r="U1131" s="151"/>
      <c r="V1131" s="77"/>
      <c r="W1131" s="77"/>
      <c r="X1131" s="77"/>
    </row>
    <row r="1132" spans="1:24">
      <c r="A1132" s="615"/>
      <c r="B1132" s="132"/>
      <c r="C1132" s="123"/>
      <c r="D1132" s="127"/>
      <c r="E1132" s="18" t="s">
        <v>699</v>
      </c>
      <c r="F1132" s="38">
        <f>I1173</f>
        <v>8468.0800000000017</v>
      </c>
      <c r="G1132" s="39" t="s">
        <v>40</v>
      </c>
      <c r="H1132" s="62"/>
      <c r="I1132" s="123"/>
      <c r="J1132" s="123"/>
      <c r="K1132" s="123"/>
      <c r="L1132" s="123"/>
      <c r="M1132" s="123"/>
      <c r="N1132" s="123"/>
      <c r="O1132" s="123"/>
      <c r="P1132" s="123"/>
      <c r="Q1132" s="123"/>
      <c r="R1132" s="123"/>
      <c r="S1132" s="123"/>
      <c r="T1132" s="123"/>
      <c r="U1132" s="157"/>
      <c r="V1132" s="123"/>
      <c r="W1132" s="123"/>
      <c r="X1132" s="123"/>
    </row>
    <row r="1133" spans="1:24">
      <c r="A1133" s="615"/>
      <c r="B1133" s="132"/>
      <c r="C1133" s="123"/>
      <c r="D1133" s="127"/>
      <c r="E1133" s="731" t="s">
        <v>47</v>
      </c>
      <c r="F1133" s="732">
        <f>F1132*0.1</f>
        <v>846.80800000000022</v>
      </c>
      <c r="G1133" s="65" t="s">
        <v>40</v>
      </c>
      <c r="H1133" s="54">
        <f>F1133/1.12</f>
        <v>756.07857142857154</v>
      </c>
      <c r="I1133" s="123"/>
      <c r="J1133" s="42"/>
      <c r="K1133" s="764" t="s">
        <v>50</v>
      </c>
      <c r="L1133" s="765"/>
      <c r="M1133" s="765"/>
      <c r="N1133" s="765"/>
      <c r="O1133" s="765"/>
      <c r="P1133" s="765"/>
      <c r="Q1133" s="766"/>
      <c r="R1133" s="70" t="s">
        <v>28</v>
      </c>
      <c r="S1133" s="71" t="s">
        <v>29</v>
      </c>
      <c r="T1133" s="123"/>
      <c r="U1133" s="157"/>
      <c r="V1133" s="123"/>
      <c r="W1133" s="123"/>
      <c r="X1133" s="123"/>
    </row>
    <row r="1134" spans="1:24">
      <c r="A1134" s="615"/>
      <c r="B1134" s="132"/>
      <c r="C1134" s="123"/>
      <c r="D1134" s="127"/>
      <c r="E1134" s="158" t="s">
        <v>14</v>
      </c>
      <c r="F1134" s="733">
        <f>5*50</f>
        <v>250</v>
      </c>
      <c r="G1134" s="123"/>
      <c r="H1134" s="54">
        <f>F1134/1.12</f>
        <v>223.21428571428569</v>
      </c>
      <c r="I1134" s="123"/>
      <c r="J1134" s="42"/>
      <c r="K1134" s="20" t="s">
        <v>31</v>
      </c>
      <c r="L1134" s="21" t="s">
        <v>32</v>
      </c>
      <c r="M1134" s="21" t="s">
        <v>33</v>
      </c>
      <c r="N1134" s="21" t="s">
        <v>34</v>
      </c>
      <c r="O1134" s="21" t="s">
        <v>35</v>
      </c>
      <c r="P1134" s="21" t="s">
        <v>36</v>
      </c>
      <c r="Q1134" s="49" t="s">
        <v>37</v>
      </c>
      <c r="R1134" s="50" t="s">
        <v>38</v>
      </c>
      <c r="S1134" s="50" t="s">
        <v>38</v>
      </c>
      <c r="T1134" s="123"/>
      <c r="U1134" s="157"/>
      <c r="V1134" s="123"/>
      <c r="W1134" s="123"/>
      <c r="X1134" s="123"/>
    </row>
    <row r="1135" spans="1:24">
      <c r="A1135" s="615"/>
      <c r="B1135" s="132"/>
      <c r="C1135" s="123"/>
      <c r="D1135" s="127"/>
      <c r="E1135" s="158" t="s">
        <v>49</v>
      </c>
      <c r="F1135" s="159">
        <f>T1124</f>
        <v>0</v>
      </c>
      <c r="G1135" s="123"/>
      <c r="H1135" s="54"/>
      <c r="I1135" s="123"/>
      <c r="J1135" s="42"/>
      <c r="K1135" s="56">
        <f>F1146+F1147+F1148+F1149</f>
        <v>8851.15</v>
      </c>
      <c r="L1135" s="57">
        <f>F1151+F1152+F1150</f>
        <v>24924.9</v>
      </c>
      <c r="M1135" s="57">
        <f>F1153+F1176+F1182+F1154</f>
        <v>22226.9</v>
      </c>
      <c r="N1135" s="57">
        <f>F1155+F1156</f>
        <v>2803</v>
      </c>
      <c r="O1135" s="57">
        <f>F1157+F1158+F1177+F1178</f>
        <v>8356</v>
      </c>
      <c r="P1135" s="57">
        <f>SUM(K1135:O1135)</f>
        <v>67161.950000000012</v>
      </c>
      <c r="Q1135" s="58">
        <f>F1163+F1164</f>
        <v>2062</v>
      </c>
      <c r="R1135" s="59">
        <f>F1179+F1183</f>
        <v>25792.9</v>
      </c>
      <c r="S1135" s="59">
        <v>0</v>
      </c>
      <c r="T1135" s="123"/>
      <c r="U1135" s="157"/>
      <c r="V1135" s="123"/>
      <c r="W1135" s="123"/>
      <c r="X1135" s="123"/>
    </row>
    <row r="1136" spans="1:24">
      <c r="A1136" s="615"/>
      <c r="B1136" s="132"/>
      <c r="C1136" s="123"/>
      <c r="D1136" s="127"/>
      <c r="E1136" s="12"/>
      <c r="F1136" s="76"/>
      <c r="G1136" s="123"/>
      <c r="H1136" s="54"/>
      <c r="I1136" s="123"/>
      <c r="J1136" s="10" t="s">
        <v>42</v>
      </c>
      <c r="K1136" s="63">
        <f t="shared" ref="K1136:Q1137" si="209">K1128</f>
        <v>4</v>
      </c>
      <c r="L1136" s="63">
        <f t="shared" si="209"/>
        <v>3</v>
      </c>
      <c r="M1136" s="63">
        <f t="shared" si="209"/>
        <v>4</v>
      </c>
      <c r="N1136" s="63">
        <f t="shared" si="209"/>
        <v>2</v>
      </c>
      <c r="O1136" s="63">
        <f t="shared" si="209"/>
        <v>4</v>
      </c>
      <c r="P1136" s="63">
        <f t="shared" si="209"/>
        <v>17</v>
      </c>
      <c r="Q1136" s="63">
        <f t="shared" si="209"/>
        <v>2</v>
      </c>
      <c r="R1136" s="63"/>
      <c r="S1136" s="10"/>
      <c r="T1136" s="123"/>
      <c r="U1136" s="157"/>
      <c r="V1136" s="123"/>
      <c r="W1136" s="123"/>
      <c r="X1136" s="123"/>
    </row>
    <row r="1137" spans="1:24">
      <c r="A1137" s="615"/>
      <c r="B1137" s="132"/>
      <c r="C1137" s="123"/>
      <c r="D1137" s="127"/>
      <c r="E1137" s="12"/>
      <c r="F1137" s="76"/>
      <c r="G1137" s="123"/>
      <c r="H1137" s="54"/>
      <c r="I1137" s="123"/>
      <c r="J1137" s="10" t="s">
        <v>44</v>
      </c>
      <c r="K1137" s="63">
        <f t="shared" si="209"/>
        <v>3</v>
      </c>
      <c r="L1137" s="63">
        <f t="shared" si="209"/>
        <v>4</v>
      </c>
      <c r="M1137" s="63">
        <f t="shared" si="209"/>
        <v>3</v>
      </c>
      <c r="N1137" s="63">
        <f t="shared" si="209"/>
        <v>4</v>
      </c>
      <c r="O1137" s="63">
        <f t="shared" si="209"/>
        <v>2</v>
      </c>
      <c r="P1137" s="63">
        <f t="shared" si="209"/>
        <v>16</v>
      </c>
      <c r="Q1137" s="63">
        <f t="shared" si="209"/>
        <v>2</v>
      </c>
      <c r="R1137" s="63"/>
      <c r="S1137" s="10"/>
      <c r="T1137" s="123"/>
      <c r="U1137" s="157"/>
      <c r="V1137" s="123"/>
      <c r="W1137" s="123"/>
      <c r="X1137" s="123"/>
    </row>
    <row r="1138" spans="1:24">
      <c r="A1138" s="615"/>
      <c r="B1138" s="132"/>
      <c r="C1138" s="123"/>
      <c r="D1138" s="127"/>
      <c r="E1138" s="12"/>
      <c r="F1138" s="160"/>
      <c r="G1138" s="123"/>
      <c r="H1138" s="54"/>
      <c r="I1138" s="123"/>
      <c r="J1138" s="10" t="s">
        <v>46</v>
      </c>
      <c r="K1138" s="31">
        <f t="shared" ref="K1138:Q1138" si="210">K1136/(K1136+K1137)</f>
        <v>0.5714285714285714</v>
      </c>
      <c r="L1138" s="31">
        <f t="shared" si="210"/>
        <v>0.42857142857142855</v>
      </c>
      <c r="M1138" s="31">
        <f t="shared" si="210"/>
        <v>0.5714285714285714</v>
      </c>
      <c r="N1138" s="31">
        <f t="shared" si="210"/>
        <v>0.33333333333333331</v>
      </c>
      <c r="O1138" s="31">
        <f t="shared" si="210"/>
        <v>0.66666666666666663</v>
      </c>
      <c r="P1138" s="31">
        <f t="shared" si="210"/>
        <v>0.51515151515151514</v>
      </c>
      <c r="Q1138" s="31">
        <f t="shared" si="210"/>
        <v>0.5</v>
      </c>
      <c r="R1138" s="63"/>
      <c r="S1138" s="10"/>
      <c r="T1138" s="123"/>
      <c r="U1138" s="157"/>
      <c r="V1138" s="123"/>
      <c r="W1138" s="123"/>
      <c r="X1138" s="123"/>
    </row>
    <row r="1139" spans="1:24">
      <c r="A1139" s="615"/>
      <c r="B1139" s="132"/>
      <c r="C1139" s="123"/>
      <c r="D1139" s="127"/>
      <c r="E1139" s="12"/>
      <c r="F1139" s="160"/>
      <c r="G1139" s="123"/>
      <c r="H1139" s="54"/>
      <c r="I1139" s="123"/>
      <c r="J1139" s="10" t="s">
        <v>48</v>
      </c>
      <c r="K1139" s="66">
        <f t="shared" ref="K1139:Q1139" si="211">K1135/K1136</f>
        <v>2212.7874999999999</v>
      </c>
      <c r="L1139" s="66">
        <f t="shared" si="211"/>
        <v>8308.3000000000011</v>
      </c>
      <c r="M1139" s="66">
        <f t="shared" si="211"/>
        <v>5556.7250000000004</v>
      </c>
      <c r="N1139" s="66">
        <f t="shared" si="211"/>
        <v>1401.5</v>
      </c>
      <c r="O1139" s="66">
        <f t="shared" si="211"/>
        <v>2089</v>
      </c>
      <c r="P1139" s="66">
        <f t="shared" si="211"/>
        <v>3950.7029411764711</v>
      </c>
      <c r="Q1139" s="66">
        <f t="shared" si="211"/>
        <v>1031</v>
      </c>
      <c r="R1139" s="63"/>
      <c r="S1139" s="10"/>
      <c r="T1139" s="123"/>
      <c r="U1139" s="157"/>
      <c r="V1139" s="123"/>
      <c r="W1139" s="123"/>
      <c r="X1139" s="123"/>
    </row>
    <row r="1140" spans="1:24">
      <c r="A1140" s="615"/>
      <c r="B1140" s="132"/>
      <c r="C1140" s="123"/>
      <c r="D1140" s="127"/>
      <c r="E1140" s="12"/>
      <c r="F1140" s="160"/>
      <c r="G1140" s="123"/>
      <c r="H1140" s="54"/>
      <c r="I1140" s="123"/>
      <c r="J1140" s="123"/>
      <c r="K1140" s="123"/>
      <c r="L1140" s="123"/>
      <c r="M1140" s="123"/>
      <c r="N1140" s="123"/>
      <c r="O1140" s="123"/>
      <c r="P1140" s="123"/>
      <c r="Q1140" s="123"/>
      <c r="R1140" s="123"/>
      <c r="S1140" s="123"/>
      <c r="T1140" s="123"/>
      <c r="U1140" s="157"/>
      <c r="V1140" s="123"/>
      <c r="W1140" s="123"/>
      <c r="X1140" s="123"/>
    </row>
    <row r="1141" spans="1:24">
      <c r="A1141" s="614"/>
      <c r="B1141" s="11"/>
      <c r="C1141" s="10"/>
      <c r="D1141" s="63"/>
      <c r="E1141" s="12"/>
      <c r="F1141" s="12"/>
      <c r="G1141" s="10"/>
      <c r="H1141" s="10"/>
      <c r="I1141" s="10"/>
      <c r="J1141" s="10"/>
      <c r="K1141" s="10"/>
      <c r="L1141" s="10"/>
      <c r="M1141" s="10"/>
      <c r="N1141" s="10"/>
      <c r="O1141" s="10"/>
      <c r="P1141" s="10"/>
      <c r="Q1141" s="10"/>
      <c r="R1141" s="10"/>
      <c r="S1141" s="10"/>
      <c r="T1141" s="10"/>
      <c r="U1141" s="151"/>
      <c r="V1141" s="77"/>
      <c r="W1141" s="77"/>
      <c r="X1141" s="77"/>
    </row>
    <row r="1142" spans="1:24">
      <c r="A1142" s="614"/>
      <c r="B1142" s="11"/>
      <c r="C1142" s="10"/>
      <c r="D1142" s="63"/>
      <c r="E1142" s="10"/>
      <c r="F1142" s="10"/>
      <c r="G1142" s="10"/>
      <c r="H1142" s="10"/>
      <c r="I1142" s="10"/>
      <c r="J1142" s="10"/>
      <c r="K1142" s="10"/>
      <c r="L1142" s="10"/>
      <c r="M1142" s="10"/>
      <c r="N1142" s="10"/>
      <c r="O1142" s="10"/>
      <c r="P1142" s="10"/>
      <c r="Q1142" s="10"/>
      <c r="R1142" s="10"/>
      <c r="S1142" s="10"/>
      <c r="T1142" s="10"/>
      <c r="U1142" s="151"/>
      <c r="V1142" s="77"/>
      <c r="W1142" s="77"/>
      <c r="X1142" s="77"/>
    </row>
    <row r="1143" spans="1:24">
      <c r="A1143" s="614"/>
      <c r="B1143" s="18" t="s">
        <v>51</v>
      </c>
      <c r="C1143" s="14"/>
      <c r="D1143" s="14"/>
      <c r="E1143" s="14"/>
      <c r="F1143" s="13" t="s">
        <v>52</v>
      </c>
      <c r="G1143" s="14"/>
      <c r="H1143" s="14"/>
      <c r="I1143" s="14"/>
      <c r="J1143" s="14"/>
      <c r="K1143" s="13" t="s">
        <v>3</v>
      </c>
      <c r="L1143" s="14"/>
      <c r="M1143" s="14"/>
      <c r="N1143" s="13" t="s">
        <v>4</v>
      </c>
      <c r="O1143" s="14"/>
      <c r="P1143" s="14"/>
      <c r="Q1143" s="13" t="s">
        <v>5</v>
      </c>
      <c r="R1143" s="14"/>
      <c r="S1143" s="14"/>
      <c r="T1143" s="18"/>
      <c r="U1143" s="161" t="s">
        <v>53</v>
      </c>
      <c r="V1143" s="77"/>
      <c r="W1143" s="77"/>
      <c r="X1143" s="77"/>
    </row>
    <row r="1144" spans="1:24">
      <c r="A1144" s="614"/>
      <c r="B1144" s="24" t="s">
        <v>54</v>
      </c>
      <c r="C1144" s="21" t="s">
        <v>55</v>
      </c>
      <c r="D1144" s="21" t="s">
        <v>56</v>
      </c>
      <c r="E1144" s="21" t="s">
        <v>57</v>
      </c>
      <c r="F1144" s="20" t="s">
        <v>58</v>
      </c>
      <c r="G1144" s="21" t="s">
        <v>59</v>
      </c>
      <c r="H1144" s="21" t="s">
        <v>60</v>
      </c>
      <c r="I1144" s="21" t="s">
        <v>26</v>
      </c>
      <c r="J1144" s="22" t="s">
        <v>61</v>
      </c>
      <c r="K1144" s="21" t="s">
        <v>8</v>
      </c>
      <c r="L1144" s="21" t="s">
        <v>9</v>
      </c>
      <c r="M1144" s="21" t="s">
        <v>10</v>
      </c>
      <c r="N1144" s="20" t="s">
        <v>11</v>
      </c>
      <c r="O1144" s="21" t="s">
        <v>12</v>
      </c>
      <c r="P1144" s="22" t="s">
        <v>13</v>
      </c>
      <c r="Q1144" s="21" t="s">
        <v>11</v>
      </c>
      <c r="R1144" s="21" t="s">
        <v>12</v>
      </c>
      <c r="S1144" s="21" t="s">
        <v>13</v>
      </c>
      <c r="T1144" s="78" t="s">
        <v>14</v>
      </c>
      <c r="U1144" s="162"/>
      <c r="V1144" s="79" t="s">
        <v>62</v>
      </c>
      <c r="W1144" s="80" t="s">
        <v>63</v>
      </c>
      <c r="X1144" s="81" t="s">
        <v>64</v>
      </c>
    </row>
    <row r="1145" spans="1:24">
      <c r="A1145" s="614"/>
      <c r="B1145" s="4" t="s">
        <v>65</v>
      </c>
      <c r="C1145" s="6"/>
      <c r="D1145" s="6"/>
      <c r="E1145" s="6"/>
      <c r="F1145" s="6"/>
      <c r="G1145" s="6"/>
      <c r="H1145" s="6"/>
      <c r="I1145" s="82"/>
      <c r="J1145" s="6"/>
      <c r="K1145" s="6"/>
      <c r="L1145" s="6"/>
      <c r="M1145" s="6"/>
      <c r="N1145" s="6"/>
      <c r="O1145" s="6"/>
      <c r="P1145" s="6"/>
      <c r="Q1145" s="6"/>
      <c r="R1145" s="6"/>
      <c r="S1145" s="6"/>
      <c r="T1145" s="83"/>
      <c r="U1145" s="163"/>
      <c r="V1145" s="84"/>
      <c r="W1145" s="85"/>
      <c r="X1145" s="86"/>
    </row>
    <row r="1146" spans="1:24">
      <c r="A1146" s="614"/>
      <c r="B1146" s="87">
        <v>1</v>
      </c>
      <c r="C1146" s="274">
        <v>45929</v>
      </c>
      <c r="D1146" s="327">
        <v>73715</v>
      </c>
      <c r="E1146" s="276" t="s">
        <v>2555</v>
      </c>
      <c r="F1146" s="277">
        <f>1126.4-185</f>
        <v>941.40000000000009</v>
      </c>
      <c r="G1146" s="277">
        <f>39.7</f>
        <v>39.700000000000003</v>
      </c>
      <c r="H1146" s="297"/>
      <c r="I1146" s="278">
        <f>F1146-G1146-H1146</f>
        <v>901.7</v>
      </c>
      <c r="J1146" s="279" t="s">
        <v>156</v>
      </c>
      <c r="K1146" s="279">
        <v>1</v>
      </c>
      <c r="L1146" s="279">
        <v>1</v>
      </c>
      <c r="M1146" s="279">
        <v>1</v>
      </c>
      <c r="N1146" s="279">
        <v>1</v>
      </c>
      <c r="O1146" s="279">
        <v>1</v>
      </c>
      <c r="P1146" s="279">
        <v>1</v>
      </c>
      <c r="Q1146" s="279">
        <v>1</v>
      </c>
      <c r="R1146" s="279">
        <v>1</v>
      </c>
      <c r="S1146" s="280">
        <v>1</v>
      </c>
      <c r="T1146" s="63"/>
      <c r="U1146" s="94"/>
      <c r="V1146" s="90">
        <f>203.5+832.04</f>
        <v>1035.54</v>
      </c>
      <c r="W1146" s="91"/>
      <c r="X1146" s="92"/>
    </row>
    <row r="1147" spans="1:24">
      <c r="A1147" s="614"/>
      <c r="B1147" s="87">
        <f t="shared" ref="B1147:B1158" si="212">B1146+1</f>
        <v>2</v>
      </c>
      <c r="C1147" s="295">
        <v>45929</v>
      </c>
      <c r="D1147" s="323">
        <v>73729</v>
      </c>
      <c r="E1147" s="10" t="s">
        <v>1012</v>
      </c>
      <c r="F1147" s="62">
        <v>3756.15</v>
      </c>
      <c r="G1147" s="62">
        <f>39.7+200</f>
        <v>239.7</v>
      </c>
      <c r="H1147" s="62"/>
      <c r="I1147" s="89">
        <f t="shared" ref="I1147:I1158" si="213">F1147-G1147-H1147</f>
        <v>3516.4500000000003</v>
      </c>
      <c r="J1147" s="63" t="s">
        <v>156</v>
      </c>
      <c r="K1147" s="63">
        <v>1</v>
      </c>
      <c r="L1147" s="63">
        <v>1</v>
      </c>
      <c r="M1147" s="63">
        <v>1</v>
      </c>
      <c r="N1147" s="63">
        <v>1</v>
      </c>
      <c r="O1147" s="63">
        <v>1</v>
      </c>
      <c r="P1147" s="63">
        <v>1</v>
      </c>
      <c r="Q1147" s="63">
        <v>1</v>
      </c>
      <c r="R1147" s="63">
        <v>1</v>
      </c>
      <c r="S1147" s="296">
        <v>1</v>
      </c>
      <c r="T1147" s="63"/>
      <c r="U1147" s="94" t="s">
        <v>2627</v>
      </c>
      <c r="V1147" s="90">
        <v>4132.7700000000004</v>
      </c>
      <c r="W1147" s="91"/>
      <c r="X1147" s="92"/>
    </row>
    <row r="1148" spans="1:24">
      <c r="A1148" s="613"/>
      <c r="B1148" s="87">
        <f t="shared" si="212"/>
        <v>3</v>
      </c>
      <c r="C1148" s="295">
        <v>45929</v>
      </c>
      <c r="D1148" s="323">
        <v>73725</v>
      </c>
      <c r="E1148" s="10" t="s">
        <v>2073</v>
      </c>
      <c r="F1148" s="62">
        <v>1261</v>
      </c>
      <c r="G1148" s="62">
        <f>39.7</f>
        <v>39.700000000000003</v>
      </c>
      <c r="H1148" s="62"/>
      <c r="I1148" s="324">
        <f t="shared" si="213"/>
        <v>1221.3</v>
      </c>
      <c r="J1148" s="63" t="s">
        <v>156</v>
      </c>
      <c r="K1148" s="63">
        <v>1</v>
      </c>
      <c r="L1148" s="63">
        <v>1</v>
      </c>
      <c r="M1148" s="63">
        <v>1</v>
      </c>
      <c r="N1148" s="63">
        <v>1</v>
      </c>
      <c r="O1148" s="63">
        <v>1</v>
      </c>
      <c r="P1148" s="325">
        <v>0</v>
      </c>
      <c r="Q1148" s="63">
        <v>1</v>
      </c>
      <c r="R1148" s="63">
        <v>1</v>
      </c>
      <c r="S1148" s="296">
        <v>1</v>
      </c>
      <c r="T1148" s="63"/>
      <c r="U1148" s="94"/>
      <c r="V1148" s="90">
        <v>1387.1</v>
      </c>
      <c r="W1148" s="91"/>
      <c r="X1148" s="92"/>
    </row>
    <row r="1149" spans="1:24">
      <c r="A1149" s="613">
        <v>45932</v>
      </c>
      <c r="B1149" s="87">
        <f>B1148+1</f>
        <v>4</v>
      </c>
      <c r="C1149" s="282">
        <v>45929</v>
      </c>
      <c r="D1149" s="368">
        <v>73723</v>
      </c>
      <c r="E1149" s="283" t="s">
        <v>1143</v>
      </c>
      <c r="F1149" s="284">
        <v>2892.6</v>
      </c>
      <c r="G1149" s="284">
        <f>39.7+(576.21)+200</f>
        <v>815.91000000000008</v>
      </c>
      <c r="H1149" s="284"/>
      <c r="I1149" s="285">
        <f>F1149-G1149-H1149</f>
        <v>2076.6899999999996</v>
      </c>
      <c r="J1149" s="286" t="s">
        <v>156</v>
      </c>
      <c r="K1149" s="286">
        <v>1</v>
      </c>
      <c r="L1149" s="286">
        <v>1</v>
      </c>
      <c r="M1149" s="286">
        <v>1</v>
      </c>
      <c r="N1149" s="286">
        <v>1</v>
      </c>
      <c r="O1149" s="286">
        <v>1</v>
      </c>
      <c r="P1149" s="286">
        <v>1</v>
      </c>
      <c r="Q1149" s="286">
        <v>1</v>
      </c>
      <c r="R1149" s="286">
        <v>1</v>
      </c>
      <c r="S1149" s="287">
        <v>1</v>
      </c>
      <c r="T1149" s="63"/>
      <c r="U1149" s="94" t="s">
        <v>2628</v>
      </c>
      <c r="V1149" s="90">
        <f>318+2863.86</f>
        <v>3181.86</v>
      </c>
      <c r="W1149" s="91"/>
      <c r="X1149" s="92"/>
    </row>
    <row r="1150" spans="1:24" s="260" customFormat="1">
      <c r="A1150" s="261" t="s">
        <v>2629</v>
      </c>
      <c r="B1150" s="87">
        <f t="shared" ref="B1150:B1158" si="214">B1149+1</f>
        <v>5</v>
      </c>
      <c r="C1150" s="274">
        <v>45930</v>
      </c>
      <c r="D1150" s="327">
        <v>73806</v>
      </c>
      <c r="E1150" s="276" t="s">
        <v>2080</v>
      </c>
      <c r="F1150" s="277">
        <v>23562.9</v>
      </c>
      <c r="G1150" s="277">
        <f>39.7+6050</f>
        <v>6089.7</v>
      </c>
      <c r="H1150" s="277"/>
      <c r="I1150" s="321">
        <f t="shared" ref="I1150" si="215">F1150-G1150-H1150</f>
        <v>17473.2</v>
      </c>
      <c r="J1150" s="279" t="s">
        <v>156</v>
      </c>
      <c r="K1150" s="63">
        <v>1</v>
      </c>
      <c r="L1150" s="63">
        <v>1</v>
      </c>
      <c r="M1150" s="279">
        <v>1</v>
      </c>
      <c r="N1150" s="322">
        <v>0</v>
      </c>
      <c r="O1150" s="322">
        <v>0</v>
      </c>
      <c r="P1150" s="322">
        <v>0</v>
      </c>
      <c r="Q1150" s="279">
        <v>1</v>
      </c>
      <c r="R1150" s="279">
        <v>1</v>
      </c>
      <c r="S1150" s="280">
        <v>1</v>
      </c>
      <c r="T1150" s="63"/>
      <c r="U1150" s="94" t="s">
        <v>2630</v>
      </c>
      <c r="V1150" s="90">
        <f>2591+14000+7000+2328.19</f>
        <v>25919.19</v>
      </c>
      <c r="W1150" s="136"/>
      <c r="X1150" s="137"/>
    </row>
    <row r="1151" spans="1:24">
      <c r="A1151" s="614"/>
      <c r="B1151" s="87">
        <f t="shared" si="214"/>
        <v>6</v>
      </c>
      <c r="C1151" s="295">
        <v>45930</v>
      </c>
      <c r="D1151" s="323">
        <v>73812</v>
      </c>
      <c r="E1151" s="94" t="s">
        <v>1249</v>
      </c>
      <c r="F1151" s="62">
        <v>581</v>
      </c>
      <c r="G1151" s="62"/>
      <c r="H1151" s="62"/>
      <c r="I1151" s="89">
        <f t="shared" si="213"/>
        <v>581</v>
      </c>
      <c r="J1151" s="63" t="s">
        <v>156</v>
      </c>
      <c r="K1151" s="63">
        <v>1</v>
      </c>
      <c r="L1151" s="63">
        <v>1</v>
      </c>
      <c r="M1151" s="63">
        <v>1</v>
      </c>
      <c r="N1151" s="63">
        <v>1</v>
      </c>
      <c r="O1151" s="63">
        <v>1</v>
      </c>
      <c r="P1151" s="63">
        <v>1</v>
      </c>
      <c r="Q1151" s="63">
        <v>1</v>
      </c>
      <c r="R1151" s="63">
        <v>1</v>
      </c>
      <c r="S1151" s="296">
        <v>1</v>
      </c>
      <c r="T1151" s="21">
        <v>1</v>
      </c>
      <c r="U1151" s="94"/>
      <c r="V1151" s="90">
        <v>639.1</v>
      </c>
      <c r="W1151" s="91"/>
      <c r="X1151" s="92"/>
    </row>
    <row r="1152" spans="1:24">
      <c r="A1152" s="614"/>
      <c r="B1152" s="87">
        <f t="shared" si="214"/>
        <v>7</v>
      </c>
      <c r="C1152" s="295">
        <v>45930</v>
      </c>
      <c r="D1152" s="323">
        <v>73736</v>
      </c>
      <c r="E1152" s="10" t="s">
        <v>1012</v>
      </c>
      <c r="F1152" s="62">
        <v>781</v>
      </c>
      <c r="G1152" s="62">
        <f>39.7</f>
        <v>39.700000000000003</v>
      </c>
      <c r="H1152" s="88"/>
      <c r="I1152" s="89">
        <f t="shared" ref="I1152" si="216">F1152-G1152-H1152</f>
        <v>741.3</v>
      </c>
      <c r="J1152" s="63" t="s">
        <v>374</v>
      </c>
      <c r="K1152" s="63">
        <v>1</v>
      </c>
      <c r="L1152" s="63">
        <v>1</v>
      </c>
      <c r="M1152" s="63">
        <v>1</v>
      </c>
      <c r="N1152" s="63">
        <v>1</v>
      </c>
      <c r="O1152" s="63">
        <v>1</v>
      </c>
      <c r="P1152" s="63">
        <v>1</v>
      </c>
      <c r="Q1152" s="63">
        <v>1</v>
      </c>
      <c r="R1152" s="63">
        <v>1</v>
      </c>
      <c r="S1152" s="296">
        <v>1</v>
      </c>
      <c r="T1152" s="21">
        <v>1</v>
      </c>
      <c r="U1152" s="94"/>
      <c r="V1152" s="90">
        <v>859.1</v>
      </c>
      <c r="W1152" s="91"/>
      <c r="X1152" s="92"/>
    </row>
    <row r="1153" spans="1:24">
      <c r="A1153" s="614"/>
      <c r="B1153" s="87">
        <f t="shared" si="214"/>
        <v>8</v>
      </c>
      <c r="C1153" s="274">
        <v>45931</v>
      </c>
      <c r="D1153" s="327">
        <v>73843</v>
      </c>
      <c r="E1153" s="276" t="s">
        <v>1835</v>
      </c>
      <c r="F1153" s="277">
        <v>681</v>
      </c>
      <c r="G1153" s="277"/>
      <c r="H1153" s="297"/>
      <c r="I1153" s="278">
        <f t="shared" si="213"/>
        <v>681</v>
      </c>
      <c r="J1153" s="279" t="s">
        <v>156</v>
      </c>
      <c r="K1153" s="279">
        <v>1</v>
      </c>
      <c r="L1153" s="279">
        <v>1</v>
      </c>
      <c r="M1153" s="279">
        <v>1</v>
      </c>
      <c r="N1153" s="279">
        <v>1</v>
      </c>
      <c r="O1153" s="279">
        <v>1</v>
      </c>
      <c r="P1153" s="279">
        <v>1</v>
      </c>
      <c r="Q1153" s="279">
        <v>1</v>
      </c>
      <c r="R1153" s="279">
        <v>1</v>
      </c>
      <c r="S1153" s="280">
        <v>1</v>
      </c>
      <c r="T1153" s="63"/>
      <c r="U1153" s="94"/>
      <c r="V1153" s="90">
        <v>749.1</v>
      </c>
      <c r="W1153" s="91"/>
      <c r="X1153" s="92"/>
    </row>
    <row r="1154" spans="1:24">
      <c r="A1154" s="614"/>
      <c r="B1154" s="87">
        <f t="shared" si="214"/>
        <v>9</v>
      </c>
      <c r="C1154" s="295">
        <v>45931</v>
      </c>
      <c r="D1154" s="323">
        <v>73910</v>
      </c>
      <c r="E1154" s="10" t="s">
        <v>1008</v>
      </c>
      <c r="F1154" s="62">
        <f>2132-85</f>
        <v>2047</v>
      </c>
      <c r="G1154" s="62">
        <f>39.7+(218.92+7.73)</f>
        <v>266.34999999999997</v>
      </c>
      <c r="H1154" s="62"/>
      <c r="I1154" s="89">
        <f>F1154-G1154-H1154</f>
        <v>1780.65</v>
      </c>
      <c r="J1154" s="63" t="s">
        <v>156</v>
      </c>
      <c r="K1154" s="63">
        <v>1</v>
      </c>
      <c r="L1154" s="63">
        <v>1</v>
      </c>
      <c r="M1154" s="63">
        <v>1</v>
      </c>
      <c r="N1154" s="63">
        <v>1</v>
      </c>
      <c r="O1154" s="63">
        <v>1</v>
      </c>
      <c r="P1154" s="63">
        <v>1</v>
      </c>
      <c r="Q1154" s="63">
        <v>1</v>
      </c>
      <c r="R1154" s="63">
        <v>1</v>
      </c>
      <c r="S1154" s="296">
        <v>1</v>
      </c>
      <c r="T1154" s="63"/>
      <c r="U1154" s="94" t="s">
        <v>2631</v>
      </c>
      <c r="V1154" s="90">
        <f>2251.7</f>
        <v>2251.6999999999998</v>
      </c>
      <c r="W1154" s="91"/>
      <c r="X1154" s="92"/>
    </row>
    <row r="1155" spans="1:24">
      <c r="A1155" s="614"/>
      <c r="B1155" s="87">
        <f t="shared" si="214"/>
        <v>10</v>
      </c>
      <c r="C1155" s="274">
        <v>45932</v>
      </c>
      <c r="D1155" s="327">
        <v>73921</v>
      </c>
      <c r="E1155" s="276" t="s">
        <v>1008</v>
      </c>
      <c r="F1155" s="277">
        <v>1942</v>
      </c>
      <c r="G1155" s="277">
        <f>39.7</f>
        <v>39.700000000000003</v>
      </c>
      <c r="H1155" s="297"/>
      <c r="I1155" s="321">
        <f>F1155-G1155-H1155</f>
        <v>1902.3</v>
      </c>
      <c r="J1155" s="279" t="s">
        <v>156</v>
      </c>
      <c r="K1155" s="279">
        <v>1</v>
      </c>
      <c r="L1155" s="322">
        <v>0</v>
      </c>
      <c r="M1155" s="279">
        <v>1</v>
      </c>
      <c r="N1155" s="279">
        <v>1</v>
      </c>
      <c r="O1155" s="279">
        <v>1</v>
      </c>
      <c r="P1155" s="279">
        <v>1</v>
      </c>
      <c r="Q1155" s="279">
        <v>1</v>
      </c>
      <c r="R1155" s="279">
        <v>1</v>
      </c>
      <c r="S1155" s="280">
        <v>1</v>
      </c>
      <c r="T1155" s="63"/>
      <c r="U1155" s="94"/>
      <c r="V1155" s="90">
        <v>2136.1999999999998</v>
      </c>
      <c r="W1155" s="91"/>
      <c r="X1155" s="92"/>
    </row>
    <row r="1156" spans="1:24">
      <c r="A1156" s="614"/>
      <c r="B1156" s="87">
        <f t="shared" si="214"/>
        <v>11</v>
      </c>
      <c r="C1156" s="295">
        <v>45932</v>
      </c>
      <c r="D1156" s="323">
        <v>73947</v>
      </c>
      <c r="E1156" s="10" t="s">
        <v>1666</v>
      </c>
      <c r="F1156" s="62">
        <v>861</v>
      </c>
      <c r="G1156" s="62">
        <f>39.7+(13.02)</f>
        <v>52.72</v>
      </c>
      <c r="H1156" s="88"/>
      <c r="I1156" s="89">
        <f>F1156-G1156-H1156</f>
        <v>808.28</v>
      </c>
      <c r="J1156" s="63" t="s">
        <v>156</v>
      </c>
      <c r="K1156" s="63">
        <v>1</v>
      </c>
      <c r="L1156" s="63">
        <v>1</v>
      </c>
      <c r="M1156" s="63">
        <v>1</v>
      </c>
      <c r="N1156" s="63">
        <v>1</v>
      </c>
      <c r="O1156" s="63">
        <v>1</v>
      </c>
      <c r="P1156" s="63">
        <v>1</v>
      </c>
      <c r="Q1156" s="63">
        <v>1</v>
      </c>
      <c r="R1156" s="63">
        <v>1</v>
      </c>
      <c r="S1156" s="296">
        <v>1</v>
      </c>
      <c r="T1156" s="21">
        <v>1</v>
      </c>
      <c r="U1156" s="94"/>
      <c r="V1156" s="90">
        <v>974.1</v>
      </c>
      <c r="W1156" s="91"/>
      <c r="X1156" s="92"/>
    </row>
    <row r="1157" spans="1:24">
      <c r="A1157" s="614"/>
      <c r="B1157" s="87">
        <f t="shared" si="214"/>
        <v>12</v>
      </c>
      <c r="C1157" s="274">
        <v>45933</v>
      </c>
      <c r="D1157" s="327">
        <v>73979</v>
      </c>
      <c r="E1157" s="276" t="s">
        <v>1008</v>
      </c>
      <c r="F1157" s="277">
        <v>1381</v>
      </c>
      <c r="G1157" s="277">
        <f>39.7</f>
        <v>39.700000000000003</v>
      </c>
      <c r="H1157" s="297"/>
      <c r="I1157" s="278">
        <f>F1157-G1157-H1157</f>
        <v>1341.3</v>
      </c>
      <c r="J1157" s="279" t="s">
        <v>156</v>
      </c>
      <c r="K1157" s="279">
        <v>1</v>
      </c>
      <c r="L1157" s="279">
        <v>1</v>
      </c>
      <c r="M1157" s="279">
        <v>1</v>
      </c>
      <c r="N1157" s="279">
        <v>1</v>
      </c>
      <c r="O1157" s="279">
        <v>1</v>
      </c>
      <c r="P1157" s="279">
        <v>1</v>
      </c>
      <c r="Q1157" s="279">
        <v>1</v>
      </c>
      <c r="R1157" s="279">
        <v>1</v>
      </c>
      <c r="S1157" s="280">
        <v>1</v>
      </c>
      <c r="T1157" s="63"/>
      <c r="U1157" s="94"/>
      <c r="V1157" s="90">
        <v>1519.1</v>
      </c>
      <c r="W1157" s="91"/>
      <c r="X1157" s="92"/>
    </row>
    <row r="1158" spans="1:24">
      <c r="A1158" s="614"/>
      <c r="B1158" s="87">
        <f t="shared" si="214"/>
        <v>13</v>
      </c>
      <c r="C1158" s="282">
        <v>45933</v>
      </c>
      <c r="D1158" s="368">
        <v>73961</v>
      </c>
      <c r="E1158" s="283" t="s">
        <v>1156</v>
      </c>
      <c r="F1158" s="423">
        <v>681</v>
      </c>
      <c r="G1158" s="284"/>
      <c r="H1158" s="284"/>
      <c r="I1158" s="285">
        <f t="shared" si="213"/>
        <v>681</v>
      </c>
      <c r="J1158" s="286" t="s">
        <v>156</v>
      </c>
      <c r="K1158" s="286">
        <v>1</v>
      </c>
      <c r="L1158" s="286">
        <v>1</v>
      </c>
      <c r="M1158" s="286">
        <v>1</v>
      </c>
      <c r="N1158" s="286">
        <v>1</v>
      </c>
      <c r="O1158" s="286">
        <v>1</v>
      </c>
      <c r="P1158" s="286">
        <v>1</v>
      </c>
      <c r="Q1158" s="286">
        <v>1</v>
      </c>
      <c r="R1158" s="286">
        <v>1</v>
      </c>
      <c r="S1158" s="287">
        <v>1</v>
      </c>
      <c r="T1158" s="63"/>
      <c r="U1158" s="94"/>
      <c r="V1158" s="90">
        <v>749.1</v>
      </c>
      <c r="W1158" s="91"/>
      <c r="X1158" s="92"/>
    </row>
    <row r="1159" spans="1:24">
      <c r="A1159" s="614"/>
      <c r="B1159" s="87"/>
      <c r="C1159" s="36"/>
      <c r="D1159" s="10"/>
      <c r="E1159" s="10"/>
      <c r="F1159" s="97">
        <f>SUM(F1146:F1158)</f>
        <v>41369.050000000003</v>
      </c>
      <c r="G1159" s="97">
        <f>SUM(G1146:G1158)</f>
        <v>7662.88</v>
      </c>
      <c r="H1159" s="97">
        <f>SUM(H1146:H1158)</f>
        <v>0</v>
      </c>
      <c r="I1159" s="98">
        <f>SUM(I1146:I1158)</f>
        <v>33706.17</v>
      </c>
      <c r="J1159" s="63"/>
      <c r="K1159" s="63">
        <f>COUNT(K1146:K1158)</f>
        <v>13</v>
      </c>
      <c r="L1159" s="63">
        <f>COUNT(L1146:L1158)</f>
        <v>13</v>
      </c>
      <c r="M1159" s="63">
        <f>COUNT(M1146:M1158)</f>
        <v>13</v>
      </c>
      <c r="N1159" s="63">
        <f>COUNT(N1146:N1158)</f>
        <v>13</v>
      </c>
      <c r="O1159" s="63">
        <f>COUNT(O1146:O1158)</f>
        <v>13</v>
      </c>
      <c r="P1159" s="63">
        <f>COUNT(P1146:P1158)</f>
        <v>13</v>
      </c>
      <c r="Q1159" s="63">
        <f>COUNT(Q1146:Q1158)</f>
        <v>13</v>
      </c>
      <c r="R1159" s="63">
        <f>COUNT(R1146:R1158)</f>
        <v>13</v>
      </c>
      <c r="S1159" s="63">
        <f>COUNT(S1146:S1158)</f>
        <v>13</v>
      </c>
      <c r="T1159" s="63"/>
      <c r="U1159" s="94"/>
      <c r="V1159" s="90"/>
      <c r="W1159" s="91"/>
      <c r="X1159" s="92"/>
    </row>
    <row r="1160" spans="1:24">
      <c r="A1160" s="614"/>
      <c r="B1160" s="87"/>
      <c r="C1160" s="36"/>
      <c r="D1160" s="10"/>
      <c r="E1160" s="10"/>
      <c r="F1160" s="88"/>
      <c r="G1160" s="88"/>
      <c r="H1160" s="88"/>
      <c r="I1160" s="99"/>
      <c r="J1160" s="63"/>
      <c r="K1160" s="21">
        <f>SUM(K1146:K1158)</f>
        <v>13</v>
      </c>
      <c r="L1160" s="21">
        <f>SUM(L1146:L1158)</f>
        <v>12</v>
      </c>
      <c r="M1160" s="21">
        <f>SUM(M1146:M1158)</f>
        <v>13</v>
      </c>
      <c r="N1160" s="21">
        <f>SUM(N1146:N1158)</f>
        <v>12</v>
      </c>
      <c r="O1160" s="21">
        <f>SUM(O1146:O1158)</f>
        <v>12</v>
      </c>
      <c r="P1160" s="21">
        <f>SUM(P1146:P1158)</f>
        <v>11</v>
      </c>
      <c r="Q1160" s="21">
        <f>SUM(Q1146:Q1158)</f>
        <v>13</v>
      </c>
      <c r="R1160" s="21">
        <f>SUM(R1146:R1158)</f>
        <v>13</v>
      </c>
      <c r="S1160" s="21">
        <f>SUM(S1146:S1158)</f>
        <v>13</v>
      </c>
      <c r="T1160" s="63"/>
      <c r="U1160" s="94"/>
      <c r="V1160" s="90"/>
      <c r="W1160" s="91"/>
      <c r="X1160" s="92"/>
    </row>
    <row r="1161" spans="1:24">
      <c r="A1161" s="614"/>
      <c r="B1161" s="11"/>
      <c r="C1161" s="36"/>
      <c r="D1161" s="10"/>
      <c r="E1161" s="10"/>
      <c r="F1161" s="88"/>
      <c r="G1161" s="88"/>
      <c r="H1161" s="88"/>
      <c r="I1161" s="99"/>
      <c r="J1161" s="63"/>
      <c r="K1161" s="21"/>
      <c r="L1161" s="21"/>
      <c r="M1161" s="21"/>
      <c r="N1161" s="21"/>
      <c r="O1161" s="21"/>
      <c r="P1161" s="21"/>
      <c r="Q1161" s="21"/>
      <c r="R1161" s="21"/>
      <c r="S1161" s="21"/>
      <c r="T1161" s="63"/>
      <c r="U1161" s="94"/>
      <c r="V1161" s="90"/>
      <c r="W1161" s="91"/>
      <c r="X1161" s="92"/>
    </row>
    <row r="1162" spans="1:24">
      <c r="A1162" s="614"/>
      <c r="B1162" s="100" t="s">
        <v>66</v>
      </c>
      <c r="C1162" s="36"/>
      <c r="D1162" s="10"/>
      <c r="E1162" s="10"/>
      <c r="F1162" s="88"/>
      <c r="G1162" s="62"/>
      <c r="H1162" s="88"/>
      <c r="I1162" s="99"/>
      <c r="J1162" s="63"/>
      <c r="K1162" s="2"/>
      <c r="L1162" s="2"/>
      <c r="M1162" s="2"/>
      <c r="N1162" s="2"/>
      <c r="O1162" s="2"/>
      <c r="P1162" s="2"/>
      <c r="Q1162" s="2"/>
      <c r="R1162" s="2"/>
      <c r="S1162" s="2"/>
      <c r="T1162" s="63"/>
      <c r="U1162" s="94"/>
      <c r="V1162" s="90"/>
      <c r="W1162" s="91"/>
      <c r="X1162" s="92"/>
    </row>
    <row r="1163" spans="1:24">
      <c r="A1163" s="614"/>
      <c r="B1163" s="87">
        <v>1</v>
      </c>
      <c r="C1163" s="274">
        <v>45934</v>
      </c>
      <c r="D1163" s="327">
        <v>74021</v>
      </c>
      <c r="E1163" s="281" t="s">
        <v>809</v>
      </c>
      <c r="F1163" s="277">
        <v>681</v>
      </c>
      <c r="G1163" s="277"/>
      <c r="H1163" s="277"/>
      <c r="I1163" s="278">
        <f t="shared" ref="I1163:I1164" si="217">F1163-G1163-H1163</f>
        <v>681</v>
      </c>
      <c r="J1163" s="279" t="s">
        <v>156</v>
      </c>
      <c r="K1163" s="279">
        <v>1</v>
      </c>
      <c r="L1163" s="279">
        <v>1</v>
      </c>
      <c r="M1163" s="279">
        <v>1</v>
      </c>
      <c r="N1163" s="279">
        <v>1</v>
      </c>
      <c r="O1163" s="279">
        <v>1</v>
      </c>
      <c r="P1163" s="279">
        <v>1</v>
      </c>
      <c r="Q1163" s="279">
        <v>1</v>
      </c>
      <c r="R1163" s="279">
        <v>1</v>
      </c>
      <c r="S1163" s="280">
        <v>1</v>
      </c>
      <c r="T1163" s="63"/>
      <c r="U1163" s="94"/>
      <c r="V1163" s="90">
        <v>749.1</v>
      </c>
      <c r="W1163" s="91"/>
      <c r="X1163" s="92"/>
    </row>
    <row r="1164" spans="1:24">
      <c r="A1164" s="614"/>
      <c r="B1164" s="87">
        <f t="shared" ref="B1164" si="218">B1163+1</f>
        <v>2</v>
      </c>
      <c r="C1164" s="282">
        <v>45934</v>
      </c>
      <c r="D1164" s="368">
        <v>74047</v>
      </c>
      <c r="E1164" s="319" t="s">
        <v>1028</v>
      </c>
      <c r="F1164" s="284">
        <f>1466-85</f>
        <v>1381</v>
      </c>
      <c r="G1164" s="284">
        <f>39.7</f>
        <v>39.700000000000003</v>
      </c>
      <c r="H1164" s="284"/>
      <c r="I1164" s="285">
        <f t="shared" si="217"/>
        <v>1341.3</v>
      </c>
      <c r="J1164" s="286" t="s">
        <v>156</v>
      </c>
      <c r="K1164" s="286">
        <v>1</v>
      </c>
      <c r="L1164" s="286">
        <v>1</v>
      </c>
      <c r="M1164" s="286">
        <v>1</v>
      </c>
      <c r="N1164" s="286">
        <v>1</v>
      </c>
      <c r="O1164" s="286">
        <v>1</v>
      </c>
      <c r="P1164" s="286">
        <v>1</v>
      </c>
      <c r="Q1164" s="286">
        <v>1</v>
      </c>
      <c r="R1164" s="286">
        <v>1</v>
      </c>
      <c r="S1164" s="287">
        <v>1</v>
      </c>
      <c r="T1164" s="63"/>
      <c r="U1164" s="94"/>
      <c r="V1164" s="90">
        <f>93.5+1519.1</f>
        <v>1612.6</v>
      </c>
      <c r="W1164" s="91"/>
      <c r="X1164" s="92"/>
    </row>
    <row r="1165" spans="1:24">
      <c r="A1165" s="614"/>
      <c r="B1165" s="11"/>
      <c r="C1165" s="609"/>
      <c r="D1165" s="10"/>
      <c r="E1165" s="10"/>
      <c r="F1165" s="97">
        <f>SUM(F1163:F1164)</f>
        <v>2062</v>
      </c>
      <c r="G1165" s="97">
        <f>SUM(G1163:G1164)</f>
        <v>39.700000000000003</v>
      </c>
      <c r="H1165" s="97">
        <f>SUM(H1163:H1164)</f>
        <v>0</v>
      </c>
      <c r="I1165" s="98">
        <f>SUM(I1163:I1164)</f>
        <v>2022.3</v>
      </c>
      <c r="J1165" s="63"/>
      <c r="K1165" s="21"/>
      <c r="L1165" s="21"/>
      <c r="M1165" s="21"/>
      <c r="N1165" s="21"/>
      <c r="O1165" s="21"/>
      <c r="P1165" s="21"/>
      <c r="Q1165" s="21"/>
      <c r="R1165" s="21"/>
      <c r="S1165" s="21"/>
      <c r="T1165" s="63"/>
      <c r="U1165" s="94"/>
      <c r="V1165" s="90"/>
      <c r="W1165" s="91"/>
      <c r="X1165" s="92"/>
    </row>
    <row r="1166" spans="1:24">
      <c r="A1166" s="614"/>
      <c r="B1166" s="11"/>
      <c r="C1166" s="609"/>
      <c r="D1166" s="10"/>
      <c r="E1166" s="10"/>
      <c r="F1166" s="88"/>
      <c r="G1166" s="88"/>
      <c r="H1166" s="88"/>
      <c r="I1166" s="99"/>
      <c r="J1166" s="63"/>
      <c r="K1166" s="21"/>
      <c r="L1166" s="21"/>
      <c r="M1166" s="21"/>
      <c r="N1166" s="21"/>
      <c r="O1166" s="21"/>
      <c r="P1166" s="21"/>
      <c r="Q1166" s="21"/>
      <c r="R1166" s="21"/>
      <c r="S1166" s="21"/>
      <c r="T1166" s="63"/>
      <c r="U1166" s="94"/>
      <c r="V1166" s="90"/>
      <c r="W1166" s="91"/>
      <c r="X1166" s="92"/>
    </row>
    <row r="1167" spans="1:24">
      <c r="A1167" s="614"/>
      <c r="B1167" s="100" t="s">
        <v>2632</v>
      </c>
      <c r="C1167" s="609"/>
      <c r="D1167" s="10"/>
      <c r="E1167" s="10"/>
      <c r="F1167" s="88"/>
      <c r="G1167" s="62"/>
      <c r="H1167" s="88"/>
      <c r="I1167" s="99"/>
      <c r="J1167" s="63"/>
      <c r="K1167" s="2"/>
      <c r="L1167" s="2"/>
      <c r="M1167" s="2"/>
      <c r="N1167" s="2"/>
      <c r="O1167" s="2"/>
      <c r="P1167" s="2"/>
      <c r="Q1167" s="2"/>
      <c r="R1167" s="2"/>
      <c r="S1167" s="2"/>
      <c r="T1167" s="63"/>
      <c r="U1167" s="94"/>
      <c r="V1167" s="90"/>
      <c r="W1167" s="91"/>
      <c r="X1167" s="92"/>
    </row>
    <row r="1168" spans="1:24">
      <c r="A1168" s="261">
        <v>0.05</v>
      </c>
      <c r="B1168" s="87">
        <v>1</v>
      </c>
      <c r="C1168" s="262">
        <v>45894</v>
      </c>
      <c r="D1168" s="263" t="s">
        <v>2540</v>
      </c>
      <c r="E1168" s="264" t="s">
        <v>780</v>
      </c>
      <c r="F1168" s="265">
        <v>15421.5</v>
      </c>
      <c r="G1168" s="265">
        <f>39.7+596.8+52.8+(47.03+38.86+165.2+49.48)+(216.39)+1500</f>
        <v>2706.2599999999998</v>
      </c>
      <c r="H1168" s="265">
        <f>1650.3</f>
        <v>1650.3</v>
      </c>
      <c r="I1168" s="272">
        <f>F1168-G1168-H1168</f>
        <v>11064.94</v>
      </c>
      <c r="J1168" s="267" t="s">
        <v>185</v>
      </c>
      <c r="K1168" s="267">
        <v>1</v>
      </c>
      <c r="L1168" s="267">
        <v>1</v>
      </c>
      <c r="M1168" s="267">
        <v>1</v>
      </c>
      <c r="N1168" s="267">
        <v>1</v>
      </c>
      <c r="O1168" s="267">
        <v>1</v>
      </c>
      <c r="P1168" s="267">
        <v>1</v>
      </c>
      <c r="Q1168" s="267">
        <v>1</v>
      </c>
      <c r="R1168" s="267">
        <v>1</v>
      </c>
      <c r="S1168" s="269">
        <v>1</v>
      </c>
      <c r="T1168" s="63"/>
      <c r="U1168" s="10" t="s">
        <v>2541</v>
      </c>
      <c r="V1168" s="90"/>
      <c r="W1168" s="91"/>
      <c r="X1168" s="92"/>
    </row>
    <row r="1169" spans="1:24">
      <c r="A1169" s="614"/>
      <c r="B1169" s="11"/>
      <c r="C1169" s="609"/>
      <c r="D1169" s="10"/>
      <c r="E1169" s="10"/>
      <c r="F1169" s="97">
        <f>SUM(F1168:F1168)</f>
        <v>15421.5</v>
      </c>
      <c r="G1169" s="97">
        <f>SUM(G1168:G1168)</f>
        <v>2706.2599999999998</v>
      </c>
      <c r="H1169" s="97">
        <f>SUM(H1168:H1168)</f>
        <v>1650.3</v>
      </c>
      <c r="I1169" s="98">
        <f>SUM(I1168:I1168)</f>
        <v>11064.94</v>
      </c>
      <c r="J1169" s="63"/>
      <c r="K1169" s="21"/>
      <c r="L1169" s="21"/>
      <c r="M1169" s="21"/>
      <c r="N1169" s="21"/>
      <c r="O1169" s="21"/>
      <c r="P1169" s="21"/>
      <c r="Q1169" s="21"/>
      <c r="R1169" s="21"/>
      <c r="S1169" s="21"/>
      <c r="T1169" s="63"/>
      <c r="U1169" s="94"/>
      <c r="V1169" s="90"/>
      <c r="W1169" s="91"/>
      <c r="X1169" s="92"/>
    </row>
    <row r="1170" spans="1:24">
      <c r="A1170" s="614"/>
      <c r="B1170" s="11"/>
      <c r="C1170" s="609"/>
      <c r="D1170" s="10"/>
      <c r="E1170" s="10"/>
      <c r="F1170" s="88"/>
      <c r="G1170" s="88"/>
      <c r="H1170" s="88"/>
      <c r="I1170" s="99"/>
      <c r="J1170" s="63"/>
      <c r="K1170" s="21"/>
      <c r="L1170" s="21"/>
      <c r="M1170" s="21"/>
      <c r="N1170" s="21"/>
      <c r="O1170" s="21"/>
      <c r="P1170" s="21"/>
      <c r="Q1170" s="21"/>
      <c r="R1170" s="21"/>
      <c r="S1170" s="21"/>
      <c r="T1170" s="63"/>
      <c r="U1170" s="94"/>
      <c r="V1170" s="90"/>
      <c r="W1170" s="91"/>
      <c r="X1170" s="92"/>
    </row>
    <row r="1171" spans="1:24">
      <c r="A1171" s="614"/>
      <c r="B1171" s="100" t="s">
        <v>2633</v>
      </c>
      <c r="C1171" s="609"/>
      <c r="D1171" s="10"/>
      <c r="E1171" s="10"/>
      <c r="F1171" s="88"/>
      <c r="G1171" s="62"/>
      <c r="H1171" s="88"/>
      <c r="I1171" s="99"/>
      <c r="J1171" s="63"/>
      <c r="K1171" s="2"/>
      <c r="L1171" s="2"/>
      <c r="M1171" s="2"/>
      <c r="N1171" s="2"/>
      <c r="O1171" s="2"/>
      <c r="P1171" s="2"/>
      <c r="Q1171" s="2"/>
      <c r="R1171" s="2"/>
      <c r="S1171" s="2"/>
      <c r="T1171" s="63"/>
      <c r="U1171" s="94"/>
      <c r="V1171" s="90"/>
      <c r="W1171" s="91"/>
      <c r="X1171" s="92"/>
    </row>
    <row r="1172" spans="1:24">
      <c r="A1172" s="261" t="s">
        <v>2634</v>
      </c>
      <c r="B1172" s="87">
        <v>1</v>
      </c>
      <c r="C1172" s="262">
        <v>45911</v>
      </c>
      <c r="D1172" s="263" t="s">
        <v>2592</v>
      </c>
      <c r="E1172" s="271" t="s">
        <v>2080</v>
      </c>
      <c r="F1172" s="265">
        <v>16434.900000000001</v>
      </c>
      <c r="G1172" s="265">
        <f>5307.26+(217.8+133.26+319.68)+(255.51+37.68+5.25+210.55-20.17)+1500</f>
        <v>7966.82</v>
      </c>
      <c r="H1172" s="265"/>
      <c r="I1172" s="272">
        <f>F1172-G1172-H1172</f>
        <v>8468.0800000000017</v>
      </c>
      <c r="J1172" s="267" t="s">
        <v>156</v>
      </c>
      <c r="K1172" s="267">
        <v>1</v>
      </c>
      <c r="L1172" s="267">
        <v>1</v>
      </c>
      <c r="M1172" s="267">
        <v>1</v>
      </c>
      <c r="N1172" s="267">
        <v>1</v>
      </c>
      <c r="O1172" s="267">
        <v>1</v>
      </c>
      <c r="P1172" s="267">
        <v>1</v>
      </c>
      <c r="Q1172" s="267">
        <v>1</v>
      </c>
      <c r="R1172" s="267">
        <v>1</v>
      </c>
      <c r="S1172" s="269">
        <v>1</v>
      </c>
      <c r="T1172" s="63"/>
      <c r="U1172" s="94" t="s">
        <v>2635</v>
      </c>
      <c r="V1172" s="90">
        <f>4078.39</f>
        <v>4078.39</v>
      </c>
      <c r="W1172" s="136"/>
      <c r="X1172" s="137"/>
    </row>
    <row r="1173" spans="1:24">
      <c r="A1173" s="614"/>
      <c r="B1173" s="11"/>
      <c r="C1173" s="609"/>
      <c r="D1173" s="10"/>
      <c r="E1173" s="10"/>
      <c r="F1173" s="97">
        <f>SUM(F1172:F1172)</f>
        <v>16434.900000000001</v>
      </c>
      <c r="G1173" s="97">
        <f>SUM(G1172:G1172)</f>
        <v>7966.82</v>
      </c>
      <c r="H1173" s="97">
        <f>SUM(H1172:H1172)</f>
        <v>0</v>
      </c>
      <c r="I1173" s="98">
        <f>SUM(I1172:I1172)</f>
        <v>8468.0800000000017</v>
      </c>
      <c r="J1173" s="63"/>
      <c r="K1173" s="21"/>
      <c r="L1173" s="21"/>
      <c r="M1173" s="21"/>
      <c r="N1173" s="21"/>
      <c r="O1173" s="21"/>
      <c r="P1173" s="21"/>
      <c r="Q1173" s="21"/>
      <c r="R1173" s="21"/>
      <c r="S1173" s="21"/>
      <c r="T1173" s="63"/>
      <c r="U1173" s="94"/>
      <c r="V1173" s="90"/>
      <c r="W1173" s="91"/>
      <c r="X1173" s="92"/>
    </row>
    <row r="1174" spans="1:24">
      <c r="A1174" s="614"/>
      <c r="B1174" s="11"/>
      <c r="C1174" s="609"/>
      <c r="D1174" s="10"/>
      <c r="E1174" s="10"/>
      <c r="F1174" s="88"/>
      <c r="G1174" s="88"/>
      <c r="H1174" s="88"/>
      <c r="I1174" s="99"/>
      <c r="J1174" s="63"/>
      <c r="K1174" s="21"/>
      <c r="L1174" s="21"/>
      <c r="M1174" s="21"/>
      <c r="N1174" s="21"/>
      <c r="O1174" s="21"/>
      <c r="P1174" s="21"/>
      <c r="Q1174" s="21"/>
      <c r="R1174" s="21"/>
      <c r="S1174" s="21"/>
      <c r="T1174" s="63"/>
      <c r="U1174" s="94"/>
      <c r="V1174" s="90"/>
      <c r="W1174" s="91"/>
      <c r="X1174" s="92"/>
    </row>
    <row r="1175" spans="1:24">
      <c r="A1175" s="615"/>
      <c r="B1175" s="121" t="s">
        <v>68</v>
      </c>
      <c r="C1175" s="611"/>
      <c r="D1175" s="123"/>
      <c r="E1175" s="123"/>
      <c r="F1175" s="124"/>
      <c r="G1175" s="125"/>
      <c r="H1175" s="124"/>
      <c r="I1175" s="126"/>
      <c r="J1175" s="127"/>
      <c r="K1175" s="128"/>
      <c r="L1175" s="128"/>
      <c r="M1175" s="128"/>
      <c r="N1175" s="128"/>
      <c r="O1175" s="128"/>
      <c r="P1175" s="128"/>
      <c r="Q1175" s="128"/>
      <c r="R1175" s="128"/>
      <c r="S1175" s="128"/>
      <c r="T1175" s="127"/>
      <c r="U1175" s="135"/>
      <c r="V1175" s="129"/>
      <c r="W1175" s="130"/>
      <c r="X1175" s="131"/>
    </row>
    <row r="1176" spans="1:24" s="381" customFormat="1">
      <c r="A1176" s="713" t="s">
        <v>2636</v>
      </c>
      <c r="B1176" s="372">
        <v>1</v>
      </c>
      <c r="C1176" s="442">
        <v>45931</v>
      </c>
      <c r="D1176" s="327">
        <v>73863</v>
      </c>
      <c r="E1176" s="699" t="s">
        <v>216</v>
      </c>
      <c r="F1176" s="445">
        <v>1138</v>
      </c>
      <c r="G1176" s="445">
        <f>39.7</f>
        <v>39.700000000000003</v>
      </c>
      <c r="H1176" s="445"/>
      <c r="I1176" s="329">
        <f t="shared" ref="I1176" si="219">F1176-G1176-H1176</f>
        <v>1098.3</v>
      </c>
      <c r="J1176" s="322"/>
      <c r="K1176" s="322">
        <v>1</v>
      </c>
      <c r="L1176" s="322">
        <v>1</v>
      </c>
      <c r="M1176" s="322"/>
      <c r="N1176" s="322">
        <v>1</v>
      </c>
      <c r="O1176" s="322">
        <v>1</v>
      </c>
      <c r="P1176" s="322">
        <v>0</v>
      </c>
      <c r="Q1176" s="322">
        <v>0</v>
      </c>
      <c r="R1176" s="322">
        <v>0</v>
      </c>
      <c r="S1176" s="328">
        <v>0</v>
      </c>
      <c r="T1176" s="325"/>
      <c r="U1176" s="430"/>
      <c r="V1176" s="377"/>
      <c r="W1176" s="378"/>
      <c r="X1176" s="393"/>
    </row>
    <row r="1177" spans="1:24" s="342" customFormat="1">
      <c r="A1177" s="713" t="s">
        <v>2636</v>
      </c>
      <c r="B1177" s="372">
        <f t="shared" ref="B1177:B1178" si="220">B1176+1</f>
        <v>2</v>
      </c>
      <c r="C1177" s="442">
        <v>45933</v>
      </c>
      <c r="D1177" s="327">
        <v>73962</v>
      </c>
      <c r="E1177" s="699" t="s">
        <v>187</v>
      </c>
      <c r="F1177" s="445">
        <v>1361</v>
      </c>
      <c r="G1177" s="445">
        <f>39.7</f>
        <v>39.700000000000003</v>
      </c>
      <c r="H1177" s="445"/>
      <c r="I1177" s="329">
        <f>F1177-G1177-H1177</f>
        <v>1321.3</v>
      </c>
      <c r="J1177" s="322"/>
      <c r="K1177" s="322">
        <v>1</v>
      </c>
      <c r="L1177" s="322">
        <v>1</v>
      </c>
      <c r="M1177" s="322"/>
      <c r="N1177" s="322">
        <v>1</v>
      </c>
      <c r="O1177" s="322">
        <v>1</v>
      </c>
      <c r="P1177" s="322">
        <v>1</v>
      </c>
      <c r="Q1177" s="322">
        <v>1</v>
      </c>
      <c r="R1177" s="322">
        <v>1</v>
      </c>
      <c r="S1177" s="328">
        <v>1</v>
      </c>
      <c r="T1177" s="325"/>
      <c r="U1177" s="430"/>
      <c r="V1177" s="377"/>
      <c r="W1177" s="378"/>
      <c r="X1177" s="393"/>
    </row>
    <row r="1178" spans="1:24" s="342" customFormat="1">
      <c r="A1178" s="615" t="s">
        <v>2637</v>
      </c>
      <c r="B1178" s="333">
        <f t="shared" si="220"/>
        <v>3</v>
      </c>
      <c r="C1178" s="395">
        <v>45933</v>
      </c>
      <c r="D1178" s="368" t="s">
        <v>2638</v>
      </c>
      <c r="E1178" s="396" t="s">
        <v>1156</v>
      </c>
      <c r="F1178" s="397">
        <v>4933</v>
      </c>
      <c r="G1178" s="397">
        <f>39.7+(1029.41)+250</f>
        <v>1319.1100000000001</v>
      </c>
      <c r="H1178" s="397"/>
      <c r="I1178" s="398">
        <f>F1178-G1178-H1178</f>
        <v>3613.89</v>
      </c>
      <c r="J1178" s="399" t="s">
        <v>156</v>
      </c>
      <c r="K1178" s="399">
        <v>1</v>
      </c>
      <c r="L1178" s="399">
        <v>1</v>
      </c>
      <c r="M1178" s="399">
        <v>1</v>
      </c>
      <c r="N1178" s="399">
        <v>1</v>
      </c>
      <c r="O1178" s="399">
        <v>1</v>
      </c>
      <c r="P1178" s="332">
        <v>0</v>
      </c>
      <c r="Q1178" s="399">
        <v>1</v>
      </c>
      <c r="R1178" s="399">
        <v>1</v>
      </c>
      <c r="S1178" s="400">
        <v>1</v>
      </c>
      <c r="T1178" s="127"/>
      <c r="U1178" s="135" t="s">
        <v>2639</v>
      </c>
      <c r="V1178" s="129">
        <f>685</f>
        <v>685</v>
      </c>
      <c r="W1178" s="130"/>
      <c r="X1178" s="131"/>
    </row>
    <row r="1179" spans="1:24">
      <c r="A1179" s="615"/>
      <c r="B1179" s="132"/>
      <c r="C1179" s="36"/>
      <c r="D1179" s="123"/>
      <c r="E1179" s="123"/>
      <c r="F1179" s="134">
        <f>SUM(F1176:F1178)</f>
        <v>7432</v>
      </c>
      <c r="G1179" s="134">
        <f>SUM(G1176:G1178)</f>
        <v>1398.5100000000002</v>
      </c>
      <c r="H1179" s="134">
        <f>SUM(H1176:H1178)</f>
        <v>0</v>
      </c>
      <c r="I1179" s="134">
        <f>SUM(I1176:I1178)</f>
        <v>6033.49</v>
      </c>
      <c r="J1179" s="127"/>
      <c r="K1179" s="64"/>
      <c r="L1179" s="64"/>
      <c r="M1179" s="64"/>
      <c r="N1179" s="64"/>
      <c r="O1179" s="64"/>
      <c r="P1179" s="64"/>
      <c r="Q1179" s="64"/>
      <c r="R1179" s="64"/>
      <c r="S1179" s="64"/>
      <c r="T1179" s="127"/>
      <c r="U1179" s="135"/>
      <c r="V1179" s="129"/>
      <c r="W1179" s="130"/>
      <c r="X1179" s="131"/>
    </row>
    <row r="1180" spans="1:24">
      <c r="A1180" s="614"/>
      <c r="B1180" s="11"/>
      <c r="C1180" s="36"/>
      <c r="D1180" s="10"/>
      <c r="E1180" s="10"/>
      <c r="F1180" s="88"/>
      <c r="G1180" s="88"/>
      <c r="H1180" s="88"/>
      <c r="I1180" s="99"/>
      <c r="J1180" s="63"/>
      <c r="K1180" s="21"/>
      <c r="L1180" s="21"/>
      <c r="M1180" s="21"/>
      <c r="N1180" s="21"/>
      <c r="O1180" s="21"/>
      <c r="P1180" s="21"/>
      <c r="Q1180" s="21"/>
      <c r="R1180" s="21"/>
      <c r="S1180" s="21"/>
      <c r="T1180" s="63"/>
      <c r="U1180" s="94"/>
      <c r="V1180" s="90"/>
      <c r="W1180" s="91"/>
      <c r="X1180" s="92"/>
    </row>
    <row r="1181" spans="1:24">
      <c r="A1181" s="615"/>
      <c r="B1181" s="121" t="s">
        <v>70</v>
      </c>
      <c r="C1181" s="36"/>
      <c r="D1181" s="123"/>
      <c r="E1181" s="128"/>
      <c r="F1181" s="124"/>
      <c r="G1181" s="124"/>
      <c r="H1181" s="124"/>
      <c r="I1181" s="126"/>
      <c r="J1181" s="127"/>
      <c r="K1181" s="64"/>
      <c r="L1181" s="64"/>
      <c r="M1181" s="64"/>
      <c r="N1181" s="64"/>
      <c r="O1181" s="64"/>
      <c r="P1181" s="64"/>
      <c r="Q1181" s="64"/>
      <c r="R1181" s="64"/>
      <c r="S1181" s="64"/>
      <c r="T1181" s="127"/>
      <c r="U1181" s="135"/>
      <c r="V1181" s="129"/>
      <c r="W1181" s="130"/>
      <c r="X1181" s="131"/>
    </row>
    <row r="1182" spans="1:24" s="342" customFormat="1">
      <c r="A1182" s="356">
        <v>0.1</v>
      </c>
      <c r="B1182" s="333">
        <v>1</v>
      </c>
      <c r="C1182" s="350">
        <v>45931</v>
      </c>
      <c r="D1182" s="263" t="s">
        <v>2640</v>
      </c>
      <c r="E1182" s="351" t="s">
        <v>216</v>
      </c>
      <c r="F1182" s="352">
        <v>18360.900000000001</v>
      </c>
      <c r="G1182" s="352">
        <f>39.7+(66.44+183)+(193.55)+1500</f>
        <v>1982.69</v>
      </c>
      <c r="H1182" s="352"/>
      <c r="I1182" s="353">
        <f>F1182-G1182-H1182</f>
        <v>16378.210000000001</v>
      </c>
      <c r="J1182" s="354" t="s">
        <v>817</v>
      </c>
      <c r="K1182" s="354">
        <v>1</v>
      </c>
      <c r="L1182" s="354"/>
      <c r="M1182" s="354">
        <v>1</v>
      </c>
      <c r="N1182" s="354">
        <v>1</v>
      </c>
      <c r="O1182" s="354">
        <v>1</v>
      </c>
      <c r="P1182" s="354">
        <v>1</v>
      </c>
      <c r="Q1182" s="354"/>
      <c r="R1182" s="354"/>
      <c r="S1182" s="355"/>
      <c r="T1182" s="127"/>
      <c r="U1182" s="135" t="s">
        <v>2641</v>
      </c>
      <c r="V1182" s="129">
        <f>4000</f>
        <v>4000</v>
      </c>
      <c r="W1182" s="711">
        <v>2000</v>
      </c>
      <c r="X1182" s="341"/>
    </row>
    <row r="1183" spans="1:24">
      <c r="A1183" s="615"/>
      <c r="B1183" s="132"/>
      <c r="C1183" s="36"/>
      <c r="D1183" s="123"/>
      <c r="E1183" s="123"/>
      <c r="F1183" s="134">
        <f>SUM(F1182)</f>
        <v>18360.900000000001</v>
      </c>
      <c r="G1183" s="134">
        <f t="shared" ref="G1183:I1183" si="221">SUM(G1182)</f>
        <v>1982.69</v>
      </c>
      <c r="H1183" s="134">
        <f t="shared" si="221"/>
        <v>0</v>
      </c>
      <c r="I1183" s="134">
        <f t="shared" si="221"/>
        <v>16378.210000000001</v>
      </c>
      <c r="J1183" s="127"/>
      <c r="K1183" s="64"/>
      <c r="L1183" s="64"/>
      <c r="M1183" s="64"/>
      <c r="N1183" s="64"/>
      <c r="O1183" s="64"/>
      <c r="P1183" s="64"/>
      <c r="Q1183" s="64"/>
      <c r="R1183" s="64"/>
      <c r="S1183" s="64"/>
      <c r="T1183" s="127"/>
      <c r="U1183" s="135"/>
      <c r="V1183" s="129"/>
      <c r="W1183" s="130"/>
      <c r="X1183" s="131"/>
    </row>
    <row r="1184" spans="1:24">
      <c r="A1184" s="614"/>
      <c r="B1184" s="11"/>
      <c r="C1184" s="609"/>
      <c r="D1184" s="10"/>
      <c r="E1184" s="10"/>
      <c r="F1184" s="88"/>
      <c r="G1184" s="88"/>
      <c r="H1184" s="88"/>
      <c r="I1184" s="99"/>
      <c r="J1184" s="63"/>
      <c r="K1184" s="21"/>
      <c r="L1184" s="21"/>
      <c r="M1184" s="21"/>
      <c r="N1184" s="21"/>
      <c r="O1184" s="21"/>
      <c r="P1184" s="21"/>
      <c r="Q1184" s="21"/>
      <c r="R1184" s="21"/>
      <c r="S1184" s="21"/>
      <c r="T1184" s="63"/>
      <c r="U1184" s="94"/>
      <c r="V1184" s="90"/>
      <c r="W1184" s="91"/>
      <c r="X1184" s="92"/>
    </row>
    <row r="1185" spans="1:24" s="260" customFormat="1">
      <c r="B1185" s="100" t="s">
        <v>152</v>
      </c>
      <c r="C1185" s="270"/>
      <c r="D1185" s="10"/>
      <c r="E1185" s="101"/>
      <c r="F1185" s="88"/>
      <c r="G1185" s="62"/>
      <c r="H1185" s="88"/>
      <c r="I1185" s="99"/>
      <c r="J1185" s="63"/>
      <c r="K1185" s="181"/>
      <c r="L1185" s="181"/>
      <c r="M1185" s="181"/>
      <c r="N1185" s="181"/>
      <c r="O1185" s="181"/>
      <c r="P1185" s="181"/>
      <c r="Q1185" s="181"/>
      <c r="R1185" s="181"/>
      <c r="S1185" s="181"/>
      <c r="T1185" s="63"/>
      <c r="U1185" s="10"/>
      <c r="V1185" s="90"/>
      <c r="W1185" s="91"/>
      <c r="X1185" s="92"/>
    </row>
    <row r="1186" spans="1:24" s="260" customFormat="1">
      <c r="A1186" s="261">
        <v>0.05</v>
      </c>
      <c r="B1186" s="87">
        <v>1</v>
      </c>
      <c r="C1186" s="274">
        <v>45790</v>
      </c>
      <c r="D1186" s="320" t="s">
        <v>2339</v>
      </c>
      <c r="E1186" s="276" t="s">
        <v>225</v>
      </c>
      <c r="F1186" s="277">
        <v>8614</v>
      </c>
      <c r="G1186" s="277">
        <f>39.7+(143.54)+(86.25+50.9-26.76)+750</f>
        <v>1043.6300000000001</v>
      </c>
      <c r="H1186" s="277"/>
      <c r="I1186" s="278">
        <f>F1186-G1186-H1186</f>
        <v>7570.37</v>
      </c>
      <c r="J1186" s="279"/>
      <c r="K1186" s="279">
        <v>1</v>
      </c>
      <c r="L1186" s="279"/>
      <c r="M1186" s="279"/>
      <c r="N1186" s="279">
        <v>1</v>
      </c>
      <c r="O1186" s="279">
        <v>1</v>
      </c>
      <c r="P1186" s="279">
        <v>1</v>
      </c>
      <c r="Q1186" s="279"/>
      <c r="R1186" s="279"/>
      <c r="S1186" s="280"/>
      <c r="T1186" s="63"/>
      <c r="U1186" s="10" t="s">
        <v>2340</v>
      </c>
      <c r="V1186" s="90"/>
      <c r="W1186" s="136"/>
      <c r="X1186" s="137"/>
    </row>
    <row r="1187" spans="1:24" s="260" customFormat="1">
      <c r="A1187" s="261">
        <v>0.05</v>
      </c>
      <c r="B1187" s="87">
        <f>B1186+1</f>
        <v>2</v>
      </c>
      <c r="C1187" s="262">
        <v>45880</v>
      </c>
      <c r="D1187" s="357" t="s">
        <v>2475</v>
      </c>
      <c r="E1187" s="264" t="s">
        <v>294</v>
      </c>
      <c r="F1187" s="265">
        <v>1542</v>
      </c>
      <c r="G1187" s="265">
        <f>39.7</f>
        <v>39.700000000000003</v>
      </c>
      <c r="H1187" s="265"/>
      <c r="I1187" s="266">
        <f>F1187-G1187-H1187</f>
        <v>1502.3</v>
      </c>
      <c r="J1187" s="267" t="s">
        <v>156</v>
      </c>
      <c r="K1187" s="267">
        <v>1</v>
      </c>
      <c r="L1187" s="314">
        <v>0</v>
      </c>
      <c r="M1187" s="267">
        <v>1</v>
      </c>
      <c r="N1187" s="267">
        <v>1</v>
      </c>
      <c r="O1187" s="267">
        <v>1</v>
      </c>
      <c r="P1187" s="267">
        <v>1</v>
      </c>
      <c r="Q1187" s="267">
        <v>1</v>
      </c>
      <c r="R1187" s="267">
        <v>1</v>
      </c>
      <c r="S1187" s="269">
        <v>1</v>
      </c>
      <c r="T1187" s="63"/>
      <c r="U1187" s="10" t="s">
        <v>2642</v>
      </c>
      <c r="V1187" s="90"/>
      <c r="W1187" s="91"/>
      <c r="X1187" s="92"/>
    </row>
    <row r="1188" spans="1:24" s="260" customFormat="1">
      <c r="A1188" s="261" t="s">
        <v>2588</v>
      </c>
      <c r="B1188" s="87">
        <f>B1187+1</f>
        <v>3</v>
      </c>
      <c r="C1188" s="282">
        <v>45911</v>
      </c>
      <c r="D1188" s="368">
        <v>73228</v>
      </c>
      <c r="E1188" s="319" t="s">
        <v>1037</v>
      </c>
      <c r="F1188" s="284">
        <v>4914.8999999999996</v>
      </c>
      <c r="G1188" s="284">
        <f>39.7</f>
        <v>39.700000000000003</v>
      </c>
      <c r="H1188" s="284"/>
      <c r="I1188" s="285">
        <f>F1188-G1188-H1188</f>
        <v>4875.2</v>
      </c>
      <c r="J1188" s="286" t="s">
        <v>156</v>
      </c>
      <c r="K1188" s="286">
        <v>1</v>
      </c>
      <c r="L1188" s="286">
        <v>1</v>
      </c>
      <c r="M1188" s="286">
        <v>1</v>
      </c>
      <c r="N1188" s="286">
        <v>1</v>
      </c>
      <c r="O1188" s="286">
        <v>1</v>
      </c>
      <c r="P1188" s="286">
        <v>1</v>
      </c>
      <c r="Q1188" s="286">
        <v>1</v>
      </c>
      <c r="R1188" s="286">
        <v>1</v>
      </c>
      <c r="S1188" s="287">
        <v>1</v>
      </c>
      <c r="T1188" s="21"/>
      <c r="U1188" s="94" t="s">
        <v>2589</v>
      </c>
      <c r="V1188" s="90"/>
      <c r="W1188" s="91"/>
      <c r="X1188" s="92"/>
    </row>
    <row r="1189" spans="1:24" s="260" customFormat="1">
      <c r="B1189" s="11"/>
      <c r="C1189" s="270"/>
      <c r="D1189" s="10"/>
      <c r="E1189" s="10"/>
      <c r="F1189" s="97">
        <f>SUM(F1186:F1187)</f>
        <v>10156</v>
      </c>
      <c r="G1189" s="97">
        <f>SUM(G1186:G1187)</f>
        <v>1083.3300000000002</v>
      </c>
      <c r="H1189" s="97">
        <f>SUM(H1186:H1187)</f>
        <v>0</v>
      </c>
      <c r="I1189" s="97">
        <f>SUM(I1186:I1187)</f>
        <v>9072.67</v>
      </c>
      <c r="J1189" s="63"/>
      <c r="K1189" s="21"/>
      <c r="L1189" s="21"/>
      <c r="M1189" s="21"/>
      <c r="N1189" s="21"/>
      <c r="O1189" s="21"/>
      <c r="P1189" s="21"/>
      <c r="Q1189" s="21"/>
      <c r="R1189" s="21"/>
      <c r="S1189" s="21"/>
      <c r="T1189" s="63"/>
      <c r="U1189" s="10"/>
      <c r="V1189" s="90"/>
      <c r="W1189" s="91"/>
      <c r="X1189" s="92"/>
    </row>
    <row r="1190" spans="1:24" s="260" customFormat="1">
      <c r="B1190" s="11"/>
      <c r="C1190" s="270"/>
      <c r="D1190" s="10"/>
      <c r="E1190" s="10"/>
      <c r="F1190" s="88"/>
      <c r="G1190" s="88"/>
      <c r="H1190" s="88"/>
      <c r="I1190" s="99"/>
      <c r="J1190" s="63"/>
      <c r="K1190" s="21"/>
      <c r="L1190" s="21"/>
      <c r="M1190" s="21"/>
      <c r="N1190" s="21"/>
      <c r="O1190" s="21"/>
      <c r="P1190" s="21"/>
      <c r="Q1190" s="21"/>
      <c r="R1190" s="21"/>
      <c r="S1190" s="21"/>
      <c r="T1190" s="63"/>
      <c r="U1190" s="10"/>
      <c r="V1190" s="90"/>
      <c r="W1190" s="91"/>
      <c r="X1190" s="92"/>
    </row>
    <row r="1191" spans="1:24" s="260" customFormat="1">
      <c r="B1191" s="100" t="s">
        <v>202</v>
      </c>
      <c r="C1191" s="270"/>
      <c r="D1191" s="10"/>
      <c r="E1191" s="181"/>
      <c r="F1191" s="88"/>
      <c r="G1191" s="88"/>
      <c r="H1191" s="88"/>
      <c r="I1191" s="99"/>
      <c r="J1191" s="63"/>
      <c r="K1191" s="21"/>
      <c r="L1191" s="21"/>
      <c r="M1191" s="21"/>
      <c r="N1191" s="21"/>
      <c r="O1191" s="21"/>
      <c r="P1191" s="21"/>
      <c r="Q1191" s="21"/>
      <c r="R1191" s="21"/>
      <c r="S1191" s="21"/>
      <c r="T1191" s="63"/>
      <c r="U1191" s="10"/>
      <c r="V1191" s="90"/>
      <c r="W1191" s="91"/>
      <c r="X1191" s="92"/>
    </row>
    <row r="1192" spans="1:24" s="260" customFormat="1">
      <c r="A1192" s="261">
        <v>0.05</v>
      </c>
      <c r="B1192" s="87">
        <v>1</v>
      </c>
      <c r="C1192" s="274">
        <v>45863</v>
      </c>
      <c r="D1192" s="327" t="s">
        <v>2406</v>
      </c>
      <c r="E1192" s="276" t="s">
        <v>2398</v>
      </c>
      <c r="F1192" s="277">
        <v>14218</v>
      </c>
      <c r="G1192" s="277">
        <f>39.7+487.5+(78.82+18.7+38.9+17.61+45.74)+(21.28)+1000</f>
        <v>1748.25</v>
      </c>
      <c r="H1192" s="277"/>
      <c r="I1192" s="278">
        <f>F1192-G1192-H1192</f>
        <v>12469.75</v>
      </c>
      <c r="J1192" s="279" t="s">
        <v>156</v>
      </c>
      <c r="K1192" s="279">
        <v>1</v>
      </c>
      <c r="L1192" s="279"/>
      <c r="M1192" s="279">
        <v>1</v>
      </c>
      <c r="N1192" s="279">
        <v>1</v>
      </c>
      <c r="O1192" s="279">
        <v>1</v>
      </c>
      <c r="P1192" s="279">
        <v>1</v>
      </c>
      <c r="Q1192" s="279"/>
      <c r="R1192" s="279"/>
      <c r="S1192" s="280"/>
      <c r="T1192" s="63"/>
      <c r="U1192" s="94" t="s">
        <v>2407</v>
      </c>
      <c r="V1192" s="90"/>
      <c r="W1192" s="136"/>
      <c r="X1192" s="137"/>
    </row>
    <row r="1193" spans="1:24" s="260" customFormat="1">
      <c r="A1193" s="494">
        <v>0.1</v>
      </c>
      <c r="B1193" s="87">
        <f>B1192+1</f>
        <v>2</v>
      </c>
      <c r="C1193" s="262">
        <v>45925</v>
      </c>
      <c r="D1193" s="263">
        <v>73655</v>
      </c>
      <c r="E1193" s="264" t="s">
        <v>1401</v>
      </c>
      <c r="F1193" s="265">
        <v>7118.1</v>
      </c>
      <c r="G1193" s="265">
        <f>39.7+500</f>
        <v>539.70000000000005</v>
      </c>
      <c r="H1193" s="265"/>
      <c r="I1193" s="266">
        <f t="shared" ref="I1193" si="222">F1193-G1193-H1193</f>
        <v>6578.4000000000005</v>
      </c>
      <c r="J1193" s="267"/>
      <c r="K1193" s="267">
        <v>1</v>
      </c>
      <c r="L1193" s="267"/>
      <c r="M1193" s="267"/>
      <c r="N1193" s="267">
        <v>1</v>
      </c>
      <c r="O1193" s="267">
        <v>1</v>
      </c>
      <c r="P1193" s="314">
        <v>0</v>
      </c>
      <c r="Q1193" s="267"/>
      <c r="R1193" s="267"/>
      <c r="S1193" s="269"/>
      <c r="T1193" s="63"/>
      <c r="U1193" s="94" t="s">
        <v>2618</v>
      </c>
      <c r="V1193" s="90"/>
      <c r="W1193" s="136"/>
      <c r="X1193" s="137"/>
    </row>
    <row r="1194" spans="1:24" s="260" customFormat="1">
      <c r="A1194" s="260" t="s">
        <v>2347</v>
      </c>
      <c r="B1194" s="11"/>
      <c r="C1194" s="270"/>
      <c r="D1194" s="10"/>
      <c r="E1194" s="10"/>
      <c r="F1194" s="97">
        <f>SUM(F1192:F1192)</f>
        <v>14218</v>
      </c>
      <c r="G1194" s="97">
        <f>SUM(G1192:G1192)</f>
        <v>1748.25</v>
      </c>
      <c r="H1194" s="97">
        <f>SUM(H1192:H1192)</f>
        <v>0</v>
      </c>
      <c r="I1194" s="97">
        <f>SUM(I1192:I1192)</f>
        <v>12469.75</v>
      </c>
      <c r="J1194" s="63"/>
      <c r="K1194" s="21"/>
      <c r="L1194" s="21"/>
      <c r="M1194" s="21"/>
      <c r="N1194" s="21"/>
      <c r="O1194" s="21"/>
      <c r="P1194" s="21"/>
      <c r="Q1194" s="21"/>
      <c r="R1194" s="21"/>
      <c r="S1194" s="21"/>
      <c r="T1194" s="63"/>
      <c r="V1194" s="90"/>
      <c r="W1194" s="91"/>
      <c r="X1194" s="92"/>
    </row>
    <row r="1195" spans="1:24" s="260" customFormat="1">
      <c r="B1195" s="11"/>
      <c r="C1195" s="270"/>
      <c r="D1195" s="10"/>
      <c r="E1195" s="10"/>
      <c r="F1195" s="88"/>
      <c r="G1195" s="88"/>
      <c r="H1195" s="88"/>
      <c r="I1195" s="88"/>
      <c r="J1195" s="63"/>
      <c r="K1195" s="21"/>
      <c r="L1195" s="21"/>
      <c r="M1195" s="21"/>
      <c r="N1195" s="21"/>
      <c r="O1195" s="21"/>
      <c r="P1195" s="21"/>
      <c r="Q1195" s="21"/>
      <c r="R1195" s="21"/>
      <c r="S1195" s="21"/>
      <c r="T1195" s="63"/>
      <c r="U1195" s="10"/>
      <c r="V1195" s="90"/>
      <c r="W1195" s="91"/>
      <c r="X1195" s="92"/>
    </row>
    <row r="1196" spans="1:24">
      <c r="A1196" s="614"/>
      <c r="B1196" s="100" t="s">
        <v>72</v>
      </c>
      <c r="C1196" s="609"/>
      <c r="D1196" s="10"/>
      <c r="E1196" s="10"/>
      <c r="F1196" s="88"/>
      <c r="G1196" s="88"/>
      <c r="H1196" s="88"/>
      <c r="I1196" s="99"/>
      <c r="J1196" s="63"/>
      <c r="K1196" s="63"/>
      <c r="L1196" s="63"/>
      <c r="M1196" s="63"/>
      <c r="N1196" s="63"/>
      <c r="O1196" s="63"/>
      <c r="P1196" s="63"/>
      <c r="Q1196" s="63"/>
      <c r="R1196" s="63"/>
      <c r="S1196" s="63"/>
      <c r="T1196" s="63"/>
      <c r="U1196" s="94"/>
      <c r="V1196" s="90"/>
      <c r="W1196" s="91"/>
      <c r="X1196" s="92"/>
    </row>
    <row r="1197" spans="1:24">
      <c r="A1197" s="614"/>
      <c r="B1197" s="87">
        <v>1</v>
      </c>
      <c r="C1197" s="274">
        <v>45929</v>
      </c>
      <c r="D1197" s="276">
        <v>73719</v>
      </c>
      <c r="E1197" s="276" t="s">
        <v>2013</v>
      </c>
      <c r="F1197" s="277">
        <v>2261</v>
      </c>
      <c r="G1197" s="277">
        <v>39.700000000000003</v>
      </c>
      <c r="H1197" s="277"/>
      <c r="I1197" s="278">
        <f>F1197-G1197-H1197</f>
        <v>2221.3000000000002</v>
      </c>
      <c r="J1197" s="279" t="s">
        <v>205</v>
      </c>
      <c r="K1197" s="279">
        <v>1</v>
      </c>
      <c r="L1197" s="279"/>
      <c r="M1197" s="279"/>
      <c r="N1197" s="279">
        <v>1</v>
      </c>
      <c r="O1197" s="279"/>
      <c r="P1197" s="279"/>
      <c r="Q1197" s="279">
        <v>1</v>
      </c>
      <c r="R1197" s="279">
        <v>1</v>
      </c>
      <c r="S1197" s="280">
        <v>1</v>
      </c>
      <c r="T1197" s="63"/>
      <c r="U1197" s="164"/>
      <c r="V1197" s="90"/>
      <c r="W1197" s="91"/>
      <c r="X1197" s="92"/>
    </row>
    <row r="1198" spans="1:24">
      <c r="A1198" s="614"/>
      <c r="B1198" s="87">
        <f>B1197+1</f>
        <v>2</v>
      </c>
      <c r="C1198" s="295">
        <v>45929</v>
      </c>
      <c r="D1198" s="10">
        <v>73727</v>
      </c>
      <c r="E1198" s="10" t="s">
        <v>1200</v>
      </c>
      <c r="F1198" s="62">
        <v>861</v>
      </c>
      <c r="G1198" s="62">
        <v>39.700000000000003</v>
      </c>
      <c r="H1198" s="62"/>
      <c r="I1198" s="89">
        <f t="shared" ref="I1198:I1212" si="223">F1198-G1198-H1198</f>
        <v>821.3</v>
      </c>
      <c r="J1198" s="63" t="s">
        <v>205</v>
      </c>
      <c r="K1198" s="63">
        <v>1</v>
      </c>
      <c r="L1198" s="63"/>
      <c r="M1198" s="63"/>
      <c r="N1198" s="63">
        <v>1</v>
      </c>
      <c r="O1198" s="63"/>
      <c r="P1198" s="63"/>
      <c r="Q1198" s="63">
        <v>1</v>
      </c>
      <c r="R1198" s="63">
        <v>1</v>
      </c>
      <c r="S1198" s="296">
        <v>1</v>
      </c>
      <c r="T1198" s="21">
        <v>1</v>
      </c>
      <c r="U1198" s="94"/>
      <c r="V1198" s="90"/>
      <c r="W1198" s="136"/>
      <c r="X1198" s="137"/>
    </row>
    <row r="1199" spans="1:24">
      <c r="A1199" s="614"/>
      <c r="B1199" s="87">
        <f t="shared" ref="B1199:B1210" si="224">B1198+1</f>
        <v>3</v>
      </c>
      <c r="C1199" s="295">
        <v>45929</v>
      </c>
      <c r="D1199" s="10">
        <v>73761</v>
      </c>
      <c r="E1199" s="10" t="s">
        <v>1605</v>
      </c>
      <c r="F1199" s="62">
        <v>4419</v>
      </c>
      <c r="G1199" s="62">
        <v>39.700000000000003</v>
      </c>
      <c r="H1199" s="62"/>
      <c r="I1199" s="89">
        <f t="shared" si="223"/>
        <v>4379.3</v>
      </c>
      <c r="J1199" s="63" t="s">
        <v>205</v>
      </c>
      <c r="K1199" s="63">
        <v>1</v>
      </c>
      <c r="L1199" s="63"/>
      <c r="M1199" s="63"/>
      <c r="N1199" s="63">
        <v>1</v>
      </c>
      <c r="O1199" s="63"/>
      <c r="P1199" s="63"/>
      <c r="Q1199" s="63">
        <v>1</v>
      </c>
      <c r="R1199" s="63">
        <v>1</v>
      </c>
      <c r="S1199" s="296">
        <v>1</v>
      </c>
      <c r="T1199" s="63"/>
      <c r="U1199" s="94"/>
      <c r="V1199" s="90"/>
      <c r="W1199" s="136"/>
      <c r="X1199" s="137"/>
    </row>
    <row r="1200" spans="1:24">
      <c r="A1200" s="614"/>
      <c r="B1200" s="87">
        <f t="shared" si="224"/>
        <v>4</v>
      </c>
      <c r="C1200" s="274">
        <v>45930</v>
      </c>
      <c r="D1200" s="276">
        <v>73789</v>
      </c>
      <c r="E1200" s="276" t="s">
        <v>1111</v>
      </c>
      <c r="F1200" s="277">
        <v>841</v>
      </c>
      <c r="G1200" s="277">
        <v>39.700000000000003</v>
      </c>
      <c r="H1200" s="277"/>
      <c r="I1200" s="278">
        <f t="shared" si="223"/>
        <v>801.3</v>
      </c>
      <c r="J1200" s="279" t="s">
        <v>205</v>
      </c>
      <c r="K1200" s="279">
        <v>1</v>
      </c>
      <c r="L1200" s="279"/>
      <c r="M1200" s="279"/>
      <c r="N1200" s="279">
        <v>1</v>
      </c>
      <c r="O1200" s="279"/>
      <c r="P1200" s="279"/>
      <c r="Q1200" s="279">
        <v>1</v>
      </c>
      <c r="R1200" s="279">
        <v>1</v>
      </c>
      <c r="S1200" s="280"/>
      <c r="T1200" s="63"/>
      <c r="U1200" s="94"/>
      <c r="V1200" s="90"/>
      <c r="W1200" s="136"/>
      <c r="X1200" s="137"/>
    </row>
    <row r="1201" spans="1:24">
      <c r="A1201" s="614"/>
      <c r="B1201" s="87">
        <f t="shared" si="224"/>
        <v>5</v>
      </c>
      <c r="C1201" s="295">
        <v>45930</v>
      </c>
      <c r="D1201" s="10">
        <v>73798</v>
      </c>
      <c r="E1201" s="10" t="s">
        <v>1012</v>
      </c>
      <c r="F1201" s="62">
        <v>0</v>
      </c>
      <c r="G1201" s="62">
        <v>0</v>
      </c>
      <c r="H1201" s="62"/>
      <c r="I1201" s="89">
        <f t="shared" si="223"/>
        <v>0</v>
      </c>
      <c r="J1201" s="63" t="s">
        <v>205</v>
      </c>
      <c r="K1201" s="63"/>
      <c r="L1201" s="63"/>
      <c r="M1201" s="63"/>
      <c r="N1201" s="63"/>
      <c r="O1201" s="63"/>
      <c r="P1201" s="63"/>
      <c r="Q1201" s="63">
        <v>1</v>
      </c>
      <c r="R1201" s="63">
        <v>1</v>
      </c>
      <c r="S1201" s="296">
        <v>1</v>
      </c>
      <c r="T1201" s="63"/>
      <c r="U1201" s="94"/>
      <c r="V1201" s="90"/>
      <c r="W1201" s="136"/>
      <c r="X1201" s="137"/>
    </row>
    <row r="1202" spans="1:24">
      <c r="A1202" s="614"/>
      <c r="B1202" s="87">
        <f t="shared" si="224"/>
        <v>6</v>
      </c>
      <c r="C1202" s="295">
        <v>45930</v>
      </c>
      <c r="D1202" s="10">
        <v>73730</v>
      </c>
      <c r="E1202" s="101" t="s">
        <v>1010</v>
      </c>
      <c r="F1202" s="62">
        <v>0</v>
      </c>
      <c r="G1202" s="62">
        <v>0</v>
      </c>
      <c r="H1202" s="62"/>
      <c r="I1202" s="89">
        <f t="shared" si="223"/>
        <v>0</v>
      </c>
      <c r="J1202" s="63" t="s">
        <v>205</v>
      </c>
      <c r="K1202" s="63"/>
      <c r="L1202" s="63"/>
      <c r="M1202" s="63"/>
      <c r="N1202" s="63"/>
      <c r="O1202" s="63"/>
      <c r="P1202" s="63"/>
      <c r="Q1202" s="63">
        <v>1</v>
      </c>
      <c r="R1202" s="63">
        <v>1</v>
      </c>
      <c r="S1202" s="296">
        <v>1</v>
      </c>
      <c r="T1202" s="63"/>
      <c r="U1202" s="94"/>
      <c r="V1202" s="90"/>
      <c r="W1202" s="136"/>
      <c r="X1202" s="137"/>
    </row>
    <row r="1203" spans="1:24">
      <c r="A1203" s="614"/>
      <c r="B1203" s="87">
        <f t="shared" si="224"/>
        <v>7</v>
      </c>
      <c r="C1203" s="295">
        <v>45930</v>
      </c>
      <c r="D1203" s="10">
        <v>73788</v>
      </c>
      <c r="E1203" s="101" t="s">
        <v>1010</v>
      </c>
      <c r="F1203" s="62">
        <v>2381</v>
      </c>
      <c r="G1203" s="62">
        <v>39.700000000000003</v>
      </c>
      <c r="H1203" s="62"/>
      <c r="I1203" s="89">
        <f t="shared" si="223"/>
        <v>2341.3000000000002</v>
      </c>
      <c r="J1203" s="63" t="s">
        <v>205</v>
      </c>
      <c r="K1203" s="63">
        <v>1</v>
      </c>
      <c r="L1203" s="63"/>
      <c r="M1203" s="63"/>
      <c r="N1203" s="63">
        <v>1</v>
      </c>
      <c r="O1203" s="63"/>
      <c r="P1203" s="63"/>
      <c r="Q1203" s="63">
        <v>1</v>
      </c>
      <c r="R1203" s="63">
        <v>1</v>
      </c>
      <c r="S1203" s="296">
        <v>1</v>
      </c>
      <c r="T1203" s="63"/>
      <c r="U1203" s="94"/>
      <c r="V1203" s="90"/>
      <c r="W1203" s="136"/>
      <c r="X1203" s="137"/>
    </row>
    <row r="1204" spans="1:24">
      <c r="A1204" s="614"/>
      <c r="B1204" s="87">
        <f t="shared" si="224"/>
        <v>8</v>
      </c>
      <c r="C1204" s="274">
        <v>45931</v>
      </c>
      <c r="D1204" s="276">
        <v>73797</v>
      </c>
      <c r="E1204" s="281" t="s">
        <v>2372</v>
      </c>
      <c r="F1204" s="277">
        <v>1261</v>
      </c>
      <c r="G1204" s="277">
        <v>39.700000000000003</v>
      </c>
      <c r="H1204" s="277"/>
      <c r="I1204" s="278">
        <f t="shared" si="223"/>
        <v>1221.3</v>
      </c>
      <c r="J1204" s="279" t="s">
        <v>205</v>
      </c>
      <c r="K1204" s="279">
        <v>1</v>
      </c>
      <c r="L1204" s="279"/>
      <c r="M1204" s="279"/>
      <c r="N1204" s="279">
        <v>1</v>
      </c>
      <c r="O1204" s="279"/>
      <c r="P1204" s="279"/>
      <c r="Q1204" s="279">
        <v>1</v>
      </c>
      <c r="R1204" s="279">
        <v>1</v>
      </c>
      <c r="S1204" s="280"/>
      <c r="T1204" s="63"/>
      <c r="U1204" s="94"/>
      <c r="V1204" s="90"/>
      <c r="W1204" s="136"/>
      <c r="X1204" s="137"/>
    </row>
    <row r="1205" spans="1:24">
      <c r="A1205" s="614"/>
      <c r="B1205" s="87">
        <f t="shared" si="224"/>
        <v>9</v>
      </c>
      <c r="C1205" s="295">
        <v>45931</v>
      </c>
      <c r="D1205" s="10">
        <v>73897</v>
      </c>
      <c r="E1205" s="101" t="s">
        <v>1150</v>
      </c>
      <c r="F1205" s="62">
        <v>0</v>
      </c>
      <c r="G1205" s="62">
        <v>0</v>
      </c>
      <c r="H1205" s="62"/>
      <c r="I1205" s="89">
        <f t="shared" si="223"/>
        <v>0</v>
      </c>
      <c r="J1205" s="63" t="s">
        <v>156</v>
      </c>
      <c r="K1205" s="63"/>
      <c r="L1205" s="63"/>
      <c r="M1205" s="63">
        <v>1</v>
      </c>
      <c r="N1205" s="63"/>
      <c r="O1205" s="63"/>
      <c r="P1205" s="63"/>
      <c r="Q1205" s="63"/>
      <c r="R1205" s="63"/>
      <c r="S1205" s="296"/>
      <c r="T1205" s="63"/>
      <c r="U1205" s="94"/>
      <c r="V1205" s="90">
        <v>93.5</v>
      </c>
      <c r="W1205" s="136"/>
      <c r="X1205" s="137"/>
    </row>
    <row r="1206" spans="1:24">
      <c r="A1206" s="614"/>
      <c r="B1206" s="87">
        <f t="shared" si="224"/>
        <v>10</v>
      </c>
      <c r="C1206" s="295">
        <v>45931</v>
      </c>
      <c r="D1206" s="10">
        <v>73827</v>
      </c>
      <c r="E1206" s="101" t="s">
        <v>671</v>
      </c>
      <c r="F1206" s="62">
        <v>0</v>
      </c>
      <c r="G1206" s="62">
        <v>0</v>
      </c>
      <c r="H1206" s="62"/>
      <c r="I1206" s="89">
        <f t="shared" si="223"/>
        <v>0</v>
      </c>
      <c r="J1206" s="63" t="s">
        <v>205</v>
      </c>
      <c r="K1206" s="63"/>
      <c r="L1206" s="63"/>
      <c r="M1206" s="63"/>
      <c r="N1206" s="63"/>
      <c r="O1206" s="63"/>
      <c r="P1206" s="63"/>
      <c r="Q1206" s="63">
        <v>1</v>
      </c>
      <c r="R1206" s="63">
        <v>1</v>
      </c>
      <c r="S1206" s="296">
        <v>1</v>
      </c>
      <c r="T1206" s="21">
        <v>1</v>
      </c>
      <c r="U1206" s="94"/>
      <c r="V1206" s="90"/>
      <c r="W1206" s="136"/>
      <c r="X1206" s="137"/>
    </row>
    <row r="1207" spans="1:24">
      <c r="A1207" s="614"/>
      <c r="B1207" s="87">
        <f t="shared" si="224"/>
        <v>11</v>
      </c>
      <c r="C1207" s="274">
        <v>45932</v>
      </c>
      <c r="D1207" s="276">
        <v>73922</v>
      </c>
      <c r="E1207" s="281" t="s">
        <v>2643</v>
      </c>
      <c r="F1207" s="277">
        <v>6841</v>
      </c>
      <c r="G1207" s="277">
        <v>39.700000000000003</v>
      </c>
      <c r="H1207" s="277"/>
      <c r="I1207" s="278">
        <f t="shared" si="223"/>
        <v>6801.3</v>
      </c>
      <c r="J1207" s="279" t="s">
        <v>205</v>
      </c>
      <c r="K1207" s="279">
        <v>1</v>
      </c>
      <c r="L1207" s="279"/>
      <c r="M1207" s="279"/>
      <c r="N1207" s="279">
        <v>1</v>
      </c>
      <c r="O1207" s="279"/>
      <c r="P1207" s="279"/>
      <c r="Q1207" s="279">
        <v>1</v>
      </c>
      <c r="R1207" s="279">
        <v>1</v>
      </c>
      <c r="S1207" s="280">
        <v>1</v>
      </c>
      <c r="T1207" s="63"/>
      <c r="U1207" s="94"/>
      <c r="V1207" s="90"/>
      <c r="W1207" s="136"/>
      <c r="X1207" s="137"/>
    </row>
    <row r="1208" spans="1:24">
      <c r="A1208" s="614"/>
      <c r="B1208" s="87">
        <f>B1207+1</f>
        <v>12</v>
      </c>
      <c r="C1208" s="295">
        <v>45932</v>
      </c>
      <c r="D1208" s="10">
        <v>73956</v>
      </c>
      <c r="E1208" s="101" t="s">
        <v>780</v>
      </c>
      <c r="F1208" s="62">
        <v>0</v>
      </c>
      <c r="G1208" s="62">
        <v>0</v>
      </c>
      <c r="H1208" s="62"/>
      <c r="I1208" s="89">
        <f t="shared" si="223"/>
        <v>0</v>
      </c>
      <c r="J1208" s="63" t="s">
        <v>205</v>
      </c>
      <c r="K1208" s="63">
        <v>1</v>
      </c>
      <c r="L1208" s="63"/>
      <c r="M1208" s="63"/>
      <c r="N1208" s="63"/>
      <c r="O1208" s="63"/>
      <c r="P1208" s="63"/>
      <c r="Q1208" s="63">
        <v>1</v>
      </c>
      <c r="R1208" s="63">
        <v>1</v>
      </c>
      <c r="S1208" s="296">
        <v>1</v>
      </c>
      <c r="T1208" s="63"/>
      <c r="U1208" s="94"/>
      <c r="V1208" s="90"/>
      <c r="W1208" s="136"/>
      <c r="X1208" s="137"/>
    </row>
    <row r="1209" spans="1:24">
      <c r="A1209" s="614"/>
      <c r="B1209" s="87">
        <f t="shared" si="224"/>
        <v>13</v>
      </c>
      <c r="C1209" s="295">
        <v>45932</v>
      </c>
      <c r="D1209" s="10">
        <v>73963</v>
      </c>
      <c r="E1209" s="10" t="s">
        <v>1313</v>
      </c>
      <c r="F1209" s="62">
        <v>4261</v>
      </c>
      <c r="G1209" s="62">
        <v>39.700000000000003</v>
      </c>
      <c r="H1209" s="62"/>
      <c r="I1209" s="89">
        <f t="shared" si="223"/>
        <v>4221.3</v>
      </c>
      <c r="J1209" s="63" t="s">
        <v>205</v>
      </c>
      <c r="K1209" s="63">
        <v>1</v>
      </c>
      <c r="L1209" s="63"/>
      <c r="M1209" s="63"/>
      <c r="N1209" s="63">
        <v>1</v>
      </c>
      <c r="O1209" s="63"/>
      <c r="P1209" s="63"/>
      <c r="Q1209" s="63">
        <v>1</v>
      </c>
      <c r="R1209" s="63">
        <v>1</v>
      </c>
      <c r="S1209" s="296">
        <v>1</v>
      </c>
      <c r="T1209" s="63"/>
      <c r="U1209" s="94"/>
      <c r="V1209" s="90"/>
      <c r="W1209" s="136"/>
      <c r="X1209" s="137"/>
    </row>
    <row r="1210" spans="1:24">
      <c r="A1210" s="614"/>
      <c r="B1210" s="87">
        <f t="shared" si="224"/>
        <v>14</v>
      </c>
      <c r="C1210" s="295">
        <v>45932</v>
      </c>
      <c r="D1210" s="10">
        <v>73960</v>
      </c>
      <c r="E1210" s="10" t="s">
        <v>1345</v>
      </c>
      <c r="F1210" s="62">
        <v>0</v>
      </c>
      <c r="G1210" s="62">
        <v>0</v>
      </c>
      <c r="H1210" s="62"/>
      <c r="I1210" s="89">
        <f t="shared" si="223"/>
        <v>0</v>
      </c>
      <c r="J1210" s="63" t="s">
        <v>205</v>
      </c>
      <c r="K1210" s="63"/>
      <c r="L1210" s="63"/>
      <c r="M1210" s="63"/>
      <c r="N1210" s="63"/>
      <c r="O1210" s="63"/>
      <c r="P1210" s="63"/>
      <c r="Q1210" s="63">
        <v>1</v>
      </c>
      <c r="R1210" s="63">
        <v>1</v>
      </c>
      <c r="S1210" s="296">
        <v>1</v>
      </c>
      <c r="T1210" s="63"/>
      <c r="U1210" s="94"/>
      <c r="V1210" s="90"/>
      <c r="W1210" s="136"/>
      <c r="X1210" s="137"/>
    </row>
    <row r="1211" spans="1:24">
      <c r="A1211" s="614"/>
      <c r="B1211" s="87">
        <f>B1210+1</f>
        <v>15</v>
      </c>
      <c r="C1211" s="274">
        <v>45933</v>
      </c>
      <c r="D1211" s="276">
        <v>74000</v>
      </c>
      <c r="E1211" s="276" t="s">
        <v>1008</v>
      </c>
      <c r="F1211" s="277">
        <v>0</v>
      </c>
      <c r="G1211" s="277">
        <v>0</v>
      </c>
      <c r="H1211" s="277"/>
      <c r="I1211" s="278">
        <f t="shared" si="223"/>
        <v>0</v>
      </c>
      <c r="J1211" s="279" t="s">
        <v>205</v>
      </c>
      <c r="K1211" s="279"/>
      <c r="L1211" s="279"/>
      <c r="M1211" s="279"/>
      <c r="N1211" s="279"/>
      <c r="O1211" s="279"/>
      <c r="P1211" s="279"/>
      <c r="Q1211" s="279">
        <v>1</v>
      </c>
      <c r="R1211" s="279">
        <v>1</v>
      </c>
      <c r="S1211" s="280">
        <v>1</v>
      </c>
      <c r="T1211" s="63"/>
      <c r="U1211" s="94"/>
      <c r="V1211" s="90"/>
      <c r="W1211" s="136"/>
      <c r="X1211" s="137"/>
    </row>
    <row r="1212" spans="1:24">
      <c r="A1212" s="614"/>
      <c r="B1212" s="87">
        <f>B1211+1</f>
        <v>16</v>
      </c>
      <c r="C1212" s="282">
        <v>45933</v>
      </c>
      <c r="D1212" s="283">
        <v>74035</v>
      </c>
      <c r="E1212" s="283" t="s">
        <v>1008</v>
      </c>
      <c r="F1212" s="284">
        <v>1264</v>
      </c>
      <c r="G1212" s="284">
        <v>39.700000000000003</v>
      </c>
      <c r="H1212" s="284"/>
      <c r="I1212" s="285">
        <f t="shared" si="223"/>
        <v>1224.3</v>
      </c>
      <c r="J1212" s="286" t="s">
        <v>205</v>
      </c>
      <c r="K1212" s="286">
        <v>1</v>
      </c>
      <c r="L1212" s="286"/>
      <c r="M1212" s="286"/>
      <c r="N1212" s="286">
        <v>1</v>
      </c>
      <c r="O1212" s="286"/>
      <c r="P1212" s="286"/>
      <c r="Q1212" s="286">
        <v>1</v>
      </c>
      <c r="R1212" s="286">
        <v>1</v>
      </c>
      <c r="S1212" s="287">
        <v>1</v>
      </c>
      <c r="T1212" s="63"/>
      <c r="U1212" s="94"/>
      <c r="V1212" s="90"/>
      <c r="W1212" s="136"/>
      <c r="X1212" s="137"/>
    </row>
    <row r="1213" spans="1:24">
      <c r="A1213" s="614"/>
      <c r="B1213" s="11"/>
      <c r="C1213" s="36"/>
      <c r="D1213" s="10"/>
      <c r="E1213" s="10"/>
      <c r="F1213" s="97">
        <f>SUM(F1197:F1212)</f>
        <v>24390</v>
      </c>
      <c r="G1213" s="97">
        <f>SUM(G1197:G1212)</f>
        <v>357.29999999999995</v>
      </c>
      <c r="H1213" s="97">
        <f>SUM(H1197:H1212)</f>
        <v>0</v>
      </c>
      <c r="I1213" s="98">
        <f>SUM(I1197:I1212)</f>
        <v>24032.699999999997</v>
      </c>
      <c r="J1213" s="10"/>
      <c r="K1213" s="10"/>
      <c r="L1213" s="10"/>
      <c r="M1213" s="10"/>
      <c r="N1213" s="10"/>
      <c r="O1213" s="10"/>
      <c r="P1213" s="10"/>
      <c r="Q1213" s="10"/>
      <c r="R1213" s="10"/>
      <c r="S1213" s="10"/>
      <c r="T1213" s="63"/>
      <c r="U1213" s="94"/>
      <c r="V1213" s="90"/>
      <c r="W1213" s="91"/>
      <c r="X1213" s="92"/>
    </row>
    <row r="1214" spans="1:24">
      <c r="A1214" s="614"/>
      <c r="B1214" s="11"/>
      <c r="C1214" s="36"/>
      <c r="D1214" s="10"/>
      <c r="E1214" s="10"/>
      <c r="F1214" s="88"/>
      <c r="G1214" s="88"/>
      <c r="H1214" s="88"/>
      <c r="I1214" s="99"/>
      <c r="J1214" s="10"/>
      <c r="K1214" s="10"/>
      <c r="L1214" s="10"/>
      <c r="M1214" s="10"/>
      <c r="N1214" s="10"/>
      <c r="O1214" s="10"/>
      <c r="P1214" s="10"/>
      <c r="Q1214" s="10"/>
      <c r="R1214" s="10"/>
      <c r="S1214" s="10"/>
      <c r="T1214" s="63"/>
      <c r="U1214" s="94"/>
      <c r="V1214" s="165"/>
      <c r="W1214" s="166"/>
      <c r="X1214" s="167"/>
    </row>
    <row r="1215" spans="1:24">
      <c r="A1215" s="614"/>
      <c r="B1215" s="100" t="s">
        <v>73</v>
      </c>
      <c r="C1215" s="36"/>
      <c r="D1215" s="10"/>
      <c r="E1215" s="10"/>
      <c r="F1215" s="88"/>
      <c r="G1215" s="88"/>
      <c r="H1215" s="88"/>
      <c r="I1215" s="99"/>
      <c r="J1215" s="63"/>
      <c r="K1215" s="63"/>
      <c r="L1215" s="63"/>
      <c r="M1215" s="63"/>
      <c r="N1215" s="63"/>
      <c r="O1215" s="63"/>
      <c r="P1215" s="63"/>
      <c r="Q1215" s="63"/>
      <c r="R1215" s="63"/>
      <c r="S1215" s="63"/>
      <c r="T1215" s="63"/>
      <c r="U1215" s="94"/>
      <c r="V1215" s="90"/>
      <c r="W1215" s="91"/>
      <c r="X1215" s="92"/>
    </row>
    <row r="1216" spans="1:24">
      <c r="A1216" s="614"/>
      <c r="B1216" s="87">
        <v>1</v>
      </c>
      <c r="C1216" s="274">
        <v>45934</v>
      </c>
      <c r="D1216" s="276">
        <v>74046</v>
      </c>
      <c r="E1216" s="276" t="s">
        <v>430</v>
      </c>
      <c r="F1216" s="277">
        <v>0</v>
      </c>
      <c r="G1216" s="277">
        <v>0</v>
      </c>
      <c r="H1216" s="277"/>
      <c r="I1216" s="278">
        <f t="shared" ref="I1216:I1217" si="225">F1216-G1216-H1216</f>
        <v>0</v>
      </c>
      <c r="J1216" s="279" t="s">
        <v>205</v>
      </c>
      <c r="K1216" s="279">
        <v>1</v>
      </c>
      <c r="L1216" s="279"/>
      <c r="M1216" s="279"/>
      <c r="N1216" s="279"/>
      <c r="O1216" s="279"/>
      <c r="P1216" s="279"/>
      <c r="Q1216" s="279">
        <v>1</v>
      </c>
      <c r="R1216" s="279">
        <v>1</v>
      </c>
      <c r="S1216" s="280"/>
      <c r="T1216" s="63"/>
      <c r="U1216" s="139"/>
      <c r="V1216" s="90"/>
      <c r="W1216" s="91"/>
      <c r="X1216" s="92"/>
    </row>
    <row r="1217" spans="1:24">
      <c r="A1217" s="614"/>
      <c r="B1217" s="87">
        <f>B1216+1</f>
        <v>2</v>
      </c>
      <c r="C1217" s="282">
        <v>45934</v>
      </c>
      <c r="D1217" s="283">
        <v>74041</v>
      </c>
      <c r="E1217" s="283" t="s">
        <v>513</v>
      </c>
      <c r="F1217" s="284">
        <v>0</v>
      </c>
      <c r="G1217" s="284">
        <v>0</v>
      </c>
      <c r="H1217" s="284"/>
      <c r="I1217" s="285">
        <f t="shared" si="225"/>
        <v>0</v>
      </c>
      <c r="J1217" s="286" t="s">
        <v>156</v>
      </c>
      <c r="K1217" s="286"/>
      <c r="L1217" s="286"/>
      <c r="M1217" s="286">
        <v>1</v>
      </c>
      <c r="N1217" s="286"/>
      <c r="O1217" s="286"/>
      <c r="P1217" s="286"/>
      <c r="Q1217" s="286">
        <v>1</v>
      </c>
      <c r="R1217" s="286">
        <v>1</v>
      </c>
      <c r="S1217" s="287"/>
      <c r="T1217" s="63"/>
      <c r="U1217" s="94"/>
      <c r="V1217" s="90">
        <v>93.5</v>
      </c>
      <c r="W1217" s="136"/>
      <c r="X1217" s="137"/>
    </row>
    <row r="1218" spans="1:24">
      <c r="A1218" s="614"/>
      <c r="B1218" s="11"/>
      <c r="C1218" s="609"/>
      <c r="D1218" s="10"/>
      <c r="E1218" s="10"/>
      <c r="F1218" s="97">
        <f>SUM(F1216:F1217)</f>
        <v>0</v>
      </c>
      <c r="G1218" s="97">
        <f>SUM(G1216:G1217)</f>
        <v>0</v>
      </c>
      <c r="H1218" s="97">
        <f>SUM(H1216:H1217)</f>
        <v>0</v>
      </c>
      <c r="I1218" s="98">
        <f>SUM(I1216:I1217)</f>
        <v>0</v>
      </c>
      <c r="J1218" s="10"/>
      <c r="K1218" s="10"/>
      <c r="L1218" s="10"/>
      <c r="M1218" s="10"/>
      <c r="N1218" s="10"/>
      <c r="O1218" s="10"/>
      <c r="P1218" s="10"/>
      <c r="Q1218" s="10"/>
      <c r="R1218" s="10"/>
      <c r="S1218" s="10"/>
      <c r="T1218" s="63"/>
      <c r="U1218" s="94"/>
      <c r="V1218" s="90"/>
      <c r="W1218" s="91"/>
      <c r="X1218" s="92"/>
    </row>
    <row r="1219" spans="1:24">
      <c r="A1219" s="614"/>
      <c r="B1219" s="26"/>
      <c r="C1219" s="612"/>
      <c r="D1219" s="141"/>
      <c r="E1219" s="141"/>
      <c r="F1219" s="141"/>
      <c r="G1219" s="141"/>
      <c r="H1219" s="141"/>
      <c r="I1219" s="141"/>
      <c r="J1219" s="141"/>
      <c r="K1219" s="142"/>
      <c r="L1219" s="142"/>
      <c r="M1219" s="142"/>
      <c r="N1219" s="142"/>
      <c r="O1219" s="142"/>
      <c r="P1219" s="142"/>
      <c r="Q1219" s="142"/>
      <c r="R1219" s="142"/>
      <c r="S1219" s="142"/>
      <c r="T1219" s="143">
        <f>SUM(T1145:T1218)</f>
        <v>5</v>
      </c>
      <c r="U1219" s="168"/>
      <c r="V1219" s="144">
        <f>SUM(V1145:V1218)</f>
        <v>56846.049999999981</v>
      </c>
      <c r="W1219" s="145">
        <f>SUM(W1145:W1218)</f>
        <v>2000</v>
      </c>
      <c r="X1219" s="146">
        <f>SUM(X1145:X1218)</f>
        <v>0</v>
      </c>
    </row>
    <row r="1222" spans="1:24">
      <c r="B1222" s="4" t="s">
        <v>1</v>
      </c>
      <c r="C1222" s="5"/>
      <c r="D1222" s="83"/>
      <c r="E1222" s="6"/>
      <c r="F1222" s="7" t="s">
        <v>2</v>
      </c>
      <c r="G1222" s="608">
        <v>45942</v>
      </c>
      <c r="H1222" s="7"/>
      <c r="I1222" s="6"/>
      <c r="J1222" s="6"/>
      <c r="K1222" s="6"/>
      <c r="L1222" s="6"/>
      <c r="M1222" s="6"/>
      <c r="N1222" s="6"/>
      <c r="O1222" s="6"/>
      <c r="P1222" s="6"/>
      <c r="Q1222" s="6"/>
      <c r="R1222" s="6"/>
      <c r="S1222" s="6"/>
      <c r="T1222" s="6"/>
      <c r="U1222" s="149"/>
      <c r="V1222" s="77"/>
      <c r="W1222" s="77"/>
      <c r="X1222" s="77"/>
    </row>
    <row r="1223" spans="1:24">
      <c r="B1223" s="11"/>
      <c r="C1223" s="10"/>
      <c r="D1223" s="63"/>
      <c r="E1223" s="10"/>
      <c r="F1223" s="10"/>
      <c r="G1223" s="7"/>
      <c r="H1223" s="12"/>
      <c r="I1223" s="10"/>
      <c r="J1223" s="10"/>
      <c r="K1223" s="13" t="s">
        <v>3</v>
      </c>
      <c r="L1223" s="14"/>
      <c r="M1223" s="15"/>
      <c r="N1223" s="13" t="s">
        <v>4</v>
      </c>
      <c r="O1223" s="14"/>
      <c r="P1223" s="15"/>
      <c r="Q1223" s="13" t="s">
        <v>5</v>
      </c>
      <c r="R1223" s="14"/>
      <c r="S1223" s="15"/>
      <c r="T1223" s="16"/>
      <c r="U1223" s="151"/>
      <c r="V1223" s="77"/>
      <c r="W1223" s="77"/>
      <c r="X1223" s="77"/>
    </row>
    <row r="1224" spans="1:24">
      <c r="B1224" s="18" t="s">
        <v>6</v>
      </c>
      <c r="C1224" s="19">
        <f>C1225+C1226</f>
        <v>32</v>
      </c>
      <c r="D1224" s="63"/>
      <c r="E1224" s="18" t="s">
        <v>7</v>
      </c>
      <c r="F1224" s="6"/>
      <c r="G1224" s="9"/>
      <c r="H1224" s="10"/>
      <c r="I1224" s="10"/>
      <c r="J1224" s="10"/>
      <c r="K1224" s="20" t="s">
        <v>8</v>
      </c>
      <c r="L1224" s="21" t="s">
        <v>9</v>
      </c>
      <c r="M1224" s="21" t="s">
        <v>10</v>
      </c>
      <c r="N1224" s="20" t="s">
        <v>11</v>
      </c>
      <c r="O1224" s="21" t="s">
        <v>12</v>
      </c>
      <c r="P1224" s="22" t="s">
        <v>13</v>
      </c>
      <c r="Q1224" s="21" t="s">
        <v>11</v>
      </c>
      <c r="R1224" s="21" t="s">
        <v>12</v>
      </c>
      <c r="S1224" s="22" t="s">
        <v>13</v>
      </c>
      <c r="T1224" s="23" t="s">
        <v>14</v>
      </c>
      <c r="U1224" s="151"/>
      <c r="V1224" s="77"/>
      <c r="W1224" s="77"/>
      <c r="X1224" s="77"/>
    </row>
    <row r="1225" spans="1:24">
      <c r="B1225" s="24" t="s">
        <v>15</v>
      </c>
      <c r="C1225" s="25">
        <f>P1232</f>
        <v>17</v>
      </c>
      <c r="D1225" s="63"/>
      <c r="E1225" s="11" t="s">
        <v>16</v>
      </c>
      <c r="F1225" s="10" t="s">
        <v>78</v>
      </c>
      <c r="G1225" s="153">
        <v>0.05</v>
      </c>
      <c r="H1225" s="10"/>
      <c r="I1225" s="10"/>
      <c r="J1225" s="18" t="s">
        <v>17</v>
      </c>
      <c r="K1225" s="29">
        <f>K1264</f>
        <v>13</v>
      </c>
      <c r="L1225" s="29">
        <f t="shared" ref="L1225:S1225" si="226">L1264</f>
        <v>13</v>
      </c>
      <c r="M1225" s="29">
        <f t="shared" si="226"/>
        <v>13</v>
      </c>
      <c r="N1225" s="29">
        <f t="shared" si="226"/>
        <v>13</v>
      </c>
      <c r="O1225" s="29">
        <f t="shared" si="226"/>
        <v>13</v>
      </c>
      <c r="P1225" s="29">
        <f t="shared" si="226"/>
        <v>13</v>
      </c>
      <c r="Q1225" s="29">
        <f t="shared" si="226"/>
        <v>12</v>
      </c>
      <c r="R1225" s="29">
        <f t="shared" si="226"/>
        <v>12</v>
      </c>
      <c r="S1225" s="29">
        <f t="shared" si="226"/>
        <v>12</v>
      </c>
      <c r="T1225" s="30">
        <f>T1305</f>
        <v>3</v>
      </c>
      <c r="U1225" s="151"/>
      <c r="V1225" s="77"/>
      <c r="W1225" s="77"/>
      <c r="X1225" s="77"/>
    </row>
    <row r="1226" spans="1:24">
      <c r="B1226" s="24" t="s">
        <v>18</v>
      </c>
      <c r="C1226" s="25">
        <f>P1233</f>
        <v>15</v>
      </c>
      <c r="D1226" s="63"/>
      <c r="E1226" s="26" t="s">
        <v>80</v>
      </c>
      <c r="F1226" s="141" t="s">
        <v>81</v>
      </c>
      <c r="G1226" s="154">
        <v>0.1</v>
      </c>
      <c r="H1226" s="10"/>
      <c r="I1226" s="10"/>
      <c r="J1226" s="32" t="s">
        <v>19</v>
      </c>
      <c r="K1226" s="33">
        <f>K1264/K1263</f>
        <v>1</v>
      </c>
      <c r="L1226" s="33">
        <f t="shared" ref="L1226:S1226" si="227">L1264/L1263</f>
        <v>1</v>
      </c>
      <c r="M1226" s="33">
        <f t="shared" si="227"/>
        <v>1</v>
      </c>
      <c r="N1226" s="33">
        <f t="shared" si="227"/>
        <v>1</v>
      </c>
      <c r="O1226" s="33">
        <f t="shared" si="227"/>
        <v>1</v>
      </c>
      <c r="P1226" s="33">
        <f t="shared" si="227"/>
        <v>1</v>
      </c>
      <c r="Q1226" s="33">
        <f t="shared" si="227"/>
        <v>0.92307692307692313</v>
      </c>
      <c r="R1226" s="33">
        <f t="shared" si="227"/>
        <v>0.92307692307692313</v>
      </c>
      <c r="S1226" s="33">
        <f t="shared" si="227"/>
        <v>0.92307692307692313</v>
      </c>
      <c r="T1226" s="23"/>
      <c r="U1226" s="151" t="s">
        <v>20</v>
      </c>
      <c r="V1226" s="77"/>
      <c r="W1226" s="77"/>
      <c r="X1226" s="77"/>
    </row>
    <row r="1227" spans="1:24">
      <c r="B1227" s="24" t="s">
        <v>21</v>
      </c>
      <c r="C1227" s="34">
        <f>P1234</f>
        <v>0.53125</v>
      </c>
      <c r="D1227" s="63"/>
      <c r="E1227" s="10"/>
      <c r="F1227" s="10"/>
      <c r="G1227" s="10"/>
      <c r="H1227" s="10"/>
      <c r="I1227" s="10"/>
      <c r="J1227" s="10"/>
      <c r="K1227" s="10"/>
      <c r="L1227" s="10"/>
      <c r="M1227" s="10"/>
      <c r="N1227" s="10"/>
      <c r="O1227" s="10"/>
      <c r="P1227" s="10"/>
      <c r="Q1227" s="10"/>
      <c r="R1227" s="10"/>
      <c r="S1227" s="10"/>
      <c r="T1227" s="10"/>
      <c r="U1227" s="151"/>
      <c r="V1227" s="77"/>
      <c r="W1227" s="77"/>
      <c r="X1227" s="77"/>
    </row>
    <row r="1228" spans="1:24">
      <c r="B1228" s="24"/>
      <c r="C1228" s="25"/>
      <c r="D1228" s="63"/>
      <c r="E1228" s="10"/>
      <c r="F1228" s="18" t="s">
        <v>22</v>
      </c>
      <c r="G1228" s="19" t="s">
        <v>23</v>
      </c>
      <c r="H1228" s="35" t="s">
        <v>24</v>
      </c>
      <c r="I1228" s="10"/>
      <c r="J1228" s="10"/>
      <c r="K1228" s="36"/>
      <c r="L1228" s="36"/>
      <c r="M1228" s="36"/>
      <c r="N1228" s="36"/>
      <c r="O1228" s="36"/>
      <c r="P1228" s="36"/>
      <c r="Q1228" s="36"/>
      <c r="R1228" s="10"/>
      <c r="S1228" s="10"/>
      <c r="T1228" s="10"/>
      <c r="U1228" s="151"/>
      <c r="V1228" s="77"/>
      <c r="W1228" s="77"/>
      <c r="X1228" s="77"/>
    </row>
    <row r="1229" spans="1:24" ht="21" customHeight="1">
      <c r="B1229" s="32" t="s">
        <v>25</v>
      </c>
      <c r="C1229" s="37">
        <f>P1235</f>
        <v>3425.7794117647059</v>
      </c>
      <c r="D1229" s="63"/>
      <c r="E1229" s="18" t="s">
        <v>26</v>
      </c>
      <c r="F1229" s="38">
        <f>P1231</f>
        <v>58238.25</v>
      </c>
      <c r="G1229" s="39">
        <f>I1263+I1275</f>
        <v>58238.25</v>
      </c>
      <c r="H1229" s="767" t="s">
        <v>2644</v>
      </c>
      <c r="I1229" s="767"/>
      <c r="J1229" s="767"/>
      <c r="K1229" s="43" t="s">
        <v>27</v>
      </c>
      <c r="L1229" s="44"/>
      <c r="M1229" s="44"/>
      <c r="N1229" s="44"/>
      <c r="O1229" s="44"/>
      <c r="P1229" s="44"/>
      <c r="Q1229" s="45"/>
      <c r="R1229" s="46" t="s">
        <v>28</v>
      </c>
      <c r="S1229" s="47" t="s">
        <v>29</v>
      </c>
      <c r="T1229" s="10"/>
      <c r="U1229" s="151"/>
      <c r="V1229" s="77"/>
      <c r="W1229" s="77"/>
      <c r="X1229" s="77"/>
    </row>
    <row r="1230" spans="1:24" ht="18.75" customHeight="1">
      <c r="B1230" s="11"/>
      <c r="C1230" s="10"/>
      <c r="D1230" s="63"/>
      <c r="E1230" s="24" t="s">
        <v>30</v>
      </c>
      <c r="F1230" s="48">
        <f>IF(F1229&gt;=25000,10%,5%)</f>
        <v>0.1</v>
      </c>
      <c r="G1230" s="17"/>
      <c r="H1230" s="767"/>
      <c r="I1230" s="767"/>
      <c r="J1230" s="767"/>
      <c r="K1230" s="20" t="s">
        <v>31</v>
      </c>
      <c r="L1230" s="21" t="s">
        <v>32</v>
      </c>
      <c r="M1230" s="21" t="s">
        <v>33</v>
      </c>
      <c r="N1230" s="21" t="s">
        <v>34</v>
      </c>
      <c r="O1230" s="21" t="s">
        <v>35</v>
      </c>
      <c r="P1230" s="21" t="s">
        <v>36</v>
      </c>
      <c r="Q1230" s="49" t="s">
        <v>37</v>
      </c>
      <c r="R1230" s="50" t="s">
        <v>38</v>
      </c>
      <c r="S1230" s="50" t="s">
        <v>38</v>
      </c>
      <c r="T1230" s="10"/>
      <c r="U1230" s="151"/>
      <c r="V1230" s="77"/>
      <c r="W1230" s="77"/>
      <c r="X1230" s="77"/>
    </row>
    <row r="1231" spans="1:24">
      <c r="B1231" s="11"/>
      <c r="C1231" s="10"/>
      <c r="D1231" s="63"/>
      <c r="E1231" s="51" t="s">
        <v>39</v>
      </c>
      <c r="F1231" s="52">
        <f>(F1229-I1255-I1271-I1272-I1273-I1274+I1272)*F1230</f>
        <v>3488.2659999999992</v>
      </c>
      <c r="G1231" s="53" t="s">
        <v>40</v>
      </c>
      <c r="H1231" s="54">
        <f>F1231/1.12</f>
        <v>3114.523214285713</v>
      </c>
      <c r="I1231" s="570" t="s">
        <v>1714</v>
      </c>
      <c r="J1231" s="42"/>
      <c r="K1231" s="56">
        <v>0</v>
      </c>
      <c r="L1231" s="57">
        <f>I1251+I1252+I1250</f>
        <v>4776.21</v>
      </c>
      <c r="M1231" s="57">
        <f>I1253+I1254+I1255+I1256</f>
        <v>3892.1000000000004</v>
      </c>
      <c r="N1231" s="57">
        <f>I1257+I1259+I1260+I1258+I1271+I1272</f>
        <v>40275.82</v>
      </c>
      <c r="O1231" s="57">
        <f>I1261+I1262+I1273+I1274</f>
        <v>9294.119999999999</v>
      </c>
      <c r="P1231" s="57">
        <f>SUM(K1231:O1231)</f>
        <v>58238.25</v>
      </c>
      <c r="Q1231" s="58">
        <v>0</v>
      </c>
      <c r="R1231" s="59">
        <f>+I1275</f>
        <v>38343.050000000003</v>
      </c>
      <c r="S1231" s="59">
        <v>0</v>
      </c>
      <c r="T1231" s="10"/>
      <c r="U1231" s="151"/>
      <c r="V1231" s="77"/>
      <c r="W1231" s="77"/>
      <c r="X1231" s="77"/>
    </row>
    <row r="1232" spans="1:24">
      <c r="B1232" s="11"/>
      <c r="C1232" s="10"/>
      <c r="D1232" s="63"/>
      <c r="E1232" s="24" t="s">
        <v>41</v>
      </c>
      <c r="F1232" s="60">
        <f>Q1231</f>
        <v>0</v>
      </c>
      <c r="G1232" s="61" t="s">
        <v>40</v>
      </c>
      <c r="H1232" s="62"/>
      <c r="I1232" s="62"/>
      <c r="J1232" s="10" t="s">
        <v>42</v>
      </c>
      <c r="K1232" s="63">
        <v>0</v>
      </c>
      <c r="L1232" s="63">
        <v>3</v>
      </c>
      <c r="M1232" s="63">
        <v>4</v>
      </c>
      <c r="N1232" s="63">
        <v>6</v>
      </c>
      <c r="O1232" s="63">
        <v>4</v>
      </c>
      <c r="P1232" s="21">
        <f>SUM(K1232:O1232)</f>
        <v>17</v>
      </c>
      <c r="Q1232" s="64"/>
      <c r="R1232" s="63"/>
      <c r="S1232" s="10"/>
      <c r="T1232" s="10"/>
      <c r="U1232" s="151"/>
      <c r="V1232" s="77"/>
      <c r="W1232" s="77"/>
      <c r="X1232" s="77"/>
    </row>
    <row r="1233" spans="2:24">
      <c r="B1233" s="11"/>
      <c r="C1233" s="10"/>
      <c r="D1233" s="63"/>
      <c r="E1233" s="51" t="s">
        <v>43</v>
      </c>
      <c r="F1233" s="52">
        <f>F1232*0.25</f>
        <v>0</v>
      </c>
      <c r="G1233" s="53" t="s">
        <v>40</v>
      </c>
      <c r="H1233" s="54">
        <f>F1233/1.12</f>
        <v>0</v>
      </c>
      <c r="I1233" s="10"/>
      <c r="J1233" s="10" t="s">
        <v>44</v>
      </c>
      <c r="K1233" s="63">
        <v>0</v>
      </c>
      <c r="L1233" s="63">
        <v>4</v>
      </c>
      <c r="M1233" s="63">
        <v>5</v>
      </c>
      <c r="N1233" s="63">
        <v>1</v>
      </c>
      <c r="O1233" s="63">
        <v>5</v>
      </c>
      <c r="P1233" s="21">
        <f>SUM(K1233:O1233)</f>
        <v>15</v>
      </c>
      <c r="Q1233" s="64"/>
      <c r="R1233" s="63"/>
      <c r="S1233" s="10"/>
      <c r="T1233" s="10"/>
      <c r="U1233" s="151"/>
      <c r="V1233" s="77"/>
      <c r="W1233" s="77"/>
      <c r="X1233" s="77"/>
    </row>
    <row r="1234" spans="2:24">
      <c r="B1234" s="11"/>
      <c r="C1234" s="10"/>
      <c r="D1234" s="63"/>
      <c r="E1234" s="24" t="s">
        <v>45</v>
      </c>
      <c r="F1234" s="60">
        <f>I1268</f>
        <v>3613.89</v>
      </c>
      <c r="G1234" s="61" t="s">
        <v>40</v>
      </c>
      <c r="H1234" s="62"/>
      <c r="I1234" s="10"/>
      <c r="J1234" s="10" t="s">
        <v>46</v>
      </c>
      <c r="K1234" s="31" t="e">
        <f t="shared" ref="K1234:Q1234" si="228">K1232/(K1232+K1233)</f>
        <v>#DIV/0!</v>
      </c>
      <c r="L1234" s="31">
        <f t="shared" si="228"/>
        <v>0.42857142857142855</v>
      </c>
      <c r="M1234" s="31">
        <f t="shared" si="228"/>
        <v>0.44444444444444442</v>
      </c>
      <c r="N1234" s="31">
        <f t="shared" si="228"/>
        <v>0.8571428571428571</v>
      </c>
      <c r="O1234" s="31">
        <f t="shared" si="228"/>
        <v>0.44444444444444442</v>
      </c>
      <c r="P1234" s="31">
        <f t="shared" si="228"/>
        <v>0.53125</v>
      </c>
      <c r="Q1234" s="31" t="e">
        <f t="shared" si="228"/>
        <v>#DIV/0!</v>
      </c>
      <c r="R1234" s="63"/>
      <c r="S1234" s="10"/>
      <c r="T1234" s="10"/>
      <c r="U1234" s="151"/>
      <c r="V1234" s="77"/>
      <c r="W1234" s="77"/>
      <c r="X1234" s="77"/>
    </row>
    <row r="1235" spans="2:24">
      <c r="B1235" s="11"/>
      <c r="C1235" s="10"/>
      <c r="D1235" s="63"/>
      <c r="E1235" s="51" t="s">
        <v>47</v>
      </c>
      <c r="F1235" s="52">
        <f>(F1234+F1238)*0.1</f>
        <v>334.90899999999999</v>
      </c>
      <c r="G1235" s="65" t="s">
        <v>40</v>
      </c>
      <c r="H1235" s="54">
        <f>F1235/1.12</f>
        <v>299.02589285714282</v>
      </c>
      <c r="I1235" s="42"/>
      <c r="J1235" s="10" t="s">
        <v>48</v>
      </c>
      <c r="K1235" s="66" t="e">
        <f>K1231/K1232</f>
        <v>#DIV/0!</v>
      </c>
      <c r="L1235" s="66">
        <f t="shared" ref="L1235:Q1235" si="229">L1231/L1232</f>
        <v>1592.07</v>
      </c>
      <c r="M1235" s="66">
        <f t="shared" si="229"/>
        <v>973.02500000000009</v>
      </c>
      <c r="N1235" s="66">
        <f t="shared" si="229"/>
        <v>6712.6366666666663</v>
      </c>
      <c r="O1235" s="66">
        <f t="shared" si="229"/>
        <v>2323.5299999999997</v>
      </c>
      <c r="P1235" s="66">
        <f t="shared" si="229"/>
        <v>3425.7794117647059</v>
      </c>
      <c r="Q1235" s="66" t="e">
        <f t="shared" si="229"/>
        <v>#DIV/0!</v>
      </c>
      <c r="R1235" s="63"/>
      <c r="S1235" s="10"/>
      <c r="T1235" s="10"/>
      <c r="U1235" s="151"/>
      <c r="V1235" s="77"/>
      <c r="W1235" s="77"/>
      <c r="X1235" s="77"/>
    </row>
    <row r="1236" spans="2:24">
      <c r="B1236" s="132"/>
      <c r="C1236" s="123"/>
      <c r="D1236" s="127"/>
      <c r="E1236" s="155" t="s">
        <v>14</v>
      </c>
      <c r="F1236" s="156">
        <f>3*50</f>
        <v>150</v>
      </c>
      <c r="G1236" s="123"/>
      <c r="H1236" s="54">
        <f>F1236/1.12</f>
        <v>133.92857142857142</v>
      </c>
      <c r="I1236" s="123"/>
      <c r="J1236" s="123"/>
      <c r="K1236" s="123"/>
      <c r="L1236" s="123"/>
      <c r="M1236" s="123"/>
      <c r="N1236" s="123"/>
      <c r="O1236" s="123"/>
      <c r="P1236" s="123"/>
      <c r="Q1236" s="123"/>
      <c r="R1236" s="123"/>
      <c r="S1236" s="123"/>
      <c r="T1236" s="123"/>
      <c r="U1236" s="157"/>
      <c r="V1236" s="123"/>
      <c r="W1236" s="123"/>
      <c r="X1236" s="123"/>
    </row>
    <row r="1237" spans="2:24">
      <c r="B1237" s="132"/>
      <c r="C1237" s="123"/>
      <c r="D1237" s="127"/>
      <c r="E1237" s="568" t="s">
        <v>49</v>
      </c>
      <c r="F1237" s="569">
        <f>T1226</f>
        <v>0</v>
      </c>
      <c r="G1237" s="123"/>
      <c r="H1237" s="54"/>
      <c r="I1237" s="123"/>
      <c r="J1237" s="42"/>
      <c r="K1237" s="764" t="s">
        <v>50</v>
      </c>
      <c r="L1237" s="765"/>
      <c r="M1237" s="765"/>
      <c r="N1237" s="765"/>
      <c r="O1237" s="765"/>
      <c r="P1237" s="765"/>
      <c r="Q1237" s="766"/>
      <c r="R1237" s="70" t="s">
        <v>28</v>
      </c>
      <c r="S1237" s="71" t="s">
        <v>29</v>
      </c>
      <c r="T1237" s="123"/>
      <c r="U1237" s="157"/>
      <c r="V1237" s="123"/>
      <c r="W1237" s="123"/>
      <c r="X1237" s="123"/>
    </row>
    <row r="1238" spans="2:24">
      <c r="B1238" s="132"/>
      <c r="C1238" s="123"/>
      <c r="D1238" s="127"/>
      <c r="E1238" s="74" t="s">
        <v>2645</v>
      </c>
      <c r="F1238" s="75">
        <v>-264.8</v>
      </c>
      <c r="G1238" s="123"/>
      <c r="H1238" s="54"/>
      <c r="I1238" s="123"/>
      <c r="J1238" s="42"/>
      <c r="K1238" s="20" t="s">
        <v>31</v>
      </c>
      <c r="L1238" s="21" t="s">
        <v>32</v>
      </c>
      <c r="M1238" s="21" t="s">
        <v>33</v>
      </c>
      <c r="N1238" s="21" t="s">
        <v>34</v>
      </c>
      <c r="O1238" s="21" t="s">
        <v>35</v>
      </c>
      <c r="P1238" s="21" t="s">
        <v>36</v>
      </c>
      <c r="Q1238" s="49" t="s">
        <v>37</v>
      </c>
      <c r="R1238" s="50" t="s">
        <v>38</v>
      </c>
      <c r="S1238" s="50" t="s">
        <v>38</v>
      </c>
      <c r="T1238" s="123"/>
      <c r="U1238" s="157"/>
      <c r="V1238" s="123"/>
      <c r="W1238" s="123"/>
      <c r="X1238" s="123"/>
    </row>
    <row r="1239" spans="2:24">
      <c r="B1239" s="132"/>
      <c r="C1239" s="123"/>
      <c r="D1239" s="127"/>
      <c r="E1239" s="12"/>
      <c r="F1239" s="160"/>
      <c r="G1239" s="123"/>
      <c r="H1239" s="54"/>
      <c r="I1239" s="123"/>
      <c r="J1239" s="42"/>
      <c r="K1239" s="56">
        <v>0</v>
      </c>
      <c r="L1239" s="57">
        <f>F1251+F1252+F1250</f>
        <v>4843</v>
      </c>
      <c r="M1239" s="57">
        <f>F1253+F1254+F1255+F1256</f>
        <v>4011.2</v>
      </c>
      <c r="N1239" s="57">
        <f>F1257+F1259+F1260+F1258+F1271+F1272</f>
        <v>46315</v>
      </c>
      <c r="O1239" s="57">
        <f>F1261+F1262+F1273+F1274</f>
        <v>11613</v>
      </c>
      <c r="P1239" s="57">
        <f>SUM(K1239:O1239)</f>
        <v>66782.2</v>
      </c>
      <c r="Q1239" s="58">
        <v>0</v>
      </c>
      <c r="R1239" s="59">
        <f>F1275</f>
        <v>45116</v>
      </c>
      <c r="S1239" s="59">
        <v>0</v>
      </c>
      <c r="T1239" s="123"/>
      <c r="U1239" s="157"/>
      <c r="V1239" s="123"/>
      <c r="W1239" s="123"/>
      <c r="X1239" s="123"/>
    </row>
    <row r="1240" spans="2:24">
      <c r="B1240" s="132"/>
      <c r="C1240" s="123"/>
      <c r="D1240" s="127"/>
      <c r="E1240" s="12"/>
      <c r="F1240" s="160"/>
      <c r="G1240" s="123"/>
      <c r="H1240" s="54"/>
      <c r="I1240" s="123"/>
      <c r="J1240" s="10" t="s">
        <v>42</v>
      </c>
      <c r="K1240" s="63">
        <f t="shared" ref="K1240:Q1241" si="230">K1232</f>
        <v>0</v>
      </c>
      <c r="L1240" s="63">
        <f t="shared" si="230"/>
        <v>3</v>
      </c>
      <c r="M1240" s="63">
        <f t="shared" si="230"/>
        <v>4</v>
      </c>
      <c r="N1240" s="63">
        <f t="shared" si="230"/>
        <v>6</v>
      </c>
      <c r="O1240" s="63">
        <f t="shared" si="230"/>
        <v>4</v>
      </c>
      <c r="P1240" s="63">
        <f t="shared" si="230"/>
        <v>17</v>
      </c>
      <c r="Q1240" s="63">
        <f t="shared" si="230"/>
        <v>0</v>
      </c>
      <c r="R1240" s="63"/>
      <c r="S1240" s="10"/>
      <c r="T1240" s="123"/>
      <c r="U1240" s="157"/>
      <c r="V1240" s="123"/>
      <c r="W1240" s="123"/>
      <c r="X1240" s="123"/>
    </row>
    <row r="1241" spans="2:24">
      <c r="B1241" s="132"/>
      <c r="C1241" s="123"/>
      <c r="D1241" s="127"/>
      <c r="E1241" s="12"/>
      <c r="F1241" s="160"/>
      <c r="G1241" s="123"/>
      <c r="H1241" s="54"/>
      <c r="I1241" s="123"/>
      <c r="J1241" s="10" t="s">
        <v>44</v>
      </c>
      <c r="K1241" s="63">
        <f t="shared" si="230"/>
        <v>0</v>
      </c>
      <c r="L1241" s="63">
        <f t="shared" si="230"/>
        <v>4</v>
      </c>
      <c r="M1241" s="63">
        <f t="shared" si="230"/>
        <v>5</v>
      </c>
      <c r="N1241" s="63">
        <f t="shared" si="230"/>
        <v>1</v>
      </c>
      <c r="O1241" s="63">
        <f t="shared" si="230"/>
        <v>5</v>
      </c>
      <c r="P1241" s="63">
        <f t="shared" si="230"/>
        <v>15</v>
      </c>
      <c r="Q1241" s="63">
        <f t="shared" si="230"/>
        <v>0</v>
      </c>
      <c r="R1241" s="63"/>
      <c r="S1241" s="10"/>
      <c r="T1241" s="123"/>
      <c r="U1241" s="157"/>
      <c r="V1241" s="123"/>
      <c r="W1241" s="123"/>
      <c r="X1241" s="123"/>
    </row>
    <row r="1242" spans="2:24">
      <c r="B1242" s="132"/>
      <c r="C1242" s="123"/>
      <c r="D1242" s="127"/>
      <c r="E1242" s="12"/>
      <c r="F1242" s="160"/>
      <c r="G1242" s="123"/>
      <c r="H1242" s="54"/>
      <c r="I1242" s="123"/>
      <c r="J1242" s="10" t="s">
        <v>46</v>
      </c>
      <c r="K1242" s="31" t="e">
        <f t="shared" ref="K1242:Q1242" si="231">K1240/(K1240+K1241)</f>
        <v>#DIV/0!</v>
      </c>
      <c r="L1242" s="31">
        <f t="shared" si="231"/>
        <v>0.42857142857142855</v>
      </c>
      <c r="M1242" s="31">
        <f t="shared" si="231"/>
        <v>0.44444444444444442</v>
      </c>
      <c r="N1242" s="31">
        <f t="shared" si="231"/>
        <v>0.8571428571428571</v>
      </c>
      <c r="O1242" s="31">
        <f t="shared" si="231"/>
        <v>0.44444444444444442</v>
      </c>
      <c r="P1242" s="31">
        <f t="shared" si="231"/>
        <v>0.53125</v>
      </c>
      <c r="Q1242" s="31" t="e">
        <f t="shared" si="231"/>
        <v>#DIV/0!</v>
      </c>
      <c r="R1242" s="63"/>
      <c r="S1242" s="10"/>
      <c r="T1242" s="123"/>
      <c r="U1242" s="157"/>
      <c r="V1242" s="123"/>
      <c r="W1242" s="123"/>
      <c r="X1242" s="123"/>
    </row>
    <row r="1243" spans="2:24">
      <c r="B1243" s="132"/>
      <c r="C1243" s="123"/>
      <c r="D1243" s="127"/>
      <c r="E1243" s="12"/>
      <c r="F1243" s="160"/>
      <c r="G1243" s="123"/>
      <c r="H1243" s="54"/>
      <c r="I1243" s="123"/>
      <c r="J1243" s="10" t="s">
        <v>48</v>
      </c>
      <c r="K1243" s="66" t="e">
        <f t="shared" ref="K1243:Q1243" si="232">K1239/K1240</f>
        <v>#DIV/0!</v>
      </c>
      <c r="L1243" s="66">
        <f t="shared" si="232"/>
        <v>1614.3333333333333</v>
      </c>
      <c r="M1243" s="66">
        <f t="shared" si="232"/>
        <v>1002.8</v>
      </c>
      <c r="N1243" s="66">
        <f t="shared" si="232"/>
        <v>7719.166666666667</v>
      </c>
      <c r="O1243" s="66">
        <f t="shared" si="232"/>
        <v>2903.25</v>
      </c>
      <c r="P1243" s="66">
        <f t="shared" si="232"/>
        <v>3928.3647058823526</v>
      </c>
      <c r="Q1243" s="66" t="e">
        <f t="shared" si="232"/>
        <v>#DIV/0!</v>
      </c>
      <c r="R1243" s="63"/>
      <c r="S1243" s="10"/>
      <c r="T1243" s="123"/>
      <c r="U1243" s="157"/>
      <c r="V1243" s="123"/>
      <c r="W1243" s="123"/>
      <c r="X1243" s="123"/>
    </row>
    <row r="1244" spans="2:24">
      <c r="B1244" s="132"/>
      <c r="C1244" s="123"/>
      <c r="D1244" s="127"/>
      <c r="E1244" s="12"/>
      <c r="F1244" s="160"/>
      <c r="G1244" s="123"/>
      <c r="H1244" s="54"/>
      <c r="I1244" s="123"/>
      <c r="J1244" s="123"/>
      <c r="K1244" s="123"/>
      <c r="L1244" s="123"/>
      <c r="M1244" s="123"/>
      <c r="N1244" s="123"/>
      <c r="O1244" s="123"/>
      <c r="P1244" s="123"/>
      <c r="Q1244" s="123"/>
      <c r="R1244" s="123"/>
      <c r="S1244" s="123"/>
      <c r="T1244" s="123"/>
      <c r="U1244" s="157"/>
      <c r="V1244" s="123"/>
      <c r="W1244" s="123"/>
      <c r="X1244" s="123"/>
    </row>
    <row r="1245" spans="2:24">
      <c r="B1245" s="11"/>
      <c r="C1245" s="10"/>
      <c r="D1245" s="63"/>
      <c r="E1245" s="12"/>
      <c r="F1245" s="12"/>
      <c r="G1245" s="10"/>
      <c r="H1245" s="10"/>
      <c r="I1245" s="10"/>
      <c r="J1245" s="10"/>
      <c r="K1245" s="10"/>
      <c r="L1245" s="10"/>
      <c r="M1245" s="10"/>
      <c r="N1245" s="10"/>
      <c r="O1245" s="10"/>
      <c r="P1245" s="10"/>
      <c r="Q1245" s="10"/>
      <c r="R1245" s="10"/>
      <c r="S1245" s="10"/>
      <c r="T1245" s="10"/>
      <c r="U1245" s="151"/>
      <c r="V1245" s="77"/>
      <c r="W1245" s="77"/>
      <c r="X1245" s="77"/>
    </row>
    <row r="1246" spans="2:24">
      <c r="B1246" s="11"/>
      <c r="C1246" s="10"/>
      <c r="D1246" s="63"/>
      <c r="E1246" s="10"/>
      <c r="F1246" s="10"/>
      <c r="G1246" s="10"/>
      <c r="H1246" s="10"/>
      <c r="I1246" s="10"/>
      <c r="J1246" s="10"/>
      <c r="K1246" s="10"/>
      <c r="L1246" s="10"/>
      <c r="M1246" s="10"/>
      <c r="N1246" s="10"/>
      <c r="O1246" s="10"/>
      <c r="P1246" s="10"/>
      <c r="Q1246" s="10"/>
      <c r="R1246" s="10"/>
      <c r="S1246" s="10"/>
      <c r="T1246" s="10"/>
      <c r="U1246" s="151"/>
      <c r="V1246" s="77"/>
      <c r="W1246" s="77"/>
      <c r="X1246" s="77"/>
    </row>
    <row r="1247" spans="2:24">
      <c r="B1247" s="18" t="s">
        <v>51</v>
      </c>
      <c r="C1247" s="14"/>
      <c r="D1247" s="14"/>
      <c r="E1247" s="14"/>
      <c r="F1247" s="13" t="s">
        <v>52</v>
      </c>
      <c r="G1247" s="14"/>
      <c r="H1247" s="14"/>
      <c r="I1247" s="14"/>
      <c r="J1247" s="14"/>
      <c r="K1247" s="13" t="s">
        <v>3</v>
      </c>
      <c r="L1247" s="14"/>
      <c r="M1247" s="14"/>
      <c r="N1247" s="13" t="s">
        <v>4</v>
      </c>
      <c r="O1247" s="14"/>
      <c r="P1247" s="14"/>
      <c r="Q1247" s="13" t="s">
        <v>5</v>
      </c>
      <c r="R1247" s="14"/>
      <c r="S1247" s="14"/>
      <c r="T1247" s="18"/>
      <c r="U1247" s="161" t="s">
        <v>53</v>
      </c>
      <c r="V1247" s="77"/>
      <c r="W1247" s="77"/>
      <c r="X1247" s="77"/>
    </row>
    <row r="1248" spans="2:24">
      <c r="B1248" s="24" t="s">
        <v>54</v>
      </c>
      <c r="C1248" s="21" t="s">
        <v>55</v>
      </c>
      <c r="D1248" s="21" t="s">
        <v>56</v>
      </c>
      <c r="E1248" s="21" t="s">
        <v>57</v>
      </c>
      <c r="F1248" s="20" t="s">
        <v>58</v>
      </c>
      <c r="G1248" s="21" t="s">
        <v>59</v>
      </c>
      <c r="H1248" s="21" t="s">
        <v>60</v>
      </c>
      <c r="I1248" s="21" t="s">
        <v>26</v>
      </c>
      <c r="J1248" s="22" t="s">
        <v>61</v>
      </c>
      <c r="K1248" s="21" t="s">
        <v>8</v>
      </c>
      <c r="L1248" s="21" t="s">
        <v>9</v>
      </c>
      <c r="M1248" s="21" t="s">
        <v>10</v>
      </c>
      <c r="N1248" s="20" t="s">
        <v>11</v>
      </c>
      <c r="O1248" s="21" t="s">
        <v>12</v>
      </c>
      <c r="P1248" s="22" t="s">
        <v>13</v>
      </c>
      <c r="Q1248" s="21" t="s">
        <v>11</v>
      </c>
      <c r="R1248" s="21" t="s">
        <v>12</v>
      </c>
      <c r="S1248" s="21" t="s">
        <v>13</v>
      </c>
      <c r="T1248" s="78" t="s">
        <v>14</v>
      </c>
      <c r="U1248" s="162"/>
      <c r="V1248" s="79" t="s">
        <v>62</v>
      </c>
      <c r="W1248" s="80" t="s">
        <v>63</v>
      </c>
      <c r="X1248" s="81" t="s">
        <v>64</v>
      </c>
    </row>
    <row r="1249" spans="1:24">
      <c r="B1249" s="4" t="s">
        <v>65</v>
      </c>
      <c r="C1249" s="6"/>
      <c r="D1249" s="6"/>
      <c r="E1249" s="6"/>
      <c r="F1249" s="6"/>
      <c r="G1249" s="6"/>
      <c r="H1249" s="6"/>
      <c r="I1249" s="82"/>
      <c r="J1249" s="6"/>
      <c r="K1249" s="6"/>
      <c r="L1249" s="6"/>
      <c r="M1249" s="6"/>
      <c r="N1249" s="6"/>
      <c r="O1249" s="6"/>
      <c r="P1249" s="6"/>
      <c r="Q1249" s="6"/>
      <c r="R1249" s="6"/>
      <c r="S1249" s="6"/>
      <c r="T1249" s="83"/>
      <c r="U1249" s="163"/>
      <c r="V1249" s="84"/>
      <c r="W1249" s="85"/>
      <c r="X1249" s="86"/>
    </row>
    <row r="1250" spans="1:24">
      <c r="B1250" s="87">
        <v>1</v>
      </c>
      <c r="C1250" s="274">
        <v>45937</v>
      </c>
      <c r="D1250" s="276">
        <v>74082</v>
      </c>
      <c r="E1250" s="276" t="s">
        <v>162</v>
      </c>
      <c r="F1250" s="277">
        <v>3681</v>
      </c>
      <c r="G1250" s="277">
        <f>39.7</f>
        <v>39.700000000000003</v>
      </c>
      <c r="H1250" s="277"/>
      <c r="I1250" s="321">
        <f>F1250-G1250-H1250</f>
        <v>3641.3</v>
      </c>
      <c r="J1250" s="279" t="s">
        <v>156</v>
      </c>
      <c r="K1250" s="279">
        <v>1</v>
      </c>
      <c r="L1250" s="279">
        <v>1</v>
      </c>
      <c r="M1250" s="279">
        <v>1</v>
      </c>
      <c r="N1250" s="279">
        <v>1</v>
      </c>
      <c r="O1250" s="279">
        <v>1</v>
      </c>
      <c r="P1250" s="279">
        <v>1</v>
      </c>
      <c r="Q1250" s="322">
        <v>0</v>
      </c>
      <c r="R1250" s="322">
        <v>0</v>
      </c>
      <c r="S1250" s="328">
        <v>0</v>
      </c>
      <c r="T1250" s="63"/>
      <c r="U1250" s="94" t="s">
        <v>2646</v>
      </c>
      <c r="V1250" s="90">
        <f>404.91+3644.19</f>
        <v>4049.1</v>
      </c>
      <c r="W1250" s="578"/>
      <c r="X1250" s="579"/>
    </row>
    <row r="1251" spans="1:24">
      <c r="B1251" s="87">
        <f>B1250+1</f>
        <v>2</v>
      </c>
      <c r="C1251" s="295">
        <v>45937</v>
      </c>
      <c r="D1251" s="10">
        <v>74090</v>
      </c>
      <c r="E1251" s="10" t="s">
        <v>2372</v>
      </c>
      <c r="F1251" s="62">
        <v>681</v>
      </c>
      <c r="G1251" s="62"/>
      <c r="H1251" s="88"/>
      <c r="I1251" s="89">
        <f>F1251-G1251-H1251</f>
        <v>681</v>
      </c>
      <c r="J1251" s="63" t="s">
        <v>156</v>
      </c>
      <c r="K1251" s="63">
        <v>1</v>
      </c>
      <c r="L1251" s="63">
        <v>1</v>
      </c>
      <c r="M1251" s="63">
        <v>1</v>
      </c>
      <c r="N1251" s="63">
        <v>1</v>
      </c>
      <c r="O1251" s="63">
        <v>1</v>
      </c>
      <c r="P1251" s="63">
        <v>1</v>
      </c>
      <c r="Q1251" s="63">
        <v>1</v>
      </c>
      <c r="R1251" s="63">
        <v>1</v>
      </c>
      <c r="S1251" s="296">
        <v>1</v>
      </c>
      <c r="T1251" s="63"/>
      <c r="U1251" s="94"/>
      <c r="V1251" s="90">
        <v>749.1</v>
      </c>
      <c r="W1251" s="91"/>
      <c r="X1251" s="92"/>
    </row>
    <row r="1252" spans="1:24">
      <c r="B1252" s="87">
        <f t="shared" ref="B1252:B1262" si="233">B1251+1</f>
        <v>3</v>
      </c>
      <c r="C1252" s="282">
        <v>45937</v>
      </c>
      <c r="D1252" s="283">
        <v>74133</v>
      </c>
      <c r="E1252" s="283" t="s">
        <v>2647</v>
      </c>
      <c r="F1252" s="284">
        <v>481</v>
      </c>
      <c r="G1252" s="284">
        <f>+(27.09)</f>
        <v>27.09</v>
      </c>
      <c r="H1252" s="284"/>
      <c r="I1252" s="285">
        <f t="shared" ref="I1252:I1262" si="234">F1252-G1252-H1252</f>
        <v>453.91</v>
      </c>
      <c r="J1252" s="286" t="s">
        <v>156</v>
      </c>
      <c r="K1252" s="286">
        <v>1</v>
      </c>
      <c r="L1252" s="286">
        <v>1</v>
      </c>
      <c r="M1252" s="286">
        <v>1</v>
      </c>
      <c r="N1252" s="286">
        <v>1</v>
      </c>
      <c r="O1252" s="286">
        <v>1</v>
      </c>
      <c r="P1252" s="286">
        <v>1</v>
      </c>
      <c r="Q1252" s="286">
        <v>1</v>
      </c>
      <c r="R1252" s="286">
        <v>1</v>
      </c>
      <c r="S1252" s="287">
        <v>1</v>
      </c>
      <c r="T1252" s="63"/>
      <c r="U1252" s="94"/>
      <c r="V1252" s="90">
        <v>529.1</v>
      </c>
      <c r="W1252" s="91"/>
      <c r="X1252" s="92"/>
    </row>
    <row r="1253" spans="1:24">
      <c r="B1253" s="87">
        <f t="shared" si="233"/>
        <v>4</v>
      </c>
      <c r="C1253" s="295">
        <v>45938</v>
      </c>
      <c r="D1253" s="3">
        <v>74169</v>
      </c>
      <c r="E1253" s="10" t="s">
        <v>1401</v>
      </c>
      <c r="F1253" s="62">
        <v>1024.2</v>
      </c>
      <c r="G1253" s="62">
        <f>39.7</f>
        <v>39.700000000000003</v>
      </c>
      <c r="H1253" s="62"/>
      <c r="I1253" s="89">
        <f t="shared" si="234"/>
        <v>984.5</v>
      </c>
      <c r="J1253" s="63" t="s">
        <v>156</v>
      </c>
      <c r="K1253" s="63">
        <v>1</v>
      </c>
      <c r="L1253" s="63">
        <v>1</v>
      </c>
      <c r="M1253" s="63">
        <v>1</v>
      </c>
      <c r="N1253" s="63">
        <v>1</v>
      </c>
      <c r="O1253" s="63">
        <v>1</v>
      </c>
      <c r="P1253" s="63">
        <v>1</v>
      </c>
      <c r="Q1253" s="63">
        <v>1</v>
      </c>
      <c r="R1253" s="63">
        <v>1</v>
      </c>
      <c r="S1253" s="296">
        <v>1</v>
      </c>
      <c r="T1253" s="63"/>
      <c r="U1253" s="94" t="s">
        <v>2648</v>
      </c>
      <c r="V1253" s="90">
        <v>1126.6199999999999</v>
      </c>
      <c r="W1253" s="91"/>
      <c r="X1253" s="92"/>
    </row>
    <row r="1254" spans="1:24">
      <c r="B1254" s="87">
        <f t="shared" si="233"/>
        <v>5</v>
      </c>
      <c r="C1254" s="295">
        <v>45938</v>
      </c>
      <c r="D1254" s="10">
        <v>74116</v>
      </c>
      <c r="E1254" s="94" t="s">
        <v>1173</v>
      </c>
      <c r="F1254" s="62">
        <v>681</v>
      </c>
      <c r="G1254" s="62"/>
      <c r="H1254" s="62"/>
      <c r="I1254" s="89">
        <f t="shared" si="234"/>
        <v>681</v>
      </c>
      <c r="J1254" s="63" t="s">
        <v>156</v>
      </c>
      <c r="K1254" s="63">
        <v>1</v>
      </c>
      <c r="L1254" s="63">
        <v>1</v>
      </c>
      <c r="M1254" s="63">
        <v>1</v>
      </c>
      <c r="N1254" s="63">
        <v>1</v>
      </c>
      <c r="O1254" s="63">
        <v>1</v>
      </c>
      <c r="P1254" s="63">
        <v>1</v>
      </c>
      <c r="Q1254" s="63">
        <v>1</v>
      </c>
      <c r="R1254" s="63">
        <v>1</v>
      </c>
      <c r="S1254" s="296">
        <v>1</v>
      </c>
      <c r="T1254" s="21">
        <v>1</v>
      </c>
      <c r="U1254" s="94"/>
      <c r="V1254" s="90">
        <v>749.1</v>
      </c>
      <c r="W1254" s="91"/>
      <c r="X1254" s="92"/>
    </row>
    <row r="1255" spans="1:24">
      <c r="A1255" s="2" t="s">
        <v>230</v>
      </c>
      <c r="B1255" s="87">
        <f t="shared" si="233"/>
        <v>6</v>
      </c>
      <c r="C1255" s="295">
        <v>45938</v>
      </c>
      <c r="D1255" s="10">
        <v>74194</v>
      </c>
      <c r="E1255" s="10" t="s">
        <v>1173</v>
      </c>
      <c r="F1255" s="62">
        <f>1134-89</f>
        <v>1045</v>
      </c>
      <c r="G1255" s="62">
        <f>39.7</f>
        <v>39.700000000000003</v>
      </c>
      <c r="H1255" s="62"/>
      <c r="I1255" s="369">
        <f t="shared" si="234"/>
        <v>1005.3</v>
      </c>
      <c r="J1255" s="63" t="s">
        <v>156</v>
      </c>
      <c r="K1255" s="63">
        <v>1</v>
      </c>
      <c r="L1255" s="63">
        <v>1</v>
      </c>
      <c r="M1255" s="63">
        <v>1</v>
      </c>
      <c r="N1255" s="63">
        <v>1</v>
      </c>
      <c r="O1255" s="63">
        <v>1</v>
      </c>
      <c r="P1255" s="63">
        <v>1</v>
      </c>
      <c r="Q1255" s="63">
        <v>1</v>
      </c>
      <c r="R1255" s="63">
        <v>1</v>
      </c>
      <c r="S1255" s="296">
        <v>1</v>
      </c>
      <c r="T1255" s="63"/>
      <c r="U1255" s="94"/>
      <c r="V1255" s="90">
        <v>1247.4000000000001</v>
      </c>
      <c r="W1255" s="91"/>
      <c r="X1255" s="92"/>
    </row>
    <row r="1256" spans="1:24">
      <c r="B1256" s="87">
        <f t="shared" si="233"/>
        <v>7</v>
      </c>
      <c r="C1256" s="295">
        <v>45938</v>
      </c>
      <c r="D1256" s="10">
        <v>74202</v>
      </c>
      <c r="E1256" s="10" t="s">
        <v>187</v>
      </c>
      <c r="F1256" s="62">
        <f>1346-85</f>
        <v>1261</v>
      </c>
      <c r="G1256" s="62">
        <f>39.7</f>
        <v>39.700000000000003</v>
      </c>
      <c r="H1256" s="88"/>
      <c r="I1256" s="89">
        <f t="shared" si="234"/>
        <v>1221.3</v>
      </c>
      <c r="J1256" s="63" t="s">
        <v>156</v>
      </c>
      <c r="K1256" s="63">
        <v>1</v>
      </c>
      <c r="L1256" s="63">
        <v>1</v>
      </c>
      <c r="M1256" s="63">
        <v>1</v>
      </c>
      <c r="N1256" s="63">
        <v>1</v>
      </c>
      <c r="O1256" s="63">
        <v>1</v>
      </c>
      <c r="P1256" s="63">
        <v>1</v>
      </c>
      <c r="Q1256" s="63">
        <v>1</v>
      </c>
      <c r="R1256" s="63">
        <v>1</v>
      </c>
      <c r="S1256" s="296">
        <v>1</v>
      </c>
      <c r="T1256" s="63"/>
      <c r="U1256" s="94"/>
      <c r="V1256" s="90">
        <f>93.5+1387.1</f>
        <v>1480.6</v>
      </c>
      <c r="W1256" s="91"/>
      <c r="X1256" s="92"/>
    </row>
    <row r="1257" spans="1:24">
      <c r="B1257" s="87">
        <f t="shared" si="233"/>
        <v>8</v>
      </c>
      <c r="C1257" s="274">
        <v>45939</v>
      </c>
      <c r="D1257" s="276">
        <v>74237</v>
      </c>
      <c r="E1257" s="276" t="s">
        <v>2649</v>
      </c>
      <c r="F1257" s="277">
        <v>681</v>
      </c>
      <c r="G1257" s="277"/>
      <c r="H1257" s="297"/>
      <c r="I1257" s="278">
        <f>F1257-G1257-H1257</f>
        <v>681</v>
      </c>
      <c r="J1257" s="279" t="s">
        <v>156</v>
      </c>
      <c r="K1257" s="279">
        <v>1</v>
      </c>
      <c r="L1257" s="279">
        <v>1</v>
      </c>
      <c r="M1257" s="279">
        <v>1</v>
      </c>
      <c r="N1257" s="279">
        <v>1</v>
      </c>
      <c r="O1257" s="279">
        <v>1</v>
      </c>
      <c r="P1257" s="279">
        <v>1</v>
      </c>
      <c r="Q1257" s="279">
        <v>1</v>
      </c>
      <c r="R1257" s="279">
        <v>1</v>
      </c>
      <c r="S1257" s="280">
        <v>1</v>
      </c>
      <c r="T1257" s="63"/>
      <c r="U1257" s="94"/>
      <c r="V1257" s="90">
        <v>749.1</v>
      </c>
      <c r="W1257" s="91"/>
      <c r="X1257" s="92"/>
    </row>
    <row r="1258" spans="1:24">
      <c r="B1258" s="87">
        <f>B1257+1</f>
        <v>9</v>
      </c>
      <c r="C1258" s="295">
        <v>45939</v>
      </c>
      <c r="D1258" s="10" t="s">
        <v>2650</v>
      </c>
      <c r="E1258" s="10" t="s">
        <v>2649</v>
      </c>
      <c r="F1258" s="62">
        <v>6533</v>
      </c>
      <c r="G1258" s="62">
        <f>39.7+(1136.61)+250</f>
        <v>1426.31</v>
      </c>
      <c r="H1258" s="62"/>
      <c r="I1258" s="89">
        <f>F1258-G1258-H1258</f>
        <v>5106.6900000000005</v>
      </c>
      <c r="J1258" s="63" t="s">
        <v>156</v>
      </c>
      <c r="K1258" s="63">
        <v>1</v>
      </c>
      <c r="L1258" s="63">
        <v>1</v>
      </c>
      <c r="M1258" s="63">
        <v>1</v>
      </c>
      <c r="N1258" s="63">
        <v>1</v>
      </c>
      <c r="O1258" s="63">
        <v>1</v>
      </c>
      <c r="P1258" s="63">
        <v>1</v>
      </c>
      <c r="Q1258" s="63">
        <v>1</v>
      </c>
      <c r="R1258" s="63">
        <v>1</v>
      </c>
      <c r="S1258" s="296">
        <v>1</v>
      </c>
      <c r="T1258" s="63"/>
      <c r="U1258" s="94" t="s">
        <v>2651</v>
      </c>
      <c r="V1258" s="90">
        <f>718+6468.3</f>
        <v>7186.3</v>
      </c>
      <c r="W1258" s="136"/>
      <c r="X1258" s="92"/>
    </row>
    <row r="1259" spans="1:24">
      <c r="B1259" s="87">
        <f>B1258+1</f>
        <v>10</v>
      </c>
      <c r="C1259" s="295">
        <v>45939</v>
      </c>
      <c r="D1259" s="10">
        <v>74249</v>
      </c>
      <c r="E1259" s="10" t="s">
        <v>1008</v>
      </c>
      <c r="F1259" s="62">
        <v>1641</v>
      </c>
      <c r="G1259" s="62">
        <f>39.7</f>
        <v>39.700000000000003</v>
      </c>
      <c r="H1259" s="88"/>
      <c r="I1259" s="89">
        <f>F1259-G1259-H1259</f>
        <v>1601.3</v>
      </c>
      <c r="J1259" s="63" t="s">
        <v>156</v>
      </c>
      <c r="K1259" s="63">
        <v>1</v>
      </c>
      <c r="L1259" s="63">
        <v>1</v>
      </c>
      <c r="M1259" s="63">
        <v>1</v>
      </c>
      <c r="N1259" s="63">
        <v>1</v>
      </c>
      <c r="O1259" s="63">
        <v>1</v>
      </c>
      <c r="P1259" s="63">
        <v>1</v>
      </c>
      <c r="Q1259" s="63">
        <v>1</v>
      </c>
      <c r="R1259" s="63">
        <v>1</v>
      </c>
      <c r="S1259" s="296">
        <v>1</v>
      </c>
      <c r="T1259" s="63"/>
      <c r="U1259" s="94"/>
      <c r="V1259" s="90">
        <v>1805.1</v>
      </c>
      <c r="W1259" s="91"/>
      <c r="X1259" s="92"/>
    </row>
    <row r="1260" spans="1:24">
      <c r="B1260" s="87">
        <f t="shared" si="233"/>
        <v>11</v>
      </c>
      <c r="C1260" s="282">
        <v>45939</v>
      </c>
      <c r="D1260" s="283">
        <v>74242</v>
      </c>
      <c r="E1260" s="283" t="s">
        <v>1010</v>
      </c>
      <c r="F1260" s="284">
        <v>1138</v>
      </c>
      <c r="G1260" s="284">
        <f>39.7</f>
        <v>39.700000000000003</v>
      </c>
      <c r="H1260" s="315"/>
      <c r="I1260" s="285">
        <f>F1260-G1260-H1260</f>
        <v>1098.3</v>
      </c>
      <c r="J1260" s="286" t="s">
        <v>156</v>
      </c>
      <c r="K1260" s="286">
        <v>1</v>
      </c>
      <c r="L1260" s="286">
        <v>1</v>
      </c>
      <c r="M1260" s="286">
        <v>1</v>
      </c>
      <c r="N1260" s="286">
        <v>1</v>
      </c>
      <c r="O1260" s="286">
        <v>1</v>
      </c>
      <c r="P1260" s="286">
        <v>1</v>
      </c>
      <c r="Q1260" s="286">
        <v>1</v>
      </c>
      <c r="R1260" s="286">
        <v>1</v>
      </c>
      <c r="S1260" s="287">
        <v>1</v>
      </c>
      <c r="T1260" s="63"/>
      <c r="U1260" s="94"/>
      <c r="V1260" s="90">
        <v>1251.8</v>
      </c>
      <c r="W1260" s="91"/>
      <c r="X1260" s="92"/>
    </row>
    <row r="1261" spans="1:24">
      <c r="B1261" s="87">
        <f t="shared" si="233"/>
        <v>12</v>
      </c>
      <c r="C1261" s="295">
        <v>45940</v>
      </c>
      <c r="D1261" s="10">
        <v>74276</v>
      </c>
      <c r="E1261" s="10" t="s">
        <v>306</v>
      </c>
      <c r="F1261" s="62">
        <v>1681</v>
      </c>
      <c r="G1261" s="62">
        <v>39.700000000000003</v>
      </c>
      <c r="H1261" s="88"/>
      <c r="I1261" s="89">
        <f>F1261-G1261-H1261</f>
        <v>1641.3</v>
      </c>
      <c r="J1261" s="63" t="s">
        <v>156</v>
      </c>
      <c r="K1261" s="63">
        <v>1</v>
      </c>
      <c r="L1261" s="63">
        <v>1</v>
      </c>
      <c r="M1261" s="63">
        <v>1</v>
      </c>
      <c r="N1261" s="63">
        <v>1</v>
      </c>
      <c r="O1261" s="63">
        <v>1</v>
      </c>
      <c r="P1261" s="63">
        <v>1</v>
      </c>
      <c r="Q1261" s="63">
        <v>1</v>
      </c>
      <c r="R1261" s="63">
        <v>1</v>
      </c>
      <c r="S1261" s="296">
        <v>1</v>
      </c>
      <c r="T1261" s="63"/>
      <c r="U1261" s="94"/>
      <c r="V1261" s="90">
        <v>1849.1</v>
      </c>
      <c r="W1261" s="91"/>
      <c r="X1261" s="92"/>
    </row>
    <row r="1262" spans="1:24">
      <c r="B1262" s="87">
        <f t="shared" si="233"/>
        <v>13</v>
      </c>
      <c r="C1262" s="282">
        <v>45940</v>
      </c>
      <c r="D1262" s="283">
        <v>74308</v>
      </c>
      <c r="E1262" s="283" t="s">
        <v>1155</v>
      </c>
      <c r="F1262" s="423">
        <v>1138</v>
      </c>
      <c r="G1262" s="284">
        <f>39.7</f>
        <v>39.700000000000003</v>
      </c>
      <c r="H1262" s="284"/>
      <c r="I1262" s="285">
        <f t="shared" si="234"/>
        <v>1098.3</v>
      </c>
      <c r="J1262" s="286" t="s">
        <v>156</v>
      </c>
      <c r="K1262" s="286">
        <v>1</v>
      </c>
      <c r="L1262" s="286">
        <v>1</v>
      </c>
      <c r="M1262" s="286">
        <v>1</v>
      </c>
      <c r="N1262" s="286">
        <v>1</v>
      </c>
      <c r="O1262" s="286">
        <v>1</v>
      </c>
      <c r="P1262" s="286">
        <v>1</v>
      </c>
      <c r="Q1262" s="286">
        <v>1</v>
      </c>
      <c r="R1262" s="286">
        <v>1</v>
      </c>
      <c r="S1262" s="287">
        <v>1</v>
      </c>
      <c r="T1262" s="63"/>
      <c r="U1262" s="94"/>
      <c r="V1262" s="90">
        <v>1251.8</v>
      </c>
      <c r="W1262" s="91"/>
      <c r="X1262" s="92"/>
    </row>
    <row r="1263" spans="1:24">
      <c r="B1263" s="87"/>
      <c r="C1263" s="36"/>
      <c r="D1263" s="10"/>
      <c r="E1263" s="10"/>
      <c r="F1263" s="98">
        <f t="shared" ref="F1263:H1263" si="235">SUM(F1250:F1262)</f>
        <v>21666.2</v>
      </c>
      <c r="G1263" s="98">
        <f t="shared" si="235"/>
        <v>1771</v>
      </c>
      <c r="H1263" s="98">
        <f t="shared" si="235"/>
        <v>0</v>
      </c>
      <c r="I1263" s="98">
        <f>SUM(I1250:I1262)</f>
        <v>19895.199999999997</v>
      </c>
      <c r="J1263" s="63"/>
      <c r="K1263" s="63">
        <f>COUNT(K1250:K1262)</f>
        <v>13</v>
      </c>
      <c r="L1263" s="63">
        <f t="shared" ref="L1263:S1263" si="236">COUNT(L1250:L1262)</f>
        <v>13</v>
      </c>
      <c r="M1263" s="63">
        <f t="shared" si="236"/>
        <v>13</v>
      </c>
      <c r="N1263" s="63">
        <f t="shared" si="236"/>
        <v>13</v>
      </c>
      <c r="O1263" s="63">
        <f t="shared" si="236"/>
        <v>13</v>
      </c>
      <c r="P1263" s="63">
        <f t="shared" si="236"/>
        <v>13</v>
      </c>
      <c r="Q1263" s="63">
        <f t="shared" si="236"/>
        <v>13</v>
      </c>
      <c r="R1263" s="63">
        <f t="shared" si="236"/>
        <v>13</v>
      </c>
      <c r="S1263" s="63">
        <f t="shared" si="236"/>
        <v>13</v>
      </c>
      <c r="T1263" s="63"/>
      <c r="U1263" s="94"/>
      <c r="V1263" s="90"/>
      <c r="W1263" s="91"/>
      <c r="X1263" s="92"/>
    </row>
    <row r="1264" spans="1:24">
      <c r="B1264" s="87"/>
      <c r="C1264" s="36"/>
      <c r="D1264" s="10"/>
      <c r="E1264" s="10"/>
      <c r="F1264" s="88"/>
      <c r="G1264" s="88"/>
      <c r="H1264" s="88"/>
      <c r="I1264" s="99"/>
      <c r="J1264" s="63"/>
      <c r="K1264" s="21">
        <f>SUM(K1250:K1262)</f>
        <v>13</v>
      </c>
      <c r="L1264" s="21">
        <f t="shared" ref="L1264:S1264" si="237">SUM(L1250:L1262)</f>
        <v>13</v>
      </c>
      <c r="M1264" s="21">
        <f t="shared" si="237"/>
        <v>13</v>
      </c>
      <c r="N1264" s="21">
        <f t="shared" si="237"/>
        <v>13</v>
      </c>
      <c r="O1264" s="21">
        <f t="shared" si="237"/>
        <v>13</v>
      </c>
      <c r="P1264" s="21">
        <f t="shared" si="237"/>
        <v>13</v>
      </c>
      <c r="Q1264" s="21">
        <f t="shared" si="237"/>
        <v>12</v>
      </c>
      <c r="R1264" s="21">
        <f t="shared" si="237"/>
        <v>12</v>
      </c>
      <c r="S1264" s="21">
        <f t="shared" si="237"/>
        <v>12</v>
      </c>
      <c r="T1264" s="63"/>
      <c r="U1264" s="94"/>
      <c r="V1264" s="90"/>
      <c r="W1264" s="91"/>
      <c r="X1264" s="92"/>
    </row>
    <row r="1265" spans="1:24">
      <c r="B1265" s="11"/>
      <c r="C1265" s="609"/>
      <c r="D1265" s="10"/>
      <c r="E1265" s="10"/>
      <c r="F1265" s="88"/>
      <c r="G1265" s="88"/>
      <c r="H1265" s="88"/>
      <c r="I1265" s="99"/>
      <c r="J1265" s="63"/>
      <c r="K1265" s="21"/>
      <c r="L1265" s="21"/>
      <c r="M1265" s="21"/>
      <c r="N1265" s="21"/>
      <c r="O1265" s="21"/>
      <c r="P1265" s="21"/>
      <c r="Q1265" s="21"/>
      <c r="R1265" s="21"/>
      <c r="S1265" s="21"/>
      <c r="T1265" s="63"/>
      <c r="U1265" s="94"/>
      <c r="V1265" s="90"/>
      <c r="W1265" s="91"/>
      <c r="X1265" s="92"/>
    </row>
    <row r="1266" spans="1:24">
      <c r="B1266" s="100" t="s">
        <v>67</v>
      </c>
      <c r="C1266" s="609"/>
      <c r="D1266" s="10"/>
      <c r="E1266" s="10"/>
      <c r="F1266" s="88"/>
      <c r="G1266" s="62"/>
      <c r="H1266" s="88"/>
      <c r="I1266" s="99"/>
      <c r="J1266" s="63"/>
      <c r="K1266" s="2"/>
      <c r="L1266" s="2"/>
      <c r="M1266" s="2"/>
      <c r="N1266" s="2"/>
      <c r="O1266" s="2"/>
      <c r="P1266" s="2"/>
      <c r="Q1266" s="2"/>
      <c r="R1266" s="2"/>
      <c r="S1266" s="2"/>
      <c r="T1266" s="63"/>
      <c r="U1266" s="94"/>
      <c r="V1266" s="90"/>
      <c r="W1266" s="91"/>
      <c r="X1266" s="92"/>
    </row>
    <row r="1267" spans="1:24">
      <c r="A1267" s="704" t="s">
        <v>2637</v>
      </c>
      <c r="B1267" s="87">
        <v>1</v>
      </c>
      <c r="C1267" s="262">
        <v>45933</v>
      </c>
      <c r="D1267" s="263" t="s">
        <v>2638</v>
      </c>
      <c r="E1267" s="271" t="s">
        <v>1156</v>
      </c>
      <c r="F1267" s="265">
        <v>4933</v>
      </c>
      <c r="G1267" s="265">
        <f>39.7+(1029.41)+250</f>
        <v>1319.1100000000001</v>
      </c>
      <c r="H1267" s="265"/>
      <c r="I1267" s="266">
        <f>F1267-G1267-H1267</f>
        <v>3613.89</v>
      </c>
      <c r="J1267" s="267" t="s">
        <v>228</v>
      </c>
      <c r="K1267" s="267">
        <v>1</v>
      </c>
      <c r="L1267" s="267">
        <v>1</v>
      </c>
      <c r="M1267" s="267">
        <v>1</v>
      </c>
      <c r="N1267" s="267">
        <v>1</v>
      </c>
      <c r="O1267" s="267">
        <v>1</v>
      </c>
      <c r="P1267" s="314">
        <v>0</v>
      </c>
      <c r="Q1267" s="267">
        <v>1</v>
      </c>
      <c r="R1267" s="267">
        <v>1</v>
      </c>
      <c r="S1267" s="269">
        <v>1</v>
      </c>
      <c r="T1267" s="63"/>
      <c r="U1267" s="94" t="s">
        <v>2639</v>
      </c>
      <c r="V1267" s="90">
        <f>4741.3</f>
        <v>4741.3</v>
      </c>
      <c r="W1267" s="91"/>
      <c r="X1267" s="92"/>
    </row>
    <row r="1268" spans="1:24">
      <c r="B1268" s="11"/>
      <c r="C1268" s="609"/>
      <c r="D1268" s="10"/>
      <c r="E1268" s="10"/>
      <c r="F1268" s="97">
        <f>SUM(F1267:F1267)</f>
        <v>4933</v>
      </c>
      <c r="G1268" s="97">
        <f>SUM(G1267:G1267)</f>
        <v>1319.1100000000001</v>
      </c>
      <c r="H1268" s="97">
        <f>SUM(H1267:H1267)</f>
        <v>0</v>
      </c>
      <c r="I1268" s="98">
        <f>SUM(I1267:I1267)</f>
        <v>3613.89</v>
      </c>
      <c r="J1268" s="63"/>
      <c r="K1268" s="21"/>
      <c r="L1268" s="21"/>
      <c r="M1268" s="21"/>
      <c r="N1268" s="21"/>
      <c r="O1268" s="21"/>
      <c r="P1268" s="21"/>
      <c r="Q1268" s="21"/>
      <c r="R1268" s="21"/>
      <c r="S1268" s="21"/>
      <c r="T1268" s="63"/>
      <c r="U1268" s="94"/>
      <c r="V1268" s="90"/>
      <c r="W1268" s="91"/>
      <c r="X1268" s="92"/>
    </row>
    <row r="1269" spans="1:24">
      <c r="B1269" s="11"/>
      <c r="C1269" s="609"/>
      <c r="D1269" s="10"/>
      <c r="E1269" s="10"/>
      <c r="F1269" s="88"/>
      <c r="G1269" s="88"/>
      <c r="H1269" s="88"/>
      <c r="I1269" s="99"/>
      <c r="J1269" s="63"/>
      <c r="K1269" s="21"/>
      <c r="L1269" s="21"/>
      <c r="M1269" s="21"/>
      <c r="N1269" s="21"/>
      <c r="O1269" s="21"/>
      <c r="P1269" s="21"/>
      <c r="Q1269" s="21"/>
      <c r="R1269" s="21"/>
      <c r="S1269" s="21"/>
      <c r="T1269" s="63"/>
      <c r="U1269" s="94"/>
      <c r="V1269" s="90"/>
      <c r="W1269" s="91"/>
      <c r="X1269" s="92"/>
    </row>
    <row r="1270" spans="1:24">
      <c r="B1270" s="121" t="s">
        <v>70</v>
      </c>
      <c r="C1270" s="611"/>
      <c r="D1270" s="123"/>
      <c r="E1270" s="128"/>
      <c r="F1270" s="124"/>
      <c r="G1270" s="124"/>
      <c r="H1270" s="124"/>
      <c r="I1270" s="126"/>
      <c r="J1270" s="127"/>
      <c r="K1270" s="64"/>
      <c r="L1270" s="64"/>
      <c r="M1270" s="64"/>
      <c r="N1270" s="64"/>
      <c r="O1270" s="64"/>
      <c r="P1270" s="64"/>
      <c r="Q1270" s="64"/>
      <c r="R1270" s="64"/>
      <c r="S1270" s="64"/>
      <c r="T1270" s="127"/>
      <c r="U1270" s="135"/>
      <c r="V1270" s="129"/>
      <c r="W1270" s="130"/>
      <c r="X1270" s="131"/>
    </row>
    <row r="1271" spans="1:24" s="342" customFormat="1">
      <c r="A1271" s="492">
        <v>0.1</v>
      </c>
      <c r="B1271" s="333">
        <v>1</v>
      </c>
      <c r="C1271" s="334">
        <v>45939</v>
      </c>
      <c r="D1271" s="335" t="s">
        <v>2652</v>
      </c>
      <c r="E1271" s="335" t="s">
        <v>1008</v>
      </c>
      <c r="F1271" s="336">
        <v>18161</v>
      </c>
      <c r="G1271" s="336">
        <f>39.7+(125.35+68.83)+(596.95+34.4)+1500</f>
        <v>2365.23</v>
      </c>
      <c r="H1271" s="336"/>
      <c r="I1271" s="337">
        <f>F1271-G1271-H1271</f>
        <v>15795.77</v>
      </c>
      <c r="J1271" s="338" t="s">
        <v>156</v>
      </c>
      <c r="K1271" s="338">
        <v>1</v>
      </c>
      <c r="L1271" s="338"/>
      <c r="M1271" s="338">
        <v>1</v>
      </c>
      <c r="N1271" s="338">
        <v>1</v>
      </c>
      <c r="O1271" s="338">
        <v>1</v>
      </c>
      <c r="P1271" s="338">
        <v>1</v>
      </c>
      <c r="Q1271" s="338"/>
      <c r="R1271" s="338"/>
      <c r="S1271" s="339"/>
      <c r="T1271" s="127"/>
      <c r="U1271" s="135" t="s">
        <v>2653</v>
      </c>
      <c r="V1271" s="129">
        <f>1997.7</f>
        <v>1997.7</v>
      </c>
      <c r="W1271" s="340"/>
      <c r="X1271" s="341"/>
    </row>
    <row r="1272" spans="1:24" s="342" customFormat="1">
      <c r="A1272" s="342" t="s">
        <v>2654</v>
      </c>
      <c r="B1272" s="467">
        <f t="shared" ref="B1272:B1274" si="238">B1271+1</f>
        <v>2</v>
      </c>
      <c r="C1272" s="546">
        <v>45939</v>
      </c>
      <c r="D1272" s="744" t="s">
        <v>2655</v>
      </c>
      <c r="E1272" s="547" t="s">
        <v>1010</v>
      </c>
      <c r="F1272" s="548">
        <v>18161</v>
      </c>
      <c r="G1272" s="548">
        <f>39.7+1500+(125.32+39.16+39.43+56.98)+(367.65)</f>
        <v>2168.2400000000002</v>
      </c>
      <c r="H1272" s="548"/>
      <c r="I1272" s="89">
        <f>F1272-G1272-H1272</f>
        <v>15992.76</v>
      </c>
      <c r="J1272" s="474" t="s">
        <v>156</v>
      </c>
      <c r="K1272" s="474">
        <v>1</v>
      </c>
      <c r="L1272" s="474">
        <v>1</v>
      </c>
      <c r="M1272" s="474">
        <v>1</v>
      </c>
      <c r="N1272" s="474">
        <v>1</v>
      </c>
      <c r="O1272" s="474">
        <v>1</v>
      </c>
      <c r="P1272" s="474">
        <v>1</v>
      </c>
      <c r="Q1272" s="742">
        <v>0</v>
      </c>
      <c r="R1272" s="742">
        <v>0</v>
      </c>
      <c r="S1272" s="743">
        <v>0</v>
      </c>
      <c r="T1272" s="474"/>
      <c r="U1272" s="475" t="s">
        <v>2656</v>
      </c>
      <c r="V1272" s="476">
        <f>1997.7+10000+7000+979.7</f>
        <v>19977.400000000001</v>
      </c>
      <c r="W1272" s="465"/>
      <c r="X1272" s="483"/>
    </row>
    <row r="1273" spans="1:24" s="342" customFormat="1">
      <c r="A1273" s="492">
        <v>0.1</v>
      </c>
      <c r="B1273" s="333">
        <f t="shared" si="238"/>
        <v>3</v>
      </c>
      <c r="C1273" s="334">
        <v>45940</v>
      </c>
      <c r="D1273" s="335" t="s">
        <v>2657</v>
      </c>
      <c r="E1273" s="335" t="s">
        <v>306</v>
      </c>
      <c r="F1273" s="336">
        <v>6933</v>
      </c>
      <c r="G1273" s="336">
        <f>39.7+(342.35+1017.73)+250</f>
        <v>1649.78</v>
      </c>
      <c r="H1273" s="336"/>
      <c r="I1273" s="337">
        <f>F1273-G1273-H1273</f>
        <v>5283.22</v>
      </c>
      <c r="J1273" s="338" t="s">
        <v>156</v>
      </c>
      <c r="K1273" s="338">
        <v>1</v>
      </c>
      <c r="L1273" s="338"/>
      <c r="M1273" s="338">
        <v>1</v>
      </c>
      <c r="N1273" s="338">
        <v>1</v>
      </c>
      <c r="O1273" s="338">
        <v>1</v>
      </c>
      <c r="P1273" s="338">
        <v>1</v>
      </c>
      <c r="Q1273" s="338">
        <v>1</v>
      </c>
      <c r="R1273" s="338">
        <v>1</v>
      </c>
      <c r="S1273" s="339">
        <v>0</v>
      </c>
      <c r="T1273" s="127"/>
      <c r="U1273" s="135" t="s">
        <v>2658</v>
      </c>
      <c r="V1273" s="129">
        <f>762+6864.3</f>
        <v>7626.3</v>
      </c>
      <c r="W1273" s="340"/>
      <c r="X1273" s="341"/>
    </row>
    <row r="1274" spans="1:24" s="342" customFormat="1">
      <c r="A1274" s="356">
        <v>0.1</v>
      </c>
      <c r="B1274" s="333">
        <f t="shared" si="238"/>
        <v>4</v>
      </c>
      <c r="C1274" s="395">
        <v>45940</v>
      </c>
      <c r="D1274" s="396">
        <v>74316</v>
      </c>
      <c r="E1274" s="396" t="s">
        <v>1156</v>
      </c>
      <c r="F1274" s="397">
        <v>1861</v>
      </c>
      <c r="G1274" s="397">
        <f>39.7+550</f>
        <v>589.70000000000005</v>
      </c>
      <c r="H1274" s="397"/>
      <c r="I1274" s="398">
        <f>F1274-G1274-H1274</f>
        <v>1271.3</v>
      </c>
      <c r="J1274" s="399" t="s">
        <v>156</v>
      </c>
      <c r="K1274" s="399">
        <v>1</v>
      </c>
      <c r="L1274" s="399"/>
      <c r="M1274" s="399">
        <v>1</v>
      </c>
      <c r="N1274" s="399">
        <v>0</v>
      </c>
      <c r="O1274" s="399">
        <v>0</v>
      </c>
      <c r="P1274" s="399">
        <v>0</v>
      </c>
      <c r="Q1274" s="399"/>
      <c r="R1274" s="399"/>
      <c r="S1274" s="400"/>
      <c r="T1274" s="127"/>
      <c r="U1274" s="135" t="s">
        <v>2659</v>
      </c>
      <c r="V1274" s="129">
        <f>204.71</f>
        <v>204.71</v>
      </c>
      <c r="W1274" s="340"/>
      <c r="X1274" s="341"/>
    </row>
    <row r="1275" spans="1:24">
      <c r="B1275" s="132"/>
      <c r="C1275" s="36"/>
      <c r="D1275" s="123"/>
      <c r="E1275" s="123"/>
      <c r="F1275" s="134">
        <f t="shared" ref="F1275:H1275" si="239">SUM(F1271:F1274)</f>
        <v>45116</v>
      </c>
      <c r="G1275" s="134">
        <f t="shared" si="239"/>
        <v>6772.95</v>
      </c>
      <c r="H1275" s="134">
        <f t="shared" si="239"/>
        <v>0</v>
      </c>
      <c r="I1275" s="134">
        <f>SUM(I1271:I1274)</f>
        <v>38343.050000000003</v>
      </c>
      <c r="J1275" s="127"/>
      <c r="K1275" s="64"/>
      <c r="L1275" s="64"/>
      <c r="M1275" s="64"/>
      <c r="N1275" s="64"/>
      <c r="O1275" s="64"/>
      <c r="P1275" s="64"/>
      <c r="Q1275" s="64"/>
      <c r="R1275" s="64"/>
      <c r="S1275" s="64"/>
      <c r="T1275" s="127"/>
      <c r="U1275" s="135"/>
      <c r="V1275" s="129"/>
      <c r="W1275" s="130"/>
      <c r="X1275" s="131"/>
    </row>
    <row r="1276" spans="1:24">
      <c r="B1276" s="11"/>
      <c r="C1276" s="609"/>
      <c r="D1276" s="10"/>
      <c r="E1276" s="10"/>
      <c r="F1276" s="88"/>
      <c r="G1276" s="88"/>
      <c r="H1276" s="88"/>
      <c r="I1276" s="99"/>
      <c r="J1276" s="63"/>
      <c r="K1276" s="21"/>
      <c r="L1276" s="21"/>
      <c r="M1276" s="21"/>
      <c r="N1276" s="21"/>
      <c r="O1276" s="21"/>
      <c r="P1276" s="21"/>
      <c r="Q1276" s="21"/>
      <c r="R1276" s="21"/>
      <c r="S1276" s="21"/>
      <c r="T1276" s="63"/>
      <c r="U1276" s="94"/>
      <c r="V1276" s="90"/>
      <c r="W1276" s="91"/>
      <c r="X1276" s="92"/>
    </row>
    <row r="1277" spans="1:24" s="260" customFormat="1">
      <c r="B1277" s="100" t="s">
        <v>152</v>
      </c>
      <c r="C1277" s="270"/>
      <c r="D1277" s="10"/>
      <c r="E1277" s="101"/>
      <c r="F1277" s="88"/>
      <c r="G1277" s="62"/>
      <c r="H1277" s="88"/>
      <c r="I1277" s="99"/>
      <c r="J1277" s="63"/>
      <c r="K1277" s="181"/>
      <c r="L1277" s="181"/>
      <c r="M1277" s="181"/>
      <c r="N1277" s="181"/>
      <c r="O1277" s="181"/>
      <c r="P1277" s="181"/>
      <c r="Q1277" s="181"/>
      <c r="R1277" s="181"/>
      <c r="S1277" s="181"/>
      <c r="T1277" s="63"/>
      <c r="U1277" s="10"/>
      <c r="V1277" s="90"/>
      <c r="W1277" s="91"/>
      <c r="X1277" s="92"/>
    </row>
    <row r="1278" spans="1:24" s="260" customFormat="1">
      <c r="A1278" s="261">
        <v>0.05</v>
      </c>
      <c r="B1278" s="87">
        <v>1</v>
      </c>
      <c r="C1278" s="274">
        <v>45790</v>
      </c>
      <c r="D1278" s="320" t="s">
        <v>2339</v>
      </c>
      <c r="E1278" s="276" t="s">
        <v>225</v>
      </c>
      <c r="F1278" s="277">
        <v>8614</v>
      </c>
      <c r="G1278" s="277">
        <f>39.7+(143.54)+(86.25+50.9-26.76)+750</f>
        <v>1043.6300000000001</v>
      </c>
      <c r="H1278" s="277"/>
      <c r="I1278" s="278">
        <f>F1278-G1278-H1278</f>
        <v>7570.37</v>
      </c>
      <c r="J1278" s="279"/>
      <c r="K1278" s="279">
        <v>1</v>
      </c>
      <c r="L1278" s="279"/>
      <c r="M1278" s="279"/>
      <c r="N1278" s="279">
        <v>1</v>
      </c>
      <c r="O1278" s="279">
        <v>1</v>
      </c>
      <c r="P1278" s="279">
        <v>1</v>
      </c>
      <c r="Q1278" s="279"/>
      <c r="R1278" s="279"/>
      <c r="S1278" s="280"/>
      <c r="T1278" s="63"/>
      <c r="U1278" s="10" t="s">
        <v>2340</v>
      </c>
      <c r="V1278" s="90"/>
      <c r="W1278" s="136"/>
      <c r="X1278" s="137"/>
    </row>
    <row r="1279" spans="1:24" s="260" customFormat="1">
      <c r="A1279" s="261">
        <v>0.05</v>
      </c>
      <c r="B1279" s="87">
        <f>B1278+1</f>
        <v>2</v>
      </c>
      <c r="C1279" s="262">
        <v>45880</v>
      </c>
      <c r="D1279" s="357" t="s">
        <v>2475</v>
      </c>
      <c r="E1279" s="264" t="s">
        <v>294</v>
      </c>
      <c r="F1279" s="265">
        <v>1542</v>
      </c>
      <c r="G1279" s="265">
        <f>39.7</f>
        <v>39.700000000000003</v>
      </c>
      <c r="H1279" s="265"/>
      <c r="I1279" s="266">
        <f>F1279-G1279-H1279</f>
        <v>1502.3</v>
      </c>
      <c r="J1279" s="267" t="s">
        <v>156</v>
      </c>
      <c r="K1279" s="267">
        <v>1</v>
      </c>
      <c r="L1279" s="314">
        <v>0</v>
      </c>
      <c r="M1279" s="267">
        <v>1</v>
      </c>
      <c r="N1279" s="267">
        <v>1</v>
      </c>
      <c r="O1279" s="267">
        <v>1</v>
      </c>
      <c r="P1279" s="267">
        <v>1</v>
      </c>
      <c r="Q1279" s="267">
        <v>1</v>
      </c>
      <c r="R1279" s="267">
        <v>1</v>
      </c>
      <c r="S1279" s="269">
        <v>1</v>
      </c>
      <c r="T1279" s="63"/>
      <c r="U1279" s="10" t="s">
        <v>2642</v>
      </c>
      <c r="V1279" s="90"/>
      <c r="W1279" s="91"/>
      <c r="X1279" s="92"/>
    </row>
    <row r="1280" spans="1:24" s="260" customFormat="1">
      <c r="A1280" s="261" t="s">
        <v>2588</v>
      </c>
      <c r="B1280" s="87">
        <f>B1279+1</f>
        <v>3</v>
      </c>
      <c r="C1280" s="282">
        <v>45911</v>
      </c>
      <c r="D1280" s="368">
        <v>73228</v>
      </c>
      <c r="E1280" s="319" t="s">
        <v>1037</v>
      </c>
      <c r="F1280" s="284">
        <v>4914.8999999999996</v>
      </c>
      <c r="G1280" s="284">
        <f>39.7</f>
        <v>39.700000000000003</v>
      </c>
      <c r="H1280" s="284"/>
      <c r="I1280" s="285">
        <f>F1280-G1280-H1280</f>
        <v>4875.2</v>
      </c>
      <c r="J1280" s="286" t="s">
        <v>156</v>
      </c>
      <c r="K1280" s="286">
        <v>1</v>
      </c>
      <c r="L1280" s="286">
        <v>1</v>
      </c>
      <c r="M1280" s="286">
        <v>1</v>
      </c>
      <c r="N1280" s="286">
        <v>1</v>
      </c>
      <c r="O1280" s="286">
        <v>1</v>
      </c>
      <c r="P1280" s="286">
        <v>1</v>
      </c>
      <c r="Q1280" s="286">
        <v>1</v>
      </c>
      <c r="R1280" s="286">
        <v>1</v>
      </c>
      <c r="S1280" s="287">
        <v>1</v>
      </c>
      <c r="T1280" s="21"/>
      <c r="U1280" s="94" t="s">
        <v>2589</v>
      </c>
      <c r="V1280" s="90"/>
      <c r="W1280" s="91"/>
      <c r="X1280" s="92"/>
    </row>
    <row r="1281" spans="1:24" s="260" customFormat="1">
      <c r="B1281" s="11"/>
      <c r="C1281" s="270"/>
      <c r="D1281" s="10"/>
      <c r="E1281" s="10"/>
      <c r="F1281" s="97">
        <f>SUM(F1278:F1280)</f>
        <v>15070.9</v>
      </c>
      <c r="G1281" s="97">
        <f>SUM(G1278:G1280)</f>
        <v>1123.0300000000002</v>
      </c>
      <c r="H1281" s="97">
        <f>SUM(H1278:H1280)</f>
        <v>0</v>
      </c>
      <c r="I1281" s="97">
        <f>SUM(I1278:I1280)</f>
        <v>13947.869999999999</v>
      </c>
      <c r="J1281" s="63"/>
      <c r="K1281" s="21"/>
      <c r="L1281" s="21"/>
      <c r="M1281" s="21"/>
      <c r="N1281" s="21"/>
      <c r="O1281" s="21"/>
      <c r="P1281" s="21"/>
      <c r="Q1281" s="21"/>
      <c r="R1281" s="21"/>
      <c r="S1281" s="21"/>
      <c r="T1281" s="63"/>
      <c r="U1281" s="10"/>
      <c r="V1281" s="90"/>
      <c r="W1281" s="91"/>
      <c r="X1281" s="92"/>
    </row>
    <row r="1282" spans="1:24" s="260" customFormat="1">
      <c r="B1282" s="11"/>
      <c r="C1282" s="270"/>
      <c r="D1282" s="10"/>
      <c r="E1282" s="10"/>
      <c r="F1282" s="88"/>
      <c r="G1282" s="88"/>
      <c r="H1282" s="88"/>
      <c r="I1282" s="99"/>
      <c r="J1282" s="63"/>
      <c r="K1282" s="21"/>
      <c r="L1282" s="21"/>
      <c r="M1282" s="21"/>
      <c r="N1282" s="21"/>
      <c r="O1282" s="21"/>
      <c r="P1282" s="21"/>
      <c r="Q1282" s="21"/>
      <c r="R1282" s="21"/>
      <c r="S1282" s="21"/>
      <c r="T1282" s="63"/>
      <c r="U1282" s="10"/>
      <c r="V1282" s="90"/>
      <c r="W1282" s="91"/>
      <c r="X1282" s="92"/>
    </row>
    <row r="1283" spans="1:24" s="260" customFormat="1">
      <c r="B1283" s="100" t="s">
        <v>202</v>
      </c>
      <c r="C1283" s="270"/>
      <c r="D1283" s="10"/>
      <c r="E1283" s="181"/>
      <c r="F1283" s="88"/>
      <c r="G1283" s="88"/>
      <c r="H1283" s="88"/>
      <c r="I1283" s="99"/>
      <c r="J1283" s="63"/>
      <c r="K1283" s="21"/>
      <c r="L1283" s="21"/>
      <c r="M1283" s="21"/>
      <c r="N1283" s="21"/>
      <c r="O1283" s="21"/>
      <c r="P1283" s="21"/>
      <c r="Q1283" s="21"/>
      <c r="R1283" s="21"/>
      <c r="S1283" s="21"/>
      <c r="T1283" s="63"/>
      <c r="U1283" s="10"/>
      <c r="V1283" s="90"/>
      <c r="W1283" s="91"/>
      <c r="X1283" s="92"/>
    </row>
    <row r="1284" spans="1:24" s="260" customFormat="1">
      <c r="A1284" s="261">
        <v>0.05</v>
      </c>
      <c r="B1284" s="87">
        <v>1</v>
      </c>
      <c r="C1284" s="274">
        <v>45863</v>
      </c>
      <c r="D1284" s="327" t="s">
        <v>2406</v>
      </c>
      <c r="E1284" s="276" t="s">
        <v>2398</v>
      </c>
      <c r="F1284" s="277">
        <v>14218</v>
      </c>
      <c r="G1284" s="277">
        <f>39.7+487.5+(78.82+18.7+38.9+17.61+45.74)+(21.28)+1000</f>
        <v>1748.25</v>
      </c>
      <c r="H1284" s="277"/>
      <c r="I1284" s="278">
        <f>F1284-G1284-H1284</f>
        <v>12469.75</v>
      </c>
      <c r="J1284" s="279" t="s">
        <v>156</v>
      </c>
      <c r="K1284" s="279">
        <v>1</v>
      </c>
      <c r="L1284" s="279"/>
      <c r="M1284" s="279">
        <v>1</v>
      </c>
      <c r="N1284" s="279">
        <v>1</v>
      </c>
      <c r="O1284" s="279">
        <v>1</v>
      </c>
      <c r="P1284" s="279">
        <v>1</v>
      </c>
      <c r="Q1284" s="279"/>
      <c r="R1284" s="279"/>
      <c r="S1284" s="280"/>
      <c r="T1284" s="63"/>
      <c r="U1284" s="94" t="s">
        <v>2407</v>
      </c>
      <c r="V1284" s="90"/>
      <c r="W1284" s="136"/>
      <c r="X1284" s="137"/>
    </row>
    <row r="1285" spans="1:24" s="260" customFormat="1">
      <c r="A1285" s="494">
        <v>0.1</v>
      </c>
      <c r="B1285" s="87">
        <f>B1284+1</f>
        <v>2</v>
      </c>
      <c r="C1285" s="262">
        <v>45925</v>
      </c>
      <c r="D1285" s="263">
        <v>73655</v>
      </c>
      <c r="E1285" s="264" t="s">
        <v>1401</v>
      </c>
      <c r="F1285" s="265">
        <v>7118.1</v>
      </c>
      <c r="G1285" s="265">
        <f>39.7+500</f>
        <v>539.70000000000005</v>
      </c>
      <c r="H1285" s="265"/>
      <c r="I1285" s="266">
        <f t="shared" ref="I1285" si="240">F1285-G1285-H1285</f>
        <v>6578.4000000000005</v>
      </c>
      <c r="J1285" s="267"/>
      <c r="K1285" s="267">
        <v>1</v>
      </c>
      <c r="L1285" s="267"/>
      <c r="M1285" s="267"/>
      <c r="N1285" s="267">
        <v>1</v>
      </c>
      <c r="O1285" s="267">
        <v>1</v>
      </c>
      <c r="P1285" s="314">
        <v>0</v>
      </c>
      <c r="Q1285" s="267"/>
      <c r="R1285" s="267"/>
      <c r="S1285" s="269"/>
      <c r="T1285" s="63"/>
      <c r="U1285" s="94" t="s">
        <v>2618</v>
      </c>
      <c r="V1285" s="90"/>
      <c r="W1285" s="136"/>
      <c r="X1285" s="137"/>
    </row>
    <row r="1286" spans="1:24" s="260" customFormat="1">
      <c r="A1286" s="260" t="s">
        <v>2347</v>
      </c>
      <c r="B1286" s="11"/>
      <c r="C1286" s="270"/>
      <c r="D1286" s="10"/>
      <c r="E1286" s="10"/>
      <c r="F1286" s="97">
        <f>SUM(F1284:F1284)</f>
        <v>14218</v>
      </c>
      <c r="G1286" s="97">
        <f>SUM(G1284:G1284)</f>
        <v>1748.25</v>
      </c>
      <c r="H1286" s="97">
        <f>SUM(H1284:H1284)</f>
        <v>0</v>
      </c>
      <c r="I1286" s="97">
        <f>SUM(I1284:I1284)</f>
        <v>12469.75</v>
      </c>
      <c r="J1286" s="63"/>
      <c r="K1286" s="21"/>
      <c r="L1286" s="21"/>
      <c r="M1286" s="21"/>
      <c r="N1286" s="21"/>
      <c r="O1286" s="21"/>
      <c r="P1286" s="21"/>
      <c r="Q1286" s="21"/>
      <c r="R1286" s="21"/>
      <c r="S1286" s="21"/>
      <c r="T1286" s="63"/>
      <c r="V1286" s="90"/>
      <c r="W1286" s="91"/>
      <c r="X1286" s="92"/>
    </row>
    <row r="1287" spans="1:24" s="260" customFormat="1">
      <c r="B1287" s="11"/>
      <c r="C1287" s="270"/>
      <c r="D1287" s="10"/>
      <c r="E1287" s="10"/>
      <c r="F1287" s="88"/>
      <c r="G1287" s="88"/>
      <c r="H1287" s="88"/>
      <c r="I1287" s="88"/>
      <c r="J1287" s="63"/>
      <c r="K1287" s="21"/>
      <c r="L1287" s="21"/>
      <c r="M1287" s="21"/>
      <c r="N1287" s="21"/>
      <c r="O1287" s="21"/>
      <c r="P1287" s="21"/>
      <c r="Q1287" s="21"/>
      <c r="R1287" s="21"/>
      <c r="S1287" s="21"/>
      <c r="T1287" s="63"/>
      <c r="U1287" s="10"/>
      <c r="V1287" s="90"/>
      <c r="W1287" s="91"/>
      <c r="X1287" s="92"/>
    </row>
    <row r="1288" spans="1:24">
      <c r="B1288" s="100" t="s">
        <v>72</v>
      </c>
      <c r="C1288" s="609"/>
      <c r="D1288" s="10"/>
      <c r="E1288" s="10"/>
      <c r="F1288" s="88"/>
      <c r="G1288" s="88"/>
      <c r="H1288" s="88"/>
      <c r="I1288" s="99"/>
      <c r="J1288" s="63"/>
      <c r="K1288" s="63"/>
      <c r="L1288" s="63"/>
      <c r="M1288" s="63"/>
      <c r="N1288" s="63"/>
      <c r="O1288" s="63"/>
      <c r="P1288" s="63"/>
      <c r="Q1288" s="63"/>
      <c r="R1288" s="63"/>
      <c r="S1288" s="63"/>
      <c r="T1288" s="63"/>
      <c r="U1288" s="94"/>
      <c r="V1288" s="90"/>
      <c r="W1288" s="91"/>
      <c r="X1288" s="92"/>
    </row>
    <row r="1289" spans="1:24">
      <c r="B1289" s="87">
        <v>1</v>
      </c>
      <c r="C1289" s="274">
        <v>45937</v>
      </c>
      <c r="D1289" s="276">
        <v>74125</v>
      </c>
      <c r="E1289" s="276" t="s">
        <v>270</v>
      </c>
      <c r="F1289" s="277">
        <v>6814</v>
      </c>
      <c r="G1289" s="277">
        <v>39.700000000000003</v>
      </c>
      <c r="H1289" s="277"/>
      <c r="I1289" s="278">
        <f>F1289-G1289-H1289</f>
        <v>6774.3</v>
      </c>
      <c r="J1289" s="279" t="s">
        <v>156</v>
      </c>
      <c r="K1289" s="279">
        <v>1</v>
      </c>
      <c r="L1289" s="279"/>
      <c r="M1289" s="279">
        <v>1</v>
      </c>
      <c r="N1289" s="279">
        <v>1</v>
      </c>
      <c r="O1289" s="279"/>
      <c r="P1289" s="279"/>
      <c r="Q1289" s="279"/>
      <c r="R1289" s="279"/>
      <c r="S1289" s="280"/>
      <c r="T1289" s="63"/>
      <c r="U1289" s="164"/>
      <c r="V1289" s="90">
        <v>203.5</v>
      </c>
      <c r="W1289" s="91"/>
      <c r="X1289" s="92"/>
    </row>
    <row r="1290" spans="1:24">
      <c r="B1290" s="87">
        <f>B1289+1</f>
        <v>2</v>
      </c>
      <c r="C1290" s="295">
        <v>45937</v>
      </c>
      <c r="D1290" s="10">
        <v>74095</v>
      </c>
      <c r="E1290" s="10" t="s">
        <v>2372</v>
      </c>
      <c r="F1290" s="62">
        <v>814</v>
      </c>
      <c r="G1290" s="62">
        <v>39.700000000000003</v>
      </c>
      <c r="H1290" s="62"/>
      <c r="I1290" s="89">
        <f t="shared" ref="I1290:I1302" si="241">F1290-G1290-H1290</f>
        <v>774.3</v>
      </c>
      <c r="J1290" s="63" t="s">
        <v>205</v>
      </c>
      <c r="K1290" s="63">
        <v>1</v>
      </c>
      <c r="L1290" s="63"/>
      <c r="M1290" s="63"/>
      <c r="N1290" s="63">
        <v>1</v>
      </c>
      <c r="O1290" s="63"/>
      <c r="P1290" s="63"/>
      <c r="Q1290" s="63">
        <v>1</v>
      </c>
      <c r="R1290" s="63">
        <v>1</v>
      </c>
      <c r="S1290" s="296">
        <v>1</v>
      </c>
      <c r="T1290" s="63"/>
      <c r="U1290" s="94"/>
      <c r="V1290" s="90"/>
      <c r="W1290" s="136"/>
      <c r="X1290" s="137"/>
    </row>
    <row r="1291" spans="1:24">
      <c r="B1291" s="87">
        <f t="shared" ref="B1291:B1302" si="242">B1290+1</f>
        <v>3</v>
      </c>
      <c r="C1291" s="295">
        <v>45937</v>
      </c>
      <c r="D1291" s="10">
        <v>74096</v>
      </c>
      <c r="E1291" s="10" t="s">
        <v>2660</v>
      </c>
      <c r="F1291" s="62">
        <v>2614</v>
      </c>
      <c r="G1291" s="62">
        <v>39.700000000000003</v>
      </c>
      <c r="H1291" s="62"/>
      <c r="I1291" s="89">
        <f t="shared" si="241"/>
        <v>2574.3000000000002</v>
      </c>
      <c r="J1291" s="63" t="s">
        <v>205</v>
      </c>
      <c r="K1291" s="63">
        <v>1</v>
      </c>
      <c r="L1291" s="63"/>
      <c r="M1291" s="63"/>
      <c r="N1291" s="63">
        <v>1</v>
      </c>
      <c r="O1291" s="63"/>
      <c r="P1291" s="63"/>
      <c r="Q1291" s="63">
        <v>1</v>
      </c>
      <c r="R1291" s="63">
        <v>1</v>
      </c>
      <c r="S1291" s="296">
        <v>1</v>
      </c>
      <c r="T1291" s="63"/>
      <c r="U1291" s="94"/>
      <c r="V1291" s="90"/>
      <c r="W1291" s="136"/>
      <c r="X1291" s="137"/>
    </row>
    <row r="1292" spans="1:24">
      <c r="B1292" s="87">
        <f t="shared" si="242"/>
        <v>4</v>
      </c>
      <c r="C1292" s="295">
        <v>45937</v>
      </c>
      <c r="D1292" s="10">
        <v>74164</v>
      </c>
      <c r="E1292" s="10" t="s">
        <v>761</v>
      </c>
      <c r="F1292" s="62">
        <v>681</v>
      </c>
      <c r="G1292" s="62"/>
      <c r="H1292" s="62"/>
      <c r="I1292" s="89">
        <f t="shared" si="241"/>
        <v>681</v>
      </c>
      <c r="J1292" s="63" t="s">
        <v>205</v>
      </c>
      <c r="K1292" s="63">
        <v>1</v>
      </c>
      <c r="L1292" s="63"/>
      <c r="M1292" s="63"/>
      <c r="N1292" s="63">
        <v>1</v>
      </c>
      <c r="O1292" s="63"/>
      <c r="P1292" s="63"/>
      <c r="Q1292" s="63">
        <v>1</v>
      </c>
      <c r="R1292" s="63">
        <v>1</v>
      </c>
      <c r="S1292" s="296">
        <v>1</v>
      </c>
      <c r="T1292" s="63"/>
      <c r="U1292" s="94"/>
      <c r="V1292" s="90"/>
      <c r="W1292" s="136"/>
      <c r="X1292" s="137"/>
    </row>
    <row r="1293" spans="1:24">
      <c r="B1293" s="87">
        <f t="shared" si="242"/>
        <v>5</v>
      </c>
      <c r="C1293" s="274">
        <v>45938</v>
      </c>
      <c r="D1293" s="276">
        <v>74175</v>
      </c>
      <c r="E1293" s="276" t="s">
        <v>2443</v>
      </c>
      <c r="F1293" s="277">
        <v>1681</v>
      </c>
      <c r="G1293" s="277">
        <v>39.700000000000003</v>
      </c>
      <c r="H1293" s="277"/>
      <c r="I1293" s="278">
        <f t="shared" si="241"/>
        <v>1641.3</v>
      </c>
      <c r="J1293" s="279" t="s">
        <v>205</v>
      </c>
      <c r="K1293" s="279">
        <v>1</v>
      </c>
      <c r="L1293" s="279"/>
      <c r="M1293" s="279"/>
      <c r="N1293" s="279">
        <v>1</v>
      </c>
      <c r="O1293" s="279"/>
      <c r="P1293" s="279"/>
      <c r="Q1293" s="279">
        <v>1</v>
      </c>
      <c r="R1293" s="279">
        <v>1</v>
      </c>
      <c r="S1293" s="280">
        <v>1</v>
      </c>
      <c r="T1293" s="63"/>
      <c r="U1293" s="94"/>
      <c r="V1293" s="90"/>
      <c r="W1293" s="136"/>
      <c r="X1293" s="137"/>
    </row>
    <row r="1294" spans="1:24">
      <c r="B1294" s="87">
        <f t="shared" si="242"/>
        <v>6</v>
      </c>
      <c r="C1294" s="295">
        <v>45938</v>
      </c>
      <c r="D1294" s="10">
        <v>74193</v>
      </c>
      <c r="E1294" s="101" t="s">
        <v>2422</v>
      </c>
      <c r="F1294" s="62">
        <v>4429.8</v>
      </c>
      <c r="G1294" s="62">
        <v>39.700000000000003</v>
      </c>
      <c r="H1294" s="62"/>
      <c r="I1294" s="89">
        <f t="shared" si="241"/>
        <v>4390.1000000000004</v>
      </c>
      <c r="J1294" s="63" t="s">
        <v>205</v>
      </c>
      <c r="K1294" s="63">
        <v>1</v>
      </c>
      <c r="L1294" s="63"/>
      <c r="M1294" s="63"/>
      <c r="N1294" s="63">
        <v>1</v>
      </c>
      <c r="O1294" s="63"/>
      <c r="P1294" s="63"/>
      <c r="Q1294" s="63">
        <v>1</v>
      </c>
      <c r="R1294" s="63">
        <v>1</v>
      </c>
      <c r="S1294" s="296">
        <v>1</v>
      </c>
      <c r="T1294" s="63"/>
      <c r="U1294" s="94"/>
      <c r="V1294" s="90"/>
      <c r="W1294" s="136"/>
      <c r="X1294" s="137"/>
    </row>
    <row r="1295" spans="1:24">
      <c r="B1295" s="87">
        <f t="shared" si="242"/>
        <v>7</v>
      </c>
      <c r="C1295" s="295">
        <v>45938</v>
      </c>
      <c r="D1295" s="10">
        <v>74166</v>
      </c>
      <c r="E1295" s="101" t="s">
        <v>1008</v>
      </c>
      <c r="F1295" s="62">
        <v>2281</v>
      </c>
      <c r="G1295" s="62">
        <v>39.700000000000003</v>
      </c>
      <c r="H1295" s="62"/>
      <c r="I1295" s="89">
        <f>F1295-G1295-H1295</f>
        <v>2241.3000000000002</v>
      </c>
      <c r="J1295" s="63" t="s">
        <v>205</v>
      </c>
      <c r="K1295" s="63"/>
      <c r="L1295" s="63"/>
      <c r="M1295" s="63"/>
      <c r="N1295" s="63">
        <v>1</v>
      </c>
      <c r="O1295" s="63"/>
      <c r="P1295" s="63"/>
      <c r="Q1295" s="63">
        <v>1</v>
      </c>
      <c r="R1295" s="63">
        <v>1</v>
      </c>
      <c r="S1295" s="296">
        <v>1</v>
      </c>
      <c r="T1295" s="63"/>
      <c r="U1295" s="94"/>
      <c r="V1295" s="90"/>
      <c r="W1295" s="136"/>
      <c r="X1295" s="137"/>
    </row>
    <row r="1296" spans="1:24">
      <c r="B1296" s="87">
        <f t="shared" si="242"/>
        <v>8</v>
      </c>
      <c r="C1296" s="295">
        <v>45938</v>
      </c>
      <c r="D1296" s="10">
        <v>74207</v>
      </c>
      <c r="E1296" s="101" t="s">
        <v>1008</v>
      </c>
      <c r="F1296" s="62">
        <v>0</v>
      </c>
      <c r="G1296" s="62">
        <v>0</v>
      </c>
      <c r="H1296" s="62"/>
      <c r="I1296" s="89">
        <f t="shared" si="241"/>
        <v>0</v>
      </c>
      <c r="J1296" s="63" t="s">
        <v>205</v>
      </c>
      <c r="K1296" s="63"/>
      <c r="L1296" s="63"/>
      <c r="M1296" s="63"/>
      <c r="N1296" s="63"/>
      <c r="O1296" s="63"/>
      <c r="P1296" s="63"/>
      <c r="Q1296" s="63">
        <v>1</v>
      </c>
      <c r="R1296" s="63">
        <v>1</v>
      </c>
      <c r="S1296" s="296">
        <v>1</v>
      </c>
      <c r="T1296" s="63"/>
      <c r="U1296" s="94"/>
      <c r="V1296" s="90"/>
      <c r="W1296" s="136"/>
      <c r="X1296" s="137"/>
    </row>
    <row r="1297" spans="1:24">
      <c r="B1297" s="87">
        <f t="shared" si="242"/>
        <v>9</v>
      </c>
      <c r="C1297" s="295">
        <v>45938</v>
      </c>
      <c r="D1297" s="10">
        <v>74225</v>
      </c>
      <c r="E1297" s="101" t="s">
        <v>1313</v>
      </c>
      <c r="F1297" s="62">
        <v>6481</v>
      </c>
      <c r="G1297" s="62">
        <f>39.7</f>
        <v>39.700000000000003</v>
      </c>
      <c r="H1297" s="62"/>
      <c r="I1297" s="89">
        <f t="shared" si="241"/>
        <v>6441.3</v>
      </c>
      <c r="J1297" s="63" t="s">
        <v>205</v>
      </c>
      <c r="K1297" s="63">
        <v>1</v>
      </c>
      <c r="L1297" s="63"/>
      <c r="M1297" s="63"/>
      <c r="N1297" s="63">
        <v>1</v>
      </c>
      <c r="O1297" s="63"/>
      <c r="P1297" s="63"/>
      <c r="Q1297" s="63">
        <v>1</v>
      </c>
      <c r="R1297" s="63">
        <v>1</v>
      </c>
      <c r="S1297" s="296">
        <v>1</v>
      </c>
      <c r="T1297" s="63"/>
      <c r="U1297" s="94"/>
      <c r="V1297" s="90"/>
      <c r="W1297" s="136"/>
      <c r="X1297" s="137"/>
    </row>
    <row r="1298" spans="1:24">
      <c r="B1298" s="87">
        <f t="shared" si="242"/>
        <v>10</v>
      </c>
      <c r="C1298" s="274">
        <v>45939</v>
      </c>
      <c r="D1298" s="276">
        <v>74170</v>
      </c>
      <c r="E1298" s="281" t="s">
        <v>2661</v>
      </c>
      <c r="F1298" s="277">
        <v>6814</v>
      </c>
      <c r="G1298" s="277">
        <v>39.700000000000003</v>
      </c>
      <c r="H1298" s="277"/>
      <c r="I1298" s="278">
        <f t="shared" si="241"/>
        <v>6774.3</v>
      </c>
      <c r="J1298" s="279" t="s">
        <v>205</v>
      </c>
      <c r="K1298" s="279">
        <v>1</v>
      </c>
      <c r="L1298" s="279"/>
      <c r="M1298" s="279"/>
      <c r="N1298" s="279">
        <v>1</v>
      </c>
      <c r="O1298" s="279"/>
      <c r="P1298" s="279"/>
      <c r="Q1298" s="279">
        <v>1</v>
      </c>
      <c r="R1298" s="279">
        <v>1</v>
      </c>
      <c r="S1298" s="280">
        <v>1</v>
      </c>
      <c r="T1298" s="63"/>
      <c r="U1298" s="94"/>
      <c r="V1298" s="90"/>
      <c r="W1298" s="136"/>
      <c r="X1298" s="137"/>
    </row>
    <row r="1299" spans="1:24">
      <c r="B1299" s="87">
        <f t="shared" si="242"/>
        <v>11</v>
      </c>
      <c r="C1299" s="274">
        <v>45940</v>
      </c>
      <c r="D1299" s="276">
        <v>74281</v>
      </c>
      <c r="E1299" s="281" t="s">
        <v>2372</v>
      </c>
      <c r="F1299" s="277">
        <v>1281</v>
      </c>
      <c r="G1299" s="277">
        <v>39.700000000000003</v>
      </c>
      <c r="H1299" s="277"/>
      <c r="I1299" s="278">
        <f t="shared" si="241"/>
        <v>1241.3</v>
      </c>
      <c r="J1299" s="279" t="s">
        <v>205</v>
      </c>
      <c r="K1299" s="279">
        <v>1</v>
      </c>
      <c r="L1299" s="279"/>
      <c r="M1299" s="279"/>
      <c r="N1299" s="279">
        <v>1</v>
      </c>
      <c r="O1299" s="279"/>
      <c r="P1299" s="279"/>
      <c r="Q1299" s="279">
        <v>1</v>
      </c>
      <c r="R1299" s="279">
        <v>1</v>
      </c>
      <c r="S1299" s="280">
        <v>1</v>
      </c>
      <c r="T1299" s="21">
        <v>1</v>
      </c>
      <c r="U1299" s="94"/>
      <c r="V1299" s="90"/>
      <c r="W1299" s="136"/>
      <c r="X1299" s="137"/>
    </row>
    <row r="1300" spans="1:24">
      <c r="B1300" s="87">
        <f t="shared" si="242"/>
        <v>12</v>
      </c>
      <c r="C1300" s="295">
        <v>45940</v>
      </c>
      <c r="D1300" s="10">
        <v>74298</v>
      </c>
      <c r="E1300" s="101" t="s">
        <v>1668</v>
      </c>
      <c r="F1300" s="62">
        <v>681</v>
      </c>
      <c r="G1300" s="62"/>
      <c r="H1300" s="62"/>
      <c r="I1300" s="89">
        <f t="shared" si="241"/>
        <v>681</v>
      </c>
      <c r="J1300" s="63" t="s">
        <v>205</v>
      </c>
      <c r="K1300" s="63">
        <v>1</v>
      </c>
      <c r="L1300" s="63"/>
      <c r="M1300" s="63"/>
      <c r="N1300" s="63">
        <v>1</v>
      </c>
      <c r="O1300" s="63"/>
      <c r="P1300" s="63"/>
      <c r="Q1300" s="63">
        <v>1</v>
      </c>
      <c r="R1300" s="63">
        <v>1</v>
      </c>
      <c r="S1300" s="296">
        <v>1</v>
      </c>
      <c r="T1300" s="21">
        <v>1</v>
      </c>
      <c r="U1300" s="94"/>
      <c r="V1300" s="90"/>
      <c r="W1300" s="136"/>
      <c r="X1300" s="137"/>
    </row>
    <row r="1301" spans="1:24">
      <c r="B1301" s="87">
        <f t="shared" si="242"/>
        <v>13</v>
      </c>
      <c r="C1301" s="295">
        <v>45940</v>
      </c>
      <c r="D1301" s="10" t="s">
        <v>2662</v>
      </c>
      <c r="E1301" s="10" t="s">
        <v>1155</v>
      </c>
      <c r="F1301" s="62">
        <v>8614</v>
      </c>
      <c r="G1301" s="62">
        <v>39.700000000000003</v>
      </c>
      <c r="H1301" s="62"/>
      <c r="I1301" s="89">
        <f t="shared" si="241"/>
        <v>8574.2999999999993</v>
      </c>
      <c r="J1301" s="63" t="s">
        <v>205</v>
      </c>
      <c r="K1301" s="63">
        <v>1</v>
      </c>
      <c r="L1301" s="63"/>
      <c r="M1301" s="63"/>
      <c r="N1301" s="63">
        <v>1</v>
      </c>
      <c r="O1301" s="63"/>
      <c r="P1301" s="63"/>
      <c r="Q1301" s="63"/>
      <c r="R1301" s="63"/>
      <c r="S1301" s="296"/>
      <c r="T1301" s="63"/>
      <c r="U1301" s="94"/>
      <c r="V1301" s="90"/>
      <c r="W1301" s="136"/>
      <c r="X1301" s="137"/>
    </row>
    <row r="1302" spans="1:24">
      <c r="B1302" s="87">
        <f t="shared" si="242"/>
        <v>14</v>
      </c>
      <c r="C1302" s="295">
        <v>45940</v>
      </c>
      <c r="D1302" s="10">
        <v>74312</v>
      </c>
      <c r="E1302" s="10" t="s">
        <v>162</v>
      </c>
      <c r="F1302" s="62">
        <v>0</v>
      </c>
      <c r="G1302" s="62">
        <v>0</v>
      </c>
      <c r="H1302" s="62"/>
      <c r="I1302" s="89">
        <f t="shared" si="241"/>
        <v>0</v>
      </c>
      <c r="J1302" s="63" t="s">
        <v>205</v>
      </c>
      <c r="K1302" s="63">
        <v>1</v>
      </c>
      <c r="L1302" s="63"/>
      <c r="M1302" s="63"/>
      <c r="N1302" s="63"/>
      <c r="O1302" s="63"/>
      <c r="P1302" s="63"/>
      <c r="Q1302" s="63">
        <v>1</v>
      </c>
      <c r="R1302" s="63">
        <v>1</v>
      </c>
      <c r="S1302" s="296">
        <v>1</v>
      </c>
      <c r="T1302" s="63"/>
      <c r="U1302" s="94"/>
      <c r="V1302" s="90"/>
      <c r="W1302" s="136"/>
      <c r="X1302" s="137"/>
    </row>
    <row r="1303" spans="1:24">
      <c r="B1303" s="87">
        <f>B1302+1</f>
        <v>15</v>
      </c>
      <c r="C1303" s="282">
        <v>45940</v>
      </c>
      <c r="D1303" s="283">
        <v>74318</v>
      </c>
      <c r="E1303" s="283" t="s">
        <v>1666</v>
      </c>
      <c r="F1303" s="284">
        <v>11814</v>
      </c>
      <c r="G1303" s="284">
        <f>39.7+1000</f>
        <v>1039.7</v>
      </c>
      <c r="H1303" s="284"/>
      <c r="I1303" s="285">
        <f t="shared" ref="I1303" si="243">F1303-G1303-H1303</f>
        <v>10774.3</v>
      </c>
      <c r="J1303" s="286"/>
      <c r="K1303" s="286">
        <v>1</v>
      </c>
      <c r="L1303" s="286"/>
      <c r="M1303" s="286"/>
      <c r="N1303" s="286">
        <v>1</v>
      </c>
      <c r="O1303" s="286">
        <v>1</v>
      </c>
      <c r="P1303" s="286">
        <v>1</v>
      </c>
      <c r="Q1303" s="286"/>
      <c r="R1303" s="286"/>
      <c r="S1303" s="287"/>
      <c r="T1303" s="63"/>
      <c r="U1303" s="94"/>
      <c r="V1303" s="90"/>
      <c r="W1303" s="136"/>
      <c r="X1303" s="137"/>
    </row>
    <row r="1304" spans="1:24">
      <c r="B1304" s="11"/>
      <c r="C1304" s="36"/>
      <c r="D1304" s="10"/>
      <c r="E1304" s="10"/>
      <c r="F1304" s="98">
        <f t="shared" ref="F1304:H1304" si="244">SUM(F1289:F1303)</f>
        <v>54999.8</v>
      </c>
      <c r="G1304" s="98">
        <f t="shared" si="244"/>
        <v>1436.7</v>
      </c>
      <c r="H1304" s="98">
        <f t="shared" si="244"/>
        <v>0</v>
      </c>
      <c r="I1304" s="98">
        <f>SUM(I1289:I1303)</f>
        <v>53563.100000000006</v>
      </c>
      <c r="J1304" s="10"/>
      <c r="K1304" s="10"/>
      <c r="L1304" s="10"/>
      <c r="M1304" s="10"/>
      <c r="N1304" s="10"/>
      <c r="O1304" s="10"/>
      <c r="P1304" s="10"/>
      <c r="Q1304" s="10"/>
      <c r="R1304" s="10"/>
      <c r="S1304" s="10"/>
      <c r="T1304" s="63"/>
      <c r="U1304" s="94"/>
      <c r="V1304" s="90"/>
      <c r="W1304" s="91"/>
      <c r="X1304" s="92"/>
    </row>
    <row r="1305" spans="1:24">
      <c r="B1305" s="26"/>
      <c r="C1305" s="612"/>
      <c r="D1305" s="141"/>
      <c r="E1305" s="141"/>
      <c r="F1305" s="141"/>
      <c r="G1305" s="141"/>
      <c r="H1305" s="141"/>
      <c r="I1305" s="141"/>
      <c r="J1305" s="141"/>
      <c r="K1305" s="142"/>
      <c r="L1305" s="142"/>
      <c r="M1305" s="142"/>
      <c r="N1305" s="142"/>
      <c r="O1305" s="142"/>
      <c r="P1305" s="142"/>
      <c r="Q1305" s="142"/>
      <c r="R1305" s="142"/>
      <c r="S1305" s="142"/>
      <c r="T1305" s="143">
        <f>SUM(T1249:T1304)</f>
        <v>3</v>
      </c>
      <c r="U1305" s="168"/>
      <c r="V1305" s="144">
        <f>SUM(V1249:V1304)</f>
        <v>58775.13</v>
      </c>
      <c r="W1305" s="145">
        <f>SUM(W1249:W1304)</f>
        <v>0</v>
      </c>
      <c r="X1305" s="146">
        <f>SUM(X1249:X1304)</f>
        <v>0</v>
      </c>
    </row>
    <row r="1306" spans="1:24">
      <c r="B1306" s="2"/>
      <c r="C1306" s="2"/>
      <c r="D1306" s="2"/>
      <c r="E1306" s="2"/>
      <c r="F1306" s="2"/>
      <c r="G1306" s="2"/>
      <c r="H1306" s="2"/>
      <c r="I1306" s="2"/>
      <c r="J1306" s="2"/>
      <c r="K1306" s="2"/>
      <c r="L1306" s="2"/>
      <c r="M1306" s="2"/>
      <c r="N1306" s="2"/>
      <c r="O1306" s="2"/>
      <c r="P1306" s="2"/>
      <c r="Q1306" s="2"/>
      <c r="R1306" s="2"/>
      <c r="S1306" s="2"/>
      <c r="T1306" s="2"/>
      <c r="U1306" s="2"/>
      <c r="V1306" s="2"/>
      <c r="W1306" s="2"/>
      <c r="X1306" s="2"/>
    </row>
    <row r="1308" spans="1:24">
      <c r="A1308" s="616" t="s">
        <v>74</v>
      </c>
      <c r="B1308" s="4" t="s">
        <v>1</v>
      </c>
      <c r="C1308" s="5"/>
      <c r="D1308" s="83"/>
      <c r="E1308" s="6"/>
      <c r="F1308" s="7" t="s">
        <v>2</v>
      </c>
      <c r="G1308" s="608">
        <v>45949</v>
      </c>
      <c r="H1308" s="7"/>
      <c r="I1308" s="6"/>
      <c r="J1308" s="6"/>
      <c r="K1308" s="6"/>
      <c r="L1308" s="6"/>
      <c r="M1308" s="6"/>
      <c r="N1308" s="6"/>
      <c r="O1308" s="6"/>
      <c r="P1308" s="6"/>
      <c r="Q1308" s="6"/>
      <c r="R1308" s="6"/>
      <c r="S1308" s="6"/>
      <c r="T1308" s="6"/>
      <c r="U1308" s="149"/>
      <c r="V1308" s="77"/>
      <c r="W1308" s="77"/>
      <c r="X1308" s="77"/>
    </row>
    <row r="1309" spans="1:24">
      <c r="A1309" s="617" t="s">
        <v>75</v>
      </c>
      <c r="B1309" s="11"/>
      <c r="C1309" s="10"/>
      <c r="D1309" s="63"/>
      <c r="E1309" s="10"/>
      <c r="F1309" s="10"/>
      <c r="G1309" s="7"/>
      <c r="H1309" s="12"/>
      <c r="I1309" s="10"/>
      <c r="J1309" s="10"/>
      <c r="K1309" s="13" t="s">
        <v>3</v>
      </c>
      <c r="L1309" s="14"/>
      <c r="M1309" s="15"/>
      <c r="N1309" s="13" t="s">
        <v>4</v>
      </c>
      <c r="O1309" s="14"/>
      <c r="P1309" s="15"/>
      <c r="Q1309" s="13" t="s">
        <v>5</v>
      </c>
      <c r="R1309" s="14"/>
      <c r="S1309" s="15"/>
      <c r="T1309" s="16"/>
      <c r="U1309" s="151"/>
      <c r="V1309" s="77"/>
      <c r="W1309" s="77"/>
      <c r="X1309" s="77"/>
    </row>
    <row r="1310" spans="1:24">
      <c r="A1310" s="616" t="s">
        <v>76</v>
      </c>
      <c r="B1310" s="18" t="s">
        <v>6</v>
      </c>
      <c r="C1310" s="19">
        <f>C1311+C1312</f>
        <v>32</v>
      </c>
      <c r="D1310" s="63"/>
      <c r="E1310" s="18" t="s">
        <v>7</v>
      </c>
      <c r="F1310" s="6"/>
      <c r="G1310" s="9"/>
      <c r="H1310" s="10"/>
      <c r="I1310" s="10"/>
      <c r="J1310" s="10"/>
      <c r="K1310" s="20" t="s">
        <v>8</v>
      </c>
      <c r="L1310" s="21" t="s">
        <v>9</v>
      </c>
      <c r="M1310" s="21" t="s">
        <v>10</v>
      </c>
      <c r="N1310" s="20" t="s">
        <v>11</v>
      </c>
      <c r="O1310" s="21" t="s">
        <v>12</v>
      </c>
      <c r="P1310" s="22" t="s">
        <v>13</v>
      </c>
      <c r="Q1310" s="21" t="s">
        <v>11</v>
      </c>
      <c r="R1310" s="21" t="s">
        <v>12</v>
      </c>
      <c r="S1310" s="22" t="s">
        <v>13</v>
      </c>
      <c r="T1310" s="23" t="s">
        <v>14</v>
      </c>
      <c r="U1310" s="151"/>
      <c r="V1310" s="77"/>
      <c r="W1310" s="77"/>
      <c r="X1310" s="77"/>
    </row>
    <row r="1311" spans="1:24">
      <c r="A1311" s="652" t="s">
        <v>77</v>
      </c>
      <c r="B1311" s="24" t="s">
        <v>15</v>
      </c>
      <c r="C1311" s="25">
        <f>P1318</f>
        <v>19</v>
      </c>
      <c r="D1311" s="63"/>
      <c r="E1311" s="11" t="s">
        <v>16</v>
      </c>
      <c r="F1311" s="10" t="s">
        <v>78</v>
      </c>
      <c r="G1311" s="153">
        <v>0.05</v>
      </c>
      <c r="H1311" s="10"/>
      <c r="I1311" s="10"/>
      <c r="J1311" s="18" t="s">
        <v>17</v>
      </c>
      <c r="K1311" s="29">
        <f>K1357</f>
        <v>20</v>
      </c>
      <c r="L1311" s="29">
        <f>L1357</f>
        <v>18</v>
      </c>
      <c r="M1311" s="29">
        <f>M1357</f>
        <v>19</v>
      </c>
      <c r="N1311" s="29">
        <f>N1357</f>
        <v>20</v>
      </c>
      <c r="O1311" s="29">
        <f>O1357</f>
        <v>18</v>
      </c>
      <c r="P1311" s="29">
        <f>P1357</f>
        <v>17</v>
      </c>
      <c r="Q1311" s="29">
        <f>Q1357</f>
        <v>20</v>
      </c>
      <c r="R1311" s="29">
        <f>R1357</f>
        <v>18</v>
      </c>
      <c r="S1311" s="29">
        <f>S1357</f>
        <v>17</v>
      </c>
      <c r="T1311" s="30">
        <f>T1395</f>
        <v>5</v>
      </c>
      <c r="U1311" s="151"/>
      <c r="V1311" s="77"/>
      <c r="W1311" s="77"/>
      <c r="X1311" s="77"/>
    </row>
    <row r="1312" spans="1:24">
      <c r="A1312" s="652" t="s">
        <v>79</v>
      </c>
      <c r="B1312" s="24" t="s">
        <v>18</v>
      </c>
      <c r="C1312" s="25">
        <f>P1319</f>
        <v>13</v>
      </c>
      <c r="D1312" s="63"/>
      <c r="E1312" s="26" t="s">
        <v>80</v>
      </c>
      <c r="F1312" s="141" t="s">
        <v>81</v>
      </c>
      <c r="G1312" s="154">
        <v>0.1</v>
      </c>
      <c r="H1312" s="10"/>
      <c r="I1312" s="10"/>
      <c r="J1312" s="32" t="s">
        <v>19</v>
      </c>
      <c r="K1312" s="33">
        <f>K1357/K1356</f>
        <v>1</v>
      </c>
      <c r="L1312" s="33">
        <f>L1357/L1356</f>
        <v>0.9</v>
      </c>
      <c r="M1312" s="33">
        <f>M1357/M1356</f>
        <v>0.95</v>
      </c>
      <c r="N1312" s="33">
        <f>N1357/N1356</f>
        <v>1</v>
      </c>
      <c r="O1312" s="33">
        <f>O1357/O1356</f>
        <v>0.9</v>
      </c>
      <c r="P1312" s="33">
        <f>P1357/P1356</f>
        <v>0.85</v>
      </c>
      <c r="Q1312" s="33">
        <f>Q1357/Q1356</f>
        <v>1</v>
      </c>
      <c r="R1312" s="33">
        <f>R1357/R1356</f>
        <v>0.9</v>
      </c>
      <c r="S1312" s="33">
        <f>S1357/S1356</f>
        <v>0.85</v>
      </c>
      <c r="T1312" s="23"/>
      <c r="U1312" s="151" t="s">
        <v>20</v>
      </c>
      <c r="V1312" s="77"/>
      <c r="W1312" s="77"/>
      <c r="X1312" s="77"/>
    </row>
    <row r="1313" spans="1:24">
      <c r="A1313" s="652" t="s">
        <v>82</v>
      </c>
      <c r="B1313" s="24" t="s">
        <v>21</v>
      </c>
      <c r="C1313" s="34">
        <f>P1320</f>
        <v>0.59375</v>
      </c>
      <c r="D1313" s="63"/>
      <c r="E1313" s="10"/>
      <c r="F1313" s="10"/>
      <c r="G1313" s="10"/>
      <c r="H1313" s="10"/>
      <c r="I1313" s="10"/>
      <c r="J1313" s="10"/>
      <c r="K1313" s="10"/>
      <c r="L1313" s="10"/>
      <c r="M1313" s="10"/>
      <c r="N1313" s="10"/>
      <c r="O1313" s="10"/>
      <c r="P1313" s="10"/>
      <c r="Q1313" s="10"/>
      <c r="R1313" s="10"/>
      <c r="S1313" s="10"/>
      <c r="T1313" s="10"/>
      <c r="U1313" s="151"/>
      <c r="V1313" s="77"/>
      <c r="W1313" s="77"/>
      <c r="X1313" s="77"/>
    </row>
    <row r="1314" spans="1:24">
      <c r="A1314" s="652" t="s">
        <v>83</v>
      </c>
      <c r="B1314" s="24"/>
      <c r="C1314" s="25"/>
      <c r="D1314" s="63"/>
      <c r="E1314" s="10"/>
      <c r="F1314" s="18" t="s">
        <v>22</v>
      </c>
      <c r="G1314" s="19" t="s">
        <v>23</v>
      </c>
      <c r="H1314" s="35" t="s">
        <v>24</v>
      </c>
      <c r="I1314" s="10"/>
      <c r="J1314" s="10"/>
      <c r="K1314" s="36"/>
      <c r="L1314" s="36"/>
      <c r="M1314" s="36"/>
      <c r="N1314" s="36"/>
      <c r="O1314" s="36"/>
      <c r="P1314" s="36"/>
      <c r="Q1314" s="36"/>
      <c r="R1314" s="10"/>
      <c r="S1314" s="10"/>
      <c r="T1314" s="10"/>
      <c r="U1314" s="151"/>
      <c r="V1314" s="77"/>
      <c r="W1314" s="77"/>
      <c r="X1314" s="77"/>
    </row>
    <row r="1315" spans="1:24">
      <c r="A1315" s="652" t="s">
        <v>84</v>
      </c>
      <c r="B1315" s="32" t="s">
        <v>25</v>
      </c>
      <c r="C1315" s="37">
        <f>P1321</f>
        <v>2190.5257894736842</v>
      </c>
      <c r="D1315" s="63"/>
      <c r="E1315" s="18" t="s">
        <v>26</v>
      </c>
      <c r="F1315" s="38">
        <f>P1317</f>
        <v>41619.99</v>
      </c>
      <c r="G1315" s="39">
        <f>I1356+I1366-I1338-I1339</f>
        <v>41619.99000000002</v>
      </c>
      <c r="H1315" s="40"/>
      <c r="I1315" s="41"/>
      <c r="J1315" s="42"/>
      <c r="K1315" s="43" t="s">
        <v>27</v>
      </c>
      <c r="L1315" s="44"/>
      <c r="M1315" s="44"/>
      <c r="N1315" s="44"/>
      <c r="O1315" s="44"/>
      <c r="P1315" s="44"/>
      <c r="Q1315" s="45"/>
      <c r="R1315" s="46" t="s">
        <v>28</v>
      </c>
      <c r="S1315" s="47" t="s">
        <v>29</v>
      </c>
      <c r="T1315" s="10"/>
      <c r="U1315" s="151"/>
      <c r="V1315" s="77"/>
      <c r="W1315" s="77"/>
      <c r="X1315" s="77"/>
    </row>
    <row r="1316" spans="1:24">
      <c r="A1316" s="614"/>
      <c r="B1316" s="11"/>
      <c r="C1316" s="10"/>
      <c r="D1316" s="63"/>
      <c r="E1316" s="24" t="s">
        <v>30</v>
      </c>
      <c r="F1316" s="48">
        <f>IF(F1315&gt;=25000,10%,5%)</f>
        <v>0.1</v>
      </c>
      <c r="G1316" s="17"/>
      <c r="H1316" s="40"/>
      <c r="I1316" s="41"/>
      <c r="J1316" s="42"/>
      <c r="K1316" s="20" t="s">
        <v>31</v>
      </c>
      <c r="L1316" s="21" t="s">
        <v>32</v>
      </c>
      <c r="M1316" s="21" t="s">
        <v>33</v>
      </c>
      <c r="N1316" s="21" t="s">
        <v>34</v>
      </c>
      <c r="O1316" s="21" t="s">
        <v>35</v>
      </c>
      <c r="P1316" s="21" t="s">
        <v>36</v>
      </c>
      <c r="Q1316" s="49" t="s">
        <v>2663</v>
      </c>
      <c r="R1316" s="50" t="s">
        <v>38</v>
      </c>
      <c r="S1316" s="50" t="s">
        <v>38</v>
      </c>
      <c r="T1316" s="10"/>
      <c r="U1316" s="151"/>
      <c r="V1316" s="77"/>
      <c r="W1316" s="77"/>
      <c r="X1316" s="77"/>
    </row>
    <row r="1317" spans="1:24">
      <c r="A1317" s="614"/>
      <c r="B1317" s="11"/>
      <c r="C1317" s="10"/>
      <c r="D1317" s="63"/>
      <c r="E1317" s="51" t="s">
        <v>39</v>
      </c>
      <c r="F1317" s="52">
        <f>(F1315-I1341-I1365)*F1316</f>
        <v>3418.4689999999996</v>
      </c>
      <c r="G1317" s="53" t="s">
        <v>40</v>
      </c>
      <c r="H1317" s="54">
        <f>F1317/1.12</f>
        <v>3052.2044642857136</v>
      </c>
      <c r="I1317" s="55"/>
      <c r="J1317" s="42"/>
      <c r="K1317" s="56">
        <f>+I1365+I1336+I1337</f>
        <v>12324.869999999999</v>
      </c>
      <c r="L1317" s="57">
        <f>I1340+I1342+I1341</f>
        <v>8116.3</v>
      </c>
      <c r="M1317" s="57">
        <f>I1343+I1344+I1345</f>
        <v>8045.2099999999991</v>
      </c>
      <c r="N1317" s="57">
        <f>I1346+I1347+I1348+I1349+I1350</f>
        <v>7039.59</v>
      </c>
      <c r="O1317" s="57">
        <f>I1351+I1352+I1353+I1354+I1355</f>
        <v>6094.0199999999995</v>
      </c>
      <c r="P1317" s="57">
        <f>SUM(K1317:O1317)</f>
        <v>41619.99</v>
      </c>
      <c r="Q1317" s="58">
        <f>+I1338+I1339</f>
        <v>4672.3</v>
      </c>
      <c r="R1317" s="59">
        <f>I1366</f>
        <v>1098.3</v>
      </c>
      <c r="S1317" s="59">
        <v>0</v>
      </c>
      <c r="T1317" s="10"/>
      <c r="U1317" s="151"/>
      <c r="V1317" s="77"/>
      <c r="W1317" s="77"/>
      <c r="X1317" s="77"/>
    </row>
    <row r="1318" spans="1:24">
      <c r="A1318" s="614"/>
      <c r="B1318" s="11"/>
      <c r="C1318" s="10"/>
      <c r="D1318" s="63"/>
      <c r="E1318" s="24" t="s">
        <v>41</v>
      </c>
      <c r="F1318" s="60">
        <f>Q1317</f>
        <v>4672.3</v>
      </c>
      <c r="G1318" s="61" t="s">
        <v>40</v>
      </c>
      <c r="H1318" s="62"/>
      <c r="I1318" s="62"/>
      <c r="J1318" s="10" t="s">
        <v>42</v>
      </c>
      <c r="K1318" s="63">
        <v>3</v>
      </c>
      <c r="L1318" s="63">
        <v>3</v>
      </c>
      <c r="M1318" s="63">
        <v>3</v>
      </c>
      <c r="N1318" s="63">
        <v>5</v>
      </c>
      <c r="O1318" s="63">
        <v>5</v>
      </c>
      <c r="P1318" s="21">
        <f>SUM(K1318:O1318)</f>
        <v>19</v>
      </c>
      <c r="Q1318" s="64">
        <v>2</v>
      </c>
      <c r="R1318" s="63"/>
      <c r="S1318" s="10"/>
      <c r="T1318" s="10"/>
      <c r="U1318" s="151"/>
      <c r="V1318" s="77"/>
      <c r="W1318" s="77"/>
      <c r="X1318" s="77"/>
    </row>
    <row r="1319" spans="1:24">
      <c r="A1319" s="614"/>
      <c r="B1319" s="11"/>
      <c r="C1319" s="10"/>
      <c r="D1319" s="63"/>
      <c r="E1319" s="51" t="s">
        <v>43</v>
      </c>
      <c r="F1319" s="52">
        <f>F1318*0.25</f>
        <v>1168.075</v>
      </c>
      <c r="G1319" s="53" t="s">
        <v>40</v>
      </c>
      <c r="H1319" s="54">
        <f>F1319/1.12</f>
        <v>1042.9241071428571</v>
      </c>
      <c r="I1319" s="10"/>
      <c r="J1319" s="10" t="s">
        <v>44</v>
      </c>
      <c r="K1319" s="63">
        <v>2</v>
      </c>
      <c r="L1319" s="63">
        <v>2</v>
      </c>
      <c r="M1319" s="63">
        <v>3</v>
      </c>
      <c r="N1319" s="63">
        <v>4</v>
      </c>
      <c r="O1319" s="63">
        <v>2</v>
      </c>
      <c r="P1319" s="21">
        <f>SUM(K1319:O1319)</f>
        <v>13</v>
      </c>
      <c r="Q1319" s="64">
        <v>0</v>
      </c>
      <c r="R1319" s="63"/>
      <c r="S1319" s="10"/>
      <c r="T1319" s="10"/>
      <c r="U1319" s="151"/>
      <c r="V1319" s="77"/>
      <c r="W1319" s="77"/>
      <c r="X1319" s="77"/>
    </row>
    <row r="1320" spans="1:24">
      <c r="A1320" s="614"/>
      <c r="B1320" s="11"/>
      <c r="C1320" s="10"/>
      <c r="D1320" s="63"/>
      <c r="E1320" s="24" t="s">
        <v>45</v>
      </c>
      <c r="F1320" s="60">
        <f>I1362</f>
        <v>6554.52</v>
      </c>
      <c r="G1320" s="61" t="s">
        <v>40</v>
      </c>
      <c r="H1320" s="62"/>
      <c r="I1320" s="10"/>
      <c r="J1320" s="10" t="s">
        <v>46</v>
      </c>
      <c r="K1320" s="31">
        <f>K1318/(K1318+K1319)</f>
        <v>0.6</v>
      </c>
      <c r="L1320" s="31">
        <f>L1318/(L1318+L1319)</f>
        <v>0.6</v>
      </c>
      <c r="M1320" s="31">
        <f>M1318/(M1318+M1319)</f>
        <v>0.5</v>
      </c>
      <c r="N1320" s="31">
        <f>N1318/(N1318+N1319)</f>
        <v>0.55555555555555558</v>
      </c>
      <c r="O1320" s="31">
        <f>O1318/(O1318+O1319)</f>
        <v>0.7142857142857143</v>
      </c>
      <c r="P1320" s="31">
        <f>P1318/(P1318+P1319)</f>
        <v>0.59375</v>
      </c>
      <c r="Q1320" s="31">
        <f>Q1318/(Q1318+Q1319)</f>
        <v>1</v>
      </c>
      <c r="R1320" s="63"/>
      <c r="S1320" s="10"/>
      <c r="T1320" s="10"/>
      <c r="U1320" s="151"/>
      <c r="V1320" s="77"/>
      <c r="W1320" s="77"/>
      <c r="X1320" s="77"/>
    </row>
    <row r="1321" spans="1:24">
      <c r="A1321" s="614"/>
      <c r="B1321" s="11"/>
      <c r="C1321" s="10"/>
      <c r="D1321" s="63"/>
      <c r="E1321" s="51" t="s">
        <v>47</v>
      </c>
      <c r="F1321" s="52">
        <f>(F1320+F1325+F1326)*0.1</f>
        <v>604.16600000000005</v>
      </c>
      <c r="G1321" s="65" t="s">
        <v>40</v>
      </c>
      <c r="H1321" s="54">
        <f>F1321/1.12</f>
        <v>539.43392857142862</v>
      </c>
      <c r="I1321" s="42"/>
      <c r="J1321" s="10" t="s">
        <v>48</v>
      </c>
      <c r="K1321" s="66">
        <f>K1317/K1318</f>
        <v>4108.29</v>
      </c>
      <c r="L1321" s="66">
        <f>L1317/L1318</f>
        <v>2705.4333333333334</v>
      </c>
      <c r="M1321" s="66">
        <f>M1317/M1318</f>
        <v>2681.7366666666662</v>
      </c>
      <c r="N1321" s="66">
        <f>N1317/N1318</f>
        <v>1407.9180000000001</v>
      </c>
      <c r="O1321" s="66">
        <f>O1317/O1318</f>
        <v>1218.8039999999999</v>
      </c>
      <c r="P1321" s="66">
        <f>P1317/P1318</f>
        <v>2190.5257894736842</v>
      </c>
      <c r="Q1321" s="66">
        <f>Q1317/Q1318</f>
        <v>2336.15</v>
      </c>
      <c r="R1321" s="63"/>
      <c r="S1321" s="10"/>
      <c r="T1321" s="10"/>
      <c r="U1321" s="151"/>
      <c r="V1321" s="77"/>
      <c r="W1321" s="77"/>
      <c r="X1321" s="77"/>
    </row>
    <row r="1322" spans="1:24">
      <c r="A1322" s="615"/>
      <c r="B1322" s="132"/>
      <c r="C1322" s="123"/>
      <c r="D1322" s="127"/>
      <c r="E1322" s="155" t="s">
        <v>14</v>
      </c>
      <c r="F1322" s="156">
        <f>5*50+(1*50/2)</f>
        <v>275</v>
      </c>
      <c r="G1322" s="123"/>
      <c r="H1322" s="54">
        <f>F1322/1.12</f>
        <v>245.53571428571425</v>
      </c>
      <c r="I1322" s="123"/>
      <c r="J1322" s="123"/>
      <c r="K1322" s="123"/>
      <c r="L1322" s="123"/>
      <c r="M1322" s="123"/>
      <c r="N1322" s="123"/>
      <c r="O1322" s="123"/>
      <c r="P1322" s="123"/>
      <c r="Q1322" s="123"/>
      <c r="R1322" s="123"/>
      <c r="S1322" s="123"/>
      <c r="T1322" s="123"/>
      <c r="U1322" s="157"/>
      <c r="V1322" s="123"/>
      <c r="W1322" s="123"/>
      <c r="X1322" s="123"/>
    </row>
    <row r="1323" spans="1:24">
      <c r="A1323" s="615"/>
      <c r="B1323" s="132"/>
      <c r="C1323" s="123"/>
      <c r="D1323" s="127"/>
      <c r="E1323" s="158" t="s">
        <v>49</v>
      </c>
      <c r="F1323" s="159">
        <f>T1312</f>
        <v>0</v>
      </c>
      <c r="G1323" s="123"/>
      <c r="H1323" s="54"/>
      <c r="I1323" s="123"/>
      <c r="J1323" s="42"/>
      <c r="K1323" s="764" t="s">
        <v>50</v>
      </c>
      <c r="L1323" s="765"/>
      <c r="M1323" s="765"/>
      <c r="N1323" s="765"/>
      <c r="O1323" s="765"/>
      <c r="P1323" s="765"/>
      <c r="Q1323" s="766"/>
      <c r="R1323" s="70" t="s">
        <v>28</v>
      </c>
      <c r="S1323" s="71" t="s">
        <v>29</v>
      </c>
      <c r="T1323" s="123"/>
      <c r="U1323" s="157"/>
      <c r="V1323" s="123"/>
      <c r="W1323" s="123"/>
      <c r="X1323" s="123"/>
    </row>
    <row r="1324" spans="1:24">
      <c r="A1324" s="615"/>
      <c r="B1324" s="132"/>
      <c r="C1324" s="123"/>
      <c r="D1324" s="127"/>
      <c r="E1324" s="67" t="s">
        <v>2664</v>
      </c>
      <c r="F1324" s="68">
        <f>$F$1231</f>
        <v>3488.2659999999992</v>
      </c>
      <c r="G1324" s="123"/>
      <c r="H1324" s="54">
        <f>F1324/1.12</f>
        <v>3114.523214285713</v>
      </c>
      <c r="I1324" s="123"/>
      <c r="J1324" s="42"/>
      <c r="K1324" s="20" t="s">
        <v>31</v>
      </c>
      <c r="L1324" s="21" t="s">
        <v>32</v>
      </c>
      <c r="M1324" s="21" t="s">
        <v>33</v>
      </c>
      <c r="N1324" s="21" t="s">
        <v>34</v>
      </c>
      <c r="O1324" s="21" t="s">
        <v>35</v>
      </c>
      <c r="P1324" s="21" t="s">
        <v>36</v>
      </c>
      <c r="Q1324" s="49" t="s">
        <v>37</v>
      </c>
      <c r="R1324" s="50" t="s">
        <v>38</v>
      </c>
      <c r="S1324" s="50" t="s">
        <v>38</v>
      </c>
      <c r="T1324" s="123"/>
      <c r="U1324" s="157"/>
      <c r="V1324" s="123"/>
      <c r="W1324" s="123"/>
      <c r="X1324" s="123"/>
    </row>
    <row r="1325" spans="1:24">
      <c r="A1325" s="615"/>
      <c r="B1325" s="132"/>
      <c r="C1325" s="123"/>
      <c r="D1325" s="127"/>
      <c r="E1325" s="72" t="s">
        <v>2665</v>
      </c>
      <c r="F1325" s="73">
        <v>-157.55000000000001</v>
      </c>
      <c r="G1325" s="123"/>
      <c r="H1325" s="54"/>
      <c r="I1325" s="123"/>
      <c r="J1325" s="42"/>
      <c r="K1325" s="56">
        <f>+F1365+F1336+F1337</f>
        <v>14633</v>
      </c>
      <c r="L1325" s="57">
        <f>F1340+F1342+F1341</f>
        <v>9135.91</v>
      </c>
      <c r="M1325" s="57">
        <f>F1343+F1344+F1345</f>
        <v>9271</v>
      </c>
      <c r="N1325" s="57">
        <f>F1346+F1347+F1348+F1349+F1350</f>
        <v>7265</v>
      </c>
      <c r="O1325" s="57">
        <f>F1351+F1352+F1353+F1354+F1355</f>
        <v>6355</v>
      </c>
      <c r="P1325" s="57">
        <f>SUM(K1325:O1325)</f>
        <v>46659.91</v>
      </c>
      <c r="Q1325" s="58">
        <f>+F1338+F1339</f>
        <v>6234</v>
      </c>
      <c r="R1325" s="59">
        <f>F1366</f>
        <v>1138</v>
      </c>
      <c r="S1325" s="59">
        <v>0</v>
      </c>
      <c r="T1325" s="123"/>
      <c r="U1325" s="157"/>
      <c r="V1325" s="123"/>
      <c r="W1325" s="123"/>
      <c r="X1325" s="123"/>
    </row>
    <row r="1326" spans="1:24">
      <c r="A1326" s="615"/>
      <c r="B1326" s="132"/>
      <c r="C1326" s="123"/>
      <c r="D1326" s="127"/>
      <c r="E1326" s="74" t="s">
        <v>2666</v>
      </c>
      <c r="F1326" s="75">
        <v>-355.31</v>
      </c>
      <c r="G1326" s="123"/>
      <c r="H1326" s="54"/>
      <c r="I1326" s="123"/>
      <c r="J1326" s="10" t="s">
        <v>42</v>
      </c>
      <c r="K1326" s="63">
        <f>K1318</f>
        <v>3</v>
      </c>
      <c r="L1326" s="63">
        <f>L1318</f>
        <v>3</v>
      </c>
      <c r="M1326" s="63">
        <f>M1318</f>
        <v>3</v>
      </c>
      <c r="N1326" s="63">
        <f>N1318</f>
        <v>5</v>
      </c>
      <c r="O1326" s="63">
        <f>O1318</f>
        <v>5</v>
      </c>
      <c r="P1326" s="63">
        <f>P1318</f>
        <v>19</v>
      </c>
      <c r="Q1326" s="63">
        <f>Q1318</f>
        <v>2</v>
      </c>
      <c r="R1326" s="63"/>
      <c r="S1326" s="10"/>
      <c r="T1326" s="123"/>
      <c r="U1326" s="157"/>
      <c r="V1326" s="123"/>
      <c r="W1326" s="123"/>
      <c r="X1326" s="123"/>
    </row>
    <row r="1327" spans="1:24">
      <c r="A1327" s="615"/>
      <c r="B1327" s="132"/>
      <c r="C1327" s="123"/>
      <c r="D1327" s="127"/>
      <c r="E1327" s="12"/>
      <c r="F1327" s="160"/>
      <c r="G1327" s="123"/>
      <c r="H1327" s="54"/>
      <c r="I1327" s="123"/>
      <c r="J1327" s="10" t="s">
        <v>44</v>
      </c>
      <c r="K1327" s="63">
        <f>K1319</f>
        <v>2</v>
      </c>
      <c r="L1327" s="63">
        <f>L1319</f>
        <v>2</v>
      </c>
      <c r="M1327" s="63">
        <f>M1319</f>
        <v>3</v>
      </c>
      <c r="N1327" s="63">
        <f>N1319</f>
        <v>4</v>
      </c>
      <c r="O1327" s="63">
        <f>O1319</f>
        <v>2</v>
      </c>
      <c r="P1327" s="63">
        <f>P1319</f>
        <v>13</v>
      </c>
      <c r="Q1327" s="63">
        <f>Q1319</f>
        <v>0</v>
      </c>
      <c r="R1327" s="63"/>
      <c r="S1327" s="10"/>
      <c r="T1327" s="123"/>
      <c r="U1327" s="157"/>
      <c r="V1327" s="123"/>
      <c r="W1327" s="123"/>
      <c r="X1327" s="123"/>
    </row>
    <row r="1328" spans="1:24">
      <c r="A1328" s="615"/>
      <c r="B1328" s="132"/>
      <c r="C1328" s="123"/>
      <c r="D1328" s="127"/>
      <c r="E1328" s="12"/>
      <c r="F1328" s="160"/>
      <c r="G1328" s="123"/>
      <c r="H1328" s="54"/>
      <c r="I1328" s="123"/>
      <c r="J1328" s="10" t="s">
        <v>46</v>
      </c>
      <c r="K1328" s="31">
        <f>K1326/(K1326+K1327)</f>
        <v>0.6</v>
      </c>
      <c r="L1328" s="31">
        <f>L1326/(L1326+L1327)</f>
        <v>0.6</v>
      </c>
      <c r="M1328" s="31">
        <f>M1326/(M1326+M1327)</f>
        <v>0.5</v>
      </c>
      <c r="N1328" s="31">
        <f>N1326/(N1326+N1327)</f>
        <v>0.55555555555555558</v>
      </c>
      <c r="O1328" s="31">
        <f>O1326/(O1326+O1327)</f>
        <v>0.7142857142857143</v>
      </c>
      <c r="P1328" s="31">
        <f>P1326/(P1326+P1327)</f>
        <v>0.59375</v>
      </c>
      <c r="Q1328" s="31">
        <f>Q1326/(Q1326+Q1327)</f>
        <v>1</v>
      </c>
      <c r="R1328" s="63"/>
      <c r="S1328" s="10"/>
      <c r="T1328" s="123"/>
      <c r="U1328" s="157"/>
      <c r="V1328" s="123"/>
      <c r="W1328" s="123"/>
      <c r="X1328" s="123"/>
    </row>
    <row r="1329" spans="1:24">
      <c r="A1329" s="615"/>
      <c r="B1329" s="132"/>
      <c r="C1329" s="123"/>
      <c r="D1329" s="127"/>
      <c r="E1329" s="12"/>
      <c r="F1329" s="160"/>
      <c r="G1329" s="123"/>
      <c r="H1329" s="54"/>
      <c r="I1329" s="123"/>
      <c r="J1329" s="10" t="s">
        <v>48</v>
      </c>
      <c r="K1329" s="66">
        <f>K1325/K1326</f>
        <v>4877.666666666667</v>
      </c>
      <c r="L1329" s="66">
        <f>L1325/L1326</f>
        <v>3045.3033333333333</v>
      </c>
      <c r="M1329" s="66">
        <f>M1325/M1326</f>
        <v>3090.3333333333335</v>
      </c>
      <c r="N1329" s="66">
        <f>N1325/N1326</f>
        <v>1453</v>
      </c>
      <c r="O1329" s="66">
        <f>O1325/O1326</f>
        <v>1271</v>
      </c>
      <c r="P1329" s="66">
        <f>P1325/P1326</f>
        <v>2455.7847368421053</v>
      </c>
      <c r="Q1329" s="66">
        <f>Q1325/Q1326</f>
        <v>3117</v>
      </c>
      <c r="R1329" s="63"/>
      <c r="S1329" s="10"/>
      <c r="T1329" s="123"/>
      <c r="U1329" s="157"/>
      <c r="V1329" s="123"/>
      <c r="W1329" s="123"/>
      <c r="X1329" s="123"/>
    </row>
    <row r="1330" spans="1:24">
      <c r="A1330" s="615"/>
      <c r="B1330" s="132"/>
      <c r="C1330" s="123"/>
      <c r="D1330" s="127"/>
      <c r="E1330" s="12"/>
      <c r="F1330" s="160"/>
      <c r="G1330" s="123"/>
      <c r="H1330" s="54"/>
      <c r="I1330" s="123"/>
      <c r="J1330" s="123"/>
      <c r="K1330" s="123"/>
      <c r="L1330" s="123"/>
      <c r="M1330" s="123"/>
      <c r="N1330" s="123"/>
      <c r="O1330" s="123"/>
      <c r="P1330" s="123"/>
      <c r="Q1330" s="123"/>
      <c r="R1330" s="123"/>
      <c r="S1330" s="123"/>
      <c r="T1330" s="123"/>
      <c r="U1330" s="157"/>
      <c r="V1330" s="123"/>
      <c r="W1330" s="123"/>
      <c r="X1330" s="123"/>
    </row>
    <row r="1331" spans="1:24">
      <c r="A1331" s="614"/>
      <c r="B1331" s="11"/>
      <c r="C1331" s="10"/>
      <c r="D1331" s="63"/>
      <c r="E1331" s="12"/>
      <c r="F1331" s="12"/>
      <c r="G1331" s="10"/>
      <c r="H1331" s="10"/>
      <c r="I1331" s="10"/>
      <c r="J1331" s="10"/>
      <c r="K1331" s="10"/>
      <c r="L1331" s="10"/>
      <c r="M1331" s="10"/>
      <c r="N1331" s="10"/>
      <c r="O1331" s="10"/>
      <c r="P1331" s="10"/>
      <c r="Q1331" s="10"/>
      <c r="R1331" s="10"/>
      <c r="S1331" s="10"/>
      <c r="T1331" s="10"/>
      <c r="U1331" s="151"/>
      <c r="V1331" s="77"/>
      <c r="W1331" s="77"/>
      <c r="X1331" s="77"/>
    </row>
    <row r="1332" spans="1:24">
      <c r="A1332" s="614"/>
      <c r="B1332" s="11"/>
      <c r="C1332" s="10"/>
      <c r="D1332" s="63"/>
      <c r="E1332" s="10"/>
      <c r="F1332" s="10"/>
      <c r="G1332" s="10"/>
      <c r="H1332" s="10"/>
      <c r="I1332" s="10"/>
      <c r="J1332" s="10"/>
      <c r="K1332" s="10"/>
      <c r="L1332" s="10"/>
      <c r="M1332" s="10"/>
      <c r="N1332" s="10"/>
      <c r="O1332" s="10"/>
      <c r="P1332" s="10"/>
      <c r="Q1332" s="10"/>
      <c r="R1332" s="10"/>
      <c r="S1332" s="10"/>
      <c r="T1332" s="10"/>
      <c r="U1332" s="151"/>
      <c r="V1332" s="77"/>
      <c r="W1332" s="77"/>
      <c r="X1332" s="77"/>
    </row>
    <row r="1333" spans="1:24">
      <c r="A1333" s="614"/>
      <c r="B1333" s="18" t="s">
        <v>51</v>
      </c>
      <c r="C1333" s="14"/>
      <c r="D1333" s="14"/>
      <c r="E1333" s="14"/>
      <c r="F1333" s="13" t="s">
        <v>52</v>
      </c>
      <c r="G1333" s="14"/>
      <c r="H1333" s="14"/>
      <c r="I1333" s="14"/>
      <c r="J1333" s="14"/>
      <c r="K1333" s="13" t="s">
        <v>3</v>
      </c>
      <c r="L1333" s="14"/>
      <c r="M1333" s="14"/>
      <c r="N1333" s="13" t="s">
        <v>4</v>
      </c>
      <c r="O1333" s="14"/>
      <c r="P1333" s="14"/>
      <c r="Q1333" s="13" t="s">
        <v>5</v>
      </c>
      <c r="R1333" s="14"/>
      <c r="S1333" s="14"/>
      <c r="T1333" s="18"/>
      <c r="U1333" s="161" t="s">
        <v>53</v>
      </c>
      <c r="V1333" s="77"/>
      <c r="W1333" s="77"/>
      <c r="X1333" s="77"/>
    </row>
    <row r="1334" spans="1:24">
      <c r="A1334" s="614"/>
      <c r="B1334" s="24" t="s">
        <v>54</v>
      </c>
      <c r="C1334" s="21" t="s">
        <v>55</v>
      </c>
      <c r="D1334" s="21" t="s">
        <v>56</v>
      </c>
      <c r="E1334" s="21" t="s">
        <v>57</v>
      </c>
      <c r="F1334" s="20" t="s">
        <v>58</v>
      </c>
      <c r="G1334" s="21" t="s">
        <v>59</v>
      </c>
      <c r="H1334" s="21" t="s">
        <v>60</v>
      </c>
      <c r="I1334" s="21" t="s">
        <v>26</v>
      </c>
      <c r="J1334" s="22" t="s">
        <v>61</v>
      </c>
      <c r="K1334" s="21" t="s">
        <v>8</v>
      </c>
      <c r="L1334" s="21" t="s">
        <v>9</v>
      </c>
      <c r="M1334" s="21" t="s">
        <v>10</v>
      </c>
      <c r="N1334" s="20" t="s">
        <v>11</v>
      </c>
      <c r="O1334" s="21" t="s">
        <v>12</v>
      </c>
      <c r="P1334" s="22" t="s">
        <v>13</v>
      </c>
      <c r="Q1334" s="21" t="s">
        <v>11</v>
      </c>
      <c r="R1334" s="21" t="s">
        <v>12</v>
      </c>
      <c r="S1334" s="21" t="s">
        <v>13</v>
      </c>
      <c r="T1334" s="78" t="s">
        <v>14</v>
      </c>
      <c r="U1334" s="162"/>
      <c r="V1334" s="79" t="s">
        <v>62</v>
      </c>
      <c r="W1334" s="80" t="s">
        <v>63</v>
      </c>
      <c r="X1334" s="81" t="s">
        <v>64</v>
      </c>
    </row>
    <row r="1335" spans="1:24">
      <c r="A1335" s="614"/>
      <c r="B1335" s="4" t="s">
        <v>65</v>
      </c>
      <c r="C1335" s="6"/>
      <c r="D1335" s="6"/>
      <c r="E1335" s="6"/>
      <c r="F1335" s="6"/>
      <c r="G1335" s="6"/>
      <c r="H1335" s="6"/>
      <c r="I1335" s="82"/>
      <c r="J1335" s="6"/>
      <c r="K1335" s="6"/>
      <c r="L1335" s="6"/>
      <c r="M1335" s="6"/>
      <c r="N1335" s="6"/>
      <c r="O1335" s="6"/>
      <c r="P1335" s="6"/>
      <c r="Q1335" s="6"/>
      <c r="R1335" s="6"/>
      <c r="S1335" s="6"/>
      <c r="T1335" s="83"/>
      <c r="U1335" s="163"/>
      <c r="V1335" s="84"/>
      <c r="W1335" s="85"/>
      <c r="X1335" s="86"/>
    </row>
    <row r="1336" spans="1:24">
      <c r="A1336" s="614"/>
      <c r="B1336" s="87">
        <v>1</v>
      </c>
      <c r="C1336" s="274">
        <v>45943</v>
      </c>
      <c r="D1336" s="276">
        <v>74347</v>
      </c>
      <c r="E1336" s="281" t="s">
        <v>2374</v>
      </c>
      <c r="F1336" s="277">
        <v>681</v>
      </c>
      <c r="G1336" s="277"/>
      <c r="H1336" s="277"/>
      <c r="I1336" s="321">
        <f>F1336-G1336-H1336</f>
        <v>681</v>
      </c>
      <c r="J1336" s="279" t="s">
        <v>374</v>
      </c>
      <c r="K1336" s="279">
        <v>1</v>
      </c>
      <c r="L1336" s="279">
        <v>1</v>
      </c>
      <c r="M1336" s="279">
        <v>1</v>
      </c>
      <c r="N1336" s="279">
        <v>1</v>
      </c>
      <c r="O1336" s="322">
        <v>0</v>
      </c>
      <c r="P1336" s="322">
        <v>0</v>
      </c>
      <c r="Q1336" s="279">
        <v>1</v>
      </c>
      <c r="R1336" s="322">
        <v>0</v>
      </c>
      <c r="S1336" s="328">
        <v>0</v>
      </c>
      <c r="T1336" s="63"/>
      <c r="U1336" s="94" t="s">
        <v>2667</v>
      </c>
      <c r="V1336" s="90">
        <v>749.1</v>
      </c>
      <c r="W1336" s="578"/>
      <c r="X1336" s="579"/>
    </row>
    <row r="1337" spans="1:24">
      <c r="A1337" s="614"/>
      <c r="B1337" s="87">
        <f>B1336+1</f>
        <v>2</v>
      </c>
      <c r="C1337" s="295">
        <v>45943</v>
      </c>
      <c r="D1337" s="10" t="s">
        <v>2668</v>
      </c>
      <c r="E1337" s="101" t="s">
        <v>2374</v>
      </c>
      <c r="F1337" s="62">
        <v>12814</v>
      </c>
      <c r="G1337" s="62">
        <f>39.7+(1228.73)+1000</f>
        <v>2268.4300000000003</v>
      </c>
      <c r="H1337" s="62"/>
      <c r="I1337" s="324">
        <f>F1337-G1337-H1337</f>
        <v>10545.57</v>
      </c>
      <c r="J1337" s="63" t="s">
        <v>374</v>
      </c>
      <c r="K1337" s="63">
        <v>1</v>
      </c>
      <c r="L1337" s="63">
        <v>1</v>
      </c>
      <c r="M1337" s="63">
        <v>1</v>
      </c>
      <c r="N1337" s="63">
        <v>1</v>
      </c>
      <c r="O1337" s="325">
        <v>0</v>
      </c>
      <c r="P1337" s="325">
        <v>0</v>
      </c>
      <c r="Q1337" s="63">
        <v>1</v>
      </c>
      <c r="R1337" s="325">
        <v>0</v>
      </c>
      <c r="S1337" s="326">
        <v>0</v>
      </c>
      <c r="T1337" s="63"/>
      <c r="U1337" s="94" t="s">
        <v>2669</v>
      </c>
      <c r="V1337" s="90">
        <f>1409.5+12685.9</f>
        <v>14095.4</v>
      </c>
      <c r="W1337" s="578"/>
      <c r="X1337" s="579"/>
    </row>
    <row r="1338" spans="1:24" s="342" customFormat="1">
      <c r="A1338" s="615" t="s">
        <v>2670</v>
      </c>
      <c r="B1338" s="333">
        <f>B1337+1</f>
        <v>3</v>
      </c>
      <c r="C1338" s="345">
        <v>45943</v>
      </c>
      <c r="D1338" s="323">
        <v>74422</v>
      </c>
      <c r="E1338" s="123" t="s">
        <v>155</v>
      </c>
      <c r="F1338" s="125">
        <f>2046-185</f>
        <v>1861</v>
      </c>
      <c r="G1338" s="125">
        <f>39.7</f>
        <v>39.700000000000003</v>
      </c>
      <c r="H1338" s="124"/>
      <c r="I1338" s="746">
        <f>F1338-G1338-H1338</f>
        <v>1821.3</v>
      </c>
      <c r="J1338" s="127" t="s">
        <v>156</v>
      </c>
      <c r="K1338" s="127">
        <v>1</v>
      </c>
      <c r="L1338" s="127">
        <v>1</v>
      </c>
      <c r="M1338" s="127">
        <v>1</v>
      </c>
      <c r="N1338" s="127">
        <v>1</v>
      </c>
      <c r="O1338" s="127">
        <v>1</v>
      </c>
      <c r="P1338" s="127">
        <v>1</v>
      </c>
      <c r="Q1338" s="127">
        <v>1</v>
      </c>
      <c r="R1338" s="127">
        <v>1</v>
      </c>
      <c r="S1338" s="349">
        <v>1</v>
      </c>
      <c r="T1338" s="127"/>
      <c r="U1338" s="135"/>
      <c r="V1338" s="129">
        <f>203.5+1843.6</f>
        <v>2047.1</v>
      </c>
      <c r="W1338" s="130"/>
      <c r="X1338" s="131"/>
    </row>
    <row r="1339" spans="1:24" s="342" customFormat="1">
      <c r="A1339" s="615" t="s">
        <v>2670</v>
      </c>
      <c r="B1339" s="333">
        <f>B1338+1</f>
        <v>4</v>
      </c>
      <c r="C1339" s="345">
        <v>45943</v>
      </c>
      <c r="D1339" s="323" t="s">
        <v>2671</v>
      </c>
      <c r="E1339" s="123" t="s">
        <v>155</v>
      </c>
      <c r="F1339" s="125">
        <v>4373</v>
      </c>
      <c r="G1339" s="125">
        <f>39.7+(1232.3)+250</f>
        <v>1522</v>
      </c>
      <c r="H1339" s="125"/>
      <c r="I1339" s="745">
        <f>F1339-G1339-H1339</f>
        <v>2851</v>
      </c>
      <c r="J1339" s="127" t="s">
        <v>156</v>
      </c>
      <c r="K1339" s="127">
        <v>1</v>
      </c>
      <c r="L1339" s="325">
        <v>0</v>
      </c>
      <c r="M1339" s="127">
        <v>1</v>
      </c>
      <c r="N1339" s="127">
        <v>1</v>
      </c>
      <c r="O1339" s="127">
        <v>1</v>
      </c>
      <c r="P1339" s="127">
        <v>1</v>
      </c>
      <c r="Q1339" s="127">
        <v>1</v>
      </c>
      <c r="R1339" s="127">
        <v>1</v>
      </c>
      <c r="S1339" s="349">
        <v>1</v>
      </c>
      <c r="T1339" s="127"/>
      <c r="U1339" s="135" t="s">
        <v>2672</v>
      </c>
      <c r="V1339" s="129">
        <f>481+4329.3</f>
        <v>4810.3</v>
      </c>
      <c r="W1339" s="130"/>
      <c r="X1339" s="131"/>
    </row>
    <row r="1340" spans="1:24">
      <c r="A1340" s="614"/>
      <c r="B1340" s="87">
        <f>B1339+1</f>
        <v>5</v>
      </c>
      <c r="C1340" s="274">
        <v>45944</v>
      </c>
      <c r="D1340" s="276">
        <v>74375</v>
      </c>
      <c r="E1340" s="276" t="s">
        <v>1008</v>
      </c>
      <c r="F1340" s="277">
        <v>1138</v>
      </c>
      <c r="G1340" s="277">
        <f>39.7</f>
        <v>39.700000000000003</v>
      </c>
      <c r="H1340" s="277"/>
      <c r="I1340" s="278">
        <f>F1340-G1340-H1340</f>
        <v>1098.3</v>
      </c>
      <c r="J1340" s="279" t="s">
        <v>156</v>
      </c>
      <c r="K1340" s="279">
        <v>1</v>
      </c>
      <c r="L1340" s="279">
        <v>1</v>
      </c>
      <c r="M1340" s="279">
        <v>1</v>
      </c>
      <c r="N1340" s="279">
        <v>1</v>
      </c>
      <c r="O1340" s="279">
        <v>1</v>
      </c>
      <c r="P1340" s="279">
        <v>1</v>
      </c>
      <c r="Q1340" s="279">
        <v>1</v>
      </c>
      <c r="R1340" s="279">
        <v>1</v>
      </c>
      <c r="S1340" s="280">
        <v>1</v>
      </c>
      <c r="T1340" s="63"/>
      <c r="U1340" s="94"/>
      <c r="V1340" s="90">
        <v>1251.8</v>
      </c>
      <c r="W1340" s="91"/>
      <c r="X1340" s="92"/>
    </row>
    <row r="1341" spans="1:24">
      <c r="A1341" s="614" t="s">
        <v>2673</v>
      </c>
      <c r="B1341" s="87">
        <f>B1340+1</f>
        <v>6</v>
      </c>
      <c r="C1341" s="295">
        <v>45944</v>
      </c>
      <c r="D1341" s="10" t="s">
        <v>2674</v>
      </c>
      <c r="E1341" s="10" t="s">
        <v>1008</v>
      </c>
      <c r="F1341" s="62">
        <v>7316.91</v>
      </c>
      <c r="G1341" s="62">
        <f>39.7+(167.62+22.59)+750</f>
        <v>979.91000000000008</v>
      </c>
      <c r="H1341" s="62"/>
      <c r="I1341" s="369">
        <f>F1341-G1341-H1341</f>
        <v>6337</v>
      </c>
      <c r="J1341" s="63" t="s">
        <v>228</v>
      </c>
      <c r="K1341" s="63">
        <v>1</v>
      </c>
      <c r="L1341" s="63">
        <v>1</v>
      </c>
      <c r="M1341" s="63">
        <v>1</v>
      </c>
      <c r="N1341" s="63">
        <v>1</v>
      </c>
      <c r="O1341" s="63">
        <v>1</v>
      </c>
      <c r="P1341" s="63">
        <v>1</v>
      </c>
      <c r="Q1341" s="63">
        <v>1</v>
      </c>
      <c r="R1341" s="63">
        <v>1</v>
      </c>
      <c r="S1341" s="296">
        <v>1</v>
      </c>
      <c r="T1341" s="63"/>
      <c r="U1341" s="94" t="s">
        <v>2675</v>
      </c>
      <c r="V1341" s="90">
        <f>1277.54+6771.06</f>
        <v>8048.6</v>
      </c>
      <c r="W1341" s="91"/>
      <c r="X1341" s="92"/>
    </row>
    <row r="1342" spans="1:24">
      <c r="A1342" s="613"/>
      <c r="B1342" s="87">
        <f>B1341+1</f>
        <v>7</v>
      </c>
      <c r="C1342" s="282">
        <v>45944</v>
      </c>
      <c r="D1342" s="555">
        <v>74336</v>
      </c>
      <c r="E1342" s="283" t="s">
        <v>272</v>
      </c>
      <c r="F1342" s="284">
        <v>681</v>
      </c>
      <c r="G1342" s="284"/>
      <c r="H1342" s="284"/>
      <c r="I1342" s="285">
        <f>F1342-G1342-H1342</f>
        <v>681</v>
      </c>
      <c r="J1342" s="286" t="s">
        <v>156</v>
      </c>
      <c r="K1342" s="286">
        <v>1</v>
      </c>
      <c r="L1342" s="286">
        <v>1</v>
      </c>
      <c r="M1342" s="286">
        <v>1</v>
      </c>
      <c r="N1342" s="286">
        <v>1</v>
      </c>
      <c r="O1342" s="286">
        <v>1</v>
      </c>
      <c r="P1342" s="286">
        <v>1</v>
      </c>
      <c r="Q1342" s="286">
        <v>1</v>
      </c>
      <c r="R1342" s="286">
        <v>1</v>
      </c>
      <c r="S1342" s="287">
        <v>1</v>
      </c>
      <c r="T1342" s="63"/>
      <c r="U1342" s="94" t="s">
        <v>2676</v>
      </c>
      <c r="V1342" s="90">
        <v>749.1</v>
      </c>
      <c r="W1342" s="91"/>
      <c r="X1342" s="92"/>
    </row>
    <row r="1343" spans="1:24">
      <c r="A1343" s="614"/>
      <c r="B1343" s="87">
        <f>B1342+1</f>
        <v>8</v>
      </c>
      <c r="C1343" s="295">
        <v>45945</v>
      </c>
      <c r="D1343" s="10">
        <v>74455</v>
      </c>
      <c r="E1343" s="94" t="s">
        <v>162</v>
      </c>
      <c r="F1343" s="62">
        <v>776</v>
      </c>
      <c r="G1343" s="62">
        <f>39.7</f>
        <v>39.700000000000003</v>
      </c>
      <c r="H1343" s="62"/>
      <c r="I1343" s="89">
        <f>F1343-G1343-H1343</f>
        <v>736.3</v>
      </c>
      <c r="J1343" s="63" t="s">
        <v>156</v>
      </c>
      <c r="K1343" s="63">
        <v>1</v>
      </c>
      <c r="L1343" s="63">
        <v>1</v>
      </c>
      <c r="M1343" s="63">
        <v>0</v>
      </c>
      <c r="N1343" s="63">
        <v>1</v>
      </c>
      <c r="O1343" s="63">
        <v>1</v>
      </c>
      <c r="P1343" s="63">
        <v>1</v>
      </c>
      <c r="Q1343" s="63">
        <v>1</v>
      </c>
      <c r="R1343" s="63">
        <v>1</v>
      </c>
      <c r="S1343" s="296">
        <v>1</v>
      </c>
      <c r="T1343" s="63"/>
      <c r="U1343" s="94"/>
      <c r="V1343" s="90">
        <v>853.6</v>
      </c>
      <c r="W1343" s="91"/>
      <c r="X1343" s="92"/>
    </row>
    <row r="1344" spans="1:24">
      <c r="A1344" s="614"/>
      <c r="B1344" s="87">
        <f>B1343+1</f>
        <v>9</v>
      </c>
      <c r="C1344" s="295">
        <v>45945</v>
      </c>
      <c r="D1344" s="10">
        <v>74490</v>
      </c>
      <c r="E1344" s="10" t="s">
        <v>1143</v>
      </c>
      <c r="F1344" s="62">
        <v>1681</v>
      </c>
      <c r="G1344" s="62">
        <f>39.7</f>
        <v>39.700000000000003</v>
      </c>
      <c r="H1344" s="62"/>
      <c r="I1344" s="89">
        <f>F1344-G1344-H1344</f>
        <v>1641.3</v>
      </c>
      <c r="J1344" s="63" t="s">
        <v>156</v>
      </c>
      <c r="K1344" s="63">
        <v>1</v>
      </c>
      <c r="L1344" s="63">
        <v>1</v>
      </c>
      <c r="M1344" s="63">
        <v>1</v>
      </c>
      <c r="N1344" s="63">
        <v>1</v>
      </c>
      <c r="O1344" s="63">
        <v>1</v>
      </c>
      <c r="P1344" s="63">
        <v>1</v>
      </c>
      <c r="Q1344" s="63">
        <v>1</v>
      </c>
      <c r="R1344" s="63">
        <v>1</v>
      </c>
      <c r="S1344" s="296">
        <v>1</v>
      </c>
      <c r="T1344" s="63"/>
      <c r="U1344" s="94"/>
      <c r="V1344" s="90">
        <v>1849.1</v>
      </c>
      <c r="W1344" s="91"/>
      <c r="X1344" s="92"/>
    </row>
    <row r="1345" spans="1:24">
      <c r="A1345" s="614"/>
      <c r="B1345" s="87">
        <f>B1344+1</f>
        <v>10</v>
      </c>
      <c r="C1345" s="295">
        <v>45945</v>
      </c>
      <c r="D1345" s="10" t="s">
        <v>2677</v>
      </c>
      <c r="E1345" s="10" t="s">
        <v>1143</v>
      </c>
      <c r="F1345" s="62">
        <v>6814</v>
      </c>
      <c r="G1345" s="62">
        <f>39.7+(1106.69)</f>
        <v>1146.3900000000001</v>
      </c>
      <c r="H1345" s="62"/>
      <c r="I1345" s="89">
        <f>F1345-G1345-H1345</f>
        <v>5667.61</v>
      </c>
      <c r="J1345" s="63" t="s">
        <v>156</v>
      </c>
      <c r="K1345" s="63">
        <v>1</v>
      </c>
      <c r="L1345" s="63">
        <v>1</v>
      </c>
      <c r="M1345" s="63">
        <v>1</v>
      </c>
      <c r="N1345" s="63">
        <v>1</v>
      </c>
      <c r="O1345" s="63">
        <v>1</v>
      </c>
      <c r="P1345" s="63">
        <v>1</v>
      </c>
      <c r="Q1345" s="63">
        <v>1</v>
      </c>
      <c r="R1345" s="63">
        <v>1</v>
      </c>
      <c r="S1345" s="296">
        <v>1</v>
      </c>
      <c r="T1345" s="21">
        <v>1</v>
      </c>
      <c r="U1345" s="94"/>
      <c r="V1345" s="90">
        <v>6746.4</v>
      </c>
      <c r="W1345" s="91"/>
      <c r="X1345" s="92"/>
    </row>
    <row r="1346" spans="1:24">
      <c r="A1346" s="614"/>
      <c r="B1346" s="87">
        <f>B1345+1</f>
        <v>11</v>
      </c>
      <c r="C1346" s="274">
        <v>45946</v>
      </c>
      <c r="D1346" s="276">
        <v>74487</v>
      </c>
      <c r="E1346" s="276" t="s">
        <v>211</v>
      </c>
      <c r="F1346" s="277">
        <v>861</v>
      </c>
      <c r="G1346" s="277">
        <f>39.7+(26.91)</f>
        <v>66.61</v>
      </c>
      <c r="H1346" s="297"/>
      <c r="I1346" s="278">
        <f>F1346-G1346-H1346</f>
        <v>794.39</v>
      </c>
      <c r="J1346" s="279" t="s">
        <v>156</v>
      </c>
      <c r="K1346" s="279">
        <v>1</v>
      </c>
      <c r="L1346" s="279">
        <v>1</v>
      </c>
      <c r="M1346" s="279">
        <v>1</v>
      </c>
      <c r="N1346" s="279">
        <v>1</v>
      </c>
      <c r="O1346" s="279">
        <v>1</v>
      </c>
      <c r="P1346" s="279">
        <v>1</v>
      </c>
      <c r="Q1346" s="279">
        <v>1</v>
      </c>
      <c r="R1346" s="279">
        <v>1</v>
      </c>
      <c r="S1346" s="280">
        <v>1</v>
      </c>
      <c r="T1346" s="21">
        <v>1</v>
      </c>
      <c r="U1346" s="94"/>
      <c r="V1346" s="90">
        <v>947.1</v>
      </c>
      <c r="W1346" s="91"/>
      <c r="X1346" s="92"/>
    </row>
    <row r="1347" spans="1:24">
      <c r="A1347" s="614"/>
      <c r="B1347" s="87">
        <f>B1346+1</f>
        <v>12</v>
      </c>
      <c r="C1347" s="295">
        <v>45946</v>
      </c>
      <c r="D1347" s="10">
        <v>74549</v>
      </c>
      <c r="E1347" s="10" t="s">
        <v>737</v>
      </c>
      <c r="F1347" s="62">
        <f>1646-185</f>
        <v>1461</v>
      </c>
      <c r="G1347" s="62">
        <f>39.7</f>
        <v>39.700000000000003</v>
      </c>
      <c r="H1347" s="88"/>
      <c r="I1347" s="89">
        <f>F1347-G1347-H1347</f>
        <v>1421.3</v>
      </c>
      <c r="J1347" s="63" t="s">
        <v>156</v>
      </c>
      <c r="K1347" s="63">
        <v>1</v>
      </c>
      <c r="L1347" s="63">
        <v>1</v>
      </c>
      <c r="M1347" s="63">
        <v>1</v>
      </c>
      <c r="N1347" s="63">
        <v>1</v>
      </c>
      <c r="O1347" s="63">
        <v>1</v>
      </c>
      <c r="P1347" s="63">
        <v>1</v>
      </c>
      <c r="Q1347" s="63">
        <v>1</v>
      </c>
      <c r="R1347" s="63">
        <v>1</v>
      </c>
      <c r="S1347" s="296">
        <v>1</v>
      </c>
      <c r="T1347" s="63"/>
      <c r="U1347" s="94"/>
      <c r="V1347" s="90">
        <f>203.5+1403.6</f>
        <v>1607.1</v>
      </c>
      <c r="W1347" s="91"/>
      <c r="X1347" s="92"/>
    </row>
    <row r="1348" spans="1:24">
      <c r="A1348" s="614"/>
      <c r="B1348" s="87">
        <f>B1347+1</f>
        <v>13</v>
      </c>
      <c r="C1348" s="295">
        <v>45946</v>
      </c>
      <c r="D1348" s="10">
        <v>74558</v>
      </c>
      <c r="E1348" s="10" t="s">
        <v>211</v>
      </c>
      <c r="F1348" s="62">
        <f>1866-185</f>
        <v>1681</v>
      </c>
      <c r="G1348" s="62">
        <v>39.700000000000003</v>
      </c>
      <c r="H1348" s="88"/>
      <c r="I1348" s="89">
        <f>F1348-G1348-H1348</f>
        <v>1641.3</v>
      </c>
      <c r="J1348" s="63" t="s">
        <v>156</v>
      </c>
      <c r="K1348" s="63">
        <v>1</v>
      </c>
      <c r="L1348" s="63">
        <v>1</v>
      </c>
      <c r="M1348" s="63">
        <v>1</v>
      </c>
      <c r="N1348" s="63">
        <v>1</v>
      </c>
      <c r="O1348" s="63">
        <v>1</v>
      </c>
      <c r="P1348" s="63">
        <v>1</v>
      </c>
      <c r="Q1348" s="63">
        <v>1</v>
      </c>
      <c r="R1348" s="63">
        <v>1</v>
      </c>
      <c r="S1348" s="296">
        <v>1</v>
      </c>
      <c r="T1348" s="21">
        <v>1</v>
      </c>
      <c r="U1348" s="94"/>
      <c r="V1348" s="90">
        <f>203.5+1645.6</f>
        <v>1849.1</v>
      </c>
      <c r="W1348" s="91"/>
      <c r="X1348" s="92"/>
    </row>
    <row r="1349" spans="1:24">
      <c r="A1349" s="614"/>
      <c r="B1349" s="87">
        <f>B1348+1</f>
        <v>14</v>
      </c>
      <c r="C1349" s="295">
        <v>45946</v>
      </c>
      <c r="D1349" s="10">
        <v>74535</v>
      </c>
      <c r="E1349" s="10" t="s">
        <v>187</v>
      </c>
      <c r="F1349" s="62">
        <v>1481</v>
      </c>
      <c r="G1349" s="62">
        <v>39.700000000000003</v>
      </c>
      <c r="H1349" s="88"/>
      <c r="I1349" s="324">
        <f>F1349-G1349-H1349</f>
        <v>1441.3</v>
      </c>
      <c r="J1349" s="63" t="s">
        <v>156</v>
      </c>
      <c r="K1349" s="63">
        <v>1</v>
      </c>
      <c r="L1349" s="325">
        <v>0</v>
      </c>
      <c r="M1349" s="63">
        <v>1</v>
      </c>
      <c r="N1349" s="63">
        <v>1</v>
      </c>
      <c r="O1349" s="63">
        <v>1</v>
      </c>
      <c r="P1349" s="63">
        <v>1</v>
      </c>
      <c r="Q1349" s="63">
        <v>1</v>
      </c>
      <c r="R1349" s="63">
        <v>1</v>
      </c>
      <c r="S1349" s="296">
        <v>1</v>
      </c>
      <c r="T1349" s="63"/>
      <c r="U1349" s="94"/>
      <c r="V1349" s="90">
        <v>1384.74</v>
      </c>
      <c r="W1349" s="91"/>
      <c r="X1349" s="92"/>
    </row>
    <row r="1350" spans="1:24">
      <c r="A1350" s="614"/>
      <c r="B1350" s="87">
        <f>B1349+1</f>
        <v>15</v>
      </c>
      <c r="C1350" s="295">
        <v>45946</v>
      </c>
      <c r="D1350" s="10">
        <v>74544</v>
      </c>
      <c r="E1350" s="10" t="s">
        <v>1159</v>
      </c>
      <c r="F1350" s="95">
        <v>1781</v>
      </c>
      <c r="G1350" s="62">
        <f>39.7</f>
        <v>39.700000000000003</v>
      </c>
      <c r="H1350" s="62"/>
      <c r="I1350" s="324">
        <f>F1350-G1350-H1350</f>
        <v>1741.3</v>
      </c>
      <c r="J1350" s="63" t="s">
        <v>156</v>
      </c>
      <c r="K1350" s="63">
        <v>1</v>
      </c>
      <c r="L1350" s="63">
        <v>1</v>
      </c>
      <c r="M1350" s="63">
        <v>1</v>
      </c>
      <c r="N1350" s="63">
        <v>1</v>
      </c>
      <c r="O1350" s="63">
        <v>1</v>
      </c>
      <c r="P1350" s="325">
        <v>0</v>
      </c>
      <c r="Q1350" s="63">
        <v>1</v>
      </c>
      <c r="R1350" s="63">
        <v>1</v>
      </c>
      <c r="S1350" s="326">
        <v>0</v>
      </c>
      <c r="T1350" s="63"/>
      <c r="U1350" s="94"/>
      <c r="V1350" s="90">
        <v>1959.1</v>
      </c>
      <c r="W1350" s="91"/>
      <c r="X1350" s="92"/>
    </row>
    <row r="1351" spans="1:24">
      <c r="A1351" s="614"/>
      <c r="B1351" s="87">
        <f>B1350+1</f>
        <v>16</v>
      </c>
      <c r="C1351" s="274">
        <v>45947</v>
      </c>
      <c r="D1351" s="276">
        <v>74562</v>
      </c>
      <c r="E1351" s="276" t="s">
        <v>1200</v>
      </c>
      <c r="F1351" s="447">
        <v>481</v>
      </c>
      <c r="G1351" s="277"/>
      <c r="H1351" s="277"/>
      <c r="I1351" s="278">
        <f>F1351-G1351-H1351</f>
        <v>481</v>
      </c>
      <c r="J1351" s="279" t="s">
        <v>156</v>
      </c>
      <c r="K1351" s="279">
        <v>1</v>
      </c>
      <c r="L1351" s="279">
        <v>1</v>
      </c>
      <c r="M1351" s="279">
        <v>1</v>
      </c>
      <c r="N1351" s="279">
        <v>1</v>
      </c>
      <c r="O1351" s="279">
        <v>1</v>
      </c>
      <c r="P1351" s="279">
        <v>1</v>
      </c>
      <c r="Q1351" s="279">
        <v>1</v>
      </c>
      <c r="R1351" s="279">
        <v>1</v>
      </c>
      <c r="S1351" s="280">
        <v>1</v>
      </c>
      <c r="T1351" s="21">
        <v>1</v>
      </c>
      <c r="U1351" s="94"/>
      <c r="V1351" s="90">
        <v>529.1</v>
      </c>
      <c r="W1351" s="91"/>
      <c r="X1351" s="92"/>
    </row>
    <row r="1352" spans="1:24">
      <c r="A1352" s="614"/>
      <c r="B1352" s="87">
        <f>B1351+1</f>
        <v>17</v>
      </c>
      <c r="C1352" s="295">
        <v>45947</v>
      </c>
      <c r="D1352" s="10">
        <v>74587</v>
      </c>
      <c r="E1352" s="10" t="s">
        <v>780</v>
      </c>
      <c r="F1352" s="95">
        <v>1261</v>
      </c>
      <c r="G1352" s="62">
        <f>39.7</f>
        <v>39.700000000000003</v>
      </c>
      <c r="H1352" s="62"/>
      <c r="I1352" s="89">
        <f>F1352-G1352-H1352</f>
        <v>1221.3</v>
      </c>
      <c r="J1352" s="63" t="s">
        <v>150</v>
      </c>
      <c r="K1352" s="63">
        <v>1</v>
      </c>
      <c r="L1352" s="63">
        <v>1</v>
      </c>
      <c r="M1352" s="63">
        <v>1</v>
      </c>
      <c r="N1352" s="63">
        <v>1</v>
      </c>
      <c r="O1352" s="63">
        <v>1</v>
      </c>
      <c r="P1352" s="63">
        <v>1</v>
      </c>
      <c r="Q1352" s="63">
        <v>1</v>
      </c>
      <c r="R1352" s="63">
        <v>1</v>
      </c>
      <c r="S1352" s="296">
        <v>1</v>
      </c>
      <c r="T1352" s="63"/>
      <c r="U1352" s="94"/>
      <c r="V1352" s="90">
        <v>0</v>
      </c>
      <c r="W1352" s="508">
        <f>50*27+40</f>
        <v>1390</v>
      </c>
      <c r="X1352" s="92"/>
    </row>
    <row r="1353" spans="1:24">
      <c r="A1353" s="614"/>
      <c r="B1353" s="87">
        <f>B1352+1</f>
        <v>18</v>
      </c>
      <c r="C1353" s="295">
        <v>45947</v>
      </c>
      <c r="D1353" s="10">
        <v>74586</v>
      </c>
      <c r="E1353" s="10" t="s">
        <v>1248</v>
      </c>
      <c r="F1353" s="95">
        <v>1138</v>
      </c>
      <c r="G1353" s="62">
        <f>39.7</f>
        <v>39.700000000000003</v>
      </c>
      <c r="H1353" s="62"/>
      <c r="I1353" s="89">
        <f>F1353-G1353-H1353</f>
        <v>1098.3</v>
      </c>
      <c r="J1353" s="63" t="s">
        <v>156</v>
      </c>
      <c r="K1353" s="63">
        <v>1</v>
      </c>
      <c r="L1353" s="63">
        <v>1</v>
      </c>
      <c r="M1353" s="63">
        <v>1</v>
      </c>
      <c r="N1353" s="63">
        <v>1</v>
      </c>
      <c r="O1353" s="63">
        <v>1</v>
      </c>
      <c r="P1353" s="63">
        <v>1</v>
      </c>
      <c r="Q1353" s="63">
        <v>1</v>
      </c>
      <c r="R1353" s="63">
        <v>1</v>
      </c>
      <c r="S1353" s="296">
        <v>1</v>
      </c>
      <c r="T1353" s="63"/>
      <c r="U1353" s="94"/>
      <c r="V1353" s="90">
        <v>1251.8</v>
      </c>
      <c r="W1353" s="91"/>
      <c r="X1353" s="92"/>
    </row>
    <row r="1354" spans="1:24">
      <c r="A1354" s="614"/>
      <c r="B1354" s="87">
        <f>B1353+1</f>
        <v>19</v>
      </c>
      <c r="C1354" s="295">
        <v>45947</v>
      </c>
      <c r="D1354" s="10" t="s">
        <v>2678</v>
      </c>
      <c r="E1354" s="10" t="s">
        <v>1248</v>
      </c>
      <c r="F1354" s="95">
        <v>2614</v>
      </c>
      <c r="G1354" s="62">
        <f>39.7+(65.02+37.16)</f>
        <v>141.88</v>
      </c>
      <c r="H1354" s="62"/>
      <c r="I1354" s="89">
        <f>F1354-G1354-H1354</f>
        <v>2472.12</v>
      </c>
      <c r="J1354" s="63" t="s">
        <v>156</v>
      </c>
      <c r="K1354" s="63">
        <v>1</v>
      </c>
      <c r="L1354" s="63">
        <v>1</v>
      </c>
      <c r="M1354" s="63">
        <v>1</v>
      </c>
      <c r="N1354" s="63">
        <v>1</v>
      </c>
      <c r="O1354" s="63">
        <v>1</v>
      </c>
      <c r="P1354" s="63">
        <v>1</v>
      </c>
      <c r="Q1354" s="63">
        <v>1</v>
      </c>
      <c r="R1354" s="63">
        <v>1</v>
      </c>
      <c r="S1354" s="296">
        <v>1</v>
      </c>
      <c r="T1354" s="21">
        <v>1</v>
      </c>
      <c r="U1354" s="94"/>
      <c r="V1354" s="90">
        <f>287+2588.4</f>
        <v>2875.4</v>
      </c>
      <c r="W1354" s="96"/>
      <c r="X1354" s="92"/>
    </row>
    <row r="1355" spans="1:24">
      <c r="A1355" s="614"/>
      <c r="B1355" s="87">
        <f>B1354+1</f>
        <v>20</v>
      </c>
      <c r="C1355" s="282">
        <v>45947</v>
      </c>
      <c r="D1355" s="283">
        <v>74592</v>
      </c>
      <c r="E1355" s="283" t="s">
        <v>769</v>
      </c>
      <c r="F1355" s="423">
        <v>861</v>
      </c>
      <c r="G1355" s="284">
        <f>39.7</f>
        <v>39.700000000000003</v>
      </c>
      <c r="H1355" s="284"/>
      <c r="I1355" s="285">
        <f t="shared" ref="I1355" si="245">F1355-G1355-H1355</f>
        <v>821.3</v>
      </c>
      <c r="J1355" s="286" t="s">
        <v>156</v>
      </c>
      <c r="K1355" s="286">
        <v>1</v>
      </c>
      <c r="L1355" s="286">
        <v>1</v>
      </c>
      <c r="M1355" s="286">
        <v>1</v>
      </c>
      <c r="N1355" s="286">
        <v>1</v>
      </c>
      <c r="O1355" s="286">
        <v>1</v>
      </c>
      <c r="P1355" s="286">
        <v>1</v>
      </c>
      <c r="Q1355" s="286">
        <v>1</v>
      </c>
      <c r="R1355" s="286">
        <v>1</v>
      </c>
      <c r="S1355" s="287">
        <v>1</v>
      </c>
      <c r="T1355" s="21"/>
      <c r="U1355" s="94"/>
      <c r="V1355" s="90">
        <v>947.1</v>
      </c>
      <c r="W1355" s="96"/>
      <c r="X1355" s="92"/>
    </row>
    <row r="1356" spans="1:24">
      <c r="A1356" s="614"/>
      <c r="B1356" s="87"/>
      <c r="C1356" s="36"/>
      <c r="D1356" s="10"/>
      <c r="E1356" s="10"/>
      <c r="F1356" s="98">
        <f>SUM(F1336:F1355)</f>
        <v>51755.91</v>
      </c>
      <c r="G1356" s="98">
        <f>SUM(G1336:G1355)</f>
        <v>6561.9199999999983</v>
      </c>
      <c r="H1356" s="98">
        <f>SUM(H1336:H1355)</f>
        <v>0</v>
      </c>
      <c r="I1356" s="98">
        <f>SUM(I1336:I1355)</f>
        <v>45193.99000000002</v>
      </c>
      <c r="J1356" s="63"/>
      <c r="K1356" s="63">
        <f>COUNT(K1336:K1355)</f>
        <v>20</v>
      </c>
      <c r="L1356" s="63">
        <f>COUNT(L1336:L1355)</f>
        <v>20</v>
      </c>
      <c r="M1356" s="63">
        <f>COUNT(M1336:M1355)</f>
        <v>20</v>
      </c>
      <c r="N1356" s="63">
        <f>COUNT(N1336:N1355)</f>
        <v>20</v>
      </c>
      <c r="O1356" s="63">
        <f>COUNT(O1336:O1355)</f>
        <v>20</v>
      </c>
      <c r="P1356" s="63">
        <f>COUNT(P1336:P1355)</f>
        <v>20</v>
      </c>
      <c r="Q1356" s="63">
        <f>COUNT(Q1336:Q1355)</f>
        <v>20</v>
      </c>
      <c r="R1356" s="63">
        <f>COUNT(R1336:R1355)</f>
        <v>20</v>
      </c>
      <c r="S1356" s="63">
        <f>COUNT(S1336:S1355)</f>
        <v>20</v>
      </c>
      <c r="T1356" s="63"/>
      <c r="U1356" s="94"/>
      <c r="V1356" s="90"/>
      <c r="W1356" s="91"/>
      <c r="X1356" s="92"/>
    </row>
    <row r="1357" spans="1:24">
      <c r="A1357" s="614"/>
      <c r="B1357" s="87"/>
      <c r="C1357" s="36"/>
      <c r="D1357" s="10"/>
      <c r="E1357" s="10"/>
      <c r="F1357" s="88"/>
      <c r="G1357" s="88"/>
      <c r="H1357" s="88"/>
      <c r="I1357" s="99"/>
      <c r="J1357" s="63"/>
      <c r="K1357" s="21">
        <f>SUM(K1336:K1355)</f>
        <v>20</v>
      </c>
      <c r="L1357" s="21">
        <f>SUM(L1336:L1355)</f>
        <v>18</v>
      </c>
      <c r="M1357" s="21">
        <f>SUM(M1336:M1355)</f>
        <v>19</v>
      </c>
      <c r="N1357" s="21">
        <f>SUM(N1336:N1355)</f>
        <v>20</v>
      </c>
      <c r="O1357" s="21">
        <f>SUM(O1336:O1355)</f>
        <v>18</v>
      </c>
      <c r="P1357" s="21">
        <f>SUM(P1336:P1355)</f>
        <v>17</v>
      </c>
      <c r="Q1357" s="21">
        <f>SUM(Q1336:Q1355)</f>
        <v>20</v>
      </c>
      <c r="R1357" s="21">
        <f>SUM(R1336:R1355)</f>
        <v>18</v>
      </c>
      <c r="S1357" s="21">
        <f>SUM(S1336:S1355)</f>
        <v>17</v>
      </c>
      <c r="T1357" s="63"/>
      <c r="U1357" s="94"/>
      <c r="V1357" s="90"/>
      <c r="W1357" s="91"/>
      <c r="X1357" s="92"/>
    </row>
    <row r="1358" spans="1:24">
      <c r="A1358" s="614"/>
      <c r="B1358" s="11"/>
      <c r="C1358" s="609"/>
      <c r="D1358" s="10"/>
      <c r="E1358" s="10"/>
      <c r="F1358" s="88"/>
      <c r="G1358" s="88"/>
      <c r="H1358" s="88"/>
      <c r="I1358" s="99"/>
      <c r="J1358" s="63"/>
      <c r="K1358" s="21"/>
      <c r="L1358" s="21"/>
      <c r="M1358" s="21"/>
      <c r="N1358" s="21"/>
      <c r="O1358" s="21"/>
      <c r="P1358" s="21"/>
      <c r="Q1358" s="21"/>
      <c r="R1358" s="21"/>
      <c r="S1358" s="21"/>
      <c r="T1358" s="63"/>
      <c r="U1358" s="94"/>
      <c r="V1358" s="90"/>
      <c r="W1358" s="91"/>
      <c r="X1358" s="92"/>
    </row>
    <row r="1359" spans="1:24">
      <c r="A1359" s="614"/>
      <c r="B1359" s="100" t="s">
        <v>67</v>
      </c>
      <c r="C1359" s="609"/>
      <c r="D1359" s="10"/>
      <c r="E1359" s="10"/>
      <c r="F1359" s="88"/>
      <c r="G1359" s="62"/>
      <c r="H1359" s="88"/>
      <c r="I1359" s="99"/>
      <c r="J1359" s="63"/>
      <c r="K1359" s="2"/>
      <c r="L1359" s="2"/>
      <c r="M1359" s="2"/>
      <c r="N1359" s="2"/>
      <c r="O1359" s="2"/>
      <c r="P1359" s="2"/>
      <c r="Q1359" s="2"/>
      <c r="R1359" s="2"/>
      <c r="S1359" s="2"/>
      <c r="T1359" s="63"/>
      <c r="U1359" s="94"/>
      <c r="V1359" s="90"/>
      <c r="W1359" s="91"/>
      <c r="X1359" s="92"/>
    </row>
    <row r="1360" spans="1:24">
      <c r="A1360" s="494" t="s">
        <v>692</v>
      </c>
      <c r="B1360" s="87">
        <v>1</v>
      </c>
      <c r="C1360" s="274">
        <v>45940</v>
      </c>
      <c r="D1360" s="327" t="s">
        <v>2657</v>
      </c>
      <c r="E1360" s="276" t="s">
        <v>306</v>
      </c>
      <c r="F1360" s="277">
        <v>6933</v>
      </c>
      <c r="G1360" s="277">
        <f>39.7+(342.35+1017.73)+250</f>
        <v>1649.78</v>
      </c>
      <c r="H1360" s="277"/>
      <c r="I1360" s="321">
        <f>F1360-G1360-H1360</f>
        <v>5283.22</v>
      </c>
      <c r="J1360" s="279" t="s">
        <v>156</v>
      </c>
      <c r="K1360" s="279">
        <v>1</v>
      </c>
      <c r="L1360" s="279"/>
      <c r="M1360" s="279">
        <v>1</v>
      </c>
      <c r="N1360" s="279">
        <v>1</v>
      </c>
      <c r="O1360" s="279">
        <v>1</v>
      </c>
      <c r="P1360" s="279">
        <v>1</v>
      </c>
      <c r="Q1360" s="279">
        <v>1</v>
      </c>
      <c r="R1360" s="279">
        <v>1</v>
      </c>
      <c r="S1360" s="328">
        <v>0</v>
      </c>
      <c r="T1360" s="63"/>
      <c r="U1360" s="94" t="s">
        <v>2658</v>
      </c>
      <c r="V1360" s="90"/>
      <c r="W1360" s="136"/>
      <c r="X1360" s="137"/>
    </row>
    <row r="1361" spans="1:24">
      <c r="A1361" s="261" t="s">
        <v>1780</v>
      </c>
      <c r="B1361" s="87">
        <f>B1360+1</f>
        <v>2</v>
      </c>
      <c r="C1361" s="262">
        <v>45940</v>
      </c>
      <c r="D1361" s="263">
        <v>74316</v>
      </c>
      <c r="E1361" s="271" t="s">
        <v>1156</v>
      </c>
      <c r="F1361" s="265">
        <v>1861</v>
      </c>
      <c r="G1361" s="265">
        <f>39.7+550</f>
        <v>589.70000000000005</v>
      </c>
      <c r="H1361" s="265"/>
      <c r="I1361" s="266">
        <f>F1361-G1361-H1361</f>
        <v>1271.3</v>
      </c>
      <c r="J1361" s="267" t="s">
        <v>156</v>
      </c>
      <c r="K1361" s="267">
        <v>1</v>
      </c>
      <c r="L1361" s="267">
        <v>1</v>
      </c>
      <c r="M1361" s="267">
        <v>1</v>
      </c>
      <c r="N1361" s="314">
        <v>0</v>
      </c>
      <c r="O1361" s="314">
        <v>0</v>
      </c>
      <c r="P1361" s="314">
        <v>0</v>
      </c>
      <c r="Q1361" s="267">
        <v>1</v>
      </c>
      <c r="R1361" s="267">
        <v>1</v>
      </c>
      <c r="S1361" s="269">
        <v>1</v>
      </c>
      <c r="T1361" s="63"/>
      <c r="U1361" s="94" t="s">
        <v>2659</v>
      </c>
      <c r="V1361" s="90"/>
      <c r="W1361" s="136"/>
      <c r="X1361" s="137"/>
    </row>
    <row r="1362" spans="1:24">
      <c r="A1362" s="614"/>
      <c r="B1362" s="11"/>
      <c r="C1362" s="609"/>
      <c r="D1362" s="10"/>
      <c r="E1362" s="10"/>
      <c r="F1362" s="97">
        <f>SUM(F1360:F1361)</f>
        <v>8794</v>
      </c>
      <c r="G1362" s="97">
        <f>SUM(G1360:G1361)</f>
        <v>2239.48</v>
      </c>
      <c r="H1362" s="97">
        <f>SUM(H1360:H1361)</f>
        <v>0</v>
      </c>
      <c r="I1362" s="98">
        <f>SUM(I1360:I1361)</f>
        <v>6554.52</v>
      </c>
      <c r="J1362" s="63"/>
      <c r="K1362" s="21"/>
      <c r="L1362" s="21"/>
      <c r="M1362" s="21"/>
      <c r="N1362" s="21"/>
      <c r="O1362" s="21"/>
      <c r="P1362" s="21"/>
      <c r="Q1362" s="21"/>
      <c r="R1362" s="21"/>
      <c r="S1362" s="21"/>
      <c r="T1362" s="63"/>
      <c r="U1362" s="94"/>
      <c r="V1362" s="90"/>
      <c r="W1362" s="91"/>
      <c r="X1362" s="92"/>
    </row>
    <row r="1363" spans="1:24">
      <c r="A1363" s="614"/>
      <c r="B1363" s="11"/>
      <c r="C1363" s="609"/>
      <c r="D1363" s="10"/>
      <c r="E1363" s="10"/>
      <c r="F1363" s="88"/>
      <c r="G1363" s="88"/>
      <c r="H1363" s="88"/>
      <c r="I1363" s="99"/>
      <c r="J1363" s="63"/>
      <c r="K1363" s="21"/>
      <c r="L1363" s="21"/>
      <c r="M1363" s="21"/>
      <c r="N1363" s="21"/>
      <c r="O1363" s="21"/>
      <c r="P1363" s="21"/>
      <c r="Q1363" s="21"/>
      <c r="R1363" s="21"/>
      <c r="S1363" s="21"/>
      <c r="T1363" s="63"/>
      <c r="U1363" s="94"/>
      <c r="V1363" s="90"/>
      <c r="W1363" s="91"/>
      <c r="X1363" s="92"/>
    </row>
    <row r="1364" spans="1:24">
      <c r="A1364" s="615"/>
      <c r="B1364" s="121" t="s">
        <v>68</v>
      </c>
      <c r="C1364" s="611"/>
      <c r="D1364" s="123"/>
      <c r="E1364" s="123"/>
      <c r="F1364" s="124"/>
      <c r="G1364" s="125"/>
      <c r="H1364" s="124"/>
      <c r="I1364" s="126"/>
      <c r="J1364" s="127"/>
      <c r="K1364" s="128"/>
      <c r="L1364" s="128"/>
      <c r="M1364" s="128"/>
      <c r="N1364" s="128"/>
      <c r="O1364" s="128"/>
      <c r="P1364" s="128"/>
      <c r="Q1364" s="128"/>
      <c r="R1364" s="128"/>
      <c r="S1364" s="128"/>
      <c r="T1364" s="127"/>
      <c r="U1364" s="135"/>
      <c r="V1364" s="129"/>
      <c r="W1364" s="130"/>
      <c r="X1364" s="131"/>
    </row>
    <row r="1365" spans="1:24" s="342" customFormat="1">
      <c r="A1365" s="615" t="s">
        <v>683</v>
      </c>
      <c r="B1365" s="333">
        <v>1</v>
      </c>
      <c r="C1365" s="350">
        <v>45943</v>
      </c>
      <c r="D1365" s="263">
        <v>74329</v>
      </c>
      <c r="E1365" s="358" t="s">
        <v>1150</v>
      </c>
      <c r="F1365" s="352">
        <v>1138</v>
      </c>
      <c r="G1365" s="352">
        <f>39.7</f>
        <v>39.700000000000003</v>
      </c>
      <c r="H1365" s="352"/>
      <c r="I1365" s="353">
        <f>F1365-G1365-H1365</f>
        <v>1098.3</v>
      </c>
      <c r="J1365" s="354"/>
      <c r="K1365" s="354">
        <v>1</v>
      </c>
      <c r="L1365" s="354">
        <v>1</v>
      </c>
      <c r="M1365" s="354"/>
      <c r="N1365" s="354">
        <v>1</v>
      </c>
      <c r="O1365" s="354">
        <v>1</v>
      </c>
      <c r="P1365" s="354">
        <v>1</v>
      </c>
      <c r="Q1365" s="354"/>
      <c r="R1365" s="354"/>
      <c r="S1365" s="355"/>
      <c r="T1365" s="127"/>
      <c r="U1365" s="135" t="s">
        <v>2679</v>
      </c>
      <c r="V1365" s="129"/>
      <c r="W1365" s="130"/>
      <c r="X1365" s="131"/>
    </row>
    <row r="1366" spans="1:24">
      <c r="A1366" s="615"/>
      <c r="B1366" s="132"/>
      <c r="C1366" s="36"/>
      <c r="D1366" s="123"/>
      <c r="E1366" s="123"/>
      <c r="F1366" s="133">
        <f>SUM(F1365:F1365)</f>
        <v>1138</v>
      </c>
      <c r="G1366" s="133">
        <f>SUM(G1365:G1365)</f>
        <v>39.700000000000003</v>
      </c>
      <c r="H1366" s="133">
        <f>SUM(H1365:H1365)</f>
        <v>0</v>
      </c>
      <c r="I1366" s="134">
        <f>SUM(I1365:I1365)</f>
        <v>1098.3</v>
      </c>
      <c r="J1366" s="127"/>
      <c r="K1366" s="64"/>
      <c r="L1366" s="64"/>
      <c r="M1366" s="64"/>
      <c r="N1366" s="64"/>
      <c r="O1366" s="64"/>
      <c r="P1366" s="64"/>
      <c r="Q1366" s="64"/>
      <c r="R1366" s="64"/>
      <c r="S1366" s="64"/>
      <c r="T1366" s="127"/>
      <c r="U1366" s="135"/>
      <c r="V1366" s="129"/>
      <c r="W1366" s="130"/>
      <c r="X1366" s="131"/>
    </row>
    <row r="1367" spans="1:24">
      <c r="A1367" s="614"/>
      <c r="B1367" s="11"/>
      <c r="C1367" s="609"/>
      <c r="D1367" s="10"/>
      <c r="E1367" s="10"/>
      <c r="F1367" s="88"/>
      <c r="G1367" s="88"/>
      <c r="H1367" s="88"/>
      <c r="I1367" s="99"/>
      <c r="J1367" s="63"/>
      <c r="K1367" s="21"/>
      <c r="L1367" s="21"/>
      <c r="M1367" s="21"/>
      <c r="N1367" s="21"/>
      <c r="O1367" s="21"/>
      <c r="P1367" s="21"/>
      <c r="Q1367" s="21"/>
      <c r="R1367" s="21"/>
      <c r="S1367" s="21"/>
      <c r="T1367" s="63"/>
      <c r="U1367" s="94"/>
      <c r="V1367" s="90"/>
      <c r="W1367" s="91"/>
      <c r="X1367" s="92"/>
    </row>
    <row r="1368" spans="1:24" s="260" customFormat="1">
      <c r="B1368" s="100" t="s">
        <v>152</v>
      </c>
      <c r="C1368" s="270"/>
      <c r="D1368" s="10"/>
      <c r="E1368" s="101"/>
      <c r="F1368" s="88"/>
      <c r="G1368" s="62"/>
      <c r="H1368" s="88"/>
      <c r="I1368" s="99"/>
      <c r="J1368" s="63"/>
      <c r="K1368" s="181"/>
      <c r="L1368" s="181"/>
      <c r="M1368" s="181"/>
      <c r="N1368" s="181"/>
      <c r="O1368" s="181"/>
      <c r="P1368" s="181"/>
      <c r="Q1368" s="181"/>
      <c r="R1368" s="181"/>
      <c r="S1368" s="181"/>
      <c r="T1368" s="63"/>
      <c r="U1368" s="10"/>
      <c r="V1368" s="90"/>
      <c r="W1368" s="91"/>
      <c r="X1368" s="92"/>
    </row>
    <row r="1369" spans="1:24" s="260" customFormat="1">
      <c r="A1369" s="261">
        <v>0.05</v>
      </c>
      <c r="B1369" s="87">
        <v>1</v>
      </c>
      <c r="C1369" s="274">
        <v>45790</v>
      </c>
      <c r="D1369" s="320" t="s">
        <v>2339</v>
      </c>
      <c r="E1369" s="276" t="s">
        <v>225</v>
      </c>
      <c r="F1369" s="277">
        <v>8614</v>
      </c>
      <c r="G1369" s="277">
        <f>39.7+(143.54)+(86.25+50.9-26.76)+750</f>
        <v>1043.6300000000001</v>
      </c>
      <c r="H1369" s="277"/>
      <c r="I1369" s="278">
        <f>F1369-G1369-H1369</f>
        <v>7570.37</v>
      </c>
      <c r="J1369" s="279"/>
      <c r="K1369" s="279">
        <v>1</v>
      </c>
      <c r="L1369" s="279"/>
      <c r="M1369" s="279"/>
      <c r="N1369" s="279">
        <v>1</v>
      </c>
      <c r="O1369" s="279">
        <v>1</v>
      </c>
      <c r="P1369" s="279">
        <v>1</v>
      </c>
      <c r="Q1369" s="279"/>
      <c r="R1369" s="279"/>
      <c r="S1369" s="280"/>
      <c r="T1369" s="63"/>
      <c r="U1369" s="10" t="s">
        <v>2340</v>
      </c>
      <c r="V1369" s="90"/>
      <c r="W1369" s="136"/>
      <c r="X1369" s="137"/>
    </row>
    <row r="1370" spans="1:24" s="260" customFormat="1">
      <c r="A1370" s="261">
        <v>0.05</v>
      </c>
      <c r="B1370" s="87">
        <f>B1369+1</f>
        <v>2</v>
      </c>
      <c r="C1370" s="262">
        <v>45880</v>
      </c>
      <c r="D1370" s="357" t="s">
        <v>2475</v>
      </c>
      <c r="E1370" s="264" t="s">
        <v>294</v>
      </c>
      <c r="F1370" s="265">
        <v>1542</v>
      </c>
      <c r="G1370" s="265">
        <f>39.7</f>
        <v>39.700000000000003</v>
      </c>
      <c r="H1370" s="265"/>
      <c r="I1370" s="266">
        <f>F1370-G1370-H1370</f>
        <v>1502.3</v>
      </c>
      <c r="J1370" s="267" t="s">
        <v>156</v>
      </c>
      <c r="K1370" s="267">
        <v>1</v>
      </c>
      <c r="L1370" s="314">
        <v>0</v>
      </c>
      <c r="M1370" s="267">
        <v>1</v>
      </c>
      <c r="N1370" s="267">
        <v>1</v>
      </c>
      <c r="O1370" s="267">
        <v>1</v>
      </c>
      <c r="P1370" s="267">
        <v>1</v>
      </c>
      <c r="Q1370" s="267">
        <v>1</v>
      </c>
      <c r="R1370" s="267">
        <v>1</v>
      </c>
      <c r="S1370" s="269">
        <v>1</v>
      </c>
      <c r="T1370" s="63"/>
      <c r="U1370" s="10" t="s">
        <v>2642</v>
      </c>
      <c r="V1370" s="90"/>
      <c r="W1370" s="91"/>
      <c r="X1370" s="92"/>
    </row>
    <row r="1371" spans="1:24" s="260" customFormat="1">
      <c r="A1371" s="261" t="s">
        <v>2588</v>
      </c>
      <c r="B1371" s="87">
        <f>B1370+1</f>
        <v>3</v>
      </c>
      <c r="C1371" s="282">
        <v>45911</v>
      </c>
      <c r="D1371" s="368">
        <v>73228</v>
      </c>
      <c r="E1371" s="319" t="s">
        <v>1037</v>
      </c>
      <c r="F1371" s="284">
        <v>4914.8999999999996</v>
      </c>
      <c r="G1371" s="284">
        <f>39.7</f>
        <v>39.700000000000003</v>
      </c>
      <c r="H1371" s="284"/>
      <c r="I1371" s="285">
        <f>F1371-G1371-H1371</f>
        <v>4875.2</v>
      </c>
      <c r="J1371" s="286" t="s">
        <v>156</v>
      </c>
      <c r="K1371" s="286">
        <v>1</v>
      </c>
      <c r="L1371" s="286">
        <v>1</v>
      </c>
      <c r="M1371" s="286">
        <v>1</v>
      </c>
      <c r="N1371" s="286">
        <v>1</v>
      </c>
      <c r="O1371" s="286">
        <v>1</v>
      </c>
      <c r="P1371" s="286">
        <v>1</v>
      </c>
      <c r="Q1371" s="286">
        <v>1</v>
      </c>
      <c r="R1371" s="286">
        <v>1</v>
      </c>
      <c r="S1371" s="287">
        <v>1</v>
      </c>
      <c r="T1371" s="21"/>
      <c r="U1371" s="94" t="s">
        <v>2589</v>
      </c>
      <c r="V1371" s="90"/>
      <c r="W1371" s="91"/>
      <c r="X1371" s="92"/>
    </row>
    <row r="1372" spans="1:24" s="260" customFormat="1">
      <c r="B1372" s="11"/>
      <c r="C1372" s="270"/>
      <c r="D1372" s="10"/>
      <c r="E1372" s="10"/>
      <c r="F1372" s="97">
        <f>SUM(F1369:F1371)</f>
        <v>15070.9</v>
      </c>
      <c r="G1372" s="97">
        <f>SUM(G1369:G1371)</f>
        <v>1123.0300000000002</v>
      </c>
      <c r="H1372" s="97">
        <f>SUM(H1369:H1371)</f>
        <v>0</v>
      </c>
      <c r="I1372" s="97">
        <f>SUM(I1369:I1371)</f>
        <v>13947.869999999999</v>
      </c>
      <c r="J1372" s="63"/>
      <c r="K1372" s="21"/>
      <c r="L1372" s="21"/>
      <c r="M1372" s="21"/>
      <c r="N1372" s="21"/>
      <c r="O1372" s="21"/>
      <c r="P1372" s="21"/>
      <c r="Q1372" s="21"/>
      <c r="R1372" s="21"/>
      <c r="S1372" s="21"/>
      <c r="T1372" s="63"/>
      <c r="U1372" s="10"/>
      <c r="V1372" s="90"/>
      <c r="W1372" s="91"/>
      <c r="X1372" s="92"/>
    </row>
    <row r="1373" spans="1:24" s="260" customFormat="1">
      <c r="B1373" s="11"/>
      <c r="C1373" s="270"/>
      <c r="D1373" s="10"/>
      <c r="E1373" s="10"/>
      <c r="F1373" s="88"/>
      <c r="G1373" s="88"/>
      <c r="H1373" s="88"/>
      <c r="I1373" s="99"/>
      <c r="J1373" s="63"/>
      <c r="K1373" s="21"/>
      <c r="L1373" s="21"/>
      <c r="M1373" s="21"/>
      <c r="N1373" s="21"/>
      <c r="O1373" s="21"/>
      <c r="P1373" s="21"/>
      <c r="Q1373" s="21"/>
      <c r="R1373" s="21"/>
      <c r="S1373" s="21"/>
      <c r="T1373" s="63"/>
      <c r="U1373" s="10"/>
      <c r="V1373" s="90"/>
      <c r="W1373" s="91"/>
      <c r="X1373" s="92"/>
    </row>
    <row r="1374" spans="1:24" s="260" customFormat="1">
      <c r="B1374" s="100" t="s">
        <v>202</v>
      </c>
      <c r="C1374" s="270"/>
      <c r="D1374" s="10"/>
      <c r="E1374" s="181"/>
      <c r="F1374" s="88"/>
      <c r="G1374" s="88"/>
      <c r="H1374" s="88"/>
      <c r="I1374" s="99"/>
      <c r="J1374" s="63"/>
      <c r="K1374" s="21"/>
      <c r="L1374" s="21"/>
      <c r="M1374" s="21"/>
      <c r="N1374" s="21"/>
      <c r="O1374" s="21"/>
      <c r="P1374" s="21"/>
      <c r="Q1374" s="21"/>
      <c r="R1374" s="21"/>
      <c r="S1374" s="21"/>
      <c r="T1374" s="63"/>
      <c r="U1374" s="10"/>
      <c r="V1374" s="90"/>
      <c r="W1374" s="91"/>
      <c r="X1374" s="92"/>
    </row>
    <row r="1375" spans="1:24" s="260" customFormat="1">
      <c r="A1375" s="261">
        <v>0.05</v>
      </c>
      <c r="B1375" s="87">
        <v>1</v>
      </c>
      <c r="C1375" s="274">
        <v>45863</v>
      </c>
      <c r="D1375" s="327" t="s">
        <v>2406</v>
      </c>
      <c r="E1375" s="276" t="s">
        <v>2398</v>
      </c>
      <c r="F1375" s="277">
        <v>14218</v>
      </c>
      <c r="G1375" s="277">
        <f>39.7+487.5+(78.82+18.7+38.9+17.61+45.74)+(21.28)+1000</f>
        <v>1748.25</v>
      </c>
      <c r="H1375" s="277"/>
      <c r="I1375" s="278">
        <f>F1375-G1375-H1375</f>
        <v>12469.75</v>
      </c>
      <c r="J1375" s="279" t="s">
        <v>156</v>
      </c>
      <c r="K1375" s="279">
        <v>1</v>
      </c>
      <c r="L1375" s="279"/>
      <c r="M1375" s="279">
        <v>1</v>
      </c>
      <c r="N1375" s="279">
        <v>1</v>
      </c>
      <c r="O1375" s="279">
        <v>1</v>
      </c>
      <c r="P1375" s="279">
        <v>1</v>
      </c>
      <c r="Q1375" s="279"/>
      <c r="R1375" s="279"/>
      <c r="S1375" s="280"/>
      <c r="T1375" s="63"/>
      <c r="U1375" s="94" t="s">
        <v>2407</v>
      </c>
      <c r="V1375" s="90"/>
      <c r="W1375" s="136"/>
      <c r="X1375" s="137"/>
    </row>
    <row r="1376" spans="1:24" s="260" customFormat="1">
      <c r="A1376" s="494">
        <v>0.1</v>
      </c>
      <c r="B1376" s="87">
        <f>B1375+1</f>
        <v>2</v>
      </c>
      <c r="C1376" s="274">
        <v>45925</v>
      </c>
      <c r="D1376" s="327">
        <v>73655</v>
      </c>
      <c r="E1376" s="281" t="s">
        <v>1401</v>
      </c>
      <c r="F1376" s="277">
        <v>7118.1</v>
      </c>
      <c r="G1376" s="277">
        <f>39.7+500</f>
        <v>539.70000000000005</v>
      </c>
      <c r="H1376" s="277"/>
      <c r="I1376" s="321">
        <f t="shared" ref="I1376" si="246">F1376-G1376-H1376</f>
        <v>6578.4000000000005</v>
      </c>
      <c r="J1376" s="279"/>
      <c r="K1376" s="279">
        <v>1</v>
      </c>
      <c r="L1376" s="279"/>
      <c r="M1376" s="279"/>
      <c r="N1376" s="279">
        <v>1</v>
      </c>
      <c r="O1376" s="279">
        <v>1</v>
      </c>
      <c r="P1376" s="322">
        <v>0</v>
      </c>
      <c r="Q1376" s="279"/>
      <c r="R1376" s="279"/>
      <c r="S1376" s="280"/>
      <c r="T1376" s="63"/>
      <c r="U1376" s="94" t="s">
        <v>2618</v>
      </c>
      <c r="V1376" s="90"/>
      <c r="W1376" s="136"/>
      <c r="X1376" s="137"/>
    </row>
    <row r="1377" spans="1:24" s="260" customFormat="1">
      <c r="A1377" s="494">
        <v>0.1</v>
      </c>
      <c r="B1377" s="87">
        <f t="shared" ref="B1377" si="247">B1376+1</f>
        <v>3</v>
      </c>
      <c r="C1377" s="262">
        <v>45939</v>
      </c>
      <c r="D1377" s="263" t="s">
        <v>2652</v>
      </c>
      <c r="E1377" s="271" t="s">
        <v>1008</v>
      </c>
      <c r="F1377" s="265">
        <v>18161</v>
      </c>
      <c r="G1377" s="265">
        <f>39.7+(125.35+68.83)+(596.95+34.4)+1500</f>
        <v>2365.23</v>
      </c>
      <c r="H1377" s="265"/>
      <c r="I1377" s="272">
        <f>F1377-G1377-H1377</f>
        <v>15795.77</v>
      </c>
      <c r="J1377" s="267" t="s">
        <v>156</v>
      </c>
      <c r="K1377" s="267">
        <v>1</v>
      </c>
      <c r="L1377" s="267"/>
      <c r="M1377" s="267">
        <v>1</v>
      </c>
      <c r="N1377" s="267">
        <v>1</v>
      </c>
      <c r="O1377" s="267">
        <v>1</v>
      </c>
      <c r="P1377" s="267">
        <v>1</v>
      </c>
      <c r="Q1377" s="267"/>
      <c r="R1377" s="267"/>
      <c r="S1377" s="269"/>
      <c r="T1377" s="63"/>
      <c r="U1377" s="94" t="s">
        <v>2680</v>
      </c>
      <c r="V1377" s="90"/>
      <c r="W1377" s="136"/>
      <c r="X1377" s="137"/>
    </row>
    <row r="1378" spans="1:24" s="260" customFormat="1">
      <c r="A1378" s="260" t="s">
        <v>2347</v>
      </c>
      <c r="B1378" s="11"/>
      <c r="C1378" s="270"/>
      <c r="D1378" s="10"/>
      <c r="E1378" s="10"/>
      <c r="F1378" s="97">
        <f>SUM(F1375:F1377)</f>
        <v>39497.1</v>
      </c>
      <c r="G1378" s="97">
        <f t="shared" ref="G1378:I1378" si="248">SUM(G1375:G1377)</f>
        <v>4653.18</v>
      </c>
      <c r="H1378" s="97">
        <f t="shared" si="248"/>
        <v>0</v>
      </c>
      <c r="I1378" s="97">
        <f t="shared" si="248"/>
        <v>34843.919999999998</v>
      </c>
      <c r="J1378" s="63"/>
      <c r="K1378" s="21"/>
      <c r="L1378" s="21"/>
      <c r="M1378" s="21"/>
      <c r="N1378" s="21"/>
      <c r="O1378" s="21"/>
      <c r="P1378" s="21"/>
      <c r="Q1378" s="21"/>
      <c r="R1378" s="21"/>
      <c r="S1378" s="21"/>
      <c r="T1378" s="63"/>
      <c r="V1378" s="90"/>
      <c r="W1378" s="91"/>
      <c r="X1378" s="92"/>
    </row>
    <row r="1379" spans="1:24" s="260" customFormat="1">
      <c r="B1379" s="11"/>
      <c r="C1379" s="270"/>
      <c r="D1379" s="10"/>
      <c r="E1379" s="10"/>
      <c r="F1379" s="88"/>
      <c r="G1379" s="88"/>
      <c r="H1379" s="88"/>
      <c r="I1379" s="88"/>
      <c r="J1379" s="63"/>
      <c r="K1379" s="21"/>
      <c r="L1379" s="21"/>
      <c r="M1379" s="21"/>
      <c r="N1379" s="21"/>
      <c r="O1379" s="21"/>
      <c r="P1379" s="21"/>
      <c r="Q1379" s="21"/>
      <c r="R1379" s="21"/>
      <c r="S1379" s="21"/>
      <c r="T1379" s="63"/>
      <c r="U1379" s="10"/>
      <c r="V1379" s="90"/>
      <c r="W1379" s="91"/>
      <c r="X1379" s="92"/>
    </row>
    <row r="1380" spans="1:24">
      <c r="A1380" s="614"/>
      <c r="B1380" s="100" t="s">
        <v>72</v>
      </c>
      <c r="C1380" s="609"/>
      <c r="D1380" s="10"/>
      <c r="E1380" s="10"/>
      <c r="F1380" s="88"/>
      <c r="G1380" s="88"/>
      <c r="H1380" s="88"/>
      <c r="I1380" s="99"/>
      <c r="J1380" s="63"/>
      <c r="K1380" s="63"/>
      <c r="L1380" s="63"/>
      <c r="M1380" s="63"/>
      <c r="N1380" s="63"/>
      <c r="O1380" s="63"/>
      <c r="P1380" s="63"/>
      <c r="Q1380" s="63"/>
      <c r="R1380" s="63"/>
      <c r="S1380" s="63"/>
      <c r="T1380" s="63"/>
      <c r="U1380" s="94"/>
      <c r="V1380" s="90"/>
      <c r="W1380" s="91"/>
      <c r="X1380" s="92"/>
    </row>
    <row r="1381" spans="1:24">
      <c r="A1381" s="614"/>
      <c r="B1381" s="87">
        <v>1</v>
      </c>
      <c r="C1381" s="274">
        <v>45943</v>
      </c>
      <c r="D1381" s="276">
        <v>74234</v>
      </c>
      <c r="E1381" s="276" t="s">
        <v>1037</v>
      </c>
      <c r="F1381" s="277">
        <v>5404</v>
      </c>
      <c r="G1381" s="277">
        <f>39.7</f>
        <v>39.700000000000003</v>
      </c>
      <c r="H1381" s="277"/>
      <c r="I1381" s="278">
        <f>F1381-G1381-H1381</f>
        <v>5364.3</v>
      </c>
      <c r="J1381" s="279" t="s">
        <v>205</v>
      </c>
      <c r="K1381" s="279">
        <v>1</v>
      </c>
      <c r="L1381" s="279"/>
      <c r="M1381" s="279"/>
      <c r="N1381" s="279">
        <v>1</v>
      </c>
      <c r="O1381" s="279"/>
      <c r="P1381" s="279"/>
      <c r="Q1381" s="279">
        <v>1</v>
      </c>
      <c r="R1381" s="279">
        <v>1</v>
      </c>
      <c r="S1381" s="280">
        <v>1</v>
      </c>
      <c r="T1381" s="63"/>
      <c r="U1381" s="164"/>
      <c r="V1381" s="90"/>
      <c r="W1381" s="91"/>
      <c r="X1381" s="92"/>
    </row>
    <row r="1382" spans="1:24">
      <c r="A1382" s="614"/>
      <c r="B1382" s="87">
        <f>B1381+1</f>
        <v>2</v>
      </c>
      <c r="C1382" s="295">
        <v>45943</v>
      </c>
      <c r="D1382" s="10" t="s">
        <v>2681</v>
      </c>
      <c r="E1382" s="10" t="s">
        <v>1150</v>
      </c>
      <c r="F1382" s="62">
        <v>15676</v>
      </c>
      <c r="G1382" s="62">
        <v>39.700000000000003</v>
      </c>
      <c r="H1382" s="62"/>
      <c r="I1382" s="89">
        <f>F1382-G1382-H1382</f>
        <v>15636.3</v>
      </c>
      <c r="J1382" s="63" t="s">
        <v>205</v>
      </c>
      <c r="K1382" s="63">
        <v>1</v>
      </c>
      <c r="L1382" s="63"/>
      <c r="M1382" s="63"/>
      <c r="N1382" s="63">
        <v>1</v>
      </c>
      <c r="O1382" s="63"/>
      <c r="P1382" s="63"/>
      <c r="Q1382" s="63"/>
      <c r="R1382" s="63"/>
      <c r="S1382" s="296"/>
      <c r="T1382" s="63"/>
      <c r="U1382" s="94"/>
      <c r="V1382" s="90"/>
      <c r="W1382" s="136"/>
      <c r="X1382" s="137"/>
    </row>
    <row r="1383" spans="1:24">
      <c r="A1383" s="614"/>
      <c r="B1383" s="87">
        <f>B1382+1</f>
        <v>3</v>
      </c>
      <c r="C1383" s="274">
        <v>45944</v>
      </c>
      <c r="D1383" s="509" t="s">
        <v>2682</v>
      </c>
      <c r="E1383" s="276" t="s">
        <v>577</v>
      </c>
      <c r="F1383" s="277">
        <v>15403</v>
      </c>
      <c r="G1383" s="277">
        <f>39.7+1500</f>
        <v>1539.7</v>
      </c>
      <c r="H1383" s="277"/>
      <c r="I1383" s="278">
        <f>F1383-G1383-H1383</f>
        <v>13863.3</v>
      </c>
      <c r="J1383" s="279"/>
      <c r="K1383" s="279">
        <v>1</v>
      </c>
      <c r="L1383" s="279"/>
      <c r="M1383" s="279"/>
      <c r="N1383" s="279">
        <v>1</v>
      </c>
      <c r="O1383" s="279">
        <v>1</v>
      </c>
      <c r="P1383" s="279">
        <v>1</v>
      </c>
      <c r="Q1383" s="279"/>
      <c r="R1383" s="279"/>
      <c r="S1383" s="280"/>
      <c r="T1383" s="63"/>
      <c r="U1383" s="94"/>
      <c r="V1383" s="90"/>
      <c r="W1383" s="136"/>
      <c r="X1383" s="137"/>
    </row>
    <row r="1384" spans="1:24">
      <c r="A1384" s="614"/>
      <c r="B1384" s="87">
        <f>B1383+1</f>
        <v>4</v>
      </c>
      <c r="C1384" s="282">
        <v>45944</v>
      </c>
      <c r="D1384" s="283">
        <v>74372</v>
      </c>
      <c r="E1384" s="283" t="s">
        <v>1313</v>
      </c>
      <c r="F1384" s="284">
        <v>774.9</v>
      </c>
      <c r="G1384" s="284">
        <v>39.700000000000003</v>
      </c>
      <c r="H1384" s="284"/>
      <c r="I1384" s="285">
        <f>F1384-G1384-H1384</f>
        <v>735.19999999999993</v>
      </c>
      <c r="J1384" s="286" t="s">
        <v>205</v>
      </c>
      <c r="K1384" s="286"/>
      <c r="L1384" s="286"/>
      <c r="M1384" s="286"/>
      <c r="N1384" s="286"/>
      <c r="O1384" s="286"/>
      <c r="P1384" s="286"/>
      <c r="Q1384" s="286">
        <v>1</v>
      </c>
      <c r="R1384" s="286">
        <v>1</v>
      </c>
      <c r="S1384" s="287">
        <v>1</v>
      </c>
      <c r="T1384" s="63"/>
      <c r="U1384" s="94"/>
      <c r="V1384" s="90"/>
      <c r="W1384" s="136"/>
      <c r="X1384" s="137"/>
    </row>
    <row r="1385" spans="1:24">
      <c r="A1385" s="614"/>
      <c r="B1385" s="87">
        <f>B1384+1</f>
        <v>5</v>
      </c>
      <c r="C1385" s="295">
        <v>45945</v>
      </c>
      <c r="D1385" s="10">
        <v>74437</v>
      </c>
      <c r="E1385" s="10" t="s">
        <v>1249</v>
      </c>
      <c r="F1385" s="62">
        <v>1428.85</v>
      </c>
      <c r="G1385" s="62">
        <v>39.700000000000003</v>
      </c>
      <c r="H1385" s="62"/>
      <c r="I1385" s="89">
        <f>F1385-G1385-H1385</f>
        <v>1389.1499999999999</v>
      </c>
      <c r="J1385" s="63" t="s">
        <v>205</v>
      </c>
      <c r="K1385" s="63">
        <v>1</v>
      </c>
      <c r="L1385" s="63"/>
      <c r="M1385" s="63"/>
      <c r="N1385" s="63">
        <v>1</v>
      </c>
      <c r="O1385" s="63"/>
      <c r="P1385" s="63"/>
      <c r="Q1385" s="63">
        <v>1</v>
      </c>
      <c r="R1385" s="63">
        <v>1</v>
      </c>
      <c r="S1385" s="296">
        <v>1</v>
      </c>
      <c r="T1385" s="63"/>
      <c r="U1385" s="94"/>
      <c r="V1385" s="90"/>
      <c r="W1385" s="136"/>
      <c r="X1385" s="137"/>
    </row>
    <row r="1386" spans="1:24">
      <c r="A1386" s="614"/>
      <c r="B1386" s="87">
        <f>B1385+1</f>
        <v>6</v>
      </c>
      <c r="C1386" s="295">
        <v>45945</v>
      </c>
      <c r="D1386" s="10">
        <v>74514</v>
      </c>
      <c r="E1386" s="10" t="s">
        <v>306</v>
      </c>
      <c r="F1386" s="62">
        <v>2861</v>
      </c>
      <c r="G1386" s="62">
        <v>39.700000000000003</v>
      </c>
      <c r="H1386" s="62"/>
      <c r="I1386" s="89">
        <f>F1386-G1386-H1386</f>
        <v>2821.3</v>
      </c>
      <c r="J1386" s="63" t="s">
        <v>156</v>
      </c>
      <c r="K1386" s="63">
        <v>1</v>
      </c>
      <c r="L1386" s="63"/>
      <c r="M1386" s="63">
        <v>1</v>
      </c>
      <c r="N1386" s="63">
        <v>1</v>
      </c>
      <c r="O1386" s="63"/>
      <c r="P1386" s="63"/>
      <c r="Q1386" s="63">
        <v>1</v>
      </c>
      <c r="R1386" s="63">
        <v>1</v>
      </c>
      <c r="S1386" s="296">
        <v>1</v>
      </c>
      <c r="T1386" s="63"/>
      <c r="U1386" s="94"/>
      <c r="V1386" s="90">
        <v>203.5</v>
      </c>
      <c r="W1386" s="136"/>
      <c r="X1386" s="137"/>
    </row>
    <row r="1387" spans="1:24">
      <c r="A1387" s="614"/>
      <c r="B1387" s="87">
        <f>B1386+1</f>
        <v>7</v>
      </c>
      <c r="C1387" s="295">
        <v>45945</v>
      </c>
      <c r="D1387" s="10">
        <v>73486</v>
      </c>
      <c r="E1387" s="101" t="s">
        <v>1013</v>
      </c>
      <c r="F1387" s="62">
        <v>0</v>
      </c>
      <c r="G1387" s="62">
        <v>0</v>
      </c>
      <c r="H1387" s="62"/>
      <c r="I1387" s="89">
        <f>F1387-G1387-H1387</f>
        <v>0</v>
      </c>
      <c r="J1387" s="63" t="s">
        <v>205</v>
      </c>
      <c r="K1387" s="63"/>
      <c r="L1387" s="63"/>
      <c r="M1387" s="63"/>
      <c r="N1387" s="63"/>
      <c r="O1387" s="63"/>
      <c r="P1387" s="63"/>
      <c r="Q1387" s="63">
        <v>1</v>
      </c>
      <c r="R1387" s="63">
        <v>1</v>
      </c>
      <c r="S1387" s="296">
        <v>1</v>
      </c>
      <c r="T1387" s="63"/>
      <c r="U1387" s="94"/>
      <c r="V1387" s="90"/>
      <c r="W1387" s="136"/>
      <c r="X1387" s="137"/>
    </row>
    <row r="1388" spans="1:24">
      <c r="A1388" s="614"/>
      <c r="B1388" s="87">
        <f>B1387+1</f>
        <v>8</v>
      </c>
      <c r="C1388" s="274">
        <v>45946</v>
      </c>
      <c r="D1388" s="276" t="s">
        <v>2683</v>
      </c>
      <c r="E1388" s="276" t="s">
        <v>737</v>
      </c>
      <c r="F1388" s="277">
        <v>4419</v>
      </c>
      <c r="G1388" s="277">
        <v>39.700000000000003</v>
      </c>
      <c r="H1388" s="277"/>
      <c r="I1388" s="278">
        <f>F1388-G1388-H1388</f>
        <v>4379.3</v>
      </c>
      <c r="J1388" s="279" t="s">
        <v>205</v>
      </c>
      <c r="K1388" s="279">
        <v>1</v>
      </c>
      <c r="L1388" s="279"/>
      <c r="M1388" s="279"/>
      <c r="N1388" s="279">
        <v>1</v>
      </c>
      <c r="O1388" s="279"/>
      <c r="P1388" s="279"/>
      <c r="Q1388" s="279"/>
      <c r="R1388" s="279"/>
      <c r="S1388" s="280"/>
      <c r="T1388" s="63"/>
      <c r="U1388" s="94"/>
      <c r="V1388" s="90"/>
      <c r="W1388" s="136"/>
      <c r="X1388" s="137"/>
    </row>
    <row r="1389" spans="1:24">
      <c r="A1389" s="614"/>
      <c r="B1389" s="87">
        <f>B1388+1</f>
        <v>9</v>
      </c>
      <c r="C1389" s="295">
        <v>45946</v>
      </c>
      <c r="D1389" s="10">
        <v>74511</v>
      </c>
      <c r="E1389" s="101" t="s">
        <v>1156</v>
      </c>
      <c r="F1389" s="62">
        <v>0</v>
      </c>
      <c r="G1389" s="62">
        <v>0</v>
      </c>
      <c r="H1389" s="62"/>
      <c r="I1389" s="89">
        <f>F1389-G1389-H1389</f>
        <v>0</v>
      </c>
      <c r="J1389" s="63" t="s">
        <v>205</v>
      </c>
      <c r="K1389" s="63"/>
      <c r="L1389" s="63"/>
      <c r="M1389" s="63"/>
      <c r="N1389" s="63"/>
      <c r="O1389" s="63"/>
      <c r="P1389" s="63"/>
      <c r="Q1389" s="63">
        <v>1</v>
      </c>
      <c r="R1389" s="63">
        <v>1</v>
      </c>
      <c r="S1389" s="296">
        <v>1</v>
      </c>
      <c r="T1389" s="63"/>
      <c r="U1389" s="94"/>
      <c r="V1389" s="90"/>
      <c r="W1389" s="136"/>
      <c r="X1389" s="137"/>
    </row>
    <row r="1390" spans="1:24">
      <c r="A1390" s="614"/>
      <c r="B1390" s="87">
        <f>B1389+1</f>
        <v>10</v>
      </c>
      <c r="C1390" s="295">
        <v>45946</v>
      </c>
      <c r="D1390" s="10">
        <v>74496</v>
      </c>
      <c r="E1390" s="101" t="s">
        <v>1313</v>
      </c>
      <c r="F1390" s="62">
        <v>961</v>
      </c>
      <c r="G1390" s="62">
        <v>39.700000000000003</v>
      </c>
      <c r="H1390" s="62"/>
      <c r="I1390" s="89">
        <f>F1390-G1390-H1390</f>
        <v>921.3</v>
      </c>
      <c r="J1390" s="63" t="s">
        <v>374</v>
      </c>
      <c r="K1390" s="63">
        <v>1</v>
      </c>
      <c r="L1390" s="63"/>
      <c r="M1390" s="63">
        <v>1</v>
      </c>
      <c r="N1390" s="63">
        <v>1</v>
      </c>
      <c r="O1390" s="63"/>
      <c r="P1390" s="63"/>
      <c r="Q1390" s="63"/>
      <c r="R1390" s="63"/>
      <c r="S1390" s="296"/>
      <c r="T1390" s="63"/>
      <c r="U1390" s="94"/>
      <c r="V1390" s="90">
        <v>93.5</v>
      </c>
      <c r="W1390" s="136"/>
      <c r="X1390" s="137"/>
    </row>
    <row r="1391" spans="1:24">
      <c r="A1391" s="614"/>
      <c r="B1391" s="87">
        <f>B1390+1</f>
        <v>11</v>
      </c>
      <c r="C1391" s="295">
        <v>45946</v>
      </c>
      <c r="D1391" s="10" t="s">
        <v>2684</v>
      </c>
      <c r="E1391" s="10" t="s">
        <v>1159</v>
      </c>
      <c r="F1391" s="62">
        <v>13781.9</v>
      </c>
      <c r="G1391" s="62">
        <v>39.700000000000003</v>
      </c>
      <c r="H1391" s="62"/>
      <c r="I1391" s="89">
        <f>F1391-G1391-H1391</f>
        <v>13742.199999999999</v>
      </c>
      <c r="J1391" s="63" t="s">
        <v>205</v>
      </c>
      <c r="K1391" s="63">
        <v>1</v>
      </c>
      <c r="L1391" s="63"/>
      <c r="M1391" s="63"/>
      <c r="N1391" s="63">
        <v>1</v>
      </c>
      <c r="O1391" s="63"/>
      <c r="P1391" s="63"/>
      <c r="Q1391" s="63"/>
      <c r="R1391" s="63"/>
      <c r="S1391" s="296"/>
      <c r="T1391" s="63"/>
      <c r="U1391" s="94"/>
      <c r="V1391" s="90"/>
      <c r="W1391" s="136"/>
      <c r="X1391" s="137"/>
    </row>
    <row r="1392" spans="1:24">
      <c r="A1392" s="614"/>
      <c r="B1392" s="87">
        <f>B1391+1</f>
        <v>12</v>
      </c>
      <c r="C1392" s="274">
        <v>45947</v>
      </c>
      <c r="D1392" s="276">
        <v>74424</v>
      </c>
      <c r="E1392" s="281" t="s">
        <v>1288</v>
      </c>
      <c r="F1392" s="277">
        <v>691.9</v>
      </c>
      <c r="G1392" s="277">
        <v>39.700000000000003</v>
      </c>
      <c r="H1392" s="277"/>
      <c r="I1392" s="278">
        <f>F1392-G1392-H1392</f>
        <v>652.19999999999993</v>
      </c>
      <c r="J1392" s="279" t="s">
        <v>205</v>
      </c>
      <c r="K1392" s="279">
        <v>1</v>
      </c>
      <c r="L1392" s="279"/>
      <c r="M1392" s="279"/>
      <c r="N1392" s="279">
        <v>1</v>
      </c>
      <c r="O1392" s="279"/>
      <c r="P1392" s="279"/>
      <c r="Q1392" s="279">
        <v>1</v>
      </c>
      <c r="R1392" s="279">
        <v>1</v>
      </c>
      <c r="S1392" s="280">
        <v>1</v>
      </c>
      <c r="T1392" s="63"/>
      <c r="U1392" s="94"/>
      <c r="V1392" s="90"/>
      <c r="W1392" s="136"/>
      <c r="X1392" s="137"/>
    </row>
    <row r="1393" spans="1:24">
      <c r="A1393" s="614"/>
      <c r="B1393" s="87">
        <f>B1392+1</f>
        <v>13</v>
      </c>
      <c r="C1393" s="282">
        <v>45947</v>
      </c>
      <c r="D1393" s="283">
        <v>74368</v>
      </c>
      <c r="E1393" s="319" t="s">
        <v>2606</v>
      </c>
      <c r="F1393" s="284">
        <v>1138</v>
      </c>
      <c r="G1393" s="284">
        <v>39.700000000000003</v>
      </c>
      <c r="H1393" s="284"/>
      <c r="I1393" s="285">
        <f>F1393-G1393-H1393</f>
        <v>1098.3</v>
      </c>
      <c r="J1393" s="286" t="s">
        <v>205</v>
      </c>
      <c r="K1393" s="286">
        <v>1</v>
      </c>
      <c r="L1393" s="286"/>
      <c r="M1393" s="286"/>
      <c r="N1393" s="286">
        <v>1</v>
      </c>
      <c r="O1393" s="286"/>
      <c r="P1393" s="286"/>
      <c r="Q1393" s="286">
        <v>1</v>
      </c>
      <c r="R1393" s="286">
        <v>1</v>
      </c>
      <c r="S1393" s="287">
        <v>1</v>
      </c>
      <c r="T1393" s="63"/>
      <c r="U1393" s="94"/>
      <c r="V1393" s="90"/>
      <c r="W1393" s="136"/>
      <c r="X1393" s="137"/>
    </row>
    <row r="1394" spans="1:24">
      <c r="A1394" s="614"/>
      <c r="B1394" s="11"/>
      <c r="C1394" s="36"/>
      <c r="D1394" s="10"/>
      <c r="E1394" s="10"/>
      <c r="F1394" s="97">
        <f>SUM(F1381:F1393)</f>
        <v>62539.55</v>
      </c>
      <c r="G1394" s="97">
        <f>SUM(G1381:G1393)</f>
        <v>1936.7000000000005</v>
      </c>
      <c r="H1394" s="97">
        <f>SUM(H1381:H1393)</f>
        <v>0</v>
      </c>
      <c r="I1394" s="98">
        <f>SUM(I1381:I1393)</f>
        <v>60602.85</v>
      </c>
      <c r="J1394" s="10"/>
      <c r="K1394" s="10"/>
      <c r="L1394" s="10"/>
      <c r="M1394" s="10"/>
      <c r="N1394" s="10"/>
      <c r="O1394" s="10"/>
      <c r="P1394" s="10"/>
      <c r="Q1394" s="10"/>
      <c r="R1394" s="10"/>
      <c r="S1394" s="10"/>
      <c r="T1394" s="63"/>
      <c r="U1394" s="94"/>
      <c r="V1394" s="90"/>
      <c r="W1394" s="91"/>
      <c r="X1394" s="92"/>
    </row>
    <row r="1395" spans="1:24">
      <c r="A1395" s="614"/>
      <c r="B1395" s="26"/>
      <c r="C1395" s="612"/>
      <c r="D1395" s="141"/>
      <c r="E1395" s="141"/>
      <c r="F1395" s="141"/>
      <c r="G1395" s="141"/>
      <c r="H1395" s="141"/>
      <c r="I1395" s="141"/>
      <c r="J1395" s="141"/>
      <c r="K1395" s="142"/>
      <c r="L1395" s="142"/>
      <c r="M1395" s="142"/>
      <c r="N1395" s="142"/>
      <c r="O1395" s="142"/>
      <c r="P1395" s="142"/>
      <c r="Q1395" s="142"/>
      <c r="R1395" s="142"/>
      <c r="S1395" s="142"/>
      <c r="T1395" s="143">
        <f>SUM(T1335:T1394)</f>
        <v>5</v>
      </c>
      <c r="U1395" s="168"/>
      <c r="V1395" s="144">
        <f>SUM(V1335:V1394)</f>
        <v>54848.039999999986</v>
      </c>
      <c r="W1395" s="145">
        <f>SUM(W1335:W1394)</f>
        <v>1390</v>
      </c>
      <c r="X1395" s="146">
        <f>SUM(X1335:X1394)</f>
        <v>0</v>
      </c>
    </row>
    <row r="1398" spans="1:24">
      <c r="B1398" s="4" t="s">
        <v>1</v>
      </c>
      <c r="C1398" s="5"/>
      <c r="D1398" s="83"/>
      <c r="E1398" s="6"/>
      <c r="F1398" s="7" t="s">
        <v>2</v>
      </c>
      <c r="G1398" s="608">
        <v>45956</v>
      </c>
      <c r="H1398" s="7"/>
      <c r="I1398" s="6"/>
      <c r="J1398" s="6"/>
      <c r="K1398" s="6"/>
      <c r="L1398" s="6"/>
      <c r="M1398" s="6"/>
      <c r="N1398" s="6"/>
      <c r="O1398" s="6"/>
      <c r="P1398" s="6"/>
      <c r="Q1398" s="6"/>
      <c r="R1398" s="6"/>
      <c r="S1398" s="6"/>
      <c r="T1398" s="6"/>
      <c r="U1398" s="149"/>
      <c r="V1398" s="77"/>
      <c r="W1398" s="77"/>
      <c r="X1398" s="77"/>
    </row>
    <row r="1399" spans="1:24">
      <c r="B1399" s="11"/>
      <c r="C1399" s="10"/>
      <c r="D1399" s="63"/>
      <c r="E1399" s="10"/>
      <c r="F1399" s="10"/>
      <c r="G1399" s="7"/>
      <c r="H1399" s="12"/>
      <c r="I1399" s="10"/>
      <c r="J1399" s="10"/>
      <c r="K1399" s="13" t="s">
        <v>3</v>
      </c>
      <c r="L1399" s="14"/>
      <c r="M1399" s="15"/>
      <c r="N1399" s="13" t="s">
        <v>4</v>
      </c>
      <c r="O1399" s="14"/>
      <c r="P1399" s="15"/>
      <c r="Q1399" s="13" t="s">
        <v>5</v>
      </c>
      <c r="R1399" s="14"/>
      <c r="S1399" s="15"/>
      <c r="T1399" s="16"/>
      <c r="U1399" s="151"/>
      <c r="V1399" s="77"/>
      <c r="W1399" s="77"/>
      <c r="X1399" s="77"/>
    </row>
    <row r="1400" spans="1:24">
      <c r="B1400" s="18" t="s">
        <v>6</v>
      </c>
      <c r="C1400" s="19">
        <f>C1401+C1402</f>
        <v>30</v>
      </c>
      <c r="D1400" s="63"/>
      <c r="E1400" s="18" t="s">
        <v>7</v>
      </c>
      <c r="F1400" s="6"/>
      <c r="G1400" s="9"/>
      <c r="H1400" s="10"/>
      <c r="I1400" s="10"/>
      <c r="J1400" s="10"/>
      <c r="K1400" s="20" t="s">
        <v>8</v>
      </c>
      <c r="L1400" s="21" t="s">
        <v>9</v>
      </c>
      <c r="M1400" s="21" t="s">
        <v>10</v>
      </c>
      <c r="N1400" s="20" t="s">
        <v>11</v>
      </c>
      <c r="O1400" s="21" t="s">
        <v>12</v>
      </c>
      <c r="P1400" s="22" t="s">
        <v>13</v>
      </c>
      <c r="Q1400" s="21" t="s">
        <v>11</v>
      </c>
      <c r="R1400" s="21" t="s">
        <v>12</v>
      </c>
      <c r="S1400" s="22" t="s">
        <v>13</v>
      </c>
      <c r="T1400" s="23" t="s">
        <v>14</v>
      </c>
      <c r="U1400" s="151"/>
      <c r="V1400" s="77"/>
      <c r="W1400" s="77"/>
      <c r="X1400" s="77"/>
    </row>
    <row r="1401" spans="1:24">
      <c r="B1401" s="24" t="s">
        <v>15</v>
      </c>
      <c r="C1401" s="25">
        <f>P1408</f>
        <v>14</v>
      </c>
      <c r="D1401" s="63"/>
      <c r="E1401" s="11" t="s">
        <v>16</v>
      </c>
      <c r="F1401" s="10" t="s">
        <v>78</v>
      </c>
      <c r="G1401" s="153">
        <v>0.05</v>
      </c>
      <c r="H1401" s="10"/>
      <c r="I1401" s="10"/>
      <c r="J1401" s="18" t="s">
        <v>17</v>
      </c>
      <c r="K1401" s="29">
        <f>K1439</f>
        <v>12</v>
      </c>
      <c r="L1401" s="29">
        <f t="shared" ref="L1401:S1401" si="249">L1439</f>
        <v>12</v>
      </c>
      <c r="M1401" s="29">
        <f t="shared" si="249"/>
        <v>11</v>
      </c>
      <c r="N1401" s="29">
        <f t="shared" si="249"/>
        <v>12</v>
      </c>
      <c r="O1401" s="29">
        <f t="shared" si="249"/>
        <v>12</v>
      </c>
      <c r="P1401" s="29">
        <f t="shared" si="249"/>
        <v>12</v>
      </c>
      <c r="Q1401" s="29">
        <f t="shared" si="249"/>
        <v>12</v>
      </c>
      <c r="R1401" s="29">
        <f t="shared" si="249"/>
        <v>12</v>
      </c>
      <c r="S1401" s="29">
        <f t="shared" si="249"/>
        <v>12</v>
      </c>
      <c r="T1401" s="30">
        <f>T1480</f>
        <v>4</v>
      </c>
      <c r="U1401" s="151"/>
      <c r="V1401" s="77"/>
      <c r="W1401" s="77"/>
      <c r="X1401" s="77"/>
    </row>
    <row r="1402" spans="1:24">
      <c r="B1402" s="24" t="s">
        <v>18</v>
      </c>
      <c r="C1402" s="25">
        <f>P1409</f>
        <v>16</v>
      </c>
      <c r="D1402" s="63"/>
      <c r="E1402" s="26" t="s">
        <v>80</v>
      </c>
      <c r="F1402" s="141" t="s">
        <v>81</v>
      </c>
      <c r="G1402" s="154">
        <v>0.1</v>
      </c>
      <c r="H1402" s="10"/>
      <c r="I1402" s="10"/>
      <c r="J1402" s="32" t="s">
        <v>19</v>
      </c>
      <c r="K1402" s="33">
        <f>K1439/K1438</f>
        <v>1</v>
      </c>
      <c r="L1402" s="33">
        <f t="shared" ref="L1402:S1402" si="250">L1439/L1438</f>
        <v>1</v>
      </c>
      <c r="M1402" s="33">
        <f t="shared" si="250"/>
        <v>0.91666666666666663</v>
      </c>
      <c r="N1402" s="33">
        <f t="shared" si="250"/>
        <v>1</v>
      </c>
      <c r="O1402" s="33">
        <f t="shared" si="250"/>
        <v>1</v>
      </c>
      <c r="P1402" s="33">
        <f t="shared" si="250"/>
        <v>1</v>
      </c>
      <c r="Q1402" s="33">
        <f t="shared" si="250"/>
        <v>1</v>
      </c>
      <c r="R1402" s="33">
        <f t="shared" si="250"/>
        <v>1</v>
      </c>
      <c r="S1402" s="33">
        <f t="shared" si="250"/>
        <v>1</v>
      </c>
      <c r="T1402" s="23"/>
      <c r="U1402" s="151" t="s">
        <v>20</v>
      </c>
      <c r="V1402" s="77"/>
      <c r="W1402" s="77"/>
      <c r="X1402" s="77"/>
    </row>
    <row r="1403" spans="1:24">
      <c r="B1403" s="24" t="s">
        <v>21</v>
      </c>
      <c r="C1403" s="34">
        <f>P1410</f>
        <v>0.46666666666666667</v>
      </c>
      <c r="D1403" s="63"/>
      <c r="E1403" s="10"/>
      <c r="F1403" s="10"/>
      <c r="G1403" s="10"/>
      <c r="H1403" s="10"/>
      <c r="I1403" s="10"/>
      <c r="J1403" s="10"/>
      <c r="K1403" s="10"/>
      <c r="L1403" s="10"/>
      <c r="M1403" s="10"/>
      <c r="N1403" s="10"/>
      <c r="O1403" s="10"/>
      <c r="P1403" s="10"/>
      <c r="Q1403" s="10"/>
      <c r="R1403" s="10"/>
      <c r="S1403" s="10"/>
      <c r="T1403" s="10"/>
      <c r="U1403" s="151"/>
      <c r="V1403" s="77"/>
      <c r="W1403" s="77"/>
      <c r="X1403" s="77"/>
    </row>
    <row r="1404" spans="1:24">
      <c r="B1404" s="24"/>
      <c r="C1404" s="25"/>
      <c r="D1404" s="63"/>
      <c r="E1404" s="10"/>
      <c r="F1404" s="18" t="s">
        <v>22</v>
      </c>
      <c r="G1404" s="19" t="s">
        <v>23</v>
      </c>
      <c r="H1404" s="35" t="s">
        <v>24</v>
      </c>
      <c r="I1404" s="10"/>
      <c r="J1404" s="10"/>
      <c r="K1404" s="36"/>
      <c r="L1404" s="36"/>
      <c r="M1404" s="36"/>
      <c r="N1404" s="36"/>
      <c r="O1404" s="36"/>
      <c r="P1404" s="36"/>
      <c r="Q1404" s="36"/>
      <c r="R1404" s="10"/>
      <c r="S1404" s="10"/>
      <c r="T1404" s="10"/>
      <c r="U1404" s="151"/>
      <c r="V1404" s="77"/>
      <c r="W1404" s="77"/>
      <c r="X1404" s="77"/>
    </row>
    <row r="1405" spans="1:24" ht="19.5" customHeight="1">
      <c r="B1405" s="32" t="s">
        <v>25</v>
      </c>
      <c r="C1405" s="37">
        <f>P1411</f>
        <v>1940.4650000000001</v>
      </c>
      <c r="D1405" s="63"/>
      <c r="E1405" s="18" t="s">
        <v>26</v>
      </c>
      <c r="F1405" s="38">
        <f>P1407</f>
        <v>27166.510000000002</v>
      </c>
      <c r="G1405" s="39">
        <f>I1438+I1443+I1447</f>
        <v>27166.510000000002</v>
      </c>
      <c r="H1405" s="767" t="s">
        <v>2685</v>
      </c>
      <c r="I1405" s="767"/>
      <c r="J1405" s="767"/>
      <c r="K1405" s="43" t="s">
        <v>27</v>
      </c>
      <c r="L1405" s="44"/>
      <c r="M1405" s="44"/>
      <c r="N1405" s="44"/>
      <c r="O1405" s="44"/>
      <c r="P1405" s="44"/>
      <c r="Q1405" s="45"/>
      <c r="R1405" s="46" t="s">
        <v>28</v>
      </c>
      <c r="S1405" s="47" t="s">
        <v>29</v>
      </c>
      <c r="T1405" s="10"/>
      <c r="U1405" s="151"/>
      <c r="V1405" s="77"/>
      <c r="W1405" s="77"/>
      <c r="X1405" s="77"/>
    </row>
    <row r="1406" spans="1:24" ht="21.75" customHeight="1">
      <c r="B1406" s="11"/>
      <c r="C1406" s="10"/>
      <c r="D1406" s="63"/>
      <c r="E1406" s="24" t="s">
        <v>30</v>
      </c>
      <c r="F1406" s="48">
        <f>IF(F1405&gt;=25000,10%,5%)</f>
        <v>0.1</v>
      </c>
      <c r="G1406" s="17"/>
      <c r="H1406" s="767"/>
      <c r="I1406" s="767"/>
      <c r="J1406" s="767"/>
      <c r="K1406" s="20" t="s">
        <v>31</v>
      </c>
      <c r="L1406" s="21" t="s">
        <v>32</v>
      </c>
      <c r="M1406" s="21" t="s">
        <v>33</v>
      </c>
      <c r="N1406" s="21" t="s">
        <v>34</v>
      </c>
      <c r="O1406" s="21" t="s">
        <v>35</v>
      </c>
      <c r="P1406" s="21" t="s">
        <v>36</v>
      </c>
      <c r="Q1406" s="49" t="s">
        <v>37</v>
      </c>
      <c r="R1406" s="50" t="s">
        <v>38</v>
      </c>
      <c r="S1406" s="50" t="s">
        <v>38</v>
      </c>
      <c r="T1406" s="10"/>
      <c r="U1406" s="151"/>
      <c r="V1406" s="77"/>
      <c r="W1406" s="77"/>
      <c r="X1406" s="77"/>
    </row>
    <row r="1407" spans="1:24">
      <c r="B1407" s="11"/>
      <c r="C1407" s="10"/>
      <c r="D1407" s="63"/>
      <c r="E1407" s="51" t="s">
        <v>39</v>
      </c>
      <c r="F1407" s="52">
        <f>(F1405-I1426-I1442-I1446+I1446)*F1406</f>
        <v>2484.4210000000003</v>
      </c>
      <c r="G1407" s="53" t="s">
        <v>40</v>
      </c>
      <c r="H1407" s="484">
        <f>F1407/1.12</f>
        <v>2218.233035714286</v>
      </c>
      <c r="I1407" s="55"/>
      <c r="J1407" s="42"/>
      <c r="K1407" s="56">
        <f>I1426+I1428+I1429+I1427</f>
        <v>10280.61</v>
      </c>
      <c r="L1407" s="57">
        <f>I1430+I1431+I1432+I1446</f>
        <v>8845.7000000000007</v>
      </c>
      <c r="M1407" s="57">
        <f>I1433+I1434+I1442</f>
        <v>4691.7</v>
      </c>
      <c r="N1407" s="57">
        <f>I1435+I1436+I1437</f>
        <v>3348.5</v>
      </c>
      <c r="O1407" s="57">
        <v>0</v>
      </c>
      <c r="P1407" s="57">
        <f>SUM(K1407:O1407)</f>
        <v>27166.510000000002</v>
      </c>
      <c r="Q1407" s="58">
        <v>0</v>
      </c>
      <c r="R1407" s="59">
        <f>I1443+I1447</f>
        <v>3394.2</v>
      </c>
      <c r="S1407" s="59">
        <v>0</v>
      </c>
      <c r="T1407" s="10"/>
      <c r="U1407" s="151"/>
      <c r="V1407" s="77"/>
      <c r="W1407" s="77"/>
      <c r="X1407" s="77"/>
    </row>
    <row r="1408" spans="1:24">
      <c r="B1408" s="11"/>
      <c r="C1408" s="10"/>
      <c r="D1408" s="63"/>
      <c r="E1408" s="24" t="s">
        <v>41</v>
      </c>
      <c r="F1408" s="60">
        <f>Q1407</f>
        <v>0</v>
      </c>
      <c r="G1408" s="61" t="s">
        <v>40</v>
      </c>
      <c r="H1408" s="62"/>
      <c r="I1408" s="62"/>
      <c r="J1408" s="10" t="s">
        <v>42</v>
      </c>
      <c r="K1408" s="63">
        <v>4</v>
      </c>
      <c r="L1408" s="63">
        <v>4</v>
      </c>
      <c r="M1408" s="63">
        <v>3</v>
      </c>
      <c r="N1408" s="63">
        <v>3</v>
      </c>
      <c r="O1408" s="63">
        <v>0</v>
      </c>
      <c r="P1408" s="21">
        <f>SUM(K1408:O1408)</f>
        <v>14</v>
      </c>
      <c r="Q1408" s="64"/>
      <c r="R1408" s="63"/>
      <c r="S1408" s="10"/>
      <c r="T1408" s="10"/>
      <c r="U1408" s="151"/>
      <c r="V1408" s="77"/>
      <c r="W1408" s="77"/>
      <c r="X1408" s="77"/>
    </row>
    <row r="1409" spans="2:24">
      <c r="B1409" s="11"/>
      <c r="C1409" s="10"/>
      <c r="D1409" s="63"/>
      <c r="E1409" s="51" t="s">
        <v>43</v>
      </c>
      <c r="F1409" s="52">
        <f>F1408*0.25</f>
        <v>0</v>
      </c>
      <c r="G1409" s="53" t="s">
        <v>40</v>
      </c>
      <c r="H1409" s="54">
        <f>F1409/1.12</f>
        <v>0</v>
      </c>
      <c r="I1409" s="10"/>
      <c r="J1409" s="10" t="s">
        <v>44</v>
      </c>
      <c r="K1409" s="63">
        <v>4</v>
      </c>
      <c r="L1409" s="63">
        <v>2</v>
      </c>
      <c r="M1409" s="63">
        <v>2</v>
      </c>
      <c r="N1409" s="63">
        <v>6</v>
      </c>
      <c r="O1409" s="63">
        <v>2</v>
      </c>
      <c r="P1409" s="21">
        <f>SUM(K1409:O1409)</f>
        <v>16</v>
      </c>
      <c r="Q1409" s="64"/>
      <c r="R1409" s="63"/>
      <c r="S1409" s="10"/>
      <c r="T1409" s="10"/>
      <c r="U1409" s="151"/>
      <c r="V1409" s="77"/>
      <c r="W1409" s="77"/>
      <c r="X1409" s="77"/>
    </row>
    <row r="1410" spans="2:24">
      <c r="B1410" s="11"/>
      <c r="C1410" s="10"/>
      <c r="D1410" s="63"/>
      <c r="E1410" s="24" t="s">
        <v>45</v>
      </c>
      <c r="F1410" s="60">
        <v>0</v>
      </c>
      <c r="G1410" s="61" t="s">
        <v>40</v>
      </c>
      <c r="H1410" s="62"/>
      <c r="I1410" s="10"/>
      <c r="J1410" s="10" t="s">
        <v>46</v>
      </c>
      <c r="K1410" s="31">
        <f t="shared" ref="K1410:Q1410" si="251">K1408/(K1408+K1409)</f>
        <v>0.5</v>
      </c>
      <c r="L1410" s="31">
        <f t="shared" si="251"/>
        <v>0.66666666666666663</v>
      </c>
      <c r="M1410" s="31">
        <f t="shared" si="251"/>
        <v>0.6</v>
      </c>
      <c r="N1410" s="31">
        <f t="shared" si="251"/>
        <v>0.33333333333333331</v>
      </c>
      <c r="O1410" s="31">
        <f t="shared" si="251"/>
        <v>0</v>
      </c>
      <c r="P1410" s="31">
        <f t="shared" si="251"/>
        <v>0.46666666666666667</v>
      </c>
      <c r="Q1410" s="31" t="e">
        <f t="shared" si="251"/>
        <v>#DIV/0!</v>
      </c>
      <c r="R1410" s="63"/>
      <c r="S1410" s="10"/>
      <c r="T1410" s="10"/>
      <c r="U1410" s="151"/>
      <c r="V1410" s="77"/>
      <c r="W1410" s="77"/>
      <c r="X1410" s="77"/>
    </row>
    <row r="1411" spans="2:24">
      <c r="B1411" s="11"/>
      <c r="C1411" s="10"/>
      <c r="D1411" s="63"/>
      <c r="E1411" s="51" t="s">
        <v>47</v>
      </c>
      <c r="F1411" s="52">
        <f>F1410*0.05</f>
        <v>0</v>
      </c>
      <c r="G1411" s="65" t="s">
        <v>40</v>
      </c>
      <c r="H1411" s="54">
        <f>F1411/1.12</f>
        <v>0</v>
      </c>
      <c r="I1411" s="42"/>
      <c r="J1411" s="10" t="s">
        <v>48</v>
      </c>
      <c r="K1411" s="66">
        <f>K1407/K1408</f>
        <v>2570.1525000000001</v>
      </c>
      <c r="L1411" s="66">
        <f t="shared" ref="L1411:Q1411" si="252">L1407/L1408</f>
        <v>2211.4250000000002</v>
      </c>
      <c r="M1411" s="66">
        <f t="shared" si="252"/>
        <v>1563.8999999999999</v>
      </c>
      <c r="N1411" s="66">
        <f t="shared" si="252"/>
        <v>1116.1666666666667</v>
      </c>
      <c r="O1411" s="66" t="e">
        <f t="shared" si="252"/>
        <v>#DIV/0!</v>
      </c>
      <c r="P1411" s="66">
        <f t="shared" si="252"/>
        <v>1940.4650000000001</v>
      </c>
      <c r="Q1411" s="66" t="e">
        <f t="shared" si="252"/>
        <v>#DIV/0!</v>
      </c>
      <c r="R1411" s="63"/>
      <c r="S1411" s="10"/>
      <c r="T1411" s="10"/>
      <c r="U1411" s="151"/>
      <c r="V1411" s="77"/>
      <c r="W1411" s="77"/>
      <c r="X1411" s="77"/>
    </row>
    <row r="1412" spans="2:24">
      <c r="B1412" s="132"/>
      <c r="C1412" s="123"/>
      <c r="D1412" s="127"/>
      <c r="E1412" s="155" t="s">
        <v>14</v>
      </c>
      <c r="F1412" s="156">
        <f>2*50</f>
        <v>100</v>
      </c>
      <c r="G1412" s="123"/>
      <c r="H1412" s="54">
        <f>F1412/1.12</f>
        <v>89.285714285714278</v>
      </c>
      <c r="I1412" s="123"/>
      <c r="J1412" s="123"/>
      <c r="K1412" s="123"/>
      <c r="L1412" s="123"/>
      <c r="M1412" s="123"/>
      <c r="N1412" s="123"/>
      <c r="O1412" s="123"/>
      <c r="P1412" s="123"/>
      <c r="Q1412" s="123"/>
      <c r="R1412" s="123"/>
      <c r="S1412" s="123"/>
      <c r="T1412" s="123"/>
      <c r="U1412" s="157"/>
      <c r="V1412" s="123"/>
      <c r="W1412" s="123"/>
      <c r="X1412" s="123"/>
    </row>
    <row r="1413" spans="2:24">
      <c r="B1413" s="132"/>
      <c r="C1413" s="123"/>
      <c r="D1413" s="127"/>
      <c r="E1413" s="568" t="s">
        <v>49</v>
      </c>
      <c r="F1413" s="569">
        <f>T1402</f>
        <v>0</v>
      </c>
      <c r="G1413" s="123"/>
      <c r="H1413" s="54"/>
      <c r="I1413" s="123"/>
      <c r="J1413" s="42"/>
      <c r="K1413" s="764" t="s">
        <v>50</v>
      </c>
      <c r="L1413" s="765"/>
      <c r="M1413" s="765"/>
      <c r="N1413" s="765"/>
      <c r="O1413" s="765"/>
      <c r="P1413" s="765"/>
      <c r="Q1413" s="766"/>
      <c r="R1413" s="70" t="s">
        <v>28</v>
      </c>
      <c r="S1413" s="71" t="s">
        <v>29</v>
      </c>
      <c r="T1413" s="123"/>
      <c r="U1413" s="157"/>
      <c r="V1413" s="123"/>
      <c r="W1413" s="123"/>
      <c r="X1413" s="123"/>
    </row>
    <row r="1414" spans="2:24">
      <c r="B1414" s="132"/>
      <c r="C1414" s="123"/>
      <c r="D1414" s="127"/>
      <c r="E1414" s="528" t="s">
        <v>2686</v>
      </c>
      <c r="F1414" s="402">
        <v>5.0199999999999996</v>
      </c>
      <c r="G1414" s="123"/>
      <c r="H1414" s="54"/>
      <c r="I1414" s="123"/>
      <c r="J1414" s="42"/>
      <c r="K1414" s="20" t="s">
        <v>31</v>
      </c>
      <c r="L1414" s="21" t="s">
        <v>32</v>
      </c>
      <c r="M1414" s="21" t="s">
        <v>33</v>
      </c>
      <c r="N1414" s="21" t="s">
        <v>34</v>
      </c>
      <c r="O1414" s="21" t="s">
        <v>35</v>
      </c>
      <c r="P1414" s="21" t="s">
        <v>36</v>
      </c>
      <c r="Q1414" s="49" t="s">
        <v>37</v>
      </c>
      <c r="R1414" s="50" t="s">
        <v>38</v>
      </c>
      <c r="S1414" s="50" t="s">
        <v>38</v>
      </c>
      <c r="T1414" s="123"/>
      <c r="U1414" s="157"/>
      <c r="V1414" s="123"/>
      <c r="W1414" s="123"/>
      <c r="X1414" s="123"/>
    </row>
    <row r="1415" spans="2:24">
      <c r="B1415" s="132"/>
      <c r="C1415" s="123"/>
      <c r="D1415" s="127"/>
      <c r="E1415" s="528" t="s">
        <v>2687</v>
      </c>
      <c r="F1415" s="402">
        <f>2.41+16.72+6.83+6.34</f>
        <v>32.299999999999997</v>
      </c>
      <c r="G1415" s="123"/>
      <c r="H1415" s="54"/>
      <c r="I1415" s="123"/>
      <c r="J1415" s="42"/>
      <c r="K1415" s="56">
        <f>F1426+F1428+F1429+F1427</f>
        <v>11469.9</v>
      </c>
      <c r="L1415" s="57">
        <f>F1430+F1431+F1432+F1446</f>
        <v>9204.5</v>
      </c>
      <c r="M1415" s="57">
        <f>F1433+F1434+F1442</f>
        <v>4810.8</v>
      </c>
      <c r="N1415" s="57">
        <f>F1435+F1436+F1437</f>
        <v>3467.6</v>
      </c>
      <c r="O1415" s="57">
        <v>0</v>
      </c>
      <c r="P1415" s="57">
        <f>SUM(K1415:O1415)</f>
        <v>28952.799999999999</v>
      </c>
      <c r="Q1415" s="58">
        <v>0</v>
      </c>
      <c r="R1415" s="59">
        <f>F1443+F1447</f>
        <v>3673.6</v>
      </c>
      <c r="S1415" s="59">
        <v>0</v>
      </c>
      <c r="T1415" s="123"/>
      <c r="U1415" s="157"/>
      <c r="V1415" s="123"/>
      <c r="W1415" s="123"/>
      <c r="X1415" s="123"/>
    </row>
    <row r="1416" spans="2:24">
      <c r="B1416" s="132"/>
      <c r="C1416" s="123"/>
      <c r="D1416" s="127"/>
      <c r="E1416" s="763" t="s">
        <v>2688</v>
      </c>
      <c r="F1416" s="762">
        <f>2.19+2.41+4.82</f>
        <v>9.42</v>
      </c>
      <c r="G1416" s="123"/>
      <c r="H1416" s="54"/>
      <c r="I1416" s="123"/>
      <c r="J1416" s="10" t="s">
        <v>42</v>
      </c>
      <c r="K1416" s="63">
        <f t="shared" ref="K1416:Q1417" si="253">K1408</f>
        <v>4</v>
      </c>
      <c r="L1416" s="63">
        <f t="shared" si="253"/>
        <v>4</v>
      </c>
      <c r="M1416" s="63">
        <f t="shared" si="253"/>
        <v>3</v>
      </c>
      <c r="N1416" s="63">
        <f t="shared" si="253"/>
        <v>3</v>
      </c>
      <c r="O1416" s="63">
        <f t="shared" si="253"/>
        <v>0</v>
      </c>
      <c r="P1416" s="63">
        <f t="shared" si="253"/>
        <v>14</v>
      </c>
      <c r="Q1416" s="63">
        <f t="shared" si="253"/>
        <v>0</v>
      </c>
      <c r="R1416" s="63"/>
      <c r="S1416" s="10"/>
      <c r="T1416" s="123"/>
      <c r="U1416" s="157"/>
      <c r="V1416" s="123"/>
      <c r="W1416" s="123"/>
      <c r="X1416" s="123"/>
    </row>
    <row r="1417" spans="2:24">
      <c r="B1417" s="132"/>
      <c r="C1417" s="123"/>
      <c r="D1417" s="127"/>
      <c r="G1417" s="123"/>
      <c r="H1417" s="54"/>
      <c r="I1417" s="123"/>
      <c r="J1417" s="10" t="s">
        <v>44</v>
      </c>
      <c r="K1417" s="63">
        <f t="shared" si="253"/>
        <v>4</v>
      </c>
      <c r="L1417" s="63">
        <f t="shared" si="253"/>
        <v>2</v>
      </c>
      <c r="M1417" s="63">
        <f t="shared" si="253"/>
        <v>2</v>
      </c>
      <c r="N1417" s="63">
        <f t="shared" si="253"/>
        <v>6</v>
      </c>
      <c r="O1417" s="63">
        <f t="shared" si="253"/>
        <v>2</v>
      </c>
      <c r="P1417" s="63">
        <f t="shared" si="253"/>
        <v>16</v>
      </c>
      <c r="Q1417" s="63">
        <f t="shared" si="253"/>
        <v>0</v>
      </c>
      <c r="R1417" s="63"/>
      <c r="S1417" s="10"/>
      <c r="T1417" s="123"/>
      <c r="U1417" s="157"/>
      <c r="V1417" s="123"/>
      <c r="W1417" s="123"/>
      <c r="X1417" s="123"/>
    </row>
    <row r="1418" spans="2:24">
      <c r="B1418" s="132"/>
      <c r="C1418" s="123"/>
      <c r="D1418" s="127"/>
      <c r="E1418" s="12"/>
      <c r="F1418" s="12"/>
      <c r="G1418" s="123"/>
      <c r="H1418" s="54"/>
      <c r="I1418" s="123"/>
      <c r="J1418" s="10" t="s">
        <v>46</v>
      </c>
      <c r="K1418" s="31">
        <f t="shared" ref="K1418:Q1418" si="254">K1416/(K1416+K1417)</f>
        <v>0.5</v>
      </c>
      <c r="L1418" s="31">
        <f t="shared" si="254"/>
        <v>0.66666666666666663</v>
      </c>
      <c r="M1418" s="31">
        <f t="shared" si="254"/>
        <v>0.6</v>
      </c>
      <c r="N1418" s="31">
        <f t="shared" si="254"/>
        <v>0.33333333333333331</v>
      </c>
      <c r="O1418" s="31">
        <f t="shared" si="254"/>
        <v>0</v>
      </c>
      <c r="P1418" s="31">
        <f t="shared" si="254"/>
        <v>0.46666666666666667</v>
      </c>
      <c r="Q1418" s="31" t="e">
        <f t="shared" si="254"/>
        <v>#DIV/0!</v>
      </c>
      <c r="R1418" s="63"/>
      <c r="S1418" s="10"/>
      <c r="T1418" s="123"/>
      <c r="U1418" s="157"/>
      <c r="V1418" s="123"/>
      <c r="W1418" s="123"/>
      <c r="X1418" s="123"/>
    </row>
    <row r="1419" spans="2:24">
      <c r="B1419" s="132"/>
      <c r="C1419" s="123"/>
      <c r="D1419" s="127"/>
      <c r="E1419" s="12"/>
      <c r="F1419" s="160"/>
      <c r="G1419" s="123"/>
      <c r="H1419" s="54"/>
      <c r="I1419" s="123"/>
      <c r="J1419" s="10" t="s">
        <v>48</v>
      </c>
      <c r="K1419" s="66">
        <f t="shared" ref="K1419:Q1419" si="255">K1415/K1416</f>
        <v>2867.4749999999999</v>
      </c>
      <c r="L1419" s="66">
        <f t="shared" si="255"/>
        <v>2301.125</v>
      </c>
      <c r="M1419" s="66">
        <f t="shared" si="255"/>
        <v>1603.6000000000001</v>
      </c>
      <c r="N1419" s="66">
        <f t="shared" si="255"/>
        <v>1155.8666666666666</v>
      </c>
      <c r="O1419" s="66" t="e">
        <f t="shared" si="255"/>
        <v>#DIV/0!</v>
      </c>
      <c r="P1419" s="66">
        <f t="shared" si="255"/>
        <v>2068.0571428571429</v>
      </c>
      <c r="Q1419" s="66" t="e">
        <f t="shared" si="255"/>
        <v>#DIV/0!</v>
      </c>
      <c r="R1419" s="63"/>
      <c r="S1419" s="10"/>
      <c r="T1419" s="123"/>
      <c r="U1419" s="157"/>
      <c r="V1419" s="123"/>
      <c r="W1419" s="123"/>
      <c r="X1419" s="123"/>
    </row>
    <row r="1420" spans="2:24">
      <c r="B1420" s="132"/>
      <c r="C1420" s="123"/>
      <c r="D1420" s="127"/>
      <c r="E1420" s="12"/>
      <c r="F1420" s="160"/>
      <c r="G1420" s="123"/>
      <c r="H1420" s="54"/>
      <c r="I1420" s="123"/>
      <c r="J1420" s="123"/>
      <c r="K1420" s="123"/>
      <c r="L1420" s="123"/>
      <c r="M1420" s="123"/>
      <c r="N1420" s="123"/>
      <c r="O1420" s="123"/>
      <c r="P1420" s="123"/>
      <c r="Q1420" s="123"/>
      <c r="R1420" s="123"/>
      <c r="S1420" s="123"/>
      <c r="T1420" s="123"/>
      <c r="U1420" s="157"/>
      <c r="V1420" s="123"/>
      <c r="W1420" s="123"/>
      <c r="X1420" s="123"/>
    </row>
    <row r="1421" spans="2:24">
      <c r="B1421" s="11"/>
      <c r="C1421" s="10"/>
      <c r="D1421" s="63"/>
      <c r="E1421" s="12"/>
      <c r="F1421" s="12"/>
      <c r="G1421" s="10"/>
      <c r="H1421" s="10"/>
      <c r="I1421" s="10"/>
      <c r="J1421" s="10"/>
      <c r="K1421" s="10"/>
      <c r="L1421" s="10"/>
      <c r="M1421" s="10"/>
      <c r="N1421" s="10"/>
      <c r="O1421" s="10"/>
      <c r="P1421" s="10"/>
      <c r="Q1421" s="10"/>
      <c r="R1421" s="10"/>
      <c r="S1421" s="10"/>
      <c r="T1421" s="10"/>
      <c r="U1421" s="151"/>
      <c r="V1421" s="77"/>
      <c r="W1421" s="77"/>
      <c r="X1421" s="77"/>
    </row>
    <row r="1422" spans="2:24">
      <c r="B1422" s="11"/>
      <c r="C1422" s="10"/>
      <c r="D1422" s="63"/>
      <c r="E1422" s="10"/>
      <c r="F1422" s="10"/>
      <c r="G1422" s="10"/>
      <c r="H1422" s="10"/>
      <c r="I1422" s="10"/>
      <c r="J1422" s="10"/>
      <c r="K1422" s="10"/>
      <c r="L1422" s="10"/>
      <c r="M1422" s="10"/>
      <c r="N1422" s="10"/>
      <c r="O1422" s="10"/>
      <c r="P1422" s="10"/>
      <c r="Q1422" s="10"/>
      <c r="R1422" s="10"/>
      <c r="S1422" s="10"/>
      <c r="T1422" s="10"/>
      <c r="U1422" s="151"/>
      <c r="V1422" s="77"/>
      <c r="W1422" s="77"/>
      <c r="X1422" s="77"/>
    </row>
    <row r="1423" spans="2:24">
      <c r="B1423" s="18" t="s">
        <v>51</v>
      </c>
      <c r="C1423" s="14"/>
      <c r="D1423" s="14"/>
      <c r="E1423" s="14"/>
      <c r="F1423" s="13" t="s">
        <v>52</v>
      </c>
      <c r="G1423" s="14"/>
      <c r="H1423" s="14"/>
      <c r="I1423" s="14"/>
      <c r="J1423" s="14"/>
      <c r="K1423" s="13" t="s">
        <v>3</v>
      </c>
      <c r="L1423" s="14"/>
      <c r="M1423" s="14"/>
      <c r="N1423" s="13" t="s">
        <v>4</v>
      </c>
      <c r="O1423" s="14"/>
      <c r="P1423" s="14"/>
      <c r="Q1423" s="13" t="s">
        <v>5</v>
      </c>
      <c r="R1423" s="14"/>
      <c r="S1423" s="14"/>
      <c r="T1423" s="18"/>
      <c r="U1423" s="161" t="s">
        <v>53</v>
      </c>
      <c r="V1423" s="77"/>
      <c r="W1423" s="77"/>
      <c r="X1423" s="77"/>
    </row>
    <row r="1424" spans="2:24">
      <c r="B1424" s="24" t="s">
        <v>54</v>
      </c>
      <c r="C1424" s="21" t="s">
        <v>55</v>
      </c>
      <c r="D1424" s="21" t="s">
        <v>56</v>
      </c>
      <c r="E1424" s="21" t="s">
        <v>57</v>
      </c>
      <c r="F1424" s="20" t="s">
        <v>58</v>
      </c>
      <c r="G1424" s="21" t="s">
        <v>59</v>
      </c>
      <c r="H1424" s="21" t="s">
        <v>60</v>
      </c>
      <c r="I1424" s="21" t="s">
        <v>26</v>
      </c>
      <c r="J1424" s="22" t="s">
        <v>61</v>
      </c>
      <c r="K1424" s="21" t="s">
        <v>8</v>
      </c>
      <c r="L1424" s="21" t="s">
        <v>9</v>
      </c>
      <c r="M1424" s="21" t="s">
        <v>10</v>
      </c>
      <c r="N1424" s="20" t="s">
        <v>11</v>
      </c>
      <c r="O1424" s="21" t="s">
        <v>12</v>
      </c>
      <c r="P1424" s="22" t="s">
        <v>13</v>
      </c>
      <c r="Q1424" s="21" t="s">
        <v>11</v>
      </c>
      <c r="R1424" s="21" t="s">
        <v>12</v>
      </c>
      <c r="S1424" s="21" t="s">
        <v>13</v>
      </c>
      <c r="T1424" s="78" t="s">
        <v>14</v>
      </c>
      <c r="U1424" s="162"/>
      <c r="V1424" s="79" t="s">
        <v>62</v>
      </c>
      <c r="W1424" s="80" t="s">
        <v>63</v>
      </c>
      <c r="X1424" s="81" t="s">
        <v>64</v>
      </c>
    </row>
    <row r="1425" spans="1:24">
      <c r="B1425" s="4" t="s">
        <v>65</v>
      </c>
      <c r="C1425" s="6"/>
      <c r="D1425" s="6"/>
      <c r="E1425" s="6"/>
      <c r="F1425" s="6"/>
      <c r="G1425" s="6"/>
      <c r="H1425" s="6"/>
      <c r="I1425" s="82"/>
      <c r="J1425" s="6"/>
      <c r="K1425" s="6"/>
      <c r="L1425" s="6"/>
      <c r="M1425" s="6"/>
      <c r="N1425" s="6"/>
      <c r="O1425" s="6"/>
      <c r="P1425" s="6"/>
      <c r="Q1425" s="6"/>
      <c r="R1425" s="6"/>
      <c r="S1425" s="6"/>
      <c r="T1425" s="83"/>
      <c r="U1425" s="163"/>
      <c r="V1425" s="84"/>
      <c r="W1425" s="85"/>
      <c r="X1425" s="86"/>
    </row>
    <row r="1426" spans="1:24">
      <c r="B1426" s="87">
        <v>1</v>
      </c>
      <c r="C1426" s="274">
        <v>45950</v>
      </c>
      <c r="D1426" s="276">
        <v>74580</v>
      </c>
      <c r="E1426" s="281" t="s">
        <v>162</v>
      </c>
      <c r="F1426" s="277">
        <v>681</v>
      </c>
      <c r="G1426" s="277"/>
      <c r="H1426" s="277"/>
      <c r="I1426" s="329">
        <f>F1426-G1426-H1426</f>
        <v>681</v>
      </c>
      <c r="J1426" s="279" t="s">
        <v>156</v>
      </c>
      <c r="K1426" s="279">
        <v>1</v>
      </c>
      <c r="L1426" s="279">
        <v>1</v>
      </c>
      <c r="M1426" s="322">
        <v>0</v>
      </c>
      <c r="N1426" s="279">
        <v>1</v>
      </c>
      <c r="O1426" s="279">
        <v>1</v>
      </c>
      <c r="P1426" s="279">
        <v>1</v>
      </c>
      <c r="Q1426" s="279">
        <v>1</v>
      </c>
      <c r="R1426" s="279">
        <v>1</v>
      </c>
      <c r="S1426" s="280">
        <v>1</v>
      </c>
      <c r="T1426" s="63"/>
      <c r="U1426" s="94"/>
      <c r="V1426" s="90">
        <v>749.1</v>
      </c>
      <c r="W1426" s="91"/>
      <c r="X1426" s="92"/>
    </row>
    <row r="1427" spans="1:24">
      <c r="A1427" s="464">
        <v>45952</v>
      </c>
      <c r="B1427" s="87">
        <f>B1426+1</f>
        <v>2</v>
      </c>
      <c r="C1427" s="295">
        <v>45950</v>
      </c>
      <c r="D1427" s="10" t="s">
        <v>2689</v>
      </c>
      <c r="E1427" s="101" t="s">
        <v>162</v>
      </c>
      <c r="F1427" s="62">
        <v>7533</v>
      </c>
      <c r="G1427" s="62">
        <f>39.7+(1109.89)</f>
        <v>1149.5900000000001</v>
      </c>
      <c r="H1427" s="62"/>
      <c r="I1427" s="89">
        <f>F1427-G1427-H1427</f>
        <v>6383.41</v>
      </c>
      <c r="J1427" s="63" t="s">
        <v>156</v>
      </c>
      <c r="K1427" s="63">
        <v>1</v>
      </c>
      <c r="L1427" s="63">
        <v>1</v>
      </c>
      <c r="M1427" s="63">
        <v>1</v>
      </c>
      <c r="N1427" s="63">
        <v>1</v>
      </c>
      <c r="O1427" s="63">
        <v>1</v>
      </c>
      <c r="P1427" s="63">
        <v>1</v>
      </c>
      <c r="Q1427" s="63">
        <v>1</v>
      </c>
      <c r="R1427" s="63">
        <v>1</v>
      </c>
      <c r="S1427" s="296">
        <v>1</v>
      </c>
      <c r="T1427" s="63"/>
      <c r="U1427" s="94" t="s">
        <v>2690</v>
      </c>
      <c r="V1427" s="90">
        <f>828+3700+3758.3</f>
        <v>8286.2999999999993</v>
      </c>
      <c r="W1427" s="91"/>
      <c r="X1427" s="92"/>
    </row>
    <row r="1428" spans="1:24">
      <c r="B1428" s="87">
        <f>B1427+1</f>
        <v>3</v>
      </c>
      <c r="C1428" s="295">
        <v>45950</v>
      </c>
      <c r="D1428" s="10">
        <v>74625</v>
      </c>
      <c r="E1428" s="10" t="s">
        <v>333</v>
      </c>
      <c r="F1428" s="62">
        <v>681</v>
      </c>
      <c r="G1428" s="62"/>
      <c r="H1428" s="62"/>
      <c r="I1428" s="89">
        <f t="shared" ref="I1428:I1437" si="256">F1428-G1428-H1428</f>
        <v>681</v>
      </c>
      <c r="J1428" s="63" t="s">
        <v>156</v>
      </c>
      <c r="K1428" s="63">
        <v>1</v>
      </c>
      <c r="L1428" s="63">
        <v>1</v>
      </c>
      <c r="M1428" s="63">
        <v>1</v>
      </c>
      <c r="N1428" s="63">
        <v>1</v>
      </c>
      <c r="O1428" s="63">
        <v>1</v>
      </c>
      <c r="P1428" s="63">
        <v>1</v>
      </c>
      <c r="Q1428" s="63">
        <v>1</v>
      </c>
      <c r="R1428" s="63">
        <v>1</v>
      </c>
      <c r="S1428" s="296">
        <v>1</v>
      </c>
      <c r="T1428" s="63"/>
      <c r="U1428" s="94"/>
      <c r="V1428" s="90">
        <v>749.1</v>
      </c>
      <c r="W1428" s="91"/>
      <c r="X1428" s="92"/>
    </row>
    <row r="1429" spans="1:24">
      <c r="B1429" s="87">
        <f t="shared" ref="B1429:B1437" si="257">B1428+1</f>
        <v>4</v>
      </c>
      <c r="C1429" s="282">
        <v>45950</v>
      </c>
      <c r="D1429" s="555">
        <v>74635</v>
      </c>
      <c r="E1429" s="283" t="s">
        <v>2069</v>
      </c>
      <c r="F1429" s="284">
        <v>2574.9</v>
      </c>
      <c r="G1429" s="284">
        <v>39.700000000000003</v>
      </c>
      <c r="H1429" s="284"/>
      <c r="I1429" s="285">
        <f t="shared" si="256"/>
        <v>2535.2000000000003</v>
      </c>
      <c r="J1429" s="286" t="s">
        <v>156</v>
      </c>
      <c r="K1429" s="286">
        <v>1</v>
      </c>
      <c r="L1429" s="286">
        <v>1</v>
      </c>
      <c r="M1429" s="286">
        <v>1</v>
      </c>
      <c r="N1429" s="286">
        <v>1</v>
      </c>
      <c r="O1429" s="286">
        <v>1</v>
      </c>
      <c r="P1429" s="286">
        <v>1</v>
      </c>
      <c r="Q1429" s="286">
        <v>1</v>
      </c>
      <c r="R1429" s="286">
        <v>1</v>
      </c>
      <c r="S1429" s="287">
        <v>1</v>
      </c>
      <c r="T1429" s="21">
        <v>1</v>
      </c>
      <c r="U1429" s="94"/>
      <c r="V1429" s="90">
        <v>2832.39</v>
      </c>
      <c r="W1429" s="91"/>
      <c r="X1429" s="92"/>
    </row>
    <row r="1430" spans="1:24">
      <c r="B1430" s="87">
        <f t="shared" si="257"/>
        <v>5</v>
      </c>
      <c r="C1430" s="295">
        <v>45951</v>
      </c>
      <c r="D1430" s="10">
        <v>74655</v>
      </c>
      <c r="E1430" s="94" t="s">
        <v>2073</v>
      </c>
      <c r="F1430" s="62">
        <v>1674.9</v>
      </c>
      <c r="G1430" s="62">
        <f>39.7</f>
        <v>39.700000000000003</v>
      </c>
      <c r="H1430" s="62"/>
      <c r="I1430" s="89">
        <f t="shared" si="256"/>
        <v>1635.2</v>
      </c>
      <c r="J1430" s="63" t="s">
        <v>156</v>
      </c>
      <c r="K1430" s="63">
        <v>1</v>
      </c>
      <c r="L1430" s="63">
        <v>1</v>
      </c>
      <c r="M1430" s="63">
        <v>1</v>
      </c>
      <c r="N1430" s="63">
        <v>1</v>
      </c>
      <c r="O1430" s="63">
        <v>1</v>
      </c>
      <c r="P1430" s="63">
        <v>1</v>
      </c>
      <c r="Q1430" s="63">
        <v>1</v>
      </c>
      <c r="R1430" s="63">
        <v>1</v>
      </c>
      <c r="S1430" s="296">
        <v>1</v>
      </c>
      <c r="T1430" s="63"/>
      <c r="U1430" s="94"/>
      <c r="V1430" s="90">
        <v>1842.39</v>
      </c>
      <c r="W1430" s="91"/>
      <c r="X1430" s="92"/>
    </row>
    <row r="1431" spans="1:24">
      <c r="B1431" s="87">
        <f t="shared" si="257"/>
        <v>6</v>
      </c>
      <c r="C1431" s="295">
        <v>45951</v>
      </c>
      <c r="D1431" s="10">
        <v>74679</v>
      </c>
      <c r="E1431" s="10" t="s">
        <v>979</v>
      </c>
      <c r="F1431" s="62">
        <v>2214</v>
      </c>
      <c r="G1431" s="62">
        <f>39.7</f>
        <v>39.700000000000003</v>
      </c>
      <c r="H1431" s="62"/>
      <c r="I1431" s="89">
        <f t="shared" si="256"/>
        <v>2174.3000000000002</v>
      </c>
      <c r="J1431" s="63" t="s">
        <v>156</v>
      </c>
      <c r="K1431" s="63">
        <v>1</v>
      </c>
      <c r="L1431" s="63">
        <v>1</v>
      </c>
      <c r="M1431" s="63">
        <v>1</v>
      </c>
      <c r="N1431" s="63">
        <v>1</v>
      </c>
      <c r="O1431" s="63">
        <v>1</v>
      </c>
      <c r="P1431" s="63">
        <v>1</v>
      </c>
      <c r="Q1431" s="63">
        <v>1</v>
      </c>
      <c r="R1431" s="63">
        <v>1</v>
      </c>
      <c r="S1431" s="296">
        <v>1</v>
      </c>
      <c r="T1431" s="63"/>
      <c r="U1431" s="94"/>
      <c r="V1431" s="90">
        <v>2435.4</v>
      </c>
      <c r="W1431" s="91"/>
      <c r="X1431" s="92"/>
    </row>
    <row r="1432" spans="1:24">
      <c r="B1432" s="87">
        <f t="shared" si="257"/>
        <v>7</v>
      </c>
      <c r="C1432" s="295">
        <v>45951</v>
      </c>
      <c r="D1432" s="10" t="s">
        <v>2691</v>
      </c>
      <c r="E1432" s="10" t="s">
        <v>979</v>
      </c>
      <c r="F1432" s="62">
        <v>3323</v>
      </c>
      <c r="G1432" s="62">
        <f>39.7</f>
        <v>39.700000000000003</v>
      </c>
      <c r="H1432" s="88"/>
      <c r="I1432" s="89">
        <f t="shared" si="256"/>
        <v>3283.3</v>
      </c>
      <c r="J1432" s="63" t="s">
        <v>236</v>
      </c>
      <c r="K1432" s="63">
        <v>1</v>
      </c>
      <c r="L1432" s="63">
        <v>1</v>
      </c>
      <c r="M1432" s="63">
        <v>1</v>
      </c>
      <c r="N1432" s="63">
        <v>1</v>
      </c>
      <c r="O1432" s="63">
        <v>1</v>
      </c>
      <c r="P1432" s="63">
        <v>1</v>
      </c>
      <c r="Q1432" s="63">
        <v>1</v>
      </c>
      <c r="R1432" s="63">
        <v>1</v>
      </c>
      <c r="S1432" s="296">
        <v>1</v>
      </c>
      <c r="T1432" s="21">
        <v>1</v>
      </c>
      <c r="U1432" s="94"/>
      <c r="V1432" s="90">
        <f>365+1290.3</f>
        <v>1655.3</v>
      </c>
      <c r="W1432" s="440">
        <v>2000</v>
      </c>
      <c r="X1432" s="92"/>
    </row>
    <row r="1433" spans="1:24">
      <c r="B1433" s="87">
        <f t="shared" si="257"/>
        <v>8</v>
      </c>
      <c r="C1433" s="274">
        <v>45952</v>
      </c>
      <c r="D1433" s="276">
        <v>74712</v>
      </c>
      <c r="E1433" s="276" t="s">
        <v>2372</v>
      </c>
      <c r="F1433" s="277">
        <v>1195.2</v>
      </c>
      <c r="G1433" s="277">
        <f>39.7</f>
        <v>39.700000000000003</v>
      </c>
      <c r="H1433" s="297"/>
      <c r="I1433" s="278">
        <f>F1433-G1433-H1433</f>
        <v>1155.5</v>
      </c>
      <c r="J1433" s="279" t="s">
        <v>156</v>
      </c>
      <c r="K1433" s="279">
        <v>1</v>
      </c>
      <c r="L1433" s="279">
        <v>1</v>
      </c>
      <c r="M1433" s="279">
        <v>1</v>
      </c>
      <c r="N1433" s="279">
        <v>1</v>
      </c>
      <c r="O1433" s="279">
        <v>1</v>
      </c>
      <c r="P1433" s="279">
        <v>1</v>
      </c>
      <c r="Q1433" s="279">
        <v>1</v>
      </c>
      <c r="R1433" s="279">
        <v>1</v>
      </c>
      <c r="S1433" s="280">
        <v>1</v>
      </c>
      <c r="T1433" s="21">
        <v>1</v>
      </c>
      <c r="U1433" s="94"/>
      <c r="V1433" s="90">
        <v>1314.72</v>
      </c>
      <c r="W1433" s="91"/>
      <c r="X1433" s="92"/>
    </row>
    <row r="1434" spans="1:24">
      <c r="B1434" s="87">
        <f t="shared" si="257"/>
        <v>9</v>
      </c>
      <c r="C1434" s="295">
        <v>45952</v>
      </c>
      <c r="D1434" s="10">
        <v>74739</v>
      </c>
      <c r="E1434" s="10" t="s">
        <v>979</v>
      </c>
      <c r="F1434" s="62">
        <f>2119.6-185</f>
        <v>1934.6</v>
      </c>
      <c r="G1434" s="62">
        <f>39.7</f>
        <v>39.700000000000003</v>
      </c>
      <c r="H1434" s="88"/>
      <c r="I1434" s="89">
        <f>F1434-G1434-H1434</f>
        <v>1894.8999999999999</v>
      </c>
      <c r="J1434" s="63" t="s">
        <v>156</v>
      </c>
      <c r="K1434" s="63">
        <v>1</v>
      </c>
      <c r="L1434" s="63">
        <v>1</v>
      </c>
      <c r="M1434" s="63">
        <v>1</v>
      </c>
      <c r="N1434" s="63">
        <v>1</v>
      </c>
      <c r="O1434" s="63">
        <v>1</v>
      </c>
      <c r="P1434" s="63">
        <v>1</v>
      </c>
      <c r="Q1434" s="63">
        <v>1</v>
      </c>
      <c r="R1434" s="63">
        <v>1</v>
      </c>
      <c r="S1434" s="296">
        <v>1</v>
      </c>
      <c r="T1434" s="63"/>
      <c r="U1434" s="94"/>
      <c r="V1434" s="90">
        <f>203.5+1924.56</f>
        <v>2128.06</v>
      </c>
      <c r="W1434" s="91"/>
      <c r="X1434" s="92"/>
    </row>
    <row r="1435" spans="1:24">
      <c r="A1435" t="s">
        <v>857</v>
      </c>
      <c r="B1435" s="87">
        <f t="shared" si="257"/>
        <v>10</v>
      </c>
      <c r="C1435" s="274">
        <v>45953</v>
      </c>
      <c r="D1435" s="276" t="s">
        <v>2692</v>
      </c>
      <c r="E1435" s="276" t="s">
        <v>1143</v>
      </c>
      <c r="F1435" s="277">
        <v>861</v>
      </c>
      <c r="G1435" s="277">
        <f>39.7</f>
        <v>39.700000000000003</v>
      </c>
      <c r="H1435" s="297"/>
      <c r="I1435" s="278">
        <f>F1435-G1435-H1435</f>
        <v>821.3</v>
      </c>
      <c r="J1435" s="279" t="s">
        <v>156</v>
      </c>
      <c r="K1435" s="279">
        <v>1</v>
      </c>
      <c r="L1435" s="279">
        <v>1</v>
      </c>
      <c r="M1435" s="279">
        <v>1</v>
      </c>
      <c r="N1435" s="279">
        <v>1</v>
      </c>
      <c r="O1435" s="279">
        <v>1</v>
      </c>
      <c r="P1435" s="279">
        <v>1</v>
      </c>
      <c r="Q1435" s="279">
        <v>1</v>
      </c>
      <c r="R1435" s="279">
        <v>1</v>
      </c>
      <c r="S1435" s="280">
        <v>1</v>
      </c>
      <c r="T1435" s="63"/>
      <c r="U1435" s="94" t="s">
        <v>2693</v>
      </c>
      <c r="V1435" s="90">
        <v>947.1</v>
      </c>
      <c r="W1435" s="91"/>
      <c r="X1435" s="92"/>
    </row>
    <row r="1436" spans="1:24">
      <c r="B1436" s="87">
        <f t="shared" si="257"/>
        <v>11</v>
      </c>
      <c r="C1436" s="295">
        <v>45953</v>
      </c>
      <c r="D1436" s="10">
        <v>74721</v>
      </c>
      <c r="E1436" s="10" t="s">
        <v>162</v>
      </c>
      <c r="F1436" s="62">
        <v>1361</v>
      </c>
      <c r="G1436" s="62">
        <f>39.7</f>
        <v>39.700000000000003</v>
      </c>
      <c r="H1436" s="88"/>
      <c r="I1436" s="89">
        <f>F1436-G1436-H1436</f>
        <v>1321.3</v>
      </c>
      <c r="J1436" s="63" t="s">
        <v>156</v>
      </c>
      <c r="K1436" s="63">
        <v>1</v>
      </c>
      <c r="L1436" s="63">
        <v>1</v>
      </c>
      <c r="M1436" s="63">
        <v>1</v>
      </c>
      <c r="N1436" s="63">
        <v>1</v>
      </c>
      <c r="O1436" s="63">
        <v>1</v>
      </c>
      <c r="P1436" s="63">
        <v>1</v>
      </c>
      <c r="Q1436" s="63">
        <v>1</v>
      </c>
      <c r="R1436" s="63">
        <v>1</v>
      </c>
      <c r="S1436" s="296">
        <v>1</v>
      </c>
      <c r="T1436" s="63"/>
      <c r="U1436" s="94"/>
      <c r="V1436" s="90">
        <v>1497.1</v>
      </c>
      <c r="W1436" s="91"/>
      <c r="X1436" s="92"/>
    </row>
    <row r="1437" spans="1:24">
      <c r="B1437" s="87">
        <f t="shared" si="257"/>
        <v>12</v>
      </c>
      <c r="C1437" s="282">
        <v>45953</v>
      </c>
      <c r="D1437" s="283">
        <v>74763</v>
      </c>
      <c r="E1437" s="283" t="s">
        <v>1030</v>
      </c>
      <c r="F1437" s="423">
        <v>1245.5999999999999</v>
      </c>
      <c r="G1437" s="284">
        <f>39.7</f>
        <v>39.700000000000003</v>
      </c>
      <c r="H1437" s="284"/>
      <c r="I1437" s="285">
        <f t="shared" si="256"/>
        <v>1205.8999999999999</v>
      </c>
      <c r="J1437" s="286" t="s">
        <v>156</v>
      </c>
      <c r="K1437" s="286">
        <v>1</v>
      </c>
      <c r="L1437" s="286">
        <v>1</v>
      </c>
      <c r="M1437" s="286">
        <v>1</v>
      </c>
      <c r="N1437" s="286">
        <v>1</v>
      </c>
      <c r="O1437" s="286">
        <v>1</v>
      </c>
      <c r="P1437" s="286">
        <v>1</v>
      </c>
      <c r="Q1437" s="286">
        <v>1</v>
      </c>
      <c r="R1437" s="286">
        <v>1</v>
      </c>
      <c r="S1437" s="287">
        <v>1</v>
      </c>
      <c r="T1437" s="63"/>
      <c r="U1437" s="94"/>
      <c r="V1437" s="90">
        <v>1370.16</v>
      </c>
      <c r="W1437" s="91"/>
      <c r="X1437" s="92"/>
    </row>
    <row r="1438" spans="1:24">
      <c r="B1438" s="87"/>
      <c r="C1438" s="36"/>
      <c r="D1438" s="10"/>
      <c r="E1438" s="10"/>
      <c r="F1438" s="97">
        <f>SUM(F1426:F1437)</f>
        <v>25279.199999999997</v>
      </c>
      <c r="G1438" s="97">
        <f>SUM(G1426:G1437)</f>
        <v>1506.8900000000006</v>
      </c>
      <c r="H1438" s="97">
        <f>SUM(H1426:H1437)</f>
        <v>0</v>
      </c>
      <c r="I1438" s="98">
        <f>SUM(I1426:I1437)</f>
        <v>23772.31</v>
      </c>
      <c r="J1438" s="63"/>
      <c r="K1438" s="63">
        <f>COUNT(K1426:K1437)</f>
        <v>12</v>
      </c>
      <c r="L1438" s="63">
        <f>COUNT(L1426:L1437)</f>
        <v>12</v>
      </c>
      <c r="M1438" s="63">
        <f>COUNT(M1426:M1437)</f>
        <v>12</v>
      </c>
      <c r="N1438" s="63">
        <f>COUNT(N1426:N1437)</f>
        <v>12</v>
      </c>
      <c r="O1438" s="63">
        <f>COUNT(O1426:O1437)</f>
        <v>12</v>
      </c>
      <c r="P1438" s="63">
        <f>COUNT(P1426:P1437)</f>
        <v>12</v>
      </c>
      <c r="Q1438" s="63">
        <f>COUNT(Q1426:Q1437)</f>
        <v>12</v>
      </c>
      <c r="R1438" s="63">
        <f>COUNT(R1426:R1437)</f>
        <v>12</v>
      </c>
      <c r="S1438" s="63">
        <f>COUNT(S1426:S1437)</f>
        <v>12</v>
      </c>
      <c r="T1438" s="63"/>
      <c r="U1438" s="94"/>
      <c r="V1438" s="90"/>
      <c r="W1438" s="91"/>
      <c r="X1438" s="92"/>
    </row>
    <row r="1439" spans="1:24">
      <c r="B1439" s="87"/>
      <c r="C1439" s="36"/>
      <c r="D1439" s="10"/>
      <c r="E1439" s="10"/>
      <c r="F1439" s="88"/>
      <c r="G1439" s="88"/>
      <c r="H1439" s="88"/>
      <c r="I1439" s="99"/>
      <c r="J1439" s="63"/>
      <c r="K1439" s="21">
        <f>SUM(K1426:K1437)</f>
        <v>12</v>
      </c>
      <c r="L1439" s="21">
        <f>SUM(L1426:L1437)</f>
        <v>12</v>
      </c>
      <c r="M1439" s="21">
        <f>SUM(M1426:M1437)</f>
        <v>11</v>
      </c>
      <c r="N1439" s="21">
        <f>SUM(N1426:N1437)</f>
        <v>12</v>
      </c>
      <c r="O1439" s="21">
        <f>SUM(O1426:O1437)</f>
        <v>12</v>
      </c>
      <c r="P1439" s="21">
        <f>SUM(P1426:P1437)</f>
        <v>12</v>
      </c>
      <c r="Q1439" s="21">
        <f>SUM(Q1426:Q1437)</f>
        <v>12</v>
      </c>
      <c r="R1439" s="21">
        <f>SUM(R1426:R1437)</f>
        <v>12</v>
      </c>
      <c r="S1439" s="21">
        <f>SUM(S1426:S1437)</f>
        <v>12</v>
      </c>
      <c r="T1439" s="63"/>
      <c r="U1439" s="94"/>
      <c r="V1439" s="90"/>
      <c r="W1439" s="91"/>
      <c r="X1439" s="92"/>
    </row>
    <row r="1440" spans="1:24">
      <c r="B1440" s="11"/>
      <c r="C1440" s="609"/>
      <c r="D1440" s="10"/>
      <c r="E1440" s="10"/>
      <c r="F1440" s="88"/>
      <c r="G1440" s="88"/>
      <c r="H1440" s="88"/>
      <c r="I1440" s="99"/>
      <c r="J1440" s="63"/>
      <c r="K1440" s="21"/>
      <c r="L1440" s="21"/>
      <c r="M1440" s="21"/>
      <c r="N1440" s="21"/>
      <c r="O1440" s="21"/>
      <c r="P1440" s="21"/>
      <c r="Q1440" s="21"/>
      <c r="R1440" s="21"/>
      <c r="S1440" s="21"/>
      <c r="T1440" s="63"/>
      <c r="U1440" s="94"/>
      <c r="V1440" s="90"/>
      <c r="W1440" s="91"/>
      <c r="X1440" s="92"/>
    </row>
    <row r="1441" spans="1:24">
      <c r="B1441" s="121" t="s">
        <v>68</v>
      </c>
      <c r="C1441" s="611"/>
      <c r="D1441" s="123"/>
      <c r="E1441" s="123"/>
      <c r="F1441" s="124"/>
      <c r="G1441" s="125"/>
      <c r="H1441" s="124"/>
      <c r="I1441" s="126"/>
      <c r="J1441" s="127"/>
      <c r="K1441" s="128"/>
      <c r="L1441" s="128"/>
      <c r="M1441" s="128"/>
      <c r="N1441" s="128"/>
      <c r="O1441" s="128"/>
      <c r="P1441" s="128"/>
      <c r="Q1441" s="128"/>
      <c r="R1441" s="128"/>
      <c r="S1441" s="128"/>
      <c r="T1441" s="127"/>
      <c r="U1441" s="135"/>
      <c r="V1441" s="129"/>
      <c r="W1441" s="130"/>
      <c r="X1441" s="131"/>
    </row>
    <row r="1442" spans="1:24" s="381" customFormat="1">
      <c r="A1442" s="493" t="s">
        <v>2694</v>
      </c>
      <c r="B1442" s="372">
        <v>1</v>
      </c>
      <c r="C1442" s="373">
        <v>45952</v>
      </c>
      <c r="D1442" s="263">
        <v>74755</v>
      </c>
      <c r="E1442" s="374" t="s">
        <v>306</v>
      </c>
      <c r="F1442" s="375">
        <f>1866-185</f>
        <v>1681</v>
      </c>
      <c r="G1442" s="375">
        <f>39.7</f>
        <v>39.700000000000003</v>
      </c>
      <c r="H1442" s="375"/>
      <c r="I1442" s="376">
        <f>F1442-G1442-H1442</f>
        <v>1641.3</v>
      </c>
      <c r="J1442" s="314" t="s">
        <v>156</v>
      </c>
      <c r="K1442" s="314">
        <v>1</v>
      </c>
      <c r="L1442" s="314">
        <v>0</v>
      </c>
      <c r="M1442" s="314">
        <v>1</v>
      </c>
      <c r="N1442" s="314">
        <v>1</v>
      </c>
      <c r="O1442" s="314">
        <v>1</v>
      </c>
      <c r="P1442" s="314">
        <v>1</v>
      </c>
      <c r="Q1442" s="314">
        <v>0</v>
      </c>
      <c r="R1442" s="314">
        <v>0</v>
      </c>
      <c r="S1442" s="366">
        <v>0</v>
      </c>
      <c r="T1442" s="325"/>
      <c r="U1442" s="430" t="s">
        <v>2695</v>
      </c>
      <c r="V1442" s="377">
        <f>203.5</f>
        <v>203.5</v>
      </c>
      <c r="W1442" s="378"/>
      <c r="X1442" s="393"/>
    </row>
    <row r="1443" spans="1:24">
      <c r="B1443" s="132"/>
      <c r="C1443" s="36"/>
      <c r="D1443" s="123"/>
      <c r="E1443" s="123"/>
      <c r="F1443" s="133">
        <f>SUM(F1442:F1442)</f>
        <v>1681</v>
      </c>
      <c r="G1443" s="133">
        <f>SUM(G1442:G1442)</f>
        <v>39.700000000000003</v>
      </c>
      <c r="H1443" s="133">
        <f>SUM(H1442:H1442)</f>
        <v>0</v>
      </c>
      <c r="I1443" s="134">
        <f>SUM(I1442:I1442)</f>
        <v>1641.3</v>
      </c>
      <c r="J1443" s="127"/>
      <c r="K1443" s="64"/>
      <c r="L1443" s="64"/>
      <c r="M1443" s="64"/>
      <c r="N1443" s="64"/>
      <c r="O1443" s="64"/>
      <c r="P1443" s="64"/>
      <c r="Q1443" s="64"/>
      <c r="R1443" s="64"/>
      <c r="S1443" s="64"/>
      <c r="T1443" s="127"/>
      <c r="U1443" s="135"/>
      <c r="V1443" s="129"/>
      <c r="W1443" s="130"/>
      <c r="X1443" s="131"/>
    </row>
    <row r="1444" spans="1:24">
      <c r="B1444" s="11"/>
      <c r="C1444" s="36"/>
      <c r="D1444" s="10"/>
      <c r="E1444" s="10"/>
      <c r="F1444" s="88"/>
      <c r="G1444" s="88"/>
      <c r="H1444" s="88"/>
      <c r="I1444" s="99"/>
      <c r="J1444" s="63"/>
      <c r="K1444" s="21"/>
      <c r="L1444" s="21"/>
      <c r="M1444" s="21"/>
      <c r="N1444" s="21"/>
      <c r="O1444" s="21"/>
      <c r="P1444" s="21"/>
      <c r="Q1444" s="21"/>
      <c r="R1444" s="21"/>
      <c r="S1444" s="21"/>
      <c r="T1444" s="63"/>
      <c r="U1444" s="94"/>
      <c r="V1444" s="90"/>
      <c r="W1444" s="91"/>
      <c r="X1444" s="92"/>
    </row>
    <row r="1445" spans="1:24">
      <c r="B1445" s="121" t="s">
        <v>70</v>
      </c>
      <c r="C1445" s="36"/>
      <c r="D1445" s="123"/>
      <c r="E1445" s="128"/>
      <c r="F1445" s="124"/>
      <c r="G1445" s="124"/>
      <c r="H1445" s="124"/>
      <c r="I1445" s="126"/>
      <c r="J1445" s="127"/>
      <c r="K1445" s="64"/>
      <c r="L1445" s="64"/>
      <c r="M1445" s="64"/>
      <c r="N1445" s="64"/>
      <c r="O1445" s="64"/>
      <c r="P1445" s="64"/>
      <c r="Q1445" s="64"/>
      <c r="R1445" s="64"/>
      <c r="S1445" s="64"/>
      <c r="T1445" s="127"/>
      <c r="U1445" s="135"/>
      <c r="V1445" s="129"/>
      <c r="W1445" s="130"/>
      <c r="X1445" s="131"/>
    </row>
    <row r="1446" spans="1:24" s="342" customFormat="1">
      <c r="A1446" s="492" t="s">
        <v>2696</v>
      </c>
      <c r="B1446" s="467">
        <v>1</v>
      </c>
      <c r="C1446" s="478">
        <v>45951</v>
      </c>
      <c r="D1446" s="527">
        <v>74652</v>
      </c>
      <c r="E1446" s="521" t="s">
        <v>1111</v>
      </c>
      <c r="F1446" s="480">
        <f>2077.6-85</f>
        <v>1992.6</v>
      </c>
      <c r="G1446" s="480">
        <f>39.7+200</f>
        <v>239.7</v>
      </c>
      <c r="H1446" s="480"/>
      <c r="I1446" s="272">
        <f t="shared" ref="I1446" si="258">F1446-G1446-H1446</f>
        <v>1752.8999999999999</v>
      </c>
      <c r="J1446" s="481" t="s">
        <v>156</v>
      </c>
      <c r="K1446" s="481">
        <v>1</v>
      </c>
      <c r="L1446" s="481">
        <v>1</v>
      </c>
      <c r="M1446" s="481">
        <v>1</v>
      </c>
      <c r="N1446" s="481">
        <v>1</v>
      </c>
      <c r="O1446" s="481">
        <v>1</v>
      </c>
      <c r="P1446" s="481">
        <v>1</v>
      </c>
      <c r="Q1446" s="726">
        <v>0</v>
      </c>
      <c r="R1446" s="726">
        <v>0</v>
      </c>
      <c r="S1446" s="727">
        <v>0</v>
      </c>
      <c r="T1446" s="474"/>
      <c r="U1446" s="475" t="s">
        <v>2697</v>
      </c>
      <c r="V1446" s="476">
        <f>93.5+209+1889.36</f>
        <v>2191.8599999999997</v>
      </c>
      <c r="W1446" s="465"/>
      <c r="X1446" s="483"/>
    </row>
    <row r="1447" spans="1:24">
      <c r="B1447" s="132"/>
      <c r="C1447" s="36"/>
      <c r="D1447" s="123"/>
      <c r="E1447" s="123"/>
      <c r="F1447" s="134">
        <f>SUM(F1446:F1446)</f>
        <v>1992.6</v>
      </c>
      <c r="G1447" s="134">
        <f>SUM(G1446:G1446)</f>
        <v>239.7</v>
      </c>
      <c r="H1447" s="134">
        <f>SUM(H1446:H1446)</f>
        <v>0</v>
      </c>
      <c r="I1447" s="134">
        <f>SUM(I1446:I1446)</f>
        <v>1752.8999999999999</v>
      </c>
      <c r="J1447" s="127"/>
      <c r="K1447" s="64"/>
      <c r="L1447" s="64"/>
      <c r="M1447" s="64"/>
      <c r="N1447" s="64"/>
      <c r="O1447" s="64"/>
      <c r="P1447" s="64"/>
      <c r="Q1447" s="64"/>
      <c r="R1447" s="64"/>
      <c r="S1447" s="64"/>
      <c r="T1447" s="127"/>
      <c r="U1447" s="135"/>
      <c r="V1447" s="129"/>
      <c r="W1447" s="130"/>
      <c r="X1447" s="131"/>
    </row>
    <row r="1448" spans="1:24">
      <c r="B1448" s="11"/>
      <c r="C1448" s="36"/>
      <c r="D1448" s="10"/>
      <c r="E1448" s="10"/>
      <c r="F1448" s="88"/>
      <c r="G1448" s="88"/>
      <c r="H1448" s="88"/>
      <c r="I1448" s="99"/>
      <c r="J1448" s="63"/>
      <c r="K1448" s="21"/>
      <c r="L1448" s="21"/>
      <c r="M1448" s="21"/>
      <c r="N1448" s="21"/>
      <c r="O1448" s="21"/>
      <c r="P1448" s="21"/>
      <c r="Q1448" s="21"/>
      <c r="R1448" s="21"/>
      <c r="S1448" s="21"/>
      <c r="T1448" s="63"/>
      <c r="U1448" s="94"/>
      <c r="V1448" s="90"/>
      <c r="W1448" s="91"/>
      <c r="X1448" s="92"/>
    </row>
    <row r="1449" spans="1:24" s="260" customFormat="1">
      <c r="B1449" s="100" t="s">
        <v>152</v>
      </c>
      <c r="C1449" s="270"/>
      <c r="D1449" s="10"/>
      <c r="E1449" s="101"/>
      <c r="F1449" s="88"/>
      <c r="G1449" s="62"/>
      <c r="H1449" s="88"/>
      <c r="I1449" s="99"/>
      <c r="J1449" s="63"/>
      <c r="K1449" s="181"/>
      <c r="L1449" s="181"/>
      <c r="M1449" s="181"/>
      <c r="N1449" s="181"/>
      <c r="O1449" s="181"/>
      <c r="P1449" s="181"/>
      <c r="Q1449" s="181"/>
      <c r="R1449" s="181"/>
      <c r="S1449" s="181"/>
      <c r="T1449" s="63"/>
      <c r="U1449" s="10"/>
      <c r="V1449" s="90"/>
      <c r="W1449" s="91"/>
      <c r="X1449" s="92"/>
    </row>
    <row r="1450" spans="1:24" s="260" customFormat="1">
      <c r="A1450" s="261">
        <v>0.05</v>
      </c>
      <c r="B1450" s="87">
        <v>1</v>
      </c>
      <c r="C1450" s="274">
        <v>45790</v>
      </c>
      <c r="D1450" s="460" t="s">
        <v>2339</v>
      </c>
      <c r="E1450" s="276" t="s">
        <v>225</v>
      </c>
      <c r="F1450" s="277">
        <v>8614</v>
      </c>
      <c r="G1450" s="277">
        <f>39.7+(143.54)+(86.25+50.9-26.76)+750</f>
        <v>1043.6300000000001</v>
      </c>
      <c r="H1450" s="277"/>
      <c r="I1450" s="278">
        <f>F1450-G1450-H1450</f>
        <v>7570.37</v>
      </c>
      <c r="J1450" s="279"/>
      <c r="K1450" s="279">
        <v>1</v>
      </c>
      <c r="L1450" s="279"/>
      <c r="M1450" s="279"/>
      <c r="N1450" s="279">
        <v>1</v>
      </c>
      <c r="O1450" s="279">
        <v>1</v>
      </c>
      <c r="P1450" s="279">
        <v>1</v>
      </c>
      <c r="Q1450" s="279"/>
      <c r="R1450" s="279"/>
      <c r="S1450" s="280"/>
      <c r="T1450" s="63"/>
      <c r="U1450" s="10" t="s">
        <v>2340</v>
      </c>
      <c r="V1450" s="90"/>
      <c r="W1450" s="136"/>
      <c r="X1450" s="137"/>
    </row>
    <row r="1451" spans="1:24" s="260" customFormat="1">
      <c r="A1451" s="261">
        <v>0.05</v>
      </c>
      <c r="B1451" s="87">
        <f>B1450+1</f>
        <v>2</v>
      </c>
      <c r="C1451" s="262">
        <v>45880</v>
      </c>
      <c r="D1451" s="748" t="s">
        <v>2475</v>
      </c>
      <c r="E1451" s="264" t="s">
        <v>294</v>
      </c>
      <c r="F1451" s="265">
        <v>1542</v>
      </c>
      <c r="G1451" s="265">
        <f>39.7</f>
        <v>39.700000000000003</v>
      </c>
      <c r="H1451" s="265"/>
      <c r="I1451" s="266">
        <f>F1451-G1451-H1451</f>
        <v>1502.3</v>
      </c>
      <c r="J1451" s="267" t="s">
        <v>156</v>
      </c>
      <c r="K1451" s="267">
        <v>1</v>
      </c>
      <c r="L1451" s="314">
        <v>0</v>
      </c>
      <c r="M1451" s="267">
        <v>1</v>
      </c>
      <c r="N1451" s="267">
        <v>1</v>
      </c>
      <c r="O1451" s="267">
        <v>1</v>
      </c>
      <c r="P1451" s="267">
        <v>1</v>
      </c>
      <c r="Q1451" s="267">
        <v>1</v>
      </c>
      <c r="R1451" s="267">
        <v>1</v>
      </c>
      <c r="S1451" s="269">
        <v>1</v>
      </c>
      <c r="T1451" s="63"/>
      <c r="U1451" s="10" t="s">
        <v>2642</v>
      </c>
      <c r="V1451" s="90"/>
      <c r="W1451" s="91"/>
      <c r="X1451" s="92"/>
    </row>
    <row r="1452" spans="1:24" s="260" customFormat="1">
      <c r="A1452" s="261" t="s">
        <v>2588</v>
      </c>
      <c r="B1452" s="87">
        <f>B1451+1</f>
        <v>3</v>
      </c>
      <c r="C1452" s="282">
        <v>45911</v>
      </c>
      <c r="D1452" s="555">
        <v>73228</v>
      </c>
      <c r="E1452" s="319" t="s">
        <v>1037</v>
      </c>
      <c r="F1452" s="284">
        <v>4914.8999999999996</v>
      </c>
      <c r="G1452" s="284">
        <f>39.7</f>
        <v>39.700000000000003</v>
      </c>
      <c r="H1452" s="284"/>
      <c r="I1452" s="285">
        <f>F1452-G1452-H1452</f>
        <v>4875.2</v>
      </c>
      <c r="J1452" s="286" t="s">
        <v>156</v>
      </c>
      <c r="K1452" s="286">
        <v>1</v>
      </c>
      <c r="L1452" s="286">
        <v>1</v>
      </c>
      <c r="M1452" s="286">
        <v>1</v>
      </c>
      <c r="N1452" s="286">
        <v>1</v>
      </c>
      <c r="O1452" s="286">
        <v>1</v>
      </c>
      <c r="P1452" s="286">
        <v>1</v>
      </c>
      <c r="Q1452" s="286">
        <v>1</v>
      </c>
      <c r="R1452" s="286">
        <v>1</v>
      </c>
      <c r="S1452" s="287">
        <v>1</v>
      </c>
      <c r="T1452" s="21"/>
      <c r="U1452" s="94" t="s">
        <v>2589</v>
      </c>
      <c r="V1452" s="90"/>
      <c r="W1452" s="91"/>
      <c r="X1452" s="92"/>
    </row>
    <row r="1453" spans="1:24" s="260" customFormat="1">
      <c r="B1453" s="11"/>
      <c r="C1453" s="270"/>
      <c r="D1453" s="10"/>
      <c r="E1453" s="10"/>
      <c r="F1453" s="97">
        <f>SUM(F1450:F1452)</f>
        <v>15070.9</v>
      </c>
      <c r="G1453" s="97">
        <f>SUM(G1450:G1452)</f>
        <v>1123.0300000000002</v>
      </c>
      <c r="H1453" s="97">
        <f>SUM(H1450:H1452)</f>
        <v>0</v>
      </c>
      <c r="I1453" s="97">
        <f>SUM(I1450:I1452)</f>
        <v>13947.869999999999</v>
      </c>
      <c r="J1453" s="63"/>
      <c r="K1453" s="21"/>
      <c r="L1453" s="21"/>
      <c r="M1453" s="21"/>
      <c r="N1453" s="21"/>
      <c r="O1453" s="21"/>
      <c r="P1453" s="21"/>
      <c r="Q1453" s="21"/>
      <c r="R1453" s="21"/>
      <c r="S1453" s="21"/>
      <c r="T1453" s="63"/>
      <c r="U1453" s="10"/>
      <c r="V1453" s="90"/>
      <c r="W1453" s="91"/>
      <c r="X1453" s="92"/>
    </row>
    <row r="1454" spans="1:24" s="260" customFormat="1">
      <c r="B1454" s="11"/>
      <c r="C1454" s="270"/>
      <c r="D1454" s="10"/>
      <c r="E1454" s="10"/>
      <c r="F1454" s="88"/>
      <c r="G1454" s="88"/>
      <c r="H1454" s="88"/>
      <c r="I1454" s="99"/>
      <c r="J1454" s="63"/>
      <c r="K1454" s="21"/>
      <c r="L1454" s="21"/>
      <c r="M1454" s="21"/>
      <c r="N1454" s="21"/>
      <c r="O1454" s="21"/>
      <c r="P1454" s="21"/>
      <c r="Q1454" s="21"/>
      <c r="R1454" s="21"/>
      <c r="S1454" s="21"/>
      <c r="T1454" s="63"/>
      <c r="U1454" s="10"/>
      <c r="V1454" s="90"/>
      <c r="W1454" s="91"/>
      <c r="X1454" s="92"/>
    </row>
    <row r="1455" spans="1:24" s="260" customFormat="1">
      <c r="B1455" s="100" t="s">
        <v>202</v>
      </c>
      <c r="C1455" s="270"/>
      <c r="D1455" s="10"/>
      <c r="E1455" s="181"/>
      <c r="F1455" s="88"/>
      <c r="G1455" s="88"/>
      <c r="H1455" s="88"/>
      <c r="I1455" s="99"/>
      <c r="J1455" s="63"/>
      <c r="K1455" s="21"/>
      <c r="L1455" s="21"/>
      <c r="M1455" s="21"/>
      <c r="N1455" s="21"/>
      <c r="O1455" s="21"/>
      <c r="P1455" s="21"/>
      <c r="Q1455" s="21"/>
      <c r="R1455" s="21"/>
      <c r="S1455" s="21"/>
      <c r="T1455" s="63"/>
      <c r="U1455" s="10"/>
      <c r="V1455" s="90"/>
      <c r="W1455" s="91"/>
      <c r="X1455" s="92"/>
    </row>
    <row r="1456" spans="1:24" s="260" customFormat="1">
      <c r="A1456" s="261">
        <v>0.05</v>
      </c>
      <c r="B1456" s="87">
        <v>1</v>
      </c>
      <c r="C1456" s="274">
        <v>45863</v>
      </c>
      <c r="D1456" s="509" t="s">
        <v>2406</v>
      </c>
      <c r="E1456" s="276" t="s">
        <v>2398</v>
      </c>
      <c r="F1456" s="277">
        <v>14218</v>
      </c>
      <c r="G1456" s="277">
        <f>39.7+487.5+(78.82+18.7+38.9+17.61+45.74)+(21.28)+1000</f>
        <v>1748.25</v>
      </c>
      <c r="H1456" s="277"/>
      <c r="I1456" s="278">
        <f>F1456-G1456-H1456</f>
        <v>12469.75</v>
      </c>
      <c r="J1456" s="279" t="s">
        <v>156</v>
      </c>
      <c r="K1456" s="279">
        <v>1</v>
      </c>
      <c r="L1456" s="279"/>
      <c r="M1456" s="279">
        <v>1</v>
      </c>
      <c r="N1456" s="279">
        <v>1</v>
      </c>
      <c r="O1456" s="279">
        <v>1</v>
      </c>
      <c r="P1456" s="279">
        <v>1</v>
      </c>
      <c r="Q1456" s="279"/>
      <c r="R1456" s="279"/>
      <c r="S1456" s="280"/>
      <c r="T1456" s="63"/>
      <c r="U1456" s="94" t="s">
        <v>2407</v>
      </c>
      <c r="V1456" s="90"/>
      <c r="W1456" s="136"/>
      <c r="X1456" s="137"/>
    </row>
    <row r="1457" spans="1:24" s="260" customFormat="1">
      <c r="A1457" s="494">
        <v>0.1</v>
      </c>
      <c r="B1457" s="87">
        <f>B1456+1</f>
        <v>2</v>
      </c>
      <c r="C1457" s="274">
        <v>45925</v>
      </c>
      <c r="D1457" s="509">
        <v>73655</v>
      </c>
      <c r="E1457" s="281" t="s">
        <v>1401</v>
      </c>
      <c r="F1457" s="277">
        <v>7118.1</v>
      </c>
      <c r="G1457" s="277">
        <f>39.7+500</f>
        <v>539.70000000000005</v>
      </c>
      <c r="H1457" s="277"/>
      <c r="I1457" s="321">
        <f t="shared" ref="I1457" si="259">F1457-G1457-H1457</f>
        <v>6578.4000000000005</v>
      </c>
      <c r="J1457" s="279"/>
      <c r="K1457" s="279">
        <v>1</v>
      </c>
      <c r="L1457" s="279"/>
      <c r="M1457" s="279"/>
      <c r="N1457" s="279">
        <v>1</v>
      </c>
      <c r="O1457" s="279">
        <v>1</v>
      </c>
      <c r="P1457" s="322">
        <v>0</v>
      </c>
      <c r="Q1457" s="279"/>
      <c r="R1457" s="279"/>
      <c r="S1457" s="280"/>
      <c r="T1457" s="63"/>
      <c r="U1457" s="94" t="s">
        <v>2618</v>
      </c>
      <c r="V1457" s="90"/>
      <c r="W1457" s="136"/>
      <c r="X1457" s="137"/>
    </row>
    <row r="1458" spans="1:24" s="260" customFormat="1">
      <c r="A1458" s="494">
        <v>0.1</v>
      </c>
      <c r="B1458" s="87">
        <f t="shared" ref="B1458:B1459" si="260">B1457+1</f>
        <v>3</v>
      </c>
      <c r="C1458" s="262">
        <v>45939</v>
      </c>
      <c r="D1458" s="642" t="s">
        <v>2652</v>
      </c>
      <c r="E1458" s="271" t="s">
        <v>1008</v>
      </c>
      <c r="F1458" s="265">
        <v>18161</v>
      </c>
      <c r="G1458" s="265">
        <f>39.7+(125.35+68.83)+(596.95+34.4)+1500</f>
        <v>2365.23</v>
      </c>
      <c r="H1458" s="265"/>
      <c r="I1458" s="272">
        <f>F1458-G1458-H1458</f>
        <v>15795.77</v>
      </c>
      <c r="J1458" s="267" t="s">
        <v>156</v>
      </c>
      <c r="K1458" s="267">
        <v>1</v>
      </c>
      <c r="L1458" s="267"/>
      <c r="M1458" s="267">
        <v>1</v>
      </c>
      <c r="N1458" s="267">
        <v>1</v>
      </c>
      <c r="O1458" s="267">
        <v>1</v>
      </c>
      <c r="P1458" s="267">
        <v>1</v>
      </c>
      <c r="Q1458" s="267"/>
      <c r="R1458" s="267"/>
      <c r="S1458" s="269"/>
      <c r="T1458" s="63"/>
      <c r="U1458" s="94" t="s">
        <v>2680</v>
      </c>
      <c r="V1458" s="90"/>
      <c r="W1458" s="136"/>
      <c r="X1458" s="137"/>
    </row>
    <row r="1459" spans="1:24" s="260" customFormat="1">
      <c r="A1459" s="704" t="s">
        <v>683</v>
      </c>
      <c r="B1459" s="87">
        <f t="shared" si="260"/>
        <v>4</v>
      </c>
      <c r="C1459" s="262">
        <v>45943</v>
      </c>
      <c r="D1459" s="271">
        <v>74329</v>
      </c>
      <c r="E1459" s="271" t="s">
        <v>1150</v>
      </c>
      <c r="F1459" s="265">
        <v>1138</v>
      </c>
      <c r="G1459" s="265">
        <f>39.7</f>
        <v>39.700000000000003</v>
      </c>
      <c r="H1459" s="265"/>
      <c r="I1459" s="272">
        <f>F1459-G1459-H1459</f>
        <v>1098.3</v>
      </c>
      <c r="J1459" s="267"/>
      <c r="K1459" s="267">
        <v>1</v>
      </c>
      <c r="L1459" s="267">
        <v>1</v>
      </c>
      <c r="M1459" s="267"/>
      <c r="N1459" s="267">
        <v>1</v>
      </c>
      <c r="O1459" s="267">
        <v>1</v>
      </c>
      <c r="P1459" s="267">
        <v>1</v>
      </c>
      <c r="Q1459" s="267"/>
      <c r="R1459" s="267"/>
      <c r="S1459" s="269"/>
      <c r="T1459" s="63"/>
      <c r="U1459" s="94" t="s">
        <v>2679</v>
      </c>
      <c r="V1459" s="90"/>
      <c r="W1459" s="91"/>
      <c r="X1459" s="92"/>
    </row>
    <row r="1460" spans="1:24" s="260" customFormat="1">
      <c r="A1460" s="260" t="s">
        <v>2347</v>
      </c>
      <c r="B1460" s="11"/>
      <c r="C1460" s="270"/>
      <c r="D1460" s="10"/>
      <c r="E1460" s="10"/>
      <c r="F1460" s="97">
        <f>SUM(F1456:F1459)</f>
        <v>40635.1</v>
      </c>
      <c r="G1460" s="97">
        <f t="shared" ref="G1460:I1460" si="261">SUM(G1456:G1459)</f>
        <v>4692.88</v>
      </c>
      <c r="H1460" s="97">
        <f t="shared" si="261"/>
        <v>0</v>
      </c>
      <c r="I1460" s="97">
        <f t="shared" si="261"/>
        <v>35942.22</v>
      </c>
      <c r="J1460" s="63"/>
      <c r="K1460" s="21"/>
      <c r="L1460" s="21"/>
      <c r="M1460" s="21"/>
      <c r="N1460" s="21"/>
      <c r="O1460" s="21"/>
      <c r="P1460" s="21"/>
      <c r="Q1460" s="21"/>
      <c r="R1460" s="21"/>
      <c r="S1460" s="21"/>
      <c r="T1460" s="63"/>
      <c r="V1460" s="90"/>
      <c r="W1460" s="91"/>
      <c r="X1460" s="92"/>
    </row>
    <row r="1461" spans="1:24" s="260" customFormat="1">
      <c r="B1461" s="11"/>
      <c r="C1461" s="270"/>
      <c r="D1461" s="10"/>
      <c r="E1461" s="10"/>
      <c r="F1461" s="88"/>
      <c r="G1461" s="88"/>
      <c r="H1461" s="88"/>
      <c r="I1461" s="88"/>
      <c r="J1461" s="63"/>
      <c r="K1461" s="21"/>
      <c r="L1461" s="21"/>
      <c r="M1461" s="21"/>
      <c r="N1461" s="21"/>
      <c r="O1461" s="21"/>
      <c r="P1461" s="21"/>
      <c r="Q1461" s="21"/>
      <c r="R1461" s="21"/>
      <c r="S1461" s="21"/>
      <c r="T1461" s="63"/>
      <c r="U1461" s="10"/>
      <c r="V1461" s="90"/>
      <c r="W1461" s="91"/>
      <c r="X1461" s="92"/>
    </row>
    <row r="1462" spans="1:24">
      <c r="B1462" s="100" t="s">
        <v>72</v>
      </c>
      <c r="C1462" s="36"/>
      <c r="D1462" s="10"/>
      <c r="E1462" s="10"/>
      <c r="F1462" s="88"/>
      <c r="G1462" s="88"/>
      <c r="H1462" s="88"/>
      <c r="I1462" s="99"/>
      <c r="J1462" s="63"/>
      <c r="K1462" s="63"/>
      <c r="L1462" s="63"/>
      <c r="M1462" s="63"/>
      <c r="N1462" s="63"/>
      <c r="O1462" s="63"/>
      <c r="P1462" s="63"/>
      <c r="Q1462" s="63"/>
      <c r="R1462" s="63"/>
      <c r="S1462" s="63"/>
      <c r="T1462" s="63"/>
      <c r="U1462" s="94"/>
      <c r="V1462" s="90"/>
      <c r="W1462" s="91"/>
      <c r="X1462" s="92"/>
    </row>
    <row r="1463" spans="1:24">
      <c r="B1463" s="87">
        <v>1</v>
      </c>
      <c r="C1463" s="274">
        <v>45950</v>
      </c>
      <c r="D1463" s="276">
        <v>74607</v>
      </c>
      <c r="E1463" s="276" t="s">
        <v>1200</v>
      </c>
      <c r="F1463" s="277">
        <v>2814</v>
      </c>
      <c r="G1463" s="277">
        <v>39.700000000000003</v>
      </c>
      <c r="H1463" s="277"/>
      <c r="I1463" s="278">
        <f>F1463-G1463-H1463</f>
        <v>2774.3</v>
      </c>
      <c r="J1463" s="279" t="s">
        <v>205</v>
      </c>
      <c r="K1463" s="279">
        <v>1</v>
      </c>
      <c r="L1463" s="279"/>
      <c r="M1463" s="279"/>
      <c r="N1463" s="279">
        <v>1</v>
      </c>
      <c r="O1463" s="279"/>
      <c r="P1463" s="279"/>
      <c r="Q1463" s="279">
        <v>1</v>
      </c>
      <c r="R1463" s="279">
        <v>1</v>
      </c>
      <c r="S1463" s="280">
        <v>1</v>
      </c>
      <c r="T1463" s="63"/>
      <c r="U1463" s="164"/>
      <c r="V1463" s="90"/>
      <c r="W1463" s="91"/>
      <c r="X1463" s="92"/>
    </row>
    <row r="1464" spans="1:24">
      <c r="B1464" s="87">
        <f>B1463+1</f>
        <v>2</v>
      </c>
      <c r="C1464" s="295">
        <v>45950</v>
      </c>
      <c r="D1464" s="10">
        <v>74614</v>
      </c>
      <c r="E1464" s="10" t="s">
        <v>1401</v>
      </c>
      <c r="F1464" s="62">
        <v>5508.85</v>
      </c>
      <c r="G1464" s="62">
        <v>39.700000000000003</v>
      </c>
      <c r="H1464" s="62"/>
      <c r="I1464" s="89">
        <f t="shared" ref="I1464:I1478" si="262">F1464-G1464-H1464</f>
        <v>5469.1500000000005</v>
      </c>
      <c r="J1464" s="63" t="s">
        <v>205</v>
      </c>
      <c r="K1464" s="63">
        <v>1</v>
      </c>
      <c r="L1464" s="63"/>
      <c r="M1464" s="63"/>
      <c r="N1464" s="63">
        <v>1</v>
      </c>
      <c r="O1464" s="63"/>
      <c r="P1464" s="63"/>
      <c r="Q1464" s="63">
        <v>1</v>
      </c>
      <c r="R1464" s="63">
        <v>1</v>
      </c>
      <c r="S1464" s="296">
        <v>1</v>
      </c>
      <c r="T1464" s="63"/>
      <c r="U1464" s="94"/>
      <c r="V1464" s="90"/>
      <c r="W1464" s="136"/>
      <c r="X1464" s="137"/>
    </row>
    <row r="1465" spans="1:24">
      <c r="B1465" s="87">
        <f t="shared" ref="B1465:B1478" si="263">B1464+1</f>
        <v>3</v>
      </c>
      <c r="C1465" s="295">
        <v>45950</v>
      </c>
      <c r="D1465" s="10" t="s">
        <v>2698</v>
      </c>
      <c r="E1465" s="10" t="s">
        <v>333</v>
      </c>
      <c r="F1465" s="62">
        <v>5533</v>
      </c>
      <c r="G1465" s="62">
        <v>39.700000000000003</v>
      </c>
      <c r="H1465" s="62"/>
      <c r="I1465" s="89">
        <f t="shared" si="262"/>
        <v>5493.3</v>
      </c>
      <c r="J1465" s="63" t="s">
        <v>205</v>
      </c>
      <c r="K1465" s="63">
        <v>1</v>
      </c>
      <c r="L1465" s="63"/>
      <c r="M1465" s="63"/>
      <c r="N1465" s="63">
        <v>1</v>
      </c>
      <c r="O1465" s="63"/>
      <c r="P1465" s="63"/>
      <c r="Q1465" s="63"/>
      <c r="R1465" s="63"/>
      <c r="S1465" s="296"/>
      <c r="T1465" s="63"/>
      <c r="U1465" s="94"/>
      <c r="V1465" s="90"/>
      <c r="W1465" s="136"/>
      <c r="X1465" s="137"/>
    </row>
    <row r="1466" spans="1:24">
      <c r="B1466" s="87">
        <f t="shared" si="263"/>
        <v>4</v>
      </c>
      <c r="C1466" s="295">
        <v>45950</v>
      </c>
      <c r="D1466" s="10">
        <v>74654</v>
      </c>
      <c r="E1466" s="10" t="s">
        <v>1605</v>
      </c>
      <c r="F1466" s="62">
        <v>7455</v>
      </c>
      <c r="G1466" s="62">
        <v>39.700000000000003</v>
      </c>
      <c r="H1466" s="62"/>
      <c r="I1466" s="89">
        <f t="shared" si="262"/>
        <v>7415.3</v>
      </c>
      <c r="J1466" s="63" t="s">
        <v>205</v>
      </c>
      <c r="K1466" s="63">
        <v>1</v>
      </c>
      <c r="L1466" s="63"/>
      <c r="M1466" s="63"/>
      <c r="N1466" s="63">
        <v>1</v>
      </c>
      <c r="O1466" s="63"/>
      <c r="P1466" s="63">
        <v>1</v>
      </c>
      <c r="Q1466" s="63">
        <v>1</v>
      </c>
      <c r="R1466" s="63">
        <v>1</v>
      </c>
      <c r="S1466" s="296">
        <v>1</v>
      </c>
      <c r="T1466" s="63"/>
      <c r="U1466" s="94"/>
      <c r="V1466" s="90"/>
      <c r="W1466" s="136"/>
      <c r="X1466" s="137"/>
    </row>
    <row r="1467" spans="1:24">
      <c r="B1467" s="87">
        <f t="shared" si="263"/>
        <v>5</v>
      </c>
      <c r="C1467" s="274">
        <v>45951</v>
      </c>
      <c r="D1467" s="276">
        <v>74651</v>
      </c>
      <c r="E1467" s="276" t="s">
        <v>780</v>
      </c>
      <c r="F1467" s="277">
        <v>2861</v>
      </c>
      <c r="G1467" s="277">
        <v>39.700000000000003</v>
      </c>
      <c r="H1467" s="277"/>
      <c r="I1467" s="278">
        <f t="shared" si="262"/>
        <v>2821.3</v>
      </c>
      <c r="J1467" s="279" t="s">
        <v>205</v>
      </c>
      <c r="K1467" s="279">
        <v>1</v>
      </c>
      <c r="L1467" s="279"/>
      <c r="M1467" s="279"/>
      <c r="N1467" s="279">
        <v>1</v>
      </c>
      <c r="O1467" s="279"/>
      <c r="P1467" s="279"/>
      <c r="Q1467" s="279">
        <v>1</v>
      </c>
      <c r="R1467" s="279">
        <v>1</v>
      </c>
      <c r="S1467" s="280"/>
      <c r="T1467" s="21">
        <v>1</v>
      </c>
      <c r="U1467" s="94"/>
      <c r="V1467" s="90"/>
      <c r="W1467" s="136"/>
      <c r="X1467" s="137"/>
    </row>
    <row r="1468" spans="1:24">
      <c r="B1468" s="87">
        <f t="shared" si="263"/>
        <v>6</v>
      </c>
      <c r="C1468" s="295">
        <v>45951</v>
      </c>
      <c r="D1468" s="10">
        <v>74649</v>
      </c>
      <c r="E1468" s="101" t="s">
        <v>1143</v>
      </c>
      <c r="F1468" s="62">
        <v>1134</v>
      </c>
      <c r="G1468" s="62">
        <v>39.700000000000003</v>
      </c>
      <c r="H1468" s="62"/>
      <c r="I1468" s="89">
        <f t="shared" si="262"/>
        <v>1094.3</v>
      </c>
      <c r="J1468" s="63" t="s">
        <v>205</v>
      </c>
      <c r="K1468" s="63">
        <v>1</v>
      </c>
      <c r="L1468" s="63"/>
      <c r="M1468" s="63"/>
      <c r="N1468" s="63">
        <v>1</v>
      </c>
      <c r="O1468" s="63"/>
      <c r="P1468" s="63"/>
      <c r="Q1468" s="63">
        <v>1</v>
      </c>
      <c r="R1468" s="63">
        <v>1</v>
      </c>
      <c r="S1468" s="296">
        <v>1</v>
      </c>
      <c r="T1468" s="63"/>
      <c r="U1468" s="94"/>
      <c r="V1468" s="90"/>
      <c r="W1468" s="136"/>
      <c r="X1468" s="137"/>
    </row>
    <row r="1469" spans="1:24">
      <c r="B1469" s="87">
        <f t="shared" si="263"/>
        <v>7</v>
      </c>
      <c r="C1469" s="274">
        <v>45952</v>
      </c>
      <c r="D1469" s="276">
        <v>74675</v>
      </c>
      <c r="E1469" s="281" t="s">
        <v>761</v>
      </c>
      <c r="F1469" s="277">
        <v>814</v>
      </c>
      <c r="G1469" s="277">
        <v>39.700000000000003</v>
      </c>
      <c r="H1469" s="277"/>
      <c r="I1469" s="278">
        <f t="shared" si="262"/>
        <v>774.3</v>
      </c>
      <c r="J1469" s="279" t="s">
        <v>205</v>
      </c>
      <c r="K1469" s="279">
        <v>1</v>
      </c>
      <c r="L1469" s="279"/>
      <c r="M1469" s="279"/>
      <c r="N1469" s="279">
        <v>1</v>
      </c>
      <c r="O1469" s="279"/>
      <c r="P1469" s="279"/>
      <c r="Q1469" s="279">
        <v>1</v>
      </c>
      <c r="R1469" s="279">
        <v>1</v>
      </c>
      <c r="S1469" s="280">
        <v>1</v>
      </c>
      <c r="T1469" s="63"/>
      <c r="U1469" s="94"/>
      <c r="V1469" s="90"/>
      <c r="W1469" s="136"/>
      <c r="X1469" s="137"/>
    </row>
    <row r="1470" spans="1:24">
      <c r="B1470" s="87">
        <f t="shared" si="263"/>
        <v>8</v>
      </c>
      <c r="C1470" s="295">
        <v>45952</v>
      </c>
      <c r="D1470" s="10">
        <v>74727</v>
      </c>
      <c r="E1470" s="101" t="s">
        <v>2372</v>
      </c>
      <c r="F1470" s="62">
        <v>6214</v>
      </c>
      <c r="G1470" s="62">
        <v>39.700000000000003</v>
      </c>
      <c r="H1470" s="62"/>
      <c r="I1470" s="89">
        <f t="shared" si="262"/>
        <v>6174.3</v>
      </c>
      <c r="J1470" s="63" t="s">
        <v>205</v>
      </c>
      <c r="K1470" s="63">
        <v>1</v>
      </c>
      <c r="L1470" s="63"/>
      <c r="M1470" s="63"/>
      <c r="N1470" s="63">
        <v>1</v>
      </c>
      <c r="O1470" s="63"/>
      <c r="P1470" s="63"/>
      <c r="Q1470" s="63">
        <v>1</v>
      </c>
      <c r="R1470" s="63">
        <v>1</v>
      </c>
      <c r="S1470" s="296">
        <v>1</v>
      </c>
      <c r="T1470" s="63"/>
      <c r="U1470" s="94"/>
      <c r="V1470" s="90"/>
      <c r="W1470" s="136"/>
      <c r="X1470" s="137"/>
    </row>
    <row r="1471" spans="1:24">
      <c r="B1471" s="87">
        <f t="shared" si="263"/>
        <v>9</v>
      </c>
      <c r="C1471" s="274">
        <v>45953</v>
      </c>
      <c r="D1471" s="276">
        <v>74744</v>
      </c>
      <c r="E1471" s="281" t="s">
        <v>1085</v>
      </c>
      <c r="F1471" s="277">
        <v>861</v>
      </c>
      <c r="G1471" s="277">
        <v>39.700000000000003</v>
      </c>
      <c r="H1471" s="277"/>
      <c r="I1471" s="278">
        <f t="shared" si="262"/>
        <v>821.3</v>
      </c>
      <c r="J1471" s="279" t="s">
        <v>205</v>
      </c>
      <c r="K1471" s="279">
        <v>1</v>
      </c>
      <c r="L1471" s="279"/>
      <c r="M1471" s="279"/>
      <c r="N1471" s="279">
        <v>1</v>
      </c>
      <c r="O1471" s="279"/>
      <c r="P1471" s="279"/>
      <c r="Q1471" s="279">
        <v>1</v>
      </c>
      <c r="R1471" s="279">
        <v>1</v>
      </c>
      <c r="S1471" s="280">
        <v>1</v>
      </c>
      <c r="T1471" s="63"/>
      <c r="U1471" s="94"/>
      <c r="V1471" s="90"/>
      <c r="W1471" s="136"/>
      <c r="X1471" s="137"/>
    </row>
    <row r="1472" spans="1:24">
      <c r="B1472" s="87">
        <f t="shared" si="263"/>
        <v>10</v>
      </c>
      <c r="C1472" s="295">
        <v>45953</v>
      </c>
      <c r="D1472" s="10">
        <v>74743</v>
      </c>
      <c r="E1472" s="101" t="s">
        <v>2372</v>
      </c>
      <c r="F1472" s="62">
        <v>4374.8999999999996</v>
      </c>
      <c r="G1472" s="62">
        <v>39.700000000000003</v>
      </c>
      <c r="H1472" s="62"/>
      <c r="I1472" s="89">
        <f t="shared" si="262"/>
        <v>4335.2</v>
      </c>
      <c r="J1472" s="63" t="s">
        <v>205</v>
      </c>
      <c r="K1472" s="63">
        <v>1</v>
      </c>
      <c r="L1472" s="63"/>
      <c r="M1472" s="63"/>
      <c r="N1472" s="63">
        <v>1</v>
      </c>
      <c r="O1472" s="63"/>
      <c r="P1472" s="63"/>
      <c r="Q1472" s="63">
        <v>1</v>
      </c>
      <c r="R1472" s="63">
        <v>1</v>
      </c>
      <c r="S1472" s="296">
        <v>1</v>
      </c>
      <c r="T1472" s="63"/>
      <c r="U1472" s="94"/>
      <c r="V1472" s="90"/>
      <c r="W1472" s="136"/>
      <c r="X1472" s="137"/>
    </row>
    <row r="1473" spans="2:24">
      <c r="B1473" s="87">
        <f t="shared" si="263"/>
        <v>11</v>
      </c>
      <c r="C1473" s="295">
        <v>45953</v>
      </c>
      <c r="D1473" s="10" t="s">
        <v>2699</v>
      </c>
      <c r="E1473" s="10" t="s">
        <v>162</v>
      </c>
      <c r="F1473" s="62">
        <v>1394.85</v>
      </c>
      <c r="G1473" s="62">
        <f>39.7</f>
        <v>39.700000000000003</v>
      </c>
      <c r="H1473" s="62"/>
      <c r="I1473" s="89">
        <f t="shared" si="262"/>
        <v>1355.1499999999999</v>
      </c>
      <c r="J1473" s="63" t="s">
        <v>156</v>
      </c>
      <c r="K1473" s="63">
        <v>1</v>
      </c>
      <c r="L1473" s="63"/>
      <c r="M1473" s="63">
        <v>1</v>
      </c>
      <c r="N1473" s="63">
        <v>1</v>
      </c>
      <c r="O1473" s="63">
        <v>1</v>
      </c>
      <c r="P1473" s="63">
        <v>1</v>
      </c>
      <c r="Q1473" s="63">
        <v>1</v>
      </c>
      <c r="R1473" s="63">
        <v>1</v>
      </c>
      <c r="S1473" s="296">
        <v>1</v>
      </c>
      <c r="T1473" s="63"/>
      <c r="U1473" s="94" t="s">
        <v>2700</v>
      </c>
      <c r="V1473" s="90">
        <v>153</v>
      </c>
      <c r="W1473" s="136"/>
      <c r="X1473" s="137"/>
    </row>
    <row r="1474" spans="2:24">
      <c r="B1474" s="87">
        <f t="shared" si="263"/>
        <v>12</v>
      </c>
      <c r="C1474" s="295">
        <v>45953</v>
      </c>
      <c r="D1474" s="10" t="s">
        <v>2701</v>
      </c>
      <c r="E1474" s="10" t="s">
        <v>1030</v>
      </c>
      <c r="F1474" s="62">
        <v>1607.27</v>
      </c>
      <c r="G1474" s="62">
        <v>39.700000000000003</v>
      </c>
      <c r="H1474" s="62"/>
      <c r="I1474" s="89">
        <f t="shared" si="262"/>
        <v>1567.57</v>
      </c>
      <c r="J1474" s="63" t="s">
        <v>156</v>
      </c>
      <c r="K1474" s="63">
        <v>1</v>
      </c>
      <c r="L1474" s="63"/>
      <c r="M1474" s="63">
        <v>1</v>
      </c>
      <c r="N1474" s="63">
        <v>1</v>
      </c>
      <c r="O1474" s="63">
        <v>1</v>
      </c>
      <c r="P1474" s="63">
        <v>1</v>
      </c>
      <c r="Q1474" s="63">
        <v>1</v>
      </c>
      <c r="R1474" s="63">
        <v>1</v>
      </c>
      <c r="S1474" s="296">
        <v>1</v>
      </c>
      <c r="T1474" s="63"/>
      <c r="U1474" s="94" t="s">
        <v>2702</v>
      </c>
      <c r="V1474" s="90">
        <v>1768</v>
      </c>
      <c r="W1474" s="136"/>
      <c r="X1474" s="137"/>
    </row>
    <row r="1475" spans="2:24">
      <c r="B1475" s="87">
        <f t="shared" si="263"/>
        <v>13</v>
      </c>
      <c r="C1475" s="295">
        <v>45953</v>
      </c>
      <c r="D1475" s="10">
        <v>74711</v>
      </c>
      <c r="E1475" s="101" t="s">
        <v>1030</v>
      </c>
      <c r="F1475" s="62">
        <v>1361</v>
      </c>
      <c r="G1475" s="62">
        <v>39.700000000000003</v>
      </c>
      <c r="H1475" s="62"/>
      <c r="I1475" s="89">
        <f t="shared" si="262"/>
        <v>1321.3</v>
      </c>
      <c r="J1475" s="63" t="s">
        <v>205</v>
      </c>
      <c r="K1475" s="63">
        <v>1</v>
      </c>
      <c r="L1475" s="63"/>
      <c r="M1475" s="63"/>
      <c r="N1475" s="63">
        <v>1</v>
      </c>
      <c r="O1475" s="63"/>
      <c r="P1475" s="63"/>
      <c r="Q1475" s="63">
        <v>1</v>
      </c>
      <c r="R1475" s="63">
        <v>1</v>
      </c>
      <c r="S1475" s="296">
        <v>1</v>
      </c>
      <c r="T1475" s="63"/>
      <c r="U1475" s="94"/>
      <c r="V1475" s="90"/>
      <c r="W1475" s="136"/>
      <c r="X1475" s="137"/>
    </row>
    <row r="1476" spans="2:24">
      <c r="B1476" s="87">
        <f t="shared" si="263"/>
        <v>14</v>
      </c>
      <c r="C1476" s="295">
        <v>45953</v>
      </c>
      <c r="D1476" s="10">
        <v>74770</v>
      </c>
      <c r="E1476" s="10" t="s">
        <v>172</v>
      </c>
      <c r="F1476" s="62">
        <v>0</v>
      </c>
      <c r="G1476" s="62">
        <v>0</v>
      </c>
      <c r="H1476" s="62"/>
      <c r="I1476" s="89">
        <f t="shared" si="262"/>
        <v>0</v>
      </c>
      <c r="J1476" s="63" t="s">
        <v>205</v>
      </c>
      <c r="K1476" s="63"/>
      <c r="L1476" s="63"/>
      <c r="M1476" s="63"/>
      <c r="N1476" s="63"/>
      <c r="O1476" s="63"/>
      <c r="P1476" s="63"/>
      <c r="Q1476" s="63">
        <v>1</v>
      </c>
      <c r="R1476" s="63">
        <v>1</v>
      </c>
      <c r="S1476" s="296">
        <v>1</v>
      </c>
      <c r="T1476" s="63"/>
      <c r="U1476" s="94"/>
      <c r="V1476" s="90"/>
      <c r="W1476" s="136"/>
      <c r="X1476" s="137"/>
    </row>
    <row r="1477" spans="2:24">
      <c r="B1477" s="87">
        <f t="shared" si="263"/>
        <v>15</v>
      </c>
      <c r="C1477" s="274">
        <v>45954</v>
      </c>
      <c r="D1477" s="276">
        <v>74750</v>
      </c>
      <c r="E1477" s="276" t="s">
        <v>211</v>
      </c>
      <c r="F1477" s="277">
        <v>1138</v>
      </c>
      <c r="G1477" s="277">
        <v>39.700000000000003</v>
      </c>
      <c r="H1477" s="277"/>
      <c r="I1477" s="278">
        <f t="shared" si="262"/>
        <v>1098.3</v>
      </c>
      <c r="J1477" s="279" t="s">
        <v>205</v>
      </c>
      <c r="K1477" s="279">
        <v>1</v>
      </c>
      <c r="L1477" s="279"/>
      <c r="M1477" s="279"/>
      <c r="N1477" s="279">
        <v>1</v>
      </c>
      <c r="O1477" s="279"/>
      <c r="P1477" s="279"/>
      <c r="Q1477" s="279">
        <v>1</v>
      </c>
      <c r="R1477" s="279">
        <v>1</v>
      </c>
      <c r="S1477" s="280">
        <v>1</v>
      </c>
      <c r="T1477" s="63"/>
      <c r="U1477" s="94"/>
      <c r="V1477" s="90"/>
      <c r="W1477" s="136"/>
      <c r="X1477" s="137"/>
    </row>
    <row r="1478" spans="2:24">
      <c r="B1478" s="87">
        <f t="shared" si="263"/>
        <v>16</v>
      </c>
      <c r="C1478" s="282">
        <v>45954</v>
      </c>
      <c r="D1478" s="283">
        <v>74757</v>
      </c>
      <c r="E1478" s="283" t="s">
        <v>1757</v>
      </c>
      <c r="F1478" s="284">
        <v>8614</v>
      </c>
      <c r="G1478" s="284">
        <v>39.700000000000003</v>
      </c>
      <c r="H1478" s="284"/>
      <c r="I1478" s="285">
        <f t="shared" si="262"/>
        <v>8574.2999999999993</v>
      </c>
      <c r="J1478" s="286" t="s">
        <v>205</v>
      </c>
      <c r="K1478" s="286">
        <v>1</v>
      </c>
      <c r="L1478" s="286"/>
      <c r="M1478" s="286"/>
      <c r="N1478" s="286">
        <v>1</v>
      </c>
      <c r="O1478" s="286"/>
      <c r="P1478" s="286"/>
      <c r="Q1478" s="286">
        <v>1</v>
      </c>
      <c r="R1478" s="286">
        <v>1</v>
      </c>
      <c r="S1478" s="287">
        <v>1</v>
      </c>
      <c r="T1478" s="63"/>
      <c r="U1478" s="94"/>
      <c r="V1478" s="90"/>
      <c r="W1478" s="136"/>
      <c r="X1478" s="137"/>
    </row>
    <row r="1479" spans="2:24">
      <c r="B1479" s="11"/>
      <c r="C1479" s="36"/>
      <c r="D1479" s="10"/>
      <c r="E1479" s="10"/>
      <c r="F1479" s="97">
        <f>SUM(F1463:F1478)</f>
        <v>51684.869999999995</v>
      </c>
      <c r="G1479" s="97">
        <f>SUM(G1463:G1478)</f>
        <v>595.5</v>
      </c>
      <c r="H1479" s="97">
        <f>SUM(H1463:H1478)</f>
        <v>0</v>
      </c>
      <c r="I1479" s="98">
        <f>SUM(I1463:I1478)</f>
        <v>51089.369999999995</v>
      </c>
      <c r="J1479" s="10"/>
      <c r="K1479" s="10"/>
      <c r="L1479" s="10"/>
      <c r="M1479" s="10"/>
      <c r="N1479" s="10"/>
      <c r="O1479" s="10"/>
      <c r="P1479" s="10"/>
      <c r="Q1479" s="10"/>
      <c r="R1479" s="10"/>
      <c r="S1479" s="10"/>
      <c r="T1479" s="63"/>
      <c r="U1479" s="94"/>
      <c r="V1479" s="90"/>
      <c r="W1479" s="91"/>
      <c r="X1479" s="92"/>
    </row>
    <row r="1480" spans="2:24">
      <c r="B1480" s="26"/>
      <c r="C1480" s="612"/>
      <c r="D1480" s="141"/>
      <c r="E1480" s="141"/>
      <c r="F1480" s="141"/>
      <c r="G1480" s="141"/>
      <c r="H1480" s="141"/>
      <c r="I1480" s="141"/>
      <c r="J1480" s="141"/>
      <c r="K1480" s="142"/>
      <c r="L1480" s="142"/>
      <c r="M1480" s="142"/>
      <c r="N1480" s="142"/>
      <c r="O1480" s="142"/>
      <c r="P1480" s="142"/>
      <c r="Q1480" s="142"/>
      <c r="R1480" s="142"/>
      <c r="S1480" s="142"/>
      <c r="T1480" s="143">
        <f>SUM(T1425:T1479)</f>
        <v>4</v>
      </c>
      <c r="U1480" s="168"/>
      <c r="V1480" s="144">
        <f>SUM(V1425:V1479)</f>
        <v>30123.48</v>
      </c>
      <c r="W1480" s="145">
        <f>SUM(W1425:W1479)</f>
        <v>2000</v>
      </c>
      <c r="X1480" s="146">
        <f>SUM(X1425:X1479)</f>
        <v>0</v>
      </c>
    </row>
    <row r="1481" spans="2:24">
      <c r="B1481" s="2"/>
      <c r="C1481" s="2"/>
      <c r="D1481" s="2"/>
      <c r="E1481" s="2"/>
      <c r="F1481" s="2"/>
      <c r="G1481" s="2"/>
      <c r="H1481" s="2"/>
      <c r="I1481" s="2"/>
      <c r="J1481" s="2"/>
      <c r="K1481" s="2"/>
      <c r="L1481" s="2"/>
      <c r="M1481" s="2"/>
      <c r="N1481" s="2"/>
      <c r="O1481" s="2"/>
      <c r="P1481" s="2"/>
      <c r="Q1481" s="2"/>
      <c r="R1481" s="2"/>
      <c r="S1481" s="2"/>
      <c r="T1481" s="2"/>
      <c r="U1481" s="2"/>
      <c r="V1481" s="2"/>
      <c r="W1481" s="2"/>
      <c r="X1481" s="2"/>
    </row>
    <row r="1483" spans="2:24">
      <c r="B1483" s="4" t="s">
        <v>1</v>
      </c>
      <c r="C1483" s="5"/>
      <c r="D1483" s="83"/>
      <c r="E1483" s="6"/>
      <c r="F1483" s="7" t="s">
        <v>2</v>
      </c>
      <c r="G1483" s="608">
        <v>45963</v>
      </c>
      <c r="H1483" s="7"/>
      <c r="I1483" s="6"/>
      <c r="J1483" s="6"/>
      <c r="K1483" s="6"/>
      <c r="L1483" s="6"/>
      <c r="M1483" s="6"/>
      <c r="N1483" s="6"/>
      <c r="O1483" s="6"/>
      <c r="P1483" s="6"/>
      <c r="Q1483" s="6"/>
      <c r="R1483" s="6"/>
      <c r="S1483" s="6"/>
      <c r="T1483" s="6"/>
      <c r="U1483" s="149"/>
      <c r="V1483" s="77"/>
      <c r="W1483" s="77"/>
      <c r="X1483" s="77"/>
    </row>
    <row r="1484" spans="2:24">
      <c r="B1484" s="11"/>
      <c r="C1484" s="10"/>
      <c r="D1484" s="63"/>
      <c r="E1484" s="10"/>
      <c r="F1484" s="10"/>
      <c r="G1484" s="7"/>
      <c r="H1484" s="12"/>
      <c r="I1484" s="10"/>
      <c r="J1484" s="10"/>
      <c r="K1484" s="13" t="s">
        <v>3</v>
      </c>
      <c r="L1484" s="14"/>
      <c r="M1484" s="15"/>
      <c r="N1484" s="13" t="s">
        <v>4</v>
      </c>
      <c r="O1484" s="14"/>
      <c r="P1484" s="15"/>
      <c r="Q1484" s="13" t="s">
        <v>5</v>
      </c>
      <c r="R1484" s="14"/>
      <c r="S1484" s="15"/>
      <c r="T1484" s="16"/>
      <c r="U1484" s="151"/>
      <c r="V1484" s="77"/>
      <c r="W1484" s="77"/>
      <c r="X1484" s="77"/>
    </row>
    <row r="1485" spans="2:24">
      <c r="B1485" s="18" t="s">
        <v>6</v>
      </c>
      <c r="C1485" s="19">
        <f>C1486+C1487</f>
        <v>35</v>
      </c>
      <c r="D1485" s="63"/>
      <c r="E1485" s="18" t="s">
        <v>7</v>
      </c>
      <c r="F1485" s="6"/>
      <c r="G1485" s="9"/>
      <c r="H1485" s="10"/>
      <c r="I1485" s="10"/>
      <c r="J1485" s="10"/>
      <c r="K1485" s="20" t="s">
        <v>8</v>
      </c>
      <c r="L1485" s="21" t="s">
        <v>9</v>
      </c>
      <c r="M1485" s="21" t="s">
        <v>10</v>
      </c>
      <c r="N1485" s="20" t="s">
        <v>11</v>
      </c>
      <c r="O1485" s="21" t="s">
        <v>12</v>
      </c>
      <c r="P1485" s="22" t="s">
        <v>13</v>
      </c>
      <c r="Q1485" s="21" t="s">
        <v>11</v>
      </c>
      <c r="R1485" s="21" t="s">
        <v>12</v>
      </c>
      <c r="S1485" s="22" t="s">
        <v>13</v>
      </c>
      <c r="T1485" s="23" t="s">
        <v>14</v>
      </c>
      <c r="U1485" s="151"/>
      <c r="V1485" s="77"/>
      <c r="W1485" s="77"/>
      <c r="X1485" s="77"/>
    </row>
    <row r="1486" spans="2:24">
      <c r="B1486" s="24" t="s">
        <v>15</v>
      </c>
      <c r="C1486" s="25">
        <f>P1493</f>
        <v>21</v>
      </c>
      <c r="D1486" s="63"/>
      <c r="E1486" s="11" t="s">
        <v>16</v>
      </c>
      <c r="F1486" s="10" t="s">
        <v>78</v>
      </c>
      <c r="G1486" s="153">
        <v>0.05</v>
      </c>
      <c r="H1486" s="10"/>
      <c r="I1486" s="10"/>
      <c r="J1486" s="18" t="s">
        <v>17</v>
      </c>
      <c r="K1486" s="29">
        <f>K1531</f>
        <v>19</v>
      </c>
      <c r="L1486" s="29">
        <f t="shared" ref="L1486:S1486" si="264">L1531</f>
        <v>18</v>
      </c>
      <c r="M1486" s="29">
        <f t="shared" si="264"/>
        <v>17</v>
      </c>
      <c r="N1486" s="29">
        <f t="shared" si="264"/>
        <v>19</v>
      </c>
      <c r="O1486" s="29">
        <f t="shared" si="264"/>
        <v>19</v>
      </c>
      <c r="P1486" s="29">
        <f t="shared" si="264"/>
        <v>19</v>
      </c>
      <c r="Q1486" s="29">
        <f t="shared" si="264"/>
        <v>18</v>
      </c>
      <c r="R1486" s="29">
        <f t="shared" si="264"/>
        <v>18</v>
      </c>
      <c r="S1486" s="29">
        <f t="shared" si="264"/>
        <v>18</v>
      </c>
      <c r="T1486" s="30">
        <f>T1578</f>
        <v>7</v>
      </c>
      <c r="U1486" s="151" t="s">
        <v>2703</v>
      </c>
      <c r="V1486" s="77"/>
      <c r="W1486" s="77"/>
      <c r="X1486" s="77"/>
    </row>
    <row r="1487" spans="2:24">
      <c r="B1487" s="24" t="s">
        <v>18</v>
      </c>
      <c r="C1487" s="25">
        <f>P1494</f>
        <v>14</v>
      </c>
      <c r="D1487" s="63"/>
      <c r="E1487" s="26" t="s">
        <v>80</v>
      </c>
      <c r="F1487" s="141" t="s">
        <v>81</v>
      </c>
      <c r="G1487" s="154">
        <v>0.1</v>
      </c>
      <c r="H1487" s="10"/>
      <c r="I1487" s="10"/>
      <c r="J1487" s="32" t="s">
        <v>19</v>
      </c>
      <c r="K1487" s="33">
        <f>K1531/K1530</f>
        <v>1</v>
      </c>
      <c r="L1487" s="33">
        <f t="shared" ref="L1487:S1487" si="265">L1531/L1530</f>
        <v>0.94736842105263153</v>
      </c>
      <c r="M1487" s="33">
        <f t="shared" si="265"/>
        <v>0.89473684210526316</v>
      </c>
      <c r="N1487" s="33">
        <f t="shared" si="265"/>
        <v>1</v>
      </c>
      <c r="O1487" s="33">
        <f t="shared" si="265"/>
        <v>1</v>
      </c>
      <c r="P1487" s="33">
        <f t="shared" si="265"/>
        <v>1</v>
      </c>
      <c r="Q1487" s="33">
        <f t="shared" si="265"/>
        <v>0.94736842105263153</v>
      </c>
      <c r="R1487" s="33">
        <f t="shared" si="265"/>
        <v>0.94736842105263153</v>
      </c>
      <c r="S1487" s="33">
        <f t="shared" si="265"/>
        <v>0.94736842105263153</v>
      </c>
      <c r="T1487" s="23"/>
      <c r="U1487" s="151" t="s">
        <v>20</v>
      </c>
      <c r="V1487" s="77"/>
      <c r="W1487" s="77"/>
      <c r="X1487" s="77"/>
    </row>
    <row r="1488" spans="2:24">
      <c r="B1488" s="24" t="s">
        <v>21</v>
      </c>
      <c r="C1488" s="34">
        <f>P1495</f>
        <v>0.6</v>
      </c>
      <c r="D1488" s="63"/>
      <c r="E1488" s="10"/>
      <c r="F1488" s="10"/>
      <c r="G1488" s="10"/>
      <c r="H1488" s="10"/>
      <c r="I1488" s="10"/>
      <c r="J1488" s="10"/>
      <c r="K1488" s="10"/>
      <c r="L1488" s="10"/>
      <c r="M1488" s="10"/>
      <c r="N1488" s="10"/>
      <c r="O1488" s="10"/>
      <c r="P1488" s="10"/>
      <c r="Q1488" s="10"/>
      <c r="R1488" s="10"/>
      <c r="S1488" s="10"/>
      <c r="T1488" s="10"/>
      <c r="U1488" s="151"/>
      <c r="V1488" s="77"/>
      <c r="W1488" s="77"/>
      <c r="X1488" s="77"/>
    </row>
    <row r="1489" spans="2:24">
      <c r="B1489" s="24"/>
      <c r="C1489" s="25"/>
      <c r="D1489" s="63"/>
      <c r="E1489" s="10"/>
      <c r="F1489" s="18" t="s">
        <v>22</v>
      </c>
      <c r="G1489" s="19" t="s">
        <v>23</v>
      </c>
      <c r="H1489" s="35" t="s">
        <v>24</v>
      </c>
      <c r="I1489" s="10"/>
      <c r="J1489" s="10"/>
      <c r="K1489" s="36"/>
      <c r="L1489" s="36"/>
      <c r="M1489" s="36"/>
      <c r="N1489" s="36"/>
      <c r="O1489" s="36"/>
      <c r="P1489" s="36"/>
      <c r="Q1489" s="36"/>
      <c r="R1489" s="10"/>
      <c r="S1489" s="10"/>
      <c r="T1489" s="10"/>
      <c r="U1489" s="151"/>
      <c r="V1489" s="77"/>
      <c r="W1489" s="77"/>
      <c r="X1489" s="77"/>
    </row>
    <row r="1490" spans="2:24">
      <c r="B1490" s="32" t="s">
        <v>25</v>
      </c>
      <c r="C1490" s="37">
        <f>P1496</f>
        <v>2567.4428571428571</v>
      </c>
      <c r="D1490" s="63"/>
      <c r="E1490" s="18" t="s">
        <v>26</v>
      </c>
      <c r="F1490" s="38">
        <f>P1492</f>
        <v>53916.3</v>
      </c>
      <c r="G1490" s="39">
        <f>I1530+I1547</f>
        <v>53916.3</v>
      </c>
      <c r="H1490" s="40"/>
      <c r="I1490" s="41"/>
      <c r="J1490" s="42"/>
      <c r="K1490" s="43" t="s">
        <v>27</v>
      </c>
      <c r="L1490" s="44"/>
      <c r="M1490" s="44"/>
      <c r="N1490" s="44"/>
      <c r="O1490" s="44"/>
      <c r="P1490" s="44"/>
      <c r="Q1490" s="45"/>
      <c r="R1490" s="46" t="s">
        <v>28</v>
      </c>
      <c r="S1490" s="47" t="s">
        <v>29</v>
      </c>
      <c r="T1490" s="10"/>
      <c r="U1490" s="151"/>
      <c r="V1490" s="77"/>
      <c r="W1490" s="77"/>
      <c r="X1490" s="77"/>
    </row>
    <row r="1491" spans="2:24">
      <c r="B1491" s="11"/>
      <c r="C1491" s="10"/>
      <c r="D1491" s="63"/>
      <c r="E1491" s="24" t="s">
        <v>30</v>
      </c>
      <c r="F1491" s="48">
        <f>IF(F1490&gt;=25000,10%,5%)</f>
        <v>0.1</v>
      </c>
      <c r="G1491" s="17"/>
      <c r="H1491" s="40"/>
      <c r="I1491" s="41"/>
      <c r="J1491" s="42"/>
      <c r="K1491" s="20" t="s">
        <v>31</v>
      </c>
      <c r="L1491" s="21" t="s">
        <v>32</v>
      </c>
      <c r="M1491" s="21" t="s">
        <v>33</v>
      </c>
      <c r="N1491" s="21" t="s">
        <v>34</v>
      </c>
      <c r="O1491" s="21" t="s">
        <v>35</v>
      </c>
      <c r="P1491" s="21" t="s">
        <v>36</v>
      </c>
      <c r="Q1491" s="49" t="s">
        <v>37</v>
      </c>
      <c r="R1491" s="50" t="s">
        <v>38</v>
      </c>
      <c r="S1491" s="50" t="s">
        <v>38</v>
      </c>
      <c r="T1491" s="10"/>
      <c r="U1491" s="151"/>
      <c r="V1491" s="77"/>
      <c r="W1491" s="77"/>
      <c r="X1491" s="77"/>
    </row>
    <row r="1492" spans="2:24">
      <c r="B1492" s="11"/>
      <c r="C1492" s="10"/>
      <c r="D1492" s="63"/>
      <c r="E1492" s="51" t="s">
        <v>39</v>
      </c>
      <c r="F1492" s="52">
        <f>F1490*F1491</f>
        <v>5391.630000000001</v>
      </c>
      <c r="G1492" s="53" t="s">
        <v>40</v>
      </c>
      <c r="H1492" s="54">
        <f>F1492/1.12</f>
        <v>4813.9553571428578</v>
      </c>
      <c r="I1492" s="55"/>
      <c r="J1492" s="42"/>
      <c r="K1492" s="56">
        <f>I1511+I1512+I1513+I1514+I1515</f>
        <v>11986.5</v>
      </c>
      <c r="L1492" s="57">
        <f>I1516+I1517</f>
        <v>1684.3</v>
      </c>
      <c r="M1492" s="57">
        <f>I1518+I1519</f>
        <v>12670.689999999999</v>
      </c>
      <c r="N1492" s="57">
        <f>I1520+I1521+I1522+I1545</f>
        <v>11544.75</v>
      </c>
      <c r="O1492" s="57">
        <f>I1523+I1525+I1526+I1527+I1528+I1529+I1524+I1546</f>
        <v>16030.060000000001</v>
      </c>
      <c r="P1492" s="57">
        <f>SUM(K1492:O1492)</f>
        <v>53916.3</v>
      </c>
      <c r="Q1492" s="58">
        <v>0</v>
      </c>
      <c r="R1492" s="59">
        <f>+I1547</f>
        <v>9832.76</v>
      </c>
      <c r="S1492" s="59">
        <v>0</v>
      </c>
      <c r="T1492" s="10"/>
      <c r="U1492" s="151"/>
      <c r="V1492" s="77"/>
      <c r="W1492" s="77"/>
      <c r="X1492" s="77"/>
    </row>
    <row r="1493" spans="2:24">
      <c r="B1493" s="11"/>
      <c r="C1493" s="10"/>
      <c r="D1493" s="63"/>
      <c r="E1493" s="24" t="s">
        <v>41</v>
      </c>
      <c r="F1493" s="60">
        <f>Q1492</f>
        <v>0</v>
      </c>
      <c r="G1493" s="61" t="s">
        <v>40</v>
      </c>
      <c r="H1493" s="62"/>
      <c r="I1493" s="62"/>
      <c r="J1493" s="10" t="s">
        <v>42</v>
      </c>
      <c r="K1493" s="63">
        <v>5</v>
      </c>
      <c r="L1493" s="63">
        <v>2</v>
      </c>
      <c r="M1493" s="63">
        <v>2</v>
      </c>
      <c r="N1493" s="63">
        <v>4</v>
      </c>
      <c r="O1493" s="63">
        <v>8</v>
      </c>
      <c r="P1493" s="21">
        <f>SUM(K1493:O1493)</f>
        <v>21</v>
      </c>
      <c r="Q1493" s="64"/>
      <c r="R1493" s="63"/>
      <c r="S1493" s="10"/>
      <c r="T1493" s="10"/>
      <c r="U1493" s="151"/>
      <c r="V1493" s="77"/>
      <c r="W1493" s="77"/>
      <c r="X1493" s="77"/>
    </row>
    <row r="1494" spans="2:24">
      <c r="B1494" s="11"/>
      <c r="C1494" s="10"/>
      <c r="D1494" s="63"/>
      <c r="E1494" s="51" t="s">
        <v>43</v>
      </c>
      <c r="F1494" s="52">
        <f>F1493*0.25</f>
        <v>0</v>
      </c>
      <c r="G1494" s="53" t="s">
        <v>40</v>
      </c>
      <c r="H1494" s="54">
        <f>F1494/1.12</f>
        <v>0</v>
      </c>
      <c r="I1494" s="10"/>
      <c r="J1494" s="10" t="s">
        <v>44</v>
      </c>
      <c r="K1494" s="63">
        <v>3</v>
      </c>
      <c r="L1494" s="63">
        <v>4</v>
      </c>
      <c r="M1494" s="63">
        <v>2</v>
      </c>
      <c r="N1494" s="63">
        <v>3</v>
      </c>
      <c r="O1494" s="63">
        <v>2</v>
      </c>
      <c r="P1494" s="21">
        <f>SUM(K1494:O1494)</f>
        <v>14</v>
      </c>
      <c r="Q1494" s="64"/>
      <c r="R1494" s="63"/>
      <c r="S1494" s="10"/>
      <c r="T1494" s="10"/>
      <c r="U1494" s="151"/>
      <c r="V1494" s="77"/>
      <c r="W1494" s="77"/>
      <c r="X1494" s="77"/>
    </row>
    <row r="1495" spans="2:24">
      <c r="B1495" s="11"/>
      <c r="C1495" s="10"/>
      <c r="D1495" s="63"/>
      <c r="E1495" s="24" t="s">
        <v>45</v>
      </c>
      <c r="F1495" s="60">
        <v>0</v>
      </c>
      <c r="G1495" s="61" t="s">
        <v>40</v>
      </c>
      <c r="H1495" s="62"/>
      <c r="I1495" s="10"/>
      <c r="J1495" s="10" t="s">
        <v>46</v>
      </c>
      <c r="K1495" s="31">
        <f t="shared" ref="K1495:Q1495" si="266">K1493/(K1493+K1494)</f>
        <v>0.625</v>
      </c>
      <c r="L1495" s="31">
        <f t="shared" si="266"/>
        <v>0.33333333333333331</v>
      </c>
      <c r="M1495" s="31">
        <f t="shared" si="266"/>
        <v>0.5</v>
      </c>
      <c r="N1495" s="31">
        <f t="shared" si="266"/>
        <v>0.5714285714285714</v>
      </c>
      <c r="O1495" s="31">
        <f t="shared" si="266"/>
        <v>0.8</v>
      </c>
      <c r="P1495" s="31">
        <f t="shared" si="266"/>
        <v>0.6</v>
      </c>
      <c r="Q1495" s="31" t="e">
        <f t="shared" si="266"/>
        <v>#DIV/0!</v>
      </c>
      <c r="R1495" s="63"/>
      <c r="S1495" s="10"/>
      <c r="T1495" s="10"/>
      <c r="U1495" s="151"/>
      <c r="V1495" s="77"/>
      <c r="W1495" s="77"/>
      <c r="X1495" s="77"/>
    </row>
    <row r="1496" spans="2:24">
      <c r="B1496" s="11"/>
      <c r="C1496" s="10"/>
      <c r="D1496" s="63"/>
      <c r="E1496" s="51" t="s">
        <v>47</v>
      </c>
      <c r="F1496" s="52">
        <f>F1495*0.05</f>
        <v>0</v>
      </c>
      <c r="G1496" s="65" t="s">
        <v>40</v>
      </c>
      <c r="H1496" s="54">
        <f>F1496/1.12</f>
        <v>0</v>
      </c>
      <c r="I1496" s="42"/>
      <c r="J1496" s="10" t="s">
        <v>48</v>
      </c>
      <c r="K1496" s="66">
        <f>K1492/K1493</f>
        <v>2397.3000000000002</v>
      </c>
      <c r="L1496" s="66">
        <f t="shared" ref="L1496:Q1496" si="267">L1492/L1493</f>
        <v>842.15</v>
      </c>
      <c r="M1496" s="66">
        <f t="shared" si="267"/>
        <v>6335.3449999999993</v>
      </c>
      <c r="N1496" s="66">
        <f t="shared" si="267"/>
        <v>2886.1875</v>
      </c>
      <c r="O1496" s="66">
        <f t="shared" si="267"/>
        <v>2003.7575000000002</v>
      </c>
      <c r="P1496" s="66">
        <f t="shared" si="267"/>
        <v>2567.4428571428571</v>
      </c>
      <c r="Q1496" s="66" t="e">
        <f t="shared" si="267"/>
        <v>#DIV/0!</v>
      </c>
      <c r="R1496" s="63"/>
      <c r="S1496" s="10"/>
      <c r="T1496" s="10"/>
      <c r="U1496" s="151"/>
      <c r="V1496" s="77"/>
      <c r="W1496" s="77"/>
      <c r="X1496" s="77"/>
    </row>
    <row r="1497" spans="2:24">
      <c r="B1497" s="132"/>
      <c r="C1497" s="123"/>
      <c r="D1497" s="127"/>
      <c r="E1497" s="155" t="s">
        <v>14</v>
      </c>
      <c r="F1497" s="156">
        <f>5*50</f>
        <v>250</v>
      </c>
      <c r="G1497" s="123"/>
      <c r="H1497" s="54">
        <f>F1497/1.12</f>
        <v>223.21428571428569</v>
      </c>
      <c r="I1497" s="123"/>
      <c r="J1497" s="123"/>
      <c r="K1497" s="123"/>
      <c r="L1497" s="123"/>
      <c r="M1497" s="123"/>
      <c r="N1497" s="123"/>
      <c r="O1497" s="123"/>
      <c r="P1497" s="123"/>
      <c r="Q1497" s="123"/>
      <c r="R1497" s="123"/>
      <c r="S1497" s="123"/>
      <c r="T1497" s="123"/>
      <c r="U1497" s="157"/>
      <c r="V1497" s="123"/>
      <c r="W1497" s="123"/>
      <c r="X1497" s="123"/>
    </row>
    <row r="1498" spans="2:24">
      <c r="B1498" s="132"/>
      <c r="C1498" s="123"/>
      <c r="D1498" s="127"/>
      <c r="E1498" s="158" t="s">
        <v>49</v>
      </c>
      <c r="F1498" s="159">
        <f>T1487</f>
        <v>0</v>
      </c>
      <c r="G1498" s="123"/>
      <c r="H1498" s="54"/>
      <c r="I1498" s="123"/>
      <c r="J1498" s="42"/>
      <c r="K1498" s="764" t="s">
        <v>50</v>
      </c>
      <c r="L1498" s="765"/>
      <c r="M1498" s="765"/>
      <c r="N1498" s="765"/>
      <c r="O1498" s="765"/>
      <c r="P1498" s="765"/>
      <c r="Q1498" s="766"/>
      <c r="R1498" s="70" t="s">
        <v>28</v>
      </c>
      <c r="S1498" s="71" t="s">
        <v>29</v>
      </c>
      <c r="T1498" s="123"/>
      <c r="U1498" s="157"/>
      <c r="V1498" s="123"/>
      <c r="W1498" s="123"/>
      <c r="X1498" s="123"/>
    </row>
    <row r="1499" spans="2:24">
      <c r="B1499" s="132"/>
      <c r="C1499" s="123"/>
      <c r="D1499" s="127"/>
      <c r="E1499" s="155" t="s">
        <v>285</v>
      </c>
      <c r="F1499" s="156">
        <f>180</f>
        <v>180</v>
      </c>
      <c r="G1499" s="123"/>
      <c r="H1499" s="54"/>
      <c r="I1499" s="123"/>
      <c r="J1499" s="42"/>
      <c r="K1499" s="20" t="s">
        <v>31</v>
      </c>
      <c r="L1499" s="21" t="s">
        <v>32</v>
      </c>
      <c r="M1499" s="21" t="s">
        <v>33</v>
      </c>
      <c r="N1499" s="21" t="s">
        <v>34</v>
      </c>
      <c r="O1499" s="21" t="s">
        <v>35</v>
      </c>
      <c r="P1499" s="21" t="s">
        <v>36</v>
      </c>
      <c r="Q1499" s="49" t="s">
        <v>37</v>
      </c>
      <c r="R1499" s="50" t="s">
        <v>38</v>
      </c>
      <c r="S1499" s="50" t="s">
        <v>38</v>
      </c>
      <c r="T1499" s="123"/>
      <c r="U1499" s="157"/>
      <c r="V1499" s="123"/>
      <c r="W1499" s="123"/>
      <c r="X1499" s="123"/>
    </row>
    <row r="1500" spans="2:24">
      <c r="B1500" s="132"/>
      <c r="C1500" s="123"/>
      <c r="D1500" s="127"/>
      <c r="E1500" s="307" t="s">
        <v>2704</v>
      </c>
      <c r="F1500" s="308">
        <f>$F$1407</f>
        <v>2484.4210000000003</v>
      </c>
      <c r="G1500" s="305"/>
      <c r="H1500" s="306">
        <f>F1500/1.12</f>
        <v>2218.233035714286</v>
      </c>
      <c r="I1500" s="123"/>
      <c r="J1500" s="42"/>
      <c r="K1500" s="56">
        <f>F1511+F1512+F1513+F1514+F1515</f>
        <v>13536.5</v>
      </c>
      <c r="L1500" s="57">
        <f>F1516+F1517</f>
        <v>1724</v>
      </c>
      <c r="M1500" s="57">
        <f>F1518+F1519</f>
        <v>13432.9</v>
      </c>
      <c r="N1500" s="57">
        <f>F1520+F1521+F1522+F1545</f>
        <v>12251.85</v>
      </c>
      <c r="O1500" s="57">
        <f>F1523+F1525+F1526+F1527+F1528+F1529+F1524+F1546</f>
        <v>20287.3</v>
      </c>
      <c r="P1500" s="57">
        <f>SUM(K1500:O1500)</f>
        <v>61232.55</v>
      </c>
      <c r="Q1500" s="58">
        <v>0</v>
      </c>
      <c r="R1500" s="59">
        <f>+F1547</f>
        <v>13130</v>
      </c>
      <c r="S1500" s="59">
        <v>0</v>
      </c>
      <c r="T1500" s="123"/>
      <c r="U1500" s="157"/>
      <c r="V1500" s="123"/>
      <c r="W1500" s="123"/>
      <c r="X1500" s="123"/>
    </row>
    <row r="1501" spans="2:24">
      <c r="B1501" s="132"/>
      <c r="C1501" s="123"/>
      <c r="D1501" s="127"/>
      <c r="E1501" s="72" t="s">
        <v>2705</v>
      </c>
      <c r="F1501" s="73">
        <v>-335.3</v>
      </c>
      <c r="G1501" s="123"/>
      <c r="H1501" s="54"/>
      <c r="I1501" s="123"/>
      <c r="J1501" s="10" t="s">
        <v>42</v>
      </c>
      <c r="K1501" s="63">
        <f t="shared" ref="K1501:Q1502" si="268">K1493</f>
        <v>5</v>
      </c>
      <c r="L1501" s="63">
        <f t="shared" si="268"/>
        <v>2</v>
      </c>
      <c r="M1501" s="63">
        <f t="shared" si="268"/>
        <v>2</v>
      </c>
      <c r="N1501" s="63">
        <f t="shared" si="268"/>
        <v>4</v>
      </c>
      <c r="O1501" s="63">
        <f t="shared" si="268"/>
        <v>8</v>
      </c>
      <c r="P1501" s="63">
        <f t="shared" si="268"/>
        <v>21</v>
      </c>
      <c r="Q1501" s="63">
        <f t="shared" si="268"/>
        <v>0</v>
      </c>
      <c r="R1501" s="63"/>
      <c r="S1501" s="10"/>
      <c r="T1501" s="123"/>
      <c r="U1501" s="157"/>
      <c r="V1501" s="123"/>
      <c r="W1501" s="123"/>
      <c r="X1501" s="123"/>
    </row>
    <row r="1502" spans="2:24">
      <c r="B1502" s="132"/>
      <c r="C1502" s="123"/>
      <c r="D1502" s="127"/>
      <c r="E1502" s="72" t="s">
        <v>2706</v>
      </c>
      <c r="F1502" s="73">
        <v>-36.4</v>
      </c>
      <c r="G1502" s="123"/>
      <c r="H1502" s="54"/>
      <c r="I1502" s="123"/>
      <c r="J1502" s="10" t="s">
        <v>44</v>
      </c>
      <c r="K1502" s="63">
        <f t="shared" si="268"/>
        <v>3</v>
      </c>
      <c r="L1502" s="63">
        <f t="shared" si="268"/>
        <v>4</v>
      </c>
      <c r="M1502" s="63">
        <f t="shared" si="268"/>
        <v>2</v>
      </c>
      <c r="N1502" s="63">
        <f t="shared" si="268"/>
        <v>3</v>
      </c>
      <c r="O1502" s="63">
        <f t="shared" si="268"/>
        <v>2</v>
      </c>
      <c r="P1502" s="63">
        <f t="shared" si="268"/>
        <v>14</v>
      </c>
      <c r="Q1502" s="63">
        <f t="shared" si="268"/>
        <v>0</v>
      </c>
      <c r="R1502" s="63"/>
      <c r="S1502" s="10"/>
      <c r="T1502" s="123"/>
      <c r="U1502" s="157"/>
      <c r="V1502" s="123"/>
      <c r="W1502" s="123"/>
      <c r="X1502" s="123"/>
    </row>
    <row r="1503" spans="2:24">
      <c r="B1503" s="132"/>
      <c r="C1503" s="123"/>
      <c r="D1503" s="127"/>
      <c r="E1503" s="74" t="s">
        <v>2707</v>
      </c>
      <c r="F1503" s="75">
        <v>-266.81</v>
      </c>
      <c r="G1503" s="123"/>
      <c r="H1503" s="54"/>
      <c r="I1503" s="123"/>
      <c r="J1503" s="10" t="s">
        <v>46</v>
      </c>
      <c r="K1503" s="31">
        <f t="shared" ref="K1503:Q1503" si="269">K1501/(K1501+K1502)</f>
        <v>0.625</v>
      </c>
      <c r="L1503" s="31">
        <f t="shared" si="269"/>
        <v>0.33333333333333331</v>
      </c>
      <c r="M1503" s="31">
        <f t="shared" si="269"/>
        <v>0.5</v>
      </c>
      <c r="N1503" s="31">
        <f t="shared" si="269"/>
        <v>0.5714285714285714</v>
      </c>
      <c r="O1503" s="31">
        <f t="shared" si="269"/>
        <v>0.8</v>
      </c>
      <c r="P1503" s="31">
        <f t="shared" si="269"/>
        <v>0.6</v>
      </c>
      <c r="Q1503" s="31" t="e">
        <f t="shared" si="269"/>
        <v>#DIV/0!</v>
      </c>
      <c r="R1503" s="63"/>
      <c r="S1503" s="10"/>
      <c r="T1503" s="123"/>
      <c r="U1503" s="157"/>
      <c r="V1503" s="123"/>
      <c r="W1503" s="123"/>
      <c r="X1503" s="123"/>
    </row>
    <row r="1504" spans="2:24">
      <c r="B1504" s="132"/>
      <c r="C1504" s="123"/>
      <c r="D1504" s="127"/>
      <c r="E1504" s="12"/>
      <c r="F1504" s="160"/>
      <c r="G1504" s="123"/>
      <c r="H1504" s="54"/>
      <c r="I1504" s="123"/>
      <c r="J1504" s="10" t="s">
        <v>48</v>
      </c>
      <c r="K1504" s="66">
        <f t="shared" ref="K1504:Q1504" si="270">K1500/K1501</f>
        <v>2707.3</v>
      </c>
      <c r="L1504" s="66">
        <f t="shared" si="270"/>
        <v>862</v>
      </c>
      <c r="M1504" s="66">
        <f t="shared" si="270"/>
        <v>6716.45</v>
      </c>
      <c r="N1504" s="66">
        <f t="shared" si="270"/>
        <v>3062.9625000000001</v>
      </c>
      <c r="O1504" s="66">
        <f t="shared" si="270"/>
        <v>2535.9124999999999</v>
      </c>
      <c r="P1504" s="66">
        <f t="shared" si="270"/>
        <v>2915.8357142857144</v>
      </c>
      <c r="Q1504" s="66" t="e">
        <f t="shared" si="270"/>
        <v>#DIV/0!</v>
      </c>
      <c r="R1504" s="63"/>
      <c r="S1504" s="10"/>
      <c r="T1504" s="123"/>
      <c r="U1504" s="157"/>
      <c r="V1504" s="123"/>
      <c r="W1504" s="123"/>
      <c r="X1504" s="123"/>
    </row>
    <row r="1505" spans="2:24">
      <c r="B1505" s="132"/>
      <c r="C1505" s="123"/>
      <c r="D1505" s="127"/>
      <c r="E1505" s="12"/>
      <c r="F1505" s="160"/>
      <c r="G1505" s="123"/>
      <c r="H1505" s="54"/>
      <c r="I1505" s="123"/>
      <c r="J1505" s="123"/>
      <c r="K1505" s="123"/>
      <c r="L1505" s="123"/>
      <c r="M1505" s="123"/>
      <c r="N1505" s="123"/>
      <c r="O1505" s="123"/>
      <c r="P1505" s="123"/>
      <c r="Q1505" s="123"/>
      <c r="R1505" s="123"/>
      <c r="S1505" s="123"/>
      <c r="T1505" s="123"/>
      <c r="U1505" s="157"/>
      <c r="V1505" s="123"/>
      <c r="W1505" s="123"/>
      <c r="X1505" s="123"/>
    </row>
    <row r="1506" spans="2:24">
      <c r="B1506" s="11"/>
      <c r="C1506" s="10"/>
      <c r="D1506" s="63"/>
      <c r="E1506" s="12"/>
      <c r="F1506" s="12"/>
      <c r="G1506" s="10"/>
      <c r="H1506" s="10"/>
      <c r="I1506" s="10"/>
      <c r="J1506" s="10"/>
      <c r="K1506" s="10"/>
      <c r="L1506" s="10"/>
      <c r="M1506" s="10"/>
      <c r="N1506" s="10"/>
      <c r="O1506" s="10"/>
      <c r="P1506" s="10"/>
      <c r="Q1506" s="10"/>
      <c r="R1506" s="10"/>
      <c r="S1506" s="10"/>
      <c r="T1506" s="10"/>
      <c r="U1506" s="151"/>
      <c r="V1506" s="77"/>
      <c r="W1506" s="77"/>
      <c r="X1506" s="77"/>
    </row>
    <row r="1507" spans="2:24">
      <c r="B1507" s="11"/>
      <c r="C1507" s="10"/>
      <c r="D1507" s="63"/>
      <c r="E1507" s="10"/>
      <c r="F1507" s="10"/>
      <c r="G1507" s="10"/>
      <c r="H1507" s="10"/>
      <c r="I1507" s="10"/>
      <c r="J1507" s="10"/>
      <c r="K1507" s="10"/>
      <c r="L1507" s="10"/>
      <c r="M1507" s="10"/>
      <c r="N1507" s="10"/>
      <c r="O1507" s="10"/>
      <c r="P1507" s="10"/>
      <c r="Q1507" s="10"/>
      <c r="R1507" s="10"/>
      <c r="S1507" s="10"/>
      <c r="T1507" s="10"/>
      <c r="U1507" s="151"/>
      <c r="V1507" s="77"/>
      <c r="W1507" s="77"/>
      <c r="X1507" s="77"/>
    </row>
    <row r="1508" spans="2:24">
      <c r="B1508" s="18" t="s">
        <v>51</v>
      </c>
      <c r="C1508" s="14"/>
      <c r="D1508" s="14"/>
      <c r="E1508" s="14"/>
      <c r="F1508" s="13" t="s">
        <v>52</v>
      </c>
      <c r="G1508" s="14"/>
      <c r="H1508" s="14"/>
      <c r="I1508" s="14"/>
      <c r="J1508" s="14"/>
      <c r="K1508" s="13" t="s">
        <v>3</v>
      </c>
      <c r="L1508" s="14"/>
      <c r="M1508" s="14"/>
      <c r="N1508" s="13" t="s">
        <v>4</v>
      </c>
      <c r="O1508" s="14"/>
      <c r="P1508" s="14"/>
      <c r="Q1508" s="13" t="s">
        <v>5</v>
      </c>
      <c r="R1508" s="14"/>
      <c r="S1508" s="14"/>
      <c r="T1508" s="18"/>
      <c r="U1508" s="161" t="s">
        <v>53</v>
      </c>
      <c r="V1508" s="77"/>
      <c r="W1508" s="77"/>
      <c r="X1508" s="77"/>
    </row>
    <row r="1509" spans="2:24">
      <c r="B1509" s="24" t="s">
        <v>54</v>
      </c>
      <c r="C1509" s="21" t="s">
        <v>55</v>
      </c>
      <c r="D1509" s="21" t="s">
        <v>56</v>
      </c>
      <c r="E1509" s="21" t="s">
        <v>57</v>
      </c>
      <c r="F1509" s="20" t="s">
        <v>58</v>
      </c>
      <c r="G1509" s="21" t="s">
        <v>59</v>
      </c>
      <c r="H1509" s="21" t="s">
        <v>60</v>
      </c>
      <c r="I1509" s="21" t="s">
        <v>26</v>
      </c>
      <c r="J1509" s="22" t="s">
        <v>61</v>
      </c>
      <c r="K1509" s="21" t="s">
        <v>8</v>
      </c>
      <c r="L1509" s="21" t="s">
        <v>9</v>
      </c>
      <c r="M1509" s="21" t="s">
        <v>10</v>
      </c>
      <c r="N1509" s="20" t="s">
        <v>11</v>
      </c>
      <c r="O1509" s="21" t="s">
        <v>12</v>
      </c>
      <c r="P1509" s="22" t="s">
        <v>13</v>
      </c>
      <c r="Q1509" s="21" t="s">
        <v>11</v>
      </c>
      <c r="R1509" s="21" t="s">
        <v>12</v>
      </c>
      <c r="S1509" s="21" t="s">
        <v>13</v>
      </c>
      <c r="T1509" s="78" t="s">
        <v>14</v>
      </c>
      <c r="U1509" s="162"/>
      <c r="V1509" s="79" t="s">
        <v>62</v>
      </c>
      <c r="W1509" s="80" t="s">
        <v>63</v>
      </c>
      <c r="X1509" s="81" t="s">
        <v>64</v>
      </c>
    </row>
    <row r="1510" spans="2:24">
      <c r="B1510" s="4" t="s">
        <v>65</v>
      </c>
      <c r="C1510" s="6"/>
      <c r="D1510" s="6"/>
      <c r="E1510" s="6"/>
      <c r="F1510" s="6"/>
      <c r="G1510" s="6"/>
      <c r="H1510" s="6"/>
      <c r="I1510" s="82"/>
      <c r="J1510" s="6"/>
      <c r="K1510" s="6"/>
      <c r="L1510" s="6"/>
      <c r="M1510" s="6"/>
      <c r="N1510" s="6"/>
      <c r="O1510" s="6"/>
      <c r="P1510" s="6"/>
      <c r="Q1510" s="6"/>
      <c r="R1510" s="6"/>
      <c r="S1510" s="6"/>
      <c r="T1510" s="83"/>
      <c r="U1510" s="163"/>
      <c r="V1510" s="84"/>
      <c r="W1510" s="85"/>
      <c r="X1510" s="86"/>
    </row>
    <row r="1511" spans="2:24">
      <c r="B1511" s="87">
        <v>1</v>
      </c>
      <c r="C1511" s="274">
        <v>45957</v>
      </c>
      <c r="D1511" s="276">
        <v>74839</v>
      </c>
      <c r="E1511" s="276" t="s">
        <v>172</v>
      </c>
      <c r="F1511" s="277">
        <v>1264</v>
      </c>
      <c r="G1511" s="277">
        <f>39.7</f>
        <v>39.700000000000003</v>
      </c>
      <c r="H1511" s="297"/>
      <c r="I1511" s="278">
        <f>F1511-G1511-H1511</f>
        <v>1224.3</v>
      </c>
      <c r="J1511" s="279" t="s">
        <v>150</v>
      </c>
      <c r="K1511" s="279">
        <v>1</v>
      </c>
      <c r="L1511" s="279">
        <v>1</v>
      </c>
      <c r="M1511" s="279">
        <v>1</v>
      </c>
      <c r="N1511" s="279">
        <v>1</v>
      </c>
      <c r="O1511" s="279">
        <v>1</v>
      </c>
      <c r="P1511" s="279">
        <v>1</v>
      </c>
      <c r="Q1511" s="279">
        <v>1</v>
      </c>
      <c r="R1511" s="279">
        <v>1</v>
      </c>
      <c r="S1511" s="280">
        <v>1</v>
      </c>
      <c r="T1511" s="63"/>
      <c r="U1511" s="94"/>
      <c r="V1511" s="90">
        <v>0</v>
      </c>
      <c r="W1511" s="367">
        <v>1390.4</v>
      </c>
      <c r="X1511" s="92"/>
    </row>
    <row r="1512" spans="2:24">
      <c r="B1512" s="87">
        <f t="shared" ref="B1512:B1526" si="271">B1511+1</f>
        <v>2</v>
      </c>
      <c r="C1512" s="295">
        <v>45957</v>
      </c>
      <c r="D1512" s="10">
        <v>74872</v>
      </c>
      <c r="E1512" s="10" t="s">
        <v>172</v>
      </c>
      <c r="F1512" s="62">
        <v>1761</v>
      </c>
      <c r="G1512" s="62">
        <f>39.7</f>
        <v>39.700000000000003</v>
      </c>
      <c r="H1512" s="62"/>
      <c r="I1512" s="89">
        <f t="shared" ref="I1512:I1529" si="272">F1512-G1512-H1512</f>
        <v>1721.3</v>
      </c>
      <c r="J1512" s="63" t="s">
        <v>156</v>
      </c>
      <c r="K1512" s="63">
        <v>1</v>
      </c>
      <c r="L1512" s="63">
        <v>1</v>
      </c>
      <c r="M1512" s="63">
        <v>1</v>
      </c>
      <c r="N1512" s="63">
        <v>1</v>
      </c>
      <c r="O1512" s="63">
        <v>1</v>
      </c>
      <c r="P1512" s="63">
        <v>1</v>
      </c>
      <c r="Q1512" s="63">
        <v>1</v>
      </c>
      <c r="R1512" s="63">
        <v>1</v>
      </c>
      <c r="S1512" s="296">
        <v>1</v>
      </c>
      <c r="T1512" s="21">
        <v>1</v>
      </c>
      <c r="U1512" s="94"/>
      <c r="V1512" s="90">
        <v>1937.1</v>
      </c>
      <c r="W1512" s="91"/>
      <c r="X1512" s="92"/>
    </row>
    <row r="1513" spans="2:24">
      <c r="B1513" s="87">
        <f t="shared" si="271"/>
        <v>3</v>
      </c>
      <c r="C1513" s="295">
        <v>45957</v>
      </c>
      <c r="D1513" s="3">
        <v>74796</v>
      </c>
      <c r="E1513" s="10" t="s">
        <v>1103</v>
      </c>
      <c r="F1513" s="62">
        <v>1264</v>
      </c>
      <c r="G1513" s="62">
        <f>39.7</f>
        <v>39.700000000000003</v>
      </c>
      <c r="H1513" s="62"/>
      <c r="I1513" s="89">
        <f t="shared" si="272"/>
        <v>1224.3</v>
      </c>
      <c r="J1513" s="63" t="s">
        <v>156</v>
      </c>
      <c r="K1513" s="63">
        <v>1</v>
      </c>
      <c r="L1513" s="63">
        <v>1</v>
      </c>
      <c r="M1513" s="63">
        <v>1</v>
      </c>
      <c r="N1513" s="63">
        <v>1</v>
      </c>
      <c r="O1513" s="63">
        <v>1</v>
      </c>
      <c r="P1513" s="63">
        <v>1</v>
      </c>
      <c r="Q1513" s="63">
        <v>1</v>
      </c>
      <c r="R1513" s="63">
        <v>1</v>
      </c>
      <c r="S1513" s="296">
        <v>1</v>
      </c>
      <c r="T1513" s="21">
        <v>1</v>
      </c>
      <c r="U1513" s="94"/>
      <c r="V1513" s="90">
        <v>1390.4</v>
      </c>
      <c r="W1513" s="91"/>
      <c r="X1513" s="92"/>
    </row>
    <row r="1514" spans="2:24">
      <c r="B1514" s="87">
        <f t="shared" si="271"/>
        <v>4</v>
      </c>
      <c r="C1514" s="295">
        <v>45957</v>
      </c>
      <c r="D1514" s="10">
        <v>74843</v>
      </c>
      <c r="E1514" s="10" t="s">
        <v>306</v>
      </c>
      <c r="F1514" s="62">
        <v>3114.9</v>
      </c>
      <c r="G1514" s="62">
        <f>39.7+(14.33)</f>
        <v>54.03</v>
      </c>
      <c r="H1514" s="62"/>
      <c r="I1514" s="89">
        <f>F1514-G1514-H1514</f>
        <v>3060.87</v>
      </c>
      <c r="J1514" s="63" t="s">
        <v>156</v>
      </c>
      <c r="K1514" s="63">
        <v>1</v>
      </c>
      <c r="L1514" s="63">
        <v>1</v>
      </c>
      <c r="M1514" s="63">
        <v>1</v>
      </c>
      <c r="N1514" s="63">
        <v>1</v>
      </c>
      <c r="O1514" s="63">
        <v>1</v>
      </c>
      <c r="P1514" s="63">
        <v>1</v>
      </c>
      <c r="Q1514" s="63">
        <v>1</v>
      </c>
      <c r="R1514" s="63">
        <v>1</v>
      </c>
      <c r="S1514" s="296">
        <v>1</v>
      </c>
      <c r="T1514" s="63"/>
      <c r="U1514" s="94" t="s">
        <v>2708</v>
      </c>
      <c r="V1514" s="90">
        <v>3426.39</v>
      </c>
      <c r="W1514" s="340"/>
      <c r="X1514" s="92"/>
    </row>
    <row r="1515" spans="2:24">
      <c r="B1515" s="87">
        <f t="shared" si="271"/>
        <v>5</v>
      </c>
      <c r="C1515" s="295">
        <v>45957</v>
      </c>
      <c r="D1515" s="10">
        <v>74867</v>
      </c>
      <c r="E1515" s="10" t="s">
        <v>1012</v>
      </c>
      <c r="F1515" s="62">
        <v>6132.6</v>
      </c>
      <c r="G1515" s="62">
        <f>39.7+(1337.17)</f>
        <v>1376.8700000000001</v>
      </c>
      <c r="H1515" s="62"/>
      <c r="I1515" s="89">
        <f>F1515-G1515-H1515</f>
        <v>4755.7300000000005</v>
      </c>
      <c r="J1515" s="63" t="s">
        <v>156</v>
      </c>
      <c r="K1515" s="63">
        <v>1</v>
      </c>
      <c r="L1515" s="63">
        <v>1</v>
      </c>
      <c r="M1515" s="63">
        <v>1</v>
      </c>
      <c r="N1515" s="63">
        <v>1</v>
      </c>
      <c r="O1515" s="63">
        <v>1</v>
      </c>
      <c r="P1515" s="63">
        <v>1</v>
      </c>
      <c r="Q1515" s="63">
        <v>1</v>
      </c>
      <c r="R1515" s="63">
        <v>1</v>
      </c>
      <c r="S1515" s="296">
        <v>1</v>
      </c>
      <c r="T1515" s="21">
        <v>1</v>
      </c>
      <c r="U1515" s="94" t="s">
        <v>2709</v>
      </c>
      <c r="V1515" s="90">
        <f>674+6071.86</f>
        <v>6745.86</v>
      </c>
      <c r="W1515" s="91"/>
      <c r="X1515" s="92"/>
    </row>
    <row r="1516" spans="2:24">
      <c r="B1516" s="87">
        <f t="shared" si="271"/>
        <v>6</v>
      </c>
      <c r="C1516" s="274">
        <v>45958</v>
      </c>
      <c r="D1516" s="276">
        <v>74830</v>
      </c>
      <c r="E1516" s="276" t="s">
        <v>1835</v>
      </c>
      <c r="F1516" s="277">
        <v>541</v>
      </c>
      <c r="G1516" s="277"/>
      <c r="H1516" s="297"/>
      <c r="I1516" s="278">
        <f t="shared" si="272"/>
        <v>541</v>
      </c>
      <c r="J1516" s="279" t="s">
        <v>156</v>
      </c>
      <c r="K1516" s="279">
        <v>1</v>
      </c>
      <c r="L1516" s="279">
        <v>1</v>
      </c>
      <c r="M1516" s="279">
        <v>1</v>
      </c>
      <c r="N1516" s="279">
        <v>1</v>
      </c>
      <c r="O1516" s="279">
        <v>1</v>
      </c>
      <c r="P1516" s="279">
        <v>1</v>
      </c>
      <c r="Q1516" s="279">
        <v>1</v>
      </c>
      <c r="R1516" s="279">
        <v>1</v>
      </c>
      <c r="S1516" s="280">
        <v>1</v>
      </c>
      <c r="T1516" s="63"/>
      <c r="U1516" s="94"/>
      <c r="V1516" s="90">
        <v>595.1</v>
      </c>
      <c r="W1516" s="91"/>
      <c r="X1516" s="92"/>
    </row>
    <row r="1517" spans="2:24">
      <c r="B1517" s="87">
        <f t="shared" si="271"/>
        <v>7</v>
      </c>
      <c r="C1517" s="295">
        <v>45958</v>
      </c>
      <c r="D1517" s="10">
        <v>74896</v>
      </c>
      <c r="E1517" s="10" t="s">
        <v>1835</v>
      </c>
      <c r="F1517" s="62">
        <v>1183</v>
      </c>
      <c r="G1517" s="62">
        <f>39.7</f>
        <v>39.700000000000003</v>
      </c>
      <c r="H1517" s="88"/>
      <c r="I1517" s="89">
        <f>F1517-G1517-H1517</f>
        <v>1143.3</v>
      </c>
      <c r="J1517" s="63" t="s">
        <v>156</v>
      </c>
      <c r="K1517" s="63">
        <v>1</v>
      </c>
      <c r="L1517" s="63">
        <v>1</v>
      </c>
      <c r="M1517" s="63">
        <v>1</v>
      </c>
      <c r="N1517" s="63">
        <v>1</v>
      </c>
      <c r="O1517" s="63">
        <v>1</v>
      </c>
      <c r="P1517" s="63">
        <v>1</v>
      </c>
      <c r="Q1517" s="63">
        <v>1</v>
      </c>
      <c r="R1517" s="63">
        <v>1</v>
      </c>
      <c r="S1517" s="296">
        <v>1</v>
      </c>
      <c r="T1517" s="21">
        <v>1</v>
      </c>
      <c r="U1517" s="94"/>
      <c r="V1517" s="90">
        <v>1301.3</v>
      </c>
      <c r="W1517" s="91"/>
      <c r="X1517" s="92"/>
    </row>
    <row r="1518" spans="2:24">
      <c r="B1518" s="87">
        <f t="shared" si="271"/>
        <v>8</v>
      </c>
      <c r="C1518" s="274">
        <v>45959</v>
      </c>
      <c r="D1518" s="276" t="s">
        <v>2710</v>
      </c>
      <c r="E1518" s="276" t="s">
        <v>306</v>
      </c>
      <c r="F1518" s="277">
        <v>11571.9</v>
      </c>
      <c r="G1518" s="277">
        <f>39.7+(146.59+45.7+490.52)</f>
        <v>722.51</v>
      </c>
      <c r="H1518" s="277"/>
      <c r="I1518" s="278">
        <f>F1518-G1518-H1518</f>
        <v>10849.39</v>
      </c>
      <c r="J1518" s="279" t="s">
        <v>156</v>
      </c>
      <c r="K1518" s="279">
        <v>1</v>
      </c>
      <c r="L1518" s="279">
        <v>1</v>
      </c>
      <c r="M1518" s="279">
        <v>1</v>
      </c>
      <c r="N1518" s="279">
        <v>1</v>
      </c>
      <c r="O1518" s="279">
        <v>1</v>
      </c>
      <c r="P1518" s="279">
        <v>1</v>
      </c>
      <c r="Q1518" s="279">
        <v>1</v>
      </c>
      <c r="R1518" s="279">
        <v>1</v>
      </c>
      <c r="S1518" s="280">
        <v>1</v>
      </c>
      <c r="T1518" s="21">
        <v>1</v>
      </c>
      <c r="U1518" s="94" t="s">
        <v>2711</v>
      </c>
      <c r="V1518" s="90">
        <f>1272+11457.09</f>
        <v>12729.09</v>
      </c>
      <c r="W1518" s="91"/>
      <c r="X1518" s="92"/>
    </row>
    <row r="1519" spans="2:24">
      <c r="B1519" s="87">
        <f t="shared" si="271"/>
        <v>9</v>
      </c>
      <c r="C1519" s="295">
        <v>45959</v>
      </c>
      <c r="D1519" s="10">
        <v>74924</v>
      </c>
      <c r="E1519" s="10" t="s">
        <v>302</v>
      </c>
      <c r="F1519" s="62">
        <v>1861</v>
      </c>
      <c r="G1519" s="62">
        <f>39.7</f>
        <v>39.700000000000003</v>
      </c>
      <c r="H1519" s="88"/>
      <c r="I1519" s="89">
        <f>F1519-G1519-H1519</f>
        <v>1821.3</v>
      </c>
      <c r="J1519" s="63" t="s">
        <v>156</v>
      </c>
      <c r="K1519" s="63">
        <v>1</v>
      </c>
      <c r="L1519" s="63">
        <v>1</v>
      </c>
      <c r="M1519" s="63">
        <v>1</v>
      </c>
      <c r="N1519" s="63">
        <v>1</v>
      </c>
      <c r="O1519" s="63">
        <v>1</v>
      </c>
      <c r="P1519" s="63">
        <v>1</v>
      </c>
      <c r="Q1519" s="63">
        <v>1</v>
      </c>
      <c r="R1519" s="63">
        <v>1</v>
      </c>
      <c r="S1519" s="296">
        <v>1</v>
      </c>
      <c r="T1519" s="63"/>
      <c r="U1519" s="94"/>
      <c r="V1519" s="90">
        <v>2047.1</v>
      </c>
      <c r="W1519" s="91"/>
      <c r="X1519" s="92"/>
    </row>
    <row r="1520" spans="2:24">
      <c r="B1520" s="87">
        <f t="shared" si="271"/>
        <v>10</v>
      </c>
      <c r="C1520" s="274">
        <v>45960</v>
      </c>
      <c r="D1520" s="276">
        <v>74958</v>
      </c>
      <c r="E1520" s="276" t="s">
        <v>811</v>
      </c>
      <c r="F1520" s="277">
        <v>1761</v>
      </c>
      <c r="G1520" s="277">
        <f>39.7</f>
        <v>39.700000000000003</v>
      </c>
      <c r="H1520" s="297"/>
      <c r="I1520" s="278">
        <f>F1520-G1520-H1520</f>
        <v>1721.3</v>
      </c>
      <c r="J1520" s="279" t="s">
        <v>156</v>
      </c>
      <c r="K1520" s="279">
        <v>1</v>
      </c>
      <c r="L1520" s="279">
        <v>1</v>
      </c>
      <c r="M1520" s="279">
        <v>1</v>
      </c>
      <c r="N1520" s="279">
        <v>1</v>
      </c>
      <c r="O1520" s="279">
        <v>1</v>
      </c>
      <c r="P1520" s="279">
        <v>1</v>
      </c>
      <c r="Q1520" s="279">
        <v>1</v>
      </c>
      <c r="R1520" s="279">
        <v>1</v>
      </c>
      <c r="S1520" s="280">
        <v>1</v>
      </c>
      <c r="T1520" s="63"/>
      <c r="U1520" s="94"/>
      <c r="V1520" s="90">
        <f>193+1744.1</f>
        <v>1937.1</v>
      </c>
      <c r="W1520" s="91"/>
      <c r="X1520" s="92"/>
    </row>
    <row r="1521" spans="2:24">
      <c r="B1521" s="87">
        <f t="shared" si="271"/>
        <v>11</v>
      </c>
      <c r="C1521" s="295">
        <v>45960</v>
      </c>
      <c r="D1521" s="10">
        <v>74975</v>
      </c>
      <c r="E1521" s="10" t="s">
        <v>798</v>
      </c>
      <c r="F1521" s="95">
        <v>2681</v>
      </c>
      <c r="G1521" s="62">
        <f>39.7+(6.15-4.07-2.08)</f>
        <v>39.700000000000003</v>
      </c>
      <c r="H1521" s="62"/>
      <c r="I1521" s="89">
        <f t="shared" si="272"/>
        <v>2641.3</v>
      </c>
      <c r="J1521" s="63" t="s">
        <v>156</v>
      </c>
      <c r="K1521" s="63">
        <v>1</v>
      </c>
      <c r="L1521" s="63">
        <v>1</v>
      </c>
      <c r="M1521" s="63">
        <v>1</v>
      </c>
      <c r="N1521" s="63">
        <v>1</v>
      </c>
      <c r="O1521" s="63">
        <v>1</v>
      </c>
      <c r="P1521" s="63">
        <v>1</v>
      </c>
      <c r="Q1521" s="63">
        <v>1</v>
      </c>
      <c r="R1521" s="63">
        <v>1</v>
      </c>
      <c r="S1521" s="296">
        <v>1</v>
      </c>
      <c r="T1521" s="21">
        <v>1</v>
      </c>
      <c r="U1521" s="94"/>
      <c r="V1521" s="90">
        <v>2949.1</v>
      </c>
      <c r="W1521" s="91"/>
      <c r="X1521" s="92"/>
    </row>
    <row r="1522" spans="2:24">
      <c r="B1522" s="87">
        <f t="shared" si="271"/>
        <v>12</v>
      </c>
      <c r="C1522" s="295">
        <v>45960</v>
      </c>
      <c r="D1522" s="10">
        <v>74986</v>
      </c>
      <c r="E1522" s="10" t="s">
        <v>1345</v>
      </c>
      <c r="F1522" s="95">
        <v>493.85</v>
      </c>
      <c r="G1522" s="62"/>
      <c r="H1522" s="62"/>
      <c r="I1522" s="89">
        <f t="shared" si="272"/>
        <v>493.85</v>
      </c>
      <c r="J1522" s="63" t="s">
        <v>156</v>
      </c>
      <c r="K1522" s="63">
        <v>1</v>
      </c>
      <c r="L1522" s="325">
        <v>0</v>
      </c>
      <c r="M1522" s="63">
        <v>1</v>
      </c>
      <c r="N1522" s="63">
        <v>1</v>
      </c>
      <c r="O1522" s="63">
        <v>1</v>
      </c>
      <c r="P1522" s="63">
        <v>1</v>
      </c>
      <c r="Q1522" s="63">
        <v>1</v>
      </c>
      <c r="R1522" s="63">
        <v>1</v>
      </c>
      <c r="S1522" s="296">
        <v>1</v>
      </c>
      <c r="T1522" s="63"/>
      <c r="U1522" s="94"/>
      <c r="V1522" s="90">
        <v>543.24</v>
      </c>
      <c r="W1522" s="91"/>
      <c r="X1522" s="92"/>
    </row>
    <row r="1523" spans="2:24">
      <c r="B1523" s="87">
        <f t="shared" si="271"/>
        <v>13</v>
      </c>
      <c r="C1523" s="274">
        <v>45961</v>
      </c>
      <c r="D1523" s="276">
        <v>74956</v>
      </c>
      <c r="E1523" s="276" t="s">
        <v>1666</v>
      </c>
      <c r="F1523" s="447">
        <v>1261</v>
      </c>
      <c r="G1523" s="277">
        <f>39.7</f>
        <v>39.700000000000003</v>
      </c>
      <c r="H1523" s="277"/>
      <c r="I1523" s="278">
        <f t="shared" si="272"/>
        <v>1221.3</v>
      </c>
      <c r="J1523" s="279" t="s">
        <v>156</v>
      </c>
      <c r="K1523" s="279">
        <v>1</v>
      </c>
      <c r="L1523" s="279">
        <v>1</v>
      </c>
      <c r="M1523" s="322">
        <v>0</v>
      </c>
      <c r="N1523" s="279">
        <v>1</v>
      </c>
      <c r="O1523" s="279">
        <v>1</v>
      </c>
      <c r="P1523" s="279">
        <v>1</v>
      </c>
      <c r="Q1523" s="279">
        <v>1</v>
      </c>
      <c r="R1523" s="279">
        <v>1</v>
      </c>
      <c r="S1523" s="280">
        <v>1</v>
      </c>
      <c r="T1523" s="63"/>
      <c r="U1523" s="94"/>
      <c r="V1523" s="90">
        <v>1387.1</v>
      </c>
      <c r="W1523" s="91"/>
      <c r="X1523" s="92"/>
    </row>
    <row r="1524" spans="2:24">
      <c r="B1524" s="87">
        <f>B1523+1</f>
        <v>14</v>
      </c>
      <c r="C1524" s="295">
        <v>45961</v>
      </c>
      <c r="D1524" s="10" t="s">
        <v>2712</v>
      </c>
      <c r="E1524" s="10" t="s">
        <v>1666</v>
      </c>
      <c r="F1524" s="62">
        <v>7603</v>
      </c>
      <c r="G1524" s="62">
        <f>39.7+(13.51+1125.69)+250</f>
        <v>1428.9</v>
      </c>
      <c r="H1524" s="62"/>
      <c r="I1524" s="89">
        <f t="shared" ref="I1524" si="273">F1524-G1524-H1524</f>
        <v>6174.1</v>
      </c>
      <c r="J1524" s="63" t="s">
        <v>228</v>
      </c>
      <c r="K1524" s="63">
        <v>1</v>
      </c>
      <c r="L1524" s="63">
        <v>1</v>
      </c>
      <c r="M1524" s="63">
        <v>1</v>
      </c>
      <c r="N1524" s="63">
        <v>1</v>
      </c>
      <c r="O1524" s="63">
        <v>1</v>
      </c>
      <c r="P1524" s="63">
        <v>1</v>
      </c>
      <c r="Q1524" s="63">
        <v>0</v>
      </c>
      <c r="R1524" s="63">
        <v>0</v>
      </c>
      <c r="S1524" s="296">
        <v>0</v>
      </c>
      <c r="T1524" s="63"/>
      <c r="U1524" s="94" t="s">
        <v>2713</v>
      </c>
      <c r="V1524" s="90">
        <f>830+7533.3</f>
        <v>8363.2999999999993</v>
      </c>
      <c r="W1524" s="91"/>
      <c r="X1524" s="92"/>
    </row>
    <row r="1525" spans="2:24">
      <c r="B1525" s="87">
        <f>B1524+1</f>
        <v>15</v>
      </c>
      <c r="C1525" s="295">
        <v>45961</v>
      </c>
      <c r="D1525" s="10">
        <v>75008</v>
      </c>
      <c r="E1525" s="10" t="s">
        <v>2555</v>
      </c>
      <c r="F1525" s="95">
        <v>2142</v>
      </c>
      <c r="G1525" s="62">
        <f>39.7</f>
        <v>39.700000000000003</v>
      </c>
      <c r="H1525" s="62"/>
      <c r="I1525" s="89">
        <f t="shared" si="272"/>
        <v>2102.3000000000002</v>
      </c>
      <c r="J1525" s="63" t="s">
        <v>156</v>
      </c>
      <c r="K1525" s="63">
        <v>1</v>
      </c>
      <c r="L1525" s="63">
        <v>1</v>
      </c>
      <c r="M1525" s="325">
        <v>0</v>
      </c>
      <c r="N1525" s="63">
        <v>1</v>
      </c>
      <c r="O1525" s="63">
        <v>1</v>
      </c>
      <c r="P1525" s="63">
        <v>1</v>
      </c>
      <c r="Q1525" s="63">
        <v>1</v>
      </c>
      <c r="R1525" s="63">
        <v>1</v>
      </c>
      <c r="S1525" s="296">
        <v>1</v>
      </c>
      <c r="T1525" s="21">
        <v>1</v>
      </c>
      <c r="U1525" s="94"/>
      <c r="V1525" s="90">
        <v>2356.1999999999998</v>
      </c>
      <c r="W1525" s="91"/>
      <c r="X1525" s="92"/>
    </row>
    <row r="1526" spans="2:24">
      <c r="B1526" s="87">
        <f t="shared" si="271"/>
        <v>16</v>
      </c>
      <c r="C1526" s="295">
        <v>45961</v>
      </c>
      <c r="D1526" s="10">
        <v>75001</v>
      </c>
      <c r="E1526" s="10" t="s">
        <v>1008</v>
      </c>
      <c r="F1526" s="95">
        <v>681</v>
      </c>
      <c r="G1526" s="62"/>
      <c r="H1526" s="62"/>
      <c r="I1526" s="89">
        <f t="shared" si="272"/>
        <v>681</v>
      </c>
      <c r="J1526" s="63" t="s">
        <v>150</v>
      </c>
      <c r="K1526" s="63">
        <v>1</v>
      </c>
      <c r="L1526" s="63">
        <v>1</v>
      </c>
      <c r="M1526" s="63">
        <v>1</v>
      </c>
      <c r="N1526" s="63">
        <v>1</v>
      </c>
      <c r="O1526" s="63">
        <v>1</v>
      </c>
      <c r="P1526" s="63">
        <v>1</v>
      </c>
      <c r="Q1526" s="63">
        <v>1</v>
      </c>
      <c r="R1526" s="63">
        <v>1</v>
      </c>
      <c r="S1526" s="296">
        <v>1</v>
      </c>
      <c r="T1526" s="63"/>
      <c r="U1526" s="94"/>
      <c r="V1526" s="90">
        <v>0</v>
      </c>
      <c r="W1526" s="760">
        <f>750</f>
        <v>750</v>
      </c>
      <c r="X1526" s="92"/>
    </row>
    <row r="1527" spans="2:24">
      <c r="B1527" s="87">
        <f>B1526+1</f>
        <v>17</v>
      </c>
      <c r="C1527" s="295">
        <v>45961</v>
      </c>
      <c r="D1527" s="10">
        <v>75034</v>
      </c>
      <c r="E1527" s="10" t="s">
        <v>1008</v>
      </c>
      <c r="F1527" s="95">
        <v>681</v>
      </c>
      <c r="G1527" s="62"/>
      <c r="H1527" s="62"/>
      <c r="I1527" s="89">
        <f t="shared" si="272"/>
        <v>681</v>
      </c>
      <c r="J1527" s="63" t="s">
        <v>156</v>
      </c>
      <c r="K1527" s="63">
        <v>1</v>
      </c>
      <c r="L1527" s="63">
        <v>1</v>
      </c>
      <c r="M1527" s="63">
        <v>1</v>
      </c>
      <c r="N1527" s="63">
        <v>1</v>
      </c>
      <c r="O1527" s="63">
        <v>1</v>
      </c>
      <c r="P1527" s="63">
        <v>1</v>
      </c>
      <c r="Q1527" s="63">
        <v>1</v>
      </c>
      <c r="R1527" s="63">
        <v>1</v>
      </c>
      <c r="S1527" s="296">
        <v>1</v>
      </c>
      <c r="T1527" s="63"/>
      <c r="U1527" s="94"/>
      <c r="V1527" s="90">
        <v>749.1</v>
      </c>
      <c r="W1527" s="96"/>
      <c r="X1527" s="92"/>
    </row>
    <row r="1528" spans="2:24">
      <c r="B1528" s="87">
        <f>B1527+1</f>
        <v>18</v>
      </c>
      <c r="C1528" s="295">
        <v>45961</v>
      </c>
      <c r="D1528" s="10">
        <v>75025</v>
      </c>
      <c r="E1528" s="10" t="s">
        <v>1062</v>
      </c>
      <c r="F1528" s="95">
        <v>1138</v>
      </c>
      <c r="G1528" s="62">
        <f>39.7</f>
        <v>39.700000000000003</v>
      </c>
      <c r="H1528" s="62"/>
      <c r="I1528" s="89">
        <f t="shared" si="272"/>
        <v>1098.3</v>
      </c>
      <c r="J1528" s="63" t="s">
        <v>156</v>
      </c>
      <c r="K1528" s="63">
        <v>1</v>
      </c>
      <c r="L1528" s="63">
        <v>1</v>
      </c>
      <c r="M1528" s="63">
        <v>1</v>
      </c>
      <c r="N1528" s="63">
        <v>1</v>
      </c>
      <c r="O1528" s="63">
        <v>1</v>
      </c>
      <c r="P1528" s="63">
        <v>1</v>
      </c>
      <c r="Q1528" s="63">
        <v>1</v>
      </c>
      <c r="R1528" s="63">
        <v>1</v>
      </c>
      <c r="S1528" s="296">
        <v>1</v>
      </c>
      <c r="T1528" s="63"/>
      <c r="U1528" s="94"/>
      <c r="V1528" s="90">
        <v>1251.8</v>
      </c>
      <c r="W1528" s="96"/>
      <c r="X1528" s="92"/>
    </row>
    <row r="1529" spans="2:24">
      <c r="B1529" s="87">
        <f>B1528+1</f>
        <v>19</v>
      </c>
      <c r="C1529" s="282">
        <v>45961</v>
      </c>
      <c r="D1529" s="283" t="s">
        <v>2714</v>
      </c>
      <c r="E1529" s="283" t="s">
        <v>1062</v>
      </c>
      <c r="F1529" s="423">
        <v>967.3</v>
      </c>
      <c r="G1529" s="284">
        <f>39.7</f>
        <v>39.700000000000003</v>
      </c>
      <c r="H1529" s="284"/>
      <c r="I1529" s="285">
        <f t="shared" si="272"/>
        <v>927.59999999999991</v>
      </c>
      <c r="J1529" s="286" t="s">
        <v>156</v>
      </c>
      <c r="K1529" s="286">
        <v>1</v>
      </c>
      <c r="L1529" s="286">
        <v>1</v>
      </c>
      <c r="M1529" s="286">
        <v>1</v>
      </c>
      <c r="N1529" s="286">
        <v>1</v>
      </c>
      <c r="O1529" s="286">
        <v>1</v>
      </c>
      <c r="P1529" s="286">
        <v>1</v>
      </c>
      <c r="Q1529" s="286">
        <v>1</v>
      </c>
      <c r="R1529" s="286">
        <v>1</v>
      </c>
      <c r="S1529" s="287">
        <v>1</v>
      </c>
      <c r="T1529" s="63"/>
      <c r="U1529" s="94"/>
      <c r="V1529" s="90">
        <v>1064.03</v>
      </c>
      <c r="W1529" s="96"/>
      <c r="X1529" s="92"/>
    </row>
    <row r="1530" spans="2:24">
      <c r="B1530" s="87"/>
      <c r="C1530" s="36"/>
      <c r="D1530" s="10"/>
      <c r="E1530" s="10"/>
      <c r="F1530" s="97">
        <f>SUM(F1511:F1529)</f>
        <v>48102.55</v>
      </c>
      <c r="G1530" s="97">
        <f>SUM(G1511:G1529)</f>
        <v>4019.0099999999989</v>
      </c>
      <c r="H1530" s="97">
        <f>SUM(H1511:H1529)</f>
        <v>0</v>
      </c>
      <c r="I1530" s="98">
        <f>SUM(I1511:I1529)</f>
        <v>44083.54</v>
      </c>
      <c r="J1530" s="63"/>
      <c r="K1530" s="63">
        <f>COUNT(K1511:K1529)</f>
        <v>19</v>
      </c>
      <c r="L1530" s="63">
        <f>COUNT(L1511:L1529)</f>
        <v>19</v>
      </c>
      <c r="M1530" s="63">
        <f>COUNT(M1511:M1529)</f>
        <v>19</v>
      </c>
      <c r="N1530" s="63">
        <f>COUNT(N1511:N1529)</f>
        <v>19</v>
      </c>
      <c r="O1530" s="63">
        <f>COUNT(O1511:O1529)</f>
        <v>19</v>
      </c>
      <c r="P1530" s="63">
        <f>COUNT(P1511:P1529)</f>
        <v>19</v>
      </c>
      <c r="Q1530" s="63">
        <f>COUNT(Q1511:Q1529)</f>
        <v>19</v>
      </c>
      <c r="R1530" s="63">
        <f>COUNT(R1511:R1529)</f>
        <v>19</v>
      </c>
      <c r="S1530" s="63">
        <f>COUNT(S1511:S1529)</f>
        <v>19</v>
      </c>
      <c r="T1530" s="63"/>
      <c r="U1530" s="94"/>
      <c r="V1530" s="90"/>
      <c r="W1530" s="91"/>
      <c r="X1530" s="92"/>
    </row>
    <row r="1531" spans="2:24">
      <c r="B1531" s="87"/>
      <c r="C1531" s="36"/>
      <c r="D1531" s="10"/>
      <c r="E1531" s="10"/>
      <c r="F1531" s="88"/>
      <c r="G1531" s="88"/>
      <c r="H1531" s="88"/>
      <c r="I1531" s="99"/>
      <c r="J1531" s="63"/>
      <c r="K1531" s="21">
        <f>SUM(K1511:K1529)</f>
        <v>19</v>
      </c>
      <c r="L1531" s="21">
        <f>SUM(L1511:L1529)</f>
        <v>18</v>
      </c>
      <c r="M1531" s="21">
        <f>SUM(M1511:M1529)</f>
        <v>17</v>
      </c>
      <c r="N1531" s="21">
        <f>SUM(N1511:N1529)</f>
        <v>19</v>
      </c>
      <c r="O1531" s="21">
        <f>SUM(O1511:O1529)</f>
        <v>19</v>
      </c>
      <c r="P1531" s="21">
        <f>SUM(P1511:P1529)</f>
        <v>19</v>
      </c>
      <c r="Q1531" s="21">
        <f>SUM(Q1511:Q1529)</f>
        <v>18</v>
      </c>
      <c r="R1531" s="21">
        <f>SUM(R1511:R1529)</f>
        <v>18</v>
      </c>
      <c r="S1531" s="21">
        <f>SUM(S1511:S1529)</f>
        <v>18</v>
      </c>
      <c r="T1531" s="63"/>
      <c r="U1531" s="94"/>
      <c r="V1531" s="90"/>
      <c r="W1531" s="91"/>
      <c r="X1531" s="92"/>
    </row>
    <row r="1532" spans="2:24">
      <c r="B1532" s="11"/>
      <c r="C1532" s="609"/>
      <c r="D1532" s="10"/>
      <c r="E1532" s="10"/>
      <c r="F1532" s="88"/>
      <c r="G1532" s="88"/>
      <c r="H1532" s="88"/>
      <c r="I1532" s="99"/>
      <c r="J1532" s="63"/>
      <c r="K1532" s="21"/>
      <c r="L1532" s="21"/>
      <c r="M1532" s="21"/>
      <c r="N1532" s="21"/>
      <c r="O1532" s="21"/>
      <c r="P1532" s="21"/>
      <c r="Q1532" s="21"/>
      <c r="R1532" s="21"/>
      <c r="S1532" s="21"/>
      <c r="T1532" s="63"/>
      <c r="U1532" s="94"/>
      <c r="V1532" s="90"/>
      <c r="W1532" s="91"/>
      <c r="X1532" s="92"/>
    </row>
    <row r="1533" spans="2:24">
      <c r="B1533" s="100" t="s">
        <v>67</v>
      </c>
      <c r="C1533" s="609"/>
      <c r="D1533" s="10"/>
      <c r="E1533" s="10"/>
      <c r="F1533" s="88"/>
      <c r="G1533" s="62"/>
      <c r="H1533" s="88"/>
      <c r="I1533" s="99"/>
      <c r="J1533" s="63"/>
      <c r="K1533" s="2"/>
      <c r="L1533" s="2"/>
      <c r="M1533" s="2"/>
      <c r="N1533" s="2"/>
      <c r="O1533" s="2"/>
      <c r="P1533" s="2"/>
      <c r="Q1533" s="2"/>
      <c r="R1533" s="2"/>
      <c r="S1533" s="2"/>
      <c r="T1533" s="63"/>
      <c r="U1533" s="94"/>
      <c r="V1533" s="90"/>
      <c r="W1533" s="91"/>
      <c r="X1533" s="92"/>
    </row>
    <row r="1534" spans="2:24">
      <c r="B1534" s="87">
        <v>1</v>
      </c>
      <c r="C1534" s="609"/>
      <c r="D1534" s="10"/>
      <c r="E1534" s="101"/>
      <c r="F1534" s="62"/>
      <c r="G1534" s="62"/>
      <c r="H1534" s="62"/>
      <c r="I1534" s="89">
        <f t="shared" ref="I1534:I1541" si="274">F1534-G1534-H1534</f>
        <v>0</v>
      </c>
      <c r="J1534" s="63"/>
      <c r="K1534" s="63"/>
      <c r="L1534" s="63"/>
      <c r="M1534" s="63"/>
      <c r="N1534" s="63"/>
      <c r="O1534" s="63"/>
      <c r="P1534" s="63"/>
      <c r="Q1534" s="63"/>
      <c r="R1534" s="63"/>
      <c r="S1534" s="63"/>
      <c r="T1534" s="63"/>
      <c r="U1534" s="94"/>
      <c r="V1534" s="90"/>
      <c r="W1534" s="91"/>
      <c r="X1534" s="92"/>
    </row>
    <row r="1535" spans="2:24">
      <c r="B1535" s="87">
        <f t="shared" ref="B1535:B1541" si="275">B1534+1</f>
        <v>2</v>
      </c>
      <c r="C1535" s="609"/>
      <c r="D1535" s="10"/>
      <c r="E1535" s="101"/>
      <c r="F1535" s="62"/>
      <c r="G1535" s="62"/>
      <c r="H1535" s="62"/>
      <c r="I1535" s="89">
        <f t="shared" si="274"/>
        <v>0</v>
      </c>
      <c r="J1535" s="63"/>
      <c r="K1535" s="63"/>
      <c r="L1535" s="63"/>
      <c r="M1535" s="63"/>
      <c r="N1535" s="63"/>
      <c r="O1535" s="63"/>
      <c r="P1535" s="63"/>
      <c r="Q1535" s="63"/>
      <c r="R1535" s="63"/>
      <c r="S1535" s="63"/>
      <c r="T1535" s="63"/>
      <c r="U1535" s="94"/>
      <c r="V1535" s="90"/>
      <c r="W1535" s="91"/>
      <c r="X1535" s="92"/>
    </row>
    <row r="1536" spans="2:24">
      <c r="B1536" s="87">
        <f t="shared" si="275"/>
        <v>3</v>
      </c>
      <c r="C1536" s="609"/>
      <c r="D1536" s="10"/>
      <c r="E1536" s="101"/>
      <c r="F1536" s="62"/>
      <c r="G1536" s="62"/>
      <c r="H1536" s="62"/>
      <c r="I1536" s="89">
        <f t="shared" si="274"/>
        <v>0</v>
      </c>
      <c r="J1536" s="63"/>
      <c r="K1536" s="63"/>
      <c r="L1536" s="63"/>
      <c r="M1536" s="63"/>
      <c r="N1536" s="63"/>
      <c r="O1536" s="63"/>
      <c r="P1536" s="63"/>
      <c r="Q1536" s="63"/>
      <c r="R1536" s="63"/>
      <c r="S1536" s="63"/>
      <c r="T1536" s="63"/>
      <c r="U1536" s="94"/>
      <c r="V1536" s="90"/>
      <c r="W1536" s="91"/>
      <c r="X1536" s="92"/>
    </row>
    <row r="1537" spans="1:24">
      <c r="B1537" s="87">
        <f t="shared" si="275"/>
        <v>4</v>
      </c>
      <c r="C1537" s="609"/>
      <c r="D1537" s="10"/>
      <c r="E1537" s="101"/>
      <c r="F1537" s="62"/>
      <c r="G1537" s="62"/>
      <c r="H1537" s="62"/>
      <c r="I1537" s="89">
        <f t="shared" si="274"/>
        <v>0</v>
      </c>
      <c r="J1537" s="63"/>
      <c r="K1537" s="63"/>
      <c r="L1537" s="63"/>
      <c r="M1537" s="63"/>
      <c r="N1537" s="63"/>
      <c r="O1537" s="63"/>
      <c r="P1537" s="63"/>
      <c r="Q1537" s="63"/>
      <c r="R1537" s="63"/>
      <c r="S1537" s="63"/>
      <c r="T1537" s="63"/>
      <c r="U1537" s="94"/>
      <c r="V1537" s="90"/>
      <c r="W1537" s="91"/>
      <c r="X1537" s="92"/>
    </row>
    <row r="1538" spans="1:24">
      <c r="B1538" s="87">
        <f t="shared" si="275"/>
        <v>5</v>
      </c>
      <c r="C1538" s="609"/>
      <c r="D1538" s="10"/>
      <c r="E1538" s="101"/>
      <c r="F1538" s="62"/>
      <c r="G1538" s="62"/>
      <c r="H1538" s="62"/>
      <c r="I1538" s="89">
        <f t="shared" si="274"/>
        <v>0</v>
      </c>
      <c r="J1538" s="63"/>
      <c r="K1538" s="63"/>
      <c r="L1538" s="63"/>
      <c r="M1538" s="63"/>
      <c r="N1538" s="63"/>
      <c r="O1538" s="63"/>
      <c r="P1538" s="63"/>
      <c r="Q1538" s="63"/>
      <c r="R1538" s="63"/>
      <c r="S1538" s="63"/>
      <c r="T1538" s="63"/>
      <c r="U1538" s="94"/>
      <c r="V1538" s="90"/>
      <c r="W1538" s="91"/>
      <c r="X1538" s="92"/>
    </row>
    <row r="1539" spans="1:24">
      <c r="B1539" s="87">
        <f t="shared" si="275"/>
        <v>6</v>
      </c>
      <c r="C1539" s="609"/>
      <c r="D1539" s="10"/>
      <c r="E1539" s="101"/>
      <c r="F1539" s="62"/>
      <c r="G1539" s="62"/>
      <c r="H1539" s="62"/>
      <c r="I1539" s="89">
        <f t="shared" si="274"/>
        <v>0</v>
      </c>
      <c r="J1539" s="63"/>
      <c r="K1539" s="63"/>
      <c r="L1539" s="63"/>
      <c r="M1539" s="63"/>
      <c r="N1539" s="63"/>
      <c r="O1539" s="63"/>
      <c r="P1539" s="63"/>
      <c r="Q1539" s="63"/>
      <c r="R1539" s="63"/>
      <c r="S1539" s="63"/>
      <c r="T1539" s="63"/>
      <c r="U1539" s="94"/>
      <c r="V1539" s="90"/>
      <c r="W1539" s="91"/>
      <c r="X1539" s="92"/>
    </row>
    <row r="1540" spans="1:24">
      <c r="B1540" s="87">
        <f t="shared" si="275"/>
        <v>7</v>
      </c>
      <c r="C1540" s="609"/>
      <c r="D1540" s="10"/>
      <c r="E1540" s="101"/>
      <c r="F1540" s="62"/>
      <c r="G1540" s="62"/>
      <c r="H1540" s="62"/>
      <c r="I1540" s="89">
        <f t="shared" si="274"/>
        <v>0</v>
      </c>
      <c r="J1540" s="63"/>
      <c r="K1540" s="63"/>
      <c r="L1540" s="63"/>
      <c r="M1540" s="63"/>
      <c r="N1540" s="63"/>
      <c r="O1540" s="63"/>
      <c r="P1540" s="63"/>
      <c r="Q1540" s="63"/>
      <c r="R1540" s="63"/>
      <c r="S1540" s="63"/>
      <c r="T1540" s="63"/>
      <c r="U1540" s="94"/>
      <c r="V1540" s="90"/>
      <c r="W1540" s="91"/>
      <c r="X1540" s="92"/>
    </row>
    <row r="1541" spans="1:24">
      <c r="B1541" s="87">
        <f t="shared" si="275"/>
        <v>8</v>
      </c>
      <c r="C1541" s="609"/>
      <c r="D1541" s="10"/>
      <c r="E1541" s="101"/>
      <c r="F1541" s="62"/>
      <c r="G1541" s="62"/>
      <c r="H1541" s="62"/>
      <c r="I1541" s="89">
        <f t="shared" si="274"/>
        <v>0</v>
      </c>
      <c r="J1541" s="63"/>
      <c r="K1541" s="63"/>
      <c r="L1541" s="63"/>
      <c r="M1541" s="63"/>
      <c r="N1541" s="63"/>
      <c r="O1541" s="63"/>
      <c r="P1541" s="63"/>
      <c r="Q1541" s="63"/>
      <c r="R1541" s="63"/>
      <c r="S1541" s="63"/>
      <c r="T1541" s="63"/>
      <c r="U1541" s="94"/>
      <c r="V1541" s="90"/>
      <c r="W1541" s="91"/>
      <c r="X1541" s="92"/>
    </row>
    <row r="1542" spans="1:24">
      <c r="B1542" s="11"/>
      <c r="C1542" s="609"/>
      <c r="D1542" s="10"/>
      <c r="E1542" s="10"/>
      <c r="F1542" s="97">
        <f>SUM(F1534:F1541)</f>
        <v>0</v>
      </c>
      <c r="G1542" s="97">
        <f>SUM(G1534:G1541)</f>
        <v>0</v>
      </c>
      <c r="H1542" s="97">
        <f>SUM(H1534:H1541)</f>
        <v>0</v>
      </c>
      <c r="I1542" s="98">
        <f>SUM(I1534:I1541)</f>
        <v>0</v>
      </c>
      <c r="J1542" s="63"/>
      <c r="K1542" s="21"/>
      <c r="L1542" s="21"/>
      <c r="M1542" s="21"/>
      <c r="N1542" s="21"/>
      <c r="O1542" s="21"/>
      <c r="P1542" s="21"/>
      <c r="Q1542" s="21"/>
      <c r="R1542" s="21"/>
      <c r="S1542" s="21"/>
      <c r="T1542" s="63"/>
      <c r="U1542" s="94"/>
      <c r="V1542" s="90"/>
      <c r="W1542" s="91"/>
      <c r="X1542" s="92"/>
    </row>
    <row r="1543" spans="1:24">
      <c r="B1543" s="11"/>
      <c r="C1543" s="36"/>
      <c r="D1543" s="10"/>
      <c r="E1543" s="10"/>
      <c r="F1543" s="88"/>
      <c r="G1543" s="88"/>
      <c r="H1543" s="88"/>
      <c r="I1543" s="99"/>
      <c r="J1543" s="63"/>
      <c r="K1543" s="21"/>
      <c r="L1543" s="21"/>
      <c r="M1543" s="21"/>
      <c r="N1543" s="21"/>
      <c r="O1543" s="21"/>
      <c r="P1543" s="21"/>
      <c r="Q1543" s="21"/>
      <c r="R1543" s="21"/>
      <c r="S1543" s="21"/>
      <c r="T1543" s="63"/>
      <c r="U1543" s="94"/>
      <c r="V1543" s="90"/>
      <c r="W1543" s="91"/>
      <c r="X1543" s="92"/>
    </row>
    <row r="1544" spans="1:24">
      <c r="B1544" s="121" t="s">
        <v>70</v>
      </c>
      <c r="C1544" s="36"/>
      <c r="D1544" s="123"/>
      <c r="E1544" s="128"/>
      <c r="F1544" s="124"/>
      <c r="G1544" s="124"/>
      <c r="H1544" s="124"/>
      <c r="I1544" s="126"/>
      <c r="J1544" s="127"/>
      <c r="K1544" s="64"/>
      <c r="L1544" s="64"/>
      <c r="M1544" s="64"/>
      <c r="N1544" s="64"/>
      <c r="O1544" s="64"/>
      <c r="P1544" s="64"/>
      <c r="Q1544" s="64"/>
      <c r="R1544" s="64"/>
      <c r="S1544" s="64"/>
      <c r="T1544" s="127"/>
      <c r="U1544" s="135"/>
      <c r="V1544" s="129"/>
      <c r="W1544" s="130"/>
      <c r="X1544" s="131"/>
    </row>
    <row r="1545" spans="1:24" s="342" customFormat="1">
      <c r="B1545" s="333">
        <v>1</v>
      </c>
      <c r="C1545" s="334">
        <v>45960</v>
      </c>
      <c r="D1545" s="335" t="s">
        <v>2715</v>
      </c>
      <c r="E1545" s="335" t="s">
        <v>811</v>
      </c>
      <c r="F1545" s="336">
        <v>7316</v>
      </c>
      <c r="G1545" s="336">
        <f>39.7+(19.25+68.75)+500</f>
        <v>627.70000000000005</v>
      </c>
      <c r="H1545" s="336"/>
      <c r="I1545" s="337">
        <f>F1545-G1545-H1545</f>
        <v>6688.3</v>
      </c>
      <c r="J1545" s="338" t="s">
        <v>156</v>
      </c>
      <c r="K1545" s="338">
        <v>1</v>
      </c>
      <c r="L1545" s="338"/>
      <c r="M1545" s="338">
        <v>0</v>
      </c>
      <c r="N1545" s="338">
        <v>1</v>
      </c>
      <c r="O1545" s="338">
        <v>1</v>
      </c>
      <c r="P1545" s="338">
        <v>1</v>
      </c>
      <c r="Q1545" s="338"/>
      <c r="R1545" s="338"/>
      <c r="S1545" s="339"/>
      <c r="T1545" s="64"/>
      <c r="U1545" s="135" t="s">
        <v>2716</v>
      </c>
      <c r="V1545" s="129">
        <f>800</f>
        <v>800</v>
      </c>
      <c r="W1545" s="340"/>
      <c r="X1545" s="341"/>
    </row>
    <row r="1546" spans="1:24" s="342" customFormat="1">
      <c r="B1546" s="333">
        <f t="shared" ref="B1546" si="276">B1545+1</f>
        <v>2</v>
      </c>
      <c r="C1546" s="350">
        <v>45961</v>
      </c>
      <c r="D1546" s="358">
        <v>75018</v>
      </c>
      <c r="E1546" s="358" t="s">
        <v>1017</v>
      </c>
      <c r="F1546" s="352">
        <v>5814</v>
      </c>
      <c r="G1546" s="352">
        <f>39.7+(1343.22+1036.62)+250</f>
        <v>2669.54</v>
      </c>
      <c r="H1546" s="352"/>
      <c r="I1546" s="353">
        <f>F1546-G1546-H1546</f>
        <v>3144.46</v>
      </c>
      <c r="J1546" s="354" t="s">
        <v>156</v>
      </c>
      <c r="K1546" s="354">
        <v>1</v>
      </c>
      <c r="L1546" s="354"/>
      <c r="M1546" s="354">
        <v>1</v>
      </c>
      <c r="N1546" s="354">
        <v>1</v>
      </c>
      <c r="O1546" s="354">
        <v>1</v>
      </c>
      <c r="P1546" s="354">
        <v>1</v>
      </c>
      <c r="Q1546" s="354">
        <v>1</v>
      </c>
      <c r="R1546" s="354">
        <v>1</v>
      </c>
      <c r="S1546" s="355">
        <v>0</v>
      </c>
      <c r="T1546" s="127"/>
      <c r="U1546" s="135" t="s">
        <v>2717</v>
      </c>
      <c r="V1546" s="129">
        <f>630+5765.4</f>
        <v>6395.4</v>
      </c>
      <c r="W1546" s="340"/>
      <c r="X1546" s="341"/>
    </row>
    <row r="1547" spans="1:24">
      <c r="B1547" s="132"/>
      <c r="C1547" s="36"/>
      <c r="D1547" s="123"/>
      <c r="E1547" s="123"/>
      <c r="F1547" s="134">
        <f>SUM(F1545:F1546)</f>
        <v>13130</v>
      </c>
      <c r="G1547" s="134">
        <f>SUM(G1545:G1546)</f>
        <v>3297.24</v>
      </c>
      <c r="H1547" s="134">
        <f>SUM(H1545:H1546)</f>
        <v>0</v>
      </c>
      <c r="I1547" s="134">
        <f>SUM(I1545:I1546)</f>
        <v>9832.76</v>
      </c>
      <c r="J1547" s="127"/>
      <c r="K1547" s="64"/>
      <c r="L1547" s="64"/>
      <c r="M1547" s="64"/>
      <c r="N1547" s="64"/>
      <c r="O1547" s="64"/>
      <c r="P1547" s="64"/>
      <c r="Q1547" s="64"/>
      <c r="R1547" s="64"/>
      <c r="S1547" s="64"/>
      <c r="T1547" s="127"/>
      <c r="U1547" s="135"/>
      <c r="V1547" s="129"/>
      <c r="W1547" s="130"/>
      <c r="X1547" s="131"/>
    </row>
    <row r="1548" spans="1:24">
      <c r="B1548" s="11"/>
      <c r="C1548" s="36"/>
      <c r="D1548" s="10"/>
      <c r="E1548" s="10"/>
      <c r="F1548" s="88"/>
      <c r="G1548" s="88"/>
      <c r="H1548" s="88"/>
      <c r="I1548" s="99"/>
      <c r="J1548" s="63"/>
      <c r="K1548" s="21"/>
      <c r="L1548" s="21"/>
      <c r="M1548" s="21"/>
      <c r="N1548" s="21"/>
      <c r="O1548" s="21"/>
      <c r="P1548" s="21"/>
      <c r="Q1548" s="21"/>
      <c r="R1548" s="21"/>
      <c r="S1548" s="21"/>
      <c r="T1548" s="63"/>
      <c r="U1548" s="94"/>
      <c r="V1548" s="90"/>
      <c r="W1548" s="91"/>
      <c r="X1548" s="92"/>
    </row>
    <row r="1549" spans="1:24" s="260" customFormat="1">
      <c r="B1549" s="100" t="s">
        <v>152</v>
      </c>
      <c r="C1549" s="270"/>
      <c r="D1549" s="10"/>
      <c r="E1549" s="101"/>
      <c r="F1549" s="88"/>
      <c r="G1549" s="62"/>
      <c r="H1549" s="88"/>
      <c r="I1549" s="99"/>
      <c r="J1549" s="63"/>
      <c r="K1549" s="181"/>
      <c r="L1549" s="181"/>
      <c r="M1549" s="181"/>
      <c r="N1549" s="181"/>
      <c r="O1549" s="181"/>
      <c r="P1549" s="181"/>
      <c r="Q1549" s="181"/>
      <c r="R1549" s="181"/>
      <c r="S1549" s="181"/>
      <c r="T1549" s="63"/>
      <c r="U1549" s="10"/>
      <c r="V1549" s="90"/>
      <c r="W1549" s="91"/>
      <c r="X1549" s="92"/>
    </row>
    <row r="1550" spans="1:24" s="260" customFormat="1">
      <c r="A1550" s="261">
        <v>0.05</v>
      </c>
      <c r="B1550" s="87">
        <v>1</v>
      </c>
      <c r="C1550" s="274">
        <v>45790</v>
      </c>
      <c r="D1550" s="460" t="s">
        <v>2339</v>
      </c>
      <c r="E1550" s="276" t="s">
        <v>225</v>
      </c>
      <c r="F1550" s="277">
        <v>8614</v>
      </c>
      <c r="G1550" s="277">
        <f>39.7+(143.54)+(86.25+50.9-26.76)+750</f>
        <v>1043.6300000000001</v>
      </c>
      <c r="H1550" s="277"/>
      <c r="I1550" s="278">
        <f>F1550-G1550-H1550</f>
        <v>7570.37</v>
      </c>
      <c r="J1550" s="279"/>
      <c r="K1550" s="279">
        <v>1</v>
      </c>
      <c r="L1550" s="279"/>
      <c r="M1550" s="279"/>
      <c r="N1550" s="279">
        <v>1</v>
      </c>
      <c r="O1550" s="279">
        <v>1</v>
      </c>
      <c r="P1550" s="279">
        <v>1</v>
      </c>
      <c r="Q1550" s="279"/>
      <c r="R1550" s="279"/>
      <c r="S1550" s="280"/>
      <c r="T1550" s="63"/>
      <c r="U1550" s="10" t="s">
        <v>2340</v>
      </c>
      <c r="V1550" s="90"/>
      <c r="W1550" s="136"/>
      <c r="X1550" s="137"/>
    </row>
    <row r="1551" spans="1:24" s="260" customFormat="1">
      <c r="A1551" s="261">
        <v>0.05</v>
      </c>
      <c r="B1551" s="87">
        <f>B1550+1</f>
        <v>2</v>
      </c>
      <c r="C1551" s="262">
        <v>45880</v>
      </c>
      <c r="D1551" s="748" t="s">
        <v>2475</v>
      </c>
      <c r="E1551" s="264" t="s">
        <v>294</v>
      </c>
      <c r="F1551" s="265">
        <v>1542</v>
      </c>
      <c r="G1551" s="265">
        <f>39.7</f>
        <v>39.700000000000003</v>
      </c>
      <c r="H1551" s="265"/>
      <c r="I1551" s="266">
        <f>F1551-G1551-H1551</f>
        <v>1502.3</v>
      </c>
      <c r="J1551" s="267" t="s">
        <v>156</v>
      </c>
      <c r="K1551" s="267">
        <v>1</v>
      </c>
      <c r="L1551" s="314">
        <v>0</v>
      </c>
      <c r="M1551" s="267">
        <v>1</v>
      </c>
      <c r="N1551" s="267">
        <v>1</v>
      </c>
      <c r="O1551" s="267">
        <v>1</v>
      </c>
      <c r="P1551" s="267">
        <v>1</v>
      </c>
      <c r="Q1551" s="267">
        <v>1</v>
      </c>
      <c r="R1551" s="267">
        <v>1</v>
      </c>
      <c r="S1551" s="269">
        <v>1</v>
      </c>
      <c r="T1551" s="63"/>
      <c r="U1551" s="10" t="s">
        <v>2642</v>
      </c>
      <c r="V1551" s="90"/>
      <c r="W1551" s="91"/>
      <c r="X1551" s="92"/>
    </row>
    <row r="1552" spans="1:24" s="260" customFormat="1">
      <c r="A1552" s="261" t="s">
        <v>2588</v>
      </c>
      <c r="B1552" s="87">
        <f>B1551+1</f>
        <v>3</v>
      </c>
      <c r="C1552" s="282">
        <v>45911</v>
      </c>
      <c r="D1552" s="555">
        <v>73228</v>
      </c>
      <c r="E1552" s="319" t="s">
        <v>1037</v>
      </c>
      <c r="F1552" s="284">
        <v>4914.8999999999996</v>
      </c>
      <c r="G1552" s="284">
        <f>39.7</f>
        <v>39.700000000000003</v>
      </c>
      <c r="H1552" s="284"/>
      <c r="I1552" s="285">
        <f>F1552-G1552-H1552</f>
        <v>4875.2</v>
      </c>
      <c r="J1552" s="286" t="s">
        <v>156</v>
      </c>
      <c r="K1552" s="286">
        <v>1</v>
      </c>
      <c r="L1552" s="286">
        <v>1</v>
      </c>
      <c r="M1552" s="286">
        <v>1</v>
      </c>
      <c r="N1552" s="286">
        <v>1</v>
      </c>
      <c r="O1552" s="286">
        <v>1</v>
      </c>
      <c r="P1552" s="286">
        <v>1</v>
      </c>
      <c r="Q1552" s="286">
        <v>1</v>
      </c>
      <c r="R1552" s="286">
        <v>1</v>
      </c>
      <c r="S1552" s="287">
        <v>1</v>
      </c>
      <c r="T1552" s="21"/>
      <c r="U1552" s="94" t="s">
        <v>2589</v>
      </c>
      <c r="V1552" s="90"/>
      <c r="W1552" s="91"/>
      <c r="X1552" s="92"/>
    </row>
    <row r="1553" spans="1:24" s="260" customFormat="1">
      <c r="B1553" s="11"/>
      <c r="C1553" s="270"/>
      <c r="D1553" s="10"/>
      <c r="E1553" s="10"/>
      <c r="F1553" s="97">
        <f>SUM(F1550:F1552)</f>
        <v>15070.9</v>
      </c>
      <c r="G1553" s="97">
        <f>SUM(G1550:G1552)</f>
        <v>1123.0300000000002</v>
      </c>
      <c r="H1553" s="97">
        <f>SUM(H1550:H1552)</f>
        <v>0</v>
      </c>
      <c r="I1553" s="97">
        <f>SUM(I1550:I1552)</f>
        <v>13947.869999999999</v>
      </c>
      <c r="J1553" s="63"/>
      <c r="K1553" s="21"/>
      <c r="L1553" s="21"/>
      <c r="M1553" s="21"/>
      <c r="N1553" s="21"/>
      <c r="O1553" s="21"/>
      <c r="P1553" s="21"/>
      <c r="Q1553" s="21"/>
      <c r="R1553" s="21"/>
      <c r="S1553" s="21"/>
      <c r="T1553" s="63"/>
      <c r="U1553" s="10"/>
      <c r="V1553" s="90"/>
      <c r="W1553" s="91"/>
      <c r="X1553" s="92"/>
    </row>
    <row r="1554" spans="1:24" s="260" customFormat="1">
      <c r="B1554" s="11"/>
      <c r="C1554" s="270"/>
      <c r="D1554" s="10"/>
      <c r="E1554" s="10"/>
      <c r="F1554" s="88"/>
      <c r="G1554" s="88"/>
      <c r="H1554" s="88"/>
      <c r="I1554" s="99"/>
      <c r="J1554" s="63"/>
      <c r="K1554" s="21"/>
      <c r="L1554" s="21"/>
      <c r="M1554" s="21"/>
      <c r="N1554" s="21"/>
      <c r="O1554" s="21"/>
      <c r="P1554" s="21"/>
      <c r="Q1554" s="21"/>
      <c r="R1554" s="21"/>
      <c r="S1554" s="21"/>
      <c r="T1554" s="63"/>
      <c r="U1554" s="10"/>
      <c r="V1554" s="90"/>
      <c r="W1554" s="91"/>
      <c r="X1554" s="92"/>
    </row>
    <row r="1555" spans="1:24" s="260" customFormat="1">
      <c r="B1555" s="100" t="s">
        <v>202</v>
      </c>
      <c r="C1555" s="270"/>
      <c r="D1555" s="10"/>
      <c r="E1555" s="181"/>
      <c r="F1555" s="88"/>
      <c r="G1555" s="88"/>
      <c r="H1555" s="88"/>
      <c r="I1555" s="99"/>
      <c r="J1555" s="63"/>
      <c r="K1555" s="21"/>
      <c r="L1555" s="21"/>
      <c r="M1555" s="21"/>
      <c r="N1555" s="21"/>
      <c r="O1555" s="21"/>
      <c r="P1555" s="21"/>
      <c r="Q1555" s="21"/>
      <c r="R1555" s="21"/>
      <c r="S1555" s="21"/>
      <c r="T1555" s="63"/>
      <c r="U1555" s="10"/>
      <c r="V1555" s="90"/>
      <c r="W1555" s="91"/>
      <c r="X1555" s="92"/>
    </row>
    <row r="1556" spans="1:24" s="260" customFormat="1">
      <c r="A1556" s="261">
        <v>0.05</v>
      </c>
      <c r="B1556" s="87">
        <v>1</v>
      </c>
      <c r="C1556" s="274">
        <v>45863</v>
      </c>
      <c r="D1556" s="509" t="s">
        <v>2406</v>
      </c>
      <c r="E1556" s="276" t="s">
        <v>2398</v>
      </c>
      <c r="F1556" s="277">
        <v>14218</v>
      </c>
      <c r="G1556" s="277">
        <f>39.7+487.5+(78.82+18.7+38.9+17.61+45.74)+(21.28)+1000</f>
        <v>1748.25</v>
      </c>
      <c r="H1556" s="277"/>
      <c r="I1556" s="278">
        <f>F1556-G1556-H1556</f>
        <v>12469.75</v>
      </c>
      <c r="J1556" s="279" t="s">
        <v>156</v>
      </c>
      <c r="K1556" s="279">
        <v>1</v>
      </c>
      <c r="L1556" s="279"/>
      <c r="M1556" s="279">
        <v>1</v>
      </c>
      <c r="N1556" s="279">
        <v>1</v>
      </c>
      <c r="O1556" s="279">
        <v>1</v>
      </c>
      <c r="P1556" s="279">
        <v>1</v>
      </c>
      <c r="Q1556" s="279"/>
      <c r="R1556" s="279"/>
      <c r="S1556" s="280"/>
      <c r="T1556" s="63"/>
      <c r="U1556" s="94" t="s">
        <v>2407</v>
      </c>
      <c r="V1556" s="90"/>
      <c r="W1556" s="136"/>
      <c r="X1556" s="137"/>
    </row>
    <row r="1557" spans="1:24" s="260" customFormat="1">
      <c r="A1557" s="494">
        <v>0.1</v>
      </c>
      <c r="B1557" s="87">
        <f>B1556+1</f>
        <v>2</v>
      </c>
      <c r="C1557" s="274">
        <v>45925</v>
      </c>
      <c r="D1557" s="509">
        <v>73655</v>
      </c>
      <c r="E1557" s="281" t="s">
        <v>1401</v>
      </c>
      <c r="F1557" s="277">
        <v>7118.1</v>
      </c>
      <c r="G1557" s="277">
        <f>39.7+500</f>
        <v>539.70000000000005</v>
      </c>
      <c r="H1557" s="277"/>
      <c r="I1557" s="321">
        <f t="shared" ref="I1557" si="277">F1557-G1557-H1557</f>
        <v>6578.4000000000005</v>
      </c>
      <c r="J1557" s="279"/>
      <c r="K1557" s="279">
        <v>1</v>
      </c>
      <c r="L1557" s="279"/>
      <c r="M1557" s="279"/>
      <c r="N1557" s="279">
        <v>1</v>
      </c>
      <c r="O1557" s="279">
        <v>1</v>
      </c>
      <c r="P1557" s="322">
        <v>0</v>
      </c>
      <c r="Q1557" s="279"/>
      <c r="R1557" s="279"/>
      <c r="S1557" s="280"/>
      <c r="T1557" s="63"/>
      <c r="U1557" s="94" t="s">
        <v>2618</v>
      </c>
      <c r="V1557" s="90"/>
      <c r="W1557" s="136"/>
      <c r="X1557" s="137"/>
    </row>
    <row r="1558" spans="1:24" s="260" customFormat="1">
      <c r="A1558" s="494">
        <v>0.1</v>
      </c>
      <c r="B1558" s="87">
        <f t="shared" ref="B1558:B1559" si="278">B1557+1</f>
        <v>3</v>
      </c>
      <c r="C1558" s="262">
        <v>45939</v>
      </c>
      <c r="D1558" s="642" t="s">
        <v>2652</v>
      </c>
      <c r="E1558" s="271" t="s">
        <v>1008</v>
      </c>
      <c r="F1558" s="265">
        <v>18161</v>
      </c>
      <c r="G1558" s="265">
        <f>39.7+(125.35+68.83)+(596.95+34.4)+1500</f>
        <v>2365.23</v>
      </c>
      <c r="H1558" s="265"/>
      <c r="I1558" s="272">
        <f>F1558-G1558-H1558</f>
        <v>15795.77</v>
      </c>
      <c r="J1558" s="267" t="s">
        <v>156</v>
      </c>
      <c r="K1558" s="267">
        <v>1</v>
      </c>
      <c r="L1558" s="267"/>
      <c r="M1558" s="267">
        <v>1</v>
      </c>
      <c r="N1558" s="267">
        <v>1</v>
      </c>
      <c r="O1558" s="267">
        <v>1</v>
      </c>
      <c r="P1558" s="267">
        <v>1</v>
      </c>
      <c r="Q1558" s="267"/>
      <c r="R1558" s="267"/>
      <c r="S1558" s="269"/>
      <c r="T1558" s="63"/>
      <c r="U1558" s="94" t="s">
        <v>2680</v>
      </c>
      <c r="V1558" s="90"/>
      <c r="W1558" s="136"/>
      <c r="X1558" s="137"/>
    </row>
    <row r="1559" spans="1:24" s="260" customFormat="1">
      <c r="A1559" s="704" t="s">
        <v>683</v>
      </c>
      <c r="B1559" s="87">
        <f t="shared" si="278"/>
        <v>4</v>
      </c>
      <c r="C1559" s="262">
        <v>45943</v>
      </c>
      <c r="D1559" s="271">
        <v>74329</v>
      </c>
      <c r="E1559" s="271" t="s">
        <v>1150</v>
      </c>
      <c r="F1559" s="265">
        <v>1138</v>
      </c>
      <c r="G1559" s="265">
        <f>39.7</f>
        <v>39.700000000000003</v>
      </c>
      <c r="H1559" s="265"/>
      <c r="I1559" s="272">
        <f>F1559-G1559-H1559</f>
        <v>1098.3</v>
      </c>
      <c r="J1559" s="267"/>
      <c r="K1559" s="267">
        <v>1</v>
      </c>
      <c r="L1559" s="267">
        <v>1</v>
      </c>
      <c r="M1559" s="267"/>
      <c r="N1559" s="267">
        <v>1</v>
      </c>
      <c r="O1559" s="267">
        <v>1</v>
      </c>
      <c r="P1559" s="267">
        <v>1</v>
      </c>
      <c r="Q1559" s="267"/>
      <c r="R1559" s="267"/>
      <c r="S1559" s="269"/>
      <c r="T1559" s="63"/>
      <c r="U1559" s="94" t="s">
        <v>2679</v>
      </c>
      <c r="V1559" s="90"/>
      <c r="W1559" s="91"/>
      <c r="X1559" s="92"/>
    </row>
    <row r="1560" spans="1:24" s="260" customFormat="1">
      <c r="A1560" s="260" t="s">
        <v>2347</v>
      </c>
      <c r="B1560" s="11"/>
      <c r="C1560" s="270"/>
      <c r="D1560" s="10"/>
      <c r="E1560" s="10"/>
      <c r="F1560" s="97">
        <f>SUM(F1556:F1559)</f>
        <v>40635.1</v>
      </c>
      <c r="G1560" s="97">
        <f t="shared" ref="G1560:I1560" si="279">SUM(G1556:G1559)</f>
        <v>4692.88</v>
      </c>
      <c r="H1560" s="97">
        <f t="shared" si="279"/>
        <v>0</v>
      </c>
      <c r="I1560" s="97">
        <f t="shared" si="279"/>
        <v>35942.22</v>
      </c>
      <c r="J1560" s="63"/>
      <c r="K1560" s="21"/>
      <c r="L1560" s="21"/>
      <c r="M1560" s="21"/>
      <c r="N1560" s="21"/>
      <c r="O1560" s="21"/>
      <c r="P1560" s="21"/>
      <c r="Q1560" s="21"/>
      <c r="R1560" s="21"/>
      <c r="S1560" s="21"/>
      <c r="T1560" s="63"/>
      <c r="V1560" s="90"/>
      <c r="W1560" s="91"/>
      <c r="X1560" s="92"/>
    </row>
    <row r="1561" spans="1:24" s="260" customFormat="1">
      <c r="B1561" s="11"/>
      <c r="C1561" s="270"/>
      <c r="D1561" s="10"/>
      <c r="E1561" s="10"/>
      <c r="F1561" s="88"/>
      <c r="G1561" s="88"/>
      <c r="H1561" s="88"/>
      <c r="I1561" s="88"/>
      <c r="J1561" s="63"/>
      <c r="K1561" s="21"/>
      <c r="L1561" s="21"/>
      <c r="M1561" s="21"/>
      <c r="N1561" s="21"/>
      <c r="O1561" s="21"/>
      <c r="P1561" s="21"/>
      <c r="Q1561" s="21"/>
      <c r="R1561" s="21"/>
      <c r="S1561" s="21"/>
      <c r="T1561" s="63"/>
      <c r="U1561" s="10"/>
      <c r="V1561" s="90"/>
      <c r="W1561" s="91"/>
      <c r="X1561" s="92"/>
    </row>
    <row r="1562" spans="1:24">
      <c r="B1562" s="100" t="s">
        <v>72</v>
      </c>
      <c r="C1562" s="36"/>
      <c r="D1562" s="10"/>
      <c r="E1562" s="10"/>
      <c r="F1562" s="88"/>
      <c r="G1562" s="88"/>
      <c r="H1562" s="88"/>
      <c r="I1562" s="99"/>
      <c r="J1562" s="63"/>
      <c r="K1562" s="63"/>
      <c r="L1562" s="63"/>
      <c r="M1562" s="63"/>
      <c r="N1562" s="63"/>
      <c r="O1562" s="63"/>
      <c r="P1562" s="63"/>
      <c r="Q1562" s="63"/>
      <c r="R1562" s="63"/>
      <c r="S1562" s="63"/>
      <c r="T1562" s="63"/>
      <c r="U1562" s="94"/>
      <c r="V1562" s="90"/>
      <c r="W1562" s="91"/>
      <c r="X1562" s="92"/>
    </row>
    <row r="1563" spans="1:24">
      <c r="B1563" s="87">
        <v>1</v>
      </c>
      <c r="C1563" s="274">
        <v>45957</v>
      </c>
      <c r="D1563" s="275" t="s">
        <v>2718</v>
      </c>
      <c r="E1563" s="276" t="s">
        <v>172</v>
      </c>
      <c r="F1563" s="277">
        <v>11753</v>
      </c>
      <c r="G1563" s="277">
        <v>39.700000000000003</v>
      </c>
      <c r="H1563" s="277"/>
      <c r="I1563" s="278">
        <f>F1563-G1563-H1563</f>
        <v>11713.3</v>
      </c>
      <c r="J1563" s="279" t="s">
        <v>205</v>
      </c>
      <c r="K1563" s="279">
        <v>1</v>
      </c>
      <c r="L1563" s="279"/>
      <c r="M1563" s="279"/>
      <c r="N1563" s="279">
        <v>1</v>
      </c>
      <c r="O1563" s="279"/>
      <c r="P1563" s="279"/>
      <c r="Q1563" s="279"/>
      <c r="R1563" s="279"/>
      <c r="S1563" s="280"/>
      <c r="T1563" s="63"/>
      <c r="U1563" s="164"/>
      <c r="V1563" s="90"/>
      <c r="W1563" s="91"/>
      <c r="X1563" s="92"/>
    </row>
    <row r="1564" spans="1:24">
      <c r="B1564" s="87">
        <f>B1563+1</f>
        <v>2</v>
      </c>
      <c r="C1564" s="295">
        <v>45957</v>
      </c>
      <c r="D1564" s="77" t="s">
        <v>2719</v>
      </c>
      <c r="E1564" s="10" t="s">
        <v>172</v>
      </c>
      <c r="F1564" s="62">
        <v>12684</v>
      </c>
      <c r="G1564" s="62">
        <v>39.700000000000003</v>
      </c>
      <c r="H1564" s="62"/>
      <c r="I1564" s="89">
        <f t="shared" ref="I1564:I1576" si="280">F1564-G1564-H1564</f>
        <v>12644.3</v>
      </c>
      <c r="J1564" s="63" t="s">
        <v>205</v>
      </c>
      <c r="K1564" s="63">
        <v>1</v>
      </c>
      <c r="L1564" s="63"/>
      <c r="M1564" s="63"/>
      <c r="N1564" s="63">
        <v>1</v>
      </c>
      <c r="O1564" s="63"/>
      <c r="P1564" s="63"/>
      <c r="Q1564" s="63"/>
      <c r="R1564" s="63"/>
      <c r="S1564" s="296"/>
      <c r="T1564" s="63"/>
      <c r="U1564" s="94"/>
      <c r="V1564" s="90"/>
      <c r="W1564" s="136"/>
      <c r="X1564" s="137"/>
    </row>
    <row r="1565" spans="1:24">
      <c r="B1565" s="87">
        <f t="shared" ref="B1565:B1576" si="281">B1564+1</f>
        <v>3</v>
      </c>
      <c r="C1565" s="295">
        <v>45957</v>
      </c>
      <c r="D1565" s="77">
        <v>74852</v>
      </c>
      <c r="E1565" s="10" t="s">
        <v>1173</v>
      </c>
      <c r="F1565" s="62">
        <v>2034.9</v>
      </c>
      <c r="G1565" s="62">
        <v>39.700000000000003</v>
      </c>
      <c r="H1565" s="62"/>
      <c r="I1565" s="89">
        <f t="shared" si="280"/>
        <v>1995.2</v>
      </c>
      <c r="J1565" s="63" t="s">
        <v>205</v>
      </c>
      <c r="K1565" s="63">
        <v>1</v>
      </c>
      <c r="L1565" s="63"/>
      <c r="M1565" s="63"/>
      <c r="N1565" s="63">
        <v>1</v>
      </c>
      <c r="O1565" s="63"/>
      <c r="P1565" s="63"/>
      <c r="Q1565" s="63">
        <v>1</v>
      </c>
      <c r="R1565" s="63">
        <v>1</v>
      </c>
      <c r="S1565" s="296">
        <v>1</v>
      </c>
      <c r="T1565" s="63"/>
      <c r="U1565" s="94"/>
      <c r="V1565" s="90"/>
      <c r="W1565" s="136"/>
      <c r="X1565" s="137"/>
    </row>
    <row r="1566" spans="1:24">
      <c r="B1566" s="87">
        <f t="shared" si="281"/>
        <v>4</v>
      </c>
      <c r="C1566" s="274">
        <v>45958</v>
      </c>
      <c r="D1566" s="275" t="s">
        <v>2720</v>
      </c>
      <c r="E1566" s="276" t="s">
        <v>306</v>
      </c>
      <c r="F1566" s="277">
        <v>11571.9</v>
      </c>
      <c r="G1566" s="277">
        <v>39.700000000000003</v>
      </c>
      <c r="H1566" s="277"/>
      <c r="I1566" s="278">
        <f t="shared" si="280"/>
        <v>11532.199999999999</v>
      </c>
      <c r="J1566" s="279" t="s">
        <v>205</v>
      </c>
      <c r="K1566" s="279">
        <v>1</v>
      </c>
      <c r="L1566" s="279"/>
      <c r="M1566" s="279"/>
      <c r="N1566" s="279">
        <v>1</v>
      </c>
      <c r="O1566" s="279"/>
      <c r="P1566" s="279"/>
      <c r="Q1566" s="279"/>
      <c r="R1566" s="279"/>
      <c r="S1566" s="280"/>
      <c r="T1566" s="63"/>
      <c r="U1566" s="94"/>
      <c r="V1566" s="90"/>
      <c r="W1566" s="136"/>
      <c r="X1566" s="137"/>
    </row>
    <row r="1567" spans="1:24">
      <c r="B1567" s="87">
        <f t="shared" si="281"/>
        <v>5</v>
      </c>
      <c r="C1567" s="295">
        <v>45958</v>
      </c>
      <c r="D1567" s="77" t="s">
        <v>2721</v>
      </c>
      <c r="E1567" s="10" t="s">
        <v>1835</v>
      </c>
      <c r="F1567" s="62">
        <v>8455</v>
      </c>
      <c r="G1567" s="62">
        <v>39.700000000000003</v>
      </c>
      <c r="H1567" s="62"/>
      <c r="I1567" s="89">
        <f t="shared" si="280"/>
        <v>8415.2999999999993</v>
      </c>
      <c r="J1567" s="63" t="s">
        <v>205</v>
      </c>
      <c r="K1567" s="63">
        <v>1</v>
      </c>
      <c r="L1567" s="63"/>
      <c r="M1567" s="63"/>
      <c r="N1567" s="63">
        <v>1</v>
      </c>
      <c r="O1567" s="63"/>
      <c r="P1567" s="63"/>
      <c r="Q1567" s="63"/>
      <c r="R1567" s="63"/>
      <c r="S1567" s="296"/>
      <c r="T1567" s="63"/>
      <c r="U1567" s="94"/>
      <c r="V1567" s="90"/>
      <c r="W1567" s="136"/>
      <c r="X1567" s="137"/>
    </row>
    <row r="1568" spans="1:24">
      <c r="B1568" s="87">
        <f>B1567+1</f>
        <v>6</v>
      </c>
      <c r="C1568" s="295">
        <v>45958</v>
      </c>
      <c r="D1568" s="10">
        <v>74877</v>
      </c>
      <c r="E1568" s="10" t="s">
        <v>1173</v>
      </c>
      <c r="F1568" s="62">
        <v>4847</v>
      </c>
      <c r="G1568" s="62">
        <f>39.7</f>
        <v>39.700000000000003</v>
      </c>
      <c r="H1568" s="62"/>
      <c r="I1568" s="89">
        <f>F1568-G1568-H1568</f>
        <v>4807.3</v>
      </c>
      <c r="J1568" s="63" t="s">
        <v>156</v>
      </c>
      <c r="K1568" s="63">
        <v>1</v>
      </c>
      <c r="L1568" s="63"/>
      <c r="M1568" s="63">
        <v>1</v>
      </c>
      <c r="N1568" s="63">
        <v>1</v>
      </c>
      <c r="O1568" s="63">
        <v>1</v>
      </c>
      <c r="P1568" s="63">
        <v>1</v>
      </c>
      <c r="Q1568" s="63">
        <v>1</v>
      </c>
      <c r="R1568" s="63"/>
      <c r="S1568" s="296"/>
      <c r="T1568" s="63"/>
      <c r="U1568" s="94" t="s">
        <v>2722</v>
      </c>
      <c r="V1568" s="90">
        <f>533</f>
        <v>533</v>
      </c>
      <c r="W1568" s="136"/>
      <c r="X1568" s="137"/>
    </row>
    <row r="1569" spans="2:24">
      <c r="B1569" s="87">
        <f>B1568+1</f>
        <v>7</v>
      </c>
      <c r="C1569" s="282">
        <v>45958</v>
      </c>
      <c r="D1569" s="283">
        <v>74879</v>
      </c>
      <c r="E1569" s="319" t="s">
        <v>1173</v>
      </c>
      <c r="F1569" s="284">
        <v>1481</v>
      </c>
      <c r="G1569" s="284">
        <v>39.700000000000003</v>
      </c>
      <c r="H1569" s="284"/>
      <c r="I1569" s="285">
        <f t="shared" si="280"/>
        <v>1441.3</v>
      </c>
      <c r="J1569" s="286" t="s">
        <v>205</v>
      </c>
      <c r="K1569" s="286"/>
      <c r="L1569" s="286"/>
      <c r="M1569" s="286"/>
      <c r="N1569" s="286">
        <v>1</v>
      </c>
      <c r="O1569" s="286"/>
      <c r="P1569" s="286"/>
      <c r="Q1569" s="286">
        <v>1</v>
      </c>
      <c r="R1569" s="286">
        <v>1</v>
      </c>
      <c r="S1569" s="287">
        <v>1</v>
      </c>
      <c r="T1569" s="63"/>
      <c r="U1569" s="94"/>
      <c r="V1569" s="90"/>
      <c r="W1569" s="136"/>
      <c r="X1569" s="137"/>
    </row>
    <row r="1570" spans="2:24">
      <c r="B1570" s="87">
        <f t="shared" si="281"/>
        <v>8</v>
      </c>
      <c r="C1570" s="295">
        <v>45959</v>
      </c>
      <c r="D1570" s="10">
        <v>74918</v>
      </c>
      <c r="E1570" s="101" t="s">
        <v>2398</v>
      </c>
      <c r="F1570" s="62">
        <v>774.9</v>
      </c>
      <c r="G1570" s="62">
        <v>39.700000000000003</v>
      </c>
      <c r="H1570" s="62"/>
      <c r="I1570" s="89">
        <f t="shared" si="280"/>
        <v>735.19999999999993</v>
      </c>
      <c r="J1570" s="63" t="s">
        <v>205</v>
      </c>
      <c r="K1570" s="63">
        <v>1</v>
      </c>
      <c r="L1570" s="63"/>
      <c r="M1570" s="63"/>
      <c r="N1570" s="63">
        <v>1</v>
      </c>
      <c r="O1570" s="63"/>
      <c r="P1570" s="63"/>
      <c r="Q1570" s="63"/>
      <c r="R1570" s="63"/>
      <c r="S1570" s="296"/>
      <c r="T1570" s="63"/>
      <c r="U1570" s="94"/>
      <c r="V1570" s="90"/>
      <c r="W1570" s="136"/>
      <c r="X1570" s="137"/>
    </row>
    <row r="1571" spans="2:24">
      <c r="B1571" s="87">
        <f t="shared" si="281"/>
        <v>9</v>
      </c>
      <c r="C1571" s="295">
        <v>45959</v>
      </c>
      <c r="D1571" s="10">
        <v>74922</v>
      </c>
      <c r="E1571" s="101" t="s">
        <v>377</v>
      </c>
      <c r="F1571" s="62">
        <v>5592.6</v>
      </c>
      <c r="G1571" s="62">
        <v>39.700000000000003</v>
      </c>
      <c r="H1571" s="62"/>
      <c r="I1571" s="89">
        <f t="shared" si="280"/>
        <v>5552.9000000000005</v>
      </c>
      <c r="J1571" s="63" t="s">
        <v>205</v>
      </c>
      <c r="K1571" s="63">
        <v>1</v>
      </c>
      <c r="L1571" s="63"/>
      <c r="M1571" s="63"/>
      <c r="N1571" s="63">
        <v>1</v>
      </c>
      <c r="O1571" s="63"/>
      <c r="P1571" s="63"/>
      <c r="Q1571" s="63">
        <v>1</v>
      </c>
      <c r="R1571" s="63">
        <v>1</v>
      </c>
      <c r="S1571" s="296">
        <v>1</v>
      </c>
      <c r="T1571" s="63"/>
      <c r="U1571" s="94"/>
      <c r="V1571" s="90"/>
      <c r="W1571" s="136"/>
      <c r="X1571" s="137"/>
    </row>
    <row r="1572" spans="2:24">
      <c r="B1572" s="87">
        <f t="shared" si="281"/>
        <v>10</v>
      </c>
      <c r="C1572" s="274">
        <v>45960</v>
      </c>
      <c r="D1572" s="276">
        <v>74851</v>
      </c>
      <c r="E1572" s="281" t="s">
        <v>211</v>
      </c>
      <c r="F1572" s="277">
        <v>6132.6</v>
      </c>
      <c r="G1572" s="277">
        <v>39.700000000000003</v>
      </c>
      <c r="H1572" s="277"/>
      <c r="I1572" s="278">
        <f t="shared" si="280"/>
        <v>6092.9000000000005</v>
      </c>
      <c r="J1572" s="279" t="s">
        <v>205</v>
      </c>
      <c r="K1572" s="279">
        <v>1</v>
      </c>
      <c r="L1572" s="279"/>
      <c r="M1572" s="279"/>
      <c r="N1572" s="279">
        <v>1</v>
      </c>
      <c r="O1572" s="279"/>
      <c r="P1572" s="279"/>
      <c r="Q1572" s="279">
        <v>1</v>
      </c>
      <c r="R1572" s="279">
        <v>1</v>
      </c>
      <c r="S1572" s="280">
        <v>1</v>
      </c>
      <c r="T1572" s="63"/>
      <c r="U1572" s="94"/>
      <c r="V1572" s="90"/>
      <c r="W1572" s="136"/>
      <c r="X1572" s="137"/>
    </row>
    <row r="1573" spans="2:24">
      <c r="B1573" s="87">
        <f t="shared" si="281"/>
        <v>11</v>
      </c>
      <c r="C1573" s="295">
        <v>45960</v>
      </c>
      <c r="D1573" s="10">
        <v>74904</v>
      </c>
      <c r="E1573" s="101" t="s">
        <v>761</v>
      </c>
      <c r="F1573" s="62">
        <v>8619</v>
      </c>
      <c r="G1573" s="62">
        <v>39.700000000000003</v>
      </c>
      <c r="H1573" s="62"/>
      <c r="I1573" s="89">
        <f t="shared" si="280"/>
        <v>8579.2999999999993</v>
      </c>
      <c r="J1573" s="63" t="s">
        <v>205</v>
      </c>
      <c r="K1573" s="63">
        <v>1</v>
      </c>
      <c r="L1573" s="63"/>
      <c r="M1573" s="63"/>
      <c r="N1573" s="63">
        <v>1</v>
      </c>
      <c r="O1573" s="63"/>
      <c r="P1573" s="63"/>
      <c r="Q1573" s="63">
        <v>1</v>
      </c>
      <c r="R1573" s="63">
        <v>1</v>
      </c>
      <c r="S1573" s="296"/>
      <c r="T1573" s="63"/>
      <c r="U1573" s="94"/>
      <c r="V1573" s="90"/>
      <c r="W1573" s="136"/>
      <c r="X1573" s="137"/>
    </row>
    <row r="1574" spans="2:24">
      <c r="B1574" s="87">
        <f t="shared" si="281"/>
        <v>12</v>
      </c>
      <c r="C1574" s="295">
        <v>45960</v>
      </c>
      <c r="D1574" s="10">
        <v>74735</v>
      </c>
      <c r="E1574" s="101" t="s">
        <v>761</v>
      </c>
      <c r="F1574" s="62">
        <v>2814</v>
      </c>
      <c r="G1574" s="62">
        <v>39.700000000000003</v>
      </c>
      <c r="H1574" s="62"/>
      <c r="I1574" s="89">
        <f t="shared" si="280"/>
        <v>2774.3</v>
      </c>
      <c r="J1574" s="63" t="s">
        <v>205</v>
      </c>
      <c r="K1574" s="63">
        <v>1</v>
      </c>
      <c r="L1574" s="63"/>
      <c r="M1574" s="63"/>
      <c r="N1574" s="63">
        <v>1</v>
      </c>
      <c r="O1574" s="63"/>
      <c r="P1574" s="63"/>
      <c r="Q1574" s="63">
        <v>1</v>
      </c>
      <c r="R1574" s="63">
        <v>1</v>
      </c>
      <c r="S1574" s="296">
        <v>1</v>
      </c>
      <c r="T1574" s="63"/>
      <c r="U1574" s="94"/>
      <c r="V1574" s="90"/>
      <c r="W1574" s="136"/>
      <c r="X1574" s="137"/>
    </row>
    <row r="1575" spans="2:24">
      <c r="B1575" s="87">
        <f t="shared" si="281"/>
        <v>13</v>
      </c>
      <c r="C1575" s="274">
        <v>45961</v>
      </c>
      <c r="D1575" s="276">
        <v>75036</v>
      </c>
      <c r="E1575" s="281" t="s">
        <v>1150</v>
      </c>
      <c r="F1575" s="277">
        <v>911.7</v>
      </c>
      <c r="G1575" s="277">
        <v>39.700000000000003</v>
      </c>
      <c r="H1575" s="277"/>
      <c r="I1575" s="278">
        <f t="shared" si="280"/>
        <v>872</v>
      </c>
      <c r="J1575" s="279" t="s">
        <v>205</v>
      </c>
      <c r="K1575" s="279">
        <v>1</v>
      </c>
      <c r="L1575" s="279"/>
      <c r="M1575" s="279"/>
      <c r="N1575" s="279">
        <v>1</v>
      </c>
      <c r="O1575" s="279"/>
      <c r="P1575" s="279"/>
      <c r="Q1575" s="279">
        <v>1</v>
      </c>
      <c r="R1575" s="279">
        <v>1</v>
      </c>
      <c r="S1575" s="280">
        <v>1</v>
      </c>
      <c r="T1575" s="63"/>
      <c r="U1575" s="94"/>
      <c r="V1575" s="90"/>
      <c r="W1575" s="136"/>
      <c r="X1575" s="137"/>
    </row>
    <row r="1576" spans="2:24">
      <c r="B1576" s="87">
        <f t="shared" si="281"/>
        <v>14</v>
      </c>
      <c r="C1576" s="282">
        <v>45961</v>
      </c>
      <c r="D1576" s="283" t="s">
        <v>2723</v>
      </c>
      <c r="E1576" s="283" t="s">
        <v>1008</v>
      </c>
      <c r="F1576" s="284">
        <v>5133</v>
      </c>
      <c r="G1576" s="284">
        <f>39.7</f>
        <v>39.700000000000003</v>
      </c>
      <c r="H1576" s="284"/>
      <c r="I1576" s="285">
        <f t="shared" si="280"/>
        <v>5093.3</v>
      </c>
      <c r="J1576" s="286" t="s">
        <v>205</v>
      </c>
      <c r="K1576" s="286">
        <v>1</v>
      </c>
      <c r="L1576" s="286"/>
      <c r="M1576" s="286"/>
      <c r="N1576" s="286">
        <v>1</v>
      </c>
      <c r="O1576" s="286"/>
      <c r="P1576" s="286"/>
      <c r="Q1576" s="286"/>
      <c r="R1576" s="286"/>
      <c r="S1576" s="287"/>
      <c r="T1576" s="63"/>
      <c r="U1576" s="94"/>
      <c r="V1576" s="90"/>
      <c r="W1576" s="136"/>
      <c r="X1576" s="137"/>
    </row>
    <row r="1577" spans="2:24">
      <c r="B1577" s="11"/>
      <c r="C1577" s="36"/>
      <c r="D1577" s="10"/>
      <c r="E1577" s="10"/>
      <c r="F1577" s="97">
        <f>SUM(F1563:F1576)</f>
        <v>82804.599999999991</v>
      </c>
      <c r="G1577" s="97">
        <f>SUM(G1563:G1576)</f>
        <v>555.79999999999995</v>
      </c>
      <c r="H1577" s="97">
        <f>SUM(H1563:H1576)</f>
        <v>0</v>
      </c>
      <c r="I1577" s="98">
        <f>SUM(I1563:I1576)</f>
        <v>82248.800000000017</v>
      </c>
      <c r="J1577" s="10"/>
      <c r="K1577" s="10"/>
      <c r="L1577" s="10"/>
      <c r="M1577" s="10"/>
      <c r="N1577" s="10"/>
      <c r="O1577" s="10"/>
      <c r="P1577" s="10"/>
      <c r="Q1577" s="10"/>
      <c r="R1577" s="10"/>
      <c r="S1577" s="10"/>
      <c r="T1577" s="63"/>
      <c r="U1577" s="94"/>
      <c r="V1577" s="90"/>
      <c r="W1577" s="91"/>
      <c r="X1577" s="92"/>
    </row>
    <row r="1578" spans="2:24">
      <c r="B1578" s="26"/>
      <c r="C1578" s="612"/>
      <c r="D1578" s="141"/>
      <c r="E1578" s="141"/>
      <c r="F1578" s="141"/>
      <c r="G1578" s="141"/>
      <c r="H1578" s="141"/>
      <c r="I1578" s="141"/>
      <c r="J1578" s="141"/>
      <c r="K1578" s="142"/>
      <c r="L1578" s="142"/>
      <c r="M1578" s="142"/>
      <c r="N1578" s="142"/>
      <c r="O1578" s="142"/>
      <c r="P1578" s="142"/>
      <c r="Q1578" s="142"/>
      <c r="R1578" s="142"/>
      <c r="S1578" s="142"/>
      <c r="T1578" s="143">
        <f>SUM(T1510:T1577)</f>
        <v>7</v>
      </c>
      <c r="U1578" s="168"/>
      <c r="V1578" s="144">
        <f>SUM(V1510:V1577)</f>
        <v>58501.709999999992</v>
      </c>
      <c r="W1578" s="145">
        <f>SUM(W1510:W1577)</f>
        <v>2140.4</v>
      </c>
      <c r="X1578" s="146">
        <f>SUM(X1510:X1577)</f>
        <v>0</v>
      </c>
    </row>
    <row r="1579" spans="2:24">
      <c r="B1579" s="2"/>
      <c r="C1579" s="2"/>
      <c r="D1579" s="2"/>
      <c r="E1579" s="2"/>
      <c r="F1579" s="2"/>
      <c r="G1579" s="2"/>
      <c r="H1579" s="2"/>
      <c r="I1579" s="2"/>
      <c r="J1579" s="2"/>
      <c r="K1579" s="2"/>
      <c r="L1579" s="2"/>
      <c r="M1579" s="2"/>
      <c r="N1579" s="2"/>
      <c r="O1579" s="2"/>
      <c r="P1579" s="2"/>
      <c r="Q1579" s="2"/>
      <c r="R1579" s="2"/>
      <c r="S1579" s="2"/>
      <c r="T1579" s="2"/>
      <c r="U1579" s="2"/>
      <c r="V1579" s="2"/>
      <c r="W1579" s="2"/>
      <c r="X1579" s="2"/>
    </row>
    <row r="1581" spans="2:24">
      <c r="B1581" s="4" t="s">
        <v>1</v>
      </c>
      <c r="C1581" s="5"/>
      <c r="D1581" s="83"/>
      <c r="E1581" s="6"/>
      <c r="F1581" s="7" t="s">
        <v>2</v>
      </c>
      <c r="G1581" s="608">
        <v>45970</v>
      </c>
      <c r="H1581" s="7"/>
      <c r="I1581" s="6"/>
      <c r="J1581" s="6"/>
      <c r="K1581" s="6"/>
      <c r="L1581" s="6"/>
      <c r="M1581" s="6"/>
      <c r="N1581" s="6"/>
      <c r="O1581" s="6"/>
      <c r="P1581" s="6"/>
      <c r="Q1581" s="6"/>
      <c r="R1581" s="6"/>
      <c r="S1581" s="6"/>
      <c r="T1581" s="6"/>
      <c r="U1581" s="149"/>
      <c r="V1581" s="77"/>
      <c r="W1581" s="77"/>
      <c r="X1581" s="77"/>
    </row>
    <row r="1582" spans="2:24">
      <c r="B1582" s="11"/>
      <c r="C1582" s="10"/>
      <c r="D1582" s="63"/>
      <c r="E1582" s="10"/>
      <c r="F1582" s="10"/>
      <c r="G1582" s="7"/>
      <c r="H1582" s="12"/>
      <c r="I1582" s="10"/>
      <c r="J1582" s="10"/>
      <c r="K1582" s="13" t="s">
        <v>3</v>
      </c>
      <c r="L1582" s="14"/>
      <c r="M1582" s="15"/>
      <c r="N1582" s="13" t="s">
        <v>4</v>
      </c>
      <c r="O1582" s="14"/>
      <c r="P1582" s="15"/>
      <c r="Q1582" s="13" t="s">
        <v>5</v>
      </c>
      <c r="R1582" s="14"/>
      <c r="S1582" s="15"/>
      <c r="T1582" s="16"/>
      <c r="U1582" s="151"/>
      <c r="V1582" s="77"/>
      <c r="W1582" s="77"/>
      <c r="X1582" s="77"/>
    </row>
    <row r="1583" spans="2:24">
      <c r="B1583" s="18" t="s">
        <v>6</v>
      </c>
      <c r="C1583" s="19">
        <f>C1584+C1585</f>
        <v>6</v>
      </c>
      <c r="D1583" s="63"/>
      <c r="E1583" s="18" t="s">
        <v>7</v>
      </c>
      <c r="F1583" s="6"/>
      <c r="G1583" s="9"/>
      <c r="H1583" s="10"/>
      <c r="I1583" s="10"/>
      <c r="J1583" s="10"/>
      <c r="K1583" s="20" t="s">
        <v>8</v>
      </c>
      <c r="L1583" s="21" t="s">
        <v>9</v>
      </c>
      <c r="M1583" s="21" t="s">
        <v>10</v>
      </c>
      <c r="N1583" s="20" t="s">
        <v>11</v>
      </c>
      <c r="O1583" s="21" t="s">
        <v>12</v>
      </c>
      <c r="P1583" s="22" t="s">
        <v>13</v>
      </c>
      <c r="Q1583" s="21" t="s">
        <v>11</v>
      </c>
      <c r="R1583" s="21" t="s">
        <v>12</v>
      </c>
      <c r="S1583" s="22" t="s">
        <v>13</v>
      </c>
      <c r="T1583" s="23" t="s">
        <v>14</v>
      </c>
      <c r="U1583" s="151"/>
      <c r="V1583" s="77"/>
      <c r="W1583" s="77"/>
      <c r="X1583" s="77"/>
    </row>
    <row r="1584" spans="2:24">
      <c r="B1584" s="24" t="s">
        <v>15</v>
      </c>
      <c r="C1584" s="25">
        <f>P1591</f>
        <v>3</v>
      </c>
      <c r="D1584" s="63"/>
      <c r="E1584" s="11" t="s">
        <v>16</v>
      </c>
      <c r="F1584" s="10" t="s">
        <v>78</v>
      </c>
      <c r="G1584" s="153">
        <v>0.05</v>
      </c>
      <c r="H1584" s="10"/>
      <c r="I1584" s="10"/>
      <c r="J1584" s="18" t="s">
        <v>17</v>
      </c>
      <c r="K1584" s="29">
        <f>K1626</f>
        <v>2</v>
      </c>
      <c r="L1584" s="29">
        <f t="shared" ref="L1584:S1584" si="282">L1626</f>
        <v>2</v>
      </c>
      <c r="M1584" s="29">
        <f t="shared" si="282"/>
        <v>2</v>
      </c>
      <c r="N1584" s="29">
        <f t="shared" si="282"/>
        <v>2</v>
      </c>
      <c r="O1584" s="29">
        <f t="shared" si="282"/>
        <v>2</v>
      </c>
      <c r="P1584" s="29">
        <f t="shared" si="282"/>
        <v>2</v>
      </c>
      <c r="Q1584" s="29">
        <f t="shared" si="282"/>
        <v>2</v>
      </c>
      <c r="R1584" s="29">
        <f t="shared" si="282"/>
        <v>2</v>
      </c>
      <c r="S1584" s="29">
        <f t="shared" si="282"/>
        <v>2</v>
      </c>
      <c r="T1584" s="30">
        <f>T1723</f>
        <v>0</v>
      </c>
      <c r="U1584" s="151"/>
      <c r="V1584" s="77"/>
      <c r="W1584" s="77"/>
      <c r="X1584" s="77"/>
    </row>
    <row r="1585" spans="2:24">
      <c r="B1585" s="24" t="s">
        <v>18</v>
      </c>
      <c r="C1585" s="25">
        <f>P1592</f>
        <v>3</v>
      </c>
      <c r="D1585" s="63"/>
      <c r="E1585" s="26" t="s">
        <v>80</v>
      </c>
      <c r="F1585" s="141" t="s">
        <v>81</v>
      </c>
      <c r="G1585" s="154">
        <v>0.1</v>
      </c>
      <c r="H1585" s="10"/>
      <c r="I1585" s="10"/>
      <c r="J1585" s="32" t="s">
        <v>19</v>
      </c>
      <c r="K1585" s="33">
        <f>K1626/K1625</f>
        <v>1</v>
      </c>
      <c r="L1585" s="33">
        <f t="shared" ref="L1585:S1585" si="283">L1626/L1625</f>
        <v>1</v>
      </c>
      <c r="M1585" s="33">
        <f t="shared" si="283"/>
        <v>1</v>
      </c>
      <c r="N1585" s="33">
        <f t="shared" si="283"/>
        <v>1</v>
      </c>
      <c r="O1585" s="33">
        <f t="shared" si="283"/>
        <v>1</v>
      </c>
      <c r="P1585" s="33">
        <f t="shared" si="283"/>
        <v>1</v>
      </c>
      <c r="Q1585" s="33">
        <f t="shared" si="283"/>
        <v>1</v>
      </c>
      <c r="R1585" s="33">
        <f t="shared" si="283"/>
        <v>1</v>
      </c>
      <c r="S1585" s="33">
        <f t="shared" si="283"/>
        <v>1</v>
      </c>
      <c r="T1585" s="23"/>
      <c r="U1585" s="151" t="s">
        <v>20</v>
      </c>
      <c r="V1585" s="77"/>
      <c r="W1585" s="77"/>
      <c r="X1585" s="77"/>
    </row>
    <row r="1586" spans="2:24">
      <c r="B1586" s="24" t="s">
        <v>21</v>
      </c>
      <c r="C1586" s="34">
        <f>P1593</f>
        <v>0.5</v>
      </c>
      <c r="D1586" s="63"/>
      <c r="E1586" s="10"/>
      <c r="F1586" s="10"/>
      <c r="G1586" s="10"/>
      <c r="H1586" s="10"/>
      <c r="I1586" s="10"/>
      <c r="J1586" s="10"/>
      <c r="K1586" s="10"/>
      <c r="L1586" s="10"/>
      <c r="M1586" s="10"/>
      <c r="N1586" s="10"/>
      <c r="O1586" s="10"/>
      <c r="P1586" s="10"/>
      <c r="Q1586" s="10"/>
      <c r="R1586" s="10"/>
      <c r="S1586" s="10"/>
      <c r="T1586" s="10"/>
      <c r="U1586" s="151"/>
      <c r="V1586" s="77"/>
      <c r="W1586" s="77"/>
      <c r="X1586" s="77"/>
    </row>
    <row r="1587" spans="2:24">
      <c r="B1587" s="24"/>
      <c r="C1587" s="25"/>
      <c r="D1587" s="63"/>
      <c r="E1587" s="10"/>
      <c r="F1587" s="18" t="s">
        <v>22</v>
      </c>
      <c r="G1587" s="19" t="s">
        <v>23</v>
      </c>
      <c r="H1587" s="35" t="s">
        <v>24</v>
      </c>
      <c r="I1587" s="10"/>
      <c r="J1587" s="10"/>
      <c r="K1587" s="36"/>
      <c r="L1587" s="36"/>
      <c r="M1587" s="36"/>
      <c r="N1587" s="36"/>
      <c r="O1587" s="36"/>
      <c r="P1587" s="36"/>
      <c r="Q1587" s="36"/>
      <c r="R1587" s="10"/>
      <c r="S1587" s="10"/>
      <c r="T1587" s="10"/>
      <c r="U1587" s="151"/>
      <c r="V1587" s="77"/>
      <c r="W1587" s="77"/>
      <c r="X1587" s="77"/>
    </row>
    <row r="1588" spans="2:24">
      <c r="B1588" s="32" t="s">
        <v>25</v>
      </c>
      <c r="C1588" s="37">
        <f>P1594</f>
        <v>4275.93</v>
      </c>
      <c r="D1588" s="63"/>
      <c r="E1588" s="18" t="s">
        <v>26</v>
      </c>
      <c r="F1588" s="38">
        <f>P1590</f>
        <v>12827.79</v>
      </c>
      <c r="G1588" s="39">
        <f>I1625+I1659+I1681</f>
        <v>12827.79</v>
      </c>
      <c r="H1588" s="40"/>
      <c r="I1588" s="41"/>
      <c r="J1588" s="42"/>
      <c r="K1588" s="43" t="s">
        <v>27</v>
      </c>
      <c r="L1588" s="44"/>
      <c r="M1588" s="44"/>
      <c r="N1588" s="44"/>
      <c r="O1588" s="44"/>
      <c r="P1588" s="44"/>
      <c r="Q1588" s="45"/>
      <c r="R1588" s="46" t="s">
        <v>28</v>
      </c>
      <c r="S1588" s="47" t="s">
        <v>29</v>
      </c>
      <c r="T1588" s="10"/>
      <c r="U1588" s="151"/>
      <c r="V1588" s="77"/>
      <c r="W1588" s="77"/>
      <c r="X1588" s="77"/>
    </row>
    <row r="1589" spans="2:24">
      <c r="B1589" s="11"/>
      <c r="C1589" s="10"/>
      <c r="D1589" s="63"/>
      <c r="E1589" s="24" t="s">
        <v>30</v>
      </c>
      <c r="F1589" s="48">
        <f>IF(F1588&gt;=25000,10%,5%)</f>
        <v>0.05</v>
      </c>
      <c r="G1589" s="17"/>
      <c r="H1589" s="40"/>
      <c r="I1589" s="41"/>
      <c r="J1589" s="42"/>
      <c r="K1589" s="20" t="s">
        <v>31</v>
      </c>
      <c r="L1589" s="21" t="s">
        <v>32</v>
      </c>
      <c r="M1589" s="21" t="s">
        <v>33</v>
      </c>
      <c r="N1589" s="21" t="s">
        <v>34</v>
      </c>
      <c r="O1589" s="21" t="s">
        <v>35</v>
      </c>
      <c r="P1589" s="21" t="s">
        <v>36</v>
      </c>
      <c r="Q1589" s="49" t="s">
        <v>37</v>
      </c>
      <c r="R1589" s="50" t="s">
        <v>38</v>
      </c>
      <c r="S1589" s="50" t="s">
        <v>38</v>
      </c>
      <c r="T1589" s="10"/>
      <c r="U1589" s="151"/>
      <c r="V1589" s="77"/>
      <c r="W1589" s="77"/>
      <c r="X1589" s="77"/>
    </row>
    <row r="1590" spans="2:24">
      <c r="B1590" s="11"/>
      <c r="C1590" s="10"/>
      <c r="D1590" s="63"/>
      <c r="E1590" s="51" t="s">
        <v>39</v>
      </c>
      <c r="F1590" s="52">
        <f>F1588*F1589</f>
        <v>641.38950000000011</v>
      </c>
      <c r="G1590" s="53" t="s">
        <v>40</v>
      </c>
      <c r="H1590" s="54">
        <f>F1590/1.12</f>
        <v>572.66919642857147</v>
      </c>
      <c r="I1590" s="55"/>
      <c r="J1590" s="42"/>
      <c r="K1590" s="56">
        <f>I1609+I1610+I1673</f>
        <v>12827.79</v>
      </c>
      <c r="L1590" s="57"/>
      <c r="M1590" s="57"/>
      <c r="N1590" s="57"/>
      <c r="O1590" s="57"/>
      <c r="P1590" s="57">
        <f>SUM(K1590:O1590)</f>
        <v>12827.79</v>
      </c>
      <c r="Q1590" s="58">
        <v>0</v>
      </c>
      <c r="R1590" s="59">
        <f>I1659+I1681</f>
        <v>4710.5</v>
      </c>
      <c r="S1590" s="59">
        <f>+I1670+I1692</f>
        <v>0</v>
      </c>
      <c r="T1590" s="10"/>
      <c r="U1590" s="151"/>
      <c r="V1590" s="77"/>
      <c r="W1590" s="77"/>
      <c r="X1590" s="77"/>
    </row>
    <row r="1591" spans="2:24">
      <c r="B1591" s="11"/>
      <c r="C1591" s="10"/>
      <c r="D1591" s="63"/>
      <c r="E1591" s="24" t="s">
        <v>41</v>
      </c>
      <c r="F1591" s="60">
        <f>Q1590</f>
        <v>0</v>
      </c>
      <c r="G1591" s="61" t="s">
        <v>40</v>
      </c>
      <c r="H1591" s="62"/>
      <c r="I1591" s="62"/>
      <c r="J1591" s="10" t="s">
        <v>42</v>
      </c>
      <c r="K1591" s="63">
        <v>3</v>
      </c>
      <c r="L1591" s="63"/>
      <c r="M1591" s="63"/>
      <c r="N1591" s="63"/>
      <c r="O1591" s="63"/>
      <c r="P1591" s="21">
        <f>SUM(K1591:O1591)</f>
        <v>3</v>
      </c>
      <c r="Q1591" s="64"/>
      <c r="R1591" s="63"/>
      <c r="S1591" s="10"/>
      <c r="T1591" s="10"/>
      <c r="U1591" s="151"/>
      <c r="V1591" s="77"/>
      <c r="W1591" s="77"/>
      <c r="X1591" s="77"/>
    </row>
    <row r="1592" spans="2:24">
      <c r="B1592" s="11"/>
      <c r="C1592" s="10"/>
      <c r="D1592" s="63"/>
      <c r="E1592" s="51" t="s">
        <v>43</v>
      </c>
      <c r="F1592" s="52">
        <f>F1591*0.25</f>
        <v>0</v>
      </c>
      <c r="G1592" s="53" t="s">
        <v>40</v>
      </c>
      <c r="H1592" s="54">
        <f>F1592/1.12</f>
        <v>0</v>
      </c>
      <c r="I1592" s="10"/>
      <c r="J1592" s="10" t="s">
        <v>44</v>
      </c>
      <c r="K1592" s="63">
        <v>3</v>
      </c>
      <c r="L1592" s="63"/>
      <c r="M1592" s="63"/>
      <c r="N1592" s="63"/>
      <c r="O1592" s="63"/>
      <c r="P1592" s="21">
        <f>SUM(K1592:O1592)</f>
        <v>3</v>
      </c>
      <c r="Q1592" s="64"/>
      <c r="R1592" s="63"/>
      <c r="S1592" s="10"/>
      <c r="T1592" s="10"/>
      <c r="U1592" s="151"/>
      <c r="V1592" s="77"/>
      <c r="W1592" s="77"/>
      <c r="X1592" s="77"/>
    </row>
    <row r="1593" spans="2:24">
      <c r="B1593" s="11"/>
      <c r="C1593" s="10"/>
      <c r="D1593" s="63"/>
      <c r="E1593" s="24" t="s">
        <v>45</v>
      </c>
      <c r="F1593" s="60">
        <v>0</v>
      </c>
      <c r="G1593" s="61" t="s">
        <v>40</v>
      </c>
      <c r="H1593" s="62"/>
      <c r="I1593" s="10"/>
      <c r="J1593" s="10" t="s">
        <v>46</v>
      </c>
      <c r="K1593" s="31">
        <f t="shared" ref="K1593:Q1593" si="284">K1591/(K1591+K1592)</f>
        <v>0.5</v>
      </c>
      <c r="L1593" s="31" t="e">
        <f t="shared" si="284"/>
        <v>#DIV/0!</v>
      </c>
      <c r="M1593" s="31" t="e">
        <f t="shared" si="284"/>
        <v>#DIV/0!</v>
      </c>
      <c r="N1593" s="31" t="e">
        <f t="shared" si="284"/>
        <v>#DIV/0!</v>
      </c>
      <c r="O1593" s="31" t="e">
        <f t="shared" si="284"/>
        <v>#DIV/0!</v>
      </c>
      <c r="P1593" s="31">
        <f t="shared" si="284"/>
        <v>0.5</v>
      </c>
      <c r="Q1593" s="31" t="e">
        <f t="shared" si="284"/>
        <v>#DIV/0!</v>
      </c>
      <c r="R1593" s="63"/>
      <c r="S1593" s="10"/>
      <c r="T1593" s="10"/>
      <c r="U1593" s="151"/>
      <c r="V1593" s="77"/>
      <c r="W1593" s="77"/>
      <c r="X1593" s="77"/>
    </row>
    <row r="1594" spans="2:24">
      <c r="B1594" s="11"/>
      <c r="C1594" s="10"/>
      <c r="D1594" s="63"/>
      <c r="E1594" s="51" t="s">
        <v>47</v>
      </c>
      <c r="F1594" s="52">
        <f>F1593*0.05</f>
        <v>0</v>
      </c>
      <c r="G1594" s="65" t="s">
        <v>40</v>
      </c>
      <c r="H1594" s="54">
        <f>F1594/1.12</f>
        <v>0</v>
      </c>
      <c r="I1594" s="42"/>
      <c r="J1594" s="10" t="s">
        <v>48</v>
      </c>
      <c r="K1594" s="66">
        <f>K1590/K1591</f>
        <v>4275.93</v>
      </c>
      <c r="L1594" s="66" t="e">
        <f t="shared" ref="L1594:Q1594" si="285">L1590/L1591</f>
        <v>#DIV/0!</v>
      </c>
      <c r="M1594" s="66" t="e">
        <f t="shared" si="285"/>
        <v>#DIV/0!</v>
      </c>
      <c r="N1594" s="66" t="e">
        <f t="shared" si="285"/>
        <v>#DIV/0!</v>
      </c>
      <c r="O1594" s="66" t="e">
        <f t="shared" si="285"/>
        <v>#DIV/0!</v>
      </c>
      <c r="P1594" s="66">
        <f t="shared" si="285"/>
        <v>4275.93</v>
      </c>
      <c r="Q1594" s="66" t="e">
        <f t="shared" si="285"/>
        <v>#DIV/0!</v>
      </c>
      <c r="R1594" s="63"/>
      <c r="S1594" s="10"/>
      <c r="T1594" s="10"/>
      <c r="U1594" s="151"/>
      <c r="V1594" s="77"/>
      <c r="W1594" s="77"/>
      <c r="X1594" s="77"/>
    </row>
    <row r="1595" spans="2:24">
      <c r="B1595" s="132"/>
      <c r="C1595" s="123"/>
      <c r="D1595" s="127"/>
      <c r="E1595" s="155" t="s">
        <v>14</v>
      </c>
      <c r="F1595" s="156"/>
      <c r="G1595" s="123"/>
      <c r="H1595" s="54">
        <f>F1595/1.12</f>
        <v>0</v>
      </c>
      <c r="I1595" s="123"/>
      <c r="J1595" s="123"/>
      <c r="K1595" s="123"/>
      <c r="L1595" s="123"/>
      <c r="M1595" s="123"/>
      <c r="N1595" s="123"/>
      <c r="O1595" s="123"/>
      <c r="P1595" s="123"/>
      <c r="Q1595" s="123"/>
      <c r="R1595" s="123"/>
      <c r="S1595" s="123"/>
      <c r="T1595" s="123"/>
      <c r="U1595" s="157"/>
      <c r="V1595" s="123"/>
      <c r="W1595" s="123"/>
      <c r="X1595" s="123"/>
    </row>
    <row r="1596" spans="2:24">
      <c r="B1596" s="132"/>
      <c r="C1596" s="123"/>
      <c r="D1596" s="127"/>
      <c r="E1596" s="158" t="s">
        <v>49</v>
      </c>
      <c r="F1596" s="159">
        <f>T1585</f>
        <v>0</v>
      </c>
      <c r="G1596" s="123"/>
      <c r="H1596" s="54"/>
      <c r="I1596" s="123"/>
      <c r="J1596" s="42"/>
      <c r="K1596" s="764" t="s">
        <v>50</v>
      </c>
      <c r="L1596" s="765"/>
      <c r="M1596" s="765"/>
      <c r="N1596" s="765"/>
      <c r="O1596" s="765"/>
      <c r="P1596" s="765"/>
      <c r="Q1596" s="766"/>
      <c r="R1596" s="70" t="s">
        <v>28</v>
      </c>
      <c r="S1596" s="71" t="s">
        <v>29</v>
      </c>
      <c r="T1596" s="123"/>
      <c r="U1596" s="157"/>
      <c r="V1596" s="123"/>
      <c r="W1596" s="123"/>
      <c r="X1596" s="123"/>
    </row>
    <row r="1597" spans="2:24">
      <c r="B1597" s="132"/>
      <c r="C1597" s="123"/>
      <c r="D1597" s="127"/>
      <c r="E1597" s="72"/>
      <c r="F1597" s="73"/>
      <c r="G1597" s="123"/>
      <c r="H1597" s="54"/>
      <c r="I1597" s="123"/>
      <c r="J1597" s="42"/>
      <c r="K1597" s="20" t="s">
        <v>31</v>
      </c>
      <c r="L1597" s="21" t="s">
        <v>32</v>
      </c>
      <c r="M1597" s="21" t="s">
        <v>33</v>
      </c>
      <c r="N1597" s="21" t="s">
        <v>34</v>
      </c>
      <c r="O1597" s="21" t="s">
        <v>35</v>
      </c>
      <c r="P1597" s="21" t="s">
        <v>36</v>
      </c>
      <c r="Q1597" s="49" t="s">
        <v>37</v>
      </c>
      <c r="R1597" s="50" t="s">
        <v>38</v>
      </c>
      <c r="S1597" s="50" t="s">
        <v>38</v>
      </c>
      <c r="T1597" s="123"/>
      <c r="U1597" s="157"/>
      <c r="V1597" s="123"/>
      <c r="W1597" s="123"/>
      <c r="X1597" s="123"/>
    </row>
    <row r="1598" spans="2:24">
      <c r="B1598" s="132"/>
      <c r="C1598" s="123"/>
      <c r="D1598" s="127"/>
      <c r="E1598" s="72" t="s">
        <v>2707</v>
      </c>
      <c r="F1598" s="73">
        <v>-266.81</v>
      </c>
      <c r="G1598" s="123"/>
      <c r="H1598" s="54"/>
      <c r="I1598" s="123"/>
      <c r="J1598" s="42"/>
      <c r="K1598" s="56">
        <f>F1609+F1610+F1673</f>
        <v>14045.2</v>
      </c>
      <c r="L1598" s="57"/>
      <c r="M1598" s="57"/>
      <c r="N1598" s="57"/>
      <c r="O1598" s="57"/>
      <c r="P1598" s="57">
        <f>SUM(K1598:O1598)</f>
        <v>14045.2</v>
      </c>
      <c r="Q1598" s="58">
        <v>0</v>
      </c>
      <c r="R1598" s="59">
        <f>F1659+F1681</f>
        <v>4750.2</v>
      </c>
      <c r="S1598" s="59">
        <f>F1670+F1692</f>
        <v>0</v>
      </c>
      <c r="T1598" s="123"/>
      <c r="U1598" s="157"/>
      <c r="V1598" s="123"/>
      <c r="W1598" s="123"/>
      <c r="X1598" s="123"/>
    </row>
    <row r="1599" spans="2:24">
      <c r="B1599" s="132"/>
      <c r="C1599" s="123"/>
      <c r="D1599" s="127"/>
      <c r="E1599" s="72"/>
      <c r="F1599" s="73"/>
      <c r="G1599" s="123"/>
      <c r="H1599" s="54"/>
      <c r="I1599" s="123"/>
      <c r="J1599" s="10" t="s">
        <v>42</v>
      </c>
      <c r="K1599" s="63">
        <f t="shared" ref="K1599:Q1600" si="286">K1591</f>
        <v>3</v>
      </c>
      <c r="L1599" s="63">
        <f t="shared" si="286"/>
        <v>0</v>
      </c>
      <c r="M1599" s="63">
        <f t="shared" si="286"/>
        <v>0</v>
      </c>
      <c r="N1599" s="63">
        <f t="shared" si="286"/>
        <v>0</v>
      </c>
      <c r="O1599" s="63">
        <f t="shared" si="286"/>
        <v>0</v>
      </c>
      <c r="P1599" s="63">
        <f t="shared" si="286"/>
        <v>3</v>
      </c>
      <c r="Q1599" s="63">
        <f t="shared" si="286"/>
        <v>0</v>
      </c>
      <c r="R1599" s="63"/>
      <c r="S1599" s="10"/>
      <c r="T1599" s="123"/>
      <c r="U1599" s="157"/>
      <c r="V1599" s="123"/>
      <c r="W1599" s="123"/>
      <c r="X1599" s="123"/>
    </row>
    <row r="1600" spans="2:24">
      <c r="B1600" s="132"/>
      <c r="C1600" s="123"/>
      <c r="D1600" s="127"/>
      <c r="E1600" s="74"/>
      <c r="F1600" s="75"/>
      <c r="G1600" s="123"/>
      <c r="H1600" s="54"/>
      <c r="I1600" s="123"/>
      <c r="J1600" s="10" t="s">
        <v>44</v>
      </c>
      <c r="K1600" s="63">
        <f t="shared" si="286"/>
        <v>3</v>
      </c>
      <c r="L1600" s="63">
        <f t="shared" si="286"/>
        <v>0</v>
      </c>
      <c r="M1600" s="63">
        <f t="shared" si="286"/>
        <v>0</v>
      </c>
      <c r="N1600" s="63">
        <f t="shared" si="286"/>
        <v>0</v>
      </c>
      <c r="O1600" s="63">
        <f t="shared" si="286"/>
        <v>0</v>
      </c>
      <c r="P1600" s="63">
        <f t="shared" si="286"/>
        <v>3</v>
      </c>
      <c r="Q1600" s="63">
        <f t="shared" si="286"/>
        <v>0</v>
      </c>
      <c r="R1600" s="63"/>
      <c r="S1600" s="10"/>
      <c r="T1600" s="123"/>
      <c r="U1600" s="157"/>
      <c r="V1600" s="123"/>
      <c r="W1600" s="123"/>
      <c r="X1600" s="123"/>
    </row>
    <row r="1601" spans="2:24">
      <c r="B1601" s="132"/>
      <c r="C1601" s="123"/>
      <c r="D1601" s="127"/>
      <c r="E1601" s="12"/>
      <c r="F1601" s="160"/>
      <c r="G1601" s="123"/>
      <c r="H1601" s="54"/>
      <c r="I1601" s="123"/>
      <c r="J1601" s="10" t="s">
        <v>46</v>
      </c>
      <c r="K1601" s="31">
        <f t="shared" ref="K1601:Q1601" si="287">K1599/(K1599+K1600)</f>
        <v>0.5</v>
      </c>
      <c r="L1601" s="31" t="e">
        <f t="shared" si="287"/>
        <v>#DIV/0!</v>
      </c>
      <c r="M1601" s="31" t="e">
        <f t="shared" si="287"/>
        <v>#DIV/0!</v>
      </c>
      <c r="N1601" s="31" t="e">
        <f t="shared" si="287"/>
        <v>#DIV/0!</v>
      </c>
      <c r="O1601" s="31" t="e">
        <f t="shared" si="287"/>
        <v>#DIV/0!</v>
      </c>
      <c r="P1601" s="31">
        <f t="shared" si="287"/>
        <v>0.5</v>
      </c>
      <c r="Q1601" s="31" t="e">
        <f t="shared" si="287"/>
        <v>#DIV/0!</v>
      </c>
      <c r="R1601" s="63"/>
      <c r="S1601" s="10"/>
      <c r="T1601" s="123"/>
      <c r="U1601" s="157"/>
      <c r="V1601" s="123"/>
      <c r="W1601" s="123"/>
      <c r="X1601" s="123"/>
    </row>
    <row r="1602" spans="2:24">
      <c r="B1602" s="132"/>
      <c r="C1602" s="123"/>
      <c r="D1602" s="127"/>
      <c r="E1602" s="12"/>
      <c r="F1602" s="160"/>
      <c r="G1602" s="123"/>
      <c r="H1602" s="54"/>
      <c r="I1602" s="123"/>
      <c r="J1602" s="10" t="s">
        <v>48</v>
      </c>
      <c r="K1602" s="66">
        <f t="shared" ref="K1602:Q1602" si="288">K1598/K1599</f>
        <v>4681.7333333333336</v>
      </c>
      <c r="L1602" s="66" t="e">
        <f t="shared" si="288"/>
        <v>#DIV/0!</v>
      </c>
      <c r="M1602" s="66" t="e">
        <f t="shared" si="288"/>
        <v>#DIV/0!</v>
      </c>
      <c r="N1602" s="66" t="e">
        <f t="shared" si="288"/>
        <v>#DIV/0!</v>
      </c>
      <c r="O1602" s="66" t="e">
        <f t="shared" si="288"/>
        <v>#DIV/0!</v>
      </c>
      <c r="P1602" s="66">
        <f t="shared" si="288"/>
        <v>4681.7333333333336</v>
      </c>
      <c r="Q1602" s="66" t="e">
        <f t="shared" si="288"/>
        <v>#DIV/0!</v>
      </c>
      <c r="R1602" s="63"/>
      <c r="S1602" s="10"/>
      <c r="T1602" s="123"/>
      <c r="U1602" s="157"/>
      <c r="V1602" s="123"/>
      <c r="W1602" s="123"/>
      <c r="X1602" s="123"/>
    </row>
    <row r="1603" spans="2:24">
      <c r="B1603" s="132"/>
      <c r="C1603" s="123"/>
      <c r="D1603" s="127"/>
      <c r="E1603" s="12"/>
      <c r="F1603" s="160"/>
      <c r="G1603" s="123"/>
      <c r="H1603" s="54"/>
      <c r="I1603" s="123"/>
      <c r="J1603" s="123"/>
      <c r="K1603" s="123"/>
      <c r="L1603" s="123"/>
      <c r="M1603" s="123"/>
      <c r="N1603" s="123"/>
      <c r="O1603" s="123"/>
      <c r="P1603" s="123"/>
      <c r="Q1603" s="123"/>
      <c r="R1603" s="123"/>
      <c r="S1603" s="123"/>
      <c r="T1603" s="123"/>
      <c r="U1603" s="157"/>
      <c r="V1603" s="123"/>
      <c r="W1603" s="123"/>
      <c r="X1603" s="123"/>
    </row>
    <row r="1604" spans="2:24">
      <c r="B1604" s="11"/>
      <c r="C1604" s="10"/>
      <c r="D1604" s="63"/>
      <c r="E1604" s="12"/>
      <c r="F1604" s="12"/>
      <c r="G1604" s="10"/>
      <c r="H1604" s="10"/>
      <c r="I1604" s="10"/>
      <c r="J1604" s="10"/>
      <c r="K1604" s="10"/>
      <c r="L1604" s="10"/>
      <c r="M1604" s="10"/>
      <c r="N1604" s="10"/>
      <c r="O1604" s="10"/>
      <c r="P1604" s="10"/>
      <c r="Q1604" s="10"/>
      <c r="R1604" s="10"/>
      <c r="S1604" s="10"/>
      <c r="T1604" s="10"/>
      <c r="U1604" s="151"/>
      <c r="V1604" s="77"/>
      <c r="W1604" s="77"/>
      <c r="X1604" s="77"/>
    </row>
    <row r="1605" spans="2:24">
      <c r="B1605" s="11"/>
      <c r="C1605" s="10"/>
      <c r="D1605" s="63"/>
      <c r="E1605" s="10"/>
      <c r="F1605" s="10"/>
      <c r="G1605" s="10"/>
      <c r="H1605" s="10"/>
      <c r="I1605" s="10"/>
      <c r="J1605" s="10"/>
      <c r="K1605" s="10"/>
      <c r="L1605" s="10"/>
      <c r="M1605" s="10"/>
      <c r="N1605" s="10"/>
      <c r="O1605" s="10"/>
      <c r="P1605" s="10"/>
      <c r="Q1605" s="10"/>
      <c r="R1605" s="10"/>
      <c r="S1605" s="10"/>
      <c r="T1605" s="10"/>
      <c r="U1605" s="151"/>
      <c r="V1605" s="77"/>
      <c r="W1605" s="77"/>
      <c r="X1605" s="77"/>
    </row>
    <row r="1606" spans="2:24">
      <c r="B1606" s="18" t="s">
        <v>51</v>
      </c>
      <c r="C1606" s="14"/>
      <c r="D1606" s="14"/>
      <c r="E1606" s="14"/>
      <c r="F1606" s="13" t="s">
        <v>52</v>
      </c>
      <c r="G1606" s="14"/>
      <c r="H1606" s="14"/>
      <c r="I1606" s="14"/>
      <c r="J1606" s="14"/>
      <c r="K1606" s="13" t="s">
        <v>3</v>
      </c>
      <c r="L1606" s="14"/>
      <c r="M1606" s="14"/>
      <c r="N1606" s="13" t="s">
        <v>4</v>
      </c>
      <c r="O1606" s="14"/>
      <c r="P1606" s="14"/>
      <c r="Q1606" s="13" t="s">
        <v>5</v>
      </c>
      <c r="R1606" s="14"/>
      <c r="S1606" s="14"/>
      <c r="T1606" s="18"/>
      <c r="U1606" s="161" t="s">
        <v>53</v>
      </c>
      <c r="V1606" s="77"/>
      <c r="W1606" s="77"/>
      <c r="X1606" s="77"/>
    </row>
    <row r="1607" spans="2:24">
      <c r="B1607" s="24" t="s">
        <v>54</v>
      </c>
      <c r="C1607" s="21" t="s">
        <v>55</v>
      </c>
      <c r="D1607" s="21" t="s">
        <v>56</v>
      </c>
      <c r="E1607" s="21" t="s">
        <v>57</v>
      </c>
      <c r="F1607" s="20" t="s">
        <v>58</v>
      </c>
      <c r="G1607" s="21" t="s">
        <v>59</v>
      </c>
      <c r="H1607" s="21" t="s">
        <v>60</v>
      </c>
      <c r="I1607" s="21" t="s">
        <v>26</v>
      </c>
      <c r="J1607" s="22" t="s">
        <v>61</v>
      </c>
      <c r="K1607" s="21" t="s">
        <v>8</v>
      </c>
      <c r="L1607" s="21" t="s">
        <v>9</v>
      </c>
      <c r="M1607" s="21" t="s">
        <v>10</v>
      </c>
      <c r="N1607" s="20" t="s">
        <v>11</v>
      </c>
      <c r="O1607" s="21" t="s">
        <v>12</v>
      </c>
      <c r="P1607" s="22" t="s">
        <v>13</v>
      </c>
      <c r="Q1607" s="21" t="s">
        <v>11</v>
      </c>
      <c r="R1607" s="21" t="s">
        <v>12</v>
      </c>
      <c r="S1607" s="21" t="s">
        <v>13</v>
      </c>
      <c r="T1607" s="78" t="s">
        <v>14</v>
      </c>
      <c r="U1607" s="162"/>
      <c r="V1607" s="79" t="s">
        <v>62</v>
      </c>
      <c r="W1607" s="80" t="s">
        <v>63</v>
      </c>
      <c r="X1607" s="81" t="s">
        <v>64</v>
      </c>
    </row>
    <row r="1608" spans="2:24">
      <c r="B1608" s="4" t="s">
        <v>65</v>
      </c>
      <c r="C1608" s="6"/>
      <c r="D1608" s="6"/>
      <c r="E1608" s="6"/>
      <c r="F1608" s="6"/>
      <c r="G1608" s="6"/>
      <c r="H1608" s="6"/>
      <c r="I1608" s="82"/>
      <c r="J1608" s="6"/>
      <c r="K1608" s="6"/>
      <c r="L1608" s="6"/>
      <c r="M1608" s="6"/>
      <c r="N1608" s="6"/>
      <c r="O1608" s="6"/>
      <c r="P1608" s="6"/>
      <c r="Q1608" s="6"/>
      <c r="R1608" s="6"/>
      <c r="S1608" s="6"/>
      <c r="T1608" s="83"/>
      <c r="U1608" s="163"/>
      <c r="V1608" s="84"/>
      <c r="W1608" s="85"/>
      <c r="X1608" s="86"/>
    </row>
    <row r="1609" spans="2:24">
      <c r="B1609" s="87">
        <v>1</v>
      </c>
      <c r="C1609" s="274">
        <v>45964</v>
      </c>
      <c r="D1609" s="276">
        <v>75072</v>
      </c>
      <c r="E1609" s="281" t="s">
        <v>1085</v>
      </c>
      <c r="F1609" s="277">
        <v>8614</v>
      </c>
      <c r="G1609" s="277">
        <f>39.7+(1138.01)</f>
        <v>1177.71</v>
      </c>
      <c r="H1609" s="277"/>
      <c r="I1609" s="278">
        <f>F1609-G1609-H1609</f>
        <v>7436.29</v>
      </c>
      <c r="J1609" s="279" t="s">
        <v>156</v>
      </c>
      <c r="K1609" s="279">
        <v>1</v>
      </c>
      <c r="L1609" s="279">
        <v>1</v>
      </c>
      <c r="M1609" s="279">
        <v>1</v>
      </c>
      <c r="N1609" s="279">
        <v>1</v>
      </c>
      <c r="O1609" s="279">
        <v>1</v>
      </c>
      <c r="P1609" s="279">
        <v>1</v>
      </c>
      <c r="Q1609" s="279">
        <v>1</v>
      </c>
      <c r="R1609" s="279">
        <v>1</v>
      </c>
      <c r="S1609" s="280">
        <v>1</v>
      </c>
      <c r="T1609" s="63"/>
      <c r="U1609" s="94" t="s">
        <v>2724</v>
      </c>
      <c r="V1609" s="90">
        <f>947+8528.4</f>
        <v>9475.4</v>
      </c>
      <c r="W1609" s="91"/>
      <c r="X1609" s="92"/>
    </row>
    <row r="1610" spans="2:24">
      <c r="B1610" s="87">
        <f t="shared" ref="B1610:B1624" si="289">B1609+1</f>
        <v>2</v>
      </c>
      <c r="C1610" s="282">
        <v>45964</v>
      </c>
      <c r="D1610" s="283">
        <v>75043</v>
      </c>
      <c r="E1610" s="283" t="s">
        <v>761</v>
      </c>
      <c r="F1610" s="284">
        <v>681</v>
      </c>
      <c r="G1610" s="284"/>
      <c r="H1610" s="284"/>
      <c r="I1610" s="285">
        <f t="shared" ref="I1610:I1624" si="290">F1610-G1610-H1610</f>
        <v>681</v>
      </c>
      <c r="J1610" s="286" t="s">
        <v>156</v>
      </c>
      <c r="K1610" s="286">
        <v>1</v>
      </c>
      <c r="L1610" s="286">
        <v>1</v>
      </c>
      <c r="M1610" s="286">
        <v>1</v>
      </c>
      <c r="N1610" s="286">
        <v>1</v>
      </c>
      <c r="O1610" s="286">
        <v>1</v>
      </c>
      <c r="P1610" s="286">
        <v>1</v>
      </c>
      <c r="Q1610" s="286">
        <v>1</v>
      </c>
      <c r="R1610" s="286">
        <v>1</v>
      </c>
      <c r="S1610" s="287">
        <v>1</v>
      </c>
      <c r="T1610" s="63"/>
      <c r="U1610" s="94"/>
      <c r="V1610" s="90">
        <v>749.1</v>
      </c>
      <c r="W1610" s="91"/>
      <c r="X1610" s="92"/>
    </row>
    <row r="1611" spans="2:24">
      <c r="B1611" s="87">
        <f t="shared" si="289"/>
        <v>3</v>
      </c>
      <c r="C1611" s="36"/>
      <c r="D1611" s="3"/>
      <c r="E1611" s="10"/>
      <c r="F1611" s="62"/>
      <c r="G1611" s="62"/>
      <c r="H1611" s="62"/>
      <c r="I1611" s="89">
        <f t="shared" si="290"/>
        <v>0</v>
      </c>
      <c r="J1611" s="63"/>
      <c r="K1611" s="63"/>
      <c r="L1611" s="63"/>
      <c r="M1611" s="63"/>
      <c r="N1611" s="63"/>
      <c r="O1611" s="63"/>
      <c r="P1611" s="63"/>
      <c r="Q1611" s="63"/>
      <c r="R1611" s="63"/>
      <c r="S1611" s="63"/>
      <c r="T1611" s="63"/>
      <c r="U1611" s="94"/>
      <c r="V1611" s="90"/>
      <c r="W1611" s="91"/>
      <c r="X1611" s="92"/>
    </row>
    <row r="1612" spans="2:24">
      <c r="B1612" s="87">
        <f t="shared" si="289"/>
        <v>4</v>
      </c>
      <c r="C1612" s="36"/>
      <c r="D1612" s="10"/>
      <c r="E1612" s="94"/>
      <c r="F1612" s="62"/>
      <c r="G1612" s="62"/>
      <c r="H1612" s="62"/>
      <c r="I1612" s="89">
        <f t="shared" si="290"/>
        <v>0</v>
      </c>
      <c r="J1612" s="63"/>
      <c r="K1612" s="63"/>
      <c r="L1612" s="63"/>
      <c r="M1612" s="63"/>
      <c r="N1612" s="63"/>
      <c r="O1612" s="63"/>
      <c r="P1612" s="63"/>
      <c r="Q1612" s="63"/>
      <c r="R1612" s="63"/>
      <c r="S1612" s="63"/>
      <c r="T1612" s="63"/>
      <c r="U1612" s="94"/>
      <c r="V1612" s="90"/>
      <c r="W1612" s="91"/>
      <c r="X1612" s="92"/>
    </row>
    <row r="1613" spans="2:24">
      <c r="B1613" s="87">
        <f t="shared" si="289"/>
        <v>5</v>
      </c>
      <c r="C1613" s="36"/>
      <c r="D1613" s="10"/>
      <c r="E1613" s="10"/>
      <c r="F1613" s="62"/>
      <c r="G1613" s="62"/>
      <c r="H1613" s="62"/>
      <c r="I1613" s="89">
        <f t="shared" si="290"/>
        <v>0</v>
      </c>
      <c r="J1613" s="63"/>
      <c r="K1613" s="63"/>
      <c r="L1613" s="63"/>
      <c r="M1613" s="63"/>
      <c r="N1613" s="63"/>
      <c r="O1613" s="63"/>
      <c r="P1613" s="63"/>
      <c r="Q1613" s="63"/>
      <c r="R1613" s="63"/>
      <c r="S1613" s="63"/>
      <c r="T1613" s="63"/>
      <c r="U1613" s="94"/>
      <c r="V1613" s="90"/>
      <c r="W1613" s="91"/>
      <c r="X1613" s="92"/>
    </row>
    <row r="1614" spans="2:24">
      <c r="B1614" s="87">
        <f t="shared" si="289"/>
        <v>6</v>
      </c>
      <c r="C1614" s="36"/>
      <c r="D1614" s="10"/>
      <c r="E1614" s="10"/>
      <c r="F1614" s="62"/>
      <c r="G1614" s="62"/>
      <c r="H1614" s="88"/>
      <c r="I1614" s="89">
        <f t="shared" si="290"/>
        <v>0</v>
      </c>
      <c r="J1614" s="63"/>
      <c r="K1614" s="63"/>
      <c r="L1614" s="63"/>
      <c r="M1614" s="63"/>
      <c r="N1614" s="63"/>
      <c r="O1614" s="63"/>
      <c r="P1614" s="63"/>
      <c r="Q1614" s="63"/>
      <c r="R1614" s="63"/>
      <c r="S1614" s="63"/>
      <c r="T1614" s="63"/>
      <c r="U1614" s="94"/>
      <c r="V1614" s="90"/>
      <c r="W1614" s="91"/>
      <c r="X1614" s="92"/>
    </row>
    <row r="1615" spans="2:24">
      <c r="B1615" s="87">
        <f t="shared" si="289"/>
        <v>7</v>
      </c>
      <c r="C1615" s="36"/>
      <c r="D1615" s="10"/>
      <c r="E1615" s="10"/>
      <c r="F1615" s="62"/>
      <c r="G1615" s="62"/>
      <c r="H1615" s="88"/>
      <c r="I1615" s="89">
        <f>F1615-G1615-H1615</f>
        <v>0</v>
      </c>
      <c r="J1615" s="63"/>
      <c r="K1615" s="63"/>
      <c r="L1615" s="63"/>
      <c r="M1615" s="63"/>
      <c r="N1615" s="63"/>
      <c r="O1615" s="63"/>
      <c r="P1615" s="63"/>
      <c r="Q1615" s="63"/>
      <c r="R1615" s="63"/>
      <c r="S1615" s="63"/>
      <c r="T1615" s="63"/>
      <c r="U1615" s="94"/>
      <c r="V1615" s="90"/>
      <c r="W1615" s="91"/>
      <c r="X1615" s="92"/>
    </row>
    <row r="1616" spans="2:24">
      <c r="B1616" s="87">
        <f t="shared" si="289"/>
        <v>8</v>
      </c>
      <c r="C1616" s="36"/>
      <c r="D1616" s="10"/>
      <c r="E1616" s="10"/>
      <c r="F1616" s="62"/>
      <c r="G1616" s="62"/>
      <c r="H1616" s="88"/>
      <c r="I1616" s="89">
        <f>F1616-G1616-H1616</f>
        <v>0</v>
      </c>
      <c r="J1616" s="63"/>
      <c r="K1616" s="63"/>
      <c r="L1616" s="63"/>
      <c r="M1616" s="63"/>
      <c r="N1616" s="63"/>
      <c r="O1616" s="63"/>
      <c r="P1616" s="63"/>
      <c r="Q1616" s="63"/>
      <c r="R1616" s="63"/>
      <c r="S1616" s="63"/>
      <c r="T1616" s="63"/>
      <c r="U1616" s="94"/>
      <c r="V1616" s="90"/>
      <c r="W1616" s="91"/>
      <c r="X1616" s="92"/>
    </row>
    <row r="1617" spans="2:24">
      <c r="B1617" s="87">
        <f t="shared" si="289"/>
        <v>9</v>
      </c>
      <c r="C1617" s="36"/>
      <c r="D1617" s="10"/>
      <c r="E1617" s="10"/>
      <c r="F1617" s="62"/>
      <c r="G1617" s="62"/>
      <c r="H1617" s="88"/>
      <c r="I1617" s="89">
        <f>F1617-G1617-H1617</f>
        <v>0</v>
      </c>
      <c r="J1617" s="63"/>
      <c r="K1617" s="63"/>
      <c r="L1617" s="63"/>
      <c r="M1617" s="63"/>
      <c r="N1617" s="63"/>
      <c r="O1617" s="63"/>
      <c r="P1617" s="63"/>
      <c r="Q1617" s="63"/>
      <c r="R1617" s="63"/>
      <c r="S1617" s="63"/>
      <c r="T1617" s="63"/>
      <c r="U1617" s="94"/>
      <c r="V1617" s="90"/>
      <c r="W1617" s="91"/>
      <c r="X1617" s="92"/>
    </row>
    <row r="1618" spans="2:24">
      <c r="B1618" s="87">
        <f t="shared" si="289"/>
        <v>10</v>
      </c>
      <c r="C1618" s="36"/>
      <c r="D1618" s="10"/>
      <c r="E1618" s="10"/>
      <c r="F1618" s="62"/>
      <c r="G1618" s="62"/>
      <c r="H1618" s="88"/>
      <c r="I1618" s="89">
        <f>F1618-G1618-H1618</f>
        <v>0</v>
      </c>
      <c r="J1618" s="63"/>
      <c r="K1618" s="63"/>
      <c r="L1618" s="63"/>
      <c r="M1618" s="63"/>
      <c r="N1618" s="63"/>
      <c r="O1618" s="63"/>
      <c r="P1618" s="63"/>
      <c r="Q1618" s="63"/>
      <c r="R1618" s="63"/>
      <c r="S1618" s="63"/>
      <c r="T1618" s="63"/>
      <c r="U1618" s="94"/>
      <c r="V1618" s="90"/>
      <c r="W1618" s="91"/>
      <c r="X1618" s="92"/>
    </row>
    <row r="1619" spans="2:24">
      <c r="B1619" s="87">
        <f t="shared" si="289"/>
        <v>11</v>
      </c>
      <c r="C1619" s="36"/>
      <c r="D1619" s="10"/>
      <c r="E1619" s="10"/>
      <c r="F1619" s="95"/>
      <c r="G1619" s="62"/>
      <c r="H1619" s="62"/>
      <c r="I1619" s="89">
        <f t="shared" si="290"/>
        <v>0</v>
      </c>
      <c r="J1619" s="63"/>
      <c r="K1619" s="63"/>
      <c r="L1619" s="63"/>
      <c r="M1619" s="63"/>
      <c r="N1619" s="63"/>
      <c r="O1619" s="63"/>
      <c r="P1619" s="63"/>
      <c r="Q1619" s="63"/>
      <c r="R1619" s="63"/>
      <c r="S1619" s="63"/>
      <c r="T1619" s="63"/>
      <c r="U1619" s="94"/>
      <c r="V1619" s="90"/>
      <c r="W1619" s="91"/>
      <c r="X1619" s="92"/>
    </row>
    <row r="1620" spans="2:24">
      <c r="B1620" s="87">
        <f t="shared" si="289"/>
        <v>12</v>
      </c>
      <c r="C1620" s="36"/>
      <c r="D1620" s="10"/>
      <c r="E1620" s="10"/>
      <c r="F1620" s="95"/>
      <c r="G1620" s="62"/>
      <c r="H1620" s="62"/>
      <c r="I1620" s="89">
        <f t="shared" si="290"/>
        <v>0</v>
      </c>
      <c r="J1620" s="63"/>
      <c r="K1620" s="63"/>
      <c r="L1620" s="63"/>
      <c r="M1620" s="63"/>
      <c r="N1620" s="63"/>
      <c r="O1620" s="63"/>
      <c r="P1620" s="63"/>
      <c r="Q1620" s="63"/>
      <c r="R1620" s="63"/>
      <c r="S1620" s="63"/>
      <c r="T1620" s="63"/>
      <c r="U1620" s="94"/>
      <c r="V1620" s="90"/>
      <c r="W1620" s="91"/>
      <c r="X1620" s="92"/>
    </row>
    <row r="1621" spans="2:24">
      <c r="B1621" s="87">
        <f t="shared" si="289"/>
        <v>13</v>
      </c>
      <c r="C1621" s="36"/>
      <c r="D1621" s="10"/>
      <c r="E1621" s="10"/>
      <c r="F1621" s="95"/>
      <c r="G1621" s="62"/>
      <c r="H1621" s="62"/>
      <c r="I1621" s="89">
        <f t="shared" si="290"/>
        <v>0</v>
      </c>
      <c r="J1621" s="63"/>
      <c r="K1621" s="63"/>
      <c r="L1621" s="63"/>
      <c r="M1621" s="63"/>
      <c r="N1621" s="63"/>
      <c r="O1621" s="63"/>
      <c r="P1621" s="63"/>
      <c r="Q1621" s="63"/>
      <c r="R1621" s="63"/>
      <c r="S1621" s="63"/>
      <c r="T1621" s="63"/>
      <c r="U1621" s="94"/>
      <c r="V1621" s="90"/>
      <c r="W1621" s="91"/>
      <c r="X1621" s="92"/>
    </row>
    <row r="1622" spans="2:24">
      <c r="B1622" s="87">
        <f t="shared" si="289"/>
        <v>14</v>
      </c>
      <c r="C1622" s="36"/>
      <c r="D1622" s="10"/>
      <c r="E1622" s="10"/>
      <c r="F1622" s="95"/>
      <c r="G1622" s="62"/>
      <c r="H1622" s="62"/>
      <c r="I1622" s="89">
        <f t="shared" si="290"/>
        <v>0</v>
      </c>
      <c r="J1622" s="63"/>
      <c r="K1622" s="63"/>
      <c r="L1622" s="63"/>
      <c r="M1622" s="63"/>
      <c r="N1622" s="63"/>
      <c r="O1622" s="63"/>
      <c r="P1622" s="63"/>
      <c r="Q1622" s="63"/>
      <c r="R1622" s="63"/>
      <c r="S1622" s="63"/>
      <c r="T1622" s="63"/>
      <c r="U1622" s="94"/>
      <c r="V1622" s="90"/>
      <c r="W1622" s="91"/>
      <c r="X1622" s="92"/>
    </row>
    <row r="1623" spans="2:24">
      <c r="B1623" s="87">
        <f t="shared" si="289"/>
        <v>15</v>
      </c>
      <c r="C1623" s="36"/>
      <c r="D1623" s="10"/>
      <c r="E1623" s="10"/>
      <c r="F1623" s="95"/>
      <c r="G1623" s="62"/>
      <c r="H1623" s="62"/>
      <c r="I1623" s="89">
        <f t="shared" si="290"/>
        <v>0</v>
      </c>
      <c r="J1623" s="63"/>
      <c r="K1623" s="63"/>
      <c r="L1623" s="63"/>
      <c r="M1623" s="63"/>
      <c r="N1623" s="63"/>
      <c r="O1623" s="63"/>
      <c r="P1623" s="63"/>
      <c r="Q1623" s="63"/>
      <c r="R1623" s="63"/>
      <c r="S1623" s="63"/>
      <c r="T1623" s="63"/>
      <c r="U1623" s="94"/>
      <c r="V1623" s="90"/>
      <c r="W1623" s="96"/>
      <c r="X1623" s="92"/>
    </row>
    <row r="1624" spans="2:24">
      <c r="B1624" s="87">
        <f t="shared" si="289"/>
        <v>16</v>
      </c>
      <c r="C1624" s="36"/>
      <c r="D1624" s="10"/>
      <c r="E1624" s="10"/>
      <c r="F1624" s="95"/>
      <c r="G1624" s="62"/>
      <c r="H1624" s="62"/>
      <c r="I1624" s="89">
        <f t="shared" si="290"/>
        <v>0</v>
      </c>
      <c r="J1624" s="63"/>
      <c r="K1624" s="63"/>
      <c r="L1624" s="63"/>
      <c r="M1624" s="63"/>
      <c r="N1624" s="63"/>
      <c r="O1624" s="63"/>
      <c r="P1624" s="63"/>
      <c r="Q1624" s="63"/>
      <c r="R1624" s="63"/>
      <c r="S1624" s="63"/>
      <c r="T1624" s="63"/>
      <c r="U1624" s="94"/>
      <c r="V1624" s="90"/>
      <c r="W1624" s="96"/>
      <c r="X1624" s="92"/>
    </row>
    <row r="1625" spans="2:24">
      <c r="B1625" s="87"/>
      <c r="C1625" s="36"/>
      <c r="D1625" s="10"/>
      <c r="E1625" s="10"/>
      <c r="F1625" s="97">
        <f>SUM(F1609:F1624)</f>
        <v>9295</v>
      </c>
      <c r="G1625" s="97">
        <f t="shared" ref="G1625:I1625" si="291">SUM(G1609:G1624)</f>
        <v>1177.71</v>
      </c>
      <c r="H1625" s="97">
        <f t="shared" si="291"/>
        <v>0</v>
      </c>
      <c r="I1625" s="98">
        <f t="shared" si="291"/>
        <v>8117.29</v>
      </c>
      <c r="J1625" s="63"/>
      <c r="K1625" s="63">
        <f>COUNT(K1609:K1624)</f>
        <v>2</v>
      </c>
      <c r="L1625" s="63">
        <f t="shared" ref="L1625:R1625" si="292">COUNT(L1609:L1624)</f>
        <v>2</v>
      </c>
      <c r="M1625" s="63">
        <f t="shared" si="292"/>
        <v>2</v>
      </c>
      <c r="N1625" s="63">
        <f t="shared" si="292"/>
        <v>2</v>
      </c>
      <c r="O1625" s="63">
        <f t="shared" si="292"/>
        <v>2</v>
      </c>
      <c r="P1625" s="63">
        <f t="shared" si="292"/>
        <v>2</v>
      </c>
      <c r="Q1625" s="63">
        <f t="shared" si="292"/>
        <v>2</v>
      </c>
      <c r="R1625" s="63">
        <f t="shared" si="292"/>
        <v>2</v>
      </c>
      <c r="S1625" s="63">
        <f>COUNT(S1609:S1624)</f>
        <v>2</v>
      </c>
      <c r="T1625" s="63"/>
      <c r="U1625" s="94"/>
      <c r="V1625" s="90"/>
      <c r="W1625" s="91"/>
      <c r="X1625" s="92"/>
    </row>
    <row r="1626" spans="2:24">
      <c r="B1626" s="87"/>
      <c r="C1626" s="36"/>
      <c r="D1626" s="10"/>
      <c r="E1626" s="10"/>
      <c r="F1626" s="88"/>
      <c r="G1626" s="88"/>
      <c r="H1626" s="88"/>
      <c r="I1626" s="99"/>
      <c r="J1626" s="63"/>
      <c r="K1626" s="21">
        <f>SUM(K1609:K1624)</f>
        <v>2</v>
      </c>
      <c r="L1626" s="21">
        <f t="shared" ref="L1626:R1626" si="293">SUM(L1609:L1624)</f>
        <v>2</v>
      </c>
      <c r="M1626" s="21">
        <f t="shared" si="293"/>
        <v>2</v>
      </c>
      <c r="N1626" s="21">
        <f t="shared" si="293"/>
        <v>2</v>
      </c>
      <c r="O1626" s="21">
        <f t="shared" si="293"/>
        <v>2</v>
      </c>
      <c r="P1626" s="21">
        <f t="shared" si="293"/>
        <v>2</v>
      </c>
      <c r="Q1626" s="21">
        <f t="shared" si="293"/>
        <v>2</v>
      </c>
      <c r="R1626" s="21">
        <f t="shared" si="293"/>
        <v>2</v>
      </c>
      <c r="S1626" s="21">
        <f>SUM(S1609:S1624)</f>
        <v>2</v>
      </c>
      <c r="T1626" s="63"/>
      <c r="U1626" s="94"/>
      <c r="V1626" s="90"/>
      <c r="W1626" s="91"/>
      <c r="X1626" s="92"/>
    </row>
    <row r="1627" spans="2:24">
      <c r="B1627" s="11"/>
      <c r="C1627" s="36"/>
      <c r="D1627" s="10"/>
      <c r="E1627" s="10"/>
      <c r="F1627" s="88"/>
      <c r="G1627" s="88"/>
      <c r="H1627" s="88"/>
      <c r="I1627" s="99"/>
      <c r="J1627" s="63"/>
      <c r="K1627" s="21"/>
      <c r="L1627" s="21"/>
      <c r="M1627" s="21"/>
      <c r="N1627" s="21"/>
      <c r="O1627" s="21"/>
      <c r="P1627" s="21"/>
      <c r="Q1627" s="21"/>
      <c r="R1627" s="21"/>
      <c r="S1627" s="21"/>
      <c r="T1627" s="63"/>
      <c r="U1627" s="94"/>
      <c r="V1627" s="90"/>
      <c r="W1627" s="91"/>
      <c r="X1627" s="92"/>
    </row>
    <row r="1628" spans="2:24">
      <c r="B1628" s="100" t="s">
        <v>66</v>
      </c>
      <c r="C1628" s="36"/>
      <c r="D1628" s="10"/>
      <c r="E1628" s="10"/>
      <c r="F1628" s="88"/>
      <c r="G1628" s="62"/>
      <c r="H1628" s="88"/>
      <c r="I1628" s="99"/>
      <c r="J1628" s="63"/>
      <c r="K1628" s="2"/>
      <c r="L1628" s="2"/>
      <c r="M1628" s="2"/>
      <c r="N1628" s="2"/>
      <c r="O1628" s="2"/>
      <c r="P1628" s="2"/>
      <c r="Q1628" s="2"/>
      <c r="R1628" s="2"/>
      <c r="S1628" s="2"/>
      <c r="T1628" s="63"/>
      <c r="U1628" s="94"/>
      <c r="V1628" s="90"/>
      <c r="W1628" s="91"/>
      <c r="X1628" s="92"/>
    </row>
    <row r="1629" spans="2:24">
      <c r="B1629" s="87">
        <v>1</v>
      </c>
      <c r="C1629" s="36"/>
      <c r="D1629" s="10"/>
      <c r="E1629" s="101"/>
      <c r="F1629" s="62"/>
      <c r="G1629" s="62"/>
      <c r="H1629" s="62"/>
      <c r="I1629" s="89">
        <f t="shared" ref="I1629:I1636" si="294">F1629-G1629-H1629</f>
        <v>0</v>
      </c>
      <c r="J1629" s="63"/>
      <c r="K1629" s="63"/>
      <c r="L1629" s="63"/>
      <c r="M1629" s="63"/>
      <c r="N1629" s="63"/>
      <c r="O1629" s="63"/>
      <c r="P1629" s="63"/>
      <c r="Q1629" s="63"/>
      <c r="R1629" s="63"/>
      <c r="S1629" s="63"/>
      <c r="T1629" s="63"/>
      <c r="U1629" s="94"/>
      <c r="V1629" s="90"/>
      <c r="W1629" s="91"/>
      <c r="X1629" s="92"/>
    </row>
    <row r="1630" spans="2:24">
      <c r="B1630" s="87">
        <f t="shared" ref="B1630:B1636" si="295">B1629+1</f>
        <v>2</v>
      </c>
      <c r="C1630" s="36"/>
      <c r="D1630" s="10"/>
      <c r="E1630" s="101"/>
      <c r="F1630" s="62"/>
      <c r="G1630" s="62"/>
      <c r="H1630" s="62"/>
      <c r="I1630" s="89">
        <f t="shared" si="294"/>
        <v>0</v>
      </c>
      <c r="J1630" s="63"/>
      <c r="K1630" s="63"/>
      <c r="L1630" s="63"/>
      <c r="M1630" s="63"/>
      <c r="N1630" s="63"/>
      <c r="O1630" s="63"/>
      <c r="P1630" s="63"/>
      <c r="Q1630" s="63"/>
      <c r="R1630" s="63"/>
      <c r="S1630" s="63"/>
      <c r="T1630" s="63"/>
      <c r="U1630" s="94"/>
      <c r="V1630" s="90"/>
      <c r="W1630" s="91"/>
      <c r="X1630" s="92"/>
    </row>
    <row r="1631" spans="2:24">
      <c r="B1631" s="87">
        <f t="shared" si="295"/>
        <v>3</v>
      </c>
      <c r="C1631" s="36"/>
      <c r="D1631" s="10"/>
      <c r="E1631" s="101"/>
      <c r="F1631" s="62"/>
      <c r="G1631" s="62"/>
      <c r="H1631" s="62"/>
      <c r="I1631" s="89">
        <f t="shared" si="294"/>
        <v>0</v>
      </c>
      <c r="J1631" s="63"/>
      <c r="K1631" s="63"/>
      <c r="L1631" s="63"/>
      <c r="M1631" s="63"/>
      <c r="N1631" s="63"/>
      <c r="O1631" s="63"/>
      <c r="P1631" s="63"/>
      <c r="Q1631" s="63"/>
      <c r="R1631" s="63"/>
      <c r="S1631" s="63"/>
      <c r="T1631" s="63"/>
      <c r="U1631" s="94"/>
      <c r="V1631" s="90"/>
      <c r="W1631" s="91"/>
      <c r="X1631" s="92"/>
    </row>
    <row r="1632" spans="2:24">
      <c r="B1632" s="87">
        <f t="shared" si="295"/>
        <v>4</v>
      </c>
      <c r="C1632" s="36"/>
      <c r="D1632" s="10"/>
      <c r="E1632" s="101"/>
      <c r="F1632" s="62"/>
      <c r="G1632" s="62"/>
      <c r="H1632" s="62"/>
      <c r="I1632" s="89">
        <f t="shared" si="294"/>
        <v>0</v>
      </c>
      <c r="J1632" s="63"/>
      <c r="K1632" s="63"/>
      <c r="L1632" s="63"/>
      <c r="M1632" s="63"/>
      <c r="N1632" s="63"/>
      <c r="O1632" s="63"/>
      <c r="P1632" s="63"/>
      <c r="Q1632" s="63"/>
      <c r="R1632" s="63"/>
      <c r="S1632" s="63"/>
      <c r="T1632" s="63"/>
      <c r="U1632" s="94"/>
      <c r="V1632" s="90"/>
      <c r="W1632" s="91"/>
      <c r="X1632" s="92"/>
    </row>
    <row r="1633" spans="2:24">
      <c r="B1633" s="87">
        <f t="shared" si="295"/>
        <v>5</v>
      </c>
      <c r="C1633" s="36"/>
      <c r="D1633" s="10"/>
      <c r="E1633" s="101"/>
      <c r="F1633" s="62"/>
      <c r="G1633" s="62"/>
      <c r="H1633" s="62"/>
      <c r="I1633" s="89">
        <f t="shared" si="294"/>
        <v>0</v>
      </c>
      <c r="J1633" s="63"/>
      <c r="K1633" s="63"/>
      <c r="L1633" s="63"/>
      <c r="M1633" s="63"/>
      <c r="N1633" s="63"/>
      <c r="O1633" s="63"/>
      <c r="P1633" s="63"/>
      <c r="Q1633" s="63"/>
      <c r="R1633" s="63"/>
      <c r="S1633" s="63"/>
      <c r="T1633" s="63"/>
      <c r="U1633" s="94"/>
      <c r="V1633" s="90"/>
      <c r="W1633" s="91"/>
      <c r="X1633" s="92"/>
    </row>
    <row r="1634" spans="2:24">
      <c r="B1634" s="87">
        <f t="shared" si="295"/>
        <v>6</v>
      </c>
      <c r="C1634" s="36"/>
      <c r="D1634" s="10"/>
      <c r="E1634" s="101"/>
      <c r="F1634" s="62"/>
      <c r="G1634" s="62"/>
      <c r="H1634" s="62"/>
      <c r="I1634" s="89">
        <f t="shared" si="294"/>
        <v>0</v>
      </c>
      <c r="J1634" s="63"/>
      <c r="K1634" s="63"/>
      <c r="L1634" s="63"/>
      <c r="M1634" s="63"/>
      <c r="N1634" s="63"/>
      <c r="O1634" s="63"/>
      <c r="P1634" s="63"/>
      <c r="Q1634" s="63"/>
      <c r="R1634" s="63"/>
      <c r="S1634" s="63"/>
      <c r="T1634" s="63"/>
      <c r="U1634" s="94"/>
      <c r="V1634" s="90"/>
      <c r="W1634" s="91"/>
      <c r="X1634" s="92"/>
    </row>
    <row r="1635" spans="2:24">
      <c r="B1635" s="87">
        <f t="shared" si="295"/>
        <v>7</v>
      </c>
      <c r="C1635" s="36"/>
      <c r="D1635" s="10"/>
      <c r="E1635" s="101"/>
      <c r="F1635" s="62"/>
      <c r="G1635" s="62"/>
      <c r="H1635" s="62"/>
      <c r="I1635" s="89">
        <f t="shared" si="294"/>
        <v>0</v>
      </c>
      <c r="J1635" s="63"/>
      <c r="K1635" s="63"/>
      <c r="L1635" s="63"/>
      <c r="M1635" s="63"/>
      <c r="N1635" s="63"/>
      <c r="O1635" s="63"/>
      <c r="P1635" s="63"/>
      <c r="Q1635" s="63"/>
      <c r="R1635" s="63"/>
      <c r="S1635" s="63"/>
      <c r="T1635" s="63"/>
      <c r="U1635" s="94"/>
      <c r="V1635" s="90"/>
      <c r="W1635" s="91"/>
      <c r="X1635" s="92"/>
    </row>
    <row r="1636" spans="2:24">
      <c r="B1636" s="87">
        <f t="shared" si="295"/>
        <v>8</v>
      </c>
      <c r="C1636" s="36"/>
      <c r="D1636" s="10"/>
      <c r="E1636" s="101"/>
      <c r="F1636" s="62"/>
      <c r="G1636" s="62"/>
      <c r="H1636" s="62"/>
      <c r="I1636" s="89">
        <f t="shared" si="294"/>
        <v>0</v>
      </c>
      <c r="J1636" s="63"/>
      <c r="K1636" s="63"/>
      <c r="L1636" s="63"/>
      <c r="M1636" s="63"/>
      <c r="N1636" s="63"/>
      <c r="O1636" s="63"/>
      <c r="P1636" s="63"/>
      <c r="Q1636" s="63"/>
      <c r="R1636" s="63"/>
      <c r="S1636" s="63"/>
      <c r="T1636" s="63"/>
      <c r="U1636" s="94"/>
      <c r="V1636" s="90"/>
      <c r="W1636" s="91"/>
      <c r="X1636" s="92"/>
    </row>
    <row r="1637" spans="2:24">
      <c r="B1637" s="11"/>
      <c r="C1637" s="609"/>
      <c r="D1637" s="10"/>
      <c r="E1637" s="10"/>
      <c r="F1637" s="97">
        <f>SUM(F1629:F1636)</f>
        <v>0</v>
      </c>
      <c r="G1637" s="97">
        <f>SUM(G1629:G1636)</f>
        <v>0</v>
      </c>
      <c r="H1637" s="97">
        <f>SUM(H1629:H1636)</f>
        <v>0</v>
      </c>
      <c r="I1637" s="98">
        <f>SUM(I1629:I1636)</f>
        <v>0</v>
      </c>
      <c r="J1637" s="63"/>
      <c r="K1637" s="21"/>
      <c r="L1637" s="21"/>
      <c r="M1637" s="21"/>
      <c r="N1637" s="21"/>
      <c r="O1637" s="21"/>
      <c r="P1637" s="21"/>
      <c r="Q1637" s="21"/>
      <c r="R1637" s="21"/>
      <c r="S1637" s="21"/>
      <c r="T1637" s="63"/>
      <c r="U1637" s="94"/>
      <c r="V1637" s="90"/>
      <c r="W1637" s="91"/>
      <c r="X1637" s="92"/>
    </row>
    <row r="1638" spans="2:24">
      <c r="B1638" s="11"/>
      <c r="C1638" s="609"/>
      <c r="D1638" s="10"/>
      <c r="E1638" s="10"/>
      <c r="F1638" s="88"/>
      <c r="G1638" s="88"/>
      <c r="H1638" s="88"/>
      <c r="I1638" s="99"/>
      <c r="J1638" s="63"/>
      <c r="K1638" s="21"/>
      <c r="L1638" s="21"/>
      <c r="M1638" s="21"/>
      <c r="N1638" s="21"/>
      <c r="O1638" s="21"/>
      <c r="P1638" s="21"/>
      <c r="Q1638" s="21"/>
      <c r="R1638" s="21"/>
      <c r="S1638" s="21"/>
      <c r="T1638" s="63"/>
      <c r="U1638" s="94"/>
      <c r="V1638" s="90"/>
      <c r="W1638" s="91"/>
      <c r="X1638" s="92"/>
    </row>
    <row r="1639" spans="2:24">
      <c r="B1639" s="102" t="s">
        <v>67</v>
      </c>
      <c r="C1639" s="610"/>
      <c r="D1639" s="104"/>
      <c r="E1639" s="104"/>
      <c r="F1639" s="105"/>
      <c r="G1639" s="106"/>
      <c r="H1639" s="105"/>
      <c r="I1639" s="107"/>
      <c r="J1639" s="108"/>
      <c r="K1639" s="109"/>
      <c r="L1639" s="109"/>
      <c r="M1639" s="109"/>
      <c r="N1639" s="109"/>
      <c r="O1639" s="109"/>
      <c r="P1639" s="109"/>
      <c r="Q1639" s="109"/>
      <c r="R1639" s="109"/>
      <c r="S1639" s="109"/>
      <c r="T1639" s="108"/>
      <c r="U1639" s="110"/>
      <c r="V1639" s="111"/>
      <c r="W1639" s="112"/>
      <c r="X1639" s="113"/>
    </row>
    <row r="1640" spans="2:24">
      <c r="B1640" s="114">
        <v>1</v>
      </c>
      <c r="C1640" s="610"/>
      <c r="D1640" s="104"/>
      <c r="E1640" s="115"/>
      <c r="F1640" s="106"/>
      <c r="G1640" s="106"/>
      <c r="H1640" s="106"/>
      <c r="I1640" s="116">
        <f t="shared" ref="I1640:I1647" si="296">F1640-G1640-H1640</f>
        <v>0</v>
      </c>
      <c r="J1640" s="108"/>
      <c r="K1640" s="108"/>
      <c r="L1640" s="108"/>
      <c r="M1640" s="108"/>
      <c r="N1640" s="108"/>
      <c r="O1640" s="108"/>
      <c r="P1640" s="108"/>
      <c r="Q1640" s="108"/>
      <c r="R1640" s="108"/>
      <c r="S1640" s="108"/>
      <c r="T1640" s="108"/>
      <c r="U1640" s="110"/>
      <c r="V1640" s="111"/>
      <c r="W1640" s="112"/>
      <c r="X1640" s="113"/>
    </row>
    <row r="1641" spans="2:24">
      <c r="B1641" s="114">
        <f t="shared" ref="B1641:B1647" si="297">B1640+1</f>
        <v>2</v>
      </c>
      <c r="C1641" s="610"/>
      <c r="D1641" s="104"/>
      <c r="E1641" s="115"/>
      <c r="F1641" s="106"/>
      <c r="G1641" s="106"/>
      <c r="H1641" s="106"/>
      <c r="I1641" s="116">
        <f t="shared" si="296"/>
        <v>0</v>
      </c>
      <c r="J1641" s="108"/>
      <c r="K1641" s="108"/>
      <c r="L1641" s="108"/>
      <c r="M1641" s="108"/>
      <c r="N1641" s="108"/>
      <c r="O1641" s="108"/>
      <c r="P1641" s="108"/>
      <c r="Q1641" s="108"/>
      <c r="R1641" s="108"/>
      <c r="S1641" s="108"/>
      <c r="T1641" s="108"/>
      <c r="U1641" s="110"/>
      <c r="V1641" s="111"/>
      <c r="W1641" s="112"/>
      <c r="X1641" s="113"/>
    </row>
    <row r="1642" spans="2:24">
      <c r="B1642" s="114">
        <f t="shared" si="297"/>
        <v>3</v>
      </c>
      <c r="C1642" s="610"/>
      <c r="D1642" s="104"/>
      <c r="E1642" s="115"/>
      <c r="F1642" s="106"/>
      <c r="G1642" s="106"/>
      <c r="H1642" s="106"/>
      <c r="I1642" s="116">
        <f t="shared" si="296"/>
        <v>0</v>
      </c>
      <c r="J1642" s="108"/>
      <c r="K1642" s="108"/>
      <c r="L1642" s="108"/>
      <c r="M1642" s="108"/>
      <c r="N1642" s="108"/>
      <c r="O1642" s="108"/>
      <c r="P1642" s="108"/>
      <c r="Q1642" s="108"/>
      <c r="R1642" s="108"/>
      <c r="S1642" s="108"/>
      <c r="T1642" s="108"/>
      <c r="U1642" s="110"/>
      <c r="V1642" s="111"/>
      <c r="W1642" s="112"/>
      <c r="X1642" s="113"/>
    </row>
    <row r="1643" spans="2:24">
      <c r="B1643" s="114">
        <f t="shared" si="297"/>
        <v>4</v>
      </c>
      <c r="C1643" s="610"/>
      <c r="D1643" s="104"/>
      <c r="E1643" s="115"/>
      <c r="F1643" s="106"/>
      <c r="G1643" s="106"/>
      <c r="H1643" s="106"/>
      <c r="I1643" s="116">
        <f t="shared" si="296"/>
        <v>0</v>
      </c>
      <c r="J1643" s="108"/>
      <c r="K1643" s="108"/>
      <c r="L1643" s="108"/>
      <c r="M1643" s="108"/>
      <c r="N1643" s="108"/>
      <c r="O1643" s="108"/>
      <c r="P1643" s="108"/>
      <c r="Q1643" s="108"/>
      <c r="R1643" s="108"/>
      <c r="S1643" s="108"/>
      <c r="T1643" s="108"/>
      <c r="U1643" s="110"/>
      <c r="V1643" s="111"/>
      <c r="W1643" s="112"/>
      <c r="X1643" s="113"/>
    </row>
    <row r="1644" spans="2:24">
      <c r="B1644" s="114">
        <f t="shared" si="297"/>
        <v>5</v>
      </c>
      <c r="C1644" s="610"/>
      <c r="D1644" s="104"/>
      <c r="E1644" s="115"/>
      <c r="F1644" s="106"/>
      <c r="G1644" s="106"/>
      <c r="H1644" s="106"/>
      <c r="I1644" s="116">
        <f t="shared" si="296"/>
        <v>0</v>
      </c>
      <c r="J1644" s="108"/>
      <c r="K1644" s="108"/>
      <c r="L1644" s="108"/>
      <c r="M1644" s="108"/>
      <c r="N1644" s="108"/>
      <c r="O1644" s="108"/>
      <c r="P1644" s="108"/>
      <c r="Q1644" s="108"/>
      <c r="R1644" s="108"/>
      <c r="S1644" s="108"/>
      <c r="T1644" s="108"/>
      <c r="U1644" s="110"/>
      <c r="V1644" s="111"/>
      <c r="W1644" s="112"/>
      <c r="X1644" s="113"/>
    </row>
    <row r="1645" spans="2:24">
      <c r="B1645" s="114">
        <f t="shared" si="297"/>
        <v>6</v>
      </c>
      <c r="C1645" s="610"/>
      <c r="D1645" s="104"/>
      <c r="E1645" s="115"/>
      <c r="F1645" s="106"/>
      <c r="G1645" s="106"/>
      <c r="H1645" s="106"/>
      <c r="I1645" s="116">
        <f t="shared" si="296"/>
        <v>0</v>
      </c>
      <c r="J1645" s="108"/>
      <c r="K1645" s="108"/>
      <c r="L1645" s="108"/>
      <c r="M1645" s="108"/>
      <c r="N1645" s="108"/>
      <c r="O1645" s="108"/>
      <c r="P1645" s="108"/>
      <c r="Q1645" s="108"/>
      <c r="R1645" s="108"/>
      <c r="S1645" s="108"/>
      <c r="T1645" s="108"/>
      <c r="U1645" s="110"/>
      <c r="V1645" s="111"/>
      <c r="W1645" s="112"/>
      <c r="X1645" s="113"/>
    </row>
    <row r="1646" spans="2:24">
      <c r="B1646" s="114">
        <f t="shared" si="297"/>
        <v>7</v>
      </c>
      <c r="C1646" s="610"/>
      <c r="D1646" s="104"/>
      <c r="E1646" s="115"/>
      <c r="F1646" s="106"/>
      <c r="G1646" s="106"/>
      <c r="H1646" s="106"/>
      <c r="I1646" s="116">
        <f t="shared" si="296"/>
        <v>0</v>
      </c>
      <c r="J1646" s="108"/>
      <c r="K1646" s="108"/>
      <c r="L1646" s="108"/>
      <c r="M1646" s="108"/>
      <c r="N1646" s="108"/>
      <c r="O1646" s="108"/>
      <c r="P1646" s="108"/>
      <c r="Q1646" s="108"/>
      <c r="R1646" s="108"/>
      <c r="S1646" s="108"/>
      <c r="T1646" s="108"/>
      <c r="U1646" s="110"/>
      <c r="V1646" s="111"/>
      <c r="W1646" s="112"/>
      <c r="X1646" s="113"/>
    </row>
    <row r="1647" spans="2:24">
      <c r="B1647" s="114">
        <f t="shared" si="297"/>
        <v>8</v>
      </c>
      <c r="C1647" s="610"/>
      <c r="D1647" s="104"/>
      <c r="E1647" s="115"/>
      <c r="F1647" s="106"/>
      <c r="G1647" s="106"/>
      <c r="H1647" s="106"/>
      <c r="I1647" s="116">
        <f t="shared" si="296"/>
        <v>0</v>
      </c>
      <c r="J1647" s="108"/>
      <c r="K1647" s="108"/>
      <c r="L1647" s="108"/>
      <c r="M1647" s="108"/>
      <c r="N1647" s="108"/>
      <c r="O1647" s="108"/>
      <c r="P1647" s="108"/>
      <c r="Q1647" s="108"/>
      <c r="R1647" s="108"/>
      <c r="S1647" s="108"/>
      <c r="T1647" s="108"/>
      <c r="U1647" s="110"/>
      <c r="V1647" s="111"/>
      <c r="W1647" s="112"/>
      <c r="X1647" s="113"/>
    </row>
    <row r="1648" spans="2:24">
      <c r="B1648" s="117"/>
      <c r="C1648" s="610"/>
      <c r="D1648" s="104"/>
      <c r="E1648" s="104"/>
      <c r="F1648" s="118">
        <f>SUM(F1640:F1647)</f>
        <v>0</v>
      </c>
      <c r="G1648" s="118">
        <f>SUM(G1640:G1647)</f>
        <v>0</v>
      </c>
      <c r="H1648" s="118">
        <f>SUM(H1640:H1647)</f>
        <v>0</v>
      </c>
      <c r="I1648" s="119">
        <f>SUM(I1640:I1647)</f>
        <v>0</v>
      </c>
      <c r="J1648" s="108"/>
      <c r="K1648" s="120"/>
      <c r="L1648" s="120"/>
      <c r="M1648" s="120"/>
      <c r="N1648" s="120"/>
      <c r="O1648" s="120"/>
      <c r="P1648" s="120"/>
      <c r="Q1648" s="120"/>
      <c r="R1648" s="120"/>
      <c r="S1648" s="120"/>
      <c r="T1648" s="108"/>
      <c r="U1648" s="110"/>
      <c r="V1648" s="111"/>
      <c r="W1648" s="112"/>
      <c r="X1648" s="113"/>
    </row>
    <row r="1649" spans="2:24">
      <c r="B1649" s="11"/>
      <c r="C1649" s="609"/>
      <c r="D1649" s="10"/>
      <c r="E1649" s="10"/>
      <c r="F1649" s="88"/>
      <c r="G1649" s="88"/>
      <c r="H1649" s="88"/>
      <c r="I1649" s="99"/>
      <c r="J1649" s="63"/>
      <c r="K1649" s="21"/>
      <c r="L1649" s="21"/>
      <c r="M1649" s="21"/>
      <c r="N1649" s="21"/>
      <c r="O1649" s="21"/>
      <c r="P1649" s="21"/>
      <c r="Q1649" s="21"/>
      <c r="R1649" s="21"/>
      <c r="S1649" s="21"/>
      <c r="T1649" s="63"/>
      <c r="U1649" s="94"/>
      <c r="V1649" s="90"/>
      <c r="W1649" s="91"/>
      <c r="X1649" s="92"/>
    </row>
    <row r="1650" spans="2:24">
      <c r="B1650" s="121" t="s">
        <v>68</v>
      </c>
      <c r="C1650" s="611"/>
      <c r="D1650" s="123"/>
      <c r="E1650" s="123"/>
      <c r="F1650" s="124"/>
      <c r="G1650" s="125"/>
      <c r="H1650" s="124"/>
      <c r="I1650" s="126"/>
      <c r="J1650" s="127"/>
      <c r="K1650" s="128"/>
      <c r="L1650" s="128"/>
      <c r="M1650" s="128"/>
      <c r="N1650" s="128"/>
      <c r="O1650" s="128"/>
      <c r="P1650" s="128"/>
      <c r="Q1650" s="128"/>
      <c r="R1650" s="128"/>
      <c r="S1650" s="128"/>
      <c r="T1650" s="127"/>
      <c r="U1650" s="135"/>
      <c r="V1650" s="129"/>
      <c r="W1650" s="130"/>
      <c r="X1650" s="131"/>
    </row>
    <row r="1651" spans="2:24">
      <c r="B1651" s="87">
        <v>1</v>
      </c>
      <c r="C1651" s="36"/>
      <c r="D1651" s="10"/>
      <c r="E1651" s="101"/>
      <c r="F1651" s="62"/>
      <c r="G1651" s="62"/>
      <c r="H1651" s="62"/>
      <c r="I1651" s="89">
        <f>F1651-G1651-H1651</f>
        <v>0</v>
      </c>
      <c r="J1651" s="63"/>
      <c r="K1651" s="63"/>
      <c r="L1651" s="63"/>
      <c r="M1651" s="63"/>
      <c r="N1651" s="63"/>
      <c r="O1651" s="63"/>
      <c r="P1651" s="63"/>
      <c r="Q1651" s="63"/>
      <c r="R1651" s="63"/>
      <c r="S1651" s="63"/>
      <c r="T1651" s="63"/>
      <c r="U1651" s="94"/>
      <c r="V1651" s="90"/>
      <c r="W1651" s="91"/>
      <c r="X1651" s="92"/>
    </row>
    <row r="1652" spans="2:24">
      <c r="B1652" s="87">
        <f t="shared" ref="B1652:B1658" si="298">B1651+1</f>
        <v>2</v>
      </c>
      <c r="C1652" s="36"/>
      <c r="D1652" s="10"/>
      <c r="E1652" s="101"/>
      <c r="F1652" s="62"/>
      <c r="G1652" s="62"/>
      <c r="H1652" s="62"/>
      <c r="I1652" s="89">
        <f t="shared" ref="I1652:I1658" si="299">F1652-G1652-H1652</f>
        <v>0</v>
      </c>
      <c r="J1652" s="63"/>
      <c r="K1652" s="63"/>
      <c r="L1652" s="63"/>
      <c r="M1652" s="63"/>
      <c r="N1652" s="63"/>
      <c r="O1652" s="63"/>
      <c r="P1652" s="63"/>
      <c r="Q1652" s="63"/>
      <c r="R1652" s="63"/>
      <c r="S1652" s="63"/>
      <c r="T1652" s="63"/>
      <c r="U1652" s="94"/>
      <c r="V1652" s="90"/>
      <c r="W1652" s="91"/>
      <c r="X1652" s="92"/>
    </row>
    <row r="1653" spans="2:24">
      <c r="B1653" s="87">
        <f t="shared" si="298"/>
        <v>3</v>
      </c>
      <c r="C1653" s="36"/>
      <c r="D1653" s="10"/>
      <c r="E1653" s="101"/>
      <c r="F1653" s="62"/>
      <c r="G1653" s="62"/>
      <c r="H1653" s="62"/>
      <c r="I1653" s="89">
        <f>F1653-G1653-H1653</f>
        <v>0</v>
      </c>
      <c r="J1653" s="63"/>
      <c r="K1653" s="63"/>
      <c r="L1653" s="63"/>
      <c r="M1653" s="63"/>
      <c r="N1653" s="63"/>
      <c r="O1653" s="63"/>
      <c r="P1653" s="63"/>
      <c r="Q1653" s="63"/>
      <c r="R1653" s="63"/>
      <c r="S1653" s="63"/>
      <c r="T1653" s="63"/>
      <c r="U1653" s="94"/>
      <c r="V1653" s="90"/>
      <c r="W1653" s="91"/>
      <c r="X1653" s="92"/>
    </row>
    <row r="1654" spans="2:24">
      <c r="B1654" s="87">
        <f t="shared" si="298"/>
        <v>4</v>
      </c>
      <c r="C1654" s="36"/>
      <c r="D1654" s="10"/>
      <c r="E1654" s="101"/>
      <c r="F1654" s="62"/>
      <c r="G1654" s="62"/>
      <c r="H1654" s="62"/>
      <c r="I1654" s="89">
        <f>F1654-G1654-H1654</f>
        <v>0</v>
      </c>
      <c r="J1654" s="63"/>
      <c r="K1654" s="63"/>
      <c r="L1654" s="63"/>
      <c r="M1654" s="63"/>
      <c r="N1654" s="63"/>
      <c r="O1654" s="63"/>
      <c r="P1654" s="63"/>
      <c r="Q1654" s="63"/>
      <c r="R1654" s="63"/>
      <c r="S1654" s="63"/>
      <c r="T1654" s="63"/>
      <c r="U1654" s="94"/>
      <c r="V1654" s="90"/>
      <c r="W1654" s="91"/>
      <c r="X1654" s="92"/>
    </row>
    <row r="1655" spans="2:24">
      <c r="B1655" s="87">
        <f t="shared" si="298"/>
        <v>5</v>
      </c>
      <c r="C1655" s="36"/>
      <c r="D1655" s="10"/>
      <c r="E1655" s="101"/>
      <c r="F1655" s="62"/>
      <c r="G1655" s="62"/>
      <c r="H1655" s="62"/>
      <c r="I1655" s="89">
        <f>F1655-G1655-H1655</f>
        <v>0</v>
      </c>
      <c r="J1655" s="63"/>
      <c r="K1655" s="63"/>
      <c r="L1655" s="63"/>
      <c r="M1655" s="63"/>
      <c r="N1655" s="63"/>
      <c r="O1655" s="63"/>
      <c r="P1655" s="63"/>
      <c r="Q1655" s="63"/>
      <c r="R1655" s="63"/>
      <c r="S1655" s="63"/>
      <c r="T1655" s="63"/>
      <c r="U1655" s="94"/>
      <c r="V1655" s="90"/>
      <c r="W1655" s="91"/>
      <c r="X1655" s="92"/>
    </row>
    <row r="1656" spans="2:24">
      <c r="B1656" s="87">
        <f t="shared" si="298"/>
        <v>6</v>
      </c>
      <c r="C1656" s="36"/>
      <c r="D1656" s="10"/>
      <c r="E1656" s="101"/>
      <c r="F1656" s="62"/>
      <c r="G1656" s="62"/>
      <c r="H1656" s="62"/>
      <c r="I1656" s="89">
        <f>F1656-G1656-H1656</f>
        <v>0</v>
      </c>
      <c r="J1656" s="63"/>
      <c r="K1656" s="63"/>
      <c r="L1656" s="63"/>
      <c r="M1656" s="63"/>
      <c r="N1656" s="63"/>
      <c r="O1656" s="63"/>
      <c r="P1656" s="63"/>
      <c r="Q1656" s="63"/>
      <c r="R1656" s="63"/>
      <c r="S1656" s="63"/>
      <c r="T1656" s="63"/>
      <c r="U1656" s="94"/>
      <c r="V1656" s="90"/>
      <c r="W1656" s="91"/>
      <c r="X1656" s="92"/>
    </row>
    <row r="1657" spans="2:24">
      <c r="B1657" s="87">
        <f t="shared" si="298"/>
        <v>7</v>
      </c>
      <c r="C1657" s="36"/>
      <c r="D1657" s="10"/>
      <c r="E1657" s="101"/>
      <c r="F1657" s="62"/>
      <c r="G1657" s="62"/>
      <c r="H1657" s="62"/>
      <c r="I1657" s="89">
        <f t="shared" si="299"/>
        <v>0</v>
      </c>
      <c r="J1657" s="63"/>
      <c r="K1657" s="63"/>
      <c r="L1657" s="63"/>
      <c r="M1657" s="63"/>
      <c r="N1657" s="63"/>
      <c r="O1657" s="63"/>
      <c r="P1657" s="63"/>
      <c r="Q1657" s="63"/>
      <c r="R1657" s="63"/>
      <c r="S1657" s="63"/>
      <c r="T1657" s="63"/>
      <c r="U1657" s="94"/>
      <c r="V1657" s="90"/>
      <c r="W1657" s="91"/>
      <c r="X1657" s="92"/>
    </row>
    <row r="1658" spans="2:24">
      <c r="B1658" s="87">
        <f t="shared" si="298"/>
        <v>8</v>
      </c>
      <c r="C1658" s="36"/>
      <c r="D1658" s="10"/>
      <c r="E1658" s="101"/>
      <c r="F1658" s="62"/>
      <c r="G1658" s="62"/>
      <c r="H1658" s="62"/>
      <c r="I1658" s="89">
        <f t="shared" si="299"/>
        <v>0</v>
      </c>
      <c r="J1658" s="63"/>
      <c r="K1658" s="63"/>
      <c r="L1658" s="63"/>
      <c r="M1658" s="63"/>
      <c r="N1658" s="63"/>
      <c r="O1658" s="63"/>
      <c r="P1658" s="63"/>
      <c r="Q1658" s="63"/>
      <c r="R1658" s="63"/>
      <c r="S1658" s="63"/>
      <c r="T1658" s="63"/>
      <c r="U1658" s="94"/>
      <c r="V1658" s="90"/>
      <c r="W1658" s="91"/>
      <c r="X1658" s="92"/>
    </row>
    <row r="1659" spans="2:24">
      <c r="B1659" s="132"/>
      <c r="C1659" s="36"/>
      <c r="D1659" s="123"/>
      <c r="E1659" s="123"/>
      <c r="F1659" s="133">
        <f>SUM(F1651:F1658)</f>
        <v>0</v>
      </c>
      <c r="G1659" s="133">
        <f>SUM(G1651:G1658)</f>
        <v>0</v>
      </c>
      <c r="H1659" s="133">
        <f>SUM(H1651:H1658)</f>
        <v>0</v>
      </c>
      <c r="I1659" s="134">
        <f>SUM(I1651:I1658)</f>
        <v>0</v>
      </c>
      <c r="J1659" s="127"/>
      <c r="K1659" s="64"/>
      <c r="L1659" s="64"/>
      <c r="M1659" s="64"/>
      <c r="N1659" s="64"/>
      <c r="O1659" s="64"/>
      <c r="P1659" s="64"/>
      <c r="Q1659" s="64"/>
      <c r="R1659" s="64"/>
      <c r="S1659" s="64"/>
      <c r="T1659" s="127"/>
      <c r="U1659" s="135"/>
      <c r="V1659" s="129"/>
      <c r="W1659" s="130"/>
      <c r="X1659" s="131"/>
    </row>
    <row r="1660" spans="2:24">
      <c r="B1660" s="11"/>
      <c r="C1660" s="36"/>
      <c r="D1660" s="10"/>
      <c r="E1660" s="10"/>
      <c r="F1660" s="88"/>
      <c r="G1660" s="88"/>
      <c r="H1660" s="88"/>
      <c r="I1660" s="99"/>
      <c r="J1660" s="63"/>
      <c r="K1660" s="21"/>
      <c r="L1660" s="21"/>
      <c r="M1660" s="21"/>
      <c r="N1660" s="21"/>
      <c r="O1660" s="21"/>
      <c r="P1660" s="21"/>
      <c r="Q1660" s="21"/>
      <c r="R1660" s="21"/>
      <c r="S1660" s="21"/>
      <c r="T1660" s="63"/>
      <c r="U1660" s="94"/>
      <c r="V1660" s="90"/>
      <c r="W1660" s="91"/>
      <c r="X1660" s="92"/>
    </row>
    <row r="1661" spans="2:24">
      <c r="B1661" s="121" t="s">
        <v>69</v>
      </c>
      <c r="C1661" s="36"/>
      <c r="D1661" s="123"/>
      <c r="E1661" s="123"/>
      <c r="F1661" s="124"/>
      <c r="G1661" s="125"/>
      <c r="H1661" s="124"/>
      <c r="I1661" s="126"/>
      <c r="J1661" s="127"/>
      <c r="K1661" s="128"/>
      <c r="L1661" s="128"/>
      <c r="M1661" s="128"/>
      <c r="N1661" s="128"/>
      <c r="O1661" s="128"/>
      <c r="P1661" s="128"/>
      <c r="Q1661" s="128"/>
      <c r="R1661" s="128"/>
      <c r="S1661" s="128"/>
      <c r="T1661" s="127"/>
      <c r="U1661" s="135"/>
      <c r="V1661" s="129"/>
      <c r="W1661" s="130"/>
      <c r="X1661" s="131"/>
    </row>
    <row r="1662" spans="2:24">
      <c r="B1662" s="87">
        <v>1</v>
      </c>
      <c r="C1662" s="36"/>
      <c r="D1662" s="10"/>
      <c r="E1662" s="101"/>
      <c r="F1662" s="62"/>
      <c r="G1662" s="62"/>
      <c r="H1662" s="62"/>
      <c r="I1662" s="89">
        <f t="shared" ref="I1662:I1669" si="300">F1662-G1662-H1662</f>
        <v>0</v>
      </c>
      <c r="J1662" s="63"/>
      <c r="K1662" s="63"/>
      <c r="L1662" s="63"/>
      <c r="M1662" s="63"/>
      <c r="N1662" s="63"/>
      <c r="O1662" s="63"/>
      <c r="P1662" s="63"/>
      <c r="Q1662" s="63"/>
      <c r="R1662" s="63"/>
      <c r="S1662" s="63"/>
      <c r="T1662" s="63"/>
      <c r="U1662" s="94"/>
      <c r="V1662" s="90"/>
      <c r="W1662" s="91"/>
      <c r="X1662" s="92"/>
    </row>
    <row r="1663" spans="2:24">
      <c r="B1663" s="87">
        <f t="shared" ref="B1663:B1669" si="301">B1662+1</f>
        <v>2</v>
      </c>
      <c r="C1663" s="36"/>
      <c r="D1663" s="10"/>
      <c r="E1663" s="101"/>
      <c r="F1663" s="62"/>
      <c r="G1663" s="62"/>
      <c r="H1663" s="62"/>
      <c r="I1663" s="89">
        <f t="shared" si="300"/>
        <v>0</v>
      </c>
      <c r="J1663" s="63"/>
      <c r="K1663" s="63"/>
      <c r="L1663" s="63"/>
      <c r="M1663" s="63"/>
      <c r="N1663" s="63"/>
      <c r="O1663" s="63"/>
      <c r="P1663" s="63"/>
      <c r="Q1663" s="63"/>
      <c r="R1663" s="63"/>
      <c r="S1663" s="63"/>
      <c r="T1663" s="63"/>
      <c r="U1663" s="94"/>
      <c r="V1663" s="90"/>
      <c r="W1663" s="91"/>
      <c r="X1663" s="92"/>
    </row>
    <row r="1664" spans="2:24">
      <c r="B1664" s="87">
        <f t="shared" si="301"/>
        <v>3</v>
      </c>
      <c r="C1664" s="36"/>
      <c r="D1664" s="10"/>
      <c r="E1664" s="101"/>
      <c r="F1664" s="62"/>
      <c r="G1664" s="62"/>
      <c r="H1664" s="62"/>
      <c r="I1664" s="89">
        <f t="shared" si="300"/>
        <v>0</v>
      </c>
      <c r="J1664" s="63"/>
      <c r="K1664" s="63"/>
      <c r="L1664" s="63"/>
      <c r="M1664" s="63"/>
      <c r="N1664" s="63"/>
      <c r="O1664" s="63"/>
      <c r="P1664" s="63"/>
      <c r="Q1664" s="63"/>
      <c r="R1664" s="63"/>
      <c r="S1664" s="63"/>
      <c r="T1664" s="63"/>
      <c r="U1664" s="94"/>
      <c r="V1664" s="90"/>
      <c r="W1664" s="91"/>
      <c r="X1664" s="92"/>
    </row>
    <row r="1665" spans="2:24">
      <c r="B1665" s="87">
        <f t="shared" si="301"/>
        <v>4</v>
      </c>
      <c r="C1665" s="36"/>
      <c r="D1665" s="10"/>
      <c r="E1665" s="101"/>
      <c r="F1665" s="62"/>
      <c r="G1665" s="62"/>
      <c r="H1665" s="62"/>
      <c r="I1665" s="89">
        <f t="shared" si="300"/>
        <v>0</v>
      </c>
      <c r="J1665" s="63"/>
      <c r="K1665" s="63"/>
      <c r="L1665" s="63"/>
      <c r="M1665" s="63"/>
      <c r="N1665" s="63"/>
      <c r="O1665" s="63"/>
      <c r="P1665" s="63"/>
      <c r="Q1665" s="63"/>
      <c r="R1665" s="63"/>
      <c r="S1665" s="63"/>
      <c r="T1665" s="63"/>
      <c r="U1665" s="94"/>
      <c r="V1665" s="90"/>
      <c r="W1665" s="91"/>
      <c r="X1665" s="92"/>
    </row>
    <row r="1666" spans="2:24">
      <c r="B1666" s="87">
        <f t="shared" si="301"/>
        <v>5</v>
      </c>
      <c r="C1666" s="36"/>
      <c r="D1666" s="10"/>
      <c r="E1666" s="101"/>
      <c r="F1666" s="62"/>
      <c r="G1666" s="62"/>
      <c r="H1666" s="62"/>
      <c r="I1666" s="89">
        <f t="shared" si="300"/>
        <v>0</v>
      </c>
      <c r="J1666" s="63"/>
      <c r="K1666" s="63"/>
      <c r="L1666" s="63"/>
      <c r="M1666" s="63"/>
      <c r="N1666" s="63"/>
      <c r="O1666" s="63"/>
      <c r="P1666" s="63"/>
      <c r="Q1666" s="63"/>
      <c r="R1666" s="63"/>
      <c r="S1666" s="63"/>
      <c r="T1666" s="63"/>
      <c r="U1666" s="94"/>
      <c r="V1666" s="90"/>
      <c r="W1666" s="91"/>
      <c r="X1666" s="92"/>
    </row>
    <row r="1667" spans="2:24">
      <c r="B1667" s="87">
        <f t="shared" si="301"/>
        <v>6</v>
      </c>
      <c r="C1667" s="36"/>
      <c r="D1667" s="10"/>
      <c r="E1667" s="101"/>
      <c r="F1667" s="62"/>
      <c r="G1667" s="62"/>
      <c r="H1667" s="62"/>
      <c r="I1667" s="89">
        <f t="shared" si="300"/>
        <v>0</v>
      </c>
      <c r="J1667" s="63"/>
      <c r="K1667" s="63"/>
      <c r="L1667" s="63"/>
      <c r="M1667" s="63"/>
      <c r="N1667" s="63"/>
      <c r="O1667" s="63"/>
      <c r="P1667" s="63"/>
      <c r="Q1667" s="63"/>
      <c r="R1667" s="63"/>
      <c r="S1667" s="63"/>
      <c r="T1667" s="63"/>
      <c r="U1667" s="94"/>
      <c r="V1667" s="90"/>
      <c r="W1667" s="91"/>
      <c r="X1667" s="92"/>
    </row>
    <row r="1668" spans="2:24">
      <c r="B1668" s="87">
        <f t="shared" si="301"/>
        <v>7</v>
      </c>
      <c r="C1668" s="36"/>
      <c r="D1668" s="10"/>
      <c r="E1668" s="101"/>
      <c r="F1668" s="62"/>
      <c r="G1668" s="62"/>
      <c r="H1668" s="62"/>
      <c r="I1668" s="89">
        <f t="shared" si="300"/>
        <v>0</v>
      </c>
      <c r="J1668" s="63"/>
      <c r="K1668" s="63"/>
      <c r="L1668" s="63"/>
      <c r="M1668" s="63"/>
      <c r="N1668" s="63"/>
      <c r="O1668" s="63"/>
      <c r="P1668" s="63"/>
      <c r="Q1668" s="63"/>
      <c r="R1668" s="63"/>
      <c r="S1668" s="63"/>
      <c r="T1668" s="63"/>
      <c r="U1668" s="94"/>
      <c r="V1668" s="90"/>
      <c r="W1668" s="91"/>
      <c r="X1668" s="92"/>
    </row>
    <row r="1669" spans="2:24">
      <c r="B1669" s="87">
        <f t="shared" si="301"/>
        <v>8</v>
      </c>
      <c r="C1669" s="36"/>
      <c r="D1669" s="10"/>
      <c r="E1669" s="101"/>
      <c r="F1669" s="62"/>
      <c r="G1669" s="62"/>
      <c r="H1669" s="62"/>
      <c r="I1669" s="89">
        <f t="shared" si="300"/>
        <v>0</v>
      </c>
      <c r="J1669" s="63"/>
      <c r="K1669" s="63"/>
      <c r="L1669" s="63"/>
      <c r="M1669" s="63"/>
      <c r="N1669" s="63"/>
      <c r="O1669" s="63"/>
      <c r="P1669" s="63"/>
      <c r="Q1669" s="63"/>
      <c r="R1669" s="63"/>
      <c r="S1669" s="63"/>
      <c r="T1669" s="63"/>
      <c r="U1669" s="94"/>
      <c r="V1669" s="90"/>
      <c r="W1669" s="91"/>
      <c r="X1669" s="92"/>
    </row>
    <row r="1670" spans="2:24">
      <c r="B1670" s="132"/>
      <c r="C1670" s="36"/>
      <c r="D1670" s="123"/>
      <c r="E1670" s="123"/>
      <c r="F1670" s="133">
        <f>SUM(F1662:F1669)</f>
        <v>0</v>
      </c>
      <c r="G1670" s="133">
        <f>SUM(G1662:G1669)</f>
        <v>0</v>
      </c>
      <c r="H1670" s="133">
        <f>SUM(H1662:H1669)</f>
        <v>0</v>
      </c>
      <c r="I1670" s="134">
        <f>SUM(I1662:I1669)</f>
        <v>0</v>
      </c>
      <c r="J1670" s="127"/>
      <c r="K1670" s="64"/>
      <c r="L1670" s="64"/>
      <c r="M1670" s="64"/>
      <c r="N1670" s="64"/>
      <c r="O1670" s="64"/>
      <c r="P1670" s="64"/>
      <c r="Q1670" s="64"/>
      <c r="R1670" s="64"/>
      <c r="S1670" s="64"/>
      <c r="T1670" s="127"/>
      <c r="U1670" s="135"/>
      <c r="V1670" s="129"/>
      <c r="W1670" s="130"/>
      <c r="X1670" s="131"/>
    </row>
    <row r="1671" spans="2:24">
      <c r="B1671" s="11"/>
      <c r="C1671" s="36"/>
      <c r="D1671" s="10"/>
      <c r="E1671" s="10"/>
      <c r="F1671" s="88"/>
      <c r="G1671" s="88"/>
      <c r="H1671" s="88"/>
      <c r="I1671" s="99"/>
      <c r="J1671" s="63"/>
      <c r="K1671" s="21"/>
      <c r="L1671" s="21"/>
      <c r="M1671" s="21"/>
      <c r="N1671" s="21"/>
      <c r="O1671" s="21"/>
      <c r="P1671" s="21"/>
      <c r="Q1671" s="21"/>
      <c r="R1671" s="21"/>
      <c r="S1671" s="21"/>
      <c r="T1671" s="63"/>
      <c r="U1671" s="94"/>
      <c r="V1671" s="90"/>
      <c r="W1671" s="91"/>
      <c r="X1671" s="92"/>
    </row>
    <row r="1672" spans="2:24">
      <c r="B1672" s="121" t="s">
        <v>70</v>
      </c>
      <c r="C1672" s="36"/>
      <c r="D1672" s="123"/>
      <c r="E1672" s="128"/>
      <c r="F1672" s="124"/>
      <c r="G1672" s="124"/>
      <c r="H1672" s="124"/>
      <c r="I1672" s="126"/>
      <c r="J1672" s="127"/>
      <c r="K1672" s="64"/>
      <c r="L1672" s="64"/>
      <c r="M1672" s="64"/>
      <c r="N1672" s="64"/>
      <c r="O1672" s="64"/>
      <c r="P1672" s="64"/>
      <c r="Q1672" s="64"/>
      <c r="R1672" s="64"/>
      <c r="S1672" s="64"/>
      <c r="T1672" s="127"/>
      <c r="U1672" s="135"/>
      <c r="V1672" s="129"/>
      <c r="W1672" s="130"/>
      <c r="X1672" s="131"/>
    </row>
    <row r="1673" spans="2:24">
      <c r="B1673" s="87">
        <v>1</v>
      </c>
      <c r="C1673" s="262">
        <v>45964</v>
      </c>
      <c r="D1673" s="271">
        <v>75075</v>
      </c>
      <c r="E1673" s="271" t="s">
        <v>739</v>
      </c>
      <c r="F1673" s="265">
        <v>4750.2</v>
      </c>
      <c r="G1673" s="265">
        <f>39.7</f>
        <v>39.700000000000003</v>
      </c>
      <c r="H1673" s="265"/>
      <c r="I1673" s="272">
        <f>F1673-G1673-H1673</f>
        <v>4710.5</v>
      </c>
      <c r="J1673" s="267" t="s">
        <v>156</v>
      </c>
      <c r="K1673" s="267">
        <v>1</v>
      </c>
      <c r="L1673" s="267"/>
      <c r="M1673" s="267">
        <v>1</v>
      </c>
      <c r="N1673" s="267">
        <v>1</v>
      </c>
      <c r="O1673" s="267">
        <v>1</v>
      </c>
      <c r="P1673" s="267">
        <v>1</v>
      </c>
      <c r="Q1673" s="267"/>
      <c r="R1673" s="267"/>
      <c r="S1673" s="269"/>
      <c r="T1673" s="63"/>
      <c r="U1673" s="94" t="s">
        <v>2725</v>
      </c>
      <c r="V1673" s="90">
        <f>522.5</f>
        <v>522.5</v>
      </c>
      <c r="W1673" s="136"/>
      <c r="X1673" s="137"/>
    </row>
    <row r="1674" spans="2:24">
      <c r="B1674" s="87">
        <f t="shared" ref="B1674:B1680" si="302">B1673+1</f>
        <v>2</v>
      </c>
      <c r="C1674" s="36"/>
      <c r="D1674" s="10"/>
      <c r="E1674" s="10"/>
      <c r="F1674" s="62"/>
      <c r="G1674" s="62"/>
      <c r="H1674" s="62"/>
      <c r="I1674" s="89">
        <f t="shared" ref="I1674:I1680" si="303">F1674-G1674-H1674</f>
        <v>0</v>
      </c>
      <c r="J1674" s="63"/>
      <c r="K1674" s="63"/>
      <c r="L1674" s="63"/>
      <c r="M1674" s="63"/>
      <c r="N1674" s="63"/>
      <c r="O1674" s="63"/>
      <c r="P1674" s="63"/>
      <c r="Q1674" s="63"/>
      <c r="R1674" s="63"/>
      <c r="S1674" s="63"/>
      <c r="T1674" s="63"/>
      <c r="U1674" s="94"/>
      <c r="V1674" s="90"/>
      <c r="W1674" s="136"/>
      <c r="X1674" s="137"/>
    </row>
    <row r="1675" spans="2:24">
      <c r="B1675" s="87">
        <f t="shared" si="302"/>
        <v>3</v>
      </c>
      <c r="C1675" s="36"/>
      <c r="D1675" s="10"/>
      <c r="E1675" s="10"/>
      <c r="F1675" s="62"/>
      <c r="G1675" s="62"/>
      <c r="H1675" s="62"/>
      <c r="I1675" s="89">
        <f>F1675-G1675-H1675</f>
        <v>0</v>
      </c>
      <c r="J1675" s="63"/>
      <c r="K1675" s="63"/>
      <c r="L1675" s="63"/>
      <c r="M1675" s="63"/>
      <c r="N1675" s="63"/>
      <c r="O1675" s="63"/>
      <c r="P1675" s="63"/>
      <c r="Q1675" s="63"/>
      <c r="R1675" s="63"/>
      <c r="S1675" s="63"/>
      <c r="T1675" s="63"/>
      <c r="U1675" s="94"/>
      <c r="V1675" s="90"/>
      <c r="W1675" s="136"/>
      <c r="X1675" s="137"/>
    </row>
    <row r="1676" spans="2:24">
      <c r="B1676" s="87">
        <f t="shared" si="302"/>
        <v>4</v>
      </c>
      <c r="C1676" s="36"/>
      <c r="D1676" s="10"/>
      <c r="E1676" s="10"/>
      <c r="F1676" s="62"/>
      <c r="G1676" s="62"/>
      <c r="H1676" s="62"/>
      <c r="I1676" s="89">
        <f>F1676-G1676-H1676</f>
        <v>0</v>
      </c>
      <c r="J1676" s="63"/>
      <c r="K1676" s="63"/>
      <c r="L1676" s="63"/>
      <c r="M1676" s="63"/>
      <c r="N1676" s="63"/>
      <c r="O1676" s="63"/>
      <c r="P1676" s="63"/>
      <c r="Q1676" s="63"/>
      <c r="R1676" s="63"/>
      <c r="S1676" s="63"/>
      <c r="T1676" s="63"/>
      <c r="U1676" s="94"/>
      <c r="V1676" s="90"/>
      <c r="W1676" s="136"/>
      <c r="X1676" s="137"/>
    </row>
    <row r="1677" spans="2:24">
      <c r="B1677" s="87">
        <f t="shared" si="302"/>
        <v>5</v>
      </c>
      <c r="C1677" s="36"/>
      <c r="D1677" s="10"/>
      <c r="E1677" s="10"/>
      <c r="F1677" s="62"/>
      <c r="G1677" s="62"/>
      <c r="H1677" s="62"/>
      <c r="I1677" s="89">
        <f>F1677-G1677-H1677</f>
        <v>0</v>
      </c>
      <c r="J1677" s="63"/>
      <c r="K1677" s="63"/>
      <c r="L1677" s="63"/>
      <c r="M1677" s="63"/>
      <c r="N1677" s="63"/>
      <c r="O1677" s="63"/>
      <c r="P1677" s="63"/>
      <c r="Q1677" s="63"/>
      <c r="R1677" s="63"/>
      <c r="S1677" s="63"/>
      <c r="T1677" s="63"/>
      <c r="U1677" s="94"/>
      <c r="V1677" s="90"/>
      <c r="W1677" s="136"/>
      <c r="X1677" s="137"/>
    </row>
    <row r="1678" spans="2:24">
      <c r="B1678" s="87">
        <f t="shared" si="302"/>
        <v>6</v>
      </c>
      <c r="C1678" s="36"/>
      <c r="D1678" s="10"/>
      <c r="E1678" s="10"/>
      <c r="F1678" s="62"/>
      <c r="G1678" s="62"/>
      <c r="H1678" s="62"/>
      <c r="I1678" s="89">
        <f>F1678-G1678-H1678</f>
        <v>0</v>
      </c>
      <c r="J1678" s="63"/>
      <c r="K1678" s="63"/>
      <c r="L1678" s="63"/>
      <c r="M1678" s="63"/>
      <c r="N1678" s="63"/>
      <c r="O1678" s="63"/>
      <c r="P1678" s="63"/>
      <c r="Q1678" s="63"/>
      <c r="R1678" s="63"/>
      <c r="S1678" s="63"/>
      <c r="T1678" s="63"/>
      <c r="U1678" s="94"/>
      <c r="V1678" s="90"/>
      <c r="W1678" s="136"/>
      <c r="X1678" s="137"/>
    </row>
    <row r="1679" spans="2:24">
      <c r="B1679" s="87">
        <f t="shared" si="302"/>
        <v>7</v>
      </c>
      <c r="C1679" s="36"/>
      <c r="D1679" s="10"/>
      <c r="E1679" s="10"/>
      <c r="F1679" s="62"/>
      <c r="G1679" s="62"/>
      <c r="H1679" s="62"/>
      <c r="I1679" s="89">
        <f t="shared" si="303"/>
        <v>0</v>
      </c>
      <c r="J1679" s="63"/>
      <c r="K1679" s="63"/>
      <c r="L1679" s="63"/>
      <c r="M1679" s="63"/>
      <c r="N1679" s="63"/>
      <c r="O1679" s="63"/>
      <c r="P1679" s="63"/>
      <c r="Q1679" s="63"/>
      <c r="R1679" s="63"/>
      <c r="S1679" s="63"/>
      <c r="T1679" s="63"/>
      <c r="U1679" s="94"/>
      <c r="V1679" s="90"/>
      <c r="W1679" s="136"/>
      <c r="X1679" s="137"/>
    </row>
    <row r="1680" spans="2:24">
      <c r="B1680" s="87">
        <f t="shared" si="302"/>
        <v>8</v>
      </c>
      <c r="C1680" s="36"/>
      <c r="D1680" s="10"/>
      <c r="E1680" s="10"/>
      <c r="F1680" s="62"/>
      <c r="G1680" s="62"/>
      <c r="H1680" s="62"/>
      <c r="I1680" s="89">
        <f t="shared" si="303"/>
        <v>0</v>
      </c>
      <c r="J1680" s="63"/>
      <c r="K1680" s="63"/>
      <c r="L1680" s="63"/>
      <c r="M1680" s="63"/>
      <c r="N1680" s="63"/>
      <c r="O1680" s="63"/>
      <c r="P1680" s="63"/>
      <c r="Q1680" s="63"/>
      <c r="R1680" s="63"/>
      <c r="S1680" s="63"/>
      <c r="T1680" s="63"/>
      <c r="U1680" s="94"/>
      <c r="V1680" s="90"/>
      <c r="W1680" s="136"/>
      <c r="X1680" s="137"/>
    </row>
    <row r="1681" spans="2:24">
      <c r="B1681" s="132"/>
      <c r="C1681" s="36"/>
      <c r="D1681" s="123"/>
      <c r="E1681" s="123"/>
      <c r="F1681" s="133">
        <f>SUM(F1673:F1680)</f>
        <v>4750.2</v>
      </c>
      <c r="G1681" s="133">
        <f t="shared" ref="G1681:I1681" si="304">SUM(G1673:G1680)</f>
        <v>39.700000000000003</v>
      </c>
      <c r="H1681" s="133">
        <f t="shared" si="304"/>
        <v>0</v>
      </c>
      <c r="I1681" s="134">
        <f t="shared" si="304"/>
        <v>4710.5</v>
      </c>
      <c r="J1681" s="127"/>
      <c r="K1681" s="64"/>
      <c r="L1681" s="64"/>
      <c r="M1681" s="64"/>
      <c r="N1681" s="64"/>
      <c r="O1681" s="64"/>
      <c r="P1681" s="64"/>
      <c r="Q1681" s="64"/>
      <c r="R1681" s="64"/>
      <c r="S1681" s="64"/>
      <c r="T1681" s="127"/>
      <c r="U1681" s="135"/>
      <c r="V1681" s="129"/>
      <c r="W1681" s="130"/>
      <c r="X1681" s="131"/>
    </row>
    <row r="1682" spans="2:24">
      <c r="B1682" s="11"/>
      <c r="C1682" s="36"/>
      <c r="D1682" s="10"/>
      <c r="E1682" s="10"/>
      <c r="F1682" s="88"/>
      <c r="G1682" s="88"/>
      <c r="H1682" s="88"/>
      <c r="I1682" s="99"/>
      <c r="J1682" s="10"/>
      <c r="K1682" s="63"/>
      <c r="L1682" s="63"/>
      <c r="M1682" s="63"/>
      <c r="N1682" s="63"/>
      <c r="O1682" s="63"/>
      <c r="P1682" s="63"/>
      <c r="Q1682" s="63"/>
      <c r="R1682" s="63"/>
      <c r="S1682" s="63"/>
      <c r="T1682" s="63"/>
      <c r="U1682" s="94"/>
      <c r="V1682" s="90"/>
      <c r="W1682" s="91"/>
      <c r="X1682" s="92"/>
    </row>
    <row r="1683" spans="2:24">
      <c r="B1683" s="121" t="s">
        <v>71</v>
      </c>
      <c r="C1683" s="36"/>
      <c r="D1683" s="123"/>
      <c r="E1683" s="128"/>
      <c r="F1683" s="124"/>
      <c r="G1683" s="124"/>
      <c r="H1683" s="124"/>
      <c r="I1683" s="126"/>
      <c r="J1683" s="127"/>
      <c r="K1683" s="64"/>
      <c r="L1683" s="64"/>
      <c r="M1683" s="64"/>
      <c r="N1683" s="64"/>
      <c r="O1683" s="64"/>
      <c r="P1683" s="64"/>
      <c r="Q1683" s="64"/>
      <c r="R1683" s="64"/>
      <c r="S1683" s="64"/>
      <c r="T1683" s="127"/>
      <c r="U1683" s="135"/>
      <c r="V1683" s="129"/>
      <c r="W1683" s="130"/>
      <c r="X1683" s="131"/>
    </row>
    <row r="1684" spans="2:24">
      <c r="B1684" s="87">
        <v>1</v>
      </c>
      <c r="C1684" s="36"/>
      <c r="D1684" s="10"/>
      <c r="E1684" s="10"/>
      <c r="F1684" s="62"/>
      <c r="G1684" s="62"/>
      <c r="H1684" s="62"/>
      <c r="I1684" s="89">
        <f t="shared" ref="I1684:I1691" si="305">F1684-G1684-H1684</f>
        <v>0</v>
      </c>
      <c r="J1684" s="63"/>
      <c r="K1684" s="63"/>
      <c r="L1684" s="63"/>
      <c r="M1684" s="63"/>
      <c r="N1684" s="63"/>
      <c r="O1684" s="63"/>
      <c r="P1684" s="63"/>
      <c r="Q1684" s="63"/>
      <c r="R1684" s="63"/>
      <c r="S1684" s="63"/>
      <c r="T1684" s="63"/>
      <c r="U1684" s="94"/>
      <c r="V1684" s="90"/>
      <c r="W1684" s="136"/>
      <c r="X1684" s="137"/>
    </row>
    <row r="1685" spans="2:24">
      <c r="B1685" s="87">
        <f t="shared" ref="B1685:B1691" si="306">B1684+1</f>
        <v>2</v>
      </c>
      <c r="C1685" s="36"/>
      <c r="D1685" s="10"/>
      <c r="E1685" s="10"/>
      <c r="F1685" s="62"/>
      <c r="G1685" s="62"/>
      <c r="H1685" s="62"/>
      <c r="I1685" s="89">
        <f t="shared" si="305"/>
        <v>0</v>
      </c>
      <c r="J1685" s="63"/>
      <c r="K1685" s="63"/>
      <c r="L1685" s="63"/>
      <c r="M1685" s="63"/>
      <c r="N1685" s="63"/>
      <c r="O1685" s="63"/>
      <c r="P1685" s="63"/>
      <c r="Q1685" s="63"/>
      <c r="R1685" s="63"/>
      <c r="S1685" s="63"/>
      <c r="T1685" s="63"/>
      <c r="U1685" s="94"/>
      <c r="V1685" s="90"/>
      <c r="W1685" s="136"/>
      <c r="X1685" s="137"/>
    </row>
    <row r="1686" spans="2:24">
      <c r="B1686" s="87">
        <f t="shared" si="306"/>
        <v>3</v>
      </c>
      <c r="C1686" s="36"/>
      <c r="D1686" s="10"/>
      <c r="E1686" s="10"/>
      <c r="F1686" s="62"/>
      <c r="G1686" s="62"/>
      <c r="H1686" s="62"/>
      <c r="I1686" s="89">
        <f t="shared" si="305"/>
        <v>0</v>
      </c>
      <c r="J1686" s="63"/>
      <c r="K1686" s="63"/>
      <c r="L1686" s="63"/>
      <c r="M1686" s="63"/>
      <c r="N1686" s="63"/>
      <c r="O1686" s="63"/>
      <c r="P1686" s="63"/>
      <c r="Q1686" s="63"/>
      <c r="R1686" s="63"/>
      <c r="S1686" s="63"/>
      <c r="T1686" s="63"/>
      <c r="U1686" s="94"/>
      <c r="V1686" s="90"/>
      <c r="W1686" s="136"/>
      <c r="X1686" s="137"/>
    </row>
    <row r="1687" spans="2:24">
      <c r="B1687" s="87">
        <f t="shared" si="306"/>
        <v>4</v>
      </c>
      <c r="C1687" s="36"/>
      <c r="D1687" s="10"/>
      <c r="E1687" s="10"/>
      <c r="F1687" s="62"/>
      <c r="G1687" s="62"/>
      <c r="H1687" s="62"/>
      <c r="I1687" s="89">
        <f t="shared" si="305"/>
        <v>0</v>
      </c>
      <c r="J1687" s="63"/>
      <c r="K1687" s="63"/>
      <c r="L1687" s="63"/>
      <c r="M1687" s="63"/>
      <c r="N1687" s="63"/>
      <c r="O1687" s="63"/>
      <c r="P1687" s="63"/>
      <c r="Q1687" s="63"/>
      <c r="R1687" s="63"/>
      <c r="S1687" s="63"/>
      <c r="T1687" s="63"/>
      <c r="U1687" s="94"/>
      <c r="V1687" s="90"/>
      <c r="W1687" s="136"/>
      <c r="X1687" s="137"/>
    </row>
    <row r="1688" spans="2:24">
      <c r="B1688" s="87">
        <f t="shared" si="306"/>
        <v>5</v>
      </c>
      <c r="C1688" s="36"/>
      <c r="D1688" s="10"/>
      <c r="E1688" s="10"/>
      <c r="F1688" s="62"/>
      <c r="G1688" s="62"/>
      <c r="H1688" s="62"/>
      <c r="I1688" s="89">
        <f t="shared" si="305"/>
        <v>0</v>
      </c>
      <c r="J1688" s="63"/>
      <c r="K1688" s="63"/>
      <c r="L1688" s="63"/>
      <c r="M1688" s="63"/>
      <c r="N1688" s="63"/>
      <c r="O1688" s="63"/>
      <c r="P1688" s="63"/>
      <c r="Q1688" s="63"/>
      <c r="R1688" s="63"/>
      <c r="S1688" s="63"/>
      <c r="T1688" s="63"/>
      <c r="U1688" s="94"/>
      <c r="V1688" s="90"/>
      <c r="W1688" s="136"/>
      <c r="X1688" s="137"/>
    </row>
    <row r="1689" spans="2:24">
      <c r="B1689" s="87">
        <f t="shared" si="306"/>
        <v>6</v>
      </c>
      <c r="C1689" s="36"/>
      <c r="D1689" s="10"/>
      <c r="E1689" s="10"/>
      <c r="F1689" s="62"/>
      <c r="G1689" s="62"/>
      <c r="H1689" s="62"/>
      <c r="I1689" s="89">
        <f t="shared" si="305"/>
        <v>0</v>
      </c>
      <c r="J1689" s="63"/>
      <c r="K1689" s="63"/>
      <c r="L1689" s="63"/>
      <c r="M1689" s="63"/>
      <c r="N1689" s="63"/>
      <c r="O1689" s="63"/>
      <c r="P1689" s="63"/>
      <c r="Q1689" s="63"/>
      <c r="R1689" s="63"/>
      <c r="S1689" s="63"/>
      <c r="T1689" s="63"/>
      <c r="U1689" s="94"/>
      <c r="V1689" s="90"/>
      <c r="W1689" s="136"/>
      <c r="X1689" s="137"/>
    </row>
    <row r="1690" spans="2:24">
      <c r="B1690" s="87">
        <f t="shared" si="306"/>
        <v>7</v>
      </c>
      <c r="C1690" s="36"/>
      <c r="D1690" s="10"/>
      <c r="E1690" s="10"/>
      <c r="F1690" s="62"/>
      <c r="G1690" s="62"/>
      <c r="H1690" s="62"/>
      <c r="I1690" s="89">
        <f t="shared" si="305"/>
        <v>0</v>
      </c>
      <c r="J1690" s="63"/>
      <c r="K1690" s="63"/>
      <c r="L1690" s="63"/>
      <c r="M1690" s="63"/>
      <c r="N1690" s="63"/>
      <c r="O1690" s="63"/>
      <c r="P1690" s="63"/>
      <c r="Q1690" s="63"/>
      <c r="R1690" s="63"/>
      <c r="S1690" s="63"/>
      <c r="T1690" s="63"/>
      <c r="U1690" s="94"/>
      <c r="V1690" s="90"/>
      <c r="W1690" s="136"/>
      <c r="X1690" s="137"/>
    </row>
    <row r="1691" spans="2:24">
      <c r="B1691" s="87">
        <f t="shared" si="306"/>
        <v>8</v>
      </c>
      <c r="C1691" s="36"/>
      <c r="D1691" s="10"/>
      <c r="E1691" s="10"/>
      <c r="F1691" s="62"/>
      <c r="G1691" s="62"/>
      <c r="H1691" s="62"/>
      <c r="I1691" s="89">
        <f t="shared" si="305"/>
        <v>0</v>
      </c>
      <c r="J1691" s="63"/>
      <c r="K1691" s="63"/>
      <c r="L1691" s="63"/>
      <c r="M1691" s="63"/>
      <c r="N1691" s="63"/>
      <c r="O1691" s="63"/>
      <c r="P1691" s="63"/>
      <c r="Q1691" s="63"/>
      <c r="R1691" s="63"/>
      <c r="S1691" s="63"/>
      <c r="T1691" s="63"/>
      <c r="U1691" s="94"/>
      <c r="V1691" s="90"/>
      <c r="W1691" s="136"/>
      <c r="X1691" s="137"/>
    </row>
    <row r="1692" spans="2:24">
      <c r="B1692" s="132"/>
      <c r="C1692" s="36"/>
      <c r="D1692" s="123"/>
      <c r="E1692" s="123"/>
      <c r="F1692" s="133">
        <f>SUM(F1684:F1691)</f>
        <v>0</v>
      </c>
      <c r="G1692" s="133">
        <f>SUM(G1684:G1691)</f>
        <v>0</v>
      </c>
      <c r="H1692" s="133">
        <f>SUM(H1684:H1691)</f>
        <v>0</v>
      </c>
      <c r="I1692" s="134">
        <f>SUM(I1684:I1691)</f>
        <v>0</v>
      </c>
      <c r="J1692" s="127"/>
      <c r="K1692" s="64"/>
      <c r="L1692" s="64"/>
      <c r="M1692" s="64"/>
      <c r="N1692" s="64"/>
      <c r="O1692" s="64"/>
      <c r="P1692" s="64"/>
      <c r="Q1692" s="64"/>
      <c r="R1692" s="64"/>
      <c r="S1692" s="64"/>
      <c r="T1692" s="127"/>
      <c r="U1692" s="135"/>
      <c r="V1692" s="129"/>
      <c r="W1692" s="130"/>
      <c r="X1692" s="131"/>
    </row>
    <row r="1693" spans="2:24">
      <c r="B1693" s="11"/>
      <c r="C1693" s="36"/>
      <c r="D1693" s="10"/>
      <c r="E1693" s="10"/>
      <c r="F1693" s="88"/>
      <c r="G1693" s="88"/>
      <c r="H1693" s="88"/>
      <c r="I1693" s="99"/>
      <c r="J1693" s="63"/>
      <c r="K1693" s="21"/>
      <c r="L1693" s="21"/>
      <c r="M1693" s="21"/>
      <c r="N1693" s="21"/>
      <c r="O1693" s="21"/>
      <c r="P1693" s="21"/>
      <c r="Q1693" s="21"/>
      <c r="R1693" s="21"/>
      <c r="S1693" s="21"/>
      <c r="T1693" s="63"/>
      <c r="U1693" s="94"/>
      <c r="V1693" s="90"/>
      <c r="W1693" s="91"/>
      <c r="X1693" s="92"/>
    </row>
    <row r="1694" spans="2:24">
      <c r="B1694" s="100" t="s">
        <v>72</v>
      </c>
      <c r="C1694" s="36"/>
      <c r="D1694" s="10"/>
      <c r="E1694" s="10"/>
      <c r="F1694" s="88"/>
      <c r="G1694" s="88"/>
      <c r="H1694" s="88"/>
      <c r="I1694" s="99"/>
      <c r="J1694" s="63"/>
      <c r="K1694" s="63"/>
      <c r="L1694" s="63"/>
      <c r="M1694" s="63"/>
      <c r="N1694" s="63"/>
      <c r="O1694" s="63"/>
      <c r="P1694" s="63"/>
      <c r="Q1694" s="63"/>
      <c r="R1694" s="63"/>
      <c r="S1694" s="63"/>
      <c r="T1694" s="63"/>
      <c r="U1694" s="94"/>
      <c r="V1694" s="90"/>
      <c r="W1694" s="91"/>
      <c r="X1694" s="92"/>
    </row>
    <row r="1695" spans="2:24">
      <c r="B1695" s="87">
        <v>1</v>
      </c>
      <c r="C1695" s="274">
        <v>45964</v>
      </c>
      <c r="D1695" s="276" t="s">
        <v>2726</v>
      </c>
      <c r="E1695" s="281" t="s">
        <v>1085</v>
      </c>
      <c r="F1695" s="277">
        <v>861</v>
      </c>
      <c r="G1695" s="277">
        <v>39.700000000000003</v>
      </c>
      <c r="H1695" s="277"/>
      <c r="I1695" s="278">
        <f>F1695-G1695-H1695</f>
        <v>821.3</v>
      </c>
      <c r="J1695" s="279" t="s">
        <v>205</v>
      </c>
      <c r="K1695" s="279">
        <v>1</v>
      </c>
      <c r="L1695" s="279"/>
      <c r="M1695" s="279"/>
      <c r="N1695" s="279">
        <v>1</v>
      </c>
      <c r="O1695" s="279"/>
      <c r="P1695" s="279"/>
      <c r="Q1695" s="279"/>
      <c r="R1695" s="279"/>
      <c r="S1695" s="280"/>
      <c r="T1695" s="63"/>
      <c r="U1695" s="164"/>
      <c r="V1695" s="90"/>
      <c r="W1695" s="91"/>
      <c r="X1695" s="92"/>
    </row>
    <row r="1696" spans="2:24">
      <c r="B1696" s="87">
        <f>B1695+1</f>
        <v>2</v>
      </c>
      <c r="C1696" s="295">
        <v>45964</v>
      </c>
      <c r="D1696" s="10">
        <v>75079</v>
      </c>
      <c r="E1696" s="10" t="s">
        <v>1345</v>
      </c>
      <c r="F1696" s="62">
        <v>1461</v>
      </c>
      <c r="G1696" s="62">
        <v>39.700000000000003</v>
      </c>
      <c r="H1696" s="62"/>
      <c r="I1696" s="89">
        <f t="shared" ref="I1696:I1712" si="307">F1696-G1696-H1696</f>
        <v>1421.3</v>
      </c>
      <c r="J1696" s="63" t="s">
        <v>205</v>
      </c>
      <c r="K1696" s="63">
        <v>1</v>
      </c>
      <c r="L1696" s="63"/>
      <c r="M1696" s="63"/>
      <c r="N1696" s="63">
        <v>1</v>
      </c>
      <c r="O1696" s="63"/>
      <c r="P1696" s="63"/>
      <c r="Q1696" s="63">
        <v>1</v>
      </c>
      <c r="R1696" s="63">
        <v>1</v>
      </c>
      <c r="S1696" s="296">
        <v>1</v>
      </c>
      <c r="T1696" s="63"/>
      <c r="U1696" s="94"/>
      <c r="V1696" s="90"/>
      <c r="W1696" s="136"/>
      <c r="X1696" s="137"/>
    </row>
    <row r="1697" spans="2:24">
      <c r="B1697" s="87">
        <f t="shared" ref="B1697:B1712" si="308">B1696+1</f>
        <v>3</v>
      </c>
      <c r="C1697" s="282">
        <v>45964</v>
      </c>
      <c r="D1697" s="283">
        <v>75067</v>
      </c>
      <c r="E1697" s="283" t="s">
        <v>1313</v>
      </c>
      <c r="F1697" s="284">
        <v>0</v>
      </c>
      <c r="G1697" s="284">
        <v>0</v>
      </c>
      <c r="H1697" s="284"/>
      <c r="I1697" s="285">
        <f t="shared" si="307"/>
        <v>0</v>
      </c>
      <c r="J1697" s="286" t="s">
        <v>205</v>
      </c>
      <c r="K1697" s="286"/>
      <c r="L1697" s="286"/>
      <c r="M1697" s="286"/>
      <c r="N1697" s="286"/>
      <c r="O1697" s="286"/>
      <c r="P1697" s="286"/>
      <c r="Q1697" s="286">
        <v>1</v>
      </c>
      <c r="R1697" s="286">
        <v>1</v>
      </c>
      <c r="S1697" s="287">
        <v>1</v>
      </c>
      <c r="T1697" s="63"/>
      <c r="U1697" s="94"/>
      <c r="V1697" s="90"/>
      <c r="W1697" s="136"/>
      <c r="X1697" s="137"/>
    </row>
    <row r="1698" spans="2:24">
      <c r="B1698" s="87">
        <f t="shared" si="308"/>
        <v>4</v>
      </c>
      <c r="C1698" s="36"/>
      <c r="D1698" s="10"/>
      <c r="E1698" s="10"/>
      <c r="F1698" s="62"/>
      <c r="G1698" s="62"/>
      <c r="H1698" s="62"/>
      <c r="I1698" s="89">
        <f t="shared" si="307"/>
        <v>0</v>
      </c>
      <c r="J1698" s="63"/>
      <c r="K1698" s="63"/>
      <c r="L1698" s="63"/>
      <c r="M1698" s="63"/>
      <c r="N1698" s="63"/>
      <c r="O1698" s="63"/>
      <c r="P1698" s="63"/>
      <c r="Q1698" s="63"/>
      <c r="R1698" s="63"/>
      <c r="S1698" s="63"/>
      <c r="T1698" s="63"/>
      <c r="U1698" s="94"/>
      <c r="V1698" s="90"/>
      <c r="W1698" s="136"/>
      <c r="X1698" s="137"/>
    </row>
    <row r="1699" spans="2:24">
      <c r="B1699" s="87">
        <f t="shared" si="308"/>
        <v>5</v>
      </c>
      <c r="C1699" s="36"/>
      <c r="D1699" s="10"/>
      <c r="E1699" s="10"/>
      <c r="F1699" s="62"/>
      <c r="G1699" s="62"/>
      <c r="H1699" s="62"/>
      <c r="I1699" s="89">
        <f t="shared" si="307"/>
        <v>0</v>
      </c>
      <c r="J1699" s="63"/>
      <c r="K1699" s="63"/>
      <c r="L1699" s="63"/>
      <c r="M1699" s="63"/>
      <c r="N1699" s="63"/>
      <c r="O1699" s="63"/>
      <c r="P1699" s="63"/>
      <c r="Q1699" s="63"/>
      <c r="R1699" s="63"/>
      <c r="S1699" s="63"/>
      <c r="T1699" s="63"/>
      <c r="U1699" s="94"/>
      <c r="V1699" s="90"/>
      <c r="W1699" s="136"/>
      <c r="X1699" s="137"/>
    </row>
    <row r="1700" spans="2:24">
      <c r="B1700" s="87">
        <f t="shared" si="308"/>
        <v>6</v>
      </c>
      <c r="C1700" s="36"/>
      <c r="D1700" s="10"/>
      <c r="E1700" s="101"/>
      <c r="F1700" s="62"/>
      <c r="G1700" s="62"/>
      <c r="H1700" s="62"/>
      <c r="I1700" s="89">
        <f t="shared" si="307"/>
        <v>0</v>
      </c>
      <c r="J1700" s="63"/>
      <c r="K1700" s="63"/>
      <c r="L1700" s="63"/>
      <c r="M1700" s="63"/>
      <c r="N1700" s="63"/>
      <c r="O1700" s="63"/>
      <c r="P1700" s="63"/>
      <c r="Q1700" s="63"/>
      <c r="R1700" s="63"/>
      <c r="S1700" s="63"/>
      <c r="T1700" s="63"/>
      <c r="U1700" s="94"/>
      <c r="V1700" s="90"/>
      <c r="W1700" s="136"/>
      <c r="X1700" s="137"/>
    </row>
    <row r="1701" spans="2:24">
      <c r="B1701" s="87">
        <f t="shared" si="308"/>
        <v>7</v>
      </c>
      <c r="C1701" s="36"/>
      <c r="D1701" s="10"/>
      <c r="E1701" s="101"/>
      <c r="F1701" s="62"/>
      <c r="G1701" s="62"/>
      <c r="H1701" s="62"/>
      <c r="I1701" s="89">
        <f t="shared" si="307"/>
        <v>0</v>
      </c>
      <c r="J1701" s="63"/>
      <c r="K1701" s="63"/>
      <c r="L1701" s="63"/>
      <c r="M1701" s="63"/>
      <c r="N1701" s="63"/>
      <c r="O1701" s="63"/>
      <c r="P1701" s="63"/>
      <c r="Q1701" s="63"/>
      <c r="R1701" s="63"/>
      <c r="S1701" s="63"/>
      <c r="T1701" s="63"/>
      <c r="U1701" s="94"/>
      <c r="V1701" s="90"/>
      <c r="W1701" s="136"/>
      <c r="X1701" s="137"/>
    </row>
    <row r="1702" spans="2:24">
      <c r="B1702" s="87">
        <f t="shared" si="308"/>
        <v>8</v>
      </c>
      <c r="C1702" s="36"/>
      <c r="D1702" s="10"/>
      <c r="E1702" s="101"/>
      <c r="F1702" s="62"/>
      <c r="G1702" s="62"/>
      <c r="H1702" s="62"/>
      <c r="I1702" s="89">
        <f t="shared" si="307"/>
        <v>0</v>
      </c>
      <c r="J1702" s="63"/>
      <c r="K1702" s="63"/>
      <c r="L1702" s="63"/>
      <c r="M1702" s="63"/>
      <c r="N1702" s="63"/>
      <c r="O1702" s="63"/>
      <c r="P1702" s="63"/>
      <c r="Q1702" s="63"/>
      <c r="R1702" s="63"/>
      <c r="S1702" s="63"/>
      <c r="T1702" s="63"/>
      <c r="U1702" s="94"/>
      <c r="V1702" s="90"/>
      <c r="W1702" s="136"/>
      <c r="X1702" s="137"/>
    </row>
    <row r="1703" spans="2:24">
      <c r="B1703" s="87">
        <f t="shared" si="308"/>
        <v>9</v>
      </c>
      <c r="C1703" s="36"/>
      <c r="D1703" s="10"/>
      <c r="E1703" s="101"/>
      <c r="F1703" s="62"/>
      <c r="G1703" s="62"/>
      <c r="H1703" s="62"/>
      <c r="I1703" s="89">
        <f t="shared" si="307"/>
        <v>0</v>
      </c>
      <c r="J1703" s="63"/>
      <c r="K1703" s="63"/>
      <c r="L1703" s="63"/>
      <c r="M1703" s="63"/>
      <c r="N1703" s="63"/>
      <c r="O1703" s="63"/>
      <c r="P1703" s="63"/>
      <c r="Q1703" s="63"/>
      <c r="R1703" s="63"/>
      <c r="S1703" s="63"/>
      <c r="T1703" s="63"/>
      <c r="U1703" s="94"/>
      <c r="V1703" s="90"/>
      <c r="W1703" s="136"/>
      <c r="X1703" s="137"/>
    </row>
    <row r="1704" spans="2:24">
      <c r="B1704" s="87">
        <f t="shared" si="308"/>
        <v>10</v>
      </c>
      <c r="C1704" s="36"/>
      <c r="D1704" s="10"/>
      <c r="E1704" s="101"/>
      <c r="F1704" s="62"/>
      <c r="G1704" s="62"/>
      <c r="H1704" s="62"/>
      <c r="I1704" s="89">
        <f t="shared" si="307"/>
        <v>0</v>
      </c>
      <c r="J1704" s="63"/>
      <c r="K1704" s="63"/>
      <c r="L1704" s="63"/>
      <c r="M1704" s="63"/>
      <c r="N1704" s="63"/>
      <c r="O1704" s="63"/>
      <c r="P1704" s="63"/>
      <c r="Q1704" s="63"/>
      <c r="R1704" s="63"/>
      <c r="S1704" s="63"/>
      <c r="T1704" s="63"/>
      <c r="U1704" s="94"/>
      <c r="V1704" s="90"/>
      <c r="W1704" s="136"/>
      <c r="X1704" s="137"/>
    </row>
    <row r="1705" spans="2:24">
      <c r="B1705" s="87">
        <f t="shared" si="308"/>
        <v>11</v>
      </c>
      <c r="C1705" s="36"/>
      <c r="D1705" s="10"/>
      <c r="E1705" s="101"/>
      <c r="F1705" s="62"/>
      <c r="G1705" s="62"/>
      <c r="H1705" s="62"/>
      <c r="I1705" s="89">
        <f t="shared" si="307"/>
        <v>0</v>
      </c>
      <c r="J1705" s="63"/>
      <c r="K1705" s="63"/>
      <c r="L1705" s="63"/>
      <c r="M1705" s="63"/>
      <c r="N1705" s="63"/>
      <c r="O1705" s="63"/>
      <c r="P1705" s="63"/>
      <c r="Q1705" s="63"/>
      <c r="R1705" s="63"/>
      <c r="S1705" s="63"/>
      <c r="T1705" s="63"/>
      <c r="U1705" s="94"/>
      <c r="V1705" s="90"/>
      <c r="W1705" s="136"/>
      <c r="X1705" s="137"/>
    </row>
    <row r="1706" spans="2:24">
      <c r="B1706" s="87">
        <f t="shared" si="308"/>
        <v>12</v>
      </c>
      <c r="C1706" s="36"/>
      <c r="D1706" s="10"/>
      <c r="E1706" s="101"/>
      <c r="F1706" s="62"/>
      <c r="G1706" s="62"/>
      <c r="H1706" s="62"/>
      <c r="I1706" s="89">
        <f t="shared" si="307"/>
        <v>0</v>
      </c>
      <c r="J1706" s="63"/>
      <c r="K1706" s="63"/>
      <c r="L1706" s="63"/>
      <c r="M1706" s="63"/>
      <c r="N1706" s="63"/>
      <c r="O1706" s="63"/>
      <c r="P1706" s="63"/>
      <c r="Q1706" s="63"/>
      <c r="R1706" s="63"/>
      <c r="S1706" s="63"/>
      <c r="T1706" s="63"/>
      <c r="U1706" s="94"/>
      <c r="V1706" s="90"/>
      <c r="W1706" s="136"/>
      <c r="X1706" s="137"/>
    </row>
    <row r="1707" spans="2:24">
      <c r="B1707" s="87">
        <f t="shared" si="308"/>
        <v>13</v>
      </c>
      <c r="C1707" s="36"/>
      <c r="D1707" s="10"/>
      <c r="E1707" s="101"/>
      <c r="F1707" s="62"/>
      <c r="G1707" s="62"/>
      <c r="H1707" s="62"/>
      <c r="I1707" s="89">
        <f t="shared" si="307"/>
        <v>0</v>
      </c>
      <c r="J1707" s="63"/>
      <c r="K1707" s="63"/>
      <c r="L1707" s="63"/>
      <c r="M1707" s="63"/>
      <c r="N1707" s="63"/>
      <c r="O1707" s="63"/>
      <c r="P1707" s="63"/>
      <c r="Q1707" s="63"/>
      <c r="R1707" s="63"/>
      <c r="S1707" s="63"/>
      <c r="T1707" s="63"/>
      <c r="U1707" s="94"/>
      <c r="V1707" s="90"/>
      <c r="W1707" s="136"/>
      <c r="X1707" s="137"/>
    </row>
    <row r="1708" spans="2:24">
      <c r="B1708" s="87">
        <f t="shared" si="308"/>
        <v>14</v>
      </c>
      <c r="C1708" s="36"/>
      <c r="D1708" s="10"/>
      <c r="E1708" s="10"/>
      <c r="F1708" s="62"/>
      <c r="G1708" s="62"/>
      <c r="H1708" s="62"/>
      <c r="I1708" s="89">
        <f t="shared" si="307"/>
        <v>0</v>
      </c>
      <c r="J1708" s="63"/>
      <c r="K1708" s="63"/>
      <c r="L1708" s="63"/>
      <c r="M1708" s="63"/>
      <c r="N1708" s="63"/>
      <c r="O1708" s="63"/>
      <c r="P1708" s="63"/>
      <c r="Q1708" s="63"/>
      <c r="R1708" s="63"/>
      <c r="S1708" s="63"/>
      <c r="T1708" s="63"/>
      <c r="U1708" s="94"/>
      <c r="V1708" s="90"/>
      <c r="W1708" s="136"/>
      <c r="X1708" s="137"/>
    </row>
    <row r="1709" spans="2:24">
      <c r="B1709" s="87">
        <f t="shared" si="308"/>
        <v>15</v>
      </c>
      <c r="C1709" s="36"/>
      <c r="D1709" s="10"/>
      <c r="E1709" s="10"/>
      <c r="F1709" s="62"/>
      <c r="G1709" s="62"/>
      <c r="H1709" s="62"/>
      <c r="I1709" s="89">
        <f t="shared" si="307"/>
        <v>0</v>
      </c>
      <c r="J1709" s="63"/>
      <c r="K1709" s="63"/>
      <c r="L1709" s="63"/>
      <c r="M1709" s="63"/>
      <c r="N1709" s="63"/>
      <c r="O1709" s="63"/>
      <c r="P1709" s="63"/>
      <c r="Q1709" s="63"/>
      <c r="R1709" s="63"/>
      <c r="S1709" s="63"/>
      <c r="T1709" s="63"/>
      <c r="U1709" s="94"/>
      <c r="V1709" s="90"/>
      <c r="W1709" s="136"/>
      <c r="X1709" s="137"/>
    </row>
    <row r="1710" spans="2:24">
      <c r="B1710" s="87">
        <f t="shared" si="308"/>
        <v>16</v>
      </c>
      <c r="C1710" s="36"/>
      <c r="D1710" s="10"/>
      <c r="E1710" s="10"/>
      <c r="F1710" s="62"/>
      <c r="G1710" s="62"/>
      <c r="H1710" s="62"/>
      <c r="I1710" s="89">
        <f t="shared" si="307"/>
        <v>0</v>
      </c>
      <c r="J1710" s="63"/>
      <c r="K1710" s="63"/>
      <c r="L1710" s="63"/>
      <c r="M1710" s="63"/>
      <c r="N1710" s="63"/>
      <c r="O1710" s="63"/>
      <c r="P1710" s="63"/>
      <c r="Q1710" s="63"/>
      <c r="R1710" s="63"/>
      <c r="S1710" s="63"/>
      <c r="T1710" s="63"/>
      <c r="U1710" s="94"/>
      <c r="V1710" s="90"/>
      <c r="W1710" s="136"/>
      <c r="X1710" s="137"/>
    </row>
    <row r="1711" spans="2:24">
      <c r="B1711" s="87">
        <f t="shared" si="308"/>
        <v>17</v>
      </c>
      <c r="C1711" s="36"/>
      <c r="D1711" s="10"/>
      <c r="E1711" s="10"/>
      <c r="F1711" s="62"/>
      <c r="G1711" s="62"/>
      <c r="H1711" s="62"/>
      <c r="I1711" s="89">
        <f t="shared" si="307"/>
        <v>0</v>
      </c>
      <c r="J1711" s="63"/>
      <c r="K1711" s="63"/>
      <c r="L1711" s="63"/>
      <c r="M1711" s="63"/>
      <c r="N1711" s="63"/>
      <c r="O1711" s="63"/>
      <c r="P1711" s="63"/>
      <c r="Q1711" s="63"/>
      <c r="R1711" s="63"/>
      <c r="S1711" s="63"/>
      <c r="T1711" s="63"/>
      <c r="U1711" s="94"/>
      <c r="V1711" s="90"/>
      <c r="W1711" s="136"/>
      <c r="X1711" s="137"/>
    </row>
    <row r="1712" spans="2:24">
      <c r="B1712" s="87">
        <f t="shared" si="308"/>
        <v>18</v>
      </c>
      <c r="C1712" s="36"/>
      <c r="D1712" s="10"/>
      <c r="E1712" s="10"/>
      <c r="F1712" s="62"/>
      <c r="G1712" s="62"/>
      <c r="H1712" s="62"/>
      <c r="I1712" s="89">
        <f t="shared" si="307"/>
        <v>0</v>
      </c>
      <c r="J1712" s="63"/>
      <c r="K1712" s="63"/>
      <c r="L1712" s="63"/>
      <c r="M1712" s="63"/>
      <c r="N1712" s="63"/>
      <c r="O1712" s="63"/>
      <c r="P1712" s="63"/>
      <c r="Q1712" s="63"/>
      <c r="R1712" s="63"/>
      <c r="S1712" s="63"/>
      <c r="T1712" s="63"/>
      <c r="U1712" s="94"/>
      <c r="V1712" s="90"/>
      <c r="W1712" s="136"/>
      <c r="X1712" s="137"/>
    </row>
    <row r="1713" spans="2:24">
      <c r="B1713" s="11"/>
      <c r="C1713" s="36"/>
      <c r="D1713" s="10"/>
      <c r="E1713" s="10"/>
      <c r="F1713" s="97">
        <f>SUM(F1695:F1712)</f>
        <v>2322</v>
      </c>
      <c r="G1713" s="97">
        <f t="shared" ref="G1713:I1713" si="309">SUM(G1695:G1712)</f>
        <v>79.400000000000006</v>
      </c>
      <c r="H1713" s="97">
        <f t="shared" si="309"/>
        <v>0</v>
      </c>
      <c r="I1713" s="98">
        <f t="shared" si="309"/>
        <v>2242.6</v>
      </c>
      <c r="J1713" s="10"/>
      <c r="K1713" s="10"/>
      <c r="L1713" s="10"/>
      <c r="M1713" s="10"/>
      <c r="N1713" s="10"/>
      <c r="O1713" s="10"/>
      <c r="P1713" s="10"/>
      <c r="Q1713" s="10"/>
      <c r="R1713" s="10"/>
      <c r="S1713" s="10"/>
      <c r="T1713" s="63"/>
      <c r="U1713" s="94"/>
      <c r="V1713" s="90"/>
      <c r="W1713" s="91"/>
      <c r="X1713" s="92"/>
    </row>
    <row r="1714" spans="2:24">
      <c r="B1714" s="11"/>
      <c r="C1714" s="36"/>
      <c r="D1714" s="10"/>
      <c r="E1714" s="10"/>
      <c r="F1714" s="88"/>
      <c r="G1714" s="88"/>
      <c r="H1714" s="88"/>
      <c r="I1714" s="99"/>
      <c r="J1714" s="10"/>
      <c r="K1714" s="10"/>
      <c r="L1714" s="10"/>
      <c r="M1714" s="10"/>
      <c r="N1714" s="10"/>
      <c r="O1714" s="10"/>
      <c r="P1714" s="10"/>
      <c r="Q1714" s="10"/>
      <c r="R1714" s="10"/>
      <c r="S1714" s="10"/>
      <c r="T1714" s="63"/>
      <c r="U1714" s="94"/>
      <c r="V1714" s="165"/>
      <c r="W1714" s="166"/>
      <c r="X1714" s="167"/>
    </row>
    <row r="1715" spans="2:24">
      <c r="B1715" s="100" t="s">
        <v>73</v>
      </c>
      <c r="C1715" s="36"/>
      <c r="D1715" s="10"/>
      <c r="E1715" s="10"/>
      <c r="F1715" s="88"/>
      <c r="G1715" s="88"/>
      <c r="H1715" s="88"/>
      <c r="I1715" s="99"/>
      <c r="J1715" s="63"/>
      <c r="K1715" s="63"/>
      <c r="L1715" s="63"/>
      <c r="M1715" s="63"/>
      <c r="N1715" s="63"/>
      <c r="O1715" s="63"/>
      <c r="P1715" s="63"/>
      <c r="Q1715" s="63"/>
      <c r="R1715" s="63"/>
      <c r="S1715" s="63"/>
      <c r="T1715" s="63"/>
      <c r="U1715" s="94"/>
      <c r="V1715" s="90"/>
      <c r="W1715" s="91"/>
      <c r="X1715" s="92"/>
    </row>
    <row r="1716" spans="2:24">
      <c r="B1716" s="87">
        <v>1</v>
      </c>
      <c r="C1716" s="36"/>
      <c r="D1716" s="10"/>
      <c r="E1716" s="10"/>
      <c r="F1716" s="62"/>
      <c r="G1716" s="62"/>
      <c r="H1716" s="62"/>
      <c r="I1716" s="89">
        <f t="shared" ref="I1716:I1721" si="310">F1716-G1716-H1716</f>
        <v>0</v>
      </c>
      <c r="J1716" s="63"/>
      <c r="K1716" s="63"/>
      <c r="L1716" s="63"/>
      <c r="M1716" s="63"/>
      <c r="N1716" s="63"/>
      <c r="O1716" s="63"/>
      <c r="P1716" s="63"/>
      <c r="Q1716" s="63"/>
      <c r="R1716" s="63"/>
      <c r="S1716" s="63"/>
      <c r="T1716" s="63"/>
      <c r="U1716" s="139"/>
      <c r="V1716" s="90"/>
      <c r="W1716" s="91"/>
      <c r="X1716" s="92"/>
    </row>
    <row r="1717" spans="2:24">
      <c r="B1717" s="87">
        <f>B1716+1</f>
        <v>2</v>
      </c>
      <c r="C1717" s="36"/>
      <c r="D1717" s="10"/>
      <c r="E1717" s="10"/>
      <c r="F1717" s="62"/>
      <c r="G1717" s="62"/>
      <c r="H1717" s="62"/>
      <c r="I1717" s="89">
        <f t="shared" si="310"/>
        <v>0</v>
      </c>
      <c r="J1717" s="63"/>
      <c r="K1717" s="63"/>
      <c r="L1717" s="63"/>
      <c r="M1717" s="63"/>
      <c r="N1717" s="63"/>
      <c r="O1717" s="63"/>
      <c r="P1717" s="63"/>
      <c r="Q1717" s="63"/>
      <c r="R1717" s="63"/>
      <c r="S1717" s="63"/>
      <c r="T1717" s="63"/>
      <c r="U1717" s="94"/>
      <c r="V1717" s="90"/>
      <c r="W1717" s="136"/>
      <c r="X1717" s="137"/>
    </row>
    <row r="1718" spans="2:24">
      <c r="B1718" s="87">
        <f>B1717+1</f>
        <v>3</v>
      </c>
      <c r="C1718" s="36"/>
      <c r="D1718" s="10"/>
      <c r="E1718" s="10"/>
      <c r="F1718" s="62"/>
      <c r="G1718" s="62"/>
      <c r="H1718" s="62"/>
      <c r="I1718" s="89">
        <f t="shared" si="310"/>
        <v>0</v>
      </c>
      <c r="J1718" s="63"/>
      <c r="K1718" s="63"/>
      <c r="L1718" s="63"/>
      <c r="M1718" s="63"/>
      <c r="N1718" s="63"/>
      <c r="O1718" s="63"/>
      <c r="P1718" s="63"/>
      <c r="Q1718" s="63"/>
      <c r="R1718" s="63"/>
      <c r="S1718" s="63"/>
      <c r="T1718" s="63"/>
      <c r="U1718" s="94"/>
      <c r="V1718" s="90"/>
      <c r="W1718" s="136"/>
      <c r="X1718" s="137"/>
    </row>
    <row r="1719" spans="2:24">
      <c r="B1719" s="87">
        <f>B1718+1</f>
        <v>4</v>
      </c>
      <c r="C1719" s="36"/>
      <c r="D1719" s="10"/>
      <c r="E1719" s="10"/>
      <c r="F1719" s="62"/>
      <c r="G1719" s="62"/>
      <c r="H1719" s="62"/>
      <c r="I1719" s="89">
        <f t="shared" si="310"/>
        <v>0</v>
      </c>
      <c r="J1719" s="63"/>
      <c r="K1719" s="63"/>
      <c r="L1719" s="63"/>
      <c r="M1719" s="63"/>
      <c r="N1719" s="63"/>
      <c r="O1719" s="63"/>
      <c r="P1719" s="63"/>
      <c r="Q1719" s="63"/>
      <c r="R1719" s="63"/>
      <c r="S1719" s="63"/>
      <c r="T1719" s="63"/>
      <c r="U1719" s="94"/>
      <c r="V1719" s="90"/>
      <c r="W1719" s="136"/>
      <c r="X1719" s="137"/>
    </row>
    <row r="1720" spans="2:24">
      <c r="B1720" s="87">
        <f>B1719+1</f>
        <v>5</v>
      </c>
      <c r="C1720" s="36"/>
      <c r="D1720" s="10"/>
      <c r="E1720" s="10"/>
      <c r="F1720" s="62"/>
      <c r="G1720" s="62"/>
      <c r="H1720" s="62"/>
      <c r="I1720" s="89">
        <f t="shared" si="310"/>
        <v>0</v>
      </c>
      <c r="J1720" s="63"/>
      <c r="K1720" s="63"/>
      <c r="L1720" s="63"/>
      <c r="M1720" s="63"/>
      <c r="N1720" s="63"/>
      <c r="O1720" s="63"/>
      <c r="P1720" s="63"/>
      <c r="Q1720" s="63"/>
      <c r="R1720" s="63"/>
      <c r="S1720" s="63"/>
      <c r="T1720" s="63"/>
      <c r="U1720" s="94"/>
      <c r="V1720" s="90"/>
      <c r="W1720" s="136"/>
      <c r="X1720" s="137"/>
    </row>
    <row r="1721" spans="2:24">
      <c r="B1721" s="87">
        <f>B1720+1</f>
        <v>6</v>
      </c>
      <c r="C1721" s="36"/>
      <c r="D1721" s="10"/>
      <c r="E1721" s="101"/>
      <c r="F1721" s="62"/>
      <c r="G1721" s="62"/>
      <c r="H1721" s="62"/>
      <c r="I1721" s="89">
        <f t="shared" si="310"/>
        <v>0</v>
      </c>
      <c r="J1721" s="63"/>
      <c r="K1721" s="63"/>
      <c r="L1721" s="63"/>
      <c r="M1721" s="63"/>
      <c r="N1721" s="63"/>
      <c r="O1721" s="63"/>
      <c r="P1721" s="63"/>
      <c r="Q1721" s="63"/>
      <c r="R1721" s="63"/>
      <c r="S1721" s="63"/>
      <c r="T1721" s="63"/>
      <c r="U1721" s="94"/>
      <c r="V1721" s="90"/>
      <c r="W1721" s="136"/>
      <c r="X1721" s="137"/>
    </row>
    <row r="1722" spans="2:24">
      <c r="B1722" s="11"/>
      <c r="C1722" s="609"/>
      <c r="D1722" s="10"/>
      <c r="E1722" s="10"/>
      <c r="F1722" s="97">
        <f>SUM(F1716:F1721)</f>
        <v>0</v>
      </c>
      <c r="G1722" s="97">
        <f>SUM(G1716:G1721)</f>
        <v>0</v>
      </c>
      <c r="H1722" s="97">
        <f>SUM(H1716:H1721)</f>
        <v>0</v>
      </c>
      <c r="I1722" s="98">
        <f>SUM(I1716:I1721)</f>
        <v>0</v>
      </c>
      <c r="J1722" s="10"/>
      <c r="K1722" s="10"/>
      <c r="L1722" s="10"/>
      <c r="M1722" s="10"/>
      <c r="N1722" s="10"/>
      <c r="O1722" s="10"/>
      <c r="P1722" s="10"/>
      <c r="Q1722" s="10"/>
      <c r="R1722" s="10"/>
      <c r="S1722" s="10"/>
      <c r="T1722" s="63"/>
      <c r="U1722" s="94"/>
      <c r="V1722" s="90"/>
      <c r="W1722" s="91"/>
      <c r="X1722" s="92"/>
    </row>
    <row r="1723" spans="2:24">
      <c r="B1723" s="26"/>
      <c r="C1723" s="612"/>
      <c r="D1723" s="141"/>
      <c r="E1723" s="141"/>
      <c r="F1723" s="141"/>
      <c r="G1723" s="141"/>
      <c r="H1723" s="141"/>
      <c r="I1723" s="141"/>
      <c r="J1723" s="141"/>
      <c r="K1723" s="142"/>
      <c r="L1723" s="142"/>
      <c r="M1723" s="142"/>
      <c r="N1723" s="142"/>
      <c r="O1723" s="142"/>
      <c r="P1723" s="142"/>
      <c r="Q1723" s="142"/>
      <c r="R1723" s="142"/>
      <c r="S1723" s="142"/>
      <c r="T1723" s="143">
        <f>SUM(T1608:T1722)</f>
        <v>0</v>
      </c>
      <c r="U1723" s="168"/>
      <c r="V1723" s="144">
        <f>SUM(V1608:V1722)</f>
        <v>10747</v>
      </c>
      <c r="W1723" s="145">
        <f>SUM(W1608:W1722)</f>
        <v>0</v>
      </c>
      <c r="X1723" s="146">
        <f>SUM(X1608:X1722)</f>
        <v>0</v>
      </c>
    </row>
    <row r="1724" spans="2:24">
      <c r="B1724" s="2"/>
      <c r="C1724" s="2"/>
      <c r="D1724" s="2"/>
      <c r="E1724" s="2"/>
      <c r="F1724" s="2"/>
      <c r="G1724" s="2"/>
      <c r="H1724" s="2"/>
      <c r="I1724" s="2"/>
      <c r="J1724" s="2"/>
      <c r="K1724" s="2"/>
      <c r="L1724" s="2"/>
      <c r="M1724" s="2"/>
      <c r="N1724" s="2"/>
      <c r="O1724" s="2"/>
      <c r="P1724" s="2"/>
      <c r="Q1724" s="2"/>
      <c r="R1724" s="2"/>
      <c r="S1724" s="2"/>
      <c r="T1724" s="2"/>
      <c r="U1724" s="2"/>
      <c r="V1724" s="2"/>
      <c r="W1724" s="2"/>
      <c r="X1724" s="2"/>
    </row>
  </sheetData>
  <mergeCells count="23">
    <mergeCell ref="H1229:J1230"/>
    <mergeCell ref="H964:J965"/>
    <mergeCell ref="H407:J408"/>
    <mergeCell ref="K415:Q415"/>
    <mergeCell ref="K881:Q881"/>
    <mergeCell ref="K783:Q783"/>
    <mergeCell ref="K588:Q588"/>
    <mergeCell ref="K499:Q499"/>
    <mergeCell ref="K696:Q696"/>
    <mergeCell ref="K1237:Q1237"/>
    <mergeCell ref="K95:Q95"/>
    <mergeCell ref="K18:Q18"/>
    <mergeCell ref="K189:Q189"/>
    <mergeCell ref="K251:Q251"/>
    <mergeCell ref="K328:Q328"/>
    <mergeCell ref="K1133:Q1133"/>
    <mergeCell ref="K1045:Q1045"/>
    <mergeCell ref="K972:Q972"/>
    <mergeCell ref="K1596:Q1596"/>
    <mergeCell ref="H1405:J1406"/>
    <mergeCell ref="K1498:Q1498"/>
    <mergeCell ref="K1413:Q1413"/>
    <mergeCell ref="K1323:Q1323"/>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3B7CD-5EB5-4BD8-8B77-57F09529F3B1}">
  <sheetPr>
    <tabColor rgb="FFFFC000"/>
  </sheetPr>
  <dimension ref="A3:AC220"/>
  <sheetViews>
    <sheetView topLeftCell="A60" workbookViewId="0">
      <selection activeCell="G78" sqref="G78"/>
    </sheetView>
  </sheetViews>
  <sheetFormatPr defaultRowHeight="15"/>
  <cols>
    <col min="3" max="3" width="11.28515625" customWidth="1"/>
    <col min="5" max="5" width="26" bestFit="1" customWidth="1"/>
    <col min="6" max="6" width="12.140625" customWidth="1"/>
    <col min="7" max="7" width="12.28515625" customWidth="1"/>
    <col min="9" max="9" width="9.85546875" bestFit="1" customWidth="1"/>
  </cols>
  <sheetData>
    <row r="3" spans="1:29">
      <c r="A3" s="3"/>
      <c r="B3" s="4" t="s">
        <v>1</v>
      </c>
      <c r="C3" s="5"/>
      <c r="D3" s="6"/>
      <c r="E3" s="6"/>
      <c r="F3" s="7" t="s">
        <v>2</v>
      </c>
      <c r="G3" s="8">
        <v>45837</v>
      </c>
      <c r="H3" s="7"/>
      <c r="I3" s="6"/>
      <c r="J3" s="6"/>
      <c r="K3" s="6"/>
      <c r="L3" s="6"/>
      <c r="M3" s="6"/>
      <c r="N3" s="6"/>
      <c r="O3" s="6"/>
      <c r="P3" s="6"/>
      <c r="Q3" s="6"/>
      <c r="R3" s="6"/>
      <c r="S3" s="6"/>
      <c r="T3" s="6"/>
      <c r="U3" s="9"/>
      <c r="V3" s="10"/>
      <c r="W3" s="10"/>
      <c r="X3" s="10"/>
      <c r="Y3" s="2"/>
      <c r="Z3" s="2"/>
      <c r="AA3" s="2"/>
      <c r="AB3" s="2"/>
      <c r="AC3" s="2"/>
    </row>
    <row r="4" spans="1:29">
      <c r="A4" s="2"/>
      <c r="B4" s="11"/>
      <c r="C4" s="10"/>
      <c r="D4" s="10"/>
      <c r="E4" s="10"/>
      <c r="F4" s="10"/>
      <c r="G4" s="7"/>
      <c r="H4" s="12"/>
      <c r="I4" s="10"/>
      <c r="J4" s="10"/>
      <c r="K4" s="13" t="s">
        <v>3</v>
      </c>
      <c r="L4" s="14"/>
      <c r="M4" s="15"/>
      <c r="N4" s="13" t="s">
        <v>4</v>
      </c>
      <c r="O4" s="14"/>
      <c r="P4" s="15"/>
      <c r="Q4" s="13" t="s">
        <v>5</v>
      </c>
      <c r="R4" s="14"/>
      <c r="S4" s="15"/>
      <c r="T4" s="16"/>
      <c r="U4" s="17"/>
      <c r="V4" s="10"/>
      <c r="W4" s="10"/>
      <c r="X4" s="10"/>
      <c r="Y4" s="2"/>
      <c r="Z4" s="2"/>
      <c r="AA4" s="2"/>
      <c r="AB4" s="2"/>
      <c r="AC4" s="2"/>
    </row>
    <row r="5" spans="1:29">
      <c r="A5" s="2"/>
      <c r="B5" s="18" t="s">
        <v>6</v>
      </c>
      <c r="C5" s="19">
        <f>C6+C7</f>
        <v>0</v>
      </c>
      <c r="D5" s="10"/>
      <c r="E5" s="18" t="s">
        <v>7</v>
      </c>
      <c r="F5" s="6"/>
      <c r="G5" s="9"/>
      <c r="H5" s="10"/>
      <c r="I5" s="10"/>
      <c r="J5" s="10"/>
      <c r="K5" s="20" t="s">
        <v>8</v>
      </c>
      <c r="L5" s="21" t="s">
        <v>9</v>
      </c>
      <c r="M5" s="21" t="s">
        <v>10</v>
      </c>
      <c r="N5" s="20" t="s">
        <v>11</v>
      </c>
      <c r="O5" s="21" t="s">
        <v>12</v>
      </c>
      <c r="P5" s="22" t="s">
        <v>13</v>
      </c>
      <c r="Q5" s="21" t="s">
        <v>11</v>
      </c>
      <c r="R5" s="21" t="s">
        <v>12</v>
      </c>
      <c r="S5" s="22" t="s">
        <v>13</v>
      </c>
      <c r="T5" s="23" t="s">
        <v>14</v>
      </c>
      <c r="U5" s="17"/>
      <c r="V5" s="10"/>
      <c r="W5" s="10"/>
      <c r="X5" s="10"/>
      <c r="Y5" s="2"/>
      <c r="Z5" s="2"/>
      <c r="AA5" s="2"/>
      <c r="AB5" s="2"/>
      <c r="AC5" s="2"/>
    </row>
    <row r="6" spans="1:29">
      <c r="A6" s="2"/>
      <c r="B6" s="24" t="s">
        <v>15</v>
      </c>
      <c r="C6" s="25">
        <f>P13</f>
        <v>0</v>
      </c>
      <c r="D6" s="10"/>
      <c r="E6" s="26" t="s">
        <v>16</v>
      </c>
      <c r="F6" s="27">
        <v>0.05</v>
      </c>
      <c r="G6" s="28"/>
      <c r="H6" s="10"/>
      <c r="I6" s="10"/>
      <c r="J6" s="18" t="s">
        <v>17</v>
      </c>
      <c r="K6" s="29">
        <f>K32</f>
        <v>0</v>
      </c>
      <c r="L6" s="29">
        <f t="shared" ref="L6:S6" si="0">L32</f>
        <v>0</v>
      </c>
      <c r="M6" s="29">
        <f t="shared" si="0"/>
        <v>0</v>
      </c>
      <c r="N6" s="29">
        <f t="shared" si="0"/>
        <v>0</v>
      </c>
      <c r="O6" s="29">
        <f t="shared" si="0"/>
        <v>0</v>
      </c>
      <c r="P6" s="29">
        <f t="shared" si="0"/>
        <v>0</v>
      </c>
      <c r="Q6" s="29">
        <f t="shared" si="0"/>
        <v>0</v>
      </c>
      <c r="R6" s="29">
        <f t="shared" si="0"/>
        <v>0</v>
      </c>
      <c r="S6" s="29">
        <f t="shared" si="0"/>
        <v>0</v>
      </c>
      <c r="T6" s="30">
        <f>T37</f>
        <v>0</v>
      </c>
      <c r="U6" s="17"/>
      <c r="V6" s="10"/>
      <c r="W6" s="10"/>
      <c r="X6" s="10"/>
      <c r="Y6" s="2"/>
      <c r="Z6" s="2"/>
      <c r="AA6" s="2"/>
      <c r="AB6" s="2"/>
      <c r="AC6" s="2"/>
    </row>
    <row r="7" spans="1:29">
      <c r="A7" s="2"/>
      <c r="B7" s="24" t="s">
        <v>18</v>
      </c>
      <c r="C7" s="25">
        <f>P14</f>
        <v>0</v>
      </c>
      <c r="D7" s="10"/>
      <c r="E7" s="10"/>
      <c r="F7" s="10"/>
      <c r="G7" s="31"/>
      <c r="H7" s="10"/>
      <c r="I7" s="10"/>
      <c r="J7" s="32" t="s">
        <v>19</v>
      </c>
      <c r="K7" s="33" t="e">
        <f>K32/K31</f>
        <v>#DIV/0!</v>
      </c>
      <c r="L7" s="33" t="e">
        <f t="shared" ref="L7:S7" si="1">L32/L31</f>
        <v>#DIV/0!</v>
      </c>
      <c r="M7" s="33" t="e">
        <f t="shared" si="1"/>
        <v>#DIV/0!</v>
      </c>
      <c r="N7" s="33" t="e">
        <f t="shared" si="1"/>
        <v>#DIV/0!</v>
      </c>
      <c r="O7" s="33" t="e">
        <f t="shared" si="1"/>
        <v>#DIV/0!</v>
      </c>
      <c r="P7" s="33" t="e">
        <f t="shared" si="1"/>
        <v>#DIV/0!</v>
      </c>
      <c r="Q7" s="33" t="e">
        <f t="shared" si="1"/>
        <v>#DIV/0!</v>
      </c>
      <c r="R7" s="33" t="e">
        <f t="shared" si="1"/>
        <v>#DIV/0!</v>
      </c>
      <c r="S7" s="33" t="e">
        <f t="shared" si="1"/>
        <v>#DIV/0!</v>
      </c>
      <c r="T7" s="23"/>
      <c r="U7" s="17" t="s">
        <v>20</v>
      </c>
      <c r="V7" s="10"/>
      <c r="W7" s="10"/>
      <c r="X7" s="10"/>
      <c r="Y7" s="2"/>
      <c r="Z7" s="2"/>
      <c r="AA7" s="2"/>
      <c r="AB7" s="2"/>
      <c r="AC7" s="2"/>
    </row>
    <row r="8" spans="1:29">
      <c r="A8" s="2"/>
      <c r="B8" s="24" t="s">
        <v>21</v>
      </c>
      <c r="C8" s="34" t="e">
        <f>P15</f>
        <v>#DIV/0!</v>
      </c>
      <c r="D8" s="10"/>
      <c r="E8" s="10"/>
      <c r="F8" s="10"/>
      <c r="G8" s="10"/>
      <c r="H8" s="10"/>
      <c r="I8" s="10"/>
      <c r="J8" s="10"/>
      <c r="K8" s="10"/>
      <c r="L8" s="10"/>
      <c r="M8" s="10"/>
      <c r="N8" s="10"/>
      <c r="O8" s="10"/>
      <c r="P8" s="10"/>
      <c r="Q8" s="10"/>
      <c r="R8" s="10"/>
      <c r="S8" s="10"/>
      <c r="T8" s="10"/>
      <c r="U8" s="17"/>
      <c r="V8" s="10"/>
      <c r="W8" s="10"/>
      <c r="X8" s="10"/>
      <c r="Y8" s="2"/>
      <c r="Z8" s="2"/>
      <c r="AA8" s="2"/>
      <c r="AB8" s="2"/>
      <c r="AC8" s="2"/>
    </row>
    <row r="9" spans="1:29">
      <c r="A9" s="2"/>
      <c r="B9" s="24"/>
      <c r="C9" s="25"/>
      <c r="D9" s="10"/>
      <c r="E9" s="10"/>
      <c r="F9" s="18" t="s">
        <v>22</v>
      </c>
      <c r="G9" s="19" t="s">
        <v>23</v>
      </c>
      <c r="H9" s="35" t="s">
        <v>24</v>
      </c>
      <c r="I9" s="10"/>
      <c r="J9" s="10"/>
      <c r="K9" s="36"/>
      <c r="L9" s="36"/>
      <c r="M9" s="36"/>
      <c r="N9" s="36"/>
      <c r="O9" s="36"/>
      <c r="P9" s="36"/>
      <c r="Q9" s="36"/>
      <c r="R9" s="10"/>
      <c r="S9" s="10"/>
      <c r="T9" s="10"/>
      <c r="U9" s="17"/>
      <c r="V9" s="10"/>
      <c r="W9" s="10"/>
      <c r="X9" s="10"/>
      <c r="Y9" s="2"/>
      <c r="Z9" s="2"/>
      <c r="AA9" s="2"/>
      <c r="AB9" s="2"/>
      <c r="AC9" s="2"/>
    </row>
    <row r="10" spans="1:29">
      <c r="A10" s="2"/>
      <c r="B10" s="32" t="s">
        <v>25</v>
      </c>
      <c r="C10" s="37" t="e">
        <f>P16</f>
        <v>#DIV/0!</v>
      </c>
      <c r="D10" s="10"/>
      <c r="E10" s="18" t="s">
        <v>26</v>
      </c>
      <c r="F10" s="38">
        <f>P12</f>
        <v>0</v>
      </c>
      <c r="G10" s="39">
        <f>I31</f>
        <v>0</v>
      </c>
      <c r="H10" s="40"/>
      <c r="I10" s="41"/>
      <c r="J10" s="42"/>
      <c r="K10" s="43" t="s">
        <v>27</v>
      </c>
      <c r="L10" s="44"/>
      <c r="M10" s="44"/>
      <c r="N10" s="44"/>
      <c r="O10" s="44"/>
      <c r="P10" s="44"/>
      <c r="Q10" s="45"/>
      <c r="R10" s="46" t="s">
        <v>28</v>
      </c>
      <c r="S10" s="47" t="s">
        <v>29</v>
      </c>
      <c r="T10" s="10"/>
      <c r="U10" s="17"/>
      <c r="V10" s="10"/>
      <c r="W10" s="10"/>
      <c r="X10" s="10"/>
      <c r="Y10" s="2"/>
      <c r="Z10" s="2"/>
      <c r="AA10" s="2"/>
      <c r="AB10" s="2"/>
      <c r="AC10" s="2"/>
    </row>
    <row r="11" spans="1:29">
      <c r="A11" s="2"/>
      <c r="B11" s="11"/>
      <c r="C11" s="10"/>
      <c r="D11" s="10"/>
      <c r="E11" s="24" t="s">
        <v>30</v>
      </c>
      <c r="F11" s="48">
        <f>F6</f>
        <v>0.05</v>
      </c>
      <c r="G11" s="17"/>
      <c r="H11" s="40"/>
      <c r="I11" s="41"/>
      <c r="J11" s="42"/>
      <c r="K11" s="20" t="s">
        <v>31</v>
      </c>
      <c r="L11" s="21" t="s">
        <v>32</v>
      </c>
      <c r="M11" s="21" t="s">
        <v>33</v>
      </c>
      <c r="N11" s="21" t="s">
        <v>34</v>
      </c>
      <c r="O11" s="21" t="s">
        <v>35</v>
      </c>
      <c r="P11" s="21" t="s">
        <v>36</v>
      </c>
      <c r="Q11" s="49" t="s">
        <v>37</v>
      </c>
      <c r="R11" s="50" t="s">
        <v>38</v>
      </c>
      <c r="S11" s="50" t="s">
        <v>38</v>
      </c>
      <c r="T11" s="10"/>
      <c r="U11" s="17"/>
      <c r="V11" s="10"/>
      <c r="W11" s="10"/>
      <c r="X11" s="10"/>
      <c r="Y11" s="2"/>
      <c r="Z11" s="2"/>
      <c r="AA11" s="2"/>
      <c r="AB11" s="2"/>
      <c r="AC11" s="2"/>
    </row>
    <row r="12" spans="1:29">
      <c r="A12" s="2"/>
      <c r="B12" s="11"/>
      <c r="C12" s="10"/>
      <c r="D12" s="10"/>
      <c r="E12" s="51" t="s">
        <v>39</v>
      </c>
      <c r="F12" s="52">
        <f>F10*F11</f>
        <v>0</v>
      </c>
      <c r="G12" s="53" t="s">
        <v>40</v>
      </c>
      <c r="H12" s="54">
        <f>F12/1.115</f>
        <v>0</v>
      </c>
      <c r="I12" s="55"/>
      <c r="J12" s="42"/>
      <c r="K12" s="56"/>
      <c r="L12" s="57"/>
      <c r="M12" s="57"/>
      <c r="N12" s="57"/>
      <c r="O12" s="57"/>
      <c r="P12" s="57">
        <f>SUM(K12:O12)</f>
        <v>0</v>
      </c>
      <c r="Q12" s="58">
        <v>0</v>
      </c>
      <c r="R12" s="59">
        <f>0</f>
        <v>0</v>
      </c>
      <c r="S12" s="59">
        <v>0</v>
      </c>
      <c r="T12" s="10"/>
      <c r="U12" s="17"/>
      <c r="V12" s="10"/>
      <c r="W12" s="10"/>
      <c r="X12" s="10"/>
      <c r="Y12" s="2"/>
      <c r="Z12" s="2"/>
      <c r="AA12" s="2"/>
      <c r="AB12" s="2"/>
      <c r="AC12" s="2"/>
    </row>
    <row r="13" spans="1:29">
      <c r="A13" s="2"/>
      <c r="B13" s="11"/>
      <c r="C13" s="10"/>
      <c r="D13" s="10"/>
      <c r="E13" s="24" t="s">
        <v>41</v>
      </c>
      <c r="F13" s="60">
        <f>Q12</f>
        <v>0</v>
      </c>
      <c r="G13" s="61" t="s">
        <v>40</v>
      </c>
      <c r="H13" s="62"/>
      <c r="I13" s="62"/>
      <c r="J13" s="10" t="s">
        <v>42</v>
      </c>
      <c r="K13" s="63"/>
      <c r="L13" s="63"/>
      <c r="M13" s="63"/>
      <c r="N13" s="63"/>
      <c r="O13" s="63"/>
      <c r="P13" s="21">
        <f>SUM(K13:O13)</f>
        <v>0</v>
      </c>
      <c r="Q13" s="64"/>
      <c r="R13" s="63"/>
      <c r="S13" s="10"/>
      <c r="T13" s="10"/>
      <c r="U13" s="17"/>
      <c r="V13" s="10"/>
      <c r="W13" s="10"/>
      <c r="X13" s="10"/>
      <c r="Y13" s="2"/>
      <c r="Z13" s="2"/>
      <c r="AA13" s="2"/>
      <c r="AB13" s="2"/>
      <c r="AC13" s="2"/>
    </row>
    <row r="14" spans="1:29">
      <c r="A14" s="2"/>
      <c r="B14" s="11"/>
      <c r="C14" s="10"/>
      <c r="D14" s="10"/>
      <c r="E14" s="51" t="s">
        <v>43</v>
      </c>
      <c r="F14" s="52">
        <f>F13*0.25</f>
        <v>0</v>
      </c>
      <c r="G14" s="53" t="s">
        <v>40</v>
      </c>
      <c r="H14" s="54">
        <f>F14/1.115</f>
        <v>0</v>
      </c>
      <c r="I14" s="10"/>
      <c r="J14" s="10" t="s">
        <v>44</v>
      </c>
      <c r="K14" s="63"/>
      <c r="L14" s="63"/>
      <c r="M14" s="63"/>
      <c r="N14" s="63"/>
      <c r="O14" s="63"/>
      <c r="P14" s="21">
        <f>SUM(K14:O14)</f>
        <v>0</v>
      </c>
      <c r="Q14" s="64"/>
      <c r="R14" s="63"/>
      <c r="S14" s="10"/>
      <c r="T14" s="10"/>
      <c r="U14" s="17"/>
      <c r="V14" s="10"/>
      <c r="W14" s="10"/>
      <c r="X14" s="10"/>
      <c r="Y14" s="2"/>
      <c r="Z14" s="2"/>
      <c r="AA14" s="2"/>
      <c r="AB14" s="2"/>
      <c r="AC14" s="2"/>
    </row>
    <row r="15" spans="1:29">
      <c r="A15" s="2"/>
      <c r="B15" s="11"/>
      <c r="C15" s="10"/>
      <c r="D15" s="10"/>
      <c r="E15" s="24" t="s">
        <v>45</v>
      </c>
      <c r="F15" s="60"/>
      <c r="G15" s="61" t="s">
        <v>40</v>
      </c>
      <c r="H15" s="62"/>
      <c r="I15" s="10"/>
      <c r="J15" s="10" t="s">
        <v>46</v>
      </c>
      <c r="K15" s="31" t="e">
        <f t="shared" ref="K15:Q15" si="2">K13/(K13+K14)</f>
        <v>#DIV/0!</v>
      </c>
      <c r="L15" s="31" t="e">
        <f t="shared" si="2"/>
        <v>#DIV/0!</v>
      </c>
      <c r="M15" s="31" t="e">
        <f t="shared" si="2"/>
        <v>#DIV/0!</v>
      </c>
      <c r="N15" s="31" t="e">
        <f t="shared" si="2"/>
        <v>#DIV/0!</v>
      </c>
      <c r="O15" s="31" t="e">
        <f t="shared" si="2"/>
        <v>#DIV/0!</v>
      </c>
      <c r="P15" s="31" t="e">
        <f t="shared" si="2"/>
        <v>#DIV/0!</v>
      </c>
      <c r="Q15" s="31" t="e">
        <f t="shared" si="2"/>
        <v>#DIV/0!</v>
      </c>
      <c r="R15" s="63"/>
      <c r="S15" s="10"/>
      <c r="T15" s="10"/>
      <c r="U15" s="17"/>
      <c r="V15" s="10"/>
      <c r="W15" s="10"/>
      <c r="X15" s="10"/>
      <c r="Y15" s="2"/>
      <c r="Z15" s="2"/>
      <c r="AA15" s="2"/>
      <c r="AB15" s="2"/>
      <c r="AC15" s="2"/>
    </row>
    <row r="16" spans="1:29">
      <c r="A16" s="2"/>
      <c r="B16" s="11"/>
      <c r="C16" s="10"/>
      <c r="D16" s="10"/>
      <c r="E16" s="51" t="s">
        <v>47</v>
      </c>
      <c r="F16" s="52">
        <f>F15*0.05</f>
        <v>0</v>
      </c>
      <c r="G16" s="65" t="s">
        <v>40</v>
      </c>
      <c r="H16" s="54">
        <f>F16/1.115</f>
        <v>0</v>
      </c>
      <c r="I16" s="42"/>
      <c r="J16" s="10" t="s">
        <v>48</v>
      </c>
      <c r="K16" s="66" t="e">
        <f>K12/K13</f>
        <v>#DIV/0!</v>
      </c>
      <c r="L16" s="66" t="e">
        <f t="shared" ref="L16:Q16" si="3">L12/L13</f>
        <v>#DIV/0!</v>
      </c>
      <c r="M16" s="66" t="e">
        <f t="shared" si="3"/>
        <v>#DIV/0!</v>
      </c>
      <c r="N16" s="66" t="e">
        <f t="shared" si="3"/>
        <v>#DIV/0!</v>
      </c>
      <c r="O16" s="66" t="e">
        <f t="shared" si="3"/>
        <v>#DIV/0!</v>
      </c>
      <c r="P16" s="66" t="e">
        <f t="shared" si="3"/>
        <v>#DIV/0!</v>
      </c>
      <c r="Q16" s="66" t="e">
        <f t="shared" si="3"/>
        <v>#DIV/0!</v>
      </c>
      <c r="R16" s="63"/>
      <c r="S16" s="10"/>
      <c r="T16" s="10"/>
      <c r="U16" s="17"/>
      <c r="V16" s="10"/>
      <c r="W16" s="10"/>
      <c r="X16" s="10"/>
      <c r="Y16" s="2"/>
      <c r="Z16" s="2"/>
      <c r="AA16" s="2"/>
      <c r="AB16" s="2"/>
      <c r="AC16" s="2"/>
    </row>
    <row r="17" spans="1:29">
      <c r="A17" s="2"/>
      <c r="B17" s="11"/>
      <c r="C17" s="10"/>
      <c r="D17" s="10"/>
      <c r="E17" s="67" t="s">
        <v>14</v>
      </c>
      <c r="F17" s="68">
        <f>3*50</f>
        <v>150</v>
      </c>
      <c r="G17" s="10"/>
      <c r="H17" s="54">
        <f>F17/1.12</f>
        <v>133.92857142857142</v>
      </c>
      <c r="I17" s="10"/>
      <c r="J17" s="10"/>
      <c r="K17" s="10"/>
      <c r="L17" s="10"/>
      <c r="M17" s="10"/>
      <c r="N17" s="10"/>
      <c r="O17" s="10"/>
      <c r="P17" s="10"/>
      <c r="Q17" s="10"/>
      <c r="R17" s="10"/>
      <c r="S17" s="10"/>
      <c r="T17" s="10"/>
      <c r="U17" s="17"/>
      <c r="V17" s="10"/>
      <c r="W17" s="10"/>
      <c r="X17" s="10"/>
      <c r="Y17" s="2"/>
      <c r="Z17" s="2"/>
      <c r="AA17" s="2"/>
      <c r="AB17" s="2"/>
      <c r="AC17" s="2"/>
    </row>
    <row r="18" spans="1:29">
      <c r="A18" s="2"/>
      <c r="B18" s="11"/>
      <c r="C18" s="10"/>
      <c r="D18" s="10"/>
      <c r="E18" s="155" t="s">
        <v>49</v>
      </c>
      <c r="F18" s="364">
        <f>T7</f>
        <v>0</v>
      </c>
      <c r="G18" s="10"/>
      <c r="H18" s="54"/>
      <c r="I18" s="55"/>
      <c r="J18" s="42"/>
      <c r="K18" s="764" t="s">
        <v>50</v>
      </c>
      <c r="L18" s="765"/>
      <c r="M18" s="765"/>
      <c r="N18" s="765"/>
      <c r="O18" s="765"/>
      <c r="P18" s="765"/>
      <c r="Q18" s="766"/>
      <c r="R18" s="70" t="s">
        <v>28</v>
      </c>
      <c r="S18" s="71" t="s">
        <v>29</v>
      </c>
      <c r="T18" s="10"/>
      <c r="U18" s="17"/>
      <c r="V18" s="10"/>
      <c r="W18" s="10"/>
      <c r="X18" s="10"/>
      <c r="Y18" s="2"/>
      <c r="Z18" s="2"/>
      <c r="AA18" s="2"/>
      <c r="AB18" s="2"/>
      <c r="AC18" s="2"/>
    </row>
    <row r="19" spans="1:29">
      <c r="A19" s="2"/>
      <c r="B19" s="11"/>
      <c r="C19" s="10"/>
      <c r="D19" s="10"/>
      <c r="E19" s="12"/>
      <c r="F19" s="76"/>
      <c r="G19" s="10"/>
      <c r="H19" s="10"/>
      <c r="I19" s="10"/>
      <c r="J19" s="42"/>
      <c r="K19" s="20" t="s">
        <v>31</v>
      </c>
      <c r="L19" s="21" t="s">
        <v>32</v>
      </c>
      <c r="M19" s="21" t="s">
        <v>33</v>
      </c>
      <c r="N19" s="21" t="s">
        <v>34</v>
      </c>
      <c r="O19" s="21" t="s">
        <v>35</v>
      </c>
      <c r="P19" s="21" t="s">
        <v>36</v>
      </c>
      <c r="Q19" s="49" t="s">
        <v>37</v>
      </c>
      <c r="R19" s="50" t="s">
        <v>38</v>
      </c>
      <c r="S19" s="50" t="s">
        <v>38</v>
      </c>
      <c r="T19" s="10"/>
      <c r="U19" s="17"/>
      <c r="V19" s="10"/>
      <c r="W19" s="10"/>
      <c r="X19" s="10"/>
      <c r="Y19" s="2"/>
      <c r="Z19" s="2"/>
      <c r="AA19" s="2"/>
      <c r="AB19" s="2"/>
      <c r="AC19" s="2"/>
    </row>
    <row r="20" spans="1:29">
      <c r="A20" s="2"/>
      <c r="B20" s="11"/>
      <c r="C20" s="10"/>
      <c r="D20" s="10"/>
      <c r="E20" s="10"/>
      <c r="F20" s="10"/>
      <c r="G20" s="10"/>
      <c r="H20" s="10"/>
      <c r="I20" s="10"/>
      <c r="J20" s="42"/>
      <c r="K20" s="56"/>
      <c r="L20" s="57"/>
      <c r="M20" s="57"/>
      <c r="N20" s="57"/>
      <c r="O20" s="57"/>
      <c r="P20" s="57"/>
      <c r="Q20" s="58">
        <v>0</v>
      </c>
      <c r="R20" s="59"/>
      <c r="S20" s="59">
        <v>0</v>
      </c>
      <c r="T20" s="10"/>
      <c r="U20" s="17"/>
      <c r="V20" s="10"/>
      <c r="W20" s="10"/>
      <c r="X20" s="10"/>
      <c r="Y20" s="2"/>
      <c r="Z20" s="2"/>
      <c r="AA20" s="2"/>
      <c r="AB20" s="2"/>
      <c r="AC20" s="2"/>
    </row>
    <row r="21" spans="1:29">
      <c r="A21" s="2"/>
      <c r="B21" s="11"/>
      <c r="C21" s="10"/>
      <c r="D21" s="10"/>
      <c r="E21" s="12"/>
      <c r="F21" s="76"/>
      <c r="G21" s="10"/>
      <c r="H21" s="10"/>
      <c r="I21" s="10"/>
      <c r="J21" s="10" t="s">
        <v>42</v>
      </c>
      <c r="K21" s="63">
        <f>K13</f>
        <v>0</v>
      </c>
      <c r="L21" s="63">
        <f t="shared" ref="L21:Q22" si="4">L13</f>
        <v>0</v>
      </c>
      <c r="M21" s="63">
        <f t="shared" si="4"/>
        <v>0</v>
      </c>
      <c r="N21" s="63">
        <f t="shared" si="4"/>
        <v>0</v>
      </c>
      <c r="O21" s="63">
        <f t="shared" si="4"/>
        <v>0</v>
      </c>
      <c r="P21" s="63">
        <f t="shared" si="4"/>
        <v>0</v>
      </c>
      <c r="Q21" s="63">
        <f t="shared" si="4"/>
        <v>0</v>
      </c>
      <c r="R21" s="63"/>
      <c r="S21" s="10"/>
      <c r="T21" s="10"/>
      <c r="U21" s="17"/>
      <c r="V21" s="10"/>
      <c r="W21" s="10"/>
      <c r="X21" s="10"/>
      <c r="Y21" s="2"/>
      <c r="Z21" s="2"/>
      <c r="AA21" s="2"/>
      <c r="AB21" s="2"/>
      <c r="AC21" s="2"/>
    </row>
    <row r="22" spans="1:29">
      <c r="A22" s="2"/>
      <c r="B22" s="11"/>
      <c r="C22" s="10"/>
      <c r="D22" s="10"/>
      <c r="E22" s="10"/>
      <c r="F22" s="10"/>
      <c r="G22" s="10"/>
      <c r="H22" s="10"/>
      <c r="I22" s="10"/>
      <c r="J22" s="10" t="s">
        <v>44</v>
      </c>
      <c r="K22" s="63">
        <f>K14</f>
        <v>0</v>
      </c>
      <c r="L22" s="63">
        <f t="shared" si="4"/>
        <v>0</v>
      </c>
      <c r="M22" s="63">
        <f t="shared" si="4"/>
        <v>0</v>
      </c>
      <c r="N22" s="63">
        <f t="shared" si="4"/>
        <v>0</v>
      </c>
      <c r="O22" s="63">
        <f t="shared" si="4"/>
        <v>0</v>
      </c>
      <c r="P22" s="63">
        <f t="shared" si="4"/>
        <v>0</v>
      </c>
      <c r="Q22" s="63">
        <f t="shared" si="4"/>
        <v>0</v>
      </c>
      <c r="R22" s="63"/>
      <c r="S22" s="10"/>
      <c r="T22" s="10"/>
      <c r="U22" s="17"/>
      <c r="V22" s="10"/>
      <c r="W22" s="10"/>
      <c r="X22" s="10"/>
      <c r="Y22" s="2"/>
      <c r="Z22" s="2"/>
      <c r="AA22" s="2"/>
      <c r="AB22" s="2"/>
      <c r="AC22" s="2"/>
    </row>
    <row r="23" spans="1:29">
      <c r="A23" s="2"/>
      <c r="B23" s="11"/>
      <c r="C23" s="10"/>
      <c r="D23" s="10"/>
      <c r="E23" s="10"/>
      <c r="F23" s="10"/>
      <c r="G23" s="10"/>
      <c r="H23" s="10"/>
      <c r="I23" s="10"/>
      <c r="J23" s="10" t="s">
        <v>46</v>
      </c>
      <c r="K23" s="31" t="e">
        <f t="shared" ref="K23:Q23" si="5">K21/(K21+K22)</f>
        <v>#DIV/0!</v>
      </c>
      <c r="L23" s="31" t="e">
        <f t="shared" si="5"/>
        <v>#DIV/0!</v>
      </c>
      <c r="M23" s="31" t="e">
        <f t="shared" si="5"/>
        <v>#DIV/0!</v>
      </c>
      <c r="N23" s="31" t="e">
        <f t="shared" si="5"/>
        <v>#DIV/0!</v>
      </c>
      <c r="O23" s="31" t="e">
        <f t="shared" si="5"/>
        <v>#DIV/0!</v>
      </c>
      <c r="P23" s="31" t="e">
        <f t="shared" si="5"/>
        <v>#DIV/0!</v>
      </c>
      <c r="Q23" s="31" t="e">
        <f t="shared" si="5"/>
        <v>#DIV/0!</v>
      </c>
      <c r="R23" s="63"/>
      <c r="S23" s="10"/>
      <c r="T23" s="10"/>
      <c r="U23" s="17"/>
      <c r="V23" s="10"/>
      <c r="W23" s="10"/>
      <c r="X23" s="10"/>
      <c r="Y23" s="2"/>
      <c r="Z23" s="2"/>
      <c r="AA23" s="2"/>
      <c r="AB23" s="2"/>
      <c r="AC23" s="2"/>
    </row>
    <row r="24" spans="1:29">
      <c r="A24" s="2"/>
      <c r="B24" s="11"/>
      <c r="C24" s="10"/>
      <c r="D24" s="10"/>
      <c r="E24" s="10"/>
      <c r="F24" s="10"/>
      <c r="G24" s="10"/>
      <c r="H24" s="10"/>
      <c r="I24" s="10"/>
      <c r="J24" s="10" t="s">
        <v>48</v>
      </c>
      <c r="K24" s="66" t="e">
        <f t="shared" ref="K24:Q24" si="6">K20/K21</f>
        <v>#DIV/0!</v>
      </c>
      <c r="L24" s="66" t="e">
        <f t="shared" si="6"/>
        <v>#DIV/0!</v>
      </c>
      <c r="M24" s="66" t="e">
        <f t="shared" si="6"/>
        <v>#DIV/0!</v>
      </c>
      <c r="N24" s="66" t="e">
        <f t="shared" si="6"/>
        <v>#DIV/0!</v>
      </c>
      <c r="O24" s="66" t="e">
        <f t="shared" si="6"/>
        <v>#DIV/0!</v>
      </c>
      <c r="P24" s="66" t="e">
        <f t="shared" si="6"/>
        <v>#DIV/0!</v>
      </c>
      <c r="Q24" s="66" t="e">
        <f t="shared" si="6"/>
        <v>#DIV/0!</v>
      </c>
      <c r="R24" s="63"/>
      <c r="S24" s="10"/>
      <c r="T24" s="10"/>
      <c r="U24" s="17"/>
      <c r="V24" s="10"/>
      <c r="W24" s="10"/>
      <c r="X24" s="10"/>
      <c r="Y24" s="2"/>
      <c r="Z24" s="2"/>
      <c r="AA24" s="2"/>
      <c r="AB24" s="2"/>
      <c r="AC24" s="2"/>
    </row>
    <row r="25" spans="1:29">
      <c r="A25" s="2"/>
      <c r="B25" s="11"/>
      <c r="C25" s="10"/>
      <c r="D25" s="10"/>
      <c r="E25" s="10"/>
      <c r="F25" s="10"/>
      <c r="G25" s="10"/>
      <c r="H25" s="10"/>
      <c r="I25" s="10"/>
      <c r="J25" s="10"/>
      <c r="K25" s="10"/>
      <c r="L25" s="10"/>
      <c r="M25" s="10"/>
      <c r="N25" s="10"/>
      <c r="O25" s="10"/>
      <c r="P25" s="10"/>
      <c r="Q25" s="10"/>
      <c r="R25" s="10"/>
      <c r="S25" s="10"/>
      <c r="T25" s="10"/>
      <c r="U25" s="17"/>
      <c r="V25" s="10"/>
      <c r="W25" s="10"/>
      <c r="X25" s="10"/>
      <c r="Y25" s="2"/>
      <c r="Z25" s="2"/>
      <c r="AA25" s="2"/>
      <c r="AB25" s="2"/>
      <c r="AC25" s="2"/>
    </row>
    <row r="26" spans="1:29">
      <c r="A26" s="2"/>
      <c r="B26" s="11"/>
      <c r="C26" s="10"/>
      <c r="D26" s="10"/>
      <c r="E26" s="10"/>
      <c r="F26" s="10"/>
      <c r="G26" s="10"/>
      <c r="H26" s="10"/>
      <c r="I26" s="10"/>
      <c r="J26" s="10"/>
      <c r="K26" s="10"/>
      <c r="L26" s="10"/>
      <c r="M26" s="10"/>
      <c r="N26" s="10"/>
      <c r="O26" s="10"/>
      <c r="P26" s="10"/>
      <c r="Q26" s="10"/>
      <c r="R26" s="10"/>
      <c r="S26" s="10"/>
      <c r="T26" s="10"/>
      <c r="U26" s="17"/>
      <c r="V26" s="10"/>
      <c r="W26" s="10"/>
      <c r="X26" s="10"/>
      <c r="Y26" s="2"/>
      <c r="Z26" s="2"/>
      <c r="AA26" s="2"/>
      <c r="AB26" s="2"/>
      <c r="AC26" s="2"/>
    </row>
    <row r="27" spans="1:29">
      <c r="A27" s="2"/>
      <c r="B27" s="18" t="s">
        <v>51</v>
      </c>
      <c r="C27" s="14"/>
      <c r="D27" s="14"/>
      <c r="E27" s="14"/>
      <c r="F27" s="13" t="s">
        <v>52</v>
      </c>
      <c r="G27" s="14"/>
      <c r="H27" s="14"/>
      <c r="I27" s="14"/>
      <c r="J27" s="14"/>
      <c r="K27" s="13" t="s">
        <v>3</v>
      </c>
      <c r="L27" s="14"/>
      <c r="M27" s="14"/>
      <c r="N27" s="13" t="s">
        <v>4</v>
      </c>
      <c r="O27" s="14"/>
      <c r="P27" s="14"/>
      <c r="Q27" s="13" t="s">
        <v>5</v>
      </c>
      <c r="R27" s="14"/>
      <c r="S27" s="14"/>
      <c r="T27" s="18"/>
      <c r="U27" s="16" t="s">
        <v>53</v>
      </c>
      <c r="V27" s="77"/>
      <c r="W27" s="77"/>
      <c r="X27" s="77"/>
      <c r="Y27" s="2"/>
      <c r="Z27" s="2"/>
      <c r="AA27" s="2"/>
      <c r="AB27" s="2"/>
      <c r="AC27" s="2"/>
    </row>
    <row r="28" spans="1:29">
      <c r="A28" s="2"/>
      <c r="B28" s="24" t="s">
        <v>54</v>
      </c>
      <c r="C28" s="21" t="s">
        <v>55</v>
      </c>
      <c r="D28" s="21" t="s">
        <v>56</v>
      </c>
      <c r="E28" s="21" t="s">
        <v>57</v>
      </c>
      <c r="F28" s="20" t="s">
        <v>58</v>
      </c>
      <c r="G28" s="21" t="s">
        <v>59</v>
      </c>
      <c r="H28" s="21" t="s">
        <v>60</v>
      </c>
      <c r="I28" s="21" t="s">
        <v>26</v>
      </c>
      <c r="J28" s="22" t="s">
        <v>61</v>
      </c>
      <c r="K28" s="21" t="s">
        <v>8</v>
      </c>
      <c r="L28" s="21" t="s">
        <v>9</v>
      </c>
      <c r="M28" s="21" t="s">
        <v>10</v>
      </c>
      <c r="N28" s="20" t="s">
        <v>11</v>
      </c>
      <c r="O28" s="21" t="s">
        <v>12</v>
      </c>
      <c r="P28" s="22" t="s">
        <v>13</v>
      </c>
      <c r="Q28" s="21" t="s">
        <v>11</v>
      </c>
      <c r="R28" s="21" t="s">
        <v>12</v>
      </c>
      <c r="S28" s="21" t="s">
        <v>13</v>
      </c>
      <c r="T28" s="78" t="s">
        <v>14</v>
      </c>
      <c r="U28" s="30"/>
      <c r="V28" s="79" t="s">
        <v>62</v>
      </c>
      <c r="W28" s="80" t="s">
        <v>63</v>
      </c>
      <c r="X28" s="81" t="s">
        <v>64</v>
      </c>
      <c r="Y28" s="2"/>
      <c r="Z28" s="2"/>
      <c r="AA28" s="2"/>
      <c r="AB28" s="2"/>
      <c r="AC28" s="2"/>
    </row>
    <row r="29" spans="1:29">
      <c r="A29" s="2"/>
      <c r="B29" s="4" t="s">
        <v>65</v>
      </c>
      <c r="C29" s="6"/>
      <c r="D29" s="6"/>
      <c r="E29" s="6"/>
      <c r="F29" s="6"/>
      <c r="G29" s="6"/>
      <c r="H29" s="6"/>
      <c r="I29" s="82"/>
      <c r="J29" s="6"/>
      <c r="K29" s="6"/>
      <c r="L29" s="6"/>
      <c r="M29" s="6"/>
      <c r="N29" s="6"/>
      <c r="O29" s="6"/>
      <c r="P29" s="6"/>
      <c r="Q29" s="6"/>
      <c r="R29" s="6"/>
      <c r="S29" s="6"/>
      <c r="T29" s="83"/>
      <c r="U29" s="6"/>
      <c r="V29" s="84"/>
      <c r="W29" s="85"/>
      <c r="X29" s="86"/>
      <c r="Y29" s="2"/>
      <c r="Z29" s="2"/>
      <c r="AA29" s="2"/>
      <c r="AB29" s="2"/>
      <c r="AC29" s="2"/>
    </row>
    <row r="30" spans="1:29">
      <c r="A30" s="2"/>
      <c r="B30" s="87">
        <v>1</v>
      </c>
      <c r="C30" s="262"/>
      <c r="D30" s="271"/>
      <c r="E30" s="271"/>
      <c r="F30" s="265"/>
      <c r="G30" s="265"/>
      <c r="H30" s="365"/>
      <c r="I30" s="272">
        <f t="shared" ref="I30" si="7">F30-G30-H30</f>
        <v>0</v>
      </c>
      <c r="J30" s="267"/>
      <c r="K30" s="267"/>
      <c r="L30" s="267"/>
      <c r="M30" s="267"/>
      <c r="N30" s="267"/>
      <c r="O30" s="267"/>
      <c r="P30" s="267"/>
      <c r="Q30" s="267"/>
      <c r="R30" s="267"/>
      <c r="S30" s="269"/>
      <c r="T30" s="63"/>
      <c r="U30" s="10"/>
      <c r="V30" s="90"/>
      <c r="W30" s="91"/>
      <c r="X30" s="92"/>
      <c r="Y30" s="2"/>
      <c r="Z30" s="2"/>
      <c r="AA30" s="2"/>
      <c r="AB30" s="2"/>
      <c r="AC30" s="2"/>
    </row>
    <row r="31" spans="1:29">
      <c r="A31" s="2"/>
      <c r="B31" s="87"/>
      <c r="C31" s="36"/>
      <c r="D31" s="10"/>
      <c r="E31" s="10"/>
      <c r="F31" s="97">
        <f>SUM(F30:F30)</f>
        <v>0</v>
      </c>
      <c r="G31" s="97">
        <f>SUM(G30:G30)</f>
        <v>0</v>
      </c>
      <c r="H31" s="97">
        <f>SUM(H30:H30)</f>
        <v>0</v>
      </c>
      <c r="I31" s="98">
        <f>SUM(I30:I30)</f>
        <v>0</v>
      </c>
      <c r="J31" s="63"/>
      <c r="K31" s="63">
        <f t="shared" ref="K31:S31" si="8">COUNT(K30:K30)</f>
        <v>0</v>
      </c>
      <c r="L31" s="63">
        <f t="shared" si="8"/>
        <v>0</v>
      </c>
      <c r="M31" s="63">
        <f t="shared" si="8"/>
        <v>0</v>
      </c>
      <c r="N31" s="63">
        <f t="shared" si="8"/>
        <v>0</v>
      </c>
      <c r="O31" s="63">
        <f t="shared" si="8"/>
        <v>0</v>
      </c>
      <c r="P31" s="63">
        <f t="shared" si="8"/>
        <v>0</v>
      </c>
      <c r="Q31" s="63">
        <f t="shared" si="8"/>
        <v>0</v>
      </c>
      <c r="R31" s="63">
        <f t="shared" si="8"/>
        <v>0</v>
      </c>
      <c r="S31" s="63">
        <f t="shared" si="8"/>
        <v>0</v>
      </c>
      <c r="T31" s="63"/>
      <c r="U31" s="10"/>
      <c r="V31" s="90"/>
      <c r="W31" s="91"/>
      <c r="X31" s="92"/>
      <c r="Y31" s="2"/>
      <c r="Z31" s="2"/>
      <c r="AA31" s="2"/>
      <c r="AB31" s="2"/>
      <c r="AC31" s="2"/>
    </row>
    <row r="32" spans="1:29">
      <c r="A32" s="2"/>
      <c r="B32" s="87"/>
      <c r="C32" s="36"/>
      <c r="D32" s="10"/>
      <c r="E32" s="10"/>
      <c r="F32" s="88"/>
      <c r="G32" s="88"/>
      <c r="H32" s="88"/>
      <c r="I32" s="99"/>
      <c r="J32" s="63"/>
      <c r="K32" s="21">
        <f t="shared" ref="K32:S32" si="9">SUM(K30:K30)</f>
        <v>0</v>
      </c>
      <c r="L32" s="21">
        <f t="shared" si="9"/>
        <v>0</v>
      </c>
      <c r="M32" s="21">
        <f t="shared" si="9"/>
        <v>0</v>
      </c>
      <c r="N32" s="21">
        <f t="shared" si="9"/>
        <v>0</v>
      </c>
      <c r="O32" s="21">
        <f t="shared" si="9"/>
        <v>0</v>
      </c>
      <c r="P32" s="21">
        <f t="shared" si="9"/>
        <v>0</v>
      </c>
      <c r="Q32" s="21">
        <f t="shared" si="9"/>
        <v>0</v>
      </c>
      <c r="R32" s="21">
        <f t="shared" si="9"/>
        <v>0</v>
      </c>
      <c r="S32" s="21">
        <f t="shared" si="9"/>
        <v>0</v>
      </c>
      <c r="T32" s="63"/>
      <c r="U32" s="10"/>
      <c r="V32" s="90"/>
      <c r="W32" s="91"/>
      <c r="X32" s="92"/>
      <c r="Y32" s="2"/>
      <c r="Z32" s="2"/>
      <c r="AA32" s="2"/>
      <c r="AB32" s="2"/>
      <c r="AC32" s="2"/>
    </row>
    <row r="33" spans="1:29">
      <c r="A33" s="2"/>
      <c r="B33" s="11"/>
      <c r="C33" s="36"/>
      <c r="D33" s="10"/>
      <c r="E33" s="10"/>
      <c r="F33" s="88"/>
      <c r="G33" s="88"/>
      <c r="H33" s="88"/>
      <c r="I33" s="99"/>
      <c r="J33" s="10"/>
      <c r="K33" s="63"/>
      <c r="L33" s="63"/>
      <c r="M33" s="63"/>
      <c r="N33" s="63"/>
      <c r="O33" s="63"/>
      <c r="P33" s="63"/>
      <c r="Q33" s="63"/>
      <c r="R33" s="63"/>
      <c r="S33" s="63"/>
      <c r="T33" s="63"/>
      <c r="U33" s="10"/>
      <c r="V33" s="90"/>
      <c r="W33" s="91"/>
      <c r="X33" s="92"/>
      <c r="Y33" s="2"/>
      <c r="Z33" s="2"/>
      <c r="AA33" s="2"/>
      <c r="AB33" s="2"/>
      <c r="AC33" s="2"/>
    </row>
    <row r="34" spans="1:29" s="260" customFormat="1">
      <c r="A34" s="181"/>
      <c r="B34" s="100" t="s">
        <v>152</v>
      </c>
      <c r="C34" s="36"/>
      <c r="D34" s="10"/>
      <c r="E34" s="10"/>
      <c r="F34" s="88"/>
      <c r="G34" s="62"/>
      <c r="H34" s="88"/>
      <c r="I34" s="99"/>
      <c r="J34" s="63"/>
      <c r="K34" s="181"/>
      <c r="L34" s="181"/>
      <c r="M34" s="181"/>
      <c r="N34" s="181"/>
      <c r="O34" s="181"/>
      <c r="P34" s="181"/>
      <c r="Q34" s="181"/>
      <c r="R34" s="181"/>
      <c r="S34" s="181"/>
      <c r="T34" s="63"/>
      <c r="U34" s="10"/>
      <c r="V34" s="90"/>
      <c r="W34" s="91"/>
      <c r="X34" s="92"/>
      <c r="Y34" s="181"/>
      <c r="Z34" s="181"/>
      <c r="AA34" s="181"/>
      <c r="AB34" s="181"/>
      <c r="AC34" s="181"/>
    </row>
    <row r="35" spans="1:29" s="260" customFormat="1">
      <c r="A35" s="261">
        <v>0.05</v>
      </c>
      <c r="B35" s="87">
        <v>1</v>
      </c>
      <c r="C35" s="262">
        <v>45821</v>
      </c>
      <c r="D35" s="263" t="s">
        <v>2727</v>
      </c>
      <c r="E35" s="264" t="s">
        <v>737</v>
      </c>
      <c r="F35" s="265">
        <v>2814</v>
      </c>
      <c r="G35" s="265">
        <f>39.7+(49.79)</f>
        <v>89.490000000000009</v>
      </c>
      <c r="H35" s="265"/>
      <c r="I35" s="266">
        <f>F35-G35-H35</f>
        <v>2724.51</v>
      </c>
      <c r="J35" s="267" t="s">
        <v>374</v>
      </c>
      <c r="K35" s="268">
        <v>1</v>
      </c>
      <c r="L35" s="267">
        <v>1</v>
      </c>
      <c r="M35" s="267">
        <v>1</v>
      </c>
      <c r="N35" s="267">
        <v>1</v>
      </c>
      <c r="O35" s="267">
        <v>1</v>
      </c>
      <c r="P35" s="267">
        <v>0</v>
      </c>
      <c r="Q35" s="267">
        <v>1</v>
      </c>
      <c r="R35" s="267">
        <v>1</v>
      </c>
      <c r="S35" s="269">
        <v>0</v>
      </c>
      <c r="T35" s="63"/>
      <c r="U35" s="10" t="s">
        <v>2728</v>
      </c>
      <c r="V35" s="90"/>
      <c r="W35" s="91"/>
      <c r="X35" s="92"/>
      <c r="Y35" s="181"/>
      <c r="Z35" s="181"/>
      <c r="AA35" s="181"/>
      <c r="AB35" s="181"/>
      <c r="AC35" s="181"/>
    </row>
    <row r="36" spans="1:29" s="260" customFormat="1">
      <c r="A36" s="181"/>
      <c r="B36" s="11"/>
      <c r="C36" s="36"/>
      <c r="D36" s="10"/>
      <c r="E36" s="10"/>
      <c r="F36" s="97">
        <f>SUM(F35:F35)</f>
        <v>2814</v>
      </c>
      <c r="G36" s="97">
        <f>SUM(G35:G35)</f>
        <v>89.490000000000009</v>
      </c>
      <c r="H36" s="97">
        <f>SUM(H35:H35)</f>
        <v>0</v>
      </c>
      <c r="I36" s="98">
        <f>SUM(I35:I35)</f>
        <v>2724.51</v>
      </c>
      <c r="J36" s="63"/>
      <c r="K36" s="21"/>
      <c r="L36" s="21"/>
      <c r="M36" s="21"/>
      <c r="N36" s="21"/>
      <c r="O36" s="21"/>
      <c r="P36" s="21"/>
      <c r="Q36" s="21"/>
      <c r="R36" s="21"/>
      <c r="S36" s="21"/>
      <c r="T36" s="63"/>
      <c r="U36" s="10"/>
      <c r="V36" s="90"/>
      <c r="W36" s="91"/>
      <c r="X36" s="92"/>
      <c r="Y36" s="181"/>
      <c r="Z36" s="181"/>
      <c r="AA36" s="181"/>
      <c r="AB36" s="181"/>
      <c r="AC36" s="181"/>
    </row>
    <row r="37" spans="1:29">
      <c r="A37" s="2"/>
      <c r="B37" s="26"/>
      <c r="C37" s="140"/>
      <c r="D37" s="141"/>
      <c r="E37" s="141"/>
      <c r="F37" s="141"/>
      <c r="G37" s="141"/>
      <c r="H37" s="141"/>
      <c r="I37" s="141"/>
      <c r="J37" s="141"/>
      <c r="K37" s="142"/>
      <c r="L37" s="142"/>
      <c r="M37" s="142"/>
      <c r="N37" s="142"/>
      <c r="O37" s="142"/>
      <c r="P37" s="142"/>
      <c r="Q37" s="142"/>
      <c r="R37" s="142"/>
      <c r="S37" s="142"/>
      <c r="T37" s="143">
        <f>SUM(T30:T36)</f>
        <v>0</v>
      </c>
      <c r="U37" s="141"/>
      <c r="V37" s="144">
        <f>SUM(V30:V36)</f>
        <v>0</v>
      </c>
      <c r="W37" s="145">
        <f>SUM(W30:W36)</f>
        <v>0</v>
      </c>
      <c r="X37" s="146">
        <f>SUM(X30:X36)</f>
        <v>0</v>
      </c>
      <c r="Y37" s="2"/>
      <c r="Z37" s="2"/>
      <c r="AA37" s="2"/>
      <c r="AB37" s="2"/>
      <c r="AC37" s="2"/>
    </row>
    <row r="38" spans="1:29">
      <c r="B38" s="258"/>
      <c r="C38" s="258"/>
      <c r="D38" s="258"/>
      <c r="E38" s="258"/>
      <c r="F38" s="258"/>
      <c r="G38" s="258"/>
      <c r="H38" s="258"/>
      <c r="I38" s="258"/>
      <c r="J38" s="258"/>
      <c r="K38" s="258"/>
      <c r="L38" s="258"/>
      <c r="M38" s="258"/>
      <c r="N38" s="258"/>
      <c r="O38" s="258"/>
      <c r="P38" s="258"/>
      <c r="Q38" s="258"/>
      <c r="R38" s="258"/>
      <c r="S38" s="258"/>
      <c r="T38" s="258"/>
      <c r="U38" s="258"/>
      <c r="V38" s="258"/>
      <c r="W38" s="258"/>
      <c r="X38" s="258"/>
    </row>
    <row r="41" spans="1:29">
      <c r="A41" s="3"/>
      <c r="B41" s="4" t="s">
        <v>1</v>
      </c>
      <c r="C41" s="5"/>
      <c r="D41" s="6"/>
      <c r="E41" s="6"/>
      <c r="F41" s="7" t="s">
        <v>2</v>
      </c>
      <c r="G41" s="8">
        <v>45858</v>
      </c>
      <c r="H41" s="7"/>
      <c r="I41" s="6"/>
      <c r="J41" s="6"/>
      <c r="K41" s="6"/>
      <c r="L41" s="6"/>
      <c r="M41" s="6"/>
      <c r="N41" s="6"/>
      <c r="O41" s="6"/>
      <c r="P41" s="6"/>
      <c r="Q41" s="6"/>
      <c r="R41" s="6"/>
      <c r="S41" s="6"/>
      <c r="T41" s="6"/>
      <c r="U41" s="9"/>
      <c r="V41" s="10"/>
      <c r="W41" s="10"/>
      <c r="X41" s="10"/>
    </row>
    <row r="42" spans="1:29">
      <c r="A42" s="2"/>
      <c r="B42" s="11"/>
      <c r="C42" s="10"/>
      <c r="D42" s="10"/>
      <c r="E42" s="10"/>
      <c r="F42" s="10"/>
      <c r="G42" s="7"/>
      <c r="H42" s="12"/>
      <c r="I42" s="10"/>
      <c r="J42" s="10"/>
      <c r="K42" s="13" t="s">
        <v>3</v>
      </c>
      <c r="L42" s="14"/>
      <c r="M42" s="15"/>
      <c r="N42" s="13" t="s">
        <v>4</v>
      </c>
      <c r="O42" s="14"/>
      <c r="P42" s="15"/>
      <c r="Q42" s="13" t="s">
        <v>5</v>
      </c>
      <c r="R42" s="14"/>
      <c r="S42" s="15"/>
      <c r="T42" s="16"/>
      <c r="U42" s="17"/>
      <c r="V42" s="10"/>
      <c r="W42" s="10"/>
      <c r="X42" s="10"/>
    </row>
    <row r="43" spans="1:29">
      <c r="A43" s="2"/>
      <c r="B43" s="18" t="s">
        <v>6</v>
      </c>
      <c r="C43" s="19">
        <f>C44+C45</f>
        <v>0</v>
      </c>
      <c r="D43" s="10"/>
      <c r="E43" s="18" t="s">
        <v>7</v>
      </c>
      <c r="F43" s="6"/>
      <c r="G43" s="9"/>
      <c r="H43" s="10"/>
      <c r="I43" s="10"/>
      <c r="J43" s="10"/>
      <c r="K43" s="20" t="s">
        <v>8</v>
      </c>
      <c r="L43" s="21" t="s">
        <v>9</v>
      </c>
      <c r="M43" s="21" t="s">
        <v>10</v>
      </c>
      <c r="N43" s="20" t="s">
        <v>11</v>
      </c>
      <c r="O43" s="21" t="s">
        <v>12</v>
      </c>
      <c r="P43" s="22" t="s">
        <v>13</v>
      </c>
      <c r="Q43" s="21" t="s">
        <v>11</v>
      </c>
      <c r="R43" s="21" t="s">
        <v>12</v>
      </c>
      <c r="S43" s="22" t="s">
        <v>13</v>
      </c>
      <c r="T43" s="23" t="s">
        <v>14</v>
      </c>
      <c r="U43" s="17"/>
      <c r="V43" s="10"/>
      <c r="W43" s="10"/>
      <c r="X43" s="10"/>
    </row>
    <row r="44" spans="1:29">
      <c r="A44" s="2"/>
      <c r="B44" s="24" t="s">
        <v>15</v>
      </c>
      <c r="C44" s="25">
        <f>P51</f>
        <v>0</v>
      </c>
      <c r="D44" s="10"/>
      <c r="E44" s="26" t="s">
        <v>16</v>
      </c>
      <c r="F44" s="27">
        <v>0.05</v>
      </c>
      <c r="G44" s="28"/>
      <c r="H44" s="10"/>
      <c r="I44" s="10"/>
      <c r="J44" s="18" t="s">
        <v>17</v>
      </c>
      <c r="K44" s="29">
        <f>K70</f>
        <v>0</v>
      </c>
      <c r="L44" s="29">
        <f t="shared" ref="L44:S44" si="10">L70</f>
        <v>0</v>
      </c>
      <c r="M44" s="29">
        <f t="shared" si="10"/>
        <v>0</v>
      </c>
      <c r="N44" s="29">
        <f t="shared" si="10"/>
        <v>0</v>
      </c>
      <c r="O44" s="29">
        <f t="shared" si="10"/>
        <v>0</v>
      </c>
      <c r="P44" s="29">
        <f t="shared" si="10"/>
        <v>0</v>
      </c>
      <c r="Q44" s="29">
        <f t="shared" si="10"/>
        <v>0</v>
      </c>
      <c r="R44" s="29">
        <f t="shared" si="10"/>
        <v>0</v>
      </c>
      <c r="S44" s="29">
        <f t="shared" si="10"/>
        <v>0</v>
      </c>
      <c r="T44" s="30">
        <f>T75</f>
        <v>0</v>
      </c>
      <c r="U44" s="17"/>
      <c r="V44" s="10"/>
      <c r="W44" s="10"/>
      <c r="X44" s="10"/>
    </row>
    <row r="45" spans="1:29">
      <c r="A45" s="2"/>
      <c r="B45" s="24" t="s">
        <v>18</v>
      </c>
      <c r="C45" s="25">
        <f>P52</f>
        <v>0</v>
      </c>
      <c r="D45" s="10"/>
      <c r="E45" s="10"/>
      <c r="F45" s="10"/>
      <c r="G45" s="31"/>
      <c r="H45" s="10"/>
      <c r="I45" s="10"/>
      <c r="J45" s="32" t="s">
        <v>19</v>
      </c>
      <c r="K45" s="33" t="e">
        <f>K70/K69</f>
        <v>#DIV/0!</v>
      </c>
      <c r="L45" s="33" t="e">
        <f t="shared" ref="L45:S45" si="11">L70/L69</f>
        <v>#DIV/0!</v>
      </c>
      <c r="M45" s="33" t="e">
        <f t="shared" si="11"/>
        <v>#DIV/0!</v>
      </c>
      <c r="N45" s="33" t="e">
        <f t="shared" si="11"/>
        <v>#DIV/0!</v>
      </c>
      <c r="O45" s="33" t="e">
        <f t="shared" si="11"/>
        <v>#DIV/0!</v>
      </c>
      <c r="P45" s="33" t="e">
        <f t="shared" si="11"/>
        <v>#DIV/0!</v>
      </c>
      <c r="Q45" s="33" t="e">
        <f t="shared" si="11"/>
        <v>#DIV/0!</v>
      </c>
      <c r="R45" s="33" t="e">
        <f t="shared" si="11"/>
        <v>#DIV/0!</v>
      </c>
      <c r="S45" s="33" t="e">
        <f t="shared" si="11"/>
        <v>#DIV/0!</v>
      </c>
      <c r="T45" s="23"/>
      <c r="U45" s="17" t="s">
        <v>20</v>
      </c>
      <c r="V45" s="10"/>
      <c r="W45" s="10"/>
      <c r="X45" s="10"/>
    </row>
    <row r="46" spans="1:29">
      <c r="A46" s="2"/>
      <c r="B46" s="24" t="s">
        <v>21</v>
      </c>
      <c r="C46" s="34" t="e">
        <f>P53</f>
        <v>#DIV/0!</v>
      </c>
      <c r="D46" s="10"/>
      <c r="E46" s="10"/>
      <c r="F46" s="10"/>
      <c r="G46" s="10"/>
      <c r="H46" s="10"/>
      <c r="I46" s="10"/>
      <c r="J46" s="10"/>
      <c r="K46" s="10"/>
      <c r="L46" s="10"/>
      <c r="M46" s="10"/>
      <c r="N46" s="10"/>
      <c r="O46" s="10"/>
      <c r="P46" s="10"/>
      <c r="Q46" s="10"/>
      <c r="R46" s="10"/>
      <c r="S46" s="10"/>
      <c r="T46" s="10"/>
      <c r="U46" s="17"/>
      <c r="V46" s="10"/>
      <c r="W46" s="10"/>
      <c r="X46" s="10"/>
    </row>
    <row r="47" spans="1:29">
      <c r="A47" s="2"/>
      <c r="B47" s="24"/>
      <c r="C47" s="25"/>
      <c r="D47" s="10"/>
      <c r="E47" s="10"/>
      <c r="F47" s="18" t="s">
        <v>22</v>
      </c>
      <c r="G47" s="19" t="s">
        <v>23</v>
      </c>
      <c r="H47" s="35" t="s">
        <v>24</v>
      </c>
      <c r="I47" s="10"/>
      <c r="J47" s="10"/>
      <c r="K47" s="36"/>
      <c r="L47" s="36"/>
      <c r="M47" s="36"/>
      <c r="N47" s="36"/>
      <c r="O47" s="36"/>
      <c r="P47" s="36"/>
      <c r="Q47" s="36"/>
      <c r="R47" s="10"/>
      <c r="S47" s="10"/>
      <c r="T47" s="10"/>
      <c r="U47" s="17"/>
      <c r="V47" s="10"/>
      <c r="W47" s="10"/>
      <c r="X47" s="10"/>
    </row>
    <row r="48" spans="1:29">
      <c r="A48" s="2"/>
      <c r="B48" s="32" t="s">
        <v>25</v>
      </c>
      <c r="C48" s="37" t="e">
        <f>P54</f>
        <v>#DIV/0!</v>
      </c>
      <c r="D48" s="10"/>
      <c r="E48" s="18" t="s">
        <v>26</v>
      </c>
      <c r="F48" s="38">
        <f>P50</f>
        <v>0</v>
      </c>
      <c r="G48" s="39">
        <f>I69</f>
        <v>0</v>
      </c>
      <c r="H48" s="40"/>
      <c r="I48" s="41"/>
      <c r="J48" s="42"/>
      <c r="K48" s="43" t="s">
        <v>27</v>
      </c>
      <c r="L48" s="44"/>
      <c r="M48" s="44"/>
      <c r="N48" s="44"/>
      <c r="O48" s="44"/>
      <c r="P48" s="44"/>
      <c r="Q48" s="45"/>
      <c r="R48" s="46" t="s">
        <v>28</v>
      </c>
      <c r="S48" s="47" t="s">
        <v>29</v>
      </c>
      <c r="T48" s="10"/>
      <c r="U48" s="17"/>
      <c r="V48" s="10"/>
      <c r="W48" s="10"/>
      <c r="X48" s="10"/>
    </row>
    <row r="49" spans="1:24">
      <c r="A49" s="2"/>
      <c r="B49" s="11"/>
      <c r="C49" s="10"/>
      <c r="D49" s="10"/>
      <c r="E49" s="24" t="s">
        <v>30</v>
      </c>
      <c r="F49" s="48">
        <f>F44</f>
        <v>0.05</v>
      </c>
      <c r="G49" s="17"/>
      <c r="H49" s="40"/>
      <c r="I49" s="41"/>
      <c r="J49" s="42"/>
      <c r="K49" s="20" t="s">
        <v>31</v>
      </c>
      <c r="L49" s="21" t="s">
        <v>32</v>
      </c>
      <c r="M49" s="21" t="s">
        <v>33</v>
      </c>
      <c r="N49" s="21" t="s">
        <v>34</v>
      </c>
      <c r="O49" s="21" t="s">
        <v>35</v>
      </c>
      <c r="P49" s="21" t="s">
        <v>36</v>
      </c>
      <c r="Q49" s="49" t="s">
        <v>37</v>
      </c>
      <c r="R49" s="50" t="s">
        <v>38</v>
      </c>
      <c r="S49" s="50" t="s">
        <v>38</v>
      </c>
      <c r="T49" s="10"/>
      <c r="U49" s="17"/>
      <c r="V49" s="10"/>
      <c r="W49" s="10"/>
      <c r="X49" s="10"/>
    </row>
    <row r="50" spans="1:24">
      <c r="A50" s="2"/>
      <c r="B50" s="11"/>
      <c r="C50" s="10"/>
      <c r="D50" s="10"/>
      <c r="E50" s="51" t="s">
        <v>39</v>
      </c>
      <c r="F50" s="52">
        <f>F48*F49</f>
        <v>0</v>
      </c>
      <c r="G50" s="53" t="s">
        <v>40</v>
      </c>
      <c r="H50" s="54">
        <f>F50/1.12</f>
        <v>0</v>
      </c>
      <c r="I50" s="55"/>
      <c r="J50" s="42"/>
      <c r="K50" s="56"/>
      <c r="L50" s="57"/>
      <c r="M50" s="57"/>
      <c r="N50" s="57"/>
      <c r="O50" s="57"/>
      <c r="P50" s="57">
        <f>SUM(K50:O50)</f>
        <v>0</v>
      </c>
      <c r="Q50" s="58">
        <v>0</v>
      </c>
      <c r="R50" s="59">
        <f>0</f>
        <v>0</v>
      </c>
      <c r="S50" s="59">
        <f>0</f>
        <v>0</v>
      </c>
      <c r="T50" s="10"/>
      <c r="U50" s="17"/>
      <c r="V50" s="10"/>
      <c r="W50" s="10"/>
      <c r="X50" s="10"/>
    </row>
    <row r="51" spans="1:24">
      <c r="A51" s="2"/>
      <c r="B51" s="11"/>
      <c r="C51" s="10"/>
      <c r="D51" s="10"/>
      <c r="E51" s="24" t="s">
        <v>41</v>
      </c>
      <c r="F51" s="60">
        <f>Q50</f>
        <v>0</v>
      </c>
      <c r="G51" s="61" t="s">
        <v>40</v>
      </c>
      <c r="H51" s="62"/>
      <c r="I51" s="62"/>
      <c r="J51" s="10" t="s">
        <v>42</v>
      </c>
      <c r="K51" s="63"/>
      <c r="L51" s="63"/>
      <c r="M51" s="63"/>
      <c r="N51" s="63"/>
      <c r="O51" s="63"/>
      <c r="P51" s="21">
        <f>SUM(K51:O51)</f>
        <v>0</v>
      </c>
      <c r="Q51" s="64"/>
      <c r="R51" s="63"/>
      <c r="S51" s="10"/>
      <c r="T51" s="10"/>
      <c r="U51" s="17"/>
      <c r="V51" s="10"/>
      <c r="W51" s="10"/>
      <c r="X51" s="10"/>
    </row>
    <row r="52" spans="1:24">
      <c r="A52" s="2"/>
      <c r="B52" s="11"/>
      <c r="C52" s="10"/>
      <c r="D52" s="10"/>
      <c r="E52" s="51" t="s">
        <v>43</v>
      </c>
      <c r="F52" s="52">
        <f>F51*0.25</f>
        <v>0</v>
      </c>
      <c r="G52" s="53" t="s">
        <v>40</v>
      </c>
      <c r="H52" s="54">
        <f>F52/1.12</f>
        <v>0</v>
      </c>
      <c r="I52" s="10"/>
      <c r="J52" s="10" t="s">
        <v>44</v>
      </c>
      <c r="K52" s="63"/>
      <c r="L52" s="63"/>
      <c r="M52" s="63"/>
      <c r="N52" s="63"/>
      <c r="O52" s="63"/>
      <c r="P52" s="21">
        <f>SUM(K52:O52)</f>
        <v>0</v>
      </c>
      <c r="Q52" s="64"/>
      <c r="R52" s="63"/>
      <c r="S52" s="10"/>
      <c r="T52" s="10"/>
      <c r="U52" s="17"/>
      <c r="V52" s="10"/>
      <c r="W52" s="10"/>
      <c r="X52" s="10"/>
    </row>
    <row r="53" spans="1:24">
      <c r="A53" s="2"/>
      <c r="B53" s="11"/>
      <c r="C53" s="10"/>
      <c r="D53" s="10"/>
      <c r="E53" s="24" t="s">
        <v>45</v>
      </c>
      <c r="F53" s="60">
        <f>I74</f>
        <v>2724.51</v>
      </c>
      <c r="G53" s="61" t="s">
        <v>40</v>
      </c>
      <c r="H53" s="62"/>
      <c r="I53" s="10"/>
      <c r="J53" s="10" t="s">
        <v>46</v>
      </c>
      <c r="K53" s="31" t="e">
        <f t="shared" ref="K53:Q53" si="12">K51/(K51+K52)</f>
        <v>#DIV/0!</v>
      </c>
      <c r="L53" s="31" t="e">
        <f t="shared" si="12"/>
        <v>#DIV/0!</v>
      </c>
      <c r="M53" s="31" t="e">
        <f t="shared" si="12"/>
        <v>#DIV/0!</v>
      </c>
      <c r="N53" s="31" t="e">
        <f t="shared" si="12"/>
        <v>#DIV/0!</v>
      </c>
      <c r="O53" s="31" t="e">
        <f t="shared" si="12"/>
        <v>#DIV/0!</v>
      </c>
      <c r="P53" s="31" t="e">
        <f t="shared" si="12"/>
        <v>#DIV/0!</v>
      </c>
      <c r="Q53" s="31" t="e">
        <f t="shared" si="12"/>
        <v>#DIV/0!</v>
      </c>
      <c r="R53" s="63"/>
      <c r="S53" s="10"/>
      <c r="T53" s="10"/>
      <c r="U53" s="17"/>
      <c r="V53" s="10"/>
      <c r="W53" s="10"/>
      <c r="X53" s="10"/>
    </row>
    <row r="54" spans="1:24">
      <c r="A54" s="2"/>
      <c r="B54" s="11"/>
      <c r="C54" s="10"/>
      <c r="D54" s="10"/>
      <c r="E54" s="51" t="s">
        <v>47</v>
      </c>
      <c r="F54" s="52">
        <f>(F53+F57+F58+F59)*0.05</f>
        <v>76.408000000000015</v>
      </c>
      <c r="G54" s="65" t="s">
        <v>40</v>
      </c>
      <c r="H54" s="54">
        <f>F54/1.12</f>
        <v>68.221428571428575</v>
      </c>
      <c r="I54" s="42"/>
      <c r="J54" s="10" t="s">
        <v>48</v>
      </c>
      <c r="K54" s="66" t="e">
        <f>K50/K51</f>
        <v>#DIV/0!</v>
      </c>
      <c r="L54" s="66" t="e">
        <f t="shared" ref="L54:Q54" si="13">L50/L51</f>
        <v>#DIV/0!</v>
      </c>
      <c r="M54" s="66" t="e">
        <f t="shared" si="13"/>
        <v>#DIV/0!</v>
      </c>
      <c r="N54" s="66" t="e">
        <f t="shared" si="13"/>
        <v>#DIV/0!</v>
      </c>
      <c r="O54" s="66" t="e">
        <f t="shared" si="13"/>
        <v>#DIV/0!</v>
      </c>
      <c r="P54" s="66" t="e">
        <f t="shared" si="13"/>
        <v>#DIV/0!</v>
      </c>
      <c r="Q54" s="66" t="e">
        <f t="shared" si="13"/>
        <v>#DIV/0!</v>
      </c>
      <c r="R54" s="63"/>
      <c r="S54" s="10"/>
      <c r="T54" s="10"/>
      <c r="U54" s="17"/>
      <c r="V54" s="10"/>
      <c r="W54" s="10"/>
      <c r="X54" s="10"/>
    </row>
    <row r="55" spans="1:24">
      <c r="A55" s="2"/>
      <c r="B55" s="11"/>
      <c r="C55" s="10"/>
      <c r="D55" s="10"/>
      <c r="E55" s="67" t="s">
        <v>14</v>
      </c>
      <c r="F55" s="68"/>
      <c r="G55" s="10"/>
      <c r="H55" s="54">
        <f>F55/1.12</f>
        <v>0</v>
      </c>
      <c r="I55" s="10"/>
      <c r="J55" s="10"/>
      <c r="K55" s="10"/>
      <c r="L55" s="10"/>
      <c r="M55" s="10"/>
      <c r="N55" s="10"/>
      <c r="O55" s="10"/>
      <c r="P55" s="10"/>
      <c r="Q55" s="10"/>
      <c r="R55" s="10"/>
      <c r="S55" s="10"/>
      <c r="T55" s="10"/>
      <c r="U55" s="17"/>
      <c r="V55" s="10"/>
      <c r="W55" s="10"/>
      <c r="X55" s="10"/>
    </row>
    <row r="56" spans="1:24">
      <c r="A56" s="2"/>
      <c r="B56" s="11"/>
      <c r="C56" s="10"/>
      <c r="D56" s="10"/>
      <c r="E56" s="67" t="s">
        <v>49</v>
      </c>
      <c r="F56" s="69">
        <f>T45</f>
        <v>0</v>
      </c>
      <c r="G56" s="10"/>
      <c r="H56" s="54"/>
      <c r="I56" s="55"/>
      <c r="J56" s="42"/>
      <c r="K56" s="764" t="s">
        <v>50</v>
      </c>
      <c r="L56" s="765"/>
      <c r="M56" s="765"/>
      <c r="N56" s="765"/>
      <c r="O56" s="765"/>
      <c r="P56" s="765"/>
      <c r="Q56" s="766"/>
      <c r="R56" s="70" t="s">
        <v>28</v>
      </c>
      <c r="S56" s="71" t="s">
        <v>29</v>
      </c>
      <c r="T56" s="10"/>
      <c r="U56" s="17"/>
      <c r="V56" s="10"/>
      <c r="W56" s="10"/>
      <c r="X56" s="10"/>
    </row>
    <row r="57" spans="1:24">
      <c r="A57" s="2"/>
      <c r="B57" s="11"/>
      <c r="C57" s="10"/>
      <c r="D57" s="10"/>
      <c r="E57" s="72" t="s">
        <v>2729</v>
      </c>
      <c r="F57" s="73">
        <f>-1006.5</f>
        <v>-1006.5</v>
      </c>
      <c r="G57" s="10"/>
      <c r="H57" s="10"/>
      <c r="I57" s="10"/>
      <c r="J57" s="42"/>
      <c r="K57" s="20" t="s">
        <v>31</v>
      </c>
      <c r="L57" s="21" t="s">
        <v>32</v>
      </c>
      <c r="M57" s="21" t="s">
        <v>33</v>
      </c>
      <c r="N57" s="21" t="s">
        <v>34</v>
      </c>
      <c r="O57" s="21" t="s">
        <v>35</v>
      </c>
      <c r="P57" s="21" t="s">
        <v>36</v>
      </c>
      <c r="Q57" s="49" t="s">
        <v>37</v>
      </c>
      <c r="R57" s="50" t="s">
        <v>38</v>
      </c>
      <c r="S57" s="50" t="s">
        <v>38</v>
      </c>
      <c r="T57" s="10"/>
      <c r="U57" s="17"/>
      <c r="V57" s="10"/>
      <c r="W57" s="10"/>
      <c r="X57" s="10"/>
    </row>
    <row r="58" spans="1:24">
      <c r="A58" s="2"/>
      <c r="B58" s="11"/>
      <c r="C58" s="10"/>
      <c r="D58" s="10"/>
      <c r="E58" s="72" t="s">
        <v>2730</v>
      </c>
      <c r="F58" s="73">
        <v>-125.87</v>
      </c>
      <c r="G58" s="10"/>
      <c r="H58" s="10"/>
      <c r="I58" s="10"/>
      <c r="J58" s="42"/>
      <c r="K58" s="56"/>
      <c r="L58" s="57"/>
      <c r="M58" s="57"/>
      <c r="N58" s="57"/>
      <c r="O58" s="57"/>
      <c r="P58" s="57"/>
      <c r="Q58" s="58">
        <v>0</v>
      </c>
      <c r="R58" s="59">
        <f>0</f>
        <v>0</v>
      </c>
      <c r="S58" s="59">
        <f>0</f>
        <v>0</v>
      </c>
      <c r="T58" s="10"/>
      <c r="U58" s="17"/>
      <c r="V58" s="10"/>
      <c r="W58" s="10"/>
      <c r="X58" s="10"/>
    </row>
    <row r="59" spans="1:24">
      <c r="A59" s="2"/>
      <c r="B59" s="11"/>
      <c r="C59" s="10"/>
      <c r="D59" s="10"/>
      <c r="E59" s="74" t="s">
        <v>2731</v>
      </c>
      <c r="F59" s="75">
        <v>-63.98</v>
      </c>
      <c r="G59" s="10"/>
      <c r="H59" s="10"/>
      <c r="I59" s="10"/>
      <c r="J59" s="10" t="s">
        <v>42</v>
      </c>
      <c r="K59" s="63">
        <f>K51</f>
        <v>0</v>
      </c>
      <c r="L59" s="63">
        <f t="shared" ref="L59:Q60" si="14">L51</f>
        <v>0</v>
      </c>
      <c r="M59" s="63">
        <f t="shared" si="14"/>
        <v>0</v>
      </c>
      <c r="N59" s="63">
        <f t="shared" si="14"/>
        <v>0</v>
      </c>
      <c r="O59" s="63">
        <f t="shared" si="14"/>
        <v>0</v>
      </c>
      <c r="P59" s="63">
        <f t="shared" si="14"/>
        <v>0</v>
      </c>
      <c r="Q59" s="63">
        <f t="shared" si="14"/>
        <v>0</v>
      </c>
      <c r="R59" s="63"/>
      <c r="S59" s="10"/>
      <c r="T59" s="10"/>
      <c r="U59" s="17"/>
      <c r="V59" s="10"/>
      <c r="W59" s="10"/>
      <c r="X59" s="10"/>
    </row>
    <row r="60" spans="1:24">
      <c r="A60" s="2"/>
      <c r="B60" s="11"/>
      <c r="C60" s="10"/>
      <c r="D60" s="10"/>
      <c r="E60" s="12"/>
      <c r="F60" s="76"/>
      <c r="G60" s="10"/>
      <c r="H60" s="10"/>
      <c r="I60" s="10"/>
      <c r="J60" s="10" t="s">
        <v>44</v>
      </c>
      <c r="K60" s="63">
        <f>K52</f>
        <v>0</v>
      </c>
      <c r="L60" s="63">
        <f t="shared" si="14"/>
        <v>0</v>
      </c>
      <c r="M60" s="63">
        <f t="shared" si="14"/>
        <v>0</v>
      </c>
      <c r="N60" s="63">
        <f t="shared" si="14"/>
        <v>0</v>
      </c>
      <c r="O60" s="63">
        <f t="shared" si="14"/>
        <v>0</v>
      </c>
      <c r="P60" s="63">
        <f t="shared" si="14"/>
        <v>0</v>
      </c>
      <c r="Q60" s="63">
        <f t="shared" si="14"/>
        <v>0</v>
      </c>
      <c r="R60" s="63"/>
      <c r="S60" s="10"/>
      <c r="T60" s="10"/>
      <c r="U60" s="17"/>
      <c r="V60" s="10"/>
      <c r="W60" s="10"/>
      <c r="X60" s="10"/>
    </row>
    <row r="61" spans="1:24">
      <c r="A61" s="2"/>
      <c r="B61" s="11"/>
      <c r="C61" s="10"/>
      <c r="D61" s="10"/>
      <c r="E61" s="12"/>
      <c r="F61" s="76"/>
      <c r="G61" s="10"/>
      <c r="H61" s="10"/>
      <c r="I61" s="10"/>
      <c r="J61" s="10" t="s">
        <v>46</v>
      </c>
      <c r="K61" s="31" t="e">
        <f t="shared" ref="K61:Q61" si="15">K59/(K59+K60)</f>
        <v>#DIV/0!</v>
      </c>
      <c r="L61" s="31" t="e">
        <f t="shared" si="15"/>
        <v>#DIV/0!</v>
      </c>
      <c r="M61" s="31" t="e">
        <f t="shared" si="15"/>
        <v>#DIV/0!</v>
      </c>
      <c r="N61" s="31" t="e">
        <f t="shared" si="15"/>
        <v>#DIV/0!</v>
      </c>
      <c r="O61" s="31" t="e">
        <f t="shared" si="15"/>
        <v>#DIV/0!</v>
      </c>
      <c r="P61" s="31" t="e">
        <f t="shared" si="15"/>
        <v>#DIV/0!</v>
      </c>
      <c r="Q61" s="31" t="e">
        <f t="shared" si="15"/>
        <v>#DIV/0!</v>
      </c>
      <c r="R61" s="63"/>
      <c r="S61" s="10"/>
      <c r="T61" s="10"/>
      <c r="U61" s="17"/>
      <c r="V61" s="10"/>
      <c r="W61" s="10"/>
      <c r="X61" s="10"/>
    </row>
    <row r="62" spans="1:24">
      <c r="A62" s="2"/>
      <c r="B62" s="11"/>
      <c r="C62" s="10"/>
      <c r="D62" s="10"/>
      <c r="E62" s="10"/>
      <c r="F62" s="10"/>
      <c r="G62" s="10"/>
      <c r="H62" s="10"/>
      <c r="I62" s="10"/>
      <c r="J62" s="10" t="s">
        <v>48</v>
      </c>
      <c r="K62" s="66" t="e">
        <f t="shared" ref="K62:Q62" si="16">K58/K59</f>
        <v>#DIV/0!</v>
      </c>
      <c r="L62" s="66" t="e">
        <f t="shared" si="16"/>
        <v>#DIV/0!</v>
      </c>
      <c r="M62" s="66" t="e">
        <f t="shared" si="16"/>
        <v>#DIV/0!</v>
      </c>
      <c r="N62" s="66" t="e">
        <f t="shared" si="16"/>
        <v>#DIV/0!</v>
      </c>
      <c r="O62" s="66" t="e">
        <f t="shared" si="16"/>
        <v>#DIV/0!</v>
      </c>
      <c r="P62" s="66" t="e">
        <f t="shared" si="16"/>
        <v>#DIV/0!</v>
      </c>
      <c r="Q62" s="66" t="e">
        <f t="shared" si="16"/>
        <v>#DIV/0!</v>
      </c>
      <c r="R62" s="63"/>
      <c r="S62" s="10"/>
      <c r="T62" s="10"/>
      <c r="U62" s="17"/>
      <c r="V62" s="10"/>
      <c r="W62" s="10"/>
      <c r="X62" s="10"/>
    </row>
    <row r="63" spans="1:24">
      <c r="A63" s="2"/>
      <c r="B63" s="11"/>
      <c r="C63" s="10"/>
      <c r="D63" s="10"/>
      <c r="E63" s="10"/>
      <c r="F63" s="10"/>
      <c r="G63" s="10"/>
      <c r="H63" s="10"/>
      <c r="I63" s="10"/>
      <c r="J63" s="10"/>
      <c r="K63" s="10"/>
      <c r="L63" s="10"/>
      <c r="M63" s="10"/>
      <c r="N63" s="10"/>
      <c r="O63" s="10"/>
      <c r="P63" s="10"/>
      <c r="Q63" s="10"/>
      <c r="R63" s="10"/>
      <c r="S63" s="10"/>
      <c r="T63" s="10"/>
      <c r="U63" s="17"/>
      <c r="V63" s="10"/>
      <c r="W63" s="10"/>
      <c r="X63" s="10"/>
    </row>
    <row r="64" spans="1:24">
      <c r="A64" s="2"/>
      <c r="B64" s="11"/>
      <c r="C64" s="10"/>
      <c r="D64" s="10"/>
      <c r="E64" s="10"/>
      <c r="F64" s="10"/>
      <c r="G64" s="10"/>
      <c r="H64" s="10"/>
      <c r="I64" s="10"/>
      <c r="J64" s="10"/>
      <c r="K64" s="10"/>
      <c r="L64" s="10"/>
      <c r="M64" s="10"/>
      <c r="N64" s="10"/>
      <c r="O64" s="10"/>
      <c r="P64" s="10"/>
      <c r="Q64" s="10"/>
      <c r="R64" s="10"/>
      <c r="S64" s="10"/>
      <c r="T64" s="10"/>
      <c r="U64" s="17"/>
      <c r="V64" s="10"/>
      <c r="W64" s="10"/>
      <c r="X64" s="10"/>
    </row>
    <row r="65" spans="1:29">
      <c r="A65" s="2"/>
      <c r="B65" s="18" t="s">
        <v>51</v>
      </c>
      <c r="C65" s="14"/>
      <c r="D65" s="14"/>
      <c r="E65" s="14"/>
      <c r="F65" s="13" t="s">
        <v>52</v>
      </c>
      <c r="G65" s="14"/>
      <c r="H65" s="14"/>
      <c r="I65" s="14"/>
      <c r="J65" s="14"/>
      <c r="K65" s="13" t="s">
        <v>3</v>
      </c>
      <c r="L65" s="14"/>
      <c r="M65" s="14"/>
      <c r="N65" s="13" t="s">
        <v>4</v>
      </c>
      <c r="O65" s="14"/>
      <c r="P65" s="14"/>
      <c r="Q65" s="13" t="s">
        <v>5</v>
      </c>
      <c r="R65" s="14"/>
      <c r="S65" s="14"/>
      <c r="T65" s="18"/>
      <c r="U65" s="16" t="s">
        <v>53</v>
      </c>
      <c r="V65" s="77"/>
      <c r="W65" s="77"/>
      <c r="X65" s="77"/>
    </row>
    <row r="66" spans="1:29">
      <c r="A66" s="2"/>
      <c r="B66" s="24" t="s">
        <v>54</v>
      </c>
      <c r="C66" s="21" t="s">
        <v>55</v>
      </c>
      <c r="D66" s="21" t="s">
        <v>56</v>
      </c>
      <c r="E66" s="21" t="s">
        <v>57</v>
      </c>
      <c r="F66" s="20" t="s">
        <v>58</v>
      </c>
      <c r="G66" s="21" t="s">
        <v>59</v>
      </c>
      <c r="H66" s="21" t="s">
        <v>60</v>
      </c>
      <c r="I66" s="21" t="s">
        <v>26</v>
      </c>
      <c r="J66" s="22" t="s">
        <v>61</v>
      </c>
      <c r="K66" s="21" t="s">
        <v>8</v>
      </c>
      <c r="L66" s="21" t="s">
        <v>9</v>
      </c>
      <c r="M66" s="21" t="s">
        <v>10</v>
      </c>
      <c r="N66" s="20" t="s">
        <v>11</v>
      </c>
      <c r="O66" s="21" t="s">
        <v>12</v>
      </c>
      <c r="P66" s="22" t="s">
        <v>13</v>
      </c>
      <c r="Q66" s="21" t="s">
        <v>11</v>
      </c>
      <c r="R66" s="21" t="s">
        <v>12</v>
      </c>
      <c r="S66" s="21" t="s">
        <v>13</v>
      </c>
      <c r="T66" s="78" t="s">
        <v>14</v>
      </c>
      <c r="U66" s="30"/>
      <c r="V66" s="79" t="s">
        <v>62</v>
      </c>
      <c r="W66" s="80" t="s">
        <v>63</v>
      </c>
      <c r="X66" s="81" t="s">
        <v>64</v>
      </c>
    </row>
    <row r="67" spans="1:29">
      <c r="A67" s="2"/>
      <c r="B67" s="4" t="s">
        <v>65</v>
      </c>
      <c r="C67" s="6"/>
      <c r="D67" s="6"/>
      <c r="E67" s="6"/>
      <c r="F67" s="6"/>
      <c r="G67" s="6"/>
      <c r="H67" s="6"/>
      <c r="I67" s="82"/>
      <c r="J67" s="6"/>
      <c r="K67" s="6"/>
      <c r="L67" s="6"/>
      <c r="M67" s="6"/>
      <c r="N67" s="6"/>
      <c r="O67" s="6"/>
      <c r="P67" s="6"/>
      <c r="Q67" s="6"/>
      <c r="R67" s="6"/>
      <c r="S67" s="6"/>
      <c r="T67" s="83"/>
      <c r="U67" s="6"/>
      <c r="V67" s="84"/>
      <c r="W67" s="85"/>
      <c r="X67" s="86"/>
    </row>
    <row r="68" spans="1:29">
      <c r="A68" s="2"/>
      <c r="B68" s="87">
        <v>1</v>
      </c>
      <c r="C68" s="262"/>
      <c r="D68" s="271"/>
      <c r="E68" s="271"/>
      <c r="F68" s="265"/>
      <c r="G68" s="265"/>
      <c r="H68" s="365"/>
      <c r="I68" s="272">
        <f t="shared" ref="I68" si="17">F68-G68-H68</f>
        <v>0</v>
      </c>
      <c r="J68" s="267"/>
      <c r="K68" s="267"/>
      <c r="L68" s="267"/>
      <c r="M68" s="267"/>
      <c r="N68" s="267"/>
      <c r="O68" s="267"/>
      <c r="P68" s="267"/>
      <c r="Q68" s="267"/>
      <c r="R68" s="267"/>
      <c r="S68" s="269"/>
      <c r="T68" s="63"/>
      <c r="U68" s="10"/>
      <c r="V68" s="90"/>
      <c r="W68" s="91"/>
      <c r="X68" s="92"/>
    </row>
    <row r="69" spans="1:29">
      <c r="A69" s="2"/>
      <c r="B69" s="87"/>
      <c r="C69" s="36"/>
      <c r="D69" s="10"/>
      <c r="E69" s="10"/>
      <c r="F69" s="97">
        <f>SUM(F68:F68)</f>
        <v>0</v>
      </c>
      <c r="G69" s="97">
        <f>SUM(G68:G68)</f>
        <v>0</v>
      </c>
      <c r="H69" s="97">
        <f>SUM(H68:H68)</f>
        <v>0</v>
      </c>
      <c r="I69" s="98">
        <f>SUM(I68:I68)</f>
        <v>0</v>
      </c>
      <c r="J69" s="63"/>
      <c r="K69" s="63">
        <f t="shared" ref="K69:S69" si="18">COUNT(K68:K68)</f>
        <v>0</v>
      </c>
      <c r="L69" s="63">
        <f t="shared" si="18"/>
        <v>0</v>
      </c>
      <c r="M69" s="63">
        <f t="shared" si="18"/>
        <v>0</v>
      </c>
      <c r="N69" s="63">
        <f t="shared" si="18"/>
        <v>0</v>
      </c>
      <c r="O69" s="63">
        <f t="shared" si="18"/>
        <v>0</v>
      </c>
      <c r="P69" s="63">
        <f t="shared" si="18"/>
        <v>0</v>
      </c>
      <c r="Q69" s="63">
        <f t="shared" si="18"/>
        <v>0</v>
      </c>
      <c r="R69" s="63">
        <f t="shared" si="18"/>
        <v>0</v>
      </c>
      <c r="S69" s="63">
        <f t="shared" si="18"/>
        <v>0</v>
      </c>
      <c r="T69" s="63"/>
      <c r="U69" s="10"/>
      <c r="V69" s="90"/>
      <c r="W69" s="91"/>
      <c r="X69" s="92"/>
    </row>
    <row r="70" spans="1:29">
      <c r="A70" s="2"/>
      <c r="B70" s="87"/>
      <c r="C70" s="36"/>
      <c r="D70" s="10"/>
      <c r="E70" s="10"/>
      <c r="F70" s="88"/>
      <c r="G70" s="88"/>
      <c r="H70" s="88"/>
      <c r="I70" s="99"/>
      <c r="J70" s="63"/>
      <c r="K70" s="21">
        <f t="shared" ref="K70:S70" si="19">SUM(K68:K68)</f>
        <v>0</v>
      </c>
      <c r="L70" s="21">
        <f t="shared" si="19"/>
        <v>0</v>
      </c>
      <c r="M70" s="21">
        <f t="shared" si="19"/>
        <v>0</v>
      </c>
      <c r="N70" s="21">
        <f t="shared" si="19"/>
        <v>0</v>
      </c>
      <c r="O70" s="21">
        <f t="shared" si="19"/>
        <v>0</v>
      </c>
      <c r="P70" s="21">
        <f t="shared" si="19"/>
        <v>0</v>
      </c>
      <c r="Q70" s="21">
        <f t="shared" si="19"/>
        <v>0</v>
      </c>
      <c r="R70" s="21">
        <f t="shared" si="19"/>
        <v>0</v>
      </c>
      <c r="S70" s="21">
        <f t="shared" si="19"/>
        <v>0</v>
      </c>
      <c r="T70" s="63"/>
      <c r="U70" s="10"/>
      <c r="V70" s="90"/>
      <c r="W70" s="91"/>
      <c r="X70" s="92"/>
    </row>
    <row r="71" spans="1:29">
      <c r="A71" s="2"/>
      <c r="B71" s="11"/>
      <c r="C71" s="36"/>
      <c r="D71" s="10"/>
      <c r="E71" s="10"/>
      <c r="F71" s="88"/>
      <c r="G71" s="88"/>
      <c r="H71" s="88"/>
      <c r="I71" s="99"/>
      <c r="J71" s="63"/>
      <c r="K71" s="21"/>
      <c r="L71" s="21"/>
      <c r="M71" s="21"/>
      <c r="N71" s="21"/>
      <c r="O71" s="21"/>
      <c r="P71" s="21"/>
      <c r="Q71" s="21"/>
      <c r="R71" s="21"/>
      <c r="S71" s="21"/>
      <c r="T71" s="63"/>
      <c r="U71" s="10"/>
      <c r="V71" s="90"/>
      <c r="W71" s="91"/>
      <c r="X71" s="92"/>
    </row>
    <row r="72" spans="1:29">
      <c r="A72" s="2"/>
      <c r="B72" s="100" t="s">
        <v>67</v>
      </c>
      <c r="C72" s="36"/>
      <c r="D72" s="10"/>
      <c r="E72" s="10"/>
      <c r="F72" s="88"/>
      <c r="G72" s="62"/>
      <c r="H72" s="88"/>
      <c r="I72" s="99"/>
      <c r="J72" s="63"/>
      <c r="K72" s="2"/>
      <c r="L72" s="2"/>
      <c r="M72" s="2"/>
      <c r="N72" s="2"/>
      <c r="O72" s="2"/>
      <c r="P72" s="2"/>
      <c r="Q72" s="2"/>
      <c r="R72" s="2"/>
      <c r="S72" s="2"/>
      <c r="T72" s="63"/>
      <c r="U72" s="94"/>
      <c r="V72" s="90"/>
      <c r="W72" s="91"/>
      <c r="X72" s="92"/>
    </row>
    <row r="73" spans="1:29">
      <c r="A73" s="261" t="s">
        <v>1450</v>
      </c>
      <c r="B73" s="87">
        <v>1</v>
      </c>
      <c r="C73" s="262">
        <v>45821</v>
      </c>
      <c r="D73" s="263" t="s">
        <v>2727</v>
      </c>
      <c r="E73" s="264" t="s">
        <v>737</v>
      </c>
      <c r="F73" s="265">
        <v>2814</v>
      </c>
      <c r="G73" s="265">
        <f>39.7+(49.79)</f>
        <v>89.490000000000009</v>
      </c>
      <c r="H73" s="265"/>
      <c r="I73" s="272">
        <f>F73-G73-H73</f>
        <v>2724.51</v>
      </c>
      <c r="J73" s="267" t="s">
        <v>374</v>
      </c>
      <c r="K73" s="268">
        <v>1</v>
      </c>
      <c r="L73" s="267">
        <v>1</v>
      </c>
      <c r="M73" s="267">
        <v>1</v>
      </c>
      <c r="N73" s="267">
        <v>1</v>
      </c>
      <c r="O73" s="267">
        <v>1</v>
      </c>
      <c r="P73" s="267">
        <v>0</v>
      </c>
      <c r="Q73" s="267">
        <v>1</v>
      </c>
      <c r="R73" s="267">
        <v>1</v>
      </c>
      <c r="S73" s="269">
        <v>0</v>
      </c>
      <c r="T73" s="63"/>
      <c r="U73" s="10" t="s">
        <v>2728</v>
      </c>
      <c r="V73" s="90"/>
      <c r="W73" s="91"/>
      <c r="X73" s="92"/>
      <c r="Y73" s="181"/>
      <c r="Z73" s="181"/>
      <c r="AA73" s="181"/>
      <c r="AB73" s="181"/>
      <c r="AC73" s="181"/>
    </row>
    <row r="74" spans="1:29">
      <c r="A74" s="2"/>
      <c r="B74" s="11"/>
      <c r="C74" s="36"/>
      <c r="D74" s="10"/>
      <c r="E74" s="10"/>
      <c r="F74" s="97">
        <f>SUM(F73:F73)</f>
        <v>2814</v>
      </c>
      <c r="G74" s="97">
        <f>SUM(G73:G73)</f>
        <v>89.490000000000009</v>
      </c>
      <c r="H74" s="97">
        <f>SUM(H73:H73)</f>
        <v>0</v>
      </c>
      <c r="I74" s="98">
        <f>SUM(I73:I73)</f>
        <v>2724.51</v>
      </c>
      <c r="J74" s="63"/>
      <c r="K74" s="21"/>
      <c r="L74" s="21"/>
      <c r="M74" s="21"/>
      <c r="N74" s="21"/>
      <c r="O74" s="21"/>
      <c r="P74" s="21"/>
      <c r="Q74" s="21"/>
      <c r="R74" s="21"/>
      <c r="S74" s="21"/>
      <c r="T74" s="63"/>
      <c r="U74" s="94"/>
      <c r="V74" s="90"/>
      <c r="W74" s="91"/>
      <c r="X74" s="92"/>
    </row>
    <row r="75" spans="1:29">
      <c r="A75" s="2"/>
      <c r="B75" s="26"/>
      <c r="C75" s="140"/>
      <c r="D75" s="141"/>
      <c r="E75" s="141"/>
      <c r="F75" s="141"/>
      <c r="G75" s="141"/>
      <c r="H75" s="141"/>
      <c r="I75" s="141"/>
      <c r="J75" s="141"/>
      <c r="K75" s="142"/>
      <c r="L75" s="142"/>
      <c r="M75" s="142"/>
      <c r="N75" s="142"/>
      <c r="O75" s="142"/>
      <c r="P75" s="142"/>
      <c r="Q75" s="142"/>
      <c r="R75" s="142"/>
      <c r="S75" s="142"/>
      <c r="T75" s="143">
        <f>SUM(T68:T74)</f>
        <v>0</v>
      </c>
      <c r="U75" s="141"/>
      <c r="V75" s="144">
        <f>SUM(V68:V74)</f>
        <v>0</v>
      </c>
      <c r="W75" s="145">
        <f>SUM(W68:W74)</f>
        <v>0</v>
      </c>
      <c r="X75" s="146">
        <f>SUM(X68:X74)</f>
        <v>0</v>
      </c>
    </row>
    <row r="78" spans="1:29">
      <c r="B78" s="4" t="s">
        <v>1</v>
      </c>
      <c r="C78" s="5"/>
      <c r="D78" s="6"/>
      <c r="E78" s="6"/>
      <c r="F78" s="7" t="s">
        <v>2</v>
      </c>
      <c r="G78" s="8">
        <v>45963</v>
      </c>
      <c r="H78" s="7"/>
      <c r="I78" s="6"/>
      <c r="J78" s="6"/>
      <c r="K78" s="6"/>
      <c r="L78" s="6"/>
      <c r="M78" s="6"/>
      <c r="N78" s="6"/>
      <c r="O78" s="6"/>
      <c r="P78" s="6"/>
      <c r="Q78" s="6"/>
      <c r="R78" s="6"/>
      <c r="S78" s="6"/>
      <c r="T78" s="6"/>
      <c r="U78" s="9"/>
      <c r="V78" s="10"/>
      <c r="W78" s="10"/>
      <c r="X78" s="10"/>
    </row>
    <row r="79" spans="1:29">
      <c r="B79" s="11"/>
      <c r="C79" s="10"/>
      <c r="D79" s="10"/>
      <c r="E79" s="10"/>
      <c r="F79" s="10"/>
      <c r="G79" s="7"/>
      <c r="H79" s="12"/>
      <c r="I79" s="10"/>
      <c r="J79" s="10"/>
      <c r="K79" s="13" t="s">
        <v>3</v>
      </c>
      <c r="L79" s="14"/>
      <c r="M79" s="15"/>
      <c r="N79" s="13" t="s">
        <v>4</v>
      </c>
      <c r="O79" s="14"/>
      <c r="P79" s="15"/>
      <c r="Q79" s="13" t="s">
        <v>5</v>
      </c>
      <c r="R79" s="14"/>
      <c r="S79" s="15"/>
      <c r="T79" s="16"/>
      <c r="U79" s="17"/>
      <c r="V79" s="10"/>
      <c r="W79" s="10"/>
      <c r="X79" s="10"/>
    </row>
    <row r="80" spans="1:29">
      <c r="B80" s="18" t="s">
        <v>6</v>
      </c>
      <c r="C80" s="19">
        <f>C81+C82</f>
        <v>0</v>
      </c>
      <c r="D80" s="10"/>
      <c r="E80" s="18" t="s">
        <v>7</v>
      </c>
      <c r="F80" s="6"/>
      <c r="G80" s="9"/>
      <c r="H80" s="10"/>
      <c r="I80" s="10"/>
      <c r="J80" s="10"/>
      <c r="K80" s="20" t="s">
        <v>8</v>
      </c>
      <c r="L80" s="21" t="s">
        <v>9</v>
      </c>
      <c r="M80" s="21" t="s">
        <v>10</v>
      </c>
      <c r="N80" s="20" t="s">
        <v>11</v>
      </c>
      <c r="O80" s="21" t="s">
        <v>12</v>
      </c>
      <c r="P80" s="22" t="s">
        <v>13</v>
      </c>
      <c r="Q80" s="21" t="s">
        <v>11</v>
      </c>
      <c r="R80" s="21" t="s">
        <v>12</v>
      </c>
      <c r="S80" s="22" t="s">
        <v>13</v>
      </c>
      <c r="T80" s="23" t="s">
        <v>14</v>
      </c>
      <c r="U80" s="17"/>
      <c r="V80" s="10"/>
      <c r="W80" s="10"/>
      <c r="X80" s="10"/>
    </row>
    <row r="81" spans="2:24">
      <c r="B81" s="24" t="s">
        <v>15</v>
      </c>
      <c r="C81" s="25">
        <f>P88</f>
        <v>0</v>
      </c>
      <c r="D81" s="10"/>
      <c r="E81" s="26" t="s">
        <v>16</v>
      </c>
      <c r="F81" s="27">
        <v>0.05</v>
      </c>
      <c r="G81" s="28"/>
      <c r="H81" s="10"/>
      <c r="I81" s="10"/>
      <c r="J81" s="18" t="s">
        <v>17</v>
      </c>
      <c r="K81" s="29">
        <f>K122</f>
        <v>0</v>
      </c>
      <c r="L81" s="29">
        <f t="shared" ref="L81:S81" si="20">L122</f>
        <v>0</v>
      </c>
      <c r="M81" s="29">
        <f t="shared" si="20"/>
        <v>0</v>
      </c>
      <c r="N81" s="29">
        <f t="shared" si="20"/>
        <v>0</v>
      </c>
      <c r="O81" s="29">
        <f t="shared" si="20"/>
        <v>0</v>
      </c>
      <c r="P81" s="29">
        <f t="shared" si="20"/>
        <v>0</v>
      </c>
      <c r="Q81" s="29">
        <f t="shared" si="20"/>
        <v>0</v>
      </c>
      <c r="R81" s="29">
        <f t="shared" si="20"/>
        <v>0</v>
      </c>
      <c r="S81" s="29">
        <f t="shared" si="20"/>
        <v>0</v>
      </c>
      <c r="T81" s="30">
        <f>T219</f>
        <v>0</v>
      </c>
      <c r="U81" s="17"/>
      <c r="V81" s="10"/>
      <c r="W81" s="10"/>
      <c r="X81" s="10"/>
    </row>
    <row r="82" spans="2:24">
      <c r="B82" s="24" t="s">
        <v>18</v>
      </c>
      <c r="C82" s="25">
        <f>P89</f>
        <v>0</v>
      </c>
      <c r="D82" s="10"/>
      <c r="E82" s="10"/>
      <c r="F82" s="10"/>
      <c r="G82" s="31"/>
      <c r="H82" s="10"/>
      <c r="I82" s="10"/>
      <c r="J82" s="32" t="s">
        <v>19</v>
      </c>
      <c r="K82" s="33" t="e">
        <f>K122/K121</f>
        <v>#DIV/0!</v>
      </c>
      <c r="L82" s="33" t="e">
        <f t="shared" ref="L82:S82" si="21">L122/L121</f>
        <v>#DIV/0!</v>
      </c>
      <c r="M82" s="33" t="e">
        <f t="shared" si="21"/>
        <v>#DIV/0!</v>
      </c>
      <c r="N82" s="33" t="e">
        <f t="shared" si="21"/>
        <v>#DIV/0!</v>
      </c>
      <c r="O82" s="33" t="e">
        <f t="shared" si="21"/>
        <v>#DIV/0!</v>
      </c>
      <c r="P82" s="33" t="e">
        <f t="shared" si="21"/>
        <v>#DIV/0!</v>
      </c>
      <c r="Q82" s="33" t="e">
        <f t="shared" si="21"/>
        <v>#DIV/0!</v>
      </c>
      <c r="R82" s="33" t="e">
        <f t="shared" si="21"/>
        <v>#DIV/0!</v>
      </c>
      <c r="S82" s="33" t="e">
        <f t="shared" si="21"/>
        <v>#DIV/0!</v>
      </c>
      <c r="T82" s="23"/>
      <c r="U82" s="17" t="s">
        <v>20</v>
      </c>
      <c r="V82" s="10"/>
      <c r="W82" s="10"/>
      <c r="X82" s="10"/>
    </row>
    <row r="83" spans="2:24">
      <c r="B83" s="24" t="s">
        <v>21</v>
      </c>
      <c r="C83" s="34" t="e">
        <f>P90</f>
        <v>#DIV/0!</v>
      </c>
      <c r="D83" s="10"/>
      <c r="E83" s="10"/>
      <c r="F83" s="10"/>
      <c r="G83" s="10"/>
      <c r="H83" s="10"/>
      <c r="I83" s="10"/>
      <c r="J83" s="10"/>
      <c r="K83" s="10"/>
      <c r="L83" s="10"/>
      <c r="M83" s="10"/>
      <c r="N83" s="10"/>
      <c r="O83" s="10"/>
      <c r="P83" s="10"/>
      <c r="Q83" s="10"/>
      <c r="R83" s="10"/>
      <c r="S83" s="10"/>
      <c r="T83" s="10"/>
      <c r="U83" s="17"/>
      <c r="V83" s="10"/>
      <c r="W83" s="10"/>
      <c r="X83" s="10"/>
    </row>
    <row r="84" spans="2:24">
      <c r="B84" s="24"/>
      <c r="C84" s="25"/>
      <c r="D84" s="10"/>
      <c r="E84" s="10"/>
      <c r="F84" s="18" t="s">
        <v>22</v>
      </c>
      <c r="G84" s="19" t="s">
        <v>23</v>
      </c>
      <c r="H84" s="35" t="s">
        <v>24</v>
      </c>
      <c r="I84" s="10"/>
      <c r="J84" s="10"/>
      <c r="K84" s="36"/>
      <c r="L84" s="36"/>
      <c r="M84" s="36"/>
      <c r="N84" s="36"/>
      <c r="O84" s="36"/>
      <c r="P84" s="36"/>
      <c r="Q84" s="36"/>
      <c r="R84" s="10"/>
      <c r="S84" s="10"/>
      <c r="T84" s="10"/>
      <c r="U84" s="17"/>
      <c r="V84" s="10"/>
      <c r="W84" s="10"/>
      <c r="X84" s="10"/>
    </row>
    <row r="85" spans="2:24">
      <c r="B85" s="32" t="s">
        <v>25</v>
      </c>
      <c r="C85" s="37" t="e">
        <f>P91</f>
        <v>#DIV/0!</v>
      </c>
      <c r="D85" s="10"/>
      <c r="E85" s="18" t="s">
        <v>26</v>
      </c>
      <c r="F85" s="38">
        <f>P87</f>
        <v>0</v>
      </c>
      <c r="G85" s="39">
        <f>I121+I155+I177</f>
        <v>0</v>
      </c>
      <c r="H85" s="40"/>
      <c r="I85" s="41"/>
      <c r="J85" s="42"/>
      <c r="K85" s="43" t="s">
        <v>27</v>
      </c>
      <c r="L85" s="44"/>
      <c r="M85" s="44"/>
      <c r="N85" s="44"/>
      <c r="O85" s="44"/>
      <c r="P85" s="44"/>
      <c r="Q85" s="45"/>
      <c r="R85" s="46" t="s">
        <v>28</v>
      </c>
      <c r="S85" s="47" t="s">
        <v>29</v>
      </c>
      <c r="T85" s="10"/>
      <c r="U85" s="17"/>
      <c r="V85" s="10"/>
      <c r="W85" s="10"/>
      <c r="X85" s="10"/>
    </row>
    <row r="86" spans="2:24">
      <c r="B86" s="11"/>
      <c r="C86" s="10"/>
      <c r="D86" s="10"/>
      <c r="E86" s="24" t="s">
        <v>30</v>
      </c>
      <c r="F86" s="48">
        <f>F81</f>
        <v>0.05</v>
      </c>
      <c r="G86" s="17"/>
      <c r="H86" s="40"/>
      <c r="I86" s="41"/>
      <c r="J86" s="42"/>
      <c r="K86" s="20" t="s">
        <v>31</v>
      </c>
      <c r="L86" s="21" t="s">
        <v>32</v>
      </c>
      <c r="M86" s="21" t="s">
        <v>33</v>
      </c>
      <c r="N86" s="21" t="s">
        <v>34</v>
      </c>
      <c r="O86" s="21" t="s">
        <v>35</v>
      </c>
      <c r="P86" s="21" t="s">
        <v>36</v>
      </c>
      <c r="Q86" s="49" t="s">
        <v>37</v>
      </c>
      <c r="R86" s="50" t="s">
        <v>38</v>
      </c>
      <c r="S86" s="50" t="s">
        <v>38</v>
      </c>
      <c r="T86" s="10"/>
      <c r="U86" s="17"/>
      <c r="V86" s="10"/>
      <c r="W86" s="10"/>
      <c r="X86" s="10"/>
    </row>
    <row r="87" spans="2:24">
      <c r="B87" s="11"/>
      <c r="C87" s="10"/>
      <c r="D87" s="10"/>
      <c r="E87" s="51" t="s">
        <v>39</v>
      </c>
      <c r="F87" s="52">
        <f>F85*F86</f>
        <v>0</v>
      </c>
      <c r="G87" s="53" t="s">
        <v>40</v>
      </c>
      <c r="H87" s="54">
        <f>F87/1.12</f>
        <v>0</v>
      </c>
      <c r="I87" s="55"/>
      <c r="J87" s="42"/>
      <c r="K87" s="56"/>
      <c r="L87" s="57"/>
      <c r="M87" s="57"/>
      <c r="N87" s="57"/>
      <c r="O87" s="57"/>
      <c r="P87" s="57">
        <f>SUM(K87:O87)</f>
        <v>0</v>
      </c>
      <c r="Q87" s="58">
        <v>0</v>
      </c>
      <c r="R87" s="59">
        <f>I155+I177</f>
        <v>0</v>
      </c>
      <c r="S87" s="59">
        <f>I166+I188</f>
        <v>0</v>
      </c>
      <c r="T87" s="10"/>
      <c r="U87" s="17"/>
      <c r="V87" s="10"/>
      <c r="W87" s="10"/>
      <c r="X87" s="10"/>
    </row>
    <row r="88" spans="2:24">
      <c r="B88" s="11"/>
      <c r="C88" s="10"/>
      <c r="D88" s="10"/>
      <c r="E88" s="24" t="s">
        <v>41</v>
      </c>
      <c r="F88" s="60">
        <f>Q87</f>
        <v>0</v>
      </c>
      <c r="G88" s="61" t="s">
        <v>40</v>
      </c>
      <c r="H88" s="62"/>
      <c r="I88" s="62"/>
      <c r="J88" s="10" t="s">
        <v>42</v>
      </c>
      <c r="K88" s="63"/>
      <c r="L88" s="63"/>
      <c r="M88" s="63"/>
      <c r="N88" s="63"/>
      <c r="O88" s="63"/>
      <c r="P88" s="21">
        <f>SUM(K88:O88)</f>
        <v>0</v>
      </c>
      <c r="Q88" s="64"/>
      <c r="R88" s="63"/>
      <c r="S88" s="10"/>
      <c r="T88" s="10"/>
      <c r="U88" s="17"/>
      <c r="V88" s="10"/>
      <c r="W88" s="10"/>
      <c r="X88" s="10"/>
    </row>
    <row r="89" spans="2:24">
      <c r="B89" s="11"/>
      <c r="C89" s="10"/>
      <c r="D89" s="10"/>
      <c r="E89" s="51" t="s">
        <v>43</v>
      </c>
      <c r="F89" s="52">
        <f>F88*0.25</f>
        <v>0</v>
      </c>
      <c r="G89" s="53" t="s">
        <v>40</v>
      </c>
      <c r="H89" s="54">
        <f>F89/1.12</f>
        <v>0</v>
      </c>
      <c r="I89" s="10"/>
      <c r="J89" s="10" t="s">
        <v>44</v>
      </c>
      <c r="K89" s="63"/>
      <c r="L89" s="63"/>
      <c r="M89" s="63"/>
      <c r="N89" s="63"/>
      <c r="O89" s="63"/>
      <c r="P89" s="21">
        <f>SUM(K89:O89)</f>
        <v>0</v>
      </c>
      <c r="Q89" s="64"/>
      <c r="R89" s="63"/>
      <c r="S89" s="10"/>
      <c r="T89" s="10"/>
      <c r="U89" s="17"/>
      <c r="V89" s="10"/>
      <c r="W89" s="10"/>
      <c r="X89" s="10"/>
    </row>
    <row r="90" spans="2:24">
      <c r="B90" s="11"/>
      <c r="C90" s="10"/>
      <c r="D90" s="10"/>
      <c r="E90" s="24" t="s">
        <v>45</v>
      </c>
      <c r="F90" s="60"/>
      <c r="G90" s="61" t="s">
        <v>40</v>
      </c>
      <c r="H90" s="62"/>
      <c r="I90" s="10"/>
      <c r="J90" s="10" t="s">
        <v>46</v>
      </c>
      <c r="K90" s="31" t="e">
        <f t="shared" ref="K90:Q90" si="22">K88/(K88+K89)</f>
        <v>#DIV/0!</v>
      </c>
      <c r="L90" s="31" t="e">
        <f t="shared" si="22"/>
        <v>#DIV/0!</v>
      </c>
      <c r="M90" s="31" t="e">
        <f t="shared" si="22"/>
        <v>#DIV/0!</v>
      </c>
      <c r="N90" s="31" t="e">
        <f t="shared" si="22"/>
        <v>#DIV/0!</v>
      </c>
      <c r="O90" s="31" t="e">
        <f t="shared" si="22"/>
        <v>#DIV/0!</v>
      </c>
      <c r="P90" s="31" t="e">
        <f t="shared" si="22"/>
        <v>#DIV/0!</v>
      </c>
      <c r="Q90" s="31" t="e">
        <f t="shared" si="22"/>
        <v>#DIV/0!</v>
      </c>
      <c r="R90" s="63"/>
      <c r="S90" s="10"/>
      <c r="T90" s="10"/>
      <c r="U90" s="17"/>
      <c r="V90" s="10"/>
      <c r="W90" s="10"/>
      <c r="X90" s="10"/>
    </row>
    <row r="91" spans="2:24">
      <c r="B91" s="11"/>
      <c r="C91" s="10"/>
      <c r="D91" s="10"/>
      <c r="E91" s="51" t="s">
        <v>47</v>
      </c>
      <c r="F91" s="52">
        <f>F90*0.05</f>
        <v>0</v>
      </c>
      <c r="G91" s="65" t="s">
        <v>40</v>
      </c>
      <c r="H91" s="54">
        <f>F91/1.12</f>
        <v>0</v>
      </c>
      <c r="I91" s="42"/>
      <c r="J91" s="10" t="s">
        <v>48</v>
      </c>
      <c r="K91" s="66" t="e">
        <f>K87/K88</f>
        <v>#DIV/0!</v>
      </c>
      <c r="L91" s="66" t="e">
        <f t="shared" ref="L91:Q91" si="23">L87/L88</f>
        <v>#DIV/0!</v>
      </c>
      <c r="M91" s="66" t="e">
        <f t="shared" si="23"/>
        <v>#DIV/0!</v>
      </c>
      <c r="N91" s="66" t="e">
        <f t="shared" si="23"/>
        <v>#DIV/0!</v>
      </c>
      <c r="O91" s="66" t="e">
        <f t="shared" si="23"/>
        <v>#DIV/0!</v>
      </c>
      <c r="P91" s="66" t="e">
        <f t="shared" si="23"/>
        <v>#DIV/0!</v>
      </c>
      <c r="Q91" s="66" t="e">
        <f t="shared" si="23"/>
        <v>#DIV/0!</v>
      </c>
      <c r="R91" s="63"/>
      <c r="S91" s="10"/>
      <c r="T91" s="10"/>
      <c r="U91" s="17"/>
      <c r="V91" s="10"/>
      <c r="W91" s="10"/>
      <c r="X91" s="10"/>
    </row>
    <row r="92" spans="2:24">
      <c r="B92" s="11"/>
      <c r="C92" s="10"/>
      <c r="D92" s="10"/>
      <c r="E92" s="67" t="s">
        <v>14</v>
      </c>
      <c r="F92" s="68"/>
      <c r="G92" s="10"/>
      <c r="H92" s="54">
        <f>F92/1.12</f>
        <v>0</v>
      </c>
      <c r="I92" s="10"/>
      <c r="J92" s="10"/>
      <c r="K92" s="10"/>
      <c r="L92" s="10"/>
      <c r="M92" s="10"/>
      <c r="N92" s="10"/>
      <c r="O92" s="10"/>
      <c r="P92" s="10"/>
      <c r="Q92" s="10"/>
      <c r="R92" s="10"/>
      <c r="S92" s="10"/>
      <c r="T92" s="10"/>
      <c r="U92" s="17"/>
      <c r="V92" s="10"/>
      <c r="W92" s="10"/>
      <c r="X92" s="10"/>
    </row>
    <row r="93" spans="2:24">
      <c r="B93" s="11"/>
      <c r="C93" s="10"/>
      <c r="D93" s="10"/>
      <c r="E93" s="67" t="s">
        <v>49</v>
      </c>
      <c r="F93" s="69">
        <f>T82</f>
        <v>0</v>
      </c>
      <c r="G93" s="10"/>
      <c r="H93" s="54"/>
      <c r="I93" s="55"/>
      <c r="J93" s="42"/>
      <c r="K93" s="764" t="s">
        <v>50</v>
      </c>
      <c r="L93" s="765"/>
      <c r="M93" s="765"/>
      <c r="N93" s="765"/>
      <c r="O93" s="765"/>
      <c r="P93" s="765"/>
      <c r="Q93" s="766"/>
      <c r="R93" s="70" t="s">
        <v>28</v>
      </c>
      <c r="S93" s="71" t="s">
        <v>29</v>
      </c>
      <c r="T93" s="10"/>
      <c r="U93" s="17"/>
      <c r="V93" s="10"/>
      <c r="W93" s="10"/>
      <c r="X93" s="10"/>
    </row>
    <row r="94" spans="2:24">
      <c r="B94" s="11"/>
      <c r="C94" s="10"/>
      <c r="D94" s="10"/>
      <c r="E94" s="72"/>
      <c r="F94" s="73"/>
      <c r="G94" s="10"/>
      <c r="H94" s="10"/>
      <c r="I94" s="10"/>
      <c r="J94" s="42"/>
      <c r="K94" s="20" t="s">
        <v>31</v>
      </c>
      <c r="L94" s="21" t="s">
        <v>32</v>
      </c>
      <c r="M94" s="21" t="s">
        <v>33</v>
      </c>
      <c r="N94" s="21" t="s">
        <v>34</v>
      </c>
      <c r="O94" s="21" t="s">
        <v>35</v>
      </c>
      <c r="P94" s="21" t="s">
        <v>36</v>
      </c>
      <c r="Q94" s="49" t="s">
        <v>37</v>
      </c>
      <c r="R94" s="50" t="s">
        <v>38</v>
      </c>
      <c r="S94" s="50" t="s">
        <v>38</v>
      </c>
      <c r="T94" s="10"/>
      <c r="U94" s="17"/>
      <c r="V94" s="10"/>
      <c r="W94" s="10"/>
      <c r="X94" s="10"/>
    </row>
    <row r="95" spans="2:24">
      <c r="B95" s="11"/>
      <c r="C95" s="10"/>
      <c r="D95" s="10"/>
      <c r="E95" s="72"/>
      <c r="F95" s="73"/>
      <c r="G95" s="10"/>
      <c r="H95" s="10"/>
      <c r="I95" s="10"/>
      <c r="J95" s="42"/>
      <c r="K95" s="56"/>
      <c r="L95" s="57"/>
      <c r="M95" s="57"/>
      <c r="N95" s="57"/>
      <c r="O95" s="57"/>
      <c r="P95" s="57">
        <f>SUM(K95:O95)</f>
        <v>0</v>
      </c>
      <c r="Q95" s="58">
        <v>0</v>
      </c>
      <c r="R95" s="59">
        <f>F155+F177</f>
        <v>0</v>
      </c>
      <c r="S95" s="59">
        <f>F166+F188</f>
        <v>0</v>
      </c>
      <c r="T95" s="10"/>
      <c r="U95" s="17"/>
      <c r="V95" s="10"/>
      <c r="W95" s="10"/>
      <c r="X95" s="10"/>
    </row>
    <row r="96" spans="2:24">
      <c r="B96" s="11"/>
      <c r="C96" s="10"/>
      <c r="D96" s="10"/>
      <c r="E96" s="72"/>
      <c r="F96" s="73"/>
      <c r="G96" s="10"/>
      <c r="H96" s="10"/>
      <c r="I96" s="10"/>
      <c r="J96" s="10" t="s">
        <v>42</v>
      </c>
      <c r="K96" s="63">
        <f>K88</f>
        <v>0</v>
      </c>
      <c r="L96" s="63">
        <f t="shared" ref="L96:Q97" si="24">L88</f>
        <v>0</v>
      </c>
      <c r="M96" s="63">
        <f t="shared" si="24"/>
        <v>0</v>
      </c>
      <c r="N96" s="63">
        <f t="shared" si="24"/>
        <v>0</v>
      </c>
      <c r="O96" s="63">
        <f t="shared" si="24"/>
        <v>0</v>
      </c>
      <c r="P96" s="63">
        <f t="shared" si="24"/>
        <v>0</v>
      </c>
      <c r="Q96" s="63">
        <f t="shared" si="24"/>
        <v>0</v>
      </c>
      <c r="R96" s="63"/>
      <c r="S96" s="10"/>
      <c r="T96" s="10"/>
      <c r="U96" s="17"/>
      <c r="V96" s="10"/>
      <c r="W96" s="10"/>
      <c r="X96" s="10"/>
    </row>
    <row r="97" spans="2:24">
      <c r="B97" s="11"/>
      <c r="C97" s="10"/>
      <c r="D97" s="10"/>
      <c r="E97" s="74"/>
      <c r="F97" s="75"/>
      <c r="G97" s="10"/>
      <c r="H97" s="10"/>
      <c r="I97" s="10"/>
      <c r="J97" s="10" t="s">
        <v>44</v>
      </c>
      <c r="K97" s="63">
        <f>K89</f>
        <v>0</v>
      </c>
      <c r="L97" s="63">
        <f t="shared" si="24"/>
        <v>0</v>
      </c>
      <c r="M97" s="63">
        <f t="shared" si="24"/>
        <v>0</v>
      </c>
      <c r="N97" s="63">
        <f t="shared" si="24"/>
        <v>0</v>
      </c>
      <c r="O97" s="63">
        <f t="shared" si="24"/>
        <v>0</v>
      </c>
      <c r="P97" s="63">
        <f t="shared" si="24"/>
        <v>0</v>
      </c>
      <c r="Q97" s="63">
        <f t="shared" si="24"/>
        <v>0</v>
      </c>
      <c r="R97" s="63"/>
      <c r="S97" s="10"/>
      <c r="T97" s="10"/>
      <c r="U97" s="17"/>
      <c r="V97" s="10"/>
      <c r="W97" s="10"/>
      <c r="X97" s="10"/>
    </row>
    <row r="98" spans="2:24">
      <c r="B98" s="11"/>
      <c r="C98" s="10"/>
      <c r="D98" s="10"/>
      <c r="E98" s="12"/>
      <c r="F98" s="76"/>
      <c r="G98" s="10"/>
      <c r="H98" s="10"/>
      <c r="I98" s="10"/>
      <c r="J98" s="10" t="s">
        <v>46</v>
      </c>
      <c r="K98" s="31" t="e">
        <f t="shared" ref="K98:Q98" si="25">K96/(K96+K97)</f>
        <v>#DIV/0!</v>
      </c>
      <c r="L98" s="31" t="e">
        <f t="shared" si="25"/>
        <v>#DIV/0!</v>
      </c>
      <c r="M98" s="31" t="e">
        <f t="shared" si="25"/>
        <v>#DIV/0!</v>
      </c>
      <c r="N98" s="31" t="e">
        <f t="shared" si="25"/>
        <v>#DIV/0!</v>
      </c>
      <c r="O98" s="31" t="e">
        <f t="shared" si="25"/>
        <v>#DIV/0!</v>
      </c>
      <c r="P98" s="31" t="e">
        <f t="shared" si="25"/>
        <v>#DIV/0!</v>
      </c>
      <c r="Q98" s="31" t="e">
        <f t="shared" si="25"/>
        <v>#DIV/0!</v>
      </c>
      <c r="R98" s="63"/>
      <c r="S98" s="10"/>
      <c r="T98" s="10"/>
      <c r="U98" s="17"/>
      <c r="V98" s="10"/>
      <c r="W98" s="10"/>
      <c r="X98" s="10"/>
    </row>
    <row r="99" spans="2:24">
      <c r="B99" s="11"/>
      <c r="C99" s="10"/>
      <c r="D99" s="10"/>
      <c r="E99" s="10"/>
      <c r="F99" s="10"/>
      <c r="G99" s="10"/>
      <c r="H99" s="10"/>
      <c r="I99" s="10"/>
      <c r="J99" s="10" t="s">
        <v>48</v>
      </c>
      <c r="K99" s="66" t="e">
        <f t="shared" ref="K99:Q99" si="26">K95/K96</f>
        <v>#DIV/0!</v>
      </c>
      <c r="L99" s="66" t="e">
        <f t="shared" si="26"/>
        <v>#DIV/0!</v>
      </c>
      <c r="M99" s="66" t="e">
        <f t="shared" si="26"/>
        <v>#DIV/0!</v>
      </c>
      <c r="N99" s="66" t="e">
        <f t="shared" si="26"/>
        <v>#DIV/0!</v>
      </c>
      <c r="O99" s="66" t="e">
        <f t="shared" si="26"/>
        <v>#DIV/0!</v>
      </c>
      <c r="P99" s="66" t="e">
        <f t="shared" si="26"/>
        <v>#DIV/0!</v>
      </c>
      <c r="Q99" s="66" t="e">
        <f t="shared" si="26"/>
        <v>#DIV/0!</v>
      </c>
      <c r="R99" s="63"/>
      <c r="S99" s="10"/>
      <c r="T99" s="10"/>
      <c r="U99" s="17"/>
      <c r="V99" s="10"/>
      <c r="W99" s="10"/>
      <c r="X99" s="10"/>
    </row>
    <row r="100" spans="2:24">
      <c r="B100" s="11"/>
      <c r="C100" s="10"/>
      <c r="D100" s="10"/>
      <c r="E100" s="10"/>
      <c r="F100" s="10"/>
      <c r="G100" s="10"/>
      <c r="H100" s="10"/>
      <c r="I100" s="10"/>
      <c r="J100" s="10"/>
      <c r="K100" s="10"/>
      <c r="L100" s="10"/>
      <c r="M100" s="10"/>
      <c r="N100" s="10"/>
      <c r="O100" s="10"/>
      <c r="P100" s="10"/>
      <c r="Q100" s="10"/>
      <c r="R100" s="10"/>
      <c r="S100" s="10"/>
      <c r="T100" s="10"/>
      <c r="U100" s="17"/>
      <c r="V100" s="10"/>
      <c r="W100" s="10"/>
      <c r="X100" s="10"/>
    </row>
    <row r="101" spans="2:24">
      <c r="B101" s="11"/>
      <c r="C101" s="10"/>
      <c r="D101" s="10"/>
      <c r="E101" s="10"/>
      <c r="F101" s="10"/>
      <c r="G101" s="10"/>
      <c r="H101" s="10"/>
      <c r="I101" s="10"/>
      <c r="J101" s="10"/>
      <c r="K101" s="10"/>
      <c r="L101" s="10"/>
      <c r="M101" s="10"/>
      <c r="N101" s="10"/>
      <c r="O101" s="10"/>
      <c r="P101" s="10"/>
      <c r="Q101" s="10"/>
      <c r="R101" s="10"/>
      <c r="S101" s="10"/>
      <c r="T101" s="10"/>
      <c r="U101" s="17"/>
      <c r="V101" s="10"/>
      <c r="W101" s="10"/>
      <c r="X101" s="10"/>
    </row>
    <row r="102" spans="2:24">
      <c r="B102" s="18" t="s">
        <v>51</v>
      </c>
      <c r="C102" s="14"/>
      <c r="D102" s="14"/>
      <c r="E102" s="14"/>
      <c r="F102" s="13" t="s">
        <v>52</v>
      </c>
      <c r="G102" s="14"/>
      <c r="H102" s="14"/>
      <c r="I102" s="14"/>
      <c r="J102" s="14"/>
      <c r="K102" s="13" t="s">
        <v>3</v>
      </c>
      <c r="L102" s="14"/>
      <c r="M102" s="14"/>
      <c r="N102" s="13" t="s">
        <v>4</v>
      </c>
      <c r="O102" s="14"/>
      <c r="P102" s="14"/>
      <c r="Q102" s="13" t="s">
        <v>5</v>
      </c>
      <c r="R102" s="14"/>
      <c r="S102" s="14"/>
      <c r="T102" s="18"/>
      <c r="U102" s="16" t="s">
        <v>53</v>
      </c>
      <c r="V102" s="77"/>
      <c r="W102" s="77"/>
      <c r="X102" s="77"/>
    </row>
    <row r="103" spans="2:24">
      <c r="B103" s="24" t="s">
        <v>54</v>
      </c>
      <c r="C103" s="21" t="s">
        <v>55</v>
      </c>
      <c r="D103" s="21" t="s">
        <v>56</v>
      </c>
      <c r="E103" s="21" t="s">
        <v>57</v>
      </c>
      <c r="F103" s="20" t="s">
        <v>58</v>
      </c>
      <c r="G103" s="21" t="s">
        <v>59</v>
      </c>
      <c r="H103" s="21" t="s">
        <v>60</v>
      </c>
      <c r="I103" s="21" t="s">
        <v>26</v>
      </c>
      <c r="J103" s="22" t="s">
        <v>61</v>
      </c>
      <c r="K103" s="21" t="s">
        <v>8</v>
      </c>
      <c r="L103" s="21" t="s">
        <v>9</v>
      </c>
      <c r="M103" s="21" t="s">
        <v>10</v>
      </c>
      <c r="N103" s="20" t="s">
        <v>11</v>
      </c>
      <c r="O103" s="21" t="s">
        <v>12</v>
      </c>
      <c r="P103" s="22" t="s">
        <v>13</v>
      </c>
      <c r="Q103" s="21" t="s">
        <v>11</v>
      </c>
      <c r="R103" s="21" t="s">
        <v>12</v>
      </c>
      <c r="S103" s="21" t="s">
        <v>13</v>
      </c>
      <c r="T103" s="78" t="s">
        <v>14</v>
      </c>
      <c r="U103" s="30"/>
      <c r="V103" s="79" t="s">
        <v>62</v>
      </c>
      <c r="W103" s="80" t="s">
        <v>63</v>
      </c>
      <c r="X103" s="81" t="s">
        <v>64</v>
      </c>
    </row>
    <row r="104" spans="2:24">
      <c r="B104" s="4" t="s">
        <v>65</v>
      </c>
      <c r="C104" s="6"/>
      <c r="D104" s="6"/>
      <c r="E104" s="6"/>
      <c r="F104" s="6"/>
      <c r="G104" s="6"/>
      <c r="H104" s="6"/>
      <c r="I104" s="82"/>
      <c r="J104" s="6"/>
      <c r="K104" s="6"/>
      <c r="L104" s="6"/>
      <c r="M104" s="6"/>
      <c r="N104" s="6"/>
      <c r="O104" s="6"/>
      <c r="P104" s="6"/>
      <c r="Q104" s="6"/>
      <c r="R104" s="6"/>
      <c r="S104" s="6"/>
      <c r="T104" s="83"/>
      <c r="U104" s="6"/>
      <c r="V104" s="84"/>
      <c r="W104" s="85"/>
      <c r="X104" s="86"/>
    </row>
    <row r="105" spans="2:24">
      <c r="B105" s="87">
        <v>1</v>
      </c>
      <c r="C105" s="36"/>
      <c r="D105" s="10"/>
      <c r="E105" s="10"/>
      <c r="F105" s="62"/>
      <c r="G105" s="62"/>
      <c r="H105" s="88"/>
      <c r="I105" s="89">
        <f t="shared" ref="I105:I120" si="27">F105-G105-H105</f>
        <v>0</v>
      </c>
      <c r="J105" s="63"/>
      <c r="K105" s="63"/>
      <c r="L105" s="63"/>
      <c r="M105" s="63"/>
      <c r="N105" s="63"/>
      <c r="O105" s="63"/>
      <c r="P105" s="63"/>
      <c r="Q105" s="63"/>
      <c r="R105" s="63"/>
      <c r="S105" s="63"/>
      <c r="T105" s="63"/>
      <c r="U105" s="10"/>
      <c r="V105" s="90"/>
      <c r="W105" s="91"/>
      <c r="X105" s="92"/>
    </row>
    <row r="106" spans="2:24">
      <c r="B106" s="87">
        <f t="shared" ref="B106:B120" si="28">B105+1</f>
        <v>2</v>
      </c>
      <c r="C106" s="36"/>
      <c r="D106" s="10"/>
      <c r="E106" s="10"/>
      <c r="F106" s="62"/>
      <c r="G106" s="62"/>
      <c r="H106" s="62"/>
      <c r="I106" s="89">
        <f t="shared" si="27"/>
        <v>0</v>
      </c>
      <c r="J106" s="63"/>
      <c r="K106" s="63"/>
      <c r="L106" s="63"/>
      <c r="M106" s="63"/>
      <c r="N106" s="63"/>
      <c r="O106" s="63"/>
      <c r="P106" s="63"/>
      <c r="Q106" s="63"/>
      <c r="R106" s="63"/>
      <c r="S106" s="63"/>
      <c r="T106" s="63"/>
      <c r="U106" s="10"/>
      <c r="V106" s="90"/>
      <c r="W106" s="91"/>
      <c r="X106" s="92"/>
    </row>
    <row r="107" spans="2:24">
      <c r="B107" s="87">
        <f t="shared" si="28"/>
        <v>3</v>
      </c>
      <c r="C107" s="36"/>
      <c r="D107" s="3"/>
      <c r="E107" s="10"/>
      <c r="F107" s="62"/>
      <c r="G107" s="62"/>
      <c r="H107" s="62"/>
      <c r="I107" s="89">
        <f t="shared" si="27"/>
        <v>0</v>
      </c>
      <c r="J107" s="63"/>
      <c r="K107" s="63"/>
      <c r="L107" s="63"/>
      <c r="M107" s="63"/>
      <c r="N107" s="63"/>
      <c r="O107" s="63"/>
      <c r="P107" s="63"/>
      <c r="Q107" s="63"/>
      <c r="R107" s="63"/>
      <c r="S107" s="63"/>
      <c r="T107" s="63"/>
      <c r="U107" s="10"/>
      <c r="V107" s="90"/>
      <c r="W107" s="91"/>
      <c r="X107" s="92"/>
    </row>
    <row r="108" spans="2:24">
      <c r="B108" s="87">
        <f t="shared" si="28"/>
        <v>4</v>
      </c>
      <c r="C108" s="36"/>
      <c r="D108" s="10"/>
      <c r="E108" s="94"/>
      <c r="F108" s="62"/>
      <c r="G108" s="62"/>
      <c r="H108" s="62"/>
      <c r="I108" s="89">
        <f t="shared" si="27"/>
        <v>0</v>
      </c>
      <c r="J108" s="63"/>
      <c r="K108" s="63"/>
      <c r="L108" s="63"/>
      <c r="M108" s="63"/>
      <c r="N108" s="63"/>
      <c r="O108" s="63"/>
      <c r="P108" s="63"/>
      <c r="Q108" s="63"/>
      <c r="R108" s="63"/>
      <c r="S108" s="63"/>
      <c r="T108" s="63"/>
      <c r="U108" s="10"/>
      <c r="V108" s="90"/>
      <c r="W108" s="91"/>
      <c r="X108" s="92"/>
    </row>
    <row r="109" spans="2:24">
      <c r="B109" s="87">
        <f t="shared" si="28"/>
        <v>5</v>
      </c>
      <c r="C109" s="36"/>
      <c r="D109" s="10"/>
      <c r="E109" s="10"/>
      <c r="F109" s="62"/>
      <c r="G109" s="62"/>
      <c r="H109" s="62"/>
      <c r="I109" s="89">
        <f t="shared" si="27"/>
        <v>0</v>
      </c>
      <c r="J109" s="63"/>
      <c r="K109" s="63"/>
      <c r="L109" s="63"/>
      <c r="M109" s="63"/>
      <c r="N109" s="63"/>
      <c r="O109" s="63"/>
      <c r="P109" s="63"/>
      <c r="Q109" s="63"/>
      <c r="R109" s="63"/>
      <c r="S109" s="63"/>
      <c r="T109" s="63"/>
      <c r="U109" s="10"/>
      <c r="V109" s="90"/>
      <c r="W109" s="91"/>
      <c r="X109" s="92"/>
    </row>
    <row r="110" spans="2:24">
      <c r="B110" s="87">
        <f t="shared" si="28"/>
        <v>6</v>
      </c>
      <c r="C110" s="36"/>
      <c r="D110" s="10"/>
      <c r="E110" s="10"/>
      <c r="F110" s="62"/>
      <c r="G110" s="62"/>
      <c r="H110" s="88"/>
      <c r="I110" s="89">
        <f t="shared" si="27"/>
        <v>0</v>
      </c>
      <c r="J110" s="63"/>
      <c r="K110" s="63"/>
      <c r="L110" s="63"/>
      <c r="M110" s="63"/>
      <c r="N110" s="63"/>
      <c r="O110" s="63"/>
      <c r="P110" s="63"/>
      <c r="Q110" s="63"/>
      <c r="R110" s="63"/>
      <c r="S110" s="63"/>
      <c r="T110" s="63"/>
      <c r="U110" s="10"/>
      <c r="V110" s="90"/>
      <c r="W110" s="91"/>
      <c r="X110" s="92"/>
    </row>
    <row r="111" spans="2:24">
      <c r="B111" s="87">
        <f t="shared" si="28"/>
        <v>7</v>
      </c>
      <c r="C111" s="36"/>
      <c r="D111" s="10"/>
      <c r="E111" s="10"/>
      <c r="F111" s="62"/>
      <c r="G111" s="62"/>
      <c r="H111" s="88"/>
      <c r="I111" s="89">
        <f t="shared" si="27"/>
        <v>0</v>
      </c>
      <c r="J111" s="63"/>
      <c r="K111" s="63"/>
      <c r="L111" s="63"/>
      <c r="M111" s="63"/>
      <c r="N111" s="63"/>
      <c r="O111" s="63"/>
      <c r="P111" s="63"/>
      <c r="Q111" s="63"/>
      <c r="R111" s="63"/>
      <c r="S111" s="63"/>
      <c r="T111" s="63"/>
      <c r="U111" s="10"/>
      <c r="V111" s="90"/>
      <c r="W111" s="91"/>
      <c r="X111" s="92"/>
    </row>
    <row r="112" spans="2:24">
      <c r="B112" s="87">
        <f t="shared" si="28"/>
        <v>8</v>
      </c>
      <c r="C112" s="36"/>
      <c r="D112" s="10"/>
      <c r="E112" s="10"/>
      <c r="F112" s="62"/>
      <c r="G112" s="62"/>
      <c r="H112" s="88"/>
      <c r="I112" s="89">
        <f t="shared" si="27"/>
        <v>0</v>
      </c>
      <c r="J112" s="63"/>
      <c r="K112" s="63"/>
      <c r="L112" s="63"/>
      <c r="M112" s="63"/>
      <c r="N112" s="63"/>
      <c r="O112" s="63"/>
      <c r="P112" s="63"/>
      <c r="Q112" s="63"/>
      <c r="R112" s="63"/>
      <c r="S112" s="63"/>
      <c r="T112" s="63"/>
      <c r="U112" s="10"/>
      <c r="V112" s="90"/>
      <c r="W112" s="91"/>
      <c r="X112" s="92"/>
    </row>
    <row r="113" spans="2:24">
      <c r="B113" s="87">
        <f t="shared" si="28"/>
        <v>9</v>
      </c>
      <c r="C113" s="36"/>
      <c r="D113" s="10"/>
      <c r="E113" s="10"/>
      <c r="F113" s="62"/>
      <c r="G113" s="62"/>
      <c r="H113" s="88"/>
      <c r="I113" s="89">
        <f t="shared" si="27"/>
        <v>0</v>
      </c>
      <c r="J113" s="63"/>
      <c r="K113" s="63"/>
      <c r="L113" s="63"/>
      <c r="M113" s="63"/>
      <c r="N113" s="63"/>
      <c r="O113" s="63"/>
      <c r="P113" s="63"/>
      <c r="Q113" s="63"/>
      <c r="R113" s="63"/>
      <c r="S113" s="63"/>
      <c r="T113" s="63"/>
      <c r="U113" s="10"/>
      <c r="V113" s="90"/>
      <c r="W113" s="91"/>
      <c r="X113" s="92"/>
    </row>
    <row r="114" spans="2:24">
      <c r="B114" s="87">
        <f t="shared" si="28"/>
        <v>10</v>
      </c>
      <c r="C114" s="36"/>
      <c r="D114" s="10"/>
      <c r="E114" s="10"/>
      <c r="F114" s="62"/>
      <c r="G114" s="62"/>
      <c r="H114" s="88"/>
      <c r="I114" s="89">
        <f t="shared" si="27"/>
        <v>0</v>
      </c>
      <c r="J114" s="63"/>
      <c r="K114" s="63"/>
      <c r="L114" s="63"/>
      <c r="M114" s="63"/>
      <c r="N114" s="63"/>
      <c r="O114" s="63"/>
      <c r="P114" s="63"/>
      <c r="Q114" s="63"/>
      <c r="R114" s="63"/>
      <c r="S114" s="63"/>
      <c r="T114" s="63"/>
      <c r="U114" s="10"/>
      <c r="V114" s="90"/>
      <c r="W114" s="91"/>
      <c r="X114" s="92"/>
    </row>
    <row r="115" spans="2:24">
      <c r="B115" s="87">
        <f t="shared" si="28"/>
        <v>11</v>
      </c>
      <c r="C115" s="36"/>
      <c r="D115" s="10"/>
      <c r="E115" s="10"/>
      <c r="F115" s="95"/>
      <c r="G115" s="62"/>
      <c r="H115" s="62"/>
      <c r="I115" s="89">
        <f t="shared" si="27"/>
        <v>0</v>
      </c>
      <c r="J115" s="63"/>
      <c r="K115" s="63"/>
      <c r="L115" s="63"/>
      <c r="M115" s="63"/>
      <c r="N115" s="63"/>
      <c r="O115" s="63"/>
      <c r="P115" s="63"/>
      <c r="Q115" s="63"/>
      <c r="R115" s="63"/>
      <c r="S115" s="63"/>
      <c r="T115" s="63"/>
      <c r="U115" s="10"/>
      <c r="V115" s="90"/>
      <c r="W115" s="91"/>
      <c r="X115" s="92"/>
    </row>
    <row r="116" spans="2:24">
      <c r="B116" s="87">
        <f t="shared" si="28"/>
        <v>12</v>
      </c>
      <c r="C116" s="36"/>
      <c r="D116" s="10"/>
      <c r="E116" s="10"/>
      <c r="F116" s="95"/>
      <c r="G116" s="62"/>
      <c r="H116" s="62"/>
      <c r="I116" s="89">
        <f t="shared" si="27"/>
        <v>0</v>
      </c>
      <c r="J116" s="63"/>
      <c r="K116" s="63"/>
      <c r="L116" s="63"/>
      <c r="M116" s="63"/>
      <c r="N116" s="63"/>
      <c r="O116" s="63"/>
      <c r="P116" s="63"/>
      <c r="Q116" s="63"/>
      <c r="R116" s="63"/>
      <c r="S116" s="63"/>
      <c r="T116" s="63"/>
      <c r="U116" s="10"/>
      <c r="V116" s="90"/>
      <c r="W116" s="91"/>
      <c r="X116" s="92"/>
    </row>
    <row r="117" spans="2:24">
      <c r="B117" s="87">
        <f t="shared" si="28"/>
        <v>13</v>
      </c>
      <c r="C117" s="36"/>
      <c r="D117" s="10"/>
      <c r="E117" s="10"/>
      <c r="F117" s="95"/>
      <c r="G117" s="62"/>
      <c r="H117" s="62"/>
      <c r="I117" s="89">
        <f t="shared" si="27"/>
        <v>0</v>
      </c>
      <c r="J117" s="63"/>
      <c r="K117" s="63"/>
      <c r="L117" s="63"/>
      <c r="M117" s="63"/>
      <c r="N117" s="63"/>
      <c r="O117" s="63"/>
      <c r="P117" s="63"/>
      <c r="Q117" s="63"/>
      <c r="R117" s="63"/>
      <c r="S117" s="63"/>
      <c r="T117" s="63"/>
      <c r="U117" s="10"/>
      <c r="V117" s="90"/>
      <c r="W117" s="91"/>
      <c r="X117" s="92"/>
    </row>
    <row r="118" spans="2:24">
      <c r="B118" s="87">
        <f t="shared" si="28"/>
        <v>14</v>
      </c>
      <c r="C118" s="36"/>
      <c r="D118" s="10"/>
      <c r="E118" s="10"/>
      <c r="F118" s="95"/>
      <c r="G118" s="62"/>
      <c r="H118" s="62"/>
      <c r="I118" s="89">
        <f t="shared" si="27"/>
        <v>0</v>
      </c>
      <c r="J118" s="63"/>
      <c r="K118" s="63"/>
      <c r="L118" s="63"/>
      <c r="M118" s="63"/>
      <c r="N118" s="63"/>
      <c r="O118" s="63"/>
      <c r="P118" s="63"/>
      <c r="Q118" s="63"/>
      <c r="R118" s="63"/>
      <c r="S118" s="63"/>
      <c r="T118" s="63"/>
      <c r="U118" s="10"/>
      <c r="V118" s="90"/>
      <c r="W118" s="91"/>
      <c r="X118" s="92"/>
    </row>
    <row r="119" spans="2:24">
      <c r="B119" s="87">
        <f t="shared" si="28"/>
        <v>15</v>
      </c>
      <c r="C119" s="36"/>
      <c r="D119" s="10"/>
      <c r="E119" s="10"/>
      <c r="F119" s="95"/>
      <c r="G119" s="62"/>
      <c r="H119" s="62"/>
      <c r="I119" s="89">
        <f t="shared" si="27"/>
        <v>0</v>
      </c>
      <c r="J119" s="63"/>
      <c r="K119" s="63"/>
      <c r="L119" s="63"/>
      <c r="M119" s="63"/>
      <c r="N119" s="63"/>
      <c r="O119" s="63"/>
      <c r="P119" s="63"/>
      <c r="Q119" s="63"/>
      <c r="R119" s="63"/>
      <c r="S119" s="63"/>
      <c r="T119" s="63"/>
      <c r="U119" s="10"/>
      <c r="V119" s="90"/>
      <c r="W119" s="96"/>
      <c r="X119" s="92"/>
    </row>
    <row r="120" spans="2:24">
      <c r="B120" s="87">
        <f t="shared" si="28"/>
        <v>16</v>
      </c>
      <c r="C120" s="36"/>
      <c r="D120" s="10"/>
      <c r="E120" s="10"/>
      <c r="F120" s="95"/>
      <c r="G120" s="62"/>
      <c r="H120" s="62"/>
      <c r="I120" s="89">
        <f t="shared" si="27"/>
        <v>0</v>
      </c>
      <c r="J120" s="63"/>
      <c r="K120" s="63"/>
      <c r="L120" s="63"/>
      <c r="M120" s="63"/>
      <c r="N120" s="63"/>
      <c r="O120" s="63"/>
      <c r="P120" s="63"/>
      <c r="Q120" s="63"/>
      <c r="R120" s="63"/>
      <c r="S120" s="63"/>
      <c r="T120" s="63"/>
      <c r="U120" s="10"/>
      <c r="V120" s="90"/>
      <c r="W120" s="96"/>
      <c r="X120" s="92"/>
    </row>
    <row r="121" spans="2:24">
      <c r="B121" s="87"/>
      <c r="C121" s="36"/>
      <c r="D121" s="10"/>
      <c r="E121" s="10"/>
      <c r="F121" s="97">
        <f>SUM(F105:F120)</f>
        <v>0</v>
      </c>
      <c r="G121" s="97">
        <f>SUM(G105:G120)</f>
        <v>0</v>
      </c>
      <c r="H121" s="97">
        <f>SUM(H105:H120)</f>
        <v>0</v>
      </c>
      <c r="I121" s="98">
        <f>SUM(I105:I120)</f>
        <v>0</v>
      </c>
      <c r="J121" s="63"/>
      <c r="K121" s="63">
        <f t="shared" ref="K121:S121" si="29">COUNT(K105:K120)</f>
        <v>0</v>
      </c>
      <c r="L121" s="63">
        <f t="shared" si="29"/>
        <v>0</v>
      </c>
      <c r="M121" s="63">
        <f t="shared" si="29"/>
        <v>0</v>
      </c>
      <c r="N121" s="63">
        <f t="shared" si="29"/>
        <v>0</v>
      </c>
      <c r="O121" s="63">
        <f t="shared" si="29"/>
        <v>0</v>
      </c>
      <c r="P121" s="63">
        <f t="shared" si="29"/>
        <v>0</v>
      </c>
      <c r="Q121" s="63">
        <f t="shared" si="29"/>
        <v>0</v>
      </c>
      <c r="R121" s="63">
        <f t="shared" si="29"/>
        <v>0</v>
      </c>
      <c r="S121" s="63">
        <f t="shared" si="29"/>
        <v>0</v>
      </c>
      <c r="T121" s="63"/>
      <c r="U121" s="10"/>
      <c r="V121" s="90"/>
      <c r="W121" s="91"/>
      <c r="X121" s="92"/>
    </row>
    <row r="122" spans="2:24">
      <c r="B122" s="87"/>
      <c r="C122" s="36"/>
      <c r="D122" s="10"/>
      <c r="E122" s="10"/>
      <c r="F122" s="88"/>
      <c r="G122" s="88"/>
      <c r="H122" s="88"/>
      <c r="I122" s="99"/>
      <c r="J122" s="63"/>
      <c r="K122" s="21">
        <f t="shared" ref="K122:S122" si="30">SUM(K105:K120)</f>
        <v>0</v>
      </c>
      <c r="L122" s="21">
        <f t="shared" si="30"/>
        <v>0</v>
      </c>
      <c r="M122" s="21">
        <f t="shared" si="30"/>
        <v>0</v>
      </c>
      <c r="N122" s="21">
        <f t="shared" si="30"/>
        <v>0</v>
      </c>
      <c r="O122" s="21">
        <f t="shared" si="30"/>
        <v>0</v>
      </c>
      <c r="P122" s="21">
        <f t="shared" si="30"/>
        <v>0</v>
      </c>
      <c r="Q122" s="21">
        <f t="shared" si="30"/>
        <v>0</v>
      </c>
      <c r="R122" s="21">
        <f t="shared" si="30"/>
        <v>0</v>
      </c>
      <c r="S122" s="21">
        <f t="shared" si="30"/>
        <v>0</v>
      </c>
      <c r="T122" s="63"/>
      <c r="U122" s="10"/>
      <c r="V122" s="90"/>
      <c r="W122" s="91"/>
      <c r="X122" s="92"/>
    </row>
    <row r="123" spans="2:24">
      <c r="B123" s="11"/>
      <c r="C123" s="36"/>
      <c r="D123" s="10"/>
      <c r="E123" s="10"/>
      <c r="F123" s="88"/>
      <c r="G123" s="88"/>
      <c r="H123" s="88"/>
      <c r="I123" s="99"/>
      <c r="J123" s="63"/>
      <c r="K123" s="21"/>
      <c r="L123" s="21"/>
      <c r="M123" s="21"/>
      <c r="N123" s="21"/>
      <c r="O123" s="21"/>
      <c r="P123" s="21"/>
      <c r="Q123" s="21"/>
      <c r="R123" s="21"/>
      <c r="S123" s="21"/>
      <c r="T123" s="63"/>
      <c r="U123" s="10"/>
      <c r="V123" s="90"/>
      <c r="W123" s="91"/>
      <c r="X123" s="92"/>
    </row>
    <row r="124" spans="2:24">
      <c r="B124" s="100" t="s">
        <v>66</v>
      </c>
      <c r="C124" s="36"/>
      <c r="D124" s="10"/>
      <c r="E124" s="10"/>
      <c r="F124" s="88"/>
      <c r="G124" s="62"/>
      <c r="H124" s="88"/>
      <c r="I124" s="99"/>
      <c r="J124" s="63"/>
      <c r="K124" s="2"/>
      <c r="L124" s="2"/>
      <c r="M124" s="2"/>
      <c r="N124" s="2"/>
      <c r="O124" s="2"/>
      <c r="P124" s="2"/>
      <c r="Q124" s="2"/>
      <c r="R124" s="2"/>
      <c r="S124" s="2"/>
      <c r="T124" s="63"/>
      <c r="U124" s="94"/>
      <c r="V124" s="90"/>
      <c r="W124" s="91"/>
      <c r="X124" s="92"/>
    </row>
    <row r="125" spans="2:24">
      <c r="B125" s="87">
        <v>1</v>
      </c>
      <c r="C125" s="36"/>
      <c r="D125" s="10"/>
      <c r="E125" s="101"/>
      <c r="F125" s="62"/>
      <c r="G125" s="62"/>
      <c r="H125" s="62"/>
      <c r="I125" s="89">
        <f t="shared" ref="I125:I132" si="31">F125-G125-H125</f>
        <v>0</v>
      </c>
      <c r="J125" s="63"/>
      <c r="K125" s="63"/>
      <c r="L125" s="63"/>
      <c r="M125" s="63"/>
      <c r="N125" s="63"/>
      <c r="O125" s="63"/>
      <c r="P125" s="63"/>
      <c r="Q125" s="63"/>
      <c r="R125" s="63"/>
      <c r="S125" s="63"/>
      <c r="T125" s="63"/>
      <c r="U125" s="94"/>
      <c r="V125" s="90"/>
      <c r="W125" s="91"/>
      <c r="X125" s="92"/>
    </row>
    <row r="126" spans="2:24">
      <c r="B126" s="87">
        <f t="shared" ref="B126:B132" si="32">B125+1</f>
        <v>2</v>
      </c>
      <c r="C126" s="36"/>
      <c r="D126" s="10"/>
      <c r="E126" s="101"/>
      <c r="F126" s="62"/>
      <c r="G126" s="62"/>
      <c r="H126" s="62"/>
      <c r="I126" s="89">
        <f t="shared" si="31"/>
        <v>0</v>
      </c>
      <c r="J126" s="63"/>
      <c r="K126" s="63"/>
      <c r="L126" s="63"/>
      <c r="M126" s="63"/>
      <c r="N126" s="63"/>
      <c r="O126" s="63"/>
      <c r="P126" s="63"/>
      <c r="Q126" s="63"/>
      <c r="R126" s="63"/>
      <c r="S126" s="63"/>
      <c r="T126" s="63"/>
      <c r="U126" s="94"/>
      <c r="V126" s="90"/>
      <c r="W126" s="91"/>
      <c r="X126" s="92"/>
    </row>
    <row r="127" spans="2:24">
      <c r="B127" s="87">
        <f t="shared" si="32"/>
        <v>3</v>
      </c>
      <c r="C127" s="36"/>
      <c r="D127" s="10"/>
      <c r="E127" s="101"/>
      <c r="F127" s="62"/>
      <c r="G127" s="62"/>
      <c r="H127" s="62"/>
      <c r="I127" s="89">
        <f t="shared" si="31"/>
        <v>0</v>
      </c>
      <c r="J127" s="63"/>
      <c r="K127" s="63"/>
      <c r="L127" s="63"/>
      <c r="M127" s="63"/>
      <c r="N127" s="63"/>
      <c r="O127" s="63"/>
      <c r="P127" s="63"/>
      <c r="Q127" s="63"/>
      <c r="R127" s="63"/>
      <c r="S127" s="63"/>
      <c r="T127" s="63"/>
      <c r="U127" s="94"/>
      <c r="V127" s="90"/>
      <c r="W127" s="91"/>
      <c r="X127" s="92"/>
    </row>
    <row r="128" spans="2:24">
      <c r="B128" s="87">
        <f t="shared" si="32"/>
        <v>4</v>
      </c>
      <c r="C128" s="36"/>
      <c r="D128" s="10"/>
      <c r="E128" s="101"/>
      <c r="F128" s="62"/>
      <c r="G128" s="62"/>
      <c r="H128" s="62"/>
      <c r="I128" s="89">
        <f t="shared" si="31"/>
        <v>0</v>
      </c>
      <c r="J128" s="63"/>
      <c r="K128" s="63"/>
      <c r="L128" s="63"/>
      <c r="M128" s="63"/>
      <c r="N128" s="63"/>
      <c r="O128" s="63"/>
      <c r="P128" s="63"/>
      <c r="Q128" s="63"/>
      <c r="R128" s="63"/>
      <c r="S128" s="63"/>
      <c r="T128" s="63"/>
      <c r="U128" s="94"/>
      <c r="V128" s="90"/>
      <c r="W128" s="91"/>
      <c r="X128" s="92"/>
    </row>
    <row r="129" spans="2:24">
      <c r="B129" s="87">
        <f t="shared" si="32"/>
        <v>5</v>
      </c>
      <c r="C129" s="36"/>
      <c r="D129" s="10"/>
      <c r="E129" s="101"/>
      <c r="F129" s="62"/>
      <c r="G129" s="62"/>
      <c r="H129" s="62"/>
      <c r="I129" s="89">
        <f t="shared" si="31"/>
        <v>0</v>
      </c>
      <c r="J129" s="63"/>
      <c r="K129" s="63"/>
      <c r="L129" s="63"/>
      <c r="M129" s="63"/>
      <c r="N129" s="63"/>
      <c r="O129" s="63"/>
      <c r="P129" s="63"/>
      <c r="Q129" s="63"/>
      <c r="R129" s="63"/>
      <c r="S129" s="63"/>
      <c r="T129" s="63"/>
      <c r="U129" s="94"/>
      <c r="V129" s="90"/>
      <c r="W129" s="91"/>
      <c r="X129" s="92"/>
    </row>
    <row r="130" spans="2:24">
      <c r="B130" s="87">
        <f t="shared" si="32"/>
        <v>6</v>
      </c>
      <c r="C130" s="36"/>
      <c r="D130" s="10"/>
      <c r="E130" s="101"/>
      <c r="F130" s="62"/>
      <c r="G130" s="62"/>
      <c r="H130" s="62"/>
      <c r="I130" s="89">
        <f t="shared" si="31"/>
        <v>0</v>
      </c>
      <c r="J130" s="63"/>
      <c r="K130" s="63"/>
      <c r="L130" s="63"/>
      <c r="M130" s="63"/>
      <c r="N130" s="63"/>
      <c r="O130" s="63"/>
      <c r="P130" s="63"/>
      <c r="Q130" s="63"/>
      <c r="R130" s="63"/>
      <c r="S130" s="63"/>
      <c r="T130" s="63"/>
      <c r="U130" s="94"/>
      <c r="V130" s="90"/>
      <c r="W130" s="91"/>
      <c r="X130" s="92"/>
    </row>
    <row r="131" spans="2:24">
      <c r="B131" s="87">
        <f t="shared" si="32"/>
        <v>7</v>
      </c>
      <c r="C131" s="36"/>
      <c r="D131" s="10"/>
      <c r="E131" s="101"/>
      <c r="F131" s="62"/>
      <c r="G131" s="62"/>
      <c r="H131" s="62"/>
      <c r="I131" s="89">
        <f t="shared" si="31"/>
        <v>0</v>
      </c>
      <c r="J131" s="63"/>
      <c r="K131" s="63"/>
      <c r="L131" s="63"/>
      <c r="M131" s="63"/>
      <c r="N131" s="63"/>
      <c r="O131" s="63"/>
      <c r="P131" s="63"/>
      <c r="Q131" s="63"/>
      <c r="R131" s="63"/>
      <c r="S131" s="63"/>
      <c r="T131" s="63"/>
      <c r="U131" s="94"/>
      <c r="V131" s="90"/>
      <c r="W131" s="91"/>
      <c r="X131" s="92"/>
    </row>
    <row r="132" spans="2:24">
      <c r="B132" s="87">
        <f t="shared" si="32"/>
        <v>8</v>
      </c>
      <c r="C132" s="36"/>
      <c r="D132" s="10"/>
      <c r="E132" s="101"/>
      <c r="F132" s="62"/>
      <c r="G132" s="62"/>
      <c r="H132" s="62"/>
      <c r="I132" s="89">
        <f t="shared" si="31"/>
        <v>0</v>
      </c>
      <c r="J132" s="63"/>
      <c r="K132" s="63"/>
      <c r="L132" s="63"/>
      <c r="M132" s="63"/>
      <c r="N132" s="63"/>
      <c r="O132" s="63"/>
      <c r="P132" s="63"/>
      <c r="Q132" s="63"/>
      <c r="R132" s="63"/>
      <c r="S132" s="63"/>
      <c r="T132" s="63"/>
      <c r="U132" s="94"/>
      <c r="V132" s="90"/>
      <c r="W132" s="91"/>
      <c r="X132" s="92"/>
    </row>
    <row r="133" spans="2:24">
      <c r="B133" s="11"/>
      <c r="C133" s="36"/>
      <c r="D133" s="10"/>
      <c r="E133" s="10"/>
      <c r="F133" s="97">
        <f>SUM(F125:F132)</f>
        <v>0</v>
      </c>
      <c r="G133" s="97">
        <f>SUM(G125:G132)</f>
        <v>0</v>
      </c>
      <c r="H133" s="97">
        <f>SUM(H125:H132)</f>
        <v>0</v>
      </c>
      <c r="I133" s="98">
        <f>SUM(I125:I132)</f>
        <v>0</v>
      </c>
      <c r="J133" s="63"/>
      <c r="K133" s="21"/>
      <c r="L133" s="21"/>
      <c r="M133" s="21"/>
      <c r="N133" s="21"/>
      <c r="O133" s="21"/>
      <c r="P133" s="21"/>
      <c r="Q133" s="21"/>
      <c r="R133" s="21"/>
      <c r="S133" s="21"/>
      <c r="T133" s="63"/>
      <c r="U133" s="94"/>
      <c r="V133" s="90"/>
      <c r="W133" s="91"/>
      <c r="X133" s="92"/>
    </row>
    <row r="134" spans="2:24">
      <c r="B134" s="11"/>
      <c r="C134" s="36"/>
      <c r="D134" s="10"/>
      <c r="E134" s="10"/>
      <c r="F134" s="88"/>
      <c r="G134" s="88"/>
      <c r="H134" s="88"/>
      <c r="I134" s="99"/>
      <c r="J134" s="63"/>
      <c r="K134" s="21"/>
      <c r="L134" s="21"/>
      <c r="M134" s="21"/>
      <c r="N134" s="21"/>
      <c r="O134" s="21"/>
      <c r="P134" s="21"/>
      <c r="Q134" s="21"/>
      <c r="R134" s="21"/>
      <c r="S134" s="21"/>
      <c r="T134" s="63"/>
      <c r="U134" s="94"/>
      <c r="V134" s="90"/>
      <c r="W134" s="91"/>
      <c r="X134" s="92"/>
    </row>
    <row r="135" spans="2:24">
      <c r="B135" s="102" t="s">
        <v>67</v>
      </c>
      <c r="C135" s="103"/>
      <c r="D135" s="104"/>
      <c r="E135" s="104"/>
      <c r="F135" s="105"/>
      <c r="G135" s="106"/>
      <c r="H135" s="105"/>
      <c r="I135" s="107"/>
      <c r="J135" s="108"/>
      <c r="K135" s="109"/>
      <c r="L135" s="109"/>
      <c r="M135" s="109"/>
      <c r="N135" s="109"/>
      <c r="O135" s="109"/>
      <c r="P135" s="109"/>
      <c r="Q135" s="109"/>
      <c r="R135" s="109"/>
      <c r="S135" s="109"/>
      <c r="T135" s="108"/>
      <c r="U135" s="110"/>
      <c r="V135" s="111"/>
      <c r="W135" s="112"/>
      <c r="X135" s="113"/>
    </row>
    <row r="136" spans="2:24">
      <c r="B136" s="114">
        <v>1</v>
      </c>
      <c r="C136" s="103"/>
      <c r="D136" s="104"/>
      <c r="E136" s="115"/>
      <c r="F136" s="106"/>
      <c r="G136" s="106"/>
      <c r="H136" s="106"/>
      <c r="I136" s="116">
        <f t="shared" ref="I136:I143" si="33">F136-G136-H136</f>
        <v>0</v>
      </c>
      <c r="J136" s="108"/>
      <c r="K136" s="108"/>
      <c r="L136" s="108"/>
      <c r="M136" s="108"/>
      <c r="N136" s="108"/>
      <c r="O136" s="108"/>
      <c r="P136" s="108"/>
      <c r="Q136" s="108"/>
      <c r="R136" s="108"/>
      <c r="S136" s="108"/>
      <c r="T136" s="108"/>
      <c r="U136" s="110"/>
      <c r="V136" s="111"/>
      <c r="W136" s="112"/>
      <c r="X136" s="113"/>
    </row>
    <row r="137" spans="2:24">
      <c r="B137" s="114">
        <f t="shared" ref="B137:B143" si="34">B136+1</f>
        <v>2</v>
      </c>
      <c r="C137" s="103"/>
      <c r="D137" s="104"/>
      <c r="E137" s="115"/>
      <c r="F137" s="106"/>
      <c r="G137" s="106"/>
      <c r="H137" s="106"/>
      <c r="I137" s="116">
        <f t="shared" si="33"/>
        <v>0</v>
      </c>
      <c r="J137" s="108"/>
      <c r="K137" s="108"/>
      <c r="L137" s="108"/>
      <c r="M137" s="108"/>
      <c r="N137" s="108"/>
      <c r="O137" s="108"/>
      <c r="P137" s="108"/>
      <c r="Q137" s="108"/>
      <c r="R137" s="108"/>
      <c r="S137" s="108"/>
      <c r="T137" s="108"/>
      <c r="U137" s="110"/>
      <c r="V137" s="111"/>
      <c r="W137" s="112"/>
      <c r="X137" s="113"/>
    </row>
    <row r="138" spans="2:24">
      <c r="B138" s="114">
        <f t="shared" si="34"/>
        <v>3</v>
      </c>
      <c r="C138" s="103"/>
      <c r="D138" s="104"/>
      <c r="E138" s="115"/>
      <c r="F138" s="106"/>
      <c r="G138" s="106"/>
      <c r="H138" s="106"/>
      <c r="I138" s="116">
        <f t="shared" si="33"/>
        <v>0</v>
      </c>
      <c r="J138" s="108"/>
      <c r="K138" s="108"/>
      <c r="L138" s="108"/>
      <c r="M138" s="108"/>
      <c r="N138" s="108"/>
      <c r="O138" s="108"/>
      <c r="P138" s="108"/>
      <c r="Q138" s="108"/>
      <c r="R138" s="108"/>
      <c r="S138" s="108"/>
      <c r="T138" s="108"/>
      <c r="U138" s="110"/>
      <c r="V138" s="111"/>
      <c r="W138" s="112"/>
      <c r="X138" s="113"/>
    </row>
    <row r="139" spans="2:24">
      <c r="B139" s="114">
        <f t="shared" si="34"/>
        <v>4</v>
      </c>
      <c r="C139" s="103"/>
      <c r="D139" s="104"/>
      <c r="E139" s="115"/>
      <c r="F139" s="106"/>
      <c r="G139" s="106"/>
      <c r="H139" s="106"/>
      <c r="I139" s="116">
        <f t="shared" si="33"/>
        <v>0</v>
      </c>
      <c r="J139" s="108"/>
      <c r="K139" s="108"/>
      <c r="L139" s="108"/>
      <c r="M139" s="108"/>
      <c r="N139" s="108"/>
      <c r="O139" s="108"/>
      <c r="P139" s="108"/>
      <c r="Q139" s="108"/>
      <c r="R139" s="108"/>
      <c r="S139" s="108"/>
      <c r="T139" s="108"/>
      <c r="U139" s="110"/>
      <c r="V139" s="111"/>
      <c r="W139" s="112"/>
      <c r="X139" s="113"/>
    </row>
    <row r="140" spans="2:24">
      <c r="B140" s="114">
        <f t="shared" si="34"/>
        <v>5</v>
      </c>
      <c r="C140" s="103"/>
      <c r="D140" s="104"/>
      <c r="E140" s="115"/>
      <c r="F140" s="106"/>
      <c r="G140" s="106"/>
      <c r="H140" s="106"/>
      <c r="I140" s="116">
        <f t="shared" si="33"/>
        <v>0</v>
      </c>
      <c r="J140" s="108"/>
      <c r="K140" s="108"/>
      <c r="L140" s="108"/>
      <c r="M140" s="108"/>
      <c r="N140" s="108"/>
      <c r="O140" s="108"/>
      <c r="P140" s="108"/>
      <c r="Q140" s="108"/>
      <c r="R140" s="108"/>
      <c r="S140" s="108"/>
      <c r="T140" s="108"/>
      <c r="U140" s="110"/>
      <c r="V140" s="111"/>
      <c r="W140" s="112"/>
      <c r="X140" s="113"/>
    </row>
    <row r="141" spans="2:24">
      <c r="B141" s="114">
        <f t="shared" si="34"/>
        <v>6</v>
      </c>
      <c r="C141" s="103"/>
      <c r="D141" s="104"/>
      <c r="E141" s="115"/>
      <c r="F141" s="106"/>
      <c r="G141" s="106"/>
      <c r="H141" s="106"/>
      <c r="I141" s="116">
        <f t="shared" si="33"/>
        <v>0</v>
      </c>
      <c r="J141" s="108"/>
      <c r="K141" s="108"/>
      <c r="L141" s="108"/>
      <c r="M141" s="108"/>
      <c r="N141" s="108"/>
      <c r="O141" s="108"/>
      <c r="P141" s="108"/>
      <c r="Q141" s="108"/>
      <c r="R141" s="108"/>
      <c r="S141" s="108"/>
      <c r="T141" s="108"/>
      <c r="U141" s="110"/>
      <c r="V141" s="111"/>
      <c r="W141" s="112"/>
      <c r="X141" s="113"/>
    </row>
    <row r="142" spans="2:24">
      <c r="B142" s="114">
        <f t="shared" si="34"/>
        <v>7</v>
      </c>
      <c r="C142" s="103"/>
      <c r="D142" s="104"/>
      <c r="E142" s="115"/>
      <c r="F142" s="106"/>
      <c r="G142" s="106"/>
      <c r="H142" s="106"/>
      <c r="I142" s="116">
        <f t="shared" si="33"/>
        <v>0</v>
      </c>
      <c r="J142" s="108"/>
      <c r="K142" s="108"/>
      <c r="L142" s="108"/>
      <c r="M142" s="108"/>
      <c r="N142" s="108"/>
      <c r="O142" s="108"/>
      <c r="P142" s="108"/>
      <c r="Q142" s="108"/>
      <c r="R142" s="108"/>
      <c r="S142" s="108"/>
      <c r="T142" s="108"/>
      <c r="U142" s="110"/>
      <c r="V142" s="111"/>
      <c r="W142" s="112"/>
      <c r="X142" s="113"/>
    </row>
    <row r="143" spans="2:24">
      <c r="B143" s="114">
        <f t="shared" si="34"/>
        <v>8</v>
      </c>
      <c r="C143" s="103"/>
      <c r="D143" s="104"/>
      <c r="E143" s="115"/>
      <c r="F143" s="106"/>
      <c r="G143" s="106"/>
      <c r="H143" s="106"/>
      <c r="I143" s="116">
        <f t="shared" si="33"/>
        <v>0</v>
      </c>
      <c r="J143" s="108"/>
      <c r="K143" s="108"/>
      <c r="L143" s="108"/>
      <c r="M143" s="108"/>
      <c r="N143" s="108"/>
      <c r="O143" s="108"/>
      <c r="P143" s="108"/>
      <c r="Q143" s="108"/>
      <c r="R143" s="108"/>
      <c r="S143" s="108"/>
      <c r="T143" s="108"/>
      <c r="U143" s="110"/>
      <c r="V143" s="111"/>
      <c r="W143" s="112"/>
      <c r="X143" s="113"/>
    </row>
    <row r="144" spans="2:24">
      <c r="B144" s="117"/>
      <c r="C144" s="103"/>
      <c r="D144" s="104"/>
      <c r="E144" s="104"/>
      <c r="F144" s="118">
        <f>SUM(F136:F143)</f>
        <v>0</v>
      </c>
      <c r="G144" s="118">
        <f>SUM(G136:G143)</f>
        <v>0</v>
      </c>
      <c r="H144" s="118">
        <f>SUM(H136:H143)</f>
        <v>0</v>
      </c>
      <c r="I144" s="119">
        <f>SUM(I136:I143)</f>
        <v>0</v>
      </c>
      <c r="J144" s="108"/>
      <c r="K144" s="120"/>
      <c r="L144" s="120"/>
      <c r="M144" s="120"/>
      <c r="N144" s="120"/>
      <c r="O144" s="120"/>
      <c r="P144" s="120"/>
      <c r="Q144" s="120"/>
      <c r="R144" s="120"/>
      <c r="S144" s="120"/>
      <c r="T144" s="108"/>
      <c r="U144" s="110"/>
      <c r="V144" s="111"/>
      <c r="W144" s="112"/>
      <c r="X144" s="113"/>
    </row>
    <row r="145" spans="2:24">
      <c r="B145" s="11"/>
      <c r="C145" s="36"/>
      <c r="D145" s="10"/>
      <c r="E145" s="10"/>
      <c r="F145" s="88"/>
      <c r="G145" s="88"/>
      <c r="H145" s="88"/>
      <c r="I145" s="99"/>
      <c r="J145" s="63"/>
      <c r="K145" s="21"/>
      <c r="L145" s="21"/>
      <c r="M145" s="21"/>
      <c r="N145" s="21"/>
      <c r="O145" s="21"/>
      <c r="P145" s="21"/>
      <c r="Q145" s="21"/>
      <c r="R145" s="21"/>
      <c r="S145" s="21"/>
      <c r="T145" s="63"/>
      <c r="U145" s="94"/>
      <c r="V145" s="90"/>
      <c r="W145" s="91"/>
      <c r="X145" s="92"/>
    </row>
    <row r="146" spans="2:24">
      <c r="B146" s="121" t="s">
        <v>68</v>
      </c>
      <c r="C146" s="122"/>
      <c r="D146" s="123"/>
      <c r="E146" s="123"/>
      <c r="F146" s="124"/>
      <c r="G146" s="125"/>
      <c r="H146" s="124"/>
      <c r="I146" s="126"/>
      <c r="J146" s="127"/>
      <c r="K146" s="128"/>
      <c r="L146" s="128"/>
      <c r="M146" s="128"/>
      <c r="N146" s="128"/>
      <c r="O146" s="128"/>
      <c r="P146" s="128"/>
      <c r="Q146" s="128"/>
      <c r="R146" s="128"/>
      <c r="S146" s="128"/>
      <c r="T146" s="127"/>
      <c r="U146" s="123"/>
      <c r="V146" s="129"/>
      <c r="W146" s="130"/>
      <c r="X146" s="131"/>
    </row>
    <row r="147" spans="2:24">
      <c r="B147" s="87">
        <v>1</v>
      </c>
      <c r="C147" s="36"/>
      <c r="D147" s="10"/>
      <c r="E147" s="101"/>
      <c r="F147" s="62"/>
      <c r="G147" s="62"/>
      <c r="H147" s="62"/>
      <c r="I147" s="89">
        <f t="shared" ref="I147:I154" si="35">F147-G147-H147</f>
        <v>0</v>
      </c>
      <c r="J147" s="63"/>
      <c r="K147" s="63"/>
      <c r="L147" s="63"/>
      <c r="M147" s="63"/>
      <c r="N147" s="63"/>
      <c r="O147" s="63"/>
      <c r="P147" s="63"/>
      <c r="Q147" s="63"/>
      <c r="R147" s="63"/>
      <c r="S147" s="63"/>
      <c r="T147" s="63"/>
      <c r="U147" s="10"/>
      <c r="V147" s="90"/>
      <c r="W147" s="91"/>
      <c r="X147" s="92"/>
    </row>
    <row r="148" spans="2:24">
      <c r="B148" s="87">
        <f t="shared" ref="B148:B154" si="36">B147+1</f>
        <v>2</v>
      </c>
      <c r="C148" s="36"/>
      <c r="D148" s="10"/>
      <c r="E148" s="101"/>
      <c r="F148" s="62"/>
      <c r="G148" s="62"/>
      <c r="H148" s="62"/>
      <c r="I148" s="89">
        <f t="shared" si="35"/>
        <v>0</v>
      </c>
      <c r="J148" s="63"/>
      <c r="K148" s="63"/>
      <c r="L148" s="63"/>
      <c r="M148" s="63"/>
      <c r="N148" s="63"/>
      <c r="O148" s="63"/>
      <c r="P148" s="63"/>
      <c r="Q148" s="63"/>
      <c r="R148" s="63"/>
      <c r="S148" s="63"/>
      <c r="T148" s="63"/>
      <c r="U148" s="10"/>
      <c r="V148" s="90"/>
      <c r="W148" s="91"/>
      <c r="X148" s="92"/>
    </row>
    <row r="149" spans="2:24">
      <c r="B149" s="87">
        <f t="shared" si="36"/>
        <v>3</v>
      </c>
      <c r="C149" s="36"/>
      <c r="D149" s="10"/>
      <c r="E149" s="101"/>
      <c r="F149" s="62"/>
      <c r="G149" s="62"/>
      <c r="H149" s="62"/>
      <c r="I149" s="89">
        <f t="shared" si="35"/>
        <v>0</v>
      </c>
      <c r="J149" s="63"/>
      <c r="K149" s="63"/>
      <c r="L149" s="63"/>
      <c r="M149" s="63"/>
      <c r="N149" s="63"/>
      <c r="O149" s="63"/>
      <c r="P149" s="63"/>
      <c r="Q149" s="63"/>
      <c r="R149" s="63"/>
      <c r="S149" s="63"/>
      <c r="T149" s="63"/>
      <c r="U149" s="10"/>
      <c r="V149" s="90"/>
      <c r="W149" s="91"/>
      <c r="X149" s="92"/>
    </row>
    <row r="150" spans="2:24">
      <c r="B150" s="87">
        <f t="shared" si="36"/>
        <v>4</v>
      </c>
      <c r="C150" s="36"/>
      <c r="D150" s="10"/>
      <c r="E150" s="101"/>
      <c r="F150" s="62"/>
      <c r="G150" s="62"/>
      <c r="H150" s="62"/>
      <c r="I150" s="89">
        <f t="shared" si="35"/>
        <v>0</v>
      </c>
      <c r="J150" s="63"/>
      <c r="K150" s="63"/>
      <c r="L150" s="63"/>
      <c r="M150" s="63"/>
      <c r="N150" s="63"/>
      <c r="O150" s="63"/>
      <c r="P150" s="63"/>
      <c r="Q150" s="63"/>
      <c r="R150" s="63"/>
      <c r="S150" s="63"/>
      <c r="T150" s="63"/>
      <c r="U150" s="10"/>
      <c r="V150" s="90"/>
      <c r="W150" s="91"/>
      <c r="X150" s="92"/>
    </row>
    <row r="151" spans="2:24">
      <c r="B151" s="87">
        <f t="shared" si="36"/>
        <v>5</v>
      </c>
      <c r="C151" s="36"/>
      <c r="D151" s="10"/>
      <c r="E151" s="101"/>
      <c r="F151" s="62"/>
      <c r="G151" s="62"/>
      <c r="H151" s="62"/>
      <c r="I151" s="89">
        <f t="shared" si="35"/>
        <v>0</v>
      </c>
      <c r="J151" s="63"/>
      <c r="K151" s="63"/>
      <c r="L151" s="63"/>
      <c r="M151" s="63"/>
      <c r="N151" s="63"/>
      <c r="O151" s="63"/>
      <c r="P151" s="63"/>
      <c r="Q151" s="63"/>
      <c r="R151" s="63"/>
      <c r="S151" s="63"/>
      <c r="T151" s="63"/>
      <c r="U151" s="10"/>
      <c r="V151" s="90"/>
      <c r="W151" s="91"/>
      <c r="X151" s="92"/>
    </row>
    <row r="152" spans="2:24">
      <c r="B152" s="87">
        <f t="shared" si="36"/>
        <v>6</v>
      </c>
      <c r="C152" s="36"/>
      <c r="D152" s="10"/>
      <c r="E152" s="101"/>
      <c r="F152" s="62"/>
      <c r="G152" s="62"/>
      <c r="H152" s="62"/>
      <c r="I152" s="89">
        <f t="shared" si="35"/>
        <v>0</v>
      </c>
      <c r="J152" s="63"/>
      <c r="K152" s="63"/>
      <c r="L152" s="63"/>
      <c r="M152" s="63"/>
      <c r="N152" s="63"/>
      <c r="O152" s="63"/>
      <c r="P152" s="63"/>
      <c r="Q152" s="63"/>
      <c r="R152" s="63"/>
      <c r="S152" s="63"/>
      <c r="T152" s="63"/>
      <c r="U152" s="10"/>
      <c r="V152" s="90"/>
      <c r="W152" s="91"/>
      <c r="X152" s="92"/>
    </row>
    <row r="153" spans="2:24">
      <c r="B153" s="87">
        <f t="shared" si="36"/>
        <v>7</v>
      </c>
      <c r="C153" s="36"/>
      <c r="D153" s="10"/>
      <c r="E153" s="101"/>
      <c r="F153" s="62"/>
      <c r="G153" s="62"/>
      <c r="H153" s="62"/>
      <c r="I153" s="89">
        <f t="shared" si="35"/>
        <v>0</v>
      </c>
      <c r="J153" s="63"/>
      <c r="K153" s="63"/>
      <c r="L153" s="63"/>
      <c r="M153" s="63"/>
      <c r="N153" s="63"/>
      <c r="O153" s="63"/>
      <c r="P153" s="63"/>
      <c r="Q153" s="63"/>
      <c r="R153" s="63"/>
      <c r="S153" s="63"/>
      <c r="T153" s="63"/>
      <c r="U153" s="10"/>
      <c r="V153" s="90"/>
      <c r="W153" s="91"/>
      <c r="X153" s="92"/>
    </row>
    <row r="154" spans="2:24">
      <c r="B154" s="87">
        <f t="shared" si="36"/>
        <v>8</v>
      </c>
      <c r="C154" s="36"/>
      <c r="D154" s="10"/>
      <c r="E154" s="101"/>
      <c r="F154" s="62"/>
      <c r="G154" s="62"/>
      <c r="H154" s="62"/>
      <c r="I154" s="89">
        <f t="shared" si="35"/>
        <v>0</v>
      </c>
      <c r="J154" s="63"/>
      <c r="K154" s="63"/>
      <c r="L154" s="63"/>
      <c r="M154" s="63"/>
      <c r="N154" s="63"/>
      <c r="O154" s="63"/>
      <c r="P154" s="63"/>
      <c r="Q154" s="63"/>
      <c r="R154" s="63"/>
      <c r="S154" s="63"/>
      <c r="T154" s="63"/>
      <c r="U154" s="10"/>
      <c r="V154" s="90"/>
      <c r="W154" s="91"/>
      <c r="X154" s="92"/>
    </row>
    <row r="155" spans="2:24">
      <c r="B155" s="132"/>
      <c r="C155" s="122"/>
      <c r="D155" s="123"/>
      <c r="E155" s="123"/>
      <c r="F155" s="133">
        <f>SUM(F147:F154)</f>
        <v>0</v>
      </c>
      <c r="G155" s="133">
        <f>SUM(G147:G154)</f>
        <v>0</v>
      </c>
      <c r="H155" s="133">
        <f>SUM(H147:H154)</f>
        <v>0</v>
      </c>
      <c r="I155" s="134">
        <f>SUM(I147:I154)</f>
        <v>0</v>
      </c>
      <c r="J155" s="127"/>
      <c r="K155" s="64"/>
      <c r="L155" s="64"/>
      <c r="M155" s="64"/>
      <c r="N155" s="64"/>
      <c r="O155" s="64"/>
      <c r="P155" s="64"/>
      <c r="Q155" s="64"/>
      <c r="R155" s="64"/>
      <c r="S155" s="64"/>
      <c r="T155" s="127"/>
      <c r="U155" s="123"/>
      <c r="V155" s="129"/>
      <c r="W155" s="130"/>
      <c r="X155" s="131"/>
    </row>
    <row r="156" spans="2:24">
      <c r="B156" s="11"/>
      <c r="C156" s="36"/>
      <c r="D156" s="10"/>
      <c r="E156" s="10"/>
      <c r="F156" s="88"/>
      <c r="G156" s="88"/>
      <c r="H156" s="88"/>
      <c r="I156" s="99"/>
      <c r="J156" s="63"/>
      <c r="K156" s="21"/>
      <c r="L156" s="21"/>
      <c r="M156" s="21"/>
      <c r="N156" s="21"/>
      <c r="O156" s="21"/>
      <c r="P156" s="21"/>
      <c r="Q156" s="21"/>
      <c r="R156" s="21"/>
      <c r="S156" s="21"/>
      <c r="T156" s="63"/>
      <c r="U156" s="10"/>
      <c r="V156" s="90"/>
      <c r="W156" s="91"/>
      <c r="X156" s="92"/>
    </row>
    <row r="157" spans="2:24">
      <c r="B157" s="121" t="s">
        <v>69</v>
      </c>
      <c r="C157" s="122"/>
      <c r="D157" s="123"/>
      <c r="E157" s="123"/>
      <c r="F157" s="124"/>
      <c r="G157" s="125"/>
      <c r="H157" s="124"/>
      <c r="I157" s="126"/>
      <c r="J157" s="127"/>
      <c r="K157" s="128"/>
      <c r="L157" s="128"/>
      <c r="M157" s="128"/>
      <c r="N157" s="128"/>
      <c r="O157" s="128"/>
      <c r="P157" s="128"/>
      <c r="Q157" s="128"/>
      <c r="R157" s="128"/>
      <c r="S157" s="128"/>
      <c r="T157" s="127"/>
      <c r="U157" s="135"/>
      <c r="V157" s="129"/>
      <c r="W157" s="130"/>
      <c r="X157" s="131"/>
    </row>
    <row r="158" spans="2:24">
      <c r="B158" s="87">
        <v>1</v>
      </c>
      <c r="C158" s="36"/>
      <c r="D158" s="10"/>
      <c r="E158" s="101"/>
      <c r="F158" s="62"/>
      <c r="G158" s="62"/>
      <c r="H158" s="62"/>
      <c r="I158" s="89">
        <f t="shared" ref="I158:I165" si="37">F158-G158-H158</f>
        <v>0</v>
      </c>
      <c r="J158" s="63"/>
      <c r="K158" s="63"/>
      <c r="L158" s="63"/>
      <c r="M158" s="63"/>
      <c r="N158" s="63"/>
      <c r="O158" s="63"/>
      <c r="P158" s="63"/>
      <c r="Q158" s="63"/>
      <c r="R158" s="63"/>
      <c r="S158" s="63"/>
      <c r="T158" s="63"/>
      <c r="U158" s="94"/>
      <c r="V158" s="90"/>
      <c r="W158" s="91"/>
      <c r="X158" s="92"/>
    </row>
    <row r="159" spans="2:24">
      <c r="B159" s="87">
        <f t="shared" ref="B159:B165" si="38">B158+1</f>
        <v>2</v>
      </c>
      <c r="C159" s="36"/>
      <c r="D159" s="10"/>
      <c r="E159" s="101"/>
      <c r="F159" s="62"/>
      <c r="G159" s="62"/>
      <c r="H159" s="62"/>
      <c r="I159" s="89">
        <f t="shared" si="37"/>
        <v>0</v>
      </c>
      <c r="J159" s="63"/>
      <c r="K159" s="63"/>
      <c r="L159" s="63"/>
      <c r="M159" s="63"/>
      <c r="N159" s="63"/>
      <c r="O159" s="63"/>
      <c r="P159" s="63"/>
      <c r="Q159" s="63"/>
      <c r="R159" s="63"/>
      <c r="S159" s="63"/>
      <c r="T159" s="63"/>
      <c r="U159" s="94"/>
      <c r="V159" s="90"/>
      <c r="W159" s="91"/>
      <c r="X159" s="92"/>
    </row>
    <row r="160" spans="2:24">
      <c r="B160" s="87">
        <f t="shared" si="38"/>
        <v>3</v>
      </c>
      <c r="C160" s="36"/>
      <c r="D160" s="10"/>
      <c r="E160" s="101"/>
      <c r="F160" s="62"/>
      <c r="G160" s="62"/>
      <c r="H160" s="62"/>
      <c r="I160" s="89">
        <f t="shared" si="37"/>
        <v>0</v>
      </c>
      <c r="J160" s="63"/>
      <c r="K160" s="63"/>
      <c r="L160" s="63"/>
      <c r="M160" s="63"/>
      <c r="N160" s="63"/>
      <c r="O160" s="63"/>
      <c r="P160" s="63"/>
      <c r="Q160" s="63"/>
      <c r="R160" s="63"/>
      <c r="S160" s="63"/>
      <c r="T160" s="63"/>
      <c r="U160" s="94"/>
      <c r="V160" s="90"/>
      <c r="W160" s="91"/>
      <c r="X160" s="92"/>
    </row>
    <row r="161" spans="2:24">
      <c r="B161" s="87">
        <f t="shared" si="38"/>
        <v>4</v>
      </c>
      <c r="C161" s="36"/>
      <c r="D161" s="10"/>
      <c r="E161" s="101"/>
      <c r="F161" s="62"/>
      <c r="G161" s="62"/>
      <c r="H161" s="62"/>
      <c r="I161" s="89">
        <f t="shared" si="37"/>
        <v>0</v>
      </c>
      <c r="J161" s="63"/>
      <c r="K161" s="63"/>
      <c r="L161" s="63"/>
      <c r="M161" s="63"/>
      <c r="N161" s="63"/>
      <c r="O161" s="63"/>
      <c r="P161" s="63"/>
      <c r="Q161" s="63"/>
      <c r="R161" s="63"/>
      <c r="S161" s="63"/>
      <c r="T161" s="63"/>
      <c r="U161" s="94"/>
      <c r="V161" s="90"/>
      <c r="W161" s="91"/>
      <c r="X161" s="92"/>
    </row>
    <row r="162" spans="2:24">
      <c r="B162" s="87">
        <f t="shared" si="38"/>
        <v>5</v>
      </c>
      <c r="C162" s="36"/>
      <c r="D162" s="10"/>
      <c r="E162" s="101"/>
      <c r="F162" s="62"/>
      <c r="G162" s="62"/>
      <c r="H162" s="62"/>
      <c r="I162" s="89">
        <f t="shared" si="37"/>
        <v>0</v>
      </c>
      <c r="J162" s="63"/>
      <c r="K162" s="63"/>
      <c r="L162" s="63"/>
      <c r="M162" s="63"/>
      <c r="N162" s="63"/>
      <c r="O162" s="63"/>
      <c r="P162" s="63"/>
      <c r="Q162" s="63"/>
      <c r="R162" s="63"/>
      <c r="S162" s="63"/>
      <c r="T162" s="63"/>
      <c r="U162" s="94"/>
      <c r="V162" s="90"/>
      <c r="W162" s="91"/>
      <c r="X162" s="92"/>
    </row>
    <row r="163" spans="2:24">
      <c r="B163" s="87">
        <f t="shared" si="38"/>
        <v>6</v>
      </c>
      <c r="C163" s="36"/>
      <c r="D163" s="10"/>
      <c r="E163" s="101"/>
      <c r="F163" s="62"/>
      <c r="G163" s="62"/>
      <c r="H163" s="62"/>
      <c r="I163" s="89">
        <f t="shared" si="37"/>
        <v>0</v>
      </c>
      <c r="J163" s="63"/>
      <c r="K163" s="63"/>
      <c r="L163" s="63"/>
      <c r="M163" s="63"/>
      <c r="N163" s="63"/>
      <c r="O163" s="63"/>
      <c r="P163" s="63"/>
      <c r="Q163" s="63"/>
      <c r="R163" s="63"/>
      <c r="S163" s="63"/>
      <c r="T163" s="63"/>
      <c r="U163" s="94"/>
      <c r="V163" s="90"/>
      <c r="W163" s="91"/>
      <c r="X163" s="92"/>
    </row>
    <row r="164" spans="2:24">
      <c r="B164" s="87">
        <f t="shared" si="38"/>
        <v>7</v>
      </c>
      <c r="C164" s="36"/>
      <c r="D164" s="10"/>
      <c r="E164" s="101"/>
      <c r="F164" s="62"/>
      <c r="G164" s="62"/>
      <c r="H164" s="62"/>
      <c r="I164" s="89">
        <f t="shared" si="37"/>
        <v>0</v>
      </c>
      <c r="J164" s="63"/>
      <c r="K164" s="63"/>
      <c r="L164" s="63"/>
      <c r="M164" s="63"/>
      <c r="N164" s="63"/>
      <c r="O164" s="63"/>
      <c r="P164" s="63"/>
      <c r="Q164" s="63"/>
      <c r="R164" s="63"/>
      <c r="S164" s="63"/>
      <c r="T164" s="63"/>
      <c r="U164" s="94"/>
      <c r="V164" s="90"/>
      <c r="W164" s="91"/>
      <c r="X164" s="92"/>
    </row>
    <row r="165" spans="2:24">
      <c r="B165" s="87">
        <f t="shared" si="38"/>
        <v>8</v>
      </c>
      <c r="C165" s="36"/>
      <c r="D165" s="10"/>
      <c r="E165" s="101"/>
      <c r="F165" s="62"/>
      <c r="G165" s="62"/>
      <c r="H165" s="62"/>
      <c r="I165" s="89">
        <f t="shared" si="37"/>
        <v>0</v>
      </c>
      <c r="J165" s="63"/>
      <c r="K165" s="63"/>
      <c r="L165" s="63"/>
      <c r="M165" s="63"/>
      <c r="N165" s="63"/>
      <c r="O165" s="63"/>
      <c r="P165" s="63"/>
      <c r="Q165" s="63"/>
      <c r="R165" s="63"/>
      <c r="S165" s="63"/>
      <c r="T165" s="63"/>
      <c r="U165" s="94"/>
      <c r="V165" s="90"/>
      <c r="W165" s="91"/>
      <c r="X165" s="92"/>
    </row>
    <row r="166" spans="2:24">
      <c r="B166" s="132"/>
      <c r="C166" s="122"/>
      <c r="D166" s="123"/>
      <c r="E166" s="123"/>
      <c r="F166" s="133">
        <f>SUM(F158:F165)</f>
        <v>0</v>
      </c>
      <c r="G166" s="133">
        <f>SUM(G158:G165)</f>
        <v>0</v>
      </c>
      <c r="H166" s="133">
        <f>SUM(H158:H165)</f>
        <v>0</v>
      </c>
      <c r="I166" s="134">
        <f>SUM(I158:I165)</f>
        <v>0</v>
      </c>
      <c r="J166" s="127"/>
      <c r="K166" s="64"/>
      <c r="L166" s="64"/>
      <c r="M166" s="64"/>
      <c r="N166" s="64"/>
      <c r="O166" s="64"/>
      <c r="P166" s="64"/>
      <c r="Q166" s="64"/>
      <c r="R166" s="64"/>
      <c r="S166" s="64"/>
      <c r="T166" s="127"/>
      <c r="U166" s="135"/>
      <c r="V166" s="129"/>
      <c r="W166" s="130"/>
      <c r="X166" s="131"/>
    </row>
    <row r="167" spans="2:24">
      <c r="B167" s="11"/>
      <c r="C167" s="36"/>
      <c r="D167" s="10"/>
      <c r="E167" s="10"/>
      <c r="F167" s="88"/>
      <c r="G167" s="88"/>
      <c r="H167" s="88"/>
      <c r="I167" s="99"/>
      <c r="J167" s="63"/>
      <c r="K167" s="21"/>
      <c r="L167" s="21"/>
      <c r="M167" s="21"/>
      <c r="N167" s="21"/>
      <c r="O167" s="21"/>
      <c r="P167" s="21"/>
      <c r="Q167" s="21"/>
      <c r="R167" s="21"/>
      <c r="S167" s="21"/>
      <c r="T167" s="63"/>
      <c r="U167" s="94"/>
      <c r="V167" s="90"/>
      <c r="W167" s="91"/>
      <c r="X167" s="92"/>
    </row>
    <row r="168" spans="2:24">
      <c r="B168" s="121" t="s">
        <v>70</v>
      </c>
      <c r="C168" s="122"/>
      <c r="D168" s="123"/>
      <c r="E168" s="128"/>
      <c r="F168" s="124"/>
      <c r="G168" s="124"/>
      <c r="H168" s="124"/>
      <c r="I168" s="126"/>
      <c r="J168" s="127"/>
      <c r="K168" s="64"/>
      <c r="L168" s="64"/>
      <c r="M168" s="64"/>
      <c r="N168" s="64"/>
      <c r="O168" s="64"/>
      <c r="P168" s="64"/>
      <c r="Q168" s="64"/>
      <c r="R168" s="64"/>
      <c r="S168" s="64"/>
      <c r="T168" s="127"/>
      <c r="U168" s="135"/>
      <c r="V168" s="129"/>
      <c r="W168" s="130"/>
      <c r="X168" s="131"/>
    </row>
    <row r="169" spans="2:24">
      <c r="B169" s="87">
        <v>1</v>
      </c>
      <c r="C169" s="36"/>
      <c r="D169" s="10"/>
      <c r="E169" s="10"/>
      <c r="F169" s="62"/>
      <c r="G169" s="62"/>
      <c r="H169" s="62"/>
      <c r="I169" s="89">
        <f>F169-G169-H169</f>
        <v>0</v>
      </c>
      <c r="J169" s="63"/>
      <c r="K169" s="63"/>
      <c r="L169" s="63"/>
      <c r="M169" s="63"/>
      <c r="N169" s="63"/>
      <c r="O169" s="63"/>
      <c r="P169" s="63"/>
      <c r="Q169" s="63"/>
      <c r="R169" s="63"/>
      <c r="S169" s="63"/>
      <c r="T169" s="63"/>
      <c r="U169" s="94"/>
      <c r="V169" s="90"/>
      <c r="W169" s="136"/>
      <c r="X169" s="137"/>
    </row>
    <row r="170" spans="2:24">
      <c r="B170" s="87">
        <f t="shared" ref="B170:B176" si="39">B169+1</f>
        <v>2</v>
      </c>
      <c r="C170" s="36"/>
      <c r="D170" s="10"/>
      <c r="E170" s="10"/>
      <c r="F170" s="62"/>
      <c r="G170" s="62"/>
      <c r="H170" s="62"/>
      <c r="I170" s="89">
        <f t="shared" ref="I170" si="40">F170-G170-H170</f>
        <v>0</v>
      </c>
      <c r="J170" s="63"/>
      <c r="K170" s="63"/>
      <c r="L170" s="63"/>
      <c r="M170" s="63"/>
      <c r="N170" s="63"/>
      <c r="O170" s="63"/>
      <c r="P170" s="63"/>
      <c r="Q170" s="63"/>
      <c r="R170" s="63"/>
      <c r="S170" s="63"/>
      <c r="T170" s="63"/>
      <c r="U170" s="94"/>
      <c r="V170" s="90"/>
      <c r="W170" s="136"/>
      <c r="X170" s="137"/>
    </row>
    <row r="171" spans="2:24">
      <c r="B171" s="87">
        <f t="shared" si="39"/>
        <v>3</v>
      </c>
      <c r="C171" s="36"/>
      <c r="D171" s="10"/>
      <c r="E171" s="10"/>
      <c r="F171" s="62"/>
      <c r="G171" s="62"/>
      <c r="H171" s="62"/>
      <c r="I171" s="89">
        <f>F171-G171-H171</f>
        <v>0</v>
      </c>
      <c r="J171" s="63"/>
      <c r="K171" s="63"/>
      <c r="L171" s="63"/>
      <c r="M171" s="63"/>
      <c r="N171" s="63"/>
      <c r="O171" s="63"/>
      <c r="P171" s="63"/>
      <c r="Q171" s="63"/>
      <c r="R171" s="63"/>
      <c r="S171" s="63"/>
      <c r="T171" s="63"/>
      <c r="U171" s="94"/>
      <c r="V171" s="90"/>
      <c r="W171" s="136"/>
      <c r="X171" s="137"/>
    </row>
    <row r="172" spans="2:24">
      <c r="B172" s="87">
        <f t="shared" si="39"/>
        <v>4</v>
      </c>
      <c r="C172" s="36"/>
      <c r="D172" s="10"/>
      <c r="E172" s="10"/>
      <c r="F172" s="62"/>
      <c r="G172" s="62"/>
      <c r="H172" s="62"/>
      <c r="I172" s="89">
        <f>F172-G172-H172</f>
        <v>0</v>
      </c>
      <c r="J172" s="63"/>
      <c r="K172" s="63"/>
      <c r="L172" s="63"/>
      <c r="M172" s="63"/>
      <c r="N172" s="63"/>
      <c r="O172" s="63"/>
      <c r="P172" s="63"/>
      <c r="Q172" s="63"/>
      <c r="R172" s="63"/>
      <c r="S172" s="63"/>
      <c r="T172" s="63"/>
      <c r="U172" s="94"/>
      <c r="V172" s="90"/>
      <c r="W172" s="136"/>
      <c r="X172" s="137"/>
    </row>
    <row r="173" spans="2:24">
      <c r="B173" s="87">
        <f t="shared" si="39"/>
        <v>5</v>
      </c>
      <c r="C173" s="36"/>
      <c r="D173" s="10"/>
      <c r="E173" s="10"/>
      <c r="F173" s="62"/>
      <c r="G173" s="62"/>
      <c r="H173" s="62"/>
      <c r="I173" s="89">
        <f>F173-G173-H173</f>
        <v>0</v>
      </c>
      <c r="J173" s="63"/>
      <c r="K173" s="63"/>
      <c r="L173" s="63"/>
      <c r="M173" s="63"/>
      <c r="N173" s="63"/>
      <c r="O173" s="63"/>
      <c r="P173" s="63"/>
      <c r="Q173" s="63"/>
      <c r="R173" s="63"/>
      <c r="S173" s="63"/>
      <c r="T173" s="63"/>
      <c r="U173" s="94"/>
      <c r="V173" s="90"/>
      <c r="W173" s="136"/>
      <c r="X173" s="137"/>
    </row>
    <row r="174" spans="2:24">
      <c r="B174" s="87">
        <f t="shared" si="39"/>
        <v>6</v>
      </c>
      <c r="C174" s="36"/>
      <c r="D174" s="10"/>
      <c r="E174" s="10"/>
      <c r="F174" s="62"/>
      <c r="G174" s="62"/>
      <c r="H174" s="62"/>
      <c r="I174" s="89">
        <f>F174-G174-H174</f>
        <v>0</v>
      </c>
      <c r="J174" s="63"/>
      <c r="K174" s="63"/>
      <c r="L174" s="63"/>
      <c r="M174" s="63"/>
      <c r="N174" s="63"/>
      <c r="O174" s="63"/>
      <c r="P174" s="63"/>
      <c r="Q174" s="63"/>
      <c r="R174" s="63"/>
      <c r="S174" s="63"/>
      <c r="T174" s="63"/>
      <c r="U174" s="94"/>
      <c r="V174" s="90"/>
      <c r="W174" s="136"/>
      <c r="X174" s="137"/>
    </row>
    <row r="175" spans="2:24">
      <c r="B175" s="87">
        <f t="shared" si="39"/>
        <v>7</v>
      </c>
      <c r="C175" s="36"/>
      <c r="D175" s="10"/>
      <c r="E175" s="10"/>
      <c r="F175" s="62"/>
      <c r="G175" s="62"/>
      <c r="H175" s="62"/>
      <c r="I175" s="89">
        <f t="shared" ref="I175:I176" si="41">F175-G175-H175</f>
        <v>0</v>
      </c>
      <c r="J175" s="63"/>
      <c r="K175" s="63"/>
      <c r="L175" s="63"/>
      <c r="M175" s="63"/>
      <c r="N175" s="63"/>
      <c r="O175" s="63"/>
      <c r="P175" s="63"/>
      <c r="Q175" s="63"/>
      <c r="R175" s="63"/>
      <c r="S175" s="63"/>
      <c r="T175" s="63"/>
      <c r="U175" s="94"/>
      <c r="V175" s="90"/>
      <c r="W175" s="136"/>
      <c r="X175" s="137"/>
    </row>
    <row r="176" spans="2:24">
      <c r="B176" s="87">
        <f t="shared" si="39"/>
        <v>8</v>
      </c>
      <c r="C176" s="36"/>
      <c r="D176" s="10"/>
      <c r="E176" s="10"/>
      <c r="F176" s="62"/>
      <c r="G176" s="62"/>
      <c r="H176" s="62"/>
      <c r="I176" s="89">
        <f t="shared" si="41"/>
        <v>0</v>
      </c>
      <c r="J176" s="63"/>
      <c r="K176" s="63"/>
      <c r="L176" s="63"/>
      <c r="M176" s="63"/>
      <c r="N176" s="63"/>
      <c r="O176" s="63"/>
      <c r="P176" s="63"/>
      <c r="Q176" s="63"/>
      <c r="R176" s="63"/>
      <c r="S176" s="63"/>
      <c r="T176" s="63"/>
      <c r="U176" s="94"/>
      <c r="V176" s="90"/>
      <c r="W176" s="136"/>
      <c r="X176" s="137"/>
    </row>
    <row r="177" spans="2:24">
      <c r="B177" s="132"/>
      <c r="C177" s="122"/>
      <c r="D177" s="123"/>
      <c r="E177" s="123"/>
      <c r="F177" s="133">
        <f>SUM(F169:F176)</f>
        <v>0</v>
      </c>
      <c r="G177" s="133">
        <f t="shared" ref="G177:I177" si="42">SUM(G169:G176)</f>
        <v>0</v>
      </c>
      <c r="H177" s="133">
        <f t="shared" si="42"/>
        <v>0</v>
      </c>
      <c r="I177" s="134">
        <f t="shared" si="42"/>
        <v>0</v>
      </c>
      <c r="J177" s="127"/>
      <c r="K177" s="64"/>
      <c r="L177" s="64"/>
      <c r="M177" s="64"/>
      <c r="N177" s="64"/>
      <c r="O177" s="64"/>
      <c r="P177" s="64"/>
      <c r="Q177" s="64"/>
      <c r="R177" s="64"/>
      <c r="S177" s="64"/>
      <c r="T177" s="127"/>
      <c r="U177" s="135"/>
      <c r="V177" s="129"/>
      <c r="W177" s="130"/>
      <c r="X177" s="131"/>
    </row>
    <row r="178" spans="2:24">
      <c r="B178" s="11"/>
      <c r="C178" s="36"/>
      <c r="D178" s="10"/>
      <c r="E178" s="10"/>
      <c r="F178" s="88"/>
      <c r="G178" s="88"/>
      <c r="H178" s="88"/>
      <c r="I178" s="99"/>
      <c r="J178" s="10"/>
      <c r="K178" s="63"/>
      <c r="L178" s="63"/>
      <c r="M178" s="63"/>
      <c r="N178" s="63"/>
      <c r="O178" s="63"/>
      <c r="P178" s="63"/>
      <c r="Q178" s="63"/>
      <c r="R178" s="63"/>
      <c r="S178" s="63"/>
      <c r="T178" s="63"/>
      <c r="U178" s="94"/>
      <c r="V178" s="90"/>
      <c r="W178" s="91"/>
      <c r="X178" s="92"/>
    </row>
    <row r="179" spans="2:24">
      <c r="B179" s="121" t="s">
        <v>71</v>
      </c>
      <c r="C179" s="122"/>
      <c r="D179" s="123"/>
      <c r="E179" s="128"/>
      <c r="F179" s="124"/>
      <c r="G179" s="124"/>
      <c r="H179" s="124"/>
      <c r="I179" s="126"/>
      <c r="J179" s="127"/>
      <c r="K179" s="64"/>
      <c r="L179" s="64"/>
      <c r="M179" s="64"/>
      <c r="N179" s="64"/>
      <c r="O179" s="64"/>
      <c r="P179" s="64"/>
      <c r="Q179" s="64"/>
      <c r="R179" s="64"/>
      <c r="S179" s="64"/>
      <c r="T179" s="127"/>
      <c r="U179" s="135"/>
      <c r="V179" s="129"/>
      <c r="W179" s="130"/>
      <c r="X179" s="131"/>
    </row>
    <row r="180" spans="2:24">
      <c r="B180" s="87">
        <v>1</v>
      </c>
      <c r="C180" s="36"/>
      <c r="D180" s="10"/>
      <c r="E180" s="10"/>
      <c r="F180" s="62"/>
      <c r="G180" s="62"/>
      <c r="H180" s="62"/>
      <c r="I180" s="89">
        <f t="shared" ref="I180:I187" si="43">F180-G180-H180</f>
        <v>0</v>
      </c>
      <c r="J180" s="63"/>
      <c r="K180" s="63"/>
      <c r="L180" s="63"/>
      <c r="M180" s="63"/>
      <c r="N180" s="63"/>
      <c r="O180" s="63"/>
      <c r="P180" s="63"/>
      <c r="Q180" s="63"/>
      <c r="R180" s="63"/>
      <c r="S180" s="63"/>
      <c r="T180" s="63"/>
      <c r="U180" s="94"/>
      <c r="V180" s="90"/>
      <c r="W180" s="136"/>
      <c r="X180" s="137"/>
    </row>
    <row r="181" spans="2:24">
      <c r="B181" s="87">
        <f t="shared" ref="B181:B187" si="44">B180+1</f>
        <v>2</v>
      </c>
      <c r="C181" s="36"/>
      <c r="D181" s="10"/>
      <c r="E181" s="10"/>
      <c r="F181" s="62"/>
      <c r="G181" s="62"/>
      <c r="H181" s="62"/>
      <c r="I181" s="89">
        <f t="shared" si="43"/>
        <v>0</v>
      </c>
      <c r="J181" s="63"/>
      <c r="K181" s="63"/>
      <c r="L181" s="63"/>
      <c r="M181" s="63"/>
      <c r="N181" s="63"/>
      <c r="O181" s="63"/>
      <c r="P181" s="63"/>
      <c r="Q181" s="63"/>
      <c r="R181" s="63"/>
      <c r="S181" s="63"/>
      <c r="T181" s="63"/>
      <c r="U181" s="94"/>
      <c r="V181" s="90"/>
      <c r="W181" s="136"/>
      <c r="X181" s="137"/>
    </row>
    <row r="182" spans="2:24">
      <c r="B182" s="87">
        <f t="shared" si="44"/>
        <v>3</v>
      </c>
      <c r="C182" s="36"/>
      <c r="D182" s="10"/>
      <c r="E182" s="10"/>
      <c r="F182" s="62"/>
      <c r="G182" s="62"/>
      <c r="H182" s="62"/>
      <c r="I182" s="89">
        <f t="shared" si="43"/>
        <v>0</v>
      </c>
      <c r="J182" s="63"/>
      <c r="K182" s="63"/>
      <c r="L182" s="63"/>
      <c r="M182" s="63"/>
      <c r="N182" s="63"/>
      <c r="O182" s="63"/>
      <c r="P182" s="63"/>
      <c r="Q182" s="63"/>
      <c r="R182" s="63"/>
      <c r="S182" s="63"/>
      <c r="T182" s="63"/>
      <c r="U182" s="94"/>
      <c r="V182" s="90"/>
      <c r="W182" s="136"/>
      <c r="X182" s="137"/>
    </row>
    <row r="183" spans="2:24">
      <c r="B183" s="87">
        <f t="shared" si="44"/>
        <v>4</v>
      </c>
      <c r="C183" s="36"/>
      <c r="D183" s="10"/>
      <c r="E183" s="10"/>
      <c r="F183" s="62"/>
      <c r="G183" s="62"/>
      <c r="H183" s="62"/>
      <c r="I183" s="89">
        <f t="shared" si="43"/>
        <v>0</v>
      </c>
      <c r="J183" s="63"/>
      <c r="K183" s="63"/>
      <c r="L183" s="63"/>
      <c r="M183" s="63"/>
      <c r="N183" s="63"/>
      <c r="O183" s="63"/>
      <c r="P183" s="63"/>
      <c r="Q183" s="63"/>
      <c r="R183" s="63"/>
      <c r="S183" s="63"/>
      <c r="T183" s="63"/>
      <c r="U183" s="94"/>
      <c r="V183" s="90"/>
      <c r="W183" s="136"/>
      <c r="X183" s="137"/>
    </row>
    <row r="184" spans="2:24">
      <c r="B184" s="87">
        <f t="shared" si="44"/>
        <v>5</v>
      </c>
      <c r="C184" s="36"/>
      <c r="D184" s="10"/>
      <c r="E184" s="10"/>
      <c r="F184" s="62"/>
      <c r="G184" s="62"/>
      <c r="H184" s="62"/>
      <c r="I184" s="89">
        <f t="shared" si="43"/>
        <v>0</v>
      </c>
      <c r="J184" s="63"/>
      <c r="K184" s="63"/>
      <c r="L184" s="63"/>
      <c r="M184" s="63"/>
      <c r="N184" s="63"/>
      <c r="O184" s="63"/>
      <c r="P184" s="63"/>
      <c r="Q184" s="63"/>
      <c r="R184" s="63"/>
      <c r="S184" s="63"/>
      <c r="T184" s="63"/>
      <c r="U184" s="94"/>
      <c r="V184" s="90"/>
      <c r="W184" s="136"/>
      <c r="X184" s="137"/>
    </row>
    <row r="185" spans="2:24">
      <c r="B185" s="87">
        <f t="shared" si="44"/>
        <v>6</v>
      </c>
      <c r="C185" s="36"/>
      <c r="D185" s="10"/>
      <c r="E185" s="10"/>
      <c r="F185" s="62"/>
      <c r="G185" s="62"/>
      <c r="H185" s="62"/>
      <c r="I185" s="89">
        <f t="shared" si="43"/>
        <v>0</v>
      </c>
      <c r="J185" s="63"/>
      <c r="K185" s="63"/>
      <c r="L185" s="63"/>
      <c r="M185" s="63"/>
      <c r="N185" s="63"/>
      <c r="O185" s="63"/>
      <c r="P185" s="63"/>
      <c r="Q185" s="63"/>
      <c r="R185" s="63"/>
      <c r="S185" s="63"/>
      <c r="T185" s="63"/>
      <c r="U185" s="94"/>
      <c r="V185" s="90"/>
      <c r="W185" s="136"/>
      <c r="X185" s="137"/>
    </row>
    <row r="186" spans="2:24">
      <c r="B186" s="87">
        <f t="shared" si="44"/>
        <v>7</v>
      </c>
      <c r="C186" s="36"/>
      <c r="D186" s="10"/>
      <c r="E186" s="10"/>
      <c r="F186" s="62"/>
      <c r="G186" s="62"/>
      <c r="H186" s="62"/>
      <c r="I186" s="89">
        <f t="shared" si="43"/>
        <v>0</v>
      </c>
      <c r="J186" s="63"/>
      <c r="K186" s="63"/>
      <c r="L186" s="63"/>
      <c r="M186" s="63"/>
      <c r="N186" s="63"/>
      <c r="O186" s="63"/>
      <c r="P186" s="63"/>
      <c r="Q186" s="63"/>
      <c r="R186" s="63"/>
      <c r="S186" s="63"/>
      <c r="T186" s="63"/>
      <c r="U186" s="94"/>
      <c r="V186" s="90"/>
      <c r="W186" s="136"/>
      <c r="X186" s="137"/>
    </row>
    <row r="187" spans="2:24">
      <c r="B187" s="87">
        <f t="shared" si="44"/>
        <v>8</v>
      </c>
      <c r="C187" s="36"/>
      <c r="D187" s="10"/>
      <c r="E187" s="10"/>
      <c r="F187" s="62"/>
      <c r="G187" s="62"/>
      <c r="H187" s="62"/>
      <c r="I187" s="89">
        <f t="shared" si="43"/>
        <v>0</v>
      </c>
      <c r="J187" s="63"/>
      <c r="K187" s="63"/>
      <c r="L187" s="63"/>
      <c r="M187" s="63"/>
      <c r="N187" s="63"/>
      <c r="O187" s="63"/>
      <c r="P187" s="63"/>
      <c r="Q187" s="63"/>
      <c r="R187" s="63"/>
      <c r="S187" s="63"/>
      <c r="T187" s="63"/>
      <c r="U187" s="94"/>
      <c r="V187" s="90"/>
      <c r="W187" s="136"/>
      <c r="X187" s="137"/>
    </row>
    <row r="188" spans="2:24">
      <c r="B188" s="132"/>
      <c r="C188" s="122"/>
      <c r="D188" s="123"/>
      <c r="E188" s="123"/>
      <c r="F188" s="133">
        <f>SUM(F180:F187)</f>
        <v>0</v>
      </c>
      <c r="G188" s="133">
        <f>SUM(G180:G187)</f>
        <v>0</v>
      </c>
      <c r="H188" s="133">
        <f>SUM(H180:H187)</f>
        <v>0</v>
      </c>
      <c r="I188" s="134">
        <f>SUM(I180:I187)</f>
        <v>0</v>
      </c>
      <c r="J188" s="127"/>
      <c r="K188" s="64"/>
      <c r="L188" s="64"/>
      <c r="M188" s="64"/>
      <c r="N188" s="64"/>
      <c r="O188" s="64"/>
      <c r="P188" s="64"/>
      <c r="Q188" s="64"/>
      <c r="R188" s="64"/>
      <c r="S188" s="64"/>
      <c r="T188" s="127"/>
      <c r="U188" s="135"/>
      <c r="V188" s="129"/>
      <c r="W188" s="130"/>
      <c r="X188" s="131"/>
    </row>
    <row r="189" spans="2:24">
      <c r="B189" s="11"/>
      <c r="C189" s="36"/>
      <c r="D189" s="10"/>
      <c r="E189" s="10"/>
      <c r="F189" s="88"/>
      <c r="G189" s="88"/>
      <c r="H189" s="88"/>
      <c r="I189" s="99"/>
      <c r="J189" s="63"/>
      <c r="K189" s="21"/>
      <c r="L189" s="21"/>
      <c r="M189" s="21"/>
      <c r="N189" s="21"/>
      <c r="O189" s="21"/>
      <c r="P189" s="21"/>
      <c r="Q189" s="21"/>
      <c r="R189" s="21"/>
      <c r="S189" s="21"/>
      <c r="T189" s="63"/>
      <c r="U189" s="94"/>
      <c r="V189" s="90"/>
      <c r="W189" s="91"/>
      <c r="X189" s="92"/>
    </row>
    <row r="190" spans="2:24">
      <c r="B190" s="100" t="s">
        <v>72</v>
      </c>
      <c r="C190" s="36"/>
      <c r="D190" s="10"/>
      <c r="E190" s="10"/>
      <c r="F190" s="88"/>
      <c r="G190" s="88"/>
      <c r="H190" s="88"/>
      <c r="I190" s="99"/>
      <c r="J190" s="63"/>
      <c r="K190" s="63"/>
      <c r="L190" s="63"/>
      <c r="M190" s="63"/>
      <c r="N190" s="63"/>
      <c r="O190" s="63"/>
      <c r="P190" s="63"/>
      <c r="Q190" s="63"/>
      <c r="R190" s="63"/>
      <c r="S190" s="63"/>
      <c r="T190" s="63"/>
      <c r="U190" s="10"/>
      <c r="V190" s="90"/>
      <c r="W190" s="91"/>
      <c r="X190" s="92"/>
    </row>
    <row r="191" spans="2:24">
      <c r="B191" s="87">
        <v>1</v>
      </c>
      <c r="C191" s="36"/>
      <c r="D191" s="10"/>
      <c r="E191" s="10"/>
      <c r="F191" s="62"/>
      <c r="G191" s="62"/>
      <c r="H191" s="62"/>
      <c r="I191" s="89">
        <f t="shared" ref="I191:I208" si="45">F191-G191-H191</f>
        <v>0</v>
      </c>
      <c r="J191" s="63"/>
      <c r="K191" s="63"/>
      <c r="L191" s="63"/>
      <c r="M191" s="63"/>
      <c r="N191" s="63"/>
      <c r="O191" s="63"/>
      <c r="P191" s="63"/>
      <c r="Q191" s="63"/>
      <c r="R191" s="63"/>
      <c r="S191" s="63"/>
      <c r="T191" s="63"/>
      <c r="U191" s="3"/>
      <c r="V191" s="90"/>
      <c r="W191" s="91"/>
      <c r="X191" s="92"/>
    </row>
    <row r="192" spans="2:24">
      <c r="B192" s="87">
        <f t="shared" ref="B192:B208" si="46">B191+1</f>
        <v>2</v>
      </c>
      <c r="C192" s="36"/>
      <c r="D192" s="10"/>
      <c r="E192" s="10"/>
      <c r="F192" s="62"/>
      <c r="G192" s="62"/>
      <c r="H192" s="62"/>
      <c r="I192" s="89">
        <f t="shared" si="45"/>
        <v>0</v>
      </c>
      <c r="J192" s="63"/>
      <c r="K192" s="63"/>
      <c r="L192" s="63"/>
      <c r="M192" s="63"/>
      <c r="N192" s="63"/>
      <c r="O192" s="63"/>
      <c r="P192" s="63"/>
      <c r="Q192" s="63"/>
      <c r="R192" s="63"/>
      <c r="S192" s="63"/>
      <c r="T192" s="63"/>
      <c r="U192" s="10"/>
      <c r="V192" s="90"/>
      <c r="W192" s="136"/>
      <c r="X192" s="137"/>
    </row>
    <row r="193" spans="2:24">
      <c r="B193" s="87">
        <f t="shared" si="46"/>
        <v>3</v>
      </c>
      <c r="C193" s="36"/>
      <c r="D193" s="10"/>
      <c r="E193" s="10"/>
      <c r="F193" s="62"/>
      <c r="G193" s="62"/>
      <c r="H193" s="62"/>
      <c r="I193" s="89">
        <f t="shared" si="45"/>
        <v>0</v>
      </c>
      <c r="J193" s="63"/>
      <c r="K193" s="63"/>
      <c r="L193" s="63"/>
      <c r="M193" s="63"/>
      <c r="N193" s="63"/>
      <c r="O193" s="63"/>
      <c r="P193" s="63"/>
      <c r="Q193" s="63"/>
      <c r="R193" s="63"/>
      <c r="S193" s="63"/>
      <c r="T193" s="63"/>
      <c r="U193" s="10"/>
      <c r="V193" s="90"/>
      <c r="W193" s="136"/>
      <c r="X193" s="137"/>
    </row>
    <row r="194" spans="2:24">
      <c r="B194" s="87">
        <f t="shared" si="46"/>
        <v>4</v>
      </c>
      <c r="C194" s="36"/>
      <c r="D194" s="10"/>
      <c r="E194" s="10"/>
      <c r="F194" s="62"/>
      <c r="G194" s="62"/>
      <c r="H194" s="62"/>
      <c r="I194" s="89">
        <f t="shared" si="45"/>
        <v>0</v>
      </c>
      <c r="J194" s="63"/>
      <c r="K194" s="63"/>
      <c r="L194" s="63"/>
      <c r="M194" s="63"/>
      <c r="N194" s="63"/>
      <c r="O194" s="63"/>
      <c r="P194" s="63"/>
      <c r="Q194" s="63"/>
      <c r="R194" s="63"/>
      <c r="S194" s="63"/>
      <c r="T194" s="63"/>
      <c r="U194" s="10"/>
      <c r="V194" s="90"/>
      <c r="W194" s="136"/>
      <c r="X194" s="137"/>
    </row>
    <row r="195" spans="2:24">
      <c r="B195" s="87">
        <f t="shared" si="46"/>
        <v>5</v>
      </c>
      <c r="C195" s="36"/>
      <c r="D195" s="10"/>
      <c r="E195" s="10"/>
      <c r="F195" s="62"/>
      <c r="G195" s="62"/>
      <c r="H195" s="62"/>
      <c r="I195" s="89">
        <f t="shared" si="45"/>
        <v>0</v>
      </c>
      <c r="J195" s="63"/>
      <c r="K195" s="63"/>
      <c r="L195" s="63"/>
      <c r="M195" s="63"/>
      <c r="N195" s="63"/>
      <c r="O195" s="63"/>
      <c r="P195" s="63"/>
      <c r="Q195" s="63"/>
      <c r="R195" s="63"/>
      <c r="S195" s="63"/>
      <c r="T195" s="63"/>
      <c r="U195" s="10"/>
      <c r="V195" s="90"/>
      <c r="W195" s="136"/>
      <c r="X195" s="137"/>
    </row>
    <row r="196" spans="2:24">
      <c r="B196" s="87">
        <f t="shared" si="46"/>
        <v>6</v>
      </c>
      <c r="C196" s="36"/>
      <c r="D196" s="10"/>
      <c r="E196" s="101"/>
      <c r="F196" s="62"/>
      <c r="G196" s="62"/>
      <c r="H196" s="62"/>
      <c r="I196" s="89">
        <f t="shared" si="45"/>
        <v>0</v>
      </c>
      <c r="J196" s="63"/>
      <c r="K196" s="63"/>
      <c r="L196" s="63"/>
      <c r="M196" s="63"/>
      <c r="N196" s="63"/>
      <c r="O196" s="63"/>
      <c r="P196" s="63"/>
      <c r="Q196" s="63"/>
      <c r="R196" s="63"/>
      <c r="S196" s="63"/>
      <c r="T196" s="63"/>
      <c r="U196" s="10"/>
      <c r="V196" s="90"/>
      <c r="W196" s="136"/>
      <c r="X196" s="137"/>
    </row>
    <row r="197" spans="2:24">
      <c r="B197" s="87">
        <f t="shared" si="46"/>
        <v>7</v>
      </c>
      <c r="C197" s="36"/>
      <c r="D197" s="10"/>
      <c r="E197" s="101"/>
      <c r="F197" s="62"/>
      <c r="G197" s="62"/>
      <c r="H197" s="62"/>
      <c r="I197" s="89">
        <f t="shared" si="45"/>
        <v>0</v>
      </c>
      <c r="J197" s="63"/>
      <c r="K197" s="63"/>
      <c r="L197" s="63"/>
      <c r="M197" s="63"/>
      <c r="N197" s="63"/>
      <c r="O197" s="63"/>
      <c r="P197" s="63"/>
      <c r="Q197" s="63"/>
      <c r="R197" s="63"/>
      <c r="S197" s="63"/>
      <c r="T197" s="63"/>
      <c r="U197" s="10"/>
      <c r="V197" s="90"/>
      <c r="W197" s="136"/>
      <c r="X197" s="137"/>
    </row>
    <row r="198" spans="2:24">
      <c r="B198" s="87">
        <f t="shared" si="46"/>
        <v>8</v>
      </c>
      <c r="C198" s="36"/>
      <c r="D198" s="10"/>
      <c r="E198" s="101"/>
      <c r="F198" s="62"/>
      <c r="G198" s="62"/>
      <c r="H198" s="62"/>
      <c r="I198" s="89">
        <f t="shared" si="45"/>
        <v>0</v>
      </c>
      <c r="J198" s="63"/>
      <c r="K198" s="63"/>
      <c r="L198" s="63"/>
      <c r="M198" s="63"/>
      <c r="N198" s="63"/>
      <c r="O198" s="63"/>
      <c r="P198" s="63"/>
      <c r="Q198" s="63"/>
      <c r="R198" s="63"/>
      <c r="S198" s="63"/>
      <c r="T198" s="63"/>
      <c r="U198" s="10"/>
      <c r="V198" s="90"/>
      <c r="W198" s="136"/>
      <c r="X198" s="137"/>
    </row>
    <row r="199" spans="2:24">
      <c r="B199" s="87">
        <f t="shared" si="46"/>
        <v>9</v>
      </c>
      <c r="C199" s="36"/>
      <c r="D199" s="10"/>
      <c r="E199" s="101"/>
      <c r="F199" s="62"/>
      <c r="G199" s="62"/>
      <c r="H199" s="62"/>
      <c r="I199" s="89">
        <f t="shared" si="45"/>
        <v>0</v>
      </c>
      <c r="J199" s="63"/>
      <c r="K199" s="63"/>
      <c r="L199" s="63"/>
      <c r="M199" s="63"/>
      <c r="N199" s="63"/>
      <c r="O199" s="63"/>
      <c r="P199" s="63"/>
      <c r="Q199" s="63"/>
      <c r="R199" s="63"/>
      <c r="S199" s="63"/>
      <c r="T199" s="63"/>
      <c r="U199" s="10"/>
      <c r="V199" s="90"/>
      <c r="W199" s="136"/>
      <c r="X199" s="137"/>
    </row>
    <row r="200" spans="2:24">
      <c r="B200" s="87">
        <f t="shared" si="46"/>
        <v>10</v>
      </c>
      <c r="C200" s="36"/>
      <c r="D200" s="10"/>
      <c r="E200" s="101"/>
      <c r="F200" s="62"/>
      <c r="G200" s="62"/>
      <c r="H200" s="62"/>
      <c r="I200" s="89">
        <f t="shared" si="45"/>
        <v>0</v>
      </c>
      <c r="J200" s="63"/>
      <c r="K200" s="63"/>
      <c r="L200" s="63"/>
      <c r="M200" s="63"/>
      <c r="N200" s="63"/>
      <c r="O200" s="63"/>
      <c r="P200" s="63"/>
      <c r="Q200" s="63"/>
      <c r="R200" s="63"/>
      <c r="S200" s="63"/>
      <c r="T200" s="63"/>
      <c r="U200" s="10"/>
      <c r="V200" s="90"/>
      <c r="W200" s="136"/>
      <c r="X200" s="137"/>
    </row>
    <row r="201" spans="2:24">
      <c r="B201" s="87">
        <f t="shared" si="46"/>
        <v>11</v>
      </c>
      <c r="C201" s="36"/>
      <c r="D201" s="10"/>
      <c r="E201" s="101"/>
      <c r="F201" s="62"/>
      <c r="G201" s="62"/>
      <c r="H201" s="62"/>
      <c r="I201" s="89">
        <f t="shared" si="45"/>
        <v>0</v>
      </c>
      <c r="J201" s="63"/>
      <c r="K201" s="63"/>
      <c r="L201" s="63"/>
      <c r="M201" s="63"/>
      <c r="N201" s="63"/>
      <c r="O201" s="63"/>
      <c r="P201" s="63"/>
      <c r="Q201" s="63"/>
      <c r="R201" s="63"/>
      <c r="S201" s="63"/>
      <c r="T201" s="63"/>
      <c r="U201" s="10"/>
      <c r="V201" s="90"/>
      <c r="W201" s="136"/>
      <c r="X201" s="137"/>
    </row>
    <row r="202" spans="2:24">
      <c r="B202" s="87">
        <f t="shared" si="46"/>
        <v>12</v>
      </c>
      <c r="C202" s="36"/>
      <c r="D202" s="10"/>
      <c r="E202" s="101"/>
      <c r="F202" s="62"/>
      <c r="G202" s="62"/>
      <c r="H202" s="62"/>
      <c r="I202" s="89">
        <f t="shared" si="45"/>
        <v>0</v>
      </c>
      <c r="J202" s="63"/>
      <c r="K202" s="63"/>
      <c r="L202" s="63"/>
      <c r="M202" s="63"/>
      <c r="N202" s="63"/>
      <c r="O202" s="63"/>
      <c r="P202" s="63"/>
      <c r="Q202" s="63"/>
      <c r="R202" s="63"/>
      <c r="S202" s="63"/>
      <c r="T202" s="63"/>
      <c r="U202" s="10"/>
      <c r="V202" s="90"/>
      <c r="W202" s="136"/>
      <c r="X202" s="137"/>
    </row>
    <row r="203" spans="2:24">
      <c r="B203" s="87">
        <f t="shared" si="46"/>
        <v>13</v>
      </c>
      <c r="C203" s="36"/>
      <c r="D203" s="10"/>
      <c r="E203" s="101"/>
      <c r="F203" s="62"/>
      <c r="G203" s="62"/>
      <c r="H203" s="62"/>
      <c r="I203" s="89">
        <f t="shared" si="45"/>
        <v>0</v>
      </c>
      <c r="J203" s="63"/>
      <c r="K203" s="63"/>
      <c r="L203" s="63"/>
      <c r="M203" s="63"/>
      <c r="N203" s="63"/>
      <c r="O203" s="63"/>
      <c r="P203" s="63"/>
      <c r="Q203" s="63"/>
      <c r="R203" s="63"/>
      <c r="S203" s="63"/>
      <c r="T203" s="63"/>
      <c r="U203" s="10"/>
      <c r="V203" s="90"/>
      <c r="W203" s="136"/>
      <c r="X203" s="137"/>
    </row>
    <row r="204" spans="2:24">
      <c r="B204" s="87">
        <f t="shared" si="46"/>
        <v>14</v>
      </c>
      <c r="C204" s="36"/>
      <c r="D204" s="10"/>
      <c r="E204" s="10"/>
      <c r="F204" s="62"/>
      <c r="G204" s="62"/>
      <c r="H204" s="62"/>
      <c r="I204" s="89">
        <f t="shared" si="45"/>
        <v>0</v>
      </c>
      <c r="J204" s="63"/>
      <c r="K204" s="63"/>
      <c r="L204" s="63"/>
      <c r="M204" s="63"/>
      <c r="N204" s="63"/>
      <c r="O204" s="63"/>
      <c r="P204" s="63"/>
      <c r="Q204" s="63"/>
      <c r="R204" s="63"/>
      <c r="S204" s="63"/>
      <c r="T204" s="63"/>
      <c r="U204" s="10"/>
      <c r="V204" s="90"/>
      <c r="W204" s="136"/>
      <c r="X204" s="137"/>
    </row>
    <row r="205" spans="2:24">
      <c r="B205" s="87">
        <f t="shared" si="46"/>
        <v>15</v>
      </c>
      <c r="C205" s="36"/>
      <c r="D205" s="10"/>
      <c r="E205" s="10"/>
      <c r="F205" s="62"/>
      <c r="G205" s="62"/>
      <c r="H205" s="62"/>
      <c r="I205" s="89">
        <f t="shared" si="45"/>
        <v>0</v>
      </c>
      <c r="J205" s="63"/>
      <c r="K205" s="63"/>
      <c r="L205" s="63"/>
      <c r="M205" s="63"/>
      <c r="N205" s="63"/>
      <c r="O205" s="63"/>
      <c r="P205" s="63"/>
      <c r="Q205" s="63"/>
      <c r="R205" s="63"/>
      <c r="S205" s="63"/>
      <c r="T205" s="63"/>
      <c r="U205" s="10"/>
      <c r="V205" s="90"/>
      <c r="W205" s="136"/>
      <c r="X205" s="137"/>
    </row>
    <row r="206" spans="2:24">
      <c r="B206" s="87">
        <f t="shared" si="46"/>
        <v>16</v>
      </c>
      <c r="C206" s="36"/>
      <c r="D206" s="10"/>
      <c r="E206" s="10"/>
      <c r="F206" s="62"/>
      <c r="G206" s="62"/>
      <c r="H206" s="62"/>
      <c r="I206" s="89">
        <f t="shared" si="45"/>
        <v>0</v>
      </c>
      <c r="J206" s="63"/>
      <c r="K206" s="63"/>
      <c r="L206" s="63"/>
      <c r="M206" s="63"/>
      <c r="N206" s="63"/>
      <c r="O206" s="63"/>
      <c r="P206" s="63"/>
      <c r="Q206" s="63"/>
      <c r="R206" s="63"/>
      <c r="S206" s="63"/>
      <c r="T206" s="63"/>
      <c r="U206" s="10"/>
      <c r="V206" s="90"/>
      <c r="W206" s="136"/>
      <c r="X206" s="137"/>
    </row>
    <row r="207" spans="2:24">
      <c r="B207" s="87">
        <f t="shared" si="46"/>
        <v>17</v>
      </c>
      <c r="C207" s="36"/>
      <c r="D207" s="10"/>
      <c r="E207" s="10"/>
      <c r="F207" s="62"/>
      <c r="G207" s="62"/>
      <c r="H207" s="62"/>
      <c r="I207" s="89">
        <f t="shared" si="45"/>
        <v>0</v>
      </c>
      <c r="J207" s="63"/>
      <c r="K207" s="63"/>
      <c r="L207" s="63"/>
      <c r="M207" s="63"/>
      <c r="N207" s="63"/>
      <c r="O207" s="63"/>
      <c r="P207" s="63"/>
      <c r="Q207" s="63"/>
      <c r="R207" s="63"/>
      <c r="S207" s="63"/>
      <c r="T207" s="63"/>
      <c r="U207" s="10"/>
      <c r="V207" s="90"/>
      <c r="W207" s="136"/>
      <c r="X207" s="137"/>
    </row>
    <row r="208" spans="2:24">
      <c r="B208" s="87">
        <f t="shared" si="46"/>
        <v>18</v>
      </c>
      <c r="C208" s="36"/>
      <c r="D208" s="10"/>
      <c r="E208" s="10"/>
      <c r="F208" s="62"/>
      <c r="G208" s="62"/>
      <c r="H208" s="62"/>
      <c r="I208" s="89">
        <f t="shared" si="45"/>
        <v>0</v>
      </c>
      <c r="J208" s="63"/>
      <c r="K208" s="63"/>
      <c r="L208" s="63"/>
      <c r="M208" s="63"/>
      <c r="N208" s="63"/>
      <c r="O208" s="63"/>
      <c r="P208" s="63"/>
      <c r="Q208" s="63"/>
      <c r="R208" s="63"/>
      <c r="S208" s="63"/>
      <c r="T208" s="63"/>
      <c r="U208" s="10"/>
      <c r="V208" s="90"/>
      <c r="W208" s="136"/>
      <c r="X208" s="137"/>
    </row>
    <row r="209" spans="2:24">
      <c r="B209" s="11"/>
      <c r="C209" s="36"/>
      <c r="D209" s="10"/>
      <c r="E209" s="10"/>
      <c r="F209" s="97">
        <f>SUM(F191:F208)</f>
        <v>0</v>
      </c>
      <c r="G209" s="97">
        <f>SUM(G191:G208)</f>
        <v>0</v>
      </c>
      <c r="H209" s="97">
        <f>SUM(H191:H208)</f>
        <v>0</v>
      </c>
      <c r="I209" s="98">
        <f>SUM(I191:I208)</f>
        <v>0</v>
      </c>
      <c r="J209" s="10"/>
      <c r="K209" s="10"/>
      <c r="L209" s="10"/>
      <c r="M209" s="10"/>
      <c r="N209" s="10"/>
      <c r="O209" s="10"/>
      <c r="P209" s="10"/>
      <c r="Q209" s="10"/>
      <c r="R209" s="10"/>
      <c r="S209" s="10"/>
      <c r="T209" s="63"/>
      <c r="U209" s="10"/>
      <c r="V209" s="138"/>
      <c r="W209" s="136"/>
      <c r="X209" s="137"/>
    </row>
    <row r="210" spans="2:24">
      <c r="B210" s="11"/>
      <c r="C210" s="36"/>
      <c r="D210" s="10"/>
      <c r="E210" s="10"/>
      <c r="F210" s="88"/>
      <c r="G210" s="88"/>
      <c r="H210" s="88"/>
      <c r="I210" s="99"/>
      <c r="J210" s="10"/>
      <c r="K210" s="10"/>
      <c r="L210" s="10"/>
      <c r="M210" s="10"/>
      <c r="N210" s="10"/>
      <c r="O210" s="10"/>
      <c r="P210" s="10"/>
      <c r="Q210" s="10"/>
      <c r="R210" s="10"/>
      <c r="S210" s="10"/>
      <c r="T210" s="63"/>
      <c r="U210" s="10"/>
      <c r="V210" s="138"/>
      <c r="W210" s="136"/>
      <c r="X210" s="137"/>
    </row>
    <row r="211" spans="2:24">
      <c r="B211" s="100" t="s">
        <v>73</v>
      </c>
      <c r="C211" s="36"/>
      <c r="D211" s="10"/>
      <c r="E211" s="10"/>
      <c r="F211" s="88"/>
      <c r="G211" s="88"/>
      <c r="H211" s="88"/>
      <c r="I211" s="99"/>
      <c r="J211" s="63"/>
      <c r="K211" s="63"/>
      <c r="L211" s="63"/>
      <c r="M211" s="63"/>
      <c r="N211" s="63"/>
      <c r="O211" s="63"/>
      <c r="P211" s="63"/>
      <c r="Q211" s="63"/>
      <c r="R211" s="63"/>
      <c r="S211" s="63"/>
      <c r="T211" s="63"/>
      <c r="U211" s="94"/>
      <c r="V211" s="90"/>
      <c r="W211" s="91"/>
      <c r="X211" s="92"/>
    </row>
    <row r="212" spans="2:24">
      <c r="B212" s="87">
        <v>1</v>
      </c>
      <c r="C212" s="36"/>
      <c r="D212" s="10"/>
      <c r="E212" s="10"/>
      <c r="F212" s="62"/>
      <c r="G212" s="62"/>
      <c r="H212" s="62"/>
      <c r="I212" s="89">
        <f t="shared" ref="I212:I217" si="47">F212-G212-H212</f>
        <v>0</v>
      </c>
      <c r="J212" s="63"/>
      <c r="K212" s="63"/>
      <c r="L212" s="63"/>
      <c r="M212" s="63"/>
      <c r="N212" s="63"/>
      <c r="O212" s="63"/>
      <c r="P212" s="63"/>
      <c r="Q212" s="63"/>
      <c r="R212" s="63"/>
      <c r="S212" s="63"/>
      <c r="T212" s="63"/>
      <c r="U212" s="139"/>
      <c r="V212" s="90"/>
      <c r="W212" s="91"/>
      <c r="X212" s="92"/>
    </row>
    <row r="213" spans="2:24">
      <c r="B213" s="87">
        <f>B212+1</f>
        <v>2</v>
      </c>
      <c r="C213" s="36"/>
      <c r="D213" s="10"/>
      <c r="E213" s="10"/>
      <c r="F213" s="62"/>
      <c r="G213" s="62"/>
      <c r="H213" s="62"/>
      <c r="I213" s="89">
        <f t="shared" si="47"/>
        <v>0</v>
      </c>
      <c r="J213" s="63"/>
      <c r="K213" s="63"/>
      <c r="L213" s="63"/>
      <c r="M213" s="63"/>
      <c r="N213" s="63"/>
      <c r="O213" s="63"/>
      <c r="P213" s="63"/>
      <c r="Q213" s="63"/>
      <c r="R213" s="63"/>
      <c r="S213" s="63"/>
      <c r="T213" s="63"/>
      <c r="U213" s="94"/>
      <c r="V213" s="90"/>
      <c r="W213" s="136"/>
      <c r="X213" s="137"/>
    </row>
    <row r="214" spans="2:24">
      <c r="B214" s="87">
        <f>B213+1</f>
        <v>3</v>
      </c>
      <c r="C214" s="36"/>
      <c r="D214" s="10"/>
      <c r="E214" s="10"/>
      <c r="F214" s="62"/>
      <c r="G214" s="62"/>
      <c r="H214" s="62"/>
      <c r="I214" s="89">
        <f t="shared" si="47"/>
        <v>0</v>
      </c>
      <c r="J214" s="63"/>
      <c r="K214" s="63"/>
      <c r="L214" s="63"/>
      <c r="M214" s="63"/>
      <c r="N214" s="63"/>
      <c r="O214" s="63"/>
      <c r="P214" s="63"/>
      <c r="Q214" s="63"/>
      <c r="R214" s="63"/>
      <c r="S214" s="63"/>
      <c r="T214" s="63"/>
      <c r="U214" s="94"/>
      <c r="V214" s="90"/>
      <c r="W214" s="136"/>
      <c r="X214" s="137"/>
    </row>
    <row r="215" spans="2:24">
      <c r="B215" s="87">
        <f>B214+1</f>
        <v>4</v>
      </c>
      <c r="C215" s="36"/>
      <c r="D215" s="10"/>
      <c r="E215" s="10"/>
      <c r="F215" s="62"/>
      <c r="G215" s="62"/>
      <c r="H215" s="62"/>
      <c r="I215" s="89">
        <f t="shared" si="47"/>
        <v>0</v>
      </c>
      <c r="J215" s="63"/>
      <c r="K215" s="63"/>
      <c r="L215" s="63"/>
      <c r="M215" s="63"/>
      <c r="N215" s="63"/>
      <c r="O215" s="63"/>
      <c r="P215" s="63"/>
      <c r="Q215" s="63"/>
      <c r="R215" s="63"/>
      <c r="S215" s="63"/>
      <c r="T215" s="63"/>
      <c r="U215" s="94"/>
      <c r="V215" s="90"/>
      <c r="W215" s="136"/>
      <c r="X215" s="137"/>
    </row>
    <row r="216" spans="2:24">
      <c r="B216" s="87">
        <f>B215+1</f>
        <v>5</v>
      </c>
      <c r="C216" s="36"/>
      <c r="D216" s="10"/>
      <c r="E216" s="10"/>
      <c r="F216" s="62"/>
      <c r="G216" s="62"/>
      <c r="H216" s="62"/>
      <c r="I216" s="89">
        <f t="shared" si="47"/>
        <v>0</v>
      </c>
      <c r="J216" s="63"/>
      <c r="K216" s="63"/>
      <c r="L216" s="63"/>
      <c r="M216" s="63"/>
      <c r="N216" s="63"/>
      <c r="O216" s="63"/>
      <c r="P216" s="63"/>
      <c r="Q216" s="63"/>
      <c r="R216" s="63"/>
      <c r="S216" s="63"/>
      <c r="T216" s="63"/>
      <c r="U216" s="94"/>
      <c r="V216" s="90"/>
      <c r="W216" s="136"/>
      <c r="X216" s="137"/>
    </row>
    <row r="217" spans="2:24">
      <c r="B217" s="87">
        <f>B216+1</f>
        <v>6</v>
      </c>
      <c r="C217" s="36"/>
      <c r="D217" s="10"/>
      <c r="E217" s="101"/>
      <c r="F217" s="62"/>
      <c r="G217" s="62"/>
      <c r="H217" s="62"/>
      <c r="I217" s="89">
        <f t="shared" si="47"/>
        <v>0</v>
      </c>
      <c r="J217" s="63"/>
      <c r="K217" s="63"/>
      <c r="L217" s="63"/>
      <c r="M217" s="63"/>
      <c r="N217" s="63"/>
      <c r="O217" s="63"/>
      <c r="P217" s="63"/>
      <c r="Q217" s="63"/>
      <c r="R217" s="63"/>
      <c r="S217" s="63"/>
      <c r="T217" s="63"/>
      <c r="U217" s="94"/>
      <c r="V217" s="90"/>
      <c r="W217" s="136"/>
      <c r="X217" s="137"/>
    </row>
    <row r="218" spans="2:24">
      <c r="B218" s="11"/>
      <c r="C218" s="36"/>
      <c r="D218" s="10"/>
      <c r="E218" s="10"/>
      <c r="F218" s="97">
        <f>SUM(F212:F217)</f>
        <v>0</v>
      </c>
      <c r="G218" s="97">
        <f>SUM(G212:G217)</f>
        <v>0</v>
      </c>
      <c r="H218" s="97">
        <f>SUM(H212:H217)</f>
        <v>0</v>
      </c>
      <c r="I218" s="98">
        <f>SUM(I212:I217)</f>
        <v>0</v>
      </c>
      <c r="J218" s="10"/>
      <c r="K218" s="10"/>
      <c r="L218" s="10"/>
      <c r="M218" s="10"/>
      <c r="N218" s="10"/>
      <c r="O218" s="10"/>
      <c r="P218" s="10"/>
      <c r="Q218" s="10"/>
      <c r="R218" s="10"/>
      <c r="S218" s="10"/>
      <c r="T218" s="63"/>
      <c r="U218" s="94"/>
      <c r="V218" s="90"/>
      <c r="W218" s="91"/>
      <c r="X218" s="92"/>
    </row>
    <row r="219" spans="2:24">
      <c r="B219" s="26"/>
      <c r="C219" s="140"/>
      <c r="D219" s="141"/>
      <c r="E219" s="141"/>
      <c r="F219" s="141"/>
      <c r="G219" s="141"/>
      <c r="H219" s="141"/>
      <c r="I219" s="141"/>
      <c r="J219" s="141"/>
      <c r="K219" s="142"/>
      <c r="L219" s="142"/>
      <c r="M219" s="142"/>
      <c r="N219" s="142"/>
      <c r="O219" s="142"/>
      <c r="P219" s="142"/>
      <c r="Q219" s="142"/>
      <c r="R219" s="142"/>
      <c r="S219" s="142"/>
      <c r="T219" s="143">
        <f>SUM(T105:T218)</f>
        <v>0</v>
      </c>
      <c r="U219" s="141"/>
      <c r="V219" s="144">
        <f>SUM(V105:V218)</f>
        <v>0</v>
      </c>
      <c r="W219" s="145">
        <f>SUM(W105:W218)</f>
        <v>0</v>
      </c>
      <c r="X219" s="146">
        <f>SUM(X105:X218)</f>
        <v>0</v>
      </c>
    </row>
    <row r="220" spans="2:24">
      <c r="B220" s="10"/>
      <c r="C220" s="36"/>
      <c r="D220" s="10"/>
      <c r="E220" s="10"/>
      <c r="F220" s="10"/>
      <c r="G220" s="10"/>
      <c r="H220" s="10"/>
      <c r="I220" s="10"/>
      <c r="J220" s="10"/>
      <c r="K220" s="147"/>
      <c r="L220" s="147"/>
      <c r="M220" s="147"/>
      <c r="N220" s="147"/>
      <c r="O220" s="147"/>
      <c r="P220" s="147"/>
      <c r="Q220" s="147"/>
      <c r="R220" s="147"/>
      <c r="S220" s="147"/>
      <c r="T220" s="21"/>
      <c r="U220" s="10"/>
      <c r="V220" s="99"/>
      <c r="W220" s="99"/>
      <c r="X220" s="99"/>
    </row>
  </sheetData>
  <mergeCells count="3">
    <mergeCell ref="K56:Q56"/>
    <mergeCell ref="K18:Q18"/>
    <mergeCell ref="K93:Q93"/>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4CBCD-5CC3-44B4-BB0A-AA41BB079C63}">
  <sheetPr>
    <tabColor theme="2" tint="-9.9978637043366805E-2"/>
  </sheetPr>
  <dimension ref="A2:AD414"/>
  <sheetViews>
    <sheetView topLeftCell="A386" workbookViewId="0">
      <selection activeCell="A402" sqref="A402:XFD413"/>
    </sheetView>
  </sheetViews>
  <sheetFormatPr defaultRowHeight="15"/>
  <cols>
    <col min="3" max="3" width="16.85546875" customWidth="1"/>
    <col min="4" max="4" width="14.85546875" customWidth="1"/>
    <col min="5" max="5" width="19.7109375" customWidth="1"/>
    <col min="6" max="6" width="10.5703125" customWidth="1"/>
    <col min="7" max="7" width="12.28515625" customWidth="1"/>
    <col min="8" max="8" width="11.5703125" customWidth="1"/>
    <col min="9" max="9" width="14.42578125" customWidth="1"/>
    <col min="10" max="10" width="9.5703125" customWidth="1"/>
    <col min="11" max="11" width="11.85546875" customWidth="1"/>
    <col min="13" max="13" width="9.5703125" customWidth="1"/>
    <col min="15" max="15" width="10.140625" customWidth="1"/>
    <col min="16" max="16" width="10.7109375" customWidth="1"/>
    <col min="18" max="18" width="11.5703125" customWidth="1"/>
    <col min="21" max="21" width="9.5703125" customWidth="1"/>
    <col min="22" max="22" width="14.7109375" customWidth="1"/>
    <col min="23" max="23" width="13" customWidth="1"/>
    <col min="24" max="24" width="13.5703125" customWidth="1"/>
  </cols>
  <sheetData>
    <row r="2" spans="2:24">
      <c r="B2" s="4" t="s">
        <v>1</v>
      </c>
      <c r="C2" s="5"/>
      <c r="D2" s="6"/>
      <c r="E2" s="6"/>
      <c r="F2" s="7" t="s">
        <v>2</v>
      </c>
      <c r="G2" s="608">
        <v>45928</v>
      </c>
      <c r="H2" s="7"/>
      <c r="I2" s="6"/>
      <c r="J2" s="6"/>
      <c r="K2" s="6"/>
      <c r="L2" s="6"/>
      <c r="M2" s="6"/>
      <c r="N2" s="6"/>
      <c r="O2" s="6"/>
      <c r="P2" s="6"/>
      <c r="Q2" s="6"/>
      <c r="R2" s="6"/>
      <c r="S2" s="6"/>
      <c r="T2" s="6"/>
      <c r="U2" s="9"/>
      <c r="V2" s="10"/>
      <c r="W2" s="10"/>
      <c r="X2" s="10"/>
    </row>
    <row r="3" spans="2:24">
      <c r="B3" s="11"/>
      <c r="C3" s="10"/>
      <c r="D3" s="10"/>
      <c r="E3" s="10"/>
      <c r="F3" s="10"/>
      <c r="G3" s="7"/>
      <c r="H3" s="12"/>
      <c r="I3" s="10"/>
      <c r="J3" s="10"/>
      <c r="K3" s="13" t="s">
        <v>3</v>
      </c>
      <c r="L3" s="14"/>
      <c r="M3" s="15"/>
      <c r="N3" s="13" t="s">
        <v>4</v>
      </c>
      <c r="O3" s="14"/>
      <c r="P3" s="15"/>
      <c r="Q3" s="13" t="s">
        <v>5</v>
      </c>
      <c r="R3" s="14"/>
      <c r="S3" s="15"/>
      <c r="T3" s="16"/>
      <c r="U3" s="17"/>
      <c r="V3" s="10"/>
      <c r="W3" s="10"/>
      <c r="X3" s="10"/>
    </row>
    <row r="4" spans="2:24">
      <c r="B4" s="18" t="s">
        <v>6</v>
      </c>
      <c r="C4" s="19">
        <f>C5+C6</f>
        <v>1</v>
      </c>
      <c r="D4" s="10"/>
      <c r="E4" s="18" t="s">
        <v>7</v>
      </c>
      <c r="F4" s="6"/>
      <c r="G4" s="9"/>
      <c r="H4" s="10"/>
      <c r="I4" s="10"/>
      <c r="J4" s="10"/>
      <c r="K4" s="20" t="s">
        <v>8</v>
      </c>
      <c r="L4" s="21" t="s">
        <v>9</v>
      </c>
      <c r="M4" s="21" t="s">
        <v>10</v>
      </c>
      <c r="N4" s="20" t="s">
        <v>11</v>
      </c>
      <c r="O4" s="21" t="s">
        <v>12</v>
      </c>
      <c r="P4" s="22" t="s">
        <v>13</v>
      </c>
      <c r="Q4" s="21" t="s">
        <v>11</v>
      </c>
      <c r="R4" s="21" t="s">
        <v>12</v>
      </c>
      <c r="S4" s="22" t="s">
        <v>13</v>
      </c>
      <c r="T4" s="23" t="s">
        <v>14</v>
      </c>
      <c r="U4" s="17"/>
      <c r="V4" s="10"/>
      <c r="W4" s="10"/>
      <c r="X4" s="10"/>
    </row>
    <row r="5" spans="2:24">
      <c r="B5" s="24" t="s">
        <v>15</v>
      </c>
      <c r="C5" s="25">
        <f>P12</f>
        <v>0</v>
      </c>
      <c r="D5" s="10"/>
      <c r="E5" s="26" t="s">
        <v>16</v>
      </c>
      <c r="F5" s="27">
        <v>0.05</v>
      </c>
      <c r="G5" s="28"/>
      <c r="H5" s="10"/>
      <c r="I5" s="10"/>
      <c r="J5" s="18" t="s">
        <v>17</v>
      </c>
      <c r="K5" s="29">
        <f>K47</f>
        <v>1</v>
      </c>
      <c r="L5" s="29">
        <f t="shared" ref="L5:S5" si="0">L47</f>
        <v>0</v>
      </c>
      <c r="M5" s="29">
        <f t="shared" si="0"/>
        <v>0</v>
      </c>
      <c r="N5" s="29">
        <f t="shared" si="0"/>
        <v>1</v>
      </c>
      <c r="O5" s="29">
        <f t="shared" si="0"/>
        <v>0</v>
      </c>
      <c r="P5" s="29">
        <f t="shared" si="0"/>
        <v>0</v>
      </c>
      <c r="Q5" s="29">
        <f t="shared" si="0"/>
        <v>0</v>
      </c>
      <c r="R5" s="29">
        <f t="shared" si="0"/>
        <v>0</v>
      </c>
      <c r="S5" s="29">
        <f t="shared" si="0"/>
        <v>0</v>
      </c>
      <c r="T5" s="30">
        <f>T71</f>
        <v>0</v>
      </c>
      <c r="U5" s="17"/>
      <c r="V5" s="10"/>
      <c r="W5" s="10"/>
      <c r="X5" s="10"/>
    </row>
    <row r="6" spans="2:24">
      <c r="B6" s="24" t="s">
        <v>18</v>
      </c>
      <c r="C6" s="25">
        <f>P13</f>
        <v>1</v>
      </c>
      <c r="D6" s="10"/>
      <c r="E6" s="10"/>
      <c r="F6" s="10"/>
      <c r="G6" s="31"/>
      <c r="H6" s="10"/>
      <c r="I6" s="10"/>
      <c r="J6" s="32" t="s">
        <v>19</v>
      </c>
      <c r="K6" s="33">
        <f>K47/K46</f>
        <v>1</v>
      </c>
      <c r="L6" s="33" t="e">
        <f t="shared" ref="L6:S6" si="1">L47/L46</f>
        <v>#DIV/0!</v>
      </c>
      <c r="M6" s="33" t="e">
        <f t="shared" si="1"/>
        <v>#DIV/0!</v>
      </c>
      <c r="N6" s="33">
        <f t="shared" si="1"/>
        <v>1</v>
      </c>
      <c r="O6" s="33" t="e">
        <f t="shared" si="1"/>
        <v>#DIV/0!</v>
      </c>
      <c r="P6" s="33" t="e">
        <f t="shared" si="1"/>
        <v>#DIV/0!</v>
      </c>
      <c r="Q6" s="33" t="e">
        <f t="shared" si="1"/>
        <v>#DIV/0!</v>
      </c>
      <c r="R6" s="33" t="e">
        <f t="shared" si="1"/>
        <v>#DIV/0!</v>
      </c>
      <c r="S6" s="33" t="e">
        <f t="shared" si="1"/>
        <v>#DIV/0!</v>
      </c>
      <c r="T6" s="23"/>
      <c r="U6" s="17" t="s">
        <v>20</v>
      </c>
      <c r="V6" s="10"/>
      <c r="W6" s="10"/>
      <c r="X6" s="10"/>
    </row>
    <row r="7" spans="2:24">
      <c r="B7" s="24" t="s">
        <v>21</v>
      </c>
      <c r="C7" s="34">
        <f>P14</f>
        <v>0</v>
      </c>
      <c r="D7" s="10"/>
      <c r="E7" s="10"/>
      <c r="F7" s="10"/>
      <c r="G7" s="10"/>
      <c r="H7" s="10"/>
      <c r="I7" s="10"/>
      <c r="J7" s="10"/>
      <c r="K7" s="10"/>
      <c r="L7" s="10"/>
      <c r="M7" s="10"/>
      <c r="N7" s="10"/>
      <c r="O7" s="10"/>
      <c r="P7" s="10"/>
      <c r="Q7" s="10"/>
      <c r="R7" s="10"/>
      <c r="S7" s="10"/>
      <c r="T7" s="10"/>
      <c r="U7" s="17"/>
      <c r="V7" s="10"/>
      <c r="W7" s="10"/>
      <c r="X7" s="10"/>
    </row>
    <row r="8" spans="2:24">
      <c r="B8" s="24"/>
      <c r="C8" s="25"/>
      <c r="D8" s="10"/>
      <c r="E8" s="10"/>
      <c r="F8" s="18" t="s">
        <v>22</v>
      </c>
      <c r="G8" s="19" t="s">
        <v>23</v>
      </c>
      <c r="H8" s="35" t="s">
        <v>24</v>
      </c>
      <c r="I8" s="10"/>
      <c r="J8" s="10"/>
      <c r="K8" s="36"/>
      <c r="L8" s="36"/>
      <c r="M8" s="36"/>
      <c r="N8" s="36"/>
      <c r="O8" s="36"/>
      <c r="P8" s="36"/>
      <c r="Q8" s="36"/>
      <c r="R8" s="10"/>
      <c r="S8" s="10"/>
      <c r="T8" s="10"/>
      <c r="U8" s="17"/>
      <c r="V8" s="10"/>
      <c r="W8" s="10"/>
      <c r="X8" s="10"/>
    </row>
    <row r="9" spans="2:24">
      <c r="B9" s="32" t="s">
        <v>25</v>
      </c>
      <c r="C9" s="37" t="e">
        <f>P15</f>
        <v>#DIV/0!</v>
      </c>
      <c r="D9" s="10"/>
      <c r="E9" s="18" t="s">
        <v>26</v>
      </c>
      <c r="F9" s="38">
        <f>P11</f>
        <v>0</v>
      </c>
      <c r="G9" s="39">
        <v>0</v>
      </c>
      <c r="H9" s="40"/>
      <c r="I9" s="41"/>
      <c r="J9" s="42"/>
      <c r="K9" s="43" t="s">
        <v>27</v>
      </c>
      <c r="L9" s="44"/>
      <c r="M9" s="44"/>
      <c r="N9" s="44"/>
      <c r="O9" s="44"/>
      <c r="P9" s="44"/>
      <c r="Q9" s="45"/>
      <c r="R9" s="46" t="s">
        <v>28</v>
      </c>
      <c r="S9" s="47" t="s">
        <v>29</v>
      </c>
      <c r="T9" s="10"/>
      <c r="U9" s="17"/>
      <c r="V9" s="10"/>
      <c r="W9" s="10"/>
      <c r="X9" s="10"/>
    </row>
    <row r="10" spans="2:24">
      <c r="B10" s="11"/>
      <c r="C10" s="10"/>
      <c r="D10" s="10"/>
      <c r="E10" s="24" t="s">
        <v>30</v>
      </c>
      <c r="F10" s="48">
        <f>F5</f>
        <v>0.05</v>
      </c>
      <c r="G10" s="17"/>
      <c r="H10" s="40"/>
      <c r="I10" s="41"/>
      <c r="J10" s="42"/>
      <c r="K10" s="20" t="s">
        <v>31</v>
      </c>
      <c r="L10" s="21" t="s">
        <v>32</v>
      </c>
      <c r="M10" s="21" t="s">
        <v>33</v>
      </c>
      <c r="N10" s="21" t="s">
        <v>34</v>
      </c>
      <c r="O10" s="21" t="s">
        <v>35</v>
      </c>
      <c r="P10" s="21" t="s">
        <v>36</v>
      </c>
      <c r="Q10" s="49" t="s">
        <v>37</v>
      </c>
      <c r="R10" s="50" t="s">
        <v>38</v>
      </c>
      <c r="S10" s="50" t="s">
        <v>38</v>
      </c>
      <c r="T10" s="10"/>
      <c r="U10" s="17"/>
      <c r="V10" s="10"/>
      <c r="W10" s="10"/>
      <c r="X10" s="10"/>
    </row>
    <row r="11" spans="2:24" ht="14.25">
      <c r="B11" s="11"/>
      <c r="C11" s="10"/>
      <c r="D11" s="10"/>
      <c r="E11" s="51" t="s">
        <v>39</v>
      </c>
      <c r="F11" s="52">
        <f>F9*F10</f>
        <v>0</v>
      </c>
      <c r="G11" s="53" t="s">
        <v>40</v>
      </c>
      <c r="H11" s="54">
        <f>F11/1.12</f>
        <v>0</v>
      </c>
      <c r="I11" s="55"/>
      <c r="J11" s="42"/>
      <c r="K11" s="56">
        <v>0</v>
      </c>
      <c r="L11" s="57">
        <v>0</v>
      </c>
      <c r="M11" s="57">
        <v>0</v>
      </c>
      <c r="N11" s="57">
        <v>0</v>
      </c>
      <c r="O11" s="57">
        <v>0</v>
      </c>
      <c r="P11" s="57">
        <f>SUM(K11:O11)</f>
        <v>0</v>
      </c>
      <c r="Q11" s="58">
        <f>I34+I35+I36</f>
        <v>2292.8000000000002</v>
      </c>
      <c r="R11" s="59">
        <v>0</v>
      </c>
      <c r="S11" s="59">
        <v>0</v>
      </c>
      <c r="T11" s="10"/>
      <c r="U11" s="17"/>
      <c r="V11" s="10"/>
      <c r="W11" s="10"/>
      <c r="X11" s="10"/>
    </row>
    <row r="12" spans="2:24">
      <c r="B12" s="11"/>
      <c r="C12" s="10"/>
      <c r="D12" s="10"/>
      <c r="E12" s="24" t="s">
        <v>41</v>
      </c>
      <c r="F12" s="60">
        <f>Q11</f>
        <v>2292.8000000000002</v>
      </c>
      <c r="G12" s="61" t="s">
        <v>40</v>
      </c>
      <c r="H12" s="62"/>
      <c r="I12" s="584" t="s">
        <v>2732</v>
      </c>
      <c r="J12" s="10" t="s">
        <v>42</v>
      </c>
      <c r="K12" s="63">
        <v>0</v>
      </c>
      <c r="L12" s="63">
        <v>0</v>
      </c>
      <c r="M12" s="63">
        <v>0</v>
      </c>
      <c r="N12" s="63">
        <v>0</v>
      </c>
      <c r="O12" s="63">
        <v>0</v>
      </c>
      <c r="P12" s="21">
        <f>SUM(K12:O12)</f>
        <v>0</v>
      </c>
      <c r="Q12" s="64">
        <v>3</v>
      </c>
      <c r="R12" s="63"/>
      <c r="S12" s="10"/>
      <c r="T12" s="10"/>
      <c r="U12" s="17"/>
      <c r="V12" s="10"/>
      <c r="W12" s="10"/>
      <c r="X12" s="10"/>
    </row>
    <row r="13" spans="2:24">
      <c r="B13" s="11"/>
      <c r="C13" s="10"/>
      <c r="D13" s="10"/>
      <c r="E13" s="51" t="s">
        <v>43</v>
      </c>
      <c r="F13" s="52">
        <f>F12*0.25</f>
        <v>573.20000000000005</v>
      </c>
      <c r="G13" s="53" t="s">
        <v>40</v>
      </c>
      <c r="H13" s="484">
        <f>F13/1.12</f>
        <v>511.78571428571428</v>
      </c>
      <c r="I13" s="387">
        <f>9.25*75</f>
        <v>693.75</v>
      </c>
      <c r="J13" s="10" t="s">
        <v>44</v>
      </c>
      <c r="K13" s="63">
        <v>1</v>
      </c>
      <c r="L13" s="63">
        <v>0</v>
      </c>
      <c r="M13" s="63">
        <v>0</v>
      </c>
      <c r="N13" s="63">
        <v>0</v>
      </c>
      <c r="O13" s="63">
        <v>0</v>
      </c>
      <c r="P13" s="21">
        <f>SUM(K13:O13)</f>
        <v>1</v>
      </c>
      <c r="Q13" s="64">
        <v>3</v>
      </c>
      <c r="R13" s="63"/>
      <c r="S13" s="10"/>
      <c r="T13" s="10"/>
      <c r="U13" s="17"/>
      <c r="V13" s="10"/>
      <c r="W13" s="10"/>
      <c r="X13" s="10"/>
    </row>
    <row r="14" spans="2:24">
      <c r="B14" s="11"/>
      <c r="C14" s="10"/>
      <c r="D14" s="10"/>
      <c r="E14" s="24" t="s">
        <v>45</v>
      </c>
      <c r="F14" s="60"/>
      <c r="G14" s="61" t="s">
        <v>40</v>
      </c>
      <c r="H14" s="62"/>
      <c r="I14" s="10"/>
      <c r="J14" s="10" t="s">
        <v>46</v>
      </c>
      <c r="K14" s="31">
        <f t="shared" ref="K14:Q14" si="2">K12/(K12+K13)</f>
        <v>0</v>
      </c>
      <c r="L14" s="31" t="e">
        <f t="shared" si="2"/>
        <v>#DIV/0!</v>
      </c>
      <c r="M14" s="31" t="e">
        <f t="shared" si="2"/>
        <v>#DIV/0!</v>
      </c>
      <c r="N14" s="31" t="e">
        <f t="shared" si="2"/>
        <v>#DIV/0!</v>
      </c>
      <c r="O14" s="31" t="e">
        <f t="shared" si="2"/>
        <v>#DIV/0!</v>
      </c>
      <c r="P14" s="31">
        <f t="shared" si="2"/>
        <v>0</v>
      </c>
      <c r="Q14" s="31">
        <f t="shared" si="2"/>
        <v>0.5</v>
      </c>
      <c r="R14" s="63"/>
      <c r="S14" s="10"/>
      <c r="T14" s="10"/>
      <c r="U14" s="17"/>
      <c r="V14" s="10"/>
      <c r="W14" s="10"/>
      <c r="X14" s="10"/>
    </row>
    <row r="15" spans="2:24" ht="14.25">
      <c r="B15" s="11"/>
      <c r="C15" s="10"/>
      <c r="D15" s="10"/>
      <c r="E15" s="51" t="s">
        <v>47</v>
      </c>
      <c r="F15" s="52">
        <f>F14*0.05</f>
        <v>0</v>
      </c>
      <c r="G15" s="65" t="s">
        <v>40</v>
      </c>
      <c r="H15" s="54">
        <f>F15/1.12</f>
        <v>0</v>
      </c>
      <c r="I15" s="42"/>
      <c r="J15" s="10" t="s">
        <v>48</v>
      </c>
      <c r="K15" s="66" t="e">
        <f>K11/K12</f>
        <v>#DIV/0!</v>
      </c>
      <c r="L15" s="66" t="e">
        <f t="shared" ref="L15:Q15" si="3">L11/L12</f>
        <v>#DIV/0!</v>
      </c>
      <c r="M15" s="66" t="e">
        <f t="shared" si="3"/>
        <v>#DIV/0!</v>
      </c>
      <c r="N15" s="66" t="e">
        <f t="shared" si="3"/>
        <v>#DIV/0!</v>
      </c>
      <c r="O15" s="66" t="e">
        <f t="shared" si="3"/>
        <v>#DIV/0!</v>
      </c>
      <c r="P15" s="66" t="e">
        <f t="shared" si="3"/>
        <v>#DIV/0!</v>
      </c>
      <c r="Q15" s="66">
        <f t="shared" si="3"/>
        <v>764.26666666666677</v>
      </c>
      <c r="R15" s="63"/>
      <c r="S15" s="10"/>
      <c r="T15" s="10"/>
      <c r="U15" s="17"/>
      <c r="V15" s="10"/>
      <c r="W15" s="10"/>
      <c r="X15" s="10"/>
    </row>
    <row r="16" spans="2:24">
      <c r="B16" s="11"/>
      <c r="C16" s="10"/>
      <c r="D16" s="10"/>
      <c r="E16" s="67" t="s">
        <v>14</v>
      </c>
      <c r="F16" s="68"/>
      <c r="G16" s="10"/>
      <c r="H16" s="54">
        <f>F16/1.12</f>
        <v>0</v>
      </c>
      <c r="I16" s="10"/>
      <c r="J16" s="10"/>
      <c r="K16" s="10"/>
      <c r="L16" s="10"/>
      <c r="M16" s="10"/>
      <c r="N16" s="10"/>
      <c r="O16" s="10"/>
      <c r="P16" s="10"/>
      <c r="Q16" s="10"/>
      <c r="R16" s="10"/>
      <c r="S16" s="10"/>
      <c r="T16" s="10"/>
      <c r="U16" s="17"/>
      <c r="V16" s="10"/>
      <c r="W16" s="10"/>
      <c r="X16" s="10"/>
    </row>
    <row r="17" spans="1:24">
      <c r="B17" s="11"/>
      <c r="C17" s="10"/>
      <c r="D17" s="10"/>
      <c r="E17" s="155" t="s">
        <v>49</v>
      </c>
      <c r="F17" s="364">
        <f>T6</f>
        <v>0</v>
      </c>
      <c r="G17" s="10"/>
      <c r="H17" s="54"/>
      <c r="I17" s="55"/>
      <c r="J17" s="42"/>
      <c r="K17" s="764" t="s">
        <v>50</v>
      </c>
      <c r="L17" s="765"/>
      <c r="M17" s="765"/>
      <c r="N17" s="765"/>
      <c r="O17" s="765"/>
      <c r="P17" s="765"/>
      <c r="Q17" s="766"/>
      <c r="R17" s="70" t="s">
        <v>28</v>
      </c>
      <c r="S17" s="71" t="s">
        <v>29</v>
      </c>
      <c r="T17" s="10"/>
      <c r="U17" s="17"/>
      <c r="V17" s="10"/>
      <c r="W17" s="10"/>
      <c r="X17" s="10"/>
    </row>
    <row r="18" spans="1:24">
      <c r="B18" s="11"/>
      <c r="C18" s="10"/>
      <c r="D18" s="10"/>
      <c r="E18" s="12"/>
      <c r="F18" s="76"/>
      <c r="G18" s="10"/>
      <c r="H18" s="10"/>
      <c r="I18" s="10"/>
      <c r="J18" s="42"/>
      <c r="K18" s="20" t="s">
        <v>31</v>
      </c>
      <c r="L18" s="21" t="s">
        <v>32</v>
      </c>
      <c r="M18" s="21" t="s">
        <v>33</v>
      </c>
      <c r="N18" s="21" t="s">
        <v>34</v>
      </c>
      <c r="O18" s="21" t="s">
        <v>35</v>
      </c>
      <c r="P18" s="21" t="s">
        <v>36</v>
      </c>
      <c r="Q18" s="49" t="s">
        <v>37</v>
      </c>
      <c r="R18" s="50" t="s">
        <v>38</v>
      </c>
      <c r="S18" s="50" t="s">
        <v>38</v>
      </c>
      <c r="T18" s="10"/>
      <c r="U18" s="17"/>
      <c r="V18" s="10"/>
      <c r="W18" s="10"/>
      <c r="X18" s="10"/>
    </row>
    <row r="19" spans="1:24">
      <c r="B19" s="11"/>
      <c r="C19" s="10"/>
      <c r="D19" s="10"/>
      <c r="E19" s="10"/>
      <c r="F19" s="10"/>
      <c r="G19" s="10"/>
      <c r="H19" s="10"/>
      <c r="I19" s="10"/>
      <c r="J19" s="42"/>
      <c r="K19" s="56">
        <v>0</v>
      </c>
      <c r="L19" s="57">
        <v>0</v>
      </c>
      <c r="M19" s="57">
        <v>0</v>
      </c>
      <c r="N19" s="57">
        <v>0</v>
      </c>
      <c r="O19" s="57">
        <v>0</v>
      </c>
      <c r="P19" s="57">
        <f>SUM(K19:O19)</f>
        <v>0</v>
      </c>
      <c r="Q19" s="58">
        <f>F34+F35+F36</f>
        <v>2332.5</v>
      </c>
      <c r="R19" s="59">
        <v>0</v>
      </c>
      <c r="S19" s="59">
        <v>0</v>
      </c>
      <c r="T19" s="10"/>
      <c r="U19" s="17"/>
      <c r="V19" s="10"/>
      <c r="W19" s="10"/>
      <c r="X19" s="10"/>
    </row>
    <row r="20" spans="1:24">
      <c r="B20" s="11"/>
      <c r="C20" s="10"/>
      <c r="D20" s="10"/>
      <c r="E20" s="12"/>
      <c r="F20" s="76"/>
      <c r="G20" s="10"/>
      <c r="H20" s="10"/>
      <c r="I20" s="10"/>
      <c r="J20" s="10" t="s">
        <v>42</v>
      </c>
      <c r="K20" s="63">
        <f>K12</f>
        <v>0</v>
      </c>
      <c r="L20" s="63">
        <f t="shared" ref="L20:Q21" si="4">L12</f>
        <v>0</v>
      </c>
      <c r="M20" s="63">
        <f t="shared" si="4"/>
        <v>0</v>
      </c>
      <c r="N20" s="63">
        <f t="shared" si="4"/>
        <v>0</v>
      </c>
      <c r="O20" s="63">
        <f t="shared" si="4"/>
        <v>0</v>
      </c>
      <c r="P20" s="63">
        <f t="shared" si="4"/>
        <v>0</v>
      </c>
      <c r="Q20" s="63">
        <f t="shared" si="4"/>
        <v>3</v>
      </c>
      <c r="R20" s="63"/>
      <c r="S20" s="10"/>
      <c r="T20" s="10"/>
      <c r="U20" s="17"/>
      <c r="V20" s="10"/>
      <c r="W20" s="10"/>
      <c r="X20" s="10"/>
    </row>
    <row r="21" spans="1:24">
      <c r="B21" s="11"/>
      <c r="C21" s="10"/>
      <c r="D21" s="10"/>
      <c r="E21" s="10"/>
      <c r="F21" s="10"/>
      <c r="G21" s="10"/>
      <c r="H21" s="10"/>
      <c r="I21" s="10"/>
      <c r="J21" s="10" t="s">
        <v>44</v>
      </c>
      <c r="K21" s="63">
        <f>K13</f>
        <v>1</v>
      </c>
      <c r="L21" s="63">
        <f t="shared" si="4"/>
        <v>0</v>
      </c>
      <c r="M21" s="63">
        <f t="shared" si="4"/>
        <v>0</v>
      </c>
      <c r="N21" s="63">
        <f t="shared" si="4"/>
        <v>0</v>
      </c>
      <c r="O21" s="63">
        <f t="shared" si="4"/>
        <v>0</v>
      </c>
      <c r="P21" s="63">
        <f t="shared" si="4"/>
        <v>1</v>
      </c>
      <c r="Q21" s="63">
        <f t="shared" si="4"/>
        <v>3</v>
      </c>
      <c r="R21" s="63"/>
      <c r="S21" s="10"/>
      <c r="T21" s="10"/>
      <c r="U21" s="17"/>
      <c r="V21" s="10"/>
      <c r="W21" s="10"/>
      <c r="X21" s="10"/>
    </row>
    <row r="22" spans="1:24">
      <c r="B22" s="11"/>
      <c r="C22" s="10"/>
      <c r="D22" s="10"/>
      <c r="E22" s="10"/>
      <c r="F22" s="10"/>
      <c r="G22" s="10"/>
      <c r="H22" s="10"/>
      <c r="I22" s="10"/>
      <c r="J22" s="10" t="s">
        <v>46</v>
      </c>
      <c r="K22" s="31">
        <f t="shared" ref="K22:Q22" si="5">K20/(K20+K21)</f>
        <v>0</v>
      </c>
      <c r="L22" s="31" t="e">
        <f t="shared" si="5"/>
        <v>#DIV/0!</v>
      </c>
      <c r="M22" s="31" t="e">
        <f t="shared" si="5"/>
        <v>#DIV/0!</v>
      </c>
      <c r="N22" s="31" t="e">
        <f t="shared" si="5"/>
        <v>#DIV/0!</v>
      </c>
      <c r="O22" s="31" t="e">
        <f t="shared" si="5"/>
        <v>#DIV/0!</v>
      </c>
      <c r="P22" s="31">
        <f t="shared" si="5"/>
        <v>0</v>
      </c>
      <c r="Q22" s="31">
        <f t="shared" si="5"/>
        <v>0.5</v>
      </c>
      <c r="R22" s="63"/>
      <c r="S22" s="10"/>
      <c r="T22" s="10"/>
      <c r="U22" s="17"/>
      <c r="V22" s="10"/>
      <c r="W22" s="10"/>
      <c r="X22" s="10"/>
    </row>
    <row r="23" spans="1:24">
      <c r="B23" s="11"/>
      <c r="C23" s="10"/>
      <c r="D23" s="10"/>
      <c r="E23" s="10"/>
      <c r="F23" s="10"/>
      <c r="G23" s="10"/>
      <c r="H23" s="10"/>
      <c r="I23" s="10"/>
      <c r="J23" s="10" t="s">
        <v>48</v>
      </c>
      <c r="K23" s="66" t="e">
        <f t="shared" ref="K23:Q23" si="6">K19/K20</f>
        <v>#DIV/0!</v>
      </c>
      <c r="L23" s="66" t="e">
        <f t="shared" si="6"/>
        <v>#DIV/0!</v>
      </c>
      <c r="M23" s="66" t="e">
        <f t="shared" si="6"/>
        <v>#DIV/0!</v>
      </c>
      <c r="N23" s="66" t="e">
        <f t="shared" si="6"/>
        <v>#DIV/0!</v>
      </c>
      <c r="O23" s="66" t="e">
        <f t="shared" si="6"/>
        <v>#DIV/0!</v>
      </c>
      <c r="P23" s="66" t="e">
        <f t="shared" si="6"/>
        <v>#DIV/0!</v>
      </c>
      <c r="Q23" s="66">
        <f t="shared" si="6"/>
        <v>777.5</v>
      </c>
      <c r="R23" s="63"/>
      <c r="S23" s="10"/>
      <c r="T23" s="10"/>
      <c r="U23" s="17"/>
      <c r="V23" s="10"/>
      <c r="W23" s="10"/>
      <c r="X23" s="10"/>
    </row>
    <row r="24" spans="1:24">
      <c r="B24" s="11"/>
      <c r="C24" s="10"/>
      <c r="D24" s="10"/>
      <c r="E24" s="10"/>
      <c r="F24" s="10"/>
      <c r="G24" s="10"/>
      <c r="H24" s="10"/>
      <c r="I24" s="10"/>
      <c r="J24" s="10"/>
      <c r="K24" s="10"/>
      <c r="L24" s="10"/>
      <c r="M24" s="10"/>
      <c r="N24" s="10"/>
      <c r="O24" s="10"/>
      <c r="P24" s="10"/>
      <c r="Q24" s="10"/>
      <c r="R24" s="10"/>
      <c r="S24" s="10"/>
      <c r="T24" s="10"/>
      <c r="U24" s="17"/>
      <c r="V24" s="10"/>
      <c r="W24" s="10"/>
      <c r="X24" s="10"/>
    </row>
    <row r="25" spans="1:24">
      <c r="B25" s="11"/>
      <c r="C25" s="10"/>
      <c r="D25" s="10"/>
      <c r="E25" s="10"/>
      <c r="F25" s="10"/>
      <c r="G25" s="10"/>
      <c r="H25" s="10"/>
      <c r="I25" s="10"/>
      <c r="J25" s="10"/>
      <c r="K25" s="10"/>
      <c r="L25" s="10"/>
      <c r="M25" s="10"/>
      <c r="N25" s="10"/>
      <c r="O25" s="10"/>
      <c r="P25" s="10"/>
      <c r="Q25" s="10"/>
      <c r="R25" s="10"/>
      <c r="S25" s="10"/>
      <c r="T25" s="10"/>
      <c r="U25" s="17"/>
      <c r="V25" s="10"/>
      <c r="W25" s="10"/>
      <c r="X25" s="10"/>
    </row>
    <row r="26" spans="1:24">
      <c r="B26" s="18" t="s">
        <v>51</v>
      </c>
      <c r="C26" s="14"/>
      <c r="D26" s="14"/>
      <c r="E26" s="14"/>
      <c r="F26" s="13" t="s">
        <v>52</v>
      </c>
      <c r="G26" s="14"/>
      <c r="H26" s="14"/>
      <c r="I26" s="14"/>
      <c r="J26" s="14"/>
      <c r="K26" s="13" t="s">
        <v>3</v>
      </c>
      <c r="L26" s="14"/>
      <c r="M26" s="14"/>
      <c r="N26" s="13" t="s">
        <v>4</v>
      </c>
      <c r="O26" s="14"/>
      <c r="P26" s="14"/>
      <c r="Q26" s="13" t="s">
        <v>5</v>
      </c>
      <c r="R26" s="14"/>
      <c r="S26" s="14"/>
      <c r="T26" s="18"/>
      <c r="U26" s="16" t="s">
        <v>53</v>
      </c>
      <c r="V26" s="77"/>
      <c r="W26" s="77"/>
      <c r="X26" s="77"/>
    </row>
    <row r="27" spans="1:24">
      <c r="B27" s="24" t="s">
        <v>54</v>
      </c>
      <c r="C27" s="21" t="s">
        <v>55</v>
      </c>
      <c r="D27" s="21" t="s">
        <v>56</v>
      </c>
      <c r="E27" s="21" t="s">
        <v>57</v>
      </c>
      <c r="F27" s="20" t="s">
        <v>58</v>
      </c>
      <c r="G27" s="21" t="s">
        <v>59</v>
      </c>
      <c r="H27" s="21" t="s">
        <v>60</v>
      </c>
      <c r="I27" s="21" t="s">
        <v>26</v>
      </c>
      <c r="J27" s="22" t="s">
        <v>61</v>
      </c>
      <c r="K27" s="21" t="s">
        <v>8</v>
      </c>
      <c r="L27" s="21" t="s">
        <v>9</v>
      </c>
      <c r="M27" s="21" t="s">
        <v>10</v>
      </c>
      <c r="N27" s="20" t="s">
        <v>11</v>
      </c>
      <c r="O27" s="21" t="s">
        <v>12</v>
      </c>
      <c r="P27" s="22" t="s">
        <v>13</v>
      </c>
      <c r="Q27" s="21" t="s">
        <v>11</v>
      </c>
      <c r="R27" s="21" t="s">
        <v>12</v>
      </c>
      <c r="S27" s="21" t="s">
        <v>13</v>
      </c>
      <c r="T27" s="78" t="s">
        <v>14</v>
      </c>
      <c r="U27" s="30"/>
      <c r="V27" s="79" t="s">
        <v>62</v>
      </c>
      <c r="W27" s="80" t="s">
        <v>63</v>
      </c>
      <c r="X27" s="81" t="s">
        <v>64</v>
      </c>
    </row>
    <row r="28" spans="1:24" s="2" customFormat="1">
      <c r="A28" s="614"/>
      <c r="B28" s="4" t="s">
        <v>65</v>
      </c>
      <c r="C28" s="6"/>
      <c r="D28" s="6"/>
      <c r="E28" s="6"/>
      <c r="F28" s="6"/>
      <c r="G28" s="6"/>
      <c r="H28" s="6"/>
      <c r="I28" s="82"/>
      <c r="J28" s="6"/>
      <c r="K28" s="6"/>
      <c r="L28" s="6"/>
      <c r="M28" s="6"/>
      <c r="N28" s="6"/>
      <c r="O28" s="6"/>
      <c r="P28" s="6"/>
      <c r="Q28" s="6"/>
      <c r="R28" s="6"/>
      <c r="S28" s="6"/>
      <c r="T28" s="83"/>
      <c r="U28" s="163"/>
      <c r="V28" s="84"/>
      <c r="W28" s="85"/>
      <c r="X28" s="86"/>
    </row>
    <row r="29" spans="1:24" s="2" customFormat="1">
      <c r="A29" s="614"/>
      <c r="B29" s="87">
        <v>1</v>
      </c>
      <c r="C29" s="712"/>
      <c r="D29" s="271"/>
      <c r="E29" s="271"/>
      <c r="F29" s="265"/>
      <c r="G29" s="265"/>
      <c r="H29" s="365"/>
      <c r="I29" s="272">
        <f>F29-G29-H29</f>
        <v>0</v>
      </c>
      <c r="J29" s="267"/>
      <c r="K29" s="267"/>
      <c r="L29" s="267"/>
      <c r="M29" s="267"/>
      <c r="N29" s="267"/>
      <c r="O29" s="267"/>
      <c r="P29" s="267"/>
      <c r="Q29" s="267"/>
      <c r="R29" s="267"/>
      <c r="S29" s="269"/>
      <c r="T29" s="63"/>
      <c r="U29" s="94"/>
      <c r="V29" s="90"/>
      <c r="W29" s="91"/>
      <c r="X29" s="92"/>
    </row>
    <row r="30" spans="1:24" s="2" customFormat="1">
      <c r="A30" s="614"/>
      <c r="B30" s="87"/>
      <c r="C30" s="609"/>
      <c r="D30" s="10"/>
      <c r="E30" s="10"/>
      <c r="F30" s="97">
        <f>SUM(F29:F29)</f>
        <v>0</v>
      </c>
      <c r="G30" s="97">
        <f>SUM(G29:G29)</f>
        <v>0</v>
      </c>
      <c r="H30" s="97">
        <f>SUM(H29:H29)</f>
        <v>0</v>
      </c>
      <c r="I30" s="98">
        <f>SUM(I29:I29)</f>
        <v>0</v>
      </c>
      <c r="J30" s="63"/>
      <c r="K30" s="63">
        <f>COUNT(K29:K29)</f>
        <v>0</v>
      </c>
      <c r="L30" s="63">
        <f>COUNT(L29:L29)</f>
        <v>0</v>
      </c>
      <c r="M30" s="63">
        <f>COUNT(M29:M29)</f>
        <v>0</v>
      </c>
      <c r="N30" s="63">
        <f>COUNT(N29:N29)</f>
        <v>0</v>
      </c>
      <c r="O30" s="63">
        <f>COUNT(O29:O29)</f>
        <v>0</v>
      </c>
      <c r="P30" s="63">
        <f>COUNT(P29:P29)</f>
        <v>0</v>
      </c>
      <c r="Q30" s="63">
        <f>COUNT(Q29:Q29)</f>
        <v>0</v>
      </c>
      <c r="R30" s="63">
        <f>COUNT(R29:R29)</f>
        <v>0</v>
      </c>
      <c r="S30" s="63">
        <f>COUNT(S29:S29)</f>
        <v>0</v>
      </c>
      <c r="T30" s="63"/>
      <c r="U30" s="94"/>
      <c r="V30" s="90"/>
      <c r="W30" s="91"/>
      <c r="X30" s="92"/>
    </row>
    <row r="31" spans="1:24" s="2" customFormat="1">
      <c r="A31" s="614"/>
      <c r="B31" s="87"/>
      <c r="C31" s="609"/>
      <c r="D31" s="10"/>
      <c r="E31" s="10"/>
      <c r="F31" s="88"/>
      <c r="G31" s="88"/>
      <c r="H31" s="88"/>
      <c r="I31" s="99"/>
      <c r="J31" s="63"/>
      <c r="K31" s="21">
        <f>SUM(K29:K29)</f>
        <v>0</v>
      </c>
      <c r="L31" s="21">
        <f>SUM(L29:L29)</f>
        <v>0</v>
      </c>
      <c r="M31" s="21">
        <f>SUM(M29:M29)</f>
        <v>0</v>
      </c>
      <c r="N31" s="21">
        <f>SUM(N29:N29)</f>
        <v>0</v>
      </c>
      <c r="O31" s="21">
        <f>SUM(O29:O29)</f>
        <v>0</v>
      </c>
      <c r="P31" s="21">
        <f>SUM(P29:P29)</f>
        <v>0</v>
      </c>
      <c r="Q31" s="21">
        <f>SUM(Q29:Q29)</f>
        <v>0</v>
      </c>
      <c r="R31" s="21">
        <f>SUM(R29:R29)</f>
        <v>0</v>
      </c>
      <c r="S31" s="21">
        <f>SUM(S29:S29)</f>
        <v>0</v>
      </c>
      <c r="T31" s="63"/>
      <c r="U31" s="94"/>
      <c r="V31" s="90"/>
      <c r="W31" s="91"/>
      <c r="X31" s="92"/>
    </row>
    <row r="32" spans="1:24" s="2" customFormat="1">
      <c r="A32" s="614"/>
      <c r="B32" s="87"/>
      <c r="C32" s="609"/>
      <c r="D32" s="10"/>
      <c r="E32" s="10"/>
      <c r="F32" s="88"/>
      <c r="G32" s="88"/>
      <c r="H32" s="88"/>
      <c r="I32" s="99"/>
      <c r="J32" s="63"/>
      <c r="K32" s="21"/>
      <c r="L32" s="21"/>
      <c r="M32" s="21"/>
      <c r="N32" s="21"/>
      <c r="O32" s="21"/>
      <c r="P32" s="21"/>
      <c r="Q32" s="21"/>
      <c r="R32" s="21"/>
      <c r="S32" s="21"/>
      <c r="T32" s="63"/>
      <c r="U32" s="94"/>
      <c r="V32" s="165"/>
      <c r="W32" s="728"/>
      <c r="X32" s="729"/>
    </row>
    <row r="33" spans="2:24">
      <c r="B33" s="100" t="s">
        <v>66</v>
      </c>
      <c r="C33" s="10"/>
      <c r="D33" s="10"/>
      <c r="E33" s="10"/>
      <c r="F33" s="10"/>
      <c r="G33" s="10"/>
      <c r="H33" s="10"/>
      <c r="I33" s="77"/>
      <c r="J33" s="10"/>
      <c r="K33" s="10"/>
      <c r="L33" s="10"/>
      <c r="M33" s="10"/>
      <c r="N33" s="10"/>
      <c r="O33" s="10"/>
      <c r="P33" s="10"/>
      <c r="Q33" s="10"/>
      <c r="R33" s="10"/>
      <c r="S33" s="10"/>
      <c r="T33" s="63"/>
      <c r="U33" s="10"/>
      <c r="V33" s="724"/>
      <c r="W33" s="578"/>
      <c r="X33" s="579"/>
    </row>
    <row r="34" spans="2:24">
      <c r="B34" s="87">
        <v>1</v>
      </c>
      <c r="C34" s="274">
        <v>45927</v>
      </c>
      <c r="D34" s="327">
        <v>73703</v>
      </c>
      <c r="E34" s="276" t="s">
        <v>317</v>
      </c>
      <c r="F34" s="277">
        <f>766-85-93.5</f>
        <v>587.5</v>
      </c>
      <c r="G34" s="277"/>
      <c r="H34" s="297"/>
      <c r="I34" s="321">
        <f t="shared" ref="I34" si="7">F34-G34-H34</f>
        <v>587.5</v>
      </c>
      <c r="J34" s="279" t="s">
        <v>156</v>
      </c>
      <c r="K34" s="279">
        <v>1</v>
      </c>
      <c r="L34" s="322">
        <v>0</v>
      </c>
      <c r="M34" s="279">
        <v>1</v>
      </c>
      <c r="N34" s="279">
        <v>1</v>
      </c>
      <c r="O34" s="279">
        <v>1</v>
      </c>
      <c r="P34" s="322">
        <v>0</v>
      </c>
      <c r="Q34" s="279">
        <v>1</v>
      </c>
      <c r="R34" s="279">
        <v>1</v>
      </c>
      <c r="S34" s="328">
        <v>0</v>
      </c>
      <c r="T34" s="63"/>
      <c r="U34" s="10"/>
      <c r="V34" s="90">
        <f>93.5+74.91+655.6</f>
        <v>824.01</v>
      </c>
      <c r="W34" s="91"/>
      <c r="X34" s="92"/>
    </row>
    <row r="35" spans="2:24">
      <c r="B35" s="87">
        <f>B34+1</f>
        <v>2</v>
      </c>
      <c r="C35" s="295">
        <v>45927</v>
      </c>
      <c r="D35" s="323">
        <v>73704</v>
      </c>
      <c r="E35" s="10" t="s">
        <v>158</v>
      </c>
      <c r="F35" s="62">
        <f>666-85-93.5</f>
        <v>487.5</v>
      </c>
      <c r="G35" s="62"/>
      <c r="H35" s="88"/>
      <c r="I35" s="324">
        <f>F35-G35-H35</f>
        <v>487.5</v>
      </c>
      <c r="J35" s="63" t="s">
        <v>156</v>
      </c>
      <c r="K35" s="63">
        <v>1</v>
      </c>
      <c r="L35" s="325">
        <v>0</v>
      </c>
      <c r="M35" s="63">
        <v>1</v>
      </c>
      <c r="N35" s="63">
        <v>1</v>
      </c>
      <c r="O35" s="63">
        <v>1</v>
      </c>
      <c r="P35" s="325">
        <v>0</v>
      </c>
      <c r="Q35" s="63">
        <v>1</v>
      </c>
      <c r="R35" s="63">
        <v>1</v>
      </c>
      <c r="S35" s="326">
        <v>0</v>
      </c>
      <c r="T35" s="63"/>
      <c r="U35" s="10"/>
      <c r="V35" s="90">
        <f>93.5+63.91+545.6</f>
        <v>703.01</v>
      </c>
      <c r="W35" s="91"/>
      <c r="X35" s="92"/>
    </row>
    <row r="36" spans="2:24">
      <c r="B36" s="87">
        <f>B35+1</f>
        <v>3</v>
      </c>
      <c r="C36" s="282">
        <v>45927</v>
      </c>
      <c r="D36" s="368">
        <v>73710</v>
      </c>
      <c r="E36" s="283" t="s">
        <v>572</v>
      </c>
      <c r="F36" s="284">
        <f>1646-185-203.5</f>
        <v>1257.5</v>
      </c>
      <c r="G36" s="284">
        <f>39.7</f>
        <v>39.700000000000003</v>
      </c>
      <c r="H36" s="315"/>
      <c r="I36" s="285">
        <f>F36-G36-H36</f>
        <v>1217.8</v>
      </c>
      <c r="J36" s="286" t="s">
        <v>228</v>
      </c>
      <c r="K36" s="286">
        <v>1</v>
      </c>
      <c r="L36" s="286">
        <v>1</v>
      </c>
      <c r="M36" s="286">
        <v>1</v>
      </c>
      <c r="N36" s="286">
        <v>1</v>
      </c>
      <c r="O36" s="286">
        <v>1</v>
      </c>
      <c r="P36" s="286">
        <v>1</v>
      </c>
      <c r="Q36" s="286">
        <v>1</v>
      </c>
      <c r="R36" s="286">
        <v>1</v>
      </c>
      <c r="S36" s="287">
        <v>1</v>
      </c>
      <c r="T36" s="63"/>
      <c r="U36" s="10"/>
      <c r="V36" s="90">
        <f>203.5+1403.6</f>
        <v>1607.1</v>
      </c>
      <c r="W36" s="91"/>
      <c r="X36" s="92"/>
    </row>
    <row r="37" spans="2:24">
      <c r="B37" s="87"/>
      <c r="C37" s="36"/>
      <c r="D37" s="10"/>
      <c r="E37" s="10"/>
      <c r="F37" s="98">
        <f>SUM(F34:F36)</f>
        <v>2332.5</v>
      </c>
      <c r="G37" s="98">
        <f>SUM(G34:G36)</f>
        <v>39.700000000000003</v>
      </c>
      <c r="H37" s="98">
        <f>SUM(H34:H36)</f>
        <v>0</v>
      </c>
      <c r="I37" s="98">
        <f>SUM(I34:I36)</f>
        <v>2292.8000000000002</v>
      </c>
      <c r="J37" s="63"/>
      <c r="K37" s="63">
        <f>COUNT(K34:K36)</f>
        <v>3</v>
      </c>
      <c r="L37" s="63">
        <f>COUNT(L34:L36)</f>
        <v>3</v>
      </c>
      <c r="M37" s="63">
        <f>COUNT(M34:M36)</f>
        <v>3</v>
      </c>
      <c r="N37" s="63">
        <f>COUNT(N34:N36)</f>
        <v>3</v>
      </c>
      <c r="O37" s="63">
        <f>COUNT(O34:O36)</f>
        <v>3</v>
      </c>
      <c r="P37" s="63">
        <f>COUNT(P34:P36)</f>
        <v>3</v>
      </c>
      <c r="Q37" s="63">
        <f>COUNT(Q34:Q36)</f>
        <v>3</v>
      </c>
      <c r="R37" s="63">
        <f>COUNT(R34:R36)</f>
        <v>3</v>
      </c>
      <c r="S37" s="63">
        <f>COUNT(S34:S36)</f>
        <v>3</v>
      </c>
      <c r="T37" s="63"/>
      <c r="U37" s="10"/>
      <c r="V37" s="90"/>
      <c r="W37" s="91"/>
      <c r="X37" s="92"/>
    </row>
    <row r="38" spans="2:24">
      <c r="B38" s="87"/>
      <c r="C38" s="609"/>
      <c r="D38" s="10"/>
      <c r="E38" s="10"/>
      <c r="F38" s="88"/>
      <c r="G38" s="88"/>
      <c r="H38" s="88"/>
      <c r="I38" s="99"/>
      <c r="J38" s="63"/>
      <c r="K38" s="21">
        <f>SUM(K34:K36)</f>
        <v>3</v>
      </c>
      <c r="L38" s="21">
        <f>SUM(L34:L36)</f>
        <v>1</v>
      </c>
      <c r="M38" s="21">
        <f>SUM(M34:M36)</f>
        <v>3</v>
      </c>
      <c r="N38" s="21">
        <f>SUM(N34:N36)</f>
        <v>3</v>
      </c>
      <c r="O38" s="21">
        <f>SUM(O34:O36)</f>
        <v>3</v>
      </c>
      <c r="P38" s="21">
        <f>SUM(P34:P36)</f>
        <v>1</v>
      </c>
      <c r="Q38" s="21">
        <f>SUM(Q34:Q36)</f>
        <v>3</v>
      </c>
      <c r="R38" s="21">
        <f>SUM(R34:R36)</f>
        <v>3</v>
      </c>
      <c r="S38" s="21">
        <f>SUM(S34:S36)</f>
        <v>1</v>
      </c>
      <c r="T38" s="63"/>
      <c r="U38" s="10"/>
      <c r="V38" s="90"/>
      <c r="W38" s="91"/>
      <c r="X38" s="92"/>
    </row>
    <row r="39" spans="2:24">
      <c r="B39" s="11"/>
      <c r="C39" s="609"/>
      <c r="D39" s="10"/>
      <c r="E39" s="10"/>
      <c r="F39" s="88"/>
      <c r="G39" s="88"/>
      <c r="H39" s="88"/>
      <c r="I39" s="99"/>
      <c r="J39" s="63"/>
      <c r="K39" s="21"/>
      <c r="L39" s="21"/>
      <c r="M39" s="21"/>
      <c r="N39" s="21"/>
      <c r="O39" s="21"/>
      <c r="P39" s="21"/>
      <c r="Q39" s="21"/>
      <c r="R39" s="21"/>
      <c r="S39" s="21"/>
      <c r="T39" s="63"/>
      <c r="U39" s="94"/>
      <c r="V39" s="90"/>
      <c r="W39" s="91"/>
      <c r="X39" s="92"/>
    </row>
    <row r="40" spans="2:24">
      <c r="B40" s="100" t="s">
        <v>72</v>
      </c>
      <c r="C40" s="609"/>
      <c r="D40" s="10"/>
      <c r="E40" s="10"/>
      <c r="F40" s="88"/>
      <c r="G40" s="88"/>
      <c r="H40" s="88"/>
      <c r="I40" s="99"/>
      <c r="J40" s="63"/>
      <c r="K40" s="63"/>
      <c r="L40" s="63"/>
      <c r="M40" s="63"/>
      <c r="N40" s="63"/>
      <c r="O40" s="63"/>
      <c r="P40" s="63"/>
      <c r="Q40" s="63"/>
      <c r="R40" s="63"/>
      <c r="S40" s="63"/>
      <c r="T40" s="63"/>
      <c r="U40" s="10"/>
      <c r="V40" s="90"/>
      <c r="W40" s="91"/>
      <c r="X40" s="92"/>
    </row>
    <row r="41" spans="2:24">
      <c r="B41" s="87">
        <v>1</v>
      </c>
      <c r="C41" s="262">
        <v>45922</v>
      </c>
      <c r="D41" s="271">
        <v>73500</v>
      </c>
      <c r="E41" s="271" t="s">
        <v>334</v>
      </c>
      <c r="F41" s="265">
        <v>1261</v>
      </c>
      <c r="G41" s="265">
        <v>39.700000000000003</v>
      </c>
      <c r="H41" s="265"/>
      <c r="I41" s="272">
        <f t="shared" ref="I41" si="8">F41-G41-H41</f>
        <v>1221.3</v>
      </c>
      <c r="J41" s="267" t="s">
        <v>205</v>
      </c>
      <c r="K41" s="267">
        <v>1</v>
      </c>
      <c r="L41" s="267"/>
      <c r="M41" s="267"/>
      <c r="N41" s="267">
        <v>1</v>
      </c>
      <c r="O41" s="267"/>
      <c r="P41" s="267"/>
      <c r="Q41" s="267">
        <v>1</v>
      </c>
      <c r="R41" s="267">
        <v>1</v>
      </c>
      <c r="S41" s="269">
        <v>1</v>
      </c>
      <c r="T41" s="63"/>
      <c r="U41" s="3"/>
      <c r="V41" s="90"/>
      <c r="W41" s="91"/>
      <c r="X41" s="92"/>
    </row>
    <row r="42" spans="2:24">
      <c r="B42" s="11"/>
      <c r="C42" s="609"/>
      <c r="D42" s="10"/>
      <c r="E42" s="10"/>
      <c r="F42" s="97">
        <f>SUM(F41:F41)</f>
        <v>1261</v>
      </c>
      <c r="G42" s="97">
        <f>SUM(G41:G41)</f>
        <v>39.700000000000003</v>
      </c>
      <c r="H42" s="97">
        <f>SUM(H41:H41)</f>
        <v>0</v>
      </c>
      <c r="I42" s="98">
        <f>SUM(I41:I41)</f>
        <v>1221.3</v>
      </c>
      <c r="J42" s="10"/>
      <c r="K42" s="10"/>
      <c r="L42" s="10"/>
      <c r="M42" s="10"/>
      <c r="N42" s="10"/>
      <c r="O42" s="10"/>
      <c r="P42" s="10"/>
      <c r="Q42" s="10"/>
      <c r="R42" s="10"/>
      <c r="S42" s="10"/>
      <c r="T42" s="63"/>
      <c r="U42" s="10"/>
      <c r="V42" s="90"/>
      <c r="W42" s="91"/>
      <c r="X42" s="92"/>
    </row>
    <row r="43" spans="2:24">
      <c r="B43" s="11"/>
      <c r="C43" s="609"/>
      <c r="D43" s="10"/>
      <c r="E43" s="10"/>
      <c r="F43" s="88"/>
      <c r="G43" s="88"/>
      <c r="H43" s="88"/>
      <c r="I43" s="99"/>
      <c r="J43" s="10"/>
      <c r="K43" s="10"/>
      <c r="L43" s="10"/>
      <c r="M43" s="10"/>
      <c r="N43" s="10"/>
      <c r="O43" s="10"/>
      <c r="P43" s="10"/>
      <c r="Q43" s="10"/>
      <c r="R43" s="10"/>
      <c r="S43" s="10"/>
      <c r="T43" s="63"/>
      <c r="U43" s="10"/>
      <c r="V43" s="90"/>
      <c r="W43" s="91"/>
      <c r="X43" s="92"/>
    </row>
    <row r="44" spans="2:24">
      <c r="B44" s="100" t="s">
        <v>73</v>
      </c>
      <c r="C44" s="609"/>
      <c r="D44" s="10"/>
      <c r="E44" s="10"/>
      <c r="F44" s="88"/>
      <c r="G44" s="88"/>
      <c r="H44" s="88"/>
      <c r="I44" s="99"/>
      <c r="J44" s="10"/>
      <c r="K44" s="10"/>
      <c r="L44" s="10"/>
      <c r="M44" s="10"/>
      <c r="N44" s="10"/>
      <c r="O44" s="10"/>
      <c r="P44" s="10"/>
      <c r="Q44" s="10"/>
      <c r="R44" s="10"/>
      <c r="S44" s="10"/>
      <c r="T44" s="63"/>
      <c r="U44" s="10"/>
      <c r="V44" s="90"/>
      <c r="W44" s="91"/>
      <c r="X44" s="92"/>
    </row>
    <row r="45" spans="2:24">
      <c r="B45" s="87">
        <v>1</v>
      </c>
      <c r="C45" s="274">
        <v>45927</v>
      </c>
      <c r="D45" s="276">
        <v>73684</v>
      </c>
      <c r="E45" s="276" t="s">
        <v>673</v>
      </c>
      <c r="F45" s="277">
        <v>1261</v>
      </c>
      <c r="G45" s="277">
        <v>39.700000000000003</v>
      </c>
      <c r="H45" s="277"/>
      <c r="I45" s="278">
        <f>F45-G45-H45</f>
        <v>1221.3</v>
      </c>
      <c r="J45" s="279" t="s">
        <v>205</v>
      </c>
      <c r="K45" s="279">
        <v>1</v>
      </c>
      <c r="L45" s="279"/>
      <c r="M45" s="279"/>
      <c r="N45" s="279">
        <v>1</v>
      </c>
      <c r="O45" s="279"/>
      <c r="P45" s="279"/>
      <c r="Q45" s="279"/>
      <c r="R45" s="279"/>
      <c r="S45" s="280"/>
      <c r="T45" s="63"/>
      <c r="U45" s="10"/>
      <c r="V45" s="90"/>
      <c r="W45" s="91"/>
      <c r="X45" s="92"/>
    </row>
    <row r="46" spans="2:24">
      <c r="B46" s="87">
        <f>B45+1</f>
        <v>2</v>
      </c>
      <c r="C46" s="295">
        <v>45927</v>
      </c>
      <c r="D46" s="10" t="s">
        <v>2733</v>
      </c>
      <c r="E46" s="10" t="s">
        <v>572</v>
      </c>
      <c r="F46" s="62">
        <v>16700</v>
      </c>
      <c r="G46" s="62">
        <f>39.7</f>
        <v>39.700000000000003</v>
      </c>
      <c r="H46" s="62"/>
      <c r="I46" s="89">
        <f>F46-G46-H46</f>
        <v>16660.3</v>
      </c>
      <c r="J46" s="63" t="s">
        <v>205</v>
      </c>
      <c r="K46" s="63">
        <v>1</v>
      </c>
      <c r="L46" s="63"/>
      <c r="M46" s="63"/>
      <c r="N46" s="63">
        <v>1</v>
      </c>
      <c r="O46" s="10"/>
      <c r="P46" s="10"/>
      <c r="Q46" s="10"/>
      <c r="R46" s="10"/>
      <c r="S46" s="725"/>
      <c r="T46" s="63"/>
      <c r="U46" s="10"/>
      <c r="V46" s="90"/>
      <c r="W46" s="91"/>
      <c r="X46" s="92"/>
    </row>
    <row r="47" spans="2:24">
      <c r="B47" s="87">
        <f>B46+1</f>
        <v>3</v>
      </c>
      <c r="C47" s="282">
        <v>45927</v>
      </c>
      <c r="D47" s="283">
        <v>73707</v>
      </c>
      <c r="E47" s="283" t="s">
        <v>2734</v>
      </c>
      <c r="F47" s="284">
        <v>681</v>
      </c>
      <c r="G47" s="284"/>
      <c r="H47" s="284"/>
      <c r="I47" s="285">
        <f>F47-G47-H47</f>
        <v>681</v>
      </c>
      <c r="J47" s="286" t="s">
        <v>156</v>
      </c>
      <c r="K47" s="286">
        <v>1</v>
      </c>
      <c r="L47" s="286"/>
      <c r="M47" s="286"/>
      <c r="N47" s="286">
        <v>1</v>
      </c>
      <c r="O47" s="286"/>
      <c r="P47" s="286"/>
      <c r="Q47" s="286"/>
      <c r="R47" s="286"/>
      <c r="S47" s="287"/>
      <c r="T47" s="63"/>
      <c r="U47" s="10"/>
      <c r="V47" s="90">
        <v>93.5</v>
      </c>
      <c r="W47" s="91"/>
      <c r="X47" s="92"/>
    </row>
    <row r="48" spans="2:24">
      <c r="B48" s="11"/>
      <c r="C48" s="609"/>
      <c r="D48" s="10"/>
      <c r="E48" s="10"/>
      <c r="F48" s="97">
        <f>SUM(F45:F47)</f>
        <v>18642</v>
      </c>
      <c r="G48" s="97">
        <f>SUM(G45:G47)</f>
        <v>79.400000000000006</v>
      </c>
      <c r="H48" s="97">
        <f>SUM(H45:H47)</f>
        <v>0</v>
      </c>
      <c r="I48" s="98">
        <f>SUM(I45:I47)</f>
        <v>18562.599999999999</v>
      </c>
      <c r="J48" s="10"/>
      <c r="K48" s="10"/>
      <c r="L48" s="10"/>
      <c r="M48" s="10"/>
      <c r="N48" s="10"/>
      <c r="O48" s="10"/>
      <c r="P48" s="10"/>
      <c r="Q48" s="10"/>
      <c r="R48" s="10"/>
      <c r="S48" s="10"/>
      <c r="T48" s="63"/>
      <c r="U48" s="10"/>
      <c r="V48" s="90"/>
      <c r="W48" s="91"/>
      <c r="X48" s="92"/>
    </row>
    <row r="49" spans="2:25">
      <c r="B49" s="26"/>
      <c r="C49" s="612"/>
      <c r="D49" s="141"/>
      <c r="E49" s="141"/>
      <c r="F49" s="141"/>
      <c r="G49" s="141"/>
      <c r="H49" s="141"/>
      <c r="I49" s="141"/>
      <c r="J49" s="141"/>
      <c r="K49" s="142"/>
      <c r="L49" s="142"/>
      <c r="M49" s="142"/>
      <c r="N49" s="142"/>
      <c r="O49" s="142"/>
      <c r="P49" s="142"/>
      <c r="Q49" s="142"/>
      <c r="R49" s="142"/>
      <c r="S49" s="142"/>
      <c r="T49" s="143">
        <f>SUM(T34:T48)</f>
        <v>0</v>
      </c>
      <c r="U49" s="141"/>
      <c r="V49" s="144">
        <f>SUM(V34:V48)</f>
        <v>3227.62</v>
      </c>
      <c r="W49" s="144">
        <f>SUM(W34:W48)</f>
        <v>0</v>
      </c>
      <c r="X49" s="144">
        <f>SUM(X34:X48)</f>
        <v>0</v>
      </c>
    </row>
    <row r="50" spans="2:25">
      <c r="B50" s="10"/>
      <c r="C50" s="36"/>
      <c r="D50" s="10"/>
      <c r="E50" s="10"/>
      <c r="F50" s="10"/>
      <c r="G50" s="10"/>
      <c r="H50" s="10"/>
      <c r="I50" s="10"/>
      <c r="J50" s="10"/>
      <c r="K50" s="147"/>
      <c r="L50" s="147"/>
      <c r="M50" s="147"/>
      <c r="N50" s="147"/>
      <c r="O50" s="147"/>
      <c r="P50" s="147"/>
      <c r="Q50" s="147"/>
      <c r="R50" s="147"/>
      <c r="S50" s="147"/>
      <c r="T50" s="21"/>
      <c r="U50" s="10"/>
      <c r="V50" s="99"/>
      <c r="W50" s="99"/>
      <c r="X50" s="99"/>
    </row>
    <row r="51" spans="2:25">
      <c r="B51" s="10"/>
      <c r="C51" s="36"/>
      <c r="D51" s="10"/>
      <c r="E51" s="10"/>
      <c r="F51" s="10"/>
      <c r="G51" s="10"/>
      <c r="H51" s="10"/>
      <c r="I51" s="10"/>
      <c r="J51" s="10"/>
      <c r="K51" s="147"/>
      <c r="L51" s="147"/>
      <c r="M51" s="147"/>
      <c r="N51" s="147"/>
      <c r="O51" s="147"/>
      <c r="P51" s="147"/>
      <c r="Q51" s="147"/>
      <c r="R51" s="147"/>
      <c r="S51" s="147"/>
      <c r="T51" s="21"/>
      <c r="U51" s="10"/>
      <c r="V51" s="99"/>
      <c r="W51" s="99"/>
      <c r="X51" s="99"/>
    </row>
    <row r="52" spans="2:25">
      <c r="B52" s="4" t="s">
        <v>1</v>
      </c>
      <c r="C52" s="5"/>
      <c r="D52" s="6"/>
      <c r="E52" s="6"/>
      <c r="F52" s="7" t="s">
        <v>2</v>
      </c>
      <c r="G52" s="608">
        <v>45935</v>
      </c>
      <c r="H52" s="7"/>
      <c r="I52" s="6"/>
      <c r="J52" s="6"/>
      <c r="K52" s="6"/>
      <c r="L52" s="6"/>
      <c r="M52" s="6"/>
      <c r="N52" s="6"/>
      <c r="O52" s="6"/>
      <c r="P52" s="6"/>
      <c r="Q52" s="6"/>
      <c r="R52" s="6"/>
      <c r="S52" s="6"/>
      <c r="T52" s="6"/>
      <c r="U52" s="9"/>
      <c r="V52" s="10"/>
      <c r="W52" s="10"/>
      <c r="X52" s="10"/>
      <c r="Y52" s="2"/>
    </row>
    <row r="53" spans="2:25">
      <c r="B53" s="11"/>
      <c r="C53" s="10"/>
      <c r="D53" s="10"/>
      <c r="E53" s="10"/>
      <c r="F53" s="10"/>
      <c r="G53" s="7"/>
      <c r="H53" s="12"/>
      <c r="I53" s="10"/>
      <c r="J53" s="10"/>
      <c r="K53" s="13" t="s">
        <v>3</v>
      </c>
      <c r="L53" s="14"/>
      <c r="M53" s="15"/>
      <c r="N53" s="13" t="s">
        <v>4</v>
      </c>
      <c r="O53" s="14"/>
      <c r="P53" s="15"/>
      <c r="Q53" s="13" t="s">
        <v>5</v>
      </c>
      <c r="R53" s="14"/>
      <c r="S53" s="15"/>
      <c r="T53" s="16"/>
      <c r="U53" s="17"/>
      <c r="V53" s="10"/>
      <c r="W53" s="10"/>
      <c r="X53" s="10"/>
      <c r="Y53" s="2"/>
    </row>
    <row r="54" spans="2:25">
      <c r="B54" s="18" t="s">
        <v>6</v>
      </c>
      <c r="C54" s="19">
        <f>C55+C56</f>
        <v>34</v>
      </c>
      <c r="D54" s="10"/>
      <c r="E54" s="18" t="s">
        <v>7</v>
      </c>
      <c r="F54" s="6"/>
      <c r="G54" s="9"/>
      <c r="H54" s="10"/>
      <c r="I54" s="10"/>
      <c r="J54" s="10"/>
      <c r="K54" s="20" t="s">
        <v>8</v>
      </c>
      <c r="L54" s="21" t="s">
        <v>9</v>
      </c>
      <c r="M54" s="21" t="s">
        <v>10</v>
      </c>
      <c r="N54" s="20" t="s">
        <v>11</v>
      </c>
      <c r="O54" s="21" t="s">
        <v>12</v>
      </c>
      <c r="P54" s="22" t="s">
        <v>13</v>
      </c>
      <c r="Q54" s="21" t="s">
        <v>11</v>
      </c>
      <c r="R54" s="21" t="s">
        <v>12</v>
      </c>
      <c r="S54" s="22" t="s">
        <v>13</v>
      </c>
      <c r="T54" s="23" t="s">
        <v>14</v>
      </c>
      <c r="U54" s="17"/>
      <c r="V54" s="10"/>
      <c r="W54" s="10"/>
      <c r="X54" s="10"/>
      <c r="Y54" s="2"/>
    </row>
    <row r="55" spans="2:25">
      <c r="B55" s="24" t="s">
        <v>15</v>
      </c>
      <c r="C55" s="25">
        <f>P62</f>
        <v>17</v>
      </c>
      <c r="D55" s="10"/>
      <c r="E55" s="26" t="s">
        <v>16</v>
      </c>
      <c r="F55" s="27">
        <v>0.05</v>
      </c>
      <c r="G55" s="28"/>
      <c r="H55" s="10"/>
      <c r="I55" s="10"/>
      <c r="J55" s="18" t="s">
        <v>17</v>
      </c>
      <c r="K55" s="29">
        <f>K93</f>
        <v>10</v>
      </c>
      <c r="L55" s="29">
        <f t="shared" ref="L55:S55" si="9">L93</f>
        <v>7</v>
      </c>
      <c r="M55" s="29">
        <f t="shared" si="9"/>
        <v>12</v>
      </c>
      <c r="N55" s="29">
        <f t="shared" si="9"/>
        <v>12</v>
      </c>
      <c r="O55" s="29">
        <f t="shared" si="9"/>
        <v>13</v>
      </c>
      <c r="P55" s="29">
        <f t="shared" si="9"/>
        <v>4</v>
      </c>
      <c r="Q55" s="29">
        <f t="shared" si="9"/>
        <v>13</v>
      </c>
      <c r="R55" s="29">
        <f t="shared" si="9"/>
        <v>12</v>
      </c>
      <c r="S55" s="29">
        <f t="shared" si="9"/>
        <v>7</v>
      </c>
      <c r="T55" s="30">
        <f>T124</f>
        <v>5</v>
      </c>
      <c r="U55" s="17"/>
      <c r="V55" s="10"/>
      <c r="W55" s="10"/>
      <c r="X55" s="10"/>
      <c r="Y55" s="2"/>
    </row>
    <row r="56" spans="2:25">
      <c r="B56" s="24" t="s">
        <v>18</v>
      </c>
      <c r="C56" s="25">
        <f>P63</f>
        <v>17</v>
      </c>
      <c r="D56" s="10"/>
      <c r="E56" s="10"/>
      <c r="F56" s="10"/>
      <c r="G56" s="31"/>
      <c r="H56" s="10"/>
      <c r="I56" s="10"/>
      <c r="J56" s="32" t="s">
        <v>19</v>
      </c>
      <c r="K56" s="33">
        <f>K93/K92</f>
        <v>0.76923076923076927</v>
      </c>
      <c r="L56" s="33">
        <f t="shared" ref="L56:S56" si="10">L93/L92</f>
        <v>0.53846153846153844</v>
      </c>
      <c r="M56" s="33">
        <f t="shared" si="10"/>
        <v>0.92307692307692313</v>
      </c>
      <c r="N56" s="33">
        <f t="shared" si="10"/>
        <v>0.92307692307692313</v>
      </c>
      <c r="O56" s="33">
        <f t="shared" si="10"/>
        <v>1</v>
      </c>
      <c r="P56" s="33">
        <f t="shared" si="10"/>
        <v>0.30769230769230771</v>
      </c>
      <c r="Q56" s="33">
        <f t="shared" si="10"/>
        <v>1</v>
      </c>
      <c r="R56" s="33">
        <f t="shared" si="10"/>
        <v>0.92307692307692313</v>
      </c>
      <c r="S56" s="33">
        <f t="shared" si="10"/>
        <v>0.53846153846153844</v>
      </c>
      <c r="T56" s="23"/>
      <c r="U56" s="17" t="s">
        <v>20</v>
      </c>
      <c r="V56" s="10"/>
      <c r="W56" s="10"/>
      <c r="X56" s="10"/>
      <c r="Y56" s="2"/>
    </row>
    <row r="57" spans="2:25">
      <c r="B57" s="24" t="s">
        <v>21</v>
      </c>
      <c r="C57" s="34">
        <f>P64</f>
        <v>0.5</v>
      </c>
      <c r="D57" s="10"/>
      <c r="E57" s="10"/>
      <c r="F57" s="10"/>
      <c r="G57" s="10"/>
      <c r="H57" s="10"/>
      <c r="I57" s="10"/>
      <c r="J57" s="10"/>
      <c r="K57" s="10"/>
      <c r="L57" s="10"/>
      <c r="M57" s="10"/>
      <c r="N57" s="10"/>
      <c r="O57" s="10"/>
      <c r="P57" s="10"/>
      <c r="Q57" s="10"/>
      <c r="R57" s="10"/>
      <c r="S57" s="10"/>
      <c r="T57" s="10"/>
      <c r="U57" s="17"/>
      <c r="V57" s="10"/>
      <c r="W57" s="10"/>
      <c r="X57" s="10"/>
      <c r="Y57" s="2"/>
    </row>
    <row r="58" spans="2:25">
      <c r="B58" s="24"/>
      <c r="C58" s="25"/>
      <c r="D58" s="10"/>
      <c r="E58" s="10"/>
      <c r="F58" s="18" t="s">
        <v>22</v>
      </c>
      <c r="G58" s="19" t="s">
        <v>23</v>
      </c>
      <c r="H58" s="35" t="s">
        <v>24</v>
      </c>
      <c r="I58" s="10"/>
      <c r="J58" s="10"/>
      <c r="K58" s="36"/>
      <c r="L58" s="36"/>
      <c r="M58" s="36"/>
      <c r="N58" s="36"/>
      <c r="O58" s="36"/>
      <c r="P58" s="36"/>
      <c r="Q58" s="36"/>
      <c r="R58" s="10"/>
      <c r="S58" s="10"/>
      <c r="T58" s="10"/>
      <c r="U58" s="17"/>
      <c r="V58" s="10"/>
      <c r="W58" s="10"/>
      <c r="X58" s="10"/>
      <c r="Y58" s="2"/>
    </row>
    <row r="59" spans="2:25">
      <c r="B59" s="32" t="s">
        <v>25</v>
      </c>
      <c r="C59" s="37">
        <f>P65</f>
        <v>1991.2005882352944</v>
      </c>
      <c r="D59" s="10"/>
      <c r="E59" s="18" t="s">
        <v>26</v>
      </c>
      <c r="F59" s="38">
        <f>P61</f>
        <v>33850.410000000003</v>
      </c>
      <c r="G59" s="39">
        <f>I92+I97+I103</f>
        <v>33850.409999999996</v>
      </c>
      <c r="H59" s="40"/>
      <c r="I59" s="41"/>
      <c r="J59" s="42"/>
      <c r="K59" s="43" t="s">
        <v>27</v>
      </c>
      <c r="L59" s="44"/>
      <c r="M59" s="44"/>
      <c r="N59" s="44"/>
      <c r="O59" s="44"/>
      <c r="P59" s="44"/>
      <c r="Q59" s="45"/>
      <c r="R59" s="46" t="s">
        <v>28</v>
      </c>
      <c r="S59" s="47" t="s">
        <v>29</v>
      </c>
      <c r="T59" s="10"/>
      <c r="U59" s="17"/>
      <c r="V59" s="10"/>
      <c r="W59" s="10"/>
      <c r="X59" s="10"/>
      <c r="Y59" s="2"/>
    </row>
    <row r="60" spans="2:25">
      <c r="B60" s="11"/>
      <c r="C60" s="10"/>
      <c r="D60" s="10"/>
      <c r="E60" s="24" t="s">
        <v>30</v>
      </c>
      <c r="F60" s="48">
        <f>F55</f>
        <v>0.05</v>
      </c>
      <c r="G60" s="17"/>
      <c r="H60" s="40"/>
      <c r="I60" s="41"/>
      <c r="J60" s="42"/>
      <c r="K60" s="20" t="s">
        <v>31</v>
      </c>
      <c r="L60" s="21" t="s">
        <v>32</v>
      </c>
      <c r="M60" s="21" t="s">
        <v>33</v>
      </c>
      <c r="N60" s="21" t="s">
        <v>34</v>
      </c>
      <c r="O60" s="21" t="s">
        <v>35</v>
      </c>
      <c r="P60" s="21" t="s">
        <v>36</v>
      </c>
      <c r="Q60" s="49" t="s">
        <v>37</v>
      </c>
      <c r="R60" s="50" t="s">
        <v>38</v>
      </c>
      <c r="S60" s="50" t="s">
        <v>38</v>
      </c>
      <c r="T60" s="10"/>
      <c r="U60" s="17"/>
      <c r="V60" s="10"/>
      <c r="W60" s="10"/>
      <c r="X60" s="10"/>
      <c r="Y60" s="2"/>
    </row>
    <row r="61" spans="2:25">
      <c r="B61" s="11"/>
      <c r="C61" s="10"/>
      <c r="D61" s="10"/>
      <c r="E61" s="51" t="s">
        <v>39</v>
      </c>
      <c r="F61" s="52">
        <f>(F59-I90-I96-I100-I101-I102)*F60</f>
        <v>597.45000000000016</v>
      </c>
      <c r="G61" s="53" t="s">
        <v>40</v>
      </c>
      <c r="H61" s="54">
        <f>F61/1.12</f>
        <v>533.43750000000011</v>
      </c>
      <c r="I61" s="55"/>
      <c r="J61" s="42"/>
      <c r="K61" s="56">
        <f>I79+I80+I81+I100+I101</f>
        <v>18777.48</v>
      </c>
      <c r="L61" s="57">
        <f>I82+I83+I84+I102</f>
        <v>6068.3</v>
      </c>
      <c r="M61" s="57">
        <f>I86+I85+I96</f>
        <v>4013.6099999999997</v>
      </c>
      <c r="N61" s="57">
        <f>I87+I88+I89+I90</f>
        <v>3569.7200000000003</v>
      </c>
      <c r="O61" s="57">
        <f>I91</f>
        <v>1421.3</v>
      </c>
      <c r="P61" s="57">
        <f>SUM(K61:O61)</f>
        <v>33850.410000000003</v>
      </c>
      <c r="Q61" s="58">
        <v>0</v>
      </c>
      <c r="R61" s="59">
        <f>I97+I103</f>
        <v>21320.41</v>
      </c>
      <c r="S61" s="59">
        <v>0</v>
      </c>
      <c r="T61" s="10"/>
      <c r="U61" s="17"/>
      <c r="V61" s="10"/>
      <c r="W61" s="10"/>
      <c r="X61" s="10"/>
      <c r="Y61" s="2"/>
    </row>
    <row r="62" spans="2:25">
      <c r="B62" s="11"/>
      <c r="C62" s="10"/>
      <c r="D62" s="10"/>
      <c r="E62" s="24" t="s">
        <v>41</v>
      </c>
      <c r="F62" s="60">
        <f>Q61</f>
        <v>0</v>
      </c>
      <c r="G62" s="61" t="s">
        <v>40</v>
      </c>
      <c r="H62" s="62"/>
      <c r="I62" s="62"/>
      <c r="J62" s="10" t="s">
        <v>42</v>
      </c>
      <c r="K62" s="63">
        <v>5</v>
      </c>
      <c r="L62" s="63">
        <v>4</v>
      </c>
      <c r="M62" s="63">
        <v>3</v>
      </c>
      <c r="N62" s="63">
        <v>4</v>
      </c>
      <c r="O62" s="63">
        <v>1</v>
      </c>
      <c r="P62" s="21">
        <f>SUM(K62:O62)</f>
        <v>17</v>
      </c>
      <c r="Q62" s="64">
        <v>0</v>
      </c>
      <c r="R62" s="63"/>
      <c r="S62" s="10"/>
      <c r="T62" s="10"/>
      <c r="U62" s="17"/>
      <c r="V62" s="10"/>
      <c r="W62" s="10"/>
      <c r="X62" s="10"/>
      <c r="Y62" s="2"/>
    </row>
    <row r="63" spans="2:25">
      <c r="B63" s="11"/>
      <c r="C63" s="10"/>
      <c r="D63" s="10"/>
      <c r="E63" s="51" t="s">
        <v>43</v>
      </c>
      <c r="F63" s="52">
        <f>F62*0.25</f>
        <v>0</v>
      </c>
      <c r="G63" s="53" t="s">
        <v>40</v>
      </c>
      <c r="H63" s="54">
        <f>F63/1.12</f>
        <v>0</v>
      </c>
      <c r="I63" s="10"/>
      <c r="J63" s="10" t="s">
        <v>44</v>
      </c>
      <c r="K63" s="63">
        <v>3</v>
      </c>
      <c r="L63" s="63">
        <v>1</v>
      </c>
      <c r="M63" s="63">
        <v>6</v>
      </c>
      <c r="N63" s="63">
        <v>3</v>
      </c>
      <c r="O63" s="63">
        <v>4</v>
      </c>
      <c r="P63" s="21">
        <f>SUM(K63:O63)</f>
        <v>17</v>
      </c>
      <c r="Q63" s="64">
        <v>0</v>
      </c>
      <c r="R63" s="63"/>
      <c r="S63" s="10"/>
      <c r="T63" s="10"/>
      <c r="U63" s="17"/>
      <c r="V63" s="10"/>
      <c r="W63" s="10"/>
      <c r="X63" s="10"/>
      <c r="Y63" s="2"/>
    </row>
    <row r="64" spans="2:25">
      <c r="B64" s="11"/>
      <c r="C64" s="10"/>
      <c r="D64" s="10"/>
      <c r="E64" s="24" t="s">
        <v>45</v>
      </c>
      <c r="F64" s="60"/>
      <c r="G64" s="61" t="s">
        <v>40</v>
      </c>
      <c r="H64" s="62"/>
      <c r="I64" s="10"/>
      <c r="J64" s="10" t="s">
        <v>46</v>
      </c>
      <c r="K64" s="31">
        <f t="shared" ref="K64:Q64" si="11">K62/(K62+K63)</f>
        <v>0.625</v>
      </c>
      <c r="L64" s="31">
        <f t="shared" si="11"/>
        <v>0.8</v>
      </c>
      <c r="M64" s="31">
        <f t="shared" si="11"/>
        <v>0.33333333333333331</v>
      </c>
      <c r="N64" s="31">
        <f t="shared" si="11"/>
        <v>0.5714285714285714</v>
      </c>
      <c r="O64" s="31">
        <f t="shared" si="11"/>
        <v>0.2</v>
      </c>
      <c r="P64" s="31">
        <f t="shared" si="11"/>
        <v>0.5</v>
      </c>
      <c r="Q64" s="31" t="e">
        <f t="shared" si="11"/>
        <v>#DIV/0!</v>
      </c>
      <c r="R64" s="63"/>
      <c r="S64" s="10"/>
      <c r="T64" s="10"/>
      <c r="U64" s="17"/>
      <c r="V64" s="10"/>
      <c r="W64" s="10"/>
      <c r="X64" s="10"/>
      <c r="Y64" s="2"/>
    </row>
    <row r="65" spans="2:25">
      <c r="B65" s="11"/>
      <c r="C65" s="10"/>
      <c r="D65" s="10"/>
      <c r="E65" s="51" t="s">
        <v>47</v>
      </c>
      <c r="F65" s="52">
        <f>F64*0.05</f>
        <v>0</v>
      </c>
      <c r="G65" s="65" t="s">
        <v>40</v>
      </c>
      <c r="H65" s="54">
        <f>F65/1.12</f>
        <v>0</v>
      </c>
      <c r="I65" s="42"/>
      <c r="J65" s="10" t="s">
        <v>48</v>
      </c>
      <c r="K65" s="66">
        <f>K61/K62</f>
        <v>3755.4960000000001</v>
      </c>
      <c r="L65" s="66">
        <f t="shared" ref="L65:Q65" si="12">L61/L62</f>
        <v>1517.075</v>
      </c>
      <c r="M65" s="66">
        <f t="shared" si="12"/>
        <v>1337.87</v>
      </c>
      <c r="N65" s="66">
        <f t="shared" si="12"/>
        <v>892.43000000000006</v>
      </c>
      <c r="O65" s="66">
        <f t="shared" si="12"/>
        <v>1421.3</v>
      </c>
      <c r="P65" s="66">
        <f t="shared" si="12"/>
        <v>1991.2005882352944</v>
      </c>
      <c r="Q65" s="66" t="e">
        <f t="shared" si="12"/>
        <v>#DIV/0!</v>
      </c>
      <c r="R65" s="63"/>
      <c r="S65" s="10"/>
      <c r="T65" s="10"/>
      <c r="U65" s="17"/>
      <c r="V65" s="10"/>
      <c r="W65" s="10"/>
      <c r="X65" s="10"/>
      <c r="Y65" s="2"/>
    </row>
    <row r="66" spans="2:25">
      <c r="B66" s="11"/>
      <c r="C66" s="10"/>
      <c r="D66" s="10"/>
      <c r="E66" s="67" t="s">
        <v>14</v>
      </c>
      <c r="F66" s="68">
        <f>5*50</f>
        <v>250</v>
      </c>
      <c r="G66" s="10"/>
      <c r="H66" s="54">
        <f>F66/1.12</f>
        <v>223.21428571428569</v>
      </c>
      <c r="I66" s="10"/>
      <c r="J66" s="10"/>
      <c r="K66" s="10"/>
      <c r="L66" s="10"/>
      <c r="M66" s="10"/>
      <c r="N66" s="10"/>
      <c r="O66" s="10"/>
      <c r="P66" s="10"/>
      <c r="Q66" s="10"/>
      <c r="R66" s="10"/>
      <c r="S66" s="10"/>
      <c r="T66" s="10"/>
      <c r="U66" s="17"/>
      <c r="V66" s="10"/>
      <c r="W66" s="10"/>
      <c r="X66" s="10"/>
      <c r="Y66" s="2"/>
    </row>
    <row r="67" spans="2:25">
      <c r="B67" s="11"/>
      <c r="C67" s="10"/>
      <c r="D67" s="10"/>
      <c r="E67" s="627" t="s">
        <v>49</v>
      </c>
      <c r="F67" s="628">
        <f>T56</f>
        <v>0</v>
      </c>
      <c r="G67" s="10"/>
      <c r="H67" s="54"/>
      <c r="I67" s="55"/>
      <c r="J67" s="42"/>
      <c r="K67" s="764" t="s">
        <v>50</v>
      </c>
      <c r="L67" s="765"/>
      <c r="M67" s="765"/>
      <c r="N67" s="765"/>
      <c r="O67" s="765"/>
      <c r="P67" s="765"/>
      <c r="Q67" s="766"/>
      <c r="R67" s="70" t="s">
        <v>28</v>
      </c>
      <c r="S67" s="71" t="s">
        <v>29</v>
      </c>
      <c r="T67" s="10"/>
      <c r="U67" s="17"/>
      <c r="V67" s="10"/>
      <c r="W67" s="10"/>
      <c r="X67" s="10"/>
      <c r="Y67" s="2"/>
    </row>
    <row r="68" spans="2:25">
      <c r="B68" s="11"/>
      <c r="C68" s="10"/>
      <c r="D68" s="10"/>
      <c r="E68" s="12"/>
      <c r="F68" s="76"/>
      <c r="G68" s="10"/>
      <c r="H68" s="10"/>
      <c r="I68" s="10"/>
      <c r="J68" s="42"/>
      <c r="K68" s="20" t="s">
        <v>31</v>
      </c>
      <c r="L68" s="21" t="s">
        <v>32</v>
      </c>
      <c r="M68" s="21" t="s">
        <v>33</v>
      </c>
      <c r="N68" s="21" t="s">
        <v>34</v>
      </c>
      <c r="O68" s="21" t="s">
        <v>35</v>
      </c>
      <c r="P68" s="21" t="s">
        <v>36</v>
      </c>
      <c r="Q68" s="49" t="s">
        <v>37</v>
      </c>
      <c r="R68" s="50" t="s">
        <v>38</v>
      </c>
      <c r="S68" s="50" t="s">
        <v>38</v>
      </c>
      <c r="T68" s="10"/>
      <c r="U68" s="17"/>
      <c r="V68" s="10"/>
      <c r="W68" s="10"/>
      <c r="X68" s="10"/>
      <c r="Y68" s="2"/>
    </row>
    <row r="69" spans="2:25">
      <c r="B69" s="11"/>
      <c r="C69" s="10"/>
      <c r="D69" s="10"/>
      <c r="E69" s="10"/>
      <c r="F69" s="10"/>
      <c r="G69" s="10"/>
      <c r="H69" s="10"/>
      <c r="I69" s="10"/>
      <c r="J69" s="42"/>
      <c r="K69" s="56">
        <f>F79+F80+F81+F100+F101</f>
        <v>22652</v>
      </c>
      <c r="L69" s="57">
        <f>F82+F83+F84+F102</f>
        <v>8694</v>
      </c>
      <c r="M69" s="57">
        <f>F86+F85+F96</f>
        <v>4633</v>
      </c>
      <c r="N69" s="57">
        <f>F87+F88+F89+F90</f>
        <v>3704</v>
      </c>
      <c r="O69" s="57">
        <f>F91</f>
        <v>1461</v>
      </c>
      <c r="P69" s="57">
        <f>SUM(K69:O69)</f>
        <v>41144</v>
      </c>
      <c r="Q69" s="58">
        <v>0</v>
      </c>
      <c r="R69" s="59">
        <f>F97+F103</f>
        <v>28181</v>
      </c>
      <c r="S69" s="59">
        <v>0</v>
      </c>
      <c r="T69" s="10"/>
      <c r="U69" s="17"/>
      <c r="V69" s="10"/>
      <c r="W69" s="10"/>
      <c r="X69" s="10"/>
      <c r="Y69" s="2"/>
    </row>
    <row r="70" spans="2:25">
      <c r="B70" s="11"/>
      <c r="C70" s="10"/>
      <c r="D70" s="10"/>
      <c r="E70" s="10"/>
      <c r="F70" s="10"/>
      <c r="G70" s="10"/>
      <c r="H70" s="10"/>
      <c r="I70" s="10"/>
      <c r="J70" s="10" t="s">
        <v>42</v>
      </c>
      <c r="K70" s="63">
        <f>K62</f>
        <v>5</v>
      </c>
      <c r="L70" s="63">
        <f t="shared" ref="L70:Q71" si="13">L62</f>
        <v>4</v>
      </c>
      <c r="M70" s="63">
        <f t="shared" si="13"/>
        <v>3</v>
      </c>
      <c r="N70" s="63">
        <f t="shared" si="13"/>
        <v>4</v>
      </c>
      <c r="O70" s="63">
        <f t="shared" si="13"/>
        <v>1</v>
      </c>
      <c r="P70" s="63">
        <f t="shared" si="13"/>
        <v>17</v>
      </c>
      <c r="Q70" s="63">
        <f t="shared" si="13"/>
        <v>0</v>
      </c>
      <c r="R70" s="63"/>
      <c r="S70" s="10"/>
      <c r="T70" s="10"/>
      <c r="U70" s="17"/>
      <c r="V70" s="10"/>
      <c r="W70" s="10"/>
      <c r="X70" s="10"/>
      <c r="Y70" s="2"/>
    </row>
    <row r="71" spans="2:25">
      <c r="B71" s="11"/>
      <c r="C71" s="10"/>
      <c r="D71" s="10"/>
      <c r="E71" s="10"/>
      <c r="F71" s="10"/>
      <c r="G71" s="10"/>
      <c r="H71" s="10"/>
      <c r="I71" s="10"/>
      <c r="J71" s="10" t="s">
        <v>44</v>
      </c>
      <c r="K71" s="63">
        <f>K63</f>
        <v>3</v>
      </c>
      <c r="L71" s="63">
        <f t="shared" si="13"/>
        <v>1</v>
      </c>
      <c r="M71" s="63">
        <f t="shared" si="13"/>
        <v>6</v>
      </c>
      <c r="N71" s="63">
        <f t="shared" si="13"/>
        <v>3</v>
      </c>
      <c r="O71" s="63">
        <f t="shared" si="13"/>
        <v>4</v>
      </c>
      <c r="P71" s="63">
        <f t="shared" si="13"/>
        <v>17</v>
      </c>
      <c r="Q71" s="63">
        <f t="shared" si="13"/>
        <v>0</v>
      </c>
      <c r="R71" s="63"/>
      <c r="S71" s="10"/>
      <c r="T71" s="10"/>
      <c r="U71" s="17"/>
      <c r="V71" s="10"/>
      <c r="W71" s="10"/>
      <c r="X71" s="10"/>
      <c r="Y71" s="2"/>
    </row>
    <row r="72" spans="2:25">
      <c r="B72" s="11"/>
      <c r="C72" s="10"/>
      <c r="D72" s="10"/>
      <c r="E72" s="12"/>
      <c r="F72" s="76"/>
      <c r="G72" s="10"/>
      <c r="H72" s="10"/>
      <c r="I72" s="10"/>
      <c r="J72" s="10" t="s">
        <v>46</v>
      </c>
      <c r="K72" s="31">
        <f t="shared" ref="K72:Q72" si="14">K70/(K70+K71)</f>
        <v>0.625</v>
      </c>
      <c r="L72" s="31">
        <f t="shared" si="14"/>
        <v>0.8</v>
      </c>
      <c r="M72" s="31">
        <f t="shared" si="14"/>
        <v>0.33333333333333331</v>
      </c>
      <c r="N72" s="31">
        <f t="shared" si="14"/>
        <v>0.5714285714285714</v>
      </c>
      <c r="O72" s="31">
        <f t="shared" si="14"/>
        <v>0.2</v>
      </c>
      <c r="P72" s="31">
        <f t="shared" si="14"/>
        <v>0.5</v>
      </c>
      <c r="Q72" s="31" t="e">
        <f t="shared" si="14"/>
        <v>#DIV/0!</v>
      </c>
      <c r="R72" s="63"/>
      <c r="S72" s="10"/>
      <c r="T72" s="10"/>
      <c r="U72" s="17"/>
      <c r="V72" s="10"/>
      <c r="W72" s="10"/>
      <c r="X72" s="10"/>
      <c r="Y72" s="2"/>
    </row>
    <row r="73" spans="2:25">
      <c r="B73" s="11"/>
      <c r="C73" s="10"/>
      <c r="D73" s="10"/>
      <c r="E73" s="10"/>
      <c r="F73" s="10"/>
      <c r="G73" s="10"/>
      <c r="H73" s="10"/>
      <c r="I73" s="10"/>
      <c r="J73" s="10" t="s">
        <v>48</v>
      </c>
      <c r="K73" s="66">
        <f t="shared" ref="K73:Q73" si="15">K69/K70</f>
        <v>4530.3999999999996</v>
      </c>
      <c r="L73" s="66">
        <f t="shared" si="15"/>
        <v>2173.5</v>
      </c>
      <c r="M73" s="66">
        <f t="shared" si="15"/>
        <v>1544.3333333333333</v>
      </c>
      <c r="N73" s="66">
        <f t="shared" si="15"/>
        <v>926</v>
      </c>
      <c r="O73" s="66">
        <f t="shared" si="15"/>
        <v>1461</v>
      </c>
      <c r="P73" s="66">
        <f t="shared" si="15"/>
        <v>2420.2352941176468</v>
      </c>
      <c r="Q73" s="66" t="e">
        <f t="shared" si="15"/>
        <v>#DIV/0!</v>
      </c>
      <c r="R73" s="63"/>
      <c r="S73" s="10"/>
      <c r="T73" s="10"/>
      <c r="U73" s="17"/>
      <c r="V73" s="10"/>
      <c r="W73" s="10"/>
      <c r="X73" s="10"/>
      <c r="Y73" s="2"/>
    </row>
    <row r="74" spans="2:25">
      <c r="B74" s="11"/>
      <c r="C74" s="10"/>
      <c r="D74" s="10"/>
      <c r="E74" s="10"/>
      <c r="F74" s="10"/>
      <c r="G74" s="10"/>
      <c r="H74" s="10"/>
      <c r="I74" s="10"/>
      <c r="J74" s="10"/>
      <c r="K74" s="10"/>
      <c r="L74" s="10"/>
      <c r="M74" s="10"/>
      <c r="N74" s="10"/>
      <c r="O74" s="10"/>
      <c r="P74" s="10"/>
      <c r="Q74" s="10"/>
      <c r="R74" s="10"/>
      <c r="S74" s="10"/>
      <c r="T74" s="10"/>
      <c r="U74" s="17"/>
      <c r="V74" s="10"/>
      <c r="W74" s="10"/>
      <c r="X74" s="10"/>
      <c r="Y74" s="2"/>
    </row>
    <row r="75" spans="2:25">
      <c r="B75" s="11"/>
      <c r="C75" s="10"/>
      <c r="D75" s="10"/>
      <c r="E75" s="10"/>
      <c r="F75" s="10"/>
      <c r="G75" s="10"/>
      <c r="H75" s="10"/>
      <c r="I75" s="10"/>
      <c r="J75" s="10"/>
      <c r="K75" s="10"/>
      <c r="L75" s="10"/>
      <c r="M75" s="10"/>
      <c r="N75" s="10"/>
      <c r="O75" s="10"/>
      <c r="P75" s="10"/>
      <c r="Q75" s="10"/>
      <c r="R75" s="10"/>
      <c r="S75" s="10"/>
      <c r="T75" s="10"/>
      <c r="U75" s="17"/>
      <c r="V75" s="10"/>
      <c r="W75" s="10"/>
      <c r="X75" s="10"/>
      <c r="Y75" s="2"/>
    </row>
    <row r="76" spans="2:25">
      <c r="B76" s="18" t="s">
        <v>51</v>
      </c>
      <c r="C76" s="14"/>
      <c r="D76" s="14"/>
      <c r="E76" s="14"/>
      <c r="F76" s="13" t="s">
        <v>52</v>
      </c>
      <c r="G76" s="14"/>
      <c r="H76" s="14"/>
      <c r="I76" s="14"/>
      <c r="J76" s="14"/>
      <c r="K76" s="13" t="s">
        <v>3</v>
      </c>
      <c r="L76" s="14"/>
      <c r="M76" s="14"/>
      <c r="N76" s="13" t="s">
        <v>4</v>
      </c>
      <c r="O76" s="14"/>
      <c r="P76" s="14"/>
      <c r="Q76" s="13" t="s">
        <v>5</v>
      </c>
      <c r="R76" s="14"/>
      <c r="S76" s="14"/>
      <c r="T76" s="18"/>
      <c r="U76" s="16" t="s">
        <v>53</v>
      </c>
      <c r="V76" s="77"/>
      <c r="W76" s="77"/>
      <c r="X76" s="77"/>
      <c r="Y76" s="2"/>
    </row>
    <row r="77" spans="2:25">
      <c r="B77" s="24" t="s">
        <v>54</v>
      </c>
      <c r="C77" s="21" t="s">
        <v>55</v>
      </c>
      <c r="D77" s="21" t="s">
        <v>56</v>
      </c>
      <c r="E77" s="21" t="s">
        <v>57</v>
      </c>
      <c r="F77" s="20" t="s">
        <v>58</v>
      </c>
      <c r="G77" s="21" t="s">
        <v>59</v>
      </c>
      <c r="H77" s="21" t="s">
        <v>60</v>
      </c>
      <c r="I77" s="21" t="s">
        <v>26</v>
      </c>
      <c r="J77" s="22" t="s">
        <v>61</v>
      </c>
      <c r="K77" s="21" t="s">
        <v>8</v>
      </c>
      <c r="L77" s="21" t="s">
        <v>9</v>
      </c>
      <c r="M77" s="21" t="s">
        <v>10</v>
      </c>
      <c r="N77" s="20" t="s">
        <v>11</v>
      </c>
      <c r="O77" s="21" t="s">
        <v>12</v>
      </c>
      <c r="P77" s="22" t="s">
        <v>13</v>
      </c>
      <c r="Q77" s="21" t="s">
        <v>11</v>
      </c>
      <c r="R77" s="21" t="s">
        <v>12</v>
      </c>
      <c r="S77" s="21" t="s">
        <v>13</v>
      </c>
      <c r="T77" s="78" t="s">
        <v>14</v>
      </c>
      <c r="U77" s="30"/>
      <c r="V77" s="79" t="s">
        <v>62</v>
      </c>
      <c r="W77" s="80" t="s">
        <v>63</v>
      </c>
      <c r="X77" s="81" t="s">
        <v>64</v>
      </c>
      <c r="Y77" s="2"/>
    </row>
    <row r="78" spans="2:25">
      <c r="B78" s="4" t="s">
        <v>65</v>
      </c>
      <c r="C78" s="6"/>
      <c r="D78" s="6"/>
      <c r="E78" s="6"/>
      <c r="F78" s="6"/>
      <c r="G78" s="6"/>
      <c r="H78" s="6"/>
      <c r="I78" s="82"/>
      <c r="J78" s="6"/>
      <c r="K78" s="6"/>
      <c r="L78" s="6"/>
      <c r="M78" s="6"/>
      <c r="N78" s="6"/>
      <c r="O78" s="6"/>
      <c r="P78" s="6"/>
      <c r="Q78" s="6"/>
      <c r="R78" s="6"/>
      <c r="S78" s="6"/>
      <c r="T78" s="83"/>
      <c r="U78" s="6"/>
      <c r="V78" s="84"/>
      <c r="W78" s="85"/>
      <c r="X78" s="86"/>
      <c r="Y78" s="2"/>
    </row>
    <row r="79" spans="2:25">
      <c r="B79" s="87">
        <v>1</v>
      </c>
      <c r="C79" s="638">
        <v>45929</v>
      </c>
      <c r="D79" s="327">
        <v>73630</v>
      </c>
      <c r="E79" s="276" t="s">
        <v>752</v>
      </c>
      <c r="F79" s="277">
        <v>581</v>
      </c>
      <c r="G79" s="277"/>
      <c r="H79" s="297"/>
      <c r="I79" s="321">
        <f t="shared" ref="I79:I91" si="16">F79-G79-H79</f>
        <v>581</v>
      </c>
      <c r="J79" s="279" t="s">
        <v>156</v>
      </c>
      <c r="K79" s="279">
        <v>1</v>
      </c>
      <c r="L79" s="322">
        <v>0</v>
      </c>
      <c r="M79" s="279">
        <v>1</v>
      </c>
      <c r="N79" s="279">
        <v>1</v>
      </c>
      <c r="O79" s="279">
        <v>1</v>
      </c>
      <c r="P79" s="322">
        <v>0</v>
      </c>
      <c r="Q79" s="279">
        <v>1</v>
      </c>
      <c r="R79" s="279">
        <v>1</v>
      </c>
      <c r="S79" s="280">
        <v>1</v>
      </c>
      <c r="T79" s="63"/>
      <c r="U79" s="10"/>
      <c r="V79" s="90">
        <v>639.1</v>
      </c>
      <c r="W79" s="91"/>
      <c r="X79" s="92"/>
      <c r="Y79" s="2"/>
    </row>
    <row r="80" spans="2:25">
      <c r="B80" s="87">
        <f>B79+1</f>
        <v>2</v>
      </c>
      <c r="C80" s="639">
        <v>45929</v>
      </c>
      <c r="D80" s="346" t="s">
        <v>2735</v>
      </c>
      <c r="E80" s="101" t="s">
        <v>728</v>
      </c>
      <c r="F80" s="62">
        <v>1461</v>
      </c>
      <c r="G80" s="62">
        <f>39.7</f>
        <v>39.700000000000003</v>
      </c>
      <c r="H80" s="62"/>
      <c r="I80" s="324">
        <f t="shared" ref="I80" si="17">F80-G80-H80</f>
        <v>1421.3</v>
      </c>
      <c r="J80" s="63" t="s">
        <v>374</v>
      </c>
      <c r="K80" s="63">
        <v>1</v>
      </c>
      <c r="L80" s="325">
        <v>0</v>
      </c>
      <c r="M80" s="63">
        <v>1</v>
      </c>
      <c r="N80" s="63">
        <v>1</v>
      </c>
      <c r="O80" s="63">
        <v>1</v>
      </c>
      <c r="P80" s="325">
        <v>0</v>
      </c>
      <c r="Q80" s="63">
        <v>1</v>
      </c>
      <c r="R80" s="63">
        <v>1</v>
      </c>
      <c r="S80" s="296">
        <v>1</v>
      </c>
      <c r="T80" s="63"/>
      <c r="U80" s="10" t="s">
        <v>2736</v>
      </c>
      <c r="V80" s="90">
        <v>1607.1</v>
      </c>
      <c r="W80" s="91"/>
      <c r="X80" s="92"/>
      <c r="Y80" s="2"/>
    </row>
    <row r="81" spans="1:25">
      <c r="A81" s="464">
        <v>45930</v>
      </c>
      <c r="B81" s="87">
        <f>B80+1</f>
        <v>3</v>
      </c>
      <c r="C81" s="640">
        <v>45929</v>
      </c>
      <c r="D81" s="368">
        <v>73724</v>
      </c>
      <c r="E81" s="319" t="s">
        <v>1757</v>
      </c>
      <c r="F81" s="284">
        <f>881-85</f>
        <v>796</v>
      </c>
      <c r="G81" s="284">
        <f>39.7+(53.92)</f>
        <v>93.62</v>
      </c>
      <c r="H81" s="284"/>
      <c r="I81" s="300">
        <f>F81-G81-H81</f>
        <v>702.38</v>
      </c>
      <c r="J81" s="286" t="s">
        <v>374</v>
      </c>
      <c r="K81" s="286">
        <v>1</v>
      </c>
      <c r="L81" s="286">
        <v>1</v>
      </c>
      <c r="M81" s="286">
        <v>1</v>
      </c>
      <c r="N81" s="332">
        <v>0</v>
      </c>
      <c r="O81" s="286">
        <v>1</v>
      </c>
      <c r="P81" s="332">
        <v>0</v>
      </c>
      <c r="Q81" s="286">
        <v>1</v>
      </c>
      <c r="R81" s="286">
        <v>1</v>
      </c>
      <c r="S81" s="287">
        <v>1</v>
      </c>
      <c r="T81" s="63"/>
      <c r="U81" s="10"/>
      <c r="V81" s="90">
        <f>85+790.6</f>
        <v>875.6</v>
      </c>
      <c r="W81" s="91"/>
      <c r="X81" s="92"/>
      <c r="Y81" s="2"/>
    </row>
    <row r="82" spans="1:25">
      <c r="B82" s="87">
        <f t="shared" ref="B82:B91" si="18">B81+1</f>
        <v>4</v>
      </c>
      <c r="C82" s="639">
        <v>45930</v>
      </c>
      <c r="D82" s="323">
        <v>73767</v>
      </c>
      <c r="E82" s="10" t="s">
        <v>659</v>
      </c>
      <c r="F82" s="62">
        <v>616</v>
      </c>
      <c r="G82" s="62">
        <f>+(6.6)</f>
        <v>6.6</v>
      </c>
      <c r="H82" s="62"/>
      <c r="I82" s="324">
        <f t="shared" si="16"/>
        <v>609.4</v>
      </c>
      <c r="J82" s="63" t="s">
        <v>156</v>
      </c>
      <c r="K82" s="325">
        <v>0</v>
      </c>
      <c r="L82" s="63">
        <v>1</v>
      </c>
      <c r="M82" s="63">
        <v>1</v>
      </c>
      <c r="N82" s="63">
        <v>1</v>
      </c>
      <c r="O82" s="63">
        <v>1</v>
      </c>
      <c r="P82" s="63">
        <v>1</v>
      </c>
      <c r="Q82" s="63">
        <v>1</v>
      </c>
      <c r="R82" s="63">
        <v>1</v>
      </c>
      <c r="S82" s="296">
        <v>1</v>
      </c>
      <c r="T82" s="63"/>
      <c r="U82" s="10"/>
      <c r="V82" s="90">
        <v>677.6</v>
      </c>
      <c r="W82" s="91"/>
      <c r="X82" s="92"/>
      <c r="Y82" s="2"/>
    </row>
    <row r="83" spans="1:25">
      <c r="B83" s="87">
        <f t="shared" si="18"/>
        <v>5</v>
      </c>
      <c r="C83" s="639">
        <v>45930</v>
      </c>
      <c r="D83" s="323">
        <v>73819</v>
      </c>
      <c r="E83" s="94" t="s">
        <v>196</v>
      </c>
      <c r="F83" s="62">
        <v>1261</v>
      </c>
      <c r="G83" s="62">
        <f>39.7</f>
        <v>39.700000000000003</v>
      </c>
      <c r="H83" s="62"/>
      <c r="I83" s="324">
        <f t="shared" si="16"/>
        <v>1221.3</v>
      </c>
      <c r="J83" s="63" t="s">
        <v>156</v>
      </c>
      <c r="K83" s="63">
        <v>1</v>
      </c>
      <c r="L83" s="63">
        <v>1</v>
      </c>
      <c r="M83" s="63">
        <v>1</v>
      </c>
      <c r="N83" s="63">
        <v>1</v>
      </c>
      <c r="O83" s="63">
        <v>1</v>
      </c>
      <c r="P83" s="63">
        <v>1</v>
      </c>
      <c r="Q83" s="63">
        <v>1</v>
      </c>
      <c r="R83" s="63">
        <v>1</v>
      </c>
      <c r="S83" s="326">
        <v>0</v>
      </c>
      <c r="T83" s="63"/>
      <c r="U83" s="10"/>
      <c r="V83" s="90">
        <f>130+1257.1</f>
        <v>1387.1</v>
      </c>
      <c r="W83" s="91"/>
      <c r="X83" s="92"/>
      <c r="Y83" s="2"/>
    </row>
    <row r="84" spans="1:25">
      <c r="B84" s="87">
        <f t="shared" si="18"/>
        <v>6</v>
      </c>
      <c r="C84" s="639">
        <v>45930</v>
      </c>
      <c r="D84" s="323">
        <v>73832</v>
      </c>
      <c r="E84" s="10" t="s">
        <v>294</v>
      </c>
      <c r="F84" s="62">
        <f>1349-85</f>
        <v>1264</v>
      </c>
      <c r="G84" s="62">
        <f>39.7</f>
        <v>39.700000000000003</v>
      </c>
      <c r="H84" s="62"/>
      <c r="I84" s="324">
        <f t="shared" si="16"/>
        <v>1224.3</v>
      </c>
      <c r="J84" s="63" t="s">
        <v>156</v>
      </c>
      <c r="K84" s="63">
        <v>1</v>
      </c>
      <c r="L84" s="325">
        <v>0</v>
      </c>
      <c r="M84" s="63">
        <v>1</v>
      </c>
      <c r="N84" s="63">
        <v>1</v>
      </c>
      <c r="O84" s="63">
        <v>1</v>
      </c>
      <c r="P84" s="63">
        <v>1</v>
      </c>
      <c r="Q84" s="63">
        <v>1</v>
      </c>
      <c r="R84" s="63">
        <v>1</v>
      </c>
      <c r="S84" s="326">
        <v>0</v>
      </c>
      <c r="T84" s="21">
        <v>1</v>
      </c>
      <c r="U84" s="10" t="s">
        <v>2737</v>
      </c>
      <c r="V84" s="90">
        <f>93.5+139+1296.9</f>
        <v>1529.4</v>
      </c>
      <c r="W84" s="91"/>
      <c r="X84" s="92"/>
      <c r="Y84" s="2"/>
    </row>
    <row r="85" spans="1:25">
      <c r="B85" s="87">
        <f>B84+1</f>
        <v>7</v>
      </c>
      <c r="C85" s="638">
        <v>45931</v>
      </c>
      <c r="D85" s="327">
        <v>73790</v>
      </c>
      <c r="E85" s="281" t="s">
        <v>294</v>
      </c>
      <c r="F85" s="277">
        <v>1138</v>
      </c>
      <c r="G85" s="277">
        <f>39.7</f>
        <v>39.700000000000003</v>
      </c>
      <c r="H85" s="277"/>
      <c r="I85" s="321">
        <f>F85-G85-H85</f>
        <v>1098.3</v>
      </c>
      <c r="J85" s="279" t="s">
        <v>374</v>
      </c>
      <c r="K85" s="279">
        <v>1</v>
      </c>
      <c r="L85" s="279">
        <v>1</v>
      </c>
      <c r="M85" s="279">
        <v>1</v>
      </c>
      <c r="N85" s="279">
        <v>1</v>
      </c>
      <c r="O85" s="279">
        <v>1</v>
      </c>
      <c r="P85" s="279">
        <v>1</v>
      </c>
      <c r="Q85" s="279">
        <v>1</v>
      </c>
      <c r="R85" s="322">
        <v>0</v>
      </c>
      <c r="S85" s="328">
        <v>0</v>
      </c>
      <c r="T85" s="63"/>
      <c r="U85" s="10"/>
      <c r="V85" s="90">
        <f>125+1126.8</f>
        <v>1251.8</v>
      </c>
      <c r="W85" s="91"/>
      <c r="X85" s="92"/>
      <c r="Y85" s="2"/>
    </row>
    <row r="86" spans="1:25">
      <c r="B86" s="87">
        <f>B85+1</f>
        <v>8</v>
      </c>
      <c r="C86" s="640">
        <v>45931</v>
      </c>
      <c r="D86" s="368">
        <v>73903</v>
      </c>
      <c r="E86" s="283" t="s">
        <v>681</v>
      </c>
      <c r="F86" s="284">
        <v>681</v>
      </c>
      <c r="G86" s="284"/>
      <c r="H86" s="315"/>
      <c r="I86" s="300">
        <f t="shared" si="16"/>
        <v>681</v>
      </c>
      <c r="J86" s="286" t="s">
        <v>156</v>
      </c>
      <c r="K86" s="286">
        <v>1</v>
      </c>
      <c r="L86" s="332">
        <v>0</v>
      </c>
      <c r="M86" s="286">
        <v>1</v>
      </c>
      <c r="N86" s="286">
        <v>1</v>
      </c>
      <c r="O86" s="286">
        <v>1</v>
      </c>
      <c r="P86" s="332">
        <v>0</v>
      </c>
      <c r="Q86" s="286">
        <v>1</v>
      </c>
      <c r="R86" s="286">
        <v>1</v>
      </c>
      <c r="S86" s="370">
        <v>0</v>
      </c>
      <c r="T86" s="21">
        <v>1</v>
      </c>
      <c r="U86" s="10" t="s">
        <v>2738</v>
      </c>
      <c r="V86" s="90">
        <v>749.1</v>
      </c>
      <c r="W86" s="91"/>
      <c r="X86" s="92"/>
      <c r="Y86" s="2"/>
    </row>
    <row r="87" spans="1:25">
      <c r="B87" s="87">
        <f t="shared" si="18"/>
        <v>9</v>
      </c>
      <c r="C87" s="639">
        <v>45932</v>
      </c>
      <c r="D87" s="346" t="s">
        <v>2739</v>
      </c>
      <c r="E87" s="10" t="s">
        <v>737</v>
      </c>
      <c r="F87" s="62">
        <v>861</v>
      </c>
      <c r="G87" s="62">
        <f>39.7</f>
        <v>39.700000000000003</v>
      </c>
      <c r="H87" s="88"/>
      <c r="I87" s="324">
        <f t="shared" si="16"/>
        <v>821.3</v>
      </c>
      <c r="J87" s="63" t="s">
        <v>156</v>
      </c>
      <c r="K87" s="325">
        <v>0</v>
      </c>
      <c r="L87" s="63">
        <v>1</v>
      </c>
      <c r="M87" s="63">
        <v>1</v>
      </c>
      <c r="N87" s="63">
        <v>1</v>
      </c>
      <c r="O87" s="63">
        <v>1</v>
      </c>
      <c r="P87" s="325">
        <v>0</v>
      </c>
      <c r="Q87" s="63">
        <v>1</v>
      </c>
      <c r="R87" s="63">
        <v>1</v>
      </c>
      <c r="S87" s="296">
        <v>1</v>
      </c>
      <c r="T87" s="63"/>
      <c r="U87" s="10"/>
      <c r="V87" s="90">
        <f>279+668.1</f>
        <v>947.1</v>
      </c>
      <c r="W87" s="91"/>
      <c r="X87" s="92"/>
      <c r="Y87" s="2"/>
    </row>
    <row r="88" spans="1:25">
      <c r="B88" s="87">
        <f t="shared" si="18"/>
        <v>10</v>
      </c>
      <c r="C88" s="639">
        <v>45932</v>
      </c>
      <c r="D88" s="346" t="s">
        <v>2740</v>
      </c>
      <c r="E88" s="10" t="s">
        <v>737</v>
      </c>
      <c r="F88" s="62">
        <v>1681</v>
      </c>
      <c r="G88" s="62">
        <f>39.7+(54.88)</f>
        <v>94.580000000000013</v>
      </c>
      <c r="H88" s="88"/>
      <c r="I88" s="324">
        <f t="shared" si="16"/>
        <v>1586.42</v>
      </c>
      <c r="J88" s="63" t="s">
        <v>156</v>
      </c>
      <c r="K88" s="325">
        <v>0</v>
      </c>
      <c r="L88" s="325">
        <v>0</v>
      </c>
      <c r="M88" s="63">
        <v>1</v>
      </c>
      <c r="N88" s="63">
        <v>1</v>
      </c>
      <c r="O88" s="63">
        <v>1</v>
      </c>
      <c r="P88" s="325">
        <v>0</v>
      </c>
      <c r="Q88" s="63">
        <v>1</v>
      </c>
      <c r="R88" s="63">
        <v>1</v>
      </c>
      <c r="S88" s="296">
        <v>1</v>
      </c>
      <c r="T88" s="21">
        <v>1</v>
      </c>
      <c r="U88" s="10"/>
      <c r="V88" s="90">
        <v>1849.1</v>
      </c>
      <c r="W88" s="91"/>
      <c r="X88" s="92"/>
      <c r="Y88" s="2"/>
    </row>
    <row r="89" spans="1:25">
      <c r="B89" s="87">
        <f t="shared" si="18"/>
        <v>11</v>
      </c>
      <c r="C89" s="639">
        <v>45932</v>
      </c>
      <c r="D89" s="323">
        <v>73915</v>
      </c>
      <c r="E89" s="10" t="s">
        <v>317</v>
      </c>
      <c r="F89" s="62">
        <v>581</v>
      </c>
      <c r="G89" s="62"/>
      <c r="H89" s="88"/>
      <c r="I89" s="324">
        <f t="shared" si="16"/>
        <v>581</v>
      </c>
      <c r="J89" s="63" t="s">
        <v>156</v>
      </c>
      <c r="K89" s="63">
        <v>1</v>
      </c>
      <c r="L89" s="325">
        <v>0</v>
      </c>
      <c r="M89" s="63">
        <v>1</v>
      </c>
      <c r="N89" s="63">
        <v>1</v>
      </c>
      <c r="O89" s="63">
        <v>1</v>
      </c>
      <c r="P89" s="325">
        <v>0</v>
      </c>
      <c r="Q89" s="63">
        <v>1</v>
      </c>
      <c r="R89" s="63">
        <v>1</v>
      </c>
      <c r="S89" s="326">
        <v>0</v>
      </c>
      <c r="T89" s="21">
        <v>1</v>
      </c>
      <c r="U89" s="10"/>
      <c r="V89" s="90">
        <f>63.91+575.19</f>
        <v>639.1</v>
      </c>
      <c r="W89" s="91"/>
      <c r="X89" s="92"/>
      <c r="Y89" s="2"/>
    </row>
    <row r="90" spans="1:25">
      <c r="B90" s="87">
        <f t="shared" si="18"/>
        <v>12</v>
      </c>
      <c r="C90" s="639">
        <v>45932</v>
      </c>
      <c r="D90" s="323">
        <v>73901</v>
      </c>
      <c r="E90" s="10" t="s">
        <v>196</v>
      </c>
      <c r="F90" s="62">
        <v>581</v>
      </c>
      <c r="G90" s="62"/>
      <c r="H90" s="88"/>
      <c r="I90" s="369">
        <f t="shared" si="16"/>
        <v>581</v>
      </c>
      <c r="J90" s="63" t="s">
        <v>156</v>
      </c>
      <c r="K90" s="63">
        <v>1</v>
      </c>
      <c r="L90" s="63">
        <v>1</v>
      </c>
      <c r="M90" s="325">
        <v>0</v>
      </c>
      <c r="N90" s="63">
        <v>1</v>
      </c>
      <c r="O90" s="63">
        <v>1</v>
      </c>
      <c r="P90" s="325">
        <v>0</v>
      </c>
      <c r="Q90" s="63">
        <v>1</v>
      </c>
      <c r="R90" s="63">
        <v>1</v>
      </c>
      <c r="S90" s="296">
        <v>1</v>
      </c>
      <c r="T90" s="21">
        <v>1</v>
      </c>
      <c r="U90" s="10" t="s">
        <v>2741</v>
      </c>
      <c r="V90" s="90">
        <v>639.1</v>
      </c>
      <c r="W90" s="91"/>
      <c r="X90" s="92"/>
      <c r="Y90" s="2"/>
    </row>
    <row r="91" spans="1:25">
      <c r="B91" s="87">
        <f t="shared" si="18"/>
        <v>13</v>
      </c>
      <c r="C91" s="641">
        <v>45933</v>
      </c>
      <c r="D91" s="263">
        <v>74002</v>
      </c>
      <c r="E91" s="271" t="s">
        <v>572</v>
      </c>
      <c r="F91" s="560">
        <v>1461</v>
      </c>
      <c r="G91" s="265">
        <f>39.7</f>
        <v>39.700000000000003</v>
      </c>
      <c r="H91" s="265"/>
      <c r="I91" s="266">
        <f t="shared" si="16"/>
        <v>1421.3</v>
      </c>
      <c r="J91" s="267" t="s">
        <v>156</v>
      </c>
      <c r="K91" s="267">
        <v>1</v>
      </c>
      <c r="L91" s="267">
        <v>1</v>
      </c>
      <c r="M91" s="267">
        <v>1</v>
      </c>
      <c r="N91" s="267">
        <v>1</v>
      </c>
      <c r="O91" s="267">
        <v>1</v>
      </c>
      <c r="P91" s="314">
        <v>0</v>
      </c>
      <c r="Q91" s="267">
        <v>1</v>
      </c>
      <c r="R91" s="267">
        <v>1</v>
      </c>
      <c r="S91" s="366">
        <v>0</v>
      </c>
      <c r="T91" s="63"/>
      <c r="U91" s="10"/>
      <c r="V91" s="90">
        <f>160+1447.1</f>
        <v>1607.1</v>
      </c>
      <c r="W91" s="91"/>
      <c r="X91" s="92"/>
      <c r="Y91" s="2"/>
    </row>
    <row r="92" spans="1:25">
      <c r="B92" s="87"/>
      <c r="C92" s="621"/>
      <c r="D92" s="10"/>
      <c r="E92" s="10"/>
      <c r="F92" s="97">
        <f>SUM(F79:F91)</f>
        <v>12963</v>
      </c>
      <c r="G92" s="97">
        <f>SUM(G79:G91)</f>
        <v>432.99999999999994</v>
      </c>
      <c r="H92" s="97">
        <f>SUM(H79:H91)</f>
        <v>0</v>
      </c>
      <c r="I92" s="98">
        <f>SUM(I79:I91)</f>
        <v>12530</v>
      </c>
      <c r="J92" s="63"/>
      <c r="K92" s="63">
        <f>COUNT(K79:K91)</f>
        <v>13</v>
      </c>
      <c r="L92" s="63">
        <f>COUNT(L79:L91)</f>
        <v>13</v>
      </c>
      <c r="M92" s="63">
        <f>COUNT(M79:M91)</f>
        <v>13</v>
      </c>
      <c r="N92" s="63">
        <f>COUNT(N79:N91)</f>
        <v>13</v>
      </c>
      <c r="O92" s="63">
        <f>COUNT(O79:O91)</f>
        <v>13</v>
      </c>
      <c r="P92" s="63">
        <f>COUNT(P79:P91)</f>
        <v>13</v>
      </c>
      <c r="Q92" s="63">
        <f>COUNT(Q79:Q91)</f>
        <v>13</v>
      </c>
      <c r="R92" s="63">
        <f>COUNT(R79:R91)</f>
        <v>13</v>
      </c>
      <c r="S92" s="63">
        <f>COUNT(S79:S91)</f>
        <v>13</v>
      </c>
      <c r="T92" s="63"/>
      <c r="U92" s="10"/>
      <c r="V92" s="90"/>
      <c r="W92" s="91"/>
      <c r="X92" s="92"/>
      <c r="Y92" s="2"/>
    </row>
    <row r="93" spans="1:25">
      <c r="B93" s="87"/>
      <c r="C93" s="621"/>
      <c r="D93" s="10"/>
      <c r="E93" s="10"/>
      <c r="F93" s="88"/>
      <c r="G93" s="88"/>
      <c r="H93" s="88"/>
      <c r="I93" s="99"/>
      <c r="J93" s="63"/>
      <c r="K93" s="21">
        <f>SUM(K79:K91)</f>
        <v>10</v>
      </c>
      <c r="L93" s="21">
        <f>SUM(L79:L91)</f>
        <v>7</v>
      </c>
      <c r="M93" s="21">
        <f>SUM(M79:M91)</f>
        <v>12</v>
      </c>
      <c r="N93" s="21">
        <f>SUM(N79:N91)</f>
        <v>12</v>
      </c>
      <c r="O93" s="21">
        <f>SUM(O79:O91)</f>
        <v>13</v>
      </c>
      <c r="P93" s="21">
        <f>SUM(P79:P91)</f>
        <v>4</v>
      </c>
      <c r="Q93" s="21">
        <f>SUM(Q79:Q91)</f>
        <v>13</v>
      </c>
      <c r="R93" s="21">
        <f>SUM(R79:R91)</f>
        <v>12</v>
      </c>
      <c r="S93" s="21">
        <f>SUM(S79:S91)</f>
        <v>7</v>
      </c>
      <c r="T93" s="63"/>
      <c r="U93" s="10"/>
      <c r="V93" s="90"/>
      <c r="W93" s="91"/>
      <c r="X93" s="92"/>
      <c r="Y93" s="2"/>
    </row>
    <row r="94" spans="1:25">
      <c r="B94" s="11"/>
      <c r="C94" s="609"/>
      <c r="D94" s="10"/>
      <c r="E94" s="10"/>
      <c r="F94" s="88"/>
      <c r="G94" s="88"/>
      <c r="H94" s="88"/>
      <c r="I94" s="99"/>
      <c r="J94" s="63"/>
      <c r="K94" s="21"/>
      <c r="L94" s="21"/>
      <c r="M94" s="21"/>
      <c r="N94" s="21"/>
      <c r="O94" s="21"/>
      <c r="P94" s="21"/>
      <c r="Q94" s="21"/>
      <c r="R94" s="21"/>
      <c r="S94" s="21"/>
      <c r="T94" s="63"/>
      <c r="U94" s="94"/>
      <c r="V94" s="90"/>
      <c r="W94" s="91"/>
      <c r="X94" s="92"/>
      <c r="Y94" s="2"/>
    </row>
    <row r="95" spans="1:25">
      <c r="B95" s="121" t="s">
        <v>68</v>
      </c>
      <c r="C95" s="611"/>
      <c r="D95" s="123"/>
      <c r="E95" s="123"/>
      <c r="F95" s="124"/>
      <c r="G95" s="125"/>
      <c r="H95" s="124"/>
      <c r="I95" s="126"/>
      <c r="J95" s="127"/>
      <c r="K95" s="128"/>
      <c r="L95" s="128"/>
      <c r="M95" s="128"/>
      <c r="N95" s="128"/>
      <c r="O95" s="128"/>
      <c r="P95" s="128"/>
      <c r="Q95" s="128"/>
      <c r="R95" s="128"/>
      <c r="S95" s="128"/>
      <c r="T95" s="127"/>
      <c r="U95" s="123"/>
      <c r="V95" s="129"/>
      <c r="W95" s="130"/>
      <c r="X95" s="131"/>
      <c r="Y95" s="128"/>
    </row>
    <row r="96" spans="1:25" s="342" customFormat="1">
      <c r="A96" s="342" t="s">
        <v>1205</v>
      </c>
      <c r="B96" s="333">
        <v>1</v>
      </c>
      <c r="C96" s="703">
        <v>45931</v>
      </c>
      <c r="D96" s="263" t="s">
        <v>2742</v>
      </c>
      <c r="E96" s="351" t="s">
        <v>294</v>
      </c>
      <c r="F96" s="352">
        <v>2814</v>
      </c>
      <c r="G96" s="352">
        <f>39.7+138.29+(29.97)+(171.73)+200</f>
        <v>579.69000000000005</v>
      </c>
      <c r="H96" s="352"/>
      <c r="I96" s="353">
        <f t="shared" ref="I96" si="19">F96-G96-H96</f>
        <v>2234.31</v>
      </c>
      <c r="J96" s="354" t="s">
        <v>374</v>
      </c>
      <c r="K96" s="354">
        <v>1</v>
      </c>
      <c r="L96" s="354">
        <v>1</v>
      </c>
      <c r="M96" s="354">
        <v>1</v>
      </c>
      <c r="N96" s="354">
        <v>1</v>
      </c>
      <c r="O96" s="354">
        <v>1</v>
      </c>
      <c r="P96" s="354">
        <v>1</v>
      </c>
      <c r="Q96" s="354">
        <v>1</v>
      </c>
      <c r="R96" s="314">
        <v>0</v>
      </c>
      <c r="S96" s="366">
        <v>0</v>
      </c>
      <c r="T96" s="127"/>
      <c r="U96" s="123" t="s">
        <v>2743</v>
      </c>
      <c r="V96" s="129">
        <f>309.54</f>
        <v>309.54000000000002</v>
      </c>
      <c r="W96" s="130"/>
      <c r="X96" s="131"/>
      <c r="Y96" s="128"/>
    </row>
    <row r="97" spans="1:25">
      <c r="B97" s="132"/>
      <c r="C97" s="621"/>
      <c r="D97" s="123"/>
      <c r="E97" s="123"/>
      <c r="F97" s="134">
        <f>SUM(F96:F96)</f>
        <v>2814</v>
      </c>
      <c r="G97" s="134">
        <f>SUM(G96:G96)</f>
        <v>579.69000000000005</v>
      </c>
      <c r="H97" s="134">
        <f>SUM(H96:H96)</f>
        <v>0</v>
      </c>
      <c r="I97" s="134">
        <f>SUM(I96:I96)</f>
        <v>2234.31</v>
      </c>
      <c r="J97" s="127"/>
      <c r="K97" s="64"/>
      <c r="L97" s="64"/>
      <c r="M97" s="64"/>
      <c r="N97" s="64"/>
      <c r="O97" s="64"/>
      <c r="P97" s="64"/>
      <c r="Q97" s="64"/>
      <c r="R97" s="64"/>
      <c r="S97" s="64"/>
      <c r="T97" s="127"/>
      <c r="U97" s="123"/>
      <c r="V97" s="129"/>
      <c r="W97" s="130"/>
      <c r="X97" s="131"/>
      <c r="Y97" s="128"/>
    </row>
    <row r="98" spans="1:25">
      <c r="B98" s="11"/>
      <c r="C98" s="609"/>
      <c r="D98" s="10"/>
      <c r="E98" s="10"/>
      <c r="F98" s="88"/>
      <c r="G98" s="88"/>
      <c r="H98" s="88"/>
      <c r="I98" s="99"/>
      <c r="J98" s="63"/>
      <c r="K98" s="21"/>
      <c r="L98" s="21"/>
      <c r="M98" s="21"/>
      <c r="N98" s="21"/>
      <c r="O98" s="21"/>
      <c r="P98" s="21"/>
      <c r="Q98" s="21"/>
      <c r="R98" s="21"/>
      <c r="S98" s="21"/>
      <c r="T98" s="63"/>
      <c r="U98" s="94"/>
      <c r="V98" s="90"/>
      <c r="W98" s="91"/>
      <c r="X98" s="92"/>
      <c r="Y98" s="2"/>
    </row>
    <row r="99" spans="1:25">
      <c r="B99" s="121" t="s">
        <v>70</v>
      </c>
      <c r="C99" s="611"/>
      <c r="D99" s="123"/>
      <c r="E99" s="128"/>
      <c r="F99" s="124"/>
      <c r="G99" s="124"/>
      <c r="H99" s="124"/>
      <c r="I99" s="126"/>
      <c r="J99" s="127"/>
      <c r="K99" s="64"/>
      <c r="L99" s="64"/>
      <c r="M99" s="64"/>
      <c r="N99" s="64"/>
      <c r="O99" s="64"/>
      <c r="P99" s="64"/>
      <c r="Q99" s="64"/>
      <c r="R99" s="64"/>
      <c r="S99" s="64"/>
      <c r="T99" s="127"/>
      <c r="U99" s="135"/>
      <c r="V99" s="129"/>
      <c r="W99" s="130"/>
      <c r="X99" s="131"/>
      <c r="Y99" s="128"/>
    </row>
    <row r="100" spans="1:25" s="342" customFormat="1">
      <c r="A100" s="492">
        <v>0.05</v>
      </c>
      <c r="B100" s="333">
        <v>1</v>
      </c>
      <c r="C100" s="653">
        <v>45929</v>
      </c>
      <c r="D100" s="327" t="s">
        <v>2744</v>
      </c>
      <c r="E100" s="394" t="s">
        <v>728</v>
      </c>
      <c r="F100" s="336">
        <v>16814</v>
      </c>
      <c r="G100" s="336">
        <f>39.7+98.2+1113.12+(11.86+215.29)+(223.33)+1500</f>
        <v>3201.5</v>
      </c>
      <c r="H100" s="336"/>
      <c r="I100" s="337">
        <f t="shared" ref="I100" si="20">F100-G100-H100</f>
        <v>13612.5</v>
      </c>
      <c r="J100" s="338"/>
      <c r="K100" s="338">
        <v>1</v>
      </c>
      <c r="L100" s="338"/>
      <c r="M100" s="338"/>
      <c r="N100" s="338">
        <v>1</v>
      </c>
      <c r="O100" s="338">
        <v>1</v>
      </c>
      <c r="P100" s="322">
        <v>0</v>
      </c>
      <c r="Q100" s="338"/>
      <c r="R100" s="338"/>
      <c r="S100" s="339"/>
      <c r="T100" s="127"/>
      <c r="U100" s="135" t="s">
        <v>2745</v>
      </c>
      <c r="V100" s="129"/>
      <c r="W100" s="340"/>
      <c r="X100" s="341"/>
      <c r="Y100" s="128"/>
    </row>
    <row r="101" spans="1:25" s="342" customFormat="1">
      <c r="A101" s="492">
        <v>0.05</v>
      </c>
      <c r="B101" s="333">
        <f t="shared" ref="B101:B102" si="21">B100+1</f>
        <v>2</v>
      </c>
      <c r="C101" s="654">
        <v>45929</v>
      </c>
      <c r="D101" s="323" t="s">
        <v>2746</v>
      </c>
      <c r="E101" s="348" t="s">
        <v>728</v>
      </c>
      <c r="F101" s="125">
        <f>4461-1461</f>
        <v>3000</v>
      </c>
      <c r="G101" s="125">
        <f>39.7+500</f>
        <v>539.70000000000005</v>
      </c>
      <c r="H101" s="125"/>
      <c r="I101" s="347">
        <f>F101-G101-H101</f>
        <v>2460.3000000000002</v>
      </c>
      <c r="J101" s="127" t="s">
        <v>374</v>
      </c>
      <c r="K101" s="127">
        <v>1</v>
      </c>
      <c r="L101" s="127"/>
      <c r="M101" s="127">
        <v>1</v>
      </c>
      <c r="N101" s="127">
        <v>1</v>
      </c>
      <c r="O101" s="127">
        <v>1</v>
      </c>
      <c r="P101" s="325">
        <v>0</v>
      </c>
      <c r="Q101" s="127"/>
      <c r="R101" s="127"/>
      <c r="S101" s="349"/>
      <c r="T101" s="127"/>
      <c r="U101" s="135" t="s">
        <v>2747</v>
      </c>
      <c r="V101" s="129">
        <f>692.9</f>
        <v>692.9</v>
      </c>
      <c r="W101" s="340"/>
      <c r="X101" s="341"/>
      <c r="Y101" s="128"/>
    </row>
    <row r="102" spans="1:25" s="342" customFormat="1">
      <c r="A102" s="492">
        <v>0.05</v>
      </c>
      <c r="B102" s="333">
        <f t="shared" si="21"/>
        <v>3</v>
      </c>
      <c r="C102" s="703">
        <v>45930</v>
      </c>
      <c r="D102" s="263" t="s">
        <v>2748</v>
      </c>
      <c r="E102" s="498" t="s">
        <v>196</v>
      </c>
      <c r="F102" s="352">
        <v>5553</v>
      </c>
      <c r="G102" s="352">
        <f>39.7+2500</f>
        <v>2539.6999999999998</v>
      </c>
      <c r="H102" s="352"/>
      <c r="I102" s="353">
        <f>F102-G102-H102</f>
        <v>3013.3</v>
      </c>
      <c r="J102" s="354" t="s">
        <v>156</v>
      </c>
      <c r="K102" s="354">
        <v>1</v>
      </c>
      <c r="L102" s="354"/>
      <c r="M102" s="354">
        <v>1</v>
      </c>
      <c r="N102" s="354">
        <v>1</v>
      </c>
      <c r="O102" s="354">
        <v>1</v>
      </c>
      <c r="P102" s="314">
        <v>0</v>
      </c>
      <c r="Q102" s="354"/>
      <c r="R102" s="354"/>
      <c r="S102" s="355"/>
      <c r="T102" s="127"/>
      <c r="U102" s="135" t="s">
        <v>2749</v>
      </c>
      <c r="V102" s="129">
        <f>555</f>
        <v>555</v>
      </c>
      <c r="W102" s="340"/>
      <c r="X102" s="341"/>
      <c r="Y102" s="128"/>
    </row>
    <row r="103" spans="1:25">
      <c r="B103" s="132"/>
      <c r="C103" s="621"/>
      <c r="D103" s="123"/>
      <c r="E103" s="123"/>
      <c r="F103" s="133">
        <f>SUM(F100:F102)</f>
        <v>25367</v>
      </c>
      <c r="G103" s="133">
        <f>SUM(G100:G102)</f>
        <v>6280.9</v>
      </c>
      <c r="H103" s="133">
        <f>SUM(H100:H102)</f>
        <v>0</v>
      </c>
      <c r="I103" s="134">
        <f>SUM(I100:I102)</f>
        <v>19086.099999999999</v>
      </c>
      <c r="J103" s="127"/>
      <c r="K103" s="64"/>
      <c r="L103" s="64"/>
      <c r="M103" s="64"/>
      <c r="N103" s="64"/>
      <c r="O103" s="64"/>
      <c r="P103" s="64"/>
      <c r="Q103" s="64"/>
      <c r="R103" s="64"/>
      <c r="S103" s="64"/>
      <c r="T103" s="127"/>
      <c r="U103" s="135"/>
      <c r="V103" s="129"/>
      <c r="W103" s="130"/>
      <c r="X103" s="131"/>
      <c r="Y103" s="128"/>
    </row>
    <row r="104" spans="1:25">
      <c r="B104" s="11"/>
      <c r="C104" s="621"/>
      <c r="D104" s="10"/>
      <c r="E104" s="10"/>
      <c r="F104" s="88"/>
      <c r="G104" s="88"/>
      <c r="H104" s="88"/>
      <c r="I104" s="99"/>
      <c r="J104" s="63"/>
      <c r="K104" s="21"/>
      <c r="L104" s="21"/>
      <c r="M104" s="21"/>
      <c r="N104" s="21"/>
      <c r="O104" s="21"/>
      <c r="P104" s="21"/>
      <c r="Q104" s="21"/>
      <c r="R104" s="21"/>
      <c r="S104" s="21"/>
      <c r="T104" s="63"/>
      <c r="U104" s="94"/>
      <c r="V104" s="90"/>
      <c r="W104" s="91"/>
      <c r="X104" s="92"/>
      <c r="Y104" s="2"/>
    </row>
    <row r="105" spans="1:25">
      <c r="B105" s="100" t="s">
        <v>72</v>
      </c>
      <c r="C105" s="621"/>
      <c r="D105" s="10"/>
      <c r="E105" s="10"/>
      <c r="F105" s="88"/>
      <c r="G105" s="88"/>
      <c r="H105" s="88"/>
      <c r="I105" s="99"/>
      <c r="J105" s="63"/>
      <c r="K105" s="63"/>
      <c r="L105" s="63"/>
      <c r="M105" s="63"/>
      <c r="N105" s="63"/>
      <c r="O105" s="63"/>
      <c r="P105" s="63"/>
      <c r="Q105" s="63"/>
      <c r="R105" s="63"/>
      <c r="S105" s="63"/>
      <c r="T105" s="63"/>
      <c r="U105" s="10"/>
      <c r="V105" s="90"/>
      <c r="W105" s="91"/>
      <c r="X105" s="92"/>
      <c r="Y105" s="2"/>
    </row>
    <row r="106" spans="1:25">
      <c r="B106" s="87">
        <v>1</v>
      </c>
      <c r="C106" s="638">
        <v>45929</v>
      </c>
      <c r="D106" s="276" t="s">
        <v>2750</v>
      </c>
      <c r="E106" s="276" t="s">
        <v>752</v>
      </c>
      <c r="F106" s="277">
        <v>1138</v>
      </c>
      <c r="G106" s="277">
        <v>39.700000000000003</v>
      </c>
      <c r="H106" s="277"/>
      <c r="I106" s="278">
        <f t="shared" ref="I106:I122" si="22">F106-G106-H106</f>
        <v>1098.3</v>
      </c>
      <c r="J106" s="279" t="s">
        <v>205</v>
      </c>
      <c r="K106" s="279">
        <v>1</v>
      </c>
      <c r="L106" s="279"/>
      <c r="M106" s="279"/>
      <c r="N106" s="279">
        <v>1</v>
      </c>
      <c r="O106" s="279"/>
      <c r="P106" s="279"/>
      <c r="Q106" s="279"/>
      <c r="R106" s="279"/>
      <c r="S106" s="280"/>
      <c r="T106" s="63"/>
      <c r="U106" s="3"/>
      <c r="V106" s="90"/>
      <c r="W106" s="91"/>
      <c r="X106" s="92"/>
      <c r="Y106" s="2"/>
    </row>
    <row r="107" spans="1:25">
      <c r="B107" s="87">
        <f t="shared" ref="B107:B122" si="23">B106+1</f>
        <v>2</v>
      </c>
      <c r="C107" s="639">
        <v>45929</v>
      </c>
      <c r="D107" s="10">
        <v>73786</v>
      </c>
      <c r="E107" s="10" t="s">
        <v>354</v>
      </c>
      <c r="F107" s="62">
        <v>1681</v>
      </c>
      <c r="G107" s="62">
        <f>39.7</f>
        <v>39.700000000000003</v>
      </c>
      <c r="H107" s="62"/>
      <c r="I107" s="89">
        <f t="shared" si="22"/>
        <v>1641.3</v>
      </c>
      <c r="J107" s="63" t="s">
        <v>156</v>
      </c>
      <c r="K107" s="63">
        <v>1</v>
      </c>
      <c r="L107" s="63"/>
      <c r="M107" s="63">
        <v>1</v>
      </c>
      <c r="N107" s="63">
        <v>1</v>
      </c>
      <c r="O107" s="63">
        <v>1</v>
      </c>
      <c r="P107" s="63"/>
      <c r="Q107" s="63">
        <v>1</v>
      </c>
      <c r="R107" s="63">
        <v>1</v>
      </c>
      <c r="S107" s="296">
        <v>1</v>
      </c>
      <c r="T107" s="63"/>
      <c r="U107" s="10"/>
      <c r="V107" s="90">
        <v>203.5</v>
      </c>
      <c r="W107" s="136"/>
      <c r="X107" s="137"/>
      <c r="Y107" s="2"/>
    </row>
    <row r="108" spans="1:25">
      <c r="B108" s="87">
        <f t="shared" si="23"/>
        <v>3</v>
      </c>
      <c r="C108" s="639">
        <v>45929</v>
      </c>
      <c r="D108" s="10">
        <v>73769</v>
      </c>
      <c r="E108" s="10" t="s">
        <v>752</v>
      </c>
      <c r="F108" s="62">
        <v>0</v>
      </c>
      <c r="G108" s="62">
        <v>0</v>
      </c>
      <c r="H108" s="62"/>
      <c r="I108" s="89">
        <f t="shared" si="22"/>
        <v>0</v>
      </c>
      <c r="J108" s="63" t="s">
        <v>810</v>
      </c>
      <c r="K108" s="63"/>
      <c r="L108" s="63"/>
      <c r="M108" s="63"/>
      <c r="N108" s="63"/>
      <c r="O108" s="63"/>
      <c r="P108" s="63"/>
      <c r="Q108" s="63"/>
      <c r="R108" s="63"/>
      <c r="S108" s="296"/>
      <c r="T108" s="63"/>
      <c r="U108" s="10"/>
      <c r="V108" s="90"/>
      <c r="W108" s="136"/>
      <c r="X108" s="137"/>
      <c r="Y108" s="2"/>
    </row>
    <row r="109" spans="1:25">
      <c r="B109" s="87">
        <f t="shared" si="23"/>
        <v>4</v>
      </c>
      <c r="C109" s="638">
        <v>45930</v>
      </c>
      <c r="D109" s="276">
        <v>73807</v>
      </c>
      <c r="E109" s="276" t="s">
        <v>292</v>
      </c>
      <c r="F109" s="277">
        <v>681</v>
      </c>
      <c r="G109" s="277"/>
      <c r="H109" s="277"/>
      <c r="I109" s="278">
        <f t="shared" si="22"/>
        <v>681</v>
      </c>
      <c r="J109" s="279" t="s">
        <v>205</v>
      </c>
      <c r="K109" s="279">
        <v>1</v>
      </c>
      <c r="L109" s="279"/>
      <c r="M109" s="279"/>
      <c r="N109" s="279">
        <v>1</v>
      </c>
      <c r="O109" s="279"/>
      <c r="P109" s="279"/>
      <c r="Q109" s="279"/>
      <c r="R109" s="279"/>
      <c r="S109" s="280"/>
      <c r="T109" s="63"/>
      <c r="U109" s="10"/>
      <c r="V109" s="90"/>
      <c r="W109" s="136"/>
      <c r="X109" s="137"/>
      <c r="Y109" s="2"/>
    </row>
    <row r="110" spans="1:25">
      <c r="B110" s="87">
        <f t="shared" si="23"/>
        <v>5</v>
      </c>
      <c r="C110" s="638">
        <v>45931</v>
      </c>
      <c r="D110" s="276" t="s">
        <v>2751</v>
      </c>
      <c r="E110" s="276" t="s">
        <v>382</v>
      </c>
      <c r="F110" s="277">
        <v>3252</v>
      </c>
      <c r="G110" s="277">
        <v>39.700000000000003</v>
      </c>
      <c r="H110" s="277"/>
      <c r="I110" s="278">
        <f t="shared" si="22"/>
        <v>3212.3</v>
      </c>
      <c r="J110" s="279" t="s">
        <v>205</v>
      </c>
      <c r="K110" s="279"/>
      <c r="L110" s="279"/>
      <c r="M110" s="279"/>
      <c r="N110" s="279">
        <v>1</v>
      </c>
      <c r="O110" s="279"/>
      <c r="P110" s="279"/>
      <c r="Q110" s="279"/>
      <c r="R110" s="279">
        <v>1</v>
      </c>
      <c r="S110" s="280">
        <v>1</v>
      </c>
      <c r="T110" s="63"/>
      <c r="U110" s="10"/>
      <c r="V110" s="90"/>
      <c r="W110" s="136"/>
      <c r="X110" s="137"/>
      <c r="Y110" s="2"/>
    </row>
    <row r="111" spans="1:25">
      <c r="B111" s="87">
        <f t="shared" si="23"/>
        <v>6</v>
      </c>
      <c r="C111" s="639">
        <v>45931</v>
      </c>
      <c r="D111" s="10" t="s">
        <v>2752</v>
      </c>
      <c r="E111" s="10" t="s">
        <v>382</v>
      </c>
      <c r="F111" s="62">
        <v>1261</v>
      </c>
      <c r="G111" s="62">
        <v>39.700000000000003</v>
      </c>
      <c r="H111" s="62"/>
      <c r="I111" s="89">
        <f t="shared" si="22"/>
        <v>1221.3</v>
      </c>
      <c r="J111" s="63" t="s">
        <v>205</v>
      </c>
      <c r="K111" s="63"/>
      <c r="L111" s="63"/>
      <c r="M111" s="63"/>
      <c r="N111" s="63">
        <v>1</v>
      </c>
      <c r="O111" s="63"/>
      <c r="P111" s="63"/>
      <c r="Q111" s="63"/>
      <c r="R111" s="63">
        <v>1</v>
      </c>
      <c r="S111" s="296">
        <v>1</v>
      </c>
      <c r="T111" s="63"/>
      <c r="U111" s="10"/>
      <c r="V111" s="90"/>
      <c r="W111" s="136"/>
      <c r="X111" s="137"/>
      <c r="Y111" s="2"/>
    </row>
    <row r="112" spans="1:25">
      <c r="B112" s="87">
        <f t="shared" si="23"/>
        <v>7</v>
      </c>
      <c r="C112" s="639">
        <v>45931</v>
      </c>
      <c r="D112" s="10">
        <v>73835</v>
      </c>
      <c r="E112" s="101" t="s">
        <v>509</v>
      </c>
      <c r="F112" s="62">
        <v>681</v>
      </c>
      <c r="G112" s="62"/>
      <c r="H112" s="62"/>
      <c r="I112" s="89">
        <f t="shared" si="22"/>
        <v>681</v>
      </c>
      <c r="J112" s="63" t="s">
        <v>205</v>
      </c>
      <c r="K112" s="63"/>
      <c r="L112" s="63"/>
      <c r="M112" s="63"/>
      <c r="N112" s="63">
        <v>1</v>
      </c>
      <c r="O112" s="63"/>
      <c r="P112" s="63"/>
      <c r="Q112" s="63"/>
      <c r="R112" s="63"/>
      <c r="S112" s="296"/>
      <c r="T112" s="63"/>
      <c r="U112" s="10"/>
      <c r="V112" s="90"/>
      <c r="W112" s="136"/>
      <c r="X112" s="137"/>
      <c r="Y112" s="2"/>
    </row>
    <row r="113" spans="2:25">
      <c r="B113" s="87">
        <f t="shared" si="23"/>
        <v>8</v>
      </c>
      <c r="C113" s="639">
        <v>45931</v>
      </c>
      <c r="D113" s="10" t="s">
        <v>2753</v>
      </c>
      <c r="E113" s="10" t="s">
        <v>681</v>
      </c>
      <c r="F113" s="62">
        <v>2861</v>
      </c>
      <c r="G113" s="62">
        <v>39.700000000000003</v>
      </c>
      <c r="H113" s="62"/>
      <c r="I113" s="89">
        <f t="shared" si="22"/>
        <v>2821.3</v>
      </c>
      <c r="J113" s="63" t="s">
        <v>205</v>
      </c>
      <c r="K113" s="63">
        <v>1</v>
      </c>
      <c r="L113" s="63"/>
      <c r="M113" s="63"/>
      <c r="N113" s="63">
        <v>1</v>
      </c>
      <c r="O113" s="63"/>
      <c r="P113" s="63"/>
      <c r="Q113" s="63"/>
      <c r="R113" s="63"/>
      <c r="S113" s="296"/>
      <c r="T113" s="63"/>
      <c r="U113" s="10"/>
      <c r="V113" s="90"/>
      <c r="W113" s="136"/>
      <c r="X113" s="137"/>
      <c r="Y113" s="2"/>
    </row>
    <row r="114" spans="2:25">
      <c r="B114" s="87">
        <f t="shared" si="23"/>
        <v>9</v>
      </c>
      <c r="C114" s="639">
        <v>45931</v>
      </c>
      <c r="D114" s="10">
        <v>73893</v>
      </c>
      <c r="E114" s="101" t="s">
        <v>737</v>
      </c>
      <c r="F114" s="62">
        <v>1461</v>
      </c>
      <c r="G114" s="62">
        <v>39.700000000000003</v>
      </c>
      <c r="H114" s="62"/>
      <c r="I114" s="89">
        <f t="shared" si="22"/>
        <v>1421.3</v>
      </c>
      <c r="J114" s="63" t="s">
        <v>205</v>
      </c>
      <c r="K114" s="63"/>
      <c r="L114" s="63"/>
      <c r="M114" s="63"/>
      <c r="N114" s="63">
        <v>1</v>
      </c>
      <c r="O114" s="63"/>
      <c r="P114" s="63"/>
      <c r="Q114" s="63"/>
      <c r="R114" s="63"/>
      <c r="S114" s="296"/>
      <c r="T114" s="63"/>
      <c r="U114" s="10"/>
      <c r="V114" s="90"/>
      <c r="W114" s="136"/>
      <c r="X114" s="137"/>
      <c r="Y114" s="2"/>
    </row>
    <row r="115" spans="2:25">
      <c r="B115" s="87">
        <f t="shared" si="23"/>
        <v>10</v>
      </c>
      <c r="C115" s="639">
        <v>45931</v>
      </c>
      <c r="D115" s="10">
        <v>73853</v>
      </c>
      <c r="E115" s="101" t="s">
        <v>354</v>
      </c>
      <c r="F115" s="62">
        <v>0</v>
      </c>
      <c r="G115" s="62">
        <v>0</v>
      </c>
      <c r="H115" s="62"/>
      <c r="I115" s="89">
        <f t="shared" si="22"/>
        <v>0</v>
      </c>
      <c r="J115" s="63" t="s">
        <v>810</v>
      </c>
      <c r="K115" s="63"/>
      <c r="L115" s="63"/>
      <c r="M115" s="63"/>
      <c r="N115" s="63"/>
      <c r="O115" s="63"/>
      <c r="P115" s="63"/>
      <c r="Q115" s="63"/>
      <c r="R115" s="63"/>
      <c r="S115" s="296"/>
      <c r="T115" s="63"/>
      <c r="U115" s="10"/>
      <c r="V115" s="90"/>
      <c r="W115" s="136"/>
      <c r="X115" s="137"/>
      <c r="Y115" s="2"/>
    </row>
    <row r="116" spans="2:25">
      <c r="B116" s="87">
        <f t="shared" si="23"/>
        <v>11</v>
      </c>
      <c r="C116" s="638">
        <v>45932</v>
      </c>
      <c r="D116" s="276">
        <v>73899</v>
      </c>
      <c r="E116" s="281" t="s">
        <v>581</v>
      </c>
      <c r="F116" s="277">
        <v>1261</v>
      </c>
      <c r="G116" s="277">
        <v>39.700000000000003</v>
      </c>
      <c r="H116" s="277"/>
      <c r="I116" s="278">
        <f t="shared" si="22"/>
        <v>1221.3</v>
      </c>
      <c r="J116" s="279" t="s">
        <v>205</v>
      </c>
      <c r="K116" s="279">
        <v>1</v>
      </c>
      <c r="L116" s="279"/>
      <c r="M116" s="279"/>
      <c r="N116" s="279">
        <v>1</v>
      </c>
      <c r="O116" s="279"/>
      <c r="P116" s="279"/>
      <c r="Q116" s="279"/>
      <c r="R116" s="279">
        <v>1</v>
      </c>
      <c r="S116" s="280">
        <v>1</v>
      </c>
      <c r="T116" s="63"/>
      <c r="U116" s="10"/>
      <c r="V116" s="90"/>
      <c r="W116" s="136"/>
      <c r="X116" s="137"/>
      <c r="Y116" s="2"/>
    </row>
    <row r="117" spans="2:25">
      <c r="B117" s="87">
        <f t="shared" si="23"/>
        <v>12</v>
      </c>
      <c r="C117" s="639">
        <v>45932</v>
      </c>
      <c r="D117" s="10">
        <v>73972</v>
      </c>
      <c r="E117" s="101" t="s">
        <v>752</v>
      </c>
      <c r="F117" s="62">
        <v>1261</v>
      </c>
      <c r="G117" s="62">
        <v>39.700000000000003</v>
      </c>
      <c r="H117" s="62"/>
      <c r="I117" s="89">
        <f t="shared" si="22"/>
        <v>1221.3</v>
      </c>
      <c r="J117" s="63" t="s">
        <v>205</v>
      </c>
      <c r="K117" s="63"/>
      <c r="L117" s="63"/>
      <c r="M117" s="63"/>
      <c r="N117" s="63">
        <v>1</v>
      </c>
      <c r="O117" s="63"/>
      <c r="P117" s="63"/>
      <c r="Q117" s="63"/>
      <c r="R117" s="63">
        <v>1</v>
      </c>
      <c r="S117" s="296">
        <v>1</v>
      </c>
      <c r="T117" s="63"/>
      <c r="U117" s="10"/>
      <c r="V117" s="90"/>
      <c r="W117" s="136"/>
      <c r="X117" s="137"/>
      <c r="Y117" s="2"/>
    </row>
    <row r="118" spans="2:25">
      <c r="B118" s="87">
        <f t="shared" si="23"/>
        <v>13</v>
      </c>
      <c r="C118" s="639">
        <v>45932</v>
      </c>
      <c r="D118" s="10">
        <v>73906</v>
      </c>
      <c r="E118" s="101" t="s">
        <v>635</v>
      </c>
      <c r="F118" s="62">
        <v>1138</v>
      </c>
      <c r="G118" s="62">
        <v>39.700000000000003</v>
      </c>
      <c r="H118" s="62"/>
      <c r="I118" s="89">
        <f t="shared" si="22"/>
        <v>1098.3</v>
      </c>
      <c r="J118" s="63" t="s">
        <v>205</v>
      </c>
      <c r="K118" s="63">
        <v>1</v>
      </c>
      <c r="L118" s="63"/>
      <c r="M118" s="63"/>
      <c r="N118" s="63">
        <v>1</v>
      </c>
      <c r="O118" s="63"/>
      <c r="P118" s="63"/>
      <c r="Q118" s="63"/>
      <c r="R118" s="63">
        <v>1</v>
      </c>
      <c r="S118" s="296">
        <v>1</v>
      </c>
      <c r="T118" s="63"/>
      <c r="U118" s="10"/>
      <c r="V118" s="90"/>
      <c r="W118" s="136"/>
      <c r="X118" s="137"/>
      <c r="Y118" s="2"/>
    </row>
    <row r="119" spans="2:25">
      <c r="B119" s="87">
        <f t="shared" si="23"/>
        <v>14</v>
      </c>
      <c r="C119" s="638">
        <v>45933</v>
      </c>
      <c r="D119" s="276">
        <v>73982</v>
      </c>
      <c r="E119" s="276" t="s">
        <v>278</v>
      </c>
      <c r="F119" s="277">
        <v>6814</v>
      </c>
      <c r="G119" s="277">
        <v>39.700000000000003</v>
      </c>
      <c r="H119" s="277"/>
      <c r="I119" s="278">
        <f t="shared" si="22"/>
        <v>6774.3</v>
      </c>
      <c r="J119" s="279" t="s">
        <v>205</v>
      </c>
      <c r="K119" s="279">
        <v>1</v>
      </c>
      <c r="L119" s="279"/>
      <c r="M119" s="279"/>
      <c r="N119" s="279">
        <v>1</v>
      </c>
      <c r="O119" s="279"/>
      <c r="P119" s="279"/>
      <c r="Q119" s="279"/>
      <c r="R119" s="279">
        <v>1</v>
      </c>
      <c r="S119" s="280">
        <v>1</v>
      </c>
      <c r="T119" s="63"/>
      <c r="U119" s="10"/>
      <c r="V119" s="90"/>
      <c r="W119" s="136"/>
      <c r="X119" s="137"/>
      <c r="Y119" s="2"/>
    </row>
    <row r="120" spans="2:25">
      <c r="B120" s="87">
        <f t="shared" si="23"/>
        <v>15</v>
      </c>
      <c r="C120" s="639">
        <v>45933</v>
      </c>
      <c r="D120" s="10">
        <v>73833</v>
      </c>
      <c r="E120" s="10" t="s">
        <v>158</v>
      </c>
      <c r="F120" s="62">
        <v>2261</v>
      </c>
      <c r="G120" s="62">
        <v>39.700000000000003</v>
      </c>
      <c r="H120" s="62"/>
      <c r="I120" s="89">
        <f t="shared" si="22"/>
        <v>2221.3000000000002</v>
      </c>
      <c r="J120" s="63" t="s">
        <v>205</v>
      </c>
      <c r="K120" s="63">
        <v>1</v>
      </c>
      <c r="L120" s="63"/>
      <c r="M120" s="63"/>
      <c r="N120" s="63">
        <v>1</v>
      </c>
      <c r="O120" s="63"/>
      <c r="P120" s="63"/>
      <c r="Q120" s="63"/>
      <c r="R120" s="63">
        <v>1</v>
      </c>
      <c r="S120" s="296">
        <v>1</v>
      </c>
      <c r="T120" s="63"/>
      <c r="U120" s="10"/>
      <c r="V120" s="90"/>
      <c r="W120" s="136"/>
      <c r="X120" s="137"/>
      <c r="Y120" s="2"/>
    </row>
    <row r="121" spans="2:25">
      <c r="B121" s="87">
        <f t="shared" si="23"/>
        <v>16</v>
      </c>
      <c r="C121" s="639">
        <v>45933</v>
      </c>
      <c r="D121" s="10">
        <v>73976</v>
      </c>
      <c r="E121" s="10" t="s">
        <v>168</v>
      </c>
      <c r="F121" s="62">
        <v>5814</v>
      </c>
      <c r="G121" s="62">
        <v>39.700000000000003</v>
      </c>
      <c r="H121" s="62"/>
      <c r="I121" s="89">
        <f t="shared" si="22"/>
        <v>5774.3</v>
      </c>
      <c r="J121" s="63" t="s">
        <v>205</v>
      </c>
      <c r="K121" s="63">
        <v>1</v>
      </c>
      <c r="L121" s="63"/>
      <c r="M121" s="63"/>
      <c r="N121" s="63">
        <v>1</v>
      </c>
      <c r="O121" s="63"/>
      <c r="P121" s="63"/>
      <c r="Q121" s="63"/>
      <c r="R121" s="63"/>
      <c r="S121" s="296"/>
      <c r="T121" s="63"/>
      <c r="U121" s="10"/>
      <c r="V121" s="90"/>
      <c r="W121" s="136"/>
      <c r="X121" s="137"/>
      <c r="Y121" s="2"/>
    </row>
    <row r="122" spans="2:25">
      <c r="B122" s="87">
        <f t="shared" si="23"/>
        <v>17</v>
      </c>
      <c r="C122" s="640">
        <v>45933</v>
      </c>
      <c r="D122" s="283">
        <v>74018</v>
      </c>
      <c r="E122" s="283" t="s">
        <v>1150</v>
      </c>
      <c r="F122" s="284">
        <v>0</v>
      </c>
      <c r="G122" s="284">
        <v>0</v>
      </c>
      <c r="H122" s="284"/>
      <c r="I122" s="285">
        <f t="shared" si="22"/>
        <v>0</v>
      </c>
      <c r="J122" s="286" t="s">
        <v>205</v>
      </c>
      <c r="K122" s="286"/>
      <c r="L122" s="286"/>
      <c r="M122" s="286"/>
      <c r="N122" s="286"/>
      <c r="O122" s="286"/>
      <c r="P122" s="286"/>
      <c r="Q122" s="286"/>
      <c r="R122" s="286"/>
      <c r="S122" s="287"/>
      <c r="T122" s="63"/>
      <c r="U122" s="10"/>
      <c r="V122" s="90"/>
      <c r="W122" s="136"/>
      <c r="X122" s="137"/>
      <c r="Y122" s="2"/>
    </row>
    <row r="123" spans="2:25">
      <c r="B123" s="11"/>
      <c r="C123" s="621"/>
      <c r="D123" s="10"/>
      <c r="E123" s="10"/>
      <c r="F123" s="97">
        <f>SUM(F106:F122)</f>
        <v>31565</v>
      </c>
      <c r="G123" s="97">
        <f>SUM(G106:G122)</f>
        <v>476.39999999999992</v>
      </c>
      <c r="H123" s="97">
        <f>SUM(H106:H122)</f>
        <v>0</v>
      </c>
      <c r="I123" s="98">
        <f>SUM(I106:I122)</f>
        <v>31088.599999999995</v>
      </c>
      <c r="J123" s="10"/>
      <c r="K123" s="10"/>
      <c r="L123" s="10"/>
      <c r="M123" s="10"/>
      <c r="N123" s="10"/>
      <c r="O123" s="10"/>
      <c r="P123" s="10"/>
      <c r="Q123" s="10"/>
      <c r="R123" s="10"/>
      <c r="S123" s="10"/>
      <c r="T123" s="63"/>
      <c r="U123" s="10"/>
      <c r="V123" s="138"/>
      <c r="W123" s="136"/>
      <c r="X123" s="137"/>
      <c r="Y123" s="2"/>
    </row>
    <row r="124" spans="2:25">
      <c r="B124" s="26"/>
      <c r="C124" s="612"/>
      <c r="D124" s="141"/>
      <c r="E124" s="141"/>
      <c r="F124" s="141"/>
      <c r="G124" s="141"/>
      <c r="H124" s="141"/>
      <c r="I124" s="141"/>
      <c r="J124" s="141"/>
      <c r="K124" s="142"/>
      <c r="L124" s="142"/>
      <c r="M124" s="142"/>
      <c r="N124" s="142"/>
      <c r="O124" s="142"/>
      <c r="P124" s="142"/>
      <c r="Q124" s="142"/>
      <c r="R124" s="142"/>
      <c r="S124" s="142"/>
      <c r="T124" s="143">
        <f>SUM(T78:T123)</f>
        <v>5</v>
      </c>
      <c r="U124" s="141"/>
      <c r="V124" s="144">
        <f>SUM(V78:V123)</f>
        <v>16159.240000000002</v>
      </c>
      <c r="W124" s="144">
        <f t="shared" ref="W124:X124" si="24">SUM(W78:W123)</f>
        <v>0</v>
      </c>
      <c r="X124" s="144">
        <f t="shared" si="24"/>
        <v>0</v>
      </c>
      <c r="Y124" s="2"/>
    </row>
    <row r="125" spans="2:25">
      <c r="B125" s="10"/>
      <c r="C125" s="36"/>
      <c r="D125" s="10"/>
      <c r="E125" s="10"/>
      <c r="F125" s="10"/>
      <c r="G125" s="10"/>
      <c r="H125" s="10"/>
      <c r="I125" s="10"/>
      <c r="J125" s="10"/>
      <c r="K125" s="147"/>
      <c r="L125" s="147"/>
      <c r="M125" s="147"/>
      <c r="N125" s="147"/>
      <c r="O125" s="147"/>
      <c r="P125" s="147"/>
      <c r="Q125" s="147"/>
      <c r="R125" s="147"/>
      <c r="S125" s="147"/>
      <c r="T125" s="21"/>
      <c r="U125" s="10"/>
      <c r="V125" s="99"/>
      <c r="W125" s="99"/>
      <c r="X125" s="99"/>
      <c r="Y125" s="2"/>
    </row>
    <row r="127" spans="2:25">
      <c r="B127" s="4" t="s">
        <v>1</v>
      </c>
      <c r="C127" s="5"/>
      <c r="D127" s="6"/>
      <c r="E127" s="6"/>
      <c r="F127" s="7" t="s">
        <v>2</v>
      </c>
      <c r="G127" s="608">
        <v>45942</v>
      </c>
      <c r="H127" s="7"/>
      <c r="I127" s="6"/>
      <c r="J127" s="6"/>
      <c r="K127" s="6"/>
      <c r="L127" s="6"/>
      <c r="M127" s="6"/>
      <c r="N127" s="6"/>
      <c r="O127" s="6"/>
      <c r="P127" s="6"/>
      <c r="Q127" s="6"/>
      <c r="R127" s="6"/>
      <c r="S127" s="6"/>
      <c r="T127" s="6"/>
      <c r="U127" s="9"/>
      <c r="V127" s="10"/>
      <c r="W127" s="10"/>
      <c r="X127" s="10"/>
    </row>
    <row r="128" spans="2:25">
      <c r="B128" s="11"/>
      <c r="C128" s="10"/>
      <c r="D128" s="10"/>
      <c r="E128" s="10"/>
      <c r="F128" s="10"/>
      <c r="G128" s="7"/>
      <c r="H128" s="12"/>
      <c r="I128" s="10"/>
      <c r="J128" s="10"/>
      <c r="K128" s="13" t="s">
        <v>3</v>
      </c>
      <c r="L128" s="14"/>
      <c r="M128" s="15"/>
      <c r="N128" s="13" t="s">
        <v>4</v>
      </c>
      <c r="O128" s="14"/>
      <c r="P128" s="15"/>
      <c r="Q128" s="13" t="s">
        <v>5</v>
      </c>
      <c r="R128" s="14"/>
      <c r="S128" s="15"/>
      <c r="T128" s="16"/>
      <c r="U128" s="17"/>
      <c r="V128" s="10"/>
      <c r="W128" s="10"/>
      <c r="X128" s="10"/>
    </row>
    <row r="129" spans="2:24">
      <c r="B129" s="18" t="s">
        <v>6</v>
      </c>
      <c r="C129" s="19">
        <f>C130+C131</f>
        <v>30</v>
      </c>
      <c r="D129" s="10"/>
      <c r="E129" s="18" t="s">
        <v>7</v>
      </c>
      <c r="F129" s="6"/>
      <c r="G129" s="9"/>
      <c r="H129" s="10"/>
      <c r="I129" s="10"/>
      <c r="J129" s="10"/>
      <c r="K129" s="20" t="s">
        <v>8</v>
      </c>
      <c r="L129" s="21" t="s">
        <v>9</v>
      </c>
      <c r="M129" s="21" t="s">
        <v>10</v>
      </c>
      <c r="N129" s="20" t="s">
        <v>11</v>
      </c>
      <c r="O129" s="21" t="s">
        <v>12</v>
      </c>
      <c r="P129" s="22" t="s">
        <v>13</v>
      </c>
      <c r="Q129" s="21" t="s">
        <v>11</v>
      </c>
      <c r="R129" s="21" t="s">
        <v>12</v>
      </c>
      <c r="S129" s="22" t="s">
        <v>13</v>
      </c>
      <c r="T129" s="23" t="s">
        <v>14</v>
      </c>
      <c r="U129" s="17"/>
      <c r="V129" s="10"/>
      <c r="W129" s="10"/>
      <c r="X129" s="10"/>
    </row>
    <row r="130" spans="2:24">
      <c r="B130" s="24" t="s">
        <v>15</v>
      </c>
      <c r="C130" s="25">
        <f>P137</f>
        <v>19</v>
      </c>
      <c r="D130" s="10"/>
      <c r="E130" s="26" t="s">
        <v>16</v>
      </c>
      <c r="F130" s="27">
        <v>0.05</v>
      </c>
      <c r="G130" s="28"/>
      <c r="H130" s="10"/>
      <c r="I130" s="10"/>
      <c r="J130" s="18" t="s">
        <v>17</v>
      </c>
      <c r="K130" s="29">
        <f>K172</f>
        <v>16</v>
      </c>
      <c r="L130" s="29">
        <f t="shared" ref="L130:S130" si="25">L172</f>
        <v>12</v>
      </c>
      <c r="M130" s="29">
        <f t="shared" si="25"/>
        <v>15</v>
      </c>
      <c r="N130" s="29">
        <f t="shared" si="25"/>
        <v>17</v>
      </c>
      <c r="O130" s="29">
        <f t="shared" si="25"/>
        <v>15</v>
      </c>
      <c r="P130" s="29">
        <f t="shared" si="25"/>
        <v>8</v>
      </c>
      <c r="Q130" s="29">
        <f t="shared" si="25"/>
        <v>10</v>
      </c>
      <c r="R130" s="29">
        <f t="shared" si="25"/>
        <v>2</v>
      </c>
      <c r="S130" s="29">
        <f t="shared" si="25"/>
        <v>1</v>
      </c>
      <c r="T130" s="30">
        <f>T203</f>
        <v>4</v>
      </c>
      <c r="U130" s="17"/>
      <c r="V130" s="10"/>
      <c r="W130" s="10"/>
      <c r="X130" s="10"/>
    </row>
    <row r="131" spans="2:24">
      <c r="B131" s="24" t="s">
        <v>18</v>
      </c>
      <c r="C131" s="25">
        <f>P138</f>
        <v>11</v>
      </c>
      <c r="D131" s="10"/>
      <c r="E131" s="10"/>
      <c r="F131" s="10"/>
      <c r="G131" s="31"/>
      <c r="H131" s="10"/>
      <c r="I131" s="10"/>
      <c r="J131" s="32" t="s">
        <v>19</v>
      </c>
      <c r="K131" s="33">
        <f>K172/K171</f>
        <v>0.94117647058823528</v>
      </c>
      <c r="L131" s="33">
        <f t="shared" ref="L131:S131" si="26">L172/L171</f>
        <v>0.70588235294117652</v>
      </c>
      <c r="M131" s="33">
        <f t="shared" si="26"/>
        <v>0.88235294117647056</v>
      </c>
      <c r="N131" s="33">
        <f t="shared" si="26"/>
        <v>1</v>
      </c>
      <c r="O131" s="33">
        <f t="shared" si="26"/>
        <v>0.88235294117647056</v>
      </c>
      <c r="P131" s="33">
        <f t="shared" si="26"/>
        <v>0.47058823529411764</v>
      </c>
      <c r="Q131" s="33">
        <f t="shared" si="26"/>
        <v>0.58823529411764708</v>
      </c>
      <c r="R131" s="33">
        <f t="shared" si="26"/>
        <v>0.11764705882352941</v>
      </c>
      <c r="S131" s="33">
        <f t="shared" si="26"/>
        <v>5.8823529411764705E-2</v>
      </c>
      <c r="T131" s="23"/>
      <c r="U131" s="17" t="s">
        <v>20</v>
      </c>
      <c r="V131" s="10"/>
      <c r="W131" s="10"/>
      <c r="X131" s="10"/>
    </row>
    <row r="132" spans="2:24">
      <c r="B132" s="24" t="s">
        <v>21</v>
      </c>
      <c r="C132" s="34">
        <f>P139</f>
        <v>0.6333333333333333</v>
      </c>
      <c r="D132" s="10"/>
      <c r="E132" s="10"/>
      <c r="F132" s="10"/>
      <c r="G132" s="10"/>
      <c r="H132" s="10"/>
      <c r="I132" s="10"/>
      <c r="J132" s="10"/>
      <c r="K132" s="10"/>
      <c r="L132" s="10"/>
      <c r="M132" s="10"/>
      <c r="N132" s="10"/>
      <c r="O132" s="10"/>
      <c r="P132" s="10"/>
      <c r="Q132" s="10"/>
      <c r="R132" s="10"/>
      <c r="S132" s="10"/>
      <c r="T132" s="10"/>
      <c r="U132" s="17"/>
      <c r="V132" s="10"/>
      <c r="W132" s="10"/>
      <c r="X132" s="10"/>
    </row>
    <row r="133" spans="2:24">
      <c r="B133" s="24"/>
      <c r="C133" s="25"/>
      <c r="D133" s="10"/>
      <c r="E133" s="10"/>
      <c r="F133" s="18" t="s">
        <v>22</v>
      </c>
      <c r="G133" s="19" t="s">
        <v>23</v>
      </c>
      <c r="H133" s="35" t="s">
        <v>24</v>
      </c>
      <c r="I133" s="10"/>
      <c r="J133" s="10"/>
      <c r="K133" s="36"/>
      <c r="L133" s="36"/>
      <c r="M133" s="36"/>
      <c r="N133" s="36"/>
      <c r="O133" s="36"/>
      <c r="P133" s="36"/>
      <c r="Q133" s="36"/>
      <c r="R133" s="10"/>
      <c r="S133" s="10"/>
      <c r="T133" s="10"/>
      <c r="U133" s="17"/>
      <c r="V133" s="10"/>
      <c r="W133" s="10"/>
      <c r="X133" s="10"/>
    </row>
    <row r="134" spans="2:24">
      <c r="B134" s="32" t="s">
        <v>25</v>
      </c>
      <c r="C134" s="37">
        <f>P140</f>
        <v>1124.99</v>
      </c>
      <c r="D134" s="10"/>
      <c r="E134" s="18" t="s">
        <v>26</v>
      </c>
      <c r="F134" s="38">
        <f>P136</f>
        <v>21374.81</v>
      </c>
      <c r="G134" s="39">
        <f>I171+I183+I188</f>
        <v>21374.809999999998</v>
      </c>
      <c r="H134" s="40"/>
      <c r="I134" s="41"/>
      <c r="J134" s="42"/>
      <c r="K134" s="43" t="s">
        <v>27</v>
      </c>
      <c r="L134" s="44"/>
      <c r="M134" s="44"/>
      <c r="N134" s="44"/>
      <c r="O134" s="44"/>
      <c r="P134" s="44"/>
      <c r="Q134" s="45"/>
      <c r="R134" s="46" t="s">
        <v>28</v>
      </c>
      <c r="S134" s="47" t="s">
        <v>29</v>
      </c>
      <c r="T134" s="10"/>
      <c r="U134" s="17"/>
      <c r="V134" s="10"/>
      <c r="W134" s="10"/>
      <c r="X134" s="10"/>
    </row>
    <row r="135" spans="2:24">
      <c r="B135" s="11"/>
      <c r="C135" s="10"/>
      <c r="D135" s="10"/>
      <c r="E135" s="24" t="s">
        <v>30</v>
      </c>
      <c r="F135" s="48">
        <f>F130</f>
        <v>0.05</v>
      </c>
      <c r="G135" s="17"/>
      <c r="H135" s="40"/>
      <c r="I135" s="41"/>
      <c r="J135" s="42"/>
      <c r="K135" s="20" t="s">
        <v>31</v>
      </c>
      <c r="L135" s="21" t="s">
        <v>32</v>
      </c>
      <c r="M135" s="21" t="s">
        <v>33</v>
      </c>
      <c r="N135" s="21" t="s">
        <v>34</v>
      </c>
      <c r="O135" s="21" t="s">
        <v>35</v>
      </c>
      <c r="P135" s="21" t="s">
        <v>36</v>
      </c>
      <c r="Q135" s="49" t="s">
        <v>37</v>
      </c>
      <c r="R135" s="50" t="s">
        <v>38</v>
      </c>
      <c r="S135" s="50" t="s">
        <v>38</v>
      </c>
      <c r="T135" s="10"/>
      <c r="U135" s="17"/>
      <c r="V135" s="10"/>
      <c r="W135" s="10"/>
      <c r="X135" s="10"/>
    </row>
    <row r="136" spans="2:24">
      <c r="B136" s="11"/>
      <c r="C136" s="10"/>
      <c r="D136" s="10"/>
      <c r="E136" s="51" t="s">
        <v>39</v>
      </c>
      <c r="F136" s="52">
        <f>(F134-I182-I187)*F135</f>
        <v>925.24700000000018</v>
      </c>
      <c r="G136" s="53" t="s">
        <v>40</v>
      </c>
      <c r="H136" s="54">
        <f>F136/1.12</f>
        <v>826.11339285714291</v>
      </c>
      <c r="I136" s="55"/>
      <c r="J136" s="42"/>
      <c r="K136" s="56">
        <f>I154+I156+I157+I155+I158</f>
        <v>5417.8</v>
      </c>
      <c r="L136" s="57">
        <f>I160+I161+I162+I163+I159</f>
        <v>5618.3</v>
      </c>
      <c r="M136" s="57">
        <f>I164+I165+I166+I167</f>
        <v>3536.6</v>
      </c>
      <c r="N136" s="57">
        <f>I168+I182</f>
        <v>2341.5699999999997</v>
      </c>
      <c r="O136" s="57">
        <f>I169+I170+I187</f>
        <v>4460.54</v>
      </c>
      <c r="P136" s="57">
        <f>SUM(K136:O136)</f>
        <v>21374.81</v>
      </c>
      <c r="Q136" s="58">
        <v>0</v>
      </c>
      <c r="R136" s="59">
        <f>I183+I188</f>
        <v>2869.87</v>
      </c>
      <c r="S136" s="59">
        <v>0</v>
      </c>
      <c r="T136" s="10"/>
      <c r="U136" s="17"/>
      <c r="V136" s="10"/>
      <c r="W136" s="10"/>
      <c r="X136" s="10"/>
    </row>
    <row r="137" spans="2:24">
      <c r="B137" s="11"/>
      <c r="C137" s="10"/>
      <c r="D137" s="10"/>
      <c r="E137" s="24" t="s">
        <v>41</v>
      </c>
      <c r="F137" s="60">
        <f>Q136</f>
        <v>0</v>
      </c>
      <c r="G137" s="61" t="s">
        <v>40</v>
      </c>
      <c r="H137" s="62"/>
      <c r="I137" s="62"/>
      <c r="J137" s="10" t="s">
        <v>42</v>
      </c>
      <c r="K137" s="63">
        <v>5</v>
      </c>
      <c r="L137" s="63">
        <v>5</v>
      </c>
      <c r="M137" s="63">
        <v>4</v>
      </c>
      <c r="N137" s="63">
        <v>2</v>
      </c>
      <c r="O137" s="63">
        <v>3</v>
      </c>
      <c r="P137" s="21">
        <f>SUM(K137:O137)</f>
        <v>19</v>
      </c>
      <c r="Q137" s="64"/>
      <c r="R137" s="63"/>
      <c r="S137" s="10"/>
      <c r="T137" s="10"/>
      <c r="U137" s="17"/>
      <c r="V137" s="10"/>
      <c r="W137" s="10"/>
      <c r="X137" s="10"/>
    </row>
    <row r="138" spans="2:24">
      <c r="B138" s="11"/>
      <c r="C138" s="10"/>
      <c r="D138" s="10"/>
      <c r="E138" s="51" t="s">
        <v>43</v>
      </c>
      <c r="F138" s="52">
        <f>F137*0.25</f>
        <v>0</v>
      </c>
      <c r="G138" s="53" t="s">
        <v>40</v>
      </c>
      <c r="H138" s="54">
        <f>F138/1.12</f>
        <v>0</v>
      </c>
      <c r="I138" s="10"/>
      <c r="J138" s="10" t="s">
        <v>44</v>
      </c>
      <c r="K138" s="63">
        <v>1</v>
      </c>
      <c r="L138" s="63">
        <v>3</v>
      </c>
      <c r="M138" s="63">
        <v>1</v>
      </c>
      <c r="N138" s="63">
        <v>3</v>
      </c>
      <c r="O138" s="63">
        <v>3</v>
      </c>
      <c r="P138" s="21">
        <f>SUM(K138:O138)</f>
        <v>11</v>
      </c>
      <c r="Q138" s="64"/>
      <c r="R138" s="63"/>
      <c r="S138" s="10"/>
      <c r="T138" s="10"/>
      <c r="U138" s="17"/>
      <c r="V138" s="10"/>
      <c r="W138" s="10"/>
      <c r="X138" s="10"/>
    </row>
    <row r="139" spans="2:24">
      <c r="B139" s="11"/>
      <c r="C139" s="10"/>
      <c r="D139" s="10"/>
      <c r="E139" s="24" t="s">
        <v>45</v>
      </c>
      <c r="F139" s="60">
        <f>I179</f>
        <v>17943.5</v>
      </c>
      <c r="G139" s="61" t="s">
        <v>40</v>
      </c>
      <c r="H139" s="62"/>
      <c r="I139" s="10"/>
      <c r="J139" s="10" t="s">
        <v>46</v>
      </c>
      <c r="K139" s="31">
        <f t="shared" ref="K139:Q139" si="27">K137/(K137+K138)</f>
        <v>0.83333333333333337</v>
      </c>
      <c r="L139" s="31">
        <f t="shared" si="27"/>
        <v>0.625</v>
      </c>
      <c r="M139" s="31">
        <f t="shared" si="27"/>
        <v>0.8</v>
      </c>
      <c r="N139" s="31">
        <f t="shared" si="27"/>
        <v>0.4</v>
      </c>
      <c r="O139" s="31">
        <f t="shared" si="27"/>
        <v>0.5</v>
      </c>
      <c r="P139" s="31">
        <f t="shared" si="27"/>
        <v>0.6333333333333333</v>
      </c>
      <c r="Q139" s="31" t="e">
        <f t="shared" si="27"/>
        <v>#DIV/0!</v>
      </c>
      <c r="R139" s="63"/>
      <c r="S139" s="10"/>
      <c r="T139" s="10"/>
      <c r="U139" s="17"/>
      <c r="V139" s="10"/>
      <c r="W139" s="10"/>
      <c r="X139" s="10"/>
    </row>
    <row r="140" spans="2:24">
      <c r="B140" s="11"/>
      <c r="C140" s="10"/>
      <c r="D140" s="10"/>
      <c r="E140" s="51" t="s">
        <v>47</v>
      </c>
      <c r="F140" s="52">
        <f>(F139-I178)*0.05</f>
        <v>897.17500000000007</v>
      </c>
      <c r="G140" s="65" t="s">
        <v>40</v>
      </c>
      <c r="H140" s="54">
        <f>F140/1.12</f>
        <v>801.04910714285711</v>
      </c>
      <c r="I140" s="42"/>
      <c r="J140" s="10" t="s">
        <v>48</v>
      </c>
      <c r="K140" s="66">
        <f>K136/K137</f>
        <v>1083.56</v>
      </c>
      <c r="L140" s="66">
        <f t="shared" ref="L140:Q140" si="28">L136/L137</f>
        <v>1123.6600000000001</v>
      </c>
      <c r="M140" s="66">
        <f t="shared" si="28"/>
        <v>884.15</v>
      </c>
      <c r="N140" s="66">
        <f t="shared" si="28"/>
        <v>1170.7849999999999</v>
      </c>
      <c r="O140" s="66">
        <f t="shared" si="28"/>
        <v>1486.8466666666666</v>
      </c>
      <c r="P140" s="66">
        <f t="shared" si="28"/>
        <v>1124.99</v>
      </c>
      <c r="Q140" s="66" t="e">
        <f t="shared" si="28"/>
        <v>#DIV/0!</v>
      </c>
      <c r="R140" s="63"/>
      <c r="S140" s="10"/>
      <c r="T140" s="10"/>
      <c r="U140" s="17"/>
      <c r="V140" s="10"/>
      <c r="W140" s="10"/>
      <c r="X140" s="10"/>
    </row>
    <row r="141" spans="2:24">
      <c r="B141" s="11"/>
      <c r="C141" s="10"/>
      <c r="D141" s="10"/>
      <c r="E141" s="67" t="s">
        <v>14</v>
      </c>
      <c r="F141" s="68">
        <f>5*50</f>
        <v>250</v>
      </c>
      <c r="G141" s="10"/>
      <c r="H141" s="54">
        <f>F141/1.12</f>
        <v>223.21428571428569</v>
      </c>
      <c r="I141" s="10"/>
      <c r="J141" s="10"/>
      <c r="K141" s="10"/>
      <c r="L141" s="10"/>
      <c r="M141" s="10"/>
      <c r="N141" s="10"/>
      <c r="O141" s="10"/>
      <c r="P141" s="10"/>
      <c r="Q141" s="10"/>
      <c r="R141" s="10"/>
      <c r="S141" s="10"/>
      <c r="T141" s="10"/>
      <c r="U141" s="17"/>
      <c r="V141" s="10"/>
      <c r="W141" s="10"/>
      <c r="X141" s="10"/>
    </row>
    <row r="142" spans="2:24">
      <c r="B142" s="11"/>
      <c r="C142" s="10"/>
      <c r="D142" s="10"/>
      <c r="E142" s="155" t="s">
        <v>49</v>
      </c>
      <c r="F142" s="364">
        <f>T131</f>
        <v>0</v>
      </c>
      <c r="G142" s="10"/>
      <c r="H142" s="54"/>
      <c r="I142" s="55"/>
      <c r="J142" s="42"/>
      <c r="K142" s="764" t="s">
        <v>50</v>
      </c>
      <c r="L142" s="765"/>
      <c r="M142" s="765"/>
      <c r="N142" s="765"/>
      <c r="O142" s="765"/>
      <c r="P142" s="765"/>
      <c r="Q142" s="766"/>
      <c r="R142" s="70" t="s">
        <v>28</v>
      </c>
      <c r="S142" s="71" t="s">
        <v>29</v>
      </c>
      <c r="T142" s="10"/>
      <c r="U142" s="17"/>
      <c r="V142" s="10"/>
      <c r="W142" s="10"/>
      <c r="X142" s="10"/>
    </row>
    <row r="143" spans="2:24">
      <c r="B143" s="11"/>
      <c r="C143" s="10"/>
      <c r="D143" s="10"/>
      <c r="E143" s="12"/>
      <c r="F143" s="76"/>
      <c r="G143" s="10"/>
      <c r="H143" s="10"/>
      <c r="I143" s="10"/>
      <c r="J143" s="42"/>
      <c r="K143" s="20" t="s">
        <v>31</v>
      </c>
      <c r="L143" s="21" t="s">
        <v>32</v>
      </c>
      <c r="M143" s="21" t="s">
        <v>33</v>
      </c>
      <c r="N143" s="21" t="s">
        <v>34</v>
      </c>
      <c r="O143" s="21" t="s">
        <v>35</v>
      </c>
      <c r="P143" s="21" t="s">
        <v>36</v>
      </c>
      <c r="Q143" s="49" t="s">
        <v>37</v>
      </c>
      <c r="R143" s="50" t="s">
        <v>38</v>
      </c>
      <c r="S143" s="50" t="s">
        <v>38</v>
      </c>
      <c r="T143" s="10"/>
      <c r="U143" s="17"/>
      <c r="V143" s="10"/>
      <c r="W143" s="10"/>
      <c r="X143" s="10"/>
    </row>
    <row r="144" spans="2:24">
      <c r="B144" s="11"/>
      <c r="C144" s="10"/>
      <c r="D144" s="10"/>
      <c r="E144" s="10"/>
      <c r="F144" s="10"/>
      <c r="G144" s="10"/>
      <c r="H144" s="10"/>
      <c r="I144" s="10"/>
      <c r="J144" s="42"/>
      <c r="K144" s="56">
        <f>F154+F156+F157+F155+F158</f>
        <v>5934.9</v>
      </c>
      <c r="L144" s="57">
        <f>F160+F161+F162+F163+F159</f>
        <v>5861</v>
      </c>
      <c r="M144" s="57">
        <f>F164+F165+F166+F167</f>
        <v>4116</v>
      </c>
      <c r="N144" s="57">
        <f>F168+F182</f>
        <v>2768.6</v>
      </c>
      <c r="O144" s="57">
        <f>F169+F170+F187</f>
        <v>4591</v>
      </c>
      <c r="P144" s="57">
        <f>SUM(K144:O144)</f>
        <v>23271.5</v>
      </c>
      <c r="Q144" s="58">
        <v>0</v>
      </c>
      <c r="R144" s="59">
        <f>F183+F188</f>
        <v>3336.6</v>
      </c>
      <c r="S144" s="59">
        <v>0</v>
      </c>
      <c r="T144" s="10"/>
      <c r="U144" s="17"/>
      <c r="V144" s="10"/>
      <c r="W144" s="10"/>
      <c r="X144" s="10"/>
    </row>
    <row r="145" spans="2:24">
      <c r="B145" s="11"/>
      <c r="C145" s="10"/>
      <c r="D145" s="10"/>
      <c r="E145" s="10"/>
      <c r="F145" s="10"/>
      <c r="G145" s="10"/>
      <c r="H145" s="10"/>
      <c r="I145" s="10"/>
      <c r="J145" s="10" t="s">
        <v>42</v>
      </c>
      <c r="K145" s="63">
        <f>K137</f>
        <v>5</v>
      </c>
      <c r="L145" s="63">
        <f t="shared" ref="L145:Q146" si="29">L137</f>
        <v>5</v>
      </c>
      <c r="M145" s="63">
        <f t="shared" si="29"/>
        <v>4</v>
      </c>
      <c r="N145" s="63">
        <f t="shared" si="29"/>
        <v>2</v>
      </c>
      <c r="O145" s="63">
        <f t="shared" si="29"/>
        <v>3</v>
      </c>
      <c r="P145" s="63">
        <f t="shared" si="29"/>
        <v>19</v>
      </c>
      <c r="Q145" s="63">
        <f t="shared" si="29"/>
        <v>0</v>
      </c>
      <c r="R145" s="63"/>
      <c r="S145" s="10"/>
      <c r="T145" s="10"/>
      <c r="U145" s="17"/>
      <c r="V145" s="10"/>
      <c r="W145" s="10"/>
      <c r="X145" s="10"/>
    </row>
    <row r="146" spans="2:24">
      <c r="B146" s="11"/>
      <c r="C146" s="10"/>
      <c r="D146" s="10"/>
      <c r="E146" s="10"/>
      <c r="F146" s="10"/>
      <c r="G146" s="10"/>
      <c r="H146" s="10"/>
      <c r="I146" s="10"/>
      <c r="J146" s="10" t="s">
        <v>44</v>
      </c>
      <c r="K146" s="63">
        <f>K138</f>
        <v>1</v>
      </c>
      <c r="L146" s="63">
        <f t="shared" si="29"/>
        <v>3</v>
      </c>
      <c r="M146" s="63">
        <f t="shared" si="29"/>
        <v>1</v>
      </c>
      <c r="N146" s="63">
        <f t="shared" si="29"/>
        <v>3</v>
      </c>
      <c r="O146" s="63">
        <f t="shared" si="29"/>
        <v>3</v>
      </c>
      <c r="P146" s="63">
        <f t="shared" si="29"/>
        <v>11</v>
      </c>
      <c r="Q146" s="63">
        <f t="shared" si="29"/>
        <v>0</v>
      </c>
      <c r="R146" s="63"/>
      <c r="S146" s="10"/>
      <c r="T146" s="10"/>
      <c r="U146" s="17"/>
      <c r="V146" s="10"/>
      <c r="W146" s="10"/>
      <c r="X146" s="10"/>
    </row>
    <row r="147" spans="2:24">
      <c r="B147" s="11"/>
      <c r="C147" s="10"/>
      <c r="D147" s="10"/>
      <c r="E147" s="12"/>
      <c r="F147" s="76"/>
      <c r="G147" s="10"/>
      <c r="H147" s="10"/>
      <c r="I147" s="10"/>
      <c r="J147" s="10" t="s">
        <v>46</v>
      </c>
      <c r="K147" s="31">
        <f t="shared" ref="K147:Q147" si="30">K145/(K145+K146)</f>
        <v>0.83333333333333337</v>
      </c>
      <c r="L147" s="31">
        <f t="shared" si="30"/>
        <v>0.625</v>
      </c>
      <c r="M147" s="31">
        <f t="shared" si="30"/>
        <v>0.8</v>
      </c>
      <c r="N147" s="31">
        <f t="shared" si="30"/>
        <v>0.4</v>
      </c>
      <c r="O147" s="31">
        <f t="shared" si="30"/>
        <v>0.5</v>
      </c>
      <c r="P147" s="31">
        <f t="shared" si="30"/>
        <v>0.6333333333333333</v>
      </c>
      <c r="Q147" s="31" t="e">
        <f t="shared" si="30"/>
        <v>#DIV/0!</v>
      </c>
      <c r="R147" s="63"/>
      <c r="S147" s="10"/>
      <c r="T147" s="10"/>
      <c r="U147" s="17"/>
      <c r="V147" s="10"/>
      <c r="W147" s="10"/>
      <c r="X147" s="10"/>
    </row>
    <row r="148" spans="2:24">
      <c r="B148" s="11"/>
      <c r="C148" s="10"/>
      <c r="D148" s="10"/>
      <c r="E148" s="10"/>
      <c r="F148" s="10"/>
      <c r="G148" s="10"/>
      <c r="H148" s="10"/>
      <c r="I148" s="10"/>
      <c r="J148" s="10" t="s">
        <v>48</v>
      </c>
      <c r="K148" s="66">
        <f t="shared" ref="K148:Q148" si="31">K144/K145</f>
        <v>1186.98</v>
      </c>
      <c r="L148" s="66">
        <f t="shared" si="31"/>
        <v>1172.2</v>
      </c>
      <c r="M148" s="66">
        <f t="shared" si="31"/>
        <v>1029</v>
      </c>
      <c r="N148" s="66">
        <f t="shared" si="31"/>
        <v>1384.3</v>
      </c>
      <c r="O148" s="66">
        <f t="shared" si="31"/>
        <v>1530.3333333333333</v>
      </c>
      <c r="P148" s="66">
        <f t="shared" si="31"/>
        <v>1224.8157894736842</v>
      </c>
      <c r="Q148" s="66" t="e">
        <f t="shared" si="31"/>
        <v>#DIV/0!</v>
      </c>
      <c r="R148" s="63"/>
      <c r="S148" s="10"/>
      <c r="T148" s="10"/>
      <c r="U148" s="17"/>
      <c r="V148" s="10"/>
      <c r="W148" s="10"/>
      <c r="X148" s="10"/>
    </row>
    <row r="149" spans="2:24">
      <c r="B149" s="11"/>
      <c r="C149" s="10"/>
      <c r="D149" s="10"/>
      <c r="E149" s="10"/>
      <c r="F149" s="10"/>
      <c r="G149" s="10"/>
      <c r="H149" s="10"/>
      <c r="I149" s="10"/>
      <c r="J149" s="10"/>
      <c r="K149" s="10"/>
      <c r="L149" s="10"/>
      <c r="M149" s="10"/>
      <c r="N149" s="10"/>
      <c r="O149" s="10"/>
      <c r="P149" s="10"/>
      <c r="Q149" s="10"/>
      <c r="R149" s="10"/>
      <c r="S149" s="10"/>
      <c r="T149" s="10"/>
      <c r="U149" s="17"/>
      <c r="V149" s="10"/>
      <c r="W149" s="10"/>
      <c r="X149" s="10"/>
    </row>
    <row r="150" spans="2:24">
      <c r="B150" s="11"/>
      <c r="C150" s="10"/>
      <c r="D150" s="10"/>
      <c r="E150" s="10"/>
      <c r="F150" s="10"/>
      <c r="G150" s="10"/>
      <c r="H150" s="10"/>
      <c r="I150" s="10"/>
      <c r="J150" s="10"/>
      <c r="K150" s="10"/>
      <c r="L150" s="10"/>
      <c r="M150" s="10"/>
      <c r="N150" s="10"/>
      <c r="O150" s="10"/>
      <c r="P150" s="10"/>
      <c r="Q150" s="10"/>
      <c r="R150" s="10"/>
      <c r="S150" s="10"/>
      <c r="T150" s="10"/>
      <c r="U150" s="17"/>
      <c r="V150" s="10"/>
      <c r="W150" s="10"/>
      <c r="X150" s="10"/>
    </row>
    <row r="151" spans="2:24">
      <c r="B151" s="18" t="s">
        <v>51</v>
      </c>
      <c r="C151" s="14"/>
      <c r="D151" s="14"/>
      <c r="E151" s="14"/>
      <c r="F151" s="13" t="s">
        <v>52</v>
      </c>
      <c r="G151" s="14"/>
      <c r="H151" s="14"/>
      <c r="I151" s="14"/>
      <c r="J151" s="14"/>
      <c r="K151" s="13" t="s">
        <v>3</v>
      </c>
      <c r="L151" s="14"/>
      <c r="M151" s="14"/>
      <c r="N151" s="13" t="s">
        <v>4</v>
      </c>
      <c r="O151" s="14"/>
      <c r="P151" s="14"/>
      <c r="Q151" s="13" t="s">
        <v>5</v>
      </c>
      <c r="R151" s="14"/>
      <c r="S151" s="14"/>
      <c r="T151" s="18"/>
      <c r="U151" s="16" t="s">
        <v>53</v>
      </c>
      <c r="V151" s="77"/>
      <c r="W151" s="77"/>
      <c r="X151" s="77"/>
    </row>
    <row r="152" spans="2:24">
      <c r="B152" s="24" t="s">
        <v>54</v>
      </c>
      <c r="C152" s="21" t="s">
        <v>55</v>
      </c>
      <c r="D152" s="21" t="s">
        <v>56</v>
      </c>
      <c r="E152" s="21" t="s">
        <v>57</v>
      </c>
      <c r="F152" s="20" t="s">
        <v>58</v>
      </c>
      <c r="G152" s="21" t="s">
        <v>59</v>
      </c>
      <c r="H152" s="21" t="s">
        <v>60</v>
      </c>
      <c r="I152" s="21" t="s">
        <v>26</v>
      </c>
      <c r="J152" s="22" t="s">
        <v>61</v>
      </c>
      <c r="K152" s="21" t="s">
        <v>8</v>
      </c>
      <c r="L152" s="21" t="s">
        <v>9</v>
      </c>
      <c r="M152" s="21" t="s">
        <v>10</v>
      </c>
      <c r="N152" s="20" t="s">
        <v>11</v>
      </c>
      <c r="O152" s="21" t="s">
        <v>12</v>
      </c>
      <c r="P152" s="22" t="s">
        <v>13</v>
      </c>
      <c r="Q152" s="21" t="s">
        <v>11</v>
      </c>
      <c r="R152" s="21" t="s">
        <v>12</v>
      </c>
      <c r="S152" s="21" t="s">
        <v>13</v>
      </c>
      <c r="T152" s="78" t="s">
        <v>14</v>
      </c>
      <c r="U152" s="30"/>
      <c r="V152" s="79" t="s">
        <v>62</v>
      </c>
      <c r="W152" s="80" t="s">
        <v>63</v>
      </c>
      <c r="X152" s="81" t="s">
        <v>64</v>
      </c>
    </row>
    <row r="153" spans="2:24">
      <c r="B153" s="4" t="s">
        <v>65</v>
      </c>
      <c r="C153" s="6"/>
      <c r="D153" s="6"/>
      <c r="E153" s="6"/>
      <c r="F153" s="6"/>
      <c r="G153" s="6"/>
      <c r="H153" s="6"/>
      <c r="I153" s="82"/>
      <c r="J153" s="6"/>
      <c r="K153" s="6"/>
      <c r="L153" s="6"/>
      <c r="M153" s="6"/>
      <c r="N153" s="6"/>
      <c r="O153" s="6"/>
      <c r="P153" s="6"/>
      <c r="Q153" s="6"/>
      <c r="R153" s="6"/>
      <c r="S153" s="6"/>
      <c r="T153" s="83"/>
      <c r="U153" s="6"/>
      <c r="V153" s="84"/>
      <c r="W153" s="85"/>
      <c r="X153" s="86"/>
    </row>
    <row r="154" spans="2:24">
      <c r="B154" s="87">
        <v>1</v>
      </c>
      <c r="C154" s="638">
        <v>45936</v>
      </c>
      <c r="D154" s="276">
        <v>74026</v>
      </c>
      <c r="E154" s="276" t="s">
        <v>168</v>
      </c>
      <c r="F154" s="277">
        <v>1264</v>
      </c>
      <c r="G154" s="277">
        <f>39.7</f>
        <v>39.700000000000003</v>
      </c>
      <c r="H154" s="297"/>
      <c r="I154" s="321">
        <f t="shared" ref="I154:I170" si="32">F154-G154-H154</f>
        <v>1224.3</v>
      </c>
      <c r="J154" s="279" t="s">
        <v>156</v>
      </c>
      <c r="K154" s="279">
        <v>1</v>
      </c>
      <c r="L154" s="279">
        <v>1</v>
      </c>
      <c r="M154" s="279">
        <v>1</v>
      </c>
      <c r="N154" s="279">
        <v>1</v>
      </c>
      <c r="O154" s="279">
        <v>1</v>
      </c>
      <c r="P154" s="322">
        <v>0</v>
      </c>
      <c r="Q154" s="322">
        <v>0</v>
      </c>
      <c r="R154" s="322">
        <v>0</v>
      </c>
      <c r="S154" s="328">
        <v>0</v>
      </c>
      <c r="T154" s="63"/>
      <c r="U154" s="10"/>
      <c r="V154" s="90">
        <f>130+1260.4</f>
        <v>1390.4</v>
      </c>
      <c r="W154" s="91"/>
      <c r="X154" s="92"/>
    </row>
    <row r="155" spans="2:24">
      <c r="B155" s="87">
        <f>B154+1</f>
        <v>2</v>
      </c>
      <c r="C155" s="639">
        <v>45936</v>
      </c>
      <c r="D155" s="10">
        <v>74059</v>
      </c>
      <c r="E155" s="101" t="s">
        <v>168</v>
      </c>
      <c r="F155" s="62">
        <v>681</v>
      </c>
      <c r="G155" s="62"/>
      <c r="H155" s="62"/>
      <c r="I155" s="324">
        <f>F155-G155-H155</f>
        <v>681</v>
      </c>
      <c r="J155" s="63" t="s">
        <v>156</v>
      </c>
      <c r="K155" s="63">
        <v>1</v>
      </c>
      <c r="L155" s="325">
        <v>0</v>
      </c>
      <c r="M155" s="63">
        <v>1</v>
      </c>
      <c r="N155" s="63">
        <v>1</v>
      </c>
      <c r="O155" s="63">
        <v>1</v>
      </c>
      <c r="P155" s="325">
        <v>0</v>
      </c>
      <c r="Q155" s="63">
        <v>1</v>
      </c>
      <c r="R155" s="325">
        <v>0</v>
      </c>
      <c r="S155" s="326">
        <v>0</v>
      </c>
      <c r="T155" s="63"/>
      <c r="U155" s="10"/>
      <c r="V155" s="90">
        <v>749.1</v>
      </c>
      <c r="W155" s="91"/>
      <c r="X155" s="92"/>
    </row>
    <row r="156" spans="2:24">
      <c r="B156" s="87">
        <f>B155+1</f>
        <v>3</v>
      </c>
      <c r="C156" s="639">
        <v>45936</v>
      </c>
      <c r="D156" s="10">
        <v>74060</v>
      </c>
      <c r="E156" s="10" t="s">
        <v>512</v>
      </c>
      <c r="F156" s="62">
        <v>681</v>
      </c>
      <c r="G156" s="62"/>
      <c r="H156" s="62"/>
      <c r="I156" s="324">
        <f t="shared" si="32"/>
        <v>681</v>
      </c>
      <c r="J156" s="63" t="s">
        <v>156</v>
      </c>
      <c r="K156" s="63">
        <v>1</v>
      </c>
      <c r="L156" s="325">
        <v>0</v>
      </c>
      <c r="M156" s="63">
        <v>1</v>
      </c>
      <c r="N156" s="63">
        <v>1</v>
      </c>
      <c r="O156" s="63">
        <v>1</v>
      </c>
      <c r="P156" s="325">
        <v>0</v>
      </c>
      <c r="Q156" s="325">
        <v>0</v>
      </c>
      <c r="R156" s="325">
        <v>0</v>
      </c>
      <c r="S156" s="326">
        <v>0</v>
      </c>
      <c r="T156" s="21">
        <v>1</v>
      </c>
      <c r="U156" s="10"/>
      <c r="V156" s="90">
        <f>74+675.1</f>
        <v>749.1</v>
      </c>
      <c r="W156" s="91"/>
      <c r="X156" s="92"/>
    </row>
    <row r="157" spans="2:24">
      <c r="B157" s="87">
        <f t="shared" ref="B157:B170" si="33">B156+1</f>
        <v>4</v>
      </c>
      <c r="C157" s="639">
        <v>45936</v>
      </c>
      <c r="D157" s="3">
        <v>74055</v>
      </c>
      <c r="E157" s="10" t="s">
        <v>225</v>
      </c>
      <c r="F157" s="62">
        <v>1447.9</v>
      </c>
      <c r="G157" s="62">
        <f>39.7</f>
        <v>39.700000000000003</v>
      </c>
      <c r="H157" s="62"/>
      <c r="I157" s="324">
        <f t="shared" si="32"/>
        <v>1408.2</v>
      </c>
      <c r="J157" s="63" t="s">
        <v>228</v>
      </c>
      <c r="K157" s="63">
        <v>1</v>
      </c>
      <c r="L157" s="63">
        <v>1</v>
      </c>
      <c r="M157" s="63">
        <v>1</v>
      </c>
      <c r="N157" s="63">
        <v>1</v>
      </c>
      <c r="O157" s="63">
        <v>1</v>
      </c>
      <c r="P157" s="325">
        <v>0</v>
      </c>
      <c r="Q157" s="325">
        <v>0</v>
      </c>
      <c r="R157" s="325">
        <v>0</v>
      </c>
      <c r="S157" s="326">
        <v>0</v>
      </c>
      <c r="T157" s="21">
        <v>1</v>
      </c>
      <c r="U157" s="10"/>
      <c r="V157" s="90">
        <f>166+1592.69+168.74</f>
        <v>1927.43</v>
      </c>
      <c r="W157" s="91"/>
      <c r="X157" s="92"/>
    </row>
    <row r="158" spans="2:24">
      <c r="B158" s="87">
        <f>B157+1</f>
        <v>5</v>
      </c>
      <c r="C158" s="639">
        <v>45936</v>
      </c>
      <c r="D158" s="77">
        <v>74076</v>
      </c>
      <c r="E158" s="10" t="s">
        <v>172</v>
      </c>
      <c r="F158" s="62">
        <v>1861</v>
      </c>
      <c r="G158" s="62">
        <f>39.7+398</f>
        <v>437.7</v>
      </c>
      <c r="H158" s="62"/>
      <c r="I158" s="89">
        <f>F158-G158-H158</f>
        <v>1423.3</v>
      </c>
      <c r="J158" s="63" t="s">
        <v>156</v>
      </c>
      <c r="K158" s="63">
        <v>1</v>
      </c>
      <c r="L158" s="63">
        <v>1</v>
      </c>
      <c r="M158" s="63">
        <v>1</v>
      </c>
      <c r="N158" s="63">
        <v>1</v>
      </c>
      <c r="O158" s="63">
        <v>1</v>
      </c>
      <c r="P158" s="63">
        <v>1</v>
      </c>
      <c r="Q158" s="63">
        <v>1</v>
      </c>
      <c r="R158" s="63">
        <v>1</v>
      </c>
      <c r="S158" s="296">
        <v>1</v>
      </c>
      <c r="T158" s="63"/>
      <c r="U158" s="94"/>
      <c r="V158" s="90">
        <f>200+1847.1</f>
        <v>2047.1</v>
      </c>
      <c r="W158" s="91"/>
      <c r="X158" s="92"/>
    </row>
    <row r="159" spans="2:24">
      <c r="B159" s="87">
        <f>B158+1</f>
        <v>6</v>
      </c>
      <c r="C159" s="638">
        <v>45937</v>
      </c>
      <c r="D159" s="276">
        <v>74094</v>
      </c>
      <c r="E159" s="276" t="s">
        <v>159</v>
      </c>
      <c r="F159" s="277">
        <f>899-85</f>
        <v>814</v>
      </c>
      <c r="G159" s="277">
        <f>39.7</f>
        <v>39.700000000000003</v>
      </c>
      <c r="H159" s="277"/>
      <c r="I159" s="321">
        <f t="shared" ref="I159" si="34">F159-G159-H159</f>
        <v>774.3</v>
      </c>
      <c r="J159" s="279" t="s">
        <v>374</v>
      </c>
      <c r="K159" s="322">
        <v>0</v>
      </c>
      <c r="L159" s="322">
        <v>0</v>
      </c>
      <c r="M159" s="279">
        <v>1</v>
      </c>
      <c r="N159" s="279">
        <v>1</v>
      </c>
      <c r="O159" s="279">
        <v>1</v>
      </c>
      <c r="P159" s="279">
        <v>1</v>
      </c>
      <c r="Q159" s="279">
        <v>1</v>
      </c>
      <c r="R159" s="279">
        <v>1</v>
      </c>
      <c r="S159" s="328">
        <v>0</v>
      </c>
      <c r="T159" s="63"/>
      <c r="U159" s="94"/>
      <c r="V159" s="90">
        <f>93.5+895.4</f>
        <v>988.9</v>
      </c>
      <c r="W159" s="91"/>
      <c r="X159" s="92"/>
    </row>
    <row r="160" spans="2:24">
      <c r="B160" s="87">
        <f>B159+1</f>
        <v>7</v>
      </c>
      <c r="C160" s="639">
        <v>45937</v>
      </c>
      <c r="D160" s="10">
        <v>74112</v>
      </c>
      <c r="E160" s="94" t="s">
        <v>172</v>
      </c>
      <c r="F160" s="62">
        <v>1681</v>
      </c>
      <c r="G160" s="62">
        <f>39.7</f>
        <v>39.700000000000003</v>
      </c>
      <c r="H160" s="62"/>
      <c r="I160" s="324">
        <f t="shared" si="32"/>
        <v>1641.3</v>
      </c>
      <c r="J160" s="63" t="s">
        <v>156</v>
      </c>
      <c r="K160" s="63">
        <v>1</v>
      </c>
      <c r="L160" s="63">
        <v>1</v>
      </c>
      <c r="M160" s="63">
        <v>1</v>
      </c>
      <c r="N160" s="63">
        <v>1</v>
      </c>
      <c r="O160" s="63">
        <v>1</v>
      </c>
      <c r="P160" s="325">
        <v>0</v>
      </c>
      <c r="Q160" s="325">
        <v>0</v>
      </c>
      <c r="R160" s="325">
        <v>0</v>
      </c>
      <c r="S160" s="326">
        <v>0</v>
      </c>
      <c r="T160" s="63"/>
      <c r="U160" s="10"/>
      <c r="V160" s="90">
        <f>184+1665.1</f>
        <v>1849.1</v>
      </c>
      <c r="W160" s="91"/>
      <c r="X160" s="92"/>
    </row>
    <row r="161" spans="1:30">
      <c r="B161" s="87">
        <f t="shared" si="33"/>
        <v>8</v>
      </c>
      <c r="C161" s="639">
        <v>45937</v>
      </c>
      <c r="D161" s="10">
        <v>74103</v>
      </c>
      <c r="E161" s="10" t="s">
        <v>196</v>
      </c>
      <c r="F161" s="62">
        <v>1681</v>
      </c>
      <c r="G161" s="62">
        <f>39.7+(83.9)</f>
        <v>123.60000000000001</v>
      </c>
      <c r="H161" s="62"/>
      <c r="I161" s="324">
        <f t="shared" si="32"/>
        <v>1557.4</v>
      </c>
      <c r="J161" s="63" t="s">
        <v>156</v>
      </c>
      <c r="K161" s="63">
        <v>1</v>
      </c>
      <c r="L161" s="63">
        <v>1</v>
      </c>
      <c r="M161" s="63">
        <v>1</v>
      </c>
      <c r="N161" s="63">
        <v>1</v>
      </c>
      <c r="O161" s="325">
        <v>0</v>
      </c>
      <c r="P161" s="325">
        <v>0</v>
      </c>
      <c r="Q161" s="63">
        <v>1</v>
      </c>
      <c r="R161" s="325">
        <v>0</v>
      </c>
      <c r="S161" s="326">
        <v>0</v>
      </c>
      <c r="T161" s="21">
        <v>1</v>
      </c>
      <c r="U161" s="10"/>
      <c r="V161" s="90">
        <f>185+1664.1</f>
        <v>1849.1</v>
      </c>
      <c r="W161" s="91"/>
      <c r="X161" s="92"/>
    </row>
    <row r="162" spans="1:30">
      <c r="B162" s="87">
        <f t="shared" si="33"/>
        <v>9</v>
      </c>
      <c r="C162" s="639">
        <v>45937</v>
      </c>
      <c r="D162" s="10">
        <v>74162</v>
      </c>
      <c r="E162" s="10" t="s">
        <v>381</v>
      </c>
      <c r="F162" s="62">
        <v>1264</v>
      </c>
      <c r="G162" s="62">
        <f>39.7</f>
        <v>39.700000000000003</v>
      </c>
      <c r="H162" s="88"/>
      <c r="I162" s="324">
        <f t="shared" si="32"/>
        <v>1224.3</v>
      </c>
      <c r="J162" s="63" t="s">
        <v>156</v>
      </c>
      <c r="K162" s="63">
        <v>1</v>
      </c>
      <c r="L162" s="325">
        <v>0</v>
      </c>
      <c r="M162" s="63">
        <v>1</v>
      </c>
      <c r="N162" s="63">
        <v>1</v>
      </c>
      <c r="O162" s="63">
        <v>1</v>
      </c>
      <c r="P162" s="63">
        <v>1</v>
      </c>
      <c r="Q162" s="63">
        <v>1</v>
      </c>
      <c r="R162" s="325">
        <v>0</v>
      </c>
      <c r="S162" s="326">
        <v>0</v>
      </c>
      <c r="T162" s="63"/>
      <c r="U162" s="10"/>
      <c r="V162" s="90">
        <v>1390.4</v>
      </c>
      <c r="W162" s="91"/>
      <c r="X162" s="92"/>
    </row>
    <row r="163" spans="1:30">
      <c r="B163" s="87">
        <f t="shared" si="33"/>
        <v>10</v>
      </c>
      <c r="C163" s="639">
        <v>45937</v>
      </c>
      <c r="D163" s="10">
        <v>74066</v>
      </c>
      <c r="E163" s="10" t="s">
        <v>672</v>
      </c>
      <c r="F163" s="62">
        <v>421</v>
      </c>
      <c r="G163" s="62"/>
      <c r="H163" s="88"/>
      <c r="I163" s="324">
        <f t="shared" si="32"/>
        <v>421</v>
      </c>
      <c r="J163" s="63" t="s">
        <v>156</v>
      </c>
      <c r="K163" s="63">
        <v>1</v>
      </c>
      <c r="L163" s="63">
        <v>1</v>
      </c>
      <c r="M163" s="63">
        <v>1</v>
      </c>
      <c r="N163" s="63">
        <v>1</v>
      </c>
      <c r="O163" s="325">
        <v>0</v>
      </c>
      <c r="P163" s="325">
        <v>0</v>
      </c>
      <c r="Q163" s="63">
        <v>1</v>
      </c>
      <c r="R163" s="325">
        <v>0</v>
      </c>
      <c r="S163" s="326">
        <v>0</v>
      </c>
      <c r="T163" s="63"/>
      <c r="U163" s="10"/>
      <c r="V163" s="90">
        <v>463.1</v>
      </c>
      <c r="W163" s="91"/>
      <c r="X163" s="92"/>
    </row>
    <row r="164" spans="1:30">
      <c r="B164" s="87">
        <f t="shared" si="33"/>
        <v>11</v>
      </c>
      <c r="C164" s="638">
        <v>45938</v>
      </c>
      <c r="D164" s="276" t="s">
        <v>2754</v>
      </c>
      <c r="E164" s="276" t="s">
        <v>172</v>
      </c>
      <c r="F164" s="277">
        <v>1681</v>
      </c>
      <c r="G164" s="277">
        <f>39.7+500</f>
        <v>539.70000000000005</v>
      </c>
      <c r="H164" s="297"/>
      <c r="I164" s="321">
        <f t="shared" si="32"/>
        <v>1141.3</v>
      </c>
      <c r="J164" s="279" t="s">
        <v>156</v>
      </c>
      <c r="K164" s="279">
        <v>1</v>
      </c>
      <c r="L164" s="279">
        <v>1</v>
      </c>
      <c r="M164" s="279">
        <v>1</v>
      </c>
      <c r="N164" s="279">
        <v>1</v>
      </c>
      <c r="O164" s="279">
        <v>1</v>
      </c>
      <c r="P164" s="322">
        <v>0</v>
      </c>
      <c r="Q164" s="322">
        <v>0</v>
      </c>
      <c r="R164" s="322">
        <v>0</v>
      </c>
      <c r="S164" s="328">
        <v>0</v>
      </c>
      <c r="T164" s="63"/>
      <c r="U164" s="10"/>
      <c r="V164" s="90">
        <v>1849.1</v>
      </c>
      <c r="W164" s="91"/>
      <c r="X164" s="92"/>
    </row>
    <row r="165" spans="1:30">
      <c r="B165" s="87">
        <f t="shared" si="33"/>
        <v>12</v>
      </c>
      <c r="C165" s="639">
        <v>45938</v>
      </c>
      <c r="D165" s="10">
        <v>74181</v>
      </c>
      <c r="E165" s="10" t="s">
        <v>456</v>
      </c>
      <c r="F165" s="62">
        <v>1138</v>
      </c>
      <c r="G165" s="62">
        <f>39.7</f>
        <v>39.700000000000003</v>
      </c>
      <c r="H165" s="88"/>
      <c r="I165" s="324">
        <f t="shared" si="32"/>
        <v>1098.3</v>
      </c>
      <c r="J165" s="63" t="s">
        <v>156</v>
      </c>
      <c r="K165" s="63">
        <v>1</v>
      </c>
      <c r="L165" s="63">
        <v>1</v>
      </c>
      <c r="M165" s="63">
        <v>1</v>
      </c>
      <c r="N165" s="63">
        <v>1</v>
      </c>
      <c r="O165" s="63">
        <v>1</v>
      </c>
      <c r="P165" s="63">
        <v>1</v>
      </c>
      <c r="Q165" s="63">
        <v>1</v>
      </c>
      <c r="R165" s="325">
        <v>0</v>
      </c>
      <c r="S165" s="326">
        <v>0</v>
      </c>
      <c r="T165" s="63"/>
      <c r="U165" s="10"/>
      <c r="V165" s="90">
        <f>125+1126.8</f>
        <v>1251.8</v>
      </c>
      <c r="W165" s="91"/>
      <c r="X165" s="92"/>
    </row>
    <row r="166" spans="1:30">
      <c r="B166" s="87">
        <f t="shared" si="33"/>
        <v>13</v>
      </c>
      <c r="C166" s="639">
        <v>45938</v>
      </c>
      <c r="D166" s="10">
        <v>74187</v>
      </c>
      <c r="E166" s="10" t="s">
        <v>268</v>
      </c>
      <c r="F166" s="62">
        <v>616</v>
      </c>
      <c r="G166" s="62"/>
      <c r="H166" s="88"/>
      <c r="I166" s="324">
        <f t="shared" si="32"/>
        <v>616</v>
      </c>
      <c r="J166" s="63" t="s">
        <v>156</v>
      </c>
      <c r="K166" s="63">
        <v>1</v>
      </c>
      <c r="L166" s="325">
        <v>0</v>
      </c>
      <c r="M166" s="325">
        <v>0</v>
      </c>
      <c r="N166" s="63">
        <v>1</v>
      </c>
      <c r="O166" s="63">
        <v>1</v>
      </c>
      <c r="P166" s="325">
        <v>0</v>
      </c>
      <c r="Q166" s="325">
        <v>0</v>
      </c>
      <c r="R166" s="325">
        <v>0</v>
      </c>
      <c r="S166" s="326">
        <v>0</v>
      </c>
      <c r="T166" s="63"/>
      <c r="U166" s="10"/>
      <c r="V166" s="90">
        <v>677.6</v>
      </c>
      <c r="W166" s="91"/>
      <c r="X166" s="92"/>
    </row>
    <row r="167" spans="1:30">
      <c r="B167" s="87">
        <f t="shared" si="33"/>
        <v>14</v>
      </c>
      <c r="C167" s="639">
        <v>45938</v>
      </c>
      <c r="D167" s="10">
        <v>74196</v>
      </c>
      <c r="E167" s="10" t="s">
        <v>513</v>
      </c>
      <c r="F167" s="95">
        <v>681</v>
      </c>
      <c r="G167" s="62"/>
      <c r="H167" s="62"/>
      <c r="I167" s="324">
        <f t="shared" si="32"/>
        <v>681</v>
      </c>
      <c r="J167" s="63" t="s">
        <v>156</v>
      </c>
      <c r="K167" s="63">
        <v>1</v>
      </c>
      <c r="L167" s="63">
        <v>1</v>
      </c>
      <c r="M167" s="325">
        <v>0</v>
      </c>
      <c r="N167" s="63">
        <v>1</v>
      </c>
      <c r="O167" s="63">
        <v>1</v>
      </c>
      <c r="P167" s="63">
        <v>1</v>
      </c>
      <c r="Q167" s="325">
        <v>0</v>
      </c>
      <c r="R167" s="325">
        <v>0</v>
      </c>
      <c r="S167" s="326">
        <v>0</v>
      </c>
      <c r="T167" s="21">
        <v>1</v>
      </c>
      <c r="U167" s="10"/>
      <c r="V167" s="90">
        <v>749.1</v>
      </c>
      <c r="W167" s="91"/>
      <c r="X167" s="92"/>
    </row>
    <row r="168" spans="1:30">
      <c r="B168" s="87">
        <f t="shared" si="33"/>
        <v>15</v>
      </c>
      <c r="C168" s="638">
        <v>45939</v>
      </c>
      <c r="D168" s="276">
        <v>74220</v>
      </c>
      <c r="E168" s="276" t="s">
        <v>507</v>
      </c>
      <c r="F168" s="447">
        <v>481</v>
      </c>
      <c r="G168" s="277"/>
      <c r="H168" s="277"/>
      <c r="I168" s="321">
        <f t="shared" si="32"/>
        <v>481</v>
      </c>
      <c r="J168" s="279" t="s">
        <v>156</v>
      </c>
      <c r="K168" s="279">
        <v>1</v>
      </c>
      <c r="L168" s="279">
        <v>1</v>
      </c>
      <c r="M168" s="279">
        <v>1</v>
      </c>
      <c r="N168" s="279">
        <v>1</v>
      </c>
      <c r="O168" s="279">
        <v>1</v>
      </c>
      <c r="P168" s="279">
        <v>1</v>
      </c>
      <c r="Q168" s="279">
        <v>1</v>
      </c>
      <c r="R168" s="322">
        <v>0</v>
      </c>
      <c r="S168" s="328">
        <v>0</v>
      </c>
      <c r="T168" s="63"/>
      <c r="U168" s="10"/>
      <c r="V168" s="90">
        <v>529.1</v>
      </c>
      <c r="W168" s="91"/>
      <c r="X168" s="92"/>
    </row>
    <row r="169" spans="1:30">
      <c r="B169" s="87">
        <f t="shared" si="33"/>
        <v>16</v>
      </c>
      <c r="C169" s="638">
        <v>45940</v>
      </c>
      <c r="D169" s="276">
        <v>74283</v>
      </c>
      <c r="E169" s="276" t="s">
        <v>245</v>
      </c>
      <c r="F169" s="447">
        <v>681</v>
      </c>
      <c r="G169" s="277"/>
      <c r="H169" s="277"/>
      <c r="I169" s="321">
        <f t="shared" si="32"/>
        <v>681</v>
      </c>
      <c r="J169" s="279" t="s">
        <v>156</v>
      </c>
      <c r="K169" s="279">
        <v>1</v>
      </c>
      <c r="L169" s="279">
        <v>1</v>
      </c>
      <c r="M169" s="279">
        <v>1</v>
      </c>
      <c r="N169" s="279">
        <v>1</v>
      </c>
      <c r="O169" s="279">
        <v>1</v>
      </c>
      <c r="P169" s="279">
        <v>1</v>
      </c>
      <c r="Q169" s="279">
        <v>1</v>
      </c>
      <c r="R169" s="322">
        <v>0</v>
      </c>
      <c r="S169" s="328">
        <v>0</v>
      </c>
      <c r="T169" s="63"/>
      <c r="U169" s="10"/>
      <c r="V169" s="90">
        <f>74.9+674.2</f>
        <v>749.1</v>
      </c>
      <c r="W169" s="91"/>
      <c r="X169" s="92"/>
    </row>
    <row r="170" spans="1:30">
      <c r="B170" s="87">
        <f t="shared" si="33"/>
        <v>17</v>
      </c>
      <c r="C170" s="640">
        <v>45940</v>
      </c>
      <c r="D170" s="283">
        <v>74309</v>
      </c>
      <c r="E170" s="283" t="s">
        <v>172</v>
      </c>
      <c r="F170" s="423">
        <v>2861</v>
      </c>
      <c r="G170" s="284">
        <f>39.7+(51.06)</f>
        <v>90.76</v>
      </c>
      <c r="H170" s="284"/>
      <c r="I170" s="300">
        <f t="shared" si="32"/>
        <v>2770.24</v>
      </c>
      <c r="J170" s="286" t="s">
        <v>156</v>
      </c>
      <c r="K170" s="286">
        <v>1</v>
      </c>
      <c r="L170" s="286">
        <v>1</v>
      </c>
      <c r="M170" s="286">
        <v>1</v>
      </c>
      <c r="N170" s="286">
        <v>1</v>
      </c>
      <c r="O170" s="286">
        <v>1</v>
      </c>
      <c r="P170" s="286">
        <v>1</v>
      </c>
      <c r="Q170" s="286">
        <v>1</v>
      </c>
      <c r="R170" s="332">
        <v>0</v>
      </c>
      <c r="S170" s="370">
        <v>0</v>
      </c>
      <c r="T170" s="63"/>
      <c r="U170" s="10"/>
      <c r="V170" s="90">
        <f>315+2832.1</f>
        <v>3147.1</v>
      </c>
      <c r="W170" s="91"/>
      <c r="X170" s="92"/>
    </row>
    <row r="171" spans="1:30">
      <c r="B171" s="87"/>
      <c r="C171" s="621"/>
      <c r="D171" s="10"/>
      <c r="E171" s="10"/>
      <c r="F171" s="97">
        <f>SUM(F154:F170)</f>
        <v>19934.900000000001</v>
      </c>
      <c r="G171" s="97">
        <f>SUM(G154:G170)</f>
        <v>1429.9600000000003</v>
      </c>
      <c r="H171" s="97">
        <f>SUM(H154:H170)</f>
        <v>0</v>
      </c>
      <c r="I171" s="98">
        <f>SUM(I154:I170)</f>
        <v>18504.939999999999</v>
      </c>
      <c r="J171" s="63"/>
      <c r="K171" s="63">
        <f>COUNT(K154:K170)</f>
        <v>17</v>
      </c>
      <c r="L171" s="63">
        <f>COUNT(L154:L170)</f>
        <v>17</v>
      </c>
      <c r="M171" s="63">
        <f>COUNT(M154:M170)</f>
        <v>17</v>
      </c>
      <c r="N171" s="63">
        <f>COUNT(N154:N170)</f>
        <v>17</v>
      </c>
      <c r="O171" s="63">
        <f>COUNT(O154:O170)</f>
        <v>17</v>
      </c>
      <c r="P171" s="63">
        <f>COUNT(P154:P170)</f>
        <v>17</v>
      </c>
      <c r="Q171" s="63">
        <f>COUNT(Q154:Q170)</f>
        <v>17</v>
      </c>
      <c r="R171" s="63">
        <f>COUNT(R154:R170)</f>
        <v>17</v>
      </c>
      <c r="S171" s="63">
        <f>COUNT(S154:S170)</f>
        <v>17</v>
      </c>
      <c r="T171" s="63"/>
      <c r="U171" s="10"/>
      <c r="V171" s="90"/>
      <c r="W171" s="91"/>
      <c r="X171" s="92"/>
    </row>
    <row r="172" spans="1:30">
      <c r="B172" s="87"/>
      <c r="C172" s="621"/>
      <c r="D172" s="10"/>
      <c r="E172" s="10"/>
      <c r="F172" s="88"/>
      <c r="G172" s="88"/>
      <c r="H172" s="88"/>
      <c r="I172" s="99"/>
      <c r="J172" s="63"/>
      <c r="K172" s="21">
        <f>SUM(K154:K170)</f>
        <v>16</v>
      </c>
      <c r="L172" s="21">
        <f>SUM(L154:L170)</f>
        <v>12</v>
      </c>
      <c r="M172" s="21">
        <f>SUM(M154:M170)</f>
        <v>15</v>
      </c>
      <c r="N172" s="21">
        <f>SUM(N154:N170)</f>
        <v>17</v>
      </c>
      <c r="O172" s="21">
        <f>SUM(O154:O170)</f>
        <v>15</v>
      </c>
      <c r="P172" s="21">
        <f>SUM(P154:P170)</f>
        <v>8</v>
      </c>
      <c r="Q172" s="21">
        <f>SUM(Q154:Q170)</f>
        <v>10</v>
      </c>
      <c r="R172" s="21">
        <f>SUM(R154:R170)</f>
        <v>2</v>
      </c>
      <c r="S172" s="21">
        <f>SUM(S154:S170)</f>
        <v>1</v>
      </c>
      <c r="T172" s="63"/>
      <c r="U172" s="10"/>
      <c r="V172" s="90"/>
      <c r="W172" s="91"/>
      <c r="X172" s="92"/>
    </row>
    <row r="173" spans="1:30">
      <c r="B173" s="11"/>
      <c r="C173" s="609"/>
      <c r="D173" s="10"/>
      <c r="E173" s="10"/>
      <c r="F173" s="88"/>
      <c r="G173" s="88"/>
      <c r="H173" s="88"/>
      <c r="I173" s="99"/>
      <c r="J173" s="63"/>
      <c r="K173" s="21"/>
      <c r="L173" s="21"/>
      <c r="M173" s="21"/>
      <c r="N173" s="21"/>
      <c r="O173" s="21"/>
      <c r="P173" s="21"/>
      <c r="Q173" s="21"/>
      <c r="R173" s="21"/>
      <c r="S173" s="21"/>
      <c r="T173" s="63"/>
      <c r="U173" s="94"/>
      <c r="V173" s="90"/>
      <c r="W173" s="91"/>
      <c r="X173" s="92"/>
    </row>
    <row r="174" spans="1:30">
      <c r="B174" s="100" t="s">
        <v>67</v>
      </c>
      <c r="C174" s="609"/>
      <c r="D174" s="10"/>
      <c r="E174" s="10"/>
      <c r="F174" s="88"/>
      <c r="G174" s="62"/>
      <c r="H174" s="88"/>
      <c r="I174" s="99"/>
      <c r="J174" s="63"/>
      <c r="K174" s="2"/>
      <c r="L174" s="2"/>
      <c r="M174" s="2"/>
      <c r="N174" s="2"/>
      <c r="O174" s="2"/>
      <c r="P174" s="2"/>
      <c r="Q174" s="2"/>
      <c r="R174" s="2"/>
      <c r="S174" s="2"/>
      <c r="T174" s="63"/>
      <c r="U174" s="94"/>
      <c r="V174" s="90"/>
      <c r="W174" s="91"/>
      <c r="X174" s="92"/>
    </row>
    <row r="175" spans="1:30">
      <c r="A175" s="260" t="s">
        <v>1205</v>
      </c>
      <c r="B175" s="87">
        <v>1</v>
      </c>
      <c r="C175" s="638">
        <v>45931</v>
      </c>
      <c r="D175" s="327" t="s">
        <v>2742</v>
      </c>
      <c r="E175" s="281" t="s">
        <v>294</v>
      </c>
      <c r="F175" s="277">
        <v>2814</v>
      </c>
      <c r="G175" s="277">
        <f>39.7+138.29+(29.97)+(171.73)+200</f>
        <v>579.69000000000005</v>
      </c>
      <c r="H175" s="277"/>
      <c r="I175" s="321">
        <f t="shared" ref="I175" si="35">F175-G175-H175</f>
        <v>2234.31</v>
      </c>
      <c r="J175" s="279" t="s">
        <v>374</v>
      </c>
      <c r="K175" s="279">
        <v>1</v>
      </c>
      <c r="L175" s="279">
        <v>1</v>
      </c>
      <c r="M175" s="279">
        <v>1</v>
      </c>
      <c r="N175" s="279">
        <v>1</v>
      </c>
      <c r="O175" s="279">
        <v>1</v>
      </c>
      <c r="P175" s="279">
        <v>1</v>
      </c>
      <c r="Q175" s="279">
        <v>1</v>
      </c>
      <c r="R175" s="322">
        <v>0</v>
      </c>
      <c r="S175" s="328">
        <v>0</v>
      </c>
      <c r="T175" s="63"/>
      <c r="U175" s="10" t="s">
        <v>2743</v>
      </c>
      <c r="V175" s="90"/>
      <c r="W175" s="91"/>
      <c r="X175" s="92"/>
      <c r="Y175" s="181"/>
    </row>
    <row r="176" spans="1:30">
      <c r="A176" s="494" t="s">
        <v>2237</v>
      </c>
      <c r="B176" s="87">
        <f>B175+1</f>
        <v>2</v>
      </c>
      <c r="C176" s="641">
        <v>45929</v>
      </c>
      <c r="D176" s="263" t="s">
        <v>2744</v>
      </c>
      <c r="E176" s="264" t="s">
        <v>728</v>
      </c>
      <c r="F176" s="265">
        <v>16814</v>
      </c>
      <c r="G176" s="265">
        <f>39.7+98.2+1113.12+75.2+(11.86+215.29)+(223.33+130.67+157.74)+1500</f>
        <v>3565.1099999999997</v>
      </c>
      <c r="H176" s="265"/>
      <c r="I176" s="266">
        <f t="shared" ref="I176" si="36">F176-G176-H176</f>
        <v>13248.89</v>
      </c>
      <c r="J176" s="267" t="s">
        <v>374</v>
      </c>
      <c r="K176" s="267">
        <v>1</v>
      </c>
      <c r="L176" s="267">
        <v>1</v>
      </c>
      <c r="M176" s="267">
        <v>1</v>
      </c>
      <c r="N176" s="267">
        <v>1</v>
      </c>
      <c r="O176" s="267">
        <v>1</v>
      </c>
      <c r="P176" s="314">
        <v>0</v>
      </c>
      <c r="Q176" s="314">
        <v>0</v>
      </c>
      <c r="R176" s="314">
        <v>0</v>
      </c>
      <c r="S176" s="366">
        <v>0</v>
      </c>
      <c r="T176" s="63"/>
      <c r="U176" s="94" t="s">
        <v>2755</v>
      </c>
      <c r="V176" s="90">
        <f>11102.5</f>
        <v>11102.5</v>
      </c>
      <c r="W176" s="136"/>
      <c r="X176" s="137"/>
      <c r="Y176" s="181"/>
      <c r="Z176" s="260"/>
      <c r="AA176" s="260"/>
      <c r="AB176" s="260"/>
      <c r="AC176" s="260"/>
      <c r="AD176" s="260"/>
    </row>
    <row r="177" spans="1:30">
      <c r="A177" s="494" t="s">
        <v>2756</v>
      </c>
      <c r="B177" s="87">
        <f>B176+1</f>
        <v>3</v>
      </c>
      <c r="C177" s="640">
        <v>45929</v>
      </c>
      <c r="D177" s="368" t="s">
        <v>2746</v>
      </c>
      <c r="E177" s="319" t="s">
        <v>728</v>
      </c>
      <c r="F177" s="284">
        <f>4461-1461</f>
        <v>3000</v>
      </c>
      <c r="G177" s="284">
        <f>39.7+500</f>
        <v>539.70000000000005</v>
      </c>
      <c r="H177" s="284"/>
      <c r="I177" s="300">
        <f>F177-G177-H177</f>
        <v>2460.3000000000002</v>
      </c>
      <c r="J177" s="286" t="s">
        <v>374</v>
      </c>
      <c r="K177" s="286">
        <v>1</v>
      </c>
      <c r="L177" s="286"/>
      <c r="M177" s="286">
        <v>1</v>
      </c>
      <c r="N177" s="286">
        <v>1</v>
      </c>
      <c r="O177" s="286">
        <v>1</v>
      </c>
      <c r="P177" s="332">
        <v>0</v>
      </c>
      <c r="Q177" s="332">
        <v>0</v>
      </c>
      <c r="R177" s="332">
        <v>0</v>
      </c>
      <c r="S177" s="370">
        <v>0</v>
      </c>
      <c r="T177" s="63"/>
      <c r="U177" s="94" t="s">
        <v>2747</v>
      </c>
      <c r="V177" s="90">
        <f>1000+1607.1</f>
        <v>2607.1</v>
      </c>
      <c r="W177" s="136"/>
      <c r="X177" s="137"/>
      <c r="Y177" s="181"/>
      <c r="Z177" s="260"/>
      <c r="AA177" s="260"/>
      <c r="AB177" s="260"/>
      <c r="AC177" s="260"/>
      <c r="AD177" s="260"/>
    </row>
    <row r="178" spans="1:30" s="381" customFormat="1">
      <c r="A178" s="493" t="s">
        <v>2757</v>
      </c>
      <c r="B178" s="372">
        <f>B177+1</f>
        <v>4</v>
      </c>
      <c r="C178" s="693">
        <v>45930</v>
      </c>
      <c r="D178" s="263" t="s">
        <v>2748</v>
      </c>
      <c r="E178" s="524" t="s">
        <v>196</v>
      </c>
      <c r="F178" s="375">
        <f>5553-5553</f>
        <v>0</v>
      </c>
      <c r="G178" s="375">
        <f>39.7+2500-2539.7</f>
        <v>0</v>
      </c>
      <c r="H178" s="375"/>
      <c r="I178" s="376">
        <f>F178-G178-H178</f>
        <v>0</v>
      </c>
      <c r="J178" s="314" t="s">
        <v>156</v>
      </c>
      <c r="K178" s="314">
        <v>1</v>
      </c>
      <c r="L178" s="314"/>
      <c r="M178" s="314">
        <v>1</v>
      </c>
      <c r="N178" s="314">
        <v>1</v>
      </c>
      <c r="O178" s="314">
        <v>1</v>
      </c>
      <c r="P178" s="314">
        <v>0</v>
      </c>
      <c r="Q178" s="314"/>
      <c r="R178" s="314"/>
      <c r="S178" s="366"/>
      <c r="T178" s="325"/>
      <c r="U178" s="430" t="s">
        <v>2749</v>
      </c>
      <c r="V178" s="377"/>
      <c r="W178" s="392"/>
      <c r="X178" s="379"/>
      <c r="Y178" s="380"/>
    </row>
    <row r="179" spans="1:30">
      <c r="B179" s="11"/>
      <c r="C179" s="609"/>
      <c r="D179" s="10"/>
      <c r="E179" s="10"/>
      <c r="F179" s="97">
        <f>SUM(F175:F178)</f>
        <v>22628</v>
      </c>
      <c r="G179" s="97">
        <f>SUM(G175:G178)</f>
        <v>4684.4999999999991</v>
      </c>
      <c r="H179" s="97">
        <f>SUM(H175:H178)</f>
        <v>0</v>
      </c>
      <c r="I179" s="98">
        <f>SUM(I175:I178)</f>
        <v>17943.5</v>
      </c>
      <c r="J179" s="63"/>
      <c r="K179" s="21"/>
      <c r="L179" s="21"/>
      <c r="M179" s="21"/>
      <c r="N179" s="21"/>
      <c r="O179" s="21"/>
      <c r="P179" s="21"/>
      <c r="Q179" s="21"/>
      <c r="R179" s="21"/>
      <c r="S179" s="21"/>
      <c r="T179" s="63"/>
      <c r="U179" s="94"/>
      <c r="V179" s="90"/>
      <c r="W179" s="91"/>
      <c r="X179" s="92"/>
    </row>
    <row r="180" spans="1:30">
      <c r="B180" s="11"/>
      <c r="C180" s="609"/>
      <c r="D180" s="10"/>
      <c r="E180" s="10"/>
      <c r="F180" s="88"/>
      <c r="G180" s="88"/>
      <c r="H180" s="88"/>
      <c r="I180" s="99"/>
      <c r="J180" s="63"/>
      <c r="K180" s="21"/>
      <c r="L180" s="21"/>
      <c r="M180" s="21"/>
      <c r="N180" s="21"/>
      <c r="O180" s="21"/>
      <c r="P180" s="21"/>
      <c r="Q180" s="21"/>
      <c r="R180" s="21"/>
      <c r="S180" s="21"/>
      <c r="T180" s="63"/>
      <c r="U180" s="94"/>
      <c r="V180" s="90"/>
      <c r="W180" s="91"/>
      <c r="X180" s="92"/>
    </row>
    <row r="181" spans="1:30">
      <c r="B181" s="121" t="s">
        <v>68</v>
      </c>
      <c r="C181" s="611"/>
      <c r="D181" s="123"/>
      <c r="E181" s="123"/>
      <c r="F181" s="124"/>
      <c r="G181" s="125"/>
      <c r="H181" s="124"/>
      <c r="I181" s="126"/>
      <c r="J181" s="127"/>
      <c r="K181" s="128"/>
      <c r="L181" s="128"/>
      <c r="M181" s="128"/>
      <c r="N181" s="128"/>
      <c r="O181" s="128"/>
      <c r="P181" s="128"/>
      <c r="Q181" s="128"/>
      <c r="R181" s="128"/>
      <c r="S181" s="128"/>
      <c r="T181" s="127"/>
      <c r="U181" s="123"/>
      <c r="V181" s="129"/>
      <c r="W181" s="130"/>
      <c r="X181" s="131"/>
    </row>
    <row r="182" spans="1:30" s="342" customFormat="1">
      <c r="A182" s="492">
        <v>0.05</v>
      </c>
      <c r="B182" s="333">
        <v>1</v>
      </c>
      <c r="C182" s="703">
        <v>45939</v>
      </c>
      <c r="D182" s="358">
        <v>74206</v>
      </c>
      <c r="E182" s="351" t="s">
        <v>497</v>
      </c>
      <c r="F182" s="352">
        <v>2287.6</v>
      </c>
      <c r="G182" s="352">
        <f>39.7+(187.33)+200</f>
        <v>427.03000000000003</v>
      </c>
      <c r="H182" s="352"/>
      <c r="I182" s="353">
        <f t="shared" ref="I182" si="37">F182-G182-H182</f>
        <v>1860.57</v>
      </c>
      <c r="J182" s="354" t="s">
        <v>156</v>
      </c>
      <c r="K182" s="354">
        <v>1</v>
      </c>
      <c r="L182" s="354">
        <v>1</v>
      </c>
      <c r="M182" s="354">
        <v>1</v>
      </c>
      <c r="N182" s="354">
        <v>1</v>
      </c>
      <c r="O182" s="354">
        <v>1</v>
      </c>
      <c r="P182" s="354">
        <v>1</v>
      </c>
      <c r="Q182" s="354">
        <v>1</v>
      </c>
      <c r="R182" s="354">
        <v>1</v>
      </c>
      <c r="S182" s="366">
        <v>0</v>
      </c>
      <c r="T182" s="127"/>
      <c r="U182" s="123"/>
      <c r="V182" s="129">
        <f>260</f>
        <v>260</v>
      </c>
      <c r="W182" s="130"/>
      <c r="X182" s="131"/>
    </row>
    <row r="183" spans="1:30">
      <c r="B183" s="132"/>
      <c r="C183" s="621"/>
      <c r="D183" s="123"/>
      <c r="E183" s="123"/>
      <c r="F183" s="134">
        <f>SUM(F182:F182)</f>
        <v>2287.6</v>
      </c>
      <c r="G183" s="134">
        <f>SUM(G182:G182)</f>
        <v>427.03000000000003</v>
      </c>
      <c r="H183" s="134">
        <f>SUM(H182:H182)</f>
        <v>0</v>
      </c>
      <c r="I183" s="134">
        <f>SUM(I182:I182)</f>
        <v>1860.57</v>
      </c>
      <c r="J183" s="127"/>
      <c r="K183" s="64"/>
      <c r="L183" s="64"/>
      <c r="M183" s="64"/>
      <c r="N183" s="64"/>
      <c r="O183" s="64"/>
      <c r="P183" s="64"/>
      <c r="Q183" s="64"/>
      <c r="R183" s="64"/>
      <c r="S183" s="64"/>
      <c r="T183" s="127"/>
      <c r="U183" s="123"/>
      <c r="V183" s="129"/>
      <c r="W183" s="130"/>
      <c r="X183" s="131"/>
    </row>
    <row r="184" spans="1:30">
      <c r="B184" s="11"/>
      <c r="C184" s="621"/>
      <c r="D184" s="10"/>
      <c r="E184" s="10"/>
      <c r="F184" s="88"/>
      <c r="G184" s="88"/>
      <c r="H184" s="88"/>
      <c r="I184" s="99"/>
      <c r="J184" s="63"/>
      <c r="K184" s="21"/>
      <c r="L184" s="21"/>
      <c r="M184" s="21"/>
      <c r="N184" s="21"/>
      <c r="O184" s="21"/>
      <c r="P184" s="21"/>
      <c r="Q184" s="21"/>
      <c r="R184" s="21"/>
      <c r="S184" s="21"/>
      <c r="T184" s="63"/>
      <c r="U184" s="10"/>
      <c r="V184" s="90"/>
      <c r="W184" s="91"/>
      <c r="X184" s="92"/>
    </row>
    <row r="185" spans="1:30">
      <c r="B185" s="11"/>
      <c r="C185" s="621"/>
      <c r="D185" s="10"/>
      <c r="E185" s="10"/>
      <c r="F185" s="88"/>
      <c r="G185" s="88"/>
      <c r="H185" s="88"/>
      <c r="I185" s="99"/>
      <c r="J185" s="63"/>
      <c r="K185" s="21"/>
      <c r="L185" s="21"/>
      <c r="M185" s="21"/>
      <c r="N185" s="21"/>
      <c r="O185" s="21"/>
      <c r="P185" s="21"/>
      <c r="Q185" s="21"/>
      <c r="R185" s="21"/>
      <c r="S185" s="21"/>
      <c r="T185" s="63"/>
      <c r="U185" s="94"/>
      <c r="V185" s="90"/>
      <c r="W185" s="91"/>
      <c r="X185" s="92"/>
    </row>
    <row r="186" spans="1:30">
      <c r="B186" s="121" t="s">
        <v>70</v>
      </c>
      <c r="C186" s="621"/>
      <c r="D186" s="123"/>
      <c r="E186" s="128"/>
      <c r="F186" s="124"/>
      <c r="G186" s="124"/>
      <c r="H186" s="124"/>
      <c r="I186" s="126"/>
      <c r="J186" s="127"/>
      <c r="K186" s="64"/>
      <c r="L186" s="64"/>
      <c r="M186" s="64"/>
      <c r="N186" s="64"/>
      <c r="O186" s="64"/>
      <c r="P186" s="64"/>
      <c r="Q186" s="64"/>
      <c r="R186" s="64"/>
      <c r="S186" s="64"/>
      <c r="T186" s="127"/>
      <c r="U186" s="135"/>
      <c r="V186" s="129"/>
      <c r="W186" s="130"/>
      <c r="X186" s="131"/>
    </row>
    <row r="187" spans="1:30" s="342" customFormat="1">
      <c r="A187" s="492">
        <v>0.05</v>
      </c>
      <c r="B187" s="333">
        <v>1</v>
      </c>
      <c r="C187" s="703">
        <v>45940</v>
      </c>
      <c r="D187" s="358">
        <v>74243</v>
      </c>
      <c r="E187" s="358" t="s">
        <v>172</v>
      </c>
      <c r="F187" s="352">
        <v>1049</v>
      </c>
      <c r="G187" s="352">
        <f>39.7</f>
        <v>39.700000000000003</v>
      </c>
      <c r="H187" s="352"/>
      <c r="I187" s="353">
        <f>F187-G187-H187</f>
        <v>1009.3</v>
      </c>
      <c r="J187" s="354" t="s">
        <v>156</v>
      </c>
      <c r="K187" s="354">
        <v>1</v>
      </c>
      <c r="L187" s="354"/>
      <c r="M187" s="314">
        <v>0</v>
      </c>
      <c r="N187" s="354">
        <v>1</v>
      </c>
      <c r="O187" s="354">
        <v>1</v>
      </c>
      <c r="P187" s="354">
        <v>1</v>
      </c>
      <c r="Q187" s="354"/>
      <c r="R187" s="354"/>
      <c r="S187" s="355"/>
      <c r="T187" s="127"/>
      <c r="U187" s="135" t="s">
        <v>2758</v>
      </c>
      <c r="V187" s="129">
        <f>115</f>
        <v>115</v>
      </c>
      <c r="W187" s="340"/>
      <c r="X187" s="341"/>
    </row>
    <row r="188" spans="1:30">
      <c r="B188" s="132"/>
      <c r="C188" s="621"/>
      <c r="D188" s="123"/>
      <c r="E188" s="123"/>
      <c r="F188" s="134">
        <f>SUM(F187:F187)</f>
        <v>1049</v>
      </c>
      <c r="G188" s="134">
        <f>SUM(G187:G187)</f>
        <v>39.700000000000003</v>
      </c>
      <c r="H188" s="134">
        <f>SUM(H187:H187)</f>
        <v>0</v>
      </c>
      <c r="I188" s="134">
        <f>SUM(I187:I187)</f>
        <v>1009.3</v>
      </c>
      <c r="J188" s="127"/>
      <c r="K188" s="64"/>
      <c r="L188" s="64"/>
      <c r="M188" s="64"/>
      <c r="N188" s="64"/>
      <c r="O188" s="64"/>
      <c r="P188" s="64"/>
      <c r="Q188" s="64"/>
      <c r="R188" s="64"/>
      <c r="S188" s="64"/>
      <c r="T188" s="127"/>
      <c r="U188" s="135"/>
      <c r="V188" s="129"/>
      <c r="W188" s="130"/>
      <c r="X188" s="131"/>
    </row>
    <row r="189" spans="1:30">
      <c r="B189" s="11"/>
      <c r="C189" s="621"/>
      <c r="D189" s="10"/>
      <c r="E189" s="10"/>
      <c r="F189" s="88"/>
      <c r="G189" s="88"/>
      <c r="H189" s="88"/>
      <c r="I189" s="99"/>
      <c r="J189" s="10"/>
      <c r="K189" s="63"/>
      <c r="L189" s="63"/>
      <c r="M189" s="63"/>
      <c r="N189" s="63"/>
      <c r="O189" s="63"/>
      <c r="P189" s="63"/>
      <c r="Q189" s="63"/>
      <c r="R189" s="63"/>
      <c r="S189" s="63"/>
      <c r="T189" s="63"/>
      <c r="U189" s="94"/>
      <c r="V189" s="90"/>
      <c r="W189" s="91"/>
      <c r="X189" s="92"/>
    </row>
    <row r="190" spans="1:30">
      <c r="B190" s="100" t="s">
        <v>72</v>
      </c>
      <c r="C190" s="621"/>
      <c r="D190" s="10"/>
      <c r="E190" s="10"/>
      <c r="F190" s="88"/>
      <c r="G190" s="88"/>
      <c r="H190" s="88"/>
      <c r="I190" s="99"/>
      <c r="J190" s="63"/>
      <c r="K190" s="63"/>
      <c r="L190" s="63"/>
      <c r="M190" s="63"/>
      <c r="N190" s="63"/>
      <c r="O190" s="63"/>
      <c r="P190" s="63"/>
      <c r="Q190" s="63"/>
      <c r="R190" s="63"/>
      <c r="S190" s="63"/>
      <c r="T190" s="63"/>
      <c r="U190" s="10"/>
      <c r="V190" s="90"/>
      <c r="W190" s="91"/>
      <c r="X190" s="92"/>
    </row>
    <row r="191" spans="1:30">
      <c r="B191" s="87">
        <v>1</v>
      </c>
      <c r="C191" s="638">
        <v>45936</v>
      </c>
      <c r="D191" s="276">
        <v>74053</v>
      </c>
      <c r="E191" s="276" t="s">
        <v>456</v>
      </c>
      <c r="F191" s="277">
        <v>481</v>
      </c>
      <c r="G191" s="277"/>
      <c r="H191" s="277"/>
      <c r="I191" s="278">
        <f t="shared" ref="I191:I201" si="38">F191-G191-H191</f>
        <v>481</v>
      </c>
      <c r="J191" s="279" t="s">
        <v>205</v>
      </c>
      <c r="K191" s="279">
        <v>1</v>
      </c>
      <c r="L191" s="279"/>
      <c r="M191" s="279"/>
      <c r="N191" s="279">
        <v>1</v>
      </c>
      <c r="O191" s="279"/>
      <c r="P191" s="279"/>
      <c r="Q191" s="279"/>
      <c r="R191" s="279">
        <v>1</v>
      </c>
      <c r="S191" s="280">
        <v>1</v>
      </c>
      <c r="T191" s="63"/>
      <c r="U191" s="3"/>
      <c r="V191" s="90"/>
      <c r="W191" s="91"/>
      <c r="X191" s="92"/>
    </row>
    <row r="192" spans="1:30">
      <c r="B192" s="87">
        <f t="shared" ref="B192:B201" si="39">B191+1</f>
        <v>2</v>
      </c>
      <c r="C192" s="638">
        <v>45937</v>
      </c>
      <c r="D192" s="276" t="s">
        <v>2759</v>
      </c>
      <c r="E192" s="276" t="s">
        <v>294</v>
      </c>
      <c r="F192" s="277">
        <v>2814</v>
      </c>
      <c r="G192" s="277">
        <v>39.700000000000003</v>
      </c>
      <c r="H192" s="277"/>
      <c r="I192" s="278">
        <f t="shared" si="38"/>
        <v>2774.3</v>
      </c>
      <c r="J192" s="279" t="s">
        <v>205</v>
      </c>
      <c r="K192" s="279">
        <v>1</v>
      </c>
      <c r="L192" s="279"/>
      <c r="M192" s="279"/>
      <c r="N192" s="279">
        <v>1</v>
      </c>
      <c r="O192" s="279"/>
      <c r="P192" s="279"/>
      <c r="Q192" s="279"/>
      <c r="R192" s="279">
        <v>1</v>
      </c>
      <c r="S192" s="280">
        <v>1</v>
      </c>
      <c r="T192" s="63"/>
      <c r="U192" s="10"/>
      <c r="V192" s="90"/>
      <c r="W192" s="136"/>
      <c r="X192" s="137"/>
    </row>
    <row r="193" spans="1:24">
      <c r="B193" s="87">
        <f t="shared" si="39"/>
        <v>3</v>
      </c>
      <c r="C193" s="639">
        <v>45937</v>
      </c>
      <c r="D193" s="10" t="s">
        <v>2760</v>
      </c>
      <c r="E193" s="10" t="s">
        <v>294</v>
      </c>
      <c r="F193" s="62">
        <v>1161</v>
      </c>
      <c r="G193" s="62">
        <v>39.700000000000003</v>
      </c>
      <c r="H193" s="62"/>
      <c r="I193" s="89">
        <f t="shared" si="38"/>
        <v>1121.3</v>
      </c>
      <c r="J193" s="63" t="s">
        <v>205</v>
      </c>
      <c r="K193" s="63">
        <v>1</v>
      </c>
      <c r="L193" s="63"/>
      <c r="M193" s="63"/>
      <c r="N193" s="63">
        <v>1</v>
      </c>
      <c r="O193" s="63"/>
      <c r="P193" s="63"/>
      <c r="Q193" s="63"/>
      <c r="R193" s="63">
        <v>1</v>
      </c>
      <c r="S193" s="296">
        <v>1</v>
      </c>
      <c r="T193" s="63"/>
      <c r="U193" s="10"/>
      <c r="V193" s="90"/>
      <c r="W193" s="136"/>
      <c r="X193" s="137"/>
    </row>
    <row r="194" spans="1:24">
      <c r="B194" s="87">
        <f t="shared" si="39"/>
        <v>4</v>
      </c>
      <c r="C194" s="639">
        <v>45937</v>
      </c>
      <c r="D194" s="10">
        <v>74153</v>
      </c>
      <c r="E194" s="10" t="s">
        <v>327</v>
      </c>
      <c r="F194" s="62">
        <v>814</v>
      </c>
      <c r="G194" s="62">
        <v>39.700000000000003</v>
      </c>
      <c r="H194" s="62"/>
      <c r="I194" s="89">
        <f t="shared" si="38"/>
        <v>774.3</v>
      </c>
      <c r="J194" s="63" t="s">
        <v>205</v>
      </c>
      <c r="K194" s="63">
        <v>1</v>
      </c>
      <c r="L194" s="63"/>
      <c r="M194" s="63"/>
      <c r="N194" s="63">
        <v>1</v>
      </c>
      <c r="O194" s="63"/>
      <c r="P194" s="63"/>
      <c r="Q194" s="63"/>
      <c r="R194" s="63">
        <v>1</v>
      </c>
      <c r="S194" s="296">
        <v>1</v>
      </c>
      <c r="T194" s="63"/>
      <c r="U194" s="10"/>
      <c r="V194" s="90"/>
      <c r="W194" s="136"/>
      <c r="X194" s="137"/>
    </row>
    <row r="195" spans="1:24">
      <c r="B195" s="87">
        <f t="shared" si="39"/>
        <v>5</v>
      </c>
      <c r="C195" s="638">
        <v>45938</v>
      </c>
      <c r="D195" s="276">
        <v>74192</v>
      </c>
      <c r="E195" s="276" t="s">
        <v>196</v>
      </c>
      <c r="F195" s="277">
        <v>0</v>
      </c>
      <c r="G195" s="277">
        <v>0</v>
      </c>
      <c r="H195" s="277"/>
      <c r="I195" s="278">
        <f t="shared" si="38"/>
        <v>0</v>
      </c>
      <c r="J195" s="279" t="s">
        <v>205</v>
      </c>
      <c r="K195" s="279">
        <v>1</v>
      </c>
      <c r="L195" s="279"/>
      <c r="M195" s="279"/>
      <c r="N195" s="279"/>
      <c r="O195" s="279"/>
      <c r="P195" s="279"/>
      <c r="Q195" s="279"/>
      <c r="R195" s="279">
        <v>1</v>
      </c>
      <c r="S195" s="280">
        <v>1</v>
      </c>
      <c r="T195" s="63"/>
      <c r="U195" s="10"/>
      <c r="V195" s="90"/>
      <c r="W195" s="136"/>
      <c r="X195" s="137"/>
    </row>
    <row r="196" spans="1:24">
      <c r="B196" s="87">
        <f t="shared" si="39"/>
        <v>6</v>
      </c>
      <c r="C196" s="638">
        <v>45939</v>
      </c>
      <c r="D196" s="276">
        <v>74211</v>
      </c>
      <c r="E196" s="281" t="s">
        <v>2761</v>
      </c>
      <c r="F196" s="277">
        <v>1369</v>
      </c>
      <c r="G196" s="277">
        <v>39.700000000000003</v>
      </c>
      <c r="H196" s="277"/>
      <c r="I196" s="278">
        <f t="shared" si="38"/>
        <v>1329.3</v>
      </c>
      <c r="J196" s="279" t="s">
        <v>205</v>
      </c>
      <c r="K196" s="279">
        <v>1</v>
      </c>
      <c r="L196" s="279"/>
      <c r="M196" s="279"/>
      <c r="N196" s="279">
        <v>1</v>
      </c>
      <c r="O196" s="279"/>
      <c r="P196" s="279"/>
      <c r="Q196" s="279"/>
      <c r="R196" s="279">
        <v>1</v>
      </c>
      <c r="S196" s="280">
        <v>1</v>
      </c>
      <c r="T196" s="63"/>
      <c r="U196" s="10"/>
      <c r="V196" s="90"/>
      <c r="W196" s="136"/>
      <c r="X196" s="137"/>
    </row>
    <row r="197" spans="1:24">
      <c r="B197" s="87">
        <f t="shared" si="39"/>
        <v>7</v>
      </c>
      <c r="C197" s="639">
        <v>45939</v>
      </c>
      <c r="D197" s="10">
        <v>74236</v>
      </c>
      <c r="E197" s="101" t="s">
        <v>348</v>
      </c>
      <c r="F197" s="62">
        <v>0</v>
      </c>
      <c r="G197" s="62">
        <v>0</v>
      </c>
      <c r="H197" s="62"/>
      <c r="I197" s="89">
        <f t="shared" si="38"/>
        <v>0</v>
      </c>
      <c r="J197" s="63" t="s">
        <v>205</v>
      </c>
      <c r="K197" s="63">
        <v>1</v>
      </c>
      <c r="L197" s="63"/>
      <c r="M197" s="63"/>
      <c r="N197" s="63"/>
      <c r="O197" s="63"/>
      <c r="P197" s="63"/>
      <c r="Q197" s="63"/>
      <c r="R197" s="63">
        <v>1</v>
      </c>
      <c r="S197" s="296">
        <v>1</v>
      </c>
      <c r="T197" s="63"/>
      <c r="U197" s="10"/>
      <c r="V197" s="90"/>
      <c r="W197" s="136"/>
      <c r="X197" s="137"/>
    </row>
    <row r="198" spans="1:24">
      <c r="B198" s="87">
        <f t="shared" si="39"/>
        <v>8</v>
      </c>
      <c r="C198" s="639">
        <v>45939</v>
      </c>
      <c r="D198" s="10">
        <v>74217</v>
      </c>
      <c r="E198" s="101" t="s">
        <v>381</v>
      </c>
      <c r="F198" s="62">
        <v>681</v>
      </c>
      <c r="G198" s="62"/>
      <c r="H198" s="62"/>
      <c r="I198" s="89">
        <f t="shared" si="38"/>
        <v>681</v>
      </c>
      <c r="J198" s="63" t="s">
        <v>205</v>
      </c>
      <c r="K198" s="63">
        <v>1</v>
      </c>
      <c r="L198" s="63"/>
      <c r="M198" s="63"/>
      <c r="N198" s="63">
        <v>1</v>
      </c>
      <c r="O198" s="63"/>
      <c r="P198" s="63"/>
      <c r="Q198" s="63"/>
      <c r="R198" s="63">
        <v>1</v>
      </c>
      <c r="S198" s="296">
        <v>1</v>
      </c>
      <c r="T198" s="63"/>
      <c r="U198" s="10"/>
      <c r="V198" s="90"/>
      <c r="W198" s="136"/>
      <c r="X198" s="137"/>
    </row>
    <row r="199" spans="1:24">
      <c r="B199" s="87">
        <f t="shared" si="39"/>
        <v>9</v>
      </c>
      <c r="C199" s="638">
        <v>45940</v>
      </c>
      <c r="D199" s="276">
        <v>74294</v>
      </c>
      <c r="E199" s="281" t="s">
        <v>515</v>
      </c>
      <c r="F199" s="277">
        <v>0</v>
      </c>
      <c r="G199" s="277">
        <v>0</v>
      </c>
      <c r="H199" s="277"/>
      <c r="I199" s="278">
        <f t="shared" si="38"/>
        <v>0</v>
      </c>
      <c r="J199" s="279" t="s">
        <v>205</v>
      </c>
      <c r="K199" s="279"/>
      <c r="L199" s="279"/>
      <c r="M199" s="279"/>
      <c r="N199" s="279"/>
      <c r="O199" s="279"/>
      <c r="P199" s="279"/>
      <c r="Q199" s="279"/>
      <c r="R199" s="279"/>
      <c r="S199" s="280"/>
      <c r="T199" s="63"/>
      <c r="U199" s="10"/>
      <c r="V199" s="90"/>
      <c r="W199" s="136"/>
      <c r="X199" s="137"/>
    </row>
    <row r="200" spans="1:24">
      <c r="B200" s="87">
        <f t="shared" si="39"/>
        <v>10</v>
      </c>
      <c r="C200" s="639">
        <v>45940</v>
      </c>
      <c r="D200" s="10">
        <v>74300</v>
      </c>
      <c r="E200" s="101" t="s">
        <v>489</v>
      </c>
      <c r="F200" s="62">
        <v>5232.1000000000004</v>
      </c>
      <c r="G200" s="62">
        <v>39.700000000000003</v>
      </c>
      <c r="H200" s="62"/>
      <c r="I200" s="89">
        <f t="shared" si="38"/>
        <v>5192.4000000000005</v>
      </c>
      <c r="J200" s="63" t="s">
        <v>205</v>
      </c>
      <c r="K200" s="63">
        <v>1</v>
      </c>
      <c r="L200" s="63"/>
      <c r="M200" s="63">
        <v>1</v>
      </c>
      <c r="N200" s="63">
        <v>1</v>
      </c>
      <c r="O200" s="63"/>
      <c r="P200" s="63"/>
      <c r="Q200" s="63">
        <v>1</v>
      </c>
      <c r="R200" s="63">
        <v>1</v>
      </c>
      <c r="S200" s="296">
        <v>1</v>
      </c>
      <c r="T200" s="63"/>
      <c r="U200" s="10"/>
      <c r="V200" s="90"/>
      <c r="W200" s="136"/>
      <c r="X200" s="137"/>
    </row>
    <row r="201" spans="1:24">
      <c r="B201" s="87">
        <f t="shared" si="39"/>
        <v>11</v>
      </c>
      <c r="C201" s="640">
        <v>45940</v>
      </c>
      <c r="D201" s="283">
        <v>74279</v>
      </c>
      <c r="E201" s="319" t="s">
        <v>2762</v>
      </c>
      <c r="F201" s="284">
        <v>814</v>
      </c>
      <c r="G201" s="284">
        <v>39.700000000000003</v>
      </c>
      <c r="H201" s="284"/>
      <c r="I201" s="285">
        <f t="shared" si="38"/>
        <v>774.3</v>
      </c>
      <c r="J201" s="286" t="s">
        <v>205</v>
      </c>
      <c r="K201" s="286">
        <v>1</v>
      </c>
      <c r="L201" s="286"/>
      <c r="M201" s="286"/>
      <c r="N201" s="286">
        <v>1</v>
      </c>
      <c r="O201" s="286"/>
      <c r="P201" s="286"/>
      <c r="Q201" s="286"/>
      <c r="R201" s="286"/>
      <c r="S201" s="287"/>
      <c r="T201" s="63"/>
      <c r="U201" s="10"/>
      <c r="V201" s="90"/>
      <c r="W201" s="136"/>
      <c r="X201" s="137"/>
    </row>
    <row r="202" spans="1:24">
      <c r="B202" s="11"/>
      <c r="C202" s="621"/>
      <c r="D202" s="10"/>
      <c r="E202" s="10"/>
      <c r="F202" s="97">
        <f>SUM(F191:F201)</f>
        <v>13366.1</v>
      </c>
      <c r="G202" s="97">
        <f>SUM(G191:G201)</f>
        <v>238.2</v>
      </c>
      <c r="H202" s="97">
        <f>SUM(H191:H201)</f>
        <v>0</v>
      </c>
      <c r="I202" s="98">
        <f>SUM(I191:I201)</f>
        <v>13127.900000000001</v>
      </c>
      <c r="J202" s="10"/>
      <c r="K202" s="10"/>
      <c r="L202" s="10"/>
      <c r="M202" s="10"/>
      <c r="N202" s="10"/>
      <c r="O202" s="10"/>
      <c r="P202" s="10"/>
      <c r="Q202" s="10"/>
      <c r="R202" s="10"/>
      <c r="S202" s="10"/>
      <c r="T202" s="63"/>
      <c r="U202" s="10"/>
      <c r="V202" s="138"/>
      <c r="W202" s="136"/>
      <c r="X202" s="137"/>
    </row>
    <row r="203" spans="1:24">
      <c r="B203" s="26"/>
      <c r="C203" s="612"/>
      <c r="D203" s="141"/>
      <c r="E203" s="141"/>
      <c r="F203" s="141"/>
      <c r="G203" s="141"/>
      <c r="H203" s="141"/>
      <c r="I203" s="141"/>
      <c r="J203" s="141"/>
      <c r="K203" s="142"/>
      <c r="L203" s="142"/>
      <c r="M203" s="142"/>
      <c r="N203" s="142"/>
      <c r="O203" s="142"/>
      <c r="P203" s="142"/>
      <c r="Q203" s="142"/>
      <c r="R203" s="142"/>
      <c r="S203" s="142"/>
      <c r="T203" s="143">
        <f>SUM(T153:T202)</f>
        <v>4</v>
      </c>
      <c r="U203" s="141"/>
      <c r="V203" s="144">
        <f>SUM(V153:V202)</f>
        <v>36441.229999999989</v>
      </c>
      <c r="W203" s="144">
        <f t="shared" ref="W203:X203" si="40">SUM(W153:W202)</f>
        <v>0</v>
      </c>
      <c r="X203" s="144">
        <f t="shared" si="40"/>
        <v>0</v>
      </c>
    </row>
    <row r="204" spans="1:24">
      <c r="B204" s="10"/>
      <c r="C204" s="36"/>
      <c r="D204" s="10"/>
      <c r="E204" s="10"/>
      <c r="F204" s="10"/>
      <c r="G204" s="10"/>
      <c r="H204" s="10"/>
      <c r="I204" s="10"/>
      <c r="J204" s="10"/>
      <c r="K204" s="147"/>
      <c r="L204" s="147"/>
      <c r="M204" s="147"/>
      <c r="N204" s="147"/>
      <c r="O204" s="147"/>
      <c r="P204" s="147"/>
      <c r="Q204" s="147"/>
      <c r="R204" s="147"/>
      <c r="S204" s="147"/>
      <c r="T204" s="21"/>
      <c r="U204" s="10"/>
      <c r="V204" s="99"/>
      <c r="W204" s="99"/>
      <c r="X204" s="99"/>
    </row>
    <row r="206" spans="1:24">
      <c r="A206" s="613"/>
      <c r="B206" s="4" t="s">
        <v>1</v>
      </c>
      <c r="C206" s="5"/>
      <c r="D206" s="6"/>
      <c r="E206" s="6"/>
      <c r="F206" s="7" t="s">
        <v>2</v>
      </c>
      <c r="G206" s="608">
        <v>45949</v>
      </c>
      <c r="H206" s="7"/>
      <c r="I206" s="6"/>
      <c r="J206" s="6"/>
      <c r="K206" s="6"/>
      <c r="L206" s="6"/>
      <c r="M206" s="6"/>
      <c r="N206" s="6"/>
      <c r="O206" s="6"/>
      <c r="P206" s="6"/>
      <c r="Q206" s="6"/>
      <c r="R206" s="6"/>
      <c r="S206" s="6"/>
      <c r="T206" s="6"/>
      <c r="U206" s="9"/>
      <c r="V206" s="10"/>
      <c r="W206" s="10"/>
      <c r="X206" s="10"/>
    </row>
    <row r="207" spans="1:24">
      <c r="A207" s="614"/>
      <c r="B207" s="11"/>
      <c r="C207" s="10"/>
      <c r="D207" s="10"/>
      <c r="E207" s="10"/>
      <c r="F207" s="10"/>
      <c r="G207" s="7"/>
      <c r="H207" s="12"/>
      <c r="I207" s="10"/>
      <c r="J207" s="10"/>
      <c r="K207" s="13" t="s">
        <v>3</v>
      </c>
      <c r="L207" s="14"/>
      <c r="M207" s="15"/>
      <c r="N207" s="13" t="s">
        <v>4</v>
      </c>
      <c r="O207" s="14"/>
      <c r="P207" s="15"/>
      <c r="Q207" s="13" t="s">
        <v>5</v>
      </c>
      <c r="R207" s="14"/>
      <c r="S207" s="15"/>
      <c r="T207" s="16"/>
      <c r="U207" s="17"/>
      <c r="V207" s="10"/>
      <c r="W207" s="10"/>
      <c r="X207" s="10"/>
    </row>
    <row r="208" spans="1:24">
      <c r="A208" s="614"/>
      <c r="B208" s="18" t="s">
        <v>6</v>
      </c>
      <c r="C208" s="19">
        <f>C209+C210</f>
        <v>38</v>
      </c>
      <c r="D208" s="10"/>
      <c r="E208" s="18" t="s">
        <v>7</v>
      </c>
      <c r="F208" s="6"/>
      <c r="G208" s="9"/>
      <c r="H208" s="10"/>
      <c r="I208" s="10"/>
      <c r="J208" s="10"/>
      <c r="K208" s="20" t="s">
        <v>8</v>
      </c>
      <c r="L208" s="21" t="s">
        <v>9</v>
      </c>
      <c r="M208" s="21" t="s">
        <v>10</v>
      </c>
      <c r="N208" s="20" t="s">
        <v>11</v>
      </c>
      <c r="O208" s="21" t="s">
        <v>12</v>
      </c>
      <c r="P208" s="22" t="s">
        <v>13</v>
      </c>
      <c r="Q208" s="21" t="s">
        <v>11</v>
      </c>
      <c r="R208" s="21" t="s">
        <v>12</v>
      </c>
      <c r="S208" s="22" t="s">
        <v>13</v>
      </c>
      <c r="T208" s="23" t="s">
        <v>14</v>
      </c>
      <c r="U208" s="17"/>
      <c r="V208" s="10"/>
      <c r="W208" s="10"/>
      <c r="X208" s="10"/>
    </row>
    <row r="209" spans="1:24">
      <c r="A209" s="614"/>
      <c r="B209" s="24" t="s">
        <v>15</v>
      </c>
      <c r="C209" s="25">
        <f>P216</f>
        <v>18</v>
      </c>
      <c r="D209" s="10"/>
      <c r="E209" s="26" t="s">
        <v>16</v>
      </c>
      <c r="F209" s="27">
        <v>0.05</v>
      </c>
      <c r="G209" s="28"/>
      <c r="H209" s="10"/>
      <c r="I209" s="10"/>
      <c r="J209" s="18" t="s">
        <v>17</v>
      </c>
      <c r="K209" s="29">
        <f>K249</f>
        <v>15</v>
      </c>
      <c r="L209" s="29">
        <f>L249</f>
        <v>13</v>
      </c>
      <c r="M209" s="29">
        <f>M249</f>
        <v>12</v>
      </c>
      <c r="N209" s="29">
        <f>N249</f>
        <v>15</v>
      </c>
      <c r="O209" s="29">
        <f>O249</f>
        <v>15</v>
      </c>
      <c r="P209" s="29">
        <f>P249</f>
        <v>13</v>
      </c>
      <c r="Q209" s="29">
        <f>Q249</f>
        <v>13</v>
      </c>
      <c r="R209" s="29">
        <f>R249</f>
        <v>4</v>
      </c>
      <c r="S209" s="29">
        <f>S249</f>
        <v>2</v>
      </c>
      <c r="T209" s="30">
        <f>T291</f>
        <v>2</v>
      </c>
      <c r="U209" s="17"/>
      <c r="V209" s="10"/>
      <c r="W209" s="10"/>
      <c r="X209" s="10"/>
    </row>
    <row r="210" spans="1:24">
      <c r="A210" s="614"/>
      <c r="B210" s="24" t="s">
        <v>18</v>
      </c>
      <c r="C210" s="25">
        <f>P217</f>
        <v>20</v>
      </c>
      <c r="D210" s="10"/>
      <c r="E210" s="10"/>
      <c r="F210" s="10"/>
      <c r="G210" s="31"/>
      <c r="H210" s="10"/>
      <c r="I210" s="10"/>
      <c r="J210" s="32" t="s">
        <v>19</v>
      </c>
      <c r="K210" s="33">
        <f>K249/K248</f>
        <v>1</v>
      </c>
      <c r="L210" s="33">
        <f>L249/L248</f>
        <v>0.8666666666666667</v>
      </c>
      <c r="M210" s="33">
        <f>M249/M248</f>
        <v>0.8</v>
      </c>
      <c r="N210" s="33">
        <f>N249/N248</f>
        <v>1</v>
      </c>
      <c r="O210" s="33">
        <f>O249/O248</f>
        <v>1</v>
      </c>
      <c r="P210" s="33">
        <f>P249/P248</f>
        <v>0.8666666666666667</v>
      </c>
      <c r="Q210" s="33">
        <f>Q249/Q248</f>
        <v>0.8666666666666667</v>
      </c>
      <c r="R210" s="33">
        <f>R249/R248</f>
        <v>0.26666666666666666</v>
      </c>
      <c r="S210" s="33">
        <f>S249/S248</f>
        <v>0.13333333333333333</v>
      </c>
      <c r="T210" s="23"/>
      <c r="U210" s="17" t="s">
        <v>20</v>
      </c>
      <c r="V210" s="10"/>
      <c r="W210" s="10"/>
      <c r="X210" s="10"/>
    </row>
    <row r="211" spans="1:24">
      <c r="A211" s="614"/>
      <c r="B211" s="24" t="s">
        <v>21</v>
      </c>
      <c r="C211" s="34">
        <f>P218</f>
        <v>0.47368421052631576</v>
      </c>
      <c r="D211" s="10"/>
      <c r="E211" s="10"/>
      <c r="F211" s="10"/>
      <c r="G211" s="10"/>
      <c r="H211" s="10"/>
      <c r="I211" s="10"/>
      <c r="J211" s="10"/>
      <c r="K211" s="10"/>
      <c r="L211" s="10"/>
      <c r="M211" s="10"/>
      <c r="N211" s="10"/>
      <c r="O211" s="10"/>
      <c r="P211" s="10"/>
      <c r="Q211" s="10"/>
      <c r="R211" s="10"/>
      <c r="S211" s="10"/>
      <c r="T211" s="10"/>
      <c r="U211" s="17"/>
      <c r="V211" s="10"/>
      <c r="W211" s="10"/>
      <c r="X211" s="10"/>
    </row>
    <row r="212" spans="1:24">
      <c r="A212" s="614"/>
      <c r="B212" s="24"/>
      <c r="C212" s="25"/>
      <c r="D212" s="10"/>
      <c r="E212" s="10"/>
      <c r="F212" s="18" t="s">
        <v>22</v>
      </c>
      <c r="G212" s="19" t="s">
        <v>23</v>
      </c>
      <c r="H212" s="35" t="s">
        <v>24</v>
      </c>
      <c r="I212" s="10"/>
      <c r="J212" s="10"/>
      <c r="K212" s="36"/>
      <c r="L212" s="36"/>
      <c r="M212" s="36"/>
      <c r="N212" s="36"/>
      <c r="O212" s="36"/>
      <c r="P212" s="36"/>
      <c r="Q212" s="36"/>
      <c r="R212" s="10"/>
      <c r="S212" s="10"/>
      <c r="T212" s="10"/>
      <c r="U212" s="17"/>
      <c r="V212" s="10"/>
      <c r="W212" s="10"/>
      <c r="X212" s="10"/>
    </row>
    <row r="213" spans="1:24" ht="18.75" customHeight="1">
      <c r="A213" s="614"/>
      <c r="B213" s="32" t="s">
        <v>25</v>
      </c>
      <c r="C213" s="37">
        <f>P219</f>
        <v>1101.2961111111113</v>
      </c>
      <c r="D213" s="10"/>
      <c r="E213" s="18" t="s">
        <v>26</v>
      </c>
      <c r="F213" s="38">
        <f>P215</f>
        <v>19823.330000000002</v>
      </c>
      <c r="G213" s="39">
        <f>I248+I257+I262</f>
        <v>19823.329999999998</v>
      </c>
      <c r="H213" s="767" t="s">
        <v>885</v>
      </c>
      <c r="I213" s="767"/>
      <c r="J213" s="767"/>
      <c r="K213" s="43" t="s">
        <v>27</v>
      </c>
      <c r="L213" s="44"/>
      <c r="M213" s="44"/>
      <c r="N213" s="44"/>
      <c r="O213" s="44"/>
      <c r="P213" s="44"/>
      <c r="Q213" s="45"/>
      <c r="R213" s="46" t="s">
        <v>28</v>
      </c>
      <c r="S213" s="47" t="s">
        <v>29</v>
      </c>
      <c r="T213" s="10"/>
      <c r="U213" s="17"/>
      <c r="V213" s="10"/>
      <c r="W213" s="10"/>
      <c r="X213" s="10"/>
    </row>
    <row r="214" spans="1:24">
      <c r="A214" s="614"/>
      <c r="B214" s="11"/>
      <c r="C214" s="10"/>
      <c r="D214" s="10"/>
      <c r="E214" s="24" t="s">
        <v>30</v>
      </c>
      <c r="F214" s="48">
        <f>F209</f>
        <v>0.05</v>
      </c>
      <c r="G214" s="17"/>
      <c r="H214" s="767"/>
      <c r="I214" s="767"/>
      <c r="J214" s="767"/>
      <c r="K214" s="20" t="s">
        <v>31</v>
      </c>
      <c r="L214" s="21" t="s">
        <v>32</v>
      </c>
      <c r="M214" s="21" t="s">
        <v>33</v>
      </c>
      <c r="N214" s="21" t="s">
        <v>34</v>
      </c>
      <c r="O214" s="21" t="s">
        <v>35</v>
      </c>
      <c r="P214" s="21" t="s">
        <v>36</v>
      </c>
      <c r="Q214" s="49" t="s">
        <v>37</v>
      </c>
      <c r="R214" s="50" t="s">
        <v>38</v>
      </c>
      <c r="S214" s="50" t="s">
        <v>38</v>
      </c>
      <c r="T214" s="10"/>
      <c r="U214" s="17"/>
      <c r="V214" s="10"/>
      <c r="W214" s="10"/>
      <c r="X214" s="10"/>
    </row>
    <row r="215" spans="1:24">
      <c r="A215" s="614"/>
      <c r="B215" s="11"/>
      <c r="C215" s="10"/>
      <c r="D215" s="10"/>
      <c r="E215" s="51" t="s">
        <v>39</v>
      </c>
      <c r="F215" s="52">
        <f>(F213-I236-I240-I241-I247-I256-I260-I261)*F214</f>
        <v>532.99500000000012</v>
      </c>
      <c r="G215" s="53" t="s">
        <v>40</v>
      </c>
      <c r="H215" s="484">
        <f>F215/1.12</f>
        <v>475.88839285714289</v>
      </c>
      <c r="I215" s="55"/>
      <c r="J215" s="42"/>
      <c r="K215" s="56">
        <f>I233+I256</f>
        <v>1714.3</v>
      </c>
      <c r="L215" s="57">
        <f>I234+I235+I236</f>
        <v>3992.12</v>
      </c>
      <c r="M215" s="57">
        <f>I237+I239+I240+I241+I238</f>
        <v>4561.21</v>
      </c>
      <c r="N215" s="57">
        <f>I242+I243+I244</f>
        <v>3425.8999999999996</v>
      </c>
      <c r="O215" s="57">
        <f>I245+I246+I247+I260+I261</f>
        <v>6129.8</v>
      </c>
      <c r="P215" s="57">
        <f>SUM(K215:O215)</f>
        <v>19823.330000000002</v>
      </c>
      <c r="Q215" s="58">
        <v>0</v>
      </c>
      <c r="R215" s="59">
        <f>I257+I262</f>
        <v>4251.5000000000009</v>
      </c>
      <c r="S215" s="59">
        <v>0</v>
      </c>
      <c r="T215" s="10"/>
      <c r="U215" s="17"/>
      <c r="V215" s="10"/>
      <c r="W215" s="10"/>
      <c r="X215" s="10"/>
    </row>
    <row r="216" spans="1:24">
      <c r="A216" s="614"/>
      <c r="B216" s="11"/>
      <c r="C216" s="10"/>
      <c r="D216" s="10"/>
      <c r="E216" s="24" t="s">
        <v>41</v>
      </c>
      <c r="F216" s="60">
        <f>Q215</f>
        <v>0</v>
      </c>
      <c r="G216" s="61" t="s">
        <v>40</v>
      </c>
      <c r="H216" s="62"/>
      <c r="I216" s="62"/>
      <c r="J216" s="10" t="s">
        <v>42</v>
      </c>
      <c r="K216" s="63">
        <v>2</v>
      </c>
      <c r="L216" s="63">
        <v>3</v>
      </c>
      <c r="M216" s="63">
        <v>5</v>
      </c>
      <c r="N216" s="63">
        <v>3</v>
      </c>
      <c r="O216" s="63">
        <v>5</v>
      </c>
      <c r="P216" s="21">
        <f>SUM(K216:O216)</f>
        <v>18</v>
      </c>
      <c r="Q216" s="64"/>
      <c r="R216" s="63"/>
      <c r="S216" s="10"/>
      <c r="T216" s="10"/>
      <c r="U216" s="17"/>
      <c r="V216" s="10"/>
      <c r="W216" s="10"/>
      <c r="X216" s="10"/>
    </row>
    <row r="217" spans="1:24">
      <c r="A217" s="614"/>
      <c r="B217" s="11"/>
      <c r="C217" s="10"/>
      <c r="D217" s="10"/>
      <c r="E217" s="51" t="s">
        <v>43</v>
      </c>
      <c r="F217" s="52">
        <f>F216*0.25</f>
        <v>0</v>
      </c>
      <c r="G217" s="53" t="s">
        <v>40</v>
      </c>
      <c r="H217" s="54">
        <f>F217/1.12</f>
        <v>0</v>
      </c>
      <c r="I217" s="10"/>
      <c r="J217" s="10" t="s">
        <v>44</v>
      </c>
      <c r="K217" s="63">
        <v>4</v>
      </c>
      <c r="L217" s="63">
        <v>7</v>
      </c>
      <c r="M217" s="63">
        <v>4</v>
      </c>
      <c r="N217" s="63">
        <v>4</v>
      </c>
      <c r="O217" s="63">
        <v>1</v>
      </c>
      <c r="P217" s="21">
        <f>SUM(K217:O217)</f>
        <v>20</v>
      </c>
      <c r="Q217" s="64"/>
      <c r="R217" s="63"/>
      <c r="S217" s="10"/>
      <c r="T217" s="10"/>
      <c r="U217" s="17"/>
      <c r="V217" s="10"/>
      <c r="W217" s="10"/>
      <c r="X217" s="10"/>
    </row>
    <row r="218" spans="1:24">
      <c r="A218" s="614"/>
      <c r="B218" s="11"/>
      <c r="C218" s="10"/>
      <c r="D218" s="10"/>
      <c r="E218" s="24" t="s">
        <v>45</v>
      </c>
      <c r="F218" s="60">
        <f>I253</f>
        <v>1009.3</v>
      </c>
      <c r="G218" s="61" t="s">
        <v>40</v>
      </c>
      <c r="H218" s="62"/>
      <c r="I218" s="10"/>
      <c r="J218" s="10" t="s">
        <v>46</v>
      </c>
      <c r="K218" s="31">
        <f>K216/(K216+K217)</f>
        <v>0.33333333333333331</v>
      </c>
      <c r="L218" s="31">
        <f>L216/(L216+L217)</f>
        <v>0.3</v>
      </c>
      <c r="M218" s="31">
        <f>M216/(M216+M217)</f>
        <v>0.55555555555555558</v>
      </c>
      <c r="N218" s="31">
        <f>N216/(N216+N217)</f>
        <v>0.42857142857142855</v>
      </c>
      <c r="O218" s="31">
        <f>O216/(O216+O217)</f>
        <v>0.83333333333333337</v>
      </c>
      <c r="P218" s="31">
        <f>P216/(P216+P217)</f>
        <v>0.47368421052631576</v>
      </c>
      <c r="Q218" s="31" t="e">
        <f>Q216/(Q216+Q217)</f>
        <v>#DIV/0!</v>
      </c>
      <c r="R218" s="63"/>
      <c r="S218" s="10"/>
      <c r="T218" s="10"/>
      <c r="U218" s="17"/>
      <c r="V218" s="10"/>
      <c r="W218" s="10"/>
      <c r="X218" s="10"/>
    </row>
    <row r="219" spans="1:24">
      <c r="A219" s="614"/>
      <c r="B219" s="11"/>
      <c r="C219" s="10"/>
      <c r="D219" s="10"/>
      <c r="E219" s="51" t="s">
        <v>47</v>
      </c>
      <c r="F219" s="52">
        <f>F218*0.05</f>
        <v>50.465000000000003</v>
      </c>
      <c r="G219" s="65" t="s">
        <v>40</v>
      </c>
      <c r="H219" s="54">
        <f>F219/1.12</f>
        <v>45.058035714285715</v>
      </c>
      <c r="I219" s="42"/>
      <c r="J219" s="10" t="s">
        <v>48</v>
      </c>
      <c r="K219" s="66">
        <f>K215/K216</f>
        <v>857.15</v>
      </c>
      <c r="L219" s="66">
        <f>L215/L216</f>
        <v>1330.7066666666667</v>
      </c>
      <c r="M219" s="66">
        <f>M215/M216</f>
        <v>912.24199999999996</v>
      </c>
      <c r="N219" s="66">
        <f>N215/N216</f>
        <v>1141.9666666666665</v>
      </c>
      <c r="O219" s="66">
        <f>O215/O216</f>
        <v>1225.96</v>
      </c>
      <c r="P219" s="66">
        <f>P215/P216</f>
        <v>1101.2961111111113</v>
      </c>
      <c r="Q219" s="66" t="e">
        <f>Q215/Q216</f>
        <v>#DIV/0!</v>
      </c>
      <c r="R219" s="63"/>
      <c r="S219" s="10"/>
      <c r="T219" s="10"/>
      <c r="U219" s="17"/>
      <c r="V219" s="10"/>
      <c r="W219" s="10"/>
      <c r="X219" s="10"/>
    </row>
    <row r="220" spans="1:24">
      <c r="A220" s="614"/>
      <c r="B220" s="11"/>
      <c r="C220" s="10"/>
      <c r="D220" s="10"/>
      <c r="E220" s="67" t="s">
        <v>14</v>
      </c>
      <c r="F220" s="68">
        <f>3*50</f>
        <v>150</v>
      </c>
      <c r="G220" s="10"/>
      <c r="H220" s="54">
        <f>F220/1.12</f>
        <v>133.92857142857142</v>
      </c>
      <c r="I220" s="10"/>
      <c r="J220" s="10"/>
      <c r="K220" s="10"/>
      <c r="L220" s="10"/>
      <c r="M220" s="10"/>
      <c r="N220" s="10"/>
      <c r="O220" s="10"/>
      <c r="P220" s="10"/>
      <c r="Q220" s="10"/>
      <c r="R220" s="10"/>
      <c r="S220" s="10"/>
      <c r="T220" s="10"/>
      <c r="U220" s="17"/>
      <c r="V220" s="10"/>
      <c r="W220" s="10"/>
      <c r="X220" s="10"/>
    </row>
    <row r="221" spans="1:24">
      <c r="A221" s="614"/>
      <c r="B221" s="11"/>
      <c r="C221" s="10"/>
      <c r="D221" s="10"/>
      <c r="E221" s="155" t="s">
        <v>49</v>
      </c>
      <c r="F221" s="364">
        <f>T210</f>
        <v>0</v>
      </c>
      <c r="G221" s="10"/>
      <c r="H221" s="54"/>
      <c r="I221" s="55"/>
      <c r="J221" s="42"/>
      <c r="K221" s="764" t="s">
        <v>50</v>
      </c>
      <c r="L221" s="765"/>
      <c r="M221" s="765"/>
      <c r="N221" s="765"/>
      <c r="O221" s="765"/>
      <c r="P221" s="765"/>
      <c r="Q221" s="766"/>
      <c r="R221" s="70" t="s">
        <v>28</v>
      </c>
      <c r="S221" s="71" t="s">
        <v>29</v>
      </c>
      <c r="T221" s="10"/>
      <c r="U221" s="17"/>
      <c r="V221" s="10"/>
      <c r="W221" s="10"/>
      <c r="X221" s="10"/>
    </row>
    <row r="222" spans="1:24">
      <c r="A222" s="614"/>
      <c r="B222" s="11"/>
      <c r="C222" s="10"/>
      <c r="D222" s="10"/>
      <c r="E222" s="12"/>
      <c r="F222" s="76"/>
      <c r="G222" s="10"/>
      <c r="H222" s="10"/>
      <c r="I222" s="10"/>
      <c r="J222" s="42"/>
      <c r="K222" s="20" t="s">
        <v>31</v>
      </c>
      <c r="L222" s="21" t="s">
        <v>32</v>
      </c>
      <c r="M222" s="21" t="s">
        <v>33</v>
      </c>
      <c r="N222" s="21" t="s">
        <v>34</v>
      </c>
      <c r="O222" s="21" t="s">
        <v>35</v>
      </c>
      <c r="P222" s="21" t="s">
        <v>36</v>
      </c>
      <c r="Q222" s="49" t="s">
        <v>37</v>
      </c>
      <c r="R222" s="50" t="s">
        <v>38</v>
      </c>
      <c r="S222" s="50" t="s">
        <v>38</v>
      </c>
      <c r="T222" s="10"/>
      <c r="U222" s="17"/>
      <c r="V222" s="10"/>
      <c r="W222" s="10"/>
      <c r="X222" s="10"/>
    </row>
    <row r="223" spans="1:24">
      <c r="A223" s="614"/>
      <c r="B223" s="11"/>
      <c r="C223" s="10"/>
      <c r="D223" s="10"/>
      <c r="E223" s="10"/>
      <c r="F223" s="10"/>
      <c r="G223" s="10"/>
      <c r="H223" s="10"/>
      <c r="I223" s="10"/>
      <c r="J223" s="42"/>
      <c r="K223" s="56">
        <f>F233+F256</f>
        <v>1754</v>
      </c>
      <c r="L223" s="57">
        <f>F234+F235+F236</f>
        <v>4276</v>
      </c>
      <c r="M223" s="57">
        <f>F237+F239+F240+F241+F238</f>
        <v>4848.8</v>
      </c>
      <c r="N223" s="57">
        <f>F242+F243+F244</f>
        <v>3545</v>
      </c>
      <c r="O223" s="57">
        <f>F245+F246+F247+F260+F261</f>
        <v>8812.6</v>
      </c>
      <c r="P223" s="57">
        <f>SUM(K223:O223)</f>
        <v>23236.400000000001</v>
      </c>
      <c r="Q223" s="58">
        <v>0</v>
      </c>
      <c r="R223" s="59">
        <f>F257+F262</f>
        <v>6870.6</v>
      </c>
      <c r="S223" s="59">
        <v>0</v>
      </c>
      <c r="T223" s="10"/>
      <c r="U223" s="17"/>
      <c r="V223" s="10"/>
      <c r="W223" s="10"/>
      <c r="X223" s="10"/>
    </row>
    <row r="224" spans="1:24">
      <c r="A224" s="614"/>
      <c r="B224" s="11"/>
      <c r="C224" s="10"/>
      <c r="D224" s="10"/>
      <c r="E224" s="10"/>
      <c r="F224" s="10"/>
      <c r="G224" s="10"/>
      <c r="H224" s="10"/>
      <c r="I224" s="10"/>
      <c r="J224" s="10" t="s">
        <v>42</v>
      </c>
      <c r="K224" s="63">
        <f>K216</f>
        <v>2</v>
      </c>
      <c r="L224" s="63">
        <f>L216</f>
        <v>3</v>
      </c>
      <c r="M224" s="63">
        <f>M216</f>
        <v>5</v>
      </c>
      <c r="N224" s="63">
        <f>N216</f>
        <v>3</v>
      </c>
      <c r="O224" s="63">
        <f>O216</f>
        <v>5</v>
      </c>
      <c r="P224" s="63">
        <f>P216</f>
        <v>18</v>
      </c>
      <c r="Q224" s="63">
        <f>Q216</f>
        <v>0</v>
      </c>
      <c r="R224" s="63"/>
      <c r="S224" s="10"/>
      <c r="T224" s="10"/>
      <c r="U224" s="17"/>
      <c r="V224" s="10"/>
      <c r="W224" s="10"/>
      <c r="X224" s="10"/>
    </row>
    <row r="225" spans="1:24">
      <c r="A225" s="614"/>
      <c r="B225" s="11"/>
      <c r="C225" s="10"/>
      <c r="D225" s="10"/>
      <c r="E225" s="10"/>
      <c r="F225" s="10"/>
      <c r="G225" s="10"/>
      <c r="H225" s="10"/>
      <c r="I225" s="10"/>
      <c r="J225" s="10" t="s">
        <v>44</v>
      </c>
      <c r="K225" s="63">
        <f>K217</f>
        <v>4</v>
      </c>
      <c r="L225" s="63">
        <f>L217</f>
        <v>7</v>
      </c>
      <c r="M225" s="63">
        <f>M217</f>
        <v>4</v>
      </c>
      <c r="N225" s="63">
        <f>N217</f>
        <v>4</v>
      </c>
      <c r="O225" s="63">
        <f>O217</f>
        <v>1</v>
      </c>
      <c r="P225" s="63">
        <f>P217</f>
        <v>20</v>
      </c>
      <c r="Q225" s="63">
        <f>Q217</f>
        <v>0</v>
      </c>
      <c r="R225" s="63"/>
      <c r="S225" s="10"/>
      <c r="T225" s="10"/>
      <c r="U225" s="17"/>
      <c r="V225" s="10"/>
      <c r="W225" s="10"/>
      <c r="X225" s="10"/>
    </row>
    <row r="226" spans="1:24">
      <c r="A226" s="614"/>
      <c r="B226" s="11"/>
      <c r="C226" s="10"/>
      <c r="D226" s="10"/>
      <c r="E226" s="12"/>
      <c r="F226" s="76"/>
      <c r="G226" s="10"/>
      <c r="H226" s="10"/>
      <c r="I226" s="10"/>
      <c r="J226" s="10" t="s">
        <v>46</v>
      </c>
      <c r="K226" s="31">
        <f>K224/(K224+K225)</f>
        <v>0.33333333333333331</v>
      </c>
      <c r="L226" s="31">
        <f>L224/(L224+L225)</f>
        <v>0.3</v>
      </c>
      <c r="M226" s="31">
        <f>M224/(M224+M225)</f>
        <v>0.55555555555555558</v>
      </c>
      <c r="N226" s="31">
        <f>N224/(N224+N225)</f>
        <v>0.42857142857142855</v>
      </c>
      <c r="O226" s="31">
        <f>O224/(O224+O225)</f>
        <v>0.83333333333333337</v>
      </c>
      <c r="P226" s="31">
        <f>P224/(P224+P225)</f>
        <v>0.47368421052631576</v>
      </c>
      <c r="Q226" s="31" t="e">
        <f>Q224/(Q224+Q225)</f>
        <v>#DIV/0!</v>
      </c>
      <c r="R226" s="63"/>
      <c r="S226" s="10"/>
      <c r="T226" s="10"/>
      <c r="U226" s="17"/>
      <c r="V226" s="10"/>
      <c r="W226" s="10"/>
      <c r="X226" s="10"/>
    </row>
    <row r="227" spans="1:24">
      <c r="A227" s="614"/>
      <c r="B227" s="11"/>
      <c r="C227" s="10"/>
      <c r="D227" s="10"/>
      <c r="E227" s="10"/>
      <c r="F227" s="10"/>
      <c r="G227" s="10"/>
      <c r="H227" s="10"/>
      <c r="I227" s="10"/>
      <c r="J227" s="10" t="s">
        <v>48</v>
      </c>
      <c r="K227" s="66">
        <f>K223/K224</f>
        <v>877</v>
      </c>
      <c r="L227" s="66">
        <f>L223/L224</f>
        <v>1425.3333333333333</v>
      </c>
      <c r="M227" s="66">
        <f>M223/M224</f>
        <v>969.76</v>
      </c>
      <c r="N227" s="66">
        <f>N223/N224</f>
        <v>1181.6666666666667</v>
      </c>
      <c r="O227" s="66">
        <f>O223/O224</f>
        <v>1762.52</v>
      </c>
      <c r="P227" s="66">
        <f>P223/P224</f>
        <v>1290.9111111111113</v>
      </c>
      <c r="Q227" s="66" t="e">
        <f>Q223/Q224</f>
        <v>#DIV/0!</v>
      </c>
      <c r="R227" s="63"/>
      <c r="S227" s="10"/>
      <c r="T227" s="10"/>
      <c r="U227" s="17"/>
      <c r="V227" s="10"/>
      <c r="W227" s="10"/>
      <c r="X227" s="10"/>
    </row>
    <row r="228" spans="1:24">
      <c r="A228" s="614"/>
      <c r="B228" s="11"/>
      <c r="C228" s="10"/>
      <c r="D228" s="10"/>
      <c r="E228" s="10"/>
      <c r="F228" s="10"/>
      <c r="G228" s="10"/>
      <c r="H228" s="10"/>
      <c r="I228" s="10"/>
      <c r="J228" s="10"/>
      <c r="K228" s="10"/>
      <c r="L228" s="10"/>
      <c r="M228" s="10"/>
      <c r="N228" s="10"/>
      <c r="O228" s="10"/>
      <c r="P228" s="10"/>
      <c r="Q228" s="10"/>
      <c r="R228" s="10"/>
      <c r="S228" s="10"/>
      <c r="T228" s="10"/>
      <c r="U228" s="17"/>
      <c r="V228" s="10"/>
      <c r="W228" s="10"/>
      <c r="X228" s="10"/>
    </row>
    <row r="229" spans="1:24">
      <c r="A229" s="614"/>
      <c r="B229" s="11"/>
      <c r="C229" s="10"/>
      <c r="D229" s="10"/>
      <c r="E229" s="10"/>
      <c r="F229" s="10"/>
      <c r="G229" s="10"/>
      <c r="H229" s="10"/>
      <c r="I229" s="10"/>
      <c r="J229" s="10"/>
      <c r="K229" s="10"/>
      <c r="L229" s="10"/>
      <c r="M229" s="10"/>
      <c r="N229" s="10"/>
      <c r="O229" s="10"/>
      <c r="P229" s="10"/>
      <c r="Q229" s="10"/>
      <c r="R229" s="10"/>
      <c r="S229" s="10"/>
      <c r="T229" s="10"/>
      <c r="U229" s="17"/>
      <c r="V229" s="10"/>
      <c r="W229" s="10"/>
      <c r="X229" s="10"/>
    </row>
    <row r="230" spans="1:24">
      <c r="A230" s="614"/>
      <c r="B230" s="18" t="s">
        <v>51</v>
      </c>
      <c r="C230" s="14"/>
      <c r="D230" s="14"/>
      <c r="E230" s="14"/>
      <c r="F230" s="13" t="s">
        <v>52</v>
      </c>
      <c r="G230" s="14"/>
      <c r="H230" s="14"/>
      <c r="I230" s="14"/>
      <c r="J230" s="14"/>
      <c r="K230" s="13" t="s">
        <v>3</v>
      </c>
      <c r="L230" s="14"/>
      <c r="M230" s="14"/>
      <c r="N230" s="13" t="s">
        <v>4</v>
      </c>
      <c r="O230" s="14"/>
      <c r="P230" s="14"/>
      <c r="Q230" s="13" t="s">
        <v>5</v>
      </c>
      <c r="R230" s="14"/>
      <c r="S230" s="14"/>
      <c r="T230" s="18"/>
      <c r="U230" s="16" t="s">
        <v>53</v>
      </c>
      <c r="V230" s="77"/>
      <c r="W230" s="77"/>
      <c r="X230" s="77"/>
    </row>
    <row r="231" spans="1:24">
      <c r="A231" s="614"/>
      <c r="B231" s="24" t="s">
        <v>54</v>
      </c>
      <c r="C231" s="21" t="s">
        <v>55</v>
      </c>
      <c r="D231" s="21" t="s">
        <v>56</v>
      </c>
      <c r="E231" s="21" t="s">
        <v>57</v>
      </c>
      <c r="F231" s="20" t="s">
        <v>58</v>
      </c>
      <c r="G231" s="21" t="s">
        <v>59</v>
      </c>
      <c r="H231" s="21" t="s">
        <v>60</v>
      </c>
      <c r="I231" s="21" t="s">
        <v>26</v>
      </c>
      <c r="J231" s="22" t="s">
        <v>61</v>
      </c>
      <c r="K231" s="21" t="s">
        <v>8</v>
      </c>
      <c r="L231" s="21" t="s">
        <v>9</v>
      </c>
      <c r="M231" s="21" t="s">
        <v>10</v>
      </c>
      <c r="N231" s="20" t="s">
        <v>11</v>
      </c>
      <c r="O231" s="21" t="s">
        <v>12</v>
      </c>
      <c r="P231" s="22" t="s">
        <v>13</v>
      </c>
      <c r="Q231" s="21" t="s">
        <v>11</v>
      </c>
      <c r="R231" s="21" t="s">
        <v>12</v>
      </c>
      <c r="S231" s="21" t="s">
        <v>13</v>
      </c>
      <c r="T231" s="78" t="s">
        <v>14</v>
      </c>
      <c r="U231" s="30"/>
      <c r="V231" s="79" t="s">
        <v>62</v>
      </c>
      <c r="W231" s="80" t="s">
        <v>63</v>
      </c>
      <c r="X231" s="81" t="s">
        <v>64</v>
      </c>
    </row>
    <row r="232" spans="1:24">
      <c r="A232" s="614"/>
      <c r="B232" s="4" t="s">
        <v>65</v>
      </c>
      <c r="C232" s="6"/>
      <c r="D232" s="6"/>
      <c r="E232" s="6"/>
      <c r="F232" s="6"/>
      <c r="G232" s="6"/>
      <c r="H232" s="6"/>
      <c r="I232" s="82"/>
      <c r="J232" s="6"/>
      <c r="K232" s="6"/>
      <c r="L232" s="6"/>
      <c r="M232" s="6"/>
      <c r="N232" s="6"/>
      <c r="O232" s="6"/>
      <c r="P232" s="6"/>
      <c r="Q232" s="6"/>
      <c r="R232" s="6"/>
      <c r="S232" s="6"/>
      <c r="T232" s="83"/>
      <c r="U232" s="6"/>
      <c r="V232" s="84"/>
      <c r="W232" s="85"/>
      <c r="X232" s="86"/>
    </row>
    <row r="233" spans="1:24">
      <c r="A233" s="614"/>
      <c r="B233" s="87">
        <v>1</v>
      </c>
      <c r="C233" s="638">
        <v>45943</v>
      </c>
      <c r="D233" s="276">
        <v>74362</v>
      </c>
      <c r="E233" s="276" t="s">
        <v>643</v>
      </c>
      <c r="F233" s="277">
        <v>616</v>
      </c>
      <c r="G233" s="277"/>
      <c r="H233" s="297"/>
      <c r="I233" s="321">
        <f>F233-G233-H233</f>
        <v>616</v>
      </c>
      <c r="J233" s="279" t="s">
        <v>156</v>
      </c>
      <c r="K233" s="279">
        <v>1</v>
      </c>
      <c r="L233" s="279">
        <v>1</v>
      </c>
      <c r="M233" s="279">
        <v>1</v>
      </c>
      <c r="N233" s="279">
        <v>1</v>
      </c>
      <c r="O233" s="279">
        <v>1</v>
      </c>
      <c r="P233" s="279">
        <v>1</v>
      </c>
      <c r="Q233" s="279">
        <v>1</v>
      </c>
      <c r="R233" s="279">
        <v>1</v>
      </c>
      <c r="S233" s="328">
        <v>0</v>
      </c>
      <c r="T233" s="63"/>
      <c r="U233" s="10"/>
      <c r="V233" s="90">
        <f>68+609.6</f>
        <v>677.6</v>
      </c>
      <c r="W233" s="91"/>
      <c r="X233" s="92"/>
    </row>
    <row r="234" spans="1:24">
      <c r="A234" s="614"/>
      <c r="B234" s="87">
        <f>B233+1</f>
        <v>2</v>
      </c>
      <c r="C234" s="638">
        <v>45944</v>
      </c>
      <c r="D234" s="276">
        <v>74387</v>
      </c>
      <c r="E234" s="276" t="s">
        <v>203</v>
      </c>
      <c r="F234" s="277">
        <v>1134</v>
      </c>
      <c r="G234" s="277">
        <v>39.700000000000003</v>
      </c>
      <c r="H234" s="277"/>
      <c r="I234" s="321">
        <f>F234-G234-H234</f>
        <v>1094.3</v>
      </c>
      <c r="J234" s="279" t="s">
        <v>156</v>
      </c>
      <c r="K234" s="279">
        <v>1</v>
      </c>
      <c r="L234" s="279">
        <v>1</v>
      </c>
      <c r="M234" s="279">
        <v>1</v>
      </c>
      <c r="N234" s="279">
        <v>1</v>
      </c>
      <c r="O234" s="279">
        <v>1</v>
      </c>
      <c r="P234" s="279">
        <v>1</v>
      </c>
      <c r="Q234" s="279">
        <v>1</v>
      </c>
      <c r="R234" s="322">
        <v>0</v>
      </c>
      <c r="S234" s="328">
        <v>0</v>
      </c>
      <c r="T234" s="63"/>
      <c r="U234" s="10"/>
      <c r="V234" s="90">
        <f>125+1122.4</f>
        <v>1247.4000000000001</v>
      </c>
      <c r="W234" s="91"/>
      <c r="X234" s="92"/>
    </row>
    <row r="235" spans="1:24">
      <c r="A235" s="613"/>
      <c r="B235" s="87">
        <f>B234+1</f>
        <v>3</v>
      </c>
      <c r="C235" s="639">
        <v>45944</v>
      </c>
      <c r="D235" s="3">
        <v>74389</v>
      </c>
      <c r="E235" s="10" t="s">
        <v>271</v>
      </c>
      <c r="F235" s="62">
        <v>681</v>
      </c>
      <c r="G235" s="62"/>
      <c r="H235" s="62"/>
      <c r="I235" s="324">
        <f>F235-G235-H235</f>
        <v>681</v>
      </c>
      <c r="J235" s="63" t="s">
        <v>156</v>
      </c>
      <c r="K235" s="63">
        <v>1</v>
      </c>
      <c r="L235" s="325">
        <v>0</v>
      </c>
      <c r="M235" s="63">
        <v>1</v>
      </c>
      <c r="N235" s="63">
        <v>1</v>
      </c>
      <c r="O235" s="63">
        <v>1</v>
      </c>
      <c r="P235" s="325">
        <v>0</v>
      </c>
      <c r="Q235" s="63">
        <v>1</v>
      </c>
      <c r="R235" s="63">
        <v>1</v>
      </c>
      <c r="S235" s="326">
        <v>0</v>
      </c>
      <c r="T235" s="63"/>
      <c r="U235" s="10"/>
      <c r="V235" s="90">
        <v>749.1</v>
      </c>
      <c r="W235" s="91"/>
      <c r="X235" s="92"/>
    </row>
    <row r="236" spans="1:24">
      <c r="A236" s="613"/>
      <c r="B236" s="87">
        <f>B235+1</f>
        <v>4</v>
      </c>
      <c r="C236" s="640">
        <v>45944</v>
      </c>
      <c r="D236" s="283">
        <v>74374</v>
      </c>
      <c r="E236" s="283" t="s">
        <v>643</v>
      </c>
      <c r="F236" s="284">
        <v>2461</v>
      </c>
      <c r="G236" s="284">
        <f>39.7+(142.88+49.5+12.1)</f>
        <v>244.18</v>
      </c>
      <c r="H236" s="284"/>
      <c r="I236" s="331">
        <f>F236-G236-H236</f>
        <v>2216.8200000000002</v>
      </c>
      <c r="J236" s="286" t="s">
        <v>156</v>
      </c>
      <c r="K236" s="286">
        <v>1</v>
      </c>
      <c r="L236" s="286">
        <v>1</v>
      </c>
      <c r="M236" s="332">
        <v>0</v>
      </c>
      <c r="N236" s="286">
        <v>1</v>
      </c>
      <c r="O236" s="286">
        <v>1</v>
      </c>
      <c r="P236" s="286">
        <v>1</v>
      </c>
      <c r="Q236" s="286">
        <v>1</v>
      </c>
      <c r="R236" s="286">
        <v>1</v>
      </c>
      <c r="S236" s="287">
        <v>1</v>
      </c>
      <c r="T236" s="21">
        <v>1</v>
      </c>
      <c r="U236" s="94" t="s">
        <v>2763</v>
      </c>
      <c r="V236" s="90">
        <f>270+200+2237.1</f>
        <v>2707.1</v>
      </c>
      <c r="W236" s="91"/>
      <c r="X236" s="92"/>
    </row>
    <row r="237" spans="1:24">
      <c r="A237" s="614"/>
      <c r="B237" s="87">
        <f>B236+1</f>
        <v>5</v>
      </c>
      <c r="C237" s="639">
        <v>45945</v>
      </c>
      <c r="D237" s="10">
        <v>74377</v>
      </c>
      <c r="E237" s="94" t="s">
        <v>325</v>
      </c>
      <c r="F237" s="62">
        <v>681</v>
      </c>
      <c r="G237" s="62"/>
      <c r="H237" s="62"/>
      <c r="I237" s="324">
        <f>F237-G237-H237</f>
        <v>681</v>
      </c>
      <c r="J237" s="63" t="s">
        <v>156</v>
      </c>
      <c r="K237" s="63">
        <v>1</v>
      </c>
      <c r="L237" s="63">
        <v>1</v>
      </c>
      <c r="M237" s="63">
        <v>1</v>
      </c>
      <c r="N237" s="63">
        <v>1</v>
      </c>
      <c r="O237" s="63">
        <v>1</v>
      </c>
      <c r="P237" s="63">
        <v>1</v>
      </c>
      <c r="Q237" s="63">
        <v>1</v>
      </c>
      <c r="R237" s="325">
        <v>0</v>
      </c>
      <c r="S237" s="326">
        <v>0</v>
      </c>
      <c r="T237" s="21">
        <v>1</v>
      </c>
      <c r="U237" s="10"/>
      <c r="V237" s="90">
        <v>749.1</v>
      </c>
      <c r="W237" s="91"/>
      <c r="X237" s="92"/>
    </row>
    <row r="238" spans="1:24">
      <c r="A238" s="614"/>
      <c r="B238" s="87">
        <f>B237+1</f>
        <v>6</v>
      </c>
      <c r="C238" s="639">
        <v>45945</v>
      </c>
      <c r="D238" s="10">
        <v>74482</v>
      </c>
      <c r="E238" s="10" t="s">
        <v>155</v>
      </c>
      <c r="F238" s="62">
        <v>1447.9</v>
      </c>
      <c r="G238" s="62">
        <f>39.7</f>
        <v>39.700000000000003</v>
      </c>
      <c r="H238" s="62"/>
      <c r="I238" s="324">
        <f>F238-G238-H238</f>
        <v>1408.2</v>
      </c>
      <c r="J238" s="63" t="s">
        <v>156</v>
      </c>
      <c r="K238" s="63">
        <v>1</v>
      </c>
      <c r="L238" s="63">
        <v>1</v>
      </c>
      <c r="M238" s="63">
        <v>1</v>
      </c>
      <c r="N238" s="63">
        <v>1</v>
      </c>
      <c r="O238" s="63">
        <v>1</v>
      </c>
      <c r="P238" s="63">
        <v>1</v>
      </c>
      <c r="Q238" s="63">
        <v>1</v>
      </c>
      <c r="R238" s="325">
        <v>0</v>
      </c>
      <c r="S238" s="326">
        <v>0</v>
      </c>
      <c r="T238" s="63"/>
      <c r="U238" s="94" t="s">
        <v>2764</v>
      </c>
      <c r="V238" s="90">
        <f>200+1392.69</f>
        <v>1592.69</v>
      </c>
      <c r="W238" s="91"/>
      <c r="X238" s="92"/>
    </row>
    <row r="239" spans="1:24">
      <c r="A239" s="614"/>
      <c r="B239" s="87">
        <f>B238+1</f>
        <v>7</v>
      </c>
      <c r="C239" s="639">
        <v>45945</v>
      </c>
      <c r="D239" s="10">
        <v>74507</v>
      </c>
      <c r="E239" s="10" t="s">
        <v>979</v>
      </c>
      <c r="F239" s="62">
        <v>457.9</v>
      </c>
      <c r="G239" s="62"/>
      <c r="H239" s="62"/>
      <c r="I239" s="324">
        <f>F239-G239-H239</f>
        <v>457.9</v>
      </c>
      <c r="J239" s="63" t="s">
        <v>156</v>
      </c>
      <c r="K239" s="63">
        <v>1</v>
      </c>
      <c r="L239" s="63">
        <v>1</v>
      </c>
      <c r="M239" s="63">
        <v>1</v>
      </c>
      <c r="N239" s="63">
        <v>1</v>
      </c>
      <c r="O239" s="63">
        <v>1</v>
      </c>
      <c r="P239" s="325">
        <v>0</v>
      </c>
      <c r="Q239" s="325">
        <v>0</v>
      </c>
      <c r="R239" s="325">
        <v>0</v>
      </c>
      <c r="S239" s="326">
        <v>0</v>
      </c>
      <c r="T239" s="63"/>
      <c r="U239" s="10"/>
      <c r="V239" s="90">
        <v>503.69</v>
      </c>
      <c r="W239" s="91"/>
      <c r="X239" s="92"/>
    </row>
    <row r="240" spans="1:24">
      <c r="A240" s="614"/>
      <c r="B240" s="87">
        <f>B239+1</f>
        <v>8</v>
      </c>
      <c r="C240" s="639">
        <v>45945</v>
      </c>
      <c r="D240" s="10">
        <v>74499</v>
      </c>
      <c r="E240" s="10" t="s">
        <v>225</v>
      </c>
      <c r="F240" s="62">
        <v>1681</v>
      </c>
      <c r="G240" s="62">
        <f>39.7+(208.19)</f>
        <v>247.89</v>
      </c>
      <c r="H240" s="88"/>
      <c r="I240" s="369">
        <f>F240-G240-H240</f>
        <v>1433.1100000000001</v>
      </c>
      <c r="J240" s="63" t="s">
        <v>156</v>
      </c>
      <c r="K240" s="63">
        <v>1</v>
      </c>
      <c r="L240" s="63">
        <v>1</v>
      </c>
      <c r="M240" s="325">
        <v>0</v>
      </c>
      <c r="N240" s="63">
        <v>1</v>
      </c>
      <c r="O240" s="63">
        <v>1</v>
      </c>
      <c r="P240" s="63">
        <v>1</v>
      </c>
      <c r="Q240" s="63">
        <v>1</v>
      </c>
      <c r="R240" s="325">
        <v>0</v>
      </c>
      <c r="S240" s="326">
        <v>0</v>
      </c>
      <c r="T240" s="63"/>
      <c r="U240" s="10" t="s">
        <v>2765</v>
      </c>
      <c r="V240" s="90">
        <f>185+1664.1</f>
        <v>1849.1</v>
      </c>
      <c r="W240" s="91"/>
      <c r="X240" s="92"/>
    </row>
    <row r="241" spans="1:24">
      <c r="A241" s="614"/>
      <c r="B241" s="87">
        <f>B240+1</f>
        <v>9</v>
      </c>
      <c r="C241" s="639">
        <v>45945</v>
      </c>
      <c r="D241" s="10">
        <v>74531</v>
      </c>
      <c r="E241" s="10" t="s">
        <v>327</v>
      </c>
      <c r="F241" s="62">
        <f>766-185</f>
        <v>581</v>
      </c>
      <c r="G241" s="62"/>
      <c r="H241" s="88"/>
      <c r="I241" s="369">
        <f>F241-G241-H241</f>
        <v>581</v>
      </c>
      <c r="J241" s="63" t="s">
        <v>156</v>
      </c>
      <c r="K241" s="63">
        <v>1</v>
      </c>
      <c r="L241" s="63">
        <v>1</v>
      </c>
      <c r="M241" s="63">
        <v>1</v>
      </c>
      <c r="N241" s="63">
        <v>1</v>
      </c>
      <c r="O241" s="63">
        <v>1</v>
      </c>
      <c r="P241" s="63">
        <v>1</v>
      </c>
      <c r="Q241" s="63">
        <v>1</v>
      </c>
      <c r="R241" s="325">
        <v>0</v>
      </c>
      <c r="S241" s="326">
        <v>0</v>
      </c>
      <c r="T241" s="63"/>
      <c r="U241" s="10" t="s">
        <v>2766</v>
      </c>
      <c r="V241" s="90">
        <f>203.5+639.1</f>
        <v>842.6</v>
      </c>
      <c r="W241" s="91"/>
      <c r="X241" s="92"/>
    </row>
    <row r="242" spans="1:24">
      <c r="A242" s="614"/>
      <c r="B242" s="87">
        <f>B241+1</f>
        <v>10</v>
      </c>
      <c r="C242" s="638">
        <v>45946</v>
      </c>
      <c r="D242" s="276" t="s">
        <v>2767</v>
      </c>
      <c r="E242" s="276" t="s">
        <v>155</v>
      </c>
      <c r="F242" s="277">
        <v>1861</v>
      </c>
      <c r="G242" s="277">
        <f>39.7</f>
        <v>39.700000000000003</v>
      </c>
      <c r="H242" s="277"/>
      <c r="I242" s="321">
        <f>F242-G242-H242</f>
        <v>1821.3</v>
      </c>
      <c r="J242" s="279" t="s">
        <v>156</v>
      </c>
      <c r="K242" s="279">
        <v>1</v>
      </c>
      <c r="L242" s="279">
        <v>1</v>
      </c>
      <c r="M242" s="279">
        <v>1</v>
      </c>
      <c r="N242" s="279">
        <v>1</v>
      </c>
      <c r="O242" s="279">
        <v>1</v>
      </c>
      <c r="P242" s="279">
        <v>1</v>
      </c>
      <c r="Q242" s="322">
        <v>0</v>
      </c>
      <c r="R242" s="322">
        <v>0</v>
      </c>
      <c r="S242" s="328">
        <v>0</v>
      </c>
      <c r="T242" s="63"/>
      <c r="U242" s="94"/>
      <c r="V242" s="90">
        <f>2047.1</f>
        <v>2047.1</v>
      </c>
      <c r="W242" s="91"/>
      <c r="X242" s="92"/>
    </row>
    <row r="243" spans="1:24">
      <c r="A243" s="614"/>
      <c r="B243" s="87">
        <f>B242+1</f>
        <v>11</v>
      </c>
      <c r="C243" s="639">
        <v>45946</v>
      </c>
      <c r="D243" s="10">
        <v>74536</v>
      </c>
      <c r="E243" s="10" t="s">
        <v>444</v>
      </c>
      <c r="F243" s="62">
        <v>1000</v>
      </c>
      <c r="G243" s="62">
        <v>39.700000000000003</v>
      </c>
      <c r="H243" s="88"/>
      <c r="I243" s="324">
        <f>F243-G243-H243</f>
        <v>960.3</v>
      </c>
      <c r="J243" s="63" t="s">
        <v>156</v>
      </c>
      <c r="K243" s="63">
        <v>1</v>
      </c>
      <c r="L243" s="63">
        <v>1</v>
      </c>
      <c r="M243" s="63">
        <v>1</v>
      </c>
      <c r="N243" s="63">
        <v>1</v>
      </c>
      <c r="O243" s="63">
        <v>1</v>
      </c>
      <c r="P243" s="63">
        <v>1</v>
      </c>
      <c r="Q243" s="63">
        <v>1</v>
      </c>
      <c r="R243" s="325">
        <v>0</v>
      </c>
      <c r="S243" s="326">
        <v>0</v>
      </c>
      <c r="T243" s="63"/>
      <c r="U243" s="10"/>
      <c r="V243" s="90">
        <f>110+990</f>
        <v>1100</v>
      </c>
      <c r="W243" s="91"/>
      <c r="X243" s="92"/>
    </row>
    <row r="244" spans="1:24">
      <c r="A244" s="614"/>
      <c r="B244" s="87">
        <f>B243+1</f>
        <v>12</v>
      </c>
      <c r="C244" s="639">
        <v>45946</v>
      </c>
      <c r="D244" s="10">
        <v>74509</v>
      </c>
      <c r="E244" s="10" t="s">
        <v>172</v>
      </c>
      <c r="F244" s="62">
        <v>684</v>
      </c>
      <c r="G244" s="62">
        <f>39.7</f>
        <v>39.700000000000003</v>
      </c>
      <c r="H244" s="88"/>
      <c r="I244" s="89">
        <f>F244-G244-H244</f>
        <v>644.29999999999995</v>
      </c>
      <c r="J244" s="63" t="s">
        <v>156</v>
      </c>
      <c r="K244" s="63">
        <v>1</v>
      </c>
      <c r="L244" s="325">
        <v>0</v>
      </c>
      <c r="M244" s="63">
        <v>1</v>
      </c>
      <c r="N244" s="63">
        <v>1</v>
      </c>
      <c r="O244" s="63">
        <v>1</v>
      </c>
      <c r="P244" s="63">
        <v>1</v>
      </c>
      <c r="Q244" s="63">
        <v>1</v>
      </c>
      <c r="R244" s="63">
        <v>1</v>
      </c>
      <c r="S244" s="296">
        <v>1</v>
      </c>
      <c r="T244" s="63"/>
      <c r="U244" s="10" t="s">
        <v>2768</v>
      </c>
      <c r="V244" s="90">
        <v>752.4</v>
      </c>
      <c r="W244" s="91"/>
      <c r="X244" s="92"/>
    </row>
    <row r="245" spans="1:24">
      <c r="A245" s="614"/>
      <c r="B245" s="87">
        <f>B244+1</f>
        <v>13</v>
      </c>
      <c r="C245" s="638">
        <v>45947</v>
      </c>
      <c r="D245" s="276">
        <v>74574</v>
      </c>
      <c r="E245" s="276" t="s">
        <v>456</v>
      </c>
      <c r="F245" s="447">
        <v>1261</v>
      </c>
      <c r="G245" s="277">
        <f>39.7+(24)</f>
        <v>63.7</v>
      </c>
      <c r="H245" s="277"/>
      <c r="I245" s="321">
        <f>F245-G245-H245</f>
        <v>1197.3</v>
      </c>
      <c r="J245" s="279" t="s">
        <v>156</v>
      </c>
      <c r="K245" s="279">
        <v>1</v>
      </c>
      <c r="L245" s="279">
        <v>1</v>
      </c>
      <c r="M245" s="279">
        <v>1</v>
      </c>
      <c r="N245" s="279">
        <v>1</v>
      </c>
      <c r="O245" s="279">
        <v>1</v>
      </c>
      <c r="P245" s="279">
        <v>1</v>
      </c>
      <c r="Q245" s="279">
        <v>1</v>
      </c>
      <c r="R245" s="322">
        <v>0</v>
      </c>
      <c r="S245" s="328">
        <v>0</v>
      </c>
      <c r="T245" s="63"/>
      <c r="U245" s="10"/>
      <c r="V245" s="90">
        <v>1387.1</v>
      </c>
      <c r="W245" s="91"/>
      <c r="X245" s="92"/>
    </row>
    <row r="246" spans="1:24">
      <c r="A246" s="614"/>
      <c r="B246" s="87">
        <f>B245+1</f>
        <v>14</v>
      </c>
      <c r="C246" s="639">
        <v>45947</v>
      </c>
      <c r="D246" s="10">
        <v>74583</v>
      </c>
      <c r="E246" s="10" t="s">
        <v>979</v>
      </c>
      <c r="F246" s="95">
        <v>1138</v>
      </c>
      <c r="G246" s="62">
        <f>39.7</f>
        <v>39.700000000000003</v>
      </c>
      <c r="H246" s="62"/>
      <c r="I246" s="324">
        <f>F246-G246-H246</f>
        <v>1098.3</v>
      </c>
      <c r="J246" s="63" t="s">
        <v>156</v>
      </c>
      <c r="K246" s="63">
        <v>1</v>
      </c>
      <c r="L246" s="63">
        <v>1</v>
      </c>
      <c r="M246" s="325">
        <v>0</v>
      </c>
      <c r="N246" s="63">
        <v>1</v>
      </c>
      <c r="O246" s="63">
        <v>1</v>
      </c>
      <c r="P246" s="63">
        <v>1</v>
      </c>
      <c r="Q246" s="63">
        <v>1</v>
      </c>
      <c r="R246" s="325">
        <v>0</v>
      </c>
      <c r="S246" s="326">
        <v>0</v>
      </c>
      <c r="T246" s="63"/>
      <c r="U246" s="10"/>
      <c r="V246" s="90">
        <f>125+1126.8</f>
        <v>1251.8</v>
      </c>
      <c r="W246" s="91"/>
      <c r="X246" s="92"/>
    </row>
    <row r="247" spans="1:24">
      <c r="A247" s="614"/>
      <c r="B247" s="87">
        <f>B246+1</f>
        <v>15</v>
      </c>
      <c r="C247" s="282">
        <v>45947</v>
      </c>
      <c r="D247" s="283">
        <v>74606</v>
      </c>
      <c r="E247" s="283" t="s">
        <v>210</v>
      </c>
      <c r="F247" s="284">
        <v>681</v>
      </c>
      <c r="G247" s="284"/>
      <c r="H247" s="284"/>
      <c r="I247" s="331">
        <f>F247-G247-H247</f>
        <v>681</v>
      </c>
      <c r="J247" s="286" t="s">
        <v>156</v>
      </c>
      <c r="K247" s="286">
        <v>1</v>
      </c>
      <c r="L247" s="286">
        <v>1</v>
      </c>
      <c r="M247" s="286">
        <v>1</v>
      </c>
      <c r="N247" s="286">
        <v>1</v>
      </c>
      <c r="O247" s="286">
        <v>1</v>
      </c>
      <c r="P247" s="286">
        <v>1</v>
      </c>
      <c r="Q247" s="286">
        <v>1</v>
      </c>
      <c r="R247" s="332">
        <v>0</v>
      </c>
      <c r="S247" s="370">
        <v>0</v>
      </c>
      <c r="T247" s="63"/>
      <c r="U247" s="10" t="s">
        <v>2769</v>
      </c>
      <c r="V247" s="90">
        <f>75+674.1</f>
        <v>749.1</v>
      </c>
      <c r="W247" s="91"/>
      <c r="X247" s="92"/>
    </row>
    <row r="248" spans="1:24">
      <c r="A248" s="614"/>
      <c r="B248" s="87"/>
      <c r="C248" s="621"/>
      <c r="D248" s="10"/>
      <c r="E248" s="10"/>
      <c r="F248" s="97">
        <f>SUM(F233:F247)</f>
        <v>16365.8</v>
      </c>
      <c r="G248" s="97">
        <f>SUM(G233:G247)</f>
        <v>793.97000000000025</v>
      </c>
      <c r="H248" s="97">
        <f>SUM(H233:H247)</f>
        <v>0</v>
      </c>
      <c r="I248" s="98">
        <f>SUM(I233:I247)</f>
        <v>15571.829999999996</v>
      </c>
      <c r="J248" s="63"/>
      <c r="K248" s="63">
        <f>COUNT(K233:K247)</f>
        <v>15</v>
      </c>
      <c r="L248" s="63">
        <f>COUNT(L233:L247)</f>
        <v>15</v>
      </c>
      <c r="M248" s="63">
        <f>COUNT(M233:M247)</f>
        <v>15</v>
      </c>
      <c r="N248" s="63">
        <f>COUNT(N233:N247)</f>
        <v>15</v>
      </c>
      <c r="O248" s="63">
        <f>COUNT(O233:O247)</f>
        <v>15</v>
      </c>
      <c r="P248" s="63">
        <f>COUNT(P233:P247)</f>
        <v>15</v>
      </c>
      <c r="Q248" s="63">
        <f>COUNT(Q233:Q247)</f>
        <v>15</v>
      </c>
      <c r="R248" s="63">
        <f>COUNT(R233:R247)</f>
        <v>15</v>
      </c>
      <c r="S248" s="63">
        <f>COUNT(S233:S247)</f>
        <v>15</v>
      </c>
      <c r="T248" s="63"/>
      <c r="U248" s="10"/>
      <c r="V248" s="90"/>
      <c r="W248" s="91"/>
      <c r="X248" s="92"/>
    </row>
    <row r="249" spans="1:24">
      <c r="A249" s="614"/>
      <c r="B249" s="87"/>
      <c r="C249" s="621"/>
      <c r="D249" s="10"/>
      <c r="E249" s="10"/>
      <c r="F249" s="88"/>
      <c r="G249" s="88"/>
      <c r="H249" s="88"/>
      <c r="I249" s="99"/>
      <c r="J249" s="63"/>
      <c r="K249" s="21">
        <f>SUM(K233:K247)</f>
        <v>15</v>
      </c>
      <c r="L249" s="21">
        <f>SUM(L233:L247)</f>
        <v>13</v>
      </c>
      <c r="M249" s="21">
        <f>SUM(M233:M247)</f>
        <v>12</v>
      </c>
      <c r="N249" s="21">
        <f>SUM(N233:N247)</f>
        <v>15</v>
      </c>
      <c r="O249" s="21">
        <f>SUM(O233:O247)</f>
        <v>15</v>
      </c>
      <c r="P249" s="21">
        <f>SUM(P233:P247)</f>
        <v>13</v>
      </c>
      <c r="Q249" s="21">
        <f>SUM(Q233:Q247)</f>
        <v>13</v>
      </c>
      <c r="R249" s="21">
        <f>SUM(R233:R247)</f>
        <v>4</v>
      </c>
      <c r="S249" s="21">
        <f>SUM(S233:S247)</f>
        <v>2</v>
      </c>
      <c r="T249" s="63"/>
      <c r="U249" s="10"/>
      <c r="V249" s="90"/>
      <c r="W249" s="91"/>
      <c r="X249" s="92"/>
    </row>
    <row r="250" spans="1:24">
      <c r="A250" s="614"/>
      <c r="B250" s="11"/>
      <c r="C250" s="609"/>
      <c r="D250" s="10"/>
      <c r="E250" s="10"/>
      <c r="F250" s="88"/>
      <c r="G250" s="88"/>
      <c r="H250" s="88"/>
      <c r="I250" s="99"/>
      <c r="J250" s="63"/>
      <c r="K250" s="21"/>
      <c r="L250" s="21"/>
      <c r="M250" s="21"/>
      <c r="N250" s="21"/>
      <c r="O250" s="21"/>
      <c r="P250" s="21"/>
      <c r="Q250" s="21"/>
      <c r="R250" s="21"/>
      <c r="S250" s="21"/>
      <c r="T250" s="63"/>
      <c r="U250" s="94"/>
      <c r="V250" s="90"/>
      <c r="W250" s="91"/>
      <c r="X250" s="92"/>
    </row>
    <row r="251" spans="1:24">
      <c r="A251" s="614"/>
      <c r="B251" s="100" t="s">
        <v>67</v>
      </c>
      <c r="C251" s="609"/>
      <c r="D251" s="10"/>
      <c r="E251" s="10"/>
      <c r="F251" s="88"/>
      <c r="G251" s="62"/>
      <c r="H251" s="88"/>
      <c r="I251" s="99"/>
      <c r="J251" s="63"/>
      <c r="K251" s="2"/>
      <c r="L251" s="2"/>
      <c r="M251" s="2"/>
      <c r="N251" s="2"/>
      <c r="O251" s="2"/>
      <c r="P251" s="2"/>
      <c r="Q251" s="2"/>
      <c r="R251" s="2"/>
      <c r="S251" s="2"/>
      <c r="T251" s="63"/>
      <c r="U251" s="94"/>
      <c r="V251" s="90"/>
      <c r="W251" s="91"/>
      <c r="X251" s="92"/>
    </row>
    <row r="252" spans="1:24">
      <c r="A252" s="494" t="s">
        <v>2756</v>
      </c>
      <c r="B252" s="87">
        <v>1</v>
      </c>
      <c r="C252" s="641">
        <v>45940</v>
      </c>
      <c r="D252" s="263">
        <v>74243</v>
      </c>
      <c r="E252" s="271" t="s">
        <v>172</v>
      </c>
      <c r="F252" s="265">
        <v>1049</v>
      </c>
      <c r="G252" s="265">
        <f>39.7</f>
        <v>39.700000000000003</v>
      </c>
      <c r="H252" s="265"/>
      <c r="I252" s="266">
        <f>F252-G252-H252</f>
        <v>1009.3</v>
      </c>
      <c r="J252" s="267" t="s">
        <v>156</v>
      </c>
      <c r="K252" s="267">
        <v>1</v>
      </c>
      <c r="L252" s="267">
        <v>1</v>
      </c>
      <c r="M252" s="314">
        <v>0</v>
      </c>
      <c r="N252" s="267">
        <v>1</v>
      </c>
      <c r="O252" s="267">
        <v>1</v>
      </c>
      <c r="P252" s="267">
        <v>1</v>
      </c>
      <c r="Q252" s="314">
        <v>0</v>
      </c>
      <c r="R252" s="314">
        <v>0</v>
      </c>
      <c r="S252" s="366">
        <v>0</v>
      </c>
      <c r="T252" s="63"/>
      <c r="U252" s="94" t="s">
        <v>2758</v>
      </c>
      <c r="V252" s="90">
        <f>1038.9</f>
        <v>1038.9000000000001</v>
      </c>
      <c r="W252" s="136"/>
      <c r="X252" s="137"/>
    </row>
    <row r="253" spans="1:24">
      <c r="A253" s="614"/>
      <c r="B253" s="11"/>
      <c r="C253" s="609"/>
      <c r="D253" s="10"/>
      <c r="E253" s="10"/>
      <c r="F253" s="97">
        <f>SUM(F252:F252)</f>
        <v>1049</v>
      </c>
      <c r="G253" s="97">
        <f>SUM(G252:G252)</f>
        <v>39.700000000000003</v>
      </c>
      <c r="H253" s="97">
        <f>SUM(H252:H252)</f>
        <v>0</v>
      </c>
      <c r="I253" s="98">
        <f>SUM(I252:I252)</f>
        <v>1009.3</v>
      </c>
      <c r="J253" s="63"/>
      <c r="K253" s="21"/>
      <c r="L253" s="21"/>
      <c r="M253" s="21"/>
      <c r="N253" s="21"/>
      <c r="O253" s="21"/>
      <c r="P253" s="21"/>
      <c r="Q253" s="21"/>
      <c r="R253" s="21"/>
      <c r="S253" s="21"/>
      <c r="T253" s="63"/>
      <c r="U253" s="94"/>
      <c r="V253" s="90"/>
      <c r="W253" s="91"/>
      <c r="X253" s="92"/>
    </row>
    <row r="254" spans="1:24">
      <c r="A254" s="614"/>
      <c r="B254" s="11"/>
      <c r="C254" s="609"/>
      <c r="D254" s="10"/>
      <c r="E254" s="10"/>
      <c r="F254" s="88"/>
      <c r="G254" s="88"/>
      <c r="H254" s="88"/>
      <c r="I254" s="99"/>
      <c r="J254" s="63"/>
      <c r="K254" s="21"/>
      <c r="L254" s="21"/>
      <c r="M254" s="21"/>
      <c r="N254" s="21"/>
      <c r="O254" s="21"/>
      <c r="P254" s="21"/>
      <c r="Q254" s="21"/>
      <c r="R254" s="21"/>
      <c r="S254" s="21"/>
      <c r="T254" s="63"/>
      <c r="U254" s="94"/>
      <c r="V254" s="90"/>
      <c r="W254" s="91"/>
      <c r="X254" s="92"/>
    </row>
    <row r="255" spans="1:24">
      <c r="A255" s="615"/>
      <c r="B255" s="121" t="s">
        <v>68</v>
      </c>
      <c r="C255" s="611"/>
      <c r="D255" s="123"/>
      <c r="E255" s="123"/>
      <c r="F255" s="124"/>
      <c r="G255" s="125"/>
      <c r="H255" s="124"/>
      <c r="I255" s="126"/>
      <c r="J255" s="127"/>
      <c r="K255" s="128"/>
      <c r="L255" s="128"/>
      <c r="M255" s="128"/>
      <c r="N255" s="128"/>
      <c r="O255" s="128"/>
      <c r="P255" s="128"/>
      <c r="Q255" s="128"/>
      <c r="R255" s="128"/>
      <c r="S255" s="128"/>
      <c r="T255" s="127"/>
      <c r="U255" s="123"/>
      <c r="V255" s="129"/>
      <c r="W255" s="130"/>
      <c r="X255" s="131"/>
    </row>
    <row r="256" spans="1:24" s="381" customFormat="1">
      <c r="A256" s="493" t="s">
        <v>249</v>
      </c>
      <c r="B256" s="372">
        <v>1</v>
      </c>
      <c r="C256" s="693">
        <v>45943</v>
      </c>
      <c r="D256" s="391">
        <v>74354</v>
      </c>
      <c r="E256" s="391" t="s">
        <v>563</v>
      </c>
      <c r="F256" s="375">
        <v>1138</v>
      </c>
      <c r="G256" s="375">
        <f>39.7</f>
        <v>39.700000000000003</v>
      </c>
      <c r="H256" s="375"/>
      <c r="I256" s="376">
        <f>F256-G256-H256</f>
        <v>1098.3</v>
      </c>
      <c r="J256" s="314" t="s">
        <v>374</v>
      </c>
      <c r="K256" s="314">
        <v>1</v>
      </c>
      <c r="L256" s="314">
        <v>1</v>
      </c>
      <c r="M256" s="314">
        <v>0</v>
      </c>
      <c r="N256" s="314">
        <v>1</v>
      </c>
      <c r="O256" s="314">
        <v>1</v>
      </c>
      <c r="P256" s="314">
        <v>1</v>
      </c>
      <c r="Q256" s="314">
        <v>1</v>
      </c>
      <c r="R256" s="314">
        <v>0</v>
      </c>
      <c r="S256" s="366">
        <v>0</v>
      </c>
      <c r="T256" s="325"/>
      <c r="U256" s="42" t="s">
        <v>2770</v>
      </c>
      <c r="V256" s="377">
        <f>750</f>
        <v>750</v>
      </c>
      <c r="W256" s="378"/>
      <c r="X256" s="393"/>
    </row>
    <row r="257" spans="1:24">
      <c r="A257" s="615"/>
      <c r="B257" s="132"/>
      <c r="C257" s="621"/>
      <c r="D257" s="123"/>
      <c r="E257" s="123"/>
      <c r="F257" s="133">
        <f>SUM(F256:F256)</f>
        <v>1138</v>
      </c>
      <c r="G257" s="133">
        <f>SUM(G256:G256)</f>
        <v>39.700000000000003</v>
      </c>
      <c r="H257" s="133">
        <f>SUM(H256:H256)</f>
        <v>0</v>
      </c>
      <c r="I257" s="134">
        <f>SUM(I256:I256)</f>
        <v>1098.3</v>
      </c>
      <c r="J257" s="127"/>
      <c r="K257" s="64"/>
      <c r="L257" s="64"/>
      <c r="M257" s="64"/>
      <c r="N257" s="64"/>
      <c r="O257" s="64"/>
      <c r="P257" s="64"/>
      <c r="Q257" s="64"/>
      <c r="R257" s="64"/>
      <c r="S257" s="64"/>
      <c r="T257" s="127"/>
      <c r="U257" s="123"/>
      <c r="V257" s="129"/>
      <c r="W257" s="130"/>
      <c r="X257" s="131"/>
    </row>
    <row r="258" spans="1:24">
      <c r="A258" s="614"/>
      <c r="B258" s="11"/>
      <c r="C258" s="621"/>
      <c r="D258" s="10"/>
      <c r="E258" s="10"/>
      <c r="F258" s="88"/>
      <c r="G258" s="88"/>
      <c r="H258" s="88"/>
      <c r="I258" s="99"/>
      <c r="J258" s="63"/>
      <c r="K258" s="21"/>
      <c r="L258" s="21"/>
      <c r="M258" s="21"/>
      <c r="N258" s="21"/>
      <c r="O258" s="21"/>
      <c r="P258" s="21"/>
      <c r="Q258" s="21"/>
      <c r="R258" s="21"/>
      <c r="S258" s="21"/>
      <c r="T258" s="63"/>
      <c r="U258" s="94"/>
      <c r="V258" s="90"/>
      <c r="W258" s="91"/>
      <c r="X258" s="92"/>
    </row>
    <row r="259" spans="1:24">
      <c r="A259" s="615"/>
      <c r="B259" s="121" t="s">
        <v>70</v>
      </c>
      <c r="C259" s="621"/>
      <c r="D259" s="123"/>
      <c r="E259" s="128"/>
      <c r="F259" s="124"/>
      <c r="G259" s="124"/>
      <c r="H259" s="124"/>
      <c r="I259" s="126"/>
      <c r="J259" s="127"/>
      <c r="K259" s="64"/>
      <c r="L259" s="64"/>
      <c r="M259" s="64"/>
      <c r="N259" s="64"/>
      <c r="O259" s="64"/>
      <c r="P259" s="64"/>
      <c r="Q259" s="64"/>
      <c r="R259" s="64"/>
      <c r="S259" s="64"/>
      <c r="T259" s="127"/>
      <c r="U259" s="135"/>
      <c r="V259" s="129"/>
      <c r="W259" s="130"/>
      <c r="X259" s="131"/>
    </row>
    <row r="260" spans="1:24" s="342" customFormat="1">
      <c r="A260" s="494">
        <v>0.05</v>
      </c>
      <c r="B260" s="333">
        <v>1</v>
      </c>
      <c r="C260" s="653">
        <v>45947</v>
      </c>
      <c r="D260" s="335" t="s">
        <v>2771</v>
      </c>
      <c r="E260" s="335" t="s">
        <v>456</v>
      </c>
      <c r="F260" s="336">
        <v>4871.6000000000004</v>
      </c>
      <c r="G260" s="336">
        <f>39.7+2500</f>
        <v>2539.6999999999998</v>
      </c>
      <c r="H260" s="336"/>
      <c r="I260" s="337">
        <f>F260-G260-H260</f>
        <v>2331.9000000000005</v>
      </c>
      <c r="J260" s="338" t="s">
        <v>156</v>
      </c>
      <c r="K260" s="338">
        <v>1</v>
      </c>
      <c r="L260" s="338"/>
      <c r="M260" s="322">
        <v>0</v>
      </c>
      <c r="N260" s="338">
        <v>1</v>
      </c>
      <c r="O260" s="338">
        <v>1</v>
      </c>
      <c r="P260" s="338">
        <v>1</v>
      </c>
      <c r="Q260" s="338"/>
      <c r="R260" s="338"/>
      <c r="S260" s="339"/>
      <c r="T260" s="127"/>
      <c r="U260" s="135" t="s">
        <v>2772</v>
      </c>
      <c r="V260" s="129">
        <f>140+534</f>
        <v>674</v>
      </c>
      <c r="W260" s="340"/>
      <c r="X260" s="341"/>
    </row>
    <row r="261" spans="1:24" s="342" customFormat="1">
      <c r="A261" s="494">
        <v>0.05</v>
      </c>
      <c r="B261" s="333">
        <f>B260+1</f>
        <v>2</v>
      </c>
      <c r="C261" s="655">
        <v>45947</v>
      </c>
      <c r="D261" s="396">
        <v>74524</v>
      </c>
      <c r="E261" s="396" t="s">
        <v>155</v>
      </c>
      <c r="F261" s="397">
        <v>861</v>
      </c>
      <c r="G261" s="397">
        <f>39.7</f>
        <v>39.700000000000003</v>
      </c>
      <c r="H261" s="397"/>
      <c r="I261" s="398">
        <f>F261-G261-H261</f>
        <v>821.3</v>
      </c>
      <c r="J261" s="399" t="s">
        <v>156</v>
      </c>
      <c r="K261" s="399">
        <v>1</v>
      </c>
      <c r="L261" s="399"/>
      <c r="M261" s="332">
        <v>0</v>
      </c>
      <c r="N261" s="399">
        <v>1</v>
      </c>
      <c r="O261" s="399">
        <v>1</v>
      </c>
      <c r="P261" s="399">
        <v>1</v>
      </c>
      <c r="Q261" s="399"/>
      <c r="R261" s="399"/>
      <c r="S261" s="400"/>
      <c r="T261" s="127"/>
      <c r="U261" s="123" t="s">
        <v>2773</v>
      </c>
      <c r="V261" s="129">
        <f>94.7</f>
        <v>94.7</v>
      </c>
      <c r="W261" s="340"/>
      <c r="X261" s="341"/>
    </row>
    <row r="262" spans="1:24">
      <c r="A262" s="615"/>
      <c r="B262" s="132"/>
      <c r="C262" s="621"/>
      <c r="D262" s="123"/>
      <c r="E262" s="123"/>
      <c r="F262" s="134">
        <f>SUM(F260:F261)</f>
        <v>5732.6</v>
      </c>
      <c r="G262" s="134">
        <f>SUM(G260:G261)</f>
        <v>2579.3999999999996</v>
      </c>
      <c r="H262" s="134">
        <f>SUM(H260:H261)</f>
        <v>0</v>
      </c>
      <c r="I262" s="134">
        <f>SUM(I260:I261)</f>
        <v>3153.2000000000007</v>
      </c>
      <c r="J262" s="127"/>
      <c r="K262" s="64"/>
      <c r="L262" s="64"/>
      <c r="M262" s="64"/>
      <c r="N262" s="64"/>
      <c r="O262" s="64"/>
      <c r="P262" s="64"/>
      <c r="Q262" s="64"/>
      <c r="R262" s="64"/>
      <c r="S262" s="64"/>
      <c r="T262" s="127"/>
      <c r="U262" s="135"/>
      <c r="V262" s="129"/>
      <c r="W262" s="130"/>
      <c r="X262" s="131"/>
    </row>
    <row r="263" spans="1:24">
      <c r="A263" s="614"/>
      <c r="B263" s="11"/>
      <c r="C263" s="609"/>
      <c r="D263" s="10"/>
      <c r="E263" s="10"/>
      <c r="F263" s="88"/>
      <c r="G263" s="88"/>
      <c r="H263" s="88"/>
      <c r="I263" s="99"/>
      <c r="J263" s="63"/>
      <c r="K263" s="21"/>
      <c r="L263" s="21"/>
      <c r="M263" s="21"/>
      <c r="N263" s="21"/>
      <c r="O263" s="21"/>
      <c r="P263" s="21"/>
      <c r="Q263" s="21"/>
      <c r="R263" s="21"/>
      <c r="S263" s="21"/>
      <c r="T263" s="63"/>
      <c r="U263" s="94"/>
      <c r="V263" s="90"/>
      <c r="W263" s="91"/>
      <c r="X263" s="92"/>
    </row>
    <row r="264" spans="1:24" s="260" customFormat="1">
      <c r="B264" s="100" t="s">
        <v>152</v>
      </c>
      <c r="C264" s="609"/>
      <c r="D264" s="10"/>
      <c r="E264" s="10"/>
      <c r="F264" s="88"/>
      <c r="G264" s="62"/>
      <c r="H264" s="88"/>
      <c r="I264" s="99"/>
      <c r="J264" s="63"/>
      <c r="K264" s="181"/>
      <c r="L264" s="181"/>
      <c r="M264" s="181"/>
      <c r="N264" s="181"/>
      <c r="O264" s="181"/>
      <c r="P264" s="181"/>
      <c r="Q264" s="181"/>
      <c r="R264" s="181"/>
      <c r="S264" s="181"/>
      <c r="T264" s="63"/>
      <c r="U264" s="10"/>
      <c r="V264" s="90"/>
      <c r="W264" s="91"/>
      <c r="X264" s="92"/>
    </row>
    <row r="265" spans="1:24" s="260" customFormat="1">
      <c r="A265" s="494">
        <v>0.05</v>
      </c>
      <c r="B265" s="87">
        <v>1</v>
      </c>
      <c r="C265" s="641">
        <v>45939</v>
      </c>
      <c r="D265" s="263">
        <v>74206</v>
      </c>
      <c r="E265" s="264" t="s">
        <v>497</v>
      </c>
      <c r="F265" s="265">
        <v>2287.6</v>
      </c>
      <c r="G265" s="265">
        <f>39.7+(187.33)+200</f>
        <v>427.03000000000003</v>
      </c>
      <c r="H265" s="265"/>
      <c r="I265" s="266">
        <f t="shared" ref="I265" si="41">F265-G265-H265</f>
        <v>1860.57</v>
      </c>
      <c r="J265" s="267" t="s">
        <v>156</v>
      </c>
      <c r="K265" s="267">
        <v>1</v>
      </c>
      <c r="L265" s="267">
        <v>1</v>
      </c>
      <c r="M265" s="267">
        <v>1</v>
      </c>
      <c r="N265" s="267">
        <v>1</v>
      </c>
      <c r="O265" s="267">
        <v>1</v>
      </c>
      <c r="P265" s="267">
        <v>1</v>
      </c>
      <c r="Q265" s="267">
        <v>1</v>
      </c>
      <c r="R265" s="267">
        <v>1</v>
      </c>
      <c r="S265" s="366">
        <v>0</v>
      </c>
      <c r="T265" s="63"/>
      <c r="U265" s="10"/>
      <c r="V265" s="90"/>
      <c r="W265" s="91"/>
      <c r="X265" s="92"/>
    </row>
    <row r="266" spans="1:24" s="260" customFormat="1">
      <c r="B266" s="11"/>
      <c r="C266" s="621"/>
      <c r="D266" s="10"/>
      <c r="E266" s="10"/>
      <c r="F266" s="98">
        <f>SUM(F265:F265)</f>
        <v>2287.6</v>
      </c>
      <c r="G266" s="98">
        <f>SUM(G265:G265)</f>
        <v>427.03000000000003</v>
      </c>
      <c r="H266" s="98">
        <f>SUM(H265:H265)</f>
        <v>0</v>
      </c>
      <c r="I266" s="98">
        <f>SUM(I265:I265)</f>
        <v>1860.57</v>
      </c>
      <c r="J266" s="63"/>
      <c r="K266" s="21"/>
      <c r="L266" s="21"/>
      <c r="M266" s="21"/>
      <c r="N266" s="21"/>
      <c r="O266" s="21"/>
      <c r="P266" s="21"/>
      <c r="Q266" s="21"/>
      <c r="R266" s="21"/>
      <c r="S266" s="21"/>
      <c r="T266" s="63"/>
      <c r="U266" s="10"/>
      <c r="V266" s="90"/>
      <c r="W266" s="91"/>
      <c r="X266" s="92"/>
    </row>
    <row r="267" spans="1:24" s="260" customFormat="1">
      <c r="B267" s="11"/>
      <c r="C267" s="621"/>
      <c r="D267" s="10"/>
      <c r="E267" s="10"/>
      <c r="F267" s="88"/>
      <c r="G267" s="88"/>
      <c r="H267" s="88"/>
      <c r="I267" s="99"/>
      <c r="J267" s="63"/>
      <c r="K267" s="21"/>
      <c r="L267" s="21"/>
      <c r="M267" s="21"/>
      <c r="N267" s="21"/>
      <c r="O267" s="21"/>
      <c r="P267" s="21"/>
      <c r="Q267" s="21"/>
      <c r="R267" s="21"/>
      <c r="S267" s="21"/>
      <c r="T267" s="63"/>
      <c r="U267" s="10"/>
      <c r="V267" s="90"/>
      <c r="W267" s="91"/>
      <c r="X267" s="92"/>
    </row>
    <row r="268" spans="1:24" s="260" customFormat="1">
      <c r="B268" s="11"/>
      <c r="C268" s="621"/>
      <c r="D268" s="10"/>
      <c r="E268" s="10"/>
      <c r="F268" s="88"/>
      <c r="G268" s="88"/>
      <c r="H268" s="88"/>
      <c r="I268" s="99"/>
      <c r="J268" s="63"/>
      <c r="K268" s="21"/>
      <c r="L268" s="21"/>
      <c r="M268" s="21"/>
      <c r="N268" s="21"/>
      <c r="O268" s="21"/>
      <c r="P268" s="21"/>
      <c r="Q268" s="21"/>
      <c r="R268" s="21"/>
      <c r="S268" s="21"/>
      <c r="T268" s="63"/>
      <c r="U268" s="94"/>
      <c r="V268" s="90"/>
      <c r="W268" s="91"/>
      <c r="X268" s="92"/>
    </row>
    <row r="269" spans="1:24">
      <c r="A269" s="614"/>
      <c r="B269" s="100" t="s">
        <v>72</v>
      </c>
      <c r="C269" s="609"/>
      <c r="D269" s="10"/>
      <c r="E269" s="10"/>
      <c r="F269" s="88"/>
      <c r="G269" s="88"/>
      <c r="H269" s="88"/>
      <c r="I269" s="99"/>
      <c r="J269" s="63"/>
      <c r="K269" s="63"/>
      <c r="L269" s="63"/>
      <c r="M269" s="63"/>
      <c r="N269" s="63"/>
      <c r="O269" s="63"/>
      <c r="P269" s="63"/>
      <c r="Q269" s="63"/>
      <c r="R269" s="63"/>
      <c r="S269" s="63"/>
      <c r="T269" s="63"/>
      <c r="U269" s="10"/>
      <c r="V269" s="90"/>
      <c r="W269" s="91"/>
      <c r="X269" s="92"/>
    </row>
    <row r="270" spans="1:24">
      <c r="A270" s="614"/>
      <c r="B270" s="87">
        <v>1</v>
      </c>
      <c r="C270" s="638">
        <v>45943</v>
      </c>
      <c r="D270" s="275">
        <v>74232</v>
      </c>
      <c r="E270" s="276" t="s">
        <v>302</v>
      </c>
      <c r="F270" s="277">
        <v>861</v>
      </c>
      <c r="G270" s="277">
        <v>39.700000000000003</v>
      </c>
      <c r="H270" s="277"/>
      <c r="I270" s="278">
        <f>F270-G270-H270</f>
        <v>821.3</v>
      </c>
      <c r="J270" s="279" t="s">
        <v>205</v>
      </c>
      <c r="K270" s="279">
        <v>1</v>
      </c>
      <c r="L270" s="279"/>
      <c r="M270" s="279"/>
      <c r="N270" s="279">
        <v>1</v>
      </c>
      <c r="O270" s="279"/>
      <c r="P270" s="279"/>
      <c r="Q270" s="279">
        <v>1</v>
      </c>
      <c r="R270" s="279">
        <v>1</v>
      </c>
      <c r="S270" s="280"/>
      <c r="T270" s="63"/>
      <c r="U270" s="3"/>
      <c r="V270" s="90"/>
      <c r="W270" s="91"/>
      <c r="X270" s="92"/>
    </row>
    <row r="271" spans="1:24">
      <c r="A271" s="614"/>
      <c r="B271" s="87">
        <f>B270+1</f>
        <v>2</v>
      </c>
      <c r="C271" s="639">
        <v>45943</v>
      </c>
      <c r="D271" s="77">
        <v>74351</v>
      </c>
      <c r="E271" s="10" t="s">
        <v>292</v>
      </c>
      <c r="F271" s="62">
        <v>2261</v>
      </c>
      <c r="G271" s="62">
        <v>39.700000000000003</v>
      </c>
      <c r="H271" s="62"/>
      <c r="I271" s="89">
        <f>F271-G271-H271</f>
        <v>2221.3000000000002</v>
      </c>
      <c r="J271" s="63" t="s">
        <v>205</v>
      </c>
      <c r="K271" s="63">
        <v>1</v>
      </c>
      <c r="L271" s="63"/>
      <c r="M271" s="63"/>
      <c r="N271" s="63">
        <v>1</v>
      </c>
      <c r="O271" s="63"/>
      <c r="P271" s="63"/>
      <c r="Q271" s="63">
        <v>1</v>
      </c>
      <c r="R271" s="63">
        <v>1</v>
      </c>
      <c r="S271" s="296"/>
      <c r="T271" s="63"/>
      <c r="U271" s="10"/>
      <c r="V271" s="90"/>
      <c r="W271" s="136"/>
      <c r="X271" s="137"/>
    </row>
    <row r="272" spans="1:24">
      <c r="A272" s="614"/>
      <c r="B272" s="87">
        <f>B271+1</f>
        <v>3</v>
      </c>
      <c r="C272" s="639">
        <v>45943</v>
      </c>
      <c r="D272" s="77">
        <v>74371</v>
      </c>
      <c r="E272" s="10" t="s">
        <v>327</v>
      </c>
      <c r="F272" s="62">
        <v>539</v>
      </c>
      <c r="G272" s="62">
        <v>39.700000000000003</v>
      </c>
      <c r="H272" s="62"/>
      <c r="I272" s="89">
        <f>F272-G272-H272</f>
        <v>499.3</v>
      </c>
      <c r="J272" s="63" t="s">
        <v>205</v>
      </c>
      <c r="K272" s="63">
        <v>1</v>
      </c>
      <c r="L272" s="63"/>
      <c r="M272" s="63"/>
      <c r="N272" s="63">
        <v>1</v>
      </c>
      <c r="O272" s="63"/>
      <c r="P272" s="63"/>
      <c r="Q272" s="63">
        <v>1</v>
      </c>
      <c r="R272" s="63">
        <v>1</v>
      </c>
      <c r="S272" s="296"/>
      <c r="T272" s="63"/>
      <c r="U272" s="10"/>
      <c r="V272" s="90"/>
      <c r="W272" s="136"/>
      <c r="X272" s="137"/>
    </row>
    <row r="273" spans="1:24">
      <c r="A273" s="614"/>
      <c r="B273" s="87">
        <f>B272+1</f>
        <v>4</v>
      </c>
      <c r="C273" s="639">
        <v>45943</v>
      </c>
      <c r="D273" s="77">
        <v>74319</v>
      </c>
      <c r="E273" s="10" t="s">
        <v>653</v>
      </c>
      <c r="F273" s="62">
        <v>0</v>
      </c>
      <c r="G273" s="62">
        <v>0</v>
      </c>
      <c r="H273" s="62"/>
      <c r="I273" s="89">
        <f>F273-G273-H273</f>
        <v>0</v>
      </c>
      <c r="J273" s="63" t="s">
        <v>205</v>
      </c>
      <c r="K273" s="63"/>
      <c r="L273" s="63"/>
      <c r="M273" s="63"/>
      <c r="N273" s="63"/>
      <c r="O273" s="63"/>
      <c r="P273" s="63"/>
      <c r="Q273" s="63"/>
      <c r="R273" s="63"/>
      <c r="S273" s="296"/>
      <c r="T273" s="63"/>
      <c r="U273" s="10"/>
      <c r="V273" s="90"/>
      <c r="W273" s="136"/>
      <c r="X273" s="137"/>
    </row>
    <row r="274" spans="1:24">
      <c r="A274" s="614"/>
      <c r="B274" s="87">
        <f>B273+1</f>
        <v>5</v>
      </c>
      <c r="C274" s="638">
        <v>45944</v>
      </c>
      <c r="D274" s="275">
        <v>74401</v>
      </c>
      <c r="E274" s="276" t="s">
        <v>377</v>
      </c>
      <c r="F274" s="277">
        <v>2861</v>
      </c>
      <c r="G274" s="277"/>
      <c r="H274" s="277"/>
      <c r="I274" s="278">
        <f>F274-G274-H274</f>
        <v>2861</v>
      </c>
      <c r="J274" s="279" t="s">
        <v>205</v>
      </c>
      <c r="K274" s="279">
        <v>1</v>
      </c>
      <c r="L274" s="279"/>
      <c r="M274" s="279"/>
      <c r="N274" s="279">
        <v>1</v>
      </c>
      <c r="O274" s="279"/>
      <c r="P274" s="279"/>
      <c r="Q274" s="279">
        <v>1</v>
      </c>
      <c r="R274" s="279">
        <v>1</v>
      </c>
      <c r="S274" s="280"/>
      <c r="T274" s="63"/>
      <c r="U274" s="10"/>
      <c r="V274" s="90"/>
      <c r="W274" s="136"/>
      <c r="X274" s="137"/>
    </row>
    <row r="275" spans="1:24">
      <c r="A275" s="614"/>
      <c r="B275" s="87">
        <f>B274+1</f>
        <v>6</v>
      </c>
      <c r="C275" s="639">
        <v>45944</v>
      </c>
      <c r="D275" s="10" t="s">
        <v>2774</v>
      </c>
      <c r="E275" s="10" t="s">
        <v>203</v>
      </c>
      <c r="F275" s="62">
        <v>8214</v>
      </c>
      <c r="G275" s="62">
        <v>39.700000000000003</v>
      </c>
      <c r="H275" s="62"/>
      <c r="I275" s="89">
        <f>F275-G275-H275</f>
        <v>8174.3</v>
      </c>
      <c r="J275" s="63" t="s">
        <v>205</v>
      </c>
      <c r="K275" s="63">
        <v>1</v>
      </c>
      <c r="L275" s="63"/>
      <c r="M275" s="63"/>
      <c r="N275" s="63">
        <v>1</v>
      </c>
      <c r="O275" s="63"/>
      <c r="P275" s="63"/>
      <c r="Q275" s="63"/>
      <c r="R275" s="63"/>
      <c r="S275" s="296"/>
      <c r="T275" s="63"/>
      <c r="U275" s="10"/>
      <c r="V275" s="90"/>
      <c r="W275" s="136"/>
      <c r="X275" s="137"/>
    </row>
    <row r="276" spans="1:24">
      <c r="A276" s="614"/>
      <c r="B276" s="87">
        <f>B275+1</f>
        <v>7</v>
      </c>
      <c r="C276" s="639">
        <v>45944</v>
      </c>
      <c r="D276" s="77" t="s">
        <v>2775</v>
      </c>
      <c r="E276" s="101" t="s">
        <v>377</v>
      </c>
      <c r="F276" s="62">
        <v>1049</v>
      </c>
      <c r="G276" s="62">
        <f>39.7</f>
        <v>39.700000000000003</v>
      </c>
      <c r="H276" s="62"/>
      <c r="I276" s="89">
        <f>F276-G276-H276</f>
        <v>1009.3</v>
      </c>
      <c r="J276" s="63" t="s">
        <v>205</v>
      </c>
      <c r="K276" s="63">
        <v>1</v>
      </c>
      <c r="L276" s="63"/>
      <c r="M276" s="63"/>
      <c r="N276" s="63">
        <v>1</v>
      </c>
      <c r="O276" s="63"/>
      <c r="P276" s="63"/>
      <c r="Q276" s="63">
        <v>1</v>
      </c>
      <c r="R276" s="63">
        <v>1</v>
      </c>
      <c r="S276" s="296"/>
      <c r="T276" s="63"/>
      <c r="U276" s="10"/>
      <c r="V276" s="90"/>
      <c r="W276" s="136"/>
      <c r="X276" s="137"/>
    </row>
    <row r="277" spans="1:24">
      <c r="A277" s="614"/>
      <c r="B277" s="87">
        <f>B276+1</f>
        <v>8</v>
      </c>
      <c r="C277" s="639">
        <v>45944</v>
      </c>
      <c r="D277" s="77" t="s">
        <v>2776</v>
      </c>
      <c r="E277" s="101" t="s">
        <v>377</v>
      </c>
      <c r="F277" s="62">
        <v>681</v>
      </c>
      <c r="G277" s="62"/>
      <c r="H277" s="62"/>
      <c r="I277" s="89">
        <f>F277-G277-H277</f>
        <v>681</v>
      </c>
      <c r="J277" s="63" t="s">
        <v>205</v>
      </c>
      <c r="K277" s="63">
        <v>1</v>
      </c>
      <c r="L277" s="63"/>
      <c r="M277" s="63"/>
      <c r="N277" s="63">
        <v>1</v>
      </c>
      <c r="O277" s="63"/>
      <c r="P277" s="63"/>
      <c r="Q277" s="63">
        <v>1</v>
      </c>
      <c r="R277" s="63">
        <v>1</v>
      </c>
      <c r="S277" s="296"/>
      <c r="T277" s="63"/>
      <c r="U277" s="10"/>
      <c r="V277" s="90"/>
      <c r="W277" s="136"/>
      <c r="X277" s="137"/>
    </row>
    <row r="278" spans="1:24">
      <c r="A278" s="614"/>
      <c r="B278" s="87">
        <f>B277+1</f>
        <v>9</v>
      </c>
      <c r="C278" s="639">
        <v>45944</v>
      </c>
      <c r="D278" s="77">
        <v>74460</v>
      </c>
      <c r="E278" s="101" t="s">
        <v>172</v>
      </c>
      <c r="F278" s="62">
        <v>0</v>
      </c>
      <c r="G278" s="62">
        <v>0</v>
      </c>
      <c r="H278" s="62"/>
      <c r="I278" s="89">
        <f>F278-G278-H278</f>
        <v>0</v>
      </c>
      <c r="J278" s="63" t="s">
        <v>156</v>
      </c>
      <c r="K278" s="63"/>
      <c r="L278" s="63"/>
      <c r="M278" s="63">
        <v>1</v>
      </c>
      <c r="N278" s="63"/>
      <c r="O278" s="63"/>
      <c r="P278" s="63"/>
      <c r="Q278" s="63"/>
      <c r="R278" s="63"/>
      <c r="S278" s="296"/>
      <c r="T278" s="63"/>
      <c r="U278" s="10" t="s">
        <v>2777</v>
      </c>
      <c r="V278" s="90">
        <v>203.5</v>
      </c>
      <c r="W278" s="136"/>
      <c r="X278" s="137"/>
    </row>
    <row r="279" spans="1:24">
      <c r="A279" s="614"/>
      <c r="B279" s="87">
        <f>B278+1</f>
        <v>10</v>
      </c>
      <c r="C279" s="639">
        <v>45944</v>
      </c>
      <c r="D279" s="539" t="s">
        <v>2778</v>
      </c>
      <c r="E279" s="10" t="s">
        <v>271</v>
      </c>
      <c r="F279" s="62">
        <v>5814</v>
      </c>
      <c r="G279" s="62">
        <v>39.700000000000003</v>
      </c>
      <c r="H279" s="62"/>
      <c r="I279" s="89">
        <f>F279-G279-H279</f>
        <v>5774.3</v>
      </c>
      <c r="J279" s="63" t="s">
        <v>205</v>
      </c>
      <c r="K279" s="63">
        <v>1</v>
      </c>
      <c r="L279" s="63"/>
      <c r="M279" s="63"/>
      <c r="N279" s="63">
        <v>1</v>
      </c>
      <c r="O279" s="63"/>
      <c r="P279" s="63"/>
      <c r="Q279" s="63"/>
      <c r="R279" s="63"/>
      <c r="S279" s="296"/>
      <c r="T279" s="63"/>
      <c r="U279" s="10"/>
      <c r="V279" s="90"/>
      <c r="W279" s="136"/>
      <c r="X279" s="137"/>
    </row>
    <row r="280" spans="1:24">
      <c r="A280" s="614"/>
      <c r="B280" s="87">
        <f>B279+1</f>
        <v>11</v>
      </c>
      <c r="C280" s="639">
        <v>45944</v>
      </c>
      <c r="D280" s="539">
        <v>74403</v>
      </c>
      <c r="E280" s="10" t="s">
        <v>428</v>
      </c>
      <c r="F280" s="62">
        <v>681</v>
      </c>
      <c r="G280" s="62">
        <v>0</v>
      </c>
      <c r="H280" s="62"/>
      <c r="I280" s="89">
        <f>F280-G280-H280</f>
        <v>681</v>
      </c>
      <c r="J280" s="63" t="s">
        <v>205</v>
      </c>
      <c r="K280" s="63"/>
      <c r="L280" s="63"/>
      <c r="M280" s="63"/>
      <c r="N280" s="63">
        <v>1</v>
      </c>
      <c r="O280" s="63"/>
      <c r="P280" s="63"/>
      <c r="Q280" s="63"/>
      <c r="R280" s="63"/>
      <c r="S280" s="296"/>
      <c r="T280" s="63"/>
      <c r="U280" s="10"/>
      <c r="V280" s="90"/>
      <c r="W280" s="136"/>
      <c r="X280" s="137"/>
    </row>
    <row r="281" spans="1:24">
      <c r="A281" s="614"/>
      <c r="B281" s="87">
        <f>B280+1</f>
        <v>12</v>
      </c>
      <c r="C281" s="638">
        <v>45945</v>
      </c>
      <c r="D281" s="275">
        <v>74438</v>
      </c>
      <c r="E281" s="281" t="s">
        <v>294</v>
      </c>
      <c r="F281" s="277">
        <v>667.6</v>
      </c>
      <c r="G281" s="277"/>
      <c r="H281" s="277"/>
      <c r="I281" s="278">
        <f>F281-G281-H281</f>
        <v>667.6</v>
      </c>
      <c r="J281" s="279" t="s">
        <v>205</v>
      </c>
      <c r="K281" s="279">
        <v>1</v>
      </c>
      <c r="L281" s="279"/>
      <c r="M281" s="279"/>
      <c r="N281" s="279">
        <v>1</v>
      </c>
      <c r="O281" s="279"/>
      <c r="P281" s="279"/>
      <c r="Q281" s="279">
        <v>1</v>
      </c>
      <c r="R281" s="279">
        <v>1</v>
      </c>
      <c r="S281" s="280"/>
      <c r="T281" s="63"/>
      <c r="U281" s="10"/>
      <c r="V281" s="90"/>
      <c r="W281" s="136"/>
      <c r="X281" s="137"/>
    </row>
    <row r="282" spans="1:24">
      <c r="A282" s="614"/>
      <c r="B282" s="87">
        <f>B281+1</f>
        <v>13</v>
      </c>
      <c r="C282" s="639">
        <v>45945</v>
      </c>
      <c r="D282" s="77">
        <v>74467</v>
      </c>
      <c r="E282" s="101" t="s">
        <v>155</v>
      </c>
      <c r="F282" s="62">
        <v>681</v>
      </c>
      <c r="G282" s="62"/>
      <c r="H282" s="62"/>
      <c r="I282" s="89">
        <f>F282-G282-H282</f>
        <v>681</v>
      </c>
      <c r="J282" s="63" t="s">
        <v>205</v>
      </c>
      <c r="K282" s="63">
        <v>1</v>
      </c>
      <c r="L282" s="63"/>
      <c r="M282" s="63"/>
      <c r="N282" s="63">
        <v>1</v>
      </c>
      <c r="O282" s="63"/>
      <c r="P282" s="63"/>
      <c r="Q282" s="63">
        <v>1</v>
      </c>
      <c r="R282" s="63">
        <v>1</v>
      </c>
      <c r="S282" s="296"/>
      <c r="T282" s="63"/>
      <c r="U282" s="10"/>
      <c r="V282" s="90"/>
      <c r="W282" s="136"/>
      <c r="X282" s="137"/>
    </row>
    <row r="283" spans="1:24">
      <c r="A283" s="614"/>
      <c r="B283" s="87">
        <f>B282+1</f>
        <v>14</v>
      </c>
      <c r="C283" s="639">
        <v>45945</v>
      </c>
      <c r="D283" s="77" t="s">
        <v>2779</v>
      </c>
      <c r="E283" s="10" t="s">
        <v>979</v>
      </c>
      <c r="F283" s="62">
        <v>1094.2</v>
      </c>
      <c r="G283" s="62">
        <v>39.700000000000003</v>
      </c>
      <c r="H283" s="62"/>
      <c r="I283" s="89">
        <f>F283-G283-H283</f>
        <v>1054.5</v>
      </c>
      <c r="J283" s="63" t="s">
        <v>205</v>
      </c>
      <c r="K283" s="63">
        <v>1</v>
      </c>
      <c r="L283" s="63"/>
      <c r="M283" s="63"/>
      <c r="N283" s="63">
        <v>1</v>
      </c>
      <c r="O283" s="63"/>
      <c r="P283" s="63"/>
      <c r="Q283" s="63"/>
      <c r="R283" s="63"/>
      <c r="S283" s="296"/>
      <c r="T283" s="63"/>
      <c r="U283" s="10"/>
      <c r="V283" s="90"/>
      <c r="W283" s="136"/>
      <c r="X283" s="137"/>
    </row>
    <row r="284" spans="1:24">
      <c r="A284" s="614"/>
      <c r="B284" s="87">
        <f>B283+1</f>
        <v>15</v>
      </c>
      <c r="C284" s="639">
        <v>45945</v>
      </c>
      <c r="D284" s="77" t="s">
        <v>2780</v>
      </c>
      <c r="E284" s="10" t="s">
        <v>225</v>
      </c>
      <c r="F284" s="62">
        <v>14533</v>
      </c>
      <c r="G284" s="62">
        <v>39.700000000000003</v>
      </c>
      <c r="H284" s="62"/>
      <c r="I284" s="89">
        <f>F284-G284-H284</f>
        <v>14493.3</v>
      </c>
      <c r="J284" s="63" t="s">
        <v>205</v>
      </c>
      <c r="K284" s="63">
        <v>1</v>
      </c>
      <c r="L284" s="63"/>
      <c r="M284" s="63"/>
      <c r="N284" s="63">
        <v>1</v>
      </c>
      <c r="O284" s="63"/>
      <c r="P284" s="63"/>
      <c r="Q284" s="63"/>
      <c r="R284" s="63"/>
      <c r="S284" s="296"/>
      <c r="T284" s="63"/>
      <c r="U284" s="10"/>
      <c r="V284" s="90"/>
      <c r="W284" s="136"/>
      <c r="X284" s="137"/>
    </row>
    <row r="285" spans="1:24">
      <c r="A285" s="614"/>
      <c r="B285" s="87">
        <f>B284+1</f>
        <v>16</v>
      </c>
      <c r="C285" s="638">
        <v>45946</v>
      </c>
      <c r="D285" s="276">
        <v>74526</v>
      </c>
      <c r="E285" s="276" t="s">
        <v>426</v>
      </c>
      <c r="F285" s="277">
        <v>1281</v>
      </c>
      <c r="G285" s="277">
        <v>39.700000000000003</v>
      </c>
      <c r="H285" s="277"/>
      <c r="I285" s="278">
        <f>F285-G285-H285</f>
        <v>1241.3</v>
      </c>
      <c r="J285" s="279" t="s">
        <v>205</v>
      </c>
      <c r="K285" s="279">
        <v>1</v>
      </c>
      <c r="L285" s="279"/>
      <c r="M285" s="279"/>
      <c r="N285" s="279">
        <v>1</v>
      </c>
      <c r="O285" s="279"/>
      <c r="P285" s="279"/>
      <c r="Q285" s="279">
        <v>1</v>
      </c>
      <c r="R285" s="279">
        <v>1</v>
      </c>
      <c r="S285" s="280"/>
      <c r="T285" s="63"/>
      <c r="U285" s="10"/>
      <c r="V285" s="90"/>
      <c r="W285" s="136"/>
      <c r="X285" s="137"/>
    </row>
    <row r="286" spans="1:24">
      <c r="A286" s="614"/>
      <c r="B286" s="87">
        <f>B285+1</f>
        <v>17</v>
      </c>
      <c r="C286" s="639">
        <v>45946</v>
      </c>
      <c r="D286" s="10">
        <v>74530</v>
      </c>
      <c r="E286" s="10" t="s">
        <v>2139</v>
      </c>
      <c r="F286" s="62">
        <v>581</v>
      </c>
      <c r="G286" s="62"/>
      <c r="H286" s="62"/>
      <c r="I286" s="89">
        <f t="shared" ref="I286:I288" si="42">F286-G286-H286</f>
        <v>581</v>
      </c>
      <c r="J286" s="63" t="s">
        <v>205</v>
      </c>
      <c r="K286" s="63">
        <v>1</v>
      </c>
      <c r="L286" s="63"/>
      <c r="M286" s="63"/>
      <c r="N286" s="63">
        <v>1</v>
      </c>
      <c r="O286" s="63"/>
      <c r="P286" s="63"/>
      <c r="Q286" s="63">
        <v>1</v>
      </c>
      <c r="R286" s="63">
        <v>1</v>
      </c>
      <c r="S286" s="296"/>
      <c r="T286" s="63"/>
      <c r="U286" s="10"/>
      <c r="V286" s="90"/>
      <c r="W286" s="136"/>
      <c r="X286" s="137"/>
    </row>
    <row r="287" spans="1:24">
      <c r="A287" s="614"/>
      <c r="B287" s="87">
        <f>B286+1</f>
        <v>18</v>
      </c>
      <c r="C287" s="639">
        <v>45946</v>
      </c>
      <c r="D287" s="10" t="s">
        <v>2781</v>
      </c>
      <c r="E287" s="10" t="s">
        <v>444</v>
      </c>
      <c r="F287" s="62">
        <v>12814</v>
      </c>
      <c r="G287" s="62">
        <v>39.700000000000003</v>
      </c>
      <c r="H287" s="62"/>
      <c r="I287" s="89">
        <f t="shared" si="42"/>
        <v>12774.3</v>
      </c>
      <c r="J287" s="63" t="s">
        <v>205</v>
      </c>
      <c r="K287" s="63">
        <v>1</v>
      </c>
      <c r="L287" s="63"/>
      <c r="M287" s="63"/>
      <c r="N287" s="63">
        <v>1</v>
      </c>
      <c r="O287" s="63"/>
      <c r="P287" s="63"/>
      <c r="Q287" s="63"/>
      <c r="R287" s="63"/>
      <c r="S287" s="296"/>
      <c r="T287" s="63"/>
      <c r="U287" s="10"/>
      <c r="V287" s="90"/>
      <c r="W287" s="136"/>
      <c r="X287" s="137"/>
    </row>
    <row r="288" spans="1:24">
      <c r="A288" s="614"/>
      <c r="B288" s="87">
        <f>B287+1</f>
        <v>19</v>
      </c>
      <c r="C288" s="639">
        <v>45946</v>
      </c>
      <c r="D288" s="10">
        <v>74540</v>
      </c>
      <c r="E288" s="10" t="s">
        <v>213</v>
      </c>
      <c r="F288" s="62">
        <v>1362</v>
      </c>
      <c r="G288" s="62">
        <v>39.700000000000003</v>
      </c>
      <c r="H288" s="62"/>
      <c r="I288" s="89">
        <f t="shared" si="42"/>
        <v>1322.3</v>
      </c>
      <c r="J288" s="63" t="s">
        <v>205</v>
      </c>
      <c r="K288" s="63">
        <v>1</v>
      </c>
      <c r="L288" s="63"/>
      <c r="M288" s="63"/>
      <c r="N288" s="63">
        <v>1</v>
      </c>
      <c r="O288" s="63"/>
      <c r="P288" s="63"/>
      <c r="Q288" s="63">
        <v>1</v>
      </c>
      <c r="R288" s="63">
        <v>1</v>
      </c>
      <c r="S288" s="296">
        <v>1</v>
      </c>
      <c r="T288" s="63"/>
      <c r="U288" s="10"/>
      <c r="V288" s="90"/>
      <c r="W288" s="136"/>
      <c r="X288" s="137"/>
    </row>
    <row r="289" spans="1:25">
      <c r="A289" s="614"/>
      <c r="B289" s="87">
        <f>B288+1</f>
        <v>20</v>
      </c>
      <c r="C289" s="262">
        <v>45947</v>
      </c>
      <c r="D289" s="271" t="s">
        <v>2782</v>
      </c>
      <c r="E289" s="271" t="s">
        <v>210</v>
      </c>
      <c r="F289" s="265">
        <v>6214</v>
      </c>
      <c r="G289" s="265">
        <v>39.700000000000003</v>
      </c>
      <c r="H289" s="265"/>
      <c r="I289" s="272">
        <f>F289-G289-H289</f>
        <v>6174.3</v>
      </c>
      <c r="J289" s="267" t="s">
        <v>205</v>
      </c>
      <c r="K289" s="267">
        <v>1</v>
      </c>
      <c r="L289" s="267"/>
      <c r="M289" s="267"/>
      <c r="N289" s="267">
        <v>1</v>
      </c>
      <c r="O289" s="267"/>
      <c r="P289" s="267"/>
      <c r="Q289" s="267"/>
      <c r="R289" s="267"/>
      <c r="S289" s="269"/>
      <c r="T289" s="63"/>
      <c r="U289" s="10"/>
      <c r="V289" s="90"/>
      <c r="W289" s="136"/>
      <c r="X289" s="137"/>
    </row>
    <row r="290" spans="1:25">
      <c r="A290" s="614"/>
      <c r="B290" s="11"/>
      <c r="C290" s="621"/>
      <c r="D290" s="10"/>
      <c r="E290" s="10"/>
      <c r="F290" s="97">
        <f>SUM(F270:F289)</f>
        <v>62188.800000000003</v>
      </c>
      <c r="G290" s="97">
        <f>SUM(G270:G289)</f>
        <v>476.39999999999992</v>
      </c>
      <c r="H290" s="97">
        <f>SUM(H270:H289)</f>
        <v>0</v>
      </c>
      <c r="I290" s="98">
        <f>SUM(I270:I289)</f>
        <v>61712.400000000009</v>
      </c>
      <c r="J290" s="10"/>
      <c r="K290" s="10"/>
      <c r="L290" s="10"/>
      <c r="M290" s="10"/>
      <c r="N290" s="10"/>
      <c r="O290" s="10"/>
      <c r="P290" s="10"/>
      <c r="Q290" s="10"/>
      <c r="R290" s="10"/>
      <c r="S290" s="10"/>
      <c r="T290" s="63"/>
      <c r="U290" s="10"/>
      <c r="V290" s="138"/>
      <c r="W290" s="136"/>
      <c r="X290" s="137"/>
    </row>
    <row r="291" spans="1:25">
      <c r="A291" s="614"/>
      <c r="B291" s="26"/>
      <c r="C291" s="612"/>
      <c r="D291" s="141"/>
      <c r="E291" s="141"/>
      <c r="F291" s="141"/>
      <c r="G291" s="141"/>
      <c r="H291" s="141"/>
      <c r="I291" s="141"/>
      <c r="J291" s="141"/>
      <c r="K291" s="142"/>
      <c r="L291" s="142"/>
      <c r="M291" s="142"/>
      <c r="N291" s="142"/>
      <c r="O291" s="142"/>
      <c r="P291" s="142"/>
      <c r="Q291" s="142"/>
      <c r="R291" s="142"/>
      <c r="S291" s="142"/>
      <c r="T291" s="143">
        <f>SUM(T232:T290)</f>
        <v>2</v>
      </c>
      <c r="U291" s="141"/>
      <c r="V291" s="144">
        <f>SUM(V232:V290)</f>
        <v>20966.980000000003</v>
      </c>
      <c r="W291" s="144">
        <f t="shared" ref="W291:X291" si="43">SUM(W232:W290)</f>
        <v>0</v>
      </c>
      <c r="X291" s="144">
        <f t="shared" si="43"/>
        <v>0</v>
      </c>
    </row>
    <row r="294" spans="1:25">
      <c r="B294" s="4" t="s">
        <v>1</v>
      </c>
      <c r="C294" s="5"/>
      <c r="D294" s="6"/>
      <c r="E294" s="6"/>
      <c r="F294" s="7" t="s">
        <v>2</v>
      </c>
      <c r="G294" s="608">
        <v>45956</v>
      </c>
      <c r="H294" s="7"/>
      <c r="I294" s="6"/>
      <c r="J294" s="6"/>
      <c r="K294" s="6"/>
      <c r="L294" s="6"/>
      <c r="M294" s="6"/>
      <c r="N294" s="6"/>
      <c r="O294" s="6"/>
      <c r="P294" s="6"/>
      <c r="Q294" s="6"/>
      <c r="R294" s="6"/>
      <c r="S294" s="6"/>
      <c r="T294" s="6"/>
      <c r="U294" s="9"/>
      <c r="V294" s="10"/>
      <c r="W294" s="10"/>
      <c r="X294" s="10"/>
      <c r="Y294" s="2"/>
    </row>
    <row r="295" spans="1:25">
      <c r="B295" s="11"/>
      <c r="C295" s="10"/>
      <c r="D295" s="10"/>
      <c r="E295" s="10"/>
      <c r="F295" s="10"/>
      <c r="G295" s="7"/>
      <c r="H295" s="12"/>
      <c r="I295" s="10"/>
      <c r="J295" s="10"/>
      <c r="K295" s="13" t="s">
        <v>3</v>
      </c>
      <c r="L295" s="14"/>
      <c r="M295" s="15"/>
      <c r="N295" s="13" t="s">
        <v>4</v>
      </c>
      <c r="O295" s="14"/>
      <c r="P295" s="15"/>
      <c r="Q295" s="13" t="s">
        <v>5</v>
      </c>
      <c r="R295" s="14"/>
      <c r="S295" s="15"/>
      <c r="T295" s="16"/>
      <c r="U295" s="17"/>
      <c r="V295" s="10"/>
      <c r="W295" s="10"/>
      <c r="X295" s="10"/>
      <c r="Y295" s="2"/>
    </row>
    <row r="296" spans="1:25">
      <c r="B296" s="18" t="s">
        <v>6</v>
      </c>
      <c r="C296" s="19">
        <f>C297+C298</f>
        <v>27</v>
      </c>
      <c r="D296" s="10"/>
      <c r="E296" s="18" t="s">
        <v>7</v>
      </c>
      <c r="F296" s="6"/>
      <c r="G296" s="9"/>
      <c r="H296" s="10"/>
      <c r="I296" s="10"/>
      <c r="J296" s="10"/>
      <c r="K296" s="20" t="s">
        <v>8</v>
      </c>
      <c r="L296" s="21" t="s">
        <v>9</v>
      </c>
      <c r="M296" s="21" t="s">
        <v>10</v>
      </c>
      <c r="N296" s="20" t="s">
        <v>11</v>
      </c>
      <c r="O296" s="21" t="s">
        <v>12</v>
      </c>
      <c r="P296" s="22" t="s">
        <v>13</v>
      </c>
      <c r="Q296" s="21" t="s">
        <v>11</v>
      </c>
      <c r="R296" s="21" t="s">
        <v>12</v>
      </c>
      <c r="S296" s="22" t="s">
        <v>13</v>
      </c>
      <c r="T296" s="23" t="s">
        <v>14</v>
      </c>
      <c r="U296" s="17"/>
      <c r="V296" s="10"/>
      <c r="W296" s="10"/>
      <c r="X296" s="10"/>
      <c r="Y296" s="2"/>
    </row>
    <row r="297" spans="1:25">
      <c r="B297" s="24" t="s">
        <v>15</v>
      </c>
      <c r="C297" s="25">
        <f>P304</f>
        <v>17</v>
      </c>
      <c r="D297" s="10"/>
      <c r="E297" s="26" t="s">
        <v>16</v>
      </c>
      <c r="F297" s="27">
        <v>0.05</v>
      </c>
      <c r="G297" s="28"/>
      <c r="H297" s="10"/>
      <c r="I297" s="10"/>
      <c r="J297" s="18" t="s">
        <v>17</v>
      </c>
      <c r="K297" s="29">
        <f>K336</f>
        <v>14</v>
      </c>
      <c r="L297" s="29">
        <f t="shared" ref="L297:S297" si="44">L336</f>
        <v>12</v>
      </c>
      <c r="M297" s="29">
        <f t="shared" si="44"/>
        <v>10</v>
      </c>
      <c r="N297" s="29">
        <f t="shared" si="44"/>
        <v>14</v>
      </c>
      <c r="O297" s="29">
        <f t="shared" si="44"/>
        <v>14</v>
      </c>
      <c r="P297" s="29">
        <f t="shared" si="44"/>
        <v>10</v>
      </c>
      <c r="Q297" s="29">
        <f t="shared" si="44"/>
        <v>10</v>
      </c>
      <c r="R297" s="29">
        <f t="shared" si="44"/>
        <v>5</v>
      </c>
      <c r="S297" s="29">
        <f t="shared" si="44"/>
        <v>2</v>
      </c>
      <c r="T297" s="30">
        <f>T369</f>
        <v>1</v>
      </c>
      <c r="U297" s="17"/>
      <c r="V297" s="10"/>
      <c r="W297" s="10"/>
      <c r="X297" s="10"/>
      <c r="Y297" s="2"/>
    </row>
    <row r="298" spans="1:25">
      <c r="B298" s="24" t="s">
        <v>18</v>
      </c>
      <c r="C298" s="25">
        <f>P305</f>
        <v>10</v>
      </c>
      <c r="D298" s="10"/>
      <c r="E298" s="10"/>
      <c r="F298" s="10"/>
      <c r="G298" s="31"/>
      <c r="H298" s="10"/>
      <c r="I298" s="10"/>
      <c r="J298" s="32" t="s">
        <v>19</v>
      </c>
      <c r="K298" s="33">
        <f>K336/K335</f>
        <v>1</v>
      </c>
      <c r="L298" s="33">
        <f t="shared" ref="L298:S298" si="45">L336/L335</f>
        <v>0.8571428571428571</v>
      </c>
      <c r="M298" s="33">
        <f t="shared" si="45"/>
        <v>0.7142857142857143</v>
      </c>
      <c r="N298" s="33">
        <f t="shared" si="45"/>
        <v>1</v>
      </c>
      <c r="O298" s="33">
        <f t="shared" si="45"/>
        <v>1</v>
      </c>
      <c r="P298" s="33">
        <f t="shared" si="45"/>
        <v>0.7142857142857143</v>
      </c>
      <c r="Q298" s="33">
        <f t="shared" si="45"/>
        <v>0.7142857142857143</v>
      </c>
      <c r="R298" s="33">
        <f t="shared" si="45"/>
        <v>0.35714285714285715</v>
      </c>
      <c r="S298" s="33">
        <f t="shared" si="45"/>
        <v>0.14285714285714285</v>
      </c>
      <c r="T298" s="23"/>
      <c r="U298" s="17" t="s">
        <v>20</v>
      </c>
      <c r="V298" s="10"/>
      <c r="W298" s="10"/>
      <c r="X298" s="10"/>
      <c r="Y298" s="2"/>
    </row>
    <row r="299" spans="1:25">
      <c r="B299" s="24" t="s">
        <v>21</v>
      </c>
      <c r="C299" s="34">
        <f>P306</f>
        <v>0.62962962962962965</v>
      </c>
      <c r="D299" s="10"/>
      <c r="E299" s="10"/>
      <c r="F299" s="10"/>
      <c r="G299" s="10"/>
      <c r="H299" s="10"/>
      <c r="I299" s="10"/>
      <c r="J299" s="10"/>
      <c r="K299" s="10"/>
      <c r="L299" s="10"/>
      <c r="M299" s="10"/>
      <c r="N299" s="10"/>
      <c r="O299" s="10"/>
      <c r="P299" s="10"/>
      <c r="Q299" s="10"/>
      <c r="R299" s="10"/>
      <c r="S299" s="10"/>
      <c r="T299" s="10"/>
      <c r="U299" s="17"/>
      <c r="V299" s="10"/>
      <c r="W299" s="10"/>
      <c r="X299" s="10"/>
      <c r="Y299" s="2"/>
    </row>
    <row r="300" spans="1:25">
      <c r="B300" s="24"/>
      <c r="C300" s="25"/>
      <c r="D300" s="10"/>
      <c r="E300" s="10"/>
      <c r="F300" s="18" t="s">
        <v>22</v>
      </c>
      <c r="G300" s="19" t="s">
        <v>23</v>
      </c>
      <c r="H300" s="35" t="s">
        <v>24</v>
      </c>
      <c r="I300" s="10"/>
      <c r="J300" s="10"/>
      <c r="K300" s="36"/>
      <c r="L300" s="36"/>
      <c r="M300" s="36"/>
      <c r="N300" s="36"/>
      <c r="O300" s="36"/>
      <c r="P300" s="36"/>
      <c r="Q300" s="36"/>
      <c r="R300" s="10"/>
      <c r="S300" s="10"/>
      <c r="T300" s="10"/>
      <c r="U300" s="17"/>
      <c r="V300" s="10"/>
      <c r="W300" s="10"/>
      <c r="X300" s="10"/>
      <c r="Y300" s="2"/>
    </row>
    <row r="301" spans="1:25" ht="16.5" customHeight="1">
      <c r="B301" s="32" t="s">
        <v>25</v>
      </c>
      <c r="C301" s="37">
        <f>P307</f>
        <v>1199.3388235294117</v>
      </c>
      <c r="D301" s="10"/>
      <c r="E301" s="18" t="s">
        <v>26</v>
      </c>
      <c r="F301" s="38">
        <f>P303</f>
        <v>20388.759999999998</v>
      </c>
      <c r="G301" s="39">
        <f>I335+I341+I345</f>
        <v>20388.759999999995</v>
      </c>
      <c r="H301" s="767" t="s">
        <v>2783</v>
      </c>
      <c r="I301" s="767"/>
      <c r="J301" s="767"/>
      <c r="K301" s="43" t="s">
        <v>27</v>
      </c>
      <c r="L301" s="44"/>
      <c r="M301" s="44"/>
      <c r="N301" s="44"/>
      <c r="O301" s="44"/>
      <c r="P301" s="44"/>
      <c r="Q301" s="45"/>
      <c r="R301" s="46" t="s">
        <v>28</v>
      </c>
      <c r="S301" s="47" t="s">
        <v>29</v>
      </c>
      <c r="T301" s="10"/>
      <c r="U301" s="17"/>
      <c r="V301" s="10"/>
      <c r="W301" s="10"/>
      <c r="X301" s="10"/>
      <c r="Y301" s="2"/>
    </row>
    <row r="302" spans="1:25">
      <c r="B302" s="11"/>
      <c r="C302" s="10"/>
      <c r="D302" s="10"/>
      <c r="E302" s="24" t="s">
        <v>30</v>
      </c>
      <c r="F302" s="48">
        <f>F297</f>
        <v>0.05</v>
      </c>
      <c r="G302" s="17"/>
      <c r="H302" s="767"/>
      <c r="I302" s="767"/>
      <c r="J302" s="767"/>
      <c r="K302" s="20" t="s">
        <v>31</v>
      </c>
      <c r="L302" s="21" t="s">
        <v>32</v>
      </c>
      <c r="M302" s="21" t="s">
        <v>33</v>
      </c>
      <c r="N302" s="21" t="s">
        <v>34</v>
      </c>
      <c r="O302" s="21" t="s">
        <v>35</v>
      </c>
      <c r="P302" s="21" t="s">
        <v>36</v>
      </c>
      <c r="Q302" s="49" t="s">
        <v>37</v>
      </c>
      <c r="R302" s="50" t="s">
        <v>38</v>
      </c>
      <c r="S302" s="50" t="s">
        <v>38</v>
      </c>
      <c r="T302" s="10"/>
      <c r="U302" s="17"/>
      <c r="V302" s="10"/>
      <c r="W302" s="10"/>
      <c r="X302" s="10"/>
      <c r="Y302" s="2"/>
    </row>
    <row r="303" spans="1:25">
      <c r="B303" s="11"/>
      <c r="C303" s="10"/>
      <c r="D303" s="10"/>
      <c r="E303" s="51" t="s">
        <v>39</v>
      </c>
      <c r="F303" s="52">
        <f>(F301+F310-I323-I326-I327-I339-I340-I344)*F302</f>
        <v>678.30300000000011</v>
      </c>
      <c r="G303" s="53" t="s">
        <v>40</v>
      </c>
      <c r="H303" s="484">
        <f>F303/1.12</f>
        <v>605.62767857142865</v>
      </c>
      <c r="I303" s="55"/>
      <c r="J303" s="42"/>
      <c r="K303" s="56">
        <f>I321+I322+I323</f>
        <v>3531.8099999999995</v>
      </c>
      <c r="L303" s="57">
        <f>I324+I325+I326+I339+I344+I327</f>
        <v>9370.6</v>
      </c>
      <c r="M303" s="57">
        <v>0</v>
      </c>
      <c r="N303" s="57">
        <f>I328+I329+I330+I331+I340</f>
        <v>4787.3</v>
      </c>
      <c r="O303" s="57">
        <f>I332+I333+I334</f>
        <v>2699.05</v>
      </c>
      <c r="P303" s="57">
        <f>SUM(K303:O303)</f>
        <v>20388.759999999998</v>
      </c>
      <c r="Q303" s="58">
        <v>0</v>
      </c>
      <c r="R303" s="59">
        <f>I341+I345</f>
        <v>3636.1000000000004</v>
      </c>
      <c r="S303" s="59">
        <v>0</v>
      </c>
      <c r="T303" s="10"/>
      <c r="U303" s="17"/>
      <c r="V303" s="10"/>
      <c r="W303" s="10"/>
      <c r="X303" s="10"/>
      <c r="Y303" s="2"/>
    </row>
    <row r="304" spans="1:25">
      <c r="B304" s="11"/>
      <c r="C304" s="10"/>
      <c r="D304" s="10"/>
      <c r="E304" s="24" t="s">
        <v>41</v>
      </c>
      <c r="F304" s="60">
        <f>Q303</f>
        <v>0</v>
      </c>
      <c r="G304" s="61" t="s">
        <v>40</v>
      </c>
      <c r="H304" s="62"/>
      <c r="I304" s="62"/>
      <c r="J304" s="10" t="s">
        <v>42</v>
      </c>
      <c r="K304" s="63">
        <v>3</v>
      </c>
      <c r="L304" s="63">
        <v>6</v>
      </c>
      <c r="M304" s="63">
        <v>0</v>
      </c>
      <c r="N304" s="63">
        <v>5</v>
      </c>
      <c r="O304" s="63">
        <v>3</v>
      </c>
      <c r="P304" s="21">
        <f>SUM(K304:O304)</f>
        <v>17</v>
      </c>
      <c r="Q304" s="64"/>
      <c r="R304" s="63"/>
      <c r="S304" s="10"/>
      <c r="T304" s="10"/>
      <c r="U304" s="17"/>
      <c r="V304" s="10"/>
      <c r="W304" s="10"/>
      <c r="X304" s="10"/>
      <c r="Y304" s="2"/>
    </row>
    <row r="305" spans="2:25">
      <c r="B305" s="11"/>
      <c r="C305" s="10"/>
      <c r="D305" s="10"/>
      <c r="E305" s="51" t="s">
        <v>43</v>
      </c>
      <c r="F305" s="52">
        <f>F304*0.25</f>
        <v>0</v>
      </c>
      <c r="G305" s="53" t="s">
        <v>40</v>
      </c>
      <c r="H305" s="54">
        <f>F305/1.12</f>
        <v>0</v>
      </c>
      <c r="I305" s="10"/>
      <c r="J305" s="10" t="s">
        <v>44</v>
      </c>
      <c r="K305" s="63">
        <v>3</v>
      </c>
      <c r="L305" s="63">
        <v>4</v>
      </c>
      <c r="M305" s="63">
        <v>0</v>
      </c>
      <c r="N305" s="63">
        <v>3</v>
      </c>
      <c r="O305" s="63">
        <v>0</v>
      </c>
      <c r="P305" s="21">
        <f>SUM(K305:O305)</f>
        <v>10</v>
      </c>
      <c r="Q305" s="64"/>
      <c r="R305" s="63"/>
      <c r="S305" s="10"/>
      <c r="T305" s="10"/>
      <c r="U305" s="17"/>
      <c r="V305" s="10"/>
      <c r="W305" s="10"/>
      <c r="X305" s="10"/>
      <c r="Y305" s="2"/>
    </row>
    <row r="306" spans="2:25">
      <c r="B306" s="11"/>
      <c r="C306" s="10"/>
      <c r="D306" s="10"/>
      <c r="E306" s="24" t="s">
        <v>45</v>
      </c>
      <c r="F306" s="60"/>
      <c r="G306" s="61" t="s">
        <v>40</v>
      </c>
      <c r="H306" s="62"/>
      <c r="I306" s="10"/>
      <c r="J306" s="10" t="s">
        <v>46</v>
      </c>
      <c r="K306" s="31">
        <f t="shared" ref="K306:Q306" si="46">K304/(K304+K305)</f>
        <v>0.5</v>
      </c>
      <c r="L306" s="31">
        <f t="shared" si="46"/>
        <v>0.6</v>
      </c>
      <c r="M306" s="31" t="e">
        <f t="shared" si="46"/>
        <v>#DIV/0!</v>
      </c>
      <c r="N306" s="31">
        <f t="shared" si="46"/>
        <v>0.625</v>
      </c>
      <c r="O306" s="31">
        <f t="shared" si="46"/>
        <v>1</v>
      </c>
      <c r="P306" s="31">
        <f t="shared" si="46"/>
        <v>0.62962962962962965</v>
      </c>
      <c r="Q306" s="31" t="e">
        <f t="shared" si="46"/>
        <v>#DIV/0!</v>
      </c>
      <c r="R306" s="63"/>
      <c r="S306" s="10"/>
      <c r="T306" s="10"/>
      <c r="U306" s="17"/>
      <c r="V306" s="10"/>
      <c r="W306" s="10"/>
      <c r="X306" s="10"/>
      <c r="Y306" s="2"/>
    </row>
    <row r="307" spans="2:25">
      <c r="B307" s="11"/>
      <c r="C307" s="10"/>
      <c r="D307" s="10"/>
      <c r="E307" s="51" t="s">
        <v>47</v>
      </c>
      <c r="F307" s="52">
        <f>F306*0.05</f>
        <v>0</v>
      </c>
      <c r="G307" s="65" t="s">
        <v>40</v>
      </c>
      <c r="H307" s="54">
        <f>F307/1.12</f>
        <v>0</v>
      </c>
      <c r="I307" s="42"/>
      <c r="J307" s="10" t="s">
        <v>48</v>
      </c>
      <c r="K307" s="66">
        <f>K303/K304</f>
        <v>1177.2699999999998</v>
      </c>
      <c r="L307" s="66">
        <f t="shared" ref="L307:Q307" si="47">L303/L304</f>
        <v>1561.7666666666667</v>
      </c>
      <c r="M307" s="66" t="e">
        <f t="shared" si="47"/>
        <v>#DIV/0!</v>
      </c>
      <c r="N307" s="66">
        <f t="shared" si="47"/>
        <v>957.46</v>
      </c>
      <c r="O307" s="66">
        <f t="shared" si="47"/>
        <v>899.68333333333339</v>
      </c>
      <c r="P307" s="66">
        <f t="shared" si="47"/>
        <v>1199.3388235294117</v>
      </c>
      <c r="Q307" s="66" t="e">
        <f t="shared" si="47"/>
        <v>#DIV/0!</v>
      </c>
      <c r="R307" s="63"/>
      <c r="S307" s="10"/>
      <c r="T307" s="10"/>
      <c r="U307" s="17"/>
      <c r="V307" s="10"/>
      <c r="W307" s="10"/>
      <c r="X307" s="10"/>
      <c r="Y307" s="2"/>
    </row>
    <row r="308" spans="2:25">
      <c r="B308" s="11"/>
      <c r="C308" s="10"/>
      <c r="D308" s="10"/>
      <c r="E308" s="67" t="s">
        <v>14</v>
      </c>
      <c r="F308" s="68">
        <f>2*50</f>
        <v>100</v>
      </c>
      <c r="G308" s="10"/>
      <c r="H308" s="54">
        <f>F308/1.12</f>
        <v>89.285714285714278</v>
      </c>
      <c r="I308" s="10"/>
      <c r="J308" s="10"/>
      <c r="K308" s="10"/>
      <c r="L308" s="10"/>
      <c r="M308" s="10"/>
      <c r="N308" s="10"/>
      <c r="O308" s="10"/>
      <c r="P308" s="10"/>
      <c r="Q308" s="10"/>
      <c r="R308" s="10"/>
      <c r="S308" s="10"/>
      <c r="T308" s="10"/>
      <c r="U308" s="17"/>
      <c r="V308" s="10"/>
      <c r="W308" s="10"/>
      <c r="X308" s="10"/>
      <c r="Y308" s="2"/>
    </row>
    <row r="309" spans="2:25">
      <c r="B309" s="11"/>
      <c r="C309" s="10"/>
      <c r="D309" s="10"/>
      <c r="E309" s="67" t="s">
        <v>49</v>
      </c>
      <c r="F309" s="69">
        <f>T298</f>
        <v>0</v>
      </c>
      <c r="G309" s="10"/>
      <c r="H309" s="54"/>
      <c r="I309" s="55"/>
      <c r="J309" s="42"/>
      <c r="K309" s="764" t="s">
        <v>50</v>
      </c>
      <c r="L309" s="765"/>
      <c r="M309" s="765"/>
      <c r="N309" s="765"/>
      <c r="O309" s="765"/>
      <c r="P309" s="765"/>
      <c r="Q309" s="766"/>
      <c r="R309" s="70" t="s">
        <v>28</v>
      </c>
      <c r="S309" s="71" t="s">
        <v>29</v>
      </c>
      <c r="T309" s="10"/>
      <c r="U309" s="17"/>
      <c r="V309" s="10"/>
      <c r="W309" s="10"/>
      <c r="X309" s="10"/>
      <c r="Y309" s="2"/>
    </row>
    <row r="310" spans="2:25">
      <c r="B310" s="11"/>
      <c r="C310" s="10"/>
      <c r="D310" s="10"/>
      <c r="E310" s="74" t="s">
        <v>2784</v>
      </c>
      <c r="F310" s="75">
        <v>-69.89</v>
      </c>
      <c r="G310" s="10"/>
      <c r="H310" s="10"/>
      <c r="I310" s="10"/>
      <c r="J310" s="42"/>
      <c r="K310" s="20" t="s">
        <v>31</v>
      </c>
      <c r="L310" s="21" t="s">
        <v>32</v>
      </c>
      <c r="M310" s="21" t="s">
        <v>33</v>
      </c>
      <c r="N310" s="21" t="s">
        <v>34</v>
      </c>
      <c r="O310" s="21" t="s">
        <v>35</v>
      </c>
      <c r="P310" s="21" t="s">
        <v>36</v>
      </c>
      <c r="Q310" s="49" t="s">
        <v>37</v>
      </c>
      <c r="R310" s="50" t="s">
        <v>38</v>
      </c>
      <c r="S310" s="50" t="s">
        <v>38</v>
      </c>
      <c r="T310" s="10"/>
      <c r="U310" s="17"/>
      <c r="V310" s="10"/>
      <c r="W310" s="10"/>
      <c r="X310" s="10"/>
      <c r="Y310" s="2"/>
    </row>
    <row r="311" spans="2:25">
      <c r="B311" s="11"/>
      <c r="C311" s="10"/>
      <c r="D311" s="10"/>
      <c r="E311" s="74" t="s">
        <v>2785</v>
      </c>
      <c r="F311" s="75">
        <f>1.9+8.36</f>
        <v>10.26</v>
      </c>
      <c r="G311" s="10"/>
      <c r="H311" s="10"/>
      <c r="I311" s="10"/>
      <c r="J311" s="42"/>
      <c r="K311" s="56">
        <f>F321+F322+F323</f>
        <v>3749.8</v>
      </c>
      <c r="L311" s="57">
        <f>F324+F325+F326+F339+F344+F327</f>
        <v>9765.7999999999993</v>
      </c>
      <c r="M311" s="57">
        <v>0</v>
      </c>
      <c r="N311" s="57">
        <f>F328+F329+F330+F331+F340</f>
        <v>5011.1000000000004</v>
      </c>
      <c r="O311" s="57">
        <f>F332+F333+F334</f>
        <v>2880</v>
      </c>
      <c r="P311" s="57">
        <f>SUM(K311:O311)</f>
        <v>21406.699999999997</v>
      </c>
      <c r="Q311" s="58">
        <v>0</v>
      </c>
      <c r="R311" s="59">
        <f>F341+F345</f>
        <v>3751.9</v>
      </c>
      <c r="S311" s="59">
        <v>0</v>
      </c>
      <c r="T311" s="10"/>
      <c r="U311" s="17"/>
      <c r="V311" s="10"/>
      <c r="W311" s="10"/>
      <c r="X311" s="10"/>
      <c r="Y311" s="2"/>
    </row>
    <row r="312" spans="2:25">
      <c r="B312" s="11"/>
      <c r="C312" s="10"/>
      <c r="D312" s="10"/>
      <c r="E312" s="10"/>
      <c r="F312" s="10"/>
      <c r="G312" s="10"/>
      <c r="H312" s="10"/>
      <c r="I312" s="10"/>
      <c r="J312" s="10" t="s">
        <v>42</v>
      </c>
      <c r="K312" s="63">
        <f>K304</f>
        <v>3</v>
      </c>
      <c r="L312" s="63">
        <f t="shared" ref="L312:Q313" si="48">L304</f>
        <v>6</v>
      </c>
      <c r="M312" s="63">
        <f t="shared" si="48"/>
        <v>0</v>
      </c>
      <c r="N312" s="63">
        <f t="shared" si="48"/>
        <v>5</v>
      </c>
      <c r="O312" s="63">
        <f t="shared" si="48"/>
        <v>3</v>
      </c>
      <c r="P312" s="63">
        <f t="shared" si="48"/>
        <v>17</v>
      </c>
      <c r="Q312" s="63">
        <f t="shared" si="48"/>
        <v>0</v>
      </c>
      <c r="R312" s="63"/>
      <c r="S312" s="10"/>
      <c r="T312" s="10"/>
      <c r="U312" s="17"/>
      <c r="V312" s="10"/>
      <c r="W312" s="10"/>
      <c r="X312" s="10"/>
      <c r="Y312" s="2"/>
    </row>
    <row r="313" spans="2:25">
      <c r="B313" s="11"/>
      <c r="C313" s="10"/>
      <c r="D313" s="10"/>
      <c r="E313" s="10"/>
      <c r="F313" s="10"/>
      <c r="G313" s="10"/>
      <c r="H313" s="10"/>
      <c r="I313" s="10"/>
      <c r="J313" s="10" t="s">
        <v>44</v>
      </c>
      <c r="K313" s="63">
        <f>K305</f>
        <v>3</v>
      </c>
      <c r="L313" s="63">
        <f t="shared" si="48"/>
        <v>4</v>
      </c>
      <c r="M313" s="63">
        <f t="shared" si="48"/>
        <v>0</v>
      </c>
      <c r="N313" s="63">
        <f t="shared" si="48"/>
        <v>3</v>
      </c>
      <c r="O313" s="63">
        <f t="shared" si="48"/>
        <v>0</v>
      </c>
      <c r="P313" s="63">
        <f t="shared" si="48"/>
        <v>10</v>
      </c>
      <c r="Q313" s="63">
        <f t="shared" si="48"/>
        <v>0</v>
      </c>
      <c r="R313" s="63"/>
      <c r="S313" s="10"/>
      <c r="T313" s="10"/>
      <c r="U313" s="17"/>
      <c r="V313" s="10"/>
      <c r="W313" s="10"/>
      <c r="X313" s="10"/>
      <c r="Y313" s="2"/>
    </row>
    <row r="314" spans="2:25">
      <c r="B314" s="11"/>
      <c r="C314" s="10"/>
      <c r="D314" s="10"/>
      <c r="E314" s="10"/>
      <c r="F314" s="10"/>
      <c r="G314" s="10"/>
      <c r="H314" s="10"/>
      <c r="I314" s="10"/>
      <c r="J314" s="10" t="s">
        <v>46</v>
      </c>
      <c r="K314" s="31">
        <f t="shared" ref="K314:Q314" si="49">K312/(K312+K313)</f>
        <v>0.5</v>
      </c>
      <c r="L314" s="31">
        <f t="shared" si="49"/>
        <v>0.6</v>
      </c>
      <c r="M314" s="31" t="e">
        <f t="shared" si="49"/>
        <v>#DIV/0!</v>
      </c>
      <c r="N314" s="31">
        <f t="shared" si="49"/>
        <v>0.625</v>
      </c>
      <c r="O314" s="31">
        <f t="shared" si="49"/>
        <v>1</v>
      </c>
      <c r="P314" s="31">
        <f t="shared" si="49"/>
        <v>0.62962962962962965</v>
      </c>
      <c r="Q314" s="31" t="e">
        <f t="shared" si="49"/>
        <v>#DIV/0!</v>
      </c>
      <c r="R314" s="63"/>
      <c r="S314" s="10"/>
      <c r="T314" s="10"/>
      <c r="U314" s="17"/>
      <c r="V314" s="10"/>
      <c r="W314" s="10"/>
      <c r="X314" s="10"/>
      <c r="Y314" s="2"/>
    </row>
    <row r="315" spans="2:25">
      <c r="B315" s="11"/>
      <c r="C315" s="10"/>
      <c r="D315" s="10"/>
      <c r="E315" s="10"/>
      <c r="F315" s="10"/>
      <c r="G315" s="10"/>
      <c r="H315" s="10"/>
      <c r="I315" s="10"/>
      <c r="J315" s="10" t="s">
        <v>48</v>
      </c>
      <c r="K315" s="66">
        <f t="shared" ref="K315:Q315" si="50">K311/K312</f>
        <v>1249.9333333333334</v>
      </c>
      <c r="L315" s="66">
        <f t="shared" si="50"/>
        <v>1627.6333333333332</v>
      </c>
      <c r="M315" s="66" t="e">
        <f t="shared" si="50"/>
        <v>#DIV/0!</v>
      </c>
      <c r="N315" s="66">
        <f t="shared" si="50"/>
        <v>1002.22</v>
      </c>
      <c r="O315" s="66">
        <f t="shared" si="50"/>
        <v>960</v>
      </c>
      <c r="P315" s="66">
        <f t="shared" si="50"/>
        <v>1259.2176470588233</v>
      </c>
      <c r="Q315" s="66" t="e">
        <f t="shared" si="50"/>
        <v>#DIV/0!</v>
      </c>
      <c r="R315" s="63"/>
      <c r="S315" s="10"/>
      <c r="T315" s="10"/>
      <c r="U315" s="17"/>
      <c r="V315" s="10"/>
      <c r="W315" s="10"/>
      <c r="X315" s="10"/>
      <c r="Y315" s="2"/>
    </row>
    <row r="316" spans="2:25">
      <c r="B316" s="11"/>
      <c r="C316" s="10"/>
      <c r="D316" s="10"/>
      <c r="E316" s="10"/>
      <c r="F316" s="10"/>
      <c r="G316" s="10"/>
      <c r="H316" s="10"/>
      <c r="I316" s="10"/>
      <c r="J316" s="10"/>
      <c r="K316" s="10"/>
      <c r="L316" s="10"/>
      <c r="M316" s="10"/>
      <c r="N316" s="10"/>
      <c r="O316" s="10"/>
      <c r="P316" s="10"/>
      <c r="Q316" s="10"/>
      <c r="R316" s="10"/>
      <c r="S316" s="10"/>
      <c r="T316" s="10"/>
      <c r="U316" s="17"/>
      <c r="V316" s="10"/>
      <c r="W316" s="10"/>
      <c r="X316" s="10"/>
      <c r="Y316" s="2"/>
    </row>
    <row r="317" spans="2:25">
      <c r="B317" s="11"/>
      <c r="C317" s="10"/>
      <c r="D317" s="10"/>
      <c r="E317" s="10"/>
      <c r="F317" s="10"/>
      <c r="G317" s="10"/>
      <c r="H317" s="10"/>
      <c r="I317" s="10"/>
      <c r="J317" s="10"/>
      <c r="K317" s="10"/>
      <c r="L317" s="10"/>
      <c r="M317" s="10"/>
      <c r="N317" s="10"/>
      <c r="O317" s="10"/>
      <c r="P317" s="10"/>
      <c r="Q317" s="10"/>
      <c r="R317" s="10"/>
      <c r="S317" s="10"/>
      <c r="T317" s="10"/>
      <c r="U317" s="17"/>
      <c r="V317" s="10"/>
      <c r="W317" s="10"/>
      <c r="X317" s="10"/>
      <c r="Y317" s="2"/>
    </row>
    <row r="318" spans="2:25">
      <c r="B318" s="18" t="s">
        <v>51</v>
      </c>
      <c r="C318" s="14"/>
      <c r="D318" s="14"/>
      <c r="E318" s="14"/>
      <c r="F318" s="13" t="s">
        <v>52</v>
      </c>
      <c r="G318" s="14"/>
      <c r="H318" s="14"/>
      <c r="I318" s="14"/>
      <c r="J318" s="14"/>
      <c r="K318" s="13" t="s">
        <v>3</v>
      </c>
      <c r="L318" s="14"/>
      <c r="M318" s="14"/>
      <c r="N318" s="13" t="s">
        <v>4</v>
      </c>
      <c r="O318" s="14"/>
      <c r="P318" s="14"/>
      <c r="Q318" s="13" t="s">
        <v>5</v>
      </c>
      <c r="R318" s="14"/>
      <c r="S318" s="14"/>
      <c r="T318" s="18"/>
      <c r="U318" s="16" t="s">
        <v>53</v>
      </c>
      <c r="V318" s="77"/>
      <c r="W318" s="77"/>
      <c r="X318" s="77"/>
      <c r="Y318" s="2"/>
    </row>
    <row r="319" spans="2:25">
      <c r="B319" s="24" t="s">
        <v>54</v>
      </c>
      <c r="C319" s="21" t="s">
        <v>55</v>
      </c>
      <c r="D319" s="21" t="s">
        <v>56</v>
      </c>
      <c r="E319" s="21" t="s">
        <v>57</v>
      </c>
      <c r="F319" s="20" t="s">
        <v>58</v>
      </c>
      <c r="G319" s="21" t="s">
        <v>59</v>
      </c>
      <c r="H319" s="21" t="s">
        <v>60</v>
      </c>
      <c r="I319" s="21" t="s">
        <v>26</v>
      </c>
      <c r="J319" s="22" t="s">
        <v>61</v>
      </c>
      <c r="K319" s="21" t="s">
        <v>8</v>
      </c>
      <c r="L319" s="21" t="s">
        <v>9</v>
      </c>
      <c r="M319" s="21" t="s">
        <v>10</v>
      </c>
      <c r="N319" s="20" t="s">
        <v>11</v>
      </c>
      <c r="O319" s="21" t="s">
        <v>12</v>
      </c>
      <c r="P319" s="22" t="s">
        <v>13</v>
      </c>
      <c r="Q319" s="21" t="s">
        <v>11</v>
      </c>
      <c r="R319" s="21" t="s">
        <v>12</v>
      </c>
      <c r="S319" s="21" t="s">
        <v>13</v>
      </c>
      <c r="T319" s="78" t="s">
        <v>14</v>
      </c>
      <c r="U319" s="30"/>
      <c r="V319" s="79" t="s">
        <v>62</v>
      </c>
      <c r="W319" s="80" t="s">
        <v>63</v>
      </c>
      <c r="X319" s="81" t="s">
        <v>64</v>
      </c>
      <c r="Y319" s="2"/>
    </row>
    <row r="320" spans="2:25">
      <c r="B320" s="4" t="s">
        <v>65</v>
      </c>
      <c r="C320" s="6"/>
      <c r="D320" s="6"/>
      <c r="E320" s="6"/>
      <c r="F320" s="6"/>
      <c r="G320" s="6"/>
      <c r="H320" s="6"/>
      <c r="I320" s="82"/>
      <c r="J320" s="6"/>
      <c r="K320" s="6"/>
      <c r="L320" s="6"/>
      <c r="M320" s="6"/>
      <c r="N320" s="6"/>
      <c r="O320" s="6"/>
      <c r="P320" s="6"/>
      <c r="Q320" s="6"/>
      <c r="R320" s="6"/>
      <c r="S320" s="6"/>
      <c r="T320" s="83"/>
      <c r="U320" s="6"/>
      <c r="V320" s="84"/>
      <c r="W320" s="85"/>
      <c r="X320" s="86"/>
      <c r="Y320" s="2"/>
    </row>
    <row r="321" spans="2:25">
      <c r="B321" s="87">
        <v>1</v>
      </c>
      <c r="C321" s="638">
        <v>45950</v>
      </c>
      <c r="D321" s="276">
        <v>74381</v>
      </c>
      <c r="E321" s="276" t="s">
        <v>155</v>
      </c>
      <c r="F321" s="277">
        <v>1135.8</v>
      </c>
      <c r="G321" s="277">
        <f>39.7</f>
        <v>39.700000000000003</v>
      </c>
      <c r="H321" s="297"/>
      <c r="I321" s="321">
        <f t="shared" ref="I321:I334" si="51">F321-G321-H321</f>
        <v>1096.0999999999999</v>
      </c>
      <c r="J321" s="279" t="s">
        <v>156</v>
      </c>
      <c r="K321" s="279">
        <v>1</v>
      </c>
      <c r="L321" s="279">
        <v>1</v>
      </c>
      <c r="M321" s="279">
        <v>1</v>
      </c>
      <c r="N321" s="279">
        <v>1</v>
      </c>
      <c r="O321" s="279">
        <v>1</v>
      </c>
      <c r="P321" s="279">
        <v>1</v>
      </c>
      <c r="Q321" s="279">
        <v>1</v>
      </c>
      <c r="R321" s="322">
        <v>0</v>
      </c>
      <c r="S321" s="328">
        <v>0</v>
      </c>
      <c r="T321" s="63"/>
      <c r="U321" s="10"/>
      <c r="V321" s="90">
        <f>124+1125.38</f>
        <v>1249.3800000000001</v>
      </c>
      <c r="W321" s="91"/>
      <c r="X321" s="92"/>
      <c r="Y321" s="2"/>
    </row>
    <row r="322" spans="2:25">
      <c r="B322" s="87">
        <f t="shared" ref="B322:B334" si="52">B321+1</f>
        <v>2</v>
      </c>
      <c r="C322" s="639">
        <v>45950</v>
      </c>
      <c r="D322" s="10">
        <v>74647</v>
      </c>
      <c r="E322" s="10" t="s">
        <v>382</v>
      </c>
      <c r="F322" s="62">
        <f>1323-185</f>
        <v>1138</v>
      </c>
      <c r="G322" s="62">
        <f>39.7</f>
        <v>39.700000000000003</v>
      </c>
      <c r="H322" s="62"/>
      <c r="I322" s="324">
        <f t="shared" si="51"/>
        <v>1098.3</v>
      </c>
      <c r="J322" s="63" t="s">
        <v>156</v>
      </c>
      <c r="K322" s="63">
        <v>1</v>
      </c>
      <c r="L322" s="63">
        <v>1</v>
      </c>
      <c r="M322" s="63">
        <v>1</v>
      </c>
      <c r="N322" s="63">
        <v>1</v>
      </c>
      <c r="O322" s="63">
        <v>1</v>
      </c>
      <c r="P322" s="63">
        <v>1</v>
      </c>
      <c r="Q322" s="63">
        <v>1</v>
      </c>
      <c r="R322" s="325">
        <v>0</v>
      </c>
      <c r="S322" s="326">
        <v>0</v>
      </c>
      <c r="T322" s="63"/>
      <c r="U322" s="10"/>
      <c r="V322" s="90">
        <f>203.5+145+903.3</f>
        <v>1251.8</v>
      </c>
      <c r="W322" s="91"/>
      <c r="X322" s="92"/>
      <c r="Y322" s="2"/>
    </row>
    <row r="323" spans="2:25">
      <c r="B323" s="87">
        <f t="shared" si="52"/>
        <v>3</v>
      </c>
      <c r="C323" s="639">
        <v>45950</v>
      </c>
      <c r="D323" s="10" t="s">
        <v>2786</v>
      </c>
      <c r="E323" s="10" t="s">
        <v>382</v>
      </c>
      <c r="F323" s="62">
        <v>1476</v>
      </c>
      <c r="G323" s="62">
        <f>39.7+(98.89)</f>
        <v>138.59</v>
      </c>
      <c r="H323" s="62"/>
      <c r="I323" s="369">
        <f t="shared" si="51"/>
        <v>1337.41</v>
      </c>
      <c r="J323" s="63" t="s">
        <v>156</v>
      </c>
      <c r="K323" s="63">
        <v>1</v>
      </c>
      <c r="L323" s="63">
        <v>1</v>
      </c>
      <c r="M323" s="325">
        <v>0</v>
      </c>
      <c r="N323" s="63">
        <v>1</v>
      </c>
      <c r="O323" s="63">
        <v>1</v>
      </c>
      <c r="P323" s="325">
        <v>0</v>
      </c>
      <c r="Q323" s="63">
        <v>1</v>
      </c>
      <c r="R323" s="325">
        <v>0</v>
      </c>
      <c r="S323" s="326">
        <v>0</v>
      </c>
      <c r="T323" s="63"/>
      <c r="U323" s="10" t="s">
        <v>2787</v>
      </c>
      <c r="V323" s="90">
        <f>162+1461.6</f>
        <v>1623.6</v>
      </c>
      <c r="W323" s="91"/>
      <c r="X323" s="92"/>
      <c r="Y323" s="2"/>
    </row>
    <row r="324" spans="2:25">
      <c r="B324" s="87">
        <f t="shared" si="52"/>
        <v>4</v>
      </c>
      <c r="C324" s="638">
        <v>45951</v>
      </c>
      <c r="D324" s="276" t="s">
        <v>2788</v>
      </c>
      <c r="E324" s="281" t="s">
        <v>155</v>
      </c>
      <c r="F324" s="277">
        <v>4374.8999999999996</v>
      </c>
      <c r="G324" s="277">
        <f>39.7+200</f>
        <v>239.7</v>
      </c>
      <c r="H324" s="277"/>
      <c r="I324" s="321">
        <f>F324-G324-H324</f>
        <v>4135.2</v>
      </c>
      <c r="J324" s="279" t="s">
        <v>156</v>
      </c>
      <c r="K324" s="279">
        <v>1</v>
      </c>
      <c r="L324" s="279">
        <v>1</v>
      </c>
      <c r="M324" s="279">
        <v>1</v>
      </c>
      <c r="N324" s="279">
        <v>1</v>
      </c>
      <c r="O324" s="279">
        <v>1</v>
      </c>
      <c r="P324" s="279">
        <v>1</v>
      </c>
      <c r="Q324" s="322">
        <v>0</v>
      </c>
      <c r="R324" s="322">
        <v>0</v>
      </c>
      <c r="S324" s="328">
        <v>0</v>
      </c>
      <c r="T324" s="63"/>
      <c r="U324" s="94" t="s">
        <v>2789</v>
      </c>
      <c r="V324" s="90">
        <f>556+4256.39</f>
        <v>4812.3900000000003</v>
      </c>
      <c r="W324" s="91"/>
      <c r="X324" s="92"/>
      <c r="Y324" s="2"/>
    </row>
    <row r="325" spans="2:25">
      <c r="B325" s="87">
        <f t="shared" si="52"/>
        <v>5</v>
      </c>
      <c r="C325" s="639">
        <v>45951</v>
      </c>
      <c r="D325" s="10">
        <v>74591</v>
      </c>
      <c r="E325" s="94" t="s">
        <v>168</v>
      </c>
      <c r="F325" s="62">
        <v>1281</v>
      </c>
      <c r="G325" s="62">
        <v>39.700000000000003</v>
      </c>
      <c r="H325" s="62"/>
      <c r="I325" s="324">
        <f>F325-G325-H325</f>
        <v>1241.3</v>
      </c>
      <c r="J325" s="63" t="s">
        <v>156</v>
      </c>
      <c r="K325" s="63">
        <v>1</v>
      </c>
      <c r="L325" s="63">
        <v>1</v>
      </c>
      <c r="M325" s="325">
        <v>0</v>
      </c>
      <c r="N325" s="63">
        <v>1</v>
      </c>
      <c r="O325" s="63">
        <v>1</v>
      </c>
      <c r="P325" s="63">
        <v>1</v>
      </c>
      <c r="Q325" s="325">
        <v>0</v>
      </c>
      <c r="R325" s="325">
        <v>0</v>
      </c>
      <c r="S325" s="326">
        <v>0</v>
      </c>
      <c r="T325" s="63"/>
      <c r="U325" s="10"/>
      <c r="V325" s="90">
        <f>140+1269.1</f>
        <v>1409.1</v>
      </c>
      <c r="W325" s="91"/>
      <c r="X325" s="92"/>
      <c r="Y325" s="2"/>
    </row>
    <row r="326" spans="2:25">
      <c r="B326" s="87">
        <f t="shared" si="52"/>
        <v>6</v>
      </c>
      <c r="C326" s="639">
        <v>45951</v>
      </c>
      <c r="D326" s="10">
        <v>74711</v>
      </c>
      <c r="E326" s="10" t="s">
        <v>426</v>
      </c>
      <c r="F326" s="62">
        <f>1323-185</f>
        <v>1138</v>
      </c>
      <c r="G326" s="62">
        <f>39.7</f>
        <v>39.700000000000003</v>
      </c>
      <c r="H326" s="88"/>
      <c r="I326" s="369">
        <f>F326-G326-H326</f>
        <v>1098.3</v>
      </c>
      <c r="J326" s="63" t="s">
        <v>156</v>
      </c>
      <c r="K326" s="63">
        <v>1</v>
      </c>
      <c r="L326" s="63">
        <v>1</v>
      </c>
      <c r="M326" s="63">
        <v>1</v>
      </c>
      <c r="N326" s="63">
        <v>1</v>
      </c>
      <c r="O326" s="63">
        <v>1</v>
      </c>
      <c r="P326" s="63">
        <v>1</v>
      </c>
      <c r="Q326" s="63">
        <v>1</v>
      </c>
      <c r="R326" s="63">
        <v>1</v>
      </c>
      <c r="S326" s="296">
        <v>1</v>
      </c>
      <c r="T326" s="63"/>
      <c r="U326" s="10" t="s">
        <v>2790</v>
      </c>
      <c r="V326" s="90">
        <f>203.5+145+1106.8</f>
        <v>1455.3</v>
      </c>
      <c r="W326" s="91"/>
      <c r="X326" s="92"/>
      <c r="Y326" s="2"/>
    </row>
    <row r="327" spans="2:25">
      <c r="B327" s="87">
        <f t="shared" si="52"/>
        <v>7</v>
      </c>
      <c r="C327" s="639">
        <v>45951</v>
      </c>
      <c r="D327" s="10">
        <v>74681</v>
      </c>
      <c r="E327" s="10" t="s">
        <v>1942</v>
      </c>
      <c r="F327" s="62">
        <v>681</v>
      </c>
      <c r="G327" s="62"/>
      <c r="H327" s="62"/>
      <c r="I327" s="369">
        <f>F327-G327-H327</f>
        <v>681</v>
      </c>
      <c r="J327" s="63" t="s">
        <v>156</v>
      </c>
      <c r="K327" s="63">
        <v>1</v>
      </c>
      <c r="L327" s="325">
        <v>0</v>
      </c>
      <c r="M327" s="63">
        <v>1</v>
      </c>
      <c r="N327" s="63">
        <v>1</v>
      </c>
      <c r="O327" s="63">
        <v>1</v>
      </c>
      <c r="P327" s="325">
        <v>0</v>
      </c>
      <c r="Q327" s="325">
        <v>0</v>
      </c>
      <c r="R327" s="325">
        <v>0</v>
      </c>
      <c r="S327" s="326">
        <v>0</v>
      </c>
      <c r="T327" s="63"/>
      <c r="U327" s="94" t="s">
        <v>2791</v>
      </c>
      <c r="V327" s="90">
        <v>749.1</v>
      </c>
      <c r="W327" s="91"/>
      <c r="X327" s="92"/>
      <c r="Y327" s="2"/>
    </row>
    <row r="328" spans="2:25">
      <c r="B328" s="87">
        <f t="shared" si="52"/>
        <v>8</v>
      </c>
      <c r="C328" s="638">
        <v>45953</v>
      </c>
      <c r="D328" s="276">
        <v>74762</v>
      </c>
      <c r="E328" s="276" t="s">
        <v>456</v>
      </c>
      <c r="F328" s="277">
        <v>681</v>
      </c>
      <c r="G328" s="277"/>
      <c r="H328" s="297"/>
      <c r="I328" s="321">
        <f t="shared" si="51"/>
        <v>681</v>
      </c>
      <c r="J328" s="279" t="s">
        <v>156</v>
      </c>
      <c r="K328" s="279">
        <v>1</v>
      </c>
      <c r="L328" s="279">
        <v>1</v>
      </c>
      <c r="M328" s="279">
        <v>1</v>
      </c>
      <c r="N328" s="279">
        <v>1</v>
      </c>
      <c r="O328" s="279">
        <v>1</v>
      </c>
      <c r="P328" s="322">
        <v>0</v>
      </c>
      <c r="Q328" s="322">
        <v>0</v>
      </c>
      <c r="R328" s="322">
        <v>0</v>
      </c>
      <c r="S328" s="328">
        <v>0</v>
      </c>
      <c r="T328" s="63"/>
      <c r="U328" s="10"/>
      <c r="V328" s="90">
        <v>749.1</v>
      </c>
      <c r="W328" s="91"/>
      <c r="X328" s="92"/>
      <c r="Y328" s="2"/>
    </row>
    <row r="329" spans="2:25">
      <c r="B329" s="87">
        <f t="shared" si="52"/>
        <v>9</v>
      </c>
      <c r="C329" s="639">
        <v>45953</v>
      </c>
      <c r="D329" s="77" t="s">
        <v>2792</v>
      </c>
      <c r="E329" s="10" t="s">
        <v>509</v>
      </c>
      <c r="F329" s="62">
        <v>809.1</v>
      </c>
      <c r="G329" s="62">
        <f>39.7</f>
        <v>39.700000000000003</v>
      </c>
      <c r="H329" s="88"/>
      <c r="I329" s="324">
        <f t="shared" si="51"/>
        <v>769.4</v>
      </c>
      <c r="J329" s="63" t="s">
        <v>156</v>
      </c>
      <c r="K329" s="63">
        <v>1</v>
      </c>
      <c r="L329" s="63">
        <v>1</v>
      </c>
      <c r="M329" s="63">
        <v>1</v>
      </c>
      <c r="N329" s="63">
        <v>1</v>
      </c>
      <c r="O329" s="63">
        <v>1</v>
      </c>
      <c r="P329" s="63">
        <v>1</v>
      </c>
      <c r="Q329" s="63">
        <v>1</v>
      </c>
      <c r="R329" s="325">
        <v>0</v>
      </c>
      <c r="S329" s="326">
        <v>0</v>
      </c>
      <c r="T329" s="63"/>
      <c r="U329" s="10"/>
      <c r="V329" s="90">
        <f>200+690.01</f>
        <v>890.01</v>
      </c>
      <c r="W329" s="91"/>
      <c r="X329" s="92"/>
      <c r="Y329" s="2"/>
    </row>
    <row r="330" spans="2:25">
      <c r="B330" s="87">
        <f t="shared" si="52"/>
        <v>10</v>
      </c>
      <c r="C330" s="639">
        <v>45953</v>
      </c>
      <c r="D330" s="77" t="s">
        <v>2793</v>
      </c>
      <c r="E330" s="10" t="s">
        <v>509</v>
      </c>
      <c r="F330" s="62">
        <v>861</v>
      </c>
      <c r="G330" s="62">
        <f>39.7+(65)</f>
        <v>104.7</v>
      </c>
      <c r="H330" s="88"/>
      <c r="I330" s="324">
        <f t="shared" si="51"/>
        <v>756.3</v>
      </c>
      <c r="J330" s="63" t="s">
        <v>156</v>
      </c>
      <c r="K330" s="63">
        <v>1</v>
      </c>
      <c r="L330" s="63">
        <v>1</v>
      </c>
      <c r="M330" s="63">
        <v>1</v>
      </c>
      <c r="N330" s="63">
        <v>1</v>
      </c>
      <c r="O330" s="63">
        <v>1</v>
      </c>
      <c r="P330" s="63">
        <v>1</v>
      </c>
      <c r="Q330" s="63">
        <v>1</v>
      </c>
      <c r="R330" s="325">
        <v>0</v>
      </c>
      <c r="S330" s="326">
        <v>0</v>
      </c>
      <c r="T330" s="63"/>
      <c r="U330" s="10"/>
      <c r="V330" s="90">
        <v>947.1</v>
      </c>
      <c r="W330" s="91"/>
      <c r="X330" s="92"/>
      <c r="Y330" s="2"/>
    </row>
    <row r="331" spans="2:25">
      <c r="B331" s="87">
        <f t="shared" si="52"/>
        <v>11</v>
      </c>
      <c r="C331" s="639">
        <v>45953</v>
      </c>
      <c r="D331" s="10">
        <v>74802</v>
      </c>
      <c r="E331" s="10" t="s">
        <v>464</v>
      </c>
      <c r="F331" s="62">
        <f>1384-185</f>
        <v>1199</v>
      </c>
      <c r="G331" s="62">
        <f>39.7</f>
        <v>39.700000000000003</v>
      </c>
      <c r="H331" s="88"/>
      <c r="I331" s="324">
        <f t="shared" si="51"/>
        <v>1159.3</v>
      </c>
      <c r="J331" s="63" t="s">
        <v>156</v>
      </c>
      <c r="K331" s="63">
        <v>1</v>
      </c>
      <c r="L331" s="325">
        <v>0</v>
      </c>
      <c r="M331" s="63">
        <v>1</v>
      </c>
      <c r="N331" s="63">
        <v>1</v>
      </c>
      <c r="O331" s="63">
        <v>1</v>
      </c>
      <c r="P331" s="63">
        <v>1</v>
      </c>
      <c r="Q331" s="63">
        <v>1</v>
      </c>
      <c r="R331" s="63">
        <v>1</v>
      </c>
      <c r="S331" s="326">
        <v>0</v>
      </c>
      <c r="T331" s="21">
        <v>1</v>
      </c>
      <c r="U331" s="10" t="s">
        <v>2794</v>
      </c>
      <c r="V331" s="90">
        <f>203.5+1318.9</f>
        <v>1522.4</v>
      </c>
      <c r="W331" s="91"/>
      <c r="X331" s="92"/>
      <c r="Y331" s="2"/>
    </row>
    <row r="332" spans="2:25">
      <c r="B332" s="87">
        <f t="shared" si="52"/>
        <v>12</v>
      </c>
      <c r="C332" s="638">
        <v>45954</v>
      </c>
      <c r="D332" s="276">
        <v>74801</v>
      </c>
      <c r="E332" s="276" t="s">
        <v>292</v>
      </c>
      <c r="F332" s="447">
        <v>581</v>
      </c>
      <c r="G332" s="277"/>
      <c r="H332" s="277"/>
      <c r="I332" s="321">
        <f t="shared" si="51"/>
        <v>581</v>
      </c>
      <c r="J332" s="279" t="s">
        <v>156</v>
      </c>
      <c r="K332" s="279">
        <v>1</v>
      </c>
      <c r="L332" s="279">
        <v>1</v>
      </c>
      <c r="M332" s="279">
        <v>1</v>
      </c>
      <c r="N332" s="279">
        <v>1</v>
      </c>
      <c r="O332" s="279">
        <v>1</v>
      </c>
      <c r="P332" s="322">
        <v>0</v>
      </c>
      <c r="Q332" s="279">
        <v>1</v>
      </c>
      <c r="R332" s="279">
        <v>1</v>
      </c>
      <c r="S332" s="280">
        <v>1</v>
      </c>
      <c r="T332" s="63"/>
      <c r="U332" s="10"/>
      <c r="V332" s="90">
        <f>64+575.1</f>
        <v>639.1</v>
      </c>
      <c r="W332" s="91"/>
      <c r="X332" s="92"/>
      <c r="Y332" s="2"/>
    </row>
    <row r="333" spans="2:25">
      <c r="B333" s="87">
        <f t="shared" si="52"/>
        <v>13</v>
      </c>
      <c r="C333" s="639">
        <v>45954</v>
      </c>
      <c r="D333" s="77" t="s">
        <v>2795</v>
      </c>
      <c r="E333" s="10" t="s">
        <v>382</v>
      </c>
      <c r="F333" s="95">
        <v>1261</v>
      </c>
      <c r="G333" s="62">
        <f>39.7</f>
        <v>39.700000000000003</v>
      </c>
      <c r="H333" s="62"/>
      <c r="I333" s="324">
        <f t="shared" si="51"/>
        <v>1221.3</v>
      </c>
      <c r="J333" s="63" t="s">
        <v>156</v>
      </c>
      <c r="K333" s="63">
        <v>1</v>
      </c>
      <c r="L333" s="63">
        <v>1</v>
      </c>
      <c r="M333" s="325">
        <v>0</v>
      </c>
      <c r="N333" s="63">
        <v>1</v>
      </c>
      <c r="O333" s="63">
        <v>1</v>
      </c>
      <c r="P333" s="63">
        <v>1</v>
      </c>
      <c r="Q333" s="63">
        <v>1</v>
      </c>
      <c r="R333" s="63">
        <v>1</v>
      </c>
      <c r="S333" s="326">
        <v>0</v>
      </c>
      <c r="T333" s="63"/>
      <c r="U333" s="10"/>
      <c r="V333" s="90">
        <v>1387.1</v>
      </c>
      <c r="W333" s="91"/>
      <c r="X333" s="92"/>
      <c r="Y333" s="2"/>
    </row>
    <row r="334" spans="2:25">
      <c r="B334" s="87">
        <f t="shared" si="52"/>
        <v>14</v>
      </c>
      <c r="C334" s="640">
        <v>45954</v>
      </c>
      <c r="D334" s="302" t="s">
        <v>2796</v>
      </c>
      <c r="E334" s="283" t="s">
        <v>382</v>
      </c>
      <c r="F334" s="423">
        <v>1038</v>
      </c>
      <c r="G334" s="284">
        <f>39.7+(101.55)</f>
        <v>141.25</v>
      </c>
      <c r="H334" s="284"/>
      <c r="I334" s="300">
        <f t="shared" si="51"/>
        <v>896.75</v>
      </c>
      <c r="J334" s="286" t="s">
        <v>156</v>
      </c>
      <c r="K334" s="286">
        <v>1</v>
      </c>
      <c r="L334" s="286">
        <v>1</v>
      </c>
      <c r="M334" s="332">
        <v>0</v>
      </c>
      <c r="N334" s="286">
        <v>1</v>
      </c>
      <c r="O334" s="286">
        <v>1</v>
      </c>
      <c r="P334" s="286">
        <v>1</v>
      </c>
      <c r="Q334" s="286">
        <v>1</v>
      </c>
      <c r="R334" s="286">
        <v>1</v>
      </c>
      <c r="S334" s="370">
        <v>0</v>
      </c>
      <c r="T334" s="63"/>
      <c r="U334" s="10"/>
      <c r="V334" s="90">
        <v>1141.8</v>
      </c>
      <c r="W334" s="91"/>
      <c r="X334" s="92"/>
      <c r="Y334" s="2"/>
    </row>
    <row r="335" spans="2:25">
      <c r="B335" s="87"/>
      <c r="C335" s="621"/>
      <c r="D335" s="10"/>
      <c r="E335" s="10"/>
      <c r="F335" s="97">
        <f>SUM(F321:F334)</f>
        <v>17654.800000000003</v>
      </c>
      <c r="G335" s="97">
        <f>SUM(G321:G334)</f>
        <v>902.14000000000021</v>
      </c>
      <c r="H335" s="97">
        <f>SUM(H321:H334)</f>
        <v>0</v>
      </c>
      <c r="I335" s="98">
        <f>SUM(I321:I334)</f>
        <v>16752.659999999996</v>
      </c>
      <c r="J335" s="63"/>
      <c r="K335" s="63">
        <f>COUNT(K321:K334)</f>
        <v>14</v>
      </c>
      <c r="L335" s="63">
        <f>COUNT(L321:L334)</f>
        <v>14</v>
      </c>
      <c r="M335" s="63">
        <f>COUNT(M321:M334)</f>
        <v>14</v>
      </c>
      <c r="N335" s="63">
        <f>COUNT(N321:N334)</f>
        <v>14</v>
      </c>
      <c r="O335" s="63">
        <f>COUNT(O321:O334)</f>
        <v>14</v>
      </c>
      <c r="P335" s="63">
        <f>COUNT(P321:P334)</f>
        <v>14</v>
      </c>
      <c r="Q335" s="63">
        <f>COUNT(Q321:Q334)</f>
        <v>14</v>
      </c>
      <c r="R335" s="63">
        <f>COUNT(R321:R334)</f>
        <v>14</v>
      </c>
      <c r="S335" s="63">
        <f>COUNT(S321:S334)</f>
        <v>14</v>
      </c>
      <c r="T335" s="63"/>
      <c r="U335" s="10"/>
      <c r="V335" s="90"/>
      <c r="W335" s="91"/>
      <c r="X335" s="92"/>
      <c r="Y335" s="2"/>
    </row>
    <row r="336" spans="2:25">
      <c r="B336" s="87"/>
      <c r="C336" s="621"/>
      <c r="D336" s="10"/>
      <c r="E336" s="10"/>
      <c r="F336" s="88"/>
      <c r="G336" s="88"/>
      <c r="H336" s="88"/>
      <c r="I336" s="99"/>
      <c r="J336" s="63"/>
      <c r="K336" s="21">
        <f>SUM(K321:K334)</f>
        <v>14</v>
      </c>
      <c r="L336" s="21">
        <f>SUM(L321:L334)</f>
        <v>12</v>
      </c>
      <c r="M336" s="21">
        <f>SUM(M321:M334)</f>
        <v>10</v>
      </c>
      <c r="N336" s="21">
        <f>SUM(N321:N334)</f>
        <v>14</v>
      </c>
      <c r="O336" s="21">
        <f>SUM(O321:O334)</f>
        <v>14</v>
      </c>
      <c r="P336" s="21">
        <f>SUM(P321:P334)</f>
        <v>10</v>
      </c>
      <c r="Q336" s="21">
        <f>SUM(Q321:Q334)</f>
        <v>10</v>
      </c>
      <c r="R336" s="21">
        <f>SUM(R321:R334)</f>
        <v>5</v>
      </c>
      <c r="S336" s="21">
        <f>SUM(S321:S334)</f>
        <v>2</v>
      </c>
      <c r="T336" s="63"/>
      <c r="U336" s="10"/>
      <c r="V336" s="90"/>
      <c r="W336" s="91"/>
      <c r="X336" s="92"/>
      <c r="Y336" s="2"/>
    </row>
    <row r="337" spans="1:30">
      <c r="B337" s="11"/>
      <c r="C337" s="609"/>
      <c r="D337" s="10"/>
      <c r="E337" s="10"/>
      <c r="F337" s="88"/>
      <c r="G337" s="88"/>
      <c r="H337" s="88"/>
      <c r="I337" s="99"/>
      <c r="J337" s="63"/>
      <c r="K337" s="21"/>
      <c r="L337" s="21"/>
      <c r="M337" s="21"/>
      <c r="N337" s="21"/>
      <c r="O337" s="21"/>
      <c r="P337" s="21"/>
      <c r="Q337" s="21"/>
      <c r="R337" s="21"/>
      <c r="S337" s="21"/>
      <c r="T337" s="63"/>
      <c r="U337" s="94"/>
      <c r="V337" s="90"/>
      <c r="W337" s="91"/>
      <c r="X337" s="92"/>
      <c r="Y337" s="2"/>
    </row>
    <row r="338" spans="1:30">
      <c r="B338" s="121" t="s">
        <v>68</v>
      </c>
      <c r="C338" s="611"/>
      <c r="D338" s="123"/>
      <c r="E338" s="123"/>
      <c r="F338" s="124"/>
      <c r="G338" s="125"/>
      <c r="H338" s="124"/>
      <c r="I338" s="126"/>
      <c r="J338" s="127"/>
      <c r="K338" s="128"/>
      <c r="L338" s="128"/>
      <c r="M338" s="128"/>
      <c r="N338" s="128"/>
      <c r="O338" s="128"/>
      <c r="P338" s="128"/>
      <c r="Q338" s="128"/>
      <c r="R338" s="128"/>
      <c r="S338" s="128"/>
      <c r="T338" s="127"/>
      <c r="U338" s="123"/>
      <c r="V338" s="129"/>
      <c r="W338" s="130"/>
      <c r="X338" s="131"/>
      <c r="Y338" s="128"/>
    </row>
    <row r="339" spans="1:30" s="381" customFormat="1">
      <c r="A339" s="380" t="s">
        <v>2797</v>
      </c>
      <c r="B339" s="372">
        <v>1</v>
      </c>
      <c r="C339" s="759">
        <v>45951</v>
      </c>
      <c r="D339" s="444">
        <v>74658</v>
      </c>
      <c r="E339" s="699" t="s">
        <v>155</v>
      </c>
      <c r="F339" s="445">
        <v>681</v>
      </c>
      <c r="G339" s="445"/>
      <c r="H339" s="445"/>
      <c r="I339" s="329">
        <f t="shared" ref="I339:I340" si="53">F339-G339-H339</f>
        <v>681</v>
      </c>
      <c r="J339" s="322" t="s">
        <v>156</v>
      </c>
      <c r="K339" s="322">
        <v>1</v>
      </c>
      <c r="L339" s="322">
        <v>1</v>
      </c>
      <c r="M339" s="322">
        <v>1</v>
      </c>
      <c r="N339" s="322">
        <v>1</v>
      </c>
      <c r="O339" s="322">
        <v>1</v>
      </c>
      <c r="P339" s="322">
        <v>1</v>
      </c>
      <c r="Q339" s="322">
        <v>1</v>
      </c>
      <c r="R339" s="322">
        <v>0</v>
      </c>
      <c r="S339" s="328">
        <v>0</v>
      </c>
      <c r="T339" s="325"/>
      <c r="U339" s="42" t="s">
        <v>2798</v>
      </c>
      <c r="V339" s="377">
        <f>75</f>
        <v>75</v>
      </c>
      <c r="W339" s="378"/>
      <c r="X339" s="393"/>
      <c r="Y339" s="380"/>
    </row>
    <row r="340" spans="1:30" s="342" customFormat="1">
      <c r="A340" s="380" t="s">
        <v>249</v>
      </c>
      <c r="B340" s="372">
        <f t="shared" ref="B340" si="54">B339+1</f>
        <v>2</v>
      </c>
      <c r="C340" s="693">
        <v>45953</v>
      </c>
      <c r="D340" s="391">
        <v>74792</v>
      </c>
      <c r="E340" s="374" t="s">
        <v>294</v>
      </c>
      <c r="F340" s="375">
        <f>1546-85</f>
        <v>1461</v>
      </c>
      <c r="G340" s="375">
        <f>39.7</f>
        <v>39.700000000000003</v>
      </c>
      <c r="H340" s="375"/>
      <c r="I340" s="376">
        <f t="shared" si="53"/>
        <v>1421.3</v>
      </c>
      <c r="J340" s="314" t="s">
        <v>156</v>
      </c>
      <c r="K340" s="314">
        <v>1</v>
      </c>
      <c r="L340" s="314">
        <v>1</v>
      </c>
      <c r="M340" s="314">
        <v>1</v>
      </c>
      <c r="N340" s="314">
        <v>1</v>
      </c>
      <c r="O340" s="314">
        <v>1</v>
      </c>
      <c r="P340" s="314">
        <v>0</v>
      </c>
      <c r="Q340" s="314">
        <v>0</v>
      </c>
      <c r="R340" s="314">
        <v>0</v>
      </c>
      <c r="S340" s="366">
        <v>0</v>
      </c>
      <c r="T340" s="325"/>
      <c r="U340" s="42" t="s">
        <v>925</v>
      </c>
      <c r="V340" s="377">
        <f>93.5</f>
        <v>93.5</v>
      </c>
      <c r="W340" s="378"/>
      <c r="X340" s="393"/>
      <c r="Y340" s="380"/>
      <c r="Z340" s="381"/>
      <c r="AA340" s="381"/>
      <c r="AB340" s="381"/>
      <c r="AC340" s="381"/>
      <c r="AD340" s="381"/>
    </row>
    <row r="341" spans="1:30">
      <c r="B341" s="132"/>
      <c r="C341" s="621"/>
      <c r="D341" s="123"/>
      <c r="E341" s="123"/>
      <c r="F341" s="133">
        <f>SUM(F339:F340)</f>
        <v>2142</v>
      </c>
      <c r="G341" s="133">
        <f>SUM(G339:G340)</f>
        <v>39.700000000000003</v>
      </c>
      <c r="H341" s="133">
        <f>SUM(H339:H340)</f>
        <v>0</v>
      </c>
      <c r="I341" s="134">
        <f>SUM(I339:I340)</f>
        <v>2102.3000000000002</v>
      </c>
      <c r="J341" s="127"/>
      <c r="K341" s="64"/>
      <c r="L341" s="64"/>
      <c r="M341" s="64"/>
      <c r="N341" s="64"/>
      <c r="O341" s="64"/>
      <c r="P341" s="64"/>
      <c r="Q341" s="64"/>
      <c r="R341" s="64"/>
      <c r="S341" s="64"/>
      <c r="T341" s="127"/>
      <c r="U341" s="123"/>
      <c r="V341" s="129"/>
      <c r="W341" s="130"/>
      <c r="X341" s="131"/>
      <c r="Y341" s="128"/>
    </row>
    <row r="342" spans="1:30">
      <c r="B342" s="11"/>
      <c r="C342" s="621"/>
      <c r="D342" s="10"/>
      <c r="E342" s="10"/>
      <c r="F342" s="88"/>
      <c r="G342" s="88"/>
      <c r="H342" s="88"/>
      <c r="I342" s="99"/>
      <c r="J342" s="63"/>
      <c r="K342" s="21"/>
      <c r="L342" s="21"/>
      <c r="M342" s="21"/>
      <c r="N342" s="21"/>
      <c r="O342" s="21"/>
      <c r="P342" s="21"/>
      <c r="Q342" s="21"/>
      <c r="R342" s="21"/>
      <c r="S342" s="21"/>
      <c r="T342" s="63"/>
      <c r="U342" s="94"/>
      <c r="V342" s="90"/>
      <c r="W342" s="91"/>
      <c r="X342" s="92"/>
      <c r="Y342" s="2"/>
    </row>
    <row r="343" spans="1:30">
      <c r="B343" s="121" t="s">
        <v>70</v>
      </c>
      <c r="C343" s="621"/>
      <c r="D343" s="123"/>
      <c r="E343" s="128"/>
      <c r="F343" s="124"/>
      <c r="G343" s="124"/>
      <c r="H343" s="124"/>
      <c r="I343" s="126"/>
      <c r="J343" s="127"/>
      <c r="K343" s="64"/>
      <c r="L343" s="64"/>
      <c r="M343" s="64"/>
      <c r="N343" s="64"/>
      <c r="O343" s="64"/>
      <c r="P343" s="64"/>
      <c r="Q343" s="64"/>
      <c r="R343" s="64"/>
      <c r="S343" s="64"/>
      <c r="T343" s="127"/>
      <c r="U343" s="135"/>
      <c r="V343" s="129"/>
      <c r="W343" s="130"/>
      <c r="X343" s="131"/>
      <c r="Y343" s="128"/>
    </row>
    <row r="344" spans="1:30" s="381" customFormat="1">
      <c r="A344" s="493" t="s">
        <v>249</v>
      </c>
      <c r="B344" s="372">
        <v>1</v>
      </c>
      <c r="C344" s="693">
        <v>45951</v>
      </c>
      <c r="D344" s="263" t="s">
        <v>2799</v>
      </c>
      <c r="E344" s="524" t="s">
        <v>168</v>
      </c>
      <c r="F344" s="375">
        <v>1609.9</v>
      </c>
      <c r="G344" s="375">
        <f>39.7+(36.4)</f>
        <v>76.099999999999994</v>
      </c>
      <c r="H344" s="375"/>
      <c r="I344" s="376">
        <f t="shared" ref="I344" si="55">F344-G344-H344</f>
        <v>1533.8000000000002</v>
      </c>
      <c r="J344" s="314" t="s">
        <v>156</v>
      </c>
      <c r="K344" s="314">
        <v>1</v>
      </c>
      <c r="L344" s="314"/>
      <c r="M344" s="314">
        <v>0</v>
      </c>
      <c r="N344" s="314">
        <v>1</v>
      </c>
      <c r="O344" s="314">
        <v>1</v>
      </c>
      <c r="P344" s="314">
        <v>0</v>
      </c>
      <c r="Q344" s="314"/>
      <c r="R344" s="314"/>
      <c r="S344" s="366"/>
      <c r="T344" s="325"/>
      <c r="U344" s="430" t="s">
        <v>2800</v>
      </c>
      <c r="V344" s="377">
        <f>170</f>
        <v>170</v>
      </c>
      <c r="W344" s="392"/>
      <c r="X344" s="379"/>
      <c r="Y344" s="380"/>
    </row>
    <row r="345" spans="1:30">
      <c r="B345" s="132"/>
      <c r="C345" s="621"/>
      <c r="D345" s="123"/>
      <c r="E345" s="123"/>
      <c r="F345" s="134">
        <f>SUM(F344:F344)</f>
        <v>1609.9</v>
      </c>
      <c r="G345" s="134">
        <f>SUM(G344:G344)</f>
        <v>76.099999999999994</v>
      </c>
      <c r="H345" s="134">
        <f>SUM(H344:H344)</f>
        <v>0</v>
      </c>
      <c r="I345" s="134">
        <f>SUM(I344:I344)</f>
        <v>1533.8000000000002</v>
      </c>
      <c r="J345" s="127"/>
      <c r="K345" s="64"/>
      <c r="L345" s="64"/>
      <c r="M345" s="64"/>
      <c r="N345" s="64"/>
      <c r="O345" s="64"/>
      <c r="P345" s="64"/>
      <c r="Q345" s="64"/>
      <c r="R345" s="64"/>
      <c r="S345" s="64"/>
      <c r="T345" s="127"/>
      <c r="U345" s="135"/>
      <c r="V345" s="129"/>
      <c r="W345" s="130"/>
      <c r="X345" s="131"/>
      <c r="Y345" s="128"/>
    </row>
    <row r="346" spans="1:30">
      <c r="B346" s="11"/>
      <c r="C346" s="621"/>
      <c r="D346" s="10"/>
      <c r="E346" s="10"/>
      <c r="F346" s="88"/>
      <c r="G346" s="88"/>
      <c r="H346" s="88"/>
      <c r="I346" s="99"/>
      <c r="J346" s="63"/>
      <c r="K346" s="21"/>
      <c r="L346" s="21"/>
      <c r="M346" s="21"/>
      <c r="N346" s="21"/>
      <c r="O346" s="21"/>
      <c r="P346" s="21"/>
      <c r="Q346" s="21"/>
      <c r="R346" s="21"/>
      <c r="S346" s="21"/>
      <c r="T346" s="63"/>
      <c r="U346" s="94"/>
      <c r="V346" s="90"/>
      <c r="W346" s="91"/>
      <c r="X346" s="92"/>
      <c r="Y346" s="2"/>
    </row>
    <row r="347" spans="1:30" s="260" customFormat="1">
      <c r="B347" s="100" t="s">
        <v>152</v>
      </c>
      <c r="C347" s="609"/>
      <c r="D347" s="10"/>
      <c r="E347" s="10"/>
      <c r="F347" s="88"/>
      <c r="G347" s="62"/>
      <c r="H347" s="88"/>
      <c r="I347" s="99"/>
      <c r="J347" s="63"/>
      <c r="K347" s="181"/>
      <c r="L347" s="181"/>
      <c r="M347" s="181"/>
      <c r="N347" s="181"/>
      <c r="O347" s="181"/>
      <c r="P347" s="181"/>
      <c r="Q347" s="181"/>
      <c r="R347" s="181"/>
      <c r="S347" s="181"/>
      <c r="T347" s="63"/>
      <c r="U347" s="10"/>
      <c r="V347" s="90"/>
      <c r="W347" s="91"/>
      <c r="X347" s="92"/>
    </row>
    <row r="348" spans="1:30" s="260" customFormat="1">
      <c r="A348" s="494">
        <v>0.05</v>
      </c>
      <c r="B348" s="87">
        <v>1</v>
      </c>
      <c r="C348" s="638">
        <v>45939</v>
      </c>
      <c r="D348" s="276">
        <v>74206</v>
      </c>
      <c r="E348" s="281" t="s">
        <v>497</v>
      </c>
      <c r="F348" s="277">
        <v>2287.6</v>
      </c>
      <c r="G348" s="277">
        <f>39.7+(187.33)+200</f>
        <v>427.03000000000003</v>
      </c>
      <c r="H348" s="277"/>
      <c r="I348" s="321">
        <f t="shared" ref="I348" si="56">F348-G348-H348</f>
        <v>1860.57</v>
      </c>
      <c r="J348" s="279" t="s">
        <v>156</v>
      </c>
      <c r="K348" s="279">
        <v>1</v>
      </c>
      <c r="L348" s="279">
        <v>1</v>
      </c>
      <c r="M348" s="279">
        <v>1</v>
      </c>
      <c r="N348" s="279">
        <v>1</v>
      </c>
      <c r="O348" s="279">
        <v>1</v>
      </c>
      <c r="P348" s="279">
        <v>1</v>
      </c>
      <c r="Q348" s="279">
        <v>1</v>
      </c>
      <c r="R348" s="279">
        <v>1</v>
      </c>
      <c r="S348" s="328">
        <v>0</v>
      </c>
      <c r="T348" s="63"/>
      <c r="U348" s="10"/>
      <c r="V348" s="90"/>
      <c r="W348" s="91"/>
      <c r="X348" s="92"/>
    </row>
    <row r="349" spans="1:30" s="260" customFormat="1">
      <c r="A349" s="494" t="s">
        <v>619</v>
      </c>
      <c r="B349" s="87">
        <f>B348+1</f>
        <v>2</v>
      </c>
      <c r="C349" s="641">
        <v>45947</v>
      </c>
      <c r="D349" s="271" t="s">
        <v>2771</v>
      </c>
      <c r="E349" s="271" t="s">
        <v>456</v>
      </c>
      <c r="F349" s="265">
        <v>4871.6000000000004</v>
      </c>
      <c r="G349" s="265">
        <f>39.7+2500</f>
        <v>2539.6999999999998</v>
      </c>
      <c r="H349" s="265"/>
      <c r="I349" s="266">
        <f>F349-G349-H349</f>
        <v>2331.9000000000005</v>
      </c>
      <c r="J349" s="267" t="s">
        <v>156</v>
      </c>
      <c r="K349" s="267">
        <v>1</v>
      </c>
      <c r="L349" s="267"/>
      <c r="M349" s="314">
        <v>0</v>
      </c>
      <c r="N349" s="267">
        <v>1</v>
      </c>
      <c r="O349" s="267">
        <v>1</v>
      </c>
      <c r="P349" s="267">
        <v>1</v>
      </c>
      <c r="Q349" s="314">
        <v>0</v>
      </c>
      <c r="R349" s="314">
        <v>0</v>
      </c>
      <c r="S349" s="366">
        <v>0</v>
      </c>
      <c r="T349" s="63"/>
      <c r="U349" s="94" t="s">
        <v>2772</v>
      </c>
      <c r="V349" s="90"/>
      <c r="W349" s="136"/>
      <c r="X349" s="137"/>
    </row>
    <row r="350" spans="1:30" s="260" customFormat="1">
      <c r="B350" s="11"/>
      <c r="C350" s="621"/>
      <c r="D350" s="10"/>
      <c r="E350" s="10"/>
      <c r="F350" s="98">
        <f>SUM(F348:F349)</f>
        <v>7159.2000000000007</v>
      </c>
      <c r="G350" s="98">
        <f t="shared" ref="G350:I350" si="57">SUM(G348:G349)</f>
        <v>2966.73</v>
      </c>
      <c r="H350" s="98">
        <f t="shared" si="57"/>
        <v>0</v>
      </c>
      <c r="I350" s="98">
        <f t="shared" si="57"/>
        <v>4192.47</v>
      </c>
      <c r="J350" s="63"/>
      <c r="K350" s="21"/>
      <c r="L350" s="21"/>
      <c r="M350" s="21"/>
      <c r="N350" s="21"/>
      <c r="O350" s="21"/>
      <c r="P350" s="21"/>
      <c r="Q350" s="21"/>
      <c r="R350" s="21"/>
      <c r="S350" s="21"/>
      <c r="T350" s="63"/>
      <c r="U350" s="10"/>
      <c r="V350" s="90"/>
      <c r="W350" s="91"/>
      <c r="X350" s="92"/>
    </row>
    <row r="351" spans="1:30" s="260" customFormat="1">
      <c r="B351" s="11"/>
      <c r="C351" s="621"/>
      <c r="D351" s="10"/>
      <c r="E351" s="10"/>
      <c r="F351" s="88"/>
      <c r="G351" s="88"/>
      <c r="H351" s="88"/>
      <c r="I351" s="99"/>
      <c r="J351" s="63"/>
      <c r="K351" s="21"/>
      <c r="L351" s="21"/>
      <c r="M351" s="21"/>
      <c r="N351" s="21"/>
      <c r="O351" s="21"/>
      <c r="P351" s="21"/>
      <c r="Q351" s="21"/>
      <c r="R351" s="21"/>
      <c r="S351" s="21"/>
      <c r="T351" s="63"/>
      <c r="U351" s="10"/>
      <c r="V351" s="90"/>
      <c r="W351" s="91"/>
      <c r="X351" s="92"/>
    </row>
    <row r="352" spans="1:30" s="260" customFormat="1">
      <c r="B352" s="11"/>
      <c r="C352" s="621"/>
      <c r="D352" s="10"/>
      <c r="E352" s="10"/>
      <c r="F352" s="88"/>
      <c r="G352" s="88"/>
      <c r="H352" s="88"/>
      <c r="I352" s="99"/>
      <c r="J352" s="63"/>
      <c r="K352" s="21"/>
      <c r="L352" s="21"/>
      <c r="M352" s="21"/>
      <c r="N352" s="21"/>
      <c r="O352" s="21"/>
      <c r="P352" s="21"/>
      <c r="Q352" s="21"/>
      <c r="R352" s="21"/>
      <c r="S352" s="21"/>
      <c r="T352" s="63"/>
      <c r="U352" s="94"/>
      <c r="V352" s="90"/>
      <c r="W352" s="91"/>
      <c r="X352" s="92"/>
    </row>
    <row r="353" spans="1:25">
      <c r="A353" s="615"/>
      <c r="B353" s="100" t="s">
        <v>1521</v>
      </c>
      <c r="C353" s="621"/>
      <c r="D353" s="123"/>
      <c r="E353" s="128"/>
      <c r="F353" s="124"/>
      <c r="G353" s="124"/>
      <c r="H353" s="124"/>
      <c r="I353" s="126"/>
      <c r="J353" s="127"/>
      <c r="K353" s="64"/>
      <c r="L353" s="64"/>
      <c r="M353" s="64"/>
      <c r="N353" s="64"/>
      <c r="O353" s="64"/>
      <c r="P353" s="64"/>
      <c r="Q353" s="64"/>
      <c r="R353" s="64"/>
      <c r="S353" s="64"/>
      <c r="T353" s="127"/>
      <c r="U353" s="135"/>
      <c r="V353" s="129"/>
      <c r="W353" s="130"/>
      <c r="X353" s="131"/>
    </row>
    <row r="354" spans="1:25" s="260" customFormat="1">
      <c r="A354" s="494">
        <v>0.05</v>
      </c>
      <c r="B354" s="87">
        <v>1</v>
      </c>
      <c r="C354" s="641">
        <v>45947</v>
      </c>
      <c r="D354" s="271">
        <v>74524</v>
      </c>
      <c r="E354" s="271" t="s">
        <v>155</v>
      </c>
      <c r="F354" s="265">
        <v>861</v>
      </c>
      <c r="G354" s="265">
        <f>39.7</f>
        <v>39.700000000000003</v>
      </c>
      <c r="H354" s="265"/>
      <c r="I354" s="266">
        <f>F354-G354-H354</f>
        <v>821.3</v>
      </c>
      <c r="J354" s="267" t="s">
        <v>156</v>
      </c>
      <c r="K354" s="267">
        <v>1</v>
      </c>
      <c r="L354" s="267"/>
      <c r="M354" s="314">
        <v>0</v>
      </c>
      <c r="N354" s="267">
        <v>1</v>
      </c>
      <c r="O354" s="267">
        <v>1</v>
      </c>
      <c r="P354" s="267">
        <v>1</v>
      </c>
      <c r="Q354" s="267"/>
      <c r="R354" s="267"/>
      <c r="S354" s="269"/>
      <c r="T354" s="63"/>
      <c r="U354" s="10" t="s">
        <v>2773</v>
      </c>
      <c r="V354" s="90"/>
      <c r="W354" s="136"/>
      <c r="X354" s="137"/>
    </row>
    <row r="355" spans="1:25" s="260" customFormat="1">
      <c r="A355" s="704"/>
      <c r="B355" s="11"/>
      <c r="C355" s="621"/>
      <c r="D355" s="10"/>
      <c r="E355" s="10"/>
      <c r="F355" s="98">
        <f>SUM(F354)</f>
        <v>861</v>
      </c>
      <c r="G355" s="98">
        <f t="shared" ref="G355:I355" si="58">SUM(G354)</f>
        <v>39.700000000000003</v>
      </c>
      <c r="H355" s="98">
        <f t="shared" si="58"/>
        <v>0</v>
      </c>
      <c r="I355" s="98">
        <f t="shared" si="58"/>
        <v>821.3</v>
      </c>
      <c r="J355" s="63"/>
      <c r="K355" s="21"/>
      <c r="L355" s="21"/>
      <c r="M355" s="21"/>
      <c r="N355" s="21"/>
      <c r="O355" s="21"/>
      <c r="P355" s="21"/>
      <c r="Q355" s="21"/>
      <c r="R355" s="21"/>
      <c r="S355" s="21"/>
      <c r="T355" s="63"/>
      <c r="U355" s="94"/>
      <c r="V355" s="90"/>
      <c r="W355" s="91"/>
      <c r="X355" s="92"/>
    </row>
    <row r="356" spans="1:25">
      <c r="A356" s="614"/>
      <c r="B356" s="11"/>
      <c r="C356" s="609"/>
      <c r="D356" s="10"/>
      <c r="E356" s="10"/>
      <c r="F356" s="88"/>
      <c r="G356" s="88"/>
      <c r="H356" s="88"/>
      <c r="I356" s="99"/>
      <c r="J356" s="63"/>
      <c r="K356" s="21"/>
      <c r="L356" s="21"/>
      <c r="M356" s="21"/>
      <c r="N356" s="21"/>
      <c r="O356" s="21"/>
      <c r="P356" s="21"/>
      <c r="Q356" s="21"/>
      <c r="R356" s="21"/>
      <c r="S356" s="21"/>
      <c r="T356" s="63"/>
      <c r="U356" s="94"/>
      <c r="V356" s="90"/>
      <c r="W356" s="91"/>
      <c r="X356" s="92"/>
    </row>
    <row r="357" spans="1:25">
      <c r="B357" s="100" t="s">
        <v>72</v>
      </c>
      <c r="C357" s="621"/>
      <c r="D357" s="10"/>
      <c r="E357" s="10"/>
      <c r="F357" s="88"/>
      <c r="G357" s="88"/>
      <c r="H357" s="88"/>
      <c r="I357" s="99"/>
      <c r="J357" s="63"/>
      <c r="K357" s="63"/>
      <c r="L357" s="63"/>
      <c r="M357" s="63"/>
      <c r="N357" s="63"/>
      <c r="O357" s="63"/>
      <c r="P357" s="63"/>
      <c r="Q357" s="63"/>
      <c r="R357" s="63"/>
      <c r="S357" s="63"/>
      <c r="T357" s="63"/>
      <c r="U357" s="10"/>
      <c r="V357" s="90"/>
      <c r="W357" s="91"/>
      <c r="X357" s="92"/>
      <c r="Y357" s="2"/>
    </row>
    <row r="358" spans="1:25">
      <c r="B358" s="87">
        <v>1</v>
      </c>
      <c r="C358" s="638">
        <v>45950</v>
      </c>
      <c r="D358" s="276">
        <v>74541</v>
      </c>
      <c r="E358" s="276" t="s">
        <v>168</v>
      </c>
      <c r="F358" s="277">
        <v>1138</v>
      </c>
      <c r="G358" s="277">
        <v>39.700000000000003</v>
      </c>
      <c r="H358" s="277"/>
      <c r="I358" s="278">
        <f t="shared" ref="I358:I367" si="59">F358-G358-H358</f>
        <v>1098.3</v>
      </c>
      <c r="J358" s="279" t="s">
        <v>205</v>
      </c>
      <c r="K358" s="279">
        <v>1</v>
      </c>
      <c r="L358" s="279"/>
      <c r="M358" s="279"/>
      <c r="N358" s="279">
        <v>1</v>
      </c>
      <c r="O358" s="279"/>
      <c r="P358" s="279"/>
      <c r="Q358" s="279">
        <v>1</v>
      </c>
      <c r="R358" s="279">
        <v>1</v>
      </c>
      <c r="S358" s="280">
        <v>1</v>
      </c>
      <c r="T358" s="63"/>
      <c r="U358" s="3"/>
      <c r="V358" s="90"/>
      <c r="W358" s="91"/>
      <c r="X358" s="92"/>
      <c r="Y358" s="2"/>
    </row>
    <row r="359" spans="1:25">
      <c r="B359" s="87">
        <f t="shared" ref="B359:B367" si="60">B358+1</f>
        <v>2</v>
      </c>
      <c r="C359" s="639">
        <v>45950</v>
      </c>
      <c r="D359" s="10">
        <v>74603</v>
      </c>
      <c r="E359" s="10" t="s">
        <v>1863</v>
      </c>
      <c r="F359" s="62">
        <v>2561</v>
      </c>
      <c r="G359" s="62">
        <v>39.700000000000003</v>
      </c>
      <c r="H359" s="62"/>
      <c r="I359" s="89">
        <f t="shared" si="59"/>
        <v>2521.3000000000002</v>
      </c>
      <c r="J359" s="63" t="s">
        <v>205</v>
      </c>
      <c r="K359" s="63">
        <v>1</v>
      </c>
      <c r="L359" s="63"/>
      <c r="M359" s="63"/>
      <c r="N359" s="63">
        <v>1</v>
      </c>
      <c r="O359" s="63"/>
      <c r="P359" s="63"/>
      <c r="Q359" s="63">
        <v>1</v>
      </c>
      <c r="R359" s="63">
        <v>1</v>
      </c>
      <c r="S359" s="296">
        <v>1</v>
      </c>
      <c r="T359" s="63"/>
      <c r="U359" s="10"/>
      <c r="V359" s="90"/>
      <c r="W359" s="136"/>
      <c r="X359" s="137"/>
      <c r="Y359" s="2"/>
    </row>
    <row r="360" spans="1:25">
      <c r="B360" s="87">
        <f t="shared" si="60"/>
        <v>3</v>
      </c>
      <c r="C360" s="639">
        <v>45950</v>
      </c>
      <c r="D360" s="10">
        <v>74644</v>
      </c>
      <c r="E360" s="10" t="s">
        <v>2372</v>
      </c>
      <c r="F360" s="62">
        <v>8214</v>
      </c>
      <c r="G360" s="62">
        <v>39.700000000000003</v>
      </c>
      <c r="H360" s="62"/>
      <c r="I360" s="89">
        <f t="shared" si="59"/>
        <v>8174.3</v>
      </c>
      <c r="J360" s="63" t="s">
        <v>156</v>
      </c>
      <c r="K360" s="63">
        <v>1</v>
      </c>
      <c r="L360" s="63"/>
      <c r="M360" s="63">
        <v>1</v>
      </c>
      <c r="N360" s="63">
        <v>1</v>
      </c>
      <c r="O360" s="63"/>
      <c r="P360" s="63"/>
      <c r="Q360" s="63"/>
      <c r="R360" s="63"/>
      <c r="S360" s="296"/>
      <c r="T360" s="63"/>
      <c r="U360" s="10"/>
      <c r="V360" s="90">
        <v>203.5</v>
      </c>
      <c r="W360" s="136"/>
      <c r="X360" s="137"/>
      <c r="Y360" s="2"/>
    </row>
    <row r="361" spans="1:25">
      <c r="B361" s="87">
        <f t="shared" si="60"/>
        <v>4</v>
      </c>
      <c r="C361" s="638">
        <v>45951</v>
      </c>
      <c r="D361" s="276">
        <v>74657</v>
      </c>
      <c r="E361" s="276" t="s">
        <v>388</v>
      </c>
      <c r="F361" s="277">
        <v>681</v>
      </c>
      <c r="G361" s="277"/>
      <c r="H361" s="277"/>
      <c r="I361" s="278">
        <f t="shared" si="59"/>
        <v>681</v>
      </c>
      <c r="J361" s="279" t="s">
        <v>205</v>
      </c>
      <c r="K361" s="279">
        <v>1</v>
      </c>
      <c r="L361" s="279"/>
      <c r="M361" s="279"/>
      <c r="N361" s="279">
        <v>1</v>
      </c>
      <c r="O361" s="279"/>
      <c r="P361" s="279"/>
      <c r="Q361" s="279">
        <v>1</v>
      </c>
      <c r="R361" s="279">
        <v>1</v>
      </c>
      <c r="S361" s="280"/>
      <c r="T361" s="63"/>
      <c r="U361" s="10"/>
      <c r="V361" s="90"/>
      <c r="W361" s="136"/>
      <c r="X361" s="137"/>
      <c r="Y361" s="2"/>
    </row>
    <row r="362" spans="1:25">
      <c r="B362" s="87">
        <f t="shared" si="60"/>
        <v>5</v>
      </c>
      <c r="C362" s="639">
        <v>45951</v>
      </c>
      <c r="D362" s="77" t="s">
        <v>2801</v>
      </c>
      <c r="E362" s="10" t="s">
        <v>426</v>
      </c>
      <c r="F362" s="62">
        <v>16214</v>
      </c>
      <c r="G362" s="62">
        <v>39.700000000000003</v>
      </c>
      <c r="H362" s="62"/>
      <c r="I362" s="89">
        <f t="shared" si="59"/>
        <v>16174.3</v>
      </c>
      <c r="J362" s="63" t="s">
        <v>205</v>
      </c>
      <c r="K362" s="63">
        <v>1</v>
      </c>
      <c r="L362" s="63"/>
      <c r="M362" s="63"/>
      <c r="N362" s="63">
        <v>1</v>
      </c>
      <c r="O362" s="63"/>
      <c r="P362" s="63"/>
      <c r="Q362" s="63"/>
      <c r="R362" s="63"/>
      <c r="S362" s="296"/>
      <c r="T362" s="63"/>
      <c r="U362" s="10"/>
      <c r="V362" s="90"/>
      <c r="W362" s="136"/>
      <c r="X362" s="137"/>
      <c r="Y362" s="2"/>
    </row>
    <row r="363" spans="1:25">
      <c r="B363" s="87">
        <f t="shared" si="60"/>
        <v>6</v>
      </c>
      <c r="C363" s="639">
        <v>45951</v>
      </c>
      <c r="D363" s="10">
        <v>74670</v>
      </c>
      <c r="E363" s="101" t="s">
        <v>1923</v>
      </c>
      <c r="F363" s="62">
        <v>5232.6000000000004</v>
      </c>
      <c r="G363" s="62">
        <v>39.700000000000003</v>
      </c>
      <c r="H363" s="62"/>
      <c r="I363" s="89">
        <f t="shared" si="59"/>
        <v>5192.9000000000005</v>
      </c>
      <c r="J363" s="63" t="s">
        <v>205</v>
      </c>
      <c r="K363" s="63">
        <v>1</v>
      </c>
      <c r="L363" s="63"/>
      <c r="M363" s="63"/>
      <c r="N363" s="63">
        <v>1</v>
      </c>
      <c r="O363" s="63"/>
      <c r="P363" s="63"/>
      <c r="Q363" s="63">
        <v>1</v>
      </c>
      <c r="R363" s="63">
        <v>1</v>
      </c>
      <c r="S363" s="296"/>
      <c r="T363" s="63"/>
      <c r="U363" s="10"/>
      <c r="V363" s="90"/>
      <c r="W363" s="136"/>
      <c r="X363" s="137"/>
      <c r="Y363" s="2"/>
    </row>
    <row r="364" spans="1:25">
      <c r="B364" s="87">
        <f>B363+1</f>
        <v>7</v>
      </c>
      <c r="C364" s="639">
        <v>45951</v>
      </c>
      <c r="D364" s="77" t="s">
        <v>2802</v>
      </c>
      <c r="E364" s="101" t="s">
        <v>1942</v>
      </c>
      <c r="F364" s="62">
        <v>1138</v>
      </c>
      <c r="G364" s="62">
        <f>39.7</f>
        <v>39.700000000000003</v>
      </c>
      <c r="H364" s="62"/>
      <c r="I364" s="89">
        <f t="shared" si="59"/>
        <v>1098.3</v>
      </c>
      <c r="J364" s="63" t="s">
        <v>205</v>
      </c>
      <c r="K364" s="63">
        <v>1</v>
      </c>
      <c r="L364" s="63"/>
      <c r="M364" s="63"/>
      <c r="N364" s="63">
        <v>1</v>
      </c>
      <c r="O364" s="63"/>
      <c r="P364" s="63"/>
      <c r="Q364" s="63"/>
      <c r="R364" s="63"/>
      <c r="S364" s="296"/>
      <c r="T364" s="63"/>
      <c r="U364" s="10"/>
      <c r="V364" s="90"/>
      <c r="W364" s="136"/>
      <c r="X364" s="137"/>
      <c r="Y364" s="2"/>
    </row>
    <row r="365" spans="1:25">
      <c r="B365" s="87">
        <f>B364+1</f>
        <v>8</v>
      </c>
      <c r="C365" s="638">
        <v>45953</v>
      </c>
      <c r="D365" s="276">
        <v>74765</v>
      </c>
      <c r="E365" s="281" t="s">
        <v>294</v>
      </c>
      <c r="F365" s="277">
        <v>4280</v>
      </c>
      <c r="G365" s="277">
        <v>39.700000000000003</v>
      </c>
      <c r="H365" s="277"/>
      <c r="I365" s="278">
        <f t="shared" si="59"/>
        <v>4240.3</v>
      </c>
      <c r="J365" s="279" t="s">
        <v>205</v>
      </c>
      <c r="K365" s="279">
        <v>1</v>
      </c>
      <c r="L365" s="279"/>
      <c r="M365" s="279"/>
      <c r="N365" s="279">
        <v>1</v>
      </c>
      <c r="O365" s="279"/>
      <c r="P365" s="279"/>
      <c r="Q365" s="279"/>
      <c r="R365" s="279"/>
      <c r="S365" s="280"/>
      <c r="T365" s="63"/>
      <c r="U365" s="10"/>
      <c r="V365" s="90"/>
      <c r="W365" s="136"/>
      <c r="X365" s="137"/>
      <c r="Y365" s="2"/>
    </row>
    <row r="366" spans="1:25">
      <c r="B366" s="87">
        <f t="shared" si="60"/>
        <v>9</v>
      </c>
      <c r="C366" s="639">
        <v>45953</v>
      </c>
      <c r="D366" s="77" t="s">
        <v>2803</v>
      </c>
      <c r="E366" s="101" t="s">
        <v>294</v>
      </c>
      <c r="F366" s="62">
        <v>8641</v>
      </c>
      <c r="G366" s="62">
        <v>39.700000000000003</v>
      </c>
      <c r="H366" s="62"/>
      <c r="I366" s="89">
        <f t="shared" si="59"/>
        <v>8601.2999999999993</v>
      </c>
      <c r="J366" s="63" t="s">
        <v>205</v>
      </c>
      <c r="K366" s="63">
        <v>1</v>
      </c>
      <c r="L366" s="63"/>
      <c r="M366" s="63"/>
      <c r="N366" s="63">
        <v>1</v>
      </c>
      <c r="O366" s="63"/>
      <c r="P366" s="63"/>
      <c r="Q366" s="63"/>
      <c r="R366" s="63"/>
      <c r="S366" s="296"/>
      <c r="T366" s="63"/>
      <c r="U366" s="10"/>
      <c r="V366" s="90"/>
      <c r="W366" s="136"/>
      <c r="X366" s="137"/>
      <c r="Y366" s="2"/>
    </row>
    <row r="367" spans="1:25">
      <c r="B367" s="87">
        <f t="shared" si="60"/>
        <v>10</v>
      </c>
      <c r="C367" s="640">
        <v>45953</v>
      </c>
      <c r="D367" s="283">
        <v>74760</v>
      </c>
      <c r="E367" s="319" t="s">
        <v>659</v>
      </c>
      <c r="F367" s="284">
        <v>0</v>
      </c>
      <c r="G367" s="284">
        <v>0</v>
      </c>
      <c r="H367" s="284"/>
      <c r="I367" s="285">
        <f t="shared" si="59"/>
        <v>0</v>
      </c>
      <c r="J367" s="286" t="s">
        <v>205</v>
      </c>
      <c r="K367" s="286"/>
      <c r="L367" s="286"/>
      <c r="M367" s="286"/>
      <c r="N367" s="286"/>
      <c r="O367" s="286"/>
      <c r="P367" s="286"/>
      <c r="Q367" s="286"/>
      <c r="R367" s="286"/>
      <c r="S367" s="287"/>
      <c r="T367" s="63"/>
      <c r="U367" s="10"/>
      <c r="V367" s="90"/>
      <c r="W367" s="136"/>
      <c r="X367" s="137"/>
      <c r="Y367" s="2"/>
    </row>
    <row r="368" spans="1:25">
      <c r="B368" s="11"/>
      <c r="C368" s="621"/>
      <c r="D368" s="10"/>
      <c r="E368" s="10"/>
      <c r="F368" s="97">
        <f>SUM(F358:F367)</f>
        <v>48099.6</v>
      </c>
      <c r="G368" s="97">
        <f>SUM(G358:G367)</f>
        <v>317.59999999999997</v>
      </c>
      <c r="H368" s="97">
        <f>SUM(H358:H367)</f>
        <v>0</v>
      </c>
      <c r="I368" s="98">
        <f>SUM(I358:I367)</f>
        <v>47782</v>
      </c>
      <c r="J368" s="10"/>
      <c r="K368" s="10"/>
      <c r="L368" s="10"/>
      <c r="M368" s="10"/>
      <c r="N368" s="10"/>
      <c r="O368" s="10"/>
      <c r="P368" s="10"/>
      <c r="Q368" s="10"/>
      <c r="R368" s="10"/>
      <c r="S368" s="10"/>
      <c r="T368" s="63"/>
      <c r="U368" s="10"/>
      <c r="V368" s="138"/>
      <c r="W368" s="136"/>
      <c r="X368" s="137"/>
      <c r="Y368" s="2"/>
    </row>
    <row r="369" spans="2:25">
      <c r="B369" s="26"/>
      <c r="C369" s="612"/>
      <c r="D369" s="141"/>
      <c r="E369" s="141"/>
      <c r="F369" s="141"/>
      <c r="G369" s="141"/>
      <c r="H369" s="141"/>
      <c r="I369" s="141"/>
      <c r="J369" s="141"/>
      <c r="K369" s="142"/>
      <c r="L369" s="142"/>
      <c r="M369" s="142"/>
      <c r="N369" s="142"/>
      <c r="O369" s="142"/>
      <c r="P369" s="142"/>
      <c r="Q369" s="142"/>
      <c r="R369" s="142"/>
      <c r="S369" s="142"/>
      <c r="T369" s="143">
        <f>SUM(T320:T368)</f>
        <v>1</v>
      </c>
      <c r="U369" s="141"/>
      <c r="V369" s="144">
        <f>SUM(V320:V368)</f>
        <v>20369.28</v>
      </c>
      <c r="W369" s="144">
        <f t="shared" ref="W369:X369" si="61">SUM(W320:W368)</f>
        <v>0</v>
      </c>
      <c r="X369" s="144">
        <f t="shared" si="61"/>
        <v>0</v>
      </c>
      <c r="Y369" s="2"/>
    </row>
    <row r="370" spans="2:25">
      <c r="B370" s="10"/>
      <c r="C370" s="36"/>
      <c r="D370" s="10"/>
      <c r="E370" s="10"/>
      <c r="F370" s="10"/>
      <c r="G370" s="10"/>
      <c r="H370" s="10"/>
      <c r="I370" s="10"/>
      <c r="J370" s="10"/>
      <c r="K370" s="147"/>
      <c r="L370" s="147"/>
      <c r="M370" s="147"/>
      <c r="N370" s="147"/>
      <c r="O370" s="147"/>
      <c r="P370" s="147"/>
      <c r="Q370" s="147"/>
      <c r="R370" s="147"/>
      <c r="S370" s="147"/>
      <c r="T370" s="21"/>
      <c r="U370" s="10"/>
      <c r="V370" s="99"/>
      <c r="W370" s="99"/>
      <c r="X370" s="99"/>
      <c r="Y370" s="2"/>
    </row>
    <row r="372" spans="2:25">
      <c r="B372" s="4" t="s">
        <v>1</v>
      </c>
      <c r="C372" s="5"/>
      <c r="D372" s="6"/>
      <c r="E372" s="6"/>
      <c r="F372" s="7" t="s">
        <v>2</v>
      </c>
      <c r="G372" s="608">
        <v>45963</v>
      </c>
      <c r="H372" s="7"/>
      <c r="I372" s="6"/>
      <c r="J372" s="6"/>
      <c r="K372" s="6"/>
      <c r="L372" s="6"/>
      <c r="M372" s="6"/>
      <c r="N372" s="6"/>
      <c r="O372" s="6"/>
      <c r="P372" s="6"/>
      <c r="Q372" s="6"/>
      <c r="R372" s="6"/>
      <c r="S372" s="6"/>
      <c r="T372" s="6"/>
      <c r="U372" s="9"/>
      <c r="V372" s="10"/>
      <c r="W372" s="10"/>
      <c r="X372" s="10"/>
      <c r="Y372" s="2"/>
    </row>
    <row r="373" spans="2:25">
      <c r="B373" s="11"/>
      <c r="C373" s="10"/>
      <c r="D373" s="10"/>
      <c r="E373" s="10"/>
      <c r="F373" s="10"/>
      <c r="G373" s="7"/>
      <c r="H373" s="12"/>
      <c r="I373" s="10"/>
      <c r="J373" s="10"/>
      <c r="K373" s="13" t="s">
        <v>3</v>
      </c>
      <c r="L373" s="14"/>
      <c r="M373" s="15"/>
      <c r="N373" s="13" t="s">
        <v>4</v>
      </c>
      <c r="O373" s="14"/>
      <c r="P373" s="15"/>
      <c r="Q373" s="13" t="s">
        <v>5</v>
      </c>
      <c r="R373" s="14"/>
      <c r="S373" s="15"/>
      <c r="T373" s="16"/>
      <c r="U373" s="17"/>
      <c r="V373" s="10"/>
      <c r="W373" s="10"/>
      <c r="X373" s="10"/>
      <c r="Y373" s="2"/>
    </row>
    <row r="374" spans="2:25">
      <c r="B374" s="18" t="s">
        <v>6</v>
      </c>
      <c r="C374" s="19">
        <f>C375+C376</f>
        <v>0</v>
      </c>
      <c r="D374" s="10"/>
      <c r="E374" s="18" t="s">
        <v>7</v>
      </c>
      <c r="F374" s="6"/>
      <c r="G374" s="9"/>
      <c r="H374" s="10"/>
      <c r="I374" s="10"/>
      <c r="J374" s="10"/>
      <c r="K374" s="20" t="s">
        <v>8</v>
      </c>
      <c r="L374" s="21" t="s">
        <v>9</v>
      </c>
      <c r="M374" s="21" t="s">
        <v>10</v>
      </c>
      <c r="N374" s="20" t="s">
        <v>11</v>
      </c>
      <c r="O374" s="21" t="s">
        <v>12</v>
      </c>
      <c r="P374" s="22" t="s">
        <v>13</v>
      </c>
      <c r="Q374" s="21" t="s">
        <v>11</v>
      </c>
      <c r="R374" s="21" t="s">
        <v>12</v>
      </c>
      <c r="S374" s="22" t="s">
        <v>13</v>
      </c>
      <c r="T374" s="23" t="s">
        <v>14</v>
      </c>
      <c r="U374" s="17"/>
      <c r="V374" s="10"/>
      <c r="W374" s="10"/>
      <c r="X374" s="10"/>
      <c r="Y374" s="2"/>
    </row>
    <row r="375" spans="2:25">
      <c r="B375" s="24" t="s">
        <v>15</v>
      </c>
      <c r="C375" s="25">
        <f>P382</f>
        <v>0</v>
      </c>
      <c r="D375" s="10"/>
      <c r="E375" s="26" t="s">
        <v>16</v>
      </c>
      <c r="F375" s="27">
        <v>0.05</v>
      </c>
      <c r="G375" s="28"/>
      <c r="H375" s="10"/>
      <c r="I375" s="10"/>
      <c r="J375" s="18" t="s">
        <v>17</v>
      </c>
      <c r="K375" s="29">
        <f>K401</f>
        <v>0</v>
      </c>
      <c r="L375" s="29">
        <f t="shared" ref="L375:S375" si="62">L401</f>
        <v>0</v>
      </c>
      <c r="M375" s="29">
        <f t="shared" si="62"/>
        <v>0</v>
      </c>
      <c r="N375" s="29">
        <f t="shared" si="62"/>
        <v>0</v>
      </c>
      <c r="O375" s="29">
        <f t="shared" si="62"/>
        <v>0</v>
      </c>
      <c r="P375" s="29">
        <f t="shared" si="62"/>
        <v>0</v>
      </c>
      <c r="Q375" s="29">
        <f t="shared" si="62"/>
        <v>0</v>
      </c>
      <c r="R375" s="29">
        <f t="shared" si="62"/>
        <v>0</v>
      </c>
      <c r="S375" s="29">
        <f t="shared" si="62"/>
        <v>0</v>
      </c>
      <c r="T375" s="30">
        <f>T411</f>
        <v>0</v>
      </c>
      <c r="U375" s="17"/>
      <c r="V375" s="10"/>
      <c r="W375" s="10"/>
      <c r="X375" s="10"/>
      <c r="Y375" s="2"/>
    </row>
    <row r="376" spans="2:25">
      <c r="B376" s="24" t="s">
        <v>18</v>
      </c>
      <c r="C376" s="25">
        <f>P383</f>
        <v>0</v>
      </c>
      <c r="D376" s="10"/>
      <c r="E376" s="10"/>
      <c r="F376" s="10"/>
      <c r="G376" s="31"/>
      <c r="H376" s="10"/>
      <c r="I376" s="10"/>
      <c r="J376" s="32" t="s">
        <v>19</v>
      </c>
      <c r="K376" s="33" t="e">
        <f>K401/K400</f>
        <v>#DIV/0!</v>
      </c>
      <c r="L376" s="33" t="e">
        <f t="shared" ref="L376:S376" si="63">L401/L400</f>
        <v>#DIV/0!</v>
      </c>
      <c r="M376" s="33" t="e">
        <f t="shared" si="63"/>
        <v>#DIV/0!</v>
      </c>
      <c r="N376" s="33" t="e">
        <f t="shared" si="63"/>
        <v>#DIV/0!</v>
      </c>
      <c r="O376" s="33" t="e">
        <f t="shared" si="63"/>
        <v>#DIV/0!</v>
      </c>
      <c r="P376" s="33" t="e">
        <f t="shared" si="63"/>
        <v>#DIV/0!</v>
      </c>
      <c r="Q376" s="33" t="e">
        <f t="shared" si="63"/>
        <v>#DIV/0!</v>
      </c>
      <c r="R376" s="33" t="e">
        <f t="shared" si="63"/>
        <v>#DIV/0!</v>
      </c>
      <c r="S376" s="33" t="e">
        <f t="shared" si="63"/>
        <v>#DIV/0!</v>
      </c>
      <c r="T376" s="23"/>
      <c r="U376" s="17" t="s">
        <v>20</v>
      </c>
      <c r="V376" s="10"/>
      <c r="W376" s="10"/>
      <c r="X376" s="10"/>
      <c r="Y376" s="2"/>
    </row>
    <row r="377" spans="2:25">
      <c r="B377" s="24" t="s">
        <v>21</v>
      </c>
      <c r="C377" s="34" t="e">
        <f>P384</f>
        <v>#DIV/0!</v>
      </c>
      <c r="D377" s="10"/>
      <c r="E377" s="10"/>
      <c r="F377" s="10"/>
      <c r="G377" s="10"/>
      <c r="H377" s="10"/>
      <c r="I377" s="10"/>
      <c r="J377" s="10"/>
      <c r="K377" s="10"/>
      <c r="L377" s="10"/>
      <c r="M377" s="10"/>
      <c r="N377" s="10"/>
      <c r="O377" s="10"/>
      <c r="P377" s="10"/>
      <c r="Q377" s="10"/>
      <c r="R377" s="10"/>
      <c r="S377" s="10"/>
      <c r="T377" s="10"/>
      <c r="U377" s="17"/>
      <c r="V377" s="10"/>
      <c r="W377" s="10"/>
      <c r="X377" s="10"/>
      <c r="Y377" s="2"/>
    </row>
    <row r="378" spans="2:25">
      <c r="B378" s="24"/>
      <c r="C378" s="25"/>
      <c r="D378" s="10"/>
      <c r="E378" s="10"/>
      <c r="F378" s="18" t="s">
        <v>22</v>
      </c>
      <c r="G378" s="19" t="s">
        <v>23</v>
      </c>
      <c r="H378" s="35" t="s">
        <v>24</v>
      </c>
      <c r="I378" s="10"/>
      <c r="J378" s="10"/>
      <c r="K378" s="36"/>
      <c r="L378" s="36"/>
      <c r="M378" s="36"/>
      <c r="N378" s="36"/>
      <c r="O378" s="36"/>
      <c r="P378" s="36"/>
      <c r="Q378" s="36"/>
      <c r="R378" s="10"/>
      <c r="S378" s="10"/>
      <c r="T378" s="10"/>
      <c r="U378" s="17"/>
      <c r="V378" s="10"/>
      <c r="W378" s="10"/>
      <c r="X378" s="10"/>
      <c r="Y378" s="2"/>
    </row>
    <row r="379" spans="2:25">
      <c r="B379" s="32" t="s">
        <v>25</v>
      </c>
      <c r="C379" s="37" t="e">
        <f>P385</f>
        <v>#DIV/0!</v>
      </c>
      <c r="D379" s="10"/>
      <c r="E379" s="18" t="s">
        <v>26</v>
      </c>
      <c r="F379" s="38">
        <f>P381</f>
        <v>0</v>
      </c>
      <c r="G379" s="39">
        <f>I400</f>
        <v>0</v>
      </c>
      <c r="H379" s="40"/>
      <c r="I379" s="41"/>
      <c r="J379" s="42"/>
      <c r="K379" s="43" t="s">
        <v>27</v>
      </c>
      <c r="L379" s="44"/>
      <c r="M379" s="44"/>
      <c r="N379" s="44"/>
      <c r="O379" s="44"/>
      <c r="P379" s="44"/>
      <c r="Q379" s="45"/>
      <c r="R379" s="46" t="s">
        <v>28</v>
      </c>
      <c r="S379" s="47" t="s">
        <v>29</v>
      </c>
      <c r="T379" s="10"/>
      <c r="U379" s="17"/>
      <c r="V379" s="10"/>
      <c r="W379" s="10"/>
      <c r="X379" s="10"/>
      <c r="Y379" s="2"/>
    </row>
    <row r="380" spans="2:25">
      <c r="B380" s="11"/>
      <c r="C380" s="10"/>
      <c r="D380" s="10"/>
      <c r="E380" s="24" t="s">
        <v>30</v>
      </c>
      <c r="F380" s="48">
        <f>F375</f>
        <v>0.05</v>
      </c>
      <c r="G380" s="17"/>
      <c r="H380" s="40"/>
      <c r="I380" s="41"/>
      <c r="J380" s="42"/>
      <c r="K380" s="20" t="s">
        <v>31</v>
      </c>
      <c r="L380" s="21" t="s">
        <v>32</v>
      </c>
      <c r="M380" s="21" t="s">
        <v>33</v>
      </c>
      <c r="N380" s="21" t="s">
        <v>34</v>
      </c>
      <c r="O380" s="21" t="s">
        <v>35</v>
      </c>
      <c r="P380" s="21" t="s">
        <v>36</v>
      </c>
      <c r="Q380" s="49" t="s">
        <v>37</v>
      </c>
      <c r="R380" s="50" t="s">
        <v>38</v>
      </c>
      <c r="S380" s="50" t="s">
        <v>38</v>
      </c>
      <c r="T380" s="10"/>
      <c r="U380" s="17"/>
      <c r="V380" s="10"/>
      <c r="W380" s="10"/>
      <c r="X380" s="10"/>
      <c r="Y380" s="2"/>
    </row>
    <row r="381" spans="2:25">
      <c r="B381" s="11"/>
      <c r="C381" s="10"/>
      <c r="D381" s="10"/>
      <c r="E381" s="51" t="s">
        <v>39</v>
      </c>
      <c r="F381" s="52">
        <f>F379*F380</f>
        <v>0</v>
      </c>
      <c r="G381" s="53" t="s">
        <v>40</v>
      </c>
      <c r="H381" s="54">
        <f>F381/1.12</f>
        <v>0</v>
      </c>
      <c r="I381" s="55"/>
      <c r="J381" s="42"/>
      <c r="K381" s="56">
        <v>0</v>
      </c>
      <c r="L381" s="57">
        <v>0</v>
      </c>
      <c r="M381" s="57">
        <v>0</v>
      </c>
      <c r="N381" s="57">
        <v>0</v>
      </c>
      <c r="O381" s="57">
        <v>0</v>
      </c>
      <c r="P381" s="57">
        <f>SUM(K381:O381)</f>
        <v>0</v>
      </c>
      <c r="Q381" s="58">
        <v>0</v>
      </c>
      <c r="R381" s="59">
        <v>0</v>
      </c>
      <c r="S381" s="59">
        <v>0</v>
      </c>
      <c r="T381" s="10"/>
      <c r="U381" s="17"/>
      <c r="V381" s="10"/>
      <c r="W381" s="10"/>
      <c r="X381" s="10"/>
      <c r="Y381" s="2"/>
    </row>
    <row r="382" spans="2:25">
      <c r="B382" s="11"/>
      <c r="C382" s="10"/>
      <c r="D382" s="10"/>
      <c r="E382" s="24" t="s">
        <v>41</v>
      </c>
      <c r="F382" s="60">
        <f>Q381</f>
        <v>0</v>
      </c>
      <c r="G382" s="61" t="s">
        <v>40</v>
      </c>
      <c r="H382" s="62"/>
      <c r="I382" s="62"/>
      <c r="J382" s="10" t="s">
        <v>42</v>
      </c>
      <c r="K382" s="63">
        <v>0</v>
      </c>
      <c r="L382" s="63">
        <v>0</v>
      </c>
      <c r="M382" s="63">
        <v>0</v>
      </c>
      <c r="N382" s="63">
        <v>0</v>
      </c>
      <c r="O382" s="63">
        <v>0</v>
      </c>
      <c r="P382" s="21">
        <f>SUM(K382:O382)</f>
        <v>0</v>
      </c>
      <c r="Q382" s="64"/>
      <c r="R382" s="63"/>
      <c r="S382" s="10"/>
      <c r="T382" s="10"/>
      <c r="U382" s="17"/>
      <c r="V382" s="10"/>
      <c r="W382" s="10"/>
      <c r="X382" s="10"/>
      <c r="Y382" s="2"/>
    </row>
    <row r="383" spans="2:25">
      <c r="B383" s="11"/>
      <c r="C383" s="10"/>
      <c r="D383" s="10"/>
      <c r="E383" s="51" t="s">
        <v>43</v>
      </c>
      <c r="F383" s="52">
        <f>F382*0.25</f>
        <v>0</v>
      </c>
      <c r="G383" s="53" t="s">
        <v>40</v>
      </c>
      <c r="H383" s="54">
        <f>F383/1.12</f>
        <v>0</v>
      </c>
      <c r="I383" s="10"/>
      <c r="J383" s="10" t="s">
        <v>44</v>
      </c>
      <c r="K383" s="63">
        <v>0</v>
      </c>
      <c r="L383" s="63">
        <v>0</v>
      </c>
      <c r="M383" s="63">
        <v>0</v>
      </c>
      <c r="N383" s="63">
        <v>0</v>
      </c>
      <c r="O383" s="63">
        <v>0</v>
      </c>
      <c r="P383" s="21">
        <f>SUM(K383:O383)</f>
        <v>0</v>
      </c>
      <c r="Q383" s="64"/>
      <c r="R383" s="63"/>
      <c r="S383" s="10"/>
      <c r="T383" s="10"/>
      <c r="U383" s="17"/>
      <c r="V383" s="10"/>
      <c r="W383" s="10"/>
      <c r="X383" s="10"/>
      <c r="Y383" s="2"/>
    </row>
    <row r="384" spans="2:25">
      <c r="B384" s="11"/>
      <c r="C384" s="10"/>
      <c r="D384" s="10"/>
      <c r="E384" s="24" t="s">
        <v>45</v>
      </c>
      <c r="F384" s="60"/>
      <c r="G384" s="61" t="s">
        <v>40</v>
      </c>
      <c r="H384" s="62"/>
      <c r="I384" s="10"/>
      <c r="J384" s="10" t="s">
        <v>46</v>
      </c>
      <c r="K384" s="31" t="e">
        <f t="shared" ref="K384:Q384" si="64">K382/(K382+K383)</f>
        <v>#DIV/0!</v>
      </c>
      <c r="L384" s="31" t="e">
        <f t="shared" si="64"/>
        <v>#DIV/0!</v>
      </c>
      <c r="M384" s="31" t="e">
        <f t="shared" si="64"/>
        <v>#DIV/0!</v>
      </c>
      <c r="N384" s="31" t="e">
        <f t="shared" si="64"/>
        <v>#DIV/0!</v>
      </c>
      <c r="O384" s="31" t="e">
        <f t="shared" si="64"/>
        <v>#DIV/0!</v>
      </c>
      <c r="P384" s="31" t="e">
        <f t="shared" si="64"/>
        <v>#DIV/0!</v>
      </c>
      <c r="Q384" s="31" t="e">
        <f t="shared" si="64"/>
        <v>#DIV/0!</v>
      </c>
      <c r="R384" s="63"/>
      <c r="S384" s="10"/>
      <c r="T384" s="10"/>
      <c r="U384" s="17"/>
      <c r="V384" s="10"/>
      <c r="W384" s="10"/>
      <c r="X384" s="10"/>
      <c r="Y384" s="2"/>
    </row>
    <row r="385" spans="2:25">
      <c r="B385" s="11"/>
      <c r="C385" s="10"/>
      <c r="D385" s="10"/>
      <c r="E385" s="51" t="s">
        <v>47</v>
      </c>
      <c r="F385" s="52">
        <f>F384*0.05</f>
        <v>0</v>
      </c>
      <c r="G385" s="65" t="s">
        <v>40</v>
      </c>
      <c r="H385" s="54">
        <f>F385/1.12</f>
        <v>0</v>
      </c>
      <c r="I385" s="42"/>
      <c r="J385" s="10" t="s">
        <v>48</v>
      </c>
      <c r="K385" s="66" t="e">
        <f>K381/K382</f>
        <v>#DIV/0!</v>
      </c>
      <c r="L385" s="66" t="e">
        <f t="shared" ref="L385:Q385" si="65">L381/L382</f>
        <v>#DIV/0!</v>
      </c>
      <c r="M385" s="66" t="e">
        <f t="shared" si="65"/>
        <v>#DIV/0!</v>
      </c>
      <c r="N385" s="66" t="e">
        <f t="shared" si="65"/>
        <v>#DIV/0!</v>
      </c>
      <c r="O385" s="66" t="e">
        <f t="shared" si="65"/>
        <v>#DIV/0!</v>
      </c>
      <c r="P385" s="66" t="e">
        <f t="shared" si="65"/>
        <v>#DIV/0!</v>
      </c>
      <c r="Q385" s="66" t="e">
        <f t="shared" si="65"/>
        <v>#DIV/0!</v>
      </c>
      <c r="R385" s="63"/>
      <c r="S385" s="10"/>
      <c r="T385" s="10"/>
      <c r="U385" s="17"/>
      <c r="V385" s="10"/>
      <c r="W385" s="10"/>
      <c r="X385" s="10"/>
      <c r="Y385" s="2"/>
    </row>
    <row r="386" spans="2:25">
      <c r="B386" s="11"/>
      <c r="C386" s="10"/>
      <c r="D386" s="10"/>
      <c r="E386" s="67" t="s">
        <v>14</v>
      </c>
      <c r="F386" s="68">
        <f>1*50/3</f>
        <v>16.666666666666668</v>
      </c>
      <c r="G386" s="10"/>
      <c r="H386" s="54">
        <f>F386/1.12</f>
        <v>14.880952380952381</v>
      </c>
      <c r="I386" s="10"/>
      <c r="J386" s="10"/>
      <c r="K386" s="10"/>
      <c r="L386" s="10"/>
      <c r="M386" s="10"/>
      <c r="N386" s="10"/>
      <c r="O386" s="10"/>
      <c r="P386" s="10"/>
      <c r="Q386" s="10"/>
      <c r="R386" s="10"/>
      <c r="S386" s="10"/>
      <c r="T386" s="10"/>
      <c r="U386" s="17"/>
      <c r="V386" s="10"/>
      <c r="W386" s="10"/>
      <c r="X386" s="10"/>
      <c r="Y386" s="2"/>
    </row>
    <row r="387" spans="2:25">
      <c r="B387" s="11"/>
      <c r="C387" s="10"/>
      <c r="D387" s="10"/>
      <c r="E387" s="67" t="s">
        <v>49</v>
      </c>
      <c r="F387" s="69">
        <f>T376</f>
        <v>0</v>
      </c>
      <c r="G387" s="10"/>
      <c r="H387" s="54"/>
      <c r="I387" s="55"/>
      <c r="J387" s="42"/>
      <c r="K387" s="764" t="s">
        <v>50</v>
      </c>
      <c r="L387" s="765"/>
      <c r="M387" s="765"/>
      <c r="N387" s="765"/>
      <c r="O387" s="765"/>
      <c r="P387" s="765"/>
      <c r="Q387" s="766"/>
      <c r="R387" s="70" t="s">
        <v>28</v>
      </c>
      <c r="S387" s="71" t="s">
        <v>29</v>
      </c>
      <c r="T387" s="10"/>
      <c r="U387" s="17"/>
      <c r="V387" s="10"/>
      <c r="W387" s="10"/>
      <c r="X387" s="10"/>
      <c r="Y387" s="2"/>
    </row>
    <row r="388" spans="2:25">
      <c r="B388" s="11"/>
      <c r="C388" s="10"/>
      <c r="D388" s="10"/>
      <c r="E388" s="307" t="s">
        <v>2804</v>
      </c>
      <c r="F388" s="308">
        <f>$F$215</f>
        <v>532.99500000000012</v>
      </c>
      <c r="G388" s="305"/>
      <c r="H388" s="306">
        <f>F388/1.12</f>
        <v>475.88839285714289</v>
      </c>
      <c r="I388" s="10"/>
      <c r="J388" s="42"/>
      <c r="K388" s="20" t="s">
        <v>31</v>
      </c>
      <c r="L388" s="21" t="s">
        <v>32</v>
      </c>
      <c r="M388" s="21" t="s">
        <v>33</v>
      </c>
      <c r="N388" s="21" t="s">
        <v>34</v>
      </c>
      <c r="O388" s="21" t="s">
        <v>35</v>
      </c>
      <c r="P388" s="21" t="s">
        <v>36</v>
      </c>
      <c r="Q388" s="49" t="s">
        <v>37</v>
      </c>
      <c r="R388" s="50" t="s">
        <v>38</v>
      </c>
      <c r="S388" s="50" t="s">
        <v>38</v>
      </c>
      <c r="T388" s="10"/>
      <c r="U388" s="17"/>
      <c r="V388" s="10"/>
      <c r="W388" s="10"/>
      <c r="X388" s="10"/>
      <c r="Y388" s="2"/>
    </row>
    <row r="389" spans="2:25">
      <c r="B389" s="11"/>
      <c r="C389" s="10"/>
      <c r="D389" s="10"/>
      <c r="E389" s="307" t="s">
        <v>2805</v>
      </c>
      <c r="F389" s="308">
        <f>$F$303</f>
        <v>678.30300000000011</v>
      </c>
      <c r="G389" s="305"/>
      <c r="H389" s="306">
        <f>F389/1.12</f>
        <v>605.62767857142865</v>
      </c>
      <c r="I389" s="10"/>
      <c r="J389" s="42"/>
      <c r="K389" s="56">
        <v>0</v>
      </c>
      <c r="L389" s="57">
        <v>0</v>
      </c>
      <c r="M389" s="57"/>
      <c r="N389" s="57"/>
      <c r="O389" s="57"/>
      <c r="P389" s="57">
        <f>SUM(K389:O389)</f>
        <v>0</v>
      </c>
      <c r="Q389" s="58">
        <v>0</v>
      </c>
      <c r="R389" s="59">
        <v>0</v>
      </c>
      <c r="S389" s="59">
        <v>0</v>
      </c>
      <c r="T389" s="10"/>
      <c r="U389" s="17"/>
      <c r="V389" s="10"/>
      <c r="W389" s="10"/>
      <c r="X389" s="10"/>
      <c r="Y389" s="2"/>
    </row>
    <row r="390" spans="2:25">
      <c r="B390" s="11"/>
      <c r="C390" s="10"/>
      <c r="D390" s="10"/>
      <c r="E390" s="12"/>
      <c r="F390" s="76"/>
      <c r="G390" s="10"/>
      <c r="H390" s="10"/>
      <c r="I390" s="10"/>
      <c r="J390" s="10" t="s">
        <v>42</v>
      </c>
      <c r="K390" s="63">
        <f>K382</f>
        <v>0</v>
      </c>
      <c r="L390" s="63">
        <f t="shared" ref="L390:Q391" si="66">L382</f>
        <v>0</v>
      </c>
      <c r="M390" s="63">
        <f t="shared" si="66"/>
        <v>0</v>
      </c>
      <c r="N390" s="63">
        <f t="shared" si="66"/>
        <v>0</v>
      </c>
      <c r="O390" s="63">
        <f t="shared" si="66"/>
        <v>0</v>
      </c>
      <c r="P390" s="63">
        <f t="shared" si="66"/>
        <v>0</v>
      </c>
      <c r="Q390" s="63">
        <f t="shared" si="66"/>
        <v>0</v>
      </c>
      <c r="R390" s="63"/>
      <c r="S390" s="10"/>
      <c r="T390" s="10"/>
      <c r="U390" s="17"/>
      <c r="V390" s="10"/>
      <c r="W390" s="10"/>
      <c r="X390" s="10"/>
      <c r="Y390" s="2"/>
    </row>
    <row r="391" spans="2:25">
      <c r="B391" s="11"/>
      <c r="C391" s="10"/>
      <c r="D391" s="10"/>
      <c r="E391" s="10"/>
      <c r="F391" s="10"/>
      <c r="G391" s="10"/>
      <c r="H391" s="10"/>
      <c r="I391" s="10"/>
      <c r="J391" s="10" t="s">
        <v>44</v>
      </c>
      <c r="K391" s="63">
        <f>K383</f>
        <v>0</v>
      </c>
      <c r="L391" s="63">
        <f t="shared" si="66"/>
        <v>0</v>
      </c>
      <c r="M391" s="63">
        <f t="shared" si="66"/>
        <v>0</v>
      </c>
      <c r="N391" s="63">
        <f t="shared" si="66"/>
        <v>0</v>
      </c>
      <c r="O391" s="63">
        <f t="shared" si="66"/>
        <v>0</v>
      </c>
      <c r="P391" s="63">
        <f t="shared" si="66"/>
        <v>0</v>
      </c>
      <c r="Q391" s="63">
        <f t="shared" si="66"/>
        <v>0</v>
      </c>
      <c r="R391" s="63"/>
      <c r="S391" s="10"/>
      <c r="T391" s="10"/>
      <c r="U391" s="17"/>
      <c r="V391" s="10"/>
      <c r="W391" s="10"/>
      <c r="X391" s="10"/>
      <c r="Y391" s="2"/>
    </row>
    <row r="392" spans="2:25">
      <c r="B392" s="11"/>
      <c r="C392" s="10"/>
      <c r="D392" s="10"/>
      <c r="E392" s="12"/>
      <c r="F392" s="76"/>
      <c r="G392" s="10"/>
      <c r="H392" s="10"/>
      <c r="I392" s="10"/>
      <c r="J392" s="10" t="s">
        <v>46</v>
      </c>
      <c r="K392" s="31" t="e">
        <f t="shared" ref="K392:Q392" si="67">K390/(K390+K391)</f>
        <v>#DIV/0!</v>
      </c>
      <c r="L392" s="31" t="e">
        <f t="shared" si="67"/>
        <v>#DIV/0!</v>
      </c>
      <c r="M392" s="31" t="e">
        <f t="shared" si="67"/>
        <v>#DIV/0!</v>
      </c>
      <c r="N392" s="31" t="e">
        <f t="shared" si="67"/>
        <v>#DIV/0!</v>
      </c>
      <c r="O392" s="31" t="e">
        <f t="shared" si="67"/>
        <v>#DIV/0!</v>
      </c>
      <c r="P392" s="31" t="e">
        <f t="shared" si="67"/>
        <v>#DIV/0!</v>
      </c>
      <c r="Q392" s="31" t="e">
        <f t="shared" si="67"/>
        <v>#DIV/0!</v>
      </c>
      <c r="R392" s="63"/>
      <c r="S392" s="10"/>
      <c r="T392" s="10"/>
      <c r="U392" s="17"/>
      <c r="V392" s="10"/>
      <c r="W392" s="10"/>
      <c r="X392" s="10"/>
      <c r="Y392" s="2"/>
    </row>
    <row r="393" spans="2:25">
      <c r="B393" s="11"/>
      <c r="C393" s="10"/>
      <c r="D393" s="10"/>
      <c r="E393" s="10"/>
      <c r="F393" s="10"/>
      <c r="G393" s="10"/>
      <c r="H393" s="10"/>
      <c r="I393" s="10"/>
      <c r="J393" s="10" t="s">
        <v>48</v>
      </c>
      <c r="K393" s="66" t="e">
        <f t="shared" ref="K393:Q393" si="68">K389/K390</f>
        <v>#DIV/0!</v>
      </c>
      <c r="L393" s="66" t="e">
        <f t="shared" si="68"/>
        <v>#DIV/0!</v>
      </c>
      <c r="M393" s="66" t="e">
        <f t="shared" si="68"/>
        <v>#DIV/0!</v>
      </c>
      <c r="N393" s="66" t="e">
        <f t="shared" si="68"/>
        <v>#DIV/0!</v>
      </c>
      <c r="O393" s="66" t="e">
        <f t="shared" si="68"/>
        <v>#DIV/0!</v>
      </c>
      <c r="P393" s="66" t="e">
        <f t="shared" si="68"/>
        <v>#DIV/0!</v>
      </c>
      <c r="Q393" s="66" t="e">
        <f t="shared" si="68"/>
        <v>#DIV/0!</v>
      </c>
      <c r="R393" s="63"/>
      <c r="S393" s="10"/>
      <c r="T393" s="10"/>
      <c r="U393" s="17"/>
      <c r="V393" s="10"/>
      <c r="W393" s="10"/>
      <c r="X393" s="10"/>
      <c r="Y393" s="2"/>
    </row>
    <row r="394" spans="2:25">
      <c r="B394" s="11"/>
      <c r="C394" s="10"/>
      <c r="D394" s="10"/>
      <c r="E394" s="10"/>
      <c r="F394" s="10"/>
      <c r="G394" s="10"/>
      <c r="H394" s="10"/>
      <c r="I394" s="10"/>
      <c r="J394" s="10"/>
      <c r="K394" s="10"/>
      <c r="L394" s="10"/>
      <c r="M394" s="10"/>
      <c r="N394" s="10"/>
      <c r="O394" s="10"/>
      <c r="P394" s="10"/>
      <c r="Q394" s="10"/>
      <c r="R394" s="10"/>
      <c r="S394" s="10"/>
      <c r="T394" s="10"/>
      <c r="U394" s="17"/>
      <c r="V394" s="10"/>
      <c r="W394" s="10"/>
      <c r="X394" s="10"/>
      <c r="Y394" s="2"/>
    </row>
    <row r="395" spans="2:25">
      <c r="B395" s="11"/>
      <c r="C395" s="10"/>
      <c r="D395" s="10"/>
      <c r="E395" s="10"/>
      <c r="F395" s="10"/>
      <c r="G395" s="10"/>
      <c r="H395" s="10"/>
      <c r="I395" s="10"/>
      <c r="J395" s="10"/>
      <c r="K395" s="10"/>
      <c r="L395" s="10"/>
      <c r="M395" s="10"/>
      <c r="N395" s="10"/>
      <c r="O395" s="10"/>
      <c r="P395" s="10"/>
      <c r="Q395" s="10"/>
      <c r="R395" s="10"/>
      <c r="S395" s="10"/>
      <c r="T395" s="10"/>
      <c r="U395" s="17"/>
      <c r="V395" s="10"/>
      <c r="W395" s="10"/>
      <c r="X395" s="10"/>
      <c r="Y395" s="2"/>
    </row>
    <row r="396" spans="2:25">
      <c r="B396" s="18" t="s">
        <v>51</v>
      </c>
      <c r="C396" s="14"/>
      <c r="D396" s="14"/>
      <c r="E396" s="14"/>
      <c r="F396" s="13" t="s">
        <v>52</v>
      </c>
      <c r="G396" s="14"/>
      <c r="H396" s="14"/>
      <c r="I396" s="14"/>
      <c r="J396" s="14"/>
      <c r="K396" s="13" t="s">
        <v>3</v>
      </c>
      <c r="L396" s="14"/>
      <c r="M396" s="14"/>
      <c r="N396" s="13" t="s">
        <v>4</v>
      </c>
      <c r="O396" s="14"/>
      <c r="P396" s="14"/>
      <c r="Q396" s="13" t="s">
        <v>5</v>
      </c>
      <c r="R396" s="14"/>
      <c r="S396" s="14"/>
      <c r="T396" s="18"/>
      <c r="U396" s="16" t="s">
        <v>53</v>
      </c>
      <c r="V396" s="77"/>
      <c r="W396" s="77"/>
      <c r="X396" s="77"/>
      <c r="Y396" s="2"/>
    </row>
    <row r="397" spans="2:25">
      <c r="B397" s="24" t="s">
        <v>54</v>
      </c>
      <c r="C397" s="21" t="s">
        <v>55</v>
      </c>
      <c r="D397" s="21" t="s">
        <v>56</v>
      </c>
      <c r="E397" s="21" t="s">
        <v>57</v>
      </c>
      <c r="F397" s="20" t="s">
        <v>58</v>
      </c>
      <c r="G397" s="21" t="s">
        <v>59</v>
      </c>
      <c r="H397" s="21" t="s">
        <v>60</v>
      </c>
      <c r="I397" s="21" t="s">
        <v>26</v>
      </c>
      <c r="J397" s="22" t="s">
        <v>61</v>
      </c>
      <c r="K397" s="21" t="s">
        <v>8</v>
      </c>
      <c r="L397" s="21" t="s">
        <v>9</v>
      </c>
      <c r="M397" s="21" t="s">
        <v>10</v>
      </c>
      <c r="N397" s="20" t="s">
        <v>11</v>
      </c>
      <c r="O397" s="21" t="s">
        <v>12</v>
      </c>
      <c r="P397" s="22" t="s">
        <v>13</v>
      </c>
      <c r="Q397" s="21" t="s">
        <v>11</v>
      </c>
      <c r="R397" s="21" t="s">
        <v>12</v>
      </c>
      <c r="S397" s="21" t="s">
        <v>13</v>
      </c>
      <c r="T397" s="78" t="s">
        <v>14</v>
      </c>
      <c r="U397" s="30"/>
      <c r="V397" s="79" t="s">
        <v>62</v>
      </c>
      <c r="W397" s="80" t="s">
        <v>63</v>
      </c>
      <c r="X397" s="81" t="s">
        <v>64</v>
      </c>
      <c r="Y397" s="2"/>
    </row>
    <row r="398" spans="2:25">
      <c r="B398" s="4" t="s">
        <v>65</v>
      </c>
      <c r="C398" s="6"/>
      <c r="D398" s="6"/>
      <c r="E398" s="6"/>
      <c r="F398" s="6"/>
      <c r="G398" s="6"/>
      <c r="H398" s="6"/>
      <c r="I398" s="82"/>
      <c r="J398" s="6"/>
      <c r="K398" s="6"/>
      <c r="L398" s="6"/>
      <c r="M398" s="6"/>
      <c r="N398" s="6"/>
      <c r="O398" s="6"/>
      <c r="P398" s="6"/>
      <c r="Q398" s="6"/>
      <c r="R398" s="6"/>
      <c r="S398" s="6"/>
      <c r="T398" s="83"/>
      <c r="U398" s="6"/>
      <c r="V398" s="84"/>
      <c r="W398" s="85"/>
      <c r="X398" s="86"/>
      <c r="Y398" s="2"/>
    </row>
    <row r="399" spans="2:25">
      <c r="B399" s="87">
        <v>1</v>
      </c>
      <c r="C399" s="712"/>
      <c r="D399" s="271"/>
      <c r="E399" s="271"/>
      <c r="F399" s="265"/>
      <c r="G399" s="265"/>
      <c r="H399" s="365"/>
      <c r="I399" s="272">
        <f t="shared" ref="I399" si="69">F399-G399-H399</f>
        <v>0</v>
      </c>
      <c r="J399" s="267"/>
      <c r="K399" s="267"/>
      <c r="L399" s="267"/>
      <c r="M399" s="267"/>
      <c r="N399" s="267"/>
      <c r="O399" s="267"/>
      <c r="P399" s="267"/>
      <c r="Q399" s="267"/>
      <c r="R399" s="267"/>
      <c r="S399" s="269"/>
      <c r="T399" s="63"/>
      <c r="U399" s="10"/>
      <c r="V399" s="90"/>
      <c r="W399" s="91"/>
      <c r="X399" s="92"/>
      <c r="Y399" s="2"/>
    </row>
    <row r="400" spans="2:25">
      <c r="B400" s="87"/>
      <c r="C400" s="609"/>
      <c r="D400" s="10"/>
      <c r="E400" s="10"/>
      <c r="F400" s="97">
        <f>SUM(F399:F399)</f>
        <v>0</v>
      </c>
      <c r="G400" s="97">
        <f>SUM(G399:G399)</f>
        <v>0</v>
      </c>
      <c r="H400" s="97">
        <f>SUM(H399:H399)</f>
        <v>0</v>
      </c>
      <c r="I400" s="98">
        <f>SUM(I399:I399)</f>
        <v>0</v>
      </c>
      <c r="J400" s="63"/>
      <c r="K400" s="63">
        <f>COUNT(K399:K399)</f>
        <v>0</v>
      </c>
      <c r="L400" s="63">
        <f>COUNT(L399:L399)</f>
        <v>0</v>
      </c>
      <c r="M400" s="63">
        <f>COUNT(M399:M399)</f>
        <v>0</v>
      </c>
      <c r="N400" s="63">
        <f>COUNT(N399:N399)</f>
        <v>0</v>
      </c>
      <c r="O400" s="63">
        <f>COUNT(O399:O399)</f>
        <v>0</v>
      </c>
      <c r="P400" s="63">
        <f>COUNT(P399:P399)</f>
        <v>0</v>
      </c>
      <c r="Q400" s="63">
        <f>COUNT(Q399:Q399)</f>
        <v>0</v>
      </c>
      <c r="R400" s="63">
        <f>COUNT(R399:R399)</f>
        <v>0</v>
      </c>
      <c r="S400" s="63">
        <f>COUNT(S399:S399)</f>
        <v>0</v>
      </c>
      <c r="T400" s="63"/>
      <c r="U400" s="10"/>
      <c r="V400" s="90"/>
      <c r="W400" s="91"/>
      <c r="X400" s="92"/>
      <c r="Y400" s="2"/>
    </row>
    <row r="401" spans="1:25">
      <c r="B401" s="87"/>
      <c r="C401" s="609"/>
      <c r="D401" s="10"/>
      <c r="E401" s="10"/>
      <c r="F401" s="88"/>
      <c r="G401" s="88"/>
      <c r="H401" s="88"/>
      <c r="I401" s="99"/>
      <c r="J401" s="63"/>
      <c r="K401" s="21">
        <f>SUM(K399:K399)</f>
        <v>0</v>
      </c>
      <c r="L401" s="21">
        <f>SUM(L399:L399)</f>
        <v>0</v>
      </c>
      <c r="M401" s="21">
        <f>SUM(M399:M399)</f>
        <v>0</v>
      </c>
      <c r="N401" s="21">
        <f>SUM(N399:N399)</f>
        <v>0</v>
      </c>
      <c r="O401" s="21">
        <f>SUM(O399:O399)</f>
        <v>0</v>
      </c>
      <c r="P401" s="21">
        <f>SUM(P399:P399)</f>
        <v>0</v>
      </c>
      <c r="Q401" s="21">
        <f>SUM(Q399:Q399)</f>
        <v>0</v>
      </c>
      <c r="R401" s="21">
        <f>SUM(R399:R399)</f>
        <v>0</v>
      </c>
      <c r="S401" s="21">
        <f>SUM(S399:S399)</f>
        <v>0</v>
      </c>
      <c r="T401" s="63"/>
      <c r="U401" s="10"/>
      <c r="V401" s="90"/>
      <c r="W401" s="91"/>
      <c r="X401" s="92"/>
      <c r="Y401" s="2"/>
    </row>
    <row r="402" spans="1:25" s="260" customFormat="1">
      <c r="B402" s="100" t="s">
        <v>152</v>
      </c>
      <c r="C402" s="609"/>
      <c r="D402" s="10"/>
      <c r="E402" s="10"/>
      <c r="F402" s="88"/>
      <c r="G402" s="62"/>
      <c r="H402" s="88"/>
      <c r="I402" s="99"/>
      <c r="J402" s="63"/>
      <c r="K402" s="181"/>
      <c r="L402" s="181"/>
      <c r="M402" s="181"/>
      <c r="N402" s="181"/>
      <c r="O402" s="181"/>
      <c r="P402" s="181"/>
      <c r="Q402" s="181"/>
      <c r="R402" s="181"/>
      <c r="S402" s="181"/>
      <c r="T402" s="63"/>
      <c r="U402" s="10"/>
      <c r="V402" s="90"/>
      <c r="W402" s="91"/>
      <c r="X402" s="92"/>
    </row>
    <row r="403" spans="1:25" s="260" customFormat="1">
      <c r="A403" s="494">
        <v>0.05</v>
      </c>
      <c r="B403" s="87">
        <v>1</v>
      </c>
      <c r="C403" s="638">
        <v>45939</v>
      </c>
      <c r="D403" s="276">
        <v>74206</v>
      </c>
      <c r="E403" s="281" t="s">
        <v>497</v>
      </c>
      <c r="F403" s="277">
        <v>2287.6</v>
      </c>
      <c r="G403" s="277">
        <f>39.7+(187.33)+200</f>
        <v>427.03000000000003</v>
      </c>
      <c r="H403" s="277"/>
      <c r="I403" s="321">
        <f t="shared" ref="I403" si="70">F403-G403-H403</f>
        <v>1860.57</v>
      </c>
      <c r="J403" s="279" t="s">
        <v>156</v>
      </c>
      <c r="K403" s="279">
        <v>1</v>
      </c>
      <c r="L403" s="279">
        <v>1</v>
      </c>
      <c r="M403" s="279">
        <v>1</v>
      </c>
      <c r="N403" s="279">
        <v>1</v>
      </c>
      <c r="O403" s="279">
        <v>1</v>
      </c>
      <c r="P403" s="279">
        <v>1</v>
      </c>
      <c r="Q403" s="279">
        <v>1</v>
      </c>
      <c r="R403" s="279">
        <v>1</v>
      </c>
      <c r="S403" s="328">
        <v>0</v>
      </c>
      <c r="T403" s="63"/>
      <c r="U403" s="10"/>
      <c r="V403" s="90"/>
      <c r="W403" s="91"/>
      <c r="X403" s="92"/>
    </row>
    <row r="404" spans="1:25" s="260" customFormat="1">
      <c r="A404" s="494" t="s">
        <v>619</v>
      </c>
      <c r="B404" s="87">
        <f>B403+1</f>
        <v>2</v>
      </c>
      <c r="C404" s="641">
        <v>45947</v>
      </c>
      <c r="D404" s="271" t="s">
        <v>2771</v>
      </c>
      <c r="E404" s="271" t="s">
        <v>456</v>
      </c>
      <c r="F404" s="265">
        <v>4871.6000000000004</v>
      </c>
      <c r="G404" s="265">
        <f>39.7+2500</f>
        <v>2539.6999999999998</v>
      </c>
      <c r="H404" s="265"/>
      <c r="I404" s="266">
        <f>F404-G404-H404</f>
        <v>2331.9000000000005</v>
      </c>
      <c r="J404" s="267" t="s">
        <v>156</v>
      </c>
      <c r="K404" s="267">
        <v>1</v>
      </c>
      <c r="L404" s="267"/>
      <c r="M404" s="314">
        <v>0</v>
      </c>
      <c r="N404" s="267">
        <v>1</v>
      </c>
      <c r="O404" s="267">
        <v>1</v>
      </c>
      <c r="P404" s="267">
        <v>1</v>
      </c>
      <c r="Q404" s="314">
        <v>0</v>
      </c>
      <c r="R404" s="314">
        <v>0</v>
      </c>
      <c r="S404" s="366">
        <v>0</v>
      </c>
      <c r="T404" s="63"/>
      <c r="U404" s="94" t="s">
        <v>2772</v>
      </c>
      <c r="V404" s="90"/>
      <c r="W404" s="136"/>
      <c r="X404" s="137"/>
    </row>
    <row r="405" spans="1:25" s="260" customFormat="1">
      <c r="B405" s="11"/>
      <c r="C405" s="621"/>
      <c r="D405" s="10"/>
      <c r="E405" s="10"/>
      <c r="F405" s="98">
        <f>SUM(F403:F404)</f>
        <v>7159.2000000000007</v>
      </c>
      <c r="G405" s="98">
        <f t="shared" ref="G405" si="71">SUM(G403:G404)</f>
        <v>2966.73</v>
      </c>
      <c r="H405" s="98">
        <f t="shared" ref="H405" si="72">SUM(H403:H404)</f>
        <v>0</v>
      </c>
      <c r="I405" s="98">
        <f t="shared" ref="I405" si="73">SUM(I403:I404)</f>
        <v>4192.47</v>
      </c>
      <c r="J405" s="63"/>
      <c r="K405" s="21"/>
      <c r="L405" s="21"/>
      <c r="M405" s="21"/>
      <c r="N405" s="21"/>
      <c r="O405" s="21"/>
      <c r="P405" s="21"/>
      <c r="Q405" s="21"/>
      <c r="R405" s="21"/>
      <c r="S405" s="21"/>
      <c r="T405" s="63"/>
      <c r="U405" s="10"/>
      <c r="V405" s="90"/>
      <c r="W405" s="91"/>
      <c r="X405" s="92"/>
    </row>
    <row r="406" spans="1:25" s="260" customFormat="1">
      <c r="B406" s="11"/>
      <c r="C406" s="621"/>
      <c r="D406" s="10"/>
      <c r="E406" s="10"/>
      <c r="F406" s="88"/>
      <c r="G406" s="88"/>
      <c r="H406" s="88"/>
      <c r="I406" s="99"/>
      <c r="J406" s="63"/>
      <c r="K406" s="21"/>
      <c r="L406" s="21"/>
      <c r="M406" s="21"/>
      <c r="N406" s="21"/>
      <c r="O406" s="21"/>
      <c r="P406" s="21"/>
      <c r="Q406" s="21"/>
      <c r="R406" s="21"/>
      <c r="S406" s="21"/>
      <c r="T406" s="63"/>
      <c r="U406" s="10"/>
      <c r="V406" s="90"/>
      <c r="W406" s="91"/>
      <c r="X406" s="92"/>
    </row>
    <row r="407" spans="1:25" s="260" customFormat="1">
      <c r="B407" s="11"/>
      <c r="C407" s="621"/>
      <c r="D407" s="10"/>
      <c r="E407" s="10"/>
      <c r="F407" s="88"/>
      <c r="G407" s="88"/>
      <c r="H407" s="88"/>
      <c r="I407" s="99"/>
      <c r="J407" s="63"/>
      <c r="K407" s="21"/>
      <c r="L407" s="21"/>
      <c r="M407" s="21"/>
      <c r="N407" s="21"/>
      <c r="O407" s="21"/>
      <c r="P407" s="21"/>
      <c r="Q407" s="21"/>
      <c r="R407" s="21"/>
      <c r="S407" s="21"/>
      <c r="T407" s="63"/>
      <c r="U407" s="94"/>
      <c r="V407" s="90"/>
      <c r="W407" s="91"/>
      <c r="X407" s="92"/>
    </row>
    <row r="408" spans="1:25">
      <c r="A408" s="615"/>
      <c r="B408" s="100" t="s">
        <v>1521</v>
      </c>
      <c r="C408" s="621"/>
      <c r="D408" s="123"/>
      <c r="E408" s="128"/>
      <c r="F408" s="124"/>
      <c r="G408" s="124"/>
      <c r="H408" s="124"/>
      <c r="I408" s="126"/>
      <c r="J408" s="127"/>
      <c r="K408" s="64"/>
      <c r="L408" s="64"/>
      <c r="M408" s="64"/>
      <c r="N408" s="64"/>
      <c r="O408" s="64"/>
      <c r="P408" s="64"/>
      <c r="Q408" s="64"/>
      <c r="R408" s="64"/>
      <c r="S408" s="64"/>
      <c r="T408" s="127"/>
      <c r="U408" s="135"/>
      <c r="V408" s="129"/>
      <c r="W408" s="130"/>
      <c r="X408" s="131"/>
    </row>
    <row r="409" spans="1:25" s="260" customFormat="1">
      <c r="A409" s="494">
        <v>0.05</v>
      </c>
      <c r="B409" s="87">
        <v>1</v>
      </c>
      <c r="C409" s="641">
        <v>45947</v>
      </c>
      <c r="D409" s="271">
        <v>74524</v>
      </c>
      <c r="E409" s="271" t="s">
        <v>155</v>
      </c>
      <c r="F409" s="265">
        <v>861</v>
      </c>
      <c r="G409" s="265">
        <f>39.7</f>
        <v>39.700000000000003</v>
      </c>
      <c r="H409" s="265"/>
      <c r="I409" s="266">
        <f>F409-G409-H409</f>
        <v>821.3</v>
      </c>
      <c r="J409" s="267" t="s">
        <v>156</v>
      </c>
      <c r="K409" s="267">
        <v>1</v>
      </c>
      <c r="L409" s="267"/>
      <c r="M409" s="314">
        <v>0</v>
      </c>
      <c r="N409" s="267">
        <v>1</v>
      </c>
      <c r="O409" s="267">
        <v>1</v>
      </c>
      <c r="P409" s="267">
        <v>1</v>
      </c>
      <c r="Q409" s="267"/>
      <c r="R409" s="267"/>
      <c r="S409" s="269"/>
      <c r="T409" s="63"/>
      <c r="U409" s="10" t="s">
        <v>2773</v>
      </c>
      <c r="V409" s="90"/>
      <c r="W409" s="136"/>
      <c r="X409" s="137"/>
    </row>
    <row r="410" spans="1:25" s="260" customFormat="1">
      <c r="A410" s="704"/>
      <c r="B410" s="11"/>
      <c r="C410" s="621"/>
      <c r="D410" s="10"/>
      <c r="E410" s="10"/>
      <c r="F410" s="98">
        <f>SUM(F409)</f>
        <v>861</v>
      </c>
      <c r="G410" s="98">
        <f t="shared" ref="G410" si="74">SUM(G409)</f>
        <v>39.700000000000003</v>
      </c>
      <c r="H410" s="98">
        <f t="shared" ref="H410" si="75">SUM(H409)</f>
        <v>0</v>
      </c>
      <c r="I410" s="98">
        <f t="shared" ref="I410" si="76">SUM(I409)</f>
        <v>821.3</v>
      </c>
      <c r="J410" s="63"/>
      <c r="K410" s="21"/>
      <c r="L410" s="21"/>
      <c r="M410" s="21"/>
      <c r="N410" s="21"/>
      <c r="O410" s="21"/>
      <c r="P410" s="21"/>
      <c r="Q410" s="21"/>
      <c r="R410" s="21"/>
      <c r="S410" s="21"/>
      <c r="T410" s="63"/>
      <c r="U410" s="94"/>
      <c r="V410" s="90"/>
      <c r="W410" s="91"/>
      <c r="X410" s="92"/>
    </row>
    <row r="411" spans="1:25">
      <c r="B411" s="26"/>
      <c r="C411" s="612"/>
      <c r="D411" s="141"/>
      <c r="E411" s="141"/>
      <c r="F411" s="141"/>
      <c r="G411" s="141"/>
      <c r="H411" s="141"/>
      <c r="I411" s="141"/>
      <c r="J411" s="141"/>
      <c r="K411" s="142"/>
      <c r="L411" s="142"/>
      <c r="M411" s="142"/>
      <c r="N411" s="142"/>
      <c r="O411" s="142"/>
      <c r="P411" s="142"/>
      <c r="Q411" s="142"/>
      <c r="R411" s="142"/>
      <c r="S411" s="142"/>
      <c r="T411" s="143">
        <f>SUM(T399:T410)</f>
        <v>0</v>
      </c>
      <c r="U411" s="141"/>
      <c r="V411" s="144">
        <f>SUM(V399:V410)</f>
        <v>0</v>
      </c>
      <c r="W411" s="145">
        <f>SUM(W399:W410)</f>
        <v>0</v>
      </c>
      <c r="X411" s="146">
        <f>SUM(X399:X410)</f>
        <v>0</v>
      </c>
      <c r="Y411" s="2"/>
    </row>
    <row r="412" spans="1:25">
      <c r="B412" s="10"/>
      <c r="C412" s="36"/>
      <c r="D412" s="10"/>
      <c r="E412" s="10"/>
      <c r="F412" s="10"/>
      <c r="G412" s="10"/>
      <c r="H412" s="10"/>
      <c r="I412" s="10"/>
      <c r="J412" s="10"/>
      <c r="K412" s="147"/>
      <c r="L412" s="147"/>
      <c r="M412" s="147"/>
      <c r="N412" s="147"/>
      <c r="O412" s="147"/>
      <c r="P412" s="147"/>
      <c r="Q412" s="147"/>
      <c r="R412" s="147"/>
      <c r="S412" s="147"/>
      <c r="T412" s="21"/>
      <c r="U412" s="10"/>
      <c r="V412" s="99"/>
      <c r="W412" s="99"/>
      <c r="X412" s="99"/>
      <c r="Y412" s="2"/>
    </row>
    <row r="414" spans="1:25">
      <c r="B414" s="10"/>
      <c r="C414" s="36"/>
      <c r="D414" s="10"/>
      <c r="E414" s="10"/>
      <c r="F414" s="10"/>
      <c r="G414" s="10"/>
      <c r="H414" s="10"/>
      <c r="I414" s="10"/>
      <c r="J414" s="10"/>
      <c r="K414" s="147"/>
      <c r="L414" s="147"/>
      <c r="M414" s="147"/>
      <c r="N414" s="147"/>
      <c r="O414" s="147"/>
      <c r="P414" s="147"/>
      <c r="Q414" s="147"/>
      <c r="R414" s="147"/>
      <c r="S414" s="147"/>
      <c r="T414" s="21"/>
      <c r="U414" s="10"/>
      <c r="V414" s="99"/>
      <c r="W414" s="99"/>
      <c r="X414" s="99"/>
      <c r="Y414" s="2"/>
    </row>
  </sheetData>
  <mergeCells count="8">
    <mergeCell ref="K387:Q387"/>
    <mergeCell ref="K309:Q309"/>
    <mergeCell ref="H213:J214"/>
    <mergeCell ref="K17:Q17"/>
    <mergeCell ref="K67:Q67"/>
    <mergeCell ref="K142:Q142"/>
    <mergeCell ref="K221:Q221"/>
    <mergeCell ref="H301:J302"/>
  </mergeCell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4318-A892-42D6-8FBD-5F91E9F978AC}">
  <sheetPr>
    <tabColor theme="2" tint="-9.9978637043366805E-2"/>
  </sheetPr>
  <dimension ref="B2:Y219"/>
  <sheetViews>
    <sheetView topLeftCell="A128" workbookViewId="0">
      <selection activeCell="L156" sqref="L156"/>
    </sheetView>
  </sheetViews>
  <sheetFormatPr defaultRowHeight="15"/>
  <cols>
    <col min="3" max="3" width="9.85546875" bestFit="1" customWidth="1"/>
    <col min="5" max="5" width="13.7109375" customWidth="1"/>
    <col min="6" max="6" width="9.28515625" bestFit="1" customWidth="1"/>
    <col min="7" max="7" width="10" bestFit="1" customWidth="1"/>
    <col min="9" max="9" width="10.42578125" customWidth="1"/>
  </cols>
  <sheetData>
    <row r="2" spans="2:24">
      <c r="B2" s="4" t="s">
        <v>1</v>
      </c>
      <c r="C2" s="5"/>
      <c r="D2" s="6"/>
      <c r="E2" s="6"/>
      <c r="F2" s="7" t="s">
        <v>2</v>
      </c>
      <c r="G2" s="8">
        <v>45851</v>
      </c>
      <c r="H2" s="7"/>
      <c r="I2" s="6"/>
      <c r="J2" s="6"/>
      <c r="K2" s="6"/>
      <c r="L2" s="6"/>
      <c r="M2" s="6"/>
      <c r="N2" s="6"/>
      <c r="O2" s="6"/>
      <c r="P2" s="6"/>
      <c r="Q2" s="6"/>
      <c r="R2" s="6"/>
      <c r="S2" s="6"/>
      <c r="T2" s="6"/>
      <c r="U2" s="9"/>
      <c r="V2" s="10"/>
      <c r="W2" s="10"/>
      <c r="X2" s="10"/>
    </row>
    <row r="3" spans="2:24">
      <c r="B3" s="11"/>
      <c r="C3" s="10"/>
      <c r="D3" s="10"/>
      <c r="E3" s="10"/>
      <c r="F3" s="10"/>
      <c r="G3" s="7"/>
      <c r="H3" s="12"/>
      <c r="I3" s="10"/>
      <c r="J3" s="10"/>
      <c r="K3" s="13" t="s">
        <v>3</v>
      </c>
      <c r="L3" s="14"/>
      <c r="M3" s="15"/>
      <c r="N3" s="13" t="s">
        <v>4</v>
      </c>
      <c r="O3" s="14"/>
      <c r="P3" s="15"/>
      <c r="Q3" s="13" t="s">
        <v>5</v>
      </c>
      <c r="R3" s="14"/>
      <c r="S3" s="15"/>
      <c r="T3" s="16"/>
      <c r="U3" s="17"/>
      <c r="V3" s="10"/>
      <c r="W3" s="10"/>
      <c r="X3" s="10"/>
    </row>
    <row r="4" spans="2:24">
      <c r="B4" s="18" t="s">
        <v>6</v>
      </c>
      <c r="C4" s="19">
        <f>C5+C6</f>
        <v>0</v>
      </c>
      <c r="D4" s="10"/>
      <c r="E4" s="18" t="s">
        <v>7</v>
      </c>
      <c r="F4" s="6"/>
      <c r="G4" s="9"/>
      <c r="H4" s="10"/>
      <c r="I4" s="10"/>
      <c r="J4" s="10"/>
      <c r="K4" s="20" t="s">
        <v>8</v>
      </c>
      <c r="L4" s="21" t="s">
        <v>9</v>
      </c>
      <c r="M4" s="21" t="s">
        <v>10</v>
      </c>
      <c r="N4" s="20" t="s">
        <v>11</v>
      </c>
      <c r="O4" s="21" t="s">
        <v>12</v>
      </c>
      <c r="P4" s="22" t="s">
        <v>13</v>
      </c>
      <c r="Q4" s="21" t="s">
        <v>11</v>
      </c>
      <c r="R4" s="21" t="s">
        <v>12</v>
      </c>
      <c r="S4" s="22" t="s">
        <v>13</v>
      </c>
      <c r="T4" s="23" t="s">
        <v>14</v>
      </c>
      <c r="U4" s="17"/>
      <c r="V4" s="10"/>
      <c r="W4" s="10"/>
      <c r="X4" s="10"/>
    </row>
    <row r="5" spans="2:24">
      <c r="B5" s="24" t="s">
        <v>15</v>
      </c>
      <c r="C5" s="25">
        <f>P12</f>
        <v>0</v>
      </c>
      <c r="D5" s="10"/>
      <c r="E5" s="26" t="s">
        <v>16</v>
      </c>
      <c r="F5" s="27">
        <v>0.05</v>
      </c>
      <c r="G5" s="28"/>
      <c r="H5" s="10"/>
      <c r="I5" s="10"/>
      <c r="J5" s="18" t="s">
        <v>17</v>
      </c>
      <c r="K5" s="29">
        <f t="shared" ref="K5:S5" si="0">K31</f>
        <v>0</v>
      </c>
      <c r="L5" s="29">
        <f t="shared" si="0"/>
        <v>0</v>
      </c>
      <c r="M5" s="29">
        <f t="shared" si="0"/>
        <v>0</v>
      </c>
      <c r="N5" s="29">
        <f t="shared" si="0"/>
        <v>0</v>
      </c>
      <c r="O5" s="29">
        <f t="shared" si="0"/>
        <v>0</v>
      </c>
      <c r="P5" s="29">
        <f t="shared" si="0"/>
        <v>0</v>
      </c>
      <c r="Q5" s="29">
        <f t="shared" si="0"/>
        <v>0</v>
      </c>
      <c r="R5" s="29">
        <f t="shared" si="0"/>
        <v>0</v>
      </c>
      <c r="S5" s="29">
        <f t="shared" si="0"/>
        <v>0</v>
      </c>
      <c r="T5" s="30">
        <f>T36</f>
        <v>0</v>
      </c>
      <c r="U5" s="17"/>
      <c r="V5" s="10"/>
      <c r="W5" s="10"/>
      <c r="X5" s="10"/>
    </row>
    <row r="6" spans="2:24">
      <c r="B6" s="24" t="s">
        <v>18</v>
      </c>
      <c r="C6" s="25">
        <f>P13</f>
        <v>0</v>
      </c>
      <c r="D6" s="10"/>
      <c r="E6" s="10"/>
      <c r="F6" s="10"/>
      <c r="G6" s="31"/>
      <c r="H6" s="10"/>
      <c r="I6" s="10"/>
      <c r="J6" s="32" t="s">
        <v>19</v>
      </c>
      <c r="K6" s="33" t="e">
        <f t="shared" ref="K6:S6" si="1">K31/K30</f>
        <v>#DIV/0!</v>
      </c>
      <c r="L6" s="33" t="e">
        <f t="shared" si="1"/>
        <v>#DIV/0!</v>
      </c>
      <c r="M6" s="33" t="e">
        <f t="shared" si="1"/>
        <v>#DIV/0!</v>
      </c>
      <c r="N6" s="33" t="e">
        <f t="shared" si="1"/>
        <v>#DIV/0!</v>
      </c>
      <c r="O6" s="33" t="e">
        <f t="shared" si="1"/>
        <v>#DIV/0!</v>
      </c>
      <c r="P6" s="33" t="e">
        <f t="shared" si="1"/>
        <v>#DIV/0!</v>
      </c>
      <c r="Q6" s="33" t="e">
        <f t="shared" si="1"/>
        <v>#DIV/0!</v>
      </c>
      <c r="R6" s="33" t="e">
        <f t="shared" si="1"/>
        <v>#DIV/0!</v>
      </c>
      <c r="S6" s="33" t="e">
        <f t="shared" si="1"/>
        <v>#DIV/0!</v>
      </c>
      <c r="T6" s="23"/>
      <c r="U6" s="17" t="s">
        <v>20</v>
      </c>
      <c r="V6" s="10"/>
      <c r="W6" s="10"/>
      <c r="X6" s="10"/>
    </row>
    <row r="7" spans="2:24">
      <c r="B7" s="24" t="s">
        <v>21</v>
      </c>
      <c r="C7" s="34" t="e">
        <f>P14</f>
        <v>#DIV/0!</v>
      </c>
      <c r="D7" s="10"/>
      <c r="E7" s="10"/>
      <c r="F7" s="10"/>
      <c r="G7" s="10"/>
      <c r="H7" s="10"/>
      <c r="I7" s="10"/>
      <c r="J7" s="10"/>
      <c r="K7" s="10"/>
      <c r="L7" s="10"/>
      <c r="M7" s="10"/>
      <c r="N7" s="10"/>
      <c r="O7" s="10"/>
      <c r="P7" s="10"/>
      <c r="Q7" s="10"/>
      <c r="R7" s="10"/>
      <c r="S7" s="10"/>
      <c r="T7" s="10"/>
      <c r="U7" s="17"/>
      <c r="V7" s="10"/>
      <c r="W7" s="10"/>
      <c r="X7" s="10"/>
    </row>
    <row r="8" spans="2:24">
      <c r="B8" s="24"/>
      <c r="C8" s="25"/>
      <c r="D8" s="10"/>
      <c r="E8" s="10"/>
      <c r="F8" s="18" t="s">
        <v>22</v>
      </c>
      <c r="G8" s="19" t="s">
        <v>23</v>
      </c>
      <c r="H8" s="35" t="s">
        <v>24</v>
      </c>
      <c r="I8" s="10"/>
      <c r="J8" s="10"/>
      <c r="K8" s="36"/>
      <c r="L8" s="36"/>
      <c r="M8" s="36"/>
      <c r="N8" s="36"/>
      <c r="O8" s="36"/>
      <c r="P8" s="36"/>
      <c r="Q8" s="36"/>
      <c r="R8" s="10"/>
      <c r="S8" s="10"/>
      <c r="T8" s="10"/>
      <c r="U8" s="17"/>
      <c r="V8" s="10"/>
      <c r="W8" s="10"/>
      <c r="X8" s="10"/>
    </row>
    <row r="9" spans="2:24">
      <c r="B9" s="32" t="s">
        <v>25</v>
      </c>
      <c r="C9" s="37" t="e">
        <f>P15</f>
        <v>#DIV/0!</v>
      </c>
      <c r="D9" s="10"/>
      <c r="E9" s="18" t="s">
        <v>26</v>
      </c>
      <c r="F9" s="38">
        <f>P11</f>
        <v>0</v>
      </c>
      <c r="G9" s="39">
        <f>I30</f>
        <v>0</v>
      </c>
      <c r="H9" s="40"/>
      <c r="I9" s="41"/>
      <c r="J9" s="42"/>
      <c r="K9" s="43" t="s">
        <v>27</v>
      </c>
      <c r="L9" s="44"/>
      <c r="M9" s="44"/>
      <c r="N9" s="44"/>
      <c r="O9" s="44"/>
      <c r="P9" s="44"/>
      <c r="Q9" s="45"/>
      <c r="R9" s="46" t="s">
        <v>28</v>
      </c>
      <c r="S9" s="47" t="s">
        <v>29</v>
      </c>
      <c r="T9" s="10"/>
      <c r="U9" s="17"/>
      <c r="V9" s="10"/>
      <c r="W9" s="10"/>
      <c r="X9" s="10"/>
    </row>
    <row r="10" spans="2:24">
      <c r="B10" s="11"/>
      <c r="C10" s="10"/>
      <c r="D10" s="10"/>
      <c r="E10" s="24" t="s">
        <v>30</v>
      </c>
      <c r="F10" s="48">
        <f>F5</f>
        <v>0.05</v>
      </c>
      <c r="G10" s="17"/>
      <c r="H10" s="40"/>
      <c r="I10" s="41"/>
      <c r="J10" s="42"/>
      <c r="K10" s="20" t="s">
        <v>31</v>
      </c>
      <c r="L10" s="21" t="s">
        <v>32</v>
      </c>
      <c r="M10" s="21" t="s">
        <v>33</v>
      </c>
      <c r="N10" s="21" t="s">
        <v>34</v>
      </c>
      <c r="O10" s="21" t="s">
        <v>35</v>
      </c>
      <c r="P10" s="21" t="s">
        <v>36</v>
      </c>
      <c r="Q10" s="49" t="s">
        <v>37</v>
      </c>
      <c r="R10" s="50" t="s">
        <v>38</v>
      </c>
      <c r="S10" s="50" t="s">
        <v>38</v>
      </c>
      <c r="T10" s="10"/>
      <c r="U10" s="17"/>
      <c r="V10" s="10"/>
      <c r="W10" s="10"/>
      <c r="X10" s="10"/>
    </row>
    <row r="11" spans="2:24">
      <c r="B11" s="11"/>
      <c r="C11" s="10"/>
      <c r="D11" s="10"/>
      <c r="E11" s="51" t="s">
        <v>39</v>
      </c>
      <c r="F11" s="52">
        <f>F9*F10</f>
        <v>0</v>
      </c>
      <c r="G11" s="53" t="s">
        <v>40</v>
      </c>
      <c r="H11" s="54">
        <f>F11/1.12</f>
        <v>0</v>
      </c>
      <c r="I11" s="55"/>
      <c r="J11" s="42"/>
      <c r="K11" s="56"/>
      <c r="L11" s="57"/>
      <c r="M11" s="57"/>
      <c r="N11" s="57"/>
      <c r="O11" s="57"/>
      <c r="P11" s="57">
        <f>SUM(K11:O11)</f>
        <v>0</v>
      </c>
      <c r="Q11" s="58">
        <v>0</v>
      </c>
      <c r="R11" s="59"/>
      <c r="S11" s="59"/>
      <c r="T11" s="10"/>
      <c r="U11" s="17"/>
      <c r="V11" s="10"/>
      <c r="W11" s="10"/>
      <c r="X11" s="10"/>
    </row>
    <row r="12" spans="2:24">
      <c r="B12" s="11"/>
      <c r="C12" s="10"/>
      <c r="D12" s="10"/>
      <c r="E12" s="24" t="s">
        <v>41</v>
      </c>
      <c r="F12" s="60">
        <f>Q11</f>
        <v>0</v>
      </c>
      <c r="G12" s="61" t="s">
        <v>40</v>
      </c>
      <c r="H12" s="62"/>
      <c r="I12" s="62"/>
      <c r="J12" s="10" t="s">
        <v>42</v>
      </c>
      <c r="K12" s="63"/>
      <c r="L12" s="63"/>
      <c r="M12" s="63"/>
      <c r="N12" s="63"/>
      <c r="O12" s="63"/>
      <c r="P12" s="21">
        <f>SUM(K12:O12)</f>
        <v>0</v>
      </c>
      <c r="Q12" s="64"/>
      <c r="R12" s="63"/>
      <c r="S12" s="10"/>
      <c r="T12" s="10"/>
      <c r="U12" s="17"/>
      <c r="V12" s="10"/>
      <c r="W12" s="10"/>
      <c r="X12" s="10"/>
    </row>
    <row r="13" spans="2:24">
      <c r="B13" s="11"/>
      <c r="C13" s="10"/>
      <c r="D13" s="10"/>
      <c r="E13" s="51" t="s">
        <v>43</v>
      </c>
      <c r="F13" s="52">
        <f>F12*0.25</f>
        <v>0</v>
      </c>
      <c r="G13" s="53" t="s">
        <v>40</v>
      </c>
      <c r="H13" s="54">
        <f>F13/1.12</f>
        <v>0</v>
      </c>
      <c r="I13" s="10"/>
      <c r="J13" s="10" t="s">
        <v>44</v>
      </c>
      <c r="K13" s="63"/>
      <c r="L13" s="63"/>
      <c r="M13" s="63"/>
      <c r="N13" s="63"/>
      <c r="O13" s="63"/>
      <c r="P13" s="21">
        <f>SUM(K13:O13)</f>
        <v>0</v>
      </c>
      <c r="Q13" s="64">
        <v>1</v>
      </c>
      <c r="R13" s="63"/>
      <c r="S13" s="10"/>
      <c r="T13" s="10"/>
      <c r="U13" s="17"/>
      <c r="V13" s="10"/>
      <c r="W13" s="10"/>
      <c r="X13" s="10"/>
    </row>
    <row r="14" spans="2:24">
      <c r="B14" s="11"/>
      <c r="C14" s="10"/>
      <c r="D14" s="10"/>
      <c r="E14" s="24" t="s">
        <v>45</v>
      </c>
      <c r="F14" s="60"/>
      <c r="G14" s="61" t="s">
        <v>40</v>
      </c>
      <c r="H14" s="62"/>
      <c r="I14" s="10"/>
      <c r="J14" s="10" t="s">
        <v>46</v>
      </c>
      <c r="K14" s="31" t="e">
        <f t="shared" ref="K14:Q14" si="2">K12/(K12+K13)</f>
        <v>#DIV/0!</v>
      </c>
      <c r="L14" s="31" t="e">
        <f t="shared" si="2"/>
        <v>#DIV/0!</v>
      </c>
      <c r="M14" s="31" t="e">
        <f t="shared" si="2"/>
        <v>#DIV/0!</v>
      </c>
      <c r="N14" s="31" t="e">
        <f t="shared" si="2"/>
        <v>#DIV/0!</v>
      </c>
      <c r="O14" s="31" t="e">
        <f t="shared" si="2"/>
        <v>#DIV/0!</v>
      </c>
      <c r="P14" s="31" t="e">
        <f t="shared" si="2"/>
        <v>#DIV/0!</v>
      </c>
      <c r="Q14" s="31">
        <f t="shared" si="2"/>
        <v>0</v>
      </c>
      <c r="R14" s="63"/>
      <c r="S14" s="10"/>
      <c r="T14" s="10"/>
      <c r="U14" s="17"/>
      <c r="V14" s="10"/>
      <c r="W14" s="10"/>
      <c r="X14" s="10"/>
    </row>
    <row r="15" spans="2:24">
      <c r="B15" s="11"/>
      <c r="C15" s="10"/>
      <c r="D15" s="10"/>
      <c r="E15" s="51" t="s">
        <v>47</v>
      </c>
      <c r="F15" s="52">
        <f>F14*0.05</f>
        <v>0</v>
      </c>
      <c r="G15" s="65" t="s">
        <v>40</v>
      </c>
      <c r="H15" s="54">
        <f>F15/1.12</f>
        <v>0</v>
      </c>
      <c r="I15" s="42"/>
      <c r="J15" s="10" t="s">
        <v>48</v>
      </c>
      <c r="K15" s="66" t="e">
        <f t="shared" ref="K15:Q15" si="3">K11/K12</f>
        <v>#DIV/0!</v>
      </c>
      <c r="L15" s="66" t="e">
        <f t="shared" si="3"/>
        <v>#DIV/0!</v>
      </c>
      <c r="M15" s="66" t="e">
        <f t="shared" si="3"/>
        <v>#DIV/0!</v>
      </c>
      <c r="N15" s="66" t="e">
        <f t="shared" si="3"/>
        <v>#DIV/0!</v>
      </c>
      <c r="O15" s="66" t="e">
        <f t="shared" si="3"/>
        <v>#DIV/0!</v>
      </c>
      <c r="P15" s="66" t="e">
        <f t="shared" si="3"/>
        <v>#DIV/0!</v>
      </c>
      <c r="Q15" s="66" t="e">
        <f t="shared" si="3"/>
        <v>#DIV/0!</v>
      </c>
      <c r="R15" s="63"/>
      <c r="S15" s="10"/>
      <c r="T15" s="10"/>
      <c r="U15" s="17"/>
      <c r="V15" s="10"/>
      <c r="W15" s="10"/>
      <c r="X15" s="10"/>
    </row>
    <row r="16" spans="2:24">
      <c r="B16" s="11"/>
      <c r="C16" s="10"/>
      <c r="D16" s="10"/>
      <c r="E16" s="67" t="s">
        <v>14</v>
      </c>
      <c r="F16" s="68"/>
      <c r="G16" s="10"/>
      <c r="H16" s="54">
        <f>F16/1.12</f>
        <v>0</v>
      </c>
      <c r="I16" s="10"/>
      <c r="J16" s="10"/>
      <c r="K16" s="10"/>
      <c r="L16" s="10"/>
      <c r="M16" s="10"/>
      <c r="N16" s="10"/>
      <c r="O16" s="10"/>
      <c r="P16" s="10"/>
      <c r="Q16" s="10"/>
      <c r="R16" s="10"/>
      <c r="S16" s="10"/>
      <c r="T16" s="10"/>
      <c r="U16" s="17"/>
      <c r="V16" s="10"/>
      <c r="W16" s="10"/>
      <c r="X16" s="10"/>
    </row>
    <row r="17" spans="2:24">
      <c r="B17" s="11"/>
      <c r="C17" s="10"/>
      <c r="D17" s="10"/>
      <c r="E17" s="67" t="s">
        <v>49</v>
      </c>
      <c r="F17" s="69">
        <f>T6</f>
        <v>0</v>
      </c>
      <c r="G17" s="10"/>
      <c r="H17" s="54"/>
      <c r="I17" s="55"/>
      <c r="J17" s="42"/>
      <c r="K17" s="764" t="s">
        <v>50</v>
      </c>
      <c r="L17" s="765"/>
      <c r="M17" s="765"/>
      <c r="N17" s="765"/>
      <c r="O17" s="765"/>
      <c r="P17" s="765"/>
      <c r="Q17" s="766"/>
      <c r="R17" s="70" t="s">
        <v>28</v>
      </c>
      <c r="S17" s="71" t="s">
        <v>29</v>
      </c>
      <c r="T17" s="10"/>
      <c r="U17" s="17"/>
      <c r="V17" s="10"/>
      <c r="W17" s="10"/>
      <c r="X17" s="10"/>
    </row>
    <row r="18" spans="2:24">
      <c r="B18" s="11"/>
      <c r="C18" s="10"/>
      <c r="D18" s="10"/>
      <c r="E18" s="72"/>
      <c r="F18" s="73"/>
      <c r="G18" s="10"/>
      <c r="H18" s="10"/>
      <c r="I18" s="10"/>
      <c r="J18" s="42"/>
      <c r="K18" s="20" t="s">
        <v>31</v>
      </c>
      <c r="L18" s="21" t="s">
        <v>32</v>
      </c>
      <c r="M18" s="21" t="s">
        <v>33</v>
      </c>
      <c r="N18" s="21" t="s">
        <v>34</v>
      </c>
      <c r="O18" s="21" t="s">
        <v>35</v>
      </c>
      <c r="P18" s="21" t="s">
        <v>36</v>
      </c>
      <c r="Q18" s="49" t="s">
        <v>37</v>
      </c>
      <c r="R18" s="50" t="s">
        <v>38</v>
      </c>
      <c r="S18" s="50" t="s">
        <v>38</v>
      </c>
      <c r="T18" s="10"/>
      <c r="U18" s="17"/>
      <c r="V18" s="10"/>
      <c r="W18" s="10"/>
      <c r="X18" s="10"/>
    </row>
    <row r="19" spans="2:24">
      <c r="B19" s="11"/>
      <c r="C19" s="10"/>
      <c r="D19" s="10"/>
      <c r="E19" s="72"/>
      <c r="F19" s="73"/>
      <c r="G19" s="10"/>
      <c r="H19" s="10"/>
      <c r="I19" s="10"/>
      <c r="J19" s="42"/>
      <c r="K19" s="56"/>
      <c r="L19" s="57"/>
      <c r="M19" s="57"/>
      <c r="N19" s="57"/>
      <c r="O19" s="57"/>
      <c r="P19" s="57"/>
      <c r="Q19" s="58">
        <v>0</v>
      </c>
      <c r="R19" s="59"/>
      <c r="S19" s="59"/>
      <c r="T19" s="10"/>
      <c r="U19" s="17"/>
      <c r="V19" s="10"/>
      <c r="W19" s="10"/>
      <c r="X19" s="10"/>
    </row>
    <row r="20" spans="2:24">
      <c r="B20" s="11"/>
      <c r="C20" s="10"/>
      <c r="D20" s="10"/>
      <c r="E20" s="72"/>
      <c r="F20" s="73"/>
      <c r="G20" s="10"/>
      <c r="H20" s="10"/>
      <c r="I20" s="10"/>
      <c r="J20" s="10" t="s">
        <v>42</v>
      </c>
      <c r="K20" s="63">
        <f t="shared" ref="K20:Q21" si="4">K12</f>
        <v>0</v>
      </c>
      <c r="L20" s="63">
        <f t="shared" si="4"/>
        <v>0</v>
      </c>
      <c r="M20" s="63">
        <f t="shared" si="4"/>
        <v>0</v>
      </c>
      <c r="N20" s="63">
        <f t="shared" si="4"/>
        <v>0</v>
      </c>
      <c r="O20" s="63">
        <f t="shared" si="4"/>
        <v>0</v>
      </c>
      <c r="P20" s="63">
        <f t="shared" si="4"/>
        <v>0</v>
      </c>
      <c r="Q20" s="63">
        <f t="shared" si="4"/>
        <v>0</v>
      </c>
      <c r="R20" s="63"/>
      <c r="S20" s="10"/>
      <c r="T20" s="10"/>
      <c r="U20" s="17"/>
      <c r="V20" s="10"/>
      <c r="W20" s="10"/>
      <c r="X20" s="10"/>
    </row>
    <row r="21" spans="2:24">
      <c r="B21" s="11"/>
      <c r="C21" s="10"/>
      <c r="D21" s="10"/>
      <c r="E21" s="74"/>
      <c r="F21" s="75"/>
      <c r="G21" s="10"/>
      <c r="H21" s="10"/>
      <c r="I21" s="10"/>
      <c r="J21" s="10" t="s">
        <v>44</v>
      </c>
      <c r="K21" s="63">
        <f t="shared" si="4"/>
        <v>0</v>
      </c>
      <c r="L21" s="63">
        <f t="shared" si="4"/>
        <v>0</v>
      </c>
      <c r="M21" s="63">
        <f t="shared" si="4"/>
        <v>0</v>
      </c>
      <c r="N21" s="63">
        <f t="shared" si="4"/>
        <v>0</v>
      </c>
      <c r="O21" s="63">
        <f t="shared" si="4"/>
        <v>0</v>
      </c>
      <c r="P21" s="63">
        <f t="shared" si="4"/>
        <v>0</v>
      </c>
      <c r="Q21" s="63">
        <f t="shared" si="4"/>
        <v>1</v>
      </c>
      <c r="R21" s="63"/>
      <c r="S21" s="10"/>
      <c r="T21" s="10"/>
      <c r="U21" s="17"/>
      <c r="V21" s="10"/>
      <c r="W21" s="10"/>
      <c r="X21" s="10"/>
    </row>
    <row r="22" spans="2:24">
      <c r="B22" s="11"/>
      <c r="C22" s="10"/>
      <c r="D22" s="10"/>
      <c r="E22" s="12"/>
      <c r="F22" s="76"/>
      <c r="G22" s="10"/>
      <c r="H22" s="10"/>
      <c r="I22" s="10"/>
      <c r="J22" s="10" t="s">
        <v>46</v>
      </c>
      <c r="K22" s="31" t="e">
        <f t="shared" ref="K22:Q22" si="5">K20/(K20+K21)</f>
        <v>#DIV/0!</v>
      </c>
      <c r="L22" s="31" t="e">
        <f t="shared" si="5"/>
        <v>#DIV/0!</v>
      </c>
      <c r="M22" s="31" t="e">
        <f t="shared" si="5"/>
        <v>#DIV/0!</v>
      </c>
      <c r="N22" s="31" t="e">
        <f t="shared" si="5"/>
        <v>#DIV/0!</v>
      </c>
      <c r="O22" s="31" t="e">
        <f t="shared" si="5"/>
        <v>#DIV/0!</v>
      </c>
      <c r="P22" s="31" t="e">
        <f t="shared" si="5"/>
        <v>#DIV/0!</v>
      </c>
      <c r="Q22" s="31">
        <f t="shared" si="5"/>
        <v>0</v>
      </c>
      <c r="R22" s="63"/>
      <c r="S22" s="10"/>
      <c r="T22" s="10"/>
      <c r="U22" s="17"/>
      <c r="V22" s="10"/>
      <c r="W22" s="10"/>
      <c r="X22" s="10"/>
    </row>
    <row r="23" spans="2:24">
      <c r="B23" s="11"/>
      <c r="C23" s="10"/>
      <c r="D23" s="10"/>
      <c r="E23" s="10"/>
      <c r="F23" s="10"/>
      <c r="G23" s="10"/>
      <c r="H23" s="10"/>
      <c r="I23" s="10"/>
      <c r="J23" s="10" t="s">
        <v>48</v>
      </c>
      <c r="K23" s="66" t="e">
        <f t="shared" ref="K23:Q23" si="6">K19/K20</f>
        <v>#DIV/0!</v>
      </c>
      <c r="L23" s="66" t="e">
        <f t="shared" si="6"/>
        <v>#DIV/0!</v>
      </c>
      <c r="M23" s="66" t="e">
        <f t="shared" si="6"/>
        <v>#DIV/0!</v>
      </c>
      <c r="N23" s="66" t="e">
        <f t="shared" si="6"/>
        <v>#DIV/0!</v>
      </c>
      <c r="O23" s="66" t="e">
        <f t="shared" si="6"/>
        <v>#DIV/0!</v>
      </c>
      <c r="P23" s="66" t="e">
        <f t="shared" si="6"/>
        <v>#DIV/0!</v>
      </c>
      <c r="Q23" s="66" t="e">
        <f t="shared" si="6"/>
        <v>#DIV/0!</v>
      </c>
      <c r="R23" s="63"/>
      <c r="S23" s="10"/>
      <c r="T23" s="10"/>
      <c r="U23" s="17"/>
      <c r="V23" s="10"/>
      <c r="W23" s="10"/>
      <c r="X23" s="10"/>
    </row>
    <row r="24" spans="2:24">
      <c r="B24" s="11"/>
      <c r="C24" s="10"/>
      <c r="D24" s="10"/>
      <c r="E24" s="10"/>
      <c r="F24" s="10"/>
      <c r="G24" s="10"/>
      <c r="H24" s="10"/>
      <c r="I24" s="10"/>
      <c r="J24" s="10"/>
      <c r="K24" s="10"/>
      <c r="L24" s="10"/>
      <c r="M24" s="10"/>
      <c r="N24" s="10"/>
      <c r="O24" s="10"/>
      <c r="P24" s="10"/>
      <c r="Q24" s="10"/>
      <c r="R24" s="10"/>
      <c r="S24" s="10"/>
      <c r="T24" s="10"/>
      <c r="U24" s="17"/>
      <c r="V24" s="10"/>
      <c r="W24" s="10"/>
      <c r="X24" s="10"/>
    </row>
    <row r="25" spans="2:24">
      <c r="B25" s="11"/>
      <c r="C25" s="10"/>
      <c r="D25" s="10"/>
      <c r="E25" s="10"/>
      <c r="F25" s="10"/>
      <c r="G25" s="10"/>
      <c r="H25" s="10"/>
      <c r="I25" s="10"/>
      <c r="J25" s="10"/>
      <c r="K25" s="10"/>
      <c r="L25" s="10"/>
      <c r="M25" s="10"/>
      <c r="N25" s="10"/>
      <c r="O25" s="10"/>
      <c r="P25" s="10"/>
      <c r="Q25" s="10"/>
      <c r="R25" s="10"/>
      <c r="S25" s="10"/>
      <c r="T25" s="10"/>
      <c r="U25" s="17"/>
      <c r="V25" s="10"/>
      <c r="W25" s="10"/>
      <c r="X25" s="10"/>
    </row>
    <row r="26" spans="2:24">
      <c r="B26" s="18" t="s">
        <v>51</v>
      </c>
      <c r="C26" s="14"/>
      <c r="D26" s="14"/>
      <c r="E26" s="14"/>
      <c r="F26" s="13" t="s">
        <v>52</v>
      </c>
      <c r="G26" s="14"/>
      <c r="H26" s="14"/>
      <c r="I26" s="14"/>
      <c r="J26" s="14"/>
      <c r="K26" s="13" t="s">
        <v>3</v>
      </c>
      <c r="L26" s="14"/>
      <c r="M26" s="14"/>
      <c r="N26" s="13" t="s">
        <v>4</v>
      </c>
      <c r="O26" s="14"/>
      <c r="P26" s="14"/>
      <c r="Q26" s="13" t="s">
        <v>5</v>
      </c>
      <c r="R26" s="14"/>
      <c r="S26" s="14"/>
      <c r="T26" s="18"/>
      <c r="U26" s="16" t="s">
        <v>53</v>
      </c>
      <c r="V26" s="77"/>
      <c r="W26" s="77"/>
      <c r="X26" s="77"/>
    </row>
    <row r="27" spans="2:24">
      <c r="B27" s="24" t="s">
        <v>54</v>
      </c>
      <c r="C27" s="21" t="s">
        <v>55</v>
      </c>
      <c r="D27" s="21" t="s">
        <v>56</v>
      </c>
      <c r="E27" s="21" t="s">
        <v>57</v>
      </c>
      <c r="F27" s="20" t="s">
        <v>58</v>
      </c>
      <c r="G27" s="21" t="s">
        <v>59</v>
      </c>
      <c r="H27" s="21" t="s">
        <v>60</v>
      </c>
      <c r="I27" s="21" t="s">
        <v>26</v>
      </c>
      <c r="J27" s="22" t="s">
        <v>61</v>
      </c>
      <c r="K27" s="21" t="s">
        <v>8</v>
      </c>
      <c r="L27" s="21" t="s">
        <v>9</v>
      </c>
      <c r="M27" s="21" t="s">
        <v>10</v>
      </c>
      <c r="N27" s="20" t="s">
        <v>11</v>
      </c>
      <c r="O27" s="21" t="s">
        <v>12</v>
      </c>
      <c r="P27" s="22" t="s">
        <v>13</v>
      </c>
      <c r="Q27" s="21" t="s">
        <v>11</v>
      </c>
      <c r="R27" s="21" t="s">
        <v>12</v>
      </c>
      <c r="S27" s="21" t="s">
        <v>13</v>
      </c>
      <c r="T27" s="78" t="s">
        <v>14</v>
      </c>
      <c r="U27" s="30"/>
      <c r="V27" s="79" t="s">
        <v>62</v>
      </c>
      <c r="W27" s="80" t="s">
        <v>63</v>
      </c>
      <c r="X27" s="81" t="s">
        <v>64</v>
      </c>
    </row>
    <row r="28" spans="2:24">
      <c r="B28" s="4" t="s">
        <v>65</v>
      </c>
      <c r="C28" s="6"/>
      <c r="D28" s="6"/>
      <c r="E28" s="6"/>
      <c r="F28" s="6"/>
      <c r="G28" s="6"/>
      <c r="H28" s="6"/>
      <c r="I28" s="82"/>
      <c r="J28" s="6"/>
      <c r="K28" s="6"/>
      <c r="L28" s="6"/>
      <c r="M28" s="6"/>
      <c r="N28" s="6"/>
      <c r="O28" s="6"/>
      <c r="P28" s="6"/>
      <c r="Q28" s="6"/>
      <c r="R28" s="6"/>
      <c r="S28" s="6"/>
      <c r="T28" s="83"/>
      <c r="U28" s="6"/>
      <c r="V28" s="84"/>
      <c r="W28" s="85"/>
      <c r="X28" s="86"/>
    </row>
    <row r="29" spans="2:24">
      <c r="B29" s="87">
        <v>1</v>
      </c>
      <c r="C29" s="36"/>
      <c r="D29" s="10"/>
      <c r="E29" s="10"/>
      <c r="F29" s="62"/>
      <c r="G29" s="62"/>
      <c r="H29" s="88"/>
      <c r="I29" s="89">
        <f>F29-G29-H29</f>
        <v>0</v>
      </c>
      <c r="J29" s="63"/>
      <c r="K29" s="63"/>
      <c r="L29" s="63"/>
      <c r="M29" s="63"/>
      <c r="N29" s="63"/>
      <c r="O29" s="63"/>
      <c r="P29" s="63"/>
      <c r="Q29" s="63"/>
      <c r="R29" s="63"/>
      <c r="S29" s="63"/>
      <c r="T29" s="63"/>
      <c r="U29" s="10"/>
      <c r="V29" s="90"/>
      <c r="W29" s="91"/>
      <c r="X29" s="92"/>
    </row>
    <row r="30" spans="2:24">
      <c r="B30" s="87"/>
      <c r="C30" s="36"/>
      <c r="D30" s="10"/>
      <c r="E30" s="10"/>
      <c r="F30" s="97">
        <f>SUM(F29:F29)</f>
        <v>0</v>
      </c>
      <c r="G30" s="97">
        <f>SUM(G29:G29)</f>
        <v>0</v>
      </c>
      <c r="H30" s="97">
        <f>SUM(H29:H29)</f>
        <v>0</v>
      </c>
      <c r="I30" s="98">
        <f>SUM(I29:I29)</f>
        <v>0</v>
      </c>
      <c r="J30" s="63"/>
      <c r="K30" s="63">
        <f t="shared" ref="K30:S30" si="7">COUNT(K29:K29)</f>
        <v>0</v>
      </c>
      <c r="L30" s="63">
        <f t="shared" si="7"/>
        <v>0</v>
      </c>
      <c r="M30" s="63">
        <f t="shared" si="7"/>
        <v>0</v>
      </c>
      <c r="N30" s="63">
        <f t="shared" si="7"/>
        <v>0</v>
      </c>
      <c r="O30" s="63">
        <f t="shared" si="7"/>
        <v>0</v>
      </c>
      <c r="P30" s="63">
        <f t="shared" si="7"/>
        <v>0</v>
      </c>
      <c r="Q30" s="63">
        <f t="shared" si="7"/>
        <v>0</v>
      </c>
      <c r="R30" s="63">
        <f t="shared" si="7"/>
        <v>0</v>
      </c>
      <c r="S30" s="63">
        <f t="shared" si="7"/>
        <v>0</v>
      </c>
      <c r="T30" s="63"/>
      <c r="U30" s="10"/>
      <c r="V30" s="90"/>
      <c r="W30" s="91"/>
      <c r="X30" s="92"/>
    </row>
    <row r="31" spans="2:24">
      <c r="B31" s="87"/>
      <c r="C31" s="36"/>
      <c r="D31" s="10"/>
      <c r="E31" s="10"/>
      <c r="F31" s="88"/>
      <c r="G31" s="88"/>
      <c r="H31" s="88"/>
      <c r="I31" s="99"/>
      <c r="J31" s="63"/>
      <c r="K31" s="21">
        <f t="shared" ref="K31:S31" si="8">SUM(K29:K29)</f>
        <v>0</v>
      </c>
      <c r="L31" s="21">
        <f t="shared" si="8"/>
        <v>0</v>
      </c>
      <c r="M31" s="21">
        <f t="shared" si="8"/>
        <v>0</v>
      </c>
      <c r="N31" s="21">
        <f t="shared" si="8"/>
        <v>0</v>
      </c>
      <c r="O31" s="21">
        <f t="shared" si="8"/>
        <v>0</v>
      </c>
      <c r="P31" s="21">
        <f t="shared" si="8"/>
        <v>0</v>
      </c>
      <c r="Q31" s="21">
        <f t="shared" si="8"/>
        <v>0</v>
      </c>
      <c r="R31" s="21">
        <f t="shared" si="8"/>
        <v>0</v>
      </c>
      <c r="S31" s="21">
        <f t="shared" si="8"/>
        <v>0</v>
      </c>
      <c r="T31" s="63"/>
      <c r="U31" s="10"/>
      <c r="V31" s="90"/>
      <c r="W31" s="91"/>
      <c r="X31" s="92"/>
    </row>
    <row r="32" spans="2:24">
      <c r="B32" s="11"/>
      <c r="C32" s="36"/>
      <c r="D32" s="10"/>
      <c r="E32" s="10"/>
      <c r="F32" s="88"/>
      <c r="G32" s="88"/>
      <c r="H32" s="88"/>
      <c r="I32" s="99"/>
      <c r="J32" s="10"/>
      <c r="K32" s="10"/>
      <c r="L32" s="10"/>
      <c r="M32" s="10"/>
      <c r="N32" s="10"/>
      <c r="O32" s="10"/>
      <c r="P32" s="10"/>
      <c r="Q32" s="10"/>
      <c r="R32" s="10"/>
      <c r="S32" s="10"/>
      <c r="T32" s="63"/>
      <c r="U32" s="10"/>
      <c r="V32" s="138"/>
      <c r="W32" s="136"/>
      <c r="X32" s="137"/>
    </row>
    <row r="33" spans="2:24">
      <c r="B33" s="100" t="s">
        <v>73</v>
      </c>
      <c r="C33" s="36"/>
      <c r="D33" s="10"/>
      <c r="E33" s="10"/>
      <c r="F33" s="88"/>
      <c r="G33" s="88"/>
      <c r="H33" s="88"/>
      <c r="I33" s="99"/>
      <c r="J33" s="63"/>
      <c r="K33" s="63"/>
      <c r="L33" s="63"/>
      <c r="M33" s="63"/>
      <c r="N33" s="63"/>
      <c r="O33" s="63"/>
      <c r="P33" s="63"/>
      <c r="Q33" s="63"/>
      <c r="R33" s="63"/>
      <c r="S33" s="63"/>
      <c r="T33" s="63"/>
      <c r="U33" s="94"/>
      <c r="V33" s="90"/>
      <c r="W33" s="91"/>
      <c r="X33" s="92"/>
    </row>
    <row r="34" spans="2:24">
      <c r="B34" s="87">
        <v>1</v>
      </c>
      <c r="C34" s="262">
        <v>45850</v>
      </c>
      <c r="D34" s="271">
        <v>71407</v>
      </c>
      <c r="E34" s="271" t="s">
        <v>2806</v>
      </c>
      <c r="F34" s="265">
        <v>2261</v>
      </c>
      <c r="G34" s="265">
        <v>39.700000000000003</v>
      </c>
      <c r="H34" s="265"/>
      <c r="I34" s="272">
        <f>F34-G34-H34</f>
        <v>2221.3000000000002</v>
      </c>
      <c r="J34" s="267" t="s">
        <v>205</v>
      </c>
      <c r="K34" s="267">
        <v>1</v>
      </c>
      <c r="L34" s="267"/>
      <c r="M34" s="267"/>
      <c r="N34" s="267">
        <v>1</v>
      </c>
      <c r="O34" s="267"/>
      <c r="P34" s="267"/>
      <c r="Q34" s="267"/>
      <c r="R34" s="267"/>
      <c r="S34" s="269"/>
      <c r="T34" s="63"/>
      <c r="U34" s="139"/>
      <c r="V34" s="90"/>
      <c r="W34" s="91"/>
      <c r="X34" s="92"/>
    </row>
    <row r="35" spans="2:24">
      <c r="B35" s="11"/>
      <c r="C35" s="36"/>
      <c r="D35" s="10"/>
      <c r="E35" s="10"/>
      <c r="F35" s="97">
        <f>SUM(F34:F34)</f>
        <v>2261</v>
      </c>
      <c r="G35" s="97">
        <f>SUM(G34:G34)</f>
        <v>39.700000000000003</v>
      </c>
      <c r="H35" s="97">
        <f>SUM(H34:H34)</f>
        <v>0</v>
      </c>
      <c r="I35" s="98">
        <f>SUM(I34:I34)</f>
        <v>2221.3000000000002</v>
      </c>
      <c r="J35" s="10"/>
      <c r="K35" s="10"/>
      <c r="L35" s="10"/>
      <c r="M35" s="10"/>
      <c r="N35" s="10"/>
      <c r="O35" s="10"/>
      <c r="P35" s="10"/>
      <c r="Q35" s="10"/>
      <c r="R35" s="10"/>
      <c r="S35" s="10"/>
      <c r="T35" s="63"/>
      <c r="U35" s="94"/>
      <c r="V35" s="90"/>
      <c r="W35" s="91"/>
      <c r="X35" s="92"/>
    </row>
    <row r="36" spans="2:24">
      <c r="B36" s="26"/>
      <c r="C36" s="140"/>
      <c r="D36" s="141"/>
      <c r="E36" s="141"/>
      <c r="F36" s="141"/>
      <c r="G36" s="141"/>
      <c r="H36" s="141"/>
      <c r="I36" s="141"/>
      <c r="J36" s="141"/>
      <c r="K36" s="142"/>
      <c r="L36" s="142"/>
      <c r="M36" s="142"/>
      <c r="N36" s="142"/>
      <c r="O36" s="142"/>
      <c r="P36" s="142"/>
      <c r="Q36" s="142"/>
      <c r="R36" s="142"/>
      <c r="S36" s="142"/>
      <c r="T36" s="143">
        <f>SUM(T29:T35)</f>
        <v>0</v>
      </c>
      <c r="U36" s="141"/>
      <c r="V36" s="144">
        <f>SUM(V29:V35)</f>
        <v>0</v>
      </c>
      <c r="W36" s="145">
        <f>SUM(W29:W35)</f>
        <v>0</v>
      </c>
      <c r="X36" s="146">
        <f>SUM(X29:X35)</f>
        <v>0</v>
      </c>
    </row>
    <row r="40" spans="2:24">
      <c r="B40" s="4" t="s">
        <v>1</v>
      </c>
      <c r="C40" s="5"/>
      <c r="D40" s="6"/>
      <c r="E40" s="6"/>
      <c r="F40" s="7" t="s">
        <v>2</v>
      </c>
      <c r="G40" s="8">
        <v>45865</v>
      </c>
      <c r="H40" s="7"/>
      <c r="I40" s="6"/>
      <c r="J40" s="6"/>
      <c r="K40" s="6"/>
      <c r="L40" s="6"/>
      <c r="M40" s="6"/>
      <c r="N40" s="6"/>
      <c r="O40" s="6"/>
      <c r="P40" s="6"/>
      <c r="Q40" s="6"/>
      <c r="R40" s="6"/>
      <c r="S40" s="6"/>
      <c r="T40" s="6"/>
      <c r="U40" s="9"/>
      <c r="V40" s="10"/>
      <c r="W40" s="10"/>
      <c r="X40" s="10"/>
    </row>
    <row r="41" spans="2:24">
      <c r="B41" s="11"/>
      <c r="C41" s="10"/>
      <c r="D41" s="10"/>
      <c r="E41" s="10"/>
      <c r="F41" s="10"/>
      <c r="G41" s="7"/>
      <c r="H41" s="12"/>
      <c r="I41" s="10"/>
      <c r="J41" s="10"/>
      <c r="K41" s="13" t="s">
        <v>3</v>
      </c>
      <c r="L41" s="14"/>
      <c r="M41" s="15"/>
      <c r="N41" s="13" t="s">
        <v>4</v>
      </c>
      <c r="O41" s="14"/>
      <c r="P41" s="15"/>
      <c r="Q41" s="13" t="s">
        <v>5</v>
      </c>
      <c r="R41" s="14"/>
      <c r="S41" s="15"/>
      <c r="T41" s="16"/>
      <c r="U41" s="17"/>
      <c r="V41" s="10"/>
      <c r="W41" s="10"/>
      <c r="X41" s="10"/>
    </row>
    <row r="42" spans="2:24">
      <c r="B42" s="18" t="s">
        <v>6</v>
      </c>
      <c r="C42" s="19">
        <f>C43+C44</f>
        <v>1</v>
      </c>
      <c r="D42" s="10"/>
      <c r="E42" s="18" t="s">
        <v>7</v>
      </c>
      <c r="F42" s="6"/>
      <c r="G42" s="9"/>
      <c r="H42" s="10"/>
      <c r="I42" s="10"/>
      <c r="J42" s="10"/>
      <c r="K42" s="20" t="s">
        <v>8</v>
      </c>
      <c r="L42" s="21" t="s">
        <v>9</v>
      </c>
      <c r="M42" s="21" t="s">
        <v>10</v>
      </c>
      <c r="N42" s="20" t="s">
        <v>11</v>
      </c>
      <c r="O42" s="21" t="s">
        <v>12</v>
      </c>
      <c r="P42" s="22" t="s">
        <v>13</v>
      </c>
      <c r="Q42" s="21" t="s">
        <v>11</v>
      </c>
      <c r="R42" s="21" t="s">
        <v>12</v>
      </c>
      <c r="S42" s="22" t="s">
        <v>13</v>
      </c>
      <c r="T42" s="23" t="s">
        <v>14</v>
      </c>
      <c r="U42" s="17"/>
      <c r="V42" s="10"/>
      <c r="W42" s="10"/>
      <c r="X42" s="10"/>
    </row>
    <row r="43" spans="2:24">
      <c r="B43" s="24" t="s">
        <v>15</v>
      </c>
      <c r="C43" s="25">
        <f>P50</f>
        <v>0</v>
      </c>
      <c r="D43" s="10"/>
      <c r="E43" s="26" t="s">
        <v>16</v>
      </c>
      <c r="F43" s="27">
        <v>0.05</v>
      </c>
      <c r="G43" s="28"/>
      <c r="H43" s="10"/>
      <c r="I43" s="10"/>
      <c r="J43" s="18" t="s">
        <v>17</v>
      </c>
      <c r="K43" s="29">
        <f t="shared" ref="K43:S43" si="9">K69</f>
        <v>0</v>
      </c>
      <c r="L43" s="29">
        <f t="shared" si="9"/>
        <v>0</v>
      </c>
      <c r="M43" s="29">
        <f t="shared" si="9"/>
        <v>0</v>
      </c>
      <c r="N43" s="29">
        <f t="shared" si="9"/>
        <v>0</v>
      </c>
      <c r="O43" s="29">
        <f t="shared" si="9"/>
        <v>0</v>
      </c>
      <c r="P43" s="29">
        <f t="shared" si="9"/>
        <v>0</v>
      </c>
      <c r="Q43" s="29">
        <f t="shared" si="9"/>
        <v>0</v>
      </c>
      <c r="R43" s="29">
        <f t="shared" si="9"/>
        <v>0</v>
      </c>
      <c r="S43" s="29">
        <f t="shared" si="9"/>
        <v>0</v>
      </c>
      <c r="T43" s="30">
        <f>T74</f>
        <v>0</v>
      </c>
      <c r="U43" s="17"/>
      <c r="V43" s="10"/>
      <c r="W43" s="10"/>
      <c r="X43" s="10"/>
    </row>
    <row r="44" spans="2:24">
      <c r="B44" s="24" t="s">
        <v>18</v>
      </c>
      <c r="C44" s="25">
        <f>P51</f>
        <v>1</v>
      </c>
      <c r="D44" s="10"/>
      <c r="E44" s="10"/>
      <c r="F44" s="10"/>
      <c r="G44" s="31"/>
      <c r="H44" s="10"/>
      <c r="I44" s="10"/>
      <c r="J44" s="32" t="s">
        <v>19</v>
      </c>
      <c r="K44" s="33" t="e">
        <f t="shared" ref="K44:S44" si="10">K69/K68</f>
        <v>#DIV/0!</v>
      </c>
      <c r="L44" s="33" t="e">
        <f t="shared" si="10"/>
        <v>#DIV/0!</v>
      </c>
      <c r="M44" s="33" t="e">
        <f t="shared" si="10"/>
        <v>#DIV/0!</v>
      </c>
      <c r="N44" s="33" t="e">
        <f t="shared" si="10"/>
        <v>#DIV/0!</v>
      </c>
      <c r="O44" s="33" t="e">
        <f t="shared" si="10"/>
        <v>#DIV/0!</v>
      </c>
      <c r="P44" s="33" t="e">
        <f t="shared" si="10"/>
        <v>#DIV/0!</v>
      </c>
      <c r="Q44" s="33" t="e">
        <f t="shared" si="10"/>
        <v>#DIV/0!</v>
      </c>
      <c r="R44" s="33" t="e">
        <f t="shared" si="10"/>
        <v>#DIV/0!</v>
      </c>
      <c r="S44" s="33" t="e">
        <f t="shared" si="10"/>
        <v>#DIV/0!</v>
      </c>
      <c r="T44" s="23"/>
      <c r="U44" s="17" t="s">
        <v>20</v>
      </c>
      <c r="V44" s="10"/>
      <c r="W44" s="10"/>
      <c r="X44" s="10"/>
    </row>
    <row r="45" spans="2:24">
      <c r="B45" s="24" t="s">
        <v>21</v>
      </c>
      <c r="C45" s="34">
        <f>P52</f>
        <v>0</v>
      </c>
      <c r="D45" s="10"/>
      <c r="E45" s="10"/>
      <c r="F45" s="10"/>
      <c r="G45" s="10"/>
      <c r="H45" s="10"/>
      <c r="I45" s="10"/>
      <c r="J45" s="10"/>
      <c r="K45" s="10"/>
      <c r="L45" s="10"/>
      <c r="M45" s="10"/>
      <c r="N45" s="10"/>
      <c r="O45" s="10"/>
      <c r="P45" s="10"/>
      <c r="Q45" s="10"/>
      <c r="R45" s="10"/>
      <c r="S45" s="10"/>
      <c r="T45" s="10"/>
      <c r="U45" s="17"/>
      <c r="V45" s="10"/>
      <c r="W45" s="10"/>
      <c r="X45" s="10"/>
    </row>
    <row r="46" spans="2:24">
      <c r="B46" s="24"/>
      <c r="C46" s="25"/>
      <c r="D46" s="10"/>
      <c r="E46" s="10"/>
      <c r="F46" s="18" t="s">
        <v>22</v>
      </c>
      <c r="G46" s="19" t="s">
        <v>23</v>
      </c>
      <c r="H46" s="35" t="s">
        <v>24</v>
      </c>
      <c r="I46" s="10"/>
      <c r="J46" s="10"/>
      <c r="K46" s="36"/>
      <c r="L46" s="36"/>
      <c r="M46" s="36"/>
      <c r="N46" s="36"/>
      <c r="O46" s="36"/>
      <c r="P46" s="36"/>
      <c r="Q46" s="36"/>
      <c r="R46" s="10"/>
      <c r="S46" s="10"/>
      <c r="T46" s="10"/>
      <c r="U46" s="17"/>
      <c r="V46" s="10"/>
      <c r="W46" s="10"/>
      <c r="X46" s="10"/>
    </row>
    <row r="47" spans="2:24">
      <c r="B47" s="32" t="s">
        <v>25</v>
      </c>
      <c r="C47" s="37" t="e">
        <f>P53</f>
        <v>#DIV/0!</v>
      </c>
      <c r="D47" s="10"/>
      <c r="E47" s="18" t="s">
        <v>26</v>
      </c>
      <c r="F47" s="38">
        <f>P49</f>
        <v>0</v>
      </c>
      <c r="G47" s="39">
        <f>I68</f>
        <v>0</v>
      </c>
      <c r="H47" s="40"/>
      <c r="I47" s="41"/>
      <c r="J47" s="42"/>
      <c r="K47" s="43" t="s">
        <v>27</v>
      </c>
      <c r="L47" s="44"/>
      <c r="M47" s="44"/>
      <c r="N47" s="44"/>
      <c r="O47" s="44"/>
      <c r="P47" s="44"/>
      <c r="Q47" s="45"/>
      <c r="R47" s="46" t="s">
        <v>28</v>
      </c>
      <c r="S47" s="47" t="s">
        <v>29</v>
      </c>
      <c r="T47" s="10"/>
      <c r="U47" s="17"/>
      <c r="V47" s="10"/>
      <c r="W47" s="10"/>
      <c r="X47" s="10"/>
    </row>
    <row r="48" spans="2:24">
      <c r="B48" s="11"/>
      <c r="C48" s="10"/>
      <c r="D48" s="10"/>
      <c r="E48" s="24" t="s">
        <v>30</v>
      </c>
      <c r="F48" s="48">
        <f>F43</f>
        <v>0.05</v>
      </c>
      <c r="G48" s="17"/>
      <c r="H48" s="40"/>
      <c r="I48" s="41"/>
      <c r="J48" s="42"/>
      <c r="K48" s="20" t="s">
        <v>31</v>
      </c>
      <c r="L48" s="21" t="s">
        <v>32</v>
      </c>
      <c r="M48" s="21" t="s">
        <v>33</v>
      </c>
      <c r="N48" s="21" t="s">
        <v>34</v>
      </c>
      <c r="O48" s="21" t="s">
        <v>35</v>
      </c>
      <c r="P48" s="21" t="s">
        <v>36</v>
      </c>
      <c r="Q48" s="49" t="s">
        <v>37</v>
      </c>
      <c r="R48" s="50" t="s">
        <v>38</v>
      </c>
      <c r="S48" s="50" t="s">
        <v>38</v>
      </c>
      <c r="T48" s="10"/>
      <c r="U48" s="17"/>
      <c r="V48" s="10"/>
      <c r="W48" s="10"/>
      <c r="X48" s="10"/>
    </row>
    <row r="49" spans="2:24">
      <c r="B49" s="11"/>
      <c r="C49" s="10"/>
      <c r="D49" s="10"/>
      <c r="E49" s="51" t="s">
        <v>39</v>
      </c>
      <c r="F49" s="52">
        <f>F47*F48</f>
        <v>0</v>
      </c>
      <c r="G49" s="53" t="s">
        <v>40</v>
      </c>
      <c r="H49" s="54">
        <f>F49/1.12</f>
        <v>0</v>
      </c>
      <c r="I49" s="55"/>
      <c r="J49" s="42"/>
      <c r="K49" s="56">
        <v>0</v>
      </c>
      <c r="L49" s="57">
        <v>0</v>
      </c>
      <c r="M49" s="57">
        <v>0</v>
      </c>
      <c r="N49" s="57">
        <v>0</v>
      </c>
      <c r="O49" s="57">
        <v>0</v>
      </c>
      <c r="P49" s="57">
        <f>SUM(K49:O49)</f>
        <v>0</v>
      </c>
      <c r="Q49" s="58">
        <v>0</v>
      </c>
      <c r="R49" s="59">
        <v>0</v>
      </c>
      <c r="S49" s="59">
        <v>0</v>
      </c>
      <c r="T49" s="10"/>
      <c r="U49" s="17"/>
      <c r="V49" s="10"/>
      <c r="W49" s="10"/>
      <c r="X49" s="10"/>
    </row>
    <row r="50" spans="2:24">
      <c r="B50" s="11"/>
      <c r="C50" s="10"/>
      <c r="D50" s="10"/>
      <c r="E50" s="24" t="s">
        <v>41</v>
      </c>
      <c r="F50" s="60">
        <f>Q49</f>
        <v>0</v>
      </c>
      <c r="G50" s="61" t="s">
        <v>40</v>
      </c>
      <c r="H50" s="62"/>
      <c r="I50" s="62"/>
      <c r="J50" s="10" t="s">
        <v>42</v>
      </c>
      <c r="K50" s="63">
        <v>0</v>
      </c>
      <c r="L50" s="63">
        <v>0</v>
      </c>
      <c r="M50" s="63">
        <v>0</v>
      </c>
      <c r="N50" s="63">
        <v>0</v>
      </c>
      <c r="O50" s="63">
        <v>0</v>
      </c>
      <c r="P50" s="21">
        <f>SUM(K50:O50)</f>
        <v>0</v>
      </c>
      <c r="Q50" s="64"/>
      <c r="R50" s="63"/>
      <c r="S50" s="10"/>
      <c r="T50" s="10"/>
      <c r="U50" s="17"/>
      <c r="V50" s="10"/>
      <c r="W50" s="10"/>
      <c r="X50" s="10"/>
    </row>
    <row r="51" spans="2:24">
      <c r="B51" s="11"/>
      <c r="C51" s="10"/>
      <c r="D51" s="10"/>
      <c r="E51" s="51" t="s">
        <v>43</v>
      </c>
      <c r="F51" s="52">
        <f>F50*0.25</f>
        <v>0</v>
      </c>
      <c r="G51" s="53" t="s">
        <v>40</v>
      </c>
      <c r="H51" s="54">
        <f>F51/1.12</f>
        <v>0</v>
      </c>
      <c r="I51" s="10"/>
      <c r="J51" s="10" t="s">
        <v>44</v>
      </c>
      <c r="K51" s="63">
        <v>1</v>
      </c>
      <c r="L51" s="63">
        <v>0</v>
      </c>
      <c r="M51" s="63">
        <v>0</v>
      </c>
      <c r="N51" s="63">
        <v>0</v>
      </c>
      <c r="O51" s="63">
        <v>0</v>
      </c>
      <c r="P51" s="21">
        <f>SUM(K51:O51)</f>
        <v>1</v>
      </c>
      <c r="Q51" s="64">
        <v>1</v>
      </c>
      <c r="R51" s="63"/>
      <c r="S51" s="10"/>
      <c r="T51" s="10"/>
      <c r="U51" s="17"/>
      <c r="V51" s="10"/>
      <c r="W51" s="10"/>
      <c r="X51" s="10"/>
    </row>
    <row r="52" spans="2:24">
      <c r="B52" s="11"/>
      <c r="C52" s="10"/>
      <c r="D52" s="10"/>
      <c r="E52" s="24" t="s">
        <v>45</v>
      </c>
      <c r="F52" s="60"/>
      <c r="G52" s="61" t="s">
        <v>40</v>
      </c>
      <c r="H52" s="62"/>
      <c r="I52" s="10"/>
      <c r="J52" s="10" t="s">
        <v>46</v>
      </c>
      <c r="K52" s="31">
        <f t="shared" ref="K52:Q52" si="11">K50/(K50+K51)</f>
        <v>0</v>
      </c>
      <c r="L52" s="31" t="e">
        <f t="shared" si="11"/>
        <v>#DIV/0!</v>
      </c>
      <c r="M52" s="31" t="e">
        <f t="shared" si="11"/>
        <v>#DIV/0!</v>
      </c>
      <c r="N52" s="31" t="e">
        <f t="shared" si="11"/>
        <v>#DIV/0!</v>
      </c>
      <c r="O52" s="31" t="e">
        <f t="shared" si="11"/>
        <v>#DIV/0!</v>
      </c>
      <c r="P52" s="31">
        <f t="shared" si="11"/>
        <v>0</v>
      </c>
      <c r="Q52" s="31">
        <f t="shared" si="11"/>
        <v>0</v>
      </c>
      <c r="R52" s="63"/>
      <c r="S52" s="10"/>
      <c r="T52" s="10"/>
      <c r="U52" s="17"/>
      <c r="V52" s="10"/>
      <c r="W52" s="10"/>
      <c r="X52" s="10"/>
    </row>
    <row r="53" spans="2:24">
      <c r="B53" s="11"/>
      <c r="C53" s="10"/>
      <c r="D53" s="10"/>
      <c r="E53" s="51" t="s">
        <v>47</v>
      </c>
      <c r="F53" s="52">
        <f>F52*0.05</f>
        <v>0</v>
      </c>
      <c r="G53" s="65" t="s">
        <v>40</v>
      </c>
      <c r="H53" s="54">
        <f>F53/1.12</f>
        <v>0</v>
      </c>
      <c r="I53" s="42"/>
      <c r="J53" s="10" t="s">
        <v>48</v>
      </c>
      <c r="K53" s="66" t="e">
        <f t="shared" ref="K53:Q53" si="12">K49/K50</f>
        <v>#DIV/0!</v>
      </c>
      <c r="L53" s="66" t="e">
        <f t="shared" si="12"/>
        <v>#DIV/0!</v>
      </c>
      <c r="M53" s="66" t="e">
        <f t="shared" si="12"/>
        <v>#DIV/0!</v>
      </c>
      <c r="N53" s="66" t="e">
        <f t="shared" si="12"/>
        <v>#DIV/0!</v>
      </c>
      <c r="O53" s="66" t="e">
        <f t="shared" si="12"/>
        <v>#DIV/0!</v>
      </c>
      <c r="P53" s="66" t="e">
        <f t="shared" si="12"/>
        <v>#DIV/0!</v>
      </c>
      <c r="Q53" s="66" t="e">
        <f t="shared" si="12"/>
        <v>#DIV/0!</v>
      </c>
      <c r="R53" s="63"/>
      <c r="S53" s="10"/>
      <c r="T53" s="10"/>
      <c r="U53" s="17"/>
      <c r="V53" s="10"/>
      <c r="W53" s="10"/>
      <c r="X53" s="10"/>
    </row>
    <row r="54" spans="2:24">
      <c r="B54" s="11"/>
      <c r="C54" s="10"/>
      <c r="D54" s="10"/>
      <c r="E54" s="67" t="s">
        <v>14</v>
      </c>
      <c r="F54" s="68"/>
      <c r="G54" s="10"/>
      <c r="H54" s="54">
        <f>F54/1.12</f>
        <v>0</v>
      </c>
      <c r="I54" s="10"/>
      <c r="J54" s="10"/>
      <c r="K54" s="10"/>
      <c r="L54" s="10"/>
      <c r="M54" s="10"/>
      <c r="N54" s="10"/>
      <c r="O54" s="10"/>
      <c r="P54" s="10"/>
      <c r="Q54" s="10"/>
      <c r="R54" s="10"/>
      <c r="S54" s="10"/>
      <c r="T54" s="10"/>
      <c r="U54" s="17"/>
      <c r="V54" s="10"/>
      <c r="W54" s="10"/>
      <c r="X54" s="10"/>
    </row>
    <row r="55" spans="2:24">
      <c r="B55" s="11"/>
      <c r="C55" s="10"/>
      <c r="D55" s="10"/>
      <c r="E55" s="155" t="s">
        <v>49</v>
      </c>
      <c r="F55" s="364">
        <f>T44</f>
        <v>0</v>
      </c>
      <c r="G55" s="10"/>
      <c r="H55" s="54"/>
      <c r="I55" s="55"/>
      <c r="J55" s="42"/>
      <c r="K55" s="764" t="s">
        <v>50</v>
      </c>
      <c r="L55" s="765"/>
      <c r="M55" s="765"/>
      <c r="N55" s="765"/>
      <c r="O55" s="765"/>
      <c r="P55" s="765"/>
      <c r="Q55" s="766"/>
      <c r="R55" s="70" t="s">
        <v>28</v>
      </c>
      <c r="S55" s="71" t="s">
        <v>29</v>
      </c>
      <c r="T55" s="10"/>
      <c r="U55" s="17"/>
      <c r="V55" s="10"/>
      <c r="W55" s="10"/>
      <c r="X55" s="10"/>
    </row>
    <row r="56" spans="2:24">
      <c r="B56" s="11"/>
      <c r="C56" s="10"/>
      <c r="D56" s="10"/>
      <c r="E56" s="12"/>
      <c r="F56" s="76"/>
      <c r="G56" s="10"/>
      <c r="H56" s="10"/>
      <c r="I56" s="10"/>
      <c r="J56" s="42"/>
      <c r="K56" s="20" t="s">
        <v>31</v>
      </c>
      <c r="L56" s="21" t="s">
        <v>32</v>
      </c>
      <c r="M56" s="21" t="s">
        <v>33</v>
      </c>
      <c r="N56" s="21" t="s">
        <v>34</v>
      </c>
      <c r="O56" s="21" t="s">
        <v>35</v>
      </c>
      <c r="P56" s="21" t="s">
        <v>36</v>
      </c>
      <c r="Q56" s="49" t="s">
        <v>37</v>
      </c>
      <c r="R56" s="50" t="s">
        <v>38</v>
      </c>
      <c r="S56" s="50" t="s">
        <v>38</v>
      </c>
      <c r="T56" s="10"/>
      <c r="U56" s="17"/>
      <c r="V56" s="10"/>
      <c r="W56" s="10"/>
      <c r="X56" s="10"/>
    </row>
    <row r="57" spans="2:24">
      <c r="B57" s="11"/>
      <c r="C57" s="10"/>
      <c r="D57" s="10"/>
      <c r="E57" s="10"/>
      <c r="F57" s="10"/>
      <c r="G57" s="10"/>
      <c r="H57" s="10"/>
      <c r="I57" s="10"/>
      <c r="J57" s="42"/>
      <c r="K57" s="56">
        <v>0</v>
      </c>
      <c r="L57" s="57">
        <v>0</v>
      </c>
      <c r="M57" s="57">
        <v>0</v>
      </c>
      <c r="N57" s="57">
        <v>0</v>
      </c>
      <c r="O57" s="57">
        <v>0</v>
      </c>
      <c r="P57" s="57">
        <f>SUM(K57:O57)</f>
        <v>0</v>
      </c>
      <c r="Q57" s="58">
        <v>0</v>
      </c>
      <c r="R57" s="59">
        <v>0</v>
      </c>
      <c r="S57" s="59">
        <v>0</v>
      </c>
      <c r="T57" s="10"/>
      <c r="U57" s="17"/>
      <c r="V57" s="10"/>
      <c r="W57" s="10"/>
      <c r="X57" s="10"/>
    </row>
    <row r="58" spans="2:24">
      <c r="B58" s="11"/>
      <c r="C58" s="10"/>
      <c r="D58" s="10"/>
      <c r="E58" s="10"/>
      <c r="F58" s="10"/>
      <c r="G58" s="10"/>
      <c r="H58" s="10"/>
      <c r="I58" s="10"/>
      <c r="J58" s="10" t="s">
        <v>42</v>
      </c>
      <c r="K58" s="63">
        <f t="shared" ref="K58:Q59" si="13">K50</f>
        <v>0</v>
      </c>
      <c r="L58" s="63">
        <f t="shared" si="13"/>
        <v>0</v>
      </c>
      <c r="M58" s="63">
        <f t="shared" si="13"/>
        <v>0</v>
      </c>
      <c r="N58" s="63">
        <f t="shared" si="13"/>
        <v>0</v>
      </c>
      <c r="O58" s="63">
        <f t="shared" si="13"/>
        <v>0</v>
      </c>
      <c r="P58" s="63">
        <f t="shared" si="13"/>
        <v>0</v>
      </c>
      <c r="Q58" s="63">
        <f t="shared" si="13"/>
        <v>0</v>
      </c>
      <c r="R58" s="63"/>
      <c r="S58" s="10"/>
      <c r="T58" s="10"/>
      <c r="U58" s="17"/>
      <c r="V58" s="10"/>
      <c r="W58" s="10"/>
      <c r="X58" s="10"/>
    </row>
    <row r="59" spans="2:24">
      <c r="B59" s="11"/>
      <c r="C59" s="10"/>
      <c r="D59" s="10"/>
      <c r="E59" s="10"/>
      <c r="F59" s="10"/>
      <c r="G59" s="10"/>
      <c r="H59" s="10"/>
      <c r="I59" s="10"/>
      <c r="J59" s="10" t="s">
        <v>44</v>
      </c>
      <c r="K59" s="63">
        <f t="shared" si="13"/>
        <v>1</v>
      </c>
      <c r="L59" s="63">
        <f t="shared" si="13"/>
        <v>0</v>
      </c>
      <c r="M59" s="63">
        <f t="shared" si="13"/>
        <v>0</v>
      </c>
      <c r="N59" s="63">
        <f t="shared" si="13"/>
        <v>0</v>
      </c>
      <c r="O59" s="63">
        <f t="shared" si="13"/>
        <v>0</v>
      </c>
      <c r="P59" s="63">
        <f t="shared" si="13"/>
        <v>1</v>
      </c>
      <c r="Q59" s="63">
        <f t="shared" si="13"/>
        <v>1</v>
      </c>
      <c r="R59" s="63"/>
      <c r="S59" s="10"/>
      <c r="T59" s="10"/>
      <c r="U59" s="17"/>
      <c r="V59" s="10"/>
      <c r="W59" s="10"/>
      <c r="X59" s="10"/>
    </row>
    <row r="60" spans="2:24">
      <c r="B60" s="11"/>
      <c r="C60" s="10"/>
      <c r="D60" s="10"/>
      <c r="E60" s="12"/>
      <c r="F60" s="76"/>
      <c r="G60" s="10"/>
      <c r="H60" s="10"/>
      <c r="I60" s="10"/>
      <c r="J60" s="10" t="s">
        <v>46</v>
      </c>
      <c r="K60" s="31">
        <f t="shared" ref="K60:Q60" si="14">K58/(K58+K59)</f>
        <v>0</v>
      </c>
      <c r="L60" s="31" t="e">
        <f t="shared" si="14"/>
        <v>#DIV/0!</v>
      </c>
      <c r="M60" s="31" t="e">
        <f t="shared" si="14"/>
        <v>#DIV/0!</v>
      </c>
      <c r="N60" s="31" t="e">
        <f t="shared" si="14"/>
        <v>#DIV/0!</v>
      </c>
      <c r="O60" s="31" t="e">
        <f t="shared" si="14"/>
        <v>#DIV/0!</v>
      </c>
      <c r="P60" s="31">
        <f t="shared" si="14"/>
        <v>0</v>
      </c>
      <c r="Q60" s="31">
        <f t="shared" si="14"/>
        <v>0</v>
      </c>
      <c r="R60" s="63"/>
      <c r="S60" s="10"/>
      <c r="T60" s="10"/>
      <c r="U60" s="17"/>
      <c r="V60" s="10"/>
      <c r="W60" s="10"/>
      <c r="X60" s="10"/>
    </row>
    <row r="61" spans="2:24">
      <c r="B61" s="11"/>
      <c r="C61" s="10"/>
      <c r="D61" s="10"/>
      <c r="E61" s="10"/>
      <c r="F61" s="10"/>
      <c r="G61" s="10"/>
      <c r="H61" s="10"/>
      <c r="I61" s="10"/>
      <c r="J61" s="10" t="s">
        <v>48</v>
      </c>
      <c r="K61" s="66" t="e">
        <f t="shared" ref="K61:Q61" si="15">K57/K58</f>
        <v>#DIV/0!</v>
      </c>
      <c r="L61" s="66" t="e">
        <f t="shared" si="15"/>
        <v>#DIV/0!</v>
      </c>
      <c r="M61" s="66" t="e">
        <f t="shared" si="15"/>
        <v>#DIV/0!</v>
      </c>
      <c r="N61" s="66" t="e">
        <f t="shared" si="15"/>
        <v>#DIV/0!</v>
      </c>
      <c r="O61" s="66" t="e">
        <f t="shared" si="15"/>
        <v>#DIV/0!</v>
      </c>
      <c r="P61" s="66" t="e">
        <f t="shared" si="15"/>
        <v>#DIV/0!</v>
      </c>
      <c r="Q61" s="66" t="e">
        <f t="shared" si="15"/>
        <v>#DIV/0!</v>
      </c>
      <c r="R61" s="63"/>
      <c r="S61" s="10"/>
      <c r="T61" s="10"/>
      <c r="U61" s="17"/>
      <c r="V61" s="10"/>
      <c r="W61" s="10"/>
      <c r="X61" s="10"/>
    </row>
    <row r="62" spans="2:24">
      <c r="B62" s="11"/>
      <c r="C62" s="10"/>
      <c r="D62" s="10"/>
      <c r="E62" s="10"/>
      <c r="F62" s="10"/>
      <c r="G62" s="10"/>
      <c r="H62" s="10"/>
      <c r="I62" s="10"/>
      <c r="J62" s="10"/>
      <c r="K62" s="10"/>
      <c r="L62" s="10"/>
      <c r="M62" s="10"/>
      <c r="N62" s="10"/>
      <c r="O62" s="10"/>
      <c r="P62" s="10"/>
      <c r="Q62" s="10"/>
      <c r="R62" s="10"/>
      <c r="S62" s="10"/>
      <c r="T62" s="10"/>
      <c r="U62" s="17"/>
      <c r="V62" s="10"/>
      <c r="W62" s="10"/>
      <c r="X62" s="10"/>
    </row>
    <row r="63" spans="2:24">
      <c r="B63" s="11"/>
      <c r="C63" s="10"/>
      <c r="D63" s="10"/>
      <c r="E63" s="10"/>
      <c r="F63" s="10"/>
      <c r="G63" s="10"/>
      <c r="H63" s="10"/>
      <c r="I63" s="10"/>
      <c r="J63" s="10"/>
      <c r="K63" s="10"/>
      <c r="L63" s="10"/>
      <c r="M63" s="10"/>
      <c r="N63" s="10"/>
      <c r="O63" s="10"/>
      <c r="P63" s="10"/>
      <c r="Q63" s="10"/>
      <c r="R63" s="10"/>
      <c r="S63" s="10"/>
      <c r="T63" s="10"/>
      <c r="U63" s="17"/>
      <c r="V63" s="10"/>
      <c r="W63" s="10"/>
      <c r="X63" s="10"/>
    </row>
    <row r="64" spans="2:24">
      <c r="B64" s="18" t="s">
        <v>51</v>
      </c>
      <c r="C64" s="14"/>
      <c r="D64" s="14"/>
      <c r="E64" s="14"/>
      <c r="F64" s="13" t="s">
        <v>52</v>
      </c>
      <c r="G64" s="14"/>
      <c r="H64" s="14"/>
      <c r="I64" s="14"/>
      <c r="J64" s="14"/>
      <c r="K64" s="13" t="s">
        <v>3</v>
      </c>
      <c r="L64" s="14"/>
      <c r="M64" s="14"/>
      <c r="N64" s="13" t="s">
        <v>4</v>
      </c>
      <c r="O64" s="14"/>
      <c r="P64" s="14"/>
      <c r="Q64" s="13" t="s">
        <v>5</v>
      </c>
      <c r="R64" s="14"/>
      <c r="S64" s="14"/>
      <c r="T64" s="18"/>
      <c r="U64" s="16" t="s">
        <v>53</v>
      </c>
      <c r="V64" s="77"/>
      <c r="W64" s="77"/>
      <c r="X64" s="77"/>
    </row>
    <row r="65" spans="2:25">
      <c r="B65" s="24" t="s">
        <v>54</v>
      </c>
      <c r="C65" s="21" t="s">
        <v>55</v>
      </c>
      <c r="D65" s="21" t="s">
        <v>56</v>
      </c>
      <c r="E65" s="21" t="s">
        <v>57</v>
      </c>
      <c r="F65" s="20" t="s">
        <v>58</v>
      </c>
      <c r="G65" s="21" t="s">
        <v>59</v>
      </c>
      <c r="H65" s="21" t="s">
        <v>60</v>
      </c>
      <c r="I65" s="21" t="s">
        <v>26</v>
      </c>
      <c r="J65" s="22" t="s">
        <v>61</v>
      </c>
      <c r="K65" s="21" t="s">
        <v>8</v>
      </c>
      <c r="L65" s="21" t="s">
        <v>9</v>
      </c>
      <c r="M65" s="21" t="s">
        <v>10</v>
      </c>
      <c r="N65" s="20" t="s">
        <v>11</v>
      </c>
      <c r="O65" s="21" t="s">
        <v>12</v>
      </c>
      <c r="P65" s="22" t="s">
        <v>13</v>
      </c>
      <c r="Q65" s="21" t="s">
        <v>11</v>
      </c>
      <c r="R65" s="21" t="s">
        <v>12</v>
      </c>
      <c r="S65" s="21" t="s">
        <v>13</v>
      </c>
      <c r="T65" s="78" t="s">
        <v>14</v>
      </c>
      <c r="U65" s="30"/>
      <c r="V65" s="79" t="s">
        <v>62</v>
      </c>
      <c r="W65" s="80" t="s">
        <v>63</v>
      </c>
      <c r="X65" s="81" t="s">
        <v>64</v>
      </c>
    </row>
    <row r="66" spans="2:25">
      <c r="B66" s="4" t="s">
        <v>65</v>
      </c>
      <c r="C66" s="6"/>
      <c r="D66" s="6"/>
      <c r="E66" s="6"/>
      <c r="F66" s="6"/>
      <c r="G66" s="6"/>
      <c r="H66" s="6"/>
      <c r="I66" s="82"/>
      <c r="J66" s="6"/>
      <c r="K66" s="6"/>
      <c r="L66" s="6"/>
      <c r="M66" s="6"/>
      <c r="N66" s="6"/>
      <c r="O66" s="6"/>
      <c r="P66" s="6"/>
      <c r="Q66" s="6"/>
      <c r="R66" s="6"/>
      <c r="S66" s="6"/>
      <c r="T66" s="83"/>
      <c r="U66" s="6"/>
      <c r="V66" s="84"/>
      <c r="W66" s="85"/>
      <c r="X66" s="86"/>
    </row>
    <row r="67" spans="2:25">
      <c r="B67" s="87">
        <v>1</v>
      </c>
      <c r="C67" s="262"/>
      <c r="D67" s="271"/>
      <c r="E67" s="271"/>
      <c r="F67" s="265"/>
      <c r="G67" s="265"/>
      <c r="H67" s="365"/>
      <c r="I67" s="272">
        <f>F67-G67-H67</f>
        <v>0</v>
      </c>
      <c r="J67" s="267"/>
      <c r="K67" s="267"/>
      <c r="L67" s="267"/>
      <c r="M67" s="267"/>
      <c r="N67" s="267"/>
      <c r="O67" s="267"/>
      <c r="P67" s="267"/>
      <c r="Q67" s="267"/>
      <c r="R67" s="267"/>
      <c r="S67" s="269"/>
      <c r="T67" s="63"/>
      <c r="U67" s="10"/>
      <c r="V67" s="90"/>
      <c r="W67" s="91"/>
      <c r="X67" s="92"/>
    </row>
    <row r="68" spans="2:25">
      <c r="B68" s="87"/>
      <c r="C68" s="36"/>
      <c r="D68" s="10"/>
      <c r="E68" s="10"/>
      <c r="F68" s="97">
        <f>SUM(F67:F67)</f>
        <v>0</v>
      </c>
      <c r="G68" s="97">
        <f>SUM(G67:G67)</f>
        <v>0</v>
      </c>
      <c r="H68" s="97">
        <f>SUM(H67:H67)</f>
        <v>0</v>
      </c>
      <c r="I68" s="98">
        <f>SUM(I67:I67)</f>
        <v>0</v>
      </c>
      <c r="J68" s="63"/>
      <c r="K68" s="63">
        <f t="shared" ref="K68:S68" si="16">COUNT(K67:K67)</f>
        <v>0</v>
      </c>
      <c r="L68" s="63">
        <f t="shared" si="16"/>
        <v>0</v>
      </c>
      <c r="M68" s="63">
        <f t="shared" si="16"/>
        <v>0</v>
      </c>
      <c r="N68" s="63">
        <f t="shared" si="16"/>
        <v>0</v>
      </c>
      <c r="O68" s="63">
        <f t="shared" si="16"/>
        <v>0</v>
      </c>
      <c r="P68" s="63">
        <f t="shared" si="16"/>
        <v>0</v>
      </c>
      <c r="Q68" s="63">
        <f t="shared" si="16"/>
        <v>0</v>
      </c>
      <c r="R68" s="63">
        <f t="shared" si="16"/>
        <v>0</v>
      </c>
      <c r="S68" s="63">
        <f t="shared" si="16"/>
        <v>0</v>
      </c>
      <c r="T68" s="63"/>
      <c r="U68" s="10"/>
      <c r="V68" s="90"/>
      <c r="W68" s="91"/>
      <c r="X68" s="92"/>
    </row>
    <row r="69" spans="2:25">
      <c r="B69" s="87"/>
      <c r="C69" s="36"/>
      <c r="D69" s="10"/>
      <c r="E69" s="10"/>
      <c r="F69" s="88"/>
      <c r="G69" s="88"/>
      <c r="H69" s="88"/>
      <c r="I69" s="99"/>
      <c r="J69" s="63"/>
      <c r="K69" s="21">
        <f t="shared" ref="K69:S69" si="17">SUM(K67:K67)</f>
        <v>0</v>
      </c>
      <c r="L69" s="21">
        <f t="shared" si="17"/>
        <v>0</v>
      </c>
      <c r="M69" s="21">
        <f t="shared" si="17"/>
        <v>0</v>
      </c>
      <c r="N69" s="21">
        <f t="shared" si="17"/>
        <v>0</v>
      </c>
      <c r="O69" s="21">
        <f t="shared" si="17"/>
        <v>0</v>
      </c>
      <c r="P69" s="21">
        <f t="shared" si="17"/>
        <v>0</v>
      </c>
      <c r="Q69" s="21">
        <f t="shared" si="17"/>
        <v>0</v>
      </c>
      <c r="R69" s="21">
        <f t="shared" si="17"/>
        <v>0</v>
      </c>
      <c r="S69" s="21">
        <f t="shared" si="17"/>
        <v>0</v>
      </c>
      <c r="T69" s="63"/>
      <c r="U69" s="10"/>
      <c r="V69" s="90"/>
      <c r="W69" s="91"/>
      <c r="X69" s="92"/>
    </row>
    <row r="70" spans="2:25">
      <c r="B70" s="11"/>
      <c r="C70" s="36"/>
      <c r="D70" s="10"/>
      <c r="E70" s="10"/>
      <c r="F70" s="88"/>
      <c r="G70" s="88"/>
      <c r="H70" s="88"/>
      <c r="I70" s="99"/>
      <c r="J70" s="10"/>
      <c r="K70" s="10"/>
      <c r="L70" s="10"/>
      <c r="M70" s="10"/>
      <c r="N70" s="10"/>
      <c r="O70" s="10"/>
      <c r="P70" s="10"/>
      <c r="Q70" s="10"/>
      <c r="R70" s="10"/>
      <c r="S70" s="10"/>
      <c r="T70" s="63"/>
      <c r="U70" s="10"/>
      <c r="V70" s="138"/>
      <c r="W70" s="136"/>
      <c r="X70" s="137"/>
    </row>
    <row r="71" spans="2:25">
      <c r="B71" s="100" t="s">
        <v>72</v>
      </c>
      <c r="C71" s="36"/>
      <c r="D71" s="10"/>
      <c r="E71" s="10"/>
      <c r="F71" s="88"/>
      <c r="G71" s="88"/>
      <c r="H71" s="88"/>
      <c r="I71" s="99"/>
      <c r="J71" s="63"/>
      <c r="K71" s="63"/>
      <c r="L71" s="63"/>
      <c r="M71" s="63"/>
      <c r="N71" s="63"/>
      <c r="O71" s="63"/>
      <c r="P71" s="63"/>
      <c r="Q71" s="63"/>
      <c r="R71" s="63"/>
      <c r="S71" s="63"/>
      <c r="T71" s="63"/>
      <c r="U71" s="94"/>
      <c r="V71" s="90"/>
      <c r="W71" s="91"/>
      <c r="X71" s="92"/>
    </row>
    <row r="72" spans="2:25">
      <c r="B72" s="87">
        <v>1</v>
      </c>
      <c r="C72" s="262">
        <v>45859</v>
      </c>
      <c r="D72" s="271" t="s">
        <v>2807</v>
      </c>
      <c r="E72" s="271" t="s">
        <v>1085</v>
      </c>
      <c r="F72" s="265">
        <v>5814</v>
      </c>
      <c r="G72" s="265">
        <v>39.700000000000003</v>
      </c>
      <c r="H72" s="265"/>
      <c r="I72" s="272">
        <f>F72-G72-H72</f>
        <v>5774.3</v>
      </c>
      <c r="J72" s="267" t="s">
        <v>205</v>
      </c>
      <c r="K72" s="267">
        <v>1</v>
      </c>
      <c r="L72" s="267"/>
      <c r="M72" s="267"/>
      <c r="N72" s="267">
        <v>1</v>
      </c>
      <c r="O72" s="267"/>
      <c r="P72" s="267"/>
      <c r="Q72" s="267"/>
      <c r="R72" s="267"/>
      <c r="S72" s="269"/>
      <c r="T72" s="63"/>
      <c r="U72" s="139"/>
      <c r="V72" s="90"/>
      <c r="W72" s="91"/>
      <c r="X72" s="92"/>
    </row>
    <row r="73" spans="2:25">
      <c r="B73" s="11"/>
      <c r="C73" s="36"/>
      <c r="D73" s="10"/>
      <c r="E73" s="10"/>
      <c r="F73" s="97">
        <f>SUM(F72:F72)</f>
        <v>5814</v>
      </c>
      <c r="G73" s="97">
        <f>SUM(G72:G72)</f>
        <v>39.700000000000003</v>
      </c>
      <c r="H73" s="97">
        <f>SUM(H72:H72)</f>
        <v>0</v>
      </c>
      <c r="I73" s="98">
        <f>SUM(I72:I72)</f>
        <v>5774.3</v>
      </c>
      <c r="J73" s="10"/>
      <c r="K73" s="10"/>
      <c r="L73" s="10"/>
      <c r="M73" s="10"/>
      <c r="N73" s="10"/>
      <c r="O73" s="10"/>
      <c r="P73" s="10"/>
      <c r="Q73" s="10"/>
      <c r="R73" s="10"/>
      <c r="S73" s="10"/>
      <c r="T73" s="63"/>
      <c r="U73" s="94"/>
      <c r="V73" s="90"/>
      <c r="W73" s="91"/>
      <c r="X73" s="92"/>
    </row>
    <row r="74" spans="2:25">
      <c r="B74" s="26"/>
      <c r="C74" s="140"/>
      <c r="D74" s="141"/>
      <c r="E74" s="141"/>
      <c r="F74" s="141"/>
      <c r="G74" s="141"/>
      <c r="H74" s="141"/>
      <c r="I74" s="141"/>
      <c r="J74" s="141"/>
      <c r="K74" s="142"/>
      <c r="L74" s="142"/>
      <c r="M74" s="142"/>
      <c r="N74" s="142"/>
      <c r="O74" s="142"/>
      <c r="P74" s="142"/>
      <c r="Q74" s="142"/>
      <c r="R74" s="142"/>
      <c r="S74" s="142"/>
      <c r="T74" s="143">
        <f>SUM(T67:T73)</f>
        <v>0</v>
      </c>
      <c r="U74" s="141"/>
      <c r="V74" s="144">
        <f>SUM(V67:V73)</f>
        <v>0</v>
      </c>
      <c r="W74" s="145">
        <f>SUM(W67:W73)</f>
        <v>0</v>
      </c>
      <c r="X74" s="146">
        <f>SUM(X67:X73)</f>
        <v>0</v>
      </c>
    </row>
    <row r="77" spans="2:25">
      <c r="B77" s="4" t="s">
        <v>1</v>
      </c>
      <c r="C77" s="5"/>
      <c r="D77" s="6"/>
      <c r="E77" s="6"/>
      <c r="F77" s="7" t="s">
        <v>2</v>
      </c>
      <c r="G77" s="608">
        <v>45963</v>
      </c>
      <c r="H77" s="7"/>
      <c r="I77" s="6"/>
      <c r="J77" s="6"/>
      <c r="K77" s="6"/>
      <c r="L77" s="6"/>
      <c r="M77" s="6"/>
      <c r="N77" s="6"/>
      <c r="O77" s="6"/>
      <c r="P77" s="6"/>
      <c r="Q77" s="6"/>
      <c r="R77" s="6"/>
      <c r="S77" s="6"/>
      <c r="T77" s="6"/>
      <c r="U77" s="9"/>
      <c r="V77" s="10"/>
      <c r="W77" s="10"/>
      <c r="X77" s="10"/>
      <c r="Y77" s="2"/>
    </row>
    <row r="78" spans="2:25">
      <c r="B78" s="11"/>
      <c r="C78" s="10"/>
      <c r="D78" s="10"/>
      <c r="E78" s="10"/>
      <c r="F78" s="10"/>
      <c r="G78" s="7"/>
      <c r="H78" s="12"/>
      <c r="I78" s="10"/>
      <c r="J78" s="10"/>
      <c r="K78" s="13" t="s">
        <v>3</v>
      </c>
      <c r="L78" s="14"/>
      <c r="M78" s="15"/>
      <c r="N78" s="13" t="s">
        <v>4</v>
      </c>
      <c r="O78" s="14"/>
      <c r="P78" s="15"/>
      <c r="Q78" s="13" t="s">
        <v>5</v>
      </c>
      <c r="R78" s="14"/>
      <c r="S78" s="15"/>
      <c r="T78" s="16"/>
      <c r="U78" s="17"/>
      <c r="V78" s="10"/>
      <c r="W78" s="10"/>
      <c r="X78" s="10"/>
      <c r="Y78" s="2"/>
    </row>
    <row r="79" spans="2:25">
      <c r="B79" s="18" t="s">
        <v>6</v>
      </c>
      <c r="C79" s="19">
        <f>C80+C81</f>
        <v>0</v>
      </c>
      <c r="D79" s="10"/>
      <c r="E79" s="18" t="s">
        <v>7</v>
      </c>
      <c r="F79" s="6"/>
      <c r="G79" s="9"/>
      <c r="H79" s="10"/>
      <c r="I79" s="10"/>
      <c r="J79" s="10"/>
      <c r="K79" s="20" t="s">
        <v>8</v>
      </c>
      <c r="L79" s="21" t="s">
        <v>9</v>
      </c>
      <c r="M79" s="21" t="s">
        <v>10</v>
      </c>
      <c r="N79" s="20" t="s">
        <v>11</v>
      </c>
      <c r="O79" s="21" t="s">
        <v>12</v>
      </c>
      <c r="P79" s="22" t="s">
        <v>13</v>
      </c>
      <c r="Q79" s="21" t="s">
        <v>11</v>
      </c>
      <c r="R79" s="21" t="s">
        <v>12</v>
      </c>
      <c r="S79" s="22" t="s">
        <v>13</v>
      </c>
      <c r="T79" s="23" t="s">
        <v>14</v>
      </c>
      <c r="U79" s="17"/>
      <c r="V79" s="10"/>
      <c r="W79" s="10"/>
      <c r="X79" s="10"/>
      <c r="Y79" s="2"/>
    </row>
    <row r="80" spans="2:25">
      <c r="B80" s="24" t="s">
        <v>15</v>
      </c>
      <c r="C80" s="25">
        <f>P87</f>
        <v>0</v>
      </c>
      <c r="D80" s="10"/>
      <c r="E80" s="26" t="s">
        <v>16</v>
      </c>
      <c r="F80" s="27">
        <v>0.05</v>
      </c>
      <c r="G80" s="28"/>
      <c r="H80" s="10"/>
      <c r="I80" s="10"/>
      <c r="J80" s="18" t="s">
        <v>17</v>
      </c>
      <c r="K80" s="29">
        <f t="shared" ref="K80:S80" si="18">K121</f>
        <v>0</v>
      </c>
      <c r="L80" s="29">
        <f t="shared" si="18"/>
        <v>0</v>
      </c>
      <c r="M80" s="29">
        <f t="shared" si="18"/>
        <v>0</v>
      </c>
      <c r="N80" s="29">
        <f t="shared" si="18"/>
        <v>0</v>
      </c>
      <c r="O80" s="29">
        <f t="shared" si="18"/>
        <v>0</v>
      </c>
      <c r="P80" s="29">
        <f t="shared" si="18"/>
        <v>0</v>
      </c>
      <c r="Q80" s="29">
        <f t="shared" si="18"/>
        <v>0</v>
      </c>
      <c r="R80" s="29">
        <f t="shared" si="18"/>
        <v>0</v>
      </c>
      <c r="S80" s="29">
        <f t="shared" si="18"/>
        <v>0</v>
      </c>
      <c r="T80" s="30">
        <f>T218</f>
        <v>0</v>
      </c>
      <c r="U80" s="17"/>
      <c r="V80" s="10"/>
      <c r="W80" s="10"/>
      <c r="X80" s="10"/>
      <c r="Y80" s="2"/>
    </row>
    <row r="81" spans="2:25">
      <c r="B81" s="24" t="s">
        <v>18</v>
      </c>
      <c r="C81" s="25">
        <f>P88</f>
        <v>0</v>
      </c>
      <c r="D81" s="10"/>
      <c r="E81" s="10"/>
      <c r="F81" s="10"/>
      <c r="G81" s="31"/>
      <c r="H81" s="10"/>
      <c r="I81" s="10"/>
      <c r="J81" s="32" t="s">
        <v>19</v>
      </c>
      <c r="K81" s="33" t="e">
        <f t="shared" ref="K81:S81" si="19">K121/K120</f>
        <v>#DIV/0!</v>
      </c>
      <c r="L81" s="33" t="e">
        <f t="shared" si="19"/>
        <v>#DIV/0!</v>
      </c>
      <c r="M81" s="33" t="e">
        <f t="shared" si="19"/>
        <v>#DIV/0!</v>
      </c>
      <c r="N81" s="33" t="e">
        <f t="shared" si="19"/>
        <v>#DIV/0!</v>
      </c>
      <c r="O81" s="33" t="e">
        <f t="shared" si="19"/>
        <v>#DIV/0!</v>
      </c>
      <c r="P81" s="33" t="e">
        <f t="shared" si="19"/>
        <v>#DIV/0!</v>
      </c>
      <c r="Q81" s="33" t="e">
        <f t="shared" si="19"/>
        <v>#DIV/0!</v>
      </c>
      <c r="R81" s="33" t="e">
        <f t="shared" si="19"/>
        <v>#DIV/0!</v>
      </c>
      <c r="S81" s="33" t="e">
        <f t="shared" si="19"/>
        <v>#DIV/0!</v>
      </c>
      <c r="T81" s="23"/>
      <c r="U81" s="17" t="s">
        <v>20</v>
      </c>
      <c r="V81" s="10"/>
      <c r="W81" s="10"/>
      <c r="X81" s="10"/>
      <c r="Y81" s="2"/>
    </row>
    <row r="82" spans="2:25">
      <c r="B82" s="24" t="s">
        <v>21</v>
      </c>
      <c r="C82" s="34" t="e">
        <f>P89</f>
        <v>#DIV/0!</v>
      </c>
      <c r="D82" s="10"/>
      <c r="E82" s="10"/>
      <c r="F82" s="10"/>
      <c r="G82" s="10"/>
      <c r="H82" s="10"/>
      <c r="I82" s="10"/>
      <c r="J82" s="10"/>
      <c r="K82" s="10"/>
      <c r="L82" s="10"/>
      <c r="M82" s="10"/>
      <c r="N82" s="10"/>
      <c r="O82" s="10"/>
      <c r="P82" s="10"/>
      <c r="Q82" s="10"/>
      <c r="R82" s="10"/>
      <c r="S82" s="10"/>
      <c r="T82" s="10"/>
      <c r="U82" s="17"/>
      <c r="V82" s="10"/>
      <c r="W82" s="10"/>
      <c r="X82" s="10"/>
      <c r="Y82" s="2"/>
    </row>
    <row r="83" spans="2:25">
      <c r="B83" s="24"/>
      <c r="C83" s="25"/>
      <c r="D83" s="10"/>
      <c r="E83" s="10"/>
      <c r="F83" s="18" t="s">
        <v>22</v>
      </c>
      <c r="G83" s="19" t="s">
        <v>23</v>
      </c>
      <c r="H83" s="35" t="s">
        <v>24</v>
      </c>
      <c r="I83" s="10"/>
      <c r="J83" s="10"/>
      <c r="K83" s="36"/>
      <c r="L83" s="36"/>
      <c r="M83" s="36"/>
      <c r="N83" s="36"/>
      <c r="O83" s="36"/>
      <c r="P83" s="36"/>
      <c r="Q83" s="36"/>
      <c r="R83" s="10"/>
      <c r="S83" s="10"/>
      <c r="T83" s="10"/>
      <c r="U83" s="17"/>
      <c r="V83" s="10"/>
      <c r="W83" s="10"/>
      <c r="X83" s="10"/>
      <c r="Y83" s="2"/>
    </row>
    <row r="84" spans="2:25">
      <c r="B84" s="32" t="s">
        <v>25</v>
      </c>
      <c r="C84" s="37" t="e">
        <f>P90</f>
        <v>#DIV/0!</v>
      </c>
      <c r="D84" s="10"/>
      <c r="E84" s="18" t="s">
        <v>26</v>
      </c>
      <c r="F84" s="38">
        <f>P86</f>
        <v>0</v>
      </c>
      <c r="G84" s="39">
        <f>I120+I154+I176</f>
        <v>0</v>
      </c>
      <c r="H84" s="40"/>
      <c r="I84" s="41"/>
      <c r="J84" s="42"/>
      <c r="K84" s="43" t="s">
        <v>27</v>
      </c>
      <c r="L84" s="44"/>
      <c r="M84" s="44"/>
      <c r="N84" s="44"/>
      <c r="O84" s="44"/>
      <c r="P84" s="44"/>
      <c r="Q84" s="45"/>
      <c r="R84" s="46" t="s">
        <v>28</v>
      </c>
      <c r="S84" s="47" t="s">
        <v>29</v>
      </c>
      <c r="T84" s="10"/>
      <c r="U84" s="17"/>
      <c r="V84" s="10"/>
      <c r="W84" s="10"/>
      <c r="X84" s="10"/>
      <c r="Y84" s="2"/>
    </row>
    <row r="85" spans="2:25">
      <c r="B85" s="11"/>
      <c r="C85" s="10"/>
      <c r="D85" s="10"/>
      <c r="E85" s="24" t="s">
        <v>30</v>
      </c>
      <c r="F85" s="48">
        <f>F80</f>
        <v>0.05</v>
      </c>
      <c r="G85" s="17"/>
      <c r="H85" s="40"/>
      <c r="I85" s="41"/>
      <c r="J85" s="42"/>
      <c r="K85" s="20" t="s">
        <v>31</v>
      </c>
      <c r="L85" s="21" t="s">
        <v>32</v>
      </c>
      <c r="M85" s="21" t="s">
        <v>33</v>
      </c>
      <c r="N85" s="21" t="s">
        <v>34</v>
      </c>
      <c r="O85" s="21" t="s">
        <v>35</v>
      </c>
      <c r="P85" s="21" t="s">
        <v>36</v>
      </c>
      <c r="Q85" s="49" t="s">
        <v>37</v>
      </c>
      <c r="R85" s="50" t="s">
        <v>38</v>
      </c>
      <c r="S85" s="50" t="s">
        <v>38</v>
      </c>
      <c r="T85" s="10"/>
      <c r="U85" s="17"/>
      <c r="V85" s="10"/>
      <c r="W85" s="10"/>
      <c r="X85" s="10"/>
      <c r="Y85" s="2"/>
    </row>
    <row r="86" spans="2:25">
      <c r="B86" s="11"/>
      <c r="C86" s="10"/>
      <c r="D86" s="10"/>
      <c r="E86" s="51" t="s">
        <v>39</v>
      </c>
      <c r="F86" s="52">
        <f>F84*F85</f>
        <v>0</v>
      </c>
      <c r="G86" s="53" t="s">
        <v>40</v>
      </c>
      <c r="H86" s="54">
        <f>F86/1.12</f>
        <v>0</v>
      </c>
      <c r="I86" s="55"/>
      <c r="J86" s="42"/>
      <c r="K86" s="56"/>
      <c r="L86" s="57"/>
      <c r="M86" s="57"/>
      <c r="N86" s="57"/>
      <c r="O86" s="57"/>
      <c r="P86" s="57">
        <f>SUM(K86:O86)</f>
        <v>0</v>
      </c>
      <c r="Q86" s="58">
        <v>0</v>
      </c>
      <c r="R86" s="59">
        <f>I154+I176</f>
        <v>0</v>
      </c>
      <c r="S86" s="59">
        <f>I165+I187</f>
        <v>0</v>
      </c>
      <c r="T86" s="10"/>
      <c r="U86" s="17"/>
      <c r="V86" s="10"/>
      <c r="W86" s="10"/>
      <c r="X86" s="10"/>
      <c r="Y86" s="2"/>
    </row>
    <row r="87" spans="2:25">
      <c r="B87" s="11"/>
      <c r="C87" s="10"/>
      <c r="D87" s="10"/>
      <c r="E87" s="24" t="s">
        <v>41</v>
      </c>
      <c r="F87" s="60">
        <f>Q86</f>
        <v>0</v>
      </c>
      <c r="G87" s="61" t="s">
        <v>40</v>
      </c>
      <c r="H87" s="62"/>
      <c r="I87" s="62"/>
      <c r="J87" s="10" t="s">
        <v>42</v>
      </c>
      <c r="K87" s="63"/>
      <c r="L87" s="63"/>
      <c r="M87" s="63"/>
      <c r="N87" s="63"/>
      <c r="O87" s="63"/>
      <c r="P87" s="21">
        <f>SUM(K87:O87)</f>
        <v>0</v>
      </c>
      <c r="Q87" s="64"/>
      <c r="R87" s="63"/>
      <c r="S87" s="10"/>
      <c r="T87" s="10"/>
      <c r="U87" s="17"/>
      <c r="V87" s="10"/>
      <c r="W87" s="10"/>
      <c r="X87" s="10"/>
      <c r="Y87" s="2"/>
    </row>
    <row r="88" spans="2:25">
      <c r="B88" s="11"/>
      <c r="C88" s="10"/>
      <c r="D88" s="10"/>
      <c r="E88" s="51" t="s">
        <v>43</v>
      </c>
      <c r="F88" s="52">
        <f>F87*0.25</f>
        <v>0</v>
      </c>
      <c r="G88" s="53" t="s">
        <v>40</v>
      </c>
      <c r="H88" s="54">
        <f>F88/1.12</f>
        <v>0</v>
      </c>
      <c r="I88" s="10"/>
      <c r="J88" s="10" t="s">
        <v>44</v>
      </c>
      <c r="K88" s="63"/>
      <c r="L88" s="63"/>
      <c r="M88" s="63"/>
      <c r="N88" s="63"/>
      <c r="O88" s="63"/>
      <c r="P88" s="21">
        <f>SUM(K88:O88)</f>
        <v>0</v>
      </c>
      <c r="Q88" s="64"/>
      <c r="R88" s="63"/>
      <c r="S88" s="10"/>
      <c r="T88" s="10"/>
      <c r="U88" s="17"/>
      <c r="V88" s="10"/>
      <c r="W88" s="10"/>
      <c r="X88" s="10"/>
      <c r="Y88" s="2"/>
    </row>
    <row r="89" spans="2:25">
      <c r="B89" s="11"/>
      <c r="C89" s="10"/>
      <c r="D89" s="10"/>
      <c r="E89" s="24" t="s">
        <v>45</v>
      </c>
      <c r="F89" s="60"/>
      <c r="G89" s="61" t="s">
        <v>40</v>
      </c>
      <c r="H89" s="62"/>
      <c r="I89" s="10"/>
      <c r="J89" s="10" t="s">
        <v>46</v>
      </c>
      <c r="K89" s="31" t="e">
        <f t="shared" ref="K89:Q89" si="20">K87/(K87+K88)</f>
        <v>#DIV/0!</v>
      </c>
      <c r="L89" s="31" t="e">
        <f t="shared" si="20"/>
        <v>#DIV/0!</v>
      </c>
      <c r="M89" s="31" t="e">
        <f t="shared" si="20"/>
        <v>#DIV/0!</v>
      </c>
      <c r="N89" s="31" t="e">
        <f t="shared" si="20"/>
        <v>#DIV/0!</v>
      </c>
      <c r="O89" s="31" t="e">
        <f t="shared" si="20"/>
        <v>#DIV/0!</v>
      </c>
      <c r="P89" s="31" t="e">
        <f t="shared" si="20"/>
        <v>#DIV/0!</v>
      </c>
      <c r="Q89" s="31" t="e">
        <f t="shared" si="20"/>
        <v>#DIV/0!</v>
      </c>
      <c r="R89" s="63"/>
      <c r="S89" s="10"/>
      <c r="T89" s="10"/>
      <c r="U89" s="17"/>
      <c r="V89" s="10"/>
      <c r="W89" s="10"/>
      <c r="X89" s="10"/>
      <c r="Y89" s="2"/>
    </row>
    <row r="90" spans="2:25">
      <c r="B90" s="11"/>
      <c r="C90" s="10"/>
      <c r="D90" s="10"/>
      <c r="E90" s="51" t="s">
        <v>47</v>
      </c>
      <c r="F90" s="52">
        <f>F89*0.05</f>
        <v>0</v>
      </c>
      <c r="G90" s="65" t="s">
        <v>40</v>
      </c>
      <c r="H90" s="54">
        <f>F90/1.12</f>
        <v>0</v>
      </c>
      <c r="I90" s="42"/>
      <c r="J90" s="10" t="s">
        <v>48</v>
      </c>
      <c r="K90" s="66" t="e">
        <f t="shared" ref="K90:Q90" si="21">K86/K87</f>
        <v>#DIV/0!</v>
      </c>
      <c r="L90" s="66" t="e">
        <f t="shared" si="21"/>
        <v>#DIV/0!</v>
      </c>
      <c r="M90" s="66" t="e">
        <f t="shared" si="21"/>
        <v>#DIV/0!</v>
      </c>
      <c r="N90" s="66" t="e">
        <f t="shared" si="21"/>
        <v>#DIV/0!</v>
      </c>
      <c r="O90" s="66" t="e">
        <f t="shared" si="21"/>
        <v>#DIV/0!</v>
      </c>
      <c r="P90" s="66" t="e">
        <f t="shared" si="21"/>
        <v>#DIV/0!</v>
      </c>
      <c r="Q90" s="66" t="e">
        <f t="shared" si="21"/>
        <v>#DIV/0!</v>
      </c>
      <c r="R90" s="63"/>
      <c r="S90" s="10"/>
      <c r="T90" s="10"/>
      <c r="U90" s="17"/>
      <c r="V90" s="10"/>
      <c r="W90" s="10"/>
      <c r="X90" s="10"/>
      <c r="Y90" s="2"/>
    </row>
    <row r="91" spans="2:25">
      <c r="B91" s="11"/>
      <c r="C91" s="10"/>
      <c r="D91" s="10"/>
      <c r="E91" s="67" t="s">
        <v>14</v>
      </c>
      <c r="F91" s="68"/>
      <c r="G91" s="10"/>
      <c r="H91" s="54">
        <f>F91/1.12</f>
        <v>0</v>
      </c>
      <c r="I91" s="10"/>
      <c r="J91" s="10"/>
      <c r="K91" s="10"/>
      <c r="L91" s="10"/>
      <c r="M91" s="10"/>
      <c r="N91" s="10"/>
      <c r="O91" s="10"/>
      <c r="P91" s="10"/>
      <c r="Q91" s="10"/>
      <c r="R91" s="10"/>
      <c r="S91" s="10"/>
      <c r="T91" s="10"/>
      <c r="U91" s="17"/>
      <c r="V91" s="10"/>
      <c r="W91" s="10"/>
      <c r="X91" s="10"/>
      <c r="Y91" s="2"/>
    </row>
    <row r="92" spans="2:25">
      <c r="B92" s="11"/>
      <c r="C92" s="10"/>
      <c r="D92" s="10"/>
      <c r="E92" s="67" t="s">
        <v>49</v>
      </c>
      <c r="F92" s="69">
        <f>T81</f>
        <v>0</v>
      </c>
      <c r="G92" s="10"/>
      <c r="H92" s="54"/>
      <c r="I92" s="55"/>
      <c r="J92" s="42"/>
      <c r="K92" s="764" t="s">
        <v>50</v>
      </c>
      <c r="L92" s="765"/>
      <c r="M92" s="765"/>
      <c r="N92" s="765"/>
      <c r="O92" s="765"/>
      <c r="P92" s="765"/>
      <c r="Q92" s="766"/>
      <c r="R92" s="70" t="s">
        <v>28</v>
      </c>
      <c r="S92" s="71" t="s">
        <v>29</v>
      </c>
      <c r="T92" s="10"/>
      <c r="U92" s="17"/>
      <c r="V92" s="10"/>
      <c r="W92" s="10"/>
      <c r="X92" s="10"/>
      <c r="Y92" s="2"/>
    </row>
    <row r="93" spans="2:25">
      <c r="B93" s="11"/>
      <c r="C93" s="10"/>
      <c r="D93" s="10"/>
      <c r="E93" s="72"/>
      <c r="F93" s="73"/>
      <c r="G93" s="10"/>
      <c r="H93" s="10"/>
      <c r="I93" s="10"/>
      <c r="J93" s="42"/>
      <c r="K93" s="20" t="s">
        <v>31</v>
      </c>
      <c r="L93" s="21" t="s">
        <v>32</v>
      </c>
      <c r="M93" s="21" t="s">
        <v>33</v>
      </c>
      <c r="N93" s="21" t="s">
        <v>34</v>
      </c>
      <c r="O93" s="21" t="s">
        <v>35</v>
      </c>
      <c r="P93" s="21" t="s">
        <v>36</v>
      </c>
      <c r="Q93" s="49" t="s">
        <v>37</v>
      </c>
      <c r="R93" s="50" t="s">
        <v>38</v>
      </c>
      <c r="S93" s="50" t="s">
        <v>38</v>
      </c>
      <c r="T93" s="10"/>
      <c r="U93" s="17"/>
      <c r="V93" s="10"/>
      <c r="W93" s="10"/>
      <c r="X93" s="10"/>
      <c r="Y93" s="2"/>
    </row>
    <row r="94" spans="2:25">
      <c r="B94" s="11"/>
      <c r="C94" s="10"/>
      <c r="D94" s="10"/>
      <c r="E94" s="72"/>
      <c r="F94" s="73"/>
      <c r="G94" s="10"/>
      <c r="H94" s="10"/>
      <c r="I94" s="10"/>
      <c r="J94" s="42"/>
      <c r="K94" s="56"/>
      <c r="L94" s="57"/>
      <c r="M94" s="57"/>
      <c r="N94" s="57"/>
      <c r="O94" s="57"/>
      <c r="P94" s="57">
        <f>SUM(K94:O94)</f>
        <v>0</v>
      </c>
      <c r="Q94" s="58">
        <v>0</v>
      </c>
      <c r="R94" s="59">
        <f>F154+F176</f>
        <v>0</v>
      </c>
      <c r="S94" s="59">
        <f>F165+F187</f>
        <v>0</v>
      </c>
      <c r="T94" s="10"/>
      <c r="U94" s="17"/>
      <c r="V94" s="10"/>
      <c r="W94" s="10"/>
      <c r="X94" s="10"/>
      <c r="Y94" s="2"/>
    </row>
    <row r="95" spans="2:25">
      <c r="B95" s="11"/>
      <c r="C95" s="10"/>
      <c r="D95" s="10"/>
      <c r="E95" s="72"/>
      <c r="F95" s="73"/>
      <c r="G95" s="10"/>
      <c r="H95" s="10"/>
      <c r="I95" s="10"/>
      <c r="J95" s="10" t="s">
        <v>42</v>
      </c>
      <c r="K95" s="63">
        <f t="shared" ref="K95:Q96" si="22">K87</f>
        <v>0</v>
      </c>
      <c r="L95" s="63">
        <f t="shared" si="22"/>
        <v>0</v>
      </c>
      <c r="M95" s="63">
        <f t="shared" si="22"/>
        <v>0</v>
      </c>
      <c r="N95" s="63">
        <f t="shared" si="22"/>
        <v>0</v>
      </c>
      <c r="O95" s="63">
        <f t="shared" si="22"/>
        <v>0</v>
      </c>
      <c r="P95" s="63">
        <f t="shared" si="22"/>
        <v>0</v>
      </c>
      <c r="Q95" s="63">
        <f t="shared" si="22"/>
        <v>0</v>
      </c>
      <c r="R95" s="63"/>
      <c r="S95" s="10"/>
      <c r="T95" s="10"/>
      <c r="U95" s="17"/>
      <c r="V95" s="10"/>
      <c r="W95" s="10"/>
      <c r="X95" s="10"/>
      <c r="Y95" s="2"/>
    </row>
    <row r="96" spans="2:25">
      <c r="B96" s="11"/>
      <c r="C96" s="10"/>
      <c r="D96" s="10"/>
      <c r="E96" s="74"/>
      <c r="F96" s="75"/>
      <c r="G96" s="10"/>
      <c r="H96" s="10"/>
      <c r="I96" s="10"/>
      <c r="J96" s="10" t="s">
        <v>44</v>
      </c>
      <c r="K96" s="63">
        <f t="shared" si="22"/>
        <v>0</v>
      </c>
      <c r="L96" s="63">
        <f t="shared" si="22"/>
        <v>0</v>
      </c>
      <c r="M96" s="63">
        <f t="shared" si="22"/>
        <v>0</v>
      </c>
      <c r="N96" s="63">
        <f t="shared" si="22"/>
        <v>0</v>
      </c>
      <c r="O96" s="63">
        <f t="shared" si="22"/>
        <v>0</v>
      </c>
      <c r="P96" s="63">
        <f t="shared" si="22"/>
        <v>0</v>
      </c>
      <c r="Q96" s="63">
        <f t="shared" si="22"/>
        <v>0</v>
      </c>
      <c r="R96" s="63"/>
      <c r="S96" s="10"/>
      <c r="T96" s="10"/>
      <c r="U96" s="17"/>
      <c r="V96" s="10"/>
      <c r="W96" s="10"/>
      <c r="X96" s="10"/>
      <c r="Y96" s="2"/>
    </row>
    <row r="97" spans="2:25">
      <c r="B97" s="11"/>
      <c r="C97" s="10"/>
      <c r="D97" s="10"/>
      <c r="E97" s="12"/>
      <c r="F97" s="76"/>
      <c r="G97" s="10"/>
      <c r="H97" s="10"/>
      <c r="I97" s="10"/>
      <c r="J97" s="10" t="s">
        <v>46</v>
      </c>
      <c r="K97" s="31" t="e">
        <f t="shared" ref="K97:Q97" si="23">K95/(K95+K96)</f>
        <v>#DIV/0!</v>
      </c>
      <c r="L97" s="31" t="e">
        <f t="shared" si="23"/>
        <v>#DIV/0!</v>
      </c>
      <c r="M97" s="31" t="e">
        <f t="shared" si="23"/>
        <v>#DIV/0!</v>
      </c>
      <c r="N97" s="31" t="e">
        <f t="shared" si="23"/>
        <v>#DIV/0!</v>
      </c>
      <c r="O97" s="31" t="e">
        <f t="shared" si="23"/>
        <v>#DIV/0!</v>
      </c>
      <c r="P97" s="31" t="e">
        <f t="shared" si="23"/>
        <v>#DIV/0!</v>
      </c>
      <c r="Q97" s="31" t="e">
        <f t="shared" si="23"/>
        <v>#DIV/0!</v>
      </c>
      <c r="R97" s="63"/>
      <c r="S97" s="10"/>
      <c r="T97" s="10"/>
      <c r="U97" s="17"/>
      <c r="V97" s="10"/>
      <c r="W97" s="10"/>
      <c r="X97" s="10"/>
      <c r="Y97" s="2"/>
    </row>
    <row r="98" spans="2:25">
      <c r="B98" s="11"/>
      <c r="C98" s="10"/>
      <c r="D98" s="10"/>
      <c r="E98" s="10"/>
      <c r="F98" s="10"/>
      <c r="G98" s="10"/>
      <c r="H98" s="10"/>
      <c r="I98" s="10"/>
      <c r="J98" s="10" t="s">
        <v>48</v>
      </c>
      <c r="K98" s="66" t="e">
        <f t="shared" ref="K98:Q98" si="24">K94/K95</f>
        <v>#DIV/0!</v>
      </c>
      <c r="L98" s="66" t="e">
        <f t="shared" si="24"/>
        <v>#DIV/0!</v>
      </c>
      <c r="M98" s="66" t="e">
        <f t="shared" si="24"/>
        <v>#DIV/0!</v>
      </c>
      <c r="N98" s="66" t="e">
        <f t="shared" si="24"/>
        <v>#DIV/0!</v>
      </c>
      <c r="O98" s="66" t="e">
        <f t="shared" si="24"/>
        <v>#DIV/0!</v>
      </c>
      <c r="P98" s="66" t="e">
        <f t="shared" si="24"/>
        <v>#DIV/0!</v>
      </c>
      <c r="Q98" s="66" t="e">
        <f t="shared" si="24"/>
        <v>#DIV/0!</v>
      </c>
      <c r="R98" s="63"/>
      <c r="S98" s="10"/>
      <c r="T98" s="10"/>
      <c r="U98" s="17"/>
      <c r="V98" s="10"/>
      <c r="W98" s="10"/>
      <c r="X98" s="10"/>
      <c r="Y98" s="2"/>
    </row>
    <row r="99" spans="2:25">
      <c r="B99" s="11"/>
      <c r="C99" s="10"/>
      <c r="D99" s="10"/>
      <c r="E99" s="10"/>
      <c r="F99" s="10"/>
      <c r="G99" s="10"/>
      <c r="H99" s="10"/>
      <c r="I99" s="10"/>
      <c r="J99" s="10"/>
      <c r="K99" s="10"/>
      <c r="L99" s="10"/>
      <c r="M99" s="10"/>
      <c r="N99" s="10"/>
      <c r="O99" s="10"/>
      <c r="P99" s="10"/>
      <c r="Q99" s="10"/>
      <c r="R99" s="10"/>
      <c r="S99" s="10"/>
      <c r="T99" s="10"/>
      <c r="U99" s="17"/>
      <c r="V99" s="10"/>
      <c r="W99" s="10"/>
      <c r="X99" s="10"/>
      <c r="Y99" s="2"/>
    </row>
    <row r="100" spans="2:25">
      <c r="B100" s="11"/>
      <c r="C100" s="10"/>
      <c r="D100" s="10"/>
      <c r="E100" s="10"/>
      <c r="F100" s="10"/>
      <c r="G100" s="10"/>
      <c r="H100" s="10"/>
      <c r="I100" s="10"/>
      <c r="J100" s="10"/>
      <c r="K100" s="10"/>
      <c r="L100" s="10"/>
      <c r="M100" s="10"/>
      <c r="N100" s="10"/>
      <c r="O100" s="10"/>
      <c r="P100" s="10"/>
      <c r="Q100" s="10"/>
      <c r="R100" s="10"/>
      <c r="S100" s="10"/>
      <c r="T100" s="10"/>
      <c r="U100" s="17"/>
      <c r="V100" s="10"/>
      <c r="W100" s="10"/>
      <c r="X100" s="10"/>
      <c r="Y100" s="2"/>
    </row>
    <row r="101" spans="2:25">
      <c r="B101" s="18" t="s">
        <v>51</v>
      </c>
      <c r="C101" s="14"/>
      <c r="D101" s="14"/>
      <c r="E101" s="14"/>
      <c r="F101" s="13" t="s">
        <v>52</v>
      </c>
      <c r="G101" s="14"/>
      <c r="H101" s="14"/>
      <c r="I101" s="14"/>
      <c r="J101" s="14"/>
      <c r="K101" s="13" t="s">
        <v>3</v>
      </c>
      <c r="L101" s="14"/>
      <c r="M101" s="14"/>
      <c r="N101" s="13" t="s">
        <v>4</v>
      </c>
      <c r="O101" s="14"/>
      <c r="P101" s="14"/>
      <c r="Q101" s="13" t="s">
        <v>5</v>
      </c>
      <c r="R101" s="14"/>
      <c r="S101" s="14"/>
      <c r="T101" s="18"/>
      <c r="U101" s="16" t="s">
        <v>53</v>
      </c>
      <c r="V101" s="77"/>
      <c r="W101" s="77"/>
      <c r="X101" s="77"/>
      <c r="Y101" s="2"/>
    </row>
    <row r="102" spans="2:25">
      <c r="B102" s="24" t="s">
        <v>54</v>
      </c>
      <c r="C102" s="21" t="s">
        <v>55</v>
      </c>
      <c r="D102" s="21" t="s">
        <v>56</v>
      </c>
      <c r="E102" s="21" t="s">
        <v>57</v>
      </c>
      <c r="F102" s="20" t="s">
        <v>58</v>
      </c>
      <c r="G102" s="21" t="s">
        <v>59</v>
      </c>
      <c r="H102" s="21" t="s">
        <v>60</v>
      </c>
      <c r="I102" s="21" t="s">
        <v>26</v>
      </c>
      <c r="J102" s="22" t="s">
        <v>61</v>
      </c>
      <c r="K102" s="21" t="s">
        <v>8</v>
      </c>
      <c r="L102" s="21" t="s">
        <v>9</v>
      </c>
      <c r="M102" s="21" t="s">
        <v>10</v>
      </c>
      <c r="N102" s="20" t="s">
        <v>11</v>
      </c>
      <c r="O102" s="21" t="s">
        <v>12</v>
      </c>
      <c r="P102" s="22" t="s">
        <v>13</v>
      </c>
      <c r="Q102" s="21" t="s">
        <v>11</v>
      </c>
      <c r="R102" s="21" t="s">
        <v>12</v>
      </c>
      <c r="S102" s="21" t="s">
        <v>13</v>
      </c>
      <c r="T102" s="78" t="s">
        <v>14</v>
      </c>
      <c r="U102" s="30"/>
      <c r="V102" s="79" t="s">
        <v>62</v>
      </c>
      <c r="W102" s="80" t="s">
        <v>63</v>
      </c>
      <c r="X102" s="81" t="s">
        <v>64</v>
      </c>
      <c r="Y102" s="2"/>
    </row>
    <row r="103" spans="2:25">
      <c r="B103" s="4" t="s">
        <v>65</v>
      </c>
      <c r="C103" s="6"/>
      <c r="D103" s="6"/>
      <c r="E103" s="6"/>
      <c r="F103" s="6"/>
      <c r="G103" s="6"/>
      <c r="H103" s="6"/>
      <c r="I103" s="82"/>
      <c r="J103" s="6"/>
      <c r="K103" s="6"/>
      <c r="L103" s="6"/>
      <c r="M103" s="6"/>
      <c r="N103" s="6"/>
      <c r="O103" s="6"/>
      <c r="P103" s="6"/>
      <c r="Q103" s="6"/>
      <c r="R103" s="6"/>
      <c r="S103" s="6"/>
      <c r="T103" s="83"/>
      <c r="U103" s="6"/>
      <c r="V103" s="84"/>
      <c r="W103" s="85"/>
      <c r="X103" s="86"/>
      <c r="Y103" s="2"/>
    </row>
    <row r="104" spans="2:25">
      <c r="B104" s="87">
        <v>1</v>
      </c>
      <c r="C104" s="36"/>
      <c r="D104" s="10"/>
      <c r="E104" s="10"/>
      <c r="F104" s="62"/>
      <c r="G104" s="62"/>
      <c r="H104" s="88"/>
      <c r="I104" s="89">
        <f t="shared" ref="I104:I119" si="25">F104-G104-H104</f>
        <v>0</v>
      </c>
      <c r="J104" s="63"/>
      <c r="K104" s="63"/>
      <c r="L104" s="63"/>
      <c r="M104" s="63"/>
      <c r="N104" s="63"/>
      <c r="O104" s="63"/>
      <c r="P104" s="63"/>
      <c r="Q104" s="63"/>
      <c r="R104" s="63"/>
      <c r="S104" s="63"/>
      <c r="T104" s="63"/>
      <c r="U104" s="10"/>
      <c r="V104" s="90"/>
      <c r="W104" s="91"/>
      <c r="X104" s="92"/>
      <c r="Y104" s="2"/>
    </row>
    <row r="105" spans="2:25">
      <c r="B105" s="87">
        <f t="shared" ref="B105:B119" si="26">B104+1</f>
        <v>2</v>
      </c>
      <c r="C105" s="36"/>
      <c r="D105" s="10"/>
      <c r="E105" s="10"/>
      <c r="F105" s="62"/>
      <c r="G105" s="62"/>
      <c r="H105" s="62"/>
      <c r="I105" s="89">
        <f t="shared" si="25"/>
        <v>0</v>
      </c>
      <c r="J105" s="63"/>
      <c r="K105" s="63"/>
      <c r="L105" s="63"/>
      <c r="M105" s="63"/>
      <c r="N105" s="63"/>
      <c r="O105" s="63"/>
      <c r="P105" s="63"/>
      <c r="Q105" s="63"/>
      <c r="R105" s="63"/>
      <c r="S105" s="63"/>
      <c r="T105" s="63"/>
      <c r="U105" s="10"/>
      <c r="V105" s="90"/>
      <c r="W105" s="91"/>
      <c r="X105" s="92"/>
      <c r="Y105" s="2"/>
    </row>
    <row r="106" spans="2:25">
      <c r="B106" s="87">
        <f t="shared" si="26"/>
        <v>3</v>
      </c>
      <c r="C106" s="36"/>
      <c r="D106" s="3"/>
      <c r="E106" s="10"/>
      <c r="F106" s="62"/>
      <c r="G106" s="62"/>
      <c r="H106" s="62"/>
      <c r="I106" s="89">
        <f t="shared" si="25"/>
        <v>0</v>
      </c>
      <c r="J106" s="63"/>
      <c r="K106" s="63"/>
      <c r="L106" s="63"/>
      <c r="M106" s="63"/>
      <c r="N106" s="63"/>
      <c r="O106" s="63"/>
      <c r="P106" s="63"/>
      <c r="Q106" s="63"/>
      <c r="R106" s="63"/>
      <c r="S106" s="63"/>
      <c r="T106" s="63"/>
      <c r="U106" s="10"/>
      <c r="V106" s="90"/>
      <c r="W106" s="91"/>
      <c r="X106" s="92"/>
      <c r="Y106" s="2"/>
    </row>
    <row r="107" spans="2:25">
      <c r="B107" s="87">
        <f t="shared" si="26"/>
        <v>4</v>
      </c>
      <c r="C107" s="36"/>
      <c r="D107" s="10"/>
      <c r="E107" s="94"/>
      <c r="F107" s="62"/>
      <c r="G107" s="62"/>
      <c r="H107" s="62"/>
      <c r="I107" s="89">
        <f t="shared" si="25"/>
        <v>0</v>
      </c>
      <c r="J107" s="63"/>
      <c r="K107" s="63"/>
      <c r="L107" s="63"/>
      <c r="M107" s="63"/>
      <c r="N107" s="63"/>
      <c r="O107" s="63"/>
      <c r="P107" s="63"/>
      <c r="Q107" s="63"/>
      <c r="R107" s="63"/>
      <c r="S107" s="63"/>
      <c r="T107" s="63"/>
      <c r="U107" s="10"/>
      <c r="V107" s="90"/>
      <c r="W107" s="91"/>
      <c r="X107" s="92"/>
      <c r="Y107" s="2"/>
    </row>
    <row r="108" spans="2:25">
      <c r="B108" s="87">
        <f t="shared" si="26"/>
        <v>5</v>
      </c>
      <c r="C108" s="36"/>
      <c r="D108" s="10"/>
      <c r="E108" s="10"/>
      <c r="F108" s="62"/>
      <c r="G108" s="62"/>
      <c r="H108" s="62"/>
      <c r="I108" s="89">
        <f t="shared" si="25"/>
        <v>0</v>
      </c>
      <c r="J108" s="63"/>
      <c r="K108" s="63"/>
      <c r="L108" s="63"/>
      <c r="M108" s="63"/>
      <c r="N108" s="63"/>
      <c r="O108" s="63"/>
      <c r="P108" s="63"/>
      <c r="Q108" s="63"/>
      <c r="R108" s="63"/>
      <c r="S108" s="63"/>
      <c r="T108" s="63"/>
      <c r="U108" s="10"/>
      <c r="V108" s="90"/>
      <c r="W108" s="91"/>
      <c r="X108" s="92"/>
      <c r="Y108" s="2"/>
    </row>
    <row r="109" spans="2:25">
      <c r="B109" s="87">
        <f t="shared" si="26"/>
        <v>6</v>
      </c>
      <c r="C109" s="36"/>
      <c r="D109" s="10"/>
      <c r="E109" s="10"/>
      <c r="F109" s="62"/>
      <c r="G109" s="62"/>
      <c r="H109" s="88"/>
      <c r="I109" s="89">
        <f t="shared" si="25"/>
        <v>0</v>
      </c>
      <c r="J109" s="63"/>
      <c r="K109" s="63"/>
      <c r="L109" s="63"/>
      <c r="M109" s="63"/>
      <c r="N109" s="63"/>
      <c r="O109" s="63"/>
      <c r="P109" s="63"/>
      <c r="Q109" s="63"/>
      <c r="R109" s="63"/>
      <c r="S109" s="63"/>
      <c r="T109" s="63"/>
      <c r="U109" s="10"/>
      <c r="V109" s="90"/>
      <c r="W109" s="91"/>
      <c r="X109" s="92"/>
      <c r="Y109" s="2"/>
    </row>
    <row r="110" spans="2:25">
      <c r="B110" s="87">
        <f t="shared" si="26"/>
        <v>7</v>
      </c>
      <c r="C110" s="36"/>
      <c r="D110" s="10"/>
      <c r="E110" s="10"/>
      <c r="F110" s="62"/>
      <c r="G110" s="62"/>
      <c r="H110" s="88"/>
      <c r="I110" s="89">
        <f t="shared" si="25"/>
        <v>0</v>
      </c>
      <c r="J110" s="63"/>
      <c r="K110" s="63"/>
      <c r="L110" s="63"/>
      <c r="M110" s="63"/>
      <c r="N110" s="63"/>
      <c r="O110" s="63"/>
      <c r="P110" s="63"/>
      <c r="Q110" s="63"/>
      <c r="R110" s="63"/>
      <c r="S110" s="63"/>
      <c r="T110" s="63"/>
      <c r="U110" s="10"/>
      <c r="V110" s="90"/>
      <c r="W110" s="91"/>
      <c r="X110" s="92"/>
      <c r="Y110" s="2"/>
    </row>
    <row r="111" spans="2:25">
      <c r="B111" s="87">
        <f t="shared" si="26"/>
        <v>8</v>
      </c>
      <c r="C111" s="36"/>
      <c r="D111" s="10"/>
      <c r="E111" s="10"/>
      <c r="F111" s="62"/>
      <c r="G111" s="62"/>
      <c r="H111" s="88"/>
      <c r="I111" s="89">
        <f t="shared" si="25"/>
        <v>0</v>
      </c>
      <c r="J111" s="63"/>
      <c r="K111" s="63"/>
      <c r="L111" s="63"/>
      <c r="M111" s="63"/>
      <c r="N111" s="63"/>
      <c r="O111" s="63"/>
      <c r="P111" s="63"/>
      <c r="Q111" s="63"/>
      <c r="R111" s="63"/>
      <c r="S111" s="63"/>
      <c r="T111" s="63"/>
      <c r="U111" s="10"/>
      <c r="V111" s="90"/>
      <c r="W111" s="91"/>
      <c r="X111" s="92"/>
      <c r="Y111" s="2"/>
    </row>
    <row r="112" spans="2:25">
      <c r="B112" s="87">
        <f t="shared" si="26"/>
        <v>9</v>
      </c>
      <c r="C112" s="36"/>
      <c r="D112" s="10"/>
      <c r="E112" s="10"/>
      <c r="F112" s="62"/>
      <c r="G112" s="62"/>
      <c r="H112" s="88"/>
      <c r="I112" s="89">
        <f t="shared" si="25"/>
        <v>0</v>
      </c>
      <c r="J112" s="63"/>
      <c r="K112" s="63"/>
      <c r="L112" s="63"/>
      <c r="M112" s="63"/>
      <c r="N112" s="63"/>
      <c r="O112" s="63"/>
      <c r="P112" s="63"/>
      <c r="Q112" s="63"/>
      <c r="R112" s="63"/>
      <c r="S112" s="63"/>
      <c r="T112" s="63"/>
      <c r="U112" s="10"/>
      <c r="V112" s="90"/>
      <c r="W112" s="91"/>
      <c r="X112" s="92"/>
      <c r="Y112" s="2"/>
    </row>
    <row r="113" spans="2:25">
      <c r="B113" s="87">
        <f t="shared" si="26"/>
        <v>10</v>
      </c>
      <c r="C113" s="36"/>
      <c r="D113" s="10"/>
      <c r="E113" s="10"/>
      <c r="F113" s="62"/>
      <c r="G113" s="62"/>
      <c r="H113" s="88"/>
      <c r="I113" s="89">
        <f t="shared" si="25"/>
        <v>0</v>
      </c>
      <c r="J113" s="63"/>
      <c r="K113" s="63"/>
      <c r="L113" s="63"/>
      <c r="M113" s="63"/>
      <c r="N113" s="63"/>
      <c r="O113" s="63"/>
      <c r="P113" s="63"/>
      <c r="Q113" s="63"/>
      <c r="R113" s="63"/>
      <c r="S113" s="63"/>
      <c r="T113" s="63"/>
      <c r="U113" s="10"/>
      <c r="V113" s="90"/>
      <c r="W113" s="91"/>
      <c r="X113" s="92"/>
      <c r="Y113" s="2"/>
    </row>
    <row r="114" spans="2:25">
      <c r="B114" s="87">
        <f t="shared" si="26"/>
        <v>11</v>
      </c>
      <c r="C114" s="36"/>
      <c r="D114" s="10"/>
      <c r="E114" s="10"/>
      <c r="F114" s="95"/>
      <c r="G114" s="62"/>
      <c r="H114" s="62"/>
      <c r="I114" s="89">
        <f t="shared" si="25"/>
        <v>0</v>
      </c>
      <c r="J114" s="63"/>
      <c r="K114" s="63"/>
      <c r="L114" s="63"/>
      <c r="M114" s="63"/>
      <c r="N114" s="63"/>
      <c r="O114" s="63"/>
      <c r="P114" s="63"/>
      <c r="Q114" s="63"/>
      <c r="R114" s="63"/>
      <c r="S114" s="63"/>
      <c r="T114" s="63"/>
      <c r="U114" s="10"/>
      <c r="V114" s="90"/>
      <c r="W114" s="91"/>
      <c r="X114" s="92"/>
      <c r="Y114" s="2"/>
    </row>
    <row r="115" spans="2:25">
      <c r="B115" s="87">
        <f t="shared" si="26"/>
        <v>12</v>
      </c>
      <c r="C115" s="36"/>
      <c r="D115" s="10"/>
      <c r="E115" s="10"/>
      <c r="F115" s="95"/>
      <c r="G115" s="62"/>
      <c r="H115" s="62"/>
      <c r="I115" s="89">
        <f t="shared" si="25"/>
        <v>0</v>
      </c>
      <c r="J115" s="63"/>
      <c r="K115" s="63"/>
      <c r="L115" s="63"/>
      <c r="M115" s="63"/>
      <c r="N115" s="63"/>
      <c r="O115" s="63"/>
      <c r="P115" s="63"/>
      <c r="Q115" s="63"/>
      <c r="R115" s="63"/>
      <c r="S115" s="63"/>
      <c r="T115" s="63"/>
      <c r="U115" s="10"/>
      <c r="V115" s="90"/>
      <c r="W115" s="91"/>
      <c r="X115" s="92"/>
      <c r="Y115" s="2"/>
    </row>
    <row r="116" spans="2:25">
      <c r="B116" s="87">
        <f t="shared" si="26"/>
        <v>13</v>
      </c>
      <c r="C116" s="36"/>
      <c r="D116" s="10"/>
      <c r="E116" s="10"/>
      <c r="F116" s="95"/>
      <c r="G116" s="62"/>
      <c r="H116" s="62"/>
      <c r="I116" s="89">
        <f t="shared" si="25"/>
        <v>0</v>
      </c>
      <c r="J116" s="63"/>
      <c r="K116" s="63"/>
      <c r="L116" s="63"/>
      <c r="M116" s="63"/>
      <c r="N116" s="63"/>
      <c r="O116" s="63"/>
      <c r="P116" s="63"/>
      <c r="Q116" s="63"/>
      <c r="R116" s="63"/>
      <c r="S116" s="63"/>
      <c r="T116" s="63"/>
      <c r="U116" s="10"/>
      <c r="V116" s="90"/>
      <c r="W116" s="91"/>
      <c r="X116" s="92"/>
      <c r="Y116" s="2"/>
    </row>
    <row r="117" spans="2:25">
      <c r="B117" s="87">
        <f t="shared" si="26"/>
        <v>14</v>
      </c>
      <c r="C117" s="36"/>
      <c r="D117" s="10"/>
      <c r="E117" s="10"/>
      <c r="F117" s="95"/>
      <c r="G117" s="62"/>
      <c r="H117" s="62"/>
      <c r="I117" s="89">
        <f t="shared" si="25"/>
        <v>0</v>
      </c>
      <c r="J117" s="63"/>
      <c r="K117" s="63"/>
      <c r="L117" s="63"/>
      <c r="M117" s="63"/>
      <c r="N117" s="63"/>
      <c r="O117" s="63"/>
      <c r="P117" s="63"/>
      <c r="Q117" s="63"/>
      <c r="R117" s="63"/>
      <c r="S117" s="63"/>
      <c r="T117" s="63"/>
      <c r="U117" s="10"/>
      <c r="V117" s="90"/>
      <c r="W117" s="91"/>
      <c r="X117" s="92"/>
      <c r="Y117" s="2"/>
    </row>
    <row r="118" spans="2:25">
      <c r="B118" s="87">
        <f t="shared" si="26"/>
        <v>15</v>
      </c>
      <c r="C118" s="36"/>
      <c r="D118" s="10"/>
      <c r="E118" s="10"/>
      <c r="F118" s="95"/>
      <c r="G118" s="62"/>
      <c r="H118" s="62"/>
      <c r="I118" s="89">
        <f t="shared" si="25"/>
        <v>0</v>
      </c>
      <c r="J118" s="63"/>
      <c r="K118" s="63"/>
      <c r="L118" s="63"/>
      <c r="M118" s="63"/>
      <c r="N118" s="63"/>
      <c r="O118" s="63"/>
      <c r="P118" s="63"/>
      <c r="Q118" s="63"/>
      <c r="R118" s="63"/>
      <c r="S118" s="63"/>
      <c r="T118" s="63"/>
      <c r="U118" s="10"/>
      <c r="V118" s="90"/>
      <c r="W118" s="96"/>
      <c r="X118" s="92"/>
      <c r="Y118" s="2"/>
    </row>
    <row r="119" spans="2:25">
      <c r="B119" s="87">
        <f t="shared" si="26"/>
        <v>16</v>
      </c>
      <c r="C119" s="36"/>
      <c r="D119" s="10"/>
      <c r="E119" s="10"/>
      <c r="F119" s="95"/>
      <c r="G119" s="62"/>
      <c r="H119" s="62"/>
      <c r="I119" s="89">
        <f t="shared" si="25"/>
        <v>0</v>
      </c>
      <c r="J119" s="63"/>
      <c r="K119" s="63"/>
      <c r="L119" s="63"/>
      <c r="M119" s="63"/>
      <c r="N119" s="63"/>
      <c r="O119" s="63"/>
      <c r="P119" s="63"/>
      <c r="Q119" s="63"/>
      <c r="R119" s="63"/>
      <c r="S119" s="63"/>
      <c r="T119" s="63"/>
      <c r="U119" s="10"/>
      <c r="V119" s="90"/>
      <c r="W119" s="96"/>
      <c r="X119" s="92"/>
      <c r="Y119" s="2"/>
    </row>
    <row r="120" spans="2:25">
      <c r="B120" s="87"/>
      <c r="C120" s="36"/>
      <c r="D120" s="10"/>
      <c r="E120" s="10"/>
      <c r="F120" s="97">
        <f>SUM(F104:F119)</f>
        <v>0</v>
      </c>
      <c r="G120" s="97">
        <f>SUM(G104:G119)</f>
        <v>0</v>
      </c>
      <c r="H120" s="97">
        <f>SUM(H104:H119)</f>
        <v>0</v>
      </c>
      <c r="I120" s="98">
        <f>SUM(I104:I119)</f>
        <v>0</v>
      </c>
      <c r="J120" s="63"/>
      <c r="K120" s="63">
        <f t="shared" ref="K120:S120" si="27">COUNT(K104:K119)</f>
        <v>0</v>
      </c>
      <c r="L120" s="63">
        <f t="shared" si="27"/>
        <v>0</v>
      </c>
      <c r="M120" s="63">
        <f t="shared" si="27"/>
        <v>0</v>
      </c>
      <c r="N120" s="63">
        <f t="shared" si="27"/>
        <v>0</v>
      </c>
      <c r="O120" s="63">
        <f t="shared" si="27"/>
        <v>0</v>
      </c>
      <c r="P120" s="63">
        <f t="shared" si="27"/>
        <v>0</v>
      </c>
      <c r="Q120" s="63">
        <f t="shared" si="27"/>
        <v>0</v>
      </c>
      <c r="R120" s="63">
        <f t="shared" si="27"/>
        <v>0</v>
      </c>
      <c r="S120" s="63">
        <f t="shared" si="27"/>
        <v>0</v>
      </c>
      <c r="T120" s="63"/>
      <c r="U120" s="10"/>
      <c r="V120" s="90"/>
      <c r="W120" s="91"/>
      <c r="X120" s="92"/>
      <c r="Y120" s="2"/>
    </row>
    <row r="121" spans="2:25">
      <c r="B121" s="87"/>
      <c r="C121" s="36"/>
      <c r="D121" s="10"/>
      <c r="E121" s="10"/>
      <c r="F121" s="88"/>
      <c r="G121" s="88"/>
      <c r="H121" s="88"/>
      <c r="I121" s="99"/>
      <c r="J121" s="63"/>
      <c r="K121" s="21">
        <f t="shared" ref="K121:S121" si="28">SUM(K104:K119)</f>
        <v>0</v>
      </c>
      <c r="L121" s="21">
        <f t="shared" si="28"/>
        <v>0</v>
      </c>
      <c r="M121" s="21">
        <f t="shared" si="28"/>
        <v>0</v>
      </c>
      <c r="N121" s="21">
        <f t="shared" si="28"/>
        <v>0</v>
      </c>
      <c r="O121" s="21">
        <f t="shared" si="28"/>
        <v>0</v>
      </c>
      <c r="P121" s="21">
        <f t="shared" si="28"/>
        <v>0</v>
      </c>
      <c r="Q121" s="21">
        <f t="shared" si="28"/>
        <v>0</v>
      </c>
      <c r="R121" s="21">
        <f t="shared" si="28"/>
        <v>0</v>
      </c>
      <c r="S121" s="21">
        <f t="shared" si="28"/>
        <v>0</v>
      </c>
      <c r="T121" s="63"/>
      <c r="U121" s="10"/>
      <c r="V121" s="90"/>
      <c r="W121" s="91"/>
      <c r="X121" s="92"/>
      <c r="Y121" s="2"/>
    </row>
    <row r="122" spans="2:25">
      <c r="B122" s="11"/>
      <c r="C122" s="36"/>
      <c r="D122" s="10"/>
      <c r="E122" s="10"/>
      <c r="F122" s="88"/>
      <c r="G122" s="88"/>
      <c r="H122" s="88"/>
      <c r="I122" s="99"/>
      <c r="J122" s="63"/>
      <c r="K122" s="21"/>
      <c r="L122" s="21"/>
      <c r="M122" s="21"/>
      <c r="N122" s="21"/>
      <c r="O122" s="21"/>
      <c r="P122" s="21"/>
      <c r="Q122" s="21"/>
      <c r="R122" s="21"/>
      <c r="S122" s="21"/>
      <c r="T122" s="63"/>
      <c r="U122" s="10"/>
      <c r="V122" s="90"/>
      <c r="W122" s="91"/>
      <c r="X122" s="92"/>
      <c r="Y122" s="2"/>
    </row>
    <row r="123" spans="2:25">
      <c r="B123" s="100" t="s">
        <v>66</v>
      </c>
      <c r="C123" s="36"/>
      <c r="D123" s="10"/>
      <c r="E123" s="10"/>
      <c r="F123" s="88"/>
      <c r="G123" s="62"/>
      <c r="H123" s="88"/>
      <c r="I123" s="99"/>
      <c r="J123" s="63"/>
      <c r="K123" s="2"/>
      <c r="L123" s="2"/>
      <c r="M123" s="2"/>
      <c r="N123" s="2"/>
      <c r="O123" s="2"/>
      <c r="P123" s="2"/>
      <c r="Q123" s="2"/>
      <c r="R123" s="2"/>
      <c r="S123" s="2"/>
      <c r="T123" s="63"/>
      <c r="U123" s="94"/>
      <c r="V123" s="90"/>
      <c r="W123" s="91"/>
      <c r="X123" s="92"/>
      <c r="Y123" s="2"/>
    </row>
    <row r="124" spans="2:25">
      <c r="B124" s="87">
        <v>1</v>
      </c>
      <c r="C124" s="36"/>
      <c r="D124" s="10"/>
      <c r="E124" s="101"/>
      <c r="F124" s="62"/>
      <c r="G124" s="62"/>
      <c r="H124" s="62"/>
      <c r="I124" s="89">
        <f t="shared" ref="I124:I131" si="29">F124-G124-H124</f>
        <v>0</v>
      </c>
      <c r="J124" s="63"/>
      <c r="K124" s="63"/>
      <c r="L124" s="63"/>
      <c r="M124" s="63"/>
      <c r="N124" s="63"/>
      <c r="O124" s="63"/>
      <c r="P124" s="63"/>
      <c r="Q124" s="63"/>
      <c r="R124" s="63"/>
      <c r="S124" s="63"/>
      <c r="T124" s="63"/>
      <c r="U124" s="94"/>
      <c r="V124" s="90"/>
      <c r="W124" s="91"/>
      <c r="X124" s="92"/>
      <c r="Y124" s="2"/>
    </row>
    <row r="125" spans="2:25">
      <c r="B125" s="87">
        <f t="shared" ref="B125:B131" si="30">B124+1</f>
        <v>2</v>
      </c>
      <c r="C125" s="36"/>
      <c r="D125" s="10"/>
      <c r="E125" s="101"/>
      <c r="F125" s="62"/>
      <c r="G125" s="62"/>
      <c r="H125" s="62"/>
      <c r="I125" s="89">
        <f t="shared" si="29"/>
        <v>0</v>
      </c>
      <c r="J125" s="63"/>
      <c r="K125" s="63"/>
      <c r="L125" s="63"/>
      <c r="M125" s="63"/>
      <c r="N125" s="63"/>
      <c r="O125" s="63"/>
      <c r="P125" s="63"/>
      <c r="Q125" s="63"/>
      <c r="R125" s="63"/>
      <c r="S125" s="63"/>
      <c r="T125" s="63"/>
      <c r="U125" s="94"/>
      <c r="V125" s="90"/>
      <c r="W125" s="91"/>
      <c r="X125" s="92"/>
      <c r="Y125" s="2"/>
    </row>
    <row r="126" spans="2:25">
      <c r="B126" s="87">
        <f t="shared" si="30"/>
        <v>3</v>
      </c>
      <c r="C126" s="36"/>
      <c r="D126" s="10"/>
      <c r="E126" s="101"/>
      <c r="F126" s="62"/>
      <c r="G126" s="62"/>
      <c r="H126" s="62"/>
      <c r="I126" s="89">
        <f t="shared" si="29"/>
        <v>0</v>
      </c>
      <c r="J126" s="63"/>
      <c r="K126" s="63"/>
      <c r="L126" s="63"/>
      <c r="M126" s="63"/>
      <c r="N126" s="63"/>
      <c r="O126" s="63"/>
      <c r="P126" s="63"/>
      <c r="Q126" s="63"/>
      <c r="R126" s="63"/>
      <c r="S126" s="63"/>
      <c r="T126" s="63"/>
      <c r="U126" s="94"/>
      <c r="V126" s="90"/>
      <c r="W126" s="91"/>
      <c r="X126" s="92"/>
      <c r="Y126" s="2"/>
    </row>
    <row r="127" spans="2:25">
      <c r="B127" s="87">
        <f t="shared" si="30"/>
        <v>4</v>
      </c>
      <c r="C127" s="36"/>
      <c r="D127" s="10"/>
      <c r="E127" s="101"/>
      <c r="F127" s="62"/>
      <c r="G127" s="62"/>
      <c r="H127" s="62"/>
      <c r="I127" s="89">
        <f t="shared" si="29"/>
        <v>0</v>
      </c>
      <c r="J127" s="63"/>
      <c r="K127" s="63"/>
      <c r="L127" s="63"/>
      <c r="M127" s="63"/>
      <c r="N127" s="63"/>
      <c r="O127" s="63"/>
      <c r="P127" s="63"/>
      <c r="Q127" s="63"/>
      <c r="R127" s="63"/>
      <c r="S127" s="63"/>
      <c r="T127" s="63"/>
      <c r="U127" s="94"/>
      <c r="V127" s="90"/>
      <c r="W127" s="91"/>
      <c r="X127" s="92"/>
      <c r="Y127" s="2"/>
    </row>
    <row r="128" spans="2:25">
      <c r="B128" s="87">
        <f t="shared" si="30"/>
        <v>5</v>
      </c>
      <c r="C128" s="36"/>
      <c r="D128" s="10"/>
      <c r="E128" s="101"/>
      <c r="F128" s="62"/>
      <c r="G128" s="62"/>
      <c r="H128" s="62"/>
      <c r="I128" s="89">
        <f t="shared" si="29"/>
        <v>0</v>
      </c>
      <c r="J128" s="63"/>
      <c r="K128" s="63"/>
      <c r="L128" s="63"/>
      <c r="M128" s="63"/>
      <c r="N128" s="63"/>
      <c r="O128" s="63"/>
      <c r="P128" s="63"/>
      <c r="Q128" s="63"/>
      <c r="R128" s="63"/>
      <c r="S128" s="63"/>
      <c r="T128" s="63"/>
      <c r="U128" s="94"/>
      <c r="V128" s="90"/>
      <c r="W128" s="91"/>
      <c r="X128" s="92"/>
      <c r="Y128" s="2"/>
    </row>
    <row r="129" spans="2:25">
      <c r="B129" s="87">
        <f t="shared" si="30"/>
        <v>6</v>
      </c>
      <c r="C129" s="36"/>
      <c r="D129" s="10"/>
      <c r="E129" s="101"/>
      <c r="F129" s="62"/>
      <c r="G129" s="62"/>
      <c r="H129" s="62"/>
      <c r="I129" s="89">
        <f t="shared" si="29"/>
        <v>0</v>
      </c>
      <c r="J129" s="63"/>
      <c r="K129" s="63"/>
      <c r="L129" s="63"/>
      <c r="M129" s="63"/>
      <c r="N129" s="63"/>
      <c r="O129" s="63"/>
      <c r="P129" s="63"/>
      <c r="Q129" s="63"/>
      <c r="R129" s="63"/>
      <c r="S129" s="63"/>
      <c r="T129" s="63"/>
      <c r="U129" s="94"/>
      <c r="V129" s="90"/>
      <c r="W129" s="91"/>
      <c r="X129" s="92"/>
      <c r="Y129" s="2"/>
    </row>
    <row r="130" spans="2:25">
      <c r="B130" s="87">
        <f t="shared" si="30"/>
        <v>7</v>
      </c>
      <c r="C130" s="36"/>
      <c r="D130" s="10"/>
      <c r="E130" s="101"/>
      <c r="F130" s="62"/>
      <c r="G130" s="62"/>
      <c r="H130" s="62"/>
      <c r="I130" s="89">
        <f t="shared" si="29"/>
        <v>0</v>
      </c>
      <c r="J130" s="63"/>
      <c r="K130" s="63"/>
      <c r="L130" s="63"/>
      <c r="M130" s="63"/>
      <c r="N130" s="63"/>
      <c r="O130" s="63"/>
      <c r="P130" s="63"/>
      <c r="Q130" s="63"/>
      <c r="R130" s="63"/>
      <c r="S130" s="63"/>
      <c r="T130" s="63"/>
      <c r="U130" s="94"/>
      <c r="V130" s="90"/>
      <c r="W130" s="91"/>
      <c r="X130" s="92"/>
      <c r="Y130" s="2"/>
    </row>
    <row r="131" spans="2:25">
      <c r="B131" s="87">
        <f t="shared" si="30"/>
        <v>8</v>
      </c>
      <c r="C131" s="36"/>
      <c r="D131" s="10"/>
      <c r="E131" s="101"/>
      <c r="F131" s="62"/>
      <c r="G131" s="62"/>
      <c r="H131" s="62"/>
      <c r="I131" s="89">
        <f t="shared" si="29"/>
        <v>0</v>
      </c>
      <c r="J131" s="63"/>
      <c r="K131" s="63"/>
      <c r="L131" s="63"/>
      <c r="M131" s="63"/>
      <c r="N131" s="63"/>
      <c r="O131" s="63"/>
      <c r="P131" s="63"/>
      <c r="Q131" s="63"/>
      <c r="R131" s="63"/>
      <c r="S131" s="63"/>
      <c r="T131" s="63"/>
      <c r="U131" s="94"/>
      <c r="V131" s="90"/>
      <c r="W131" s="91"/>
      <c r="X131" s="92"/>
      <c r="Y131" s="2"/>
    </row>
    <row r="132" spans="2:25">
      <c r="B132" s="11"/>
      <c r="C132" s="36"/>
      <c r="D132" s="10"/>
      <c r="E132" s="10"/>
      <c r="F132" s="97">
        <f>SUM(F124:F131)</f>
        <v>0</v>
      </c>
      <c r="G132" s="97">
        <f>SUM(G124:G131)</f>
        <v>0</v>
      </c>
      <c r="H132" s="97">
        <f>SUM(H124:H131)</f>
        <v>0</v>
      </c>
      <c r="I132" s="98">
        <f>SUM(I124:I131)</f>
        <v>0</v>
      </c>
      <c r="J132" s="63"/>
      <c r="K132" s="21"/>
      <c r="L132" s="21"/>
      <c r="M132" s="21"/>
      <c r="N132" s="21"/>
      <c r="O132" s="21"/>
      <c r="P132" s="21"/>
      <c r="Q132" s="21"/>
      <c r="R132" s="21"/>
      <c r="S132" s="21"/>
      <c r="T132" s="63"/>
      <c r="U132" s="94"/>
      <c r="V132" s="90"/>
      <c r="W132" s="91"/>
      <c r="X132" s="92"/>
      <c r="Y132" s="2"/>
    </row>
    <row r="133" spans="2:25">
      <c r="B133" s="11"/>
      <c r="C133" s="36"/>
      <c r="D133" s="10"/>
      <c r="E133" s="10"/>
      <c r="F133" s="88"/>
      <c r="G133" s="88"/>
      <c r="H133" s="88"/>
      <c r="I133" s="99"/>
      <c r="J133" s="63"/>
      <c r="K133" s="21"/>
      <c r="L133" s="21"/>
      <c r="M133" s="21"/>
      <c r="N133" s="21"/>
      <c r="O133" s="21"/>
      <c r="P133" s="21"/>
      <c r="Q133" s="21"/>
      <c r="R133" s="21"/>
      <c r="S133" s="21"/>
      <c r="T133" s="63"/>
      <c r="U133" s="94"/>
      <c r="V133" s="90"/>
      <c r="W133" s="91"/>
      <c r="X133" s="92"/>
      <c r="Y133" s="2"/>
    </row>
    <row r="134" spans="2:25">
      <c r="B134" s="102" t="s">
        <v>67</v>
      </c>
      <c r="C134" s="103"/>
      <c r="D134" s="104"/>
      <c r="E134" s="104"/>
      <c r="F134" s="105"/>
      <c r="G134" s="106"/>
      <c r="H134" s="105"/>
      <c r="I134" s="107"/>
      <c r="J134" s="108"/>
      <c r="K134" s="109"/>
      <c r="L134" s="109"/>
      <c r="M134" s="109"/>
      <c r="N134" s="109"/>
      <c r="O134" s="109"/>
      <c r="P134" s="109"/>
      <c r="Q134" s="109"/>
      <c r="R134" s="109"/>
      <c r="S134" s="109"/>
      <c r="T134" s="108"/>
      <c r="U134" s="110"/>
      <c r="V134" s="111"/>
      <c r="W134" s="112"/>
      <c r="X134" s="113"/>
      <c r="Y134" s="2"/>
    </row>
    <row r="135" spans="2:25">
      <c r="B135" s="114">
        <v>1</v>
      </c>
      <c r="C135" s="103"/>
      <c r="D135" s="104"/>
      <c r="E135" s="115"/>
      <c r="F135" s="106"/>
      <c r="G135" s="106"/>
      <c r="H135" s="106"/>
      <c r="I135" s="116">
        <f t="shared" ref="I135:I142" si="31">F135-G135-H135</f>
        <v>0</v>
      </c>
      <c r="J135" s="108"/>
      <c r="K135" s="108"/>
      <c r="L135" s="108"/>
      <c r="M135" s="108"/>
      <c r="N135" s="108"/>
      <c r="O135" s="108"/>
      <c r="P135" s="108"/>
      <c r="Q135" s="108"/>
      <c r="R135" s="108"/>
      <c r="S135" s="108"/>
      <c r="T135" s="108"/>
      <c r="U135" s="110"/>
      <c r="V135" s="111"/>
      <c r="W135" s="112"/>
      <c r="X135" s="113"/>
      <c r="Y135" s="2"/>
    </row>
    <row r="136" spans="2:25">
      <c r="B136" s="114">
        <f t="shared" ref="B136:B142" si="32">B135+1</f>
        <v>2</v>
      </c>
      <c r="C136" s="103"/>
      <c r="D136" s="104"/>
      <c r="E136" s="115"/>
      <c r="F136" s="106"/>
      <c r="G136" s="106"/>
      <c r="H136" s="106"/>
      <c r="I136" s="116">
        <f t="shared" si="31"/>
        <v>0</v>
      </c>
      <c r="J136" s="108"/>
      <c r="K136" s="108"/>
      <c r="L136" s="108"/>
      <c r="M136" s="108"/>
      <c r="N136" s="108"/>
      <c r="O136" s="108"/>
      <c r="P136" s="108"/>
      <c r="Q136" s="108"/>
      <c r="R136" s="108"/>
      <c r="S136" s="108"/>
      <c r="T136" s="108"/>
      <c r="U136" s="110"/>
      <c r="V136" s="111"/>
      <c r="W136" s="112"/>
      <c r="X136" s="113"/>
      <c r="Y136" s="2"/>
    </row>
    <row r="137" spans="2:25">
      <c r="B137" s="114">
        <f t="shared" si="32"/>
        <v>3</v>
      </c>
      <c r="C137" s="103"/>
      <c r="D137" s="104"/>
      <c r="E137" s="115"/>
      <c r="F137" s="106"/>
      <c r="G137" s="106"/>
      <c r="H137" s="106"/>
      <c r="I137" s="116">
        <f t="shared" si="31"/>
        <v>0</v>
      </c>
      <c r="J137" s="108"/>
      <c r="K137" s="108"/>
      <c r="L137" s="108"/>
      <c r="M137" s="108"/>
      <c r="N137" s="108"/>
      <c r="O137" s="108"/>
      <c r="P137" s="108"/>
      <c r="Q137" s="108"/>
      <c r="R137" s="108"/>
      <c r="S137" s="108"/>
      <c r="T137" s="108"/>
      <c r="U137" s="110"/>
      <c r="V137" s="111"/>
      <c r="W137" s="112"/>
      <c r="X137" s="113"/>
      <c r="Y137" s="2"/>
    </row>
    <row r="138" spans="2:25">
      <c r="B138" s="114">
        <f t="shared" si="32"/>
        <v>4</v>
      </c>
      <c r="C138" s="103"/>
      <c r="D138" s="104"/>
      <c r="E138" s="115"/>
      <c r="F138" s="106"/>
      <c r="G138" s="106"/>
      <c r="H138" s="106"/>
      <c r="I138" s="116">
        <f t="shared" si="31"/>
        <v>0</v>
      </c>
      <c r="J138" s="108"/>
      <c r="K138" s="108"/>
      <c r="L138" s="108"/>
      <c r="M138" s="108"/>
      <c r="N138" s="108"/>
      <c r="O138" s="108"/>
      <c r="P138" s="108"/>
      <c r="Q138" s="108"/>
      <c r="R138" s="108"/>
      <c r="S138" s="108"/>
      <c r="T138" s="108"/>
      <c r="U138" s="110"/>
      <c r="V138" s="111"/>
      <c r="W138" s="112"/>
      <c r="X138" s="113"/>
      <c r="Y138" s="2"/>
    </row>
    <row r="139" spans="2:25">
      <c r="B139" s="114">
        <f t="shared" si="32"/>
        <v>5</v>
      </c>
      <c r="C139" s="103"/>
      <c r="D139" s="104"/>
      <c r="E139" s="115"/>
      <c r="F139" s="106"/>
      <c r="G139" s="106"/>
      <c r="H139" s="106"/>
      <c r="I139" s="116">
        <f t="shared" si="31"/>
        <v>0</v>
      </c>
      <c r="J139" s="108"/>
      <c r="K139" s="108"/>
      <c r="L139" s="108"/>
      <c r="M139" s="108"/>
      <c r="N139" s="108"/>
      <c r="O139" s="108"/>
      <c r="P139" s="108"/>
      <c r="Q139" s="108"/>
      <c r="R139" s="108"/>
      <c r="S139" s="108"/>
      <c r="T139" s="108"/>
      <c r="U139" s="110"/>
      <c r="V139" s="111"/>
      <c r="W139" s="112"/>
      <c r="X139" s="113"/>
      <c r="Y139" s="2"/>
    </row>
    <row r="140" spans="2:25">
      <c r="B140" s="114">
        <f t="shared" si="32"/>
        <v>6</v>
      </c>
      <c r="C140" s="103"/>
      <c r="D140" s="104"/>
      <c r="E140" s="115"/>
      <c r="F140" s="106"/>
      <c r="G140" s="106"/>
      <c r="H140" s="106"/>
      <c r="I140" s="116">
        <f t="shared" si="31"/>
        <v>0</v>
      </c>
      <c r="J140" s="108"/>
      <c r="K140" s="108"/>
      <c r="L140" s="108"/>
      <c r="M140" s="108"/>
      <c r="N140" s="108"/>
      <c r="O140" s="108"/>
      <c r="P140" s="108"/>
      <c r="Q140" s="108"/>
      <c r="R140" s="108"/>
      <c r="S140" s="108"/>
      <c r="T140" s="108"/>
      <c r="U140" s="110"/>
      <c r="V140" s="111"/>
      <c r="W140" s="112"/>
      <c r="X140" s="113"/>
      <c r="Y140" s="2"/>
    </row>
    <row r="141" spans="2:25">
      <c r="B141" s="114">
        <f t="shared" si="32"/>
        <v>7</v>
      </c>
      <c r="C141" s="103"/>
      <c r="D141" s="104"/>
      <c r="E141" s="115"/>
      <c r="F141" s="106"/>
      <c r="G141" s="106"/>
      <c r="H141" s="106"/>
      <c r="I141" s="116">
        <f t="shared" si="31"/>
        <v>0</v>
      </c>
      <c r="J141" s="108"/>
      <c r="K141" s="108"/>
      <c r="L141" s="108"/>
      <c r="M141" s="108"/>
      <c r="N141" s="108"/>
      <c r="O141" s="108"/>
      <c r="P141" s="108"/>
      <c r="Q141" s="108"/>
      <c r="R141" s="108"/>
      <c r="S141" s="108"/>
      <c r="T141" s="108"/>
      <c r="U141" s="110"/>
      <c r="V141" s="111"/>
      <c r="W141" s="112"/>
      <c r="X141" s="113"/>
      <c r="Y141" s="2"/>
    </row>
    <row r="142" spans="2:25">
      <c r="B142" s="114">
        <f t="shared" si="32"/>
        <v>8</v>
      </c>
      <c r="C142" s="103"/>
      <c r="D142" s="104"/>
      <c r="E142" s="115"/>
      <c r="F142" s="106"/>
      <c r="G142" s="106"/>
      <c r="H142" s="106"/>
      <c r="I142" s="116">
        <f t="shared" si="31"/>
        <v>0</v>
      </c>
      <c r="J142" s="108"/>
      <c r="K142" s="108"/>
      <c r="L142" s="108"/>
      <c r="M142" s="108"/>
      <c r="N142" s="108"/>
      <c r="O142" s="108"/>
      <c r="P142" s="108"/>
      <c r="Q142" s="108"/>
      <c r="R142" s="108"/>
      <c r="S142" s="108"/>
      <c r="T142" s="108"/>
      <c r="U142" s="110"/>
      <c r="V142" s="111"/>
      <c r="W142" s="112"/>
      <c r="X142" s="113"/>
      <c r="Y142" s="2"/>
    </row>
    <row r="143" spans="2:25">
      <c r="B143" s="117"/>
      <c r="C143" s="103"/>
      <c r="D143" s="104"/>
      <c r="E143" s="104"/>
      <c r="F143" s="118">
        <f>SUM(F135:F142)</f>
        <v>0</v>
      </c>
      <c r="G143" s="118">
        <f>SUM(G135:G142)</f>
        <v>0</v>
      </c>
      <c r="H143" s="118">
        <f>SUM(H135:H142)</f>
        <v>0</v>
      </c>
      <c r="I143" s="119">
        <f>SUM(I135:I142)</f>
        <v>0</v>
      </c>
      <c r="J143" s="108"/>
      <c r="K143" s="120"/>
      <c r="L143" s="120"/>
      <c r="M143" s="120"/>
      <c r="N143" s="120"/>
      <c r="O143" s="120"/>
      <c r="P143" s="120"/>
      <c r="Q143" s="120"/>
      <c r="R143" s="120"/>
      <c r="S143" s="120"/>
      <c r="T143" s="108"/>
      <c r="U143" s="110"/>
      <c r="V143" s="111"/>
      <c r="W143" s="112"/>
      <c r="X143" s="113"/>
      <c r="Y143" s="2"/>
    </row>
    <row r="144" spans="2:25">
      <c r="B144" s="11"/>
      <c r="C144" s="36"/>
      <c r="D144" s="10"/>
      <c r="E144" s="10"/>
      <c r="F144" s="88"/>
      <c r="G144" s="88"/>
      <c r="H144" s="88"/>
      <c r="I144" s="99"/>
      <c r="J144" s="63"/>
      <c r="K144" s="21"/>
      <c r="L144" s="21"/>
      <c r="M144" s="21"/>
      <c r="N144" s="21"/>
      <c r="O144" s="21"/>
      <c r="P144" s="21"/>
      <c r="Q144" s="21"/>
      <c r="R144" s="21"/>
      <c r="S144" s="21"/>
      <c r="T144" s="63"/>
      <c r="U144" s="94"/>
      <c r="V144" s="90"/>
      <c r="W144" s="91"/>
      <c r="X144" s="92"/>
      <c r="Y144" s="2"/>
    </row>
    <row r="145" spans="2:25">
      <c r="B145" s="121" t="s">
        <v>68</v>
      </c>
      <c r="C145" s="122"/>
      <c r="D145" s="123"/>
      <c r="E145" s="123"/>
      <c r="F145" s="124"/>
      <c r="G145" s="125"/>
      <c r="H145" s="124"/>
      <c r="I145" s="126"/>
      <c r="J145" s="127"/>
      <c r="K145" s="128"/>
      <c r="L145" s="128"/>
      <c r="M145" s="128"/>
      <c r="N145" s="128"/>
      <c r="O145" s="128"/>
      <c r="P145" s="128"/>
      <c r="Q145" s="128"/>
      <c r="R145" s="128"/>
      <c r="S145" s="128"/>
      <c r="T145" s="127"/>
      <c r="U145" s="123"/>
      <c r="V145" s="129"/>
      <c r="W145" s="130"/>
      <c r="X145" s="131"/>
      <c r="Y145" s="128"/>
    </row>
    <row r="146" spans="2:25">
      <c r="B146" s="87">
        <v>1</v>
      </c>
      <c r="C146" s="36"/>
      <c r="D146" s="10"/>
      <c r="E146" s="101"/>
      <c r="F146" s="62"/>
      <c r="G146" s="62"/>
      <c r="H146" s="62"/>
      <c r="I146" s="89">
        <f t="shared" ref="I146:I153" si="33">F146-G146-H146</f>
        <v>0</v>
      </c>
      <c r="J146" s="63"/>
      <c r="K146" s="63"/>
      <c r="L146" s="63"/>
      <c r="M146" s="63"/>
      <c r="N146" s="63"/>
      <c r="O146" s="63"/>
      <c r="P146" s="63"/>
      <c r="Q146" s="63"/>
      <c r="R146" s="63"/>
      <c r="S146" s="63"/>
      <c r="T146" s="63"/>
      <c r="U146" s="10"/>
      <c r="V146" s="90"/>
      <c r="W146" s="91"/>
      <c r="X146" s="92"/>
      <c r="Y146" s="2"/>
    </row>
    <row r="147" spans="2:25">
      <c r="B147" s="87">
        <f t="shared" ref="B147:B153" si="34">B146+1</f>
        <v>2</v>
      </c>
      <c r="C147" s="36"/>
      <c r="D147" s="10"/>
      <c r="E147" s="101"/>
      <c r="F147" s="62"/>
      <c r="G147" s="62"/>
      <c r="H147" s="62"/>
      <c r="I147" s="89">
        <f t="shared" si="33"/>
        <v>0</v>
      </c>
      <c r="J147" s="63"/>
      <c r="K147" s="63"/>
      <c r="L147" s="63"/>
      <c r="M147" s="63"/>
      <c r="N147" s="63"/>
      <c r="O147" s="63"/>
      <c r="P147" s="63"/>
      <c r="Q147" s="63"/>
      <c r="R147" s="63"/>
      <c r="S147" s="63"/>
      <c r="T147" s="63"/>
      <c r="U147" s="10"/>
      <c r="V147" s="90"/>
      <c r="W147" s="91"/>
      <c r="X147" s="92"/>
      <c r="Y147" s="2"/>
    </row>
    <row r="148" spans="2:25">
      <c r="B148" s="87">
        <f t="shared" si="34"/>
        <v>3</v>
      </c>
      <c r="C148" s="36"/>
      <c r="D148" s="10"/>
      <c r="E148" s="101"/>
      <c r="F148" s="62"/>
      <c r="G148" s="62"/>
      <c r="H148" s="62"/>
      <c r="I148" s="89">
        <f t="shared" si="33"/>
        <v>0</v>
      </c>
      <c r="J148" s="63"/>
      <c r="K148" s="63"/>
      <c r="L148" s="63"/>
      <c r="M148" s="63"/>
      <c r="N148" s="63"/>
      <c r="O148" s="63"/>
      <c r="P148" s="63"/>
      <c r="Q148" s="63"/>
      <c r="R148" s="63"/>
      <c r="S148" s="63"/>
      <c r="T148" s="63"/>
      <c r="U148" s="10"/>
      <c r="V148" s="90"/>
      <c r="W148" s="91"/>
      <c r="X148" s="92"/>
      <c r="Y148" s="2"/>
    </row>
    <row r="149" spans="2:25">
      <c r="B149" s="87">
        <f t="shared" si="34"/>
        <v>4</v>
      </c>
      <c r="C149" s="36"/>
      <c r="D149" s="10"/>
      <c r="E149" s="101"/>
      <c r="F149" s="62"/>
      <c r="G149" s="62"/>
      <c r="H149" s="62"/>
      <c r="I149" s="89">
        <f t="shared" si="33"/>
        <v>0</v>
      </c>
      <c r="J149" s="63"/>
      <c r="K149" s="63"/>
      <c r="L149" s="63"/>
      <c r="M149" s="63"/>
      <c r="N149" s="63"/>
      <c r="O149" s="63"/>
      <c r="P149" s="63"/>
      <c r="Q149" s="63"/>
      <c r="R149" s="63"/>
      <c r="S149" s="63"/>
      <c r="T149" s="63"/>
      <c r="U149" s="10"/>
      <c r="V149" s="90"/>
      <c r="W149" s="91"/>
      <c r="X149" s="92"/>
      <c r="Y149" s="2"/>
    </row>
    <row r="150" spans="2:25">
      <c r="B150" s="87">
        <f t="shared" si="34"/>
        <v>5</v>
      </c>
      <c r="C150" s="36"/>
      <c r="D150" s="10"/>
      <c r="E150" s="101"/>
      <c r="F150" s="62"/>
      <c r="G150" s="62"/>
      <c r="H150" s="62"/>
      <c r="I150" s="89">
        <f t="shared" si="33"/>
        <v>0</v>
      </c>
      <c r="J150" s="63"/>
      <c r="K150" s="63"/>
      <c r="L150" s="63"/>
      <c r="M150" s="63"/>
      <c r="N150" s="63"/>
      <c r="O150" s="63"/>
      <c r="P150" s="63"/>
      <c r="Q150" s="63"/>
      <c r="R150" s="63"/>
      <c r="S150" s="63"/>
      <c r="T150" s="63"/>
      <c r="U150" s="10"/>
      <c r="V150" s="90"/>
      <c r="W150" s="91"/>
      <c r="X150" s="92"/>
      <c r="Y150" s="2"/>
    </row>
    <row r="151" spans="2:25">
      <c r="B151" s="87">
        <f t="shared" si="34"/>
        <v>6</v>
      </c>
      <c r="C151" s="36"/>
      <c r="D151" s="10"/>
      <c r="E151" s="101"/>
      <c r="F151" s="62"/>
      <c r="G151" s="62"/>
      <c r="H151" s="62"/>
      <c r="I151" s="89">
        <f t="shared" si="33"/>
        <v>0</v>
      </c>
      <c r="J151" s="63"/>
      <c r="K151" s="63"/>
      <c r="L151" s="63"/>
      <c r="M151" s="63"/>
      <c r="N151" s="63"/>
      <c r="O151" s="63"/>
      <c r="P151" s="63"/>
      <c r="Q151" s="63"/>
      <c r="R151" s="63"/>
      <c r="S151" s="63"/>
      <c r="T151" s="63"/>
      <c r="U151" s="10"/>
      <c r="V151" s="90"/>
      <c r="W151" s="91"/>
      <c r="X151" s="92"/>
      <c r="Y151" s="2"/>
    </row>
    <row r="152" spans="2:25">
      <c r="B152" s="87">
        <f t="shared" si="34"/>
        <v>7</v>
      </c>
      <c r="C152" s="36"/>
      <c r="D152" s="10"/>
      <c r="E152" s="101"/>
      <c r="F152" s="62"/>
      <c r="G152" s="62"/>
      <c r="H152" s="62"/>
      <c r="I152" s="89">
        <f t="shared" si="33"/>
        <v>0</v>
      </c>
      <c r="J152" s="63"/>
      <c r="K152" s="63"/>
      <c r="L152" s="63"/>
      <c r="M152" s="63"/>
      <c r="N152" s="63"/>
      <c r="O152" s="63"/>
      <c r="P152" s="63"/>
      <c r="Q152" s="63"/>
      <c r="R152" s="63"/>
      <c r="S152" s="63"/>
      <c r="T152" s="63"/>
      <c r="U152" s="10"/>
      <c r="V152" s="90"/>
      <c r="W152" s="91"/>
      <c r="X152" s="92"/>
      <c r="Y152" s="2"/>
    </row>
    <row r="153" spans="2:25">
      <c r="B153" s="87">
        <f t="shared" si="34"/>
        <v>8</v>
      </c>
      <c r="C153" s="36"/>
      <c r="D153" s="10"/>
      <c r="E153" s="101"/>
      <c r="F153" s="62"/>
      <c r="G153" s="62"/>
      <c r="H153" s="62"/>
      <c r="I153" s="89">
        <f t="shared" si="33"/>
        <v>0</v>
      </c>
      <c r="J153" s="63"/>
      <c r="K153" s="63"/>
      <c r="L153" s="63"/>
      <c r="M153" s="63"/>
      <c r="N153" s="63"/>
      <c r="O153" s="63"/>
      <c r="P153" s="63"/>
      <c r="Q153" s="63"/>
      <c r="R153" s="63"/>
      <c r="S153" s="63"/>
      <c r="T153" s="63"/>
      <c r="U153" s="10"/>
      <c r="V153" s="90"/>
      <c r="W153" s="91"/>
      <c r="X153" s="92"/>
      <c r="Y153" s="2"/>
    </row>
    <row r="154" spans="2:25">
      <c r="B154" s="132"/>
      <c r="C154" s="122"/>
      <c r="D154" s="123"/>
      <c r="E154" s="123"/>
      <c r="F154" s="133">
        <f>SUM(F146:F153)</f>
        <v>0</v>
      </c>
      <c r="G154" s="133">
        <f>SUM(G146:G153)</f>
        <v>0</v>
      </c>
      <c r="H154" s="133">
        <f>SUM(H146:H153)</f>
        <v>0</v>
      </c>
      <c r="I154" s="134">
        <f>SUM(I146:I153)</f>
        <v>0</v>
      </c>
      <c r="J154" s="127"/>
      <c r="K154" s="64"/>
      <c r="L154" s="64"/>
      <c r="M154" s="64"/>
      <c r="N154" s="64"/>
      <c r="O154" s="64"/>
      <c r="P154" s="64"/>
      <c r="Q154" s="64"/>
      <c r="R154" s="64"/>
      <c r="S154" s="64"/>
      <c r="T154" s="127"/>
      <c r="U154" s="123"/>
      <c r="V154" s="129"/>
      <c r="W154" s="130"/>
      <c r="X154" s="131"/>
      <c r="Y154" s="128"/>
    </row>
    <row r="155" spans="2:25">
      <c r="B155" s="11"/>
      <c r="C155" s="36"/>
      <c r="D155" s="10"/>
      <c r="E155" s="10"/>
      <c r="F155" s="88"/>
      <c r="G155" s="88"/>
      <c r="H155" s="88"/>
      <c r="I155" s="99"/>
      <c r="J155" s="63"/>
      <c r="K155" s="21"/>
      <c r="L155" s="21"/>
      <c r="M155" s="21"/>
      <c r="N155" s="21"/>
      <c r="O155" s="21"/>
      <c r="P155" s="21"/>
      <c r="Q155" s="21"/>
      <c r="R155" s="21"/>
      <c r="S155" s="21"/>
      <c r="T155" s="63"/>
      <c r="U155" s="10"/>
      <c r="V155" s="90"/>
      <c r="W155" s="91"/>
      <c r="X155" s="92"/>
      <c r="Y155" s="2"/>
    </row>
    <row r="156" spans="2:25">
      <c r="B156" s="121" t="s">
        <v>69</v>
      </c>
      <c r="C156" s="122"/>
      <c r="D156" s="123"/>
      <c r="E156" s="123"/>
      <c r="F156" s="124"/>
      <c r="G156" s="125"/>
      <c r="H156" s="124"/>
      <c r="I156" s="126"/>
      <c r="J156" s="127"/>
      <c r="K156" s="128"/>
      <c r="L156" s="128"/>
      <c r="M156" s="128"/>
      <c r="N156" s="128"/>
      <c r="O156" s="128"/>
      <c r="P156" s="128"/>
      <c r="Q156" s="128"/>
      <c r="R156" s="128"/>
      <c r="S156" s="128"/>
      <c r="T156" s="127"/>
      <c r="U156" s="135"/>
      <c r="V156" s="129"/>
      <c r="W156" s="130"/>
      <c r="X156" s="131"/>
      <c r="Y156" s="128"/>
    </row>
    <row r="157" spans="2:25">
      <c r="B157" s="87">
        <v>1</v>
      </c>
      <c r="C157" s="36"/>
      <c r="D157" s="10"/>
      <c r="E157" s="101"/>
      <c r="F157" s="62"/>
      <c r="G157" s="62"/>
      <c r="H157" s="62"/>
      <c r="I157" s="89">
        <f t="shared" ref="I157:I164" si="35">F157-G157-H157</f>
        <v>0</v>
      </c>
      <c r="J157" s="63"/>
      <c r="K157" s="63"/>
      <c r="L157" s="63"/>
      <c r="M157" s="63"/>
      <c r="N157" s="63"/>
      <c r="O157" s="63"/>
      <c r="P157" s="63"/>
      <c r="Q157" s="63"/>
      <c r="R157" s="63"/>
      <c r="S157" s="63"/>
      <c r="T157" s="63"/>
      <c r="U157" s="94"/>
      <c r="V157" s="90"/>
      <c r="W157" s="91"/>
      <c r="X157" s="92"/>
      <c r="Y157" s="2"/>
    </row>
    <row r="158" spans="2:25">
      <c r="B158" s="87">
        <f t="shared" ref="B158:B164" si="36">B157+1</f>
        <v>2</v>
      </c>
      <c r="C158" s="36"/>
      <c r="D158" s="10"/>
      <c r="E158" s="101"/>
      <c r="F158" s="62"/>
      <c r="G158" s="62"/>
      <c r="H158" s="62"/>
      <c r="I158" s="89">
        <f t="shared" si="35"/>
        <v>0</v>
      </c>
      <c r="J158" s="63"/>
      <c r="K158" s="63"/>
      <c r="L158" s="63"/>
      <c r="M158" s="63"/>
      <c r="N158" s="63"/>
      <c r="O158" s="63"/>
      <c r="P158" s="63"/>
      <c r="Q158" s="63"/>
      <c r="R158" s="63"/>
      <c r="S158" s="63"/>
      <c r="T158" s="63"/>
      <c r="U158" s="94"/>
      <c r="V158" s="90"/>
      <c r="W158" s="91"/>
      <c r="X158" s="92"/>
      <c r="Y158" s="2"/>
    </row>
    <row r="159" spans="2:25">
      <c r="B159" s="87">
        <f t="shared" si="36"/>
        <v>3</v>
      </c>
      <c r="C159" s="36"/>
      <c r="D159" s="10"/>
      <c r="E159" s="101"/>
      <c r="F159" s="62"/>
      <c r="G159" s="62"/>
      <c r="H159" s="62"/>
      <c r="I159" s="89">
        <f t="shared" si="35"/>
        <v>0</v>
      </c>
      <c r="J159" s="63"/>
      <c r="K159" s="63"/>
      <c r="L159" s="63"/>
      <c r="M159" s="63"/>
      <c r="N159" s="63"/>
      <c r="O159" s="63"/>
      <c r="P159" s="63"/>
      <c r="Q159" s="63"/>
      <c r="R159" s="63"/>
      <c r="S159" s="63"/>
      <c r="T159" s="63"/>
      <c r="U159" s="94"/>
      <c r="V159" s="90"/>
      <c r="W159" s="91"/>
      <c r="X159" s="92"/>
      <c r="Y159" s="2"/>
    </row>
    <row r="160" spans="2:25">
      <c r="B160" s="87">
        <f t="shared" si="36"/>
        <v>4</v>
      </c>
      <c r="C160" s="36"/>
      <c r="D160" s="10"/>
      <c r="E160" s="101"/>
      <c r="F160" s="62"/>
      <c r="G160" s="62"/>
      <c r="H160" s="62"/>
      <c r="I160" s="89">
        <f t="shared" si="35"/>
        <v>0</v>
      </c>
      <c r="J160" s="63"/>
      <c r="K160" s="63"/>
      <c r="L160" s="63"/>
      <c r="M160" s="63"/>
      <c r="N160" s="63"/>
      <c r="O160" s="63"/>
      <c r="P160" s="63"/>
      <c r="Q160" s="63"/>
      <c r="R160" s="63"/>
      <c r="S160" s="63"/>
      <c r="T160" s="63"/>
      <c r="U160" s="94"/>
      <c r="V160" s="90"/>
      <c r="W160" s="91"/>
      <c r="X160" s="92"/>
      <c r="Y160" s="2"/>
    </row>
    <row r="161" spans="2:25">
      <c r="B161" s="87">
        <f t="shared" si="36"/>
        <v>5</v>
      </c>
      <c r="C161" s="36"/>
      <c r="D161" s="10"/>
      <c r="E161" s="101"/>
      <c r="F161" s="62"/>
      <c r="G161" s="62"/>
      <c r="H161" s="62"/>
      <c r="I161" s="89">
        <f t="shared" si="35"/>
        <v>0</v>
      </c>
      <c r="J161" s="63"/>
      <c r="K161" s="63"/>
      <c r="L161" s="63"/>
      <c r="M161" s="63"/>
      <c r="N161" s="63"/>
      <c r="O161" s="63"/>
      <c r="P161" s="63"/>
      <c r="Q161" s="63"/>
      <c r="R161" s="63"/>
      <c r="S161" s="63"/>
      <c r="T161" s="63"/>
      <c r="U161" s="94"/>
      <c r="V161" s="90"/>
      <c r="W161" s="91"/>
      <c r="X161" s="92"/>
      <c r="Y161" s="2"/>
    </row>
    <row r="162" spans="2:25">
      <c r="B162" s="87">
        <f t="shared" si="36"/>
        <v>6</v>
      </c>
      <c r="C162" s="36"/>
      <c r="D162" s="10"/>
      <c r="E162" s="101"/>
      <c r="F162" s="62"/>
      <c r="G162" s="62"/>
      <c r="H162" s="62"/>
      <c r="I162" s="89">
        <f t="shared" si="35"/>
        <v>0</v>
      </c>
      <c r="J162" s="63"/>
      <c r="K162" s="63"/>
      <c r="L162" s="63"/>
      <c r="M162" s="63"/>
      <c r="N162" s="63"/>
      <c r="O162" s="63"/>
      <c r="P162" s="63"/>
      <c r="Q162" s="63"/>
      <c r="R162" s="63"/>
      <c r="S162" s="63"/>
      <c r="T162" s="63"/>
      <c r="U162" s="94"/>
      <c r="V162" s="90"/>
      <c r="W162" s="91"/>
      <c r="X162" s="92"/>
      <c r="Y162" s="2"/>
    </row>
    <row r="163" spans="2:25">
      <c r="B163" s="87">
        <f t="shared" si="36"/>
        <v>7</v>
      </c>
      <c r="C163" s="36"/>
      <c r="D163" s="10"/>
      <c r="E163" s="101"/>
      <c r="F163" s="62"/>
      <c r="G163" s="62"/>
      <c r="H163" s="62"/>
      <c r="I163" s="89">
        <f t="shared" si="35"/>
        <v>0</v>
      </c>
      <c r="J163" s="63"/>
      <c r="K163" s="63"/>
      <c r="L163" s="63"/>
      <c r="M163" s="63"/>
      <c r="N163" s="63"/>
      <c r="O163" s="63"/>
      <c r="P163" s="63"/>
      <c r="Q163" s="63"/>
      <c r="R163" s="63"/>
      <c r="S163" s="63"/>
      <c r="T163" s="63"/>
      <c r="U163" s="94"/>
      <c r="V163" s="90"/>
      <c r="W163" s="91"/>
      <c r="X163" s="92"/>
      <c r="Y163" s="2"/>
    </row>
    <row r="164" spans="2:25">
      <c r="B164" s="87">
        <f t="shared" si="36"/>
        <v>8</v>
      </c>
      <c r="C164" s="36"/>
      <c r="D164" s="10"/>
      <c r="E164" s="101"/>
      <c r="F164" s="62"/>
      <c r="G164" s="62"/>
      <c r="H164" s="62"/>
      <c r="I164" s="89">
        <f t="shared" si="35"/>
        <v>0</v>
      </c>
      <c r="J164" s="63"/>
      <c r="K164" s="63"/>
      <c r="L164" s="63"/>
      <c r="M164" s="63"/>
      <c r="N164" s="63"/>
      <c r="O164" s="63"/>
      <c r="P164" s="63"/>
      <c r="Q164" s="63"/>
      <c r="R164" s="63"/>
      <c r="S164" s="63"/>
      <c r="T164" s="63"/>
      <c r="U164" s="94"/>
      <c r="V164" s="90"/>
      <c r="W164" s="91"/>
      <c r="X164" s="92"/>
      <c r="Y164" s="2"/>
    </row>
    <row r="165" spans="2:25">
      <c r="B165" s="132"/>
      <c r="C165" s="122"/>
      <c r="D165" s="123"/>
      <c r="E165" s="123"/>
      <c r="F165" s="133">
        <f>SUM(F157:F164)</f>
        <v>0</v>
      </c>
      <c r="G165" s="133">
        <f>SUM(G157:G164)</f>
        <v>0</v>
      </c>
      <c r="H165" s="133">
        <f>SUM(H157:H164)</f>
        <v>0</v>
      </c>
      <c r="I165" s="134">
        <f>SUM(I157:I164)</f>
        <v>0</v>
      </c>
      <c r="J165" s="127"/>
      <c r="K165" s="64"/>
      <c r="L165" s="64"/>
      <c r="M165" s="64"/>
      <c r="N165" s="64"/>
      <c r="O165" s="64"/>
      <c r="P165" s="64"/>
      <c r="Q165" s="64"/>
      <c r="R165" s="64"/>
      <c r="S165" s="64"/>
      <c r="T165" s="127"/>
      <c r="U165" s="135"/>
      <c r="V165" s="129"/>
      <c r="W165" s="130"/>
      <c r="X165" s="131"/>
      <c r="Y165" s="128"/>
    </row>
    <row r="166" spans="2:25">
      <c r="B166" s="11"/>
      <c r="C166" s="36"/>
      <c r="D166" s="10"/>
      <c r="E166" s="10"/>
      <c r="F166" s="88"/>
      <c r="G166" s="88"/>
      <c r="H166" s="88"/>
      <c r="I166" s="99"/>
      <c r="J166" s="63"/>
      <c r="K166" s="21"/>
      <c r="L166" s="21"/>
      <c r="M166" s="21"/>
      <c r="N166" s="21"/>
      <c r="O166" s="21"/>
      <c r="P166" s="21"/>
      <c r="Q166" s="21"/>
      <c r="R166" s="21"/>
      <c r="S166" s="21"/>
      <c r="T166" s="63"/>
      <c r="U166" s="94"/>
      <c r="V166" s="90"/>
      <c r="W166" s="91"/>
      <c r="X166" s="92"/>
      <c r="Y166" s="2"/>
    </row>
    <row r="167" spans="2:25">
      <c r="B167" s="121" t="s">
        <v>70</v>
      </c>
      <c r="C167" s="122"/>
      <c r="D167" s="123"/>
      <c r="E167" s="128"/>
      <c r="F167" s="124"/>
      <c r="G167" s="124"/>
      <c r="H167" s="124"/>
      <c r="I167" s="126"/>
      <c r="J167" s="127"/>
      <c r="K167" s="64"/>
      <c r="L167" s="64"/>
      <c r="M167" s="64"/>
      <c r="N167" s="64"/>
      <c r="O167" s="64"/>
      <c r="P167" s="64"/>
      <c r="Q167" s="64"/>
      <c r="R167" s="64"/>
      <c r="S167" s="64"/>
      <c r="T167" s="127"/>
      <c r="U167" s="135"/>
      <c r="V167" s="129"/>
      <c r="W167" s="130"/>
      <c r="X167" s="131"/>
      <c r="Y167" s="128"/>
    </row>
    <row r="168" spans="2:25">
      <c r="B168" s="87">
        <v>1</v>
      </c>
      <c r="C168" s="36"/>
      <c r="D168" s="10"/>
      <c r="E168" s="10"/>
      <c r="F168" s="62"/>
      <c r="G168" s="62"/>
      <c r="H168" s="62"/>
      <c r="I168" s="89">
        <f t="shared" ref="I168:I175" si="37">F168-G168-H168</f>
        <v>0</v>
      </c>
      <c r="J168" s="63"/>
      <c r="K168" s="63"/>
      <c r="L168" s="63"/>
      <c r="M168" s="63"/>
      <c r="N168" s="63"/>
      <c r="O168" s="63"/>
      <c r="P168" s="63"/>
      <c r="Q168" s="63"/>
      <c r="R168" s="63"/>
      <c r="S168" s="63"/>
      <c r="T168" s="63"/>
      <c r="U168" s="94"/>
      <c r="V168" s="90"/>
      <c r="W168" s="136"/>
      <c r="X168" s="137"/>
      <c r="Y168" s="2"/>
    </row>
    <row r="169" spans="2:25">
      <c r="B169" s="87">
        <f t="shared" ref="B169:B175" si="38">B168+1</f>
        <v>2</v>
      </c>
      <c r="C169" s="36"/>
      <c r="D169" s="10"/>
      <c r="E169" s="10"/>
      <c r="F169" s="62"/>
      <c r="G169" s="62"/>
      <c r="H169" s="62"/>
      <c r="I169" s="89">
        <f t="shared" si="37"/>
        <v>0</v>
      </c>
      <c r="J169" s="63"/>
      <c r="K169" s="63"/>
      <c r="L169" s="63"/>
      <c r="M169" s="63"/>
      <c r="N169" s="63"/>
      <c r="O169" s="63"/>
      <c r="P169" s="63"/>
      <c r="Q169" s="63"/>
      <c r="R169" s="63"/>
      <c r="S169" s="63"/>
      <c r="T169" s="63"/>
      <c r="U169" s="94"/>
      <c r="V169" s="90"/>
      <c r="W169" s="136"/>
      <c r="X169" s="137"/>
      <c r="Y169" s="2"/>
    </row>
    <row r="170" spans="2:25">
      <c r="B170" s="87">
        <f t="shared" si="38"/>
        <v>3</v>
      </c>
      <c r="C170" s="36"/>
      <c r="D170" s="10"/>
      <c r="E170" s="10"/>
      <c r="F170" s="62"/>
      <c r="G170" s="62"/>
      <c r="H170" s="62"/>
      <c r="I170" s="89">
        <f t="shared" si="37"/>
        <v>0</v>
      </c>
      <c r="J170" s="63"/>
      <c r="K170" s="63"/>
      <c r="L170" s="63"/>
      <c r="M170" s="63"/>
      <c r="N170" s="63"/>
      <c r="O170" s="63"/>
      <c r="P170" s="63"/>
      <c r="Q170" s="63"/>
      <c r="R170" s="63"/>
      <c r="S170" s="63"/>
      <c r="T170" s="63"/>
      <c r="U170" s="94"/>
      <c r="V170" s="90"/>
      <c r="W170" s="136"/>
      <c r="X170" s="137"/>
      <c r="Y170" s="2"/>
    </row>
    <row r="171" spans="2:25">
      <c r="B171" s="87">
        <f t="shared" si="38"/>
        <v>4</v>
      </c>
      <c r="C171" s="36"/>
      <c r="D171" s="10"/>
      <c r="E171" s="10"/>
      <c r="F171" s="62"/>
      <c r="G171" s="62"/>
      <c r="H171" s="62"/>
      <c r="I171" s="89">
        <f t="shared" si="37"/>
        <v>0</v>
      </c>
      <c r="J171" s="63"/>
      <c r="K171" s="63"/>
      <c r="L171" s="63"/>
      <c r="M171" s="63"/>
      <c r="N171" s="63"/>
      <c r="O171" s="63"/>
      <c r="P171" s="63"/>
      <c r="Q171" s="63"/>
      <c r="R171" s="63"/>
      <c r="S171" s="63"/>
      <c r="T171" s="63"/>
      <c r="U171" s="94"/>
      <c r="V171" s="90"/>
      <c r="W171" s="136"/>
      <c r="X171" s="137"/>
      <c r="Y171" s="2"/>
    </row>
    <row r="172" spans="2:25">
      <c r="B172" s="87">
        <f t="shared" si="38"/>
        <v>5</v>
      </c>
      <c r="C172" s="36"/>
      <c r="D172" s="10"/>
      <c r="E172" s="10"/>
      <c r="F172" s="62"/>
      <c r="G172" s="62"/>
      <c r="H172" s="62"/>
      <c r="I172" s="89">
        <f t="shared" si="37"/>
        <v>0</v>
      </c>
      <c r="J172" s="63"/>
      <c r="K172" s="63"/>
      <c r="L172" s="63"/>
      <c r="M172" s="63"/>
      <c r="N172" s="63"/>
      <c r="O172" s="63"/>
      <c r="P172" s="63"/>
      <c r="Q172" s="63"/>
      <c r="R172" s="63"/>
      <c r="S172" s="63"/>
      <c r="T172" s="63"/>
      <c r="U172" s="94"/>
      <c r="V172" s="90"/>
      <c r="W172" s="136"/>
      <c r="X172" s="137"/>
      <c r="Y172" s="2"/>
    </row>
    <row r="173" spans="2:25">
      <c r="B173" s="87">
        <f t="shared" si="38"/>
        <v>6</v>
      </c>
      <c r="C173" s="36"/>
      <c r="D173" s="10"/>
      <c r="E173" s="10"/>
      <c r="F173" s="62"/>
      <c r="G173" s="62"/>
      <c r="H173" s="62"/>
      <c r="I173" s="89">
        <f t="shared" si="37"/>
        <v>0</v>
      </c>
      <c r="J173" s="63"/>
      <c r="K173" s="63"/>
      <c r="L173" s="63"/>
      <c r="M173" s="63"/>
      <c r="N173" s="63"/>
      <c r="O173" s="63"/>
      <c r="P173" s="63"/>
      <c r="Q173" s="63"/>
      <c r="R173" s="63"/>
      <c r="S173" s="63"/>
      <c r="T173" s="63"/>
      <c r="U173" s="94"/>
      <c r="V173" s="90"/>
      <c r="W173" s="136"/>
      <c r="X173" s="137"/>
      <c r="Y173" s="2"/>
    </row>
    <row r="174" spans="2:25">
      <c r="B174" s="87">
        <f t="shared" si="38"/>
        <v>7</v>
      </c>
      <c r="C174" s="36"/>
      <c r="D174" s="10"/>
      <c r="E174" s="10"/>
      <c r="F174" s="62"/>
      <c r="G174" s="62"/>
      <c r="H174" s="62"/>
      <c r="I174" s="89">
        <f t="shared" si="37"/>
        <v>0</v>
      </c>
      <c r="J174" s="63"/>
      <c r="K174" s="63"/>
      <c r="L174" s="63"/>
      <c r="M174" s="63"/>
      <c r="N174" s="63"/>
      <c r="O174" s="63"/>
      <c r="P174" s="63"/>
      <c r="Q174" s="63"/>
      <c r="R174" s="63"/>
      <c r="S174" s="63"/>
      <c r="T174" s="63"/>
      <c r="U174" s="94"/>
      <c r="V174" s="90"/>
      <c r="W174" s="136"/>
      <c r="X174" s="137"/>
      <c r="Y174" s="2"/>
    </row>
    <row r="175" spans="2:25">
      <c r="B175" s="87">
        <f t="shared" si="38"/>
        <v>8</v>
      </c>
      <c r="C175" s="36"/>
      <c r="D175" s="10"/>
      <c r="E175" s="10"/>
      <c r="F175" s="62"/>
      <c r="G175" s="62"/>
      <c r="H175" s="62"/>
      <c r="I175" s="89">
        <f t="shared" si="37"/>
        <v>0</v>
      </c>
      <c r="J175" s="63"/>
      <c r="K175" s="63"/>
      <c r="L175" s="63"/>
      <c r="M175" s="63"/>
      <c r="N175" s="63"/>
      <c r="O175" s="63"/>
      <c r="P175" s="63"/>
      <c r="Q175" s="63"/>
      <c r="R175" s="63"/>
      <c r="S175" s="63"/>
      <c r="T175" s="63"/>
      <c r="U175" s="94"/>
      <c r="V175" s="90"/>
      <c r="W175" s="136"/>
      <c r="X175" s="137"/>
      <c r="Y175" s="2"/>
    </row>
    <row r="176" spans="2:25">
      <c r="B176" s="132"/>
      <c r="C176" s="122"/>
      <c r="D176" s="123"/>
      <c r="E176" s="123"/>
      <c r="F176" s="133">
        <f>SUM(F168:F175)</f>
        <v>0</v>
      </c>
      <c r="G176" s="133">
        <f>SUM(G168:G175)</f>
        <v>0</v>
      </c>
      <c r="H176" s="133">
        <f>SUM(H168:H175)</f>
        <v>0</v>
      </c>
      <c r="I176" s="134">
        <f>SUM(I168:I175)</f>
        <v>0</v>
      </c>
      <c r="J176" s="127"/>
      <c r="K176" s="64"/>
      <c r="L176" s="64"/>
      <c r="M176" s="64"/>
      <c r="N176" s="64"/>
      <c r="O176" s="64"/>
      <c r="P176" s="64"/>
      <c r="Q176" s="64"/>
      <c r="R176" s="64"/>
      <c r="S176" s="64"/>
      <c r="T176" s="127"/>
      <c r="U176" s="135"/>
      <c r="V176" s="129"/>
      <c r="W176" s="130"/>
      <c r="X176" s="131"/>
      <c r="Y176" s="128"/>
    </row>
    <row r="177" spans="2:25">
      <c r="B177" s="11"/>
      <c r="C177" s="36"/>
      <c r="D177" s="10"/>
      <c r="E177" s="10"/>
      <c r="F177" s="88"/>
      <c r="G177" s="88"/>
      <c r="H177" s="88"/>
      <c r="I177" s="99"/>
      <c r="J177" s="10"/>
      <c r="K177" s="63"/>
      <c r="L177" s="63"/>
      <c r="M177" s="63"/>
      <c r="N177" s="63"/>
      <c r="O177" s="63"/>
      <c r="P177" s="63"/>
      <c r="Q177" s="63"/>
      <c r="R177" s="63"/>
      <c r="S177" s="63"/>
      <c r="T177" s="63"/>
      <c r="U177" s="94"/>
      <c r="V177" s="90"/>
      <c r="W177" s="91"/>
      <c r="X177" s="92"/>
      <c r="Y177" s="2"/>
    </row>
    <row r="178" spans="2:25">
      <c r="B178" s="121" t="s">
        <v>71</v>
      </c>
      <c r="C178" s="122"/>
      <c r="D178" s="123"/>
      <c r="E178" s="128"/>
      <c r="F178" s="124"/>
      <c r="G178" s="124"/>
      <c r="H178" s="124"/>
      <c r="I178" s="126"/>
      <c r="J178" s="127"/>
      <c r="K178" s="64"/>
      <c r="L178" s="64"/>
      <c r="M178" s="64"/>
      <c r="N178" s="64"/>
      <c r="O178" s="64"/>
      <c r="P178" s="64"/>
      <c r="Q178" s="64"/>
      <c r="R178" s="64"/>
      <c r="S178" s="64"/>
      <c r="T178" s="127"/>
      <c r="U178" s="135"/>
      <c r="V178" s="129"/>
      <c r="W178" s="130"/>
      <c r="X178" s="131"/>
      <c r="Y178" s="128"/>
    </row>
    <row r="179" spans="2:25">
      <c r="B179" s="87">
        <v>1</v>
      </c>
      <c r="C179" s="36"/>
      <c r="D179" s="10"/>
      <c r="E179" s="10"/>
      <c r="F179" s="62"/>
      <c r="G179" s="62"/>
      <c r="H179" s="62"/>
      <c r="I179" s="89">
        <f t="shared" ref="I179:I186" si="39">F179-G179-H179</f>
        <v>0</v>
      </c>
      <c r="J179" s="63"/>
      <c r="K179" s="63"/>
      <c r="L179" s="63"/>
      <c r="M179" s="63"/>
      <c r="N179" s="63"/>
      <c r="O179" s="63"/>
      <c r="P179" s="63"/>
      <c r="Q179" s="63"/>
      <c r="R179" s="63"/>
      <c r="S179" s="63"/>
      <c r="T179" s="63"/>
      <c r="U179" s="94"/>
      <c r="V179" s="90"/>
      <c r="W179" s="136"/>
      <c r="X179" s="137"/>
      <c r="Y179" s="2"/>
    </row>
    <row r="180" spans="2:25">
      <c r="B180" s="87">
        <f t="shared" ref="B180:B186" si="40">B179+1</f>
        <v>2</v>
      </c>
      <c r="C180" s="36"/>
      <c r="D180" s="10"/>
      <c r="E180" s="10"/>
      <c r="F180" s="62"/>
      <c r="G180" s="62"/>
      <c r="H180" s="62"/>
      <c r="I180" s="89">
        <f t="shared" si="39"/>
        <v>0</v>
      </c>
      <c r="J180" s="63"/>
      <c r="K180" s="63"/>
      <c r="L180" s="63"/>
      <c r="M180" s="63"/>
      <c r="N180" s="63"/>
      <c r="O180" s="63"/>
      <c r="P180" s="63"/>
      <c r="Q180" s="63"/>
      <c r="R180" s="63"/>
      <c r="S180" s="63"/>
      <c r="T180" s="63"/>
      <c r="U180" s="94"/>
      <c r="V180" s="90"/>
      <c r="W180" s="136"/>
      <c r="X180" s="137"/>
      <c r="Y180" s="2"/>
    </row>
    <row r="181" spans="2:25">
      <c r="B181" s="87">
        <f t="shared" si="40"/>
        <v>3</v>
      </c>
      <c r="C181" s="36"/>
      <c r="D181" s="10"/>
      <c r="E181" s="10"/>
      <c r="F181" s="62"/>
      <c r="G181" s="62"/>
      <c r="H181" s="62"/>
      <c r="I181" s="89">
        <f t="shared" si="39"/>
        <v>0</v>
      </c>
      <c r="J181" s="63"/>
      <c r="K181" s="63"/>
      <c r="L181" s="63"/>
      <c r="M181" s="63"/>
      <c r="N181" s="63"/>
      <c r="O181" s="63"/>
      <c r="P181" s="63"/>
      <c r="Q181" s="63"/>
      <c r="R181" s="63"/>
      <c r="S181" s="63"/>
      <c r="T181" s="63"/>
      <c r="U181" s="94"/>
      <c r="V181" s="90"/>
      <c r="W181" s="136"/>
      <c r="X181" s="137"/>
      <c r="Y181" s="2"/>
    </row>
    <row r="182" spans="2:25">
      <c r="B182" s="87">
        <f t="shared" si="40"/>
        <v>4</v>
      </c>
      <c r="C182" s="36"/>
      <c r="D182" s="10"/>
      <c r="E182" s="10"/>
      <c r="F182" s="62"/>
      <c r="G182" s="62"/>
      <c r="H182" s="62"/>
      <c r="I182" s="89">
        <f t="shared" si="39"/>
        <v>0</v>
      </c>
      <c r="J182" s="63"/>
      <c r="K182" s="63"/>
      <c r="L182" s="63"/>
      <c r="M182" s="63"/>
      <c r="N182" s="63"/>
      <c r="O182" s="63"/>
      <c r="P182" s="63"/>
      <c r="Q182" s="63"/>
      <c r="R182" s="63"/>
      <c r="S182" s="63"/>
      <c r="T182" s="63"/>
      <c r="U182" s="94"/>
      <c r="V182" s="90"/>
      <c r="W182" s="136"/>
      <c r="X182" s="137"/>
      <c r="Y182" s="2"/>
    </row>
    <row r="183" spans="2:25">
      <c r="B183" s="87">
        <f t="shared" si="40"/>
        <v>5</v>
      </c>
      <c r="C183" s="36"/>
      <c r="D183" s="10"/>
      <c r="E183" s="10"/>
      <c r="F183" s="62"/>
      <c r="G183" s="62"/>
      <c r="H183" s="62"/>
      <c r="I183" s="89">
        <f t="shared" si="39"/>
        <v>0</v>
      </c>
      <c r="J183" s="63"/>
      <c r="K183" s="63"/>
      <c r="L183" s="63"/>
      <c r="M183" s="63"/>
      <c r="N183" s="63"/>
      <c r="O183" s="63"/>
      <c r="P183" s="63"/>
      <c r="Q183" s="63"/>
      <c r="R183" s="63"/>
      <c r="S183" s="63"/>
      <c r="T183" s="63"/>
      <c r="U183" s="94"/>
      <c r="V183" s="90"/>
      <c r="W183" s="136"/>
      <c r="X183" s="137"/>
      <c r="Y183" s="2"/>
    </row>
    <row r="184" spans="2:25">
      <c r="B184" s="87">
        <f t="shared" si="40"/>
        <v>6</v>
      </c>
      <c r="C184" s="36"/>
      <c r="D184" s="10"/>
      <c r="E184" s="10"/>
      <c r="F184" s="62"/>
      <c r="G184" s="62"/>
      <c r="H184" s="62"/>
      <c r="I184" s="89">
        <f t="shared" si="39"/>
        <v>0</v>
      </c>
      <c r="J184" s="63"/>
      <c r="K184" s="63"/>
      <c r="L184" s="63"/>
      <c r="M184" s="63"/>
      <c r="N184" s="63"/>
      <c r="O184" s="63"/>
      <c r="P184" s="63"/>
      <c r="Q184" s="63"/>
      <c r="R184" s="63"/>
      <c r="S184" s="63"/>
      <c r="T184" s="63"/>
      <c r="U184" s="94"/>
      <c r="V184" s="90"/>
      <c r="W184" s="136"/>
      <c r="X184" s="137"/>
      <c r="Y184" s="2"/>
    </row>
    <row r="185" spans="2:25">
      <c r="B185" s="87">
        <f t="shared" si="40"/>
        <v>7</v>
      </c>
      <c r="C185" s="36"/>
      <c r="D185" s="10"/>
      <c r="E185" s="10"/>
      <c r="F185" s="62"/>
      <c r="G185" s="62"/>
      <c r="H185" s="62"/>
      <c r="I185" s="89">
        <f t="shared" si="39"/>
        <v>0</v>
      </c>
      <c r="J185" s="63"/>
      <c r="K185" s="63"/>
      <c r="L185" s="63"/>
      <c r="M185" s="63"/>
      <c r="N185" s="63"/>
      <c r="O185" s="63"/>
      <c r="P185" s="63"/>
      <c r="Q185" s="63"/>
      <c r="R185" s="63"/>
      <c r="S185" s="63"/>
      <c r="T185" s="63"/>
      <c r="U185" s="94"/>
      <c r="V185" s="90"/>
      <c r="W185" s="136"/>
      <c r="X185" s="137"/>
      <c r="Y185" s="2"/>
    </row>
    <row r="186" spans="2:25">
      <c r="B186" s="87">
        <f t="shared" si="40"/>
        <v>8</v>
      </c>
      <c r="C186" s="36"/>
      <c r="D186" s="10"/>
      <c r="E186" s="10"/>
      <c r="F186" s="62"/>
      <c r="G186" s="62"/>
      <c r="H186" s="62"/>
      <c r="I186" s="89">
        <f t="shared" si="39"/>
        <v>0</v>
      </c>
      <c r="J186" s="63"/>
      <c r="K186" s="63"/>
      <c r="L186" s="63"/>
      <c r="M186" s="63"/>
      <c r="N186" s="63"/>
      <c r="O186" s="63"/>
      <c r="P186" s="63"/>
      <c r="Q186" s="63"/>
      <c r="R186" s="63"/>
      <c r="S186" s="63"/>
      <c r="T186" s="63"/>
      <c r="U186" s="94"/>
      <c r="V186" s="90"/>
      <c r="W186" s="136"/>
      <c r="X186" s="137"/>
      <c r="Y186" s="2"/>
    </row>
    <row r="187" spans="2:25">
      <c r="B187" s="132"/>
      <c r="C187" s="122"/>
      <c r="D187" s="123"/>
      <c r="E187" s="123"/>
      <c r="F187" s="133">
        <f>SUM(F179:F186)</f>
        <v>0</v>
      </c>
      <c r="G187" s="133">
        <f>SUM(G179:G186)</f>
        <v>0</v>
      </c>
      <c r="H187" s="133">
        <f>SUM(H179:H186)</f>
        <v>0</v>
      </c>
      <c r="I187" s="134">
        <f>SUM(I179:I186)</f>
        <v>0</v>
      </c>
      <c r="J187" s="127"/>
      <c r="K187" s="64"/>
      <c r="L187" s="64"/>
      <c r="M187" s="64"/>
      <c r="N187" s="64"/>
      <c r="O187" s="64"/>
      <c r="P187" s="64"/>
      <c r="Q187" s="64"/>
      <c r="R187" s="64"/>
      <c r="S187" s="64"/>
      <c r="T187" s="127"/>
      <c r="U187" s="135"/>
      <c r="V187" s="129"/>
      <c r="W187" s="130"/>
      <c r="X187" s="131"/>
      <c r="Y187" s="128"/>
    </row>
    <row r="188" spans="2:25">
      <c r="B188" s="11"/>
      <c r="C188" s="36"/>
      <c r="D188" s="10"/>
      <c r="E188" s="10"/>
      <c r="F188" s="88"/>
      <c r="G188" s="88"/>
      <c r="H188" s="88"/>
      <c r="I188" s="99"/>
      <c r="J188" s="63"/>
      <c r="K188" s="21"/>
      <c r="L188" s="21"/>
      <c r="M188" s="21"/>
      <c r="N188" s="21"/>
      <c r="O188" s="21"/>
      <c r="P188" s="21"/>
      <c r="Q188" s="21"/>
      <c r="R188" s="21"/>
      <c r="S188" s="21"/>
      <c r="T188" s="63"/>
      <c r="U188" s="94"/>
      <c r="V188" s="90"/>
      <c r="W188" s="91"/>
      <c r="X188" s="92"/>
      <c r="Y188" s="2"/>
    </row>
    <row r="189" spans="2:25">
      <c r="B189" s="100" t="s">
        <v>72</v>
      </c>
      <c r="C189" s="36"/>
      <c r="D189" s="10"/>
      <c r="E189" s="10"/>
      <c r="F189" s="88"/>
      <c r="G189" s="88"/>
      <c r="H189" s="88"/>
      <c r="I189" s="99"/>
      <c r="J189" s="63"/>
      <c r="K189" s="63"/>
      <c r="L189" s="63"/>
      <c r="M189" s="63"/>
      <c r="N189" s="63"/>
      <c r="O189" s="63"/>
      <c r="P189" s="63"/>
      <c r="Q189" s="63"/>
      <c r="R189" s="63"/>
      <c r="S189" s="63"/>
      <c r="T189" s="63"/>
      <c r="U189" s="10"/>
      <c r="V189" s="90"/>
      <c r="W189" s="91"/>
      <c r="X189" s="92"/>
      <c r="Y189" s="2"/>
    </row>
    <row r="190" spans="2:25">
      <c r="B190" s="87">
        <v>1</v>
      </c>
      <c r="C190" s="36"/>
      <c r="D190" s="10"/>
      <c r="E190" s="10"/>
      <c r="F190" s="62"/>
      <c r="G190" s="62"/>
      <c r="H190" s="62"/>
      <c r="I190" s="89">
        <f t="shared" ref="I190:I207" si="41">F190-G190-H190</f>
        <v>0</v>
      </c>
      <c r="J190" s="63"/>
      <c r="K190" s="63"/>
      <c r="L190" s="63"/>
      <c r="M190" s="63"/>
      <c r="N190" s="63"/>
      <c r="O190" s="63"/>
      <c r="P190" s="63"/>
      <c r="Q190" s="63"/>
      <c r="R190" s="63"/>
      <c r="S190" s="63"/>
      <c r="T190" s="63"/>
      <c r="U190" s="3"/>
      <c r="V190" s="90"/>
      <c r="W190" s="91"/>
      <c r="X190" s="92"/>
      <c r="Y190" s="2"/>
    </row>
    <row r="191" spans="2:25">
      <c r="B191" s="87">
        <f t="shared" ref="B191:B207" si="42">B190+1</f>
        <v>2</v>
      </c>
      <c r="C191" s="36"/>
      <c r="D191" s="10"/>
      <c r="E191" s="10"/>
      <c r="F191" s="62"/>
      <c r="G191" s="62"/>
      <c r="H191" s="62"/>
      <c r="I191" s="89">
        <f t="shared" si="41"/>
        <v>0</v>
      </c>
      <c r="J191" s="63"/>
      <c r="K191" s="63"/>
      <c r="L191" s="63"/>
      <c r="M191" s="63"/>
      <c r="N191" s="63"/>
      <c r="O191" s="63"/>
      <c r="P191" s="63"/>
      <c r="Q191" s="63"/>
      <c r="R191" s="63"/>
      <c r="S191" s="63"/>
      <c r="T191" s="63"/>
      <c r="U191" s="10"/>
      <c r="V191" s="90"/>
      <c r="W191" s="136"/>
      <c r="X191" s="137"/>
      <c r="Y191" s="2"/>
    </row>
    <row r="192" spans="2:25">
      <c r="B192" s="87">
        <f t="shared" si="42"/>
        <v>3</v>
      </c>
      <c r="C192" s="36"/>
      <c r="D192" s="10"/>
      <c r="E192" s="10"/>
      <c r="F192" s="62"/>
      <c r="G192" s="62"/>
      <c r="H192" s="62"/>
      <c r="I192" s="89">
        <f t="shared" si="41"/>
        <v>0</v>
      </c>
      <c r="J192" s="63"/>
      <c r="K192" s="63"/>
      <c r="L192" s="63"/>
      <c r="M192" s="63"/>
      <c r="N192" s="63"/>
      <c r="O192" s="63"/>
      <c r="P192" s="63"/>
      <c r="Q192" s="63"/>
      <c r="R192" s="63"/>
      <c r="S192" s="63"/>
      <c r="T192" s="63"/>
      <c r="U192" s="10"/>
      <c r="V192" s="90"/>
      <c r="W192" s="136"/>
      <c r="X192" s="137"/>
      <c r="Y192" s="2"/>
    </row>
    <row r="193" spans="2:25">
      <c r="B193" s="87">
        <f t="shared" si="42"/>
        <v>4</v>
      </c>
      <c r="C193" s="36"/>
      <c r="D193" s="10"/>
      <c r="E193" s="10"/>
      <c r="F193" s="62"/>
      <c r="G193" s="62"/>
      <c r="H193" s="62"/>
      <c r="I193" s="89">
        <f t="shared" si="41"/>
        <v>0</v>
      </c>
      <c r="J193" s="63"/>
      <c r="K193" s="63"/>
      <c r="L193" s="63"/>
      <c r="M193" s="63"/>
      <c r="N193" s="63"/>
      <c r="O193" s="63"/>
      <c r="P193" s="63"/>
      <c r="Q193" s="63"/>
      <c r="R193" s="63"/>
      <c r="S193" s="63"/>
      <c r="T193" s="63"/>
      <c r="U193" s="10"/>
      <c r="V193" s="90"/>
      <c r="W193" s="136"/>
      <c r="X193" s="137"/>
      <c r="Y193" s="2"/>
    </row>
    <row r="194" spans="2:25">
      <c r="B194" s="87">
        <f t="shared" si="42"/>
        <v>5</v>
      </c>
      <c r="C194" s="36"/>
      <c r="D194" s="10"/>
      <c r="E194" s="10"/>
      <c r="F194" s="62"/>
      <c r="G194" s="62"/>
      <c r="H194" s="62"/>
      <c r="I194" s="89">
        <f t="shared" si="41"/>
        <v>0</v>
      </c>
      <c r="J194" s="63"/>
      <c r="K194" s="63"/>
      <c r="L194" s="63"/>
      <c r="M194" s="63"/>
      <c r="N194" s="63"/>
      <c r="O194" s="63"/>
      <c r="P194" s="63"/>
      <c r="Q194" s="63"/>
      <c r="R194" s="63"/>
      <c r="S194" s="63"/>
      <c r="T194" s="63"/>
      <c r="U194" s="10"/>
      <c r="V194" s="90"/>
      <c r="W194" s="136"/>
      <c r="X194" s="137"/>
      <c r="Y194" s="2"/>
    </row>
    <row r="195" spans="2:25">
      <c r="B195" s="87">
        <f t="shared" si="42"/>
        <v>6</v>
      </c>
      <c r="C195" s="36"/>
      <c r="D195" s="10"/>
      <c r="E195" s="101"/>
      <c r="F195" s="62"/>
      <c r="G195" s="62"/>
      <c r="H195" s="62"/>
      <c r="I195" s="89">
        <f t="shared" si="41"/>
        <v>0</v>
      </c>
      <c r="J195" s="63"/>
      <c r="K195" s="63"/>
      <c r="L195" s="63"/>
      <c r="M195" s="63"/>
      <c r="N195" s="63"/>
      <c r="O195" s="63"/>
      <c r="P195" s="63"/>
      <c r="Q195" s="63"/>
      <c r="R195" s="63"/>
      <c r="S195" s="63"/>
      <c r="T195" s="63"/>
      <c r="U195" s="10"/>
      <c r="V195" s="90"/>
      <c r="W195" s="136"/>
      <c r="X195" s="137"/>
      <c r="Y195" s="2"/>
    </row>
    <row r="196" spans="2:25">
      <c r="B196" s="87">
        <f t="shared" si="42"/>
        <v>7</v>
      </c>
      <c r="C196" s="36"/>
      <c r="D196" s="10"/>
      <c r="E196" s="101"/>
      <c r="F196" s="62"/>
      <c r="G196" s="62"/>
      <c r="H196" s="62"/>
      <c r="I196" s="89">
        <f t="shared" si="41"/>
        <v>0</v>
      </c>
      <c r="J196" s="63"/>
      <c r="K196" s="63"/>
      <c r="L196" s="63"/>
      <c r="M196" s="63"/>
      <c r="N196" s="63"/>
      <c r="O196" s="63"/>
      <c r="P196" s="63"/>
      <c r="Q196" s="63"/>
      <c r="R196" s="63"/>
      <c r="S196" s="63"/>
      <c r="T196" s="63"/>
      <c r="U196" s="10"/>
      <c r="V196" s="90"/>
      <c r="W196" s="136"/>
      <c r="X196" s="137"/>
      <c r="Y196" s="2"/>
    </row>
    <row r="197" spans="2:25">
      <c r="B197" s="87">
        <f t="shared" si="42"/>
        <v>8</v>
      </c>
      <c r="C197" s="36"/>
      <c r="D197" s="10"/>
      <c r="E197" s="101"/>
      <c r="F197" s="62"/>
      <c r="G197" s="62"/>
      <c r="H197" s="62"/>
      <c r="I197" s="89">
        <f t="shared" si="41"/>
        <v>0</v>
      </c>
      <c r="J197" s="63"/>
      <c r="K197" s="63"/>
      <c r="L197" s="63"/>
      <c r="M197" s="63"/>
      <c r="N197" s="63"/>
      <c r="O197" s="63"/>
      <c r="P197" s="63"/>
      <c r="Q197" s="63"/>
      <c r="R197" s="63"/>
      <c r="S197" s="63"/>
      <c r="T197" s="63"/>
      <c r="U197" s="10"/>
      <c r="V197" s="90"/>
      <c r="W197" s="136"/>
      <c r="X197" s="137"/>
      <c r="Y197" s="2"/>
    </row>
    <row r="198" spans="2:25">
      <c r="B198" s="87">
        <f t="shared" si="42"/>
        <v>9</v>
      </c>
      <c r="C198" s="36"/>
      <c r="D198" s="10"/>
      <c r="E198" s="101"/>
      <c r="F198" s="62"/>
      <c r="G198" s="62"/>
      <c r="H198" s="62"/>
      <c r="I198" s="89">
        <f t="shared" si="41"/>
        <v>0</v>
      </c>
      <c r="J198" s="63"/>
      <c r="K198" s="63"/>
      <c r="L198" s="63"/>
      <c r="M198" s="63"/>
      <c r="N198" s="63"/>
      <c r="O198" s="63"/>
      <c r="P198" s="63"/>
      <c r="Q198" s="63"/>
      <c r="R198" s="63"/>
      <c r="S198" s="63"/>
      <c r="T198" s="63"/>
      <c r="U198" s="10"/>
      <c r="V198" s="90"/>
      <c r="W198" s="136"/>
      <c r="X198" s="137"/>
      <c r="Y198" s="2"/>
    </row>
    <row r="199" spans="2:25">
      <c r="B199" s="87">
        <f t="shared" si="42"/>
        <v>10</v>
      </c>
      <c r="C199" s="36"/>
      <c r="D199" s="10"/>
      <c r="E199" s="101"/>
      <c r="F199" s="62"/>
      <c r="G199" s="62"/>
      <c r="H199" s="62"/>
      <c r="I199" s="89">
        <f t="shared" si="41"/>
        <v>0</v>
      </c>
      <c r="J199" s="63"/>
      <c r="K199" s="63"/>
      <c r="L199" s="63"/>
      <c r="M199" s="63"/>
      <c r="N199" s="63"/>
      <c r="O199" s="63"/>
      <c r="P199" s="63"/>
      <c r="Q199" s="63"/>
      <c r="R199" s="63"/>
      <c r="S199" s="63"/>
      <c r="T199" s="63"/>
      <c r="U199" s="10"/>
      <c r="V199" s="90"/>
      <c r="W199" s="136"/>
      <c r="X199" s="137"/>
      <c r="Y199" s="2"/>
    </row>
    <row r="200" spans="2:25">
      <c r="B200" s="87">
        <f t="shared" si="42"/>
        <v>11</v>
      </c>
      <c r="C200" s="36"/>
      <c r="D200" s="10"/>
      <c r="E200" s="101"/>
      <c r="F200" s="62"/>
      <c r="G200" s="62"/>
      <c r="H200" s="62"/>
      <c r="I200" s="89">
        <f t="shared" si="41"/>
        <v>0</v>
      </c>
      <c r="J200" s="63"/>
      <c r="K200" s="63"/>
      <c r="L200" s="63"/>
      <c r="M200" s="63"/>
      <c r="N200" s="63"/>
      <c r="O200" s="63"/>
      <c r="P200" s="63"/>
      <c r="Q200" s="63"/>
      <c r="R200" s="63"/>
      <c r="S200" s="63"/>
      <c r="T200" s="63"/>
      <c r="U200" s="10"/>
      <c r="V200" s="90"/>
      <c r="W200" s="136"/>
      <c r="X200" s="137"/>
      <c r="Y200" s="2"/>
    </row>
    <row r="201" spans="2:25">
      <c r="B201" s="87">
        <f t="shared" si="42"/>
        <v>12</v>
      </c>
      <c r="C201" s="36"/>
      <c r="D201" s="10"/>
      <c r="E201" s="101"/>
      <c r="F201" s="62"/>
      <c r="G201" s="62"/>
      <c r="H201" s="62"/>
      <c r="I201" s="89">
        <f t="shared" si="41"/>
        <v>0</v>
      </c>
      <c r="J201" s="63"/>
      <c r="K201" s="63"/>
      <c r="L201" s="63"/>
      <c r="M201" s="63"/>
      <c r="N201" s="63"/>
      <c r="O201" s="63"/>
      <c r="P201" s="63"/>
      <c r="Q201" s="63"/>
      <c r="R201" s="63"/>
      <c r="S201" s="63"/>
      <c r="T201" s="63"/>
      <c r="U201" s="10"/>
      <c r="V201" s="90"/>
      <c r="W201" s="136"/>
      <c r="X201" s="137"/>
      <c r="Y201" s="2"/>
    </row>
    <row r="202" spans="2:25">
      <c r="B202" s="87">
        <f t="shared" si="42"/>
        <v>13</v>
      </c>
      <c r="C202" s="36"/>
      <c r="D202" s="10"/>
      <c r="E202" s="101"/>
      <c r="F202" s="62"/>
      <c r="G202" s="62"/>
      <c r="H202" s="62"/>
      <c r="I202" s="89">
        <f t="shared" si="41"/>
        <v>0</v>
      </c>
      <c r="J202" s="63"/>
      <c r="K202" s="63"/>
      <c r="L202" s="63"/>
      <c r="M202" s="63"/>
      <c r="N202" s="63"/>
      <c r="O202" s="63"/>
      <c r="P202" s="63"/>
      <c r="Q202" s="63"/>
      <c r="R202" s="63"/>
      <c r="S202" s="63"/>
      <c r="T202" s="63"/>
      <c r="U202" s="10"/>
      <c r="V202" s="90"/>
      <c r="W202" s="136"/>
      <c r="X202" s="137"/>
      <c r="Y202" s="2"/>
    </row>
    <row r="203" spans="2:25">
      <c r="B203" s="87">
        <f t="shared" si="42"/>
        <v>14</v>
      </c>
      <c r="C203" s="36"/>
      <c r="D203" s="10"/>
      <c r="E203" s="10"/>
      <c r="F203" s="62"/>
      <c r="G203" s="62"/>
      <c r="H203" s="62"/>
      <c r="I203" s="89">
        <f t="shared" si="41"/>
        <v>0</v>
      </c>
      <c r="J203" s="63"/>
      <c r="K203" s="63"/>
      <c r="L203" s="63"/>
      <c r="M203" s="63"/>
      <c r="N203" s="63"/>
      <c r="O203" s="63"/>
      <c r="P203" s="63"/>
      <c r="Q203" s="63"/>
      <c r="R203" s="63"/>
      <c r="S203" s="63"/>
      <c r="T203" s="63"/>
      <c r="U203" s="10"/>
      <c r="V203" s="90"/>
      <c r="W203" s="136"/>
      <c r="X203" s="137"/>
      <c r="Y203" s="2"/>
    </row>
    <row r="204" spans="2:25">
      <c r="B204" s="87">
        <f t="shared" si="42"/>
        <v>15</v>
      </c>
      <c r="C204" s="36"/>
      <c r="D204" s="10"/>
      <c r="E204" s="10"/>
      <c r="F204" s="62"/>
      <c r="G204" s="62"/>
      <c r="H204" s="62"/>
      <c r="I204" s="89">
        <f t="shared" si="41"/>
        <v>0</v>
      </c>
      <c r="J204" s="63"/>
      <c r="K204" s="63"/>
      <c r="L204" s="63"/>
      <c r="M204" s="63"/>
      <c r="N204" s="63"/>
      <c r="O204" s="63"/>
      <c r="P204" s="63"/>
      <c r="Q204" s="63"/>
      <c r="R204" s="63"/>
      <c r="S204" s="63"/>
      <c r="T204" s="63"/>
      <c r="U204" s="10"/>
      <c r="V204" s="90"/>
      <c r="W204" s="136"/>
      <c r="X204" s="137"/>
      <c r="Y204" s="2"/>
    </row>
    <row r="205" spans="2:25">
      <c r="B205" s="87">
        <f t="shared" si="42"/>
        <v>16</v>
      </c>
      <c r="C205" s="36"/>
      <c r="D205" s="10"/>
      <c r="E205" s="10"/>
      <c r="F205" s="62"/>
      <c r="G205" s="62"/>
      <c r="H205" s="62"/>
      <c r="I205" s="89">
        <f t="shared" si="41"/>
        <v>0</v>
      </c>
      <c r="J205" s="63"/>
      <c r="K205" s="63"/>
      <c r="L205" s="63"/>
      <c r="M205" s="63"/>
      <c r="N205" s="63"/>
      <c r="O205" s="63"/>
      <c r="P205" s="63"/>
      <c r="Q205" s="63"/>
      <c r="R205" s="63"/>
      <c r="S205" s="63"/>
      <c r="T205" s="63"/>
      <c r="U205" s="10"/>
      <c r="V205" s="90"/>
      <c r="W205" s="136"/>
      <c r="X205" s="137"/>
      <c r="Y205" s="2"/>
    </row>
    <row r="206" spans="2:25">
      <c r="B206" s="87">
        <f t="shared" si="42"/>
        <v>17</v>
      </c>
      <c r="C206" s="36"/>
      <c r="D206" s="10"/>
      <c r="E206" s="10"/>
      <c r="F206" s="62"/>
      <c r="G206" s="62"/>
      <c r="H206" s="62"/>
      <c r="I206" s="89">
        <f t="shared" si="41"/>
        <v>0</v>
      </c>
      <c r="J206" s="63"/>
      <c r="K206" s="63"/>
      <c r="L206" s="63"/>
      <c r="M206" s="63"/>
      <c r="N206" s="63"/>
      <c r="O206" s="63"/>
      <c r="P206" s="63"/>
      <c r="Q206" s="63"/>
      <c r="R206" s="63"/>
      <c r="S206" s="63"/>
      <c r="T206" s="63"/>
      <c r="U206" s="10"/>
      <c r="V206" s="90"/>
      <c r="W206" s="136"/>
      <c r="X206" s="137"/>
      <c r="Y206" s="2"/>
    </row>
    <row r="207" spans="2:25">
      <c r="B207" s="87">
        <f t="shared" si="42"/>
        <v>18</v>
      </c>
      <c r="C207" s="36"/>
      <c r="D207" s="10"/>
      <c r="E207" s="10"/>
      <c r="F207" s="62"/>
      <c r="G207" s="62"/>
      <c r="H207" s="62"/>
      <c r="I207" s="89">
        <f t="shared" si="41"/>
        <v>0</v>
      </c>
      <c r="J207" s="63"/>
      <c r="K207" s="63"/>
      <c r="L207" s="63"/>
      <c r="M207" s="63"/>
      <c r="N207" s="63"/>
      <c r="O207" s="63"/>
      <c r="P207" s="63"/>
      <c r="Q207" s="63"/>
      <c r="R207" s="63"/>
      <c r="S207" s="63"/>
      <c r="T207" s="63"/>
      <c r="U207" s="10"/>
      <c r="V207" s="90"/>
      <c r="W207" s="136"/>
      <c r="X207" s="137"/>
      <c r="Y207" s="2"/>
    </row>
    <row r="208" spans="2:25">
      <c r="B208" s="11"/>
      <c r="C208" s="36"/>
      <c r="D208" s="10"/>
      <c r="E208" s="10"/>
      <c r="F208" s="97">
        <f>SUM(F190:F207)</f>
        <v>0</v>
      </c>
      <c r="G208" s="97">
        <f>SUM(G190:G207)</f>
        <v>0</v>
      </c>
      <c r="H208" s="97">
        <f>SUM(H190:H207)</f>
        <v>0</v>
      </c>
      <c r="I208" s="98">
        <f>SUM(I190:I207)</f>
        <v>0</v>
      </c>
      <c r="J208" s="10"/>
      <c r="K208" s="10"/>
      <c r="L208" s="10"/>
      <c r="M208" s="10"/>
      <c r="N208" s="10"/>
      <c r="O208" s="10"/>
      <c r="P208" s="10"/>
      <c r="Q208" s="10"/>
      <c r="R208" s="10"/>
      <c r="S208" s="10"/>
      <c r="T208" s="63"/>
      <c r="U208" s="10"/>
      <c r="V208" s="138"/>
      <c r="W208" s="136"/>
      <c r="X208" s="137"/>
      <c r="Y208" s="2"/>
    </row>
    <row r="209" spans="2:25">
      <c r="B209" s="11"/>
      <c r="C209" s="36"/>
      <c r="D209" s="10"/>
      <c r="E209" s="10"/>
      <c r="F209" s="88"/>
      <c r="G209" s="88"/>
      <c r="H209" s="88"/>
      <c r="I209" s="99"/>
      <c r="J209" s="10"/>
      <c r="K209" s="10"/>
      <c r="L209" s="10"/>
      <c r="M209" s="10"/>
      <c r="N209" s="10"/>
      <c r="O209" s="10"/>
      <c r="P209" s="10"/>
      <c r="Q209" s="10"/>
      <c r="R209" s="10"/>
      <c r="S209" s="10"/>
      <c r="T209" s="63"/>
      <c r="U209" s="10"/>
      <c r="V209" s="138"/>
      <c r="W209" s="136"/>
      <c r="X209" s="137"/>
      <c r="Y209" s="2"/>
    </row>
    <row r="210" spans="2:25">
      <c r="B210" s="100" t="s">
        <v>73</v>
      </c>
      <c r="C210" s="36"/>
      <c r="D210" s="10"/>
      <c r="E210" s="10"/>
      <c r="F210" s="88"/>
      <c r="G210" s="88"/>
      <c r="H210" s="88"/>
      <c r="I210" s="99"/>
      <c r="J210" s="63"/>
      <c r="K210" s="63"/>
      <c r="L210" s="63"/>
      <c r="M210" s="63"/>
      <c r="N210" s="63"/>
      <c r="O210" s="63"/>
      <c r="P210" s="63"/>
      <c r="Q210" s="63"/>
      <c r="R210" s="63"/>
      <c r="S210" s="63"/>
      <c r="T210" s="63"/>
      <c r="U210" s="94"/>
      <c r="V210" s="90"/>
      <c r="W210" s="91"/>
      <c r="X210" s="92"/>
      <c r="Y210" s="2"/>
    </row>
    <row r="211" spans="2:25">
      <c r="B211" s="87">
        <v>1</v>
      </c>
      <c r="C211" s="36"/>
      <c r="D211" s="10"/>
      <c r="E211" s="10"/>
      <c r="F211" s="62"/>
      <c r="G211" s="62"/>
      <c r="H211" s="62"/>
      <c r="I211" s="89">
        <f t="shared" ref="I211:I216" si="43">F211-G211-H211</f>
        <v>0</v>
      </c>
      <c r="J211" s="63"/>
      <c r="K211" s="63"/>
      <c r="L211" s="63"/>
      <c r="M211" s="63"/>
      <c r="N211" s="63"/>
      <c r="O211" s="63"/>
      <c r="P211" s="63"/>
      <c r="Q211" s="63"/>
      <c r="R211" s="63"/>
      <c r="S211" s="63"/>
      <c r="T211" s="63"/>
      <c r="U211" s="139"/>
      <c r="V211" s="90"/>
      <c r="W211" s="91"/>
      <c r="X211" s="92"/>
      <c r="Y211" s="2"/>
    </row>
    <row r="212" spans="2:25">
      <c r="B212" s="87">
        <f>B211+1</f>
        <v>2</v>
      </c>
      <c r="C212" s="36"/>
      <c r="D212" s="10"/>
      <c r="E212" s="10"/>
      <c r="F212" s="62"/>
      <c r="G212" s="62"/>
      <c r="H212" s="62"/>
      <c r="I212" s="89">
        <f t="shared" si="43"/>
        <v>0</v>
      </c>
      <c r="J212" s="63"/>
      <c r="K212" s="63"/>
      <c r="L212" s="63"/>
      <c r="M212" s="63"/>
      <c r="N212" s="63"/>
      <c r="O212" s="63"/>
      <c r="P212" s="63"/>
      <c r="Q212" s="63"/>
      <c r="R212" s="63"/>
      <c r="S212" s="63"/>
      <c r="T212" s="63"/>
      <c r="U212" s="94"/>
      <c r="V212" s="90"/>
      <c r="W212" s="136"/>
      <c r="X212" s="137"/>
      <c r="Y212" s="2"/>
    </row>
    <row r="213" spans="2:25">
      <c r="B213" s="87">
        <f>B212+1</f>
        <v>3</v>
      </c>
      <c r="C213" s="36"/>
      <c r="D213" s="10"/>
      <c r="E213" s="10"/>
      <c r="F213" s="62"/>
      <c r="G213" s="62"/>
      <c r="H213" s="62"/>
      <c r="I213" s="89">
        <f t="shared" si="43"/>
        <v>0</v>
      </c>
      <c r="J213" s="63"/>
      <c r="K213" s="63"/>
      <c r="L213" s="63"/>
      <c r="M213" s="63"/>
      <c r="N213" s="63"/>
      <c r="O213" s="63"/>
      <c r="P213" s="63"/>
      <c r="Q213" s="63"/>
      <c r="R213" s="63"/>
      <c r="S213" s="63"/>
      <c r="T213" s="63"/>
      <c r="U213" s="94"/>
      <c r="V213" s="90"/>
      <c r="W213" s="136"/>
      <c r="X213" s="137"/>
      <c r="Y213" s="2"/>
    </row>
    <row r="214" spans="2:25">
      <c r="B214" s="87">
        <f>B213+1</f>
        <v>4</v>
      </c>
      <c r="C214" s="36"/>
      <c r="D214" s="10"/>
      <c r="E214" s="10"/>
      <c r="F214" s="62"/>
      <c r="G214" s="62"/>
      <c r="H214" s="62"/>
      <c r="I214" s="89">
        <f t="shared" si="43"/>
        <v>0</v>
      </c>
      <c r="J214" s="63"/>
      <c r="K214" s="63"/>
      <c r="L214" s="63"/>
      <c r="M214" s="63"/>
      <c r="N214" s="63"/>
      <c r="O214" s="63"/>
      <c r="P214" s="63"/>
      <c r="Q214" s="63"/>
      <c r="R214" s="63"/>
      <c r="S214" s="63"/>
      <c r="T214" s="63"/>
      <c r="U214" s="94"/>
      <c r="V214" s="90"/>
      <c r="W214" s="136"/>
      <c r="X214" s="137"/>
      <c r="Y214" s="2"/>
    </row>
    <row r="215" spans="2:25">
      <c r="B215" s="87">
        <f>B214+1</f>
        <v>5</v>
      </c>
      <c r="C215" s="36"/>
      <c r="D215" s="10"/>
      <c r="E215" s="10"/>
      <c r="F215" s="62"/>
      <c r="G215" s="62"/>
      <c r="H215" s="62"/>
      <c r="I215" s="89">
        <f t="shared" si="43"/>
        <v>0</v>
      </c>
      <c r="J215" s="63"/>
      <c r="K215" s="63"/>
      <c r="L215" s="63"/>
      <c r="M215" s="63"/>
      <c r="N215" s="63"/>
      <c r="O215" s="63"/>
      <c r="P215" s="63"/>
      <c r="Q215" s="63"/>
      <c r="R215" s="63"/>
      <c r="S215" s="63"/>
      <c r="T215" s="63"/>
      <c r="U215" s="94"/>
      <c r="V215" s="90"/>
      <c r="W215" s="136"/>
      <c r="X215" s="137"/>
      <c r="Y215" s="2"/>
    </row>
    <row r="216" spans="2:25">
      <c r="B216" s="87">
        <f>B215+1</f>
        <v>6</v>
      </c>
      <c r="C216" s="36"/>
      <c r="D216" s="10"/>
      <c r="E216" s="101"/>
      <c r="F216" s="62"/>
      <c r="G216" s="62"/>
      <c r="H216" s="62"/>
      <c r="I216" s="89">
        <f t="shared" si="43"/>
        <v>0</v>
      </c>
      <c r="J216" s="63"/>
      <c r="K216" s="63"/>
      <c r="L216" s="63"/>
      <c r="M216" s="63"/>
      <c r="N216" s="63"/>
      <c r="O216" s="63"/>
      <c r="P216" s="63"/>
      <c r="Q216" s="63"/>
      <c r="R216" s="63"/>
      <c r="S216" s="63"/>
      <c r="T216" s="63"/>
      <c r="U216" s="94"/>
      <c r="V216" s="90"/>
      <c r="W216" s="136"/>
      <c r="X216" s="137"/>
      <c r="Y216" s="2"/>
    </row>
    <row r="217" spans="2:25">
      <c r="B217" s="11"/>
      <c r="C217" s="36"/>
      <c r="D217" s="10"/>
      <c r="E217" s="10"/>
      <c r="F217" s="97">
        <f>SUM(F211:F216)</f>
        <v>0</v>
      </c>
      <c r="G217" s="97">
        <f>SUM(G211:G216)</f>
        <v>0</v>
      </c>
      <c r="H217" s="97">
        <f>SUM(H211:H216)</f>
        <v>0</v>
      </c>
      <c r="I217" s="98">
        <f>SUM(I211:I216)</f>
        <v>0</v>
      </c>
      <c r="J217" s="10"/>
      <c r="K217" s="10"/>
      <c r="L217" s="10"/>
      <c r="M217" s="10"/>
      <c r="N217" s="10"/>
      <c r="O217" s="10"/>
      <c r="P217" s="10"/>
      <c r="Q217" s="10"/>
      <c r="R217" s="10"/>
      <c r="S217" s="10"/>
      <c r="T217" s="63"/>
      <c r="U217" s="94"/>
      <c r="V217" s="90"/>
      <c r="W217" s="91"/>
      <c r="X217" s="92"/>
      <c r="Y217" s="2"/>
    </row>
    <row r="218" spans="2:25">
      <c r="B218" s="26"/>
      <c r="C218" s="140"/>
      <c r="D218" s="141"/>
      <c r="E218" s="141"/>
      <c r="F218" s="141"/>
      <c r="G218" s="141"/>
      <c r="H218" s="141"/>
      <c r="I218" s="141"/>
      <c r="J218" s="141"/>
      <c r="K218" s="142"/>
      <c r="L218" s="142"/>
      <c r="M218" s="142"/>
      <c r="N218" s="142"/>
      <c r="O218" s="142"/>
      <c r="P218" s="142"/>
      <c r="Q218" s="142"/>
      <c r="R218" s="142"/>
      <c r="S218" s="142"/>
      <c r="T218" s="143">
        <f>SUM(T104:T217)</f>
        <v>0</v>
      </c>
      <c r="U218" s="141"/>
      <c r="V218" s="144">
        <f>SUM(V103:V217)</f>
        <v>0</v>
      </c>
      <c r="W218" s="145">
        <f>SUM(W104:W217)</f>
        <v>0</v>
      </c>
      <c r="X218" s="146">
        <f>SUM(X104:X217)</f>
        <v>0</v>
      </c>
      <c r="Y218" s="2"/>
    </row>
    <row r="219" spans="2:25">
      <c r="B219" s="10"/>
      <c r="C219" s="36"/>
      <c r="D219" s="10"/>
      <c r="E219" s="10"/>
      <c r="F219" s="10"/>
      <c r="G219" s="10"/>
      <c r="H219" s="10"/>
      <c r="I219" s="10"/>
      <c r="J219" s="10"/>
      <c r="K219" s="147"/>
      <c r="L219" s="147"/>
      <c r="M219" s="147"/>
      <c r="N219" s="147"/>
      <c r="O219" s="147"/>
      <c r="P219" s="147"/>
      <c r="Q219" s="147"/>
      <c r="R219" s="147"/>
      <c r="S219" s="147"/>
      <c r="T219" s="21"/>
      <c r="U219" s="10"/>
      <c r="V219" s="99"/>
      <c r="W219" s="99"/>
      <c r="X219" s="99"/>
      <c r="Y219" s="2"/>
    </row>
  </sheetData>
  <mergeCells count="3">
    <mergeCell ref="K17:Q17"/>
    <mergeCell ref="K55:Q55"/>
    <mergeCell ref="K92:Q92"/>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89C26-C101-4EF7-9A41-CCE8CE3DEBF8}">
  <sheetPr>
    <tabColor theme="2" tint="-0.249977111117893"/>
  </sheetPr>
  <dimension ref="A2:AC1203"/>
  <sheetViews>
    <sheetView topLeftCell="A1164" workbookViewId="0">
      <selection activeCell="S1193" sqref="S1193"/>
    </sheetView>
  </sheetViews>
  <sheetFormatPr defaultRowHeight="15"/>
  <cols>
    <col min="1" max="1" width="10.140625" customWidth="1"/>
    <col min="3" max="3" width="11.42578125" customWidth="1"/>
    <col min="4" max="4" width="13.85546875" bestFit="1" customWidth="1"/>
    <col min="5" max="5" width="23" customWidth="1"/>
    <col min="6" max="6" width="12" customWidth="1"/>
    <col min="7" max="7" width="11.42578125" customWidth="1"/>
    <col min="8" max="8" width="9.5703125" customWidth="1"/>
    <col min="9" max="9" width="11.7109375" customWidth="1"/>
    <col min="11" max="11" width="10.42578125" customWidth="1"/>
    <col min="12" max="12" width="10.5703125" customWidth="1"/>
    <col min="13" max="13" width="10.7109375" customWidth="1"/>
    <col min="14" max="14" width="10.85546875" customWidth="1"/>
    <col min="15" max="15" width="10.7109375" customWidth="1"/>
    <col min="16" max="16" width="10.28515625" customWidth="1"/>
    <col min="18" max="18" width="10.140625" customWidth="1"/>
    <col min="21" max="21" width="9.7109375" customWidth="1"/>
    <col min="22" max="22" width="12.28515625" customWidth="1"/>
    <col min="23" max="23" width="9.28515625" bestFit="1" customWidth="1"/>
    <col min="24" max="24" width="10" customWidth="1"/>
  </cols>
  <sheetData>
    <row r="2" spans="2:24">
      <c r="B2" s="4" t="s">
        <v>1</v>
      </c>
      <c r="C2" s="5"/>
      <c r="D2" s="6"/>
      <c r="E2" s="6"/>
      <c r="F2" s="7" t="s">
        <v>2</v>
      </c>
      <c r="G2" s="8">
        <v>45844</v>
      </c>
      <c r="H2" s="7"/>
      <c r="I2" s="6"/>
      <c r="J2" s="6"/>
      <c r="K2" s="6"/>
      <c r="L2" s="6"/>
      <c r="M2" s="6"/>
      <c r="N2" s="6"/>
      <c r="O2" s="6"/>
      <c r="P2" s="6"/>
      <c r="Q2" s="6"/>
      <c r="R2" s="6"/>
      <c r="S2" s="6"/>
      <c r="T2" s="6"/>
      <c r="U2" s="9"/>
      <c r="V2" s="10"/>
      <c r="W2" s="10"/>
      <c r="X2" s="10"/>
    </row>
    <row r="3" spans="2:24">
      <c r="B3" s="11"/>
      <c r="C3" s="10"/>
      <c r="D3" s="10"/>
      <c r="E3" s="10"/>
      <c r="F3" s="10"/>
      <c r="G3" s="7"/>
      <c r="H3" s="12"/>
      <c r="I3" s="10"/>
      <c r="J3" s="10"/>
      <c r="K3" s="13" t="s">
        <v>3</v>
      </c>
      <c r="L3" s="14"/>
      <c r="M3" s="15"/>
      <c r="N3" s="13" t="s">
        <v>4</v>
      </c>
      <c r="O3" s="14"/>
      <c r="P3" s="15"/>
      <c r="Q3" s="13" t="s">
        <v>5</v>
      </c>
      <c r="R3" s="14"/>
      <c r="S3" s="15"/>
      <c r="T3" s="16"/>
      <c r="U3" s="17"/>
      <c r="V3" s="10"/>
      <c r="W3" s="10"/>
      <c r="X3" s="10"/>
    </row>
    <row r="4" spans="2:24">
      <c r="B4" s="18" t="s">
        <v>6</v>
      </c>
      <c r="C4" s="19">
        <f>C5+C6</f>
        <v>1</v>
      </c>
      <c r="D4" s="10"/>
      <c r="E4" s="18" t="s">
        <v>7</v>
      </c>
      <c r="F4" s="6"/>
      <c r="G4" s="9"/>
      <c r="H4" s="10"/>
      <c r="I4" s="10"/>
      <c r="J4" s="10"/>
      <c r="K4" s="20" t="s">
        <v>8</v>
      </c>
      <c r="L4" s="21" t="s">
        <v>9</v>
      </c>
      <c r="M4" s="21" t="s">
        <v>10</v>
      </c>
      <c r="N4" s="20" t="s">
        <v>11</v>
      </c>
      <c r="O4" s="21" t="s">
        <v>12</v>
      </c>
      <c r="P4" s="22" t="s">
        <v>13</v>
      </c>
      <c r="Q4" s="21" t="s">
        <v>11</v>
      </c>
      <c r="R4" s="21" t="s">
        <v>12</v>
      </c>
      <c r="S4" s="22" t="s">
        <v>13</v>
      </c>
      <c r="T4" s="23" t="s">
        <v>14</v>
      </c>
      <c r="U4" s="17"/>
      <c r="V4" s="10"/>
      <c r="W4" s="10"/>
      <c r="X4" s="10"/>
    </row>
    <row r="5" spans="2:24">
      <c r="B5" s="24" t="s">
        <v>15</v>
      </c>
      <c r="C5" s="25">
        <f>P12</f>
        <v>1</v>
      </c>
      <c r="D5" s="10"/>
      <c r="E5" s="26" t="s">
        <v>16</v>
      </c>
      <c r="F5" s="27">
        <v>0.05</v>
      </c>
      <c r="G5" s="28"/>
      <c r="H5" s="10"/>
      <c r="I5" s="10"/>
      <c r="J5" s="18" t="s">
        <v>17</v>
      </c>
      <c r="K5" s="29">
        <f>K31</f>
        <v>1</v>
      </c>
      <c r="L5" s="29">
        <f t="shared" ref="L5:S5" si="0">L31</f>
        <v>1</v>
      </c>
      <c r="M5" s="29">
        <f t="shared" si="0"/>
        <v>1</v>
      </c>
      <c r="N5" s="29">
        <f t="shared" si="0"/>
        <v>1</v>
      </c>
      <c r="O5" s="29">
        <f t="shared" si="0"/>
        <v>1</v>
      </c>
      <c r="P5" s="29">
        <f t="shared" si="0"/>
        <v>1</v>
      </c>
      <c r="Q5" s="29">
        <f t="shared" si="0"/>
        <v>1</v>
      </c>
      <c r="R5" s="29">
        <f t="shared" si="0"/>
        <v>1</v>
      </c>
      <c r="S5" s="29">
        <f t="shared" si="0"/>
        <v>1</v>
      </c>
      <c r="T5" s="30">
        <f>T32</f>
        <v>0</v>
      </c>
      <c r="U5" s="17"/>
      <c r="V5" s="10"/>
      <c r="W5" s="10"/>
      <c r="X5" s="10"/>
    </row>
    <row r="6" spans="2:24">
      <c r="B6" s="24" t="s">
        <v>18</v>
      </c>
      <c r="C6" s="25">
        <f>P13</f>
        <v>0</v>
      </c>
      <c r="D6" s="10"/>
      <c r="E6" s="10"/>
      <c r="F6" s="10"/>
      <c r="G6" s="31"/>
      <c r="H6" s="10"/>
      <c r="I6" s="10"/>
      <c r="J6" s="32" t="s">
        <v>19</v>
      </c>
      <c r="K6" s="33">
        <f>K31/K30</f>
        <v>1</v>
      </c>
      <c r="L6" s="33">
        <f t="shared" ref="L6:S6" si="1">L31/L30</f>
        <v>1</v>
      </c>
      <c r="M6" s="33">
        <f t="shared" si="1"/>
        <v>1</v>
      </c>
      <c r="N6" s="33">
        <f t="shared" si="1"/>
        <v>1</v>
      </c>
      <c r="O6" s="33">
        <f t="shared" si="1"/>
        <v>1</v>
      </c>
      <c r="P6" s="33">
        <f t="shared" si="1"/>
        <v>1</v>
      </c>
      <c r="Q6" s="33">
        <f t="shared" si="1"/>
        <v>1</v>
      </c>
      <c r="R6" s="33">
        <f t="shared" si="1"/>
        <v>1</v>
      </c>
      <c r="S6" s="33">
        <f t="shared" si="1"/>
        <v>1</v>
      </c>
      <c r="T6" s="23"/>
      <c r="U6" s="17" t="s">
        <v>20</v>
      </c>
      <c r="V6" s="10"/>
      <c r="W6" s="10"/>
      <c r="X6" s="10"/>
    </row>
    <row r="7" spans="2:24">
      <c r="B7" s="24" t="s">
        <v>21</v>
      </c>
      <c r="C7" s="34">
        <f>P14</f>
        <v>1</v>
      </c>
      <c r="D7" s="10"/>
      <c r="E7" s="10"/>
      <c r="F7" s="10"/>
      <c r="G7" s="10"/>
      <c r="H7" s="10"/>
      <c r="I7" s="10"/>
      <c r="J7" s="10"/>
      <c r="K7" s="10"/>
      <c r="L7" s="10"/>
      <c r="M7" s="10"/>
      <c r="N7" s="10"/>
      <c r="O7" s="10"/>
      <c r="P7" s="10"/>
      <c r="Q7" s="10"/>
      <c r="R7" s="10"/>
      <c r="S7" s="10"/>
      <c r="T7" s="10"/>
      <c r="U7" s="17"/>
      <c r="V7" s="10"/>
      <c r="W7" s="10"/>
      <c r="X7" s="10"/>
    </row>
    <row r="8" spans="2:24">
      <c r="B8" s="24"/>
      <c r="C8" s="25"/>
      <c r="D8" s="10"/>
      <c r="E8" s="10"/>
      <c r="F8" s="18" t="s">
        <v>22</v>
      </c>
      <c r="G8" s="19" t="s">
        <v>23</v>
      </c>
      <c r="H8" s="35" t="s">
        <v>24</v>
      </c>
      <c r="I8" s="10"/>
      <c r="J8" s="10"/>
      <c r="K8" s="36"/>
      <c r="L8" s="36"/>
      <c r="M8" s="36"/>
      <c r="N8" s="36"/>
      <c r="O8" s="36"/>
      <c r="P8" s="36"/>
      <c r="Q8" s="36"/>
      <c r="R8" s="10"/>
      <c r="S8" s="10"/>
      <c r="T8" s="10"/>
      <c r="U8" s="17"/>
      <c r="V8" s="10"/>
      <c r="W8" s="10"/>
      <c r="X8" s="10"/>
    </row>
    <row r="9" spans="2:24">
      <c r="B9" s="32" t="s">
        <v>25</v>
      </c>
      <c r="C9" s="37">
        <f>P15</f>
        <v>2202.59</v>
      </c>
      <c r="D9" s="10"/>
      <c r="E9" s="18" t="s">
        <v>26</v>
      </c>
      <c r="F9" s="38">
        <f>P11</f>
        <v>2202.59</v>
      </c>
      <c r="G9" s="39">
        <f>I30</f>
        <v>2202.59</v>
      </c>
      <c r="H9" s="40"/>
      <c r="I9" s="41"/>
      <c r="J9" s="42"/>
      <c r="K9" s="43" t="s">
        <v>27</v>
      </c>
      <c r="L9" s="44"/>
      <c r="M9" s="44"/>
      <c r="N9" s="44"/>
      <c r="O9" s="44"/>
      <c r="P9" s="44"/>
      <c r="Q9" s="45"/>
      <c r="R9" s="46" t="s">
        <v>28</v>
      </c>
      <c r="S9" s="47" t="s">
        <v>29</v>
      </c>
      <c r="T9" s="10"/>
      <c r="U9" s="17"/>
      <c r="V9" s="10"/>
      <c r="W9" s="10"/>
      <c r="X9" s="10"/>
    </row>
    <row r="10" spans="2:24">
      <c r="B10" s="11"/>
      <c r="C10" s="10"/>
      <c r="D10" s="10"/>
      <c r="E10" s="24" t="s">
        <v>30</v>
      </c>
      <c r="F10" s="48">
        <f>F5</f>
        <v>0.05</v>
      </c>
      <c r="G10" s="17"/>
      <c r="H10" s="40"/>
      <c r="I10" s="41"/>
      <c r="J10" s="42"/>
      <c r="K10" s="20" t="s">
        <v>31</v>
      </c>
      <c r="L10" s="21" t="s">
        <v>32</v>
      </c>
      <c r="M10" s="21" t="s">
        <v>33</v>
      </c>
      <c r="N10" s="21" t="s">
        <v>34</v>
      </c>
      <c r="O10" s="21" t="s">
        <v>35</v>
      </c>
      <c r="P10" s="21" t="s">
        <v>36</v>
      </c>
      <c r="Q10" s="49" t="s">
        <v>37</v>
      </c>
      <c r="R10" s="50" t="s">
        <v>38</v>
      </c>
      <c r="S10" s="50" t="s">
        <v>38</v>
      </c>
      <c r="T10" s="10"/>
      <c r="U10" s="17"/>
      <c r="V10" s="10"/>
      <c r="W10" s="10"/>
      <c r="X10" s="10"/>
    </row>
    <row r="11" spans="2:24">
      <c r="B11" s="11"/>
      <c r="C11" s="10"/>
      <c r="D11" s="10"/>
      <c r="E11" s="51" t="s">
        <v>39</v>
      </c>
      <c r="F11" s="52">
        <f>(F9+F18)*F10</f>
        <v>100.67700000000002</v>
      </c>
      <c r="G11" s="53" t="s">
        <v>40</v>
      </c>
      <c r="H11" s="54">
        <f>F11/1.12</f>
        <v>89.890178571428578</v>
      </c>
      <c r="I11" s="55"/>
      <c r="J11" s="42"/>
      <c r="K11" s="56"/>
      <c r="L11" s="57"/>
      <c r="M11" s="57">
        <f>+I29</f>
        <v>2202.59</v>
      </c>
      <c r="N11" s="57"/>
      <c r="O11" s="57"/>
      <c r="P11" s="57">
        <f>SUM(K11:O11)</f>
        <v>2202.59</v>
      </c>
      <c r="Q11" s="58">
        <v>0</v>
      </c>
      <c r="R11" s="59"/>
      <c r="S11" s="59"/>
      <c r="T11" s="10"/>
      <c r="U11" s="17"/>
      <c r="V11" s="10"/>
      <c r="W11" s="10"/>
      <c r="X11" s="10"/>
    </row>
    <row r="12" spans="2:24">
      <c r="B12" s="11"/>
      <c r="C12" s="10"/>
      <c r="D12" s="10"/>
      <c r="E12" s="24" t="s">
        <v>41</v>
      </c>
      <c r="F12" s="60">
        <f>Q11</f>
        <v>0</v>
      </c>
      <c r="G12" s="61" t="s">
        <v>40</v>
      </c>
      <c r="H12" s="62"/>
      <c r="I12" s="62"/>
      <c r="J12" s="10" t="s">
        <v>42</v>
      </c>
      <c r="K12" s="63"/>
      <c r="L12" s="63"/>
      <c r="M12" s="63">
        <v>1</v>
      </c>
      <c r="N12" s="63"/>
      <c r="O12" s="63"/>
      <c r="P12" s="21">
        <f>SUM(K12:O12)</f>
        <v>1</v>
      </c>
      <c r="Q12" s="64"/>
      <c r="R12" s="63"/>
      <c r="S12" s="10"/>
      <c r="T12" s="10"/>
      <c r="U12" s="17"/>
      <c r="V12" s="10"/>
      <c r="W12" s="10"/>
      <c r="X12" s="10"/>
    </row>
    <row r="13" spans="2:24">
      <c r="B13" s="11"/>
      <c r="C13" s="10"/>
      <c r="D13" s="10"/>
      <c r="E13" s="51" t="s">
        <v>43</v>
      </c>
      <c r="F13" s="52">
        <f>F12*0.25</f>
        <v>0</v>
      </c>
      <c r="G13" s="53" t="s">
        <v>40</v>
      </c>
      <c r="H13" s="54">
        <f>F13/1.12</f>
        <v>0</v>
      </c>
      <c r="I13" s="10"/>
      <c r="J13" s="10" t="s">
        <v>44</v>
      </c>
      <c r="K13" s="63"/>
      <c r="L13" s="63"/>
      <c r="M13" s="63">
        <v>0</v>
      </c>
      <c r="N13" s="63"/>
      <c r="O13" s="63"/>
      <c r="P13" s="21">
        <f>SUM(K13:O13)</f>
        <v>0</v>
      </c>
      <c r="Q13" s="64"/>
      <c r="R13" s="63"/>
      <c r="S13" s="10"/>
      <c r="T13" s="10"/>
      <c r="U13" s="17"/>
      <c r="V13" s="10"/>
      <c r="W13" s="10"/>
      <c r="X13" s="10"/>
    </row>
    <row r="14" spans="2:24">
      <c r="B14" s="11"/>
      <c r="C14" s="10"/>
      <c r="D14" s="10"/>
      <c r="E14" s="24" t="s">
        <v>45</v>
      </c>
      <c r="F14" s="60"/>
      <c r="G14" s="61" t="s">
        <v>40</v>
      </c>
      <c r="H14" s="62"/>
      <c r="I14" s="10"/>
      <c r="J14" s="10" t="s">
        <v>46</v>
      </c>
      <c r="K14" s="31" t="e">
        <f t="shared" ref="K14:Q14" si="2">K12/(K12+K13)</f>
        <v>#DIV/0!</v>
      </c>
      <c r="L14" s="31" t="e">
        <f t="shared" si="2"/>
        <v>#DIV/0!</v>
      </c>
      <c r="M14" s="31">
        <f t="shared" si="2"/>
        <v>1</v>
      </c>
      <c r="N14" s="31" t="e">
        <f t="shared" si="2"/>
        <v>#DIV/0!</v>
      </c>
      <c r="O14" s="31" t="e">
        <f t="shared" si="2"/>
        <v>#DIV/0!</v>
      </c>
      <c r="P14" s="31">
        <f t="shared" si="2"/>
        <v>1</v>
      </c>
      <c r="Q14" s="31" t="e">
        <f t="shared" si="2"/>
        <v>#DIV/0!</v>
      </c>
      <c r="R14" s="63"/>
      <c r="S14" s="10"/>
      <c r="T14" s="10"/>
      <c r="U14" s="17"/>
      <c r="V14" s="10"/>
      <c r="W14" s="10"/>
      <c r="X14" s="10"/>
    </row>
    <row r="15" spans="2:24">
      <c r="B15" s="11"/>
      <c r="C15" s="10"/>
      <c r="D15" s="10"/>
      <c r="E15" s="51" t="s">
        <v>47</v>
      </c>
      <c r="F15" s="52">
        <f>F14*0.05</f>
        <v>0</v>
      </c>
      <c r="G15" s="65" t="s">
        <v>40</v>
      </c>
      <c r="H15" s="54">
        <f>F15/1.12</f>
        <v>0</v>
      </c>
      <c r="I15" s="42"/>
      <c r="J15" s="10" t="s">
        <v>48</v>
      </c>
      <c r="K15" s="66" t="e">
        <f>K11/K12</f>
        <v>#DIV/0!</v>
      </c>
      <c r="L15" s="66" t="e">
        <f t="shared" ref="L15:Q15" si="3">L11/L12</f>
        <v>#DIV/0!</v>
      </c>
      <c r="M15" s="66">
        <f t="shared" si="3"/>
        <v>2202.59</v>
      </c>
      <c r="N15" s="66" t="e">
        <f t="shared" si="3"/>
        <v>#DIV/0!</v>
      </c>
      <c r="O15" s="66" t="e">
        <f t="shared" si="3"/>
        <v>#DIV/0!</v>
      </c>
      <c r="P15" s="66">
        <f t="shared" si="3"/>
        <v>2202.59</v>
      </c>
      <c r="Q15" s="66" t="e">
        <f t="shared" si="3"/>
        <v>#DIV/0!</v>
      </c>
      <c r="R15" s="63"/>
      <c r="S15" s="10"/>
      <c r="T15" s="10"/>
      <c r="U15" s="17"/>
      <c r="V15" s="10"/>
      <c r="W15" s="10"/>
      <c r="X15" s="10"/>
    </row>
    <row r="16" spans="2:24">
      <c r="B16" s="11"/>
      <c r="C16" s="10"/>
      <c r="D16" s="10"/>
      <c r="E16" s="67" t="s">
        <v>14</v>
      </c>
      <c r="F16" s="68"/>
      <c r="G16" s="10"/>
      <c r="H16" s="54">
        <f>F16/1.12</f>
        <v>0</v>
      </c>
      <c r="I16" s="10"/>
      <c r="J16" s="10"/>
      <c r="K16" s="10"/>
      <c r="L16" s="10"/>
      <c r="M16" s="10"/>
      <c r="N16" s="10"/>
      <c r="O16" s="10"/>
      <c r="P16" s="10"/>
      <c r="Q16" s="10"/>
      <c r="R16" s="10"/>
      <c r="S16" s="10"/>
      <c r="T16" s="10"/>
      <c r="U16" s="17"/>
      <c r="V16" s="10"/>
      <c r="W16" s="10"/>
      <c r="X16" s="10"/>
    </row>
    <row r="17" spans="2:24">
      <c r="B17" s="11"/>
      <c r="C17" s="10"/>
      <c r="D17" s="10"/>
      <c r="E17" s="67" t="s">
        <v>49</v>
      </c>
      <c r="F17" s="69">
        <f>T6</f>
        <v>0</v>
      </c>
      <c r="G17" s="10"/>
      <c r="H17" s="54"/>
      <c r="I17" s="55"/>
      <c r="J17" s="42"/>
      <c r="K17" s="764" t="s">
        <v>50</v>
      </c>
      <c r="L17" s="765"/>
      <c r="M17" s="765"/>
      <c r="N17" s="765"/>
      <c r="O17" s="765"/>
      <c r="P17" s="765"/>
      <c r="Q17" s="766"/>
      <c r="R17" s="70" t="s">
        <v>28</v>
      </c>
      <c r="S17" s="71" t="s">
        <v>29</v>
      </c>
      <c r="T17" s="10"/>
      <c r="U17" s="17"/>
      <c r="V17" s="10"/>
      <c r="W17" s="10"/>
      <c r="X17" s="10"/>
    </row>
    <row r="18" spans="2:24">
      <c r="B18" s="11"/>
      <c r="C18" s="10"/>
      <c r="D18" s="10"/>
      <c r="E18" s="74" t="s">
        <v>2808</v>
      </c>
      <c r="F18" s="75">
        <v>-189.05</v>
      </c>
      <c r="G18" s="10"/>
      <c r="H18" s="10"/>
      <c r="I18" s="10"/>
      <c r="J18" s="42"/>
      <c r="K18" s="20" t="s">
        <v>31</v>
      </c>
      <c r="L18" s="21" t="s">
        <v>32</v>
      </c>
      <c r="M18" s="21" t="s">
        <v>33</v>
      </c>
      <c r="N18" s="21" t="s">
        <v>34</v>
      </c>
      <c r="O18" s="21" t="s">
        <v>35</v>
      </c>
      <c r="P18" s="21" t="s">
        <v>36</v>
      </c>
      <c r="Q18" s="49" t="s">
        <v>37</v>
      </c>
      <c r="R18" s="50" t="s">
        <v>38</v>
      </c>
      <c r="S18" s="50" t="s">
        <v>38</v>
      </c>
      <c r="T18" s="10"/>
      <c r="U18" s="17"/>
      <c r="V18" s="10"/>
      <c r="W18" s="10"/>
      <c r="X18" s="10"/>
    </row>
    <row r="19" spans="2:24">
      <c r="B19" s="11"/>
      <c r="C19" s="10"/>
      <c r="D19" s="10"/>
      <c r="E19" s="10"/>
      <c r="F19" s="10"/>
      <c r="G19" s="10"/>
      <c r="H19" s="10"/>
      <c r="I19" s="10"/>
      <c r="J19" s="42"/>
      <c r="K19" s="56"/>
      <c r="L19" s="57"/>
      <c r="M19" s="57">
        <f>+F29</f>
        <v>2935</v>
      </c>
      <c r="N19" s="57"/>
      <c r="O19" s="57"/>
      <c r="P19" s="57">
        <f>SUM(K19:O19)</f>
        <v>2935</v>
      </c>
      <c r="Q19" s="58">
        <v>0</v>
      </c>
      <c r="R19" s="59"/>
      <c r="S19" s="59"/>
      <c r="T19" s="10"/>
      <c r="U19" s="17"/>
      <c r="V19" s="10"/>
      <c r="W19" s="10"/>
      <c r="X19" s="10"/>
    </row>
    <row r="20" spans="2:24">
      <c r="B20" s="11"/>
      <c r="C20" s="10"/>
      <c r="D20" s="10"/>
      <c r="E20" s="12"/>
      <c r="F20" s="76"/>
      <c r="G20" s="10"/>
      <c r="H20" s="10"/>
      <c r="I20" s="10"/>
      <c r="J20" s="10" t="s">
        <v>42</v>
      </c>
      <c r="K20" s="63">
        <f>K12</f>
        <v>0</v>
      </c>
      <c r="L20" s="63">
        <f t="shared" ref="L20:Q21" si="4">L12</f>
        <v>0</v>
      </c>
      <c r="M20" s="63">
        <f t="shared" si="4"/>
        <v>1</v>
      </c>
      <c r="N20" s="63">
        <f t="shared" si="4"/>
        <v>0</v>
      </c>
      <c r="O20" s="63">
        <f t="shared" si="4"/>
        <v>0</v>
      </c>
      <c r="P20" s="21">
        <f>SUM(K20:O20)</f>
        <v>1</v>
      </c>
      <c r="Q20" s="63">
        <f t="shared" si="4"/>
        <v>0</v>
      </c>
      <c r="R20" s="63"/>
      <c r="S20" s="10"/>
      <c r="T20" s="10"/>
      <c r="U20" s="17"/>
      <c r="V20" s="10"/>
      <c r="W20" s="10"/>
      <c r="X20" s="10"/>
    </row>
    <row r="21" spans="2:24">
      <c r="B21" s="11"/>
      <c r="C21" s="10"/>
      <c r="D21" s="10"/>
      <c r="E21" s="10"/>
      <c r="F21" s="10"/>
      <c r="G21" s="10"/>
      <c r="H21" s="10"/>
      <c r="I21" s="10"/>
      <c r="J21" s="10" t="s">
        <v>44</v>
      </c>
      <c r="K21" s="63">
        <f>K13</f>
        <v>0</v>
      </c>
      <c r="L21" s="63">
        <f t="shared" si="4"/>
        <v>0</v>
      </c>
      <c r="M21" s="63">
        <f t="shared" si="4"/>
        <v>0</v>
      </c>
      <c r="N21" s="63">
        <f t="shared" si="4"/>
        <v>0</v>
      </c>
      <c r="O21" s="63">
        <f t="shared" si="4"/>
        <v>0</v>
      </c>
      <c r="P21" s="21">
        <f>SUM(K21:O21)</f>
        <v>0</v>
      </c>
      <c r="Q21" s="63">
        <f t="shared" si="4"/>
        <v>0</v>
      </c>
      <c r="R21" s="63"/>
      <c r="S21" s="10"/>
      <c r="T21" s="10"/>
      <c r="U21" s="17"/>
      <c r="V21" s="10"/>
      <c r="W21" s="10"/>
      <c r="X21" s="10"/>
    </row>
    <row r="22" spans="2:24">
      <c r="B22" s="11"/>
      <c r="C22" s="10"/>
      <c r="D22" s="10"/>
      <c r="E22" s="10"/>
      <c r="F22" s="10"/>
      <c r="G22" s="10"/>
      <c r="H22" s="10"/>
      <c r="I22" s="10"/>
      <c r="J22" s="10" t="s">
        <v>46</v>
      </c>
      <c r="K22" s="31" t="e">
        <f t="shared" ref="K22:Q22" si="5">K20/(K20+K21)</f>
        <v>#DIV/0!</v>
      </c>
      <c r="L22" s="31" t="e">
        <f t="shared" si="5"/>
        <v>#DIV/0!</v>
      </c>
      <c r="M22" s="31">
        <f t="shared" si="5"/>
        <v>1</v>
      </c>
      <c r="N22" s="31" t="e">
        <f t="shared" si="5"/>
        <v>#DIV/0!</v>
      </c>
      <c r="O22" s="31" t="e">
        <f t="shared" si="5"/>
        <v>#DIV/0!</v>
      </c>
      <c r="P22" s="31">
        <f t="shared" si="5"/>
        <v>1</v>
      </c>
      <c r="Q22" s="31" t="e">
        <f t="shared" si="5"/>
        <v>#DIV/0!</v>
      </c>
      <c r="R22" s="63"/>
      <c r="S22" s="10"/>
      <c r="T22" s="10"/>
      <c r="U22" s="17"/>
      <c r="V22" s="10"/>
      <c r="W22" s="10"/>
      <c r="X22" s="10"/>
    </row>
    <row r="23" spans="2:24">
      <c r="B23" s="11"/>
      <c r="C23" s="10"/>
      <c r="D23" s="10"/>
      <c r="E23" s="10"/>
      <c r="F23" s="10"/>
      <c r="G23" s="10"/>
      <c r="H23" s="10"/>
      <c r="I23" s="10"/>
      <c r="J23" s="10" t="s">
        <v>48</v>
      </c>
      <c r="K23" s="66" t="e">
        <f t="shared" ref="K23:Q23" si="6">K19/K20</f>
        <v>#DIV/0!</v>
      </c>
      <c r="L23" s="66" t="e">
        <f t="shared" si="6"/>
        <v>#DIV/0!</v>
      </c>
      <c r="M23" s="66">
        <f t="shared" si="6"/>
        <v>2935</v>
      </c>
      <c r="N23" s="66" t="e">
        <f t="shared" si="6"/>
        <v>#DIV/0!</v>
      </c>
      <c r="O23" s="66" t="e">
        <f t="shared" si="6"/>
        <v>#DIV/0!</v>
      </c>
      <c r="P23" s="66">
        <f t="shared" si="6"/>
        <v>2935</v>
      </c>
      <c r="Q23" s="66" t="e">
        <f t="shared" si="6"/>
        <v>#DIV/0!</v>
      </c>
      <c r="R23" s="63"/>
      <c r="S23" s="10"/>
      <c r="T23" s="10"/>
      <c r="U23" s="17"/>
      <c r="V23" s="10"/>
      <c r="W23" s="10"/>
      <c r="X23" s="10"/>
    </row>
    <row r="24" spans="2:24">
      <c r="B24" s="11"/>
      <c r="C24" s="10"/>
      <c r="D24" s="10"/>
      <c r="E24" s="10"/>
      <c r="F24" s="10"/>
      <c r="G24" s="10"/>
      <c r="H24" s="10"/>
      <c r="I24" s="10"/>
      <c r="J24" s="10"/>
      <c r="K24" s="10"/>
      <c r="L24" s="10"/>
      <c r="M24" s="10"/>
      <c r="N24" s="10"/>
      <c r="O24" s="10"/>
      <c r="P24" s="10"/>
      <c r="Q24" s="10"/>
      <c r="R24" s="10"/>
      <c r="S24" s="10"/>
      <c r="T24" s="10"/>
      <c r="U24" s="17"/>
      <c r="V24" s="10"/>
      <c r="W24" s="10"/>
      <c r="X24" s="10"/>
    </row>
    <row r="25" spans="2:24">
      <c r="B25" s="11"/>
      <c r="C25" s="10"/>
      <c r="D25" s="10"/>
      <c r="E25" s="10"/>
      <c r="F25" s="10"/>
      <c r="G25" s="10"/>
      <c r="H25" s="10"/>
      <c r="I25" s="10"/>
      <c r="J25" s="10"/>
      <c r="K25" s="10"/>
      <c r="L25" s="10"/>
      <c r="M25" s="10"/>
      <c r="N25" s="10"/>
      <c r="O25" s="10"/>
      <c r="P25" s="10"/>
      <c r="Q25" s="10"/>
      <c r="R25" s="10"/>
      <c r="S25" s="10"/>
      <c r="T25" s="10"/>
      <c r="U25" s="17"/>
      <c r="V25" s="10"/>
      <c r="W25" s="10"/>
      <c r="X25" s="10"/>
    </row>
    <row r="26" spans="2:24">
      <c r="B26" s="18" t="s">
        <v>51</v>
      </c>
      <c r="C26" s="14"/>
      <c r="D26" s="14"/>
      <c r="E26" s="14"/>
      <c r="F26" s="13" t="s">
        <v>52</v>
      </c>
      <c r="G26" s="14"/>
      <c r="H26" s="14"/>
      <c r="I26" s="14"/>
      <c r="J26" s="14"/>
      <c r="K26" s="13" t="s">
        <v>3</v>
      </c>
      <c r="L26" s="14"/>
      <c r="M26" s="14"/>
      <c r="N26" s="13" t="s">
        <v>4</v>
      </c>
      <c r="O26" s="14"/>
      <c r="P26" s="14"/>
      <c r="Q26" s="13" t="s">
        <v>5</v>
      </c>
      <c r="R26" s="14"/>
      <c r="S26" s="14"/>
      <c r="T26" s="18"/>
      <c r="U26" s="16" t="s">
        <v>53</v>
      </c>
      <c r="V26" s="77"/>
      <c r="W26" s="77"/>
      <c r="X26" s="77"/>
    </row>
    <row r="27" spans="2:24">
      <c r="B27" s="24" t="s">
        <v>54</v>
      </c>
      <c r="C27" s="21" t="s">
        <v>55</v>
      </c>
      <c r="D27" s="21" t="s">
        <v>56</v>
      </c>
      <c r="E27" s="21" t="s">
        <v>57</v>
      </c>
      <c r="F27" s="20" t="s">
        <v>58</v>
      </c>
      <c r="G27" s="21" t="s">
        <v>59</v>
      </c>
      <c r="H27" s="21" t="s">
        <v>60</v>
      </c>
      <c r="I27" s="21" t="s">
        <v>26</v>
      </c>
      <c r="J27" s="22" t="s">
        <v>61</v>
      </c>
      <c r="K27" s="21" t="s">
        <v>8</v>
      </c>
      <c r="L27" s="21" t="s">
        <v>9</v>
      </c>
      <c r="M27" s="21" t="s">
        <v>10</v>
      </c>
      <c r="N27" s="20" t="s">
        <v>11</v>
      </c>
      <c r="O27" s="21" t="s">
        <v>12</v>
      </c>
      <c r="P27" s="22" t="s">
        <v>13</v>
      </c>
      <c r="Q27" s="21" t="s">
        <v>11</v>
      </c>
      <c r="R27" s="21" t="s">
        <v>12</v>
      </c>
      <c r="S27" s="21" t="s">
        <v>13</v>
      </c>
      <c r="T27" s="78" t="s">
        <v>14</v>
      </c>
      <c r="U27" s="30"/>
      <c r="V27" s="79" t="s">
        <v>62</v>
      </c>
      <c r="W27" s="80" t="s">
        <v>63</v>
      </c>
      <c r="X27" s="81" t="s">
        <v>64</v>
      </c>
    </row>
    <row r="28" spans="2:24">
      <c r="B28" s="4" t="s">
        <v>65</v>
      </c>
      <c r="C28" s="6"/>
      <c r="D28" s="6"/>
      <c r="E28" s="6"/>
      <c r="F28" s="6"/>
      <c r="G28" s="6"/>
      <c r="H28" s="6"/>
      <c r="I28" s="82"/>
      <c r="J28" s="6"/>
      <c r="K28" s="6"/>
      <c r="L28" s="6"/>
      <c r="M28" s="6"/>
      <c r="N28" s="6"/>
      <c r="O28" s="6"/>
      <c r="P28" s="6"/>
      <c r="Q28" s="6"/>
      <c r="R28" s="6"/>
      <c r="S28" s="6"/>
      <c r="T28" s="83"/>
      <c r="U28" s="6"/>
      <c r="V28" s="84"/>
      <c r="W28" s="85"/>
      <c r="X28" s="86"/>
    </row>
    <row r="29" spans="2:24">
      <c r="B29" s="87">
        <v>1</v>
      </c>
      <c r="C29" s="262">
        <v>45840</v>
      </c>
      <c r="D29" s="263" t="s">
        <v>2809</v>
      </c>
      <c r="E29" s="271" t="s">
        <v>2810</v>
      </c>
      <c r="F29" s="265">
        <v>2935</v>
      </c>
      <c r="G29" s="265">
        <f>39.7+528+(94.98)+(82.06+60.56-37.49-19.01-16.39)</f>
        <v>732.41000000000008</v>
      </c>
      <c r="H29" s="265"/>
      <c r="I29" s="272">
        <f>F29-G29-H29</f>
        <v>2202.59</v>
      </c>
      <c r="J29" s="267" t="s">
        <v>374</v>
      </c>
      <c r="K29" s="267">
        <v>1</v>
      </c>
      <c r="L29" s="267">
        <v>1</v>
      </c>
      <c r="M29" s="267">
        <v>1</v>
      </c>
      <c r="N29" s="267">
        <v>1</v>
      </c>
      <c r="O29" s="267">
        <v>1</v>
      </c>
      <c r="P29" s="267">
        <v>1</v>
      </c>
      <c r="Q29" s="267">
        <v>1</v>
      </c>
      <c r="R29" s="267">
        <v>1</v>
      </c>
      <c r="S29" s="269">
        <v>1</v>
      </c>
      <c r="T29" s="63"/>
      <c r="U29" s="298" t="s">
        <v>2811</v>
      </c>
      <c r="V29" s="90">
        <f>845.62+2382.88</f>
        <v>3228.5</v>
      </c>
      <c r="W29" s="91"/>
      <c r="X29" s="92"/>
    </row>
    <row r="30" spans="2:24">
      <c r="B30" s="87"/>
      <c r="C30" s="36"/>
      <c r="D30" s="10"/>
      <c r="E30" s="10"/>
      <c r="F30" s="97">
        <f>SUM(F29:F29)</f>
        <v>2935</v>
      </c>
      <c r="G30" s="97">
        <f>SUM(G29:G29)</f>
        <v>732.41000000000008</v>
      </c>
      <c r="H30" s="97">
        <f>SUM(H29:H29)</f>
        <v>0</v>
      </c>
      <c r="I30" s="98">
        <f>SUM(I29:I29)</f>
        <v>2202.59</v>
      </c>
      <c r="J30" s="63"/>
      <c r="K30" s="63">
        <f t="shared" ref="K30:S30" si="7">COUNT(K29:K29)</f>
        <v>1</v>
      </c>
      <c r="L30" s="63">
        <f t="shared" si="7"/>
        <v>1</v>
      </c>
      <c r="M30" s="63">
        <f t="shared" si="7"/>
        <v>1</v>
      </c>
      <c r="N30" s="63">
        <f t="shared" si="7"/>
        <v>1</v>
      </c>
      <c r="O30" s="63">
        <f t="shared" si="7"/>
        <v>1</v>
      </c>
      <c r="P30" s="63">
        <f t="shared" si="7"/>
        <v>1</v>
      </c>
      <c r="Q30" s="63">
        <f t="shared" si="7"/>
        <v>1</v>
      </c>
      <c r="R30" s="63">
        <f t="shared" si="7"/>
        <v>1</v>
      </c>
      <c r="S30" s="63">
        <f t="shared" si="7"/>
        <v>1</v>
      </c>
      <c r="T30" s="63"/>
      <c r="U30" s="10"/>
      <c r="V30" s="90"/>
      <c r="W30" s="91"/>
      <c r="X30" s="92"/>
    </row>
    <row r="31" spans="2:24">
      <c r="B31" s="87"/>
      <c r="C31" s="36"/>
      <c r="D31" s="10"/>
      <c r="E31" s="10"/>
      <c r="F31" s="88"/>
      <c r="G31" s="88"/>
      <c r="H31" s="88"/>
      <c r="I31" s="99"/>
      <c r="J31" s="63"/>
      <c r="K31" s="21">
        <f t="shared" ref="K31:S31" si="8">SUM(K29:K29)</f>
        <v>1</v>
      </c>
      <c r="L31" s="21">
        <f t="shared" si="8"/>
        <v>1</v>
      </c>
      <c r="M31" s="21">
        <f t="shared" si="8"/>
        <v>1</v>
      </c>
      <c r="N31" s="21">
        <f t="shared" si="8"/>
        <v>1</v>
      </c>
      <c r="O31" s="21">
        <f t="shared" si="8"/>
        <v>1</v>
      </c>
      <c r="P31" s="21">
        <f t="shared" si="8"/>
        <v>1</v>
      </c>
      <c r="Q31" s="21">
        <f t="shared" si="8"/>
        <v>1</v>
      </c>
      <c r="R31" s="21">
        <f t="shared" si="8"/>
        <v>1</v>
      </c>
      <c r="S31" s="21">
        <f t="shared" si="8"/>
        <v>1</v>
      </c>
      <c r="T31" s="63"/>
      <c r="U31" s="10"/>
      <c r="V31" s="90"/>
      <c r="W31" s="91"/>
      <c r="X31" s="92"/>
    </row>
    <row r="32" spans="2:24">
      <c r="B32" s="26"/>
      <c r="C32" s="140"/>
      <c r="D32" s="141"/>
      <c r="E32" s="141"/>
      <c r="F32" s="141"/>
      <c r="G32" s="141"/>
      <c r="H32" s="141"/>
      <c r="I32" s="141"/>
      <c r="J32" s="141"/>
      <c r="K32" s="142"/>
      <c r="L32" s="142"/>
      <c r="M32" s="142"/>
      <c r="N32" s="142"/>
      <c r="O32" s="142"/>
      <c r="P32" s="142"/>
      <c r="Q32" s="142"/>
      <c r="R32" s="142"/>
      <c r="S32" s="142"/>
      <c r="T32" s="143">
        <f>SUM(T29:T31)</f>
        <v>0</v>
      </c>
      <c r="U32" s="141"/>
      <c r="V32" s="144">
        <f>SUM(V29:V31)</f>
        <v>3228.5</v>
      </c>
      <c r="W32" s="145">
        <f>SUM(W29:W31)</f>
        <v>0</v>
      </c>
      <c r="X32" s="146">
        <f>SUM(X29:X31)</f>
        <v>0</v>
      </c>
    </row>
    <row r="35" spans="2:24">
      <c r="B35" s="4" t="s">
        <v>1</v>
      </c>
      <c r="C35" s="5"/>
      <c r="D35" s="6"/>
      <c r="E35" s="6"/>
      <c r="F35" s="7" t="s">
        <v>2</v>
      </c>
      <c r="G35" s="8">
        <v>45872</v>
      </c>
      <c r="H35" s="7"/>
      <c r="I35" s="6"/>
      <c r="J35" s="6"/>
      <c r="K35" s="6"/>
      <c r="L35" s="6"/>
      <c r="M35" s="6"/>
      <c r="N35" s="6"/>
      <c r="O35" s="6"/>
      <c r="P35" s="6"/>
      <c r="Q35" s="6"/>
      <c r="R35" s="6"/>
      <c r="S35" s="6"/>
      <c r="T35" s="6"/>
      <c r="U35" s="9"/>
      <c r="V35" s="10"/>
      <c r="W35" s="10"/>
      <c r="X35" s="10"/>
    </row>
    <row r="36" spans="2:24">
      <c r="B36" s="11"/>
      <c r="C36" s="10"/>
      <c r="D36" s="10"/>
      <c r="E36" s="10"/>
      <c r="F36" s="10"/>
      <c r="G36" s="7"/>
      <c r="H36" s="12"/>
      <c r="I36" s="10"/>
      <c r="J36" s="10"/>
      <c r="K36" s="13" t="s">
        <v>3</v>
      </c>
      <c r="L36" s="14"/>
      <c r="M36" s="15"/>
      <c r="N36" s="13" t="s">
        <v>4</v>
      </c>
      <c r="O36" s="14"/>
      <c r="P36" s="15"/>
      <c r="Q36" s="13" t="s">
        <v>5</v>
      </c>
      <c r="R36" s="14"/>
      <c r="S36" s="15"/>
      <c r="T36" s="16"/>
      <c r="U36" s="17"/>
      <c r="V36" s="10"/>
      <c r="W36" s="10"/>
      <c r="X36" s="10"/>
    </row>
    <row r="37" spans="2:24">
      <c r="B37" s="18" t="s">
        <v>6</v>
      </c>
      <c r="C37" s="19">
        <f>C38+C39</f>
        <v>34</v>
      </c>
      <c r="D37" s="10"/>
      <c r="E37" s="18" t="s">
        <v>7</v>
      </c>
      <c r="F37" s="6"/>
      <c r="G37" s="9"/>
      <c r="H37" s="10"/>
      <c r="I37" s="10"/>
      <c r="J37" s="10"/>
      <c r="K37" s="20" t="s">
        <v>8</v>
      </c>
      <c r="L37" s="21" t="s">
        <v>9</v>
      </c>
      <c r="M37" s="21" t="s">
        <v>10</v>
      </c>
      <c r="N37" s="20" t="s">
        <v>11</v>
      </c>
      <c r="O37" s="21" t="s">
        <v>12</v>
      </c>
      <c r="P37" s="22" t="s">
        <v>13</v>
      </c>
      <c r="Q37" s="21" t="s">
        <v>11</v>
      </c>
      <c r="R37" s="21" t="s">
        <v>12</v>
      </c>
      <c r="S37" s="22" t="s">
        <v>13</v>
      </c>
      <c r="T37" s="23" t="s">
        <v>14</v>
      </c>
      <c r="U37" s="17"/>
      <c r="V37" s="10"/>
      <c r="W37" s="10"/>
      <c r="X37" s="10"/>
    </row>
    <row r="38" spans="2:24">
      <c r="B38" s="24" t="s">
        <v>15</v>
      </c>
      <c r="C38" s="25">
        <f>P45</f>
        <v>11</v>
      </c>
      <c r="D38" s="10"/>
      <c r="E38" s="26" t="s">
        <v>16</v>
      </c>
      <c r="F38" s="27">
        <v>0.05</v>
      </c>
      <c r="G38" s="28"/>
      <c r="H38" s="10"/>
      <c r="I38" s="10"/>
      <c r="J38" s="18" t="s">
        <v>17</v>
      </c>
      <c r="K38" s="29">
        <f t="shared" ref="K38:S38" si="9">K71</f>
        <v>8</v>
      </c>
      <c r="L38" s="29">
        <f t="shared" si="9"/>
        <v>8</v>
      </c>
      <c r="M38" s="29">
        <f t="shared" si="9"/>
        <v>8</v>
      </c>
      <c r="N38" s="29">
        <f t="shared" si="9"/>
        <v>8</v>
      </c>
      <c r="O38" s="29">
        <f t="shared" si="9"/>
        <v>8</v>
      </c>
      <c r="P38" s="29">
        <f t="shared" si="9"/>
        <v>3</v>
      </c>
      <c r="Q38" s="29">
        <f t="shared" si="9"/>
        <v>5</v>
      </c>
      <c r="R38" s="29">
        <f t="shared" si="9"/>
        <v>4</v>
      </c>
      <c r="S38" s="29">
        <f t="shared" si="9"/>
        <v>4</v>
      </c>
      <c r="T38" s="30">
        <f>T118</f>
        <v>1</v>
      </c>
      <c r="U38" s="17" t="s">
        <v>2812</v>
      </c>
      <c r="V38" s="10"/>
      <c r="W38" s="10"/>
      <c r="X38" s="10"/>
    </row>
    <row r="39" spans="2:24">
      <c r="B39" s="24" t="s">
        <v>18</v>
      </c>
      <c r="C39" s="25">
        <f>P46</f>
        <v>23</v>
      </c>
      <c r="D39" s="10"/>
      <c r="E39" s="10"/>
      <c r="F39" s="10"/>
      <c r="G39" s="31"/>
      <c r="H39" s="10"/>
      <c r="I39" s="10"/>
      <c r="J39" s="32" t="s">
        <v>19</v>
      </c>
      <c r="K39" s="33">
        <f t="shared" ref="K39:S39" si="10">K71/K70</f>
        <v>1</v>
      </c>
      <c r="L39" s="33">
        <f t="shared" si="10"/>
        <v>1</v>
      </c>
      <c r="M39" s="33">
        <f t="shared" si="10"/>
        <v>1</v>
      </c>
      <c r="N39" s="33">
        <f t="shared" si="10"/>
        <v>1</v>
      </c>
      <c r="O39" s="33">
        <f t="shared" si="10"/>
        <v>1</v>
      </c>
      <c r="P39" s="33">
        <f t="shared" si="10"/>
        <v>0.375</v>
      </c>
      <c r="Q39" s="33">
        <f t="shared" si="10"/>
        <v>0.625</v>
      </c>
      <c r="R39" s="33">
        <f t="shared" si="10"/>
        <v>0.5</v>
      </c>
      <c r="S39" s="33">
        <f t="shared" si="10"/>
        <v>0.5</v>
      </c>
      <c r="T39" s="23">
        <v>1</v>
      </c>
      <c r="U39" s="17" t="s">
        <v>20</v>
      </c>
      <c r="V39" s="10"/>
      <c r="W39" s="10"/>
      <c r="X39" s="10"/>
    </row>
    <row r="40" spans="2:24">
      <c r="B40" s="24" t="s">
        <v>21</v>
      </c>
      <c r="C40" s="34">
        <f>P47</f>
        <v>0.3235294117647059</v>
      </c>
      <c r="D40" s="10"/>
      <c r="E40" s="10"/>
      <c r="F40" s="10"/>
      <c r="G40" s="10"/>
      <c r="H40" s="10"/>
      <c r="I40" s="10"/>
      <c r="J40" s="10"/>
      <c r="K40" s="10"/>
      <c r="L40" s="10"/>
      <c r="M40" s="10"/>
      <c r="N40" s="10"/>
      <c r="O40" s="10"/>
      <c r="P40" s="10"/>
      <c r="Q40" s="10"/>
      <c r="R40" s="10"/>
      <c r="S40" s="10"/>
      <c r="T40" s="10"/>
      <c r="U40" s="17"/>
      <c r="V40" s="10"/>
      <c r="W40" s="10"/>
      <c r="X40" s="10"/>
    </row>
    <row r="41" spans="2:24">
      <c r="B41" s="24"/>
      <c r="C41" s="25"/>
      <c r="D41" s="10"/>
      <c r="E41" s="10"/>
      <c r="F41" s="18" t="s">
        <v>22</v>
      </c>
      <c r="G41" s="19" t="s">
        <v>23</v>
      </c>
      <c r="H41" s="35" t="s">
        <v>24</v>
      </c>
      <c r="I41" s="10"/>
      <c r="J41" s="10"/>
      <c r="K41" s="36"/>
      <c r="L41" s="36"/>
      <c r="M41" s="36"/>
      <c r="N41" s="36"/>
      <c r="O41" s="36"/>
      <c r="P41" s="36"/>
      <c r="Q41" s="36"/>
      <c r="R41" s="10"/>
      <c r="S41" s="10"/>
      <c r="T41" s="10"/>
      <c r="U41" s="17"/>
      <c r="V41" s="10"/>
      <c r="W41" s="10"/>
      <c r="X41" s="10"/>
    </row>
    <row r="42" spans="2:24">
      <c r="B42" s="32" t="s">
        <v>25</v>
      </c>
      <c r="C42" s="37">
        <f>P48</f>
        <v>3542.9927272727273</v>
      </c>
      <c r="D42" s="10"/>
      <c r="E42" s="18" t="s">
        <v>26</v>
      </c>
      <c r="F42" s="38">
        <f>P44</f>
        <v>38972.92</v>
      </c>
      <c r="G42" s="39">
        <f>I70+I80+I85</f>
        <v>38972.92</v>
      </c>
      <c r="H42" s="40"/>
      <c r="I42" s="41"/>
      <c r="J42" s="42"/>
      <c r="K42" s="43" t="s">
        <v>27</v>
      </c>
      <c r="L42" s="44"/>
      <c r="M42" s="44"/>
      <c r="N42" s="44"/>
      <c r="O42" s="44"/>
      <c r="P42" s="44"/>
      <c r="Q42" s="45"/>
      <c r="R42" s="46" t="s">
        <v>28</v>
      </c>
      <c r="S42" s="47" t="s">
        <v>29</v>
      </c>
      <c r="T42" s="10"/>
      <c r="U42" s="17"/>
      <c r="V42" s="10"/>
      <c r="W42" s="10"/>
      <c r="X42" s="10"/>
    </row>
    <row r="43" spans="2:24">
      <c r="B43" s="11"/>
      <c r="C43" s="10"/>
      <c r="D43" s="10"/>
      <c r="E43" s="24" t="s">
        <v>30</v>
      </c>
      <c r="F43" s="48">
        <f>F38</f>
        <v>0.05</v>
      </c>
      <c r="G43" s="17"/>
      <c r="H43" s="40"/>
      <c r="I43" s="41"/>
      <c r="J43" s="42"/>
      <c r="K43" s="20" t="s">
        <v>31</v>
      </c>
      <c r="L43" s="21" t="s">
        <v>32</v>
      </c>
      <c r="M43" s="21" t="s">
        <v>33</v>
      </c>
      <c r="N43" s="21" t="s">
        <v>34</v>
      </c>
      <c r="O43" s="21" t="s">
        <v>35</v>
      </c>
      <c r="P43" s="21" t="s">
        <v>36</v>
      </c>
      <c r="Q43" s="49" t="s">
        <v>37</v>
      </c>
      <c r="R43" s="50" t="s">
        <v>38</v>
      </c>
      <c r="S43" s="50" t="s">
        <v>38</v>
      </c>
      <c r="T43" s="10"/>
      <c r="U43" s="17"/>
      <c r="V43" s="10"/>
      <c r="W43" s="10"/>
      <c r="X43" s="10"/>
    </row>
    <row r="44" spans="2:24">
      <c r="B44" s="11"/>
      <c r="C44" s="10"/>
      <c r="D44" s="10"/>
      <c r="E44" s="51" t="s">
        <v>39</v>
      </c>
      <c r="F44" s="52">
        <f>(F42-I64-I79-I83-I84)*F43</f>
        <v>685.12649999999996</v>
      </c>
      <c r="G44" s="53" t="s">
        <v>40</v>
      </c>
      <c r="H44" s="54">
        <f>F44/1.12</f>
        <v>611.72008928571415</v>
      </c>
      <c r="J44" s="42"/>
      <c r="K44" s="56">
        <f>I83+I79</f>
        <v>23697.09</v>
      </c>
      <c r="L44" s="57">
        <f>I62+I84</f>
        <v>1990.6</v>
      </c>
      <c r="M44" s="57">
        <f>I64+I63</f>
        <v>1302</v>
      </c>
      <c r="N44" s="57">
        <f>I65+I66</f>
        <v>2861</v>
      </c>
      <c r="O44" s="57">
        <f>I67+I69+I68</f>
        <v>9122.23</v>
      </c>
      <c r="P44" s="57">
        <f>SUM(K44:O44)</f>
        <v>38972.92</v>
      </c>
      <c r="Q44" s="58">
        <f>I74+I75</f>
        <v>5269.76</v>
      </c>
      <c r="R44" s="59">
        <f>I80+I85</f>
        <v>24589.39</v>
      </c>
      <c r="S44" s="59">
        <v>0</v>
      </c>
      <c r="T44" s="10"/>
      <c r="U44" s="17"/>
      <c r="V44" s="10"/>
      <c r="W44" s="10"/>
      <c r="X44" s="10"/>
    </row>
    <row r="45" spans="2:24">
      <c r="B45" s="11"/>
      <c r="C45" s="10"/>
      <c r="D45" s="10"/>
      <c r="E45" s="24" t="s">
        <v>41</v>
      </c>
      <c r="F45" s="60">
        <f>Q44</f>
        <v>5269.76</v>
      </c>
      <c r="G45" s="61" t="s">
        <v>40</v>
      </c>
      <c r="H45" s="62"/>
      <c r="I45" s="529" t="s">
        <v>2813</v>
      </c>
      <c r="J45" s="10" t="s">
        <v>42</v>
      </c>
      <c r="K45" s="63">
        <v>2</v>
      </c>
      <c r="L45" s="63">
        <v>2</v>
      </c>
      <c r="M45" s="63">
        <v>2</v>
      </c>
      <c r="N45" s="63">
        <v>2</v>
      </c>
      <c r="O45" s="63">
        <v>3</v>
      </c>
      <c r="P45" s="21">
        <f>SUM(K45:O45)</f>
        <v>11</v>
      </c>
      <c r="Q45" s="64">
        <v>2</v>
      </c>
      <c r="R45" s="63"/>
      <c r="S45" s="10"/>
      <c r="T45" s="10"/>
      <c r="U45" s="17"/>
      <c r="V45" s="10"/>
      <c r="W45" s="10"/>
      <c r="X45" s="10"/>
    </row>
    <row r="46" spans="2:24">
      <c r="B46" s="11"/>
      <c r="C46" s="10"/>
      <c r="D46" s="10"/>
      <c r="E46" s="51" t="s">
        <v>43</v>
      </c>
      <c r="F46" s="52">
        <f>F45*0.25</f>
        <v>1317.44</v>
      </c>
      <c r="G46" s="53" t="s">
        <v>40</v>
      </c>
      <c r="H46" s="54">
        <f>F46/1.12</f>
        <v>1176.2857142857142</v>
      </c>
      <c r="I46" s="384">
        <f>67.5*9</f>
        <v>607.5</v>
      </c>
      <c r="J46" s="10" t="s">
        <v>44</v>
      </c>
      <c r="K46" s="63">
        <v>5</v>
      </c>
      <c r="L46" s="63">
        <v>6</v>
      </c>
      <c r="M46" s="63">
        <v>2</v>
      </c>
      <c r="N46" s="63">
        <v>6</v>
      </c>
      <c r="O46" s="63">
        <v>4</v>
      </c>
      <c r="P46" s="21">
        <f>SUM(K46:O46)</f>
        <v>23</v>
      </c>
      <c r="Q46" s="64">
        <v>3</v>
      </c>
      <c r="R46" s="63"/>
      <c r="S46" s="10"/>
      <c r="T46" s="10"/>
      <c r="U46" s="17"/>
      <c r="V46" s="10"/>
      <c r="W46" s="10"/>
      <c r="X46" s="10"/>
    </row>
    <row r="47" spans="2:24">
      <c r="B47" s="11"/>
      <c r="C47" s="10"/>
      <c r="D47" s="10"/>
      <c r="E47" s="24" t="s">
        <v>45</v>
      </c>
      <c r="F47" s="60"/>
      <c r="G47" s="61" t="s">
        <v>40</v>
      </c>
      <c r="H47" s="62"/>
      <c r="I47" s="10"/>
      <c r="J47" s="10" t="s">
        <v>46</v>
      </c>
      <c r="K47" s="31">
        <f t="shared" ref="K47:Q47" si="11">K45/(K45+K46)</f>
        <v>0.2857142857142857</v>
      </c>
      <c r="L47" s="31">
        <f t="shared" si="11"/>
        <v>0.25</v>
      </c>
      <c r="M47" s="31">
        <f t="shared" si="11"/>
        <v>0.5</v>
      </c>
      <c r="N47" s="31">
        <f t="shared" si="11"/>
        <v>0.25</v>
      </c>
      <c r="O47" s="31">
        <f t="shared" si="11"/>
        <v>0.42857142857142855</v>
      </c>
      <c r="P47" s="31">
        <f t="shared" si="11"/>
        <v>0.3235294117647059</v>
      </c>
      <c r="Q47" s="31">
        <f t="shared" si="11"/>
        <v>0.4</v>
      </c>
      <c r="R47" s="63"/>
      <c r="S47" s="10"/>
      <c r="T47" s="10"/>
      <c r="U47" s="17"/>
      <c r="V47" s="10"/>
      <c r="W47" s="10"/>
      <c r="X47" s="10"/>
    </row>
    <row r="48" spans="2:24">
      <c r="B48" s="11"/>
      <c r="C48" s="10"/>
      <c r="D48" s="10"/>
      <c r="E48" s="51" t="s">
        <v>47</v>
      </c>
      <c r="F48" s="52">
        <f>F47*0.05</f>
        <v>0</v>
      </c>
      <c r="G48" s="65" t="s">
        <v>40</v>
      </c>
      <c r="H48" s="54">
        <f>F48/1.12</f>
        <v>0</v>
      </c>
      <c r="I48" s="42"/>
      <c r="J48" s="10" t="s">
        <v>48</v>
      </c>
      <c r="K48" s="66">
        <f t="shared" ref="K48:Q48" si="12">K44/K45</f>
        <v>11848.545</v>
      </c>
      <c r="L48" s="66">
        <f t="shared" si="12"/>
        <v>995.3</v>
      </c>
      <c r="M48" s="66">
        <f t="shared" si="12"/>
        <v>651</v>
      </c>
      <c r="N48" s="66">
        <f t="shared" si="12"/>
        <v>1430.5</v>
      </c>
      <c r="O48" s="66">
        <f t="shared" si="12"/>
        <v>3040.7433333333333</v>
      </c>
      <c r="P48" s="66">
        <f t="shared" si="12"/>
        <v>3542.9927272727273</v>
      </c>
      <c r="Q48" s="66">
        <f t="shared" si="12"/>
        <v>2634.88</v>
      </c>
      <c r="R48" s="63"/>
      <c r="S48" s="10"/>
      <c r="T48" s="10"/>
      <c r="U48" s="17"/>
      <c r="V48" s="10"/>
      <c r="W48" s="10"/>
      <c r="X48" s="10"/>
    </row>
    <row r="49" spans="1:24">
      <c r="B49" s="11"/>
      <c r="C49" s="10"/>
      <c r="D49" s="10"/>
      <c r="E49" s="67" t="s">
        <v>14</v>
      </c>
      <c r="F49" s="68">
        <f>5*50/2</f>
        <v>125</v>
      </c>
      <c r="G49" s="10"/>
      <c r="H49" s="54">
        <f>F49/1.12</f>
        <v>111.60714285714285</v>
      </c>
      <c r="I49" s="10"/>
      <c r="J49" s="10"/>
      <c r="K49" s="10"/>
      <c r="L49" s="10"/>
      <c r="M49" s="10"/>
      <c r="N49" s="10"/>
      <c r="O49" s="10"/>
      <c r="P49" s="10"/>
      <c r="Q49" s="10"/>
      <c r="R49" s="10"/>
      <c r="S49" s="10"/>
      <c r="T49" s="10"/>
      <c r="U49" s="17"/>
      <c r="V49" s="10"/>
      <c r="W49" s="10"/>
      <c r="X49" s="10"/>
    </row>
    <row r="50" spans="1:24">
      <c r="B50" s="11"/>
      <c r="C50" s="10"/>
      <c r="D50" s="10"/>
      <c r="E50" s="155" t="s">
        <v>49</v>
      </c>
      <c r="F50" s="364">
        <f>T39</f>
        <v>1</v>
      </c>
      <c r="G50" s="10"/>
      <c r="H50" s="54"/>
      <c r="I50" s="55"/>
      <c r="J50" s="42"/>
      <c r="K50" s="764" t="s">
        <v>50</v>
      </c>
      <c r="L50" s="765"/>
      <c r="M50" s="765"/>
      <c r="N50" s="765"/>
      <c r="O50" s="765"/>
      <c r="P50" s="765"/>
      <c r="Q50" s="766"/>
      <c r="R50" s="70" t="s">
        <v>28</v>
      </c>
      <c r="S50" s="71" t="s">
        <v>29</v>
      </c>
      <c r="T50" s="10"/>
      <c r="U50" s="17"/>
      <c r="V50" s="10"/>
      <c r="W50" s="10"/>
      <c r="X50" s="10"/>
    </row>
    <row r="51" spans="1:24">
      <c r="B51" s="11"/>
      <c r="C51" s="10"/>
      <c r="D51" s="10"/>
      <c r="E51" s="12"/>
      <c r="F51" s="76"/>
      <c r="G51" s="10"/>
      <c r="H51" s="10"/>
      <c r="I51" s="10"/>
      <c r="J51" s="42"/>
      <c r="K51" s="20" t="s">
        <v>31</v>
      </c>
      <c r="L51" s="21" t="s">
        <v>32</v>
      </c>
      <c r="M51" s="21" t="s">
        <v>33</v>
      </c>
      <c r="N51" s="21" t="s">
        <v>34</v>
      </c>
      <c r="O51" s="21" t="s">
        <v>35</v>
      </c>
      <c r="P51" s="21" t="s">
        <v>36</v>
      </c>
      <c r="Q51" s="49" t="s">
        <v>37</v>
      </c>
      <c r="R51" s="50" t="s">
        <v>38</v>
      </c>
      <c r="S51" s="50" t="s">
        <v>38</v>
      </c>
      <c r="T51" s="10"/>
      <c r="U51" s="17"/>
      <c r="V51" s="10"/>
      <c r="W51" s="10"/>
      <c r="X51" s="10"/>
    </row>
    <row r="52" spans="1:24">
      <c r="B52" s="11"/>
      <c r="C52" s="10"/>
      <c r="D52" s="10"/>
      <c r="E52" s="10"/>
      <c r="F52" s="10"/>
      <c r="G52" s="10"/>
      <c r="H52" s="10"/>
      <c r="I52" s="10"/>
      <c r="J52" s="42"/>
      <c r="K52" s="56">
        <f>F83+F79</f>
        <v>34828</v>
      </c>
      <c r="L52" s="57">
        <f>F62+F84</f>
        <v>2270</v>
      </c>
      <c r="M52" s="57">
        <f>F64+F63</f>
        <v>1302</v>
      </c>
      <c r="N52" s="57">
        <f>F65+F66</f>
        <v>3061</v>
      </c>
      <c r="O52" s="57">
        <f>F67+F69+F68</f>
        <v>11356</v>
      </c>
      <c r="P52" s="57">
        <f>SUM(K52:O52)</f>
        <v>52817</v>
      </c>
      <c r="Q52" s="58">
        <f>F74+F75</f>
        <v>5497.16</v>
      </c>
      <c r="R52" s="59">
        <f>F80+F85</f>
        <v>35960</v>
      </c>
      <c r="S52" s="59">
        <v>0</v>
      </c>
      <c r="T52" s="10"/>
      <c r="U52" s="17"/>
      <c r="V52" s="10"/>
      <c r="W52" s="10"/>
      <c r="X52" s="10"/>
    </row>
    <row r="53" spans="1:24">
      <c r="B53" s="11"/>
      <c r="C53" s="10"/>
      <c r="D53" s="10"/>
      <c r="E53" s="10"/>
      <c r="F53" s="10"/>
      <c r="G53" s="10"/>
      <c r="H53" s="10"/>
      <c r="I53" s="10"/>
      <c r="J53" s="10" t="s">
        <v>42</v>
      </c>
      <c r="K53" s="63">
        <f t="shared" ref="K53:Q54" si="13">K45</f>
        <v>2</v>
      </c>
      <c r="L53" s="63">
        <f t="shared" si="13"/>
        <v>2</v>
      </c>
      <c r="M53" s="63">
        <f t="shared" si="13"/>
        <v>2</v>
      </c>
      <c r="N53" s="63">
        <f t="shared" si="13"/>
        <v>2</v>
      </c>
      <c r="O53" s="63">
        <f t="shared" si="13"/>
        <v>3</v>
      </c>
      <c r="P53" s="63">
        <f t="shared" si="13"/>
        <v>11</v>
      </c>
      <c r="Q53" s="63">
        <f t="shared" si="13"/>
        <v>2</v>
      </c>
      <c r="R53" s="63"/>
      <c r="S53" s="10"/>
      <c r="T53" s="10"/>
      <c r="U53" s="17"/>
      <c r="V53" s="10"/>
      <c r="W53" s="10"/>
      <c r="X53" s="10"/>
    </row>
    <row r="54" spans="1:24">
      <c r="B54" s="11"/>
      <c r="C54" s="10"/>
      <c r="D54" s="10"/>
      <c r="E54" s="10"/>
      <c r="F54" s="10"/>
      <c r="G54" s="10"/>
      <c r="H54" s="10"/>
      <c r="I54" s="10"/>
      <c r="J54" s="10" t="s">
        <v>44</v>
      </c>
      <c r="K54" s="63">
        <f t="shared" si="13"/>
        <v>5</v>
      </c>
      <c r="L54" s="63">
        <f t="shared" si="13"/>
        <v>6</v>
      </c>
      <c r="M54" s="63">
        <f t="shared" si="13"/>
        <v>2</v>
      </c>
      <c r="N54" s="63">
        <f t="shared" si="13"/>
        <v>6</v>
      </c>
      <c r="O54" s="63">
        <f t="shared" si="13"/>
        <v>4</v>
      </c>
      <c r="P54" s="63">
        <f t="shared" si="13"/>
        <v>23</v>
      </c>
      <c r="Q54" s="63">
        <f t="shared" si="13"/>
        <v>3</v>
      </c>
      <c r="R54" s="63"/>
      <c r="S54" s="10"/>
      <c r="T54" s="10"/>
      <c r="U54" s="17"/>
      <c r="V54" s="10"/>
      <c r="W54" s="10"/>
      <c r="X54" s="10"/>
    </row>
    <row r="55" spans="1:24">
      <c r="B55" s="11"/>
      <c r="C55" s="10"/>
      <c r="D55" s="10"/>
      <c r="E55" s="12"/>
      <c r="F55" s="76"/>
      <c r="G55" s="10"/>
      <c r="H55" s="10"/>
      <c r="I55" s="10"/>
      <c r="J55" s="10" t="s">
        <v>46</v>
      </c>
      <c r="K55" s="31">
        <f t="shared" ref="K55:Q55" si="14">K53/(K53+K54)</f>
        <v>0.2857142857142857</v>
      </c>
      <c r="L55" s="31">
        <f t="shared" si="14"/>
        <v>0.25</v>
      </c>
      <c r="M55" s="31">
        <f t="shared" si="14"/>
        <v>0.5</v>
      </c>
      <c r="N55" s="31">
        <f t="shared" si="14"/>
        <v>0.25</v>
      </c>
      <c r="O55" s="31">
        <f t="shared" si="14"/>
        <v>0.42857142857142855</v>
      </c>
      <c r="P55" s="31">
        <f t="shared" si="14"/>
        <v>0.3235294117647059</v>
      </c>
      <c r="Q55" s="31">
        <f t="shared" si="14"/>
        <v>0.4</v>
      </c>
      <c r="R55" s="63"/>
      <c r="S55" s="10"/>
      <c r="T55" s="10"/>
      <c r="U55" s="17"/>
      <c r="V55" s="10"/>
      <c r="W55" s="10"/>
      <c r="X55" s="10"/>
    </row>
    <row r="56" spans="1:24">
      <c r="B56" s="11"/>
      <c r="C56" s="10"/>
      <c r="D56" s="10"/>
      <c r="E56" s="10"/>
      <c r="F56" s="10"/>
      <c r="G56" s="10"/>
      <c r="H56" s="10"/>
      <c r="I56" s="10"/>
      <c r="J56" s="10" t="s">
        <v>48</v>
      </c>
      <c r="K56" s="66">
        <f t="shared" ref="K56:Q56" si="15">K52/K53</f>
        <v>17414</v>
      </c>
      <c r="L56" s="66">
        <f t="shared" si="15"/>
        <v>1135</v>
      </c>
      <c r="M56" s="66">
        <f t="shared" si="15"/>
        <v>651</v>
      </c>
      <c r="N56" s="66">
        <f t="shared" si="15"/>
        <v>1530.5</v>
      </c>
      <c r="O56" s="66">
        <f t="shared" si="15"/>
        <v>3785.3333333333335</v>
      </c>
      <c r="P56" s="66">
        <f t="shared" si="15"/>
        <v>4801.545454545455</v>
      </c>
      <c r="Q56" s="66">
        <f t="shared" si="15"/>
        <v>2748.58</v>
      </c>
      <c r="R56" s="63"/>
      <c r="S56" s="10"/>
      <c r="T56" s="10"/>
      <c r="U56" s="17"/>
      <c r="V56" s="10"/>
      <c r="W56" s="10"/>
      <c r="X56" s="10"/>
    </row>
    <row r="57" spans="1:24">
      <c r="B57" s="11"/>
      <c r="C57" s="10"/>
      <c r="D57" s="10"/>
      <c r="E57" s="10"/>
      <c r="F57" s="10"/>
      <c r="G57" s="10"/>
      <c r="H57" s="10"/>
      <c r="I57" s="10"/>
      <c r="J57" s="10"/>
      <c r="K57" s="10"/>
      <c r="L57" s="10"/>
      <c r="M57" s="10"/>
      <c r="N57" s="10"/>
      <c r="O57" s="10"/>
      <c r="P57" s="10"/>
      <c r="Q57" s="10"/>
      <c r="R57" s="10"/>
      <c r="S57" s="10"/>
      <c r="T57" s="10"/>
      <c r="U57" s="17"/>
      <c r="V57" s="10"/>
      <c r="W57" s="10"/>
      <c r="X57" s="10"/>
    </row>
    <row r="58" spans="1:24">
      <c r="B58" s="11"/>
      <c r="C58" s="10"/>
      <c r="D58" s="10"/>
      <c r="E58" s="10"/>
      <c r="F58" s="10"/>
      <c r="G58" s="10"/>
      <c r="H58" s="10"/>
      <c r="I58" s="10"/>
      <c r="J58" s="10"/>
      <c r="K58" s="10"/>
      <c r="L58" s="10"/>
      <c r="M58" s="10"/>
      <c r="N58" s="10"/>
      <c r="O58" s="10"/>
      <c r="P58" s="10"/>
      <c r="Q58" s="10"/>
      <c r="R58" s="10"/>
      <c r="S58" s="10"/>
      <c r="T58" s="10"/>
      <c r="U58" s="17"/>
      <c r="V58" s="10"/>
      <c r="W58" s="10"/>
      <c r="X58" s="10"/>
    </row>
    <row r="59" spans="1:24">
      <c r="B59" s="18" t="s">
        <v>51</v>
      </c>
      <c r="C59" s="14"/>
      <c r="D59" s="14"/>
      <c r="E59" s="14"/>
      <c r="F59" s="13" t="s">
        <v>52</v>
      </c>
      <c r="G59" s="14"/>
      <c r="H59" s="14"/>
      <c r="I59" s="14"/>
      <c r="J59" s="14"/>
      <c r="K59" s="13" t="s">
        <v>3</v>
      </c>
      <c r="L59" s="14"/>
      <c r="M59" s="14"/>
      <c r="N59" s="13" t="s">
        <v>4</v>
      </c>
      <c r="O59" s="14"/>
      <c r="P59" s="14"/>
      <c r="Q59" s="13" t="s">
        <v>5</v>
      </c>
      <c r="R59" s="14"/>
      <c r="S59" s="14"/>
      <c r="T59" s="18"/>
      <c r="U59" s="16" t="s">
        <v>53</v>
      </c>
      <c r="V59" s="77"/>
      <c r="W59" s="77"/>
      <c r="X59" s="77"/>
    </row>
    <row r="60" spans="1:24">
      <c r="B60" s="24" t="s">
        <v>54</v>
      </c>
      <c r="C60" s="21" t="s">
        <v>55</v>
      </c>
      <c r="D60" s="21" t="s">
        <v>56</v>
      </c>
      <c r="E60" s="21" t="s">
        <v>57</v>
      </c>
      <c r="F60" s="20" t="s">
        <v>58</v>
      </c>
      <c r="G60" s="21" t="s">
        <v>59</v>
      </c>
      <c r="H60" s="21" t="s">
        <v>60</v>
      </c>
      <c r="I60" s="21" t="s">
        <v>26</v>
      </c>
      <c r="J60" s="22" t="s">
        <v>61</v>
      </c>
      <c r="K60" s="21" t="s">
        <v>8</v>
      </c>
      <c r="L60" s="21" t="s">
        <v>9</v>
      </c>
      <c r="M60" s="21" t="s">
        <v>10</v>
      </c>
      <c r="N60" s="20" t="s">
        <v>11</v>
      </c>
      <c r="O60" s="21" t="s">
        <v>12</v>
      </c>
      <c r="P60" s="22" t="s">
        <v>13</v>
      </c>
      <c r="Q60" s="21" t="s">
        <v>11</v>
      </c>
      <c r="R60" s="21" t="s">
        <v>12</v>
      </c>
      <c r="S60" s="21" t="s">
        <v>13</v>
      </c>
      <c r="T60" s="78" t="s">
        <v>14</v>
      </c>
      <c r="U60" s="30"/>
      <c r="V60" s="79" t="s">
        <v>62</v>
      </c>
      <c r="W60" s="80" t="s">
        <v>63</v>
      </c>
      <c r="X60" s="81" t="s">
        <v>64</v>
      </c>
    </row>
    <row r="61" spans="1:24">
      <c r="B61" s="4" t="s">
        <v>65</v>
      </c>
      <c r="C61" s="6"/>
      <c r="D61" s="6"/>
      <c r="E61" s="6"/>
      <c r="F61" s="6"/>
      <c r="G61" s="6"/>
      <c r="H61" s="6"/>
      <c r="I61" s="82"/>
      <c r="J61" s="6"/>
      <c r="K61" s="6"/>
      <c r="L61" s="6"/>
      <c r="M61" s="6"/>
      <c r="N61" s="6"/>
      <c r="O61" s="6"/>
      <c r="P61" s="6"/>
      <c r="Q61" s="6"/>
      <c r="R61" s="6"/>
      <c r="S61" s="6"/>
      <c r="T61" s="83"/>
      <c r="U61" s="6"/>
      <c r="V61" s="84"/>
      <c r="W61" s="85"/>
      <c r="X61" s="86"/>
    </row>
    <row r="62" spans="1:24">
      <c r="B62" s="87">
        <v>1</v>
      </c>
      <c r="C62" s="274">
        <v>45867</v>
      </c>
      <c r="D62" s="327" t="s">
        <v>2814</v>
      </c>
      <c r="E62" s="281" t="s">
        <v>604</v>
      </c>
      <c r="F62" s="277">
        <v>1138</v>
      </c>
      <c r="G62" s="277">
        <f>39.7</f>
        <v>39.700000000000003</v>
      </c>
      <c r="H62" s="297"/>
      <c r="I62" s="321">
        <f t="shared" ref="I62:I69" si="16">F62-G62-H62</f>
        <v>1098.3</v>
      </c>
      <c r="J62" s="279" t="s">
        <v>374</v>
      </c>
      <c r="K62" s="279">
        <v>1</v>
      </c>
      <c r="L62" s="279">
        <v>1</v>
      </c>
      <c r="M62" s="279">
        <v>1</v>
      </c>
      <c r="N62" s="279">
        <v>1</v>
      </c>
      <c r="O62" s="279">
        <v>1</v>
      </c>
      <c r="P62" s="322">
        <v>0</v>
      </c>
      <c r="Q62" s="279">
        <v>1</v>
      </c>
      <c r="R62" s="322">
        <v>0</v>
      </c>
      <c r="S62" s="280">
        <v>1</v>
      </c>
      <c r="T62" s="63"/>
      <c r="U62" s="10" t="s">
        <v>2815</v>
      </c>
      <c r="V62" s="90">
        <v>1251.8</v>
      </c>
      <c r="W62" s="91"/>
      <c r="X62" s="92"/>
    </row>
    <row r="63" spans="1:24">
      <c r="B63" s="87">
        <f>B62+1</f>
        <v>2</v>
      </c>
      <c r="C63" s="274">
        <v>45868</v>
      </c>
      <c r="D63" s="327">
        <v>71869</v>
      </c>
      <c r="E63" s="281" t="s">
        <v>1835</v>
      </c>
      <c r="F63" s="277">
        <v>621</v>
      </c>
      <c r="G63" s="277"/>
      <c r="H63" s="277"/>
      <c r="I63" s="321">
        <f t="shared" si="16"/>
        <v>621</v>
      </c>
      <c r="J63" s="279" t="s">
        <v>374</v>
      </c>
      <c r="K63" s="279">
        <v>1</v>
      </c>
      <c r="L63" s="279">
        <v>1</v>
      </c>
      <c r="M63" s="279">
        <v>1</v>
      </c>
      <c r="N63" s="279">
        <v>1</v>
      </c>
      <c r="O63" s="279">
        <v>1</v>
      </c>
      <c r="P63" s="322">
        <v>0</v>
      </c>
      <c r="Q63" s="322">
        <v>0</v>
      </c>
      <c r="R63" s="322">
        <v>0</v>
      </c>
      <c r="S63" s="328">
        <v>0</v>
      </c>
      <c r="T63" s="63" t="s">
        <v>2816</v>
      </c>
      <c r="U63" s="10"/>
      <c r="V63" s="90">
        <v>683.1</v>
      </c>
      <c r="W63" s="91"/>
      <c r="X63" s="92"/>
    </row>
    <row r="64" spans="1:24">
      <c r="A64" t="s">
        <v>230</v>
      </c>
      <c r="B64" s="87">
        <f>B63+1</f>
        <v>3</v>
      </c>
      <c r="C64" s="295">
        <v>45868</v>
      </c>
      <c r="D64" s="323">
        <v>71868</v>
      </c>
      <c r="E64" s="10" t="s">
        <v>2374</v>
      </c>
      <c r="F64" s="62">
        <f>766-85</f>
        <v>681</v>
      </c>
      <c r="G64" s="62"/>
      <c r="H64" s="62"/>
      <c r="I64" s="369">
        <f t="shared" si="16"/>
        <v>681</v>
      </c>
      <c r="J64" s="63" t="s">
        <v>228</v>
      </c>
      <c r="K64" s="63">
        <v>1</v>
      </c>
      <c r="L64" s="63">
        <v>1</v>
      </c>
      <c r="M64" s="63">
        <v>1</v>
      </c>
      <c r="N64" s="63">
        <v>1</v>
      </c>
      <c r="O64" s="63">
        <v>1</v>
      </c>
      <c r="P64" s="325">
        <v>0</v>
      </c>
      <c r="Q64" s="325">
        <v>0</v>
      </c>
      <c r="R64" s="325">
        <v>0</v>
      </c>
      <c r="S64" s="326">
        <v>0</v>
      </c>
      <c r="T64" s="63"/>
      <c r="U64" s="10" t="s">
        <v>2817</v>
      </c>
      <c r="V64" s="90">
        <f>93.5+749.1</f>
        <v>842.6</v>
      </c>
      <c r="W64" s="91"/>
      <c r="X64" s="92"/>
    </row>
    <row r="65" spans="1:24">
      <c r="B65" s="87">
        <f t="shared" ref="B65" si="17">B64+1</f>
        <v>4</v>
      </c>
      <c r="C65" s="274">
        <v>45869</v>
      </c>
      <c r="D65" s="327" t="s">
        <v>2818</v>
      </c>
      <c r="E65" s="276" t="s">
        <v>1073</v>
      </c>
      <c r="F65" s="277">
        <v>461</v>
      </c>
      <c r="G65" s="277"/>
      <c r="H65" s="277"/>
      <c r="I65" s="321">
        <f t="shared" si="16"/>
        <v>461</v>
      </c>
      <c r="J65" s="279" t="s">
        <v>374</v>
      </c>
      <c r="K65" s="279">
        <v>1</v>
      </c>
      <c r="L65" s="279">
        <v>1</v>
      </c>
      <c r="M65" s="279">
        <v>1</v>
      </c>
      <c r="N65" s="279">
        <v>1</v>
      </c>
      <c r="O65" s="279">
        <v>1</v>
      </c>
      <c r="P65" s="322">
        <v>0</v>
      </c>
      <c r="Q65" s="279">
        <v>1</v>
      </c>
      <c r="R65" s="279">
        <v>1</v>
      </c>
      <c r="S65" s="328">
        <v>0</v>
      </c>
      <c r="T65" s="63"/>
      <c r="U65" s="10"/>
      <c r="V65" s="90">
        <v>507.1</v>
      </c>
      <c r="W65" s="91"/>
      <c r="X65" s="92"/>
    </row>
    <row r="66" spans="1:24" s="260" customFormat="1">
      <c r="A66" s="530">
        <v>45870</v>
      </c>
      <c r="B66" s="87">
        <f>B65+1</f>
        <v>5</v>
      </c>
      <c r="C66" s="282">
        <v>45869</v>
      </c>
      <c r="D66" s="368">
        <v>71932</v>
      </c>
      <c r="E66" s="283" t="s">
        <v>1167</v>
      </c>
      <c r="F66" s="284">
        <v>2600</v>
      </c>
      <c r="G66" s="284">
        <f>200</f>
        <v>200</v>
      </c>
      <c r="H66" s="284"/>
      <c r="I66" s="300">
        <f t="shared" si="16"/>
        <v>2400</v>
      </c>
      <c r="J66" s="286" t="s">
        <v>150</v>
      </c>
      <c r="K66" s="286">
        <v>1</v>
      </c>
      <c r="L66" s="286">
        <v>1</v>
      </c>
      <c r="M66" s="286">
        <v>1</v>
      </c>
      <c r="N66" s="286">
        <v>1</v>
      </c>
      <c r="O66" s="286">
        <v>1</v>
      </c>
      <c r="P66" s="332">
        <v>0</v>
      </c>
      <c r="Q66" s="332">
        <v>0</v>
      </c>
      <c r="R66" s="332">
        <v>0</v>
      </c>
      <c r="S66" s="370">
        <v>0</v>
      </c>
      <c r="T66" s="63"/>
      <c r="U66" s="94"/>
      <c r="V66" s="90">
        <v>0</v>
      </c>
      <c r="W66" s="456">
        <f>300+2560</f>
        <v>2860</v>
      </c>
      <c r="X66" s="92"/>
    </row>
    <row r="67" spans="1:24" s="260" customFormat="1">
      <c r="B67" s="87">
        <f>B66+1</f>
        <v>6</v>
      </c>
      <c r="C67" s="295">
        <v>45870</v>
      </c>
      <c r="D67" s="323">
        <v>71951</v>
      </c>
      <c r="E67" s="94" t="s">
        <v>149</v>
      </c>
      <c r="F67" s="62">
        <v>1461</v>
      </c>
      <c r="G67" s="62">
        <f>39.7</f>
        <v>39.700000000000003</v>
      </c>
      <c r="H67" s="62"/>
      <c r="I67" s="89">
        <f t="shared" si="16"/>
        <v>1421.3</v>
      </c>
      <c r="J67" s="63" t="s">
        <v>156</v>
      </c>
      <c r="K67" s="63">
        <v>1</v>
      </c>
      <c r="L67" s="63">
        <v>1</v>
      </c>
      <c r="M67" s="63">
        <v>1</v>
      </c>
      <c r="N67" s="63">
        <v>1</v>
      </c>
      <c r="O67" s="63">
        <v>1</v>
      </c>
      <c r="P67" s="63">
        <v>1</v>
      </c>
      <c r="Q67" s="63">
        <v>1</v>
      </c>
      <c r="R67" s="63">
        <v>1</v>
      </c>
      <c r="S67" s="296">
        <v>1</v>
      </c>
      <c r="T67" s="63"/>
      <c r="U67" s="10"/>
      <c r="V67" s="90">
        <v>1607.1</v>
      </c>
      <c r="W67" s="91"/>
      <c r="X67" s="92"/>
    </row>
    <row r="68" spans="1:24" s="260" customFormat="1">
      <c r="B68" s="87">
        <f>B67+1</f>
        <v>7</v>
      </c>
      <c r="C68" s="295">
        <v>45870</v>
      </c>
      <c r="D68" s="323" t="s">
        <v>2819</v>
      </c>
      <c r="E68" s="10" t="s">
        <v>1047</v>
      </c>
      <c r="F68" s="62">
        <v>8214</v>
      </c>
      <c r="G68" s="62">
        <f>39.7+789.8+(1074.87)+250</f>
        <v>2154.37</v>
      </c>
      <c r="H68" s="62"/>
      <c r="I68" s="324">
        <f t="shared" si="16"/>
        <v>6059.63</v>
      </c>
      <c r="J68" s="63" t="s">
        <v>817</v>
      </c>
      <c r="K68" s="63">
        <v>1</v>
      </c>
      <c r="L68" s="63">
        <v>1</v>
      </c>
      <c r="M68" s="63">
        <v>1</v>
      </c>
      <c r="N68" s="63">
        <v>1</v>
      </c>
      <c r="O68" s="63">
        <v>1</v>
      </c>
      <c r="P68" s="537">
        <v>1</v>
      </c>
      <c r="Q68" s="537">
        <v>1</v>
      </c>
      <c r="R68" s="537">
        <v>1</v>
      </c>
      <c r="S68" s="538">
        <v>1</v>
      </c>
      <c r="T68" s="63"/>
      <c r="U68" s="94" t="s">
        <v>2820</v>
      </c>
      <c r="V68" s="90">
        <v>8235.4</v>
      </c>
      <c r="W68" s="456">
        <v>800</v>
      </c>
      <c r="X68" s="137"/>
    </row>
    <row r="69" spans="1:24">
      <c r="B69" s="87">
        <f>B68+1</f>
        <v>8</v>
      </c>
      <c r="C69" s="282">
        <v>45870</v>
      </c>
      <c r="D69" s="368">
        <v>71975</v>
      </c>
      <c r="E69" s="283" t="s">
        <v>778</v>
      </c>
      <c r="F69" s="284">
        <v>1681</v>
      </c>
      <c r="G69" s="284">
        <f>39.7</f>
        <v>39.700000000000003</v>
      </c>
      <c r="H69" s="284"/>
      <c r="I69" s="285">
        <f t="shared" si="16"/>
        <v>1641.3</v>
      </c>
      <c r="J69" s="286" t="s">
        <v>156</v>
      </c>
      <c r="K69" s="286">
        <v>1</v>
      </c>
      <c r="L69" s="286">
        <v>1</v>
      </c>
      <c r="M69" s="286">
        <v>1</v>
      </c>
      <c r="N69" s="286">
        <v>1</v>
      </c>
      <c r="O69" s="286">
        <v>1</v>
      </c>
      <c r="P69" s="286">
        <v>1</v>
      </c>
      <c r="Q69" s="286">
        <v>1</v>
      </c>
      <c r="R69" s="286">
        <v>1</v>
      </c>
      <c r="S69" s="287">
        <v>1</v>
      </c>
      <c r="T69" s="63"/>
      <c r="U69" s="10"/>
      <c r="V69" s="90">
        <v>1849.1</v>
      </c>
      <c r="W69" s="91"/>
      <c r="X69" s="92"/>
    </row>
    <row r="70" spans="1:24">
      <c r="B70" s="87"/>
      <c r="C70" s="36"/>
      <c r="D70" s="10"/>
      <c r="E70" s="10"/>
      <c r="F70" s="97">
        <f>SUM(F62:F69)</f>
        <v>16857</v>
      </c>
      <c r="G70" s="97">
        <f>SUM(G62:G69)</f>
        <v>2473.4699999999998</v>
      </c>
      <c r="H70" s="97">
        <f>SUM(H62:H69)</f>
        <v>0</v>
      </c>
      <c r="I70" s="98">
        <f>SUM(I62:I69)</f>
        <v>14383.529999999999</v>
      </c>
      <c r="J70" s="63"/>
      <c r="K70" s="63">
        <f t="shared" ref="K70:S70" si="18">COUNT(K62:K69)</f>
        <v>8</v>
      </c>
      <c r="L70" s="63">
        <f t="shared" si="18"/>
        <v>8</v>
      </c>
      <c r="M70" s="63">
        <f t="shared" si="18"/>
        <v>8</v>
      </c>
      <c r="N70" s="63">
        <f t="shared" si="18"/>
        <v>8</v>
      </c>
      <c r="O70" s="63">
        <f t="shared" si="18"/>
        <v>8</v>
      </c>
      <c r="P70" s="63">
        <f t="shared" si="18"/>
        <v>8</v>
      </c>
      <c r="Q70" s="63">
        <f t="shared" si="18"/>
        <v>8</v>
      </c>
      <c r="R70" s="63">
        <f t="shared" si="18"/>
        <v>8</v>
      </c>
      <c r="S70" s="63">
        <f t="shared" si="18"/>
        <v>8</v>
      </c>
      <c r="T70" s="63"/>
      <c r="U70" s="10"/>
      <c r="V70" s="90"/>
      <c r="W70" s="91"/>
      <c r="X70" s="92"/>
    </row>
    <row r="71" spans="1:24">
      <c r="B71" s="87"/>
      <c r="C71" s="36"/>
      <c r="D71" s="10"/>
      <c r="E71" s="10"/>
      <c r="F71" s="88"/>
      <c r="G71" s="88"/>
      <c r="H71" s="88"/>
      <c r="I71" s="99"/>
      <c r="J71" s="63"/>
      <c r="K71" s="21">
        <f t="shared" ref="K71:S71" si="19">SUM(K62:K69)</f>
        <v>8</v>
      </c>
      <c r="L71" s="21">
        <f t="shared" si="19"/>
        <v>8</v>
      </c>
      <c r="M71" s="21">
        <f t="shared" si="19"/>
        <v>8</v>
      </c>
      <c r="N71" s="21">
        <f t="shared" si="19"/>
        <v>8</v>
      </c>
      <c r="O71" s="21">
        <f t="shared" si="19"/>
        <v>8</v>
      </c>
      <c r="P71" s="21">
        <f t="shared" si="19"/>
        <v>3</v>
      </c>
      <c r="Q71" s="21">
        <f t="shared" si="19"/>
        <v>5</v>
      </c>
      <c r="R71" s="21">
        <f t="shared" si="19"/>
        <v>4</v>
      </c>
      <c r="S71" s="21">
        <f t="shared" si="19"/>
        <v>4</v>
      </c>
      <c r="T71" s="63"/>
      <c r="U71" s="10"/>
      <c r="V71" s="90"/>
      <c r="W71" s="91"/>
      <c r="X71" s="92"/>
    </row>
    <row r="72" spans="1:24">
      <c r="B72" s="11"/>
      <c r="C72" s="36"/>
      <c r="D72" s="10"/>
      <c r="E72" s="10"/>
      <c r="F72" s="88"/>
      <c r="G72" s="88"/>
      <c r="H72" s="88"/>
      <c r="I72" s="99"/>
      <c r="J72" s="63"/>
      <c r="K72" s="21"/>
      <c r="L72" s="21"/>
      <c r="M72" s="21"/>
      <c r="N72" s="21"/>
      <c r="O72" s="21"/>
      <c r="P72" s="21"/>
      <c r="Q72" s="21"/>
      <c r="R72" s="21"/>
      <c r="S72" s="21"/>
      <c r="T72" s="63"/>
      <c r="U72" s="10"/>
      <c r="V72" s="90"/>
      <c r="W72" s="91"/>
      <c r="X72" s="92"/>
    </row>
    <row r="73" spans="1:24">
      <c r="B73" s="100" t="s">
        <v>66</v>
      </c>
      <c r="C73" s="36"/>
      <c r="D73" s="10"/>
      <c r="E73" s="10"/>
      <c r="F73" s="88"/>
      <c r="G73" s="62"/>
      <c r="H73" s="88"/>
      <c r="I73" s="99"/>
      <c r="J73" s="63"/>
      <c r="K73" s="2"/>
      <c r="L73" s="2"/>
      <c r="M73" s="2"/>
      <c r="N73" s="2"/>
      <c r="O73" s="2"/>
      <c r="P73" s="2"/>
      <c r="Q73" s="2"/>
      <c r="R73" s="2"/>
      <c r="S73" s="2"/>
      <c r="T73" s="63"/>
      <c r="U73" s="94"/>
      <c r="V73" s="90"/>
      <c r="W73" s="91"/>
      <c r="X73" s="92"/>
    </row>
    <row r="74" spans="1:24">
      <c r="B74" s="87">
        <v>1</v>
      </c>
      <c r="C74" s="274">
        <v>45871</v>
      </c>
      <c r="D74" s="327">
        <v>71979</v>
      </c>
      <c r="E74" s="281" t="s">
        <v>1008</v>
      </c>
      <c r="F74" s="277">
        <f>2946-85</f>
        <v>2861</v>
      </c>
      <c r="G74" s="277">
        <f>39.7+(148)</f>
        <v>187.7</v>
      </c>
      <c r="H74" s="277"/>
      <c r="I74" s="278">
        <f>F74-G74-H74</f>
        <v>2673.3</v>
      </c>
      <c r="J74" s="279" t="s">
        <v>228</v>
      </c>
      <c r="K74" s="279">
        <v>1</v>
      </c>
      <c r="L74" s="279">
        <v>1</v>
      </c>
      <c r="M74" s="279">
        <v>1</v>
      </c>
      <c r="N74" s="279">
        <v>1</v>
      </c>
      <c r="O74" s="279">
        <v>1</v>
      </c>
      <c r="P74" s="279">
        <v>1</v>
      </c>
      <c r="Q74" s="279">
        <v>1</v>
      </c>
      <c r="R74" s="279">
        <v>1</v>
      </c>
      <c r="S74" s="280">
        <v>1</v>
      </c>
      <c r="T74" s="63"/>
      <c r="U74" s="94" t="s">
        <v>2821</v>
      </c>
      <c r="V74" s="90">
        <f>93.5+300+2753.6</f>
        <v>3147.1</v>
      </c>
      <c r="W74" s="91"/>
      <c r="X74" s="92"/>
    </row>
    <row r="75" spans="1:24">
      <c r="B75" s="87">
        <f t="shared" ref="B75" si="20">B74+1</f>
        <v>2</v>
      </c>
      <c r="C75" s="282">
        <v>45871</v>
      </c>
      <c r="D75" s="368" t="s">
        <v>2822</v>
      </c>
      <c r="E75" s="319" t="s">
        <v>322</v>
      </c>
      <c r="F75" s="284">
        <f>2721.16-85</f>
        <v>2636.16</v>
      </c>
      <c r="G75" s="284">
        <v>39.700000000000003</v>
      </c>
      <c r="H75" s="284"/>
      <c r="I75" s="300">
        <f>F75-G75-H75</f>
        <v>2596.46</v>
      </c>
      <c r="J75" s="286" t="s">
        <v>228</v>
      </c>
      <c r="K75" s="286">
        <v>1</v>
      </c>
      <c r="L75" s="286">
        <v>1</v>
      </c>
      <c r="M75" s="286">
        <v>1</v>
      </c>
      <c r="N75" s="286">
        <v>1</v>
      </c>
      <c r="O75" s="286">
        <v>1</v>
      </c>
      <c r="P75" s="332">
        <v>0</v>
      </c>
      <c r="Q75" s="286">
        <v>1</v>
      </c>
      <c r="R75" s="286">
        <v>1</v>
      </c>
      <c r="S75" s="370">
        <v>0</v>
      </c>
      <c r="T75" s="63"/>
      <c r="U75" s="94"/>
      <c r="V75" s="90">
        <f>93.5+300+2647.19</f>
        <v>3040.69</v>
      </c>
      <c r="W75" s="91"/>
      <c r="X75" s="92"/>
    </row>
    <row r="76" spans="1:24">
      <c r="B76" s="11"/>
      <c r="C76" s="36"/>
      <c r="D76" s="10"/>
      <c r="E76" s="10"/>
      <c r="F76" s="97">
        <f>SUM(F74:F75)</f>
        <v>5497.16</v>
      </c>
      <c r="G76" s="97">
        <f>SUM(G74:G75)</f>
        <v>227.39999999999998</v>
      </c>
      <c r="H76" s="97">
        <f>SUM(H74:H75)</f>
        <v>0</v>
      </c>
      <c r="I76" s="98">
        <f>SUM(I74:I75)</f>
        <v>5269.76</v>
      </c>
      <c r="J76" s="63"/>
      <c r="K76" s="21"/>
      <c r="L76" s="21"/>
      <c r="M76" s="21"/>
      <c r="N76" s="21"/>
      <c r="O76" s="21"/>
      <c r="P76" s="21"/>
      <c r="Q76" s="21"/>
      <c r="R76" s="21"/>
      <c r="S76" s="21"/>
      <c r="T76" s="63"/>
      <c r="U76" s="94"/>
      <c r="V76" s="90"/>
      <c r="W76" s="91"/>
      <c r="X76" s="92"/>
    </row>
    <row r="77" spans="1:24">
      <c r="B77" s="11"/>
      <c r="C77" s="36"/>
      <c r="D77" s="10"/>
      <c r="E77" s="10"/>
      <c r="F77" s="88"/>
      <c r="G77" s="88"/>
      <c r="H77" s="88"/>
      <c r="I77" s="99"/>
      <c r="J77" s="63"/>
      <c r="K77" s="21"/>
      <c r="L77" s="21"/>
      <c r="M77" s="21"/>
      <c r="N77" s="21"/>
      <c r="O77" s="21"/>
      <c r="P77" s="21"/>
      <c r="Q77" s="21"/>
      <c r="R77" s="21"/>
      <c r="S77" s="21"/>
      <c r="T77" s="63"/>
      <c r="U77" s="94"/>
      <c r="V77" s="90"/>
      <c r="W77" s="91"/>
      <c r="X77" s="92"/>
    </row>
    <row r="78" spans="1:24" s="342" customFormat="1">
      <c r="B78" s="121" t="s">
        <v>68</v>
      </c>
      <c r="C78" s="122"/>
      <c r="D78" s="123"/>
      <c r="E78" s="123"/>
      <c r="F78" s="124"/>
      <c r="G78" s="125"/>
      <c r="H78" s="124"/>
      <c r="I78" s="126"/>
      <c r="J78" s="127"/>
      <c r="K78" s="128"/>
      <c r="L78" s="128"/>
      <c r="M78" s="128"/>
      <c r="N78" s="128"/>
      <c r="O78" s="128"/>
      <c r="P78" s="128"/>
      <c r="Q78" s="128"/>
      <c r="R78" s="128"/>
      <c r="S78" s="128"/>
      <c r="T78" s="127"/>
      <c r="U78" s="123"/>
      <c r="V78" s="129"/>
      <c r="W78" s="130"/>
      <c r="X78" s="131"/>
    </row>
    <row r="79" spans="1:24" s="342" customFormat="1">
      <c r="B79" s="333">
        <v>1</v>
      </c>
      <c r="C79" s="350">
        <v>45866</v>
      </c>
      <c r="D79" s="263">
        <v>71800</v>
      </c>
      <c r="E79" s="358" t="s">
        <v>2823</v>
      </c>
      <c r="F79" s="352">
        <v>6214</v>
      </c>
      <c r="G79" s="352">
        <f>39.7+(1288.73)+250</f>
        <v>1578.43</v>
      </c>
      <c r="H79" s="352"/>
      <c r="I79" s="353">
        <f>F79-G79-H79</f>
        <v>4635.57</v>
      </c>
      <c r="J79" s="354" t="s">
        <v>156</v>
      </c>
      <c r="K79" s="354">
        <v>1</v>
      </c>
      <c r="L79" s="314">
        <v>0</v>
      </c>
      <c r="M79" s="354">
        <v>1</v>
      </c>
      <c r="N79" s="354">
        <v>1</v>
      </c>
      <c r="O79" s="354">
        <v>1</v>
      </c>
      <c r="P79" s="314">
        <v>0</v>
      </c>
      <c r="Q79" s="314">
        <v>0</v>
      </c>
      <c r="R79" s="314">
        <v>0</v>
      </c>
      <c r="S79" s="366">
        <v>0</v>
      </c>
      <c r="T79" s="127"/>
      <c r="U79" s="135"/>
      <c r="V79" s="129">
        <v>341.75</v>
      </c>
      <c r="W79" s="340"/>
      <c r="X79" s="131"/>
    </row>
    <row r="80" spans="1:24" s="342" customFormat="1">
      <c r="B80" s="132"/>
      <c r="C80" s="122"/>
      <c r="D80" s="123"/>
      <c r="E80" s="123"/>
      <c r="F80" s="134">
        <f>SUM(F79:F79)</f>
        <v>6214</v>
      </c>
      <c r="G80" s="134">
        <f>SUM(G79:G79)</f>
        <v>1578.43</v>
      </c>
      <c r="H80" s="134">
        <f>SUM(H79:H79)</f>
        <v>0</v>
      </c>
      <c r="I80" s="134">
        <f>SUM(I79:I79)</f>
        <v>4635.57</v>
      </c>
      <c r="J80" s="127"/>
      <c r="K80" s="64"/>
      <c r="L80" s="64"/>
      <c r="M80" s="64"/>
      <c r="N80" s="64"/>
      <c r="O80" s="64"/>
      <c r="P80" s="64"/>
      <c r="Q80" s="64"/>
      <c r="R80" s="64"/>
      <c r="S80" s="64"/>
      <c r="T80" s="127"/>
      <c r="U80" s="123"/>
      <c r="V80" s="129"/>
      <c r="W80" s="130"/>
      <c r="X80" s="131"/>
    </row>
    <row r="81" spans="1:24">
      <c r="B81" s="11"/>
      <c r="C81" s="36"/>
      <c r="D81" s="10"/>
      <c r="E81" s="10"/>
      <c r="F81" s="88"/>
      <c r="G81" s="88"/>
      <c r="H81" s="88"/>
      <c r="I81" s="99"/>
      <c r="J81" s="63"/>
      <c r="K81" s="21"/>
      <c r="L81" s="21"/>
      <c r="M81" s="21"/>
      <c r="N81" s="21"/>
      <c r="O81" s="21"/>
      <c r="P81" s="21"/>
      <c r="Q81" s="21"/>
      <c r="R81" s="21"/>
      <c r="S81" s="21"/>
      <c r="T81" s="63"/>
      <c r="U81" s="10"/>
      <c r="V81" s="90"/>
      <c r="W81" s="91"/>
      <c r="X81" s="92"/>
    </row>
    <row r="82" spans="1:24">
      <c r="B82" s="121" t="s">
        <v>70</v>
      </c>
      <c r="C82" s="122"/>
      <c r="D82" s="123"/>
      <c r="E82" s="128"/>
      <c r="F82" s="124"/>
      <c r="G82" s="124"/>
      <c r="H82" s="124"/>
      <c r="I82" s="126"/>
      <c r="J82" s="127"/>
      <c r="K82" s="64"/>
      <c r="L82" s="64"/>
      <c r="M82" s="64"/>
      <c r="N82" s="64"/>
      <c r="O82" s="64"/>
      <c r="P82" s="64"/>
      <c r="Q82" s="64"/>
      <c r="R82" s="64"/>
      <c r="S82" s="64"/>
      <c r="T82" s="127"/>
      <c r="U82" s="135"/>
      <c r="V82" s="129"/>
      <c r="W82" s="130"/>
      <c r="X82" s="131"/>
    </row>
    <row r="83" spans="1:24" s="342" customFormat="1">
      <c r="A83" s="342" t="s">
        <v>383</v>
      </c>
      <c r="B83" s="333">
        <v>1</v>
      </c>
      <c r="C83" s="334">
        <v>45866</v>
      </c>
      <c r="D83" s="327">
        <v>71787</v>
      </c>
      <c r="E83" s="335" t="s">
        <v>1338</v>
      </c>
      <c r="F83" s="336">
        <v>28614</v>
      </c>
      <c r="G83" s="336">
        <f>39.7+1424.2+(474.48+162.31+289.19+9.1)+(F83*0.25)</f>
        <v>9552.48</v>
      </c>
      <c r="H83" s="336"/>
      <c r="I83" s="337">
        <f t="shared" ref="I83:I84" si="21">F83-G83-H83</f>
        <v>19061.52</v>
      </c>
      <c r="J83" s="338" t="s">
        <v>374</v>
      </c>
      <c r="K83" s="338">
        <v>1</v>
      </c>
      <c r="L83" s="338"/>
      <c r="M83" s="338">
        <v>1</v>
      </c>
      <c r="N83" s="338">
        <v>1</v>
      </c>
      <c r="O83" s="338">
        <v>1</v>
      </c>
      <c r="P83" s="322">
        <v>0</v>
      </c>
      <c r="Q83" s="338"/>
      <c r="R83" s="338"/>
      <c r="S83" s="339"/>
      <c r="T83" s="127"/>
      <c r="U83" s="135" t="s">
        <v>2824</v>
      </c>
      <c r="V83" s="129">
        <f>3147.54</f>
        <v>3147.54</v>
      </c>
      <c r="W83" s="340"/>
      <c r="X83" s="341"/>
    </row>
    <row r="84" spans="1:24" s="381" customFormat="1">
      <c r="A84" s="381" t="s">
        <v>259</v>
      </c>
      <c r="B84" s="372">
        <f>B83+1</f>
        <v>2</v>
      </c>
      <c r="C84" s="373">
        <v>45867</v>
      </c>
      <c r="D84" s="263">
        <v>71852</v>
      </c>
      <c r="E84" s="391" t="s">
        <v>1319</v>
      </c>
      <c r="F84" s="375">
        <v>1132</v>
      </c>
      <c r="G84" s="375">
        <f>39.7+200</f>
        <v>239.7</v>
      </c>
      <c r="H84" s="375"/>
      <c r="I84" s="376">
        <f t="shared" si="21"/>
        <v>892.3</v>
      </c>
      <c r="J84" s="314" t="s">
        <v>150</v>
      </c>
      <c r="K84" s="314">
        <v>1</v>
      </c>
      <c r="L84" s="314"/>
      <c r="M84" s="314">
        <v>0</v>
      </c>
      <c r="N84" s="314">
        <v>1</v>
      </c>
      <c r="O84" s="314">
        <v>1</v>
      </c>
      <c r="P84" s="314">
        <v>0</v>
      </c>
      <c r="Q84" s="314"/>
      <c r="R84" s="314"/>
      <c r="S84" s="366"/>
      <c r="T84" s="325"/>
      <c r="U84" s="430" t="s">
        <v>2825</v>
      </c>
      <c r="V84" s="377"/>
      <c r="W84" s="456">
        <v>150</v>
      </c>
      <c r="X84" s="379"/>
    </row>
    <row r="85" spans="1:24">
      <c r="B85" s="132"/>
      <c r="C85" s="122"/>
      <c r="D85" s="123"/>
      <c r="E85" s="123"/>
      <c r="F85" s="133">
        <f>SUM(F83:F84)</f>
        <v>29746</v>
      </c>
      <c r="G85" s="133">
        <f>SUM(G83:G84)</f>
        <v>9792.18</v>
      </c>
      <c r="H85" s="133">
        <f>SUM(H83:H84)</f>
        <v>0</v>
      </c>
      <c r="I85" s="134">
        <f>SUM(I83:I84)</f>
        <v>19953.82</v>
      </c>
      <c r="J85" s="127"/>
      <c r="K85" s="64"/>
      <c r="L85" s="64"/>
      <c r="M85" s="64"/>
      <c r="N85" s="64"/>
      <c r="O85" s="64"/>
      <c r="P85" s="64"/>
      <c r="Q85" s="64"/>
      <c r="R85" s="64"/>
      <c r="S85" s="64"/>
      <c r="T85" s="127"/>
      <c r="U85" s="135"/>
      <c r="V85" s="129"/>
      <c r="W85" s="130"/>
      <c r="X85" s="131"/>
    </row>
    <row r="86" spans="1:24">
      <c r="B86" s="11"/>
      <c r="C86" s="36"/>
      <c r="D86" s="10"/>
      <c r="E86" s="10"/>
      <c r="F86" s="88"/>
      <c r="G86" s="88"/>
      <c r="H86" s="88"/>
      <c r="I86" s="99"/>
      <c r="J86" s="10"/>
      <c r="K86" s="63"/>
      <c r="L86" s="63"/>
      <c r="M86" s="63"/>
      <c r="N86" s="63"/>
      <c r="O86" s="63"/>
      <c r="P86" s="63"/>
      <c r="Q86" s="63"/>
      <c r="R86" s="63"/>
      <c r="S86" s="63"/>
      <c r="T86" s="63"/>
      <c r="U86" s="94"/>
      <c r="V86" s="90"/>
      <c r="W86" s="91"/>
      <c r="X86" s="92"/>
    </row>
    <row r="87" spans="1:24">
      <c r="B87" s="100" t="s">
        <v>72</v>
      </c>
      <c r="C87" s="36"/>
      <c r="D87" s="10"/>
      <c r="E87" s="10"/>
      <c r="F87" s="88"/>
      <c r="G87" s="88"/>
      <c r="H87" s="88"/>
      <c r="I87" s="99"/>
      <c r="J87" s="63"/>
      <c r="K87" s="63"/>
      <c r="L87" s="63"/>
      <c r="M87" s="63"/>
      <c r="N87" s="63"/>
      <c r="O87" s="63"/>
      <c r="P87" s="63"/>
      <c r="Q87" s="63"/>
      <c r="R87" s="63"/>
      <c r="S87" s="63"/>
      <c r="T87" s="63"/>
      <c r="U87" s="10"/>
      <c r="V87" s="90"/>
      <c r="W87" s="91"/>
      <c r="X87" s="92"/>
    </row>
    <row r="88" spans="1:24">
      <c r="B88" s="87">
        <v>1</v>
      </c>
      <c r="C88" s="274">
        <v>45866</v>
      </c>
      <c r="D88" s="276">
        <v>71791</v>
      </c>
      <c r="E88" s="276" t="s">
        <v>1058</v>
      </c>
      <c r="F88" s="277">
        <v>0</v>
      </c>
      <c r="G88" s="277"/>
      <c r="H88" s="277"/>
      <c r="I88" s="278">
        <f t="shared" ref="I88:I105" si="22">F88-G88-H88</f>
        <v>0</v>
      </c>
      <c r="J88" s="279" t="s">
        <v>1364</v>
      </c>
      <c r="K88" s="279">
        <v>1</v>
      </c>
      <c r="L88" s="279"/>
      <c r="M88" s="279"/>
      <c r="N88" s="279"/>
      <c r="O88" s="279"/>
      <c r="P88" s="279"/>
      <c r="Q88" s="279">
        <v>1</v>
      </c>
      <c r="R88" s="279">
        <v>1</v>
      </c>
      <c r="S88" s="280"/>
      <c r="T88" s="63"/>
      <c r="U88" s="3" t="s">
        <v>2826</v>
      </c>
      <c r="V88" s="90"/>
      <c r="W88" s="91"/>
      <c r="X88" s="92"/>
    </row>
    <row r="89" spans="1:24">
      <c r="B89" s="87">
        <f t="shared" ref="B89:B105" si="23">B88+1</f>
        <v>2</v>
      </c>
      <c r="C89" s="295">
        <v>45866</v>
      </c>
      <c r="D89" s="10">
        <v>71795</v>
      </c>
      <c r="E89" s="10" t="s">
        <v>2827</v>
      </c>
      <c r="F89" s="62">
        <v>1315</v>
      </c>
      <c r="G89" s="62">
        <v>39.700000000000003</v>
      </c>
      <c r="H89" s="62"/>
      <c r="I89" s="89">
        <f t="shared" si="22"/>
        <v>1275.3</v>
      </c>
      <c r="J89" s="63" t="s">
        <v>205</v>
      </c>
      <c r="K89" s="63"/>
      <c r="L89" s="63"/>
      <c r="M89" s="63"/>
      <c r="N89" s="63">
        <v>1</v>
      </c>
      <c r="O89" s="63"/>
      <c r="P89" s="63"/>
      <c r="Q89" s="63"/>
      <c r="R89" s="63"/>
      <c r="S89" s="296"/>
      <c r="T89" s="63"/>
      <c r="U89" s="10"/>
      <c r="V89" s="90"/>
      <c r="W89" s="136"/>
      <c r="X89" s="137"/>
    </row>
    <row r="90" spans="1:24">
      <c r="B90" s="87">
        <f t="shared" si="23"/>
        <v>3</v>
      </c>
      <c r="C90" s="295">
        <v>45866</v>
      </c>
      <c r="D90" s="10">
        <v>71650</v>
      </c>
      <c r="E90" s="10" t="s">
        <v>1088</v>
      </c>
      <c r="F90" s="62">
        <v>2604</v>
      </c>
      <c r="G90" s="62">
        <v>39.700000000000003</v>
      </c>
      <c r="H90" s="62"/>
      <c r="I90" s="89">
        <f t="shared" ref="I90:I98" si="24">F90-G90-H90</f>
        <v>2564.3000000000002</v>
      </c>
      <c r="J90" s="63" t="s">
        <v>205</v>
      </c>
      <c r="K90" s="63">
        <v>1</v>
      </c>
      <c r="L90" s="63"/>
      <c r="M90" s="63"/>
      <c r="N90" s="63">
        <v>1</v>
      </c>
      <c r="O90" s="63"/>
      <c r="P90" s="63"/>
      <c r="Q90" s="63"/>
      <c r="R90" s="63"/>
      <c r="S90" s="296"/>
      <c r="T90" s="63"/>
      <c r="U90" s="10"/>
      <c r="V90" s="90"/>
      <c r="W90" s="136"/>
      <c r="X90" s="137"/>
    </row>
    <row r="91" spans="1:24">
      <c r="B91" s="87">
        <f t="shared" si="23"/>
        <v>4</v>
      </c>
      <c r="C91" s="295">
        <v>45866</v>
      </c>
      <c r="D91" s="10">
        <v>71804</v>
      </c>
      <c r="E91" s="10" t="s">
        <v>1098</v>
      </c>
      <c r="F91" s="62">
        <v>6214</v>
      </c>
      <c r="G91" s="62">
        <v>39.700000000000003</v>
      </c>
      <c r="H91" s="62"/>
      <c r="I91" s="89">
        <f t="shared" si="24"/>
        <v>6174.3</v>
      </c>
      <c r="J91" s="63" t="s">
        <v>205</v>
      </c>
      <c r="K91" s="63">
        <v>1</v>
      </c>
      <c r="L91" s="63"/>
      <c r="M91" s="63"/>
      <c r="N91" s="63">
        <v>1</v>
      </c>
      <c r="O91" s="63"/>
      <c r="P91" s="63"/>
      <c r="Q91" s="63"/>
      <c r="R91" s="63"/>
      <c r="S91" s="296"/>
      <c r="T91" s="63"/>
      <c r="U91" s="10"/>
      <c r="V91" s="90"/>
      <c r="W91" s="136"/>
      <c r="X91" s="137"/>
    </row>
    <row r="92" spans="1:24">
      <c r="B92" s="87">
        <f t="shared" si="23"/>
        <v>5</v>
      </c>
      <c r="C92" s="295">
        <v>45866</v>
      </c>
      <c r="D92" s="10">
        <v>71777</v>
      </c>
      <c r="E92" s="10" t="s">
        <v>1509</v>
      </c>
      <c r="F92" s="62">
        <v>1428</v>
      </c>
      <c r="G92" s="62">
        <v>39.700000000000003</v>
      </c>
      <c r="H92" s="62"/>
      <c r="I92" s="89">
        <f t="shared" si="24"/>
        <v>1388.3</v>
      </c>
      <c r="J92" s="63" t="s">
        <v>205</v>
      </c>
      <c r="K92" s="63">
        <v>1</v>
      </c>
      <c r="L92" s="63"/>
      <c r="M92" s="63"/>
      <c r="N92" s="63">
        <v>1</v>
      </c>
      <c r="O92" s="63"/>
      <c r="P92" s="63"/>
      <c r="Q92" s="63"/>
      <c r="R92" s="63"/>
      <c r="S92" s="296"/>
      <c r="T92" s="63"/>
      <c r="U92" s="10"/>
      <c r="V92" s="90"/>
      <c r="W92" s="136"/>
      <c r="X92" s="137"/>
    </row>
    <row r="93" spans="1:24">
      <c r="B93" s="87">
        <f t="shared" si="23"/>
        <v>6</v>
      </c>
      <c r="C93" s="274">
        <v>45867</v>
      </c>
      <c r="D93" s="276">
        <v>71820</v>
      </c>
      <c r="E93" s="281" t="s">
        <v>1132</v>
      </c>
      <c r="F93" s="277">
        <v>5741</v>
      </c>
      <c r="G93" s="277">
        <f t="shared" ref="G93:G98" si="25">39.7</f>
        <v>39.700000000000003</v>
      </c>
      <c r="H93" s="277"/>
      <c r="I93" s="278">
        <f t="shared" si="24"/>
        <v>5701.3</v>
      </c>
      <c r="J93" s="279" t="s">
        <v>205</v>
      </c>
      <c r="K93" s="279">
        <v>1</v>
      </c>
      <c r="L93" s="279"/>
      <c r="M93" s="279"/>
      <c r="N93" s="279">
        <v>1</v>
      </c>
      <c r="O93" s="279"/>
      <c r="P93" s="279"/>
      <c r="Q93" s="279"/>
      <c r="R93" s="279"/>
      <c r="S93" s="280"/>
      <c r="T93" s="63"/>
      <c r="U93" s="10"/>
      <c r="V93" s="90"/>
      <c r="W93" s="136"/>
      <c r="X93" s="137"/>
    </row>
    <row r="94" spans="1:24">
      <c r="B94" s="87">
        <f t="shared" si="23"/>
        <v>7</v>
      </c>
      <c r="C94" s="295">
        <v>45867</v>
      </c>
      <c r="D94" s="10" t="s">
        <v>2828</v>
      </c>
      <c r="E94" s="101" t="s">
        <v>604</v>
      </c>
      <c r="F94" s="62">
        <v>12814</v>
      </c>
      <c r="G94" s="62">
        <f t="shared" si="25"/>
        <v>39.700000000000003</v>
      </c>
      <c r="H94" s="62"/>
      <c r="I94" s="89">
        <f t="shared" si="24"/>
        <v>12774.3</v>
      </c>
      <c r="J94" s="63" t="s">
        <v>205</v>
      </c>
      <c r="K94" s="63">
        <v>1</v>
      </c>
      <c r="L94" s="63"/>
      <c r="M94" s="63"/>
      <c r="N94" s="63">
        <v>1</v>
      </c>
      <c r="O94" s="63"/>
      <c r="P94" s="63"/>
      <c r="Q94" s="63"/>
      <c r="R94" s="63"/>
      <c r="S94" s="296"/>
      <c r="T94" s="63"/>
      <c r="U94" s="10"/>
      <c r="V94" s="90"/>
      <c r="W94" s="136"/>
      <c r="X94" s="137"/>
    </row>
    <row r="95" spans="1:24">
      <c r="B95" s="87">
        <f t="shared" si="23"/>
        <v>8</v>
      </c>
      <c r="C95" s="295">
        <v>45867</v>
      </c>
      <c r="D95" s="10">
        <v>71838</v>
      </c>
      <c r="E95" s="101" t="s">
        <v>973</v>
      </c>
      <c r="F95" s="62">
        <v>5814</v>
      </c>
      <c r="G95" s="62">
        <f t="shared" si="25"/>
        <v>39.700000000000003</v>
      </c>
      <c r="H95" s="62"/>
      <c r="I95" s="89">
        <f t="shared" si="24"/>
        <v>5774.3</v>
      </c>
      <c r="J95" s="63" t="s">
        <v>205</v>
      </c>
      <c r="K95" s="63">
        <v>1</v>
      </c>
      <c r="L95" s="63"/>
      <c r="M95" s="63"/>
      <c r="N95" s="63">
        <v>1</v>
      </c>
      <c r="O95" s="63"/>
      <c r="P95" s="63"/>
      <c r="Q95" s="63"/>
      <c r="R95" s="63"/>
      <c r="S95" s="296"/>
      <c r="T95" s="63"/>
      <c r="U95" s="10"/>
      <c r="V95" s="90"/>
      <c r="W95" s="136"/>
      <c r="X95" s="137"/>
    </row>
    <row r="96" spans="1:24">
      <c r="B96" s="87">
        <f t="shared" si="23"/>
        <v>9</v>
      </c>
      <c r="C96" s="295">
        <v>45867</v>
      </c>
      <c r="D96" s="10">
        <v>71844</v>
      </c>
      <c r="E96" s="101" t="s">
        <v>973</v>
      </c>
      <c r="F96" s="62">
        <v>981</v>
      </c>
      <c r="G96" s="62">
        <f t="shared" si="25"/>
        <v>39.700000000000003</v>
      </c>
      <c r="H96" s="62"/>
      <c r="I96" s="89">
        <f t="shared" si="24"/>
        <v>941.3</v>
      </c>
      <c r="J96" s="63" t="s">
        <v>205</v>
      </c>
      <c r="K96" s="63">
        <v>1</v>
      </c>
      <c r="L96" s="63"/>
      <c r="M96" s="63"/>
      <c r="N96" s="63">
        <v>1</v>
      </c>
      <c r="O96" s="63"/>
      <c r="P96" s="63"/>
      <c r="Q96" s="63"/>
      <c r="R96" s="63"/>
      <c r="S96" s="296"/>
      <c r="T96" s="63"/>
      <c r="U96" s="10"/>
      <c r="V96" s="90"/>
      <c r="W96" s="136"/>
      <c r="X96" s="137"/>
    </row>
    <row r="97" spans="1:24">
      <c r="B97" s="87">
        <f t="shared" si="23"/>
        <v>10</v>
      </c>
      <c r="C97" s="295">
        <v>45867</v>
      </c>
      <c r="D97" s="10">
        <v>71850</v>
      </c>
      <c r="E97" s="101" t="s">
        <v>1072</v>
      </c>
      <c r="F97" s="62">
        <v>1138</v>
      </c>
      <c r="G97" s="62">
        <f t="shared" si="25"/>
        <v>39.700000000000003</v>
      </c>
      <c r="H97" s="62"/>
      <c r="I97" s="89">
        <f t="shared" si="24"/>
        <v>1098.3</v>
      </c>
      <c r="J97" s="63" t="s">
        <v>205</v>
      </c>
      <c r="K97" s="63">
        <v>1</v>
      </c>
      <c r="L97" s="63"/>
      <c r="M97" s="63"/>
      <c r="N97" s="63">
        <v>1</v>
      </c>
      <c r="O97" s="63"/>
      <c r="P97" s="63"/>
      <c r="Q97" s="63"/>
      <c r="R97" s="63"/>
      <c r="S97" s="296"/>
      <c r="T97" s="63"/>
      <c r="U97" s="10"/>
      <c r="V97" s="90"/>
      <c r="W97" s="136"/>
      <c r="X97" s="137"/>
    </row>
    <row r="98" spans="1:24">
      <c r="B98" s="87">
        <f t="shared" si="23"/>
        <v>11</v>
      </c>
      <c r="C98" s="295">
        <v>45867</v>
      </c>
      <c r="D98" s="10">
        <v>71848</v>
      </c>
      <c r="E98" s="101" t="s">
        <v>2829</v>
      </c>
      <c r="F98" s="62">
        <v>1134</v>
      </c>
      <c r="G98" s="62">
        <f t="shared" si="25"/>
        <v>39.700000000000003</v>
      </c>
      <c r="H98" s="62"/>
      <c r="I98" s="89">
        <f t="shared" si="24"/>
        <v>1094.3</v>
      </c>
      <c r="J98" s="63" t="s">
        <v>205</v>
      </c>
      <c r="K98" s="63"/>
      <c r="L98" s="63"/>
      <c r="M98" s="63"/>
      <c r="N98" s="63">
        <v>1</v>
      </c>
      <c r="O98" s="63"/>
      <c r="P98" s="63"/>
      <c r="Q98" s="63"/>
      <c r="R98" s="63"/>
      <c r="S98" s="296"/>
      <c r="T98" s="63"/>
      <c r="U98" s="10"/>
      <c r="V98" s="90"/>
      <c r="W98" s="136"/>
      <c r="X98" s="137"/>
    </row>
    <row r="99" spans="1:24">
      <c r="B99" s="87">
        <f t="shared" si="23"/>
        <v>12</v>
      </c>
      <c r="C99" s="274">
        <v>45868</v>
      </c>
      <c r="D99" s="276">
        <v>71855</v>
      </c>
      <c r="E99" s="281" t="s">
        <v>1159</v>
      </c>
      <c r="F99" s="277">
        <v>10125</v>
      </c>
      <c r="G99" s="277">
        <v>39.700000000000003</v>
      </c>
      <c r="H99" s="277"/>
      <c r="I99" s="278">
        <f t="shared" si="22"/>
        <v>10085.299999999999</v>
      </c>
      <c r="J99" s="279" t="s">
        <v>205</v>
      </c>
      <c r="K99" s="279">
        <v>1</v>
      </c>
      <c r="L99" s="279"/>
      <c r="M99" s="279"/>
      <c r="N99" s="279">
        <v>1</v>
      </c>
      <c r="O99" s="279"/>
      <c r="P99" s="279"/>
      <c r="Q99" s="279"/>
      <c r="R99" s="279"/>
      <c r="S99" s="280"/>
      <c r="T99" s="63"/>
      <c r="U99" s="10"/>
      <c r="V99" s="90"/>
      <c r="W99" s="136"/>
      <c r="X99" s="137"/>
    </row>
    <row r="100" spans="1:24">
      <c r="B100" s="87">
        <f t="shared" si="23"/>
        <v>13</v>
      </c>
      <c r="C100" s="295">
        <v>45868</v>
      </c>
      <c r="D100" s="10">
        <v>71700</v>
      </c>
      <c r="E100" s="10" t="s">
        <v>1668</v>
      </c>
      <c r="F100" s="62">
        <v>12814</v>
      </c>
      <c r="G100" s="62">
        <v>39.700000000000003</v>
      </c>
      <c r="H100" s="62"/>
      <c r="I100" s="89">
        <f>F100-G100-H100</f>
        <v>12774.3</v>
      </c>
      <c r="J100" s="63" t="s">
        <v>205</v>
      </c>
      <c r="K100" s="63">
        <v>1</v>
      </c>
      <c r="L100" s="63"/>
      <c r="M100" s="63"/>
      <c r="N100" s="63">
        <v>1</v>
      </c>
      <c r="O100" s="63"/>
      <c r="P100" s="63"/>
      <c r="Q100" s="63">
        <v>1</v>
      </c>
      <c r="R100" s="63">
        <v>1</v>
      </c>
      <c r="S100" s="296">
        <v>1</v>
      </c>
      <c r="T100" s="63"/>
      <c r="U100" s="10"/>
      <c r="V100" s="90"/>
      <c r="W100" s="136"/>
      <c r="X100" s="137"/>
    </row>
    <row r="101" spans="1:24">
      <c r="B101" s="87">
        <f t="shared" si="23"/>
        <v>14</v>
      </c>
      <c r="C101" s="274">
        <v>45869</v>
      </c>
      <c r="D101" s="276">
        <v>71903</v>
      </c>
      <c r="E101" s="276" t="s">
        <v>149</v>
      </c>
      <c r="F101" s="277">
        <v>2893</v>
      </c>
      <c r="G101" s="277">
        <f>39.7</f>
        <v>39.700000000000003</v>
      </c>
      <c r="H101" s="277"/>
      <c r="I101" s="278">
        <f t="shared" si="22"/>
        <v>2853.3</v>
      </c>
      <c r="J101" s="279" t="s">
        <v>205</v>
      </c>
      <c r="K101" s="279">
        <v>1</v>
      </c>
      <c r="L101" s="279"/>
      <c r="M101" s="279"/>
      <c r="N101" s="279">
        <v>1</v>
      </c>
      <c r="O101" s="279"/>
      <c r="P101" s="279"/>
      <c r="Q101" s="279">
        <v>1</v>
      </c>
      <c r="R101" s="279">
        <v>1</v>
      </c>
      <c r="S101" s="280">
        <v>1</v>
      </c>
      <c r="T101" s="63"/>
      <c r="U101" s="10"/>
      <c r="V101" s="90"/>
      <c r="W101" s="136"/>
      <c r="X101" s="137"/>
    </row>
    <row r="102" spans="1:24">
      <c r="B102" s="87">
        <f t="shared" si="23"/>
        <v>15</v>
      </c>
      <c r="C102" s="295">
        <v>45869</v>
      </c>
      <c r="D102" s="10">
        <v>71907</v>
      </c>
      <c r="E102" s="10" t="s">
        <v>1062</v>
      </c>
      <c r="F102" s="62">
        <v>0</v>
      </c>
      <c r="G102" s="62">
        <v>0</v>
      </c>
      <c r="H102" s="62"/>
      <c r="I102" s="89">
        <f t="shared" si="22"/>
        <v>0</v>
      </c>
      <c r="J102" s="63" t="s">
        <v>205</v>
      </c>
      <c r="K102" s="63">
        <v>1</v>
      </c>
      <c r="L102" s="63">
        <v>1</v>
      </c>
      <c r="M102" s="63"/>
      <c r="N102" s="63"/>
      <c r="O102" s="63"/>
      <c r="P102" s="63"/>
      <c r="Q102" s="63">
        <v>1</v>
      </c>
      <c r="R102" s="63">
        <v>1</v>
      </c>
      <c r="S102" s="296">
        <v>1</v>
      </c>
      <c r="T102" s="21">
        <v>1</v>
      </c>
      <c r="U102" s="10" t="s">
        <v>2830</v>
      </c>
      <c r="V102" s="90">
        <v>0</v>
      </c>
      <c r="W102" s="136"/>
      <c r="X102" s="137"/>
    </row>
    <row r="103" spans="1:24">
      <c r="B103" s="87">
        <f>B102+1</f>
        <v>16</v>
      </c>
      <c r="C103" s="295">
        <v>45869</v>
      </c>
      <c r="D103" s="10">
        <v>71906</v>
      </c>
      <c r="E103" s="10" t="s">
        <v>1046</v>
      </c>
      <c r="F103" s="62">
        <v>2893</v>
      </c>
      <c r="G103" s="62">
        <v>39.700000000000003</v>
      </c>
      <c r="H103" s="62"/>
      <c r="I103" s="89">
        <f t="shared" si="22"/>
        <v>2853.3</v>
      </c>
      <c r="J103" s="63" t="s">
        <v>205</v>
      </c>
      <c r="K103" s="63">
        <v>1</v>
      </c>
      <c r="L103" s="63"/>
      <c r="M103" s="63"/>
      <c r="N103" s="63">
        <v>1</v>
      </c>
      <c r="O103" s="63"/>
      <c r="P103" s="63"/>
      <c r="Q103" s="63">
        <v>1</v>
      </c>
      <c r="R103" s="63">
        <v>1</v>
      </c>
      <c r="S103" s="296">
        <v>1</v>
      </c>
      <c r="T103" s="21"/>
      <c r="U103" s="10"/>
      <c r="V103" s="90"/>
      <c r="W103" s="136"/>
      <c r="X103" s="137"/>
    </row>
    <row r="104" spans="1:24">
      <c r="B104" s="87">
        <f>B103+1</f>
        <v>17</v>
      </c>
      <c r="C104" s="295">
        <v>45869</v>
      </c>
      <c r="D104" s="3" t="s">
        <v>2831</v>
      </c>
      <c r="E104" s="10" t="s">
        <v>1073</v>
      </c>
      <c r="F104" s="62">
        <v>3353</v>
      </c>
      <c r="G104" s="62">
        <f>39.7</f>
        <v>39.700000000000003</v>
      </c>
      <c r="H104" s="62"/>
      <c r="I104" s="89">
        <f t="shared" si="22"/>
        <v>3313.3</v>
      </c>
      <c r="J104" s="63" t="s">
        <v>205</v>
      </c>
      <c r="K104" s="63">
        <v>1</v>
      </c>
      <c r="L104" s="63"/>
      <c r="M104" s="63"/>
      <c r="N104" s="63">
        <v>1</v>
      </c>
      <c r="O104" s="63"/>
      <c r="P104" s="63"/>
      <c r="Q104" s="63"/>
      <c r="R104" s="63"/>
      <c r="S104" s="296"/>
      <c r="T104" s="63"/>
      <c r="U104" s="10"/>
      <c r="V104" s="90"/>
      <c r="W104" s="136"/>
      <c r="X104" s="137"/>
    </row>
    <row r="105" spans="1:24">
      <c r="B105" s="87">
        <f t="shared" si="23"/>
        <v>18</v>
      </c>
      <c r="C105" s="295">
        <v>45869</v>
      </c>
      <c r="D105" s="10">
        <v>71916</v>
      </c>
      <c r="E105" s="10" t="s">
        <v>1058</v>
      </c>
      <c r="F105" s="62">
        <v>1138</v>
      </c>
      <c r="G105" s="62">
        <f>39.7</f>
        <v>39.700000000000003</v>
      </c>
      <c r="H105" s="62"/>
      <c r="I105" s="89">
        <f t="shared" si="22"/>
        <v>1098.3</v>
      </c>
      <c r="J105" s="63" t="s">
        <v>205</v>
      </c>
      <c r="K105" s="63">
        <v>1</v>
      </c>
      <c r="L105" s="63"/>
      <c r="M105" s="63"/>
      <c r="N105" s="63">
        <v>1</v>
      </c>
      <c r="O105" s="63"/>
      <c r="P105" s="63"/>
      <c r="Q105" s="63">
        <v>1</v>
      </c>
      <c r="R105" s="63">
        <v>1</v>
      </c>
      <c r="S105" s="296">
        <v>1</v>
      </c>
      <c r="T105" s="63"/>
      <c r="U105" s="10"/>
      <c r="V105" s="90"/>
      <c r="W105" s="136"/>
      <c r="X105" s="137"/>
    </row>
    <row r="106" spans="1:24">
      <c r="B106" s="87">
        <f>B105+1</f>
        <v>19</v>
      </c>
      <c r="C106" s="295">
        <v>45869</v>
      </c>
      <c r="D106" s="10">
        <v>71933</v>
      </c>
      <c r="E106" s="10" t="s">
        <v>1201</v>
      </c>
      <c r="F106" s="62">
        <v>3798</v>
      </c>
      <c r="G106" s="62">
        <v>39.700000000000003</v>
      </c>
      <c r="H106" s="62"/>
      <c r="I106" s="89">
        <f>F106-G106-H106</f>
        <v>3758.3</v>
      </c>
      <c r="J106" s="63" t="s">
        <v>205</v>
      </c>
      <c r="K106" s="63">
        <v>1</v>
      </c>
      <c r="L106" s="63"/>
      <c r="M106" s="63"/>
      <c r="N106" s="63">
        <v>1</v>
      </c>
      <c r="O106" s="63"/>
      <c r="P106" s="63"/>
      <c r="Q106" s="63">
        <v>1</v>
      </c>
      <c r="R106" s="63">
        <v>1</v>
      </c>
      <c r="S106" s="296">
        <v>1</v>
      </c>
      <c r="T106" s="63"/>
      <c r="U106" s="10"/>
      <c r="V106" s="90"/>
      <c r="W106" s="136"/>
      <c r="X106" s="137"/>
    </row>
    <row r="107" spans="1:24">
      <c r="B107" s="87">
        <f>B106+1</f>
        <v>20</v>
      </c>
      <c r="C107" s="274">
        <v>45870</v>
      </c>
      <c r="D107" s="276">
        <v>71925</v>
      </c>
      <c r="E107" s="276" t="s">
        <v>1088</v>
      </c>
      <c r="F107" s="277">
        <v>531</v>
      </c>
      <c r="G107" s="277"/>
      <c r="H107" s="277"/>
      <c r="I107" s="278">
        <f>F107-G107-H107</f>
        <v>531</v>
      </c>
      <c r="J107" s="279" t="s">
        <v>205</v>
      </c>
      <c r="K107" s="279">
        <v>1</v>
      </c>
      <c r="L107" s="279"/>
      <c r="M107" s="279"/>
      <c r="N107" s="279">
        <v>1</v>
      </c>
      <c r="O107" s="279"/>
      <c r="P107" s="279"/>
      <c r="Q107" s="279">
        <v>1</v>
      </c>
      <c r="R107" s="279">
        <v>1</v>
      </c>
      <c r="S107" s="280">
        <v>1</v>
      </c>
      <c r="T107" s="63"/>
      <c r="U107" s="10"/>
      <c r="V107" s="90"/>
      <c r="W107" s="136"/>
      <c r="X107" s="137"/>
    </row>
    <row r="108" spans="1:24">
      <c r="B108" s="87">
        <f>B107+1</f>
        <v>21</v>
      </c>
      <c r="C108" s="295">
        <v>45870</v>
      </c>
      <c r="D108" s="10">
        <v>71952</v>
      </c>
      <c r="E108" s="10" t="s">
        <v>1178</v>
      </c>
      <c r="F108" s="62">
        <v>0</v>
      </c>
      <c r="G108" s="62">
        <v>0</v>
      </c>
      <c r="H108" s="62"/>
      <c r="I108" s="89">
        <f>F108-G108-H108</f>
        <v>0</v>
      </c>
      <c r="J108" s="63" t="s">
        <v>205</v>
      </c>
      <c r="K108" s="63">
        <v>1</v>
      </c>
      <c r="L108" s="63"/>
      <c r="M108" s="63"/>
      <c r="N108" s="63"/>
      <c r="O108" s="63"/>
      <c r="P108" s="63"/>
      <c r="Q108" s="63"/>
      <c r="R108" s="63"/>
      <c r="S108" s="296"/>
      <c r="T108" s="63"/>
      <c r="U108" s="10"/>
      <c r="V108" s="90"/>
      <c r="W108" s="136"/>
      <c r="X108" s="137"/>
    </row>
    <row r="109" spans="1:24">
      <c r="B109" s="87">
        <f>B108+1</f>
        <v>22</v>
      </c>
      <c r="C109" s="295">
        <v>45870</v>
      </c>
      <c r="D109" s="10" t="s">
        <v>2832</v>
      </c>
      <c r="E109" s="10" t="s">
        <v>1047</v>
      </c>
      <c r="F109" s="62">
        <v>8214</v>
      </c>
      <c r="G109" s="62">
        <f>39.7+789.8</f>
        <v>829.5</v>
      </c>
      <c r="H109" s="62"/>
      <c r="I109" s="89">
        <f>F109-G109-H109</f>
        <v>7384.5</v>
      </c>
      <c r="J109" s="63" t="s">
        <v>205</v>
      </c>
      <c r="K109" s="63">
        <v>1</v>
      </c>
      <c r="L109" s="63"/>
      <c r="M109" s="63"/>
      <c r="N109" s="63">
        <v>1</v>
      </c>
      <c r="O109" s="63"/>
      <c r="P109" s="63"/>
      <c r="Q109" s="63"/>
      <c r="R109" s="63"/>
      <c r="S109" s="296"/>
      <c r="T109" s="63"/>
      <c r="U109" s="10" t="s">
        <v>2833</v>
      </c>
      <c r="V109" s="90"/>
      <c r="W109" s="136"/>
      <c r="X109" s="137"/>
    </row>
    <row r="110" spans="1:24">
      <c r="A110" s="464">
        <v>45877</v>
      </c>
      <c r="B110" s="87">
        <f>B109+1</f>
        <v>23</v>
      </c>
      <c r="C110" s="282">
        <v>45870</v>
      </c>
      <c r="D110" s="283">
        <v>71969</v>
      </c>
      <c r="E110" s="283" t="s">
        <v>1088</v>
      </c>
      <c r="F110" s="284">
        <v>681</v>
      </c>
      <c r="G110" s="284"/>
      <c r="H110" s="284"/>
      <c r="I110" s="285">
        <f>F110-G110-H110</f>
        <v>681</v>
      </c>
      <c r="J110" s="286" t="s">
        <v>156</v>
      </c>
      <c r="K110" s="286">
        <v>1</v>
      </c>
      <c r="L110" s="286"/>
      <c r="M110" s="286">
        <v>1</v>
      </c>
      <c r="N110" s="286">
        <v>1</v>
      </c>
      <c r="O110" s="286"/>
      <c r="P110" s="286"/>
      <c r="Q110" s="286"/>
      <c r="R110" s="286"/>
      <c r="S110" s="287"/>
      <c r="T110" s="63"/>
      <c r="U110" s="139" t="s">
        <v>2834</v>
      </c>
      <c r="V110" s="90">
        <v>93.5</v>
      </c>
      <c r="W110" s="136"/>
      <c r="X110" s="137"/>
    </row>
    <row r="111" spans="1:24">
      <c r="B111" s="11"/>
      <c r="C111" s="36"/>
      <c r="D111" s="10"/>
      <c r="E111" s="10"/>
      <c r="F111" s="98">
        <f>SUM(F88:F110)</f>
        <v>85623</v>
      </c>
      <c r="G111" s="98">
        <f>SUM(G88:G110)</f>
        <v>1504.4</v>
      </c>
      <c r="H111" s="98">
        <f>SUM(H88:H110)</f>
        <v>0</v>
      </c>
      <c r="I111" s="98">
        <f>SUM(I88:I110)</f>
        <v>84118.60000000002</v>
      </c>
      <c r="J111" s="10"/>
      <c r="K111" s="10"/>
      <c r="L111" s="10"/>
      <c r="M111" s="10"/>
      <c r="N111" s="10"/>
      <c r="O111" s="10"/>
      <c r="P111" s="10"/>
      <c r="Q111" s="10"/>
      <c r="R111" s="10"/>
      <c r="S111" s="10"/>
      <c r="T111" s="63"/>
      <c r="U111" s="10"/>
      <c r="V111" s="138"/>
      <c r="W111" s="136"/>
      <c r="X111" s="137"/>
    </row>
    <row r="112" spans="1:24">
      <c r="B112" s="11"/>
      <c r="C112" s="36"/>
      <c r="D112" s="10"/>
      <c r="E112" s="10"/>
      <c r="F112" s="88"/>
      <c r="G112" s="88"/>
      <c r="H112" s="88"/>
      <c r="I112" s="99"/>
      <c r="J112" s="10"/>
      <c r="K112" s="10"/>
      <c r="L112" s="10"/>
      <c r="M112" s="10"/>
      <c r="N112" s="10"/>
      <c r="O112" s="10"/>
      <c r="P112" s="10"/>
      <c r="Q112" s="10"/>
      <c r="R112" s="10"/>
      <c r="S112" s="10"/>
      <c r="T112" s="63"/>
      <c r="U112" s="10"/>
      <c r="V112" s="138"/>
      <c r="W112" s="136"/>
      <c r="X112" s="137"/>
    </row>
    <row r="113" spans="1:24">
      <c r="B113" s="100" t="s">
        <v>73</v>
      </c>
      <c r="C113" s="36"/>
      <c r="D113" s="10"/>
      <c r="E113" s="10"/>
      <c r="F113" s="88"/>
      <c r="G113" s="88"/>
      <c r="H113" s="88"/>
      <c r="I113" s="99"/>
      <c r="J113" s="63"/>
      <c r="K113" s="63"/>
      <c r="L113" s="63"/>
      <c r="M113" s="63"/>
      <c r="N113" s="63"/>
      <c r="O113" s="63"/>
      <c r="P113" s="63"/>
      <c r="Q113" s="63"/>
      <c r="R113" s="63"/>
      <c r="S113" s="63"/>
      <c r="T113" s="63"/>
      <c r="U113" s="94"/>
      <c r="V113" s="90"/>
      <c r="W113" s="91"/>
      <c r="X113" s="92"/>
    </row>
    <row r="114" spans="1:24">
      <c r="B114" s="87">
        <v>1</v>
      </c>
      <c r="C114" s="274">
        <v>45871</v>
      </c>
      <c r="D114" s="276">
        <v>71983</v>
      </c>
      <c r="E114" s="276" t="s">
        <v>1338</v>
      </c>
      <c r="F114" s="277">
        <v>1861</v>
      </c>
      <c r="G114" s="277">
        <v>39.700000000000003</v>
      </c>
      <c r="H114" s="277"/>
      <c r="I114" s="278">
        <f t="shared" ref="I114:I116" si="26">F114-G114-H114</f>
        <v>1821.3</v>
      </c>
      <c r="J114" s="279" t="s">
        <v>156</v>
      </c>
      <c r="K114" s="279">
        <v>1</v>
      </c>
      <c r="L114" s="279"/>
      <c r="M114" s="279">
        <v>1</v>
      </c>
      <c r="N114" s="279">
        <v>1</v>
      </c>
      <c r="O114" s="279"/>
      <c r="P114" s="279"/>
      <c r="Q114" s="279"/>
      <c r="R114" s="279"/>
      <c r="S114" s="280"/>
      <c r="T114" s="63"/>
      <c r="U114" s="94"/>
      <c r="V114" s="90">
        <v>93.5</v>
      </c>
      <c r="W114" s="136"/>
      <c r="X114" s="137"/>
    </row>
    <row r="115" spans="1:24">
      <c r="B115" s="87">
        <f>B114+1</f>
        <v>2</v>
      </c>
      <c r="C115" s="295">
        <v>45871</v>
      </c>
      <c r="D115" s="10">
        <v>71984</v>
      </c>
      <c r="E115" s="10" t="s">
        <v>1034</v>
      </c>
      <c r="F115" s="62">
        <v>6157</v>
      </c>
      <c r="G115" s="62">
        <v>39.700000000000003</v>
      </c>
      <c r="H115" s="62"/>
      <c r="I115" s="89">
        <f t="shared" si="26"/>
        <v>6117.3</v>
      </c>
      <c r="J115" s="63" t="s">
        <v>156</v>
      </c>
      <c r="K115" s="63">
        <v>1</v>
      </c>
      <c r="L115" s="63"/>
      <c r="M115" s="63">
        <v>1</v>
      </c>
      <c r="N115" s="63">
        <v>1</v>
      </c>
      <c r="O115" s="63"/>
      <c r="P115" s="63"/>
      <c r="Q115" s="63"/>
      <c r="R115" s="63"/>
      <c r="S115" s="296"/>
      <c r="T115" s="63"/>
      <c r="U115" s="94"/>
      <c r="V115" s="90">
        <v>93.5</v>
      </c>
      <c r="W115" s="136"/>
      <c r="X115" s="137"/>
    </row>
    <row r="116" spans="1:24">
      <c r="A116" s="464">
        <v>45877</v>
      </c>
      <c r="B116" s="87">
        <f>B115+1</f>
        <v>3</v>
      </c>
      <c r="C116" s="282">
        <v>45871</v>
      </c>
      <c r="D116" s="283">
        <v>71980</v>
      </c>
      <c r="E116" s="283" t="s">
        <v>1169</v>
      </c>
      <c r="F116" s="284">
        <v>0</v>
      </c>
      <c r="G116" s="284"/>
      <c r="H116" s="284"/>
      <c r="I116" s="285">
        <f t="shared" si="26"/>
        <v>0</v>
      </c>
      <c r="J116" s="286" t="s">
        <v>156</v>
      </c>
      <c r="K116" s="286">
        <v>1</v>
      </c>
      <c r="L116" s="286"/>
      <c r="M116" s="286">
        <v>1</v>
      </c>
      <c r="N116" s="286"/>
      <c r="O116" s="286"/>
      <c r="P116" s="286"/>
      <c r="Q116" s="286"/>
      <c r="R116" s="286"/>
      <c r="S116" s="287"/>
      <c r="T116" s="63"/>
      <c r="U116" s="94" t="s">
        <v>2835</v>
      </c>
      <c r="V116" s="90">
        <v>93.5</v>
      </c>
      <c r="W116" s="136"/>
      <c r="X116" s="137"/>
    </row>
    <row r="117" spans="1:24">
      <c r="B117" s="11"/>
      <c r="C117" s="36"/>
      <c r="D117" s="10"/>
      <c r="E117" s="10"/>
      <c r="F117" s="98">
        <f>SUM(F114:F116)</f>
        <v>8018</v>
      </c>
      <c r="G117" s="98">
        <f>SUM(G114:G116)</f>
        <v>79.400000000000006</v>
      </c>
      <c r="H117" s="98">
        <f>SUM(H114:H116)</f>
        <v>0</v>
      </c>
      <c r="I117" s="98">
        <f>SUM(I114:I116)</f>
        <v>7938.6</v>
      </c>
      <c r="J117" s="10"/>
      <c r="K117" s="10"/>
      <c r="L117" s="10"/>
      <c r="M117" s="10"/>
      <c r="N117" s="10"/>
      <c r="O117" s="10"/>
      <c r="P117" s="10"/>
      <c r="Q117" s="10"/>
      <c r="R117" s="10"/>
      <c r="S117" s="10"/>
      <c r="T117" s="63"/>
      <c r="U117" s="94"/>
      <c r="V117" s="90"/>
      <c r="W117" s="91"/>
      <c r="X117" s="92"/>
    </row>
    <row r="118" spans="1:24">
      <c r="B118" s="26"/>
      <c r="C118" s="140"/>
      <c r="D118" s="141"/>
      <c r="E118" s="141"/>
      <c r="F118" s="141"/>
      <c r="G118" s="141"/>
      <c r="H118" s="141"/>
      <c r="I118" s="141"/>
      <c r="J118" s="141"/>
      <c r="K118" s="142"/>
      <c r="L118" s="142"/>
      <c r="M118" s="142"/>
      <c r="N118" s="142"/>
      <c r="O118" s="142"/>
      <c r="P118" s="142"/>
      <c r="Q118" s="142"/>
      <c r="R118" s="142"/>
      <c r="S118" s="142"/>
      <c r="T118" s="143">
        <f>SUM(T61:T117)</f>
        <v>1</v>
      </c>
      <c r="U118" s="141"/>
      <c r="V118" s="144">
        <f>SUM(V61:V117)</f>
        <v>25027.279999999999</v>
      </c>
      <c r="W118" s="145">
        <f>SUM(W61:W117)</f>
        <v>3810</v>
      </c>
      <c r="X118" s="146">
        <f>SUM(X61:X117)</f>
        <v>0</v>
      </c>
    </row>
    <row r="121" spans="1:24">
      <c r="A121" s="3"/>
      <c r="B121" s="4" t="s">
        <v>1</v>
      </c>
      <c r="C121" s="5"/>
      <c r="D121" s="6"/>
      <c r="E121" s="6"/>
      <c r="F121" s="7" t="s">
        <v>2</v>
      </c>
      <c r="G121" s="8">
        <v>45879</v>
      </c>
      <c r="H121" s="7"/>
      <c r="I121" s="6"/>
      <c r="J121" s="6"/>
      <c r="K121" s="6"/>
      <c r="L121" s="6"/>
      <c r="M121" s="6"/>
      <c r="N121" s="6"/>
      <c r="O121" s="6"/>
      <c r="P121" s="6"/>
      <c r="Q121" s="6"/>
      <c r="R121" s="6"/>
      <c r="S121" s="6"/>
      <c r="T121" s="6"/>
      <c r="U121" s="9"/>
      <c r="V121" s="10"/>
      <c r="W121" s="10"/>
      <c r="X121" s="10"/>
    </row>
    <row r="122" spans="1:24">
      <c r="A122" s="2"/>
      <c r="B122" s="11"/>
      <c r="C122" s="10"/>
      <c r="D122" s="10"/>
      <c r="E122" s="10"/>
      <c r="F122" s="10"/>
      <c r="G122" s="7"/>
      <c r="H122" s="12"/>
      <c r="I122" s="10"/>
      <c r="J122" s="10"/>
      <c r="K122" s="13" t="s">
        <v>3</v>
      </c>
      <c r="L122" s="14"/>
      <c r="M122" s="15"/>
      <c r="N122" s="13" t="s">
        <v>4</v>
      </c>
      <c r="O122" s="14"/>
      <c r="P122" s="15"/>
      <c r="Q122" s="13" t="s">
        <v>5</v>
      </c>
      <c r="R122" s="14"/>
      <c r="S122" s="15"/>
      <c r="T122" s="16"/>
      <c r="U122" s="17"/>
      <c r="V122" s="10"/>
      <c r="W122" s="10"/>
      <c r="X122" s="10"/>
    </row>
    <row r="123" spans="1:24">
      <c r="A123" s="2"/>
      <c r="B123" s="18" t="s">
        <v>6</v>
      </c>
      <c r="C123" s="19">
        <f>C124+C125</f>
        <v>23</v>
      </c>
      <c r="D123" s="10"/>
      <c r="E123" s="18" t="s">
        <v>7</v>
      </c>
      <c r="F123" s="6"/>
      <c r="G123" s="9"/>
      <c r="H123" s="10"/>
      <c r="I123" s="10"/>
      <c r="J123" s="10"/>
      <c r="K123" s="20" t="s">
        <v>8</v>
      </c>
      <c r="L123" s="21" t="s">
        <v>9</v>
      </c>
      <c r="M123" s="21" t="s">
        <v>10</v>
      </c>
      <c r="N123" s="20" t="s">
        <v>11</v>
      </c>
      <c r="O123" s="21" t="s">
        <v>12</v>
      </c>
      <c r="P123" s="22" t="s">
        <v>13</v>
      </c>
      <c r="Q123" s="21" t="s">
        <v>11</v>
      </c>
      <c r="R123" s="21" t="s">
        <v>12</v>
      </c>
      <c r="S123" s="22" t="s">
        <v>13</v>
      </c>
      <c r="T123" s="23" t="s">
        <v>14</v>
      </c>
      <c r="U123" s="17"/>
      <c r="V123" s="10"/>
      <c r="W123" s="10"/>
      <c r="X123" s="10"/>
    </row>
    <row r="124" spans="1:24">
      <c r="A124" s="2"/>
      <c r="B124" s="24" t="s">
        <v>15</v>
      </c>
      <c r="C124" s="25">
        <f>P131</f>
        <v>11</v>
      </c>
      <c r="D124" s="10"/>
      <c r="E124" s="26" t="s">
        <v>16</v>
      </c>
      <c r="F124" s="27">
        <v>0.05</v>
      </c>
      <c r="G124" s="28"/>
      <c r="H124" s="10"/>
      <c r="I124" s="10"/>
      <c r="J124" s="18" t="s">
        <v>17</v>
      </c>
      <c r="K124" s="29">
        <f>K159</f>
        <v>10</v>
      </c>
      <c r="L124" s="29">
        <f t="shared" ref="L124:S124" si="27">L159</f>
        <v>9</v>
      </c>
      <c r="M124" s="29">
        <f t="shared" si="27"/>
        <v>10</v>
      </c>
      <c r="N124" s="29">
        <f t="shared" si="27"/>
        <v>10</v>
      </c>
      <c r="O124" s="29">
        <f t="shared" si="27"/>
        <v>10</v>
      </c>
      <c r="P124" s="29">
        <f t="shared" si="27"/>
        <v>8</v>
      </c>
      <c r="Q124" s="29">
        <f t="shared" si="27"/>
        <v>7</v>
      </c>
      <c r="R124" s="29">
        <f t="shared" si="27"/>
        <v>4</v>
      </c>
      <c r="S124" s="29">
        <f t="shared" si="27"/>
        <v>7</v>
      </c>
      <c r="T124" s="30">
        <f>T184</f>
        <v>1</v>
      </c>
      <c r="U124" s="17"/>
      <c r="V124" s="10"/>
      <c r="W124" s="10"/>
      <c r="X124" s="10"/>
    </row>
    <row r="125" spans="1:24">
      <c r="A125" s="2"/>
      <c r="B125" s="24" t="s">
        <v>18</v>
      </c>
      <c r="C125" s="25">
        <f>P132</f>
        <v>12</v>
      </c>
      <c r="D125" s="10"/>
      <c r="E125" s="10"/>
      <c r="F125" s="10"/>
      <c r="G125" s="31"/>
      <c r="H125" s="10"/>
      <c r="I125" s="10"/>
      <c r="J125" s="32" t="s">
        <v>19</v>
      </c>
      <c r="K125" s="33">
        <f>K159/K158</f>
        <v>1</v>
      </c>
      <c r="L125" s="33">
        <f t="shared" ref="L125:S125" si="28">L159/L158</f>
        <v>0.9</v>
      </c>
      <c r="M125" s="33">
        <f t="shared" si="28"/>
        <v>1</v>
      </c>
      <c r="N125" s="33">
        <f t="shared" si="28"/>
        <v>1</v>
      </c>
      <c r="O125" s="33">
        <f t="shared" si="28"/>
        <v>1</v>
      </c>
      <c r="P125" s="33">
        <f t="shared" si="28"/>
        <v>0.8</v>
      </c>
      <c r="Q125" s="33">
        <f t="shared" si="28"/>
        <v>0.7</v>
      </c>
      <c r="R125" s="33">
        <f t="shared" si="28"/>
        <v>0.4</v>
      </c>
      <c r="S125" s="33">
        <f t="shared" si="28"/>
        <v>0.7</v>
      </c>
      <c r="T125" s="23"/>
      <c r="U125" s="17" t="s">
        <v>20</v>
      </c>
      <c r="V125" s="10"/>
      <c r="W125" s="10"/>
      <c r="X125" s="10"/>
    </row>
    <row r="126" spans="1:24">
      <c r="A126" s="2"/>
      <c r="B126" s="24" t="s">
        <v>21</v>
      </c>
      <c r="C126" s="34">
        <f>P133</f>
        <v>0.47826086956521741</v>
      </c>
      <c r="D126" s="10"/>
      <c r="E126" s="10"/>
      <c r="F126" s="10"/>
      <c r="G126" s="10"/>
      <c r="H126" s="10"/>
      <c r="I126" s="10"/>
      <c r="J126" s="10"/>
      <c r="K126" s="10"/>
      <c r="L126" s="10"/>
      <c r="M126" s="10"/>
      <c r="N126" s="10"/>
      <c r="O126" s="10"/>
      <c r="P126" s="10"/>
      <c r="Q126" s="10"/>
      <c r="R126" s="10"/>
      <c r="S126" s="10"/>
      <c r="T126" s="10"/>
      <c r="U126" s="17"/>
      <c r="V126" s="10"/>
      <c r="W126" s="10"/>
      <c r="X126" s="10"/>
    </row>
    <row r="127" spans="1:24">
      <c r="A127" s="2"/>
      <c r="B127" s="24"/>
      <c r="C127" s="25"/>
      <c r="D127" s="10"/>
      <c r="E127" s="10"/>
      <c r="F127" s="18" t="s">
        <v>22</v>
      </c>
      <c r="G127" s="19" t="s">
        <v>23</v>
      </c>
      <c r="H127" s="35" t="s">
        <v>24</v>
      </c>
      <c r="I127" s="10"/>
      <c r="J127" s="10"/>
      <c r="K127" s="36"/>
      <c r="L127" s="36"/>
      <c r="M127" s="36"/>
      <c r="N127" s="36"/>
      <c r="O127" s="36"/>
      <c r="P127" s="36"/>
      <c r="Q127" s="36"/>
      <c r="R127" s="10"/>
      <c r="S127" s="10"/>
      <c r="T127" s="10"/>
      <c r="U127" s="17"/>
      <c r="V127" s="10"/>
      <c r="W127" s="10"/>
      <c r="X127" s="10"/>
    </row>
    <row r="128" spans="1:24">
      <c r="A128" s="2"/>
      <c r="B128" s="32" t="s">
        <v>25</v>
      </c>
      <c r="C128" s="37">
        <f>P134</f>
        <v>1845.7036363636364</v>
      </c>
      <c r="D128" s="10"/>
      <c r="E128" s="18" t="s">
        <v>26</v>
      </c>
      <c r="F128" s="38">
        <f>P130</f>
        <v>20302.740000000002</v>
      </c>
      <c r="G128" s="39">
        <f>I158+I163</f>
        <v>20302.739999999998</v>
      </c>
      <c r="H128" s="767" t="s">
        <v>415</v>
      </c>
      <c r="I128" s="767"/>
      <c r="J128" s="767"/>
      <c r="K128" s="43" t="s">
        <v>27</v>
      </c>
      <c r="L128" s="44"/>
      <c r="M128" s="44"/>
      <c r="N128" s="44"/>
      <c r="O128" s="44"/>
      <c r="P128" s="44"/>
      <c r="Q128" s="45"/>
      <c r="R128" s="46" t="s">
        <v>28</v>
      </c>
      <c r="S128" s="47" t="s">
        <v>29</v>
      </c>
      <c r="T128" s="10"/>
      <c r="U128" s="17"/>
      <c r="V128" s="10"/>
      <c r="W128" s="10"/>
      <c r="X128" s="10"/>
    </row>
    <row r="129" spans="1:24">
      <c r="A129" s="2"/>
      <c r="B129" s="11"/>
      <c r="C129" s="10"/>
      <c r="D129" s="10"/>
      <c r="E129" s="24" t="s">
        <v>30</v>
      </c>
      <c r="F129" s="48">
        <f>F124</f>
        <v>0.05</v>
      </c>
      <c r="G129" s="17"/>
      <c r="H129" s="767"/>
      <c r="I129" s="767"/>
      <c r="J129" s="767"/>
      <c r="K129" s="20" t="s">
        <v>31</v>
      </c>
      <c r="L129" s="21" t="s">
        <v>32</v>
      </c>
      <c r="M129" s="21" t="s">
        <v>33</v>
      </c>
      <c r="N129" s="21" t="s">
        <v>34</v>
      </c>
      <c r="O129" s="21" t="s">
        <v>35</v>
      </c>
      <c r="P129" s="21" t="s">
        <v>36</v>
      </c>
      <c r="Q129" s="49" t="s">
        <v>37</v>
      </c>
      <c r="R129" s="50" t="s">
        <v>38</v>
      </c>
      <c r="S129" s="50" t="s">
        <v>38</v>
      </c>
      <c r="T129" s="10"/>
      <c r="U129" s="17"/>
      <c r="V129" s="10"/>
      <c r="W129" s="10"/>
      <c r="X129" s="10"/>
    </row>
    <row r="130" spans="1:24">
      <c r="A130" s="2"/>
      <c r="B130" s="11"/>
      <c r="C130" s="10"/>
      <c r="D130" s="10"/>
      <c r="E130" s="51" t="s">
        <v>39</v>
      </c>
      <c r="F130" s="52">
        <f>(F128+F137+F138+F139-I151-I162)*F129</f>
        <v>833.88400000000024</v>
      </c>
      <c r="G130" s="53" t="s">
        <v>40</v>
      </c>
      <c r="H130" s="54">
        <f>F130/1.12</f>
        <v>744.53928571428582</v>
      </c>
      <c r="I130" s="570" t="s">
        <v>2446</v>
      </c>
      <c r="J130" s="42"/>
      <c r="K130" s="56">
        <f>I162+I148</f>
        <v>5011.17</v>
      </c>
      <c r="L130" s="57">
        <f>I149</f>
        <v>2323.3000000000002</v>
      </c>
      <c r="M130" s="57">
        <f>I150+I151+I153+I152</f>
        <v>7166.0700000000006</v>
      </c>
      <c r="N130" s="57">
        <v>0</v>
      </c>
      <c r="O130" s="57">
        <f>I154+I155+I156+I157</f>
        <v>5802.2000000000007</v>
      </c>
      <c r="P130" s="57">
        <f>SUM(K130:O130)</f>
        <v>20302.740000000002</v>
      </c>
      <c r="Q130" s="58">
        <v>0</v>
      </c>
      <c r="R130" s="59">
        <f>I163</f>
        <v>2236.87</v>
      </c>
      <c r="S130" s="59">
        <v>0</v>
      </c>
      <c r="T130" s="10"/>
      <c r="U130" s="17"/>
      <c r="V130" s="10"/>
      <c r="W130" s="10"/>
      <c r="X130" s="10"/>
    </row>
    <row r="131" spans="1:24">
      <c r="A131" s="2"/>
      <c r="B131" s="11"/>
      <c r="C131" s="10"/>
      <c r="D131" s="10"/>
      <c r="E131" s="24" t="s">
        <v>41</v>
      </c>
      <c r="F131" s="60">
        <f>Q130</f>
        <v>0</v>
      </c>
      <c r="G131" s="61" t="s">
        <v>40</v>
      </c>
      <c r="H131" s="62"/>
      <c r="I131" s="62"/>
      <c r="J131" s="10" t="s">
        <v>42</v>
      </c>
      <c r="K131" s="63">
        <v>2</v>
      </c>
      <c r="L131" s="63">
        <v>1</v>
      </c>
      <c r="M131" s="63">
        <v>4</v>
      </c>
      <c r="N131" s="63">
        <v>0</v>
      </c>
      <c r="O131" s="63">
        <v>4</v>
      </c>
      <c r="P131" s="21">
        <f>SUM(K131:O131)</f>
        <v>11</v>
      </c>
      <c r="Q131" s="64"/>
      <c r="R131" s="63"/>
      <c r="S131" s="10"/>
      <c r="T131" s="10"/>
      <c r="U131" s="17"/>
      <c r="V131" s="10"/>
      <c r="W131" s="10"/>
      <c r="X131" s="10"/>
    </row>
    <row r="132" spans="1:24">
      <c r="A132" s="2"/>
      <c r="B132" s="11"/>
      <c r="C132" s="10"/>
      <c r="D132" s="10"/>
      <c r="E132" s="51" t="s">
        <v>43</v>
      </c>
      <c r="F132" s="52">
        <f>F131*0.25</f>
        <v>0</v>
      </c>
      <c r="G132" s="53" t="s">
        <v>40</v>
      </c>
      <c r="H132" s="54">
        <f>F132/1.12</f>
        <v>0</v>
      </c>
      <c r="I132" s="10"/>
      <c r="J132" s="10" t="s">
        <v>44</v>
      </c>
      <c r="K132" s="63">
        <v>3</v>
      </c>
      <c r="L132" s="63">
        <v>3</v>
      </c>
      <c r="M132" s="63">
        <v>3</v>
      </c>
      <c r="N132" s="63">
        <v>0</v>
      </c>
      <c r="O132" s="63">
        <v>3</v>
      </c>
      <c r="P132" s="21">
        <f>SUM(K132:O132)</f>
        <v>12</v>
      </c>
      <c r="Q132" s="64"/>
      <c r="R132" s="63"/>
      <c r="S132" s="10"/>
      <c r="T132" s="10"/>
      <c r="U132" s="17"/>
      <c r="V132" s="10"/>
      <c r="W132" s="10"/>
      <c r="X132" s="10"/>
    </row>
    <row r="133" spans="1:24">
      <c r="A133" s="2"/>
      <c r="B133" s="11"/>
      <c r="C133" s="10"/>
      <c r="D133" s="10"/>
      <c r="E133" s="24" t="s">
        <v>45</v>
      </c>
      <c r="F133" s="60"/>
      <c r="G133" s="61" t="s">
        <v>40</v>
      </c>
      <c r="H133" s="62"/>
      <c r="I133" s="10"/>
      <c r="J133" s="10" t="s">
        <v>46</v>
      </c>
      <c r="K133" s="31">
        <f t="shared" ref="K133:Q133" si="29">K131/(K131+K132)</f>
        <v>0.4</v>
      </c>
      <c r="L133" s="31">
        <f t="shared" si="29"/>
        <v>0.25</v>
      </c>
      <c r="M133" s="31">
        <f t="shared" si="29"/>
        <v>0.5714285714285714</v>
      </c>
      <c r="N133" s="31" t="e">
        <f t="shared" si="29"/>
        <v>#DIV/0!</v>
      </c>
      <c r="O133" s="31">
        <f t="shared" si="29"/>
        <v>0.5714285714285714</v>
      </c>
      <c r="P133" s="31">
        <f t="shared" si="29"/>
        <v>0.47826086956521741</v>
      </c>
      <c r="Q133" s="31" t="e">
        <f t="shared" si="29"/>
        <v>#DIV/0!</v>
      </c>
      <c r="R133" s="63"/>
      <c r="S133" s="10"/>
      <c r="T133" s="10"/>
      <c r="U133" s="17"/>
      <c r="V133" s="10"/>
      <c r="W133" s="10"/>
      <c r="X133" s="10"/>
    </row>
    <row r="134" spans="1:24">
      <c r="A134" s="2"/>
      <c r="B134" s="11"/>
      <c r="C134" s="10"/>
      <c r="D134" s="10"/>
      <c r="E134" s="51" t="s">
        <v>47</v>
      </c>
      <c r="F134" s="52">
        <f>F133*0.05</f>
        <v>0</v>
      </c>
      <c r="G134" s="65" t="s">
        <v>40</v>
      </c>
      <c r="H134" s="54">
        <f>F134/1.12</f>
        <v>0</v>
      </c>
      <c r="I134" s="42"/>
      <c r="J134" s="10" t="s">
        <v>48</v>
      </c>
      <c r="K134" s="66">
        <f>K130/K131</f>
        <v>2505.585</v>
      </c>
      <c r="L134" s="66">
        <f t="shared" ref="L134:Q134" si="30">L130/L131</f>
        <v>2323.3000000000002</v>
      </c>
      <c r="M134" s="66">
        <f t="shared" si="30"/>
        <v>1791.5175000000002</v>
      </c>
      <c r="N134" s="66" t="e">
        <f t="shared" si="30"/>
        <v>#DIV/0!</v>
      </c>
      <c r="O134" s="66">
        <f t="shared" si="30"/>
        <v>1450.5500000000002</v>
      </c>
      <c r="P134" s="66">
        <f t="shared" si="30"/>
        <v>1845.7036363636364</v>
      </c>
      <c r="Q134" s="66" t="e">
        <f t="shared" si="30"/>
        <v>#DIV/0!</v>
      </c>
      <c r="R134" s="63"/>
      <c r="S134" s="10"/>
      <c r="T134" s="10"/>
      <c r="U134" s="17"/>
      <c r="V134" s="10"/>
      <c r="W134" s="10"/>
      <c r="X134" s="10"/>
    </row>
    <row r="135" spans="1:24">
      <c r="A135" s="2"/>
      <c r="B135" s="11"/>
      <c r="C135" s="10"/>
      <c r="D135" s="10"/>
      <c r="E135" s="67" t="s">
        <v>14</v>
      </c>
      <c r="F135" s="68">
        <f>1*50</f>
        <v>50</v>
      </c>
      <c r="G135" s="10"/>
      <c r="H135" s="54">
        <f>F135/1.12</f>
        <v>44.642857142857139</v>
      </c>
      <c r="I135" s="10"/>
      <c r="J135" s="10"/>
      <c r="K135" s="10"/>
      <c r="L135" s="10"/>
      <c r="M135" s="10"/>
      <c r="N135" s="10"/>
      <c r="O135" s="10"/>
      <c r="P135" s="10"/>
      <c r="Q135" s="10"/>
      <c r="R135" s="10"/>
      <c r="S135" s="10"/>
      <c r="T135" s="10"/>
      <c r="U135" s="17"/>
      <c r="V135" s="10"/>
      <c r="W135" s="10"/>
      <c r="X135" s="10"/>
    </row>
    <row r="136" spans="1:24">
      <c r="A136" s="2"/>
      <c r="B136" s="11"/>
      <c r="C136" s="10"/>
      <c r="D136" s="10"/>
      <c r="E136" s="67" t="s">
        <v>49</v>
      </c>
      <c r="F136" s="69">
        <f>T125</f>
        <v>0</v>
      </c>
      <c r="G136" s="10"/>
      <c r="H136" s="54"/>
      <c r="I136" s="55"/>
      <c r="J136" s="42"/>
      <c r="K136" s="764" t="s">
        <v>50</v>
      </c>
      <c r="L136" s="765"/>
      <c r="M136" s="765"/>
      <c r="N136" s="765"/>
      <c r="O136" s="765"/>
      <c r="P136" s="765"/>
      <c r="Q136" s="766"/>
      <c r="R136" s="70" t="s">
        <v>28</v>
      </c>
      <c r="S136" s="71" t="s">
        <v>29</v>
      </c>
      <c r="T136" s="10"/>
      <c r="U136" s="17"/>
      <c r="V136" s="10"/>
      <c r="W136" s="10"/>
      <c r="X136" s="10"/>
    </row>
    <row r="137" spans="1:24">
      <c r="A137" s="2"/>
      <c r="B137" s="11"/>
      <c r="C137" s="10"/>
      <c r="D137" s="10"/>
      <c r="E137" s="72" t="s">
        <v>2836</v>
      </c>
      <c r="F137" s="73">
        <v>-83.6</v>
      </c>
      <c r="G137" s="10"/>
      <c r="H137" s="10"/>
      <c r="I137" s="10"/>
      <c r="J137" s="42"/>
      <c r="K137" s="20" t="s">
        <v>31</v>
      </c>
      <c r="L137" s="21" t="s">
        <v>32</v>
      </c>
      <c r="M137" s="21" t="s">
        <v>33</v>
      </c>
      <c r="N137" s="21" t="s">
        <v>34</v>
      </c>
      <c r="O137" s="21" t="s">
        <v>35</v>
      </c>
      <c r="P137" s="21" t="s">
        <v>36</v>
      </c>
      <c r="Q137" s="49" t="s">
        <v>37</v>
      </c>
      <c r="R137" s="50" t="s">
        <v>38</v>
      </c>
      <c r="S137" s="50" t="s">
        <v>38</v>
      </c>
      <c r="T137" s="10"/>
      <c r="U137" s="17"/>
      <c r="V137" s="10"/>
      <c r="W137" s="10"/>
      <c r="X137" s="10"/>
    </row>
    <row r="138" spans="1:24">
      <c r="A138" s="2"/>
      <c r="B138" s="11"/>
      <c r="C138" s="10"/>
      <c r="D138" s="10"/>
      <c r="E138" s="72" t="s">
        <v>2837</v>
      </c>
      <c r="F138" s="73">
        <v>-633.25</v>
      </c>
      <c r="G138" s="10"/>
      <c r="H138" s="10"/>
      <c r="I138" s="10"/>
      <c r="J138" s="42"/>
      <c r="K138" s="56">
        <f>F162+F148</f>
        <v>5495</v>
      </c>
      <c r="L138" s="57">
        <f>F149</f>
        <v>2563</v>
      </c>
      <c r="M138" s="57">
        <f>F150+F151+F153+F152</f>
        <v>9852.69</v>
      </c>
      <c r="N138" s="57">
        <v>0</v>
      </c>
      <c r="O138" s="57">
        <f>F154+F155+F156+F157</f>
        <v>5961</v>
      </c>
      <c r="P138" s="57">
        <f>SUM(K138:O138)</f>
        <v>23871.690000000002</v>
      </c>
      <c r="Q138" s="58">
        <v>0</v>
      </c>
      <c r="R138" s="59">
        <f>F163</f>
        <v>2681</v>
      </c>
      <c r="S138" s="59">
        <v>0</v>
      </c>
      <c r="T138" s="10"/>
      <c r="U138" s="17"/>
      <c r="V138" s="10"/>
      <c r="W138" s="10"/>
      <c r="X138" s="10"/>
    </row>
    <row r="139" spans="1:24">
      <c r="A139" s="2"/>
      <c r="B139" s="11"/>
      <c r="C139" s="10"/>
      <c r="D139" s="10"/>
      <c r="E139" s="74" t="s">
        <v>2837</v>
      </c>
      <c r="F139" s="75">
        <v>-633.25</v>
      </c>
      <c r="G139" s="10"/>
      <c r="H139" s="10"/>
      <c r="I139" s="10"/>
      <c r="J139" s="10" t="s">
        <v>42</v>
      </c>
      <c r="K139" s="63">
        <f>K131</f>
        <v>2</v>
      </c>
      <c r="L139" s="63">
        <f t="shared" ref="L139:Q140" si="31">L131</f>
        <v>1</v>
      </c>
      <c r="M139" s="63">
        <f t="shared" si="31"/>
        <v>4</v>
      </c>
      <c r="N139" s="63">
        <f t="shared" si="31"/>
        <v>0</v>
      </c>
      <c r="O139" s="63">
        <f t="shared" si="31"/>
        <v>4</v>
      </c>
      <c r="P139" s="63">
        <f t="shared" si="31"/>
        <v>11</v>
      </c>
      <c r="Q139" s="63">
        <f t="shared" si="31"/>
        <v>0</v>
      </c>
      <c r="R139" s="63"/>
      <c r="S139" s="10"/>
      <c r="T139" s="10"/>
      <c r="U139" s="17"/>
      <c r="V139" s="10"/>
      <c r="W139" s="10"/>
      <c r="X139" s="10"/>
    </row>
    <row r="140" spans="1:24">
      <c r="A140" s="2"/>
      <c r="B140" s="11"/>
      <c r="C140" s="10"/>
      <c r="D140" s="10"/>
      <c r="E140" s="10"/>
      <c r="F140" s="10"/>
      <c r="G140" s="10"/>
      <c r="H140" s="10"/>
      <c r="I140" s="10"/>
      <c r="J140" s="10" t="s">
        <v>44</v>
      </c>
      <c r="K140" s="63">
        <f>K132</f>
        <v>3</v>
      </c>
      <c r="L140" s="63">
        <f t="shared" si="31"/>
        <v>3</v>
      </c>
      <c r="M140" s="63">
        <f t="shared" si="31"/>
        <v>3</v>
      </c>
      <c r="N140" s="63">
        <f t="shared" si="31"/>
        <v>0</v>
      </c>
      <c r="O140" s="63">
        <f t="shared" si="31"/>
        <v>3</v>
      </c>
      <c r="P140" s="63">
        <f t="shared" si="31"/>
        <v>12</v>
      </c>
      <c r="Q140" s="63">
        <f t="shared" si="31"/>
        <v>0</v>
      </c>
      <c r="R140" s="63"/>
      <c r="S140" s="10"/>
      <c r="T140" s="10"/>
      <c r="U140" s="17"/>
      <c r="V140" s="10"/>
      <c r="W140" s="10"/>
      <c r="X140" s="10"/>
    </row>
    <row r="141" spans="1:24">
      <c r="A141" s="2"/>
      <c r="B141" s="11"/>
      <c r="C141" s="10"/>
      <c r="D141" s="10"/>
      <c r="E141" s="10"/>
      <c r="F141" s="10"/>
      <c r="G141" s="10"/>
      <c r="H141" s="10"/>
      <c r="I141" s="10"/>
      <c r="J141" s="10" t="s">
        <v>46</v>
      </c>
      <c r="K141" s="31">
        <f t="shared" ref="K141:Q141" si="32">K139/(K139+K140)</f>
        <v>0.4</v>
      </c>
      <c r="L141" s="31">
        <f t="shared" si="32"/>
        <v>0.25</v>
      </c>
      <c r="M141" s="31">
        <f t="shared" si="32"/>
        <v>0.5714285714285714</v>
      </c>
      <c r="N141" s="31" t="e">
        <f t="shared" si="32"/>
        <v>#DIV/0!</v>
      </c>
      <c r="O141" s="31">
        <f t="shared" si="32"/>
        <v>0.5714285714285714</v>
      </c>
      <c r="P141" s="31">
        <f t="shared" si="32"/>
        <v>0.47826086956521741</v>
      </c>
      <c r="Q141" s="31" t="e">
        <f t="shared" si="32"/>
        <v>#DIV/0!</v>
      </c>
      <c r="R141" s="63"/>
      <c r="S141" s="10"/>
      <c r="T141" s="10"/>
      <c r="U141" s="17"/>
      <c r="V141" s="10"/>
      <c r="W141" s="10"/>
      <c r="X141" s="10"/>
    </row>
    <row r="142" spans="1:24">
      <c r="A142" s="2"/>
      <c r="B142" s="11"/>
      <c r="C142" s="10"/>
      <c r="D142" s="10"/>
      <c r="E142" s="10"/>
      <c r="F142" s="10"/>
      <c r="G142" s="10"/>
      <c r="H142" s="10"/>
      <c r="I142" s="10"/>
      <c r="J142" s="10" t="s">
        <v>48</v>
      </c>
      <c r="K142" s="66">
        <f t="shared" ref="K142:Q142" si="33">K138/K139</f>
        <v>2747.5</v>
      </c>
      <c r="L142" s="66">
        <f t="shared" si="33"/>
        <v>2563</v>
      </c>
      <c r="M142" s="66">
        <f t="shared" si="33"/>
        <v>2463.1725000000001</v>
      </c>
      <c r="N142" s="66" t="e">
        <f t="shared" si="33"/>
        <v>#DIV/0!</v>
      </c>
      <c r="O142" s="66">
        <f t="shared" si="33"/>
        <v>1490.25</v>
      </c>
      <c r="P142" s="66">
        <f t="shared" si="33"/>
        <v>2170.1536363636365</v>
      </c>
      <c r="Q142" s="66" t="e">
        <f t="shared" si="33"/>
        <v>#DIV/0!</v>
      </c>
      <c r="R142" s="63"/>
      <c r="S142" s="10"/>
      <c r="T142" s="10"/>
      <c r="U142" s="17"/>
      <c r="V142" s="10"/>
      <c r="W142" s="10"/>
      <c r="X142" s="10"/>
    </row>
    <row r="143" spans="1:24">
      <c r="A143" s="2"/>
      <c r="B143" s="11"/>
      <c r="C143" s="10"/>
      <c r="D143" s="10"/>
      <c r="E143" s="10"/>
      <c r="F143" s="10"/>
      <c r="G143" s="10"/>
      <c r="H143" s="10"/>
      <c r="I143" s="10"/>
      <c r="J143" s="10"/>
      <c r="K143" s="10"/>
      <c r="L143" s="10"/>
      <c r="M143" s="10"/>
      <c r="N143" s="10"/>
      <c r="O143" s="10"/>
      <c r="P143" s="10"/>
      <c r="Q143" s="10"/>
      <c r="R143" s="10"/>
      <c r="S143" s="10"/>
      <c r="T143" s="10"/>
      <c r="U143" s="17"/>
      <c r="V143" s="10"/>
      <c r="W143" s="10"/>
      <c r="X143" s="10"/>
    </row>
    <row r="144" spans="1:24">
      <c r="A144" s="2"/>
      <c r="B144" s="11"/>
      <c r="C144" s="10"/>
      <c r="D144" s="10"/>
      <c r="E144" s="10"/>
      <c r="F144" s="10"/>
      <c r="G144" s="10"/>
      <c r="H144" s="10"/>
      <c r="I144" s="10"/>
      <c r="J144" s="10"/>
      <c r="K144" s="10"/>
      <c r="L144" s="10"/>
      <c r="M144" s="10"/>
      <c r="N144" s="10"/>
      <c r="O144" s="10"/>
      <c r="P144" s="10"/>
      <c r="Q144" s="10"/>
      <c r="R144" s="10"/>
      <c r="S144" s="10"/>
      <c r="T144" s="10"/>
      <c r="U144" s="17"/>
      <c r="V144" s="10"/>
      <c r="W144" s="10"/>
      <c r="X144" s="10"/>
    </row>
    <row r="145" spans="1:24">
      <c r="A145" s="2"/>
      <c r="B145" s="18" t="s">
        <v>51</v>
      </c>
      <c r="C145" s="14"/>
      <c r="D145" s="14"/>
      <c r="E145" s="14"/>
      <c r="F145" s="13" t="s">
        <v>52</v>
      </c>
      <c r="G145" s="14"/>
      <c r="H145" s="14"/>
      <c r="I145" s="14"/>
      <c r="J145" s="14"/>
      <c r="K145" s="13" t="s">
        <v>3</v>
      </c>
      <c r="L145" s="14"/>
      <c r="M145" s="14"/>
      <c r="N145" s="13" t="s">
        <v>4</v>
      </c>
      <c r="O145" s="14"/>
      <c r="P145" s="14"/>
      <c r="Q145" s="13" t="s">
        <v>5</v>
      </c>
      <c r="R145" s="14"/>
      <c r="S145" s="14"/>
      <c r="T145" s="18"/>
      <c r="U145" s="16" t="s">
        <v>53</v>
      </c>
      <c r="V145" s="77"/>
      <c r="W145" s="77"/>
      <c r="X145" s="77"/>
    </row>
    <row r="146" spans="1:24">
      <c r="A146" s="2"/>
      <c r="B146" s="24" t="s">
        <v>54</v>
      </c>
      <c r="C146" s="21" t="s">
        <v>55</v>
      </c>
      <c r="D146" s="21" t="s">
        <v>56</v>
      </c>
      <c r="E146" s="21" t="s">
        <v>57</v>
      </c>
      <c r="F146" s="20" t="s">
        <v>58</v>
      </c>
      <c r="G146" s="21" t="s">
        <v>59</v>
      </c>
      <c r="H146" s="21" t="s">
        <v>60</v>
      </c>
      <c r="I146" s="21" t="s">
        <v>26</v>
      </c>
      <c r="J146" s="22" t="s">
        <v>61</v>
      </c>
      <c r="K146" s="21" t="s">
        <v>8</v>
      </c>
      <c r="L146" s="21" t="s">
        <v>9</v>
      </c>
      <c r="M146" s="21" t="s">
        <v>10</v>
      </c>
      <c r="N146" s="20" t="s">
        <v>11</v>
      </c>
      <c r="O146" s="21" t="s">
        <v>12</v>
      </c>
      <c r="P146" s="22" t="s">
        <v>13</v>
      </c>
      <c r="Q146" s="21" t="s">
        <v>11</v>
      </c>
      <c r="R146" s="21" t="s">
        <v>12</v>
      </c>
      <c r="S146" s="21" t="s">
        <v>13</v>
      </c>
      <c r="T146" s="78" t="s">
        <v>14</v>
      </c>
      <c r="U146" s="30"/>
      <c r="V146" s="79" t="s">
        <v>62</v>
      </c>
      <c r="W146" s="80" t="s">
        <v>63</v>
      </c>
      <c r="X146" s="81" t="s">
        <v>64</v>
      </c>
    </row>
    <row r="147" spans="1:24">
      <c r="A147" s="2"/>
      <c r="B147" s="4" t="s">
        <v>65</v>
      </c>
      <c r="C147" s="6"/>
      <c r="D147" s="6"/>
      <c r="E147" s="6"/>
      <c r="F147" s="6"/>
      <c r="G147" s="6"/>
      <c r="H147" s="6"/>
      <c r="I147" s="82"/>
      <c r="J147" s="6"/>
      <c r="K147" s="6"/>
      <c r="L147" s="6"/>
      <c r="M147" s="6"/>
      <c r="N147" s="6"/>
      <c r="O147" s="6"/>
      <c r="P147" s="6"/>
      <c r="Q147" s="6"/>
      <c r="R147" s="6"/>
      <c r="S147" s="6"/>
      <c r="T147" s="83"/>
      <c r="U147" s="6"/>
      <c r="V147" s="84"/>
      <c r="W147" s="85"/>
      <c r="X147" s="86"/>
    </row>
    <row r="148" spans="1:24">
      <c r="A148" s="2"/>
      <c r="B148" s="87">
        <v>1</v>
      </c>
      <c r="C148" s="262">
        <v>45873</v>
      </c>
      <c r="D148" s="263">
        <v>71941</v>
      </c>
      <c r="E148" s="264" t="s">
        <v>1045</v>
      </c>
      <c r="F148" s="265">
        <f>2899-85</f>
        <v>2814</v>
      </c>
      <c r="G148" s="265">
        <f>39.7</f>
        <v>39.700000000000003</v>
      </c>
      <c r="H148" s="265"/>
      <c r="I148" s="266">
        <f t="shared" ref="I148" si="34">F148-G148-H148</f>
        <v>2774.3</v>
      </c>
      <c r="J148" s="267" t="s">
        <v>228</v>
      </c>
      <c r="K148" s="267">
        <v>1</v>
      </c>
      <c r="L148" s="314">
        <v>0</v>
      </c>
      <c r="M148" s="267">
        <v>1</v>
      </c>
      <c r="N148" s="267">
        <v>1</v>
      </c>
      <c r="O148" s="267">
        <v>1</v>
      </c>
      <c r="P148" s="314">
        <v>0</v>
      </c>
      <c r="Q148" s="314">
        <v>0</v>
      </c>
      <c r="R148" s="314">
        <v>0</v>
      </c>
      <c r="S148" s="366">
        <v>0</v>
      </c>
      <c r="T148" s="63"/>
      <c r="U148" s="10"/>
      <c r="V148" s="90">
        <f>93.5+309.54+2785.86</f>
        <v>3188.9</v>
      </c>
      <c r="W148" s="91"/>
      <c r="X148" s="92"/>
    </row>
    <row r="149" spans="1:24">
      <c r="A149" s="388">
        <v>45875</v>
      </c>
      <c r="B149" s="87">
        <f t="shared" ref="B149:B157" si="35">B148+1</f>
        <v>2</v>
      </c>
      <c r="C149" s="274">
        <v>45874</v>
      </c>
      <c r="D149" s="327">
        <v>72004</v>
      </c>
      <c r="E149" s="276" t="s">
        <v>1509</v>
      </c>
      <c r="F149" s="277">
        <v>2563</v>
      </c>
      <c r="G149" s="277">
        <f>39.7+200</f>
        <v>239.7</v>
      </c>
      <c r="H149" s="277"/>
      <c r="I149" s="278">
        <f t="shared" ref="I149" si="36">F149-G149-H149</f>
        <v>2323.3000000000002</v>
      </c>
      <c r="J149" s="279" t="s">
        <v>156</v>
      </c>
      <c r="K149" s="279">
        <v>1</v>
      </c>
      <c r="L149" s="279">
        <v>1</v>
      </c>
      <c r="M149" s="279">
        <v>1</v>
      </c>
      <c r="N149" s="279">
        <v>1</v>
      </c>
      <c r="O149" s="279">
        <v>1</v>
      </c>
      <c r="P149" s="279">
        <v>1</v>
      </c>
      <c r="Q149" s="279">
        <v>1</v>
      </c>
      <c r="R149" s="279">
        <v>1</v>
      </c>
      <c r="S149" s="280">
        <v>1</v>
      </c>
      <c r="T149" s="63"/>
      <c r="U149" s="94" t="s">
        <v>2838</v>
      </c>
      <c r="V149" s="90">
        <f>300+2519.3</f>
        <v>2819.3</v>
      </c>
      <c r="W149" s="91"/>
      <c r="X149" s="92"/>
    </row>
    <row r="150" spans="1:24">
      <c r="A150" s="93"/>
      <c r="B150" s="87">
        <f t="shared" si="35"/>
        <v>3</v>
      </c>
      <c r="C150" s="274">
        <v>45875</v>
      </c>
      <c r="D150" s="327" t="s">
        <v>2839</v>
      </c>
      <c r="E150" s="281" t="s">
        <v>2840</v>
      </c>
      <c r="F150" s="277">
        <f>416</f>
        <v>416</v>
      </c>
      <c r="G150" s="277"/>
      <c r="H150" s="277"/>
      <c r="I150" s="321">
        <f>F150-G150-H150</f>
        <v>416</v>
      </c>
      <c r="J150" s="279" t="s">
        <v>374</v>
      </c>
      <c r="K150" s="279">
        <v>1</v>
      </c>
      <c r="L150" s="279">
        <v>1</v>
      </c>
      <c r="M150" s="279">
        <v>1</v>
      </c>
      <c r="N150" s="279">
        <v>1</v>
      </c>
      <c r="O150" s="279">
        <v>1</v>
      </c>
      <c r="P150" s="279">
        <v>1</v>
      </c>
      <c r="Q150" s="322">
        <v>0</v>
      </c>
      <c r="R150" s="322">
        <v>0</v>
      </c>
      <c r="S150" s="328">
        <v>0</v>
      </c>
      <c r="T150" s="63"/>
      <c r="U150" s="10"/>
      <c r="V150" s="90">
        <v>457.6</v>
      </c>
      <c r="W150" s="91"/>
      <c r="X150" s="92"/>
    </row>
    <row r="151" spans="1:24" s="260" customFormat="1">
      <c r="A151" s="301">
        <v>45877</v>
      </c>
      <c r="B151" s="87">
        <f>B150+1</f>
        <v>4</v>
      </c>
      <c r="C151" s="295">
        <v>45875</v>
      </c>
      <c r="D151" s="323" t="s">
        <v>2841</v>
      </c>
      <c r="E151" s="101" t="s">
        <v>1098</v>
      </c>
      <c r="F151" s="62">
        <v>38.090000000000003</v>
      </c>
      <c r="G151" s="62"/>
      <c r="H151" s="62"/>
      <c r="I151" s="369">
        <f>F151-G151-H151</f>
        <v>38.090000000000003</v>
      </c>
      <c r="J151" s="63" t="s">
        <v>156</v>
      </c>
      <c r="K151" s="63">
        <v>1</v>
      </c>
      <c r="L151" s="63">
        <v>1</v>
      </c>
      <c r="M151" s="63">
        <v>1</v>
      </c>
      <c r="N151" s="63">
        <v>1</v>
      </c>
      <c r="O151" s="63">
        <v>1</v>
      </c>
      <c r="P151" s="325">
        <v>0</v>
      </c>
      <c r="Q151" s="325">
        <v>0</v>
      </c>
      <c r="R151" s="325">
        <v>0</v>
      </c>
      <c r="S151" s="326">
        <v>0</v>
      </c>
      <c r="T151" s="63"/>
      <c r="U151" s="10" t="s">
        <v>2842</v>
      </c>
      <c r="V151" s="90">
        <f>41.9</f>
        <v>41.9</v>
      </c>
      <c r="W151" s="91"/>
      <c r="X151" s="92"/>
    </row>
    <row r="152" spans="1:24" s="260" customFormat="1">
      <c r="A152" s="463">
        <v>45880</v>
      </c>
      <c r="B152" s="87">
        <f>B151+1</f>
        <v>5</v>
      </c>
      <c r="C152" s="295">
        <v>45875</v>
      </c>
      <c r="D152" s="323" t="s">
        <v>2843</v>
      </c>
      <c r="E152" s="101" t="s">
        <v>1098</v>
      </c>
      <c r="F152" s="62">
        <f>4681-515</f>
        <v>4166</v>
      </c>
      <c r="G152" s="62">
        <f>39.7+(956.85)+250</f>
        <v>1246.5500000000002</v>
      </c>
      <c r="H152" s="62"/>
      <c r="I152" s="324">
        <f>F152-G152-H152</f>
        <v>2919.45</v>
      </c>
      <c r="J152" s="63" t="s">
        <v>156</v>
      </c>
      <c r="K152" s="63">
        <v>1</v>
      </c>
      <c r="L152" s="63">
        <v>1</v>
      </c>
      <c r="M152" s="63">
        <v>1</v>
      </c>
      <c r="N152" s="63">
        <v>1</v>
      </c>
      <c r="O152" s="63">
        <v>1</v>
      </c>
      <c r="P152" s="63">
        <v>1</v>
      </c>
      <c r="Q152" s="63">
        <v>1</v>
      </c>
      <c r="R152" s="325">
        <v>0</v>
      </c>
      <c r="S152" s="296">
        <v>1</v>
      </c>
      <c r="T152" s="63"/>
      <c r="U152" s="94" t="s">
        <v>2844</v>
      </c>
      <c r="V152" s="90">
        <f>500+4649.1</f>
        <v>5149.1000000000004</v>
      </c>
      <c r="W152" s="91"/>
      <c r="X152" s="92"/>
    </row>
    <row r="153" spans="1:24">
      <c r="A153" s="2"/>
      <c r="B153" s="87">
        <f>B152+1</f>
        <v>6</v>
      </c>
      <c r="C153" s="282">
        <v>45875</v>
      </c>
      <c r="D153" s="368" t="s">
        <v>2845</v>
      </c>
      <c r="E153" s="319" t="s">
        <v>2840</v>
      </c>
      <c r="F153" s="284">
        <v>5232.6000000000004</v>
      </c>
      <c r="G153" s="284">
        <f>39.7+(1150.37)+250</f>
        <v>1440.07</v>
      </c>
      <c r="H153" s="284"/>
      <c r="I153" s="300">
        <f>F153-G153-H153</f>
        <v>3792.5300000000007</v>
      </c>
      <c r="J153" s="286" t="s">
        <v>374</v>
      </c>
      <c r="K153" s="286">
        <v>1</v>
      </c>
      <c r="L153" s="286">
        <v>1</v>
      </c>
      <c r="M153" s="286">
        <v>1</v>
      </c>
      <c r="N153" s="286">
        <v>1</v>
      </c>
      <c r="O153" s="286">
        <v>1</v>
      </c>
      <c r="P153" s="286">
        <v>1</v>
      </c>
      <c r="Q153" s="286">
        <v>1</v>
      </c>
      <c r="R153" s="332">
        <v>0</v>
      </c>
      <c r="S153" s="287">
        <v>1</v>
      </c>
      <c r="T153" s="63"/>
      <c r="U153" s="94" t="s">
        <v>2846</v>
      </c>
      <c r="V153" s="90">
        <f>2755.86+2500+500</f>
        <v>5755.8600000000006</v>
      </c>
      <c r="W153" s="91"/>
      <c r="X153" s="92"/>
    </row>
    <row r="154" spans="1:24">
      <c r="A154" s="2"/>
      <c r="B154" s="87">
        <f t="shared" si="35"/>
        <v>7</v>
      </c>
      <c r="C154" s="295">
        <v>45877</v>
      </c>
      <c r="D154" s="323">
        <v>72175</v>
      </c>
      <c r="E154" s="10" t="s">
        <v>2829</v>
      </c>
      <c r="F154" s="62">
        <v>1501</v>
      </c>
      <c r="G154" s="62">
        <f>39.7</f>
        <v>39.700000000000003</v>
      </c>
      <c r="H154" s="62"/>
      <c r="I154" s="89">
        <f t="shared" ref="I154:I157" si="37">F154-G154-H154</f>
        <v>1461.3</v>
      </c>
      <c r="J154" s="63" t="s">
        <v>156</v>
      </c>
      <c r="K154" s="63">
        <v>1</v>
      </c>
      <c r="L154" s="63">
        <v>1</v>
      </c>
      <c r="M154" s="63">
        <v>1</v>
      </c>
      <c r="N154" s="63">
        <v>1</v>
      </c>
      <c r="O154" s="63">
        <v>1</v>
      </c>
      <c r="P154" s="63">
        <v>1</v>
      </c>
      <c r="Q154" s="63">
        <v>1</v>
      </c>
      <c r="R154" s="63">
        <v>1</v>
      </c>
      <c r="S154" s="296">
        <v>1</v>
      </c>
      <c r="T154" s="63"/>
      <c r="U154" s="10"/>
      <c r="V154" s="90">
        <f>150+1501.1</f>
        <v>1651.1</v>
      </c>
      <c r="W154" s="91"/>
      <c r="X154" s="92"/>
    </row>
    <row r="155" spans="1:24">
      <c r="A155" s="2" t="s">
        <v>2847</v>
      </c>
      <c r="B155" s="87">
        <f t="shared" si="35"/>
        <v>8</v>
      </c>
      <c r="C155" s="295">
        <v>45877</v>
      </c>
      <c r="D155" s="346" t="s">
        <v>2848</v>
      </c>
      <c r="E155" s="10" t="s">
        <v>2375</v>
      </c>
      <c r="F155" s="62">
        <f>3046-185-185</f>
        <v>2676</v>
      </c>
      <c r="G155" s="62">
        <f>39.7</f>
        <v>39.700000000000003</v>
      </c>
      <c r="H155" s="88"/>
      <c r="I155" s="89">
        <f t="shared" si="37"/>
        <v>2636.3</v>
      </c>
      <c r="J155" s="63" t="s">
        <v>156</v>
      </c>
      <c r="K155" s="63">
        <v>1</v>
      </c>
      <c r="L155" s="63">
        <v>1</v>
      </c>
      <c r="M155" s="63">
        <v>1</v>
      </c>
      <c r="N155" s="63">
        <v>1</v>
      </c>
      <c r="O155" s="63">
        <v>1</v>
      </c>
      <c r="P155" s="63">
        <v>1</v>
      </c>
      <c r="Q155" s="63">
        <v>1</v>
      </c>
      <c r="R155" s="63">
        <v>1</v>
      </c>
      <c r="S155" s="296">
        <v>1</v>
      </c>
      <c r="T155" s="63"/>
      <c r="U155" s="10" t="s">
        <v>2849</v>
      </c>
      <c r="V155" s="90">
        <f>203.5+3147.1</f>
        <v>3350.6</v>
      </c>
      <c r="W155" s="91"/>
      <c r="X155" s="92"/>
    </row>
    <row r="156" spans="1:24">
      <c r="A156" s="2"/>
      <c r="B156" s="87">
        <f t="shared" si="35"/>
        <v>9</v>
      </c>
      <c r="C156" s="295">
        <v>45877</v>
      </c>
      <c r="D156" s="323">
        <v>72183</v>
      </c>
      <c r="E156" s="101" t="s">
        <v>1443</v>
      </c>
      <c r="F156" s="62">
        <v>796</v>
      </c>
      <c r="G156" s="62">
        <f>39.7</f>
        <v>39.700000000000003</v>
      </c>
      <c r="H156" s="88"/>
      <c r="I156" s="89">
        <f t="shared" si="37"/>
        <v>756.3</v>
      </c>
      <c r="J156" s="63" t="s">
        <v>156</v>
      </c>
      <c r="K156" s="63">
        <v>1</v>
      </c>
      <c r="L156" s="63">
        <v>1</v>
      </c>
      <c r="M156" s="63">
        <v>1</v>
      </c>
      <c r="N156" s="63">
        <v>1</v>
      </c>
      <c r="O156" s="63">
        <v>1</v>
      </c>
      <c r="P156" s="63">
        <v>1</v>
      </c>
      <c r="Q156" s="63">
        <v>1</v>
      </c>
      <c r="R156" s="63">
        <v>1</v>
      </c>
      <c r="S156" s="296">
        <v>1</v>
      </c>
      <c r="T156" s="63"/>
      <c r="U156" s="10"/>
      <c r="V156" s="90">
        <v>875.6</v>
      </c>
      <c r="W156" s="91"/>
      <c r="X156" s="92"/>
    </row>
    <row r="157" spans="1:24">
      <c r="A157" s="2"/>
      <c r="B157" s="87">
        <f t="shared" si="35"/>
        <v>10</v>
      </c>
      <c r="C157" s="282">
        <v>45877</v>
      </c>
      <c r="D157" s="368">
        <v>72151</v>
      </c>
      <c r="E157" s="283" t="s">
        <v>1046</v>
      </c>
      <c r="F157" s="284">
        <v>988</v>
      </c>
      <c r="G157" s="284">
        <f>39.7</f>
        <v>39.700000000000003</v>
      </c>
      <c r="H157" s="315"/>
      <c r="I157" s="285">
        <f t="shared" si="37"/>
        <v>948.3</v>
      </c>
      <c r="J157" s="286" t="s">
        <v>156</v>
      </c>
      <c r="K157" s="286">
        <v>1</v>
      </c>
      <c r="L157" s="286">
        <v>1</v>
      </c>
      <c r="M157" s="286">
        <v>1</v>
      </c>
      <c r="N157" s="286">
        <v>1</v>
      </c>
      <c r="O157" s="286">
        <v>1</v>
      </c>
      <c r="P157" s="286">
        <v>1</v>
      </c>
      <c r="Q157" s="286">
        <v>1</v>
      </c>
      <c r="R157" s="332">
        <v>0</v>
      </c>
      <c r="S157" s="287">
        <v>1</v>
      </c>
      <c r="T157" s="63"/>
      <c r="U157" s="10" t="s">
        <v>2850</v>
      </c>
      <c r="V157" s="90">
        <v>1086.8</v>
      </c>
      <c r="W157" s="91"/>
      <c r="X157" s="92"/>
    </row>
    <row r="158" spans="1:24">
      <c r="A158" s="2"/>
      <c r="B158" s="87"/>
      <c r="C158" s="36"/>
      <c r="D158" s="10"/>
      <c r="E158" s="10"/>
      <c r="F158" s="97">
        <f>SUM(F148:F157)</f>
        <v>21190.690000000002</v>
      </c>
      <c r="G158" s="97">
        <f>SUM(G148:G157)</f>
        <v>3124.8199999999997</v>
      </c>
      <c r="H158" s="97">
        <f>SUM(H148:H157)</f>
        <v>0</v>
      </c>
      <c r="I158" s="98">
        <f>SUM(I148:I157)</f>
        <v>18065.87</v>
      </c>
      <c r="J158" s="63"/>
      <c r="K158" s="63">
        <f>COUNT(K148:K157)</f>
        <v>10</v>
      </c>
      <c r="L158" s="63">
        <f>COUNT(L148:L157)</f>
        <v>10</v>
      </c>
      <c r="M158" s="63">
        <f>COUNT(M148:M157)</f>
        <v>10</v>
      </c>
      <c r="N158" s="63">
        <f>COUNT(N148:N157)</f>
        <v>10</v>
      </c>
      <c r="O158" s="63">
        <f>COUNT(O148:O157)</f>
        <v>10</v>
      </c>
      <c r="P158" s="63">
        <f>COUNT(P148:P157)</f>
        <v>10</v>
      </c>
      <c r="Q158" s="63">
        <f>COUNT(Q148:Q157)</f>
        <v>10</v>
      </c>
      <c r="R158" s="63">
        <f>COUNT(R148:R157)</f>
        <v>10</v>
      </c>
      <c r="S158" s="63">
        <f>COUNT(S148:S157)</f>
        <v>10</v>
      </c>
      <c r="T158" s="63"/>
      <c r="U158" s="10"/>
      <c r="V158" s="90"/>
      <c r="W158" s="91"/>
      <c r="X158" s="92"/>
    </row>
    <row r="159" spans="1:24">
      <c r="A159" s="2"/>
      <c r="B159" s="87"/>
      <c r="C159" s="36"/>
      <c r="D159" s="10"/>
      <c r="E159" s="10"/>
      <c r="F159" s="88"/>
      <c r="G159" s="88"/>
      <c r="H159" s="88"/>
      <c r="I159" s="99"/>
      <c r="J159" s="63"/>
      <c r="K159" s="21">
        <f>SUM(K148:K157)</f>
        <v>10</v>
      </c>
      <c r="L159" s="21">
        <f>SUM(L148:L157)</f>
        <v>9</v>
      </c>
      <c r="M159" s="21">
        <f>SUM(M148:M157)</f>
        <v>10</v>
      </c>
      <c r="N159" s="21">
        <f>SUM(N148:N157)</f>
        <v>10</v>
      </c>
      <c r="O159" s="21">
        <f>SUM(O148:O157)</f>
        <v>10</v>
      </c>
      <c r="P159" s="21">
        <f>SUM(P148:P157)</f>
        <v>8</v>
      </c>
      <c r="Q159" s="21">
        <f>SUM(Q148:Q157)</f>
        <v>7</v>
      </c>
      <c r="R159" s="21">
        <f>SUM(R148:R157)</f>
        <v>4</v>
      </c>
      <c r="S159" s="21">
        <f>SUM(S148:S157)</f>
        <v>7</v>
      </c>
      <c r="T159" s="63"/>
      <c r="U159" s="10"/>
      <c r="V159" s="90"/>
      <c r="W159" s="91"/>
      <c r="X159" s="92"/>
    </row>
    <row r="160" spans="1:24">
      <c r="A160" s="2"/>
      <c r="B160" s="11"/>
      <c r="C160" s="36"/>
      <c r="D160" s="10"/>
      <c r="E160" s="10"/>
      <c r="F160" s="88"/>
      <c r="G160" s="88"/>
      <c r="H160" s="88"/>
      <c r="I160" s="99"/>
      <c r="J160" s="63"/>
      <c r="K160" s="21"/>
      <c r="L160" s="21"/>
      <c r="M160" s="21"/>
      <c r="N160" s="21"/>
      <c r="O160" s="21"/>
      <c r="P160" s="21"/>
      <c r="Q160" s="21"/>
      <c r="R160" s="21"/>
      <c r="S160" s="21"/>
      <c r="T160" s="63"/>
      <c r="U160" s="94"/>
      <c r="V160" s="90"/>
      <c r="W160" s="91"/>
      <c r="X160" s="92"/>
    </row>
    <row r="161" spans="1:24">
      <c r="A161" s="128"/>
      <c r="B161" s="121" t="s">
        <v>68</v>
      </c>
      <c r="C161" s="122"/>
      <c r="D161" s="123"/>
      <c r="E161" s="123"/>
      <c r="F161" s="124"/>
      <c r="G161" s="125"/>
      <c r="H161" s="124"/>
      <c r="I161" s="126"/>
      <c r="J161" s="127"/>
      <c r="K161" s="128"/>
      <c r="L161" s="128"/>
      <c r="M161" s="128"/>
      <c r="N161" s="128"/>
      <c r="O161" s="128"/>
      <c r="P161" s="128"/>
      <c r="Q161" s="128"/>
      <c r="R161" s="128"/>
      <c r="S161" s="128"/>
      <c r="T161" s="127"/>
      <c r="U161" s="123"/>
      <c r="V161" s="129"/>
      <c r="W161" s="130"/>
      <c r="X161" s="131"/>
    </row>
    <row r="162" spans="1:24" s="342" customFormat="1">
      <c r="A162" s="356" t="s">
        <v>619</v>
      </c>
      <c r="B162" s="333">
        <v>1</v>
      </c>
      <c r="C162" s="350">
        <v>45873</v>
      </c>
      <c r="D162" s="263">
        <v>71967</v>
      </c>
      <c r="E162" s="351" t="s">
        <v>1256</v>
      </c>
      <c r="F162" s="352">
        <v>2681</v>
      </c>
      <c r="G162" s="352">
        <f>39.7+(189.05)+(15.38)+200</f>
        <v>444.13</v>
      </c>
      <c r="H162" s="352"/>
      <c r="I162" s="353">
        <f t="shared" ref="I162" si="38">F162-G162-H162</f>
        <v>2236.87</v>
      </c>
      <c r="J162" s="354" t="s">
        <v>374</v>
      </c>
      <c r="K162" s="354">
        <v>1</v>
      </c>
      <c r="L162" s="354">
        <v>1</v>
      </c>
      <c r="M162" s="354">
        <v>1</v>
      </c>
      <c r="N162" s="354">
        <v>1</v>
      </c>
      <c r="O162" s="354">
        <v>1</v>
      </c>
      <c r="P162" s="314">
        <v>0</v>
      </c>
      <c r="Q162" s="354">
        <v>1</v>
      </c>
      <c r="R162" s="354">
        <v>1</v>
      </c>
      <c r="S162" s="355">
        <v>1</v>
      </c>
      <c r="T162" s="127"/>
      <c r="U162" s="123" t="s">
        <v>2851</v>
      </c>
      <c r="V162" s="129">
        <f>250</f>
        <v>250</v>
      </c>
      <c r="W162" s="130"/>
      <c r="X162" s="131"/>
    </row>
    <row r="163" spans="1:24">
      <c r="A163" s="128"/>
      <c r="B163" s="132"/>
      <c r="C163" s="122"/>
      <c r="D163" s="123"/>
      <c r="E163" s="123"/>
      <c r="F163" s="133">
        <f>SUM(F162:F162)</f>
        <v>2681</v>
      </c>
      <c r="G163" s="133">
        <f>SUM(G162:G162)</f>
        <v>444.13</v>
      </c>
      <c r="H163" s="133">
        <f>SUM(H162:H162)</f>
        <v>0</v>
      </c>
      <c r="I163" s="134">
        <f>SUM(I162:I162)</f>
        <v>2236.87</v>
      </c>
      <c r="J163" s="127"/>
      <c r="K163" s="64"/>
      <c r="L163" s="64"/>
      <c r="M163" s="64"/>
      <c r="N163" s="64"/>
      <c r="O163" s="64"/>
      <c r="P163" s="64"/>
      <c r="Q163" s="64"/>
      <c r="R163" s="64"/>
      <c r="S163" s="64"/>
      <c r="T163" s="127"/>
      <c r="U163" s="123"/>
      <c r="V163" s="129"/>
      <c r="W163" s="130"/>
      <c r="X163" s="131"/>
    </row>
    <row r="164" spans="1:24">
      <c r="A164" s="2"/>
      <c r="B164" s="11"/>
      <c r="C164" s="36"/>
      <c r="D164" s="10"/>
      <c r="E164" s="10"/>
      <c r="F164" s="88"/>
      <c r="G164" s="88"/>
      <c r="H164" s="88"/>
      <c r="I164" s="99"/>
      <c r="J164" s="63"/>
      <c r="K164" s="21"/>
      <c r="L164" s="21"/>
      <c r="M164" s="21"/>
      <c r="N164" s="21"/>
      <c r="O164" s="21"/>
      <c r="P164" s="21"/>
      <c r="Q164" s="21"/>
      <c r="R164" s="21"/>
      <c r="S164" s="21"/>
      <c r="T164" s="63"/>
      <c r="U164" s="94"/>
      <c r="V164" s="90"/>
      <c r="W164" s="91"/>
      <c r="X164" s="92"/>
    </row>
    <row r="165" spans="1:24" s="342" customFormat="1">
      <c r="B165" s="100" t="s">
        <v>152</v>
      </c>
      <c r="C165" s="122"/>
      <c r="D165" s="123"/>
      <c r="E165" s="123"/>
      <c r="F165" s="124"/>
      <c r="G165" s="125"/>
      <c r="H165" s="124"/>
      <c r="I165" s="126"/>
      <c r="J165" s="127"/>
      <c r="K165" s="128"/>
      <c r="L165" s="128"/>
      <c r="M165" s="128"/>
      <c r="N165" s="128"/>
      <c r="O165" s="128"/>
      <c r="P165" s="128"/>
      <c r="Q165" s="128"/>
      <c r="R165" s="128"/>
      <c r="S165" s="128"/>
      <c r="T165" s="127"/>
      <c r="U165" s="123"/>
      <c r="V165" s="129"/>
      <c r="W165" s="130"/>
      <c r="X165" s="131"/>
    </row>
    <row r="166" spans="1:24" s="260" customFormat="1">
      <c r="A166" s="494">
        <v>0.05</v>
      </c>
      <c r="B166" s="87">
        <v>1</v>
      </c>
      <c r="C166" s="262">
        <v>45866</v>
      </c>
      <c r="D166" s="263">
        <v>71800</v>
      </c>
      <c r="E166" s="271" t="s">
        <v>2823</v>
      </c>
      <c r="F166" s="265">
        <v>6214</v>
      </c>
      <c r="G166" s="265">
        <f>39.7+(1288.73)+250</f>
        <v>1578.43</v>
      </c>
      <c r="H166" s="265"/>
      <c r="I166" s="266">
        <f>F166-G166-H166</f>
        <v>4635.57</v>
      </c>
      <c r="J166" s="267" t="s">
        <v>156</v>
      </c>
      <c r="K166" s="267">
        <v>1</v>
      </c>
      <c r="L166" s="314">
        <v>0</v>
      </c>
      <c r="M166" s="267">
        <v>1</v>
      </c>
      <c r="N166" s="267">
        <v>1</v>
      </c>
      <c r="O166" s="267">
        <v>1</v>
      </c>
      <c r="P166" s="314">
        <v>0</v>
      </c>
      <c r="Q166" s="314">
        <v>0</v>
      </c>
      <c r="R166" s="314">
        <v>0</v>
      </c>
      <c r="S166" s="366">
        <v>0</v>
      </c>
      <c r="T166" s="63"/>
      <c r="U166" s="94"/>
      <c r="V166" s="90"/>
      <c r="W166" s="136"/>
      <c r="X166" s="92"/>
    </row>
    <row r="167" spans="1:24" s="260" customFormat="1">
      <c r="A167" s="260" t="s">
        <v>619</v>
      </c>
      <c r="B167" s="87">
        <f>B166+1</f>
        <v>2</v>
      </c>
      <c r="C167" s="262">
        <v>45866</v>
      </c>
      <c r="D167" s="263">
        <v>71787</v>
      </c>
      <c r="E167" s="271" t="s">
        <v>1338</v>
      </c>
      <c r="F167" s="265">
        <v>28614</v>
      </c>
      <c r="G167" s="265">
        <f>39.7+1424.2+(474.48+162.31+289.19+9.1+8.29-78.88)+(F167*0.25)</f>
        <v>9481.89</v>
      </c>
      <c r="H167" s="265"/>
      <c r="I167" s="266">
        <f t="shared" ref="I167" si="39">F167-G167-H167</f>
        <v>19132.11</v>
      </c>
      <c r="J167" s="267" t="s">
        <v>374</v>
      </c>
      <c r="K167" s="267">
        <v>1</v>
      </c>
      <c r="L167" s="267"/>
      <c r="M167" s="267">
        <v>1</v>
      </c>
      <c r="N167" s="267">
        <v>1</v>
      </c>
      <c r="O167" s="267">
        <v>1</v>
      </c>
      <c r="P167" s="314">
        <v>0</v>
      </c>
      <c r="Q167" s="267"/>
      <c r="R167" s="267"/>
      <c r="S167" s="269"/>
      <c r="T167" s="63"/>
      <c r="U167" s="94" t="s">
        <v>2852</v>
      </c>
      <c r="V167" s="90"/>
      <c r="W167" s="136"/>
      <c r="X167" s="137"/>
    </row>
    <row r="168" spans="1:24" s="260" customFormat="1">
      <c r="B168" s="11"/>
      <c r="C168" s="36"/>
      <c r="D168" s="10"/>
      <c r="E168" s="10"/>
      <c r="F168" s="98">
        <f>SUM(F166:F167)</f>
        <v>34828</v>
      </c>
      <c r="G168" s="98">
        <f t="shared" ref="G168:I168" si="40">SUM(G166:G167)</f>
        <v>11060.32</v>
      </c>
      <c r="H168" s="98">
        <f t="shared" si="40"/>
        <v>0</v>
      </c>
      <c r="I168" s="98">
        <f t="shared" si="40"/>
        <v>23767.68</v>
      </c>
      <c r="J168" s="63"/>
      <c r="K168" s="21"/>
      <c r="L168" s="21"/>
      <c r="M168" s="21"/>
      <c r="N168" s="21"/>
      <c r="O168" s="21"/>
      <c r="P168" s="21"/>
      <c r="Q168" s="21"/>
      <c r="R168" s="21"/>
      <c r="S168" s="21"/>
      <c r="T168" s="63"/>
      <c r="U168" s="10"/>
      <c r="V168" s="90"/>
      <c r="W168" s="91"/>
      <c r="X168" s="92"/>
    </row>
    <row r="169" spans="1:24" s="260" customFormat="1">
      <c r="B169" s="11"/>
      <c r="C169" s="36"/>
      <c r="D169" s="10"/>
      <c r="E169" s="10"/>
      <c r="F169" s="88"/>
      <c r="G169" s="88"/>
      <c r="H169" s="88"/>
      <c r="I169" s="99"/>
      <c r="J169" s="63"/>
      <c r="K169" s="21"/>
      <c r="L169" s="21"/>
      <c r="M169" s="21"/>
      <c r="N169" s="21"/>
      <c r="O169" s="21"/>
      <c r="P169" s="21"/>
      <c r="Q169" s="21"/>
      <c r="R169" s="21"/>
      <c r="S169" s="21"/>
      <c r="T169" s="63"/>
      <c r="U169" s="10"/>
      <c r="V169" s="90"/>
      <c r="W169" s="91"/>
      <c r="X169" s="92"/>
    </row>
    <row r="170" spans="1:24">
      <c r="A170" s="2"/>
      <c r="B170" s="100" t="s">
        <v>72</v>
      </c>
      <c r="C170" s="36"/>
      <c r="D170" s="10"/>
      <c r="E170" s="10"/>
      <c r="F170" s="88"/>
      <c r="G170" s="88"/>
      <c r="H170" s="88"/>
      <c r="I170" s="99"/>
      <c r="J170" s="63"/>
      <c r="K170" s="63"/>
      <c r="L170" s="63"/>
      <c r="M170" s="63"/>
      <c r="N170" s="63"/>
      <c r="O170" s="63"/>
      <c r="P170" s="63"/>
      <c r="Q170" s="63"/>
      <c r="R170" s="63"/>
      <c r="S170" s="63"/>
      <c r="T170" s="63"/>
      <c r="U170" s="10"/>
      <c r="V170" s="90"/>
      <c r="W170" s="91"/>
      <c r="X170" s="92"/>
    </row>
    <row r="171" spans="1:24">
      <c r="A171" s="2"/>
      <c r="B171" s="87">
        <v>1</v>
      </c>
      <c r="C171" s="274">
        <v>45873</v>
      </c>
      <c r="D171" s="276">
        <v>71985</v>
      </c>
      <c r="E171" s="276" t="s">
        <v>1088</v>
      </c>
      <c r="F171" s="277">
        <f>3140-55</f>
        <v>3085</v>
      </c>
      <c r="G171" s="277">
        <f>39.7+(26.88)</f>
        <v>66.58</v>
      </c>
      <c r="H171" s="277"/>
      <c r="I171" s="278">
        <f t="shared" ref="I171:I182" si="41">F171-G171-H171</f>
        <v>3018.42</v>
      </c>
      <c r="J171" s="279" t="s">
        <v>156</v>
      </c>
      <c r="K171" s="279">
        <v>1</v>
      </c>
      <c r="L171" s="279"/>
      <c r="M171" s="279">
        <v>1</v>
      </c>
      <c r="N171" s="279">
        <v>1</v>
      </c>
      <c r="O171" s="279">
        <v>1</v>
      </c>
      <c r="P171" s="279"/>
      <c r="Q171" s="279">
        <v>1</v>
      </c>
      <c r="R171" s="279">
        <v>1</v>
      </c>
      <c r="S171" s="280">
        <v>1</v>
      </c>
      <c r="T171" s="63"/>
      <c r="U171" s="3" t="s">
        <v>2853</v>
      </c>
      <c r="V171" s="90"/>
      <c r="W171" s="91"/>
      <c r="X171" s="92"/>
    </row>
    <row r="172" spans="1:24">
      <c r="A172" s="2"/>
      <c r="B172" s="87">
        <f t="shared" ref="B172:B182" si="42">B171+1</f>
        <v>2</v>
      </c>
      <c r="C172" s="295">
        <v>45873</v>
      </c>
      <c r="D172" s="10">
        <v>71993</v>
      </c>
      <c r="E172" s="10" t="s">
        <v>446</v>
      </c>
      <c r="F172" s="62">
        <v>0</v>
      </c>
      <c r="G172" s="62">
        <v>0</v>
      </c>
      <c r="H172" s="62"/>
      <c r="I172" s="89">
        <f t="shared" si="41"/>
        <v>0</v>
      </c>
      <c r="J172" s="63" t="s">
        <v>205</v>
      </c>
      <c r="K172" s="63">
        <v>1</v>
      </c>
      <c r="L172" s="63"/>
      <c r="M172" s="63"/>
      <c r="N172" s="63"/>
      <c r="O172" s="63"/>
      <c r="P172" s="63"/>
      <c r="Q172" s="63">
        <v>1</v>
      </c>
      <c r="R172" s="63">
        <v>1</v>
      </c>
      <c r="S172" s="296"/>
      <c r="T172" s="63"/>
      <c r="U172" s="10"/>
      <c r="V172" s="90"/>
      <c r="W172" s="136"/>
      <c r="X172" s="137"/>
    </row>
    <row r="173" spans="1:24">
      <c r="A173" s="2"/>
      <c r="B173" s="87">
        <f t="shared" si="42"/>
        <v>3</v>
      </c>
      <c r="C173" s="295">
        <v>45873</v>
      </c>
      <c r="D173" s="10">
        <v>71987</v>
      </c>
      <c r="E173" s="10" t="s">
        <v>447</v>
      </c>
      <c r="F173" s="62">
        <v>8214</v>
      </c>
      <c r="G173" s="62">
        <f>39.7</f>
        <v>39.700000000000003</v>
      </c>
      <c r="H173" s="62"/>
      <c r="I173" s="89">
        <f t="shared" si="41"/>
        <v>8174.3</v>
      </c>
      <c r="J173" s="63" t="s">
        <v>205</v>
      </c>
      <c r="K173" s="63">
        <v>1</v>
      </c>
      <c r="L173" s="63"/>
      <c r="M173" s="63"/>
      <c r="N173" s="63">
        <v>1</v>
      </c>
      <c r="O173" s="63"/>
      <c r="P173" s="63"/>
      <c r="Q173" s="63">
        <v>1</v>
      </c>
      <c r="R173" s="63">
        <v>1</v>
      </c>
      <c r="S173" s="296"/>
      <c r="T173" s="63"/>
      <c r="U173" s="10"/>
      <c r="V173" s="90"/>
      <c r="W173" s="136"/>
      <c r="X173" s="137"/>
    </row>
    <row r="174" spans="1:24">
      <c r="A174" s="2"/>
      <c r="B174" s="87">
        <f t="shared" si="42"/>
        <v>4</v>
      </c>
      <c r="C174" s="274">
        <v>45874</v>
      </c>
      <c r="D174" s="276">
        <v>72032</v>
      </c>
      <c r="E174" s="276" t="s">
        <v>1273</v>
      </c>
      <c r="F174" s="277">
        <v>1362</v>
      </c>
      <c r="G174" s="277">
        <f>39.7</f>
        <v>39.700000000000003</v>
      </c>
      <c r="H174" s="277"/>
      <c r="I174" s="278">
        <f t="shared" si="41"/>
        <v>1322.3</v>
      </c>
      <c r="J174" s="279" t="s">
        <v>205</v>
      </c>
      <c r="K174" s="279">
        <v>1</v>
      </c>
      <c r="L174" s="279"/>
      <c r="M174" s="279"/>
      <c r="N174" s="279">
        <v>1</v>
      </c>
      <c r="O174" s="279"/>
      <c r="P174" s="279"/>
      <c r="Q174" s="279">
        <v>1</v>
      </c>
      <c r="R174" s="279">
        <v>1</v>
      </c>
      <c r="S174" s="280">
        <v>1</v>
      </c>
      <c r="T174" s="63"/>
      <c r="U174" s="10"/>
      <c r="V174" s="90"/>
      <c r="W174" s="136"/>
      <c r="X174" s="137"/>
    </row>
    <row r="175" spans="1:24">
      <c r="A175" s="2"/>
      <c r="B175" s="87">
        <f t="shared" si="42"/>
        <v>5</v>
      </c>
      <c r="C175" s="295">
        <v>45874</v>
      </c>
      <c r="D175" s="10">
        <v>72041</v>
      </c>
      <c r="E175" s="10" t="s">
        <v>1284</v>
      </c>
      <c r="F175" s="62">
        <v>2861</v>
      </c>
      <c r="G175" s="62">
        <f>39.7</f>
        <v>39.700000000000003</v>
      </c>
      <c r="H175" s="62"/>
      <c r="I175" s="89">
        <f t="shared" si="41"/>
        <v>2821.3</v>
      </c>
      <c r="J175" s="63" t="s">
        <v>205</v>
      </c>
      <c r="K175" s="63">
        <v>1</v>
      </c>
      <c r="L175" s="63"/>
      <c r="M175" s="63"/>
      <c r="N175" s="63">
        <v>1</v>
      </c>
      <c r="O175" s="63"/>
      <c r="P175" s="63"/>
      <c r="Q175" s="63"/>
      <c r="R175" s="63"/>
      <c r="S175" s="296"/>
      <c r="T175" s="63"/>
      <c r="U175" s="10"/>
      <c r="V175" s="90"/>
      <c r="W175" s="136"/>
      <c r="X175" s="137"/>
    </row>
    <row r="176" spans="1:24">
      <c r="A176" s="2"/>
      <c r="B176" s="87">
        <f t="shared" si="42"/>
        <v>6</v>
      </c>
      <c r="C176" s="295">
        <v>45874</v>
      </c>
      <c r="D176" s="10">
        <v>72027</v>
      </c>
      <c r="E176" s="101" t="s">
        <v>1773</v>
      </c>
      <c r="F176" s="62">
        <v>8614</v>
      </c>
      <c r="G176" s="62">
        <f>39.7</f>
        <v>39.700000000000003</v>
      </c>
      <c r="H176" s="62"/>
      <c r="I176" s="89">
        <f t="shared" si="41"/>
        <v>8574.2999999999993</v>
      </c>
      <c r="J176" s="63" t="s">
        <v>205</v>
      </c>
      <c r="K176" s="63">
        <v>1</v>
      </c>
      <c r="L176" s="63"/>
      <c r="M176" s="63"/>
      <c r="N176" s="63">
        <v>1</v>
      </c>
      <c r="O176" s="63"/>
      <c r="P176" s="63"/>
      <c r="Q176" s="63">
        <v>1</v>
      </c>
      <c r="R176" s="63">
        <v>1</v>
      </c>
      <c r="S176" s="296"/>
      <c r="T176" s="63"/>
      <c r="U176" s="10"/>
      <c r="V176" s="90"/>
      <c r="W176" s="136"/>
      <c r="X176" s="137"/>
    </row>
    <row r="177" spans="1:24">
      <c r="A177" s="2"/>
      <c r="B177" s="87">
        <f t="shared" si="42"/>
        <v>7</v>
      </c>
      <c r="C177" s="274">
        <v>45875</v>
      </c>
      <c r="D177" s="276">
        <v>72085</v>
      </c>
      <c r="E177" s="281" t="s">
        <v>1495</v>
      </c>
      <c r="F177" s="277">
        <v>0</v>
      </c>
      <c r="G177" s="277">
        <v>0</v>
      </c>
      <c r="H177" s="277"/>
      <c r="I177" s="278">
        <f t="shared" si="41"/>
        <v>0</v>
      </c>
      <c r="J177" s="279" t="s">
        <v>205</v>
      </c>
      <c r="K177" s="279">
        <v>1</v>
      </c>
      <c r="L177" s="279"/>
      <c r="M177" s="279"/>
      <c r="N177" s="279"/>
      <c r="O177" s="279"/>
      <c r="P177" s="279"/>
      <c r="Q177" s="279">
        <v>1</v>
      </c>
      <c r="R177" s="279">
        <v>1</v>
      </c>
      <c r="S177" s="280"/>
      <c r="T177" s="63"/>
      <c r="U177" s="10"/>
      <c r="V177" s="90"/>
      <c r="W177" s="136"/>
      <c r="X177" s="137"/>
    </row>
    <row r="178" spans="1:24">
      <c r="A178" s="2"/>
      <c r="B178" s="87">
        <f t="shared" si="42"/>
        <v>8</v>
      </c>
      <c r="C178" s="295">
        <v>45875</v>
      </c>
      <c r="D178" s="10">
        <v>72028</v>
      </c>
      <c r="E178" s="101" t="s">
        <v>2854</v>
      </c>
      <c r="F178" s="62">
        <v>0</v>
      </c>
      <c r="G178" s="62">
        <v>0</v>
      </c>
      <c r="H178" s="62"/>
      <c r="I178" s="89">
        <f t="shared" si="41"/>
        <v>0</v>
      </c>
      <c r="J178" s="63" t="s">
        <v>205</v>
      </c>
      <c r="K178" s="63">
        <v>1</v>
      </c>
      <c r="L178" s="63"/>
      <c r="M178" s="63"/>
      <c r="N178" s="63"/>
      <c r="O178" s="63"/>
      <c r="P178" s="63"/>
      <c r="Q178" s="63">
        <v>1</v>
      </c>
      <c r="R178" s="63">
        <v>1</v>
      </c>
      <c r="S178" s="296"/>
      <c r="T178" s="21">
        <v>1</v>
      </c>
      <c r="U178" s="10"/>
      <c r="V178" s="90"/>
      <c r="W178" s="136"/>
      <c r="X178" s="137"/>
    </row>
    <row r="179" spans="1:24">
      <c r="A179" s="2"/>
      <c r="B179" s="87">
        <f t="shared" si="42"/>
        <v>9</v>
      </c>
      <c r="C179" s="295">
        <v>45875</v>
      </c>
      <c r="D179" s="10">
        <v>72091</v>
      </c>
      <c r="E179" s="101" t="s">
        <v>2855</v>
      </c>
      <c r="F179" s="62">
        <v>1835</v>
      </c>
      <c r="G179" s="62">
        <f>39.7</f>
        <v>39.700000000000003</v>
      </c>
      <c r="H179" s="62"/>
      <c r="I179" s="89">
        <f t="shared" si="41"/>
        <v>1795.3</v>
      </c>
      <c r="J179" s="63" t="s">
        <v>205</v>
      </c>
      <c r="K179" s="63"/>
      <c r="L179" s="63"/>
      <c r="M179" s="63"/>
      <c r="N179" s="63">
        <v>1</v>
      </c>
      <c r="O179" s="63"/>
      <c r="P179" s="63"/>
      <c r="Q179" s="63">
        <v>1</v>
      </c>
      <c r="R179" s="63">
        <v>1</v>
      </c>
      <c r="S179" s="296"/>
      <c r="T179" s="63"/>
      <c r="U179" s="10"/>
      <c r="V179" s="90"/>
      <c r="W179" s="136"/>
      <c r="X179" s="137"/>
    </row>
    <row r="180" spans="1:24">
      <c r="A180" s="2"/>
      <c r="B180" s="87">
        <f t="shared" si="42"/>
        <v>10</v>
      </c>
      <c r="C180" s="274">
        <v>45877</v>
      </c>
      <c r="D180" s="276">
        <v>72153</v>
      </c>
      <c r="E180" s="281" t="s">
        <v>1508</v>
      </c>
      <c r="F180" s="277">
        <v>0</v>
      </c>
      <c r="G180" s="277">
        <v>0</v>
      </c>
      <c r="H180" s="277"/>
      <c r="I180" s="278">
        <f t="shared" si="41"/>
        <v>0</v>
      </c>
      <c r="J180" s="279" t="s">
        <v>205</v>
      </c>
      <c r="K180" s="279">
        <v>1</v>
      </c>
      <c r="L180" s="279"/>
      <c r="M180" s="279"/>
      <c r="N180" s="279"/>
      <c r="O180" s="279"/>
      <c r="P180" s="279"/>
      <c r="Q180" s="279">
        <v>1</v>
      </c>
      <c r="R180" s="279">
        <v>1</v>
      </c>
      <c r="S180" s="280"/>
      <c r="T180" s="63"/>
      <c r="U180" s="10"/>
      <c r="V180" s="90"/>
      <c r="W180" s="136"/>
      <c r="X180" s="137"/>
    </row>
    <row r="181" spans="1:24">
      <c r="A181" s="2"/>
      <c r="B181" s="87">
        <f t="shared" si="42"/>
        <v>11</v>
      </c>
      <c r="C181" s="295">
        <v>45877</v>
      </c>
      <c r="D181" s="10">
        <v>72138</v>
      </c>
      <c r="E181" s="101" t="s">
        <v>1045</v>
      </c>
      <c r="F181" s="62">
        <v>1261</v>
      </c>
      <c r="G181" s="62">
        <f>39.7</f>
        <v>39.700000000000003</v>
      </c>
      <c r="H181" s="62"/>
      <c r="I181" s="89">
        <f t="shared" si="41"/>
        <v>1221.3</v>
      </c>
      <c r="J181" s="63" t="s">
        <v>156</v>
      </c>
      <c r="K181" s="63">
        <v>1</v>
      </c>
      <c r="L181" s="63"/>
      <c r="M181" s="63">
        <v>1</v>
      </c>
      <c r="N181" s="63">
        <v>1</v>
      </c>
      <c r="O181" s="63"/>
      <c r="P181" s="63"/>
      <c r="Q181" s="63"/>
      <c r="R181" s="63"/>
      <c r="S181" s="296"/>
      <c r="T181" s="63"/>
      <c r="U181" s="10"/>
      <c r="V181" s="90">
        <v>93.5</v>
      </c>
      <c r="W181" s="136"/>
      <c r="X181" s="137"/>
    </row>
    <row r="182" spans="1:24">
      <c r="A182" s="2"/>
      <c r="B182" s="87">
        <f t="shared" si="42"/>
        <v>12</v>
      </c>
      <c r="C182" s="282">
        <v>45877</v>
      </c>
      <c r="D182" s="283">
        <v>72179</v>
      </c>
      <c r="E182" s="319" t="s">
        <v>1273</v>
      </c>
      <c r="F182" s="284">
        <v>1362</v>
      </c>
      <c r="G182" s="284">
        <v>39.700000000000003</v>
      </c>
      <c r="H182" s="284"/>
      <c r="I182" s="285">
        <f t="shared" si="41"/>
        <v>1322.3</v>
      </c>
      <c r="J182" s="286" t="s">
        <v>205</v>
      </c>
      <c r="K182" s="286"/>
      <c r="L182" s="286"/>
      <c r="M182" s="286"/>
      <c r="N182" s="286">
        <v>1</v>
      </c>
      <c r="O182" s="286"/>
      <c r="P182" s="286"/>
      <c r="Q182" s="286">
        <v>1</v>
      </c>
      <c r="R182" s="286">
        <v>1</v>
      </c>
      <c r="S182" s="287"/>
      <c r="T182" s="63"/>
      <c r="U182" s="10"/>
      <c r="V182" s="90"/>
      <c r="W182" s="136"/>
      <c r="X182" s="137"/>
    </row>
    <row r="183" spans="1:24">
      <c r="A183" s="2"/>
      <c r="B183" s="11"/>
      <c r="C183" s="36"/>
      <c r="D183" s="10"/>
      <c r="E183" s="10"/>
      <c r="F183" s="97">
        <f>SUM(F171:F182)</f>
        <v>28594</v>
      </c>
      <c r="G183" s="97">
        <f>SUM(G171:G182)</f>
        <v>344.47999999999996</v>
      </c>
      <c r="H183" s="97">
        <f>SUM(H171:H182)</f>
        <v>0</v>
      </c>
      <c r="I183" s="98">
        <f>SUM(I171:I182)</f>
        <v>28249.519999999997</v>
      </c>
      <c r="J183" s="10"/>
      <c r="K183" s="10"/>
      <c r="L183" s="10"/>
      <c r="M183" s="10"/>
      <c r="N183" s="10"/>
      <c r="O183" s="10"/>
      <c r="P183" s="10"/>
      <c r="Q183" s="10"/>
      <c r="R183" s="10"/>
      <c r="S183" s="10"/>
      <c r="T183" s="63"/>
      <c r="U183" s="10"/>
      <c r="V183" s="138"/>
      <c r="W183" s="136"/>
      <c r="X183" s="137"/>
    </row>
    <row r="184" spans="1:24">
      <c r="A184" s="2"/>
      <c r="B184" s="26"/>
      <c r="C184" s="140"/>
      <c r="D184" s="141"/>
      <c r="E184" s="141"/>
      <c r="F184" s="141"/>
      <c r="G184" s="141"/>
      <c r="H184" s="141"/>
      <c r="I184" s="141"/>
      <c r="J184" s="141"/>
      <c r="K184" s="142"/>
      <c r="L184" s="142"/>
      <c r="M184" s="142"/>
      <c r="N184" s="142"/>
      <c r="O184" s="142"/>
      <c r="P184" s="142"/>
      <c r="Q184" s="142"/>
      <c r="R184" s="142"/>
      <c r="S184" s="142"/>
      <c r="T184" s="143">
        <f>SUM(T148:T183)</f>
        <v>1</v>
      </c>
      <c r="U184" s="141"/>
      <c r="V184" s="144">
        <f>SUM(V148:V183)</f>
        <v>24720.26</v>
      </c>
      <c r="W184" s="145">
        <f>SUM(W148:W183)</f>
        <v>0</v>
      </c>
      <c r="X184" s="146">
        <f>SUM(X148:X183)</f>
        <v>0</v>
      </c>
    </row>
    <row r="187" spans="1:24">
      <c r="A187" s="3"/>
      <c r="B187" s="4" t="s">
        <v>1</v>
      </c>
      <c r="C187" s="5"/>
      <c r="D187" s="6"/>
      <c r="E187" s="6"/>
      <c r="F187" s="7" t="s">
        <v>2</v>
      </c>
      <c r="G187" s="8">
        <v>45886</v>
      </c>
      <c r="H187" s="7"/>
      <c r="I187" s="6"/>
      <c r="J187" s="6"/>
      <c r="K187" s="6"/>
      <c r="L187" s="6"/>
      <c r="M187" s="6"/>
      <c r="N187" s="6"/>
      <c r="O187" s="6"/>
      <c r="P187" s="6"/>
      <c r="Q187" s="6"/>
      <c r="R187" s="6"/>
      <c r="S187" s="6"/>
      <c r="T187" s="6"/>
      <c r="U187" s="9"/>
      <c r="V187" s="10"/>
      <c r="W187" s="10"/>
      <c r="X187" s="10"/>
    </row>
    <row r="188" spans="1:24">
      <c r="A188" s="2"/>
      <c r="B188" s="11"/>
      <c r="C188" s="10"/>
      <c r="D188" s="10"/>
      <c r="E188" s="10"/>
      <c r="F188" s="10"/>
      <c r="G188" s="7"/>
      <c r="H188" s="12"/>
      <c r="I188" s="10"/>
      <c r="J188" s="10"/>
      <c r="K188" s="13" t="s">
        <v>3</v>
      </c>
      <c r="L188" s="14"/>
      <c r="M188" s="15"/>
      <c r="N188" s="13" t="s">
        <v>4</v>
      </c>
      <c r="O188" s="14"/>
      <c r="P188" s="15"/>
      <c r="Q188" s="13" t="s">
        <v>5</v>
      </c>
      <c r="R188" s="14"/>
      <c r="S188" s="15"/>
      <c r="T188" s="16"/>
      <c r="U188" s="17"/>
      <c r="V188" s="10"/>
      <c r="W188" s="10"/>
      <c r="X188" s="10"/>
    </row>
    <row r="189" spans="1:24">
      <c r="A189" s="2"/>
      <c r="B189" s="18" t="s">
        <v>6</v>
      </c>
      <c r="C189" s="19">
        <f>C190+C191</f>
        <v>28</v>
      </c>
      <c r="D189" s="10"/>
      <c r="E189" s="18" t="s">
        <v>7</v>
      </c>
      <c r="F189" s="6"/>
      <c r="G189" s="9"/>
      <c r="H189" s="10"/>
      <c r="I189" s="10"/>
      <c r="J189" s="10"/>
      <c r="K189" s="20" t="s">
        <v>8</v>
      </c>
      <c r="L189" s="21" t="s">
        <v>9</v>
      </c>
      <c r="M189" s="21" t="s">
        <v>10</v>
      </c>
      <c r="N189" s="20" t="s">
        <v>11</v>
      </c>
      <c r="O189" s="21" t="s">
        <v>12</v>
      </c>
      <c r="P189" s="22" t="s">
        <v>13</v>
      </c>
      <c r="Q189" s="21" t="s">
        <v>11</v>
      </c>
      <c r="R189" s="21" t="s">
        <v>12</v>
      </c>
      <c r="S189" s="22" t="s">
        <v>13</v>
      </c>
      <c r="T189" s="23" t="s">
        <v>14</v>
      </c>
      <c r="U189" s="17"/>
      <c r="V189" s="10"/>
      <c r="W189" s="10"/>
      <c r="X189" s="10"/>
    </row>
    <row r="190" spans="1:24">
      <c r="A190" s="2"/>
      <c r="B190" s="24" t="s">
        <v>15</v>
      </c>
      <c r="C190" s="25">
        <f>P197</f>
        <v>13</v>
      </c>
      <c r="D190" s="10"/>
      <c r="E190" s="26" t="s">
        <v>16</v>
      </c>
      <c r="F190" s="27">
        <v>0.05</v>
      </c>
      <c r="G190" s="28"/>
      <c r="H190" s="10"/>
      <c r="I190" s="10"/>
      <c r="J190" s="18" t="s">
        <v>17</v>
      </c>
      <c r="K190" s="29">
        <f>K224</f>
        <v>9</v>
      </c>
      <c r="L190" s="29">
        <f t="shared" ref="L190:S190" si="43">L224</f>
        <v>9</v>
      </c>
      <c r="M190" s="29">
        <f t="shared" si="43"/>
        <v>9</v>
      </c>
      <c r="N190" s="29">
        <f t="shared" si="43"/>
        <v>9</v>
      </c>
      <c r="O190" s="29">
        <f t="shared" si="43"/>
        <v>8</v>
      </c>
      <c r="P190" s="29">
        <f t="shared" si="43"/>
        <v>4</v>
      </c>
      <c r="Q190" s="29">
        <f t="shared" si="43"/>
        <v>5</v>
      </c>
      <c r="R190" s="29">
        <f t="shared" si="43"/>
        <v>4</v>
      </c>
      <c r="S190" s="29">
        <f t="shared" si="43"/>
        <v>3</v>
      </c>
      <c r="T190" s="30">
        <f>T264</f>
        <v>5</v>
      </c>
      <c r="U190" s="17" t="s">
        <v>2856</v>
      </c>
      <c r="V190" s="10"/>
      <c r="W190" s="10"/>
      <c r="X190" s="10"/>
    </row>
    <row r="191" spans="1:24">
      <c r="A191" s="2"/>
      <c r="B191" s="24" t="s">
        <v>18</v>
      </c>
      <c r="C191" s="25">
        <f>P198</f>
        <v>15</v>
      </c>
      <c r="D191" s="10"/>
      <c r="E191" s="10"/>
      <c r="F191" s="10"/>
      <c r="G191" s="31"/>
      <c r="H191" s="10"/>
      <c r="I191" s="10"/>
      <c r="J191" s="32" t="s">
        <v>19</v>
      </c>
      <c r="K191" s="33">
        <f>K224/K223</f>
        <v>1</v>
      </c>
      <c r="L191" s="33">
        <f t="shared" ref="L191:S191" si="44">L224/L223</f>
        <v>1</v>
      </c>
      <c r="M191" s="33">
        <f t="shared" si="44"/>
        <v>1</v>
      </c>
      <c r="N191" s="33">
        <f t="shared" si="44"/>
        <v>1</v>
      </c>
      <c r="O191" s="33">
        <f t="shared" si="44"/>
        <v>0.88888888888888884</v>
      </c>
      <c r="P191" s="33">
        <f t="shared" si="44"/>
        <v>0.44444444444444442</v>
      </c>
      <c r="Q191" s="33">
        <f t="shared" si="44"/>
        <v>0.55555555555555558</v>
      </c>
      <c r="R191" s="33">
        <f t="shared" si="44"/>
        <v>0.44444444444444442</v>
      </c>
      <c r="S191" s="33">
        <f t="shared" si="44"/>
        <v>0.33333333333333331</v>
      </c>
      <c r="T191" s="23">
        <v>2</v>
      </c>
      <c r="U191" s="17" t="s">
        <v>20</v>
      </c>
      <c r="V191" s="10"/>
      <c r="W191" s="10"/>
      <c r="X191" s="10"/>
    </row>
    <row r="192" spans="1:24">
      <c r="A192" s="2"/>
      <c r="B192" s="24" t="s">
        <v>21</v>
      </c>
      <c r="C192" s="34">
        <f>P199</f>
        <v>0.4642857142857143</v>
      </c>
      <c r="D192" s="10"/>
      <c r="E192" s="10"/>
      <c r="F192" s="10"/>
      <c r="G192" s="10"/>
      <c r="H192" s="10"/>
      <c r="I192" s="10"/>
      <c r="J192" s="10"/>
      <c r="K192" s="10"/>
      <c r="L192" s="10"/>
      <c r="M192" s="10"/>
      <c r="N192" s="10"/>
      <c r="O192" s="10"/>
      <c r="P192" s="10"/>
      <c r="Q192" s="10"/>
      <c r="R192" s="10"/>
      <c r="S192" s="10"/>
      <c r="T192" s="10"/>
      <c r="U192" s="17"/>
      <c r="V192" s="10"/>
      <c r="W192" s="10"/>
      <c r="X192" s="10"/>
    </row>
    <row r="193" spans="1:24">
      <c r="A193" s="2"/>
      <c r="B193" s="24"/>
      <c r="C193" s="25"/>
      <c r="D193" s="10"/>
      <c r="E193" s="10"/>
      <c r="F193" s="18" t="s">
        <v>22</v>
      </c>
      <c r="G193" s="19" t="s">
        <v>23</v>
      </c>
      <c r="H193" s="35" t="s">
        <v>24</v>
      </c>
      <c r="I193" s="10"/>
      <c r="J193" s="10"/>
      <c r="K193" s="36"/>
      <c r="L193" s="36"/>
      <c r="M193" s="36"/>
      <c r="N193" s="36"/>
      <c r="O193" s="36"/>
      <c r="P193" s="36"/>
      <c r="Q193" s="36"/>
      <c r="R193" s="10"/>
      <c r="S193" s="10"/>
      <c r="T193" s="10"/>
      <c r="U193" s="17"/>
      <c r="V193" s="10"/>
      <c r="W193" s="10"/>
      <c r="X193" s="10"/>
    </row>
    <row r="194" spans="1:24" ht="15" customHeight="1">
      <c r="A194" s="2"/>
      <c r="B194" s="32" t="s">
        <v>25</v>
      </c>
      <c r="C194" s="37">
        <f>P200</f>
        <v>3064.1630769230769</v>
      </c>
      <c r="D194" s="10"/>
      <c r="E194" s="18" t="s">
        <v>26</v>
      </c>
      <c r="F194" s="38">
        <f>P196</f>
        <v>39834.120000000003</v>
      </c>
      <c r="G194" s="39">
        <f>I223+I233+I239</f>
        <v>39834.119999999995</v>
      </c>
      <c r="H194" s="40"/>
      <c r="I194" s="41"/>
      <c r="J194" s="42"/>
      <c r="K194" s="43" t="s">
        <v>27</v>
      </c>
      <c r="L194" s="44"/>
      <c r="M194" s="44"/>
      <c r="N194" s="44"/>
      <c r="O194" s="44"/>
      <c r="P194" s="44"/>
      <c r="Q194" s="45"/>
      <c r="R194" s="46" t="s">
        <v>28</v>
      </c>
      <c r="S194" s="47" t="s">
        <v>29</v>
      </c>
      <c r="T194" s="10"/>
      <c r="U194" s="17"/>
      <c r="V194" s="10"/>
      <c r="W194" s="10"/>
      <c r="X194" s="10"/>
    </row>
    <row r="195" spans="1:24">
      <c r="A195" s="2"/>
      <c r="B195" s="11"/>
      <c r="C195" s="10"/>
      <c r="D195" s="10"/>
      <c r="E195" s="24" t="s">
        <v>30</v>
      </c>
      <c r="F195" s="48">
        <f>F190</f>
        <v>0.05</v>
      </c>
      <c r="G195" s="17"/>
      <c r="H195" s="40"/>
      <c r="I195" s="41"/>
      <c r="J195" s="42"/>
      <c r="K195" s="20" t="s">
        <v>31</v>
      </c>
      <c r="L195" s="21" t="s">
        <v>32</v>
      </c>
      <c r="M195" s="21" t="s">
        <v>33</v>
      </c>
      <c r="N195" s="21" t="s">
        <v>34</v>
      </c>
      <c r="O195" s="21" t="s">
        <v>35</v>
      </c>
      <c r="P195" s="21" t="s">
        <v>36</v>
      </c>
      <c r="Q195" s="49" t="s">
        <v>37</v>
      </c>
      <c r="R195" s="50" t="s">
        <v>38</v>
      </c>
      <c r="S195" s="50" t="s">
        <v>38</v>
      </c>
      <c r="T195" s="10"/>
      <c r="U195" s="17"/>
      <c r="V195" s="10"/>
      <c r="W195" s="10"/>
      <c r="X195" s="10"/>
    </row>
    <row r="196" spans="1:24">
      <c r="A196" s="2"/>
      <c r="B196" s="11"/>
      <c r="C196" s="10"/>
      <c r="D196" s="10"/>
      <c r="E196" s="51" t="s">
        <v>39</v>
      </c>
      <c r="F196" s="52">
        <f>(F194+F204-I221-I232-I236-I237-I238)*F195</f>
        <v>960.76300000000015</v>
      </c>
      <c r="G196" s="53" t="s">
        <v>40</v>
      </c>
      <c r="H196" s="54">
        <f>F196/1.12</f>
        <v>857.8241071428572</v>
      </c>
      <c r="I196" s="55"/>
      <c r="J196" s="42"/>
      <c r="K196" s="56">
        <f>I214+I236</f>
        <v>3133.5</v>
      </c>
      <c r="L196" s="57">
        <f>I215+I237</f>
        <v>15285.779999999999</v>
      </c>
      <c r="M196" s="57">
        <f>I216+I217+I218</f>
        <v>10420.780000000001</v>
      </c>
      <c r="N196" s="57">
        <f>I219+I220+I221+I232</f>
        <v>8318.76</v>
      </c>
      <c r="O196" s="57">
        <f>I222+I238</f>
        <v>2675.3</v>
      </c>
      <c r="P196" s="57">
        <f>SUM(K196:O196)</f>
        <v>39834.120000000003</v>
      </c>
      <c r="Q196" s="58">
        <f>I227+I228</f>
        <v>1735.3</v>
      </c>
      <c r="R196" s="59">
        <f>I233+I239</f>
        <v>17066.489999999998</v>
      </c>
      <c r="S196" s="59">
        <v>0</v>
      </c>
      <c r="T196" s="10"/>
      <c r="U196" s="17"/>
      <c r="V196" s="10"/>
      <c r="W196" s="10"/>
      <c r="X196" s="10"/>
    </row>
    <row r="197" spans="1:24">
      <c r="A197" s="2"/>
      <c r="B197" s="11"/>
      <c r="C197" s="10"/>
      <c r="D197" s="10"/>
      <c r="E197" s="24" t="s">
        <v>41</v>
      </c>
      <c r="F197" s="60">
        <f>Q196</f>
        <v>1735.3</v>
      </c>
      <c r="G197" s="61" t="s">
        <v>40</v>
      </c>
      <c r="H197" s="62"/>
      <c r="I197" s="584" t="s">
        <v>585</v>
      </c>
      <c r="J197" s="10" t="s">
        <v>42</v>
      </c>
      <c r="K197" s="63">
        <v>2</v>
      </c>
      <c r="L197" s="63">
        <v>2</v>
      </c>
      <c r="M197" s="63">
        <v>3</v>
      </c>
      <c r="N197" s="63">
        <v>4</v>
      </c>
      <c r="O197" s="63">
        <v>2</v>
      </c>
      <c r="P197" s="21">
        <f>SUM(K197:O197)</f>
        <v>13</v>
      </c>
      <c r="Q197" s="64">
        <v>2</v>
      </c>
      <c r="R197" s="63"/>
      <c r="S197" s="10"/>
      <c r="T197" s="10"/>
      <c r="U197" s="17"/>
      <c r="V197" s="10"/>
      <c r="W197" s="10"/>
      <c r="X197" s="10"/>
    </row>
    <row r="198" spans="1:24">
      <c r="A198" s="2"/>
      <c r="B198" s="11"/>
      <c r="C198" s="10"/>
      <c r="D198" s="10"/>
      <c r="E198" s="51" t="s">
        <v>43</v>
      </c>
      <c r="F198" s="52">
        <f>F197*0.25</f>
        <v>433.82499999999999</v>
      </c>
      <c r="G198" s="53" t="s">
        <v>40</v>
      </c>
      <c r="H198" s="484">
        <f>F198/1.12</f>
        <v>387.34374999999994</v>
      </c>
      <c r="I198" s="386">
        <f>8.5*67.5</f>
        <v>573.75</v>
      </c>
      <c r="J198" s="10" t="s">
        <v>44</v>
      </c>
      <c r="K198" s="63">
        <v>3</v>
      </c>
      <c r="L198" s="63">
        <v>4</v>
      </c>
      <c r="M198" s="63">
        <v>1</v>
      </c>
      <c r="N198" s="63">
        <v>4</v>
      </c>
      <c r="O198" s="63">
        <v>3</v>
      </c>
      <c r="P198" s="21">
        <f>SUM(K198:O198)</f>
        <v>15</v>
      </c>
      <c r="Q198" s="64">
        <v>0</v>
      </c>
      <c r="R198" s="63"/>
      <c r="S198" s="10"/>
      <c r="T198" s="10"/>
      <c r="U198" s="17"/>
      <c r="V198" s="10"/>
      <c r="W198" s="10"/>
      <c r="X198" s="10"/>
    </row>
    <row r="199" spans="1:24">
      <c r="A199" s="2"/>
      <c r="B199" s="11"/>
      <c r="C199" s="10"/>
      <c r="D199" s="10"/>
      <c r="E199" s="24" t="s">
        <v>45</v>
      </c>
      <c r="F199" s="60"/>
      <c r="G199" s="61" t="s">
        <v>40</v>
      </c>
      <c r="H199" s="62"/>
      <c r="I199" s="10"/>
      <c r="J199" s="10" t="s">
        <v>46</v>
      </c>
      <c r="K199" s="31">
        <f t="shared" ref="K199:Q199" si="45">K197/(K197+K198)</f>
        <v>0.4</v>
      </c>
      <c r="L199" s="31">
        <f t="shared" si="45"/>
        <v>0.33333333333333331</v>
      </c>
      <c r="M199" s="31">
        <f t="shared" si="45"/>
        <v>0.75</v>
      </c>
      <c r="N199" s="31">
        <f t="shared" si="45"/>
        <v>0.5</v>
      </c>
      <c r="O199" s="31">
        <f t="shared" si="45"/>
        <v>0.4</v>
      </c>
      <c r="P199" s="31">
        <f t="shared" si="45"/>
        <v>0.4642857142857143</v>
      </c>
      <c r="Q199" s="31">
        <f t="shared" si="45"/>
        <v>1</v>
      </c>
      <c r="R199" s="63"/>
      <c r="S199" s="10"/>
      <c r="T199" s="10"/>
      <c r="U199" s="17"/>
      <c r="V199" s="10"/>
      <c r="W199" s="10"/>
      <c r="X199" s="10"/>
    </row>
    <row r="200" spans="1:24">
      <c r="A200" s="2"/>
      <c r="B200" s="11"/>
      <c r="C200" s="10"/>
      <c r="D200" s="10"/>
      <c r="E200" s="51" t="s">
        <v>47</v>
      </c>
      <c r="F200" s="52">
        <f>F199*0.05</f>
        <v>0</v>
      </c>
      <c r="G200" s="65" t="s">
        <v>40</v>
      </c>
      <c r="H200" s="54">
        <f>F200/1.12</f>
        <v>0</v>
      </c>
      <c r="I200" s="42"/>
      <c r="J200" s="10" t="s">
        <v>48</v>
      </c>
      <c r="K200" s="66">
        <f>K196/K197</f>
        <v>1566.75</v>
      </c>
      <c r="L200" s="66">
        <f t="shared" ref="L200:Q200" si="46">L196/L197</f>
        <v>7642.8899999999994</v>
      </c>
      <c r="M200" s="66">
        <f t="shared" si="46"/>
        <v>3473.5933333333337</v>
      </c>
      <c r="N200" s="66">
        <f t="shared" si="46"/>
        <v>2079.69</v>
      </c>
      <c r="O200" s="66">
        <f t="shared" si="46"/>
        <v>1337.65</v>
      </c>
      <c r="P200" s="66">
        <f t="shared" si="46"/>
        <v>3064.1630769230769</v>
      </c>
      <c r="Q200" s="66">
        <f t="shared" si="46"/>
        <v>867.65</v>
      </c>
      <c r="R200" s="63"/>
      <c r="S200" s="10"/>
      <c r="T200" s="10"/>
      <c r="U200" s="17"/>
      <c r="V200" s="10"/>
      <c r="W200" s="10"/>
      <c r="X200" s="10"/>
    </row>
    <row r="201" spans="1:24">
      <c r="A201" s="2"/>
      <c r="B201" s="11"/>
      <c r="C201" s="10"/>
      <c r="D201" s="10"/>
      <c r="E201" s="67" t="s">
        <v>14</v>
      </c>
      <c r="F201" s="68">
        <f>5*50</f>
        <v>250</v>
      </c>
      <c r="G201" s="10"/>
      <c r="H201" s="54">
        <f>F201/1.12</f>
        <v>223.21428571428569</v>
      </c>
      <c r="I201" s="10"/>
      <c r="J201" s="10"/>
      <c r="K201" s="10"/>
      <c r="L201" s="10"/>
      <c r="M201" s="10"/>
      <c r="N201" s="10"/>
      <c r="O201" s="10"/>
      <c r="P201" s="10"/>
      <c r="Q201" s="10"/>
      <c r="R201" s="10"/>
      <c r="S201" s="10"/>
      <c r="T201" s="10"/>
      <c r="U201" s="17"/>
      <c r="V201" s="10"/>
      <c r="W201" s="10"/>
      <c r="X201" s="10"/>
    </row>
    <row r="202" spans="1:24">
      <c r="A202" s="2"/>
      <c r="B202" s="11"/>
      <c r="C202" s="10"/>
      <c r="D202" s="10"/>
      <c r="E202" s="67" t="s">
        <v>49</v>
      </c>
      <c r="F202" s="69">
        <f>T191</f>
        <v>2</v>
      </c>
      <c r="G202" s="10"/>
      <c r="H202" s="54"/>
      <c r="I202" s="55"/>
      <c r="J202" s="42"/>
      <c r="K202" s="764" t="s">
        <v>50</v>
      </c>
      <c r="L202" s="765"/>
      <c r="M202" s="765"/>
      <c r="N202" s="765"/>
      <c r="O202" s="765"/>
      <c r="P202" s="765"/>
      <c r="Q202" s="766"/>
      <c r="R202" s="70" t="s">
        <v>28</v>
      </c>
      <c r="S202" s="71" t="s">
        <v>29</v>
      </c>
      <c r="T202" s="10"/>
      <c r="U202" s="17"/>
      <c r="V202" s="10"/>
      <c r="W202" s="10"/>
      <c r="X202" s="10"/>
    </row>
    <row r="203" spans="1:24">
      <c r="A203" s="2"/>
      <c r="B203" s="11"/>
      <c r="C203" s="10"/>
      <c r="D203" s="10"/>
      <c r="E203" s="67" t="s">
        <v>533</v>
      </c>
      <c r="F203" s="68">
        <f>$F$130</f>
        <v>833.88400000000024</v>
      </c>
      <c r="G203" s="123"/>
      <c r="H203" s="54">
        <f>F203/1.12</f>
        <v>744.53928571428582</v>
      </c>
      <c r="I203" s="10"/>
      <c r="J203" s="42"/>
      <c r="K203" s="20" t="s">
        <v>31</v>
      </c>
      <c r="L203" s="21" t="s">
        <v>32</v>
      </c>
      <c r="M203" s="21" t="s">
        <v>33</v>
      </c>
      <c r="N203" s="21" t="s">
        <v>34</v>
      </c>
      <c r="O203" s="21" t="s">
        <v>35</v>
      </c>
      <c r="P203" s="21" t="s">
        <v>36</v>
      </c>
      <c r="Q203" s="49" t="s">
        <v>37</v>
      </c>
      <c r="R203" s="50" t="s">
        <v>38</v>
      </c>
      <c r="S203" s="50" t="s">
        <v>38</v>
      </c>
      <c r="T203" s="10"/>
      <c r="U203" s="17"/>
      <c r="V203" s="10"/>
      <c r="W203" s="10"/>
      <c r="X203" s="10"/>
    </row>
    <row r="204" spans="1:24">
      <c r="A204" s="2"/>
      <c r="B204" s="11"/>
      <c r="C204" s="10"/>
      <c r="D204" s="10"/>
      <c r="E204" s="74" t="s">
        <v>2857</v>
      </c>
      <c r="F204" s="75">
        <v>-16.41</v>
      </c>
      <c r="G204" s="10"/>
      <c r="H204" s="10"/>
      <c r="I204" s="10"/>
      <c r="J204" s="42"/>
      <c r="K204" s="56">
        <f>F214+F236</f>
        <v>3512.9</v>
      </c>
      <c r="L204" s="57">
        <f>F215+F237</f>
        <v>17564</v>
      </c>
      <c r="M204" s="57">
        <f>F217+F216+F218</f>
        <v>12703</v>
      </c>
      <c r="N204" s="57">
        <f>F219+F220+F221+F232</f>
        <v>9745</v>
      </c>
      <c r="O204" s="57">
        <f>F222+F238</f>
        <v>2715</v>
      </c>
      <c r="P204" s="57">
        <f>SUM(K204:O204)</f>
        <v>46239.9</v>
      </c>
      <c r="Q204" s="58">
        <f>F227+F228</f>
        <v>1775</v>
      </c>
      <c r="R204" s="59">
        <f>F233+F239</f>
        <v>18170</v>
      </c>
      <c r="S204" s="59">
        <v>0</v>
      </c>
      <c r="T204" s="10"/>
      <c r="U204" s="17"/>
      <c r="V204" s="10"/>
      <c r="W204" s="10"/>
      <c r="X204" s="10"/>
    </row>
    <row r="205" spans="1:24">
      <c r="A205" s="2"/>
      <c r="B205" s="11"/>
      <c r="C205" s="10"/>
      <c r="D205" s="10"/>
      <c r="E205" s="12"/>
      <c r="F205" s="76"/>
      <c r="G205" s="10"/>
      <c r="H205" s="10"/>
      <c r="I205" s="10"/>
      <c r="J205" s="10" t="s">
        <v>42</v>
      </c>
      <c r="K205" s="63">
        <f>K197</f>
        <v>2</v>
      </c>
      <c r="L205" s="63">
        <f t="shared" ref="L205:Q206" si="47">L197</f>
        <v>2</v>
      </c>
      <c r="M205" s="63">
        <f t="shared" si="47"/>
        <v>3</v>
      </c>
      <c r="N205" s="63">
        <f t="shared" si="47"/>
        <v>4</v>
      </c>
      <c r="O205" s="63">
        <f t="shared" si="47"/>
        <v>2</v>
      </c>
      <c r="P205" s="63">
        <f t="shared" si="47"/>
        <v>13</v>
      </c>
      <c r="Q205" s="63">
        <f t="shared" si="47"/>
        <v>2</v>
      </c>
      <c r="R205" s="63"/>
      <c r="S205" s="10"/>
      <c r="T205" s="10"/>
      <c r="U205" s="17"/>
      <c r="V205" s="10"/>
      <c r="W205" s="10"/>
      <c r="X205" s="10"/>
    </row>
    <row r="206" spans="1:24">
      <c r="A206" s="2"/>
      <c r="B206" s="11"/>
      <c r="C206" s="10"/>
      <c r="D206" s="10"/>
      <c r="E206" s="10"/>
      <c r="F206" s="10"/>
      <c r="G206" s="10"/>
      <c r="H206" s="10"/>
      <c r="I206" s="10"/>
      <c r="J206" s="10" t="s">
        <v>44</v>
      </c>
      <c r="K206" s="63">
        <f>K198</f>
        <v>3</v>
      </c>
      <c r="L206" s="63">
        <f t="shared" si="47"/>
        <v>4</v>
      </c>
      <c r="M206" s="63">
        <f t="shared" si="47"/>
        <v>1</v>
      </c>
      <c r="N206" s="63">
        <f t="shared" si="47"/>
        <v>4</v>
      </c>
      <c r="O206" s="63">
        <f t="shared" si="47"/>
        <v>3</v>
      </c>
      <c r="P206" s="63">
        <f t="shared" si="47"/>
        <v>15</v>
      </c>
      <c r="Q206" s="63">
        <f t="shared" si="47"/>
        <v>0</v>
      </c>
      <c r="R206" s="63"/>
      <c r="S206" s="10"/>
      <c r="T206" s="10"/>
      <c r="U206" s="17"/>
      <c r="V206" s="10"/>
      <c r="W206" s="10"/>
      <c r="X206" s="10"/>
    </row>
    <row r="207" spans="1:24">
      <c r="A207" s="2"/>
      <c r="B207" s="11"/>
      <c r="C207" s="10"/>
      <c r="D207" s="10"/>
      <c r="E207" s="10"/>
      <c r="F207" s="10"/>
      <c r="G207" s="10"/>
      <c r="H207" s="10"/>
      <c r="I207" s="10"/>
      <c r="J207" s="10" t="s">
        <v>46</v>
      </c>
      <c r="K207" s="31">
        <f t="shared" ref="K207:Q207" si="48">K205/(K205+K206)</f>
        <v>0.4</v>
      </c>
      <c r="L207" s="31">
        <f t="shared" si="48"/>
        <v>0.33333333333333331</v>
      </c>
      <c r="M207" s="31">
        <f t="shared" si="48"/>
        <v>0.75</v>
      </c>
      <c r="N207" s="31">
        <f t="shared" si="48"/>
        <v>0.5</v>
      </c>
      <c r="O207" s="31">
        <f t="shared" si="48"/>
        <v>0.4</v>
      </c>
      <c r="P207" s="31">
        <f t="shared" si="48"/>
        <v>0.4642857142857143</v>
      </c>
      <c r="Q207" s="31">
        <f t="shared" si="48"/>
        <v>1</v>
      </c>
      <c r="R207" s="63"/>
      <c r="S207" s="10"/>
      <c r="T207" s="10"/>
      <c r="U207" s="17"/>
      <c r="V207" s="10"/>
      <c r="W207" s="10"/>
      <c r="X207" s="10"/>
    </row>
    <row r="208" spans="1:24">
      <c r="A208" s="2"/>
      <c r="B208" s="11"/>
      <c r="C208" s="10"/>
      <c r="D208" s="10"/>
      <c r="E208" s="10"/>
      <c r="F208" s="10"/>
      <c r="G208" s="10"/>
      <c r="H208" s="10"/>
      <c r="I208" s="10"/>
      <c r="J208" s="10" t="s">
        <v>48</v>
      </c>
      <c r="K208" s="66">
        <f t="shared" ref="K208:Q208" si="49">K204/K205</f>
        <v>1756.45</v>
      </c>
      <c r="L208" s="66">
        <f t="shared" si="49"/>
        <v>8782</v>
      </c>
      <c r="M208" s="66">
        <f t="shared" si="49"/>
        <v>4234.333333333333</v>
      </c>
      <c r="N208" s="66">
        <f t="shared" si="49"/>
        <v>2436.25</v>
      </c>
      <c r="O208" s="66">
        <f t="shared" si="49"/>
        <v>1357.5</v>
      </c>
      <c r="P208" s="66">
        <f t="shared" si="49"/>
        <v>3556.9153846153849</v>
      </c>
      <c r="Q208" s="66">
        <f t="shared" si="49"/>
        <v>887.5</v>
      </c>
      <c r="R208" s="63"/>
      <c r="S208" s="10"/>
      <c r="T208" s="10"/>
      <c r="U208" s="17"/>
      <c r="V208" s="10"/>
      <c r="W208" s="10"/>
      <c r="X208" s="10"/>
    </row>
    <row r="209" spans="1:24">
      <c r="A209" s="2"/>
      <c r="B209" s="11"/>
      <c r="C209" s="10"/>
      <c r="D209" s="10"/>
      <c r="E209" s="10"/>
      <c r="F209" s="10"/>
      <c r="G209" s="10"/>
      <c r="H209" s="10"/>
      <c r="I209" s="10"/>
      <c r="J209" s="10"/>
      <c r="K209" s="10"/>
      <c r="L209" s="10"/>
      <c r="M209" s="10"/>
      <c r="N209" s="10"/>
      <c r="O209" s="10"/>
      <c r="P209" s="10"/>
      <c r="Q209" s="10"/>
      <c r="R209" s="10"/>
      <c r="S209" s="10"/>
      <c r="T209" s="10"/>
      <c r="U209" s="17"/>
      <c r="V209" s="10"/>
      <c r="W209" s="10"/>
      <c r="X209" s="10"/>
    </row>
    <row r="210" spans="1:24">
      <c r="A210" s="2"/>
      <c r="B210" s="11"/>
      <c r="C210" s="10"/>
      <c r="D210" s="10"/>
      <c r="E210" s="10"/>
      <c r="F210" s="10"/>
      <c r="G210" s="10"/>
      <c r="H210" s="10"/>
      <c r="I210" s="10"/>
      <c r="J210" s="10"/>
      <c r="K210" s="10"/>
      <c r="L210" s="10"/>
      <c r="M210" s="10"/>
      <c r="N210" s="10"/>
      <c r="O210" s="10"/>
      <c r="P210" s="10"/>
      <c r="Q210" s="10"/>
      <c r="R210" s="10"/>
      <c r="S210" s="10"/>
      <c r="T210" s="10"/>
      <c r="U210" s="17"/>
      <c r="V210" s="10"/>
      <c r="W210" s="10"/>
      <c r="X210" s="10"/>
    </row>
    <row r="211" spans="1:24">
      <c r="A211" s="2"/>
      <c r="B211" s="18" t="s">
        <v>51</v>
      </c>
      <c r="C211" s="14"/>
      <c r="D211" s="14"/>
      <c r="E211" s="14"/>
      <c r="F211" s="13" t="s">
        <v>52</v>
      </c>
      <c r="G211" s="14"/>
      <c r="H211" s="14"/>
      <c r="I211" s="14"/>
      <c r="J211" s="14"/>
      <c r="K211" s="13" t="s">
        <v>3</v>
      </c>
      <c r="L211" s="14"/>
      <c r="M211" s="14"/>
      <c r="N211" s="13" t="s">
        <v>4</v>
      </c>
      <c r="O211" s="14"/>
      <c r="P211" s="14"/>
      <c r="Q211" s="13" t="s">
        <v>5</v>
      </c>
      <c r="R211" s="14"/>
      <c r="S211" s="14"/>
      <c r="T211" s="18"/>
      <c r="U211" s="16" t="s">
        <v>53</v>
      </c>
      <c r="V211" s="77"/>
      <c r="W211" s="77"/>
      <c r="X211" s="77"/>
    </row>
    <row r="212" spans="1:24">
      <c r="A212" s="2"/>
      <c r="B212" s="24" t="s">
        <v>54</v>
      </c>
      <c r="C212" s="21" t="s">
        <v>55</v>
      </c>
      <c r="D212" s="21" t="s">
        <v>56</v>
      </c>
      <c r="E212" s="21" t="s">
        <v>57</v>
      </c>
      <c r="F212" s="20" t="s">
        <v>58</v>
      </c>
      <c r="G212" s="21" t="s">
        <v>59</v>
      </c>
      <c r="H212" s="21" t="s">
        <v>60</v>
      </c>
      <c r="I212" s="21" t="s">
        <v>26</v>
      </c>
      <c r="J212" s="22" t="s">
        <v>61</v>
      </c>
      <c r="K212" s="21" t="s">
        <v>8</v>
      </c>
      <c r="L212" s="21" t="s">
        <v>9</v>
      </c>
      <c r="M212" s="21" t="s">
        <v>10</v>
      </c>
      <c r="N212" s="20" t="s">
        <v>11</v>
      </c>
      <c r="O212" s="21" t="s">
        <v>12</v>
      </c>
      <c r="P212" s="22" t="s">
        <v>13</v>
      </c>
      <c r="Q212" s="21" t="s">
        <v>11</v>
      </c>
      <c r="R212" s="21" t="s">
        <v>12</v>
      </c>
      <c r="S212" s="21" t="s">
        <v>13</v>
      </c>
      <c r="T212" s="78" t="s">
        <v>14</v>
      </c>
      <c r="U212" s="30"/>
      <c r="V212" s="79" t="s">
        <v>62</v>
      </c>
      <c r="W212" s="80" t="s">
        <v>63</v>
      </c>
      <c r="X212" s="81" t="s">
        <v>64</v>
      </c>
    </row>
    <row r="213" spans="1:24">
      <c r="A213" s="2"/>
      <c r="B213" s="4" t="s">
        <v>65</v>
      </c>
      <c r="C213" s="6"/>
      <c r="D213" s="6"/>
      <c r="E213" s="6"/>
      <c r="F213" s="6"/>
      <c r="G213" s="6"/>
      <c r="H213" s="6"/>
      <c r="I213" s="82"/>
      <c r="J213" s="6"/>
      <c r="K213" s="6"/>
      <c r="L213" s="6"/>
      <c r="M213" s="6"/>
      <c r="N213" s="6"/>
      <c r="O213" s="6"/>
      <c r="P213" s="6"/>
      <c r="Q213" s="6"/>
      <c r="R213" s="6"/>
      <c r="S213" s="6"/>
      <c r="T213" s="83"/>
      <c r="U213" s="6"/>
      <c r="V213" s="84"/>
      <c r="W213" s="85"/>
      <c r="X213" s="86"/>
    </row>
    <row r="214" spans="1:24">
      <c r="A214" s="2"/>
      <c r="B214" s="87">
        <v>1</v>
      </c>
      <c r="C214" s="274">
        <v>45880</v>
      </c>
      <c r="D214" s="327">
        <v>72214</v>
      </c>
      <c r="E214" s="276" t="s">
        <v>149</v>
      </c>
      <c r="F214" s="277">
        <v>1512.9</v>
      </c>
      <c r="G214" s="277">
        <f>39.7</f>
        <v>39.700000000000003</v>
      </c>
      <c r="H214" s="297"/>
      <c r="I214" s="321">
        <f t="shared" ref="I214" si="50">F214-G214-H214</f>
        <v>1473.2</v>
      </c>
      <c r="J214" s="279" t="s">
        <v>817</v>
      </c>
      <c r="K214" s="279">
        <v>1</v>
      </c>
      <c r="L214" s="279">
        <v>1</v>
      </c>
      <c r="M214" s="279">
        <v>1</v>
      </c>
      <c r="N214" s="279">
        <v>1</v>
      </c>
      <c r="O214" s="279">
        <v>1</v>
      </c>
      <c r="P214" s="279">
        <v>1</v>
      </c>
      <c r="Q214" s="279">
        <v>1</v>
      </c>
      <c r="R214" s="279">
        <v>1</v>
      </c>
      <c r="S214" s="328">
        <v>0</v>
      </c>
      <c r="T214" s="63"/>
      <c r="U214" s="10"/>
      <c r="V214" s="90">
        <v>664.19</v>
      </c>
      <c r="W214" s="440">
        <v>1000</v>
      </c>
      <c r="X214" s="92"/>
    </row>
    <row r="215" spans="1:24">
      <c r="A215" s="2"/>
      <c r="B215" s="87">
        <f t="shared" ref="B215:B222" si="51">B214+1</f>
        <v>2</v>
      </c>
      <c r="C215" s="274">
        <v>45881</v>
      </c>
      <c r="D215" s="327">
        <v>72273</v>
      </c>
      <c r="E215" s="276" t="s">
        <v>1476</v>
      </c>
      <c r="F215" s="277">
        <f>6369-185</f>
        <v>6184</v>
      </c>
      <c r="G215" s="277">
        <f>39.7+(52.19+1368.72)+250</f>
        <v>1710.6100000000001</v>
      </c>
      <c r="H215" s="277"/>
      <c r="I215" s="278">
        <f t="shared" ref="I215" si="52">F215-G215-H215</f>
        <v>4473.3899999999994</v>
      </c>
      <c r="J215" s="279" t="s">
        <v>156</v>
      </c>
      <c r="K215" s="279">
        <v>1</v>
      </c>
      <c r="L215" s="279">
        <v>1</v>
      </c>
      <c r="M215" s="279">
        <v>1</v>
      </c>
      <c r="N215" s="279">
        <v>1</v>
      </c>
      <c r="O215" s="279">
        <v>1</v>
      </c>
      <c r="P215" s="279">
        <v>1</v>
      </c>
      <c r="Q215" s="279">
        <v>1</v>
      </c>
      <c r="R215" s="279">
        <v>1</v>
      </c>
      <c r="S215" s="280">
        <v>1</v>
      </c>
      <c r="T215" s="21">
        <v>1</v>
      </c>
      <c r="U215" s="94" t="s">
        <v>2858</v>
      </c>
      <c r="V215" s="90">
        <f>203.5+600+5798.9+200</f>
        <v>6802.4</v>
      </c>
      <c r="W215" s="136"/>
      <c r="X215" s="92"/>
    </row>
    <row r="216" spans="1:24">
      <c r="A216" s="2" t="s">
        <v>2179</v>
      </c>
      <c r="B216" s="87">
        <f t="shared" si="51"/>
        <v>3</v>
      </c>
      <c r="C216" s="274">
        <v>45882</v>
      </c>
      <c r="D216" s="327">
        <v>72289</v>
      </c>
      <c r="E216" s="281" t="s">
        <v>1028</v>
      </c>
      <c r="F216" s="277">
        <v>4461</v>
      </c>
      <c r="G216" s="277">
        <f>39.7+(42.17)+300</f>
        <v>381.87</v>
      </c>
      <c r="H216" s="277"/>
      <c r="I216" s="321">
        <f>F216-G216-H216</f>
        <v>4079.13</v>
      </c>
      <c r="J216" s="279" t="s">
        <v>228</v>
      </c>
      <c r="K216" s="279">
        <v>1</v>
      </c>
      <c r="L216" s="279">
        <v>1</v>
      </c>
      <c r="M216" s="279">
        <v>1</v>
      </c>
      <c r="N216" s="279">
        <v>1</v>
      </c>
      <c r="O216" s="279">
        <v>1</v>
      </c>
      <c r="P216" s="279">
        <v>1</v>
      </c>
      <c r="Q216" s="279">
        <v>1</v>
      </c>
      <c r="R216" s="322">
        <v>0</v>
      </c>
      <c r="S216" s="280">
        <v>1</v>
      </c>
      <c r="T216" s="63"/>
      <c r="U216" s="10" t="s">
        <v>2859</v>
      </c>
      <c r="V216" s="90">
        <f>500+4407.1</f>
        <v>4907.1000000000004</v>
      </c>
      <c r="W216" s="91"/>
      <c r="X216" s="92"/>
    </row>
    <row r="217" spans="1:24">
      <c r="A217" s="93"/>
      <c r="B217" s="87">
        <f t="shared" si="51"/>
        <v>4</v>
      </c>
      <c r="C217" s="295">
        <v>45882</v>
      </c>
      <c r="D217" s="323">
        <v>72092</v>
      </c>
      <c r="E217" s="10" t="s">
        <v>1260</v>
      </c>
      <c r="F217" s="62">
        <v>1428</v>
      </c>
      <c r="G217" s="62">
        <f>39.7+(189.84)</f>
        <v>229.54000000000002</v>
      </c>
      <c r="H217" s="62"/>
      <c r="I217" s="89">
        <f t="shared" ref="I217:I220" si="53">F217-G217-H217</f>
        <v>1198.46</v>
      </c>
      <c r="J217" s="63" t="s">
        <v>156</v>
      </c>
      <c r="K217" s="63">
        <v>1</v>
      </c>
      <c r="L217" s="63">
        <v>1</v>
      </c>
      <c r="M217" s="63">
        <v>1</v>
      </c>
      <c r="N217" s="63">
        <v>1</v>
      </c>
      <c r="O217" s="63">
        <v>1</v>
      </c>
      <c r="P217" s="325">
        <v>0</v>
      </c>
      <c r="Q217" s="63">
        <v>1</v>
      </c>
      <c r="R217" s="63">
        <v>1</v>
      </c>
      <c r="S217" s="296">
        <v>1</v>
      </c>
      <c r="T217" s="21">
        <v>1</v>
      </c>
      <c r="U217" s="10" t="s">
        <v>2860</v>
      </c>
      <c r="V217" s="90">
        <v>1570</v>
      </c>
      <c r="W217" s="91"/>
      <c r="X217" s="92"/>
    </row>
    <row r="218" spans="1:24">
      <c r="A218" s="93" t="s">
        <v>2861</v>
      </c>
      <c r="B218" s="87">
        <f>B217+1</f>
        <v>5</v>
      </c>
      <c r="C218" s="282">
        <v>45882</v>
      </c>
      <c r="D218" s="330" t="s">
        <v>2862</v>
      </c>
      <c r="E218" s="283" t="s">
        <v>1088</v>
      </c>
      <c r="F218" s="284">
        <v>6814</v>
      </c>
      <c r="G218" s="284">
        <f>39.7+344.2+96.8+(37.52+44.48)+(486.04+12.1+97.87+12.1)+500</f>
        <v>1670.81</v>
      </c>
      <c r="H218" s="284"/>
      <c r="I218" s="300">
        <f>F218-G218-H218</f>
        <v>5143.1900000000005</v>
      </c>
      <c r="J218" s="286" t="s">
        <v>228</v>
      </c>
      <c r="K218" s="286">
        <v>1</v>
      </c>
      <c r="L218" s="286">
        <v>1</v>
      </c>
      <c r="M218" s="286">
        <v>1</v>
      </c>
      <c r="N218" s="286">
        <v>1</v>
      </c>
      <c r="O218" s="286">
        <v>1</v>
      </c>
      <c r="P218" s="286">
        <v>1</v>
      </c>
      <c r="Q218" s="332">
        <v>0</v>
      </c>
      <c r="R218" s="332">
        <v>0</v>
      </c>
      <c r="S218" s="370">
        <v>0</v>
      </c>
      <c r="T218" s="63"/>
      <c r="U218" s="94" t="s">
        <v>2863</v>
      </c>
      <c r="V218" s="90">
        <f>700+5000+1795.4</f>
        <v>7495.4</v>
      </c>
      <c r="W218" s="91"/>
      <c r="X218" s="92"/>
    </row>
    <row r="219" spans="1:24">
      <c r="A219" s="2"/>
      <c r="B219" s="87">
        <f>B218+1</f>
        <v>6</v>
      </c>
      <c r="C219" s="295">
        <v>45883</v>
      </c>
      <c r="D219" s="323">
        <v>72293</v>
      </c>
      <c r="E219" s="101" t="s">
        <v>149</v>
      </c>
      <c r="F219" s="62">
        <v>628</v>
      </c>
      <c r="G219" s="62"/>
      <c r="H219" s="62"/>
      <c r="I219" s="324">
        <f t="shared" si="53"/>
        <v>628</v>
      </c>
      <c r="J219" s="63" t="s">
        <v>374</v>
      </c>
      <c r="K219" s="63">
        <v>1</v>
      </c>
      <c r="L219" s="63">
        <v>1</v>
      </c>
      <c r="M219" s="63">
        <v>1</v>
      </c>
      <c r="N219" s="63">
        <v>1</v>
      </c>
      <c r="O219" s="325">
        <v>0</v>
      </c>
      <c r="P219" s="325">
        <v>0</v>
      </c>
      <c r="Q219" s="63">
        <v>1</v>
      </c>
      <c r="R219" s="63">
        <v>1</v>
      </c>
      <c r="S219" s="326">
        <v>0</v>
      </c>
      <c r="T219" s="512" t="s">
        <v>2864</v>
      </c>
      <c r="U219" s="10"/>
      <c r="V219" s="90">
        <v>690.8</v>
      </c>
      <c r="W219" s="91"/>
      <c r="X219" s="92"/>
    </row>
    <row r="220" spans="1:24">
      <c r="A220" s="2"/>
      <c r="B220" s="87">
        <f t="shared" si="51"/>
        <v>7</v>
      </c>
      <c r="C220" s="295">
        <v>45883</v>
      </c>
      <c r="D220" s="323">
        <v>72326</v>
      </c>
      <c r="E220" s="10" t="s">
        <v>1072</v>
      </c>
      <c r="F220" s="62">
        <v>2261</v>
      </c>
      <c r="G220" s="62">
        <f>39.7+485</f>
        <v>524.70000000000005</v>
      </c>
      <c r="H220" s="62"/>
      <c r="I220" s="89">
        <f t="shared" si="53"/>
        <v>1736.3</v>
      </c>
      <c r="J220" s="63" t="s">
        <v>156</v>
      </c>
      <c r="K220" s="63">
        <v>1</v>
      </c>
      <c r="L220" s="63">
        <v>1</v>
      </c>
      <c r="M220" s="63">
        <v>1</v>
      </c>
      <c r="N220" s="63">
        <v>1</v>
      </c>
      <c r="O220" s="63">
        <v>1</v>
      </c>
      <c r="P220" s="325">
        <v>0</v>
      </c>
      <c r="Q220" s="325">
        <v>0</v>
      </c>
      <c r="R220" s="325">
        <v>0</v>
      </c>
      <c r="S220" s="326">
        <v>0</v>
      </c>
      <c r="T220" s="63"/>
      <c r="U220" s="10"/>
      <c r="V220" s="90">
        <f>248.71+2238.39</f>
        <v>2487.1</v>
      </c>
      <c r="W220" s="91"/>
      <c r="X220" s="92"/>
    </row>
    <row r="221" spans="1:24">
      <c r="A221" s="388" t="s">
        <v>2865</v>
      </c>
      <c r="B221" s="87">
        <f t="shared" si="51"/>
        <v>8</v>
      </c>
      <c r="C221" s="295">
        <v>45883</v>
      </c>
      <c r="D221" s="346" t="s">
        <v>2866</v>
      </c>
      <c r="E221" s="10" t="s">
        <v>1072</v>
      </c>
      <c r="F221" s="62">
        <v>4281</v>
      </c>
      <c r="G221" s="62">
        <f>39.7+(405.34)+300</f>
        <v>745.04</v>
      </c>
      <c r="H221" s="88"/>
      <c r="I221" s="369">
        <f>F221-G221-H221</f>
        <v>3535.96</v>
      </c>
      <c r="J221" s="63" t="s">
        <v>156</v>
      </c>
      <c r="K221" s="63">
        <v>1</v>
      </c>
      <c r="L221" s="63">
        <v>1</v>
      </c>
      <c r="M221" s="63">
        <v>1</v>
      </c>
      <c r="N221" s="63">
        <v>1</v>
      </c>
      <c r="O221" s="63">
        <v>1</v>
      </c>
      <c r="P221" s="325">
        <v>0</v>
      </c>
      <c r="Q221" s="325">
        <v>0</v>
      </c>
      <c r="R221" s="325">
        <v>0</v>
      </c>
      <c r="S221" s="326">
        <v>0</v>
      </c>
      <c r="T221" s="63"/>
      <c r="U221" s="10" t="s">
        <v>2867</v>
      </c>
      <c r="V221" s="90">
        <f>470.91+4238.19</f>
        <v>4709.0999999999995</v>
      </c>
      <c r="W221" s="91"/>
      <c r="X221" s="92"/>
    </row>
    <row r="222" spans="1:24">
      <c r="A222" s="2"/>
      <c r="B222" s="87">
        <f t="shared" si="51"/>
        <v>9</v>
      </c>
      <c r="C222" s="262">
        <v>45884</v>
      </c>
      <c r="D222" s="263">
        <v>72344</v>
      </c>
      <c r="E222" s="271" t="s">
        <v>1273</v>
      </c>
      <c r="F222" s="265">
        <v>500</v>
      </c>
      <c r="G222" s="265"/>
      <c r="H222" s="365"/>
      <c r="I222" s="272">
        <f t="shared" ref="I222" si="54">F222-G222-H222</f>
        <v>500</v>
      </c>
      <c r="J222" s="267" t="s">
        <v>156</v>
      </c>
      <c r="K222" s="267">
        <v>1</v>
      </c>
      <c r="L222" s="267">
        <v>1</v>
      </c>
      <c r="M222" s="267">
        <v>1</v>
      </c>
      <c r="N222" s="267">
        <v>1</v>
      </c>
      <c r="O222" s="267">
        <v>1</v>
      </c>
      <c r="P222" s="314">
        <v>0</v>
      </c>
      <c r="Q222" s="314">
        <v>0</v>
      </c>
      <c r="R222" s="314">
        <v>0</v>
      </c>
      <c r="S222" s="366">
        <v>0</v>
      </c>
      <c r="T222" s="63"/>
      <c r="U222" s="10" t="s">
        <v>2868</v>
      </c>
      <c r="V222" s="90">
        <f>50+500</f>
        <v>550</v>
      </c>
      <c r="W222" s="91"/>
      <c r="X222" s="92"/>
    </row>
    <row r="223" spans="1:24">
      <c r="A223" s="2"/>
      <c r="B223" s="87"/>
      <c r="C223" s="36"/>
      <c r="D223" s="10"/>
      <c r="E223" s="10"/>
      <c r="F223" s="97">
        <f>SUM(F214:F222)</f>
        <v>28069.9</v>
      </c>
      <c r="G223" s="97">
        <f>SUM(G214:G222)</f>
        <v>5302.27</v>
      </c>
      <c r="H223" s="97">
        <f>SUM(H214:H222)</f>
        <v>0</v>
      </c>
      <c r="I223" s="98">
        <f>SUM(I214:I222)</f>
        <v>22767.63</v>
      </c>
      <c r="J223" s="63"/>
      <c r="K223" s="63">
        <f>COUNT(K214:K222)</f>
        <v>9</v>
      </c>
      <c r="L223" s="63">
        <f>COUNT(L214:L222)</f>
        <v>9</v>
      </c>
      <c r="M223" s="63">
        <f>COUNT(M214:M222)</f>
        <v>9</v>
      </c>
      <c r="N223" s="63">
        <f>COUNT(N214:N222)</f>
        <v>9</v>
      </c>
      <c r="O223" s="63">
        <f>COUNT(O214:O222)</f>
        <v>9</v>
      </c>
      <c r="P223" s="63">
        <f>COUNT(P214:P222)</f>
        <v>9</v>
      </c>
      <c r="Q223" s="63">
        <f>COUNT(Q214:Q222)</f>
        <v>9</v>
      </c>
      <c r="R223" s="63">
        <f>COUNT(R214:R222)</f>
        <v>9</v>
      </c>
      <c r="S223" s="63">
        <f>COUNT(S214:S222)</f>
        <v>9</v>
      </c>
      <c r="T223" s="63"/>
      <c r="U223" s="10"/>
      <c r="V223" s="90"/>
      <c r="W223" s="91"/>
      <c r="X223" s="92"/>
    </row>
    <row r="224" spans="1:24">
      <c r="A224" s="2"/>
      <c r="B224" s="87"/>
      <c r="C224" s="36"/>
      <c r="D224" s="10"/>
      <c r="E224" s="10"/>
      <c r="F224" s="88"/>
      <c r="G224" s="88"/>
      <c r="H224" s="88"/>
      <c r="I224" s="99"/>
      <c r="J224" s="63"/>
      <c r="K224" s="21">
        <f>SUM(K214:K222)</f>
        <v>9</v>
      </c>
      <c r="L224" s="21">
        <f>SUM(L214:L222)</f>
        <v>9</v>
      </c>
      <c r="M224" s="21">
        <f>SUM(M214:M222)</f>
        <v>9</v>
      </c>
      <c r="N224" s="21">
        <f>SUM(N214:N222)</f>
        <v>9</v>
      </c>
      <c r="O224" s="21">
        <f>SUM(O214:O222)</f>
        <v>8</v>
      </c>
      <c r="P224" s="21">
        <f>SUM(P214:P222)</f>
        <v>4</v>
      </c>
      <c r="Q224" s="21">
        <f>SUM(Q214:Q222)</f>
        <v>5</v>
      </c>
      <c r="R224" s="21">
        <f>SUM(R214:R222)</f>
        <v>4</v>
      </c>
      <c r="S224" s="21">
        <f>SUM(S214:S222)</f>
        <v>3</v>
      </c>
      <c r="T224" s="63"/>
      <c r="U224" s="10"/>
      <c r="V224" s="90"/>
      <c r="W224" s="91"/>
      <c r="X224" s="92"/>
    </row>
    <row r="225" spans="1:24">
      <c r="A225" s="2"/>
      <c r="B225" s="11"/>
      <c r="C225" s="36"/>
      <c r="D225" s="10"/>
      <c r="E225" s="10"/>
      <c r="F225" s="88"/>
      <c r="G225" s="88"/>
      <c r="H225" s="88"/>
      <c r="I225" s="99"/>
      <c r="J225" s="63"/>
      <c r="K225" s="21"/>
      <c r="L225" s="21"/>
      <c r="M225" s="21"/>
      <c r="N225" s="21"/>
      <c r="O225" s="21"/>
      <c r="P225" s="21"/>
      <c r="Q225" s="21"/>
      <c r="R225" s="21"/>
      <c r="S225" s="21"/>
      <c r="T225" s="63"/>
      <c r="U225" s="10"/>
      <c r="V225" s="90"/>
      <c r="W225" s="91"/>
      <c r="X225" s="92"/>
    </row>
    <row r="226" spans="1:24">
      <c r="A226" s="2"/>
      <c r="B226" s="100" t="s">
        <v>66</v>
      </c>
      <c r="C226" s="36"/>
      <c r="D226" s="10"/>
      <c r="E226" s="10"/>
      <c r="F226" s="88"/>
      <c r="G226" s="62"/>
      <c r="H226" s="88"/>
      <c r="I226" s="99"/>
      <c r="J226" s="63"/>
      <c r="K226" s="2"/>
      <c r="L226" s="2"/>
      <c r="M226" s="2"/>
      <c r="N226" s="2"/>
      <c r="O226" s="2"/>
      <c r="P226" s="2"/>
      <c r="Q226" s="2"/>
      <c r="R226" s="2"/>
      <c r="S226" s="2"/>
      <c r="T226" s="63"/>
      <c r="U226" s="94"/>
      <c r="V226" s="90"/>
      <c r="W226" s="91"/>
      <c r="X226" s="92"/>
    </row>
    <row r="227" spans="1:24">
      <c r="A227" s="2"/>
      <c r="B227" s="87">
        <v>1</v>
      </c>
      <c r="C227" s="274">
        <v>45885</v>
      </c>
      <c r="D227" s="327">
        <v>72265</v>
      </c>
      <c r="E227" s="281" t="s">
        <v>512</v>
      </c>
      <c r="F227" s="277">
        <f>681-85</f>
        <v>596</v>
      </c>
      <c r="G227" s="277"/>
      <c r="H227" s="277"/>
      <c r="I227" s="278">
        <f t="shared" ref="I227:I228" si="55">F227-G227-H227</f>
        <v>596</v>
      </c>
      <c r="J227" s="279" t="s">
        <v>156</v>
      </c>
      <c r="K227" s="279">
        <v>1</v>
      </c>
      <c r="L227" s="279">
        <v>1</v>
      </c>
      <c r="M227" s="279">
        <v>1</v>
      </c>
      <c r="N227" s="279">
        <v>1</v>
      </c>
      <c r="O227" s="279">
        <v>1</v>
      </c>
      <c r="P227" s="279">
        <v>1</v>
      </c>
      <c r="Q227" s="279">
        <v>1</v>
      </c>
      <c r="R227" s="279">
        <v>1</v>
      </c>
      <c r="S227" s="280">
        <v>1</v>
      </c>
      <c r="T227" s="21">
        <v>1</v>
      </c>
      <c r="U227" s="94"/>
      <c r="V227" s="90">
        <f>93.5+655.6</f>
        <v>749.1</v>
      </c>
      <c r="W227" s="91"/>
      <c r="X227" s="92"/>
    </row>
    <row r="228" spans="1:24">
      <c r="A228" s="2"/>
      <c r="B228" s="87">
        <f t="shared" ref="B228" si="56">B227+1</f>
        <v>2</v>
      </c>
      <c r="C228" s="282">
        <v>45885</v>
      </c>
      <c r="D228" s="368">
        <v>72363</v>
      </c>
      <c r="E228" s="319" t="s">
        <v>1036</v>
      </c>
      <c r="F228" s="284">
        <f>1264-85</f>
        <v>1179</v>
      </c>
      <c r="G228" s="284">
        <f>39.7</f>
        <v>39.700000000000003</v>
      </c>
      <c r="H228" s="284"/>
      <c r="I228" s="300">
        <f t="shared" si="55"/>
        <v>1139.3</v>
      </c>
      <c r="J228" s="286" t="s">
        <v>156</v>
      </c>
      <c r="K228" s="286">
        <v>1</v>
      </c>
      <c r="L228" s="332">
        <v>0</v>
      </c>
      <c r="M228" s="286">
        <v>1</v>
      </c>
      <c r="N228" s="286">
        <v>1</v>
      </c>
      <c r="O228" s="286">
        <v>1</v>
      </c>
      <c r="P228" s="286">
        <v>1</v>
      </c>
      <c r="Q228" s="286">
        <v>1</v>
      </c>
      <c r="R228" s="286">
        <v>1</v>
      </c>
      <c r="S228" s="287">
        <v>1</v>
      </c>
      <c r="T228" s="21">
        <v>1</v>
      </c>
      <c r="U228" s="94"/>
      <c r="V228" s="90">
        <f>93.5+150+1146.9</f>
        <v>1390.4</v>
      </c>
      <c r="W228" s="91"/>
      <c r="X228" s="92"/>
    </row>
    <row r="229" spans="1:24">
      <c r="A229" s="2"/>
      <c r="B229" s="11"/>
      <c r="C229" s="36"/>
      <c r="D229" s="10"/>
      <c r="E229" s="10"/>
      <c r="F229" s="97">
        <f>SUM(F227:F228)</f>
        <v>1775</v>
      </c>
      <c r="G229" s="97">
        <f>SUM(G227:G228)</f>
        <v>39.700000000000003</v>
      </c>
      <c r="H229" s="97">
        <f>SUM(H227:H228)</f>
        <v>0</v>
      </c>
      <c r="I229" s="98">
        <f>SUM(I227:I228)</f>
        <v>1735.3</v>
      </c>
      <c r="J229" s="63"/>
      <c r="K229" s="21"/>
      <c r="L229" s="21"/>
      <c r="M229" s="21"/>
      <c r="N229" s="21"/>
      <c r="O229" s="21"/>
      <c r="P229" s="21"/>
      <c r="Q229" s="21"/>
      <c r="R229" s="21"/>
      <c r="S229" s="21"/>
      <c r="T229" s="63"/>
      <c r="U229" s="94"/>
      <c r="V229" s="90"/>
      <c r="W229" s="91"/>
      <c r="X229" s="92"/>
    </row>
    <row r="230" spans="1:24">
      <c r="A230" s="2"/>
      <c r="B230" s="11"/>
      <c r="C230" s="36"/>
      <c r="D230" s="10"/>
      <c r="E230" s="10"/>
      <c r="F230" s="88"/>
      <c r="G230" s="88"/>
      <c r="H230" s="88"/>
      <c r="I230" s="99"/>
      <c r="J230" s="63"/>
      <c r="K230" s="21"/>
      <c r="L230" s="21"/>
      <c r="M230" s="21"/>
      <c r="N230" s="21"/>
      <c r="O230" s="21"/>
      <c r="P230" s="21"/>
      <c r="Q230" s="21"/>
      <c r="R230" s="21"/>
      <c r="S230" s="21"/>
      <c r="T230" s="63"/>
      <c r="U230" s="94"/>
      <c r="V230" s="90"/>
      <c r="W230" s="91"/>
      <c r="X230" s="92"/>
    </row>
    <row r="231" spans="1:24" s="342" customFormat="1">
      <c r="A231" s="128"/>
      <c r="B231" s="121" t="s">
        <v>68</v>
      </c>
      <c r="C231" s="122"/>
      <c r="D231" s="123"/>
      <c r="E231" s="123"/>
      <c r="F231" s="124"/>
      <c r="G231" s="125"/>
      <c r="H231" s="124"/>
      <c r="I231" s="126"/>
      <c r="J231" s="127"/>
      <c r="K231" s="128"/>
      <c r="L231" s="128"/>
      <c r="M231" s="128"/>
      <c r="N231" s="128"/>
      <c r="O231" s="128"/>
      <c r="P231" s="128"/>
      <c r="Q231" s="128"/>
      <c r="R231" s="128"/>
      <c r="S231" s="128"/>
      <c r="T231" s="127"/>
      <c r="U231" s="123"/>
      <c r="V231" s="129"/>
      <c r="W231" s="130"/>
      <c r="X231" s="131"/>
    </row>
    <row r="232" spans="1:24" s="381" customFormat="1">
      <c r="A232" s="371" t="s">
        <v>249</v>
      </c>
      <c r="B232" s="372">
        <v>1</v>
      </c>
      <c r="C232" s="373">
        <v>45883</v>
      </c>
      <c r="D232" s="263">
        <v>72349</v>
      </c>
      <c r="E232" s="391" t="s">
        <v>1256</v>
      </c>
      <c r="F232" s="375">
        <v>2575</v>
      </c>
      <c r="G232" s="375">
        <f>39.7+116.8</f>
        <v>156.5</v>
      </c>
      <c r="H232" s="375"/>
      <c r="I232" s="376">
        <f>F232-G232-H232</f>
        <v>2418.5</v>
      </c>
      <c r="J232" s="314" t="s">
        <v>2869</v>
      </c>
      <c r="K232" s="314">
        <v>1</v>
      </c>
      <c r="L232" s="314">
        <v>1</v>
      </c>
      <c r="M232" s="314"/>
      <c r="N232" s="314">
        <v>1</v>
      </c>
      <c r="O232" s="314">
        <v>0</v>
      </c>
      <c r="P232" s="314">
        <v>0</v>
      </c>
      <c r="Q232" s="314">
        <v>0</v>
      </c>
      <c r="R232" s="314">
        <v>0</v>
      </c>
      <c r="S232" s="366">
        <v>0</v>
      </c>
      <c r="T232" s="325"/>
      <c r="U232" s="430" t="s">
        <v>2870</v>
      </c>
      <c r="V232" s="377"/>
      <c r="W232" s="392"/>
      <c r="X232" s="379"/>
    </row>
    <row r="233" spans="1:24" s="342" customFormat="1">
      <c r="A233" s="356"/>
      <c r="B233" s="132"/>
      <c r="C233" s="122"/>
      <c r="D233" s="123"/>
      <c r="E233" s="123"/>
      <c r="F233" s="134">
        <f>SUM(F232:F232)</f>
        <v>2575</v>
      </c>
      <c r="G233" s="134">
        <f>SUM(G232:G232)</f>
        <v>156.5</v>
      </c>
      <c r="H233" s="134">
        <f>SUM(H232:H232)</f>
        <v>0</v>
      </c>
      <c r="I233" s="134">
        <f>SUM(I232:I232)</f>
        <v>2418.5</v>
      </c>
      <c r="J233" s="127"/>
      <c r="K233" s="64"/>
      <c r="L233" s="64"/>
      <c r="M233" s="64"/>
      <c r="N233" s="64"/>
      <c r="O233" s="64"/>
      <c r="P233" s="64"/>
      <c r="Q233" s="64"/>
      <c r="R233" s="64"/>
      <c r="S233" s="64"/>
      <c r="T233" s="127"/>
      <c r="U233" s="123"/>
      <c r="V233" s="129"/>
      <c r="W233" s="130"/>
      <c r="X233" s="131"/>
    </row>
    <row r="234" spans="1:24">
      <c r="A234" s="2"/>
      <c r="B234" s="11"/>
      <c r="C234" s="36"/>
      <c r="D234" s="10"/>
      <c r="E234" s="10"/>
      <c r="F234" s="88"/>
      <c r="G234" s="88"/>
      <c r="H234" s="88"/>
      <c r="I234" s="99"/>
      <c r="J234" s="63"/>
      <c r="K234" s="21"/>
      <c r="L234" s="21"/>
      <c r="M234" s="21"/>
      <c r="N234" s="21"/>
      <c r="O234" s="21"/>
      <c r="P234" s="21"/>
      <c r="Q234" s="21"/>
      <c r="R234" s="21"/>
      <c r="S234" s="21"/>
      <c r="T234" s="63"/>
      <c r="U234" s="94"/>
      <c r="V234" s="90"/>
      <c r="W234" s="91"/>
      <c r="X234" s="92"/>
    </row>
    <row r="235" spans="1:24">
      <c r="A235" s="128"/>
      <c r="B235" s="121" t="s">
        <v>70</v>
      </c>
      <c r="C235" s="122"/>
      <c r="D235" s="123"/>
      <c r="E235" s="128"/>
      <c r="F235" s="124"/>
      <c r="G235" s="124"/>
      <c r="H235" s="124"/>
      <c r="I235" s="126"/>
      <c r="J235" s="127"/>
      <c r="K235" s="64"/>
      <c r="L235" s="64"/>
      <c r="M235" s="64"/>
      <c r="N235" s="64"/>
      <c r="O235" s="64"/>
      <c r="P235" s="64"/>
      <c r="Q235" s="64"/>
      <c r="R235" s="64"/>
      <c r="S235" s="64"/>
      <c r="T235" s="127"/>
      <c r="U235" s="135"/>
      <c r="V235" s="129"/>
      <c r="W235" s="130"/>
      <c r="X235" s="131"/>
    </row>
    <row r="236" spans="1:24" s="342" customFormat="1">
      <c r="A236" s="356">
        <v>0.05</v>
      </c>
      <c r="B236" s="333">
        <v>1</v>
      </c>
      <c r="C236" s="334">
        <v>45880</v>
      </c>
      <c r="D236" s="327">
        <v>72052</v>
      </c>
      <c r="E236" s="335" t="s">
        <v>1047</v>
      </c>
      <c r="F236" s="336">
        <v>2000</v>
      </c>
      <c r="G236" s="336">
        <f>39.7+300</f>
        <v>339.7</v>
      </c>
      <c r="H236" s="336"/>
      <c r="I236" s="337">
        <f>F236-G236-H236</f>
        <v>1660.3</v>
      </c>
      <c r="J236" s="338" t="s">
        <v>150</v>
      </c>
      <c r="K236" s="338">
        <v>1</v>
      </c>
      <c r="L236" s="338"/>
      <c r="M236" s="322">
        <v>0</v>
      </c>
      <c r="N236" s="338">
        <v>1</v>
      </c>
      <c r="O236" s="338">
        <v>1</v>
      </c>
      <c r="P236" s="338">
        <v>1</v>
      </c>
      <c r="Q236" s="338"/>
      <c r="R236" s="338"/>
      <c r="S236" s="339"/>
      <c r="T236" s="127"/>
      <c r="U236" s="135" t="s">
        <v>2871</v>
      </c>
      <c r="V236" s="129">
        <v>0</v>
      </c>
      <c r="W236" s="711">
        <v>200</v>
      </c>
      <c r="X236" s="341"/>
    </row>
    <row r="237" spans="1:24" s="342" customFormat="1">
      <c r="A237" s="128" t="s">
        <v>619</v>
      </c>
      <c r="B237" s="333">
        <f>B236+1</f>
        <v>2</v>
      </c>
      <c r="C237" s="334">
        <v>45881</v>
      </c>
      <c r="D237" s="327">
        <v>72270</v>
      </c>
      <c r="E237" s="335" t="s">
        <v>1120</v>
      </c>
      <c r="F237" s="336">
        <v>11380</v>
      </c>
      <c r="G237" s="336">
        <f>39.7+(227.91)+300</f>
        <v>567.61</v>
      </c>
      <c r="H237" s="336"/>
      <c r="I237" s="337">
        <f>F237-G237-H237</f>
        <v>10812.39</v>
      </c>
      <c r="J237" s="338" t="s">
        <v>156</v>
      </c>
      <c r="K237" s="338">
        <v>1</v>
      </c>
      <c r="L237" s="338"/>
      <c r="M237" s="338">
        <v>1</v>
      </c>
      <c r="N237" s="338">
        <v>1</v>
      </c>
      <c r="O237" s="338">
        <v>1</v>
      </c>
      <c r="P237" s="322">
        <v>0</v>
      </c>
      <c r="Q237" s="338"/>
      <c r="R237" s="338"/>
      <c r="S237" s="339"/>
      <c r="T237" s="127"/>
      <c r="U237" s="135" t="s">
        <v>2872</v>
      </c>
      <c r="V237" s="129">
        <f>2000</f>
        <v>2000</v>
      </c>
      <c r="W237" s="340"/>
      <c r="X237" s="341"/>
    </row>
    <row r="238" spans="1:24" s="342" customFormat="1">
      <c r="A238" s="356">
        <v>0.05</v>
      </c>
      <c r="B238" s="333">
        <f>B237+1</f>
        <v>3</v>
      </c>
      <c r="C238" s="350">
        <v>45884</v>
      </c>
      <c r="D238" s="263">
        <v>72342</v>
      </c>
      <c r="E238" s="358" t="s">
        <v>1231</v>
      </c>
      <c r="F238" s="352">
        <v>2215</v>
      </c>
      <c r="G238" s="352">
        <f>39.7</f>
        <v>39.700000000000003</v>
      </c>
      <c r="H238" s="352"/>
      <c r="I238" s="353">
        <f>F238-G238-H238</f>
        <v>2175.3000000000002</v>
      </c>
      <c r="J238" s="354" t="s">
        <v>156</v>
      </c>
      <c r="K238" s="354">
        <v>1</v>
      </c>
      <c r="L238" s="354"/>
      <c r="M238" s="354">
        <v>1</v>
      </c>
      <c r="N238" s="354">
        <v>1</v>
      </c>
      <c r="O238" s="354">
        <v>1</v>
      </c>
      <c r="P238" s="314">
        <v>0</v>
      </c>
      <c r="Q238" s="354"/>
      <c r="R238" s="354"/>
      <c r="S238" s="355"/>
      <c r="T238" s="127"/>
      <c r="U238" s="135"/>
      <c r="V238" s="129">
        <f>200</f>
        <v>200</v>
      </c>
      <c r="W238" s="340"/>
      <c r="X238" s="341"/>
    </row>
    <row r="239" spans="1:24">
      <c r="A239" s="128"/>
      <c r="B239" s="132"/>
      <c r="C239" s="122"/>
      <c r="D239" s="123"/>
      <c r="E239" s="123"/>
      <c r="F239" s="133">
        <f>SUM(F236:F238)</f>
        <v>15595</v>
      </c>
      <c r="G239" s="133">
        <f>SUM(G236:G238)</f>
        <v>947.01</v>
      </c>
      <c r="H239" s="133">
        <f>SUM(H236:H238)</f>
        <v>0</v>
      </c>
      <c r="I239" s="134">
        <f>SUM(I236:I238)</f>
        <v>14647.989999999998</v>
      </c>
      <c r="J239" s="127"/>
      <c r="K239" s="64"/>
      <c r="L239" s="64"/>
      <c r="M239" s="64"/>
      <c r="N239" s="64"/>
      <c r="O239" s="64"/>
      <c r="P239" s="64"/>
      <c r="Q239" s="64"/>
      <c r="R239" s="64"/>
      <c r="S239" s="64"/>
      <c r="T239" s="127"/>
      <c r="U239" s="135"/>
      <c r="V239" s="129"/>
      <c r="W239" s="130"/>
      <c r="X239" s="131"/>
    </row>
    <row r="240" spans="1:24">
      <c r="A240" s="2"/>
      <c r="B240" s="11"/>
      <c r="C240" s="36"/>
      <c r="D240" s="10"/>
      <c r="E240" s="10"/>
      <c r="F240" s="88"/>
      <c r="G240" s="88"/>
      <c r="H240" s="88"/>
      <c r="I240" s="99"/>
      <c r="J240" s="63"/>
      <c r="K240" s="21"/>
      <c r="L240" s="21"/>
      <c r="M240" s="21"/>
      <c r="N240" s="21"/>
      <c r="O240" s="21"/>
      <c r="P240" s="21"/>
      <c r="Q240" s="21"/>
      <c r="R240" s="21"/>
      <c r="S240" s="21"/>
      <c r="T240" s="63"/>
      <c r="U240" s="94"/>
      <c r="V240" s="90"/>
      <c r="W240" s="91"/>
      <c r="X240" s="92"/>
    </row>
    <row r="241" spans="1:24" s="342" customFormat="1">
      <c r="B241" s="100" t="s">
        <v>152</v>
      </c>
      <c r="C241" s="122"/>
      <c r="D241" s="123"/>
      <c r="E241" s="123"/>
      <c r="F241" s="124"/>
      <c r="G241" s="125"/>
      <c r="H241" s="124"/>
      <c r="I241" s="126"/>
      <c r="J241" s="127"/>
      <c r="K241" s="128"/>
      <c r="L241" s="128"/>
      <c r="M241" s="128"/>
      <c r="N241" s="128"/>
      <c r="O241" s="128"/>
      <c r="P241" s="128"/>
      <c r="Q241" s="128"/>
      <c r="R241" s="128"/>
      <c r="S241" s="128"/>
      <c r="T241" s="127"/>
      <c r="U241" s="123"/>
      <c r="V241" s="129"/>
      <c r="W241" s="130"/>
      <c r="X241" s="131"/>
    </row>
    <row r="242" spans="1:24" s="260" customFormat="1">
      <c r="A242" s="494">
        <v>0.05</v>
      </c>
      <c r="B242" s="87">
        <v>1</v>
      </c>
      <c r="C242" s="262">
        <v>45866</v>
      </c>
      <c r="D242" s="271">
        <v>71800</v>
      </c>
      <c r="E242" s="271" t="s">
        <v>2823</v>
      </c>
      <c r="F242" s="265">
        <v>6214</v>
      </c>
      <c r="G242" s="265">
        <f>39.7+(1288.73)+250</f>
        <v>1578.43</v>
      </c>
      <c r="H242" s="265"/>
      <c r="I242" s="266">
        <f>F242-G242-H242</f>
        <v>4635.57</v>
      </c>
      <c r="J242" s="267" t="s">
        <v>156</v>
      </c>
      <c r="K242" s="267">
        <v>1</v>
      </c>
      <c r="L242" s="314">
        <v>0</v>
      </c>
      <c r="M242" s="267">
        <v>1</v>
      </c>
      <c r="N242" s="267">
        <v>1</v>
      </c>
      <c r="O242" s="267">
        <v>1</v>
      </c>
      <c r="P242" s="314">
        <v>0</v>
      </c>
      <c r="Q242" s="314">
        <v>0</v>
      </c>
      <c r="R242" s="314">
        <v>0</v>
      </c>
      <c r="S242" s="366">
        <v>0</v>
      </c>
      <c r="T242" s="63"/>
      <c r="U242" s="94" t="s">
        <v>2873</v>
      </c>
      <c r="V242" s="90"/>
      <c r="W242" s="136"/>
      <c r="X242" s="92"/>
    </row>
    <row r="243" spans="1:24" s="260" customFormat="1">
      <c r="A243" s="260" t="s">
        <v>619</v>
      </c>
      <c r="B243" s="87">
        <f>B242+1</f>
        <v>2</v>
      </c>
      <c r="C243" s="262">
        <v>45866</v>
      </c>
      <c r="D243" s="271">
        <v>71787</v>
      </c>
      <c r="E243" s="271" t="s">
        <v>1338</v>
      </c>
      <c r="F243" s="265">
        <v>28614</v>
      </c>
      <c r="G243" s="265">
        <f>39.7+1424.2+(474.48+162.31+289.19+9.1+8.29-78.88)+(F243*0.25)</f>
        <v>9481.89</v>
      </c>
      <c r="H243" s="265"/>
      <c r="I243" s="266">
        <f t="shared" ref="I243:I244" si="57">F243-G243-H243</f>
        <v>19132.11</v>
      </c>
      <c r="J243" s="267" t="s">
        <v>374</v>
      </c>
      <c r="K243" s="267">
        <v>1</v>
      </c>
      <c r="L243" s="267"/>
      <c r="M243" s="267">
        <v>1</v>
      </c>
      <c r="N243" s="267">
        <v>1</v>
      </c>
      <c r="O243" s="267">
        <v>1</v>
      </c>
      <c r="P243" s="314">
        <v>0</v>
      </c>
      <c r="Q243" s="267"/>
      <c r="R243" s="267"/>
      <c r="S243" s="269"/>
      <c r="T243" s="63"/>
      <c r="U243" s="94" t="s">
        <v>2852</v>
      </c>
      <c r="V243" s="90"/>
      <c r="W243" s="136"/>
      <c r="X243" s="137"/>
    </row>
    <row r="244" spans="1:24" s="260" customFormat="1">
      <c r="A244" s="261" t="s">
        <v>619</v>
      </c>
      <c r="B244" s="87">
        <f>B243+1</f>
        <v>3</v>
      </c>
      <c r="C244" s="262">
        <v>45873</v>
      </c>
      <c r="D244" s="271">
        <v>71967</v>
      </c>
      <c r="E244" s="264" t="s">
        <v>1256</v>
      </c>
      <c r="F244" s="265">
        <v>2681</v>
      </c>
      <c r="G244" s="265">
        <f>39.7+(189.05)+(15.38)+200</f>
        <v>444.13</v>
      </c>
      <c r="H244" s="265"/>
      <c r="I244" s="266">
        <f t="shared" si="57"/>
        <v>2236.87</v>
      </c>
      <c r="J244" s="267" t="s">
        <v>374</v>
      </c>
      <c r="K244" s="267">
        <v>1</v>
      </c>
      <c r="L244" s="267">
        <v>1</v>
      </c>
      <c r="M244" s="267">
        <v>1</v>
      </c>
      <c r="N244" s="267">
        <v>1</v>
      </c>
      <c r="O244" s="267">
        <v>1</v>
      </c>
      <c r="P244" s="314">
        <v>0</v>
      </c>
      <c r="Q244" s="267">
        <v>1</v>
      </c>
      <c r="R244" s="267">
        <v>1</v>
      </c>
      <c r="S244" s="269">
        <v>1</v>
      </c>
      <c r="T244" s="63"/>
      <c r="U244" s="10" t="s">
        <v>2851</v>
      </c>
      <c r="V244" s="90"/>
      <c r="W244" s="91"/>
      <c r="X244" s="92"/>
    </row>
    <row r="245" spans="1:24" s="260" customFormat="1">
      <c r="B245" s="11"/>
      <c r="C245" s="36"/>
      <c r="D245" s="10"/>
      <c r="E245" s="10"/>
      <c r="F245" s="98">
        <f>SUM(F242:F244)</f>
        <v>37509</v>
      </c>
      <c r="G245" s="98">
        <f t="shared" ref="G245:I245" si="58">SUM(G242:G244)</f>
        <v>11504.449999999999</v>
      </c>
      <c r="H245" s="98">
        <f t="shared" si="58"/>
        <v>0</v>
      </c>
      <c r="I245" s="98">
        <f t="shared" si="58"/>
        <v>26004.55</v>
      </c>
      <c r="J245" s="63"/>
      <c r="K245" s="21"/>
      <c r="L245" s="21"/>
      <c r="M245" s="21"/>
      <c r="N245" s="21"/>
      <c r="O245" s="21"/>
      <c r="P245" s="21"/>
      <c r="Q245" s="21"/>
      <c r="R245" s="21"/>
      <c r="S245" s="21"/>
      <c r="T245" s="63"/>
      <c r="U245" s="10"/>
      <c r="V245" s="90"/>
      <c r="W245" s="91"/>
      <c r="X245" s="92"/>
    </row>
    <row r="246" spans="1:24" s="260" customFormat="1">
      <c r="B246" s="11"/>
      <c r="C246" s="36"/>
      <c r="D246" s="10"/>
      <c r="E246" s="10"/>
      <c r="F246" s="88"/>
      <c r="G246" s="88"/>
      <c r="H246" s="88"/>
      <c r="I246" s="99"/>
      <c r="J246" s="63"/>
      <c r="K246" s="21"/>
      <c r="L246" s="21"/>
      <c r="M246" s="21"/>
      <c r="N246" s="21"/>
      <c r="O246" s="21"/>
      <c r="P246" s="21"/>
      <c r="Q246" s="21"/>
      <c r="R246" s="21"/>
      <c r="S246" s="21"/>
      <c r="T246" s="63"/>
      <c r="U246" s="10"/>
      <c r="V246" s="90"/>
      <c r="W246" s="91"/>
      <c r="X246" s="92"/>
    </row>
    <row r="247" spans="1:24">
      <c r="A247" s="2"/>
      <c r="B247" s="100" t="s">
        <v>72</v>
      </c>
      <c r="C247" s="36"/>
      <c r="D247" s="10"/>
      <c r="E247" s="10"/>
      <c r="F247" s="88"/>
      <c r="G247" s="88"/>
      <c r="H247" s="88"/>
      <c r="I247" s="99"/>
      <c r="J247" s="63"/>
      <c r="K247" s="63"/>
      <c r="L247" s="63"/>
      <c r="M247" s="63"/>
      <c r="N247" s="63"/>
      <c r="O247" s="63"/>
      <c r="P247" s="63"/>
      <c r="Q247" s="63"/>
      <c r="R247" s="63"/>
      <c r="S247" s="63"/>
      <c r="T247" s="63"/>
      <c r="U247" s="10"/>
      <c r="V247" s="90"/>
      <c r="W247" s="91"/>
      <c r="X247" s="92"/>
    </row>
    <row r="248" spans="1:24">
      <c r="A248" s="2"/>
      <c r="B248" s="87">
        <v>1</v>
      </c>
      <c r="C248" s="274">
        <v>45880</v>
      </c>
      <c r="D248" s="276">
        <v>72126</v>
      </c>
      <c r="E248" s="276" t="s">
        <v>1284</v>
      </c>
      <c r="F248" s="277">
        <v>9847</v>
      </c>
      <c r="G248" s="277">
        <f>39.7</f>
        <v>39.700000000000003</v>
      </c>
      <c r="H248" s="277"/>
      <c r="I248" s="278">
        <f t="shared" ref="I248:I262" si="59">F248-G248-H248</f>
        <v>9807.2999999999993</v>
      </c>
      <c r="J248" s="279" t="s">
        <v>205</v>
      </c>
      <c r="K248" s="279">
        <v>1</v>
      </c>
      <c r="L248" s="279"/>
      <c r="M248" s="279"/>
      <c r="N248" s="279">
        <v>1</v>
      </c>
      <c r="O248" s="279"/>
      <c r="P248" s="279"/>
      <c r="Q248" s="279">
        <v>1</v>
      </c>
      <c r="R248" s="279">
        <v>1</v>
      </c>
      <c r="S248" s="280"/>
      <c r="T248" s="63"/>
      <c r="U248" s="3"/>
      <c r="V248" s="90"/>
      <c r="W248" s="91"/>
      <c r="X248" s="92"/>
    </row>
    <row r="249" spans="1:24">
      <c r="A249" s="2"/>
      <c r="B249" s="87">
        <f t="shared" ref="B249:B262" si="60">B248+1</f>
        <v>2</v>
      </c>
      <c r="C249" s="295">
        <v>45880</v>
      </c>
      <c r="D249" s="10">
        <v>72211</v>
      </c>
      <c r="E249" s="10" t="s">
        <v>1283</v>
      </c>
      <c r="F249" s="62">
        <v>2861</v>
      </c>
      <c r="G249" s="62">
        <v>39.700000000000003</v>
      </c>
      <c r="H249" s="62"/>
      <c r="I249" s="89">
        <f t="shared" si="59"/>
        <v>2821.3</v>
      </c>
      <c r="J249" s="63" t="s">
        <v>205</v>
      </c>
      <c r="K249" s="63"/>
      <c r="L249" s="63"/>
      <c r="M249" s="63"/>
      <c r="N249" s="63">
        <v>1</v>
      </c>
      <c r="O249" s="63"/>
      <c r="P249" s="63"/>
      <c r="Q249" s="63">
        <v>1</v>
      </c>
      <c r="R249" s="63">
        <v>1</v>
      </c>
      <c r="S249" s="296"/>
      <c r="T249" s="63"/>
      <c r="U249" s="10"/>
      <c r="V249" s="90"/>
      <c r="W249" s="136"/>
      <c r="X249" s="137"/>
    </row>
    <row r="250" spans="1:24">
      <c r="A250" s="2"/>
      <c r="B250" s="87">
        <f t="shared" si="60"/>
        <v>3</v>
      </c>
      <c r="C250" s="295">
        <v>45880</v>
      </c>
      <c r="D250" s="10">
        <v>72229</v>
      </c>
      <c r="E250" s="10" t="s">
        <v>1445</v>
      </c>
      <c r="F250" s="62">
        <v>0</v>
      </c>
      <c r="G250" s="62">
        <v>0</v>
      </c>
      <c r="H250" s="62"/>
      <c r="I250" s="89">
        <f t="shared" si="59"/>
        <v>0</v>
      </c>
      <c r="J250" s="63" t="s">
        <v>205</v>
      </c>
      <c r="K250" s="63">
        <v>1</v>
      </c>
      <c r="L250" s="63"/>
      <c r="M250" s="63"/>
      <c r="N250" s="63"/>
      <c r="O250" s="63"/>
      <c r="P250" s="63"/>
      <c r="Q250" s="63"/>
      <c r="R250" s="63"/>
      <c r="S250" s="296"/>
      <c r="T250" s="21">
        <v>1</v>
      </c>
      <c r="U250" s="10"/>
      <c r="V250" s="90"/>
      <c r="W250" s="136"/>
      <c r="X250" s="137"/>
    </row>
    <row r="251" spans="1:24">
      <c r="A251" s="2"/>
      <c r="B251" s="87">
        <f t="shared" si="60"/>
        <v>4</v>
      </c>
      <c r="C251" s="274">
        <v>45881</v>
      </c>
      <c r="D251" s="276">
        <v>71885</v>
      </c>
      <c r="E251" s="276" t="s">
        <v>1447</v>
      </c>
      <c r="F251" s="277">
        <v>1138</v>
      </c>
      <c r="G251" s="277">
        <f>39.7</f>
        <v>39.700000000000003</v>
      </c>
      <c r="H251" s="277"/>
      <c r="I251" s="278">
        <f t="shared" si="59"/>
        <v>1098.3</v>
      </c>
      <c r="J251" s="279" t="s">
        <v>205</v>
      </c>
      <c r="K251" s="279">
        <v>1</v>
      </c>
      <c r="L251" s="279"/>
      <c r="M251" s="279"/>
      <c r="N251" s="279">
        <v>1</v>
      </c>
      <c r="O251" s="279"/>
      <c r="P251" s="279"/>
      <c r="Q251" s="279"/>
      <c r="R251" s="279"/>
      <c r="S251" s="280"/>
      <c r="T251" s="63"/>
      <c r="U251" s="10" t="s">
        <v>2874</v>
      </c>
      <c r="V251" s="90"/>
      <c r="W251" s="136"/>
      <c r="X251" s="137"/>
    </row>
    <row r="252" spans="1:24">
      <c r="A252" s="2"/>
      <c r="B252" s="87">
        <f t="shared" si="60"/>
        <v>5</v>
      </c>
      <c r="C252" s="295">
        <v>45881</v>
      </c>
      <c r="D252" s="10" t="s">
        <v>2875</v>
      </c>
      <c r="E252" s="10" t="s">
        <v>673</v>
      </c>
      <c r="F252" s="62">
        <v>6157</v>
      </c>
      <c r="G252" s="62">
        <v>39.700000000000003</v>
      </c>
      <c r="H252" s="62"/>
      <c r="I252" s="89">
        <f t="shared" si="59"/>
        <v>6117.3</v>
      </c>
      <c r="J252" s="63" t="s">
        <v>205</v>
      </c>
      <c r="K252" s="63">
        <v>1</v>
      </c>
      <c r="L252" s="63"/>
      <c r="M252" s="63"/>
      <c r="N252" s="63">
        <v>1</v>
      </c>
      <c r="O252" s="63"/>
      <c r="P252" s="63"/>
      <c r="Q252" s="63">
        <v>1</v>
      </c>
      <c r="R252" s="63">
        <v>1</v>
      </c>
      <c r="S252" s="296"/>
      <c r="T252" s="63"/>
      <c r="U252" s="10"/>
      <c r="V252" s="90"/>
      <c r="W252" s="136"/>
      <c r="X252" s="137"/>
    </row>
    <row r="253" spans="1:24">
      <c r="A253" s="2"/>
      <c r="B253" s="87">
        <f t="shared" si="60"/>
        <v>6</v>
      </c>
      <c r="C253" s="295">
        <v>45881</v>
      </c>
      <c r="D253" s="10" t="s">
        <v>2876</v>
      </c>
      <c r="E253" s="10" t="s">
        <v>673</v>
      </c>
      <c r="F253" s="62">
        <v>481</v>
      </c>
      <c r="G253" s="62">
        <v>39.700000000000003</v>
      </c>
      <c r="H253" s="62"/>
      <c r="I253" s="89">
        <f t="shared" si="59"/>
        <v>441.3</v>
      </c>
      <c r="J253" s="63" t="s">
        <v>205</v>
      </c>
      <c r="K253" s="63">
        <v>1</v>
      </c>
      <c r="L253" s="63"/>
      <c r="M253" s="63"/>
      <c r="N253" s="63">
        <v>1</v>
      </c>
      <c r="O253" s="63"/>
      <c r="P253" s="63"/>
      <c r="Q253" s="63">
        <v>1</v>
      </c>
      <c r="R253" s="63">
        <v>1</v>
      </c>
      <c r="S253" s="296"/>
      <c r="T253" s="63"/>
      <c r="U253" s="10"/>
      <c r="V253" s="90"/>
      <c r="W253" s="136"/>
      <c r="X253" s="137"/>
    </row>
    <row r="254" spans="1:24">
      <c r="A254" s="2"/>
      <c r="B254" s="87">
        <f t="shared" si="60"/>
        <v>7</v>
      </c>
      <c r="C254" s="295">
        <v>45881</v>
      </c>
      <c r="D254" s="10">
        <v>72269</v>
      </c>
      <c r="E254" s="101" t="s">
        <v>1034</v>
      </c>
      <c r="F254" s="62">
        <v>2861</v>
      </c>
      <c r="G254" s="62">
        <v>39.700000000000003</v>
      </c>
      <c r="H254" s="62"/>
      <c r="I254" s="89">
        <f t="shared" si="59"/>
        <v>2821.3</v>
      </c>
      <c r="J254" s="63" t="s">
        <v>205</v>
      </c>
      <c r="K254" s="63">
        <v>1</v>
      </c>
      <c r="L254" s="63"/>
      <c r="M254" s="63"/>
      <c r="N254" s="63">
        <v>1</v>
      </c>
      <c r="O254" s="63"/>
      <c r="P254" s="63"/>
      <c r="Q254" s="63"/>
      <c r="R254" s="63"/>
      <c r="S254" s="296"/>
      <c r="T254" s="63"/>
      <c r="U254" s="10"/>
      <c r="V254" s="90"/>
      <c r="W254" s="136"/>
      <c r="X254" s="137"/>
    </row>
    <row r="255" spans="1:24">
      <c r="A255" s="2"/>
      <c r="B255" s="87">
        <f t="shared" si="60"/>
        <v>8</v>
      </c>
      <c r="C255" s="274">
        <v>45882</v>
      </c>
      <c r="D255" s="276">
        <v>72308</v>
      </c>
      <c r="E255" s="281" t="s">
        <v>1072</v>
      </c>
      <c r="F255" s="277">
        <v>1861</v>
      </c>
      <c r="G255" s="277">
        <f>39.7</f>
        <v>39.700000000000003</v>
      </c>
      <c r="H255" s="277"/>
      <c r="I255" s="278">
        <f t="shared" si="59"/>
        <v>1821.3</v>
      </c>
      <c r="J255" s="279" t="s">
        <v>205</v>
      </c>
      <c r="K255" s="279">
        <v>1</v>
      </c>
      <c r="L255" s="279"/>
      <c r="M255" s="279"/>
      <c r="N255" s="279">
        <v>1</v>
      </c>
      <c r="O255" s="279"/>
      <c r="P255" s="279"/>
      <c r="Q255" s="279">
        <v>1</v>
      </c>
      <c r="R255" s="279">
        <v>1</v>
      </c>
      <c r="S255" s="280"/>
      <c r="T255" s="63"/>
      <c r="U255" s="10"/>
      <c r="V255" s="90"/>
      <c r="W255" s="136"/>
      <c r="X255" s="137"/>
    </row>
    <row r="256" spans="1:24">
      <c r="A256" s="2"/>
      <c r="B256" s="87">
        <f t="shared" si="60"/>
        <v>9</v>
      </c>
      <c r="C256" s="274">
        <v>45883</v>
      </c>
      <c r="D256" s="276" t="s">
        <v>2877</v>
      </c>
      <c r="E256" s="281" t="s">
        <v>149</v>
      </c>
      <c r="F256" s="277">
        <v>3110.3</v>
      </c>
      <c r="G256" s="277">
        <v>39.700000000000003</v>
      </c>
      <c r="H256" s="277"/>
      <c r="I256" s="278">
        <f t="shared" si="59"/>
        <v>3070.6000000000004</v>
      </c>
      <c r="J256" s="279" t="s">
        <v>205</v>
      </c>
      <c r="K256" s="279">
        <v>1</v>
      </c>
      <c r="L256" s="279"/>
      <c r="M256" s="279"/>
      <c r="N256" s="279">
        <v>1</v>
      </c>
      <c r="O256" s="279"/>
      <c r="P256" s="279"/>
      <c r="Q256" s="279"/>
      <c r="R256" s="279"/>
      <c r="S256" s="280"/>
      <c r="T256" s="63"/>
      <c r="U256" s="10"/>
      <c r="V256" s="90"/>
      <c r="W256" s="136"/>
      <c r="X256" s="137"/>
    </row>
    <row r="257" spans="1:24">
      <c r="A257" s="2"/>
      <c r="B257" s="87">
        <f t="shared" si="60"/>
        <v>10</v>
      </c>
      <c r="C257" s="295">
        <v>45883</v>
      </c>
      <c r="D257" s="10">
        <v>72238</v>
      </c>
      <c r="E257" s="101" t="s">
        <v>1136</v>
      </c>
      <c r="F257" s="62">
        <v>2814</v>
      </c>
      <c r="G257" s="62">
        <v>39.700000000000003</v>
      </c>
      <c r="H257" s="62"/>
      <c r="I257" s="89">
        <f t="shared" si="59"/>
        <v>2774.3</v>
      </c>
      <c r="J257" s="63" t="s">
        <v>205</v>
      </c>
      <c r="K257" s="63">
        <v>1</v>
      </c>
      <c r="L257" s="63"/>
      <c r="M257" s="63"/>
      <c r="N257" s="63">
        <v>1</v>
      </c>
      <c r="O257" s="63"/>
      <c r="P257" s="63"/>
      <c r="Q257" s="63"/>
      <c r="R257" s="63"/>
      <c r="S257" s="296"/>
      <c r="T257" s="63"/>
      <c r="U257" s="10"/>
      <c r="V257" s="90"/>
      <c r="W257" s="136"/>
      <c r="X257" s="137"/>
    </row>
    <row r="258" spans="1:24">
      <c r="A258" s="2"/>
      <c r="B258" s="87">
        <f t="shared" si="60"/>
        <v>11</v>
      </c>
      <c r="C258" s="295">
        <v>45883</v>
      </c>
      <c r="D258" s="10">
        <v>72276</v>
      </c>
      <c r="E258" s="101" t="s">
        <v>2829</v>
      </c>
      <c r="F258" s="62">
        <v>8641</v>
      </c>
      <c r="G258" s="62">
        <v>39.700000000000003</v>
      </c>
      <c r="H258" s="62"/>
      <c r="I258" s="89">
        <f t="shared" si="59"/>
        <v>8601.2999999999993</v>
      </c>
      <c r="J258" s="63" t="s">
        <v>205</v>
      </c>
      <c r="K258" s="63">
        <v>1</v>
      </c>
      <c r="L258" s="63"/>
      <c r="M258" s="63"/>
      <c r="N258" s="63">
        <v>1</v>
      </c>
      <c r="O258" s="63"/>
      <c r="P258" s="63"/>
      <c r="Q258" s="63"/>
      <c r="R258" s="63"/>
      <c r="S258" s="296"/>
      <c r="T258" s="63"/>
      <c r="U258" s="10"/>
      <c r="V258" s="90"/>
      <c r="W258" s="136"/>
      <c r="X258" s="137"/>
    </row>
    <row r="259" spans="1:24">
      <c r="A259" s="2"/>
      <c r="B259" s="87">
        <f t="shared" si="60"/>
        <v>12</v>
      </c>
      <c r="C259" s="295">
        <v>45883</v>
      </c>
      <c r="D259" s="10">
        <v>72324</v>
      </c>
      <c r="E259" s="101" t="s">
        <v>1169</v>
      </c>
      <c r="F259" s="62">
        <v>0</v>
      </c>
      <c r="G259" s="62"/>
      <c r="H259" s="62"/>
      <c r="I259" s="89">
        <f t="shared" si="59"/>
        <v>0</v>
      </c>
      <c r="J259" s="63" t="s">
        <v>219</v>
      </c>
      <c r="K259" s="63"/>
      <c r="L259" s="63"/>
      <c r="M259" s="63"/>
      <c r="N259" s="63"/>
      <c r="O259" s="63"/>
      <c r="P259" s="63"/>
      <c r="Q259" s="63"/>
      <c r="R259" s="63"/>
      <c r="S259" s="296"/>
      <c r="T259" s="94" t="s">
        <v>2878</v>
      </c>
      <c r="U259" s="10" t="s">
        <v>2879</v>
      </c>
      <c r="V259" s="90"/>
      <c r="W259" s="136"/>
      <c r="X259" s="137"/>
    </row>
    <row r="260" spans="1:24">
      <c r="A260" s="2"/>
      <c r="B260" s="87">
        <f t="shared" si="60"/>
        <v>13</v>
      </c>
      <c r="C260" s="274">
        <v>45884</v>
      </c>
      <c r="D260" s="276" t="s">
        <v>2880</v>
      </c>
      <c r="E260" s="281" t="s">
        <v>1256</v>
      </c>
      <c r="F260" s="277">
        <v>26214</v>
      </c>
      <c r="G260" s="277">
        <f>39.7</f>
        <v>39.700000000000003</v>
      </c>
      <c r="H260" s="277"/>
      <c r="I260" s="278">
        <f t="shared" si="59"/>
        <v>26174.3</v>
      </c>
      <c r="J260" s="279" t="s">
        <v>205</v>
      </c>
      <c r="K260" s="279">
        <v>1</v>
      </c>
      <c r="L260" s="279"/>
      <c r="M260" s="279"/>
      <c r="N260" s="279">
        <v>1</v>
      </c>
      <c r="O260" s="279"/>
      <c r="P260" s="279"/>
      <c r="Q260" s="279"/>
      <c r="R260" s="279"/>
      <c r="S260" s="280"/>
      <c r="T260" s="63"/>
      <c r="U260" s="10"/>
      <c r="V260" s="90"/>
      <c r="W260" s="136"/>
      <c r="X260" s="137"/>
    </row>
    <row r="261" spans="1:24">
      <c r="A261" s="2"/>
      <c r="B261" s="87">
        <f t="shared" si="60"/>
        <v>14</v>
      </c>
      <c r="C261" s="295">
        <v>45884</v>
      </c>
      <c r="D261" s="10" t="s">
        <v>2881</v>
      </c>
      <c r="E261" s="10" t="s">
        <v>1256</v>
      </c>
      <c r="F261" s="62">
        <v>8214</v>
      </c>
      <c r="G261" s="62">
        <v>39.700000000000003</v>
      </c>
      <c r="H261" s="62"/>
      <c r="I261" s="89">
        <f t="shared" si="59"/>
        <v>8174.3</v>
      </c>
      <c r="J261" s="63" t="s">
        <v>205</v>
      </c>
      <c r="K261" s="63">
        <v>1</v>
      </c>
      <c r="L261" s="63"/>
      <c r="M261" s="63"/>
      <c r="N261" s="63">
        <v>1</v>
      </c>
      <c r="O261" s="63"/>
      <c r="P261" s="63"/>
      <c r="Q261" s="63"/>
      <c r="R261" s="63"/>
      <c r="S261" s="296"/>
      <c r="T261" s="63"/>
      <c r="U261" s="10"/>
      <c r="V261" s="90"/>
      <c r="W261" s="136"/>
      <c r="X261" s="137"/>
    </row>
    <row r="262" spans="1:24">
      <c r="A262" s="2"/>
      <c r="B262" s="87">
        <f t="shared" si="60"/>
        <v>15</v>
      </c>
      <c r="C262" s="282">
        <v>45884</v>
      </c>
      <c r="D262" s="283">
        <v>72338</v>
      </c>
      <c r="E262" s="283" t="s">
        <v>1115</v>
      </c>
      <c r="F262" s="284">
        <v>730</v>
      </c>
      <c r="G262" s="284"/>
      <c r="H262" s="284"/>
      <c r="I262" s="285">
        <f t="shared" si="59"/>
        <v>730</v>
      </c>
      <c r="J262" s="286" t="s">
        <v>205</v>
      </c>
      <c r="K262" s="286">
        <v>1</v>
      </c>
      <c r="L262" s="286"/>
      <c r="M262" s="286"/>
      <c r="N262" s="286">
        <v>1</v>
      </c>
      <c r="O262" s="286">
        <v>1</v>
      </c>
      <c r="P262" s="286"/>
      <c r="Q262" s="286"/>
      <c r="R262" s="286"/>
      <c r="S262" s="287"/>
      <c r="T262" s="63"/>
      <c r="U262" s="10"/>
      <c r="V262" s="90"/>
      <c r="W262" s="136"/>
      <c r="X262" s="137"/>
    </row>
    <row r="263" spans="1:24">
      <c r="A263" s="2"/>
      <c r="B263" s="11"/>
      <c r="C263" s="36"/>
      <c r="D263" s="10"/>
      <c r="E263" s="10"/>
      <c r="F263" s="97">
        <f>SUM(F248:F262)</f>
        <v>74929.3</v>
      </c>
      <c r="G263" s="97">
        <f>SUM(G248:G262)</f>
        <v>476.39999999999992</v>
      </c>
      <c r="H263" s="97">
        <f>SUM(H248:H262)</f>
        <v>0</v>
      </c>
      <c r="I263" s="98">
        <f>SUM(I248:I262)</f>
        <v>74452.899999999994</v>
      </c>
      <c r="J263" s="10"/>
      <c r="K263" s="10"/>
      <c r="L263" s="10"/>
      <c r="M263" s="10"/>
      <c r="N263" s="10"/>
      <c r="O263" s="10"/>
      <c r="P263" s="10"/>
      <c r="Q263" s="10"/>
      <c r="R263" s="10"/>
      <c r="S263" s="10"/>
      <c r="T263" s="63"/>
      <c r="U263" s="10"/>
      <c r="V263" s="138"/>
      <c r="W263" s="136"/>
      <c r="X263" s="137"/>
    </row>
    <row r="264" spans="1:24">
      <c r="A264" s="2"/>
      <c r="B264" s="26"/>
      <c r="C264" s="140"/>
      <c r="D264" s="141"/>
      <c r="E264" s="141"/>
      <c r="F264" s="141"/>
      <c r="G264" s="141"/>
      <c r="H264" s="141"/>
      <c r="I264" s="141"/>
      <c r="J264" s="141"/>
      <c r="K264" s="142"/>
      <c r="L264" s="142"/>
      <c r="M264" s="142"/>
      <c r="N264" s="142"/>
      <c r="O264" s="142"/>
      <c r="P264" s="142"/>
      <c r="Q264" s="142"/>
      <c r="R264" s="142"/>
      <c r="S264" s="142"/>
      <c r="T264" s="143">
        <f>SUM(T213:T263)</f>
        <v>5</v>
      </c>
      <c r="U264" s="141"/>
      <c r="V264" s="144">
        <f>SUM(V213:V263)</f>
        <v>34215.589999999997</v>
      </c>
      <c r="W264" s="145">
        <f>SUM(W213:W263)</f>
        <v>1200</v>
      </c>
      <c r="X264" s="146">
        <f>SUM(X213:X263)</f>
        <v>0</v>
      </c>
    </row>
    <row r="267" spans="1:24">
      <c r="A267" s="3"/>
      <c r="B267" s="4" t="s">
        <v>1</v>
      </c>
      <c r="C267" s="5"/>
      <c r="D267" s="6"/>
      <c r="E267" s="6"/>
      <c r="F267" s="7" t="s">
        <v>2</v>
      </c>
      <c r="G267" s="8">
        <v>45893</v>
      </c>
      <c r="H267" s="7"/>
      <c r="I267" s="6"/>
      <c r="J267" s="6"/>
      <c r="K267" s="6"/>
      <c r="L267" s="6"/>
      <c r="M267" s="6"/>
      <c r="N267" s="6"/>
      <c r="O267" s="6"/>
      <c r="P267" s="6"/>
      <c r="Q267" s="6"/>
      <c r="R267" s="6"/>
      <c r="S267" s="6"/>
      <c r="T267" s="6"/>
      <c r="U267" s="9"/>
      <c r="V267" s="10"/>
      <c r="W267" s="10"/>
      <c r="X267" s="10"/>
    </row>
    <row r="268" spans="1:24">
      <c r="A268" s="2"/>
      <c r="B268" s="11"/>
      <c r="C268" s="10"/>
      <c r="D268" s="10"/>
      <c r="E268" s="10"/>
      <c r="F268" s="10"/>
      <c r="G268" s="7"/>
      <c r="H268" s="12"/>
      <c r="I268" s="10"/>
      <c r="J268" s="10"/>
      <c r="K268" s="13" t="s">
        <v>3</v>
      </c>
      <c r="L268" s="14"/>
      <c r="M268" s="15"/>
      <c r="N268" s="13" t="s">
        <v>4</v>
      </c>
      <c r="O268" s="14"/>
      <c r="P268" s="15"/>
      <c r="Q268" s="13" t="s">
        <v>5</v>
      </c>
      <c r="R268" s="14"/>
      <c r="S268" s="15"/>
      <c r="T268" s="16"/>
      <c r="U268" s="17"/>
      <c r="V268" s="10"/>
      <c r="W268" s="10"/>
      <c r="X268" s="10"/>
    </row>
    <row r="269" spans="1:24">
      <c r="A269" s="2"/>
      <c r="B269" s="18" t="s">
        <v>6</v>
      </c>
      <c r="C269" s="19">
        <f>C270+C271</f>
        <v>30</v>
      </c>
      <c r="D269" s="10"/>
      <c r="E269" s="18" t="s">
        <v>7</v>
      </c>
      <c r="F269" s="6"/>
      <c r="G269" s="9"/>
      <c r="H269" s="10"/>
      <c r="I269" s="10"/>
      <c r="J269" s="10"/>
      <c r="K269" s="20" t="s">
        <v>8</v>
      </c>
      <c r="L269" s="21" t="s">
        <v>9</v>
      </c>
      <c r="M269" s="21" t="s">
        <v>10</v>
      </c>
      <c r="N269" s="20" t="s">
        <v>11</v>
      </c>
      <c r="O269" s="21" t="s">
        <v>12</v>
      </c>
      <c r="P269" s="22" t="s">
        <v>13</v>
      </c>
      <c r="Q269" s="21" t="s">
        <v>11</v>
      </c>
      <c r="R269" s="21" t="s">
        <v>12</v>
      </c>
      <c r="S269" s="22" t="s">
        <v>13</v>
      </c>
      <c r="T269" s="23" t="s">
        <v>14</v>
      </c>
      <c r="U269" s="17"/>
      <c r="V269" s="10"/>
      <c r="W269" s="10"/>
      <c r="X269" s="10"/>
    </row>
    <row r="270" spans="1:24">
      <c r="A270" s="2"/>
      <c r="B270" s="24" t="s">
        <v>15</v>
      </c>
      <c r="C270" s="25">
        <f>P277</f>
        <v>11</v>
      </c>
      <c r="D270" s="10"/>
      <c r="E270" s="26" t="s">
        <v>16</v>
      </c>
      <c r="F270" s="27">
        <v>0.05</v>
      </c>
      <c r="G270" s="28"/>
      <c r="H270" s="10"/>
      <c r="I270" s="10"/>
      <c r="J270" s="18" t="s">
        <v>17</v>
      </c>
      <c r="K270" s="29">
        <f>K301</f>
        <v>6</v>
      </c>
      <c r="L270" s="29">
        <f t="shared" ref="L270:S270" si="61">L301</f>
        <v>6</v>
      </c>
      <c r="M270" s="29">
        <f t="shared" si="61"/>
        <v>6</v>
      </c>
      <c r="N270" s="29">
        <f t="shared" si="61"/>
        <v>6</v>
      </c>
      <c r="O270" s="29">
        <f t="shared" si="61"/>
        <v>6</v>
      </c>
      <c r="P270" s="29">
        <f t="shared" si="61"/>
        <v>4</v>
      </c>
      <c r="Q270" s="29">
        <f t="shared" si="61"/>
        <v>5</v>
      </c>
      <c r="R270" s="29">
        <f t="shared" si="61"/>
        <v>4</v>
      </c>
      <c r="S270" s="29">
        <f t="shared" si="61"/>
        <v>2</v>
      </c>
      <c r="T270" s="30">
        <f>T347</f>
        <v>0</v>
      </c>
      <c r="U270" s="17"/>
      <c r="V270" s="10"/>
      <c r="W270" s="10"/>
      <c r="X270" s="10"/>
    </row>
    <row r="271" spans="1:24">
      <c r="A271" s="2"/>
      <c r="B271" s="24" t="s">
        <v>18</v>
      </c>
      <c r="C271" s="25">
        <f>P278</f>
        <v>19</v>
      </c>
      <c r="D271" s="10"/>
      <c r="E271" s="10"/>
      <c r="F271" s="10"/>
      <c r="G271" s="31"/>
      <c r="H271" s="10"/>
      <c r="I271" s="10"/>
      <c r="J271" s="32" t="s">
        <v>19</v>
      </c>
      <c r="K271" s="33">
        <f>K301/K300</f>
        <v>1</v>
      </c>
      <c r="L271" s="33">
        <f t="shared" ref="L271:S271" si="62">L301/L300</f>
        <v>1</v>
      </c>
      <c r="M271" s="33">
        <f t="shared" si="62"/>
        <v>1</v>
      </c>
      <c r="N271" s="33">
        <f t="shared" si="62"/>
        <v>1</v>
      </c>
      <c r="O271" s="33">
        <f t="shared" si="62"/>
        <v>1</v>
      </c>
      <c r="P271" s="33">
        <f t="shared" si="62"/>
        <v>0.66666666666666663</v>
      </c>
      <c r="Q271" s="33">
        <f t="shared" si="62"/>
        <v>0.83333333333333337</v>
      </c>
      <c r="R271" s="33">
        <f t="shared" si="62"/>
        <v>0.66666666666666663</v>
      </c>
      <c r="S271" s="33">
        <f t="shared" si="62"/>
        <v>0.33333333333333331</v>
      </c>
      <c r="T271" s="23"/>
      <c r="U271" s="17" t="s">
        <v>20</v>
      </c>
      <c r="V271" s="10"/>
      <c r="W271" s="10"/>
      <c r="X271" s="10"/>
    </row>
    <row r="272" spans="1:24">
      <c r="A272" s="2"/>
      <c r="B272" s="24" t="s">
        <v>21</v>
      </c>
      <c r="C272" s="34">
        <f>P279</f>
        <v>0.36666666666666664</v>
      </c>
      <c r="D272" s="10"/>
      <c r="E272" s="10"/>
      <c r="F272" s="10"/>
      <c r="G272" s="10"/>
      <c r="H272" s="10"/>
      <c r="I272" s="10"/>
      <c r="J272" s="10"/>
      <c r="K272" s="10"/>
      <c r="L272" s="10"/>
      <c r="M272" s="10"/>
      <c r="N272" s="10"/>
      <c r="O272" s="10"/>
      <c r="P272" s="10"/>
      <c r="Q272" s="10"/>
      <c r="R272" s="10"/>
      <c r="S272" s="10"/>
      <c r="T272" s="10"/>
      <c r="U272" s="17"/>
      <c r="V272" s="10"/>
      <c r="W272" s="10"/>
      <c r="X272" s="10"/>
    </row>
    <row r="273" spans="1:24">
      <c r="A273" s="2"/>
      <c r="B273" s="24"/>
      <c r="C273" s="25"/>
      <c r="D273" s="10"/>
      <c r="E273" s="10"/>
      <c r="F273" s="18" t="s">
        <v>22</v>
      </c>
      <c r="G273" s="19" t="s">
        <v>23</v>
      </c>
      <c r="H273" s="35" t="s">
        <v>24</v>
      </c>
      <c r="I273" s="10"/>
      <c r="J273" s="10"/>
      <c r="K273" s="36"/>
      <c r="L273" s="36"/>
      <c r="M273" s="36"/>
      <c r="N273" s="36"/>
      <c r="O273" s="36"/>
      <c r="P273" s="36"/>
      <c r="Q273" s="36"/>
      <c r="R273" s="10"/>
      <c r="S273" s="10"/>
      <c r="T273" s="10"/>
      <c r="U273" s="17"/>
      <c r="V273" s="10"/>
      <c r="W273" s="10"/>
      <c r="X273" s="10"/>
    </row>
    <row r="274" spans="1:24" ht="16.5" customHeight="1">
      <c r="A274" s="2"/>
      <c r="B274" s="32" t="s">
        <v>25</v>
      </c>
      <c r="C274" s="37">
        <f>P280</f>
        <v>6122.2372727272732</v>
      </c>
      <c r="D274" s="10"/>
      <c r="E274" s="18" t="s">
        <v>26</v>
      </c>
      <c r="F274" s="38">
        <f>P276</f>
        <v>67344.61</v>
      </c>
      <c r="G274" s="39">
        <f>I300+I306+I312</f>
        <v>67344.61</v>
      </c>
      <c r="H274" s="767" t="s">
        <v>467</v>
      </c>
      <c r="I274" s="767"/>
      <c r="J274" s="767"/>
      <c r="K274" s="43" t="s">
        <v>27</v>
      </c>
      <c r="L274" s="44"/>
      <c r="M274" s="44"/>
      <c r="N274" s="44"/>
      <c r="O274" s="44"/>
      <c r="P274" s="44"/>
      <c r="Q274" s="45"/>
      <c r="R274" s="46" t="s">
        <v>28</v>
      </c>
      <c r="S274" s="47" t="s">
        <v>29</v>
      </c>
      <c r="T274" s="10"/>
      <c r="U274" s="17"/>
      <c r="V274" s="10"/>
      <c r="W274" s="10"/>
      <c r="X274" s="10"/>
    </row>
    <row r="275" spans="1:24">
      <c r="A275" s="2"/>
      <c r="B275" s="11"/>
      <c r="C275" s="10"/>
      <c r="D275" s="10"/>
      <c r="E275" s="24" t="s">
        <v>30</v>
      </c>
      <c r="F275" s="48">
        <f>F270</f>
        <v>0.05</v>
      </c>
      <c r="G275" s="17"/>
      <c r="H275" s="767"/>
      <c r="I275" s="767"/>
      <c r="J275" s="767"/>
      <c r="K275" s="20" t="s">
        <v>31</v>
      </c>
      <c r="L275" s="21" t="s">
        <v>32</v>
      </c>
      <c r="M275" s="21" t="s">
        <v>33</v>
      </c>
      <c r="N275" s="21" t="s">
        <v>34</v>
      </c>
      <c r="O275" s="21" t="s">
        <v>35</v>
      </c>
      <c r="P275" s="21" t="s">
        <v>36</v>
      </c>
      <c r="Q275" s="49" t="s">
        <v>37</v>
      </c>
      <c r="R275" s="50" t="s">
        <v>38</v>
      </c>
      <c r="S275" s="50" t="s">
        <v>38</v>
      </c>
      <c r="T275" s="10"/>
      <c r="U275" s="17"/>
      <c r="V275" s="10"/>
      <c r="W275" s="10"/>
      <c r="X275" s="10"/>
    </row>
    <row r="276" spans="1:24">
      <c r="A276" s="2"/>
      <c r="B276" s="11"/>
      <c r="C276" s="10"/>
      <c r="D276" s="10"/>
      <c r="E276" s="51" t="s">
        <v>39</v>
      </c>
      <c r="F276" s="52">
        <f>(F274+F284+F285+F286+F287-I297-I299-I304-I305-I309-I310-I311)*F275</f>
        <v>173.39649999999929</v>
      </c>
      <c r="G276" s="53" t="s">
        <v>40</v>
      </c>
      <c r="H276" s="54">
        <f>F276/1.12</f>
        <v>154.81830357142792</v>
      </c>
      <c r="I276" s="570" t="s">
        <v>1531</v>
      </c>
      <c r="J276" s="42"/>
      <c r="K276" s="56">
        <v>0</v>
      </c>
      <c r="L276" s="57">
        <f>I294+I295+I309</f>
        <v>7262.46</v>
      </c>
      <c r="M276" s="57">
        <f>I296+I297+I298</f>
        <v>8998.7099999999991</v>
      </c>
      <c r="N276" s="57">
        <f>I299+I305+I310+I304+I311</f>
        <v>51083.44</v>
      </c>
      <c r="O276" s="57"/>
      <c r="P276" s="57">
        <f>SUM(K276:O276)</f>
        <v>67344.61</v>
      </c>
      <c r="Q276" s="58">
        <v>0</v>
      </c>
      <c r="R276" s="59">
        <f>I306+I312</f>
        <v>55755.73</v>
      </c>
      <c r="S276" s="59">
        <v>0</v>
      </c>
      <c r="T276" s="10"/>
      <c r="U276" s="17"/>
      <c r="V276" s="10"/>
      <c r="W276" s="10"/>
      <c r="X276" s="10"/>
    </row>
    <row r="277" spans="1:24">
      <c r="A277" s="2"/>
      <c r="B277" s="11"/>
      <c r="C277" s="10"/>
      <c r="D277" s="10"/>
      <c r="E277" s="24" t="s">
        <v>41</v>
      </c>
      <c r="F277" s="60">
        <f>Q276</f>
        <v>0</v>
      </c>
      <c r="G277" s="61" t="s">
        <v>40</v>
      </c>
      <c r="H277" s="62"/>
      <c r="I277" s="62"/>
      <c r="J277" s="10" t="s">
        <v>42</v>
      </c>
      <c r="K277" s="63">
        <v>0</v>
      </c>
      <c r="L277" s="63">
        <v>3</v>
      </c>
      <c r="M277" s="63">
        <v>3</v>
      </c>
      <c r="N277" s="63">
        <v>5</v>
      </c>
      <c r="O277" s="63">
        <v>0</v>
      </c>
      <c r="P277" s="21">
        <f>SUM(K277:O277)</f>
        <v>11</v>
      </c>
      <c r="Q277" s="64"/>
      <c r="R277" s="63"/>
      <c r="S277" s="10"/>
      <c r="T277" s="10"/>
      <c r="U277" s="17"/>
      <c r="V277" s="10"/>
      <c r="W277" s="10"/>
      <c r="X277" s="10"/>
    </row>
    <row r="278" spans="1:24">
      <c r="A278" s="2"/>
      <c r="B278" s="11"/>
      <c r="C278" s="10"/>
      <c r="D278" s="10"/>
      <c r="E278" s="51" t="s">
        <v>43</v>
      </c>
      <c r="F278" s="52">
        <f>F277*0.25</f>
        <v>0</v>
      </c>
      <c r="G278" s="53" t="s">
        <v>40</v>
      </c>
      <c r="H278" s="54">
        <f>F278/1.12</f>
        <v>0</v>
      </c>
      <c r="I278" s="10"/>
      <c r="J278" s="10" t="s">
        <v>44</v>
      </c>
      <c r="K278" s="63">
        <v>7</v>
      </c>
      <c r="L278" s="63">
        <v>2</v>
      </c>
      <c r="M278" s="63">
        <v>4</v>
      </c>
      <c r="N278" s="63">
        <v>2</v>
      </c>
      <c r="O278" s="63">
        <v>4</v>
      </c>
      <c r="P278" s="21">
        <f>SUM(K278:O278)</f>
        <v>19</v>
      </c>
      <c r="Q278" s="64"/>
      <c r="R278" s="63"/>
      <c r="S278" s="10"/>
      <c r="T278" s="10"/>
      <c r="U278" s="17"/>
      <c r="V278" s="10"/>
      <c r="W278" s="10"/>
      <c r="X278" s="10"/>
    </row>
    <row r="279" spans="1:24">
      <c r="A279" s="2"/>
      <c r="B279" s="11"/>
      <c r="C279" s="10"/>
      <c r="D279" s="10"/>
      <c r="E279" s="24" t="s">
        <v>45</v>
      </c>
      <c r="F279" s="60"/>
      <c r="G279" s="61" t="s">
        <v>40</v>
      </c>
      <c r="H279" s="62"/>
      <c r="I279" s="10"/>
      <c r="J279" s="10" t="s">
        <v>46</v>
      </c>
      <c r="K279" s="31">
        <f t="shared" ref="K279:Q279" si="63">K277/(K277+K278)</f>
        <v>0</v>
      </c>
      <c r="L279" s="31">
        <f t="shared" si="63"/>
        <v>0.6</v>
      </c>
      <c r="M279" s="31">
        <f t="shared" si="63"/>
        <v>0.42857142857142855</v>
      </c>
      <c r="N279" s="31">
        <f t="shared" si="63"/>
        <v>0.7142857142857143</v>
      </c>
      <c r="O279" s="31">
        <f t="shared" si="63"/>
        <v>0</v>
      </c>
      <c r="P279" s="31">
        <f t="shared" si="63"/>
        <v>0.36666666666666664</v>
      </c>
      <c r="Q279" s="31" t="e">
        <f t="shared" si="63"/>
        <v>#DIV/0!</v>
      </c>
      <c r="R279" s="63"/>
      <c r="S279" s="10"/>
      <c r="T279" s="10"/>
      <c r="U279" s="17"/>
      <c r="V279" s="10"/>
      <c r="W279" s="10"/>
      <c r="X279" s="10"/>
    </row>
    <row r="280" spans="1:24">
      <c r="A280" s="2"/>
      <c r="B280" s="11"/>
      <c r="C280" s="10"/>
      <c r="D280" s="10"/>
      <c r="E280" s="51" t="s">
        <v>47</v>
      </c>
      <c r="F280" s="52">
        <f>F279*0.05</f>
        <v>0</v>
      </c>
      <c r="G280" s="65" t="s">
        <v>40</v>
      </c>
      <c r="H280" s="54">
        <f>F280/1.12</f>
        <v>0</v>
      </c>
      <c r="I280" s="42"/>
      <c r="J280" s="10" t="s">
        <v>48</v>
      </c>
      <c r="K280" s="66" t="e">
        <f>K276/K277</f>
        <v>#DIV/0!</v>
      </c>
      <c r="L280" s="66">
        <f t="shared" ref="L280:Q280" si="64">L276/L277</f>
        <v>2420.8200000000002</v>
      </c>
      <c r="M280" s="66">
        <f t="shared" si="64"/>
        <v>2999.5699999999997</v>
      </c>
      <c r="N280" s="66">
        <f t="shared" si="64"/>
        <v>10216.688</v>
      </c>
      <c r="O280" s="66" t="e">
        <f t="shared" si="64"/>
        <v>#DIV/0!</v>
      </c>
      <c r="P280" s="66">
        <f t="shared" si="64"/>
        <v>6122.2372727272732</v>
      </c>
      <c r="Q280" s="66" t="e">
        <f t="shared" si="64"/>
        <v>#DIV/0!</v>
      </c>
      <c r="R280" s="63"/>
      <c r="S280" s="10"/>
      <c r="T280" s="10"/>
      <c r="U280" s="17"/>
      <c r="V280" s="10"/>
      <c r="W280" s="10"/>
      <c r="X280" s="10"/>
    </row>
    <row r="281" spans="1:24">
      <c r="A281" s="2"/>
      <c r="B281" s="11"/>
      <c r="C281" s="10"/>
      <c r="D281" s="10"/>
      <c r="E281" s="67" t="s">
        <v>14</v>
      </c>
      <c r="F281" s="68"/>
      <c r="G281" s="10"/>
      <c r="H281" s="54">
        <f>F281/1.12</f>
        <v>0</v>
      </c>
      <c r="I281" s="10"/>
      <c r="J281" s="10"/>
      <c r="K281" s="10"/>
      <c r="L281" s="10"/>
      <c r="M281" s="10"/>
      <c r="N281" s="10"/>
      <c r="O281" s="10"/>
      <c r="P281" s="10"/>
      <c r="Q281" s="10"/>
      <c r="R281" s="10"/>
      <c r="S281" s="10"/>
      <c r="T281" s="10"/>
      <c r="U281" s="17"/>
      <c r="V281" s="10"/>
      <c r="W281" s="10"/>
      <c r="X281" s="10"/>
    </row>
    <row r="282" spans="1:24">
      <c r="A282" s="2"/>
      <c r="B282" s="11"/>
      <c r="C282" s="10"/>
      <c r="D282" s="10"/>
      <c r="E282" s="67" t="s">
        <v>49</v>
      </c>
      <c r="F282" s="69">
        <f>T271</f>
        <v>0</v>
      </c>
      <c r="G282" s="10"/>
      <c r="H282" s="54"/>
      <c r="I282" s="55"/>
      <c r="J282" s="42"/>
      <c r="K282" s="764" t="s">
        <v>50</v>
      </c>
      <c r="L282" s="765"/>
      <c r="M282" s="765"/>
      <c r="N282" s="765"/>
      <c r="O282" s="765"/>
      <c r="P282" s="765"/>
      <c r="Q282" s="766"/>
      <c r="R282" s="70" t="s">
        <v>28</v>
      </c>
      <c r="S282" s="71" t="s">
        <v>29</v>
      </c>
      <c r="T282" s="10"/>
      <c r="U282" s="17"/>
      <c r="V282" s="10"/>
      <c r="W282" s="10"/>
      <c r="X282" s="10"/>
    </row>
    <row r="283" spans="1:24">
      <c r="A283" s="2"/>
      <c r="B283" s="11"/>
      <c r="C283" s="10"/>
      <c r="D283" s="10"/>
      <c r="E283" s="67" t="s">
        <v>285</v>
      </c>
      <c r="F283" s="68">
        <f>180/7*3</f>
        <v>77.142857142857139</v>
      </c>
      <c r="G283" s="10"/>
      <c r="H283" s="10"/>
      <c r="I283" s="10"/>
      <c r="J283" s="42"/>
      <c r="K283" s="20" t="s">
        <v>31</v>
      </c>
      <c r="L283" s="21" t="s">
        <v>32</v>
      </c>
      <c r="M283" s="21" t="s">
        <v>33</v>
      </c>
      <c r="N283" s="21" t="s">
        <v>34</v>
      </c>
      <c r="O283" s="21" t="s">
        <v>35</v>
      </c>
      <c r="P283" s="21" t="s">
        <v>36</v>
      </c>
      <c r="Q283" s="49" t="s">
        <v>37</v>
      </c>
      <c r="R283" s="50" t="s">
        <v>38</v>
      </c>
      <c r="S283" s="50" t="s">
        <v>38</v>
      </c>
      <c r="T283" s="10"/>
      <c r="U283" s="17"/>
      <c r="V283" s="10"/>
      <c r="W283" s="10"/>
      <c r="X283" s="10"/>
    </row>
    <row r="284" spans="1:24">
      <c r="A284" s="2"/>
      <c r="B284" s="11"/>
      <c r="C284" s="10"/>
      <c r="D284" s="10"/>
      <c r="E284" s="72" t="s">
        <v>2882</v>
      </c>
      <c r="F284" s="73">
        <v>-35.96</v>
      </c>
      <c r="G284" s="10"/>
      <c r="H284" s="10"/>
      <c r="I284" s="10"/>
      <c r="J284" s="42"/>
      <c r="K284" s="56">
        <v>0</v>
      </c>
      <c r="L284" s="57">
        <f>F294+F295+F309</f>
        <v>8029.45</v>
      </c>
      <c r="M284" s="57">
        <f>F296+F297+F298</f>
        <v>10566.5</v>
      </c>
      <c r="N284" s="57">
        <f>F299+F305+F310+F304+F311</f>
        <v>67572</v>
      </c>
      <c r="O284" s="57"/>
      <c r="P284" s="57">
        <f>SUM(K284:O284)</f>
        <v>86167.95</v>
      </c>
      <c r="Q284" s="58">
        <v>0</v>
      </c>
      <c r="R284" s="59">
        <f>F306+F312</f>
        <v>72525</v>
      </c>
      <c r="S284" s="59">
        <v>0</v>
      </c>
      <c r="T284" s="10"/>
      <c r="U284" s="17"/>
      <c r="V284" s="10"/>
      <c r="W284" s="10"/>
      <c r="X284" s="10"/>
    </row>
    <row r="285" spans="1:24">
      <c r="A285" s="2"/>
      <c r="B285" s="11"/>
      <c r="C285" s="10"/>
      <c r="D285" s="10"/>
      <c r="E285" s="74" t="s">
        <v>2883</v>
      </c>
      <c r="F285" s="75">
        <v>-57</v>
      </c>
      <c r="G285" s="10"/>
      <c r="H285" s="10"/>
      <c r="I285" s="10"/>
      <c r="J285" s="10" t="s">
        <v>42</v>
      </c>
      <c r="K285" s="63">
        <f>K277</f>
        <v>0</v>
      </c>
      <c r="L285" s="63">
        <f t="shared" ref="L285:Q286" si="65">L277</f>
        <v>3</v>
      </c>
      <c r="M285" s="63">
        <f t="shared" si="65"/>
        <v>3</v>
      </c>
      <c r="N285" s="63">
        <f t="shared" si="65"/>
        <v>5</v>
      </c>
      <c r="O285" s="63">
        <f t="shared" si="65"/>
        <v>0</v>
      </c>
      <c r="P285" s="63">
        <f t="shared" si="65"/>
        <v>11</v>
      </c>
      <c r="Q285" s="63">
        <f t="shared" si="65"/>
        <v>0</v>
      </c>
      <c r="R285" s="63"/>
      <c r="S285" s="10"/>
      <c r="T285" s="10"/>
      <c r="U285" s="17"/>
      <c r="V285" s="10"/>
      <c r="W285" s="10"/>
      <c r="X285" s="10"/>
    </row>
    <row r="286" spans="1:24">
      <c r="A286" s="2"/>
      <c r="B286" s="11"/>
      <c r="C286" s="10"/>
      <c r="D286" s="10"/>
      <c r="E286" s="72" t="s">
        <v>2884</v>
      </c>
      <c r="F286" s="73">
        <v>-454.93</v>
      </c>
      <c r="G286" s="10"/>
      <c r="H286" s="10"/>
      <c r="I286" s="10"/>
      <c r="J286" s="10" t="s">
        <v>44</v>
      </c>
      <c r="K286" s="63">
        <f>K278</f>
        <v>7</v>
      </c>
      <c r="L286" s="63">
        <f t="shared" si="65"/>
        <v>2</v>
      </c>
      <c r="M286" s="63">
        <f t="shared" si="65"/>
        <v>4</v>
      </c>
      <c r="N286" s="63">
        <f t="shared" si="65"/>
        <v>2</v>
      </c>
      <c r="O286" s="63">
        <f t="shared" si="65"/>
        <v>4</v>
      </c>
      <c r="P286" s="63">
        <f t="shared" si="65"/>
        <v>19</v>
      </c>
      <c r="Q286" s="63">
        <f t="shared" si="65"/>
        <v>0</v>
      </c>
      <c r="R286" s="63"/>
      <c r="S286" s="10"/>
      <c r="T286" s="10"/>
      <c r="U286" s="17"/>
      <c r="V286" s="10"/>
      <c r="W286" s="10"/>
      <c r="X286" s="10"/>
    </row>
    <row r="287" spans="1:24">
      <c r="A287" s="2"/>
      <c r="B287" s="11"/>
      <c r="C287" s="10"/>
      <c r="D287" s="10"/>
      <c r="E287" s="74" t="s">
        <v>2885</v>
      </c>
      <c r="F287" s="75">
        <v>-66.849999999999994</v>
      </c>
      <c r="G287" s="10"/>
      <c r="H287" s="10"/>
      <c r="I287" s="10"/>
      <c r="J287" s="10" t="s">
        <v>46</v>
      </c>
      <c r="K287" s="31">
        <f t="shared" ref="K287:Q287" si="66">K285/(K285+K286)</f>
        <v>0</v>
      </c>
      <c r="L287" s="31">
        <f t="shared" si="66"/>
        <v>0.6</v>
      </c>
      <c r="M287" s="31">
        <f t="shared" si="66"/>
        <v>0.42857142857142855</v>
      </c>
      <c r="N287" s="31">
        <f t="shared" si="66"/>
        <v>0.7142857142857143</v>
      </c>
      <c r="O287" s="31">
        <f t="shared" si="66"/>
        <v>0</v>
      </c>
      <c r="P287" s="31">
        <f t="shared" si="66"/>
        <v>0.36666666666666664</v>
      </c>
      <c r="Q287" s="31" t="e">
        <f t="shared" si="66"/>
        <v>#DIV/0!</v>
      </c>
      <c r="R287" s="63"/>
      <c r="S287" s="10"/>
      <c r="T287" s="10"/>
      <c r="U287" s="17"/>
      <c r="V287" s="10"/>
      <c r="W287" s="10"/>
      <c r="X287" s="10"/>
    </row>
    <row r="288" spans="1:24">
      <c r="A288" s="2"/>
      <c r="B288" s="11"/>
      <c r="C288" s="10"/>
      <c r="D288" s="10"/>
      <c r="E288" s="10"/>
      <c r="F288" s="10"/>
      <c r="G288" s="10"/>
      <c r="H288" s="10"/>
      <c r="I288" s="10"/>
      <c r="J288" s="10" t="s">
        <v>48</v>
      </c>
      <c r="K288" s="66" t="e">
        <f t="shared" ref="K288:Q288" si="67">K284/K285</f>
        <v>#DIV/0!</v>
      </c>
      <c r="L288" s="66">
        <f t="shared" si="67"/>
        <v>2676.4833333333331</v>
      </c>
      <c r="M288" s="66">
        <f t="shared" si="67"/>
        <v>3522.1666666666665</v>
      </c>
      <c r="N288" s="66">
        <f t="shared" si="67"/>
        <v>13514.4</v>
      </c>
      <c r="O288" s="66" t="e">
        <f t="shared" si="67"/>
        <v>#DIV/0!</v>
      </c>
      <c r="P288" s="66">
        <f t="shared" si="67"/>
        <v>7833.45</v>
      </c>
      <c r="Q288" s="66" t="e">
        <f t="shared" si="67"/>
        <v>#DIV/0!</v>
      </c>
      <c r="R288" s="63"/>
      <c r="S288" s="10"/>
      <c r="T288" s="10"/>
      <c r="U288" s="17"/>
      <c r="V288" s="10"/>
      <c r="W288" s="10"/>
      <c r="X288" s="10"/>
    </row>
    <row r="289" spans="1:24">
      <c r="A289" s="2"/>
      <c r="B289" s="11"/>
      <c r="C289" s="10"/>
      <c r="D289" s="10"/>
      <c r="E289" s="10"/>
      <c r="F289" s="10"/>
      <c r="G289" s="10"/>
      <c r="H289" s="10"/>
      <c r="I289" s="10"/>
      <c r="J289" s="10"/>
      <c r="K289" s="10"/>
      <c r="L289" s="10"/>
      <c r="M289" s="10"/>
      <c r="N289" s="10"/>
      <c r="O289" s="10"/>
      <c r="P289" s="10"/>
      <c r="Q289" s="10"/>
      <c r="R289" s="10"/>
      <c r="S289" s="10"/>
      <c r="T289" s="10"/>
      <c r="U289" s="17"/>
      <c r="V289" s="10"/>
      <c r="W289" s="10"/>
      <c r="X289" s="10"/>
    </row>
    <row r="290" spans="1:24">
      <c r="A290" s="2"/>
      <c r="B290" s="11"/>
      <c r="C290" s="10"/>
      <c r="D290" s="10"/>
      <c r="E290" s="10"/>
      <c r="F290" s="10"/>
      <c r="G290" s="10"/>
      <c r="H290" s="10"/>
      <c r="I290" s="10"/>
      <c r="J290" s="10"/>
      <c r="K290" s="10"/>
      <c r="L290" s="10"/>
      <c r="M290" s="10"/>
      <c r="N290" s="10"/>
      <c r="O290" s="10"/>
      <c r="P290" s="10"/>
      <c r="Q290" s="10"/>
      <c r="R290" s="10"/>
      <c r="S290" s="10"/>
      <c r="T290" s="10"/>
      <c r="U290" s="17"/>
      <c r="V290" s="10"/>
      <c r="W290" s="10"/>
      <c r="X290" s="10"/>
    </row>
    <row r="291" spans="1:24">
      <c r="A291" s="2"/>
      <c r="B291" s="18" t="s">
        <v>51</v>
      </c>
      <c r="C291" s="14"/>
      <c r="D291" s="14"/>
      <c r="E291" s="14"/>
      <c r="F291" s="13" t="s">
        <v>52</v>
      </c>
      <c r="G291" s="14"/>
      <c r="H291" s="14"/>
      <c r="I291" s="14"/>
      <c r="J291" s="14"/>
      <c r="K291" s="13" t="s">
        <v>3</v>
      </c>
      <c r="L291" s="14"/>
      <c r="M291" s="14"/>
      <c r="N291" s="13" t="s">
        <v>4</v>
      </c>
      <c r="O291" s="14"/>
      <c r="P291" s="14"/>
      <c r="Q291" s="13" t="s">
        <v>5</v>
      </c>
      <c r="R291" s="14"/>
      <c r="S291" s="14"/>
      <c r="T291" s="18"/>
      <c r="U291" s="16" t="s">
        <v>53</v>
      </c>
      <c r="V291" s="77"/>
      <c r="W291" s="77"/>
      <c r="X291" s="77"/>
    </row>
    <row r="292" spans="1:24">
      <c r="A292" s="2"/>
      <c r="B292" s="24" t="s">
        <v>54</v>
      </c>
      <c r="C292" s="21" t="s">
        <v>55</v>
      </c>
      <c r="D292" s="21" t="s">
        <v>56</v>
      </c>
      <c r="E292" s="21" t="s">
        <v>57</v>
      </c>
      <c r="F292" s="20" t="s">
        <v>58</v>
      </c>
      <c r="G292" s="21" t="s">
        <v>59</v>
      </c>
      <c r="H292" s="21" t="s">
        <v>60</v>
      </c>
      <c r="I292" s="21" t="s">
        <v>26</v>
      </c>
      <c r="J292" s="22" t="s">
        <v>61</v>
      </c>
      <c r="K292" s="21" t="s">
        <v>8</v>
      </c>
      <c r="L292" s="21" t="s">
        <v>9</v>
      </c>
      <c r="M292" s="21" t="s">
        <v>10</v>
      </c>
      <c r="N292" s="20" t="s">
        <v>11</v>
      </c>
      <c r="O292" s="21" t="s">
        <v>12</v>
      </c>
      <c r="P292" s="22" t="s">
        <v>13</v>
      </c>
      <c r="Q292" s="21" t="s">
        <v>11</v>
      </c>
      <c r="R292" s="21" t="s">
        <v>12</v>
      </c>
      <c r="S292" s="21" t="s">
        <v>13</v>
      </c>
      <c r="T292" s="78" t="s">
        <v>14</v>
      </c>
      <c r="U292" s="30"/>
      <c r="V292" s="79" t="s">
        <v>62</v>
      </c>
      <c r="W292" s="80" t="s">
        <v>63</v>
      </c>
      <c r="X292" s="81" t="s">
        <v>64</v>
      </c>
    </row>
    <row r="293" spans="1:24">
      <c r="A293" s="2"/>
      <c r="B293" s="4" t="s">
        <v>65</v>
      </c>
      <c r="C293" s="6"/>
      <c r="D293" s="6"/>
      <c r="E293" s="6"/>
      <c r="F293" s="6"/>
      <c r="G293" s="6"/>
      <c r="H293" s="6"/>
      <c r="I293" s="82"/>
      <c r="J293" s="6"/>
      <c r="K293" s="6"/>
      <c r="L293" s="6"/>
      <c r="M293" s="6"/>
      <c r="N293" s="6"/>
      <c r="O293" s="6"/>
      <c r="P293" s="6"/>
      <c r="Q293" s="6"/>
      <c r="R293" s="6"/>
      <c r="S293" s="6"/>
      <c r="T293" s="83"/>
      <c r="U293" s="6"/>
      <c r="V293" s="84"/>
      <c r="W293" s="85"/>
      <c r="X293" s="86"/>
    </row>
    <row r="294" spans="1:24">
      <c r="A294" s="2"/>
      <c r="B294" s="87">
        <v>1</v>
      </c>
      <c r="C294" s="274">
        <v>45888</v>
      </c>
      <c r="D294" s="327">
        <v>72423</v>
      </c>
      <c r="E294" s="276" t="s">
        <v>1077</v>
      </c>
      <c r="F294" s="277">
        <f>1466-185-203.55</f>
        <v>1077.45</v>
      </c>
      <c r="G294" s="277">
        <f>39.7+200</f>
        <v>239.7</v>
      </c>
      <c r="H294" s="297"/>
      <c r="I294" s="321">
        <f t="shared" ref="I294:I299" si="68">F294-G294-H294</f>
        <v>837.75</v>
      </c>
      <c r="J294" s="279" t="s">
        <v>156</v>
      </c>
      <c r="K294" s="279">
        <v>1</v>
      </c>
      <c r="L294" s="279">
        <v>1</v>
      </c>
      <c r="M294" s="279">
        <v>1</v>
      </c>
      <c r="N294" s="279">
        <v>1</v>
      </c>
      <c r="O294" s="279">
        <v>1</v>
      </c>
      <c r="P294" s="322">
        <v>0</v>
      </c>
      <c r="Q294" s="279">
        <v>1</v>
      </c>
      <c r="R294" s="279">
        <v>1</v>
      </c>
      <c r="S294" s="328">
        <v>0</v>
      </c>
      <c r="T294" s="63"/>
      <c r="U294" s="10" t="s">
        <v>2886</v>
      </c>
      <c r="V294" s="90">
        <f>203.5+150+1055.6</f>
        <v>1409.1</v>
      </c>
      <c r="W294" s="91"/>
      <c r="X294" s="92"/>
    </row>
    <row r="295" spans="1:24">
      <c r="A295" s="2"/>
      <c r="B295" s="87">
        <f t="shared" ref="B295" si="69">B294+1</f>
        <v>2</v>
      </c>
      <c r="C295" s="295">
        <v>45888</v>
      </c>
      <c r="D295" s="346" t="s">
        <v>2887</v>
      </c>
      <c r="E295" s="10" t="s">
        <v>1077</v>
      </c>
      <c r="F295" s="62">
        <v>1138</v>
      </c>
      <c r="G295" s="62">
        <f>39.7+(110.43)</f>
        <v>150.13</v>
      </c>
      <c r="H295" s="62"/>
      <c r="I295" s="89">
        <f t="shared" si="68"/>
        <v>987.87</v>
      </c>
      <c r="J295" s="63" t="s">
        <v>156</v>
      </c>
      <c r="K295" s="63">
        <v>1</v>
      </c>
      <c r="L295" s="63">
        <v>1</v>
      </c>
      <c r="M295" s="63">
        <v>1</v>
      </c>
      <c r="N295" s="63">
        <v>1</v>
      </c>
      <c r="O295" s="63">
        <v>1</v>
      </c>
      <c r="P295" s="63">
        <v>1</v>
      </c>
      <c r="Q295" s="63">
        <v>1</v>
      </c>
      <c r="R295" s="63">
        <v>1</v>
      </c>
      <c r="S295" s="296">
        <v>1</v>
      </c>
      <c r="T295" s="63"/>
      <c r="U295" s="10" t="s">
        <v>2888</v>
      </c>
      <c r="V295" s="90">
        <f>150+1101.8</f>
        <v>1251.8</v>
      </c>
      <c r="W295" s="91"/>
      <c r="X295" s="92"/>
    </row>
    <row r="296" spans="1:24">
      <c r="A296" s="93"/>
      <c r="B296" s="87">
        <f>B295+1</f>
        <v>3</v>
      </c>
      <c r="C296" s="274">
        <v>45889</v>
      </c>
      <c r="D296" s="327">
        <v>72427</v>
      </c>
      <c r="E296" s="276" t="s">
        <v>1167</v>
      </c>
      <c r="F296" s="277">
        <v>1261</v>
      </c>
      <c r="G296" s="277">
        <f>39.7+(62.55)</f>
        <v>102.25</v>
      </c>
      <c r="H296" s="277"/>
      <c r="I296" s="278">
        <f t="shared" si="68"/>
        <v>1158.75</v>
      </c>
      <c r="J296" s="279" t="s">
        <v>156</v>
      </c>
      <c r="K296" s="279">
        <v>1</v>
      </c>
      <c r="L296" s="279">
        <v>1</v>
      </c>
      <c r="M296" s="279">
        <v>1</v>
      </c>
      <c r="N296" s="279">
        <v>1</v>
      </c>
      <c r="O296" s="279">
        <v>1</v>
      </c>
      <c r="P296" s="279">
        <v>1</v>
      </c>
      <c r="Q296" s="279">
        <v>1</v>
      </c>
      <c r="R296" s="279">
        <v>1</v>
      </c>
      <c r="S296" s="280">
        <v>1</v>
      </c>
      <c r="T296" s="63"/>
      <c r="U296" s="10"/>
      <c r="V296" s="90">
        <f>150+1237.1</f>
        <v>1387.1</v>
      </c>
      <c r="W296" s="91"/>
      <c r="X296" s="92"/>
    </row>
    <row r="297" spans="1:24">
      <c r="A297" s="388" t="s">
        <v>2889</v>
      </c>
      <c r="B297" s="87">
        <f>B296+1</f>
        <v>4</v>
      </c>
      <c r="C297" s="295">
        <v>45889</v>
      </c>
      <c r="D297" s="323" t="s">
        <v>2890</v>
      </c>
      <c r="E297" s="101" t="s">
        <v>1338</v>
      </c>
      <c r="F297" s="62">
        <v>8167.5</v>
      </c>
      <c r="G297" s="62">
        <f>39.7+(82.83+149.83+63.76+15.94+9.9+460.43+103.45)+500</f>
        <v>1425.8400000000001</v>
      </c>
      <c r="H297" s="62"/>
      <c r="I297" s="369">
        <f t="shared" ref="I297" si="70">F297-G297-H297</f>
        <v>6741.66</v>
      </c>
      <c r="J297" s="63" t="s">
        <v>374</v>
      </c>
      <c r="K297" s="63">
        <v>1</v>
      </c>
      <c r="L297" s="63">
        <v>1</v>
      </c>
      <c r="M297" s="63">
        <v>1</v>
      </c>
      <c r="N297" s="63">
        <v>1</v>
      </c>
      <c r="O297" s="63">
        <v>1</v>
      </c>
      <c r="P297" s="325">
        <v>0</v>
      </c>
      <c r="Q297" s="325">
        <v>0</v>
      </c>
      <c r="R297" s="325">
        <v>0</v>
      </c>
      <c r="S297" s="326">
        <v>0</v>
      </c>
      <c r="T297" s="63"/>
      <c r="U297" s="94" t="s">
        <v>2891</v>
      </c>
      <c r="V297" s="90">
        <f>2000+6984.25</f>
        <v>8984.25</v>
      </c>
      <c r="W297" s="136"/>
      <c r="X297" s="137"/>
    </row>
    <row r="298" spans="1:24">
      <c r="A298" s="2"/>
      <c r="B298" s="87">
        <f>B297+1</f>
        <v>5</v>
      </c>
      <c r="C298" s="282">
        <v>45889</v>
      </c>
      <c r="D298" s="368">
        <v>72441</v>
      </c>
      <c r="E298" s="441" t="s">
        <v>1260</v>
      </c>
      <c r="F298" s="284">
        <v>1138</v>
      </c>
      <c r="G298" s="284">
        <v>39.700000000000003</v>
      </c>
      <c r="H298" s="284"/>
      <c r="I298" s="300">
        <f t="shared" si="68"/>
        <v>1098.3</v>
      </c>
      <c r="J298" s="286" t="s">
        <v>156</v>
      </c>
      <c r="K298" s="286">
        <v>1</v>
      </c>
      <c r="L298" s="286">
        <v>1</v>
      </c>
      <c r="M298" s="286">
        <v>1</v>
      </c>
      <c r="N298" s="286">
        <v>1</v>
      </c>
      <c r="O298" s="286">
        <v>1</v>
      </c>
      <c r="P298" s="286">
        <v>1</v>
      </c>
      <c r="Q298" s="286">
        <v>1</v>
      </c>
      <c r="R298" s="332">
        <v>0</v>
      </c>
      <c r="S298" s="370">
        <v>0</v>
      </c>
      <c r="T298" s="63"/>
      <c r="U298" s="10" t="s">
        <v>1595</v>
      </c>
      <c r="V298" s="90">
        <f>150+1101.8</f>
        <v>1251.8</v>
      </c>
      <c r="W298" s="91"/>
      <c r="X298" s="92"/>
    </row>
    <row r="299" spans="1:24">
      <c r="A299" s="2" t="s">
        <v>230</v>
      </c>
      <c r="B299" s="87">
        <f>B298+1</f>
        <v>6</v>
      </c>
      <c r="C299" s="282">
        <v>45890</v>
      </c>
      <c r="D299" s="368">
        <v>72527</v>
      </c>
      <c r="E299" s="283" t="s">
        <v>1136</v>
      </c>
      <c r="F299" s="284">
        <v>861</v>
      </c>
      <c r="G299" s="284">
        <f>39.7+(56.75)</f>
        <v>96.45</v>
      </c>
      <c r="H299" s="284"/>
      <c r="I299" s="331">
        <f t="shared" si="68"/>
        <v>764.55</v>
      </c>
      <c r="J299" s="286" t="s">
        <v>156</v>
      </c>
      <c r="K299" s="286">
        <v>1</v>
      </c>
      <c r="L299" s="286">
        <v>1</v>
      </c>
      <c r="M299" s="286">
        <v>1</v>
      </c>
      <c r="N299" s="286">
        <v>1</v>
      </c>
      <c r="O299" s="286">
        <v>1</v>
      </c>
      <c r="P299" s="286">
        <v>1</v>
      </c>
      <c r="Q299" s="286">
        <v>1</v>
      </c>
      <c r="R299" s="286">
        <v>1</v>
      </c>
      <c r="S299" s="370">
        <v>0</v>
      </c>
      <c r="T299" s="63"/>
      <c r="U299" s="10" t="s">
        <v>2892</v>
      </c>
      <c r="V299" s="90">
        <v>947.1</v>
      </c>
      <c r="W299" s="91"/>
      <c r="X299" s="92"/>
    </row>
    <row r="300" spans="1:24">
      <c r="A300" s="2"/>
      <c r="B300" s="87"/>
      <c r="C300" s="36"/>
      <c r="D300" s="10"/>
      <c r="E300" s="10"/>
      <c r="F300" s="97">
        <f>SUM(F294:F299)</f>
        <v>13642.95</v>
      </c>
      <c r="G300" s="97">
        <f>SUM(G294:G299)</f>
        <v>2054.0700000000002</v>
      </c>
      <c r="H300" s="97">
        <f>SUM(H294:H299)</f>
        <v>0</v>
      </c>
      <c r="I300" s="98">
        <f>SUM(I294:I299)</f>
        <v>11588.879999999997</v>
      </c>
      <c r="J300" s="63"/>
      <c r="K300" s="63">
        <f>COUNT(K294:K299)</f>
        <v>6</v>
      </c>
      <c r="L300" s="63">
        <f>COUNT(L294:L299)</f>
        <v>6</v>
      </c>
      <c r="M300" s="63">
        <f>COUNT(M294:M299)</f>
        <v>6</v>
      </c>
      <c r="N300" s="63">
        <f>COUNT(N294:N299)</f>
        <v>6</v>
      </c>
      <c r="O300" s="63">
        <f>COUNT(O294:O299)</f>
        <v>6</v>
      </c>
      <c r="P300" s="63">
        <f>COUNT(P294:P299)</f>
        <v>6</v>
      </c>
      <c r="Q300" s="63">
        <f>COUNT(Q294:Q299)</f>
        <v>6</v>
      </c>
      <c r="R300" s="63">
        <f>COUNT(R294:R299)</f>
        <v>6</v>
      </c>
      <c r="S300" s="63">
        <f>COUNT(S294:S299)</f>
        <v>6</v>
      </c>
      <c r="T300" s="63"/>
      <c r="U300" s="10"/>
      <c r="V300" s="90"/>
      <c r="W300" s="91"/>
      <c r="X300" s="92"/>
    </row>
    <row r="301" spans="1:24">
      <c r="A301" s="2"/>
      <c r="B301" s="87"/>
      <c r="C301" s="36"/>
      <c r="D301" s="10"/>
      <c r="E301" s="10"/>
      <c r="F301" s="88"/>
      <c r="G301" s="88"/>
      <c r="H301" s="88"/>
      <c r="I301" s="99"/>
      <c r="J301" s="63"/>
      <c r="K301" s="21">
        <f>SUM(K294:K299)</f>
        <v>6</v>
      </c>
      <c r="L301" s="21">
        <f>SUM(L294:L299)</f>
        <v>6</v>
      </c>
      <c r="M301" s="21">
        <f>SUM(M294:M299)</f>
        <v>6</v>
      </c>
      <c r="N301" s="21">
        <f>SUM(N294:N299)</f>
        <v>6</v>
      </c>
      <c r="O301" s="21">
        <f>SUM(O294:O299)</f>
        <v>6</v>
      </c>
      <c r="P301" s="21">
        <f>SUM(P294:P299)</f>
        <v>4</v>
      </c>
      <c r="Q301" s="21">
        <f>SUM(Q294:Q299)</f>
        <v>5</v>
      </c>
      <c r="R301" s="21">
        <f>SUM(R294:R299)</f>
        <v>4</v>
      </c>
      <c r="S301" s="21">
        <f>SUM(S294:S299)</f>
        <v>2</v>
      </c>
      <c r="T301" s="63"/>
      <c r="U301" s="10"/>
      <c r="V301" s="90"/>
      <c r="W301" s="91"/>
      <c r="X301" s="92"/>
    </row>
    <row r="302" spans="1:24">
      <c r="A302" s="2"/>
      <c r="B302" s="11"/>
      <c r="C302" s="36"/>
      <c r="D302" s="10"/>
      <c r="E302" s="10"/>
      <c r="F302" s="88"/>
      <c r="G302" s="88"/>
      <c r="H302" s="88"/>
      <c r="I302" s="99"/>
      <c r="J302" s="63"/>
      <c r="K302" s="21"/>
      <c r="L302" s="21"/>
      <c r="M302" s="21"/>
      <c r="N302" s="21"/>
      <c r="O302" s="21"/>
      <c r="P302" s="21"/>
      <c r="Q302" s="21"/>
      <c r="R302" s="21"/>
      <c r="S302" s="21"/>
      <c r="T302" s="63"/>
      <c r="U302" s="10"/>
      <c r="V302" s="90"/>
      <c r="W302" s="91"/>
      <c r="X302" s="92"/>
    </row>
    <row r="303" spans="1:24">
      <c r="A303" s="128"/>
      <c r="B303" s="121" t="s">
        <v>68</v>
      </c>
      <c r="C303" s="122"/>
      <c r="D303" s="123"/>
      <c r="E303" s="123"/>
      <c r="F303" s="124"/>
      <c r="G303" s="125"/>
      <c r="H303" s="124"/>
      <c r="I303" s="126"/>
      <c r="J303" s="127"/>
      <c r="K303" s="128"/>
      <c r="L303" s="128"/>
      <c r="M303" s="128"/>
      <c r="N303" s="128"/>
      <c r="O303" s="128"/>
      <c r="P303" s="128"/>
      <c r="Q303" s="128"/>
      <c r="R303" s="128"/>
      <c r="S303" s="128"/>
      <c r="T303" s="127"/>
      <c r="U303" s="123"/>
      <c r="V303" s="129"/>
      <c r="W303" s="130"/>
      <c r="X303" s="131"/>
    </row>
    <row r="304" spans="1:24" s="342" customFormat="1">
      <c r="A304" s="356" t="s">
        <v>2893</v>
      </c>
      <c r="B304" s="333">
        <v>1</v>
      </c>
      <c r="C304" s="334">
        <v>45890</v>
      </c>
      <c r="D304" s="327">
        <v>72522</v>
      </c>
      <c r="E304" s="335" t="s">
        <v>1169</v>
      </c>
      <c r="F304" s="336">
        <v>3122</v>
      </c>
      <c r="G304" s="336">
        <f>39.7+877.8+200</f>
        <v>1117.5</v>
      </c>
      <c r="H304" s="336"/>
      <c r="I304" s="337">
        <f>F304-G304-H304</f>
        <v>2004.5</v>
      </c>
      <c r="J304" s="338" t="s">
        <v>156</v>
      </c>
      <c r="K304" s="338">
        <v>1</v>
      </c>
      <c r="L304" s="338">
        <v>1</v>
      </c>
      <c r="M304" s="338">
        <v>1</v>
      </c>
      <c r="N304" s="338">
        <v>1</v>
      </c>
      <c r="O304" s="338">
        <v>1</v>
      </c>
      <c r="P304" s="338">
        <v>1</v>
      </c>
      <c r="Q304" s="338">
        <v>1</v>
      </c>
      <c r="R304" s="322">
        <v>0</v>
      </c>
      <c r="S304" s="328">
        <v>0</v>
      </c>
      <c r="T304" s="127"/>
      <c r="U304" s="123" t="s">
        <v>2894</v>
      </c>
      <c r="V304" s="129">
        <v>93.5</v>
      </c>
      <c r="W304" s="340"/>
      <c r="X304" s="341"/>
    </row>
    <row r="305" spans="1:24" s="342" customFormat="1">
      <c r="A305" s="356">
        <v>0.05</v>
      </c>
      <c r="B305" s="333">
        <f>B304+1</f>
        <v>2</v>
      </c>
      <c r="C305" s="395">
        <v>45890</v>
      </c>
      <c r="D305" s="368">
        <v>72515</v>
      </c>
      <c r="E305" s="396" t="s">
        <v>1058</v>
      </c>
      <c r="F305" s="397">
        <v>2575</v>
      </c>
      <c r="G305" s="397">
        <v>39.700000000000003</v>
      </c>
      <c r="H305" s="591"/>
      <c r="I305" s="398">
        <f>F305-G305-H305</f>
        <v>2535.3000000000002</v>
      </c>
      <c r="J305" s="399" t="s">
        <v>374</v>
      </c>
      <c r="K305" s="399">
        <v>1</v>
      </c>
      <c r="L305" s="399">
        <v>1</v>
      </c>
      <c r="M305" s="399">
        <v>1</v>
      </c>
      <c r="N305" s="399">
        <v>1</v>
      </c>
      <c r="O305" s="399">
        <v>1</v>
      </c>
      <c r="P305" s="399">
        <v>1</v>
      </c>
      <c r="Q305" s="399">
        <v>1</v>
      </c>
      <c r="R305" s="332">
        <v>0</v>
      </c>
      <c r="S305" s="370">
        <v>0</v>
      </c>
      <c r="T305" s="127"/>
      <c r="U305" s="123" t="s">
        <v>2895</v>
      </c>
      <c r="V305" s="129">
        <v>280</v>
      </c>
      <c r="W305" s="130"/>
      <c r="X305" s="131"/>
    </row>
    <row r="306" spans="1:24" s="342" customFormat="1">
      <c r="A306" s="128"/>
      <c r="B306" s="132"/>
      <c r="C306" s="122"/>
      <c r="D306" s="123"/>
      <c r="E306" s="123"/>
      <c r="F306" s="133">
        <f>SUM(F304:F305)</f>
        <v>5697</v>
      </c>
      <c r="G306" s="133">
        <f>SUM(G304:G305)</f>
        <v>1157.2</v>
      </c>
      <c r="H306" s="133">
        <f>SUM(H304:H305)</f>
        <v>0</v>
      </c>
      <c r="I306" s="134">
        <f>SUM(I304:I305)</f>
        <v>4539.8</v>
      </c>
      <c r="J306" s="127"/>
      <c r="K306" s="64"/>
      <c r="L306" s="64"/>
      <c r="M306" s="64"/>
      <c r="N306" s="64"/>
      <c r="O306" s="64"/>
      <c r="P306" s="64"/>
      <c r="Q306" s="64"/>
      <c r="R306" s="64"/>
      <c r="S306" s="64"/>
      <c r="T306" s="127"/>
      <c r="U306" s="123"/>
      <c r="V306" s="129"/>
      <c r="W306" s="130"/>
      <c r="X306" s="131"/>
    </row>
    <row r="307" spans="1:24" s="342" customFormat="1">
      <c r="A307" s="128"/>
      <c r="B307" s="132"/>
      <c r="C307" s="122"/>
      <c r="D307" s="123"/>
      <c r="E307" s="123"/>
      <c r="F307" s="124"/>
      <c r="G307" s="124"/>
      <c r="H307" s="124"/>
      <c r="I307" s="126"/>
      <c r="J307" s="127"/>
      <c r="K307" s="64"/>
      <c r="L307" s="64"/>
      <c r="M307" s="64"/>
      <c r="N307" s="64"/>
      <c r="O307" s="64"/>
      <c r="P307" s="64"/>
      <c r="Q307" s="64"/>
      <c r="R307" s="64"/>
      <c r="S307" s="64"/>
      <c r="T307" s="127"/>
      <c r="U307" s="123"/>
      <c r="V307" s="129"/>
      <c r="W307" s="130"/>
      <c r="X307" s="131"/>
    </row>
    <row r="308" spans="1:24" s="342" customFormat="1">
      <c r="A308" s="128"/>
      <c r="B308" s="121" t="s">
        <v>70</v>
      </c>
      <c r="C308" s="122"/>
      <c r="D308" s="123"/>
      <c r="E308" s="128"/>
      <c r="F308" s="124"/>
      <c r="G308" s="124"/>
      <c r="H308" s="124"/>
      <c r="I308" s="126"/>
      <c r="J308" s="127"/>
      <c r="K308" s="64"/>
      <c r="L308" s="64"/>
      <c r="M308" s="64"/>
      <c r="N308" s="64"/>
      <c r="O308" s="64"/>
      <c r="P308" s="64"/>
      <c r="Q308" s="64"/>
      <c r="R308" s="64"/>
      <c r="S308" s="64"/>
      <c r="T308" s="127"/>
      <c r="U308" s="135"/>
      <c r="V308" s="129"/>
      <c r="W308" s="130"/>
      <c r="X308" s="131"/>
    </row>
    <row r="309" spans="1:24" s="342" customFormat="1">
      <c r="A309" s="356">
        <v>0.05</v>
      </c>
      <c r="B309" s="333">
        <v>1</v>
      </c>
      <c r="C309" s="334">
        <v>45888</v>
      </c>
      <c r="D309" s="327">
        <v>72377</v>
      </c>
      <c r="E309" s="335" t="s">
        <v>2896</v>
      </c>
      <c r="F309" s="336">
        <v>5814</v>
      </c>
      <c r="G309" s="336">
        <f>39.7+(87.46)+250</f>
        <v>377.15999999999997</v>
      </c>
      <c r="H309" s="336"/>
      <c r="I309" s="337">
        <f>F309-G309-H309</f>
        <v>5436.84</v>
      </c>
      <c r="J309" s="338" t="s">
        <v>228</v>
      </c>
      <c r="K309" s="338">
        <v>1</v>
      </c>
      <c r="L309" s="338"/>
      <c r="M309" s="338">
        <v>1</v>
      </c>
      <c r="N309" s="338">
        <v>1</v>
      </c>
      <c r="O309" s="338">
        <v>1</v>
      </c>
      <c r="P309" s="338">
        <v>1</v>
      </c>
      <c r="Q309" s="338"/>
      <c r="R309" s="338"/>
      <c r="S309" s="339"/>
      <c r="T309" s="127"/>
      <c r="U309" s="135" t="s">
        <v>2897</v>
      </c>
      <c r="V309" s="129">
        <f>600+5200</f>
        <v>5800</v>
      </c>
      <c r="W309" s="340"/>
      <c r="X309" s="341"/>
    </row>
    <row r="310" spans="1:24" s="342" customFormat="1">
      <c r="A310" s="356">
        <v>0.05</v>
      </c>
      <c r="B310" s="333">
        <f>B309+1</f>
        <v>2</v>
      </c>
      <c r="C310" s="334">
        <v>45890</v>
      </c>
      <c r="D310" s="327">
        <v>72466</v>
      </c>
      <c r="E310" s="335" t="s">
        <v>1273</v>
      </c>
      <c r="F310" s="336">
        <v>1428</v>
      </c>
      <c r="G310" s="336">
        <v>39.700000000000003</v>
      </c>
      <c r="H310" s="336"/>
      <c r="I310" s="337">
        <f>F310-G310-H310</f>
        <v>1388.3</v>
      </c>
      <c r="J310" s="338" t="s">
        <v>156</v>
      </c>
      <c r="K310" s="338">
        <v>1</v>
      </c>
      <c r="L310" s="338"/>
      <c r="M310" s="322">
        <v>0</v>
      </c>
      <c r="N310" s="338">
        <v>1</v>
      </c>
      <c r="O310" s="338">
        <v>1</v>
      </c>
      <c r="P310" s="322">
        <v>0</v>
      </c>
      <c r="Q310" s="338"/>
      <c r="R310" s="338"/>
      <c r="S310" s="339"/>
      <c r="T310" s="127"/>
      <c r="U310" s="135" t="s">
        <v>2898</v>
      </c>
      <c r="V310" s="129">
        <v>150</v>
      </c>
      <c r="W310" s="340"/>
      <c r="X310" s="341"/>
    </row>
    <row r="311" spans="1:24" s="342" customFormat="1">
      <c r="A311" s="356">
        <v>0.05</v>
      </c>
      <c r="B311" s="333">
        <f>B310+1</f>
        <v>3</v>
      </c>
      <c r="C311" s="395">
        <v>45890</v>
      </c>
      <c r="D311" s="330" t="s">
        <v>2899</v>
      </c>
      <c r="E311" s="396" t="s">
        <v>1058</v>
      </c>
      <c r="F311" s="397">
        <v>59586</v>
      </c>
      <c r="G311" s="397">
        <f>39.7+(117.24)+(141.77)+(F311*0.25)</f>
        <v>15195.21</v>
      </c>
      <c r="H311" s="591"/>
      <c r="I311" s="398">
        <f>F311-G311-H311</f>
        <v>44390.79</v>
      </c>
      <c r="J311" s="399" t="s">
        <v>374</v>
      </c>
      <c r="K311" s="399">
        <v>1</v>
      </c>
      <c r="L311" s="399"/>
      <c r="M311" s="399"/>
      <c r="N311" s="399">
        <v>1</v>
      </c>
      <c r="O311" s="399">
        <v>1</v>
      </c>
      <c r="P311" s="399">
        <v>1</v>
      </c>
      <c r="Q311" s="399"/>
      <c r="R311" s="399"/>
      <c r="S311" s="400"/>
      <c r="T311" s="127"/>
      <c r="U311" s="123" t="s">
        <v>2900</v>
      </c>
      <c r="V311" s="129"/>
      <c r="W311" s="340"/>
      <c r="X311" s="341"/>
    </row>
    <row r="312" spans="1:24">
      <c r="A312" s="128"/>
      <c r="B312" s="132"/>
      <c r="C312" s="122"/>
      <c r="D312" s="123"/>
      <c r="E312" s="123"/>
      <c r="F312" s="133">
        <f>SUM(F309:F311)</f>
        <v>66828</v>
      </c>
      <c r="G312" s="133">
        <f>SUM(G309:G311)</f>
        <v>15612.07</v>
      </c>
      <c r="H312" s="133">
        <f>SUM(H309:H311)</f>
        <v>0</v>
      </c>
      <c r="I312" s="134">
        <f>SUM(I309:I311)</f>
        <v>51215.93</v>
      </c>
      <c r="J312" s="127"/>
      <c r="K312" s="64"/>
      <c r="L312" s="64"/>
      <c r="M312" s="64"/>
      <c r="N312" s="64"/>
      <c r="O312" s="64"/>
      <c r="P312" s="64"/>
      <c r="Q312" s="64"/>
      <c r="R312" s="64"/>
      <c r="S312" s="64"/>
      <c r="T312" s="127"/>
      <c r="U312" s="135"/>
      <c r="V312" s="129"/>
      <c r="W312" s="130"/>
      <c r="X312" s="131"/>
    </row>
    <row r="313" spans="1:24">
      <c r="A313" s="2"/>
      <c r="B313" s="11"/>
      <c r="C313" s="36"/>
      <c r="D313" s="10"/>
      <c r="E313" s="10"/>
      <c r="F313" s="88"/>
      <c r="G313" s="88"/>
      <c r="H313" s="88"/>
      <c r="I313" s="99"/>
      <c r="J313" s="10"/>
      <c r="K313" s="63"/>
      <c r="L313" s="63"/>
      <c r="M313" s="63"/>
      <c r="N313" s="63"/>
      <c r="O313" s="63"/>
      <c r="P313" s="63"/>
      <c r="Q313" s="63"/>
      <c r="R313" s="63"/>
      <c r="S313" s="63"/>
      <c r="T313" s="63"/>
      <c r="U313" s="94"/>
      <c r="V313" s="90"/>
      <c r="W313" s="91"/>
      <c r="X313" s="92"/>
    </row>
    <row r="314" spans="1:24" s="342" customFormat="1">
      <c r="B314" s="100" t="s">
        <v>152</v>
      </c>
      <c r="C314" s="122"/>
      <c r="D314" s="123"/>
      <c r="E314" s="123"/>
      <c r="F314" s="124"/>
      <c r="G314" s="125"/>
      <c r="H314" s="124"/>
      <c r="I314" s="126"/>
      <c r="J314" s="127"/>
      <c r="K314" s="128"/>
      <c r="L314" s="128"/>
      <c r="M314" s="128"/>
      <c r="N314" s="128"/>
      <c r="O314" s="128"/>
      <c r="P314" s="128"/>
      <c r="Q314" s="128"/>
      <c r="R314" s="128"/>
      <c r="S314" s="128"/>
      <c r="T314" s="127"/>
      <c r="U314" s="123"/>
      <c r="V314" s="129"/>
      <c r="W314" s="130"/>
      <c r="X314" s="131"/>
    </row>
    <row r="315" spans="1:24" s="260" customFormat="1">
      <c r="A315" s="494">
        <v>0.05</v>
      </c>
      <c r="B315" s="87">
        <v>1</v>
      </c>
      <c r="C315" s="262">
        <v>45866</v>
      </c>
      <c r="D315" s="263">
        <v>71800</v>
      </c>
      <c r="E315" s="271" t="s">
        <v>2823</v>
      </c>
      <c r="F315" s="265">
        <v>6214</v>
      </c>
      <c r="G315" s="265">
        <f>39.7+(1288.73)+250</f>
        <v>1578.43</v>
      </c>
      <c r="H315" s="265"/>
      <c r="I315" s="266">
        <f>F315-G315-H315</f>
        <v>4635.57</v>
      </c>
      <c r="J315" s="267" t="s">
        <v>156</v>
      </c>
      <c r="K315" s="267">
        <v>1</v>
      </c>
      <c r="L315" s="314">
        <v>0</v>
      </c>
      <c r="M315" s="267">
        <v>1</v>
      </c>
      <c r="N315" s="267">
        <v>1</v>
      </c>
      <c r="O315" s="267">
        <v>1</v>
      </c>
      <c r="P315" s="314">
        <v>0</v>
      </c>
      <c r="Q315" s="314">
        <v>0</v>
      </c>
      <c r="R315" s="314">
        <v>0</v>
      </c>
      <c r="S315" s="366">
        <v>0</v>
      </c>
      <c r="T315" s="63"/>
      <c r="U315" s="94" t="s">
        <v>2901</v>
      </c>
      <c r="V315" s="90"/>
      <c r="W315" s="136"/>
      <c r="X315" s="92"/>
    </row>
    <row r="316" spans="1:24" s="260" customFormat="1">
      <c r="A316" s="260" t="s">
        <v>619</v>
      </c>
      <c r="B316" s="87">
        <f>B315+1</f>
        <v>2</v>
      </c>
      <c r="C316" s="262">
        <v>45866</v>
      </c>
      <c r="D316" s="263">
        <v>71787</v>
      </c>
      <c r="E316" s="271" t="s">
        <v>1338</v>
      </c>
      <c r="F316" s="265">
        <v>28614</v>
      </c>
      <c r="G316" s="265">
        <f>39.7+1424.2+(474.48+162.31+289.19+9.1+8.29-78.88)+(F316*0.25)</f>
        <v>9481.89</v>
      </c>
      <c r="H316" s="265"/>
      <c r="I316" s="266">
        <f t="shared" ref="I316:I317" si="71">F316-G316-H316</f>
        <v>19132.11</v>
      </c>
      <c r="J316" s="267" t="s">
        <v>374</v>
      </c>
      <c r="K316" s="267">
        <v>1</v>
      </c>
      <c r="L316" s="267"/>
      <c r="M316" s="267">
        <v>1</v>
      </c>
      <c r="N316" s="267">
        <v>1</v>
      </c>
      <c r="O316" s="267">
        <v>1</v>
      </c>
      <c r="P316" s="314">
        <v>0</v>
      </c>
      <c r="Q316" s="314">
        <v>0</v>
      </c>
      <c r="R316" s="314">
        <v>0</v>
      </c>
      <c r="S316" s="366">
        <v>0</v>
      </c>
      <c r="T316" s="63"/>
      <c r="U316" s="94" t="s">
        <v>2852</v>
      </c>
      <c r="V316" s="90"/>
      <c r="W316" s="136"/>
      <c r="X316" s="137"/>
    </row>
    <row r="317" spans="1:24" s="260" customFormat="1">
      <c r="A317" s="261" t="s">
        <v>619</v>
      </c>
      <c r="B317" s="87">
        <f>B316+1</f>
        <v>3</v>
      </c>
      <c r="C317" s="274">
        <v>45873</v>
      </c>
      <c r="D317" s="327">
        <v>71967</v>
      </c>
      <c r="E317" s="281" t="s">
        <v>1256</v>
      </c>
      <c r="F317" s="277">
        <v>2681</v>
      </c>
      <c r="G317" s="277">
        <f>39.7+(189.05)+(15.38)+200</f>
        <v>444.13</v>
      </c>
      <c r="H317" s="277"/>
      <c r="I317" s="321">
        <f t="shared" si="71"/>
        <v>2236.87</v>
      </c>
      <c r="J317" s="279" t="s">
        <v>374</v>
      </c>
      <c r="K317" s="279">
        <v>1</v>
      </c>
      <c r="L317" s="279">
        <v>1</v>
      </c>
      <c r="M317" s="279">
        <v>1</v>
      </c>
      <c r="N317" s="279">
        <v>1</v>
      </c>
      <c r="O317" s="279">
        <v>1</v>
      </c>
      <c r="P317" s="322">
        <v>0</v>
      </c>
      <c r="Q317" s="279">
        <v>1</v>
      </c>
      <c r="R317" s="279">
        <v>1</v>
      </c>
      <c r="S317" s="280">
        <v>1</v>
      </c>
      <c r="T317" s="63"/>
      <c r="U317" s="10" t="s">
        <v>2851</v>
      </c>
      <c r="V317" s="90"/>
      <c r="W317" s="91"/>
      <c r="X317" s="92"/>
    </row>
    <row r="318" spans="1:24" s="260" customFormat="1">
      <c r="A318" s="181" t="s">
        <v>619</v>
      </c>
      <c r="B318" s="87">
        <f>B317+1</f>
        <v>4</v>
      </c>
      <c r="C318" s="262">
        <v>45881</v>
      </c>
      <c r="D318" s="263">
        <v>72270</v>
      </c>
      <c r="E318" s="271" t="s">
        <v>1120</v>
      </c>
      <c r="F318" s="265">
        <v>11380</v>
      </c>
      <c r="G318" s="265">
        <f>39.7+(227.91)+300</f>
        <v>567.61</v>
      </c>
      <c r="H318" s="265"/>
      <c r="I318" s="266">
        <f>F318-G318-H318</f>
        <v>10812.39</v>
      </c>
      <c r="J318" s="267" t="s">
        <v>156</v>
      </c>
      <c r="K318" s="267">
        <v>1</v>
      </c>
      <c r="L318" s="267"/>
      <c r="M318" s="267">
        <v>1</v>
      </c>
      <c r="N318" s="267">
        <v>1</v>
      </c>
      <c r="O318" s="267">
        <v>1</v>
      </c>
      <c r="P318" s="314">
        <v>0</v>
      </c>
      <c r="Q318" s="314">
        <v>0</v>
      </c>
      <c r="R318" s="314">
        <v>0</v>
      </c>
      <c r="S318" s="366">
        <v>0</v>
      </c>
      <c r="T318" s="63"/>
      <c r="U318" s="94" t="s">
        <v>2872</v>
      </c>
      <c r="V318" s="90"/>
      <c r="W318" s="136"/>
      <c r="X318" s="137"/>
    </row>
    <row r="319" spans="1:24" s="260" customFormat="1">
      <c r="B319" s="11"/>
      <c r="C319" s="36"/>
      <c r="D319" s="10"/>
      <c r="E319" s="10"/>
      <c r="F319" s="98">
        <f>SUM(F315:F318)</f>
        <v>48889</v>
      </c>
      <c r="G319" s="98">
        <f>SUM(G315:G318)</f>
        <v>12072.06</v>
      </c>
      <c r="H319" s="98">
        <f>SUM(H315:H318)</f>
        <v>0</v>
      </c>
      <c r="I319" s="98">
        <f>SUM(I315:I318)</f>
        <v>36816.94</v>
      </c>
      <c r="J319" s="63"/>
      <c r="K319" s="21"/>
      <c r="L319" s="21"/>
      <c r="M319" s="21"/>
      <c r="N319" s="21"/>
      <c r="O319" s="21"/>
      <c r="P319" s="21"/>
      <c r="Q319" s="21"/>
      <c r="R319" s="21"/>
      <c r="S319" s="21"/>
      <c r="T319" s="63"/>
      <c r="U319" s="10"/>
      <c r="V319" s="90"/>
      <c r="W319" s="91"/>
      <c r="X319" s="92"/>
    </row>
    <row r="320" spans="1:24" s="260" customFormat="1">
      <c r="B320" s="11"/>
      <c r="C320" s="36"/>
      <c r="D320" s="10"/>
      <c r="E320" s="10"/>
      <c r="F320" s="88"/>
      <c r="G320" s="88"/>
      <c r="H320" s="88"/>
      <c r="I320" s="99"/>
      <c r="J320" s="63"/>
      <c r="K320" s="21"/>
      <c r="L320" s="21"/>
      <c r="M320" s="21"/>
      <c r="N320" s="21"/>
      <c r="O320" s="21"/>
      <c r="P320" s="21"/>
      <c r="Q320" s="21"/>
      <c r="R320" s="21"/>
      <c r="S320" s="21"/>
      <c r="T320" s="63"/>
      <c r="U320" s="10"/>
      <c r="V320" s="90"/>
      <c r="W320" s="91"/>
      <c r="X320" s="92"/>
    </row>
    <row r="321" spans="1:24" s="260" customFormat="1">
      <c r="A321" s="181"/>
      <c r="B321" s="100" t="s">
        <v>202</v>
      </c>
      <c r="C321" s="36"/>
      <c r="D321" s="10"/>
      <c r="E321" s="181"/>
      <c r="F321" s="88"/>
      <c r="G321" s="88"/>
      <c r="H321" s="88"/>
      <c r="I321" s="99"/>
      <c r="J321" s="63"/>
      <c r="K321" s="21"/>
      <c r="L321" s="21"/>
      <c r="M321" s="21"/>
      <c r="N321" s="21"/>
      <c r="O321" s="21"/>
      <c r="P321" s="21"/>
      <c r="Q321" s="21"/>
      <c r="R321" s="21"/>
      <c r="S321" s="21"/>
      <c r="T321" s="63"/>
      <c r="U321" s="94"/>
      <c r="V321" s="90"/>
      <c r="W321" s="91"/>
      <c r="X321" s="92"/>
    </row>
    <row r="322" spans="1:24" s="260" customFormat="1">
      <c r="A322" s="261">
        <v>0.05</v>
      </c>
      <c r="B322" s="87">
        <v>1</v>
      </c>
      <c r="C322" s="274">
        <v>45880</v>
      </c>
      <c r="D322" s="327">
        <v>72052</v>
      </c>
      <c r="E322" s="276" t="s">
        <v>1047</v>
      </c>
      <c r="F322" s="277">
        <v>2000</v>
      </c>
      <c r="G322" s="277">
        <f>39.7+300</f>
        <v>339.7</v>
      </c>
      <c r="H322" s="277"/>
      <c r="I322" s="321">
        <f>F322-G322-H322</f>
        <v>1660.3</v>
      </c>
      <c r="J322" s="279" t="s">
        <v>150</v>
      </c>
      <c r="K322" s="279">
        <v>1</v>
      </c>
      <c r="L322" s="279"/>
      <c r="M322" s="322">
        <v>0</v>
      </c>
      <c r="N322" s="279">
        <v>1</v>
      </c>
      <c r="O322" s="279">
        <v>1</v>
      </c>
      <c r="P322" s="279">
        <v>1</v>
      </c>
      <c r="Q322" s="279"/>
      <c r="R322" s="279"/>
      <c r="S322" s="280"/>
      <c r="T322" s="63"/>
      <c r="U322" s="94" t="s">
        <v>2902</v>
      </c>
      <c r="V322" s="90"/>
      <c r="W322" s="136"/>
      <c r="X322" s="137"/>
    </row>
    <row r="323" spans="1:24" s="260" customFormat="1">
      <c r="A323" s="261">
        <v>0.05</v>
      </c>
      <c r="B323" s="87">
        <f>B322+1</f>
        <v>2</v>
      </c>
      <c r="C323" s="262">
        <v>45884</v>
      </c>
      <c r="D323" s="263">
        <v>72342</v>
      </c>
      <c r="E323" s="271" t="s">
        <v>1231</v>
      </c>
      <c r="F323" s="265">
        <v>2215</v>
      </c>
      <c r="G323" s="265">
        <f>39.7</f>
        <v>39.700000000000003</v>
      </c>
      <c r="H323" s="265"/>
      <c r="I323" s="266">
        <f>F323-G323-H323</f>
        <v>2175.3000000000002</v>
      </c>
      <c r="J323" s="267" t="s">
        <v>156</v>
      </c>
      <c r="K323" s="267">
        <v>1</v>
      </c>
      <c r="L323" s="267"/>
      <c r="M323" s="267">
        <v>1</v>
      </c>
      <c r="N323" s="267">
        <v>1</v>
      </c>
      <c r="O323" s="267">
        <v>1</v>
      </c>
      <c r="P323" s="314">
        <v>0</v>
      </c>
      <c r="Q323" s="267"/>
      <c r="R323" s="267"/>
      <c r="S323" s="269"/>
      <c r="T323" s="63"/>
      <c r="U323" s="94"/>
      <c r="V323" s="90"/>
      <c r="W323" s="136"/>
      <c r="X323" s="137"/>
    </row>
    <row r="324" spans="1:24" s="260" customFormat="1">
      <c r="A324" s="181"/>
      <c r="B324" s="11"/>
      <c r="C324" s="36"/>
      <c r="D324" s="10"/>
      <c r="E324" s="10"/>
      <c r="F324" s="97">
        <f>SUM(F322:F323)</f>
        <v>4215</v>
      </c>
      <c r="G324" s="97">
        <f>SUM(G322:G323)</f>
        <v>379.4</v>
      </c>
      <c r="H324" s="97">
        <f>SUM(H322:H323)</f>
        <v>0</v>
      </c>
      <c r="I324" s="98">
        <f>SUM(I322:I323)</f>
        <v>3835.6000000000004</v>
      </c>
      <c r="J324" s="63"/>
      <c r="K324" s="21"/>
      <c r="L324" s="21"/>
      <c r="M324" s="21"/>
      <c r="N324" s="21"/>
      <c r="O324" s="21"/>
      <c r="P324" s="21"/>
      <c r="Q324" s="21"/>
      <c r="R324" s="21"/>
      <c r="S324" s="21"/>
      <c r="T324" s="63"/>
      <c r="U324" s="94"/>
      <c r="V324" s="90"/>
      <c r="W324" s="91"/>
      <c r="X324" s="92"/>
    </row>
    <row r="325" spans="1:24">
      <c r="A325" s="2"/>
      <c r="B325" s="11"/>
      <c r="C325" s="36"/>
      <c r="D325" s="10"/>
      <c r="E325" s="10"/>
      <c r="F325" s="88"/>
      <c r="G325" s="88"/>
      <c r="H325" s="88"/>
      <c r="I325" s="99"/>
      <c r="J325" s="63"/>
      <c r="K325" s="21"/>
      <c r="L325" s="21"/>
      <c r="M325" s="21"/>
      <c r="N325" s="21"/>
      <c r="O325" s="21"/>
      <c r="P325" s="21"/>
      <c r="Q325" s="21"/>
      <c r="R325" s="21"/>
      <c r="S325" s="21"/>
      <c r="T325" s="63"/>
      <c r="U325" s="94"/>
      <c r="V325" s="90"/>
      <c r="W325" s="91"/>
      <c r="X325" s="92"/>
    </row>
    <row r="326" spans="1:24">
      <c r="A326" s="2"/>
      <c r="B326" s="100" t="s">
        <v>72</v>
      </c>
      <c r="C326" s="36"/>
      <c r="D326" s="10"/>
      <c r="E326" s="10"/>
      <c r="F326" s="88"/>
      <c r="G326" s="88"/>
      <c r="H326" s="88"/>
      <c r="I326" s="99"/>
      <c r="J326" s="63"/>
      <c r="K326" s="63"/>
      <c r="L326" s="63"/>
      <c r="M326" s="63"/>
      <c r="N326" s="63"/>
      <c r="O326" s="63"/>
      <c r="P326" s="63"/>
      <c r="Q326" s="63"/>
      <c r="R326" s="63"/>
      <c r="S326" s="63"/>
      <c r="T326" s="63"/>
      <c r="U326" s="10"/>
      <c r="V326" s="90"/>
      <c r="W326" s="91"/>
      <c r="X326" s="92"/>
    </row>
    <row r="327" spans="1:24">
      <c r="A327" s="2"/>
      <c r="B327" s="87">
        <v>1</v>
      </c>
      <c r="C327" s="274">
        <v>45887</v>
      </c>
      <c r="D327" s="276">
        <v>72343</v>
      </c>
      <c r="E327" s="276" t="s">
        <v>1509</v>
      </c>
      <c r="F327" s="277">
        <v>6214</v>
      </c>
      <c r="G327" s="277">
        <f>39.7</f>
        <v>39.700000000000003</v>
      </c>
      <c r="H327" s="277"/>
      <c r="I327" s="278">
        <f t="shared" ref="I327:I345" si="72">F327-G327-H327</f>
        <v>6174.3</v>
      </c>
      <c r="J327" s="279" t="s">
        <v>205</v>
      </c>
      <c r="K327" s="279">
        <v>1</v>
      </c>
      <c r="L327" s="279"/>
      <c r="M327" s="279"/>
      <c r="N327" s="279">
        <v>1</v>
      </c>
      <c r="O327" s="279"/>
      <c r="P327" s="279"/>
      <c r="Q327" s="279"/>
      <c r="R327" s="279"/>
      <c r="S327" s="280"/>
      <c r="T327" s="63"/>
      <c r="U327" s="3"/>
      <c r="V327" s="90"/>
      <c r="W327" s="91"/>
      <c r="X327" s="92"/>
    </row>
    <row r="328" spans="1:24">
      <c r="A328" s="2"/>
      <c r="B328" s="87">
        <f t="shared" ref="B328:B344" si="73">B327+1</f>
        <v>2</v>
      </c>
      <c r="C328" s="295">
        <v>45887</v>
      </c>
      <c r="D328" s="10" t="s">
        <v>2903</v>
      </c>
      <c r="E328" s="10" t="s">
        <v>149</v>
      </c>
      <c r="F328" s="62">
        <v>6130</v>
      </c>
      <c r="G328" s="62">
        <v>39.700000000000003</v>
      </c>
      <c r="H328" s="62"/>
      <c r="I328" s="89">
        <f t="shared" si="72"/>
        <v>6090.3</v>
      </c>
      <c r="J328" s="63" t="s">
        <v>205</v>
      </c>
      <c r="K328" s="63">
        <v>1</v>
      </c>
      <c r="L328" s="63"/>
      <c r="M328" s="63"/>
      <c r="N328" s="63">
        <v>1</v>
      </c>
      <c r="O328" s="63"/>
      <c r="P328" s="63"/>
      <c r="Q328" s="63"/>
      <c r="R328" s="63"/>
      <c r="S328" s="296"/>
      <c r="T328" s="63"/>
      <c r="U328" s="10"/>
      <c r="V328" s="90"/>
      <c r="W328" s="136"/>
      <c r="X328" s="137"/>
    </row>
    <row r="329" spans="1:24">
      <c r="A329" s="2"/>
      <c r="B329" s="87">
        <f>B328+1</f>
        <v>3</v>
      </c>
      <c r="C329" s="295">
        <v>45887</v>
      </c>
      <c r="D329" s="10" t="s">
        <v>2904</v>
      </c>
      <c r="E329" s="10" t="s">
        <v>149</v>
      </c>
      <c r="F329" s="62">
        <v>613</v>
      </c>
      <c r="G329" s="62"/>
      <c r="H329" s="62"/>
      <c r="I329" s="89">
        <f t="shared" si="72"/>
        <v>613</v>
      </c>
      <c r="J329" s="63" t="s">
        <v>205</v>
      </c>
      <c r="K329" s="63">
        <v>1</v>
      </c>
      <c r="L329" s="63"/>
      <c r="M329" s="63"/>
      <c r="N329" s="63">
        <v>1</v>
      </c>
      <c r="O329" s="63"/>
      <c r="P329" s="63"/>
      <c r="Q329" s="63"/>
      <c r="R329" s="63"/>
      <c r="S329" s="296"/>
      <c r="T329" s="63"/>
      <c r="U329" s="10"/>
      <c r="V329" s="90"/>
      <c r="W329" s="136"/>
      <c r="X329" s="137"/>
    </row>
    <row r="330" spans="1:24">
      <c r="A330" s="2"/>
      <c r="B330" s="87">
        <f>B329+1</f>
        <v>4</v>
      </c>
      <c r="C330" s="295">
        <v>45887</v>
      </c>
      <c r="D330" s="10" t="s">
        <v>2905</v>
      </c>
      <c r="E330" s="10" t="s">
        <v>149</v>
      </c>
      <c r="F330" s="62">
        <v>545.45000000000005</v>
      </c>
      <c r="G330" s="62">
        <f>39.7+(1368.98)</f>
        <v>1408.68</v>
      </c>
      <c r="H330" s="62"/>
      <c r="I330" s="89">
        <f>F330-G330-H330</f>
        <v>-863.23</v>
      </c>
      <c r="J330" s="63" t="s">
        <v>156</v>
      </c>
      <c r="K330" s="63">
        <v>1</v>
      </c>
      <c r="L330" s="63"/>
      <c r="M330" s="63">
        <v>1</v>
      </c>
      <c r="N330" s="63">
        <v>1</v>
      </c>
      <c r="O330" s="63">
        <v>1</v>
      </c>
      <c r="P330" s="63">
        <v>1</v>
      </c>
      <c r="Q330" s="63">
        <v>1</v>
      </c>
      <c r="R330" s="63">
        <v>1</v>
      </c>
      <c r="S330" s="296">
        <v>1</v>
      </c>
      <c r="T330" s="63"/>
      <c r="U330" s="94" t="s">
        <v>2906</v>
      </c>
      <c r="V330" s="90">
        <f>600</f>
        <v>600</v>
      </c>
      <c r="W330" s="136"/>
      <c r="X330" s="137"/>
    </row>
    <row r="331" spans="1:24">
      <c r="A331" s="2"/>
      <c r="B331" s="87">
        <f>B330+1</f>
        <v>5</v>
      </c>
      <c r="C331" s="295">
        <v>45887</v>
      </c>
      <c r="D331" s="10">
        <v>72384</v>
      </c>
      <c r="E331" s="10" t="s">
        <v>1088</v>
      </c>
      <c r="F331" s="62">
        <v>5230</v>
      </c>
      <c r="G331" s="62">
        <f>39.7</f>
        <v>39.700000000000003</v>
      </c>
      <c r="H331" s="62"/>
      <c r="I331" s="89">
        <f t="shared" si="72"/>
        <v>5190.3</v>
      </c>
      <c r="J331" s="63" t="s">
        <v>205</v>
      </c>
      <c r="K331" s="63">
        <v>1</v>
      </c>
      <c r="L331" s="63"/>
      <c r="M331" s="63"/>
      <c r="N331" s="63">
        <v>1</v>
      </c>
      <c r="O331" s="63"/>
      <c r="P331" s="63"/>
      <c r="Q331" s="63"/>
      <c r="R331" s="63"/>
      <c r="S331" s="296"/>
      <c r="T331" s="63"/>
      <c r="U331" s="10"/>
      <c r="V331" s="90"/>
      <c r="W331" s="136"/>
      <c r="X331" s="137"/>
    </row>
    <row r="332" spans="1:24">
      <c r="A332" s="2"/>
      <c r="B332" s="87">
        <f>B331+1</f>
        <v>6</v>
      </c>
      <c r="C332" s="295">
        <v>45887</v>
      </c>
      <c r="D332" s="10">
        <v>72379</v>
      </c>
      <c r="E332" s="101" t="s">
        <v>1291</v>
      </c>
      <c r="F332" s="62">
        <v>4861</v>
      </c>
      <c r="G332" s="62">
        <v>39.700000000000003</v>
      </c>
      <c r="H332" s="62"/>
      <c r="I332" s="89">
        <f t="shared" si="72"/>
        <v>4821.3</v>
      </c>
      <c r="J332" s="63" t="s">
        <v>205</v>
      </c>
      <c r="K332" s="63">
        <v>1</v>
      </c>
      <c r="L332" s="63"/>
      <c r="M332" s="63"/>
      <c r="N332" s="63">
        <v>1</v>
      </c>
      <c r="O332" s="63"/>
      <c r="P332" s="63"/>
      <c r="Q332" s="63"/>
      <c r="R332" s="63"/>
      <c r="S332" s="296"/>
      <c r="T332" s="63"/>
      <c r="U332" s="10"/>
      <c r="V332" s="90"/>
      <c r="W332" s="136"/>
      <c r="X332" s="137"/>
    </row>
    <row r="333" spans="1:24">
      <c r="A333" s="2"/>
      <c r="B333" s="87">
        <f>B332+1</f>
        <v>7</v>
      </c>
      <c r="C333" s="295">
        <v>45887</v>
      </c>
      <c r="D333" s="10">
        <v>72332</v>
      </c>
      <c r="E333" s="101" t="s">
        <v>1256</v>
      </c>
      <c r="F333" s="62">
        <v>0</v>
      </c>
      <c r="G333" s="62">
        <v>0</v>
      </c>
      <c r="H333" s="62"/>
      <c r="I333" s="89">
        <f t="shared" si="72"/>
        <v>0</v>
      </c>
      <c r="J333" s="63" t="s">
        <v>205</v>
      </c>
      <c r="K333" s="63"/>
      <c r="L333" s="63"/>
      <c r="M333" s="63"/>
      <c r="N333" s="63"/>
      <c r="O333" s="63"/>
      <c r="P333" s="63"/>
      <c r="Q333" s="63"/>
      <c r="R333" s="63"/>
      <c r="S333" s="296"/>
      <c r="T333" s="63"/>
      <c r="U333" s="10"/>
      <c r="V333" s="90"/>
      <c r="W333" s="136"/>
      <c r="X333" s="137"/>
    </row>
    <row r="334" spans="1:24">
      <c r="A334" s="2"/>
      <c r="B334" s="87">
        <f>B333+1</f>
        <v>8</v>
      </c>
      <c r="C334" s="274">
        <v>45888</v>
      </c>
      <c r="D334" s="276">
        <v>72364</v>
      </c>
      <c r="E334" s="281" t="s">
        <v>1098</v>
      </c>
      <c r="F334" s="277">
        <v>10214</v>
      </c>
      <c r="G334" s="277">
        <v>39.700000000000003</v>
      </c>
      <c r="H334" s="277"/>
      <c r="I334" s="278">
        <f t="shared" si="72"/>
        <v>10174.299999999999</v>
      </c>
      <c r="J334" s="279" t="s">
        <v>205</v>
      </c>
      <c r="K334" s="279">
        <v>1</v>
      </c>
      <c r="L334" s="279"/>
      <c r="M334" s="279"/>
      <c r="N334" s="279">
        <v>1</v>
      </c>
      <c r="O334" s="279"/>
      <c r="P334" s="279"/>
      <c r="Q334" s="279"/>
      <c r="R334" s="279"/>
      <c r="S334" s="280"/>
      <c r="T334" s="63"/>
      <c r="U334" s="10"/>
      <c r="V334" s="90"/>
      <c r="W334" s="136"/>
      <c r="X334" s="137"/>
    </row>
    <row r="335" spans="1:24">
      <c r="A335" s="2"/>
      <c r="B335" s="87">
        <f>B334+1</f>
        <v>9</v>
      </c>
      <c r="C335" s="295">
        <v>45888</v>
      </c>
      <c r="D335" s="10">
        <v>72411</v>
      </c>
      <c r="E335" s="10" t="s">
        <v>1098</v>
      </c>
      <c r="F335" s="62">
        <v>6214</v>
      </c>
      <c r="G335" s="62">
        <f>39.7</f>
        <v>39.700000000000003</v>
      </c>
      <c r="H335" s="62"/>
      <c r="I335" s="89">
        <f>F335-G335-H335</f>
        <v>6174.3</v>
      </c>
      <c r="J335" s="63"/>
      <c r="K335" s="63">
        <v>1</v>
      </c>
      <c r="L335" s="63"/>
      <c r="M335" s="63"/>
      <c r="N335" s="63">
        <v>1</v>
      </c>
      <c r="O335" s="63">
        <v>1</v>
      </c>
      <c r="P335" s="63">
        <v>0</v>
      </c>
      <c r="Q335" s="63">
        <v>1</v>
      </c>
      <c r="R335" s="63">
        <v>1</v>
      </c>
      <c r="S335" s="296">
        <v>1</v>
      </c>
      <c r="T335" s="63"/>
      <c r="U335" s="10"/>
      <c r="V335" s="90"/>
      <c r="W335" s="136"/>
      <c r="X335" s="137"/>
    </row>
    <row r="336" spans="1:24">
      <c r="A336" s="2"/>
      <c r="B336" s="87">
        <f>B335+1</f>
        <v>10</v>
      </c>
      <c r="C336" s="274">
        <v>45889</v>
      </c>
      <c r="D336" s="276" t="s">
        <v>2907</v>
      </c>
      <c r="E336" s="281" t="s">
        <v>2896</v>
      </c>
      <c r="F336" s="277">
        <v>681</v>
      </c>
      <c r="G336" s="277"/>
      <c r="H336" s="277"/>
      <c r="I336" s="278">
        <f t="shared" si="72"/>
        <v>681</v>
      </c>
      <c r="J336" s="279" t="s">
        <v>205</v>
      </c>
      <c r="K336" s="279">
        <v>1</v>
      </c>
      <c r="L336" s="279"/>
      <c r="M336" s="279"/>
      <c r="N336" s="279">
        <v>1</v>
      </c>
      <c r="O336" s="279"/>
      <c r="P336" s="279"/>
      <c r="Q336" s="279"/>
      <c r="R336" s="279"/>
      <c r="S336" s="280"/>
      <c r="T336" s="63"/>
      <c r="U336" s="10"/>
      <c r="V336" s="90"/>
      <c r="W336" s="136"/>
      <c r="X336" s="137"/>
    </row>
    <row r="337" spans="1:24">
      <c r="A337" s="2"/>
      <c r="B337" s="87">
        <f>B336+1</f>
        <v>11</v>
      </c>
      <c r="C337" s="295">
        <v>45889</v>
      </c>
      <c r="D337" s="10" t="s">
        <v>2908</v>
      </c>
      <c r="E337" s="101" t="s">
        <v>2896</v>
      </c>
      <c r="F337" s="62">
        <v>4861</v>
      </c>
      <c r="G337" s="62">
        <f>39.7</f>
        <v>39.700000000000003</v>
      </c>
      <c r="H337" s="62"/>
      <c r="I337" s="89">
        <f t="shared" si="72"/>
        <v>4821.3</v>
      </c>
      <c r="J337" s="63" t="s">
        <v>205</v>
      </c>
      <c r="K337" s="63">
        <v>1</v>
      </c>
      <c r="L337" s="63"/>
      <c r="M337" s="63"/>
      <c r="N337" s="63">
        <v>1</v>
      </c>
      <c r="O337" s="63"/>
      <c r="P337" s="63"/>
      <c r="Q337" s="63"/>
      <c r="R337" s="63"/>
      <c r="S337" s="296"/>
      <c r="T337" s="63"/>
      <c r="U337" s="10"/>
      <c r="V337" s="90"/>
      <c r="W337" s="136"/>
      <c r="X337" s="137"/>
    </row>
    <row r="338" spans="1:24">
      <c r="A338" s="2"/>
      <c r="B338" s="87">
        <f>B337+1</f>
        <v>12</v>
      </c>
      <c r="C338" s="295">
        <v>45889</v>
      </c>
      <c r="D338" s="10" t="s">
        <v>2909</v>
      </c>
      <c r="E338" s="94" t="s">
        <v>1260</v>
      </c>
      <c r="F338" s="62">
        <v>10214</v>
      </c>
      <c r="G338" s="62">
        <v>39.700000000000003</v>
      </c>
      <c r="H338" s="62"/>
      <c r="I338" s="89">
        <f t="shared" si="72"/>
        <v>10174.299999999999</v>
      </c>
      <c r="J338" s="63" t="s">
        <v>205</v>
      </c>
      <c r="K338" s="63">
        <v>1</v>
      </c>
      <c r="L338" s="63"/>
      <c r="M338" s="63"/>
      <c r="N338" s="63">
        <v>1</v>
      </c>
      <c r="O338" s="63"/>
      <c r="P338" s="63"/>
      <c r="Q338" s="63"/>
      <c r="R338" s="63"/>
      <c r="S338" s="296"/>
      <c r="T338" s="63"/>
      <c r="U338" s="10"/>
      <c r="V338" s="90"/>
      <c r="W338" s="136"/>
      <c r="X338" s="137"/>
    </row>
    <row r="339" spans="1:24">
      <c r="A339" s="2"/>
      <c r="B339" s="87">
        <f>B338+1</f>
        <v>13</v>
      </c>
      <c r="C339" s="295">
        <v>45889</v>
      </c>
      <c r="D339" s="10">
        <v>72471</v>
      </c>
      <c r="E339" s="101" t="s">
        <v>1273</v>
      </c>
      <c r="F339" s="62">
        <v>1861</v>
      </c>
      <c r="G339" s="62">
        <v>39.700000000000003</v>
      </c>
      <c r="H339" s="62"/>
      <c r="I339" s="89">
        <f t="shared" si="72"/>
        <v>1821.3</v>
      </c>
      <c r="J339" s="63" t="s">
        <v>205</v>
      </c>
      <c r="K339" s="63">
        <v>1</v>
      </c>
      <c r="L339" s="63"/>
      <c r="M339" s="63"/>
      <c r="N339" s="63">
        <v>1</v>
      </c>
      <c r="O339" s="63"/>
      <c r="P339" s="63"/>
      <c r="Q339" s="63"/>
      <c r="R339" s="63"/>
      <c r="S339" s="296"/>
      <c r="T339" s="63"/>
      <c r="U339" s="10"/>
      <c r="V339" s="90"/>
      <c r="W339" s="136"/>
      <c r="X339" s="137"/>
    </row>
    <row r="340" spans="1:24">
      <c r="A340" s="2"/>
      <c r="B340" s="87">
        <f>B339+1</f>
        <v>14</v>
      </c>
      <c r="C340" s="274">
        <v>45890</v>
      </c>
      <c r="D340" s="276">
        <v>72504</v>
      </c>
      <c r="E340" s="276" t="s">
        <v>1211</v>
      </c>
      <c r="F340" s="277">
        <v>5899</v>
      </c>
      <c r="G340" s="277">
        <v>39.700000000000003</v>
      </c>
      <c r="H340" s="277"/>
      <c r="I340" s="278">
        <f t="shared" si="72"/>
        <v>5859.3</v>
      </c>
      <c r="J340" s="279" t="s">
        <v>205</v>
      </c>
      <c r="K340" s="279">
        <v>1</v>
      </c>
      <c r="L340" s="279"/>
      <c r="M340" s="279"/>
      <c r="N340" s="279">
        <v>1</v>
      </c>
      <c r="O340" s="279"/>
      <c r="P340" s="279"/>
      <c r="Q340" s="279"/>
      <c r="R340" s="279"/>
      <c r="S340" s="280"/>
      <c r="T340" s="63"/>
      <c r="U340" s="10"/>
      <c r="V340" s="90"/>
      <c r="W340" s="136"/>
      <c r="X340" s="137"/>
    </row>
    <row r="341" spans="1:24">
      <c r="A341" s="2"/>
      <c r="B341" s="87">
        <f>B340+1</f>
        <v>15</v>
      </c>
      <c r="C341" s="295">
        <v>45890</v>
      </c>
      <c r="D341" s="10">
        <v>72503</v>
      </c>
      <c r="E341" s="10" t="s">
        <v>604</v>
      </c>
      <c r="F341" s="62">
        <v>814</v>
      </c>
      <c r="G341" s="62">
        <v>39.700000000000003</v>
      </c>
      <c r="H341" s="62"/>
      <c r="I341" s="89">
        <f t="shared" si="72"/>
        <v>774.3</v>
      </c>
      <c r="J341" s="63" t="s">
        <v>205</v>
      </c>
      <c r="K341" s="63">
        <v>1</v>
      </c>
      <c r="L341" s="63"/>
      <c r="M341" s="63"/>
      <c r="N341" s="63">
        <v>1</v>
      </c>
      <c r="O341" s="63"/>
      <c r="P341" s="63"/>
      <c r="Q341" s="63"/>
      <c r="R341" s="63"/>
      <c r="S341" s="296"/>
      <c r="T341" s="63"/>
      <c r="U341" s="10"/>
      <c r="V341" s="90"/>
      <c r="W341" s="136"/>
      <c r="X341" s="137"/>
    </row>
    <row r="342" spans="1:24">
      <c r="A342" s="2"/>
      <c r="B342" s="87">
        <f>B341+1</f>
        <v>16</v>
      </c>
      <c r="C342" s="274">
        <v>45891</v>
      </c>
      <c r="D342" s="276">
        <v>72512</v>
      </c>
      <c r="E342" s="276" t="s">
        <v>1034</v>
      </c>
      <c r="F342" s="277">
        <v>0</v>
      </c>
      <c r="G342" s="277"/>
      <c r="H342" s="277"/>
      <c r="I342" s="278">
        <f t="shared" ref="I342" si="74">F342-G342-H342</f>
        <v>0</v>
      </c>
      <c r="J342" s="279" t="s">
        <v>219</v>
      </c>
      <c r="K342" s="279">
        <v>1</v>
      </c>
      <c r="L342" s="279"/>
      <c r="M342" s="279"/>
      <c r="N342" s="279"/>
      <c r="O342" s="279"/>
      <c r="P342" s="279"/>
      <c r="Q342" s="279"/>
      <c r="R342" s="279"/>
      <c r="S342" s="280"/>
      <c r="T342" s="63"/>
      <c r="U342" s="10"/>
      <c r="V342" s="90"/>
      <c r="W342" s="136"/>
      <c r="X342" s="137"/>
    </row>
    <row r="343" spans="1:24">
      <c r="A343" s="2"/>
      <c r="B343" s="87">
        <f>B342+1</f>
        <v>17</v>
      </c>
      <c r="C343" s="295">
        <v>45891</v>
      </c>
      <c r="D343" s="10">
        <v>72558</v>
      </c>
      <c r="E343" s="10" t="s">
        <v>1076</v>
      </c>
      <c r="F343" s="62">
        <v>614</v>
      </c>
      <c r="G343" s="62"/>
      <c r="H343" s="62"/>
      <c r="I343" s="89">
        <f t="shared" si="72"/>
        <v>614</v>
      </c>
      <c r="J343" s="63" t="s">
        <v>205</v>
      </c>
      <c r="K343" s="63">
        <v>1</v>
      </c>
      <c r="L343" s="63"/>
      <c r="M343" s="63"/>
      <c r="N343" s="63">
        <v>1</v>
      </c>
      <c r="O343" s="63"/>
      <c r="P343" s="63"/>
      <c r="Q343" s="63"/>
      <c r="R343" s="63"/>
      <c r="S343" s="296"/>
      <c r="T343" s="63"/>
      <c r="U343" s="10"/>
      <c r="V343" s="90"/>
      <c r="W343" s="136"/>
      <c r="X343" s="137"/>
    </row>
    <row r="344" spans="1:24">
      <c r="A344" s="2"/>
      <c r="B344" s="87">
        <f>B343+1</f>
        <v>18</v>
      </c>
      <c r="C344" s="295">
        <v>45891</v>
      </c>
      <c r="D344" s="10">
        <v>72556</v>
      </c>
      <c r="E344" s="10" t="s">
        <v>1283</v>
      </c>
      <c r="F344" s="62">
        <v>2404</v>
      </c>
      <c r="G344" s="62">
        <v>39.700000000000003</v>
      </c>
      <c r="H344" s="62"/>
      <c r="I344" s="89">
        <f t="shared" si="72"/>
        <v>2364.3000000000002</v>
      </c>
      <c r="J344" s="63" t="s">
        <v>205</v>
      </c>
      <c r="K344" s="63">
        <v>1</v>
      </c>
      <c r="L344" s="63"/>
      <c r="M344" s="63"/>
      <c r="N344" s="63">
        <v>1</v>
      </c>
      <c r="O344" s="63"/>
      <c r="P344" s="63"/>
      <c r="Q344" s="63"/>
      <c r="R344" s="63"/>
      <c r="S344" s="296"/>
      <c r="T344" s="63"/>
      <c r="U344" s="10"/>
      <c r="V344" s="90"/>
      <c r="W344" s="136"/>
      <c r="X344" s="137"/>
    </row>
    <row r="345" spans="1:24">
      <c r="A345" s="2"/>
      <c r="B345" s="87">
        <f>B344+1</f>
        <v>19</v>
      </c>
      <c r="C345" s="282">
        <v>45891</v>
      </c>
      <c r="D345" s="283">
        <v>72557</v>
      </c>
      <c r="E345" s="283" t="s">
        <v>673</v>
      </c>
      <c r="F345" s="284">
        <v>481</v>
      </c>
      <c r="G345" s="284"/>
      <c r="H345" s="284"/>
      <c r="I345" s="285">
        <f t="shared" si="72"/>
        <v>481</v>
      </c>
      <c r="J345" s="286" t="s">
        <v>205</v>
      </c>
      <c r="K345" s="286">
        <v>1</v>
      </c>
      <c r="L345" s="286"/>
      <c r="M345" s="286"/>
      <c r="N345" s="286">
        <v>1</v>
      </c>
      <c r="O345" s="286"/>
      <c r="P345" s="286"/>
      <c r="Q345" s="286"/>
      <c r="R345" s="286"/>
      <c r="S345" s="287"/>
      <c r="T345" s="63"/>
      <c r="U345" s="10"/>
      <c r="V345" s="138"/>
      <c r="W345" s="136"/>
      <c r="X345" s="137"/>
    </row>
    <row r="346" spans="1:24">
      <c r="A346" s="2"/>
      <c r="B346" s="11"/>
      <c r="C346" s="36"/>
      <c r="D346" s="10"/>
      <c r="E346" s="10"/>
      <c r="F346" s="98">
        <f>SUM(F327:F345)</f>
        <v>67850.45</v>
      </c>
      <c r="G346" s="98">
        <f>SUM(G327:G345)</f>
        <v>1885.0800000000006</v>
      </c>
      <c r="H346" s="98">
        <f>SUM(H327:H345)</f>
        <v>0</v>
      </c>
      <c r="I346" s="98">
        <f>SUM(I327:I345)</f>
        <v>65965.37000000001</v>
      </c>
      <c r="J346" s="10"/>
      <c r="K346" s="10"/>
      <c r="L346" s="10"/>
      <c r="M346" s="10"/>
      <c r="N346" s="10"/>
      <c r="O346" s="10"/>
      <c r="P346" s="10"/>
      <c r="Q346" s="10"/>
      <c r="R346" s="10"/>
      <c r="S346" s="10"/>
      <c r="T346" s="63"/>
      <c r="U346" s="10"/>
      <c r="V346" s="138"/>
      <c r="W346" s="136"/>
      <c r="X346" s="137"/>
    </row>
    <row r="347" spans="1:24">
      <c r="A347" s="2"/>
      <c r="B347" s="26"/>
      <c r="C347" s="140"/>
      <c r="D347" s="141"/>
      <c r="E347" s="141"/>
      <c r="F347" s="141"/>
      <c r="G347" s="141"/>
      <c r="H347" s="141"/>
      <c r="I347" s="141"/>
      <c r="J347" s="141"/>
      <c r="K347" s="142"/>
      <c r="L347" s="142"/>
      <c r="M347" s="142"/>
      <c r="N347" s="142"/>
      <c r="O347" s="142"/>
      <c r="P347" s="142"/>
      <c r="Q347" s="142"/>
      <c r="R347" s="142"/>
      <c r="S347" s="142"/>
      <c r="T347" s="143">
        <f>SUM(T293:T346)</f>
        <v>0</v>
      </c>
      <c r="U347" s="141"/>
      <c r="V347" s="144">
        <f>SUM(V293:V346)</f>
        <v>22154.65</v>
      </c>
      <c r="W347" s="145">
        <f>SUM(W293:W346)</f>
        <v>0</v>
      </c>
      <c r="X347" s="146">
        <f>SUM(X293:X346)</f>
        <v>0</v>
      </c>
    </row>
    <row r="350" spans="1:24">
      <c r="A350" s="3"/>
      <c r="B350" s="4" t="s">
        <v>1</v>
      </c>
      <c r="C350" s="5"/>
      <c r="D350" s="6"/>
      <c r="E350" s="6"/>
      <c r="F350" s="7" t="s">
        <v>2</v>
      </c>
      <c r="G350" s="590">
        <v>45900</v>
      </c>
      <c r="H350" s="7"/>
      <c r="I350" s="6"/>
      <c r="J350" s="6"/>
      <c r="K350" s="6"/>
      <c r="L350" s="6"/>
      <c r="M350" s="6"/>
      <c r="N350" s="6"/>
      <c r="O350" s="6"/>
      <c r="P350" s="6"/>
      <c r="Q350" s="6"/>
      <c r="R350" s="6"/>
      <c r="S350" s="6"/>
      <c r="T350" s="6"/>
      <c r="U350" s="9"/>
      <c r="V350" s="10"/>
      <c r="W350" s="10"/>
      <c r="X350" s="10"/>
    </row>
    <row r="351" spans="1:24">
      <c r="A351" s="2"/>
      <c r="B351" s="11"/>
      <c r="C351" s="10"/>
      <c r="D351" s="10"/>
      <c r="E351" s="10"/>
      <c r="F351" s="10"/>
      <c r="G351" s="7"/>
      <c r="H351" s="12"/>
      <c r="I351" s="10"/>
      <c r="J351" s="10"/>
      <c r="K351" s="13" t="s">
        <v>3</v>
      </c>
      <c r="L351" s="14"/>
      <c r="M351" s="15"/>
      <c r="N351" s="13" t="s">
        <v>4</v>
      </c>
      <c r="O351" s="14"/>
      <c r="P351" s="15"/>
      <c r="Q351" s="13" t="s">
        <v>5</v>
      </c>
      <c r="R351" s="14"/>
      <c r="S351" s="15"/>
      <c r="T351" s="16"/>
      <c r="U351" s="17"/>
      <c r="V351" s="10"/>
      <c r="W351" s="10"/>
      <c r="X351" s="10"/>
    </row>
    <row r="352" spans="1:24">
      <c r="A352" s="2"/>
      <c r="B352" s="18" t="s">
        <v>6</v>
      </c>
      <c r="C352" s="19">
        <f>C353+C354</f>
        <v>39</v>
      </c>
      <c r="D352" s="10"/>
      <c r="E352" s="18" t="s">
        <v>7</v>
      </c>
      <c r="F352" s="6"/>
      <c r="G352" s="9"/>
      <c r="H352" s="10"/>
      <c r="I352" s="10"/>
      <c r="J352" s="10"/>
      <c r="K352" s="20" t="s">
        <v>8</v>
      </c>
      <c r="L352" s="21" t="s">
        <v>9</v>
      </c>
      <c r="M352" s="21" t="s">
        <v>10</v>
      </c>
      <c r="N352" s="20" t="s">
        <v>11</v>
      </c>
      <c r="O352" s="21" t="s">
        <v>12</v>
      </c>
      <c r="P352" s="22" t="s">
        <v>13</v>
      </c>
      <c r="Q352" s="21" t="s">
        <v>11</v>
      </c>
      <c r="R352" s="21" t="s">
        <v>12</v>
      </c>
      <c r="S352" s="22" t="s">
        <v>13</v>
      </c>
      <c r="T352" s="23" t="s">
        <v>14</v>
      </c>
      <c r="U352" s="17"/>
      <c r="V352" s="10"/>
      <c r="W352" s="10"/>
      <c r="X352" s="10"/>
    </row>
    <row r="353" spans="1:24">
      <c r="A353" s="2"/>
      <c r="B353" s="24" t="s">
        <v>15</v>
      </c>
      <c r="C353" s="25">
        <f>P360</f>
        <v>17</v>
      </c>
      <c r="D353" s="10"/>
      <c r="E353" s="26" t="s">
        <v>16</v>
      </c>
      <c r="F353" s="27">
        <v>0.05</v>
      </c>
      <c r="G353" s="28"/>
      <c r="H353" s="10"/>
      <c r="I353" s="10"/>
      <c r="J353" s="18" t="s">
        <v>17</v>
      </c>
      <c r="K353" s="29">
        <f>K393</f>
        <v>14</v>
      </c>
      <c r="L353" s="29">
        <f t="shared" ref="L353:S353" si="75">L393</f>
        <v>14</v>
      </c>
      <c r="M353" s="29">
        <f t="shared" si="75"/>
        <v>14</v>
      </c>
      <c r="N353" s="29">
        <f t="shared" si="75"/>
        <v>14</v>
      </c>
      <c r="O353" s="29">
        <f t="shared" si="75"/>
        <v>14</v>
      </c>
      <c r="P353" s="29">
        <f t="shared" si="75"/>
        <v>11</v>
      </c>
      <c r="Q353" s="29">
        <f t="shared" si="75"/>
        <v>8</v>
      </c>
      <c r="R353" s="29">
        <f t="shared" si="75"/>
        <v>8</v>
      </c>
      <c r="S353" s="29">
        <f t="shared" si="75"/>
        <v>5</v>
      </c>
      <c r="T353" s="30">
        <f>T458</f>
        <v>5</v>
      </c>
      <c r="U353" s="17" t="s">
        <v>2910</v>
      </c>
      <c r="V353" s="10"/>
      <c r="W353" s="10"/>
      <c r="X353" s="10"/>
    </row>
    <row r="354" spans="1:24">
      <c r="A354" s="2"/>
      <c r="B354" s="24" t="s">
        <v>18</v>
      </c>
      <c r="C354" s="25">
        <f>P361</f>
        <v>22</v>
      </c>
      <c r="D354" s="10"/>
      <c r="E354" s="10"/>
      <c r="F354" s="10"/>
      <c r="G354" s="31"/>
      <c r="H354" s="10"/>
      <c r="I354" s="10"/>
      <c r="J354" s="32" t="s">
        <v>19</v>
      </c>
      <c r="K354" s="33">
        <f>K393/K392</f>
        <v>1</v>
      </c>
      <c r="L354" s="33">
        <f t="shared" ref="L354:S354" si="76">L393/L392</f>
        <v>1</v>
      </c>
      <c r="M354" s="33">
        <f t="shared" si="76"/>
        <v>1</v>
      </c>
      <c r="N354" s="33">
        <f t="shared" si="76"/>
        <v>1</v>
      </c>
      <c r="O354" s="33">
        <f t="shared" si="76"/>
        <v>1</v>
      </c>
      <c r="P354" s="33">
        <f t="shared" si="76"/>
        <v>0.7857142857142857</v>
      </c>
      <c r="Q354" s="33">
        <f t="shared" si="76"/>
        <v>0.5714285714285714</v>
      </c>
      <c r="R354" s="33">
        <f t="shared" si="76"/>
        <v>0.5714285714285714</v>
      </c>
      <c r="S354" s="33">
        <f t="shared" si="76"/>
        <v>0.35714285714285715</v>
      </c>
      <c r="T354" s="23"/>
      <c r="U354" s="17" t="s">
        <v>20</v>
      </c>
      <c r="V354" s="10"/>
      <c r="W354" s="10"/>
      <c r="X354" s="10"/>
    </row>
    <row r="355" spans="1:24">
      <c r="A355" s="2"/>
      <c r="B355" s="24" t="s">
        <v>21</v>
      </c>
      <c r="C355" s="34">
        <f>P362</f>
        <v>0.4358974358974359</v>
      </c>
      <c r="D355" s="10"/>
      <c r="E355" s="10"/>
      <c r="F355" s="10"/>
      <c r="G355" s="10"/>
      <c r="H355" s="10"/>
      <c r="I355" s="10"/>
      <c r="J355" s="10"/>
      <c r="K355" s="10"/>
      <c r="L355" s="10"/>
      <c r="M355" s="10"/>
      <c r="N355" s="10"/>
      <c r="O355" s="10"/>
      <c r="P355" s="10"/>
      <c r="Q355" s="10"/>
      <c r="R355" s="10"/>
      <c r="S355" s="10"/>
      <c r="T355" s="10"/>
      <c r="U355" s="17"/>
      <c r="V355" s="10"/>
      <c r="W355" s="10"/>
      <c r="X355" s="10"/>
    </row>
    <row r="356" spans="1:24">
      <c r="A356" s="2"/>
      <c r="B356" s="24"/>
      <c r="C356" s="25"/>
      <c r="D356" s="10"/>
      <c r="E356" s="10"/>
      <c r="F356" s="18" t="s">
        <v>22</v>
      </c>
      <c r="G356" s="19" t="s">
        <v>23</v>
      </c>
      <c r="H356" s="35" t="s">
        <v>24</v>
      </c>
      <c r="I356" s="10"/>
      <c r="J356" s="10"/>
      <c r="K356" s="36"/>
      <c r="L356" s="36"/>
      <c r="M356" s="36"/>
      <c r="N356" s="36"/>
      <c r="O356" s="36"/>
      <c r="P356" s="36"/>
      <c r="Q356" s="36"/>
      <c r="R356" s="10"/>
      <c r="S356" s="10"/>
      <c r="T356" s="10"/>
      <c r="U356" s="17"/>
      <c r="V356" s="10"/>
      <c r="W356" s="10"/>
      <c r="X356" s="10"/>
    </row>
    <row r="357" spans="1:24">
      <c r="A357" s="2"/>
      <c r="B357" s="32" t="s">
        <v>25</v>
      </c>
      <c r="C357" s="37">
        <f>P363</f>
        <v>1871.4876470588235</v>
      </c>
      <c r="D357" s="10"/>
      <c r="E357" s="18" t="s">
        <v>26</v>
      </c>
      <c r="F357" s="38">
        <f>P359</f>
        <v>31815.29</v>
      </c>
      <c r="G357" s="39">
        <f>I392+I407+I412</f>
        <v>31815.289999999997</v>
      </c>
      <c r="H357" s="40"/>
      <c r="I357" s="41"/>
      <c r="J357" s="42"/>
      <c r="K357" s="43" t="s">
        <v>27</v>
      </c>
      <c r="L357" s="44"/>
      <c r="M357" s="44"/>
      <c r="N357" s="44"/>
      <c r="O357" s="44"/>
      <c r="P357" s="44"/>
      <c r="Q357" s="45"/>
      <c r="R357" s="46" t="s">
        <v>28</v>
      </c>
      <c r="S357" s="47" t="s">
        <v>29</v>
      </c>
      <c r="T357" s="10"/>
      <c r="U357" s="17"/>
      <c r="V357" s="10"/>
      <c r="W357" s="10"/>
      <c r="X357" s="10"/>
    </row>
    <row r="358" spans="1:24">
      <c r="A358" s="2"/>
      <c r="B358" s="11"/>
      <c r="C358" s="10"/>
      <c r="D358" s="10"/>
      <c r="E358" s="24" t="s">
        <v>30</v>
      </c>
      <c r="F358" s="48">
        <f>F353</f>
        <v>0.05</v>
      </c>
      <c r="G358" s="17"/>
      <c r="H358" s="40"/>
      <c r="I358" s="41"/>
      <c r="J358" s="42"/>
      <c r="K358" s="20" t="s">
        <v>31</v>
      </c>
      <c r="L358" s="21" t="s">
        <v>32</v>
      </c>
      <c r="M358" s="21" t="s">
        <v>33</v>
      </c>
      <c r="N358" s="21" t="s">
        <v>34</v>
      </c>
      <c r="O358" s="21" t="s">
        <v>35</v>
      </c>
      <c r="P358" s="21" t="s">
        <v>36</v>
      </c>
      <c r="Q358" s="49" t="s">
        <v>37</v>
      </c>
      <c r="R358" s="50" t="s">
        <v>38</v>
      </c>
      <c r="S358" s="50" t="s">
        <v>38</v>
      </c>
      <c r="T358" s="10"/>
      <c r="U358" s="17"/>
      <c r="V358" s="10"/>
      <c r="W358" s="10"/>
      <c r="X358" s="10"/>
    </row>
    <row r="359" spans="1:24">
      <c r="A359" s="2"/>
      <c r="B359" s="11"/>
      <c r="C359" s="10"/>
      <c r="D359" s="10"/>
      <c r="E359" s="51" t="s">
        <v>39</v>
      </c>
      <c r="F359" s="52">
        <f>(F357-I384-I387-I406-I410-I411)*F358</f>
        <v>864.37049999999999</v>
      </c>
      <c r="G359" s="53" t="s">
        <v>40</v>
      </c>
      <c r="H359" s="54">
        <f>F359/1.12</f>
        <v>771.75937499999986</v>
      </c>
      <c r="I359" s="55"/>
      <c r="J359" s="42"/>
      <c r="K359" s="56">
        <f>I378+I379+I380</f>
        <v>1877</v>
      </c>
      <c r="L359" s="57">
        <f>I381+I383+I384+I385+I382</f>
        <v>8850.7999999999993</v>
      </c>
      <c r="M359" s="57">
        <f>I386+I406+I410</f>
        <v>9341.9800000000014</v>
      </c>
      <c r="N359" s="57">
        <f>I388+I387+I411</f>
        <v>5490.9</v>
      </c>
      <c r="O359" s="57">
        <f>I389+I391+I390</f>
        <v>6254.6100000000006</v>
      </c>
      <c r="P359" s="57">
        <f>SUM(K359:O359)</f>
        <v>31815.29</v>
      </c>
      <c r="Q359" s="58">
        <f>I396+I397</f>
        <v>5833.75</v>
      </c>
      <c r="R359" s="59">
        <f>I407+I412</f>
        <v>11068.230000000001</v>
      </c>
      <c r="S359" s="59">
        <f>0</f>
        <v>0</v>
      </c>
      <c r="T359" s="10"/>
      <c r="U359" s="17"/>
      <c r="V359" s="10"/>
      <c r="W359" s="10"/>
      <c r="X359" s="10"/>
    </row>
    <row r="360" spans="1:24">
      <c r="A360" s="2"/>
      <c r="B360" s="11"/>
      <c r="C360" s="10"/>
      <c r="D360" s="10"/>
      <c r="E360" s="24" t="s">
        <v>41</v>
      </c>
      <c r="F360" s="60">
        <f>Q359</f>
        <v>5833.75</v>
      </c>
      <c r="G360" s="61" t="s">
        <v>40</v>
      </c>
      <c r="H360" s="62"/>
      <c r="I360" s="384" t="s">
        <v>2732</v>
      </c>
      <c r="J360" s="10" t="s">
        <v>42</v>
      </c>
      <c r="K360" s="63">
        <v>3</v>
      </c>
      <c r="L360" s="63">
        <v>5</v>
      </c>
      <c r="M360" s="63">
        <v>3</v>
      </c>
      <c r="N360" s="63">
        <v>3</v>
      </c>
      <c r="O360" s="63">
        <v>3</v>
      </c>
      <c r="P360" s="21">
        <f>SUM(K360:O360)</f>
        <v>17</v>
      </c>
      <c r="Q360" s="64">
        <v>2</v>
      </c>
      <c r="R360" s="63"/>
      <c r="S360" s="10"/>
      <c r="T360" s="10"/>
      <c r="U360" s="17"/>
      <c r="V360" s="10"/>
      <c r="W360" s="10"/>
      <c r="X360" s="10"/>
    </row>
    <row r="361" spans="1:24">
      <c r="A361" s="2"/>
      <c r="B361" s="11"/>
      <c r="C361" s="10"/>
      <c r="D361" s="10"/>
      <c r="E361" s="51" t="s">
        <v>43</v>
      </c>
      <c r="F361" s="52">
        <f>F360*0.25</f>
        <v>1458.4375</v>
      </c>
      <c r="G361" s="53" t="s">
        <v>40</v>
      </c>
      <c r="H361" s="54">
        <f>F361/1.12</f>
        <v>1302.1763392857142</v>
      </c>
      <c r="I361" s="644">
        <f>67.5*9.25</f>
        <v>624.375</v>
      </c>
      <c r="J361" s="10" t="s">
        <v>44</v>
      </c>
      <c r="K361" s="63">
        <v>5</v>
      </c>
      <c r="L361" s="63">
        <v>6</v>
      </c>
      <c r="M361" s="63">
        <v>4</v>
      </c>
      <c r="N361" s="63">
        <v>4</v>
      </c>
      <c r="O361" s="63">
        <v>3</v>
      </c>
      <c r="P361" s="21">
        <f>SUM(K361:O361)</f>
        <v>22</v>
      </c>
      <c r="Q361" s="64">
        <v>2</v>
      </c>
      <c r="R361" s="63"/>
      <c r="S361" s="10"/>
      <c r="T361" s="10"/>
      <c r="U361" s="17"/>
      <c r="V361" s="10"/>
      <c r="W361" s="10"/>
      <c r="X361" s="10"/>
    </row>
    <row r="362" spans="1:24">
      <c r="A362" s="2"/>
      <c r="B362" s="11"/>
      <c r="C362" s="10"/>
      <c r="D362" s="10"/>
      <c r="E362" s="24" t="s">
        <v>45</v>
      </c>
      <c r="F362" s="60">
        <f>I403</f>
        <v>5436.84</v>
      </c>
      <c r="G362" s="61" t="s">
        <v>40</v>
      </c>
      <c r="H362" s="62"/>
      <c r="I362" s="10"/>
      <c r="J362" s="10" t="s">
        <v>46</v>
      </c>
      <c r="K362" s="31">
        <f t="shared" ref="K362:Q362" si="77">K360/(K360+K361)</f>
        <v>0.375</v>
      </c>
      <c r="L362" s="31">
        <f t="shared" si="77"/>
        <v>0.45454545454545453</v>
      </c>
      <c r="M362" s="31">
        <f t="shared" si="77"/>
        <v>0.42857142857142855</v>
      </c>
      <c r="N362" s="31">
        <f t="shared" si="77"/>
        <v>0.42857142857142855</v>
      </c>
      <c r="O362" s="31">
        <f t="shared" si="77"/>
        <v>0.5</v>
      </c>
      <c r="P362" s="31">
        <f t="shared" si="77"/>
        <v>0.4358974358974359</v>
      </c>
      <c r="Q362" s="31">
        <f t="shared" si="77"/>
        <v>0.5</v>
      </c>
      <c r="R362" s="63"/>
      <c r="S362" s="10"/>
      <c r="T362" s="10"/>
      <c r="U362" s="17"/>
      <c r="V362" s="10"/>
      <c r="W362" s="10"/>
      <c r="X362" s="10"/>
    </row>
    <row r="363" spans="1:24">
      <c r="A363" s="2"/>
      <c r="B363" s="11"/>
      <c r="C363" s="10"/>
      <c r="D363" s="10"/>
      <c r="E363" s="51" t="s">
        <v>47</v>
      </c>
      <c r="F363" s="52">
        <f>(F362+F367+F368-I402)*0.05</f>
        <v>239.44200000000001</v>
      </c>
      <c r="G363" s="65" t="s">
        <v>40</v>
      </c>
      <c r="H363" s="54">
        <f>F363/1.12</f>
        <v>213.78749999999999</v>
      </c>
      <c r="I363" s="42"/>
      <c r="J363" s="10" t="s">
        <v>48</v>
      </c>
      <c r="K363" s="66">
        <f>K359/K360</f>
        <v>625.66666666666663</v>
      </c>
      <c r="L363" s="66">
        <f t="shared" ref="L363:Q363" si="78">L359/L360</f>
        <v>1770.1599999999999</v>
      </c>
      <c r="M363" s="66">
        <f t="shared" si="78"/>
        <v>3113.9933333333338</v>
      </c>
      <c r="N363" s="66">
        <f t="shared" si="78"/>
        <v>1830.3</v>
      </c>
      <c r="O363" s="66">
        <f t="shared" si="78"/>
        <v>2084.8700000000003</v>
      </c>
      <c r="P363" s="66">
        <f t="shared" si="78"/>
        <v>1871.4876470588235</v>
      </c>
      <c r="Q363" s="66">
        <f t="shared" si="78"/>
        <v>2916.875</v>
      </c>
      <c r="R363" s="63"/>
      <c r="S363" s="10"/>
      <c r="T363" s="10"/>
      <c r="U363" s="17"/>
      <c r="V363" s="10"/>
      <c r="W363" s="10"/>
      <c r="X363" s="10"/>
    </row>
    <row r="364" spans="1:24">
      <c r="A364" s="2"/>
      <c r="B364" s="11"/>
      <c r="C364" s="10"/>
      <c r="D364" s="10"/>
      <c r="E364" s="67" t="s">
        <v>14</v>
      </c>
      <c r="F364" s="68">
        <f>3*50</f>
        <v>150</v>
      </c>
      <c r="G364" s="10"/>
      <c r="H364" s="54">
        <f>F364/1.12</f>
        <v>133.92857142857142</v>
      </c>
      <c r="I364" s="10"/>
      <c r="J364" s="10"/>
      <c r="K364" s="10"/>
      <c r="L364" s="10"/>
      <c r="M364" s="10"/>
      <c r="N364" s="10"/>
      <c r="O364" s="10"/>
      <c r="P364" s="10"/>
      <c r="Q364" s="10"/>
      <c r="R364" s="10"/>
      <c r="S364" s="10"/>
      <c r="T364" s="10"/>
      <c r="U364" s="17"/>
      <c r="V364" s="10"/>
      <c r="W364" s="10"/>
      <c r="X364" s="10"/>
    </row>
    <row r="365" spans="1:24">
      <c r="A365" s="2"/>
      <c r="B365" s="11"/>
      <c r="C365" s="10"/>
      <c r="D365" s="10"/>
      <c r="E365" s="67" t="s">
        <v>49</v>
      </c>
      <c r="F365" s="69">
        <f>T354</f>
        <v>0</v>
      </c>
      <c r="G365" s="10"/>
      <c r="H365" s="54"/>
      <c r="I365" s="55"/>
      <c r="J365" s="42"/>
      <c r="K365" s="764" t="s">
        <v>50</v>
      </c>
      <c r="L365" s="765"/>
      <c r="M365" s="765"/>
      <c r="N365" s="765"/>
      <c r="O365" s="765"/>
      <c r="P365" s="765"/>
      <c r="Q365" s="766"/>
      <c r="R365" s="70" t="s">
        <v>28</v>
      </c>
      <c r="S365" s="71" t="s">
        <v>29</v>
      </c>
      <c r="T365" s="10"/>
      <c r="U365" s="17"/>
      <c r="V365" s="10"/>
      <c r="W365" s="10"/>
      <c r="X365" s="10"/>
    </row>
    <row r="366" spans="1:24">
      <c r="A366" s="2"/>
      <c r="B366" s="11"/>
      <c r="C366" s="10"/>
      <c r="D366" s="10"/>
      <c r="E366" s="67" t="s">
        <v>561</v>
      </c>
      <c r="F366" s="68">
        <f>$F$276</f>
        <v>173.39649999999929</v>
      </c>
      <c r="G366" s="123"/>
      <c r="H366" s="54">
        <f>F366/1.12</f>
        <v>154.81830357142792</v>
      </c>
      <c r="I366" s="10"/>
      <c r="J366" s="42"/>
      <c r="K366" s="20" t="s">
        <v>31</v>
      </c>
      <c r="L366" s="21" t="s">
        <v>32</v>
      </c>
      <c r="M366" s="21" t="s">
        <v>33</v>
      </c>
      <c r="N366" s="21" t="s">
        <v>34</v>
      </c>
      <c r="O366" s="21" t="s">
        <v>35</v>
      </c>
      <c r="P366" s="21" t="s">
        <v>36</v>
      </c>
      <c r="Q366" s="49" t="s">
        <v>37</v>
      </c>
      <c r="R366" s="50" t="s">
        <v>38</v>
      </c>
      <c r="S366" s="50" t="s">
        <v>38</v>
      </c>
      <c r="T366" s="10"/>
      <c r="U366" s="17"/>
      <c r="V366" s="10"/>
      <c r="W366" s="10"/>
      <c r="X366" s="10"/>
    </row>
    <row r="367" spans="1:24">
      <c r="A367" s="2"/>
      <c r="B367" s="11"/>
      <c r="C367" s="10"/>
      <c r="D367" s="10"/>
      <c r="E367" s="72" t="s">
        <v>2911</v>
      </c>
      <c r="F367" s="73">
        <v>-198</v>
      </c>
      <c r="G367" s="10"/>
      <c r="H367" s="10"/>
      <c r="I367" s="10"/>
      <c r="J367" s="42"/>
      <c r="K367" s="56">
        <f>F378+F379+F380</f>
        <v>1877</v>
      </c>
      <c r="L367" s="57">
        <f>F381+F383+F384+F385+F382</f>
        <v>10012</v>
      </c>
      <c r="M367" s="57">
        <f>F386+F406+F410</f>
        <v>11618.2</v>
      </c>
      <c r="N367" s="57">
        <f>F388+F387+F411</f>
        <v>6166</v>
      </c>
      <c r="O367" s="57">
        <f>F389+F391+F390</f>
        <v>7925</v>
      </c>
      <c r="P367" s="57">
        <f>SUM(K367:O367)</f>
        <v>37598.199999999997</v>
      </c>
      <c r="Q367" s="58">
        <f>F396+F397</f>
        <v>7675</v>
      </c>
      <c r="R367" s="59">
        <f>F407+F412</f>
        <v>13921.2</v>
      </c>
      <c r="S367" s="59">
        <f>0</f>
        <v>0</v>
      </c>
      <c r="T367" s="10"/>
      <c r="U367" s="17"/>
      <c r="V367" s="10"/>
      <c r="W367" s="10"/>
      <c r="X367" s="10"/>
    </row>
    <row r="368" spans="1:24">
      <c r="A368" s="2"/>
      <c r="B368" s="11"/>
      <c r="C368" s="10"/>
      <c r="D368" s="10"/>
      <c r="E368" s="74" t="s">
        <v>2912</v>
      </c>
      <c r="F368" s="75">
        <f>-450</f>
        <v>-450</v>
      </c>
      <c r="G368" s="10"/>
      <c r="H368" s="10"/>
      <c r="I368" s="10"/>
      <c r="J368" s="10" t="s">
        <v>42</v>
      </c>
      <c r="K368" s="63">
        <f>K360</f>
        <v>3</v>
      </c>
      <c r="L368" s="63">
        <f t="shared" ref="L368:Q369" si="79">L360</f>
        <v>5</v>
      </c>
      <c r="M368" s="63">
        <f t="shared" si="79"/>
        <v>3</v>
      </c>
      <c r="N368" s="63">
        <f t="shared" si="79"/>
        <v>3</v>
      </c>
      <c r="O368" s="63">
        <f t="shared" si="79"/>
        <v>3</v>
      </c>
      <c r="P368" s="63">
        <f t="shared" si="79"/>
        <v>17</v>
      </c>
      <c r="Q368" s="63">
        <f t="shared" si="79"/>
        <v>2</v>
      </c>
      <c r="R368" s="63"/>
      <c r="S368" s="10"/>
      <c r="T368" s="10"/>
      <c r="U368" s="17"/>
      <c r="V368" s="10"/>
      <c r="W368" s="10"/>
      <c r="X368" s="10"/>
    </row>
    <row r="369" spans="1:24">
      <c r="A369" s="2"/>
      <c r="B369" s="11"/>
      <c r="C369" s="10"/>
      <c r="D369" s="10"/>
      <c r="E369" s="10"/>
      <c r="F369" s="10"/>
      <c r="G369" s="10"/>
      <c r="H369" s="10"/>
      <c r="I369" s="10"/>
      <c r="J369" s="10" t="s">
        <v>44</v>
      </c>
      <c r="K369" s="63">
        <f>K361</f>
        <v>5</v>
      </c>
      <c r="L369" s="63">
        <f t="shared" si="79"/>
        <v>6</v>
      </c>
      <c r="M369" s="63">
        <f t="shared" si="79"/>
        <v>4</v>
      </c>
      <c r="N369" s="63">
        <f t="shared" si="79"/>
        <v>4</v>
      </c>
      <c r="O369" s="63">
        <f t="shared" si="79"/>
        <v>3</v>
      </c>
      <c r="P369" s="63">
        <f t="shared" si="79"/>
        <v>22</v>
      </c>
      <c r="Q369" s="63">
        <f t="shared" si="79"/>
        <v>2</v>
      </c>
      <c r="R369" s="63"/>
      <c r="S369" s="10"/>
      <c r="T369" s="10"/>
      <c r="U369" s="17"/>
      <c r="V369" s="10"/>
      <c r="W369" s="10"/>
      <c r="X369" s="10"/>
    </row>
    <row r="370" spans="1:24">
      <c r="A370" s="2"/>
      <c r="B370" s="11"/>
      <c r="C370" s="10"/>
      <c r="D370" s="10"/>
      <c r="E370" s="10"/>
      <c r="F370" s="10"/>
      <c r="G370" s="10"/>
      <c r="H370" s="10"/>
      <c r="I370" s="10"/>
      <c r="J370" s="10" t="s">
        <v>46</v>
      </c>
      <c r="K370" s="31">
        <f t="shared" ref="K370:Q370" si="80">K368/(K368+K369)</f>
        <v>0.375</v>
      </c>
      <c r="L370" s="31">
        <f t="shared" si="80"/>
        <v>0.45454545454545453</v>
      </c>
      <c r="M370" s="31">
        <f t="shared" si="80"/>
        <v>0.42857142857142855</v>
      </c>
      <c r="N370" s="31">
        <f t="shared" si="80"/>
        <v>0.42857142857142855</v>
      </c>
      <c r="O370" s="31">
        <f t="shared" si="80"/>
        <v>0.5</v>
      </c>
      <c r="P370" s="31">
        <f t="shared" si="80"/>
        <v>0.4358974358974359</v>
      </c>
      <c r="Q370" s="31">
        <f t="shared" si="80"/>
        <v>0.5</v>
      </c>
      <c r="R370" s="63"/>
      <c r="S370" s="10"/>
      <c r="T370" s="10"/>
      <c r="U370" s="17"/>
      <c r="V370" s="10"/>
      <c r="W370" s="10"/>
      <c r="X370" s="10"/>
    </row>
    <row r="371" spans="1:24">
      <c r="A371" s="2"/>
      <c r="B371" s="11"/>
      <c r="C371" s="10"/>
      <c r="D371" s="10"/>
      <c r="E371" s="10"/>
      <c r="F371" s="10"/>
      <c r="G371" s="10"/>
      <c r="H371" s="10"/>
      <c r="I371" s="10"/>
      <c r="J371" s="10" t="s">
        <v>48</v>
      </c>
      <c r="K371" s="66">
        <f t="shared" ref="K371:Q371" si="81">K367/K368</f>
        <v>625.66666666666663</v>
      </c>
      <c r="L371" s="66">
        <f t="shared" si="81"/>
        <v>2002.4</v>
      </c>
      <c r="M371" s="66">
        <f t="shared" si="81"/>
        <v>3872.7333333333336</v>
      </c>
      <c r="N371" s="66">
        <f t="shared" si="81"/>
        <v>2055.3333333333335</v>
      </c>
      <c r="O371" s="66">
        <f t="shared" si="81"/>
        <v>2641.6666666666665</v>
      </c>
      <c r="P371" s="66">
        <f t="shared" si="81"/>
        <v>2211.6588235294116</v>
      </c>
      <c r="Q371" s="66">
        <f t="shared" si="81"/>
        <v>3837.5</v>
      </c>
      <c r="R371" s="63"/>
      <c r="S371" s="10"/>
      <c r="T371" s="10"/>
      <c r="U371" s="17"/>
      <c r="V371" s="10"/>
      <c r="W371" s="10"/>
      <c r="X371" s="10"/>
    </row>
    <row r="372" spans="1:24">
      <c r="A372" s="2"/>
      <c r="B372" s="11"/>
      <c r="C372" s="10"/>
      <c r="D372" s="10"/>
      <c r="E372" s="10"/>
      <c r="F372" s="10"/>
      <c r="G372" s="10"/>
      <c r="H372" s="10"/>
      <c r="I372" s="10"/>
      <c r="J372" s="10"/>
      <c r="K372" s="66"/>
      <c r="L372" s="66"/>
      <c r="M372" s="66"/>
      <c r="N372" s="66"/>
      <c r="O372" s="66"/>
      <c r="P372" s="66"/>
      <c r="Q372" s="66"/>
      <c r="R372" s="63"/>
      <c r="S372" s="10"/>
      <c r="T372" s="10"/>
      <c r="U372" s="17"/>
      <c r="V372" s="10"/>
      <c r="W372" s="10"/>
      <c r="X372" s="10"/>
    </row>
    <row r="373" spans="1:24">
      <c r="A373" s="2"/>
      <c r="B373" s="11"/>
      <c r="C373" s="10"/>
      <c r="D373" s="10"/>
      <c r="E373" s="10"/>
      <c r="F373" s="10"/>
      <c r="G373" s="10"/>
      <c r="H373" s="10"/>
      <c r="I373" s="10"/>
      <c r="J373" s="10"/>
      <c r="K373" s="10"/>
      <c r="L373" s="10"/>
      <c r="M373" s="10"/>
      <c r="N373" s="10"/>
      <c r="O373" s="10"/>
      <c r="P373" s="10"/>
      <c r="Q373" s="10"/>
      <c r="R373" s="10"/>
      <c r="S373" s="10"/>
      <c r="T373" s="10"/>
      <c r="U373" s="17"/>
      <c r="V373" s="10"/>
      <c r="W373" s="10"/>
      <c r="X373" s="10"/>
    </row>
    <row r="374" spans="1:24">
      <c r="A374" s="2"/>
      <c r="B374" s="11"/>
      <c r="C374" s="10"/>
      <c r="D374" s="10"/>
      <c r="E374" s="10"/>
      <c r="F374" s="10"/>
      <c r="G374" s="10"/>
      <c r="H374" s="10"/>
      <c r="I374" s="10"/>
      <c r="J374" s="10"/>
      <c r="K374" s="10"/>
      <c r="L374" s="10"/>
      <c r="M374" s="10"/>
      <c r="N374" s="10"/>
      <c r="O374" s="10"/>
      <c r="P374" s="10"/>
      <c r="Q374" s="10"/>
      <c r="R374" s="10"/>
      <c r="S374" s="10"/>
      <c r="T374" s="10"/>
      <c r="U374" s="17"/>
      <c r="V374" s="10"/>
      <c r="W374" s="10"/>
      <c r="X374" s="10"/>
    </row>
    <row r="375" spans="1:24">
      <c r="A375" s="2"/>
      <c r="B375" s="18" t="s">
        <v>51</v>
      </c>
      <c r="C375" s="14"/>
      <c r="D375" s="14"/>
      <c r="E375" s="14"/>
      <c r="F375" s="13" t="s">
        <v>52</v>
      </c>
      <c r="G375" s="14"/>
      <c r="H375" s="14"/>
      <c r="I375" s="14"/>
      <c r="J375" s="14"/>
      <c r="K375" s="13" t="s">
        <v>3</v>
      </c>
      <c r="L375" s="14"/>
      <c r="M375" s="14"/>
      <c r="N375" s="13" t="s">
        <v>4</v>
      </c>
      <c r="O375" s="14"/>
      <c r="P375" s="14"/>
      <c r="Q375" s="13" t="s">
        <v>5</v>
      </c>
      <c r="R375" s="14"/>
      <c r="S375" s="14"/>
      <c r="T375" s="18"/>
      <c r="U375" s="16" t="s">
        <v>53</v>
      </c>
      <c r="V375" s="77"/>
      <c r="W375" s="77"/>
      <c r="X375" s="77"/>
    </row>
    <row r="376" spans="1:24">
      <c r="A376" s="2"/>
      <c r="B376" s="24" t="s">
        <v>54</v>
      </c>
      <c r="C376" s="21" t="s">
        <v>55</v>
      </c>
      <c r="D376" s="21" t="s">
        <v>56</v>
      </c>
      <c r="E376" s="21" t="s">
        <v>57</v>
      </c>
      <c r="F376" s="20" t="s">
        <v>58</v>
      </c>
      <c r="G376" s="21" t="s">
        <v>59</v>
      </c>
      <c r="H376" s="21" t="s">
        <v>60</v>
      </c>
      <c r="I376" s="21" t="s">
        <v>26</v>
      </c>
      <c r="J376" s="22" t="s">
        <v>61</v>
      </c>
      <c r="K376" s="21" t="s">
        <v>8</v>
      </c>
      <c r="L376" s="21" t="s">
        <v>9</v>
      </c>
      <c r="M376" s="21" t="s">
        <v>10</v>
      </c>
      <c r="N376" s="20" t="s">
        <v>11</v>
      </c>
      <c r="O376" s="21" t="s">
        <v>12</v>
      </c>
      <c r="P376" s="22" t="s">
        <v>13</v>
      </c>
      <c r="Q376" s="21" t="s">
        <v>11</v>
      </c>
      <c r="R376" s="21" t="s">
        <v>12</v>
      </c>
      <c r="S376" s="21" t="s">
        <v>13</v>
      </c>
      <c r="T376" s="78" t="s">
        <v>14</v>
      </c>
      <c r="U376" s="30"/>
      <c r="V376" s="79" t="s">
        <v>62</v>
      </c>
      <c r="W376" s="80" t="s">
        <v>63</v>
      </c>
      <c r="X376" s="81" t="s">
        <v>64</v>
      </c>
    </row>
    <row r="377" spans="1:24">
      <c r="A377" s="2"/>
      <c r="B377" s="4" t="s">
        <v>65</v>
      </c>
      <c r="C377" s="6"/>
      <c r="D377" s="6"/>
      <c r="E377" s="6"/>
      <c r="F377" s="6"/>
      <c r="G377" s="6"/>
      <c r="H377" s="6"/>
      <c r="I377" s="82"/>
      <c r="J377" s="6"/>
      <c r="K377" s="6"/>
      <c r="L377" s="6"/>
      <c r="M377" s="6"/>
      <c r="N377" s="6"/>
      <c r="O377" s="6"/>
      <c r="P377" s="6"/>
      <c r="Q377" s="6"/>
      <c r="R377" s="6"/>
      <c r="S377" s="6"/>
      <c r="T377" s="83"/>
      <c r="U377" s="6"/>
      <c r="V377" s="84"/>
      <c r="W377" s="85"/>
      <c r="X377" s="86"/>
    </row>
    <row r="378" spans="1:24">
      <c r="A378" s="2"/>
      <c r="B378" s="87">
        <v>1</v>
      </c>
      <c r="C378" s="274">
        <v>45894</v>
      </c>
      <c r="D378" s="327">
        <v>72573</v>
      </c>
      <c r="E378" s="276" t="s">
        <v>1047</v>
      </c>
      <c r="F378" s="277">
        <v>600</v>
      </c>
      <c r="G378" s="277"/>
      <c r="H378" s="297"/>
      <c r="I378" s="321">
        <f t="shared" ref="I378:I391" si="82">F378-G378-H378</f>
        <v>600</v>
      </c>
      <c r="J378" s="279" t="s">
        <v>156</v>
      </c>
      <c r="K378" s="279">
        <v>1</v>
      </c>
      <c r="L378" s="279">
        <v>1</v>
      </c>
      <c r="M378" s="279">
        <v>1</v>
      </c>
      <c r="N378" s="279">
        <v>1</v>
      </c>
      <c r="O378" s="279">
        <v>1</v>
      </c>
      <c r="P378" s="279">
        <v>1</v>
      </c>
      <c r="Q378" s="322">
        <v>0</v>
      </c>
      <c r="R378" s="322">
        <v>0</v>
      </c>
      <c r="S378" s="328">
        <v>0</v>
      </c>
      <c r="T378" s="21">
        <v>1</v>
      </c>
      <c r="U378" s="10"/>
      <c r="V378" s="90">
        <f>660</f>
        <v>660</v>
      </c>
      <c r="W378" s="91"/>
      <c r="X378" s="92"/>
    </row>
    <row r="379" spans="1:24">
      <c r="A379" s="2"/>
      <c r="B379" s="87">
        <f t="shared" ref="B379:B389" si="83">B378+1</f>
        <v>2</v>
      </c>
      <c r="C379" s="295">
        <v>45894</v>
      </c>
      <c r="D379" s="323">
        <v>72571</v>
      </c>
      <c r="E379" s="10" t="s">
        <v>1045</v>
      </c>
      <c r="F379" s="62">
        <f>766-85-85</f>
        <v>596</v>
      </c>
      <c r="G379" s="62"/>
      <c r="H379" s="62"/>
      <c r="I379" s="89">
        <f t="shared" si="82"/>
        <v>596</v>
      </c>
      <c r="J379" s="63" t="s">
        <v>156</v>
      </c>
      <c r="K379" s="63">
        <v>1</v>
      </c>
      <c r="L379" s="63">
        <v>1</v>
      </c>
      <c r="M379" s="63">
        <v>1</v>
      </c>
      <c r="N379" s="63">
        <v>1</v>
      </c>
      <c r="O379" s="63">
        <v>1</v>
      </c>
      <c r="P379" s="63">
        <v>1</v>
      </c>
      <c r="Q379" s="63">
        <v>1</v>
      </c>
      <c r="R379" s="63">
        <v>1</v>
      </c>
      <c r="S379" s="296">
        <v>1</v>
      </c>
      <c r="T379" s="63"/>
      <c r="U379" s="10"/>
      <c r="V379" s="90">
        <f>93.5+80+575.6</f>
        <v>749.1</v>
      </c>
      <c r="W379" s="91"/>
      <c r="X379" s="92"/>
    </row>
    <row r="380" spans="1:24">
      <c r="A380" s="93"/>
      <c r="B380" s="87">
        <f t="shared" si="83"/>
        <v>3</v>
      </c>
      <c r="C380" s="295">
        <v>45894</v>
      </c>
      <c r="D380" s="323">
        <v>72621</v>
      </c>
      <c r="E380" s="10" t="s">
        <v>1072</v>
      </c>
      <c r="F380" s="62">
        <v>681</v>
      </c>
      <c r="G380" s="62"/>
      <c r="H380" s="62"/>
      <c r="I380" s="324">
        <f t="shared" si="82"/>
        <v>681</v>
      </c>
      <c r="J380" s="63" t="s">
        <v>156</v>
      </c>
      <c r="K380" s="63">
        <v>1</v>
      </c>
      <c r="L380" s="63">
        <v>1</v>
      </c>
      <c r="M380" s="63">
        <v>1</v>
      </c>
      <c r="N380" s="63">
        <v>1</v>
      </c>
      <c r="O380" s="63">
        <v>1</v>
      </c>
      <c r="P380" s="325">
        <v>0</v>
      </c>
      <c r="Q380" s="325">
        <v>0</v>
      </c>
      <c r="R380" s="325">
        <v>0</v>
      </c>
      <c r="S380" s="326">
        <v>0</v>
      </c>
      <c r="T380" s="63"/>
      <c r="U380" s="10" t="s">
        <v>2913</v>
      </c>
      <c r="V380" s="90">
        <v>749.1</v>
      </c>
      <c r="W380" s="91"/>
      <c r="X380" s="92"/>
    </row>
    <row r="381" spans="1:24">
      <c r="A381" s="2"/>
      <c r="B381" s="87">
        <f t="shared" si="83"/>
        <v>4</v>
      </c>
      <c r="C381" s="274">
        <v>45895</v>
      </c>
      <c r="D381" s="327">
        <v>72415</v>
      </c>
      <c r="E381" s="404" t="s">
        <v>1256</v>
      </c>
      <c r="F381" s="277">
        <v>581</v>
      </c>
      <c r="G381" s="277">
        <f>+(29.15)</f>
        <v>29.15</v>
      </c>
      <c r="H381" s="277"/>
      <c r="I381" s="278">
        <f t="shared" si="82"/>
        <v>551.85</v>
      </c>
      <c r="J381" s="279" t="s">
        <v>156</v>
      </c>
      <c r="K381" s="279">
        <v>1</v>
      </c>
      <c r="L381" s="279">
        <v>1</v>
      </c>
      <c r="M381" s="279">
        <v>1</v>
      </c>
      <c r="N381" s="279">
        <v>1</v>
      </c>
      <c r="O381" s="279">
        <v>1</v>
      </c>
      <c r="P381" s="279">
        <v>1</v>
      </c>
      <c r="Q381" s="279">
        <v>1</v>
      </c>
      <c r="R381" s="279">
        <v>1</v>
      </c>
      <c r="S381" s="280">
        <v>1</v>
      </c>
      <c r="T381" s="63"/>
      <c r="U381" s="10"/>
      <c r="V381" s="90">
        <v>639.1</v>
      </c>
      <c r="W381" s="91"/>
      <c r="X381" s="92"/>
    </row>
    <row r="382" spans="1:24">
      <c r="A382" s="2" t="s">
        <v>2914</v>
      </c>
      <c r="B382" s="87">
        <f>B381+1</f>
        <v>5</v>
      </c>
      <c r="C382" s="295">
        <v>45895</v>
      </c>
      <c r="D382" s="323">
        <v>72634</v>
      </c>
      <c r="E382" s="10" t="s">
        <v>2375</v>
      </c>
      <c r="F382" s="62">
        <v>5060</v>
      </c>
      <c r="G382" s="62">
        <f>39.7+(631.3+19.95)+300</f>
        <v>990.95</v>
      </c>
      <c r="H382" s="62"/>
      <c r="I382" s="324">
        <f>F382-G382-H382</f>
        <v>4069.05</v>
      </c>
      <c r="J382" s="63" t="s">
        <v>156</v>
      </c>
      <c r="K382" s="63">
        <v>1</v>
      </c>
      <c r="L382" s="63">
        <v>1</v>
      </c>
      <c r="M382" s="63">
        <v>1</v>
      </c>
      <c r="N382" s="63">
        <v>1</v>
      </c>
      <c r="O382" s="63">
        <v>1</v>
      </c>
      <c r="P382" s="325">
        <v>0</v>
      </c>
      <c r="Q382" s="325">
        <v>0</v>
      </c>
      <c r="R382" s="325">
        <v>0</v>
      </c>
      <c r="S382" s="326">
        <v>0</v>
      </c>
      <c r="T382" s="63"/>
      <c r="U382" s="94" t="s">
        <v>2915</v>
      </c>
      <c r="V382" s="90">
        <f>550+5016</f>
        <v>5566</v>
      </c>
      <c r="W382" s="91"/>
      <c r="X382" s="92"/>
    </row>
    <row r="383" spans="1:24">
      <c r="A383" s="2"/>
      <c r="B383" s="87">
        <f>B382+1</f>
        <v>6</v>
      </c>
      <c r="C383" s="295">
        <v>45895</v>
      </c>
      <c r="D383" s="323" t="s">
        <v>2916</v>
      </c>
      <c r="E383" s="10" t="s">
        <v>2854</v>
      </c>
      <c r="F383" s="62">
        <v>1628</v>
      </c>
      <c r="G383" s="62">
        <f>39.7+(22)</f>
        <v>61.7</v>
      </c>
      <c r="H383" s="62"/>
      <c r="I383" s="89">
        <f t="shared" si="82"/>
        <v>1566.3</v>
      </c>
      <c r="J383" s="63" t="s">
        <v>156</v>
      </c>
      <c r="K383" s="63">
        <v>1</v>
      </c>
      <c r="L383" s="63">
        <v>1</v>
      </c>
      <c r="M383" s="63">
        <v>1</v>
      </c>
      <c r="N383" s="63">
        <v>1</v>
      </c>
      <c r="O383" s="63">
        <v>1</v>
      </c>
      <c r="P383" s="63">
        <v>1</v>
      </c>
      <c r="Q383" s="63">
        <v>1</v>
      </c>
      <c r="R383" s="63">
        <v>1</v>
      </c>
      <c r="S383" s="296">
        <v>1</v>
      </c>
      <c r="T383" s="63"/>
      <c r="U383" s="10"/>
      <c r="V383" s="90">
        <f>170+1620.8</f>
        <v>1790.8</v>
      </c>
      <c r="W383" s="91"/>
      <c r="X383" s="92"/>
    </row>
    <row r="384" spans="1:24">
      <c r="A384" s="2" t="s">
        <v>2416</v>
      </c>
      <c r="B384" s="87">
        <f t="shared" si="83"/>
        <v>7</v>
      </c>
      <c r="C384" s="295">
        <v>45895</v>
      </c>
      <c r="D384" s="323">
        <v>72594</v>
      </c>
      <c r="E384" s="10" t="s">
        <v>2840</v>
      </c>
      <c r="F384" s="62">
        <f>1428-120</f>
        <v>1308</v>
      </c>
      <c r="G384" s="62">
        <v>39.700000000000003</v>
      </c>
      <c r="H384" s="88"/>
      <c r="I384" s="369">
        <f t="shared" si="82"/>
        <v>1268.3</v>
      </c>
      <c r="J384" s="63" t="s">
        <v>156</v>
      </c>
      <c r="K384" s="63">
        <v>1</v>
      </c>
      <c r="L384" s="63">
        <v>1</v>
      </c>
      <c r="M384" s="63">
        <v>1</v>
      </c>
      <c r="N384" s="63">
        <v>1</v>
      </c>
      <c r="O384" s="63">
        <v>1</v>
      </c>
      <c r="P384" s="63">
        <v>1</v>
      </c>
      <c r="Q384" s="63">
        <v>1</v>
      </c>
      <c r="R384" s="63">
        <v>1</v>
      </c>
      <c r="S384" s="326">
        <v>0</v>
      </c>
      <c r="T384" s="63"/>
      <c r="U384" s="10" t="s">
        <v>2917</v>
      </c>
      <c r="V384" s="90">
        <v>1570.8</v>
      </c>
      <c r="W384" s="91"/>
      <c r="X384" s="92"/>
    </row>
    <row r="385" spans="1:24">
      <c r="A385" s="2"/>
      <c r="B385" s="87">
        <f t="shared" si="83"/>
        <v>8</v>
      </c>
      <c r="C385" s="282">
        <v>45895</v>
      </c>
      <c r="D385" s="368">
        <v>72648</v>
      </c>
      <c r="E385" s="283" t="s">
        <v>1082</v>
      </c>
      <c r="F385" s="284">
        <v>1435</v>
      </c>
      <c r="G385" s="284">
        <v>39.700000000000003</v>
      </c>
      <c r="H385" s="315"/>
      <c r="I385" s="285">
        <f t="shared" si="82"/>
        <v>1395.3</v>
      </c>
      <c r="J385" s="286" t="s">
        <v>156</v>
      </c>
      <c r="K385" s="286">
        <v>1</v>
      </c>
      <c r="L385" s="286">
        <v>1</v>
      </c>
      <c r="M385" s="286">
        <v>1</v>
      </c>
      <c r="N385" s="286">
        <v>1</v>
      </c>
      <c r="O385" s="286">
        <v>1</v>
      </c>
      <c r="P385" s="286">
        <v>1</v>
      </c>
      <c r="Q385" s="286">
        <v>1</v>
      </c>
      <c r="R385" s="286">
        <v>1</v>
      </c>
      <c r="S385" s="287">
        <v>1</v>
      </c>
      <c r="T385" s="63"/>
      <c r="U385" s="10" t="s">
        <v>2918</v>
      </c>
      <c r="V385" s="90">
        <f>150+1428.5</f>
        <v>1578.5</v>
      </c>
      <c r="W385" s="91"/>
      <c r="X385" s="92"/>
    </row>
    <row r="386" spans="1:24">
      <c r="A386" s="2"/>
      <c r="B386" s="87">
        <f>B385+1</f>
        <v>9</v>
      </c>
      <c r="C386" s="295">
        <v>45896</v>
      </c>
      <c r="D386" s="323">
        <v>72676</v>
      </c>
      <c r="E386" s="10" t="s">
        <v>2919</v>
      </c>
      <c r="F386" s="62">
        <v>613</v>
      </c>
      <c r="G386" s="62"/>
      <c r="H386" s="88"/>
      <c r="I386" s="324">
        <f t="shared" si="82"/>
        <v>613</v>
      </c>
      <c r="J386" s="63" t="s">
        <v>156</v>
      </c>
      <c r="K386" s="63">
        <v>1</v>
      </c>
      <c r="L386" s="63">
        <v>1</v>
      </c>
      <c r="M386" s="63">
        <v>1</v>
      </c>
      <c r="N386" s="63">
        <v>1</v>
      </c>
      <c r="O386" s="63">
        <v>1</v>
      </c>
      <c r="P386" s="63">
        <v>1</v>
      </c>
      <c r="Q386" s="325">
        <v>0</v>
      </c>
      <c r="R386" s="325">
        <v>0</v>
      </c>
      <c r="S386" s="326">
        <v>0</v>
      </c>
      <c r="T386" s="63"/>
      <c r="U386" s="10"/>
      <c r="V386" s="90">
        <v>674.3</v>
      </c>
      <c r="W386" s="91"/>
      <c r="X386" s="92"/>
    </row>
    <row r="387" spans="1:24">
      <c r="A387" s="2"/>
      <c r="B387" s="87">
        <f>B386+1</f>
        <v>10</v>
      </c>
      <c r="C387" s="274">
        <v>45897</v>
      </c>
      <c r="D387" s="327">
        <v>72729</v>
      </c>
      <c r="E387" s="281" t="s">
        <v>1058</v>
      </c>
      <c r="F387" s="277">
        <v>2250</v>
      </c>
      <c r="G387" s="277">
        <f>39.7+(18.95)</f>
        <v>58.650000000000006</v>
      </c>
      <c r="H387" s="277"/>
      <c r="I387" s="329">
        <f>F387-G387-H387</f>
        <v>2191.35</v>
      </c>
      <c r="J387" s="279" t="s">
        <v>817</v>
      </c>
      <c r="K387" s="279">
        <v>1</v>
      </c>
      <c r="L387" s="279">
        <v>1</v>
      </c>
      <c r="M387" s="279">
        <v>1</v>
      </c>
      <c r="N387" s="279">
        <v>1</v>
      </c>
      <c r="O387" s="279">
        <v>1</v>
      </c>
      <c r="P387" s="279">
        <v>1</v>
      </c>
      <c r="Q387" s="322">
        <v>0</v>
      </c>
      <c r="R387" s="322">
        <v>0</v>
      </c>
      <c r="S387" s="328">
        <v>0</v>
      </c>
      <c r="T387" s="63"/>
      <c r="U387" s="10"/>
      <c r="V387" s="90">
        <v>1975</v>
      </c>
      <c r="W387" s="440">
        <v>500</v>
      </c>
      <c r="X387" s="92"/>
    </row>
    <row r="388" spans="1:24">
      <c r="A388" s="2"/>
      <c r="B388" s="87">
        <f>B387+1</f>
        <v>11</v>
      </c>
      <c r="C388" s="295">
        <v>45897</v>
      </c>
      <c r="D388" s="323">
        <v>72712</v>
      </c>
      <c r="E388" s="10" t="s">
        <v>2375</v>
      </c>
      <c r="F388" s="62">
        <v>1000</v>
      </c>
      <c r="G388" s="62">
        <f>39.7</f>
        <v>39.700000000000003</v>
      </c>
      <c r="H388" s="88"/>
      <c r="I388" s="324">
        <f t="shared" si="82"/>
        <v>960.3</v>
      </c>
      <c r="J388" s="63" t="s">
        <v>156</v>
      </c>
      <c r="K388" s="63">
        <v>1</v>
      </c>
      <c r="L388" s="63">
        <v>1</v>
      </c>
      <c r="M388" s="63">
        <v>1</v>
      </c>
      <c r="N388" s="63">
        <v>1</v>
      </c>
      <c r="O388" s="63">
        <v>1</v>
      </c>
      <c r="P388" s="63">
        <v>1</v>
      </c>
      <c r="Q388" s="325">
        <v>0</v>
      </c>
      <c r="R388" s="325">
        <v>0</v>
      </c>
      <c r="S388" s="326">
        <v>0</v>
      </c>
      <c r="T388" s="63"/>
      <c r="U388" s="10" t="s">
        <v>2920</v>
      </c>
      <c r="V388" s="90">
        <f>100+1000</f>
        <v>1100</v>
      </c>
      <c r="W388" s="91"/>
      <c r="X388" s="92"/>
    </row>
    <row r="389" spans="1:24">
      <c r="A389" s="2"/>
      <c r="B389" s="87">
        <f t="shared" si="83"/>
        <v>12</v>
      </c>
      <c r="C389" s="274">
        <v>45898</v>
      </c>
      <c r="D389" s="327">
        <v>72761</v>
      </c>
      <c r="E389" s="276" t="s">
        <v>1273</v>
      </c>
      <c r="F389" s="277">
        <v>820</v>
      </c>
      <c r="G389" s="277">
        <f>39.7</f>
        <v>39.700000000000003</v>
      </c>
      <c r="H389" s="297"/>
      <c r="I389" s="278">
        <f t="shared" si="82"/>
        <v>780.3</v>
      </c>
      <c r="J389" s="279" t="s">
        <v>156</v>
      </c>
      <c r="K389" s="279">
        <v>1</v>
      </c>
      <c r="L389" s="279">
        <v>1</v>
      </c>
      <c r="M389" s="279">
        <v>1</v>
      </c>
      <c r="N389" s="279">
        <v>1</v>
      </c>
      <c r="O389" s="279">
        <v>1</v>
      </c>
      <c r="P389" s="279">
        <v>1</v>
      </c>
      <c r="Q389" s="279">
        <v>1</v>
      </c>
      <c r="R389" s="279">
        <v>1</v>
      </c>
      <c r="S389" s="280">
        <v>1</v>
      </c>
      <c r="T389" s="21">
        <v>1</v>
      </c>
      <c r="U389" s="10"/>
      <c r="V389" s="90">
        <f>100+802</f>
        <v>902</v>
      </c>
      <c r="W389" s="91"/>
      <c r="X389" s="92"/>
    </row>
    <row r="390" spans="1:24">
      <c r="A390" s="2"/>
      <c r="B390" s="87">
        <f>B389+1</f>
        <v>13</v>
      </c>
      <c r="C390" s="295">
        <v>45898</v>
      </c>
      <c r="D390" s="323">
        <v>72767</v>
      </c>
      <c r="E390" s="101" t="s">
        <v>1284</v>
      </c>
      <c r="F390" s="62">
        <v>6214</v>
      </c>
      <c r="G390" s="62">
        <f>39.7+(26.8+1274.49)+250</f>
        <v>1590.99</v>
      </c>
      <c r="H390" s="62"/>
      <c r="I390" s="324">
        <f t="shared" ref="I390" si="84">F390-G390-H390</f>
        <v>4623.01</v>
      </c>
      <c r="J390" s="63" t="s">
        <v>228</v>
      </c>
      <c r="K390" s="63">
        <v>1</v>
      </c>
      <c r="L390" s="63">
        <v>1</v>
      </c>
      <c r="M390" s="63">
        <v>1</v>
      </c>
      <c r="N390" s="63">
        <v>1</v>
      </c>
      <c r="O390" s="63">
        <v>1</v>
      </c>
      <c r="P390" s="63">
        <v>1</v>
      </c>
      <c r="Q390" s="63">
        <v>1</v>
      </c>
      <c r="R390" s="63">
        <v>1</v>
      </c>
      <c r="S390" s="326">
        <v>0</v>
      </c>
      <c r="T390" s="63"/>
      <c r="U390" s="10" t="s">
        <v>2921</v>
      </c>
      <c r="V390" s="90">
        <f>600+6235.4</f>
        <v>6835.4</v>
      </c>
      <c r="W390" s="91"/>
      <c r="X390" s="92"/>
    </row>
    <row r="391" spans="1:24">
      <c r="A391" s="2"/>
      <c r="B391" s="87">
        <f>B390+1</f>
        <v>14</v>
      </c>
      <c r="C391" s="282">
        <v>45898</v>
      </c>
      <c r="D391" s="368">
        <v>72794</v>
      </c>
      <c r="E391" s="283" t="s">
        <v>1494</v>
      </c>
      <c r="F391" s="423">
        <v>891</v>
      </c>
      <c r="G391" s="284">
        <f>39.7</f>
        <v>39.700000000000003</v>
      </c>
      <c r="H391" s="284"/>
      <c r="I391" s="300">
        <f t="shared" si="82"/>
        <v>851.3</v>
      </c>
      <c r="J391" s="286" t="s">
        <v>156</v>
      </c>
      <c r="K391" s="286">
        <v>1</v>
      </c>
      <c r="L391" s="286">
        <v>1</v>
      </c>
      <c r="M391" s="286">
        <v>1</v>
      </c>
      <c r="N391" s="286">
        <v>1</v>
      </c>
      <c r="O391" s="286">
        <v>1</v>
      </c>
      <c r="P391" s="332">
        <v>0</v>
      </c>
      <c r="Q391" s="286">
        <v>1</v>
      </c>
      <c r="R391" s="286">
        <v>1</v>
      </c>
      <c r="S391" s="370">
        <v>0</v>
      </c>
      <c r="T391" s="63"/>
      <c r="U391" s="10"/>
      <c r="V391" s="90">
        <f>882.09</f>
        <v>882.09</v>
      </c>
      <c r="W391" s="91"/>
      <c r="X391" s="92"/>
    </row>
    <row r="392" spans="1:24">
      <c r="A392" s="2"/>
      <c r="B392" s="87"/>
      <c r="C392" s="36"/>
      <c r="D392" s="10"/>
      <c r="E392" s="10"/>
      <c r="F392" s="97">
        <f>SUM(F378:F391)</f>
        <v>23677</v>
      </c>
      <c r="G392" s="97">
        <f>SUM(G378:G391)</f>
        <v>2929.94</v>
      </c>
      <c r="H392" s="97">
        <f>SUM(H378:H391)</f>
        <v>0</v>
      </c>
      <c r="I392" s="98">
        <f>SUM(I378:I391)</f>
        <v>20747.059999999998</v>
      </c>
      <c r="J392" s="63"/>
      <c r="K392" s="63">
        <f>COUNT(K378:K391)</f>
        <v>14</v>
      </c>
      <c r="L392" s="63">
        <f>COUNT(L378:L391)</f>
        <v>14</v>
      </c>
      <c r="M392" s="63">
        <f>COUNT(M378:M391)</f>
        <v>14</v>
      </c>
      <c r="N392" s="63">
        <f>COUNT(N378:N391)</f>
        <v>14</v>
      </c>
      <c r="O392" s="63">
        <f>COUNT(O378:O391)</f>
        <v>14</v>
      </c>
      <c r="P392" s="63">
        <f>COUNT(P378:P391)</f>
        <v>14</v>
      </c>
      <c r="Q392" s="63">
        <f>COUNT(Q378:Q391)</f>
        <v>14</v>
      </c>
      <c r="R392" s="63">
        <f>COUNT(R378:R391)</f>
        <v>14</v>
      </c>
      <c r="S392" s="63">
        <f>COUNT(S378:S391)</f>
        <v>14</v>
      </c>
      <c r="T392" s="63"/>
      <c r="U392" s="10"/>
      <c r="V392" s="90"/>
      <c r="W392" s="91"/>
      <c r="X392" s="92"/>
    </row>
    <row r="393" spans="1:24">
      <c r="A393" s="2"/>
      <c r="B393" s="87"/>
      <c r="C393" s="36"/>
      <c r="D393" s="10"/>
      <c r="E393" s="10"/>
      <c r="F393" s="88"/>
      <c r="G393" s="88"/>
      <c r="H393" s="88"/>
      <c r="I393" s="99"/>
      <c r="J393" s="63"/>
      <c r="K393" s="21">
        <f>SUM(K378:K391)</f>
        <v>14</v>
      </c>
      <c r="L393" s="21">
        <f>SUM(L378:L391)</f>
        <v>14</v>
      </c>
      <c r="M393" s="21">
        <f>SUM(M378:M391)</f>
        <v>14</v>
      </c>
      <c r="N393" s="21">
        <f>SUM(N378:N391)</f>
        <v>14</v>
      </c>
      <c r="O393" s="21">
        <f>SUM(O378:O391)</f>
        <v>14</v>
      </c>
      <c r="P393" s="21">
        <f>SUM(P378:P391)</f>
        <v>11</v>
      </c>
      <c r="Q393" s="21">
        <f>SUM(Q378:Q391)</f>
        <v>8</v>
      </c>
      <c r="R393" s="21">
        <f>SUM(R378:R391)</f>
        <v>8</v>
      </c>
      <c r="S393" s="21">
        <f>SUM(S378:S391)</f>
        <v>5</v>
      </c>
      <c r="T393" s="63"/>
      <c r="U393" s="10"/>
      <c r="V393" s="90"/>
      <c r="W393" s="91"/>
      <c r="X393" s="92"/>
    </row>
    <row r="394" spans="1:24">
      <c r="A394" s="2"/>
      <c r="B394" s="11"/>
      <c r="C394" s="36"/>
      <c r="D394" s="10"/>
      <c r="E394" s="10"/>
      <c r="F394" s="88"/>
      <c r="G394" s="88"/>
      <c r="H394" s="88"/>
      <c r="I394" s="99"/>
      <c r="J394" s="63"/>
      <c r="K394" s="21"/>
      <c r="L394" s="21"/>
      <c r="M394" s="21"/>
      <c r="N394" s="21"/>
      <c r="O394" s="21"/>
      <c r="P394" s="21"/>
      <c r="Q394" s="21"/>
      <c r="R394" s="21"/>
      <c r="S394" s="21"/>
      <c r="T394" s="63"/>
      <c r="U394" s="10"/>
      <c r="V394" s="90"/>
      <c r="W394" s="91"/>
      <c r="X394" s="92"/>
    </row>
    <row r="395" spans="1:24">
      <c r="A395" s="2"/>
      <c r="B395" s="100" t="s">
        <v>66</v>
      </c>
      <c r="C395" s="36"/>
      <c r="D395" s="10"/>
      <c r="E395" s="10"/>
      <c r="F395" s="88"/>
      <c r="G395" s="62"/>
      <c r="H395" s="88"/>
      <c r="I395" s="99"/>
      <c r="J395" s="63"/>
      <c r="K395" s="2"/>
      <c r="L395" s="2"/>
      <c r="M395" s="2"/>
      <c r="N395" s="2"/>
      <c r="O395" s="2"/>
      <c r="P395" s="2"/>
      <c r="Q395" s="2"/>
      <c r="R395" s="2"/>
      <c r="S395" s="2"/>
      <c r="T395" s="63"/>
      <c r="U395" s="94"/>
      <c r="V395" s="90"/>
      <c r="W395" s="91"/>
      <c r="X395" s="92"/>
    </row>
    <row r="396" spans="1:24">
      <c r="A396" s="2"/>
      <c r="B396" s="87">
        <v>1</v>
      </c>
      <c r="C396" s="274">
        <v>45899</v>
      </c>
      <c r="D396" s="327">
        <v>72811</v>
      </c>
      <c r="E396" s="281" t="s">
        <v>302</v>
      </c>
      <c r="F396" s="277">
        <f>1946-85</f>
        <v>1861</v>
      </c>
      <c r="G396" s="277">
        <f>39.7</f>
        <v>39.700000000000003</v>
      </c>
      <c r="H396" s="277"/>
      <c r="I396" s="321">
        <f t="shared" ref="I396" si="85">F396-G396-H396</f>
        <v>1821.3</v>
      </c>
      <c r="J396" s="279" t="s">
        <v>156</v>
      </c>
      <c r="K396" s="279">
        <v>1</v>
      </c>
      <c r="L396" s="322">
        <v>0</v>
      </c>
      <c r="M396" s="279">
        <v>1</v>
      </c>
      <c r="N396" s="279">
        <v>1</v>
      </c>
      <c r="O396" s="279">
        <v>1</v>
      </c>
      <c r="P396" s="322">
        <v>0</v>
      </c>
      <c r="Q396" s="279">
        <v>1</v>
      </c>
      <c r="R396" s="322">
        <v>0</v>
      </c>
      <c r="S396" s="280">
        <v>1</v>
      </c>
      <c r="T396" s="21">
        <v>1</v>
      </c>
      <c r="U396" s="94"/>
      <c r="V396" s="90">
        <f>93.5+2047.1</f>
        <v>2140.6</v>
      </c>
      <c r="W396" s="91"/>
      <c r="X396" s="92"/>
    </row>
    <row r="397" spans="1:24" s="342" customFormat="1">
      <c r="A397" s="2" t="s">
        <v>2922</v>
      </c>
      <c r="B397" s="87">
        <f>B396+1</f>
        <v>2</v>
      </c>
      <c r="C397" s="282">
        <v>45899</v>
      </c>
      <c r="D397" s="368">
        <v>72817</v>
      </c>
      <c r="E397" s="319" t="s">
        <v>746</v>
      </c>
      <c r="F397" s="284">
        <f>5899-85</f>
        <v>5814</v>
      </c>
      <c r="G397" s="284">
        <f>39.7+(1417.2+344.65)</f>
        <v>1801.55</v>
      </c>
      <c r="H397" s="284"/>
      <c r="I397" s="300">
        <f t="shared" ref="I397" si="86">F397-G397-H397</f>
        <v>4012.45</v>
      </c>
      <c r="J397" s="286" t="s">
        <v>156</v>
      </c>
      <c r="K397" s="286">
        <v>1</v>
      </c>
      <c r="L397" s="286">
        <v>1</v>
      </c>
      <c r="M397" s="286">
        <v>1</v>
      </c>
      <c r="N397" s="286">
        <v>1</v>
      </c>
      <c r="O397" s="286">
        <v>1</v>
      </c>
      <c r="P397" s="332">
        <v>0</v>
      </c>
      <c r="Q397" s="286">
        <v>1</v>
      </c>
      <c r="R397" s="332">
        <v>1</v>
      </c>
      <c r="S397" s="370">
        <v>0</v>
      </c>
      <c r="T397" s="21"/>
      <c r="U397" s="94" t="s">
        <v>2923</v>
      </c>
      <c r="V397" s="90">
        <f>93.5+600+5701.9</f>
        <v>6395.4</v>
      </c>
      <c r="W397" s="91"/>
      <c r="X397" s="92"/>
    </row>
    <row r="398" spans="1:24">
      <c r="A398" s="2"/>
      <c r="B398" s="11"/>
      <c r="C398" s="36"/>
      <c r="D398" s="10"/>
      <c r="E398" s="10"/>
      <c r="F398" s="97">
        <f>SUM(F396:F397)</f>
        <v>7675</v>
      </c>
      <c r="G398" s="97">
        <f t="shared" ref="G398:I398" si="87">SUM(G396:G397)</f>
        <v>1841.25</v>
      </c>
      <c r="H398" s="97">
        <f t="shared" si="87"/>
        <v>0</v>
      </c>
      <c r="I398" s="97">
        <f t="shared" si="87"/>
        <v>5833.75</v>
      </c>
      <c r="J398" s="63"/>
      <c r="K398" s="21"/>
      <c r="L398" s="21"/>
      <c r="M398" s="21"/>
      <c r="N398" s="21"/>
      <c r="O398" s="21"/>
      <c r="P398" s="21"/>
      <c r="Q398" s="21"/>
      <c r="R398" s="21"/>
      <c r="S398" s="21"/>
      <c r="T398" s="63"/>
      <c r="U398" s="94"/>
      <c r="V398" s="90"/>
      <c r="W398" s="91"/>
      <c r="X398" s="92"/>
    </row>
    <row r="399" spans="1:24">
      <c r="A399" s="2"/>
      <c r="B399" s="11"/>
      <c r="C399" s="36"/>
      <c r="D399" s="10"/>
      <c r="E399" s="10"/>
      <c r="F399" s="88"/>
      <c r="G399" s="88"/>
      <c r="H399" s="88"/>
      <c r="I399" s="99"/>
      <c r="J399" s="63"/>
      <c r="K399" s="21"/>
      <c r="L399" s="21"/>
      <c r="M399" s="21"/>
      <c r="N399" s="21"/>
      <c r="O399" s="21"/>
      <c r="P399" s="21"/>
      <c r="Q399" s="21"/>
      <c r="R399" s="21"/>
      <c r="S399" s="21"/>
      <c r="T399" s="63"/>
      <c r="U399" s="94"/>
      <c r="V399" s="90"/>
      <c r="W399" s="91"/>
      <c r="X399" s="92"/>
    </row>
    <row r="400" spans="1:24">
      <c r="A400" s="2"/>
      <c r="B400" s="100" t="s">
        <v>67</v>
      </c>
      <c r="C400" s="36"/>
      <c r="D400" s="10"/>
      <c r="E400" s="10"/>
      <c r="F400" s="88"/>
      <c r="G400" s="62"/>
      <c r="H400" s="88"/>
      <c r="I400" s="99"/>
      <c r="J400" s="63"/>
      <c r="K400" s="2"/>
      <c r="L400" s="2"/>
      <c r="M400" s="2"/>
      <c r="N400" s="2"/>
      <c r="O400" s="2"/>
      <c r="P400" s="2"/>
      <c r="Q400" s="2"/>
      <c r="R400" s="2"/>
      <c r="S400" s="2"/>
      <c r="T400" s="63"/>
      <c r="U400" s="94"/>
      <c r="V400" s="90"/>
      <c r="W400" s="91"/>
      <c r="X400" s="92"/>
    </row>
    <row r="401" spans="1:24">
      <c r="A401" s="261" t="s">
        <v>551</v>
      </c>
      <c r="B401" s="87">
        <v>1</v>
      </c>
      <c r="C401" s="274">
        <v>45888</v>
      </c>
      <c r="D401" s="327">
        <v>72377</v>
      </c>
      <c r="E401" s="276" t="s">
        <v>2896</v>
      </c>
      <c r="F401" s="277">
        <v>5814</v>
      </c>
      <c r="G401" s="277">
        <f>39.7+(87.46)+250</f>
        <v>377.15999999999997</v>
      </c>
      <c r="H401" s="277"/>
      <c r="I401" s="278">
        <f>F401-G401-H401</f>
        <v>5436.84</v>
      </c>
      <c r="J401" s="650" t="s">
        <v>228</v>
      </c>
      <c r="K401" s="279">
        <v>1</v>
      </c>
      <c r="L401" s="279">
        <v>1</v>
      </c>
      <c r="M401" s="279">
        <v>1</v>
      </c>
      <c r="N401" s="279">
        <v>1</v>
      </c>
      <c r="O401" s="279">
        <v>1</v>
      </c>
      <c r="P401" s="279">
        <v>1</v>
      </c>
      <c r="Q401" s="322">
        <v>0</v>
      </c>
      <c r="R401" s="322">
        <v>0</v>
      </c>
      <c r="S401" s="328">
        <v>0</v>
      </c>
      <c r="T401" s="63"/>
      <c r="U401" s="94" t="s">
        <v>2924</v>
      </c>
      <c r="V401" s="90">
        <f>595.4</f>
        <v>595.4</v>
      </c>
      <c r="W401" s="136"/>
      <c r="X401" s="137"/>
    </row>
    <row r="402" spans="1:24" s="381" customFormat="1">
      <c r="A402" s="371" t="s">
        <v>1633</v>
      </c>
      <c r="B402" s="372">
        <f>B401+1</f>
        <v>2</v>
      </c>
      <c r="C402" s="373">
        <v>45890</v>
      </c>
      <c r="D402" s="263">
        <v>72466</v>
      </c>
      <c r="E402" s="391" t="s">
        <v>1273</v>
      </c>
      <c r="F402" s="375">
        <f>1428-1428</f>
        <v>0</v>
      </c>
      <c r="G402" s="375">
        <f>39.7-39.7</f>
        <v>0</v>
      </c>
      <c r="H402" s="375"/>
      <c r="I402" s="376">
        <f>F402-G402-H402</f>
        <v>0</v>
      </c>
      <c r="J402" s="314" t="s">
        <v>156</v>
      </c>
      <c r="K402" s="314">
        <v>1</v>
      </c>
      <c r="L402" s="314"/>
      <c r="M402" s="314">
        <v>0</v>
      </c>
      <c r="N402" s="314">
        <v>1</v>
      </c>
      <c r="O402" s="314">
        <v>1</v>
      </c>
      <c r="P402" s="314">
        <v>0</v>
      </c>
      <c r="Q402" s="314"/>
      <c r="R402" s="314"/>
      <c r="S402" s="366"/>
      <c r="T402" s="325"/>
      <c r="U402" s="430" t="s">
        <v>2925</v>
      </c>
      <c r="V402" s="377"/>
      <c r="W402" s="392"/>
      <c r="X402" s="379"/>
    </row>
    <row r="403" spans="1:24">
      <c r="A403" s="2"/>
      <c r="B403" s="11"/>
      <c r="C403" s="36"/>
      <c r="D403" s="10"/>
      <c r="E403" s="10"/>
      <c r="F403" s="97">
        <f>SUM(F401:F402)</f>
        <v>5814</v>
      </c>
      <c r="G403" s="97">
        <f>SUM(G401:G402)</f>
        <v>377.15999999999997</v>
      </c>
      <c r="H403" s="97">
        <f>SUM(H401:H402)</f>
        <v>0</v>
      </c>
      <c r="I403" s="98">
        <f>SUM(I401:I402)</f>
        <v>5436.84</v>
      </c>
      <c r="J403" s="63"/>
      <c r="K403" s="21"/>
      <c r="L403" s="21"/>
      <c r="M403" s="21"/>
      <c r="N403" s="21"/>
      <c r="O403" s="21"/>
      <c r="P403" s="21"/>
      <c r="Q403" s="21"/>
      <c r="R403" s="21"/>
      <c r="S403" s="21"/>
      <c r="T403" s="63"/>
      <c r="U403" s="94"/>
      <c r="V403" s="90"/>
      <c r="W403" s="91"/>
      <c r="X403" s="92"/>
    </row>
    <row r="404" spans="1:24">
      <c r="A404" s="2"/>
      <c r="B404" s="11"/>
      <c r="C404" s="36"/>
      <c r="D404" s="10"/>
      <c r="E404" s="10"/>
      <c r="F404" s="88"/>
      <c r="G404" s="88"/>
      <c r="H404" s="88"/>
      <c r="I404" s="99"/>
      <c r="J404" s="63"/>
      <c r="K404" s="21"/>
      <c r="L404" s="21"/>
      <c r="M404" s="21"/>
      <c r="N404" s="21"/>
      <c r="O404" s="21"/>
      <c r="P404" s="21"/>
      <c r="Q404" s="21"/>
      <c r="R404" s="21"/>
      <c r="S404" s="21"/>
      <c r="T404" s="63"/>
      <c r="U404" s="94"/>
      <c r="V404" s="90"/>
      <c r="W404" s="91"/>
      <c r="X404" s="92"/>
    </row>
    <row r="405" spans="1:24">
      <c r="A405" s="128"/>
      <c r="B405" s="121" t="s">
        <v>68</v>
      </c>
      <c r="C405" s="122"/>
      <c r="D405" s="123"/>
      <c r="E405" s="123"/>
      <c r="F405" s="124"/>
      <c r="G405" s="125"/>
      <c r="H405" s="124"/>
      <c r="I405" s="126"/>
      <c r="J405" s="127"/>
      <c r="K405" s="128"/>
      <c r="L405" s="128"/>
      <c r="M405" s="128"/>
      <c r="N405" s="128"/>
      <c r="O405" s="128"/>
      <c r="P405" s="128"/>
      <c r="Q405" s="128"/>
      <c r="R405" s="128"/>
      <c r="S405" s="128"/>
      <c r="T405" s="127"/>
      <c r="U405" s="123"/>
      <c r="V405" s="129"/>
      <c r="W405" s="130"/>
      <c r="X405" s="131"/>
    </row>
    <row r="406" spans="1:24" s="342" customFormat="1">
      <c r="A406" s="356">
        <v>0.05</v>
      </c>
      <c r="B406" s="333">
        <v>1</v>
      </c>
      <c r="C406" s="350">
        <v>45896</v>
      </c>
      <c r="D406" s="490" t="s">
        <v>2926</v>
      </c>
      <c r="E406" s="358" t="s">
        <v>2919</v>
      </c>
      <c r="F406" s="352">
        <v>8213.2000000000007</v>
      </c>
      <c r="G406" s="352">
        <f>39.7+(13+1388.11)+750</f>
        <v>2190.81</v>
      </c>
      <c r="H406" s="352"/>
      <c r="I406" s="353">
        <f t="shared" ref="I406" si="88">F406-G406-H406</f>
        <v>6022.3900000000012</v>
      </c>
      <c r="J406" s="354" t="s">
        <v>228</v>
      </c>
      <c r="K406" s="354">
        <v>1</v>
      </c>
      <c r="L406" s="354">
        <v>0</v>
      </c>
      <c r="M406" s="354">
        <v>1</v>
      </c>
      <c r="N406" s="354">
        <v>1</v>
      </c>
      <c r="O406" s="354">
        <v>1</v>
      </c>
      <c r="P406" s="314">
        <v>0</v>
      </c>
      <c r="Q406" s="354">
        <v>1</v>
      </c>
      <c r="R406" s="314">
        <v>0</v>
      </c>
      <c r="S406" s="366">
        <v>0</v>
      </c>
      <c r="T406" s="64">
        <v>1</v>
      </c>
      <c r="U406" s="135" t="s">
        <v>2927</v>
      </c>
      <c r="V406" s="129">
        <f>70+900</f>
        <v>970</v>
      </c>
      <c r="W406" s="130"/>
      <c r="X406" s="131"/>
    </row>
    <row r="407" spans="1:24">
      <c r="A407" s="128"/>
      <c r="B407" s="132"/>
      <c r="C407" s="122"/>
      <c r="D407" s="123"/>
      <c r="E407" s="123"/>
      <c r="F407" s="133">
        <f>SUM(F406:F406)</f>
        <v>8213.2000000000007</v>
      </c>
      <c r="G407" s="133">
        <f>SUM(G406:G406)</f>
        <v>2190.81</v>
      </c>
      <c r="H407" s="133">
        <f>SUM(H406:H406)</f>
        <v>0</v>
      </c>
      <c r="I407" s="134">
        <f>SUM(I406:I406)</f>
        <v>6022.3900000000012</v>
      </c>
      <c r="J407" s="127"/>
      <c r="K407" s="64"/>
      <c r="L407" s="64"/>
      <c r="M407" s="64"/>
      <c r="N407" s="64"/>
      <c r="O407" s="64"/>
      <c r="P407" s="64"/>
      <c r="Q407" s="64"/>
      <c r="R407" s="64"/>
      <c r="S407" s="64"/>
      <c r="T407" s="127"/>
      <c r="U407" s="123"/>
      <c r="V407" s="129"/>
      <c r="W407" s="130"/>
      <c r="X407" s="131"/>
    </row>
    <row r="408" spans="1:24">
      <c r="A408" s="2"/>
      <c r="B408" s="11"/>
      <c r="C408" s="36"/>
      <c r="D408" s="10"/>
      <c r="E408" s="10"/>
      <c r="F408" s="88"/>
      <c r="G408" s="88"/>
      <c r="H408" s="88"/>
      <c r="I408" s="99"/>
      <c r="J408" s="63"/>
      <c r="K408" s="21"/>
      <c r="L408" s="21"/>
      <c r="M408" s="21"/>
      <c r="N408" s="21"/>
      <c r="O408" s="21"/>
      <c r="P408" s="21"/>
      <c r="Q408" s="21"/>
      <c r="R408" s="21"/>
      <c r="S408" s="21"/>
      <c r="T408" s="63"/>
      <c r="U408" s="94"/>
      <c r="V408" s="90"/>
      <c r="W408" s="91"/>
      <c r="X408" s="92"/>
    </row>
    <row r="409" spans="1:24">
      <c r="A409" s="128"/>
      <c r="B409" s="121" t="s">
        <v>70</v>
      </c>
      <c r="C409" s="122"/>
      <c r="D409" s="123"/>
      <c r="E409" s="128"/>
      <c r="F409" s="124"/>
      <c r="G409" s="124"/>
      <c r="H409" s="124"/>
      <c r="I409" s="126"/>
      <c r="J409" s="127"/>
      <c r="K409" s="64"/>
      <c r="L409" s="64"/>
      <c r="M409" s="64"/>
      <c r="N409" s="64"/>
      <c r="O409" s="64"/>
      <c r="P409" s="64"/>
      <c r="Q409" s="64"/>
      <c r="R409" s="64"/>
      <c r="S409" s="64"/>
      <c r="T409" s="127"/>
      <c r="U409" s="135"/>
      <c r="V409" s="129"/>
      <c r="W409" s="130"/>
      <c r="X409" s="131"/>
    </row>
    <row r="410" spans="1:24" s="342" customFormat="1">
      <c r="A410" s="356">
        <v>0.05</v>
      </c>
      <c r="B410" s="333">
        <v>1</v>
      </c>
      <c r="C410" s="334">
        <v>45896</v>
      </c>
      <c r="D410" s="327">
        <v>72711</v>
      </c>
      <c r="E410" s="335" t="s">
        <v>1494</v>
      </c>
      <c r="F410" s="336">
        <v>2792</v>
      </c>
      <c r="G410" s="336">
        <f>+(85.41)</f>
        <v>85.41</v>
      </c>
      <c r="H410" s="336"/>
      <c r="I410" s="337">
        <f>F410-G410-H410</f>
        <v>2706.59</v>
      </c>
      <c r="J410" s="338" t="s">
        <v>156</v>
      </c>
      <c r="K410" s="338">
        <v>1</v>
      </c>
      <c r="L410" s="338"/>
      <c r="M410" s="338">
        <v>1</v>
      </c>
      <c r="N410" s="338">
        <v>1</v>
      </c>
      <c r="O410" s="338">
        <v>1</v>
      </c>
      <c r="P410" s="322">
        <v>0</v>
      </c>
      <c r="Q410" s="338"/>
      <c r="R410" s="338"/>
      <c r="S410" s="339"/>
      <c r="T410" s="127"/>
      <c r="U410" s="135" t="s">
        <v>2928</v>
      </c>
      <c r="V410" s="129">
        <f>300</f>
        <v>300</v>
      </c>
      <c r="W410" s="340"/>
      <c r="X410" s="341"/>
    </row>
    <row r="411" spans="1:24" s="342" customFormat="1">
      <c r="A411" s="128" t="s">
        <v>2542</v>
      </c>
      <c r="B411" s="333">
        <f t="shared" ref="B411" si="89">B410+1</f>
        <v>2</v>
      </c>
      <c r="C411" s="350">
        <v>45897</v>
      </c>
      <c r="D411" s="263">
        <v>72735</v>
      </c>
      <c r="E411" s="358" t="s">
        <v>1169</v>
      </c>
      <c r="F411" s="352">
        <v>2916</v>
      </c>
      <c r="G411" s="352">
        <f>39.7+(177.31+59.74)+300</f>
        <v>576.75</v>
      </c>
      <c r="H411" s="352"/>
      <c r="I411" s="353">
        <f>F411-G411-H411</f>
        <v>2339.25</v>
      </c>
      <c r="J411" s="354" t="s">
        <v>156</v>
      </c>
      <c r="K411" s="354">
        <v>1</v>
      </c>
      <c r="L411" s="354">
        <v>1</v>
      </c>
      <c r="M411" s="354">
        <v>1</v>
      </c>
      <c r="N411" s="354">
        <v>1</v>
      </c>
      <c r="O411" s="354">
        <v>1</v>
      </c>
      <c r="P411" s="354">
        <v>1</v>
      </c>
      <c r="Q411" s="354">
        <v>1</v>
      </c>
      <c r="R411" s="354">
        <v>1</v>
      </c>
      <c r="S411" s="366">
        <v>0</v>
      </c>
      <c r="T411" s="127"/>
      <c r="U411" s="135" t="s">
        <v>2929</v>
      </c>
      <c r="V411" s="129">
        <f>300+2200</f>
        <v>2500</v>
      </c>
      <c r="W411" s="340"/>
      <c r="X411" s="341"/>
    </row>
    <row r="412" spans="1:24">
      <c r="A412" s="128"/>
      <c r="B412" s="132"/>
      <c r="C412" s="122"/>
      <c r="D412" s="123"/>
      <c r="E412" s="123"/>
      <c r="F412" s="134">
        <f>SUM(F410:F411)</f>
        <v>5708</v>
      </c>
      <c r="G412" s="134">
        <f>SUM(G410:G411)</f>
        <v>662.16</v>
      </c>
      <c r="H412" s="134">
        <f>SUM(H410:H411)</f>
        <v>0</v>
      </c>
      <c r="I412" s="134">
        <f>SUM(I410:I411)</f>
        <v>5045.84</v>
      </c>
      <c r="J412" s="127"/>
      <c r="K412" s="64"/>
      <c r="L412" s="64"/>
      <c r="M412" s="64"/>
      <c r="N412" s="64"/>
      <c r="O412" s="64"/>
      <c r="P412" s="64"/>
      <c r="Q412" s="64"/>
      <c r="R412" s="64"/>
      <c r="S412" s="64"/>
      <c r="T412" s="127"/>
      <c r="U412" s="135"/>
      <c r="V412" s="129"/>
      <c r="W412" s="130"/>
      <c r="X412" s="131"/>
    </row>
    <row r="413" spans="1:24">
      <c r="A413" s="2"/>
      <c r="B413" s="11"/>
      <c r="C413" s="36"/>
      <c r="D413" s="10"/>
      <c r="E413" s="10"/>
      <c r="F413" s="88"/>
      <c r="G413" s="88"/>
      <c r="H413" s="88"/>
      <c r="I413" s="99"/>
      <c r="J413" s="10"/>
      <c r="K413" s="63"/>
      <c r="L413" s="63"/>
      <c r="M413" s="63"/>
      <c r="N413" s="63"/>
      <c r="O413" s="63"/>
      <c r="P413" s="63"/>
      <c r="Q413" s="63"/>
      <c r="R413" s="63"/>
      <c r="S413" s="63"/>
      <c r="T413" s="63"/>
      <c r="U413" s="94"/>
      <c r="V413" s="90"/>
      <c r="W413" s="91"/>
      <c r="X413" s="92"/>
    </row>
    <row r="414" spans="1:24" s="342" customFormat="1">
      <c r="B414" s="100" t="s">
        <v>152</v>
      </c>
      <c r="C414" s="122"/>
      <c r="D414" s="123"/>
      <c r="E414" s="123"/>
      <c r="F414" s="124"/>
      <c r="G414" s="125"/>
      <c r="H414" s="124"/>
      <c r="I414" s="126"/>
      <c r="J414" s="127"/>
      <c r="K414" s="128"/>
      <c r="L414" s="128"/>
      <c r="M414" s="128"/>
      <c r="N414" s="128"/>
      <c r="O414" s="128"/>
      <c r="P414" s="128"/>
      <c r="Q414" s="128"/>
      <c r="R414" s="128"/>
      <c r="S414" s="128"/>
      <c r="T414" s="127"/>
      <c r="U414" s="123"/>
      <c r="V414" s="129"/>
      <c r="W414" s="130"/>
      <c r="X414" s="131"/>
    </row>
    <row r="415" spans="1:24" s="260" customFormat="1">
      <c r="A415" s="494">
        <v>0.05</v>
      </c>
      <c r="B415" s="87">
        <v>1</v>
      </c>
      <c r="C415" s="262">
        <v>45866</v>
      </c>
      <c r="D415" s="263">
        <v>71800</v>
      </c>
      <c r="E415" s="271" t="s">
        <v>2823</v>
      </c>
      <c r="F415" s="265">
        <v>6214</v>
      </c>
      <c r="G415" s="265">
        <f>39.7+(1288.73)+250</f>
        <v>1578.43</v>
      </c>
      <c r="H415" s="265"/>
      <c r="I415" s="266">
        <f>F415-G415-H415</f>
        <v>4635.57</v>
      </c>
      <c r="J415" s="267" t="s">
        <v>156</v>
      </c>
      <c r="K415" s="267">
        <v>1</v>
      </c>
      <c r="L415" s="314">
        <v>0</v>
      </c>
      <c r="M415" s="267">
        <v>1</v>
      </c>
      <c r="N415" s="267">
        <v>1</v>
      </c>
      <c r="O415" s="267">
        <v>1</v>
      </c>
      <c r="P415" s="314">
        <v>0</v>
      </c>
      <c r="Q415" s="314">
        <v>0</v>
      </c>
      <c r="R415" s="314">
        <v>0</v>
      </c>
      <c r="S415" s="366">
        <v>0</v>
      </c>
      <c r="T415" s="63"/>
      <c r="U415" s="94" t="s">
        <v>2930</v>
      </c>
      <c r="V415" s="90"/>
      <c r="W415" s="136"/>
      <c r="X415" s="92"/>
    </row>
    <row r="416" spans="1:24" s="260" customFormat="1">
      <c r="A416" s="260" t="s">
        <v>619</v>
      </c>
      <c r="B416" s="87">
        <f>B415+1</f>
        <v>2</v>
      </c>
      <c r="C416" s="262">
        <v>45866</v>
      </c>
      <c r="D416" s="263">
        <v>71787</v>
      </c>
      <c r="E416" s="271" t="s">
        <v>1338</v>
      </c>
      <c r="F416" s="265">
        <v>28614</v>
      </c>
      <c r="G416" s="265">
        <f>39.7+1424.2+(474.48+162.31+289.19+9.1+8.29-78.88)+(F416*0.25)</f>
        <v>9481.89</v>
      </c>
      <c r="H416" s="265"/>
      <c r="I416" s="266">
        <f>F416-G416-H416</f>
        <v>19132.11</v>
      </c>
      <c r="J416" s="267" t="s">
        <v>374</v>
      </c>
      <c r="K416" s="267">
        <v>1</v>
      </c>
      <c r="L416" s="267"/>
      <c r="M416" s="267">
        <v>1</v>
      </c>
      <c r="N416" s="267">
        <v>1</v>
      </c>
      <c r="O416" s="267">
        <v>1</v>
      </c>
      <c r="P416" s="314">
        <v>0</v>
      </c>
      <c r="Q416" s="314">
        <v>0</v>
      </c>
      <c r="R416" s="314">
        <v>0</v>
      </c>
      <c r="S416" s="366">
        <v>0</v>
      </c>
      <c r="T416" s="63"/>
      <c r="U416" s="94" t="s">
        <v>2852</v>
      </c>
      <c r="V416" s="90"/>
      <c r="W416" s="136"/>
      <c r="X416" s="137"/>
    </row>
    <row r="417" spans="1:24" s="260" customFormat="1">
      <c r="A417" s="261" t="s">
        <v>619</v>
      </c>
      <c r="B417" s="87">
        <f>B416+1</f>
        <v>3</v>
      </c>
      <c r="C417" s="274">
        <v>45873</v>
      </c>
      <c r="D417" s="327">
        <v>71967</v>
      </c>
      <c r="E417" s="281" t="s">
        <v>1256</v>
      </c>
      <c r="F417" s="277">
        <v>2681</v>
      </c>
      <c r="G417" s="277">
        <f>39.7+(189.05)+(15.38)+200</f>
        <v>444.13</v>
      </c>
      <c r="H417" s="277"/>
      <c r="I417" s="321">
        <f>F417-G417-H417</f>
        <v>2236.87</v>
      </c>
      <c r="J417" s="279" t="s">
        <v>374</v>
      </c>
      <c r="K417" s="279">
        <v>1</v>
      </c>
      <c r="L417" s="279">
        <v>1</v>
      </c>
      <c r="M417" s="279">
        <v>1</v>
      </c>
      <c r="N417" s="279">
        <v>1</v>
      </c>
      <c r="O417" s="279">
        <v>1</v>
      </c>
      <c r="P417" s="322">
        <v>0</v>
      </c>
      <c r="Q417" s="279">
        <v>1</v>
      </c>
      <c r="R417" s="279">
        <v>1</v>
      </c>
      <c r="S417" s="280">
        <v>1</v>
      </c>
      <c r="T417" s="63"/>
      <c r="U417" s="10" t="s">
        <v>2851</v>
      </c>
      <c r="V417" s="90"/>
      <c r="W417" s="91"/>
      <c r="X417" s="92"/>
    </row>
    <row r="418" spans="1:24" s="260" customFormat="1">
      <c r="A418" s="181" t="s">
        <v>619</v>
      </c>
      <c r="B418" s="87">
        <f t="shared" ref="B418:B420" si="90">B417+1</f>
        <v>4</v>
      </c>
      <c r="C418" s="262">
        <v>45881</v>
      </c>
      <c r="D418" s="263">
        <v>72270</v>
      </c>
      <c r="E418" s="271" t="s">
        <v>1120</v>
      </c>
      <c r="F418" s="265">
        <v>11380</v>
      </c>
      <c r="G418" s="265">
        <f>39.7+(227.91)+300</f>
        <v>567.61</v>
      </c>
      <c r="H418" s="265"/>
      <c r="I418" s="266">
        <f>F418-G418-H418</f>
        <v>10812.39</v>
      </c>
      <c r="J418" s="267" t="s">
        <v>156</v>
      </c>
      <c r="K418" s="267">
        <v>1</v>
      </c>
      <c r="L418" s="267"/>
      <c r="M418" s="267">
        <v>1</v>
      </c>
      <c r="N418" s="267">
        <v>1</v>
      </c>
      <c r="O418" s="267">
        <v>1</v>
      </c>
      <c r="P418" s="314">
        <v>0</v>
      </c>
      <c r="Q418" s="314">
        <v>0</v>
      </c>
      <c r="R418" s="314">
        <v>0</v>
      </c>
      <c r="S418" s="366">
        <v>0</v>
      </c>
      <c r="T418" s="63"/>
      <c r="U418" s="94" t="s">
        <v>2872</v>
      </c>
      <c r="V418" s="90"/>
      <c r="W418" s="136"/>
      <c r="X418" s="137"/>
    </row>
    <row r="419" spans="1:24" s="260" customFormat="1">
      <c r="A419" s="261" t="s">
        <v>2542</v>
      </c>
      <c r="B419" s="87">
        <f t="shared" si="90"/>
        <v>5</v>
      </c>
      <c r="C419" s="274">
        <v>45890</v>
      </c>
      <c r="D419" s="327">
        <v>72522</v>
      </c>
      <c r="E419" s="276" t="s">
        <v>1169</v>
      </c>
      <c r="F419" s="277">
        <v>3122</v>
      </c>
      <c r="G419" s="277">
        <f>39.7+877.8+(521.76+88.09)+200</f>
        <v>1727.35</v>
      </c>
      <c r="H419" s="277"/>
      <c r="I419" s="321">
        <f>F419-G419-H419</f>
        <v>1394.65</v>
      </c>
      <c r="J419" s="279" t="s">
        <v>156</v>
      </c>
      <c r="K419" s="279">
        <v>1</v>
      </c>
      <c r="L419" s="279">
        <v>1</v>
      </c>
      <c r="M419" s="279">
        <v>1</v>
      </c>
      <c r="N419" s="279">
        <v>1</v>
      </c>
      <c r="O419" s="279">
        <v>1</v>
      </c>
      <c r="P419" s="279">
        <v>1</v>
      </c>
      <c r="Q419" s="279">
        <v>1</v>
      </c>
      <c r="R419" s="322">
        <v>0</v>
      </c>
      <c r="S419" s="328">
        <v>0</v>
      </c>
      <c r="T419" s="63"/>
      <c r="U419" s="10" t="s">
        <v>2931</v>
      </c>
      <c r="V419" s="90"/>
      <c r="W419" s="136"/>
      <c r="X419" s="137"/>
    </row>
    <row r="420" spans="1:24" s="260" customFormat="1">
      <c r="A420" s="261">
        <v>0.05</v>
      </c>
      <c r="B420" s="87">
        <f t="shared" si="90"/>
        <v>6</v>
      </c>
      <c r="C420" s="282">
        <v>45890</v>
      </c>
      <c r="D420" s="368">
        <v>72515</v>
      </c>
      <c r="E420" s="283" t="s">
        <v>1058</v>
      </c>
      <c r="F420" s="284">
        <v>2575</v>
      </c>
      <c r="G420" s="284">
        <v>39.700000000000003</v>
      </c>
      <c r="H420" s="315"/>
      <c r="I420" s="300">
        <f>F420-G420-H420</f>
        <v>2535.3000000000002</v>
      </c>
      <c r="J420" s="286" t="s">
        <v>374</v>
      </c>
      <c r="K420" s="286">
        <v>1</v>
      </c>
      <c r="L420" s="286">
        <v>1</v>
      </c>
      <c r="M420" s="286">
        <v>1</v>
      </c>
      <c r="N420" s="286">
        <v>1</v>
      </c>
      <c r="O420" s="286">
        <v>1</v>
      </c>
      <c r="P420" s="286">
        <v>1</v>
      </c>
      <c r="Q420" s="286">
        <v>1</v>
      </c>
      <c r="R420" s="332">
        <v>0</v>
      </c>
      <c r="S420" s="370">
        <v>0</v>
      </c>
      <c r="T420" s="63"/>
      <c r="U420" s="10" t="s">
        <v>2895</v>
      </c>
      <c r="V420" s="90"/>
      <c r="W420" s="91"/>
      <c r="X420" s="92"/>
    </row>
    <row r="421" spans="1:24" s="260" customFormat="1">
      <c r="B421" s="11"/>
      <c r="C421" s="36"/>
      <c r="D421" s="10"/>
      <c r="E421" s="10"/>
      <c r="F421" s="98">
        <f>SUM(F415:F420)</f>
        <v>54586</v>
      </c>
      <c r="G421" s="98">
        <f t="shared" ref="G421:I421" si="91">SUM(G415:G420)</f>
        <v>13839.11</v>
      </c>
      <c r="H421" s="98">
        <f t="shared" si="91"/>
        <v>0</v>
      </c>
      <c r="I421" s="98">
        <f t="shared" si="91"/>
        <v>40746.890000000007</v>
      </c>
      <c r="J421" s="63"/>
      <c r="K421" s="21"/>
      <c r="L421" s="21"/>
      <c r="M421" s="21"/>
      <c r="N421" s="21"/>
      <c r="O421" s="21"/>
      <c r="P421" s="21"/>
      <c r="Q421" s="21"/>
      <c r="R421" s="21"/>
      <c r="S421" s="21"/>
      <c r="T421" s="63"/>
      <c r="U421" s="10"/>
      <c r="V421" s="90"/>
      <c r="W421" s="91"/>
      <c r="X421" s="92"/>
    </row>
    <row r="422" spans="1:24" s="260" customFormat="1">
      <c r="B422" s="11"/>
      <c r="C422" s="36"/>
      <c r="D422" s="10"/>
      <c r="E422" s="10"/>
      <c r="F422" s="88"/>
      <c r="G422" s="88"/>
      <c r="H422" s="88"/>
      <c r="I422" s="99"/>
      <c r="J422" s="63"/>
      <c r="K422" s="21"/>
      <c r="L422" s="21"/>
      <c r="M422" s="21"/>
      <c r="N422" s="21"/>
      <c r="O422" s="21"/>
      <c r="P422" s="21"/>
      <c r="Q422" s="21"/>
      <c r="R422" s="21"/>
      <c r="S422" s="21"/>
      <c r="T422" s="63"/>
      <c r="U422" s="10"/>
      <c r="V422" s="90"/>
      <c r="W422" s="91"/>
      <c r="X422" s="92"/>
    </row>
    <row r="423" spans="1:24" s="260" customFormat="1">
      <c r="A423" s="181"/>
      <c r="B423" s="100" t="s">
        <v>202</v>
      </c>
      <c r="C423" s="36"/>
      <c r="D423" s="10"/>
      <c r="E423" s="181"/>
      <c r="F423" s="88"/>
      <c r="G423" s="88"/>
      <c r="H423" s="88"/>
      <c r="I423" s="99"/>
      <c r="J423" s="63"/>
      <c r="K423" s="21"/>
      <c r="L423" s="21"/>
      <c r="M423" s="21"/>
      <c r="N423" s="21"/>
      <c r="O423" s="21"/>
      <c r="P423" s="21"/>
      <c r="Q423" s="21"/>
      <c r="R423" s="21"/>
      <c r="S423" s="21"/>
      <c r="T423" s="63"/>
      <c r="U423" s="94"/>
      <c r="V423" s="90"/>
      <c r="W423" s="91"/>
      <c r="X423" s="92"/>
    </row>
    <row r="424" spans="1:24" s="260" customFormat="1">
      <c r="A424" s="261">
        <v>0.05</v>
      </c>
      <c r="B424" s="87">
        <v>1</v>
      </c>
      <c r="C424" s="274">
        <v>45880</v>
      </c>
      <c r="D424" s="327">
        <v>72052</v>
      </c>
      <c r="E424" s="276" t="s">
        <v>1047</v>
      </c>
      <c r="F424" s="277">
        <v>2000</v>
      </c>
      <c r="G424" s="277">
        <f>39.7+300</f>
        <v>339.7</v>
      </c>
      <c r="H424" s="277"/>
      <c r="I424" s="321">
        <f>F424-G424-H424</f>
        <v>1660.3</v>
      </c>
      <c r="J424" s="279" t="s">
        <v>150</v>
      </c>
      <c r="K424" s="279">
        <v>1</v>
      </c>
      <c r="L424" s="279"/>
      <c r="M424" s="322">
        <v>0</v>
      </c>
      <c r="N424" s="279">
        <v>1</v>
      </c>
      <c r="O424" s="279">
        <v>1</v>
      </c>
      <c r="P424" s="279">
        <v>1</v>
      </c>
      <c r="Q424" s="279"/>
      <c r="R424" s="279"/>
      <c r="S424" s="280"/>
      <c r="T424" s="63"/>
      <c r="U424" s="94" t="s">
        <v>2902</v>
      </c>
      <c r="V424" s="90"/>
      <c r="W424" s="136"/>
      <c r="X424" s="137"/>
    </row>
    <row r="425" spans="1:24" s="260" customFormat="1">
      <c r="A425" s="261">
        <v>0.05</v>
      </c>
      <c r="B425" s="87">
        <f>B424+1</f>
        <v>2</v>
      </c>
      <c r="C425" s="262">
        <v>45884</v>
      </c>
      <c r="D425" s="263">
        <v>72342</v>
      </c>
      <c r="E425" s="271" t="s">
        <v>1231</v>
      </c>
      <c r="F425" s="265">
        <v>2215</v>
      </c>
      <c r="G425" s="265">
        <f>39.7</f>
        <v>39.700000000000003</v>
      </c>
      <c r="H425" s="265"/>
      <c r="I425" s="266">
        <f>F425-G425-H425</f>
        <v>2175.3000000000002</v>
      </c>
      <c r="J425" s="267" t="s">
        <v>156</v>
      </c>
      <c r="K425" s="267">
        <v>1</v>
      </c>
      <c r="L425" s="267"/>
      <c r="M425" s="267">
        <v>1</v>
      </c>
      <c r="N425" s="267">
        <v>1</v>
      </c>
      <c r="O425" s="267">
        <v>1</v>
      </c>
      <c r="P425" s="314">
        <v>0</v>
      </c>
      <c r="Q425" s="267"/>
      <c r="R425" s="267"/>
      <c r="S425" s="269"/>
      <c r="T425" s="63"/>
      <c r="U425" s="94"/>
      <c r="V425" s="90"/>
      <c r="W425" s="136"/>
      <c r="X425" s="137"/>
    </row>
    <row r="426" spans="1:24" s="260" customFormat="1">
      <c r="A426" s="261">
        <v>0.05</v>
      </c>
      <c r="B426" s="87">
        <f>B402+1</f>
        <v>3</v>
      </c>
      <c r="C426" s="282">
        <v>45890</v>
      </c>
      <c r="D426" s="330" t="s">
        <v>2899</v>
      </c>
      <c r="E426" s="283" t="s">
        <v>1058</v>
      </c>
      <c r="F426" s="284">
        <v>59586</v>
      </c>
      <c r="G426" s="284">
        <f>39.7+(117.24+344.15+121.94+185.08)+(141.77+494.21+630.04)+(F426*0.25)</f>
        <v>16970.63</v>
      </c>
      <c r="H426" s="315"/>
      <c r="I426" s="285">
        <f>F426-G426-H426</f>
        <v>42615.369999999995</v>
      </c>
      <c r="J426" s="286" t="s">
        <v>374</v>
      </c>
      <c r="K426" s="286">
        <v>1</v>
      </c>
      <c r="L426" s="286"/>
      <c r="M426" s="286"/>
      <c r="N426" s="286">
        <v>1</v>
      </c>
      <c r="O426" s="286">
        <v>1</v>
      </c>
      <c r="P426" s="286">
        <v>1</v>
      </c>
      <c r="Q426" s="286"/>
      <c r="R426" s="286"/>
      <c r="S426" s="287"/>
      <c r="T426" s="63"/>
      <c r="U426" s="10" t="s">
        <v>2932</v>
      </c>
      <c r="V426" s="90"/>
      <c r="W426" s="136"/>
      <c r="X426" s="137"/>
    </row>
    <row r="427" spans="1:24" s="260" customFormat="1">
      <c r="A427" s="181"/>
      <c r="B427" s="11"/>
      <c r="C427" s="36"/>
      <c r="D427" s="10"/>
      <c r="E427" s="10"/>
      <c r="F427" s="97">
        <f>SUM(F424:F426)</f>
        <v>63801</v>
      </c>
      <c r="G427" s="97">
        <f>SUM(G424:G426)</f>
        <v>17350.030000000002</v>
      </c>
      <c r="H427" s="97">
        <f>SUM(H424:H426)</f>
        <v>0</v>
      </c>
      <c r="I427" s="97">
        <f>SUM(I424:I426)</f>
        <v>46450.969999999994</v>
      </c>
      <c r="J427" s="63"/>
      <c r="K427" s="21"/>
      <c r="L427" s="21"/>
      <c r="M427" s="21"/>
      <c r="N427" s="21"/>
      <c r="O427" s="21"/>
      <c r="P427" s="21"/>
      <c r="Q427" s="21"/>
      <c r="R427" s="21"/>
      <c r="S427" s="21"/>
      <c r="T427" s="63"/>
      <c r="U427" s="94"/>
      <c r="V427" s="90"/>
      <c r="W427" s="91"/>
      <c r="X427" s="92"/>
    </row>
    <row r="428" spans="1:24">
      <c r="A428" s="2"/>
      <c r="B428" s="11"/>
      <c r="C428" s="36"/>
      <c r="D428" s="10"/>
      <c r="E428" s="10"/>
      <c r="F428" s="88"/>
      <c r="G428" s="88"/>
      <c r="H428" s="88"/>
      <c r="I428" s="99"/>
      <c r="J428" s="63"/>
      <c r="K428" s="21"/>
      <c r="L428" s="21"/>
      <c r="M428" s="21"/>
      <c r="N428" s="21"/>
      <c r="O428" s="21"/>
      <c r="P428" s="21"/>
      <c r="Q428" s="21"/>
      <c r="R428" s="21"/>
      <c r="S428" s="21"/>
      <c r="T428" s="63"/>
      <c r="U428" s="94"/>
      <c r="V428" s="90"/>
      <c r="W428" s="91"/>
      <c r="X428" s="92"/>
    </row>
    <row r="429" spans="1:24">
      <c r="A429" s="2"/>
      <c r="B429" s="100" t="s">
        <v>72</v>
      </c>
      <c r="C429" s="36"/>
      <c r="D429" s="10"/>
      <c r="E429" s="10"/>
      <c r="F429" s="88"/>
      <c r="G429" s="88"/>
      <c r="H429" s="88"/>
      <c r="I429" s="99"/>
      <c r="J429" s="63"/>
      <c r="K429" s="63"/>
      <c r="L429" s="63"/>
      <c r="M429" s="63"/>
      <c r="N429" s="63"/>
      <c r="O429" s="63"/>
      <c r="P429" s="63"/>
      <c r="Q429" s="63"/>
      <c r="R429" s="63"/>
      <c r="S429" s="63"/>
      <c r="T429" s="63"/>
      <c r="U429" s="10"/>
      <c r="V429" s="90"/>
      <c r="W429" s="91"/>
      <c r="X429" s="92"/>
    </row>
    <row r="430" spans="1:24">
      <c r="A430" s="2"/>
      <c r="B430" s="87">
        <v>1</v>
      </c>
      <c r="C430" s="274">
        <v>45894</v>
      </c>
      <c r="D430" s="276" t="s">
        <v>2933</v>
      </c>
      <c r="E430" s="276" t="s">
        <v>1045</v>
      </c>
      <c r="F430" s="277">
        <v>7353</v>
      </c>
      <c r="G430" s="277"/>
      <c r="H430" s="277"/>
      <c r="I430" s="278">
        <f t="shared" ref="I430:I451" si="92">F430-G430-H430</f>
        <v>7353</v>
      </c>
      <c r="J430" s="279" t="s">
        <v>205</v>
      </c>
      <c r="K430" s="279">
        <v>1</v>
      </c>
      <c r="L430" s="279"/>
      <c r="M430" s="279"/>
      <c r="N430" s="279">
        <v>1</v>
      </c>
      <c r="O430" s="279"/>
      <c r="P430" s="279"/>
      <c r="Q430" s="279"/>
      <c r="R430" s="279"/>
      <c r="S430" s="280"/>
      <c r="T430" s="63"/>
      <c r="U430" s="3"/>
      <c r="V430" s="90"/>
      <c r="W430" s="91"/>
      <c r="X430" s="92"/>
    </row>
    <row r="431" spans="1:24">
      <c r="A431" s="2"/>
      <c r="B431" s="87">
        <f t="shared" ref="B431:B449" si="93">B430+1</f>
        <v>2</v>
      </c>
      <c r="C431" s="295">
        <v>45894</v>
      </c>
      <c r="D431" s="10">
        <v>72576</v>
      </c>
      <c r="E431" s="10" t="s">
        <v>1098</v>
      </c>
      <c r="F431" s="62">
        <v>681</v>
      </c>
      <c r="G431" s="62"/>
      <c r="H431" s="62"/>
      <c r="I431" s="89">
        <f t="shared" si="92"/>
        <v>681</v>
      </c>
      <c r="J431" s="63" t="s">
        <v>205</v>
      </c>
      <c r="K431" s="63">
        <v>1</v>
      </c>
      <c r="L431" s="63"/>
      <c r="M431" s="63"/>
      <c r="N431" s="63">
        <v>1</v>
      </c>
      <c r="O431" s="63"/>
      <c r="P431" s="63"/>
      <c r="Q431" s="63">
        <v>1</v>
      </c>
      <c r="R431" s="63">
        <v>1</v>
      </c>
      <c r="S431" s="296"/>
      <c r="T431" s="63"/>
      <c r="U431" s="10"/>
      <c r="V431" s="90"/>
      <c r="W431" s="136"/>
      <c r="X431" s="137"/>
    </row>
    <row r="432" spans="1:24">
      <c r="A432" s="2"/>
      <c r="B432" s="87">
        <f t="shared" si="93"/>
        <v>3</v>
      </c>
      <c r="C432" s="295">
        <v>45894</v>
      </c>
      <c r="D432" s="10">
        <v>72604</v>
      </c>
      <c r="E432" s="10" t="s">
        <v>1494</v>
      </c>
      <c r="F432" s="62">
        <v>0</v>
      </c>
      <c r="G432" s="62">
        <v>0</v>
      </c>
      <c r="H432" s="62"/>
      <c r="I432" s="89">
        <f t="shared" si="92"/>
        <v>0</v>
      </c>
      <c r="J432" s="63" t="s">
        <v>205</v>
      </c>
      <c r="K432" s="63"/>
      <c r="L432" s="63"/>
      <c r="M432" s="63"/>
      <c r="N432" s="63"/>
      <c r="O432" s="63"/>
      <c r="P432" s="63"/>
      <c r="Q432" s="63"/>
      <c r="R432" s="63"/>
      <c r="S432" s="296"/>
      <c r="T432" s="63"/>
      <c r="U432" s="10"/>
      <c r="V432" s="90"/>
      <c r="W432" s="136"/>
      <c r="X432" s="137"/>
    </row>
    <row r="433" spans="1:24">
      <c r="A433" s="2"/>
      <c r="B433" s="87">
        <f t="shared" si="93"/>
        <v>4</v>
      </c>
      <c r="C433" s="295">
        <v>45894</v>
      </c>
      <c r="D433" s="10" t="s">
        <v>2934</v>
      </c>
      <c r="E433" s="10" t="s">
        <v>1072</v>
      </c>
      <c r="F433" s="62">
        <v>5814</v>
      </c>
      <c r="G433" s="62"/>
      <c r="H433" s="62"/>
      <c r="I433" s="89">
        <f t="shared" si="92"/>
        <v>5814</v>
      </c>
      <c r="J433" s="63" t="s">
        <v>205</v>
      </c>
      <c r="K433" s="63">
        <v>1</v>
      </c>
      <c r="L433" s="63"/>
      <c r="M433" s="63"/>
      <c r="N433" s="63"/>
      <c r="O433" s="63"/>
      <c r="P433" s="63"/>
      <c r="Q433" s="63"/>
      <c r="R433" s="63"/>
      <c r="S433" s="296"/>
      <c r="T433" s="63"/>
      <c r="U433" s="10"/>
      <c r="V433" s="90"/>
      <c r="W433" s="136"/>
      <c r="X433" s="137"/>
    </row>
    <row r="434" spans="1:24">
      <c r="A434" s="2"/>
      <c r="B434" s="87">
        <f t="shared" si="93"/>
        <v>5</v>
      </c>
      <c r="C434" s="295">
        <v>45894</v>
      </c>
      <c r="D434" s="10">
        <v>72590</v>
      </c>
      <c r="E434" s="10" t="s">
        <v>2935</v>
      </c>
      <c r="F434" s="62">
        <v>681</v>
      </c>
      <c r="G434" s="62"/>
      <c r="H434" s="62"/>
      <c r="I434" s="89">
        <f t="shared" si="92"/>
        <v>681</v>
      </c>
      <c r="J434" s="63" t="s">
        <v>205</v>
      </c>
      <c r="K434" s="63">
        <v>1</v>
      </c>
      <c r="L434" s="63"/>
      <c r="M434" s="63"/>
      <c r="N434" s="63">
        <v>1</v>
      </c>
      <c r="O434" s="63"/>
      <c r="P434" s="63"/>
      <c r="Q434" s="63">
        <v>1</v>
      </c>
      <c r="R434" s="63">
        <v>1</v>
      </c>
      <c r="S434" s="296"/>
      <c r="T434" s="21">
        <v>1</v>
      </c>
      <c r="U434" s="10"/>
      <c r="V434" s="90"/>
      <c r="W434" s="136"/>
      <c r="X434" s="137"/>
    </row>
    <row r="435" spans="1:24">
      <c r="A435" s="2"/>
      <c r="B435" s="87">
        <f t="shared" si="93"/>
        <v>6</v>
      </c>
      <c r="C435" s="274">
        <v>45895</v>
      </c>
      <c r="D435" s="276" t="s">
        <v>2936</v>
      </c>
      <c r="E435" s="404" t="s">
        <v>1256</v>
      </c>
      <c r="F435" s="277">
        <v>1281</v>
      </c>
      <c r="G435" s="277">
        <v>39.700000000000003</v>
      </c>
      <c r="H435" s="277"/>
      <c r="I435" s="278">
        <f t="shared" si="92"/>
        <v>1241.3</v>
      </c>
      <c r="J435" s="279" t="s">
        <v>205</v>
      </c>
      <c r="K435" s="279">
        <v>1</v>
      </c>
      <c r="L435" s="279"/>
      <c r="M435" s="279"/>
      <c r="N435" s="279">
        <v>1</v>
      </c>
      <c r="O435" s="279"/>
      <c r="P435" s="279"/>
      <c r="Q435" s="279"/>
      <c r="R435" s="279"/>
      <c r="S435" s="280"/>
      <c r="T435" s="63"/>
      <c r="U435" s="10"/>
      <c r="V435" s="90"/>
      <c r="W435" s="136"/>
      <c r="X435" s="137"/>
    </row>
    <row r="436" spans="1:24">
      <c r="A436" s="2"/>
      <c r="B436" s="87">
        <f t="shared" si="93"/>
        <v>7</v>
      </c>
      <c r="C436" s="295">
        <v>45895</v>
      </c>
      <c r="D436" s="10" t="s">
        <v>2937</v>
      </c>
      <c r="E436" s="10" t="s">
        <v>2375</v>
      </c>
      <c r="F436" s="62">
        <v>2838</v>
      </c>
      <c r="G436" s="62">
        <v>39.700000000000003</v>
      </c>
      <c r="H436" s="62"/>
      <c r="I436" s="89">
        <f t="shared" si="92"/>
        <v>2798.3</v>
      </c>
      <c r="J436" s="63" t="s">
        <v>205</v>
      </c>
      <c r="K436" s="63">
        <v>1</v>
      </c>
      <c r="L436" s="63"/>
      <c r="M436" s="63"/>
      <c r="N436" s="63">
        <v>1</v>
      </c>
      <c r="O436" s="63"/>
      <c r="P436" s="63"/>
      <c r="Q436" s="63"/>
      <c r="R436" s="63"/>
      <c r="S436" s="296"/>
      <c r="T436" s="63"/>
      <c r="U436" s="10"/>
      <c r="V436" s="90"/>
      <c r="W436" s="136"/>
      <c r="X436" s="137"/>
    </row>
    <row r="437" spans="1:24">
      <c r="A437" s="2"/>
      <c r="B437" s="87">
        <f t="shared" si="93"/>
        <v>8</v>
      </c>
      <c r="C437" s="295">
        <v>45895</v>
      </c>
      <c r="D437" s="10" t="s">
        <v>2938</v>
      </c>
      <c r="E437" s="10" t="s">
        <v>2854</v>
      </c>
      <c r="F437" s="62">
        <v>2276</v>
      </c>
      <c r="G437" s="62">
        <v>39.700000000000003</v>
      </c>
      <c r="H437" s="62"/>
      <c r="I437" s="89">
        <f t="shared" si="92"/>
        <v>2236.3000000000002</v>
      </c>
      <c r="J437" s="63" t="s">
        <v>205</v>
      </c>
      <c r="K437" s="63">
        <v>1</v>
      </c>
      <c r="L437" s="63"/>
      <c r="M437" s="63"/>
      <c r="N437" s="63">
        <v>1</v>
      </c>
      <c r="O437" s="63"/>
      <c r="P437" s="63"/>
      <c r="Q437" s="63"/>
      <c r="R437" s="63"/>
      <c r="S437" s="296"/>
      <c r="T437" s="63"/>
      <c r="U437" s="10"/>
      <c r="V437" s="90"/>
      <c r="W437" s="136"/>
      <c r="X437" s="137"/>
    </row>
    <row r="438" spans="1:24">
      <c r="A438" s="2"/>
      <c r="B438" s="87">
        <f t="shared" si="93"/>
        <v>9</v>
      </c>
      <c r="C438" s="295">
        <v>45895</v>
      </c>
      <c r="D438" s="10" t="s">
        <v>2939</v>
      </c>
      <c r="E438" s="10" t="s">
        <v>2854</v>
      </c>
      <c r="F438" s="62">
        <v>1628</v>
      </c>
      <c r="G438" s="62">
        <v>39.700000000000003</v>
      </c>
      <c r="H438" s="62"/>
      <c r="I438" s="89">
        <f t="shared" si="92"/>
        <v>1588.3</v>
      </c>
      <c r="J438" s="63" t="s">
        <v>205</v>
      </c>
      <c r="K438" s="63">
        <v>1</v>
      </c>
      <c r="L438" s="63"/>
      <c r="M438" s="63"/>
      <c r="N438" s="63">
        <v>1</v>
      </c>
      <c r="O438" s="63"/>
      <c r="P438" s="63"/>
      <c r="Q438" s="63"/>
      <c r="R438" s="63"/>
      <c r="S438" s="296"/>
      <c r="T438" s="63"/>
      <c r="U438" s="10"/>
      <c r="V438" s="90"/>
      <c r="W438" s="136"/>
      <c r="X438" s="137"/>
    </row>
    <row r="439" spans="1:24">
      <c r="A439" s="2"/>
      <c r="B439" s="87">
        <f t="shared" si="93"/>
        <v>10</v>
      </c>
      <c r="C439" s="295">
        <v>45895</v>
      </c>
      <c r="D439" s="10">
        <v>72638</v>
      </c>
      <c r="E439" s="101" t="s">
        <v>1072</v>
      </c>
      <c r="F439" s="62">
        <v>681</v>
      </c>
      <c r="G439" s="62"/>
      <c r="H439" s="62"/>
      <c r="I439" s="89">
        <f t="shared" si="92"/>
        <v>681</v>
      </c>
      <c r="J439" s="63" t="s">
        <v>205</v>
      </c>
      <c r="K439" s="63">
        <v>1</v>
      </c>
      <c r="L439" s="63"/>
      <c r="M439" s="63"/>
      <c r="N439" s="63">
        <v>1</v>
      </c>
      <c r="O439" s="63"/>
      <c r="P439" s="63"/>
      <c r="Q439" s="63">
        <v>1</v>
      </c>
      <c r="R439" s="63">
        <v>1</v>
      </c>
      <c r="S439" s="296"/>
      <c r="T439" s="63"/>
      <c r="U439" s="10"/>
      <c r="V439" s="90"/>
      <c r="W439" s="136"/>
      <c r="X439" s="137"/>
    </row>
    <row r="440" spans="1:24">
      <c r="A440" s="2"/>
      <c r="B440" s="87">
        <f t="shared" si="93"/>
        <v>11</v>
      </c>
      <c r="C440" s="295">
        <v>45895</v>
      </c>
      <c r="D440" s="10">
        <v>72654</v>
      </c>
      <c r="E440" s="101" t="s">
        <v>1072</v>
      </c>
      <c r="F440" s="62">
        <v>2110</v>
      </c>
      <c r="G440" s="62">
        <v>39.700000000000003</v>
      </c>
      <c r="H440" s="62"/>
      <c r="I440" s="89">
        <f t="shared" si="92"/>
        <v>2070.3000000000002</v>
      </c>
      <c r="J440" s="63" t="s">
        <v>205</v>
      </c>
      <c r="K440" s="63">
        <v>1</v>
      </c>
      <c r="L440" s="63"/>
      <c r="M440" s="63"/>
      <c r="N440" s="63">
        <v>1</v>
      </c>
      <c r="O440" s="63"/>
      <c r="P440" s="63"/>
      <c r="Q440" s="63">
        <v>1</v>
      </c>
      <c r="R440" s="63">
        <v>1</v>
      </c>
      <c r="S440" s="296"/>
      <c r="T440" s="63"/>
      <c r="U440" s="10"/>
      <c r="V440" s="90"/>
      <c r="W440" s="136"/>
      <c r="X440" s="137"/>
    </row>
    <row r="441" spans="1:24">
      <c r="A441" s="2"/>
      <c r="B441" s="87">
        <f t="shared" si="93"/>
        <v>12</v>
      </c>
      <c r="C441" s="274">
        <v>45896</v>
      </c>
      <c r="D441" s="276">
        <v>72660</v>
      </c>
      <c r="E441" s="281" t="s">
        <v>1098</v>
      </c>
      <c r="F441" s="277">
        <v>1261</v>
      </c>
      <c r="G441" s="277">
        <v>39.700000000000003</v>
      </c>
      <c r="H441" s="277"/>
      <c r="I441" s="278">
        <f t="shared" si="92"/>
        <v>1221.3</v>
      </c>
      <c r="J441" s="279" t="s">
        <v>219</v>
      </c>
      <c r="K441" s="279">
        <v>1</v>
      </c>
      <c r="L441" s="279"/>
      <c r="M441" s="279"/>
      <c r="N441" s="279">
        <v>1</v>
      </c>
      <c r="O441" s="279"/>
      <c r="P441" s="279"/>
      <c r="Q441" s="279"/>
      <c r="R441" s="279"/>
      <c r="S441" s="280"/>
      <c r="T441" s="63"/>
      <c r="U441" s="10"/>
      <c r="V441" s="90"/>
      <c r="W441" s="136"/>
      <c r="X441" s="137"/>
    </row>
    <row r="442" spans="1:24">
      <c r="A442" s="2"/>
      <c r="B442" s="87">
        <f t="shared" si="93"/>
        <v>13</v>
      </c>
      <c r="C442" s="295">
        <v>45896</v>
      </c>
      <c r="D442" s="10">
        <v>72659</v>
      </c>
      <c r="E442" s="101" t="s">
        <v>1115</v>
      </c>
      <c r="F442" s="62">
        <v>1138</v>
      </c>
      <c r="G442" s="62">
        <v>39.700000000000003</v>
      </c>
      <c r="H442" s="62"/>
      <c r="I442" s="89">
        <f t="shared" si="92"/>
        <v>1098.3</v>
      </c>
      <c r="J442" s="63" t="s">
        <v>205</v>
      </c>
      <c r="K442" s="63">
        <v>1</v>
      </c>
      <c r="L442" s="63"/>
      <c r="M442" s="63"/>
      <c r="N442" s="63">
        <v>1</v>
      </c>
      <c r="O442" s="63">
        <v>1</v>
      </c>
      <c r="P442" s="63"/>
      <c r="Q442" s="63">
        <v>1</v>
      </c>
      <c r="R442" s="63">
        <v>1</v>
      </c>
      <c r="S442" s="296"/>
      <c r="T442" s="63"/>
      <c r="U442" s="10"/>
      <c r="V442" s="90"/>
      <c r="W442" s="136"/>
      <c r="X442" s="137"/>
    </row>
    <row r="443" spans="1:24">
      <c r="A443" s="2"/>
      <c r="B443" s="87">
        <f t="shared" si="93"/>
        <v>14</v>
      </c>
      <c r="C443" s="295">
        <v>45896</v>
      </c>
      <c r="D443" s="10" t="s">
        <v>2940</v>
      </c>
      <c r="E443" s="10" t="s">
        <v>1178</v>
      </c>
      <c r="F443" s="62">
        <v>681</v>
      </c>
      <c r="G443" s="62"/>
      <c r="H443" s="62"/>
      <c r="I443" s="89">
        <f t="shared" si="92"/>
        <v>681</v>
      </c>
      <c r="J443" s="63" t="s">
        <v>205</v>
      </c>
      <c r="K443" s="63">
        <v>1</v>
      </c>
      <c r="L443" s="63"/>
      <c r="M443" s="63"/>
      <c r="N443" s="63">
        <v>1</v>
      </c>
      <c r="O443" s="63"/>
      <c r="P443" s="63"/>
      <c r="Q443" s="63">
        <v>1</v>
      </c>
      <c r="R443" s="63">
        <v>1</v>
      </c>
      <c r="S443" s="296"/>
      <c r="T443" s="63"/>
      <c r="U443" s="10"/>
      <c r="V443" s="90"/>
      <c r="W443" s="136"/>
      <c r="X443" s="137"/>
    </row>
    <row r="444" spans="1:24">
      <c r="A444" s="2"/>
      <c r="B444" s="87">
        <f t="shared" si="93"/>
        <v>15</v>
      </c>
      <c r="C444" s="295">
        <v>45896</v>
      </c>
      <c r="D444" s="10" t="s">
        <v>2941</v>
      </c>
      <c r="E444" s="10" t="s">
        <v>1178</v>
      </c>
      <c r="F444" s="62">
        <v>5814</v>
      </c>
      <c r="G444" s="62">
        <v>39.700000000000003</v>
      </c>
      <c r="H444" s="62"/>
      <c r="I444" s="89">
        <f t="shared" si="92"/>
        <v>5774.3</v>
      </c>
      <c r="J444" s="63" t="s">
        <v>205</v>
      </c>
      <c r="K444" s="63">
        <v>1</v>
      </c>
      <c r="L444" s="63"/>
      <c r="M444" s="63"/>
      <c r="N444" s="63">
        <v>1</v>
      </c>
      <c r="O444" s="63"/>
      <c r="P444" s="63"/>
      <c r="Q444" s="63">
        <v>1</v>
      </c>
      <c r="R444" s="63">
        <v>1</v>
      </c>
      <c r="S444" s="296"/>
      <c r="T444" s="63"/>
      <c r="U444" s="10"/>
      <c r="V444" s="90"/>
      <c r="W444" s="136"/>
      <c r="X444" s="137"/>
    </row>
    <row r="445" spans="1:24">
      <c r="A445" s="2"/>
      <c r="B445" s="87">
        <f>B444+1</f>
        <v>16</v>
      </c>
      <c r="C445" s="274">
        <v>45897</v>
      </c>
      <c r="D445" s="276">
        <v>72661</v>
      </c>
      <c r="E445" s="276" t="s">
        <v>1169</v>
      </c>
      <c r="F445" s="277">
        <v>3495</v>
      </c>
      <c r="G445" s="277">
        <v>39.700000000000003</v>
      </c>
      <c r="H445" s="277"/>
      <c r="I445" s="278">
        <f t="shared" si="92"/>
        <v>3455.3</v>
      </c>
      <c r="J445" s="279" t="s">
        <v>205</v>
      </c>
      <c r="K445" s="279">
        <v>1</v>
      </c>
      <c r="L445" s="279"/>
      <c r="M445" s="279"/>
      <c r="N445" s="279">
        <v>1</v>
      </c>
      <c r="O445" s="279"/>
      <c r="P445" s="279"/>
      <c r="Q445" s="279"/>
      <c r="R445" s="279"/>
      <c r="S445" s="280"/>
      <c r="T445" s="63"/>
      <c r="U445" s="10"/>
      <c r="V445" s="90"/>
      <c r="W445" s="136"/>
      <c r="X445" s="137"/>
    </row>
    <row r="446" spans="1:24">
      <c r="A446" s="2"/>
      <c r="B446" s="87">
        <f>B445+1</f>
        <v>17</v>
      </c>
      <c r="C446" s="295">
        <v>45897</v>
      </c>
      <c r="D446" s="10">
        <v>72721</v>
      </c>
      <c r="E446" s="10" t="s">
        <v>673</v>
      </c>
      <c r="F446" s="62">
        <v>1138</v>
      </c>
      <c r="G446" s="62">
        <v>39.700000000000003</v>
      </c>
      <c r="H446" s="62"/>
      <c r="I446" s="89">
        <f t="shared" si="92"/>
        <v>1098.3</v>
      </c>
      <c r="J446" s="63" t="s">
        <v>205</v>
      </c>
      <c r="K446" s="63">
        <v>1</v>
      </c>
      <c r="L446" s="63"/>
      <c r="M446" s="63"/>
      <c r="N446" s="63">
        <v>1</v>
      </c>
      <c r="O446" s="63"/>
      <c r="P446" s="63"/>
      <c r="Q446" s="63">
        <v>1</v>
      </c>
      <c r="R446" s="63">
        <v>1</v>
      </c>
      <c r="S446" s="296"/>
      <c r="T446" s="63"/>
      <c r="U446" s="10"/>
      <c r="V446" s="90"/>
      <c r="W446" s="136"/>
      <c r="X446" s="137"/>
    </row>
    <row r="447" spans="1:24">
      <c r="A447" s="2"/>
      <c r="B447" s="87">
        <f>B446+1</f>
        <v>18</v>
      </c>
      <c r="C447" s="295">
        <v>45897</v>
      </c>
      <c r="D447" s="10" t="s">
        <v>2942</v>
      </c>
      <c r="E447" s="101" t="s">
        <v>1058</v>
      </c>
      <c r="F447" s="62">
        <v>12814</v>
      </c>
      <c r="G447" s="62">
        <v>39.700000000000003</v>
      </c>
      <c r="H447" s="62"/>
      <c r="I447" s="89">
        <f t="shared" si="92"/>
        <v>12774.3</v>
      </c>
      <c r="J447" s="63" t="s">
        <v>205</v>
      </c>
      <c r="K447" s="63">
        <v>1</v>
      </c>
      <c r="L447" s="63"/>
      <c r="M447" s="63"/>
      <c r="N447" s="63">
        <v>1</v>
      </c>
      <c r="O447" s="63"/>
      <c r="P447" s="63"/>
      <c r="Q447" s="63"/>
      <c r="R447" s="63"/>
      <c r="S447" s="296"/>
      <c r="T447" s="63"/>
      <c r="U447" s="10"/>
      <c r="V447" s="90"/>
      <c r="W447" s="136"/>
      <c r="X447" s="137"/>
    </row>
    <row r="448" spans="1:24">
      <c r="A448" s="2"/>
      <c r="B448" s="87">
        <f>B447+1</f>
        <v>19</v>
      </c>
      <c r="C448" s="295">
        <v>45897</v>
      </c>
      <c r="D448" s="10" t="s">
        <v>2943</v>
      </c>
      <c r="E448" s="10" t="s">
        <v>2375</v>
      </c>
      <c r="F448" s="62">
        <v>8641</v>
      </c>
      <c r="G448" s="62">
        <v>39.700000000000003</v>
      </c>
      <c r="H448" s="62"/>
      <c r="I448" s="89">
        <f t="shared" si="92"/>
        <v>8601.2999999999993</v>
      </c>
      <c r="J448" s="63" t="s">
        <v>205</v>
      </c>
      <c r="K448" s="63">
        <v>1</v>
      </c>
      <c r="L448" s="63"/>
      <c r="M448" s="63"/>
      <c r="N448" s="63">
        <v>1</v>
      </c>
      <c r="O448" s="63"/>
      <c r="P448" s="63"/>
      <c r="Q448" s="63"/>
      <c r="R448" s="63"/>
      <c r="S448" s="296"/>
      <c r="T448" s="63"/>
      <c r="U448" s="10"/>
      <c r="V448" s="90"/>
      <c r="W448" s="136"/>
      <c r="X448" s="137"/>
    </row>
    <row r="449" spans="1:24">
      <c r="A449" s="2"/>
      <c r="B449" s="87">
        <f t="shared" si="93"/>
        <v>20</v>
      </c>
      <c r="C449" s="274">
        <v>45898</v>
      </c>
      <c r="D449" s="276">
        <v>72763</v>
      </c>
      <c r="E449" s="276" t="s">
        <v>2375</v>
      </c>
      <c r="F449" s="277">
        <v>0</v>
      </c>
      <c r="G449" s="277">
        <v>0</v>
      </c>
      <c r="H449" s="277"/>
      <c r="I449" s="278">
        <f t="shared" si="92"/>
        <v>0</v>
      </c>
      <c r="J449" s="279" t="s">
        <v>205</v>
      </c>
      <c r="K449" s="279"/>
      <c r="L449" s="279"/>
      <c r="M449" s="279"/>
      <c r="N449" s="279"/>
      <c r="O449" s="279"/>
      <c r="P449" s="279"/>
      <c r="Q449" s="279"/>
      <c r="R449" s="279"/>
      <c r="S449" s="280"/>
      <c r="T449" s="63"/>
      <c r="U449" s="10"/>
      <c r="V449" s="90"/>
      <c r="W449" s="136"/>
      <c r="X449" s="137"/>
    </row>
    <row r="450" spans="1:24">
      <c r="A450" s="2"/>
      <c r="B450" s="87">
        <f>B449+1</f>
        <v>21</v>
      </c>
      <c r="C450" s="295">
        <v>45898</v>
      </c>
      <c r="D450" s="10">
        <v>72800</v>
      </c>
      <c r="E450" s="10" t="s">
        <v>1072</v>
      </c>
      <c r="F450" s="62">
        <v>7753</v>
      </c>
      <c r="G450" s="62">
        <v>39.700000000000003</v>
      </c>
      <c r="H450" s="62"/>
      <c r="I450" s="89">
        <f t="shared" si="92"/>
        <v>7713.3</v>
      </c>
      <c r="J450" s="63" t="s">
        <v>205</v>
      </c>
      <c r="K450" s="63">
        <v>1</v>
      </c>
      <c r="L450" s="63"/>
      <c r="M450" s="63"/>
      <c r="N450" s="63">
        <v>1</v>
      </c>
      <c r="O450" s="63"/>
      <c r="P450" s="63"/>
      <c r="Q450" s="63">
        <v>1</v>
      </c>
      <c r="R450" s="63">
        <v>1</v>
      </c>
      <c r="S450" s="296"/>
      <c r="T450" s="63"/>
      <c r="U450" s="10"/>
      <c r="V450" s="90"/>
      <c r="W450" s="136"/>
      <c r="X450" s="137"/>
    </row>
    <row r="451" spans="1:24">
      <c r="A451" s="2"/>
      <c r="B451" s="87">
        <f>B450+1</f>
        <v>22</v>
      </c>
      <c r="C451" s="282">
        <v>45898</v>
      </c>
      <c r="D451" s="283">
        <v>72773</v>
      </c>
      <c r="E451" s="283" t="s">
        <v>2944</v>
      </c>
      <c r="F451" s="284">
        <v>2261</v>
      </c>
      <c r="G451" s="284">
        <v>39.700000000000003</v>
      </c>
      <c r="H451" s="284"/>
      <c r="I451" s="285">
        <f t="shared" si="92"/>
        <v>2221.3000000000002</v>
      </c>
      <c r="J451" s="286" t="s">
        <v>205</v>
      </c>
      <c r="K451" s="286">
        <v>1</v>
      </c>
      <c r="L451" s="286"/>
      <c r="M451" s="286"/>
      <c r="N451" s="286">
        <v>1</v>
      </c>
      <c r="O451" s="286"/>
      <c r="P451" s="286"/>
      <c r="Q451" s="286"/>
      <c r="R451" s="286"/>
      <c r="S451" s="287"/>
      <c r="T451" s="63"/>
      <c r="U451" s="10"/>
      <c r="V451" s="90"/>
      <c r="W451" s="136"/>
      <c r="X451" s="137"/>
    </row>
    <row r="452" spans="1:24">
      <c r="A452" s="2"/>
      <c r="B452" s="11"/>
      <c r="C452" s="36"/>
      <c r="D452" s="10"/>
      <c r="E452" s="10"/>
      <c r="F452" s="97">
        <f>SUM(F430:F451)</f>
        <v>70339</v>
      </c>
      <c r="G452" s="97">
        <f>SUM(G430:G451)</f>
        <v>555.79999999999995</v>
      </c>
      <c r="H452" s="97">
        <f>SUM(H430:H451)</f>
        <v>0</v>
      </c>
      <c r="I452" s="98">
        <f>SUM(I430:I451)</f>
        <v>69783.200000000012</v>
      </c>
      <c r="J452" s="10"/>
      <c r="K452" s="10"/>
      <c r="L452" s="10"/>
      <c r="M452" s="10"/>
      <c r="N452" s="10"/>
      <c r="O452" s="10"/>
      <c r="P452" s="10"/>
      <c r="Q452" s="10"/>
      <c r="R452" s="10"/>
      <c r="S452" s="10"/>
      <c r="T452" s="63"/>
      <c r="U452" s="10"/>
      <c r="V452" s="138"/>
      <c r="W452" s="136"/>
      <c r="X452" s="137"/>
    </row>
    <row r="453" spans="1:24">
      <c r="A453" s="2"/>
      <c r="B453" s="11"/>
      <c r="C453" s="36"/>
      <c r="D453" s="10"/>
      <c r="E453" s="10"/>
      <c r="F453" s="88"/>
      <c r="G453" s="88"/>
      <c r="H453" s="88"/>
      <c r="I453" s="99"/>
      <c r="J453" s="10"/>
      <c r="K453" s="10"/>
      <c r="L453" s="10"/>
      <c r="M453" s="10"/>
      <c r="N453" s="10"/>
      <c r="O453" s="10"/>
      <c r="P453" s="10"/>
      <c r="Q453" s="10"/>
      <c r="R453" s="10"/>
      <c r="S453" s="10"/>
      <c r="T453" s="63"/>
      <c r="U453" s="10"/>
      <c r="V453" s="138"/>
      <c r="W453" s="136"/>
      <c r="X453" s="137"/>
    </row>
    <row r="454" spans="1:24">
      <c r="A454" s="2"/>
      <c r="B454" s="100" t="s">
        <v>73</v>
      </c>
      <c r="C454" s="36"/>
      <c r="D454" s="10"/>
      <c r="E454" s="10"/>
      <c r="F454" s="88"/>
      <c r="G454" s="88"/>
      <c r="H454" s="88"/>
      <c r="I454" s="99"/>
      <c r="J454" s="63"/>
      <c r="K454" s="63"/>
      <c r="L454" s="63"/>
      <c r="M454" s="63"/>
      <c r="N454" s="63"/>
      <c r="O454" s="63"/>
      <c r="P454" s="63"/>
      <c r="Q454" s="63"/>
      <c r="R454" s="63"/>
      <c r="S454" s="63"/>
      <c r="T454" s="63"/>
      <c r="U454" s="94"/>
      <c r="V454" s="90"/>
      <c r="W454" s="91"/>
      <c r="X454" s="92"/>
    </row>
    <row r="455" spans="1:24">
      <c r="A455" s="2"/>
      <c r="B455" s="87">
        <v>1</v>
      </c>
      <c r="C455" s="274">
        <v>45899</v>
      </c>
      <c r="D455" s="276">
        <v>72804</v>
      </c>
      <c r="E455" s="276" t="s">
        <v>395</v>
      </c>
      <c r="F455" s="277">
        <v>0</v>
      </c>
      <c r="G455" s="277">
        <v>0</v>
      </c>
      <c r="H455" s="277"/>
      <c r="I455" s="278">
        <f t="shared" ref="I455:I456" si="94">F455-G455-H455</f>
        <v>0</v>
      </c>
      <c r="J455" s="279" t="s">
        <v>205</v>
      </c>
      <c r="K455" s="279"/>
      <c r="L455" s="279"/>
      <c r="M455" s="279"/>
      <c r="N455" s="279"/>
      <c r="O455" s="279"/>
      <c r="P455" s="279"/>
      <c r="Q455" s="279">
        <v>1</v>
      </c>
      <c r="R455" s="279">
        <v>1</v>
      </c>
      <c r="S455" s="280"/>
      <c r="T455" s="63"/>
      <c r="U455" s="139"/>
      <c r="V455" s="90"/>
      <c r="W455" s="91"/>
      <c r="X455" s="92"/>
    </row>
    <row r="456" spans="1:24">
      <c r="A456" s="2"/>
      <c r="B456" s="87">
        <f>B455+1</f>
        <v>2</v>
      </c>
      <c r="C456" s="282">
        <v>45899</v>
      </c>
      <c r="D456" s="283" t="s">
        <v>2945</v>
      </c>
      <c r="E456" s="319" t="s">
        <v>746</v>
      </c>
      <c r="F456" s="284">
        <v>4461</v>
      </c>
      <c r="G456" s="284">
        <v>39.700000000000003</v>
      </c>
      <c r="H456" s="284"/>
      <c r="I456" s="285">
        <f t="shared" si="94"/>
        <v>4421.3</v>
      </c>
      <c r="J456" s="286" t="s">
        <v>205</v>
      </c>
      <c r="K456" s="286">
        <v>1</v>
      </c>
      <c r="L456" s="286"/>
      <c r="M456" s="286"/>
      <c r="N456" s="286">
        <v>1</v>
      </c>
      <c r="O456" s="286"/>
      <c r="P456" s="286"/>
      <c r="Q456" s="286"/>
      <c r="R456" s="286"/>
      <c r="S456" s="287"/>
      <c r="T456" s="63"/>
      <c r="U456" s="94"/>
      <c r="V456" s="90"/>
      <c r="W456" s="136"/>
      <c r="X456" s="137"/>
    </row>
    <row r="457" spans="1:24">
      <c r="A457" s="2"/>
      <c r="B457" s="11"/>
      <c r="C457" s="36"/>
      <c r="D457" s="10"/>
      <c r="E457" s="10"/>
      <c r="F457" s="97">
        <f>SUM(F455:F456)</f>
        <v>4461</v>
      </c>
      <c r="G457" s="97">
        <f>SUM(G455:G456)</f>
        <v>39.700000000000003</v>
      </c>
      <c r="H457" s="97">
        <f>SUM(H455:H456)</f>
        <v>0</v>
      </c>
      <c r="I457" s="98">
        <f>SUM(I455:I456)</f>
        <v>4421.3</v>
      </c>
      <c r="J457" s="10"/>
      <c r="K457" s="10"/>
      <c r="L457" s="10"/>
      <c r="M457" s="10"/>
      <c r="N457" s="10"/>
      <c r="O457" s="10"/>
      <c r="P457" s="10"/>
      <c r="Q457" s="10"/>
      <c r="R457" s="10"/>
      <c r="S457" s="10"/>
      <c r="T457" s="63"/>
      <c r="U457" s="94"/>
      <c r="V457" s="90"/>
      <c r="W457" s="91"/>
      <c r="X457" s="92"/>
    </row>
    <row r="458" spans="1:24">
      <c r="A458" s="2"/>
      <c r="B458" s="26"/>
      <c r="C458" s="140"/>
      <c r="D458" s="141"/>
      <c r="E458" s="141"/>
      <c r="F458" s="141"/>
      <c r="G458" s="141"/>
      <c r="H458" s="141"/>
      <c r="I458" s="141"/>
      <c r="J458" s="141"/>
      <c r="K458" s="142"/>
      <c r="L458" s="142"/>
      <c r="M458" s="142"/>
      <c r="N458" s="142"/>
      <c r="O458" s="142"/>
      <c r="P458" s="142"/>
      <c r="Q458" s="142"/>
      <c r="R458" s="142"/>
      <c r="S458" s="142"/>
      <c r="T458" s="143">
        <f>SUM(T378:T457)</f>
        <v>5</v>
      </c>
      <c r="U458" s="141"/>
      <c r="V458" s="144">
        <f>SUM(V378:V457)</f>
        <v>38573.589999999997</v>
      </c>
      <c r="W458" s="145">
        <f>SUM(W378:W457)</f>
        <v>500</v>
      </c>
      <c r="X458" s="146">
        <f>SUM(X378:X457)</f>
        <v>0</v>
      </c>
    </row>
    <row r="461" spans="1:24">
      <c r="B461" s="4" t="s">
        <v>1</v>
      </c>
      <c r="C461" s="5"/>
      <c r="D461" s="6"/>
      <c r="E461" s="6"/>
      <c r="F461" s="7" t="s">
        <v>2</v>
      </c>
      <c r="G461" s="8">
        <v>45907</v>
      </c>
      <c r="H461" s="7"/>
      <c r="I461" s="6"/>
      <c r="J461" s="6"/>
      <c r="K461" s="6"/>
      <c r="L461" s="6"/>
      <c r="M461" s="6"/>
      <c r="N461" s="6"/>
      <c r="O461" s="6"/>
      <c r="P461" s="6"/>
      <c r="Q461" s="6"/>
      <c r="R461" s="6"/>
      <c r="S461" s="6"/>
      <c r="T461" s="6"/>
      <c r="U461" s="9"/>
      <c r="V461" s="10"/>
      <c r="W461" s="10"/>
      <c r="X461" s="10"/>
    </row>
    <row r="462" spans="1:24">
      <c r="B462" s="11"/>
      <c r="C462" s="10"/>
      <c r="D462" s="10"/>
      <c r="E462" s="10"/>
      <c r="F462" s="10"/>
      <c r="G462" s="7"/>
      <c r="H462" s="12"/>
      <c r="I462" s="10"/>
      <c r="J462" s="10"/>
      <c r="K462" s="13" t="s">
        <v>3</v>
      </c>
      <c r="L462" s="14"/>
      <c r="M462" s="15"/>
      <c r="N462" s="13" t="s">
        <v>4</v>
      </c>
      <c r="O462" s="14"/>
      <c r="P462" s="15"/>
      <c r="Q462" s="13" t="s">
        <v>5</v>
      </c>
      <c r="R462" s="14"/>
      <c r="S462" s="15"/>
      <c r="T462" s="16"/>
      <c r="U462" s="17"/>
      <c r="V462" s="10"/>
      <c r="W462" s="10"/>
      <c r="X462" s="10"/>
    </row>
    <row r="463" spans="1:24">
      <c r="B463" s="18" t="s">
        <v>6</v>
      </c>
      <c r="C463" s="19">
        <f>C464+C465</f>
        <v>33</v>
      </c>
      <c r="D463" s="10"/>
      <c r="E463" s="18" t="s">
        <v>7</v>
      </c>
      <c r="F463" s="6"/>
      <c r="G463" s="9"/>
      <c r="H463" s="10"/>
      <c r="I463" s="10"/>
      <c r="J463" s="10"/>
      <c r="K463" s="20" t="s">
        <v>8</v>
      </c>
      <c r="L463" s="21" t="s">
        <v>9</v>
      </c>
      <c r="M463" s="21" t="s">
        <v>10</v>
      </c>
      <c r="N463" s="20" t="s">
        <v>11</v>
      </c>
      <c r="O463" s="21" t="s">
        <v>12</v>
      </c>
      <c r="P463" s="22" t="s">
        <v>13</v>
      </c>
      <c r="Q463" s="21" t="s">
        <v>11</v>
      </c>
      <c r="R463" s="21" t="s">
        <v>12</v>
      </c>
      <c r="S463" s="22" t="s">
        <v>13</v>
      </c>
      <c r="T463" s="23" t="s">
        <v>14</v>
      </c>
      <c r="U463" s="17"/>
      <c r="V463" s="10"/>
      <c r="W463" s="10"/>
      <c r="X463" s="10"/>
    </row>
    <row r="464" spans="1:24">
      <c r="B464" s="24" t="s">
        <v>15</v>
      </c>
      <c r="C464" s="25">
        <f>P471</f>
        <v>14</v>
      </c>
      <c r="D464" s="10"/>
      <c r="E464" s="26" t="s">
        <v>16</v>
      </c>
      <c r="F464" s="27">
        <v>0.05</v>
      </c>
      <c r="G464" s="28"/>
      <c r="H464" s="10"/>
      <c r="I464" s="10"/>
      <c r="J464" s="18" t="s">
        <v>17</v>
      </c>
      <c r="K464" s="29">
        <f>K499</f>
        <v>10</v>
      </c>
      <c r="L464" s="29">
        <f t="shared" ref="L464:S464" si="95">L499</f>
        <v>10</v>
      </c>
      <c r="M464" s="29">
        <f t="shared" si="95"/>
        <v>9</v>
      </c>
      <c r="N464" s="29">
        <f t="shared" si="95"/>
        <v>10</v>
      </c>
      <c r="O464" s="29">
        <f t="shared" si="95"/>
        <v>10</v>
      </c>
      <c r="P464" s="29">
        <f t="shared" si="95"/>
        <v>8</v>
      </c>
      <c r="Q464" s="29">
        <f t="shared" si="95"/>
        <v>9</v>
      </c>
      <c r="R464" s="29">
        <f t="shared" si="95"/>
        <v>9</v>
      </c>
      <c r="S464" s="29">
        <f t="shared" si="95"/>
        <v>6</v>
      </c>
      <c r="T464" s="30">
        <f>T550</f>
        <v>3</v>
      </c>
      <c r="U464" s="17"/>
      <c r="V464" s="10"/>
      <c r="W464" s="10"/>
      <c r="X464" s="10"/>
    </row>
    <row r="465" spans="2:24">
      <c r="B465" s="24" t="s">
        <v>18</v>
      </c>
      <c r="C465" s="25">
        <f>P472</f>
        <v>19</v>
      </c>
      <c r="D465" s="10"/>
      <c r="E465" s="10"/>
      <c r="F465" s="10"/>
      <c r="G465" s="31"/>
      <c r="H465" s="10"/>
      <c r="I465" s="10"/>
      <c r="J465" s="32" t="s">
        <v>19</v>
      </c>
      <c r="K465" s="33">
        <f>K499/K498</f>
        <v>1</v>
      </c>
      <c r="L465" s="33">
        <f t="shared" ref="L465:S465" si="96">L499/L498</f>
        <v>1</v>
      </c>
      <c r="M465" s="33">
        <f t="shared" si="96"/>
        <v>0.9</v>
      </c>
      <c r="N465" s="33">
        <f t="shared" si="96"/>
        <v>1</v>
      </c>
      <c r="O465" s="33">
        <f t="shared" si="96"/>
        <v>1</v>
      </c>
      <c r="P465" s="33">
        <f t="shared" si="96"/>
        <v>0.8</v>
      </c>
      <c r="Q465" s="33">
        <f t="shared" si="96"/>
        <v>0.9</v>
      </c>
      <c r="R465" s="33">
        <f t="shared" si="96"/>
        <v>0.9</v>
      </c>
      <c r="S465" s="33">
        <f t="shared" si="96"/>
        <v>0.6</v>
      </c>
      <c r="T465" s="23"/>
      <c r="U465" s="17" t="s">
        <v>20</v>
      </c>
      <c r="V465" s="10"/>
      <c r="W465" s="10"/>
      <c r="X465" s="10"/>
    </row>
    <row r="466" spans="2:24">
      <c r="B466" s="24" t="s">
        <v>21</v>
      </c>
      <c r="C466" s="34">
        <f>P473</f>
        <v>0.42424242424242425</v>
      </c>
      <c r="D466" s="10"/>
      <c r="E466" s="10"/>
      <c r="F466" s="10"/>
      <c r="G466" s="10"/>
      <c r="H466" s="10"/>
      <c r="I466" s="10"/>
      <c r="J466" s="10"/>
      <c r="K466" s="10"/>
      <c r="L466" s="10"/>
      <c r="M466" s="10"/>
      <c r="N466" s="10"/>
      <c r="O466" s="10"/>
      <c r="P466" s="10"/>
      <c r="Q466" s="10"/>
      <c r="R466" s="10"/>
      <c r="S466" s="10"/>
      <c r="T466" s="10"/>
      <c r="U466" s="17"/>
      <c r="V466" s="10"/>
      <c r="W466" s="10"/>
      <c r="X466" s="10"/>
    </row>
    <row r="467" spans="2:24">
      <c r="B467" s="24"/>
      <c r="C467" s="25"/>
      <c r="D467" s="10"/>
      <c r="E467" s="10"/>
      <c r="F467" s="18" t="s">
        <v>22</v>
      </c>
      <c r="G467" s="19" t="s">
        <v>23</v>
      </c>
      <c r="H467" s="35" t="s">
        <v>24</v>
      </c>
      <c r="I467" s="10"/>
      <c r="J467" s="10"/>
      <c r="K467" s="36"/>
      <c r="L467" s="36"/>
      <c r="M467" s="36"/>
      <c r="N467" s="36"/>
      <c r="O467" s="36"/>
      <c r="P467" s="36"/>
      <c r="Q467" s="36"/>
      <c r="R467" s="10"/>
      <c r="S467" s="10"/>
      <c r="T467" s="10"/>
      <c r="U467" s="17"/>
      <c r="V467" s="10"/>
      <c r="W467" s="10"/>
      <c r="X467" s="10"/>
    </row>
    <row r="468" spans="2:24">
      <c r="B468" s="32" t="s">
        <v>25</v>
      </c>
      <c r="C468" s="37">
        <f>P474</f>
        <v>2701.9328571428568</v>
      </c>
      <c r="D468" s="10"/>
      <c r="E468" s="18" t="s">
        <v>26</v>
      </c>
      <c r="F468" s="38">
        <f>P470</f>
        <v>37827.06</v>
      </c>
      <c r="G468" s="39">
        <f>I498+I505+I509</f>
        <v>37827.06</v>
      </c>
      <c r="H468" s="767" t="s">
        <v>2121</v>
      </c>
      <c r="I468" s="767"/>
      <c r="J468" s="767"/>
      <c r="K468" s="43" t="s">
        <v>27</v>
      </c>
      <c r="L468" s="44"/>
      <c r="M468" s="44"/>
      <c r="N468" s="44"/>
      <c r="O468" s="44"/>
      <c r="P468" s="44"/>
      <c r="Q468" s="45"/>
      <c r="R468" s="46" t="s">
        <v>28</v>
      </c>
      <c r="S468" s="47" t="s">
        <v>29</v>
      </c>
      <c r="T468" s="10"/>
      <c r="U468" s="17"/>
      <c r="V468" s="10"/>
      <c r="W468" s="10"/>
      <c r="X468" s="10"/>
    </row>
    <row r="469" spans="2:24">
      <c r="B469" s="11"/>
      <c r="C469" s="10"/>
      <c r="D469" s="10"/>
      <c r="E469" s="24" t="s">
        <v>30</v>
      </c>
      <c r="F469" s="48">
        <f>F464</f>
        <v>0.05</v>
      </c>
      <c r="G469" s="17"/>
      <c r="H469" s="767"/>
      <c r="I469" s="767"/>
      <c r="J469" s="767"/>
      <c r="K469" s="20" t="s">
        <v>31</v>
      </c>
      <c r="L469" s="21" t="s">
        <v>32</v>
      </c>
      <c r="M469" s="21" t="s">
        <v>33</v>
      </c>
      <c r="N469" s="21" t="s">
        <v>34</v>
      </c>
      <c r="O469" s="21" t="s">
        <v>35</v>
      </c>
      <c r="P469" s="21" t="s">
        <v>36</v>
      </c>
      <c r="Q469" s="49" t="s">
        <v>37</v>
      </c>
      <c r="R469" s="50" t="s">
        <v>38</v>
      </c>
      <c r="S469" s="50" t="s">
        <v>38</v>
      </c>
      <c r="T469" s="10"/>
      <c r="U469" s="17"/>
      <c r="V469" s="10"/>
      <c r="W469" s="10"/>
      <c r="X469" s="10"/>
    </row>
    <row r="470" spans="2:24">
      <c r="B470" s="11"/>
      <c r="C470" s="10"/>
      <c r="D470" s="10"/>
      <c r="E470" s="51" t="s">
        <v>39</v>
      </c>
      <c r="F470" s="52">
        <f>(F468+F478+F479-I490-I502-I503-I504-I508)*F469</f>
        <v>875.3415</v>
      </c>
      <c r="G470" s="53" t="s">
        <v>40</v>
      </c>
      <c r="H470" s="484">
        <f>F470/1.12</f>
        <v>781.5549107142856</v>
      </c>
      <c r="I470" s="55"/>
      <c r="J470" s="42"/>
      <c r="K470" s="56">
        <v>0</v>
      </c>
      <c r="L470" s="57">
        <f>I488+I489</f>
        <v>1711.3</v>
      </c>
      <c r="M470" s="57">
        <f>I491+I492+I490</f>
        <v>6662.3600000000006</v>
      </c>
      <c r="N470" s="57">
        <f>I493+I494+I502</f>
        <v>2739.6</v>
      </c>
      <c r="O470" s="57">
        <f>I495+I496+I503+I497+I504+I508</f>
        <v>26713.8</v>
      </c>
      <c r="P470" s="57">
        <f>SUM(K470:O470)</f>
        <v>37827.06</v>
      </c>
      <c r="Q470" s="58">
        <v>0</v>
      </c>
      <c r="R470" s="59">
        <f>I505+I509</f>
        <v>16868.199999999997</v>
      </c>
      <c r="S470" s="59">
        <v>0</v>
      </c>
      <c r="T470" s="10"/>
      <c r="U470" s="17"/>
      <c r="V470" s="10"/>
      <c r="W470" s="10"/>
      <c r="X470" s="10"/>
    </row>
    <row r="471" spans="2:24">
      <c r="B471" s="11"/>
      <c r="C471" s="10"/>
      <c r="D471" s="10"/>
      <c r="E471" s="24" t="s">
        <v>41</v>
      </c>
      <c r="F471" s="60">
        <f>Q470</f>
        <v>0</v>
      </c>
      <c r="G471" s="61" t="s">
        <v>40</v>
      </c>
      <c r="H471" s="62"/>
      <c r="I471" s="62"/>
      <c r="J471" s="10" t="s">
        <v>42</v>
      </c>
      <c r="K471" s="63">
        <v>0</v>
      </c>
      <c r="L471" s="63">
        <v>2</v>
      </c>
      <c r="M471" s="63">
        <v>3</v>
      </c>
      <c r="N471" s="63">
        <v>3</v>
      </c>
      <c r="O471" s="63">
        <v>6</v>
      </c>
      <c r="P471" s="21">
        <f>SUM(K471:O471)</f>
        <v>14</v>
      </c>
      <c r="Q471" s="64"/>
      <c r="R471" s="63"/>
      <c r="S471" s="10"/>
      <c r="T471" s="10"/>
      <c r="U471" s="17"/>
      <c r="V471" s="10"/>
      <c r="W471" s="10"/>
      <c r="X471" s="10"/>
    </row>
    <row r="472" spans="2:24">
      <c r="B472" s="11"/>
      <c r="C472" s="10"/>
      <c r="D472" s="10"/>
      <c r="E472" s="51" t="s">
        <v>43</v>
      </c>
      <c r="F472" s="52">
        <f>F471*0.25</f>
        <v>0</v>
      </c>
      <c r="G472" s="53" t="s">
        <v>40</v>
      </c>
      <c r="H472" s="54">
        <f>F472/1.12</f>
        <v>0</v>
      </c>
      <c r="I472" s="10"/>
      <c r="J472" s="10" t="s">
        <v>44</v>
      </c>
      <c r="K472" s="63">
        <v>0</v>
      </c>
      <c r="L472" s="63">
        <v>6</v>
      </c>
      <c r="M472" s="63">
        <v>3</v>
      </c>
      <c r="N472" s="63">
        <v>7</v>
      </c>
      <c r="O472" s="63">
        <v>3</v>
      </c>
      <c r="P472" s="21">
        <f>SUM(K472:O472)</f>
        <v>19</v>
      </c>
      <c r="Q472" s="64"/>
      <c r="R472" s="63"/>
      <c r="S472" s="10"/>
      <c r="T472" s="10"/>
      <c r="U472" s="17"/>
      <c r="V472" s="10"/>
      <c r="W472" s="10"/>
      <c r="X472" s="10"/>
    </row>
    <row r="473" spans="2:24">
      <c r="B473" s="11"/>
      <c r="C473" s="10"/>
      <c r="D473" s="10"/>
      <c r="E473" s="24" t="s">
        <v>45</v>
      </c>
      <c r="F473" s="60"/>
      <c r="G473" s="61" t="s">
        <v>40</v>
      </c>
      <c r="H473" s="62"/>
      <c r="I473" s="10"/>
      <c r="J473" s="10" t="s">
        <v>46</v>
      </c>
      <c r="K473" s="31" t="e">
        <f t="shared" ref="K473:Q473" si="97">K471/(K471+K472)</f>
        <v>#DIV/0!</v>
      </c>
      <c r="L473" s="31">
        <f t="shared" si="97"/>
        <v>0.25</v>
      </c>
      <c r="M473" s="31">
        <f t="shared" si="97"/>
        <v>0.5</v>
      </c>
      <c r="N473" s="31">
        <f t="shared" si="97"/>
        <v>0.3</v>
      </c>
      <c r="O473" s="31">
        <f t="shared" si="97"/>
        <v>0.66666666666666663</v>
      </c>
      <c r="P473" s="31">
        <f t="shared" si="97"/>
        <v>0.42424242424242425</v>
      </c>
      <c r="Q473" s="31" t="e">
        <f t="shared" si="97"/>
        <v>#DIV/0!</v>
      </c>
      <c r="R473" s="63"/>
      <c r="S473" s="10"/>
      <c r="T473" s="10"/>
      <c r="U473" s="17"/>
      <c r="V473" s="10"/>
      <c r="W473" s="10"/>
      <c r="X473" s="10"/>
    </row>
    <row r="474" spans="2:24">
      <c r="B474" s="11"/>
      <c r="C474" s="10"/>
      <c r="D474" s="10"/>
      <c r="E474" s="51" t="s">
        <v>47</v>
      </c>
      <c r="F474" s="52">
        <f>F473*0.05</f>
        <v>0</v>
      </c>
      <c r="G474" s="65" t="s">
        <v>40</v>
      </c>
      <c r="H474" s="54">
        <f>F474/1.12</f>
        <v>0</v>
      </c>
      <c r="I474" s="42"/>
      <c r="J474" s="10" t="s">
        <v>48</v>
      </c>
      <c r="K474" s="66" t="e">
        <f>K470/K471</f>
        <v>#DIV/0!</v>
      </c>
      <c r="L474" s="66">
        <f t="shared" ref="L474:Q474" si="98">L470/L471</f>
        <v>855.65</v>
      </c>
      <c r="M474" s="66">
        <f t="shared" si="98"/>
        <v>2220.7866666666669</v>
      </c>
      <c r="N474" s="66">
        <f t="shared" si="98"/>
        <v>913.19999999999993</v>
      </c>
      <c r="O474" s="66">
        <f t="shared" si="98"/>
        <v>4452.3</v>
      </c>
      <c r="P474" s="66">
        <f t="shared" si="98"/>
        <v>2701.9328571428568</v>
      </c>
      <c r="Q474" s="66" t="e">
        <f t="shared" si="98"/>
        <v>#DIV/0!</v>
      </c>
      <c r="R474" s="63"/>
      <c r="S474" s="10"/>
      <c r="T474" s="10"/>
      <c r="U474" s="17"/>
      <c r="V474" s="10"/>
      <c r="W474" s="10"/>
      <c r="X474" s="10"/>
    </row>
    <row r="475" spans="2:24">
      <c r="B475" s="11"/>
      <c r="C475" s="10"/>
      <c r="D475" s="10"/>
      <c r="E475" s="67" t="s">
        <v>14</v>
      </c>
      <c r="F475" s="68">
        <f>2*50</f>
        <v>100</v>
      </c>
      <c r="G475" s="10"/>
      <c r="H475" s="54">
        <f>F475/1.12</f>
        <v>89.285714285714278</v>
      </c>
      <c r="I475" s="10"/>
      <c r="J475" s="10"/>
      <c r="K475" s="10"/>
      <c r="L475" s="10"/>
      <c r="M475" s="10"/>
      <c r="N475" s="10"/>
      <c r="O475" s="10"/>
      <c r="P475" s="10"/>
      <c r="Q475" s="10"/>
      <c r="R475" s="10"/>
      <c r="S475" s="10"/>
      <c r="T475" s="10"/>
      <c r="U475" s="17"/>
      <c r="V475" s="10"/>
      <c r="W475" s="10"/>
      <c r="X475" s="10"/>
    </row>
    <row r="476" spans="2:24">
      <c r="B476" s="11"/>
      <c r="C476" s="10"/>
      <c r="D476" s="10"/>
      <c r="E476" s="67" t="s">
        <v>49</v>
      </c>
      <c r="F476" s="69">
        <f>T465</f>
        <v>0</v>
      </c>
      <c r="G476" s="10"/>
      <c r="H476" s="54"/>
      <c r="I476" s="55"/>
      <c r="J476" s="42"/>
      <c r="K476" s="764" t="s">
        <v>50</v>
      </c>
      <c r="L476" s="765"/>
      <c r="M476" s="765"/>
      <c r="N476" s="765"/>
      <c r="O476" s="765"/>
      <c r="P476" s="765"/>
      <c r="Q476" s="766"/>
      <c r="R476" s="70" t="s">
        <v>28</v>
      </c>
      <c r="S476" s="71" t="s">
        <v>29</v>
      </c>
      <c r="T476" s="10"/>
      <c r="U476" s="17"/>
      <c r="V476" s="10"/>
      <c r="W476" s="10"/>
      <c r="X476" s="10"/>
    </row>
    <row r="477" spans="2:24">
      <c r="B477" s="11"/>
      <c r="C477" s="10"/>
      <c r="D477" s="10"/>
      <c r="E477" s="528" t="s">
        <v>2946</v>
      </c>
      <c r="F477" s="402">
        <v>3.69</v>
      </c>
      <c r="G477" s="10"/>
      <c r="H477" s="10"/>
      <c r="I477" s="10"/>
      <c r="J477" s="42"/>
      <c r="K477" s="20" t="s">
        <v>31</v>
      </c>
      <c r="L477" s="21" t="s">
        <v>32</v>
      </c>
      <c r="M477" s="21" t="s">
        <v>33</v>
      </c>
      <c r="N477" s="21" t="s">
        <v>34</v>
      </c>
      <c r="O477" s="21" t="s">
        <v>35</v>
      </c>
      <c r="P477" s="21" t="s">
        <v>36</v>
      </c>
      <c r="Q477" s="49" t="s">
        <v>37</v>
      </c>
      <c r="R477" s="50" t="s">
        <v>38</v>
      </c>
      <c r="S477" s="50" t="s">
        <v>38</v>
      </c>
      <c r="T477" s="10"/>
      <c r="U477" s="17"/>
      <c r="V477" s="10"/>
      <c r="W477" s="10"/>
      <c r="X477" s="10"/>
    </row>
    <row r="478" spans="2:24">
      <c r="B478" s="11"/>
      <c r="C478" s="10"/>
      <c r="D478" s="10"/>
      <c r="E478" s="72" t="s">
        <v>2947</v>
      </c>
      <c r="F478" s="73">
        <v>-52.42</v>
      </c>
      <c r="G478" s="10"/>
      <c r="H478" s="10"/>
      <c r="I478" s="10"/>
      <c r="J478" s="42"/>
      <c r="K478" s="56">
        <v>0</v>
      </c>
      <c r="L478" s="57">
        <f>F488+F489</f>
        <v>1751</v>
      </c>
      <c r="M478" s="57">
        <f>F491+F492+F490</f>
        <v>7137.9</v>
      </c>
      <c r="N478" s="57">
        <f>F493+F494+F502</f>
        <v>2819</v>
      </c>
      <c r="O478" s="57">
        <f>F495+F496+F503+F497+F504+F508</f>
        <v>30692</v>
      </c>
      <c r="P478" s="57">
        <f>SUM(K478:O478)</f>
        <v>42399.9</v>
      </c>
      <c r="Q478" s="58">
        <v>0</v>
      </c>
      <c r="R478" s="59">
        <f>F505+F509</f>
        <v>18314</v>
      </c>
      <c r="S478" s="59">
        <v>0</v>
      </c>
      <c r="T478" s="10"/>
      <c r="U478" s="17"/>
      <c r="V478" s="10"/>
      <c r="W478" s="10"/>
      <c r="X478" s="10"/>
    </row>
    <row r="479" spans="2:24">
      <c r="B479" s="11"/>
      <c r="C479" s="10"/>
      <c r="D479" s="10"/>
      <c r="E479" s="74" t="s">
        <v>2948</v>
      </c>
      <c r="F479" s="75">
        <v>-121.55</v>
      </c>
      <c r="G479" s="10"/>
      <c r="H479" s="10"/>
      <c r="I479" s="10"/>
      <c r="J479" s="10" t="s">
        <v>42</v>
      </c>
      <c r="K479" s="63">
        <f>K471</f>
        <v>0</v>
      </c>
      <c r="L479" s="63">
        <f t="shared" ref="L479:Q480" si="99">L471</f>
        <v>2</v>
      </c>
      <c r="M479" s="63">
        <f t="shared" si="99"/>
        <v>3</v>
      </c>
      <c r="N479" s="63">
        <f t="shared" si="99"/>
        <v>3</v>
      </c>
      <c r="O479" s="63">
        <f t="shared" si="99"/>
        <v>6</v>
      </c>
      <c r="P479" s="63">
        <f t="shared" si="99"/>
        <v>14</v>
      </c>
      <c r="Q479" s="63">
        <f t="shared" si="99"/>
        <v>0</v>
      </c>
      <c r="R479" s="63"/>
      <c r="S479" s="10"/>
      <c r="T479" s="10"/>
      <c r="U479" s="17"/>
      <c r="V479" s="10"/>
      <c r="W479" s="10"/>
      <c r="X479" s="10"/>
    </row>
    <row r="480" spans="2:24">
      <c r="B480" s="11"/>
      <c r="C480" s="10"/>
      <c r="D480" s="10"/>
      <c r="E480" s="12"/>
      <c r="F480" s="76"/>
      <c r="G480" s="10"/>
      <c r="H480" s="10"/>
      <c r="I480" s="10"/>
      <c r="J480" s="10" t="s">
        <v>44</v>
      </c>
      <c r="K480" s="63">
        <f>K472</f>
        <v>0</v>
      </c>
      <c r="L480" s="63">
        <f t="shared" si="99"/>
        <v>6</v>
      </c>
      <c r="M480" s="63">
        <f t="shared" si="99"/>
        <v>3</v>
      </c>
      <c r="N480" s="63">
        <f t="shared" si="99"/>
        <v>7</v>
      </c>
      <c r="O480" s="63">
        <f t="shared" si="99"/>
        <v>3</v>
      </c>
      <c r="P480" s="63">
        <f t="shared" si="99"/>
        <v>19</v>
      </c>
      <c r="Q480" s="63">
        <f t="shared" si="99"/>
        <v>0</v>
      </c>
      <c r="R480" s="63"/>
      <c r="S480" s="10"/>
      <c r="T480" s="10"/>
      <c r="U480" s="17"/>
      <c r="V480" s="10"/>
      <c r="W480" s="10"/>
      <c r="X480" s="10"/>
    </row>
    <row r="481" spans="1:24">
      <c r="B481" s="11"/>
      <c r="C481" s="10"/>
      <c r="D481" s="10"/>
      <c r="E481" s="10"/>
      <c r="F481" s="10"/>
      <c r="G481" s="10"/>
      <c r="H481" s="10"/>
      <c r="I481" s="10"/>
      <c r="J481" s="10" t="s">
        <v>46</v>
      </c>
      <c r="K481" s="31" t="e">
        <f t="shared" ref="K481:Q481" si="100">K479/(K479+K480)</f>
        <v>#DIV/0!</v>
      </c>
      <c r="L481" s="31">
        <f t="shared" si="100"/>
        <v>0.25</v>
      </c>
      <c r="M481" s="31">
        <f t="shared" si="100"/>
        <v>0.5</v>
      </c>
      <c r="N481" s="31">
        <f t="shared" si="100"/>
        <v>0.3</v>
      </c>
      <c r="O481" s="31">
        <f t="shared" si="100"/>
        <v>0.66666666666666663</v>
      </c>
      <c r="P481" s="31">
        <f t="shared" si="100"/>
        <v>0.42424242424242425</v>
      </c>
      <c r="Q481" s="31" t="e">
        <f t="shared" si="100"/>
        <v>#DIV/0!</v>
      </c>
      <c r="R481" s="63"/>
      <c r="S481" s="10"/>
      <c r="T481" s="10"/>
      <c r="U481" s="17"/>
      <c r="V481" s="10"/>
      <c r="W481" s="10"/>
      <c r="X481" s="10"/>
    </row>
    <row r="482" spans="1:24">
      <c r="B482" s="11"/>
      <c r="C482" s="10"/>
      <c r="D482" s="10"/>
      <c r="E482" s="10"/>
      <c r="F482" s="10"/>
      <c r="G482" s="10"/>
      <c r="H482" s="10"/>
      <c r="I482" s="10"/>
      <c r="J482" s="10" t="s">
        <v>48</v>
      </c>
      <c r="K482" s="66" t="e">
        <f t="shared" ref="K482:Q482" si="101">K478/K479</f>
        <v>#DIV/0!</v>
      </c>
      <c r="L482" s="66">
        <f t="shared" si="101"/>
        <v>875.5</v>
      </c>
      <c r="M482" s="66">
        <f t="shared" si="101"/>
        <v>2379.2999999999997</v>
      </c>
      <c r="N482" s="66">
        <f t="shared" si="101"/>
        <v>939.66666666666663</v>
      </c>
      <c r="O482" s="66">
        <f t="shared" si="101"/>
        <v>5115.333333333333</v>
      </c>
      <c r="P482" s="66">
        <f t="shared" si="101"/>
        <v>3028.5642857142857</v>
      </c>
      <c r="Q482" s="66" t="e">
        <f t="shared" si="101"/>
        <v>#DIV/0!</v>
      </c>
      <c r="R482" s="63"/>
      <c r="S482" s="10"/>
      <c r="T482" s="10"/>
      <c r="U482" s="17"/>
      <c r="V482" s="10"/>
      <c r="W482" s="10"/>
      <c r="X482" s="10"/>
    </row>
    <row r="483" spans="1:24">
      <c r="B483" s="11"/>
      <c r="C483" s="10"/>
      <c r="D483" s="10"/>
      <c r="E483" s="10"/>
      <c r="F483" s="10"/>
      <c r="G483" s="10"/>
      <c r="H483" s="10"/>
      <c r="I483" s="10"/>
      <c r="J483" s="10"/>
      <c r="K483" s="10"/>
      <c r="L483" s="10"/>
      <c r="M483" s="10"/>
      <c r="N483" s="10"/>
      <c r="O483" s="10"/>
      <c r="P483" s="10"/>
      <c r="Q483" s="10"/>
      <c r="R483" s="10"/>
      <c r="S483" s="10"/>
      <c r="T483" s="10"/>
      <c r="U483" s="17"/>
      <c r="V483" s="10"/>
      <c r="W483" s="10"/>
      <c r="X483" s="10"/>
    </row>
    <row r="484" spans="1:24">
      <c r="B484" s="11"/>
      <c r="C484" s="10"/>
      <c r="D484" s="10"/>
      <c r="E484" s="10"/>
      <c r="F484" s="10"/>
      <c r="G484" s="10"/>
      <c r="H484" s="10"/>
      <c r="I484" s="10"/>
      <c r="J484" s="10"/>
      <c r="K484" s="10"/>
      <c r="L484" s="10"/>
      <c r="M484" s="10"/>
      <c r="N484" s="10"/>
      <c r="O484" s="10"/>
      <c r="P484" s="10"/>
      <c r="Q484" s="10"/>
      <c r="R484" s="10"/>
      <c r="S484" s="10"/>
      <c r="T484" s="10"/>
      <c r="U484" s="17"/>
      <c r="V484" s="10"/>
      <c r="W484" s="10"/>
      <c r="X484" s="10"/>
    </row>
    <row r="485" spans="1:24">
      <c r="B485" s="18" t="s">
        <v>51</v>
      </c>
      <c r="C485" s="14"/>
      <c r="D485" s="14"/>
      <c r="E485" s="14"/>
      <c r="F485" s="13" t="s">
        <v>52</v>
      </c>
      <c r="G485" s="14"/>
      <c r="H485" s="14"/>
      <c r="I485" s="14"/>
      <c r="J485" s="14"/>
      <c r="K485" s="13" t="s">
        <v>3</v>
      </c>
      <c r="L485" s="14"/>
      <c r="M485" s="14"/>
      <c r="N485" s="13" t="s">
        <v>4</v>
      </c>
      <c r="O485" s="14"/>
      <c r="P485" s="14"/>
      <c r="Q485" s="13" t="s">
        <v>5</v>
      </c>
      <c r="R485" s="14"/>
      <c r="S485" s="14"/>
      <c r="T485" s="18"/>
      <c r="U485" s="16" t="s">
        <v>53</v>
      </c>
      <c r="V485" s="77"/>
      <c r="W485" s="77"/>
      <c r="X485" s="77"/>
    </row>
    <row r="486" spans="1:24">
      <c r="B486" s="24" t="s">
        <v>54</v>
      </c>
      <c r="C486" s="21" t="s">
        <v>55</v>
      </c>
      <c r="D486" s="21" t="s">
        <v>56</v>
      </c>
      <c r="E486" s="21" t="s">
        <v>57</v>
      </c>
      <c r="F486" s="20" t="s">
        <v>58</v>
      </c>
      <c r="G486" s="21" t="s">
        <v>59</v>
      </c>
      <c r="H486" s="21" t="s">
        <v>60</v>
      </c>
      <c r="I486" s="21" t="s">
        <v>26</v>
      </c>
      <c r="J486" s="22" t="s">
        <v>61</v>
      </c>
      <c r="K486" s="21" t="s">
        <v>8</v>
      </c>
      <c r="L486" s="21" t="s">
        <v>9</v>
      </c>
      <c r="M486" s="21" t="s">
        <v>10</v>
      </c>
      <c r="N486" s="20" t="s">
        <v>11</v>
      </c>
      <c r="O486" s="21" t="s">
        <v>12</v>
      </c>
      <c r="P486" s="22" t="s">
        <v>13</v>
      </c>
      <c r="Q486" s="21" t="s">
        <v>11</v>
      </c>
      <c r="R486" s="21" t="s">
        <v>12</v>
      </c>
      <c r="S486" s="21" t="s">
        <v>13</v>
      </c>
      <c r="T486" s="78" t="s">
        <v>14</v>
      </c>
      <c r="U486" s="30"/>
      <c r="V486" s="79" t="s">
        <v>62</v>
      </c>
      <c r="W486" s="80" t="s">
        <v>63</v>
      </c>
      <c r="X486" s="81" t="s">
        <v>64</v>
      </c>
    </row>
    <row r="487" spans="1:24">
      <c r="B487" s="4" t="s">
        <v>65</v>
      </c>
      <c r="C487" s="6"/>
      <c r="D487" s="6"/>
      <c r="E487" s="6"/>
      <c r="F487" s="6"/>
      <c r="G487" s="6"/>
      <c r="H487" s="6"/>
      <c r="I487" s="82"/>
      <c r="J487" s="6"/>
      <c r="K487" s="6"/>
      <c r="L487" s="6"/>
      <c r="M487" s="6"/>
      <c r="N487" s="6"/>
      <c r="O487" s="6"/>
      <c r="P487" s="6"/>
      <c r="Q487" s="6"/>
      <c r="R487" s="6"/>
      <c r="S487" s="6"/>
      <c r="T487" s="83"/>
      <c r="U487" s="6"/>
      <c r="V487" s="84"/>
      <c r="W487" s="85"/>
      <c r="X487" s="86"/>
    </row>
    <row r="488" spans="1:24">
      <c r="B488" s="87">
        <v>1</v>
      </c>
      <c r="C488" s="274">
        <v>45902</v>
      </c>
      <c r="D488" s="327">
        <v>72865</v>
      </c>
      <c r="E488" s="276" t="s">
        <v>1260</v>
      </c>
      <c r="F488" s="277">
        <v>613</v>
      </c>
      <c r="G488" s="277"/>
      <c r="H488" s="297"/>
      <c r="I488" s="321">
        <f t="shared" ref="I488:I496" si="102">F488-G488-H488</f>
        <v>613</v>
      </c>
      <c r="J488" s="279" t="s">
        <v>156</v>
      </c>
      <c r="K488" s="279">
        <v>1</v>
      </c>
      <c r="L488" s="279">
        <v>1</v>
      </c>
      <c r="M488" s="279">
        <v>1</v>
      </c>
      <c r="N488" s="279">
        <v>1</v>
      </c>
      <c r="O488" s="279">
        <v>1</v>
      </c>
      <c r="P488" s="279">
        <v>1</v>
      </c>
      <c r="Q488" s="279">
        <v>1</v>
      </c>
      <c r="R488" s="279">
        <v>1</v>
      </c>
      <c r="S488" s="328">
        <v>0</v>
      </c>
      <c r="T488" s="63"/>
      <c r="U488" s="10"/>
      <c r="V488" s="90">
        <v>674.3</v>
      </c>
      <c r="W488" s="91"/>
      <c r="X488" s="92"/>
    </row>
    <row r="489" spans="1:24">
      <c r="B489" s="87">
        <f t="shared" ref="B489:B496" si="103">B488+1</f>
        <v>2</v>
      </c>
      <c r="C489" s="295">
        <v>45902</v>
      </c>
      <c r="D489" s="323">
        <v>72878</v>
      </c>
      <c r="E489" s="10" t="s">
        <v>1273</v>
      </c>
      <c r="F489" s="62">
        <v>1138</v>
      </c>
      <c r="G489" s="62">
        <f>39.7</f>
        <v>39.700000000000003</v>
      </c>
      <c r="H489" s="62"/>
      <c r="I489" s="89">
        <f t="shared" si="102"/>
        <v>1098.3</v>
      </c>
      <c r="J489" s="63" t="s">
        <v>156</v>
      </c>
      <c r="K489" s="63">
        <v>1</v>
      </c>
      <c r="L489" s="63">
        <v>1</v>
      </c>
      <c r="M489" s="63">
        <v>1</v>
      </c>
      <c r="N489" s="63">
        <v>1</v>
      </c>
      <c r="O489" s="63">
        <v>1</v>
      </c>
      <c r="P489" s="63">
        <v>1</v>
      </c>
      <c r="Q489" s="63">
        <v>1</v>
      </c>
      <c r="R489" s="63">
        <v>1</v>
      </c>
      <c r="S489" s="296">
        <v>1</v>
      </c>
      <c r="T489" s="63"/>
      <c r="U489" s="10"/>
      <c r="V489" s="90">
        <v>1251.8</v>
      </c>
      <c r="W489" s="91"/>
      <c r="X489" s="92"/>
    </row>
    <row r="490" spans="1:24">
      <c r="A490" t="s">
        <v>230</v>
      </c>
      <c r="B490" s="87">
        <f>B489+1</f>
        <v>3</v>
      </c>
      <c r="C490" s="274">
        <v>45903</v>
      </c>
      <c r="D490" s="327">
        <v>72905</v>
      </c>
      <c r="E490" s="281" t="s">
        <v>2829</v>
      </c>
      <c r="F490" s="277">
        <v>3513.9</v>
      </c>
      <c r="G490" s="277">
        <f>+(35.84)+200</f>
        <v>235.84</v>
      </c>
      <c r="H490" s="277"/>
      <c r="I490" s="329">
        <f>F490-G490-H490</f>
        <v>3278.06</v>
      </c>
      <c r="J490" s="279" t="s">
        <v>228</v>
      </c>
      <c r="K490" s="279">
        <v>1</v>
      </c>
      <c r="L490" s="279">
        <v>1</v>
      </c>
      <c r="M490" s="279">
        <v>1</v>
      </c>
      <c r="N490" s="279">
        <v>1</v>
      </c>
      <c r="O490" s="279">
        <v>1</v>
      </c>
      <c r="P490" s="279">
        <v>1</v>
      </c>
      <c r="Q490" s="279">
        <v>1</v>
      </c>
      <c r="R490" s="279">
        <v>1</v>
      </c>
      <c r="S490" s="328">
        <v>0</v>
      </c>
      <c r="T490" s="63"/>
      <c r="U490" s="10" t="s">
        <v>2949</v>
      </c>
      <c r="V490" s="90">
        <f>500+3365.29</f>
        <v>3865.29</v>
      </c>
      <c r="W490" s="91"/>
      <c r="X490" s="92"/>
    </row>
    <row r="491" spans="1:24">
      <c r="B491" s="87">
        <f>B490+1</f>
        <v>4</v>
      </c>
      <c r="C491" s="295">
        <v>45903</v>
      </c>
      <c r="D491" s="323">
        <v>72932</v>
      </c>
      <c r="E491" s="10" t="s">
        <v>1115</v>
      </c>
      <c r="F491" s="62">
        <v>3143</v>
      </c>
      <c r="G491" s="62">
        <f>39.7+200</f>
        <v>239.7</v>
      </c>
      <c r="H491" s="62"/>
      <c r="I491" s="89">
        <f t="shared" si="102"/>
        <v>2903.3</v>
      </c>
      <c r="J491" s="63" t="s">
        <v>156</v>
      </c>
      <c r="K491" s="63">
        <v>1</v>
      </c>
      <c r="L491" s="63">
        <v>1</v>
      </c>
      <c r="M491" s="63">
        <v>1</v>
      </c>
      <c r="N491" s="63">
        <v>1</v>
      </c>
      <c r="O491" s="63">
        <v>1</v>
      </c>
      <c r="P491" s="63">
        <v>1</v>
      </c>
      <c r="Q491" s="63">
        <v>1</v>
      </c>
      <c r="R491" s="63">
        <v>1</v>
      </c>
      <c r="S491" s="296">
        <v>1</v>
      </c>
      <c r="T491" s="63"/>
      <c r="U491" s="10" t="s">
        <v>2950</v>
      </c>
      <c r="V491" s="90">
        <f>345.73+3111.55</f>
        <v>3457.28</v>
      </c>
      <c r="W491" s="91"/>
      <c r="X491" s="92"/>
    </row>
    <row r="492" spans="1:24">
      <c r="B492" s="87">
        <f t="shared" si="103"/>
        <v>5</v>
      </c>
      <c r="C492" s="295">
        <v>45903</v>
      </c>
      <c r="D492" s="323">
        <v>72923</v>
      </c>
      <c r="E492" s="94" t="s">
        <v>1098</v>
      </c>
      <c r="F492" s="62">
        <v>481</v>
      </c>
      <c r="G492" s="62"/>
      <c r="H492" s="62"/>
      <c r="I492" s="89">
        <f t="shared" si="102"/>
        <v>481</v>
      </c>
      <c r="J492" s="63" t="s">
        <v>156</v>
      </c>
      <c r="K492" s="63">
        <v>1</v>
      </c>
      <c r="L492" s="63">
        <v>1</v>
      </c>
      <c r="M492" s="63">
        <v>1</v>
      </c>
      <c r="N492" s="63">
        <v>1</v>
      </c>
      <c r="O492" s="63">
        <v>1</v>
      </c>
      <c r="P492" s="63">
        <v>1</v>
      </c>
      <c r="Q492" s="63">
        <v>1</v>
      </c>
      <c r="R492" s="63">
        <v>1</v>
      </c>
      <c r="S492" s="296">
        <v>1</v>
      </c>
      <c r="T492" s="21">
        <v>1</v>
      </c>
      <c r="U492" s="10"/>
      <c r="V492" s="90">
        <f>50+479.1</f>
        <v>529.1</v>
      </c>
      <c r="W492" s="91"/>
      <c r="X492" s="92"/>
    </row>
    <row r="493" spans="1:24">
      <c r="B493" s="87">
        <f t="shared" si="103"/>
        <v>6</v>
      </c>
      <c r="C493" s="274">
        <v>45904</v>
      </c>
      <c r="D493" s="327">
        <v>72967</v>
      </c>
      <c r="E493" s="276" t="s">
        <v>1256</v>
      </c>
      <c r="F493" s="277">
        <v>1000</v>
      </c>
      <c r="G493" s="277">
        <f>39.7</f>
        <v>39.700000000000003</v>
      </c>
      <c r="H493" s="277"/>
      <c r="I493" s="321">
        <f t="shared" si="102"/>
        <v>960.3</v>
      </c>
      <c r="J493" s="279" t="s">
        <v>156</v>
      </c>
      <c r="K493" s="279">
        <v>1</v>
      </c>
      <c r="L493" s="279">
        <v>1</v>
      </c>
      <c r="M493" s="322">
        <v>0</v>
      </c>
      <c r="N493" s="279">
        <v>1</v>
      </c>
      <c r="O493" s="279">
        <v>1</v>
      </c>
      <c r="P493" s="279">
        <v>1</v>
      </c>
      <c r="Q493" s="279">
        <v>1</v>
      </c>
      <c r="R493" s="279">
        <v>1</v>
      </c>
      <c r="S493" s="280">
        <v>1</v>
      </c>
      <c r="T493" s="63"/>
      <c r="U493" s="10"/>
      <c r="V493" s="90">
        <f>1000+100</f>
        <v>1100</v>
      </c>
      <c r="W493" s="91"/>
      <c r="X493" s="92"/>
    </row>
    <row r="494" spans="1:24">
      <c r="B494" s="87">
        <f t="shared" si="103"/>
        <v>7</v>
      </c>
      <c r="C494" s="295">
        <v>45904</v>
      </c>
      <c r="D494" s="323">
        <v>73004</v>
      </c>
      <c r="E494" s="10" t="s">
        <v>1034</v>
      </c>
      <c r="F494" s="62">
        <v>681</v>
      </c>
      <c r="G494" s="62"/>
      <c r="H494" s="88"/>
      <c r="I494" s="89">
        <f t="shared" si="102"/>
        <v>681</v>
      </c>
      <c r="J494" s="63" t="s">
        <v>156</v>
      </c>
      <c r="K494" s="63">
        <v>1</v>
      </c>
      <c r="L494" s="63">
        <v>1</v>
      </c>
      <c r="M494" s="63">
        <v>1</v>
      </c>
      <c r="N494" s="63">
        <v>1</v>
      </c>
      <c r="O494" s="63">
        <v>1</v>
      </c>
      <c r="P494" s="325">
        <v>0</v>
      </c>
      <c r="Q494" s="325">
        <v>0</v>
      </c>
      <c r="R494" s="325">
        <v>0</v>
      </c>
      <c r="S494" s="326">
        <v>0</v>
      </c>
      <c r="T494" s="63"/>
      <c r="U494" s="10"/>
      <c r="V494" s="90">
        <v>749.1</v>
      </c>
      <c r="W494" s="91"/>
      <c r="X494" s="92"/>
    </row>
    <row r="495" spans="1:24">
      <c r="B495" s="87">
        <f t="shared" si="103"/>
        <v>8</v>
      </c>
      <c r="C495" s="274">
        <v>45905</v>
      </c>
      <c r="D495" s="327">
        <v>72986</v>
      </c>
      <c r="E495" s="276" t="s">
        <v>1495</v>
      </c>
      <c r="F495" s="277">
        <v>861</v>
      </c>
      <c r="G495" s="277">
        <f>39.7</f>
        <v>39.700000000000003</v>
      </c>
      <c r="H495" s="297"/>
      <c r="I495" s="278">
        <f t="shared" si="102"/>
        <v>821.3</v>
      </c>
      <c r="J495" s="279" t="s">
        <v>156</v>
      </c>
      <c r="K495" s="279">
        <v>1</v>
      </c>
      <c r="L495" s="279">
        <v>1</v>
      </c>
      <c r="M495" s="279">
        <v>1</v>
      </c>
      <c r="N495" s="279">
        <v>1</v>
      </c>
      <c r="O495" s="279">
        <v>1</v>
      </c>
      <c r="P495" s="279">
        <v>1</v>
      </c>
      <c r="Q495" s="279">
        <v>1</v>
      </c>
      <c r="R495" s="279">
        <v>1</v>
      </c>
      <c r="S495" s="280">
        <v>1</v>
      </c>
      <c r="T495" s="21">
        <v>1</v>
      </c>
      <c r="U495" s="10"/>
      <c r="V495" s="90">
        <v>947.1</v>
      </c>
      <c r="W495" s="91"/>
      <c r="X495" s="92"/>
    </row>
    <row r="496" spans="1:24">
      <c r="B496" s="87">
        <f t="shared" si="103"/>
        <v>9</v>
      </c>
      <c r="C496" s="295">
        <v>45905</v>
      </c>
      <c r="D496" s="323">
        <v>73011</v>
      </c>
      <c r="E496" s="10" t="s">
        <v>1495</v>
      </c>
      <c r="F496" s="62">
        <v>6841</v>
      </c>
      <c r="G496" s="62">
        <f>39.7+(109.26+59.54+374.03)+300</f>
        <v>882.53</v>
      </c>
      <c r="H496" s="88"/>
      <c r="I496" s="89">
        <f t="shared" si="102"/>
        <v>5958.47</v>
      </c>
      <c r="J496" s="63" t="s">
        <v>150</v>
      </c>
      <c r="K496" s="63">
        <v>1</v>
      </c>
      <c r="L496" s="63">
        <v>1</v>
      </c>
      <c r="M496" s="63">
        <v>1</v>
      </c>
      <c r="N496" s="63">
        <v>1</v>
      </c>
      <c r="O496" s="63">
        <v>1</v>
      </c>
      <c r="P496" s="325">
        <v>0</v>
      </c>
      <c r="Q496" s="63">
        <v>1</v>
      </c>
      <c r="R496" s="63">
        <v>1</v>
      </c>
      <c r="S496" s="326">
        <v>0</v>
      </c>
      <c r="T496" s="63"/>
      <c r="U496" s="10" t="s">
        <v>2951</v>
      </c>
      <c r="V496" s="90">
        <v>0</v>
      </c>
      <c r="W496" s="440">
        <f>750+6775.1</f>
        <v>7525.1</v>
      </c>
      <c r="X496" s="92"/>
    </row>
    <row r="497" spans="1:25">
      <c r="B497" s="87">
        <f>B496+1</f>
        <v>10</v>
      </c>
      <c r="C497" s="282">
        <v>45905</v>
      </c>
      <c r="D497" s="368">
        <v>73014</v>
      </c>
      <c r="E497" s="319" t="s">
        <v>1287</v>
      </c>
      <c r="F497" s="284">
        <v>5814</v>
      </c>
      <c r="G497" s="284">
        <f>39.7+(1310.17)+300</f>
        <v>1649.8700000000001</v>
      </c>
      <c r="H497" s="284"/>
      <c r="I497" s="285">
        <f>F497-G497-H497</f>
        <v>4164.13</v>
      </c>
      <c r="J497" s="286" t="s">
        <v>228</v>
      </c>
      <c r="K497" s="286">
        <v>1</v>
      </c>
      <c r="L497" s="286">
        <v>1</v>
      </c>
      <c r="M497" s="286">
        <v>1</v>
      </c>
      <c r="N497" s="286">
        <v>1</v>
      </c>
      <c r="O497" s="286">
        <v>1</v>
      </c>
      <c r="P497" s="286">
        <v>1</v>
      </c>
      <c r="Q497" s="286">
        <v>1</v>
      </c>
      <c r="R497" s="286">
        <v>1</v>
      </c>
      <c r="S497" s="287">
        <v>1</v>
      </c>
      <c r="T497" s="63"/>
      <c r="U497" s="10" t="s">
        <v>2952</v>
      </c>
      <c r="V497" s="90">
        <f>600+5795.4</f>
        <v>6395.4</v>
      </c>
      <c r="W497" s="91"/>
      <c r="X497" s="92"/>
    </row>
    <row r="498" spans="1:25">
      <c r="B498" s="87"/>
      <c r="C498" s="36"/>
      <c r="D498" s="10"/>
      <c r="E498" s="10"/>
      <c r="F498" s="98">
        <f t="shared" ref="F498:H498" si="104">SUM(F488:F497)</f>
        <v>24085.9</v>
      </c>
      <c r="G498" s="98">
        <f t="shared" si="104"/>
        <v>3127.04</v>
      </c>
      <c r="H498" s="98">
        <f t="shared" si="104"/>
        <v>0</v>
      </c>
      <c r="I498" s="98">
        <f>SUM(I488:I497)</f>
        <v>20958.86</v>
      </c>
      <c r="J498" s="63"/>
      <c r="K498" s="63">
        <f>COUNT(K488:K497)</f>
        <v>10</v>
      </c>
      <c r="L498" s="63">
        <f t="shared" ref="L498:S498" si="105">COUNT(L488:L497)</f>
        <v>10</v>
      </c>
      <c r="M498" s="63">
        <f t="shared" si="105"/>
        <v>10</v>
      </c>
      <c r="N498" s="63">
        <f t="shared" si="105"/>
        <v>10</v>
      </c>
      <c r="O498" s="63">
        <f t="shared" si="105"/>
        <v>10</v>
      </c>
      <c r="P498" s="63">
        <f t="shared" si="105"/>
        <v>10</v>
      </c>
      <c r="Q498" s="63">
        <f t="shared" si="105"/>
        <v>10</v>
      </c>
      <c r="R498" s="63">
        <f t="shared" si="105"/>
        <v>10</v>
      </c>
      <c r="S498" s="63">
        <f t="shared" si="105"/>
        <v>10</v>
      </c>
      <c r="T498" s="63"/>
      <c r="U498" s="10"/>
      <c r="V498" s="90"/>
      <c r="W498" s="91"/>
      <c r="X498" s="92"/>
    </row>
    <row r="499" spans="1:25">
      <c r="B499" s="87"/>
      <c r="C499" s="36"/>
      <c r="D499" s="10"/>
      <c r="E499" s="10"/>
      <c r="F499" s="88"/>
      <c r="G499" s="88"/>
      <c r="H499" s="88"/>
      <c r="I499" s="99"/>
      <c r="J499" s="63"/>
      <c r="K499" s="21">
        <f>SUM(K488:K497)</f>
        <v>10</v>
      </c>
      <c r="L499" s="21">
        <f t="shared" ref="L499:S499" si="106">SUM(L488:L497)</f>
        <v>10</v>
      </c>
      <c r="M499" s="21">
        <f t="shared" si="106"/>
        <v>9</v>
      </c>
      <c r="N499" s="21">
        <f t="shared" si="106"/>
        <v>10</v>
      </c>
      <c r="O499" s="21">
        <f t="shared" si="106"/>
        <v>10</v>
      </c>
      <c r="P499" s="21">
        <f t="shared" si="106"/>
        <v>8</v>
      </c>
      <c r="Q499" s="21">
        <f t="shared" si="106"/>
        <v>9</v>
      </c>
      <c r="R499" s="21">
        <f t="shared" si="106"/>
        <v>9</v>
      </c>
      <c r="S499" s="21">
        <f t="shared" si="106"/>
        <v>6</v>
      </c>
      <c r="T499" s="63"/>
      <c r="U499" s="10"/>
      <c r="V499" s="90"/>
      <c r="W499" s="91"/>
      <c r="X499" s="92"/>
    </row>
    <row r="500" spans="1:25">
      <c r="B500" s="11"/>
      <c r="C500" s="36"/>
      <c r="D500" s="10"/>
      <c r="E500" s="10"/>
      <c r="F500" s="88"/>
      <c r="G500" s="88"/>
      <c r="H500" s="88"/>
      <c r="I500" s="99"/>
      <c r="J500" s="63"/>
      <c r="K500" s="21"/>
      <c r="L500" s="21"/>
      <c r="M500" s="21"/>
      <c r="N500" s="21"/>
      <c r="O500" s="21"/>
      <c r="P500" s="21"/>
      <c r="Q500" s="21"/>
      <c r="R500" s="21"/>
      <c r="S500" s="21"/>
      <c r="T500" s="63"/>
      <c r="U500" s="94"/>
      <c r="V500" s="90"/>
      <c r="W500" s="91"/>
      <c r="X500" s="92"/>
    </row>
    <row r="501" spans="1:25" s="342" customFormat="1">
      <c r="B501" s="121" t="s">
        <v>68</v>
      </c>
      <c r="C501" s="122"/>
      <c r="D501" s="123"/>
      <c r="E501" s="123"/>
      <c r="F501" s="124"/>
      <c r="G501" s="125"/>
      <c r="H501" s="124"/>
      <c r="I501" s="126"/>
      <c r="J501" s="127"/>
      <c r="K501" s="128"/>
      <c r="L501" s="128"/>
      <c r="M501" s="128"/>
      <c r="N501" s="128"/>
      <c r="O501" s="128"/>
      <c r="P501" s="128"/>
      <c r="Q501" s="128"/>
      <c r="R501" s="128"/>
      <c r="S501" s="128"/>
      <c r="T501" s="127"/>
      <c r="U501" s="123"/>
      <c r="V501" s="129"/>
      <c r="W501" s="130"/>
      <c r="X501" s="131"/>
    </row>
    <row r="502" spans="1:25" s="381" customFormat="1">
      <c r="A502" s="493" t="s">
        <v>249</v>
      </c>
      <c r="B502" s="372">
        <v>1</v>
      </c>
      <c r="C502" s="442">
        <v>45904</v>
      </c>
      <c r="D502" s="327" t="s">
        <v>2953</v>
      </c>
      <c r="E502" s="699" t="s">
        <v>1058</v>
      </c>
      <c r="F502" s="445">
        <v>1138</v>
      </c>
      <c r="G502" s="445">
        <f>39.7</f>
        <v>39.700000000000003</v>
      </c>
      <c r="H502" s="445"/>
      <c r="I502" s="329">
        <f t="shared" ref="I502:I504" si="107">F502-G502-H502</f>
        <v>1098.3</v>
      </c>
      <c r="J502" s="322" t="s">
        <v>156</v>
      </c>
      <c r="K502" s="322">
        <v>1</v>
      </c>
      <c r="L502" s="322">
        <v>1</v>
      </c>
      <c r="M502" s="322">
        <v>1</v>
      </c>
      <c r="N502" s="322">
        <v>1</v>
      </c>
      <c r="O502" s="322">
        <v>0</v>
      </c>
      <c r="P502" s="322">
        <v>0</v>
      </c>
      <c r="Q502" s="322">
        <v>0</v>
      </c>
      <c r="R502" s="322">
        <v>0</v>
      </c>
      <c r="S502" s="328">
        <v>0</v>
      </c>
      <c r="T502" s="325"/>
      <c r="U502" s="42" t="s">
        <v>2954</v>
      </c>
      <c r="V502" s="377">
        <f>125.18</f>
        <v>125.18</v>
      </c>
      <c r="W502" s="378"/>
      <c r="X502" s="393"/>
    </row>
    <row r="503" spans="1:25" s="342" customFormat="1">
      <c r="A503" s="493" t="s">
        <v>249</v>
      </c>
      <c r="B503" s="372">
        <f t="shared" ref="B503" si="108">B502+1</f>
        <v>2</v>
      </c>
      <c r="C503" s="442">
        <v>45905</v>
      </c>
      <c r="D503" s="327">
        <v>73033</v>
      </c>
      <c r="E503" s="699" t="s">
        <v>1088</v>
      </c>
      <c r="F503" s="445">
        <v>1681</v>
      </c>
      <c r="G503" s="445">
        <f>39.7+200</f>
        <v>239.7</v>
      </c>
      <c r="H503" s="445"/>
      <c r="I503" s="329">
        <f t="shared" si="107"/>
        <v>1441.3</v>
      </c>
      <c r="J503" s="322"/>
      <c r="K503" s="322">
        <v>0</v>
      </c>
      <c r="L503" s="322">
        <v>1</v>
      </c>
      <c r="M503" s="322"/>
      <c r="N503" s="322">
        <v>1</v>
      </c>
      <c r="O503" s="322">
        <v>1</v>
      </c>
      <c r="P503" s="322">
        <v>0</v>
      </c>
      <c r="Q503" s="322">
        <v>0</v>
      </c>
      <c r="R503" s="322">
        <v>0</v>
      </c>
      <c r="S503" s="328">
        <v>0</v>
      </c>
      <c r="T503" s="325"/>
      <c r="U503" s="42" t="s">
        <v>2955</v>
      </c>
      <c r="V503" s="377"/>
      <c r="W503" s="378"/>
      <c r="X503" s="393"/>
      <c r="Y503" s="381"/>
    </row>
    <row r="504" spans="1:25" s="381" customFormat="1">
      <c r="A504" s="493" t="s">
        <v>249</v>
      </c>
      <c r="B504" s="372">
        <f>B503+1</f>
        <v>3</v>
      </c>
      <c r="C504" s="453">
        <v>45905</v>
      </c>
      <c r="D504" s="368">
        <v>73032</v>
      </c>
      <c r="E504" s="700" t="s">
        <v>1256</v>
      </c>
      <c r="F504" s="428">
        <v>2681</v>
      </c>
      <c r="G504" s="428">
        <f>39.7</f>
        <v>39.700000000000003</v>
      </c>
      <c r="H504" s="428"/>
      <c r="I504" s="331">
        <f t="shared" si="107"/>
        <v>2641.3</v>
      </c>
      <c r="J504" s="332" t="s">
        <v>156</v>
      </c>
      <c r="K504" s="332">
        <v>1</v>
      </c>
      <c r="L504" s="332">
        <v>1</v>
      </c>
      <c r="M504" s="332">
        <v>1</v>
      </c>
      <c r="N504" s="332">
        <v>1</v>
      </c>
      <c r="O504" s="332">
        <v>1</v>
      </c>
      <c r="P504" s="332">
        <v>1</v>
      </c>
      <c r="Q504" s="332">
        <v>1</v>
      </c>
      <c r="R504" s="332">
        <v>0</v>
      </c>
      <c r="S504" s="370">
        <v>0</v>
      </c>
      <c r="T504" s="325"/>
      <c r="U504" s="42" t="s">
        <v>2956</v>
      </c>
      <c r="V504" s="377">
        <f>200</f>
        <v>200</v>
      </c>
      <c r="W504" s="378"/>
      <c r="X504" s="393"/>
    </row>
    <row r="505" spans="1:25" s="342" customFormat="1">
      <c r="B505" s="132"/>
      <c r="C505" s="122"/>
      <c r="D505" s="123"/>
      <c r="E505" s="123"/>
      <c r="F505" s="134">
        <f>SUM(F502:F504)</f>
        <v>5500</v>
      </c>
      <c r="G505" s="134">
        <f>SUM(G502:G504)</f>
        <v>319.09999999999997</v>
      </c>
      <c r="H505" s="134">
        <f>SUM(H502:H504)</f>
        <v>0</v>
      </c>
      <c r="I505" s="134">
        <f>SUM(I502:I504)</f>
        <v>5180.8999999999996</v>
      </c>
      <c r="J505" s="127"/>
      <c r="K505" s="64"/>
      <c r="L505" s="64"/>
      <c r="M505" s="64"/>
      <c r="N505" s="64"/>
      <c r="O505" s="64"/>
      <c r="P505" s="64"/>
      <c r="Q505" s="64"/>
      <c r="R505" s="64"/>
      <c r="S505" s="64"/>
      <c r="T505" s="127"/>
      <c r="U505" s="123"/>
      <c r="V505" s="129"/>
      <c r="W505" s="130"/>
      <c r="X505" s="131"/>
    </row>
    <row r="506" spans="1:25" s="342" customFormat="1">
      <c r="B506" s="132"/>
      <c r="C506" s="122"/>
      <c r="D506" s="123"/>
      <c r="E506" s="123"/>
      <c r="F506" s="124"/>
      <c r="G506" s="124"/>
      <c r="H506" s="124"/>
      <c r="I506" s="126"/>
      <c r="J506" s="127"/>
      <c r="K506" s="64"/>
      <c r="L506" s="64"/>
      <c r="M506" s="64"/>
      <c r="N506" s="64"/>
      <c r="O506" s="64"/>
      <c r="P506" s="64"/>
      <c r="Q506" s="64"/>
      <c r="R506" s="64"/>
      <c r="S506" s="64"/>
      <c r="T506" s="127"/>
      <c r="U506" s="135"/>
      <c r="V506" s="129"/>
      <c r="W506" s="130"/>
      <c r="X506" s="131"/>
    </row>
    <row r="507" spans="1:25" s="342" customFormat="1">
      <c r="B507" s="121" t="s">
        <v>70</v>
      </c>
      <c r="C507" s="122"/>
      <c r="D507" s="123"/>
      <c r="E507" s="128"/>
      <c r="F507" s="124"/>
      <c r="G507" s="124"/>
      <c r="H507" s="124"/>
      <c r="I507" s="126"/>
      <c r="J507" s="127"/>
      <c r="K507" s="64"/>
      <c r="L507" s="64"/>
      <c r="M507" s="64"/>
      <c r="N507" s="64"/>
      <c r="O507" s="64"/>
      <c r="P507" s="64"/>
      <c r="Q507" s="64"/>
      <c r="R507" s="64"/>
      <c r="S507" s="64"/>
      <c r="T507" s="127"/>
      <c r="U507" s="135"/>
      <c r="V507" s="129"/>
      <c r="W507" s="130"/>
      <c r="X507" s="131"/>
    </row>
    <row r="508" spans="1:25" s="342" customFormat="1">
      <c r="A508" s="492">
        <v>0.05</v>
      </c>
      <c r="B508" s="333">
        <v>1</v>
      </c>
      <c r="C508" s="350">
        <v>45905</v>
      </c>
      <c r="D508" s="263" t="s">
        <v>2957</v>
      </c>
      <c r="E508" s="351" t="s">
        <v>1256</v>
      </c>
      <c r="F508" s="352">
        <v>12814</v>
      </c>
      <c r="G508" s="352">
        <f>39.7+(87)+1000</f>
        <v>1126.7</v>
      </c>
      <c r="H508" s="352"/>
      <c r="I508" s="353">
        <f>F508-G508-H508</f>
        <v>11687.3</v>
      </c>
      <c r="J508" s="354" t="s">
        <v>156</v>
      </c>
      <c r="K508" s="354">
        <v>1</v>
      </c>
      <c r="L508" s="354"/>
      <c r="M508" s="354">
        <v>1</v>
      </c>
      <c r="N508" s="354">
        <v>1</v>
      </c>
      <c r="O508" s="354">
        <v>1</v>
      </c>
      <c r="P508" s="354">
        <v>1</v>
      </c>
      <c r="Q508" s="354"/>
      <c r="R508" s="354"/>
      <c r="S508" s="355"/>
      <c r="T508" s="127"/>
      <c r="U508" s="135" t="s">
        <v>2958</v>
      </c>
      <c r="V508" s="129">
        <f>1200</f>
        <v>1200</v>
      </c>
      <c r="W508" s="340"/>
      <c r="X508" s="341"/>
    </row>
    <row r="509" spans="1:25" s="342" customFormat="1">
      <c r="B509" s="132"/>
      <c r="C509" s="122"/>
      <c r="D509" s="123"/>
      <c r="E509" s="123"/>
      <c r="F509" s="133">
        <f>SUM(F508:F508)</f>
        <v>12814</v>
      </c>
      <c r="G509" s="133">
        <f>SUM(G508:G508)</f>
        <v>1126.7</v>
      </c>
      <c r="H509" s="133">
        <f>SUM(H508:H508)</f>
        <v>0</v>
      </c>
      <c r="I509" s="134">
        <f>SUM(I508:I508)</f>
        <v>11687.3</v>
      </c>
      <c r="J509" s="127"/>
      <c r="K509" s="64"/>
      <c r="L509" s="64"/>
      <c r="M509" s="64"/>
      <c r="N509" s="64"/>
      <c r="O509" s="64"/>
      <c r="P509" s="64"/>
      <c r="Q509" s="64"/>
      <c r="R509" s="64"/>
      <c r="S509" s="64"/>
      <c r="T509" s="127"/>
      <c r="U509" s="135"/>
      <c r="V509" s="129"/>
      <c r="W509" s="130"/>
      <c r="X509" s="131"/>
    </row>
    <row r="510" spans="1:25">
      <c r="B510" s="11"/>
      <c r="C510" s="36"/>
      <c r="D510" s="10"/>
      <c r="E510" s="10"/>
      <c r="F510" s="88"/>
      <c r="G510" s="88"/>
      <c r="H510" s="88"/>
      <c r="I510" s="99"/>
      <c r="J510" s="63"/>
      <c r="K510" s="21"/>
      <c r="L510" s="21"/>
      <c r="M510" s="21"/>
      <c r="N510" s="21"/>
      <c r="O510" s="21"/>
      <c r="P510" s="21"/>
      <c r="Q510" s="21"/>
      <c r="R510" s="21"/>
      <c r="S510" s="21"/>
      <c r="T510" s="63"/>
      <c r="U510" s="94"/>
      <c r="V510" s="90"/>
      <c r="W510" s="91"/>
      <c r="X510" s="92"/>
    </row>
    <row r="511" spans="1:25" s="342" customFormat="1">
      <c r="B511" s="100" t="s">
        <v>152</v>
      </c>
      <c r="C511" s="122"/>
      <c r="D511" s="123"/>
      <c r="E511" s="123"/>
      <c r="F511" s="124"/>
      <c r="G511" s="125"/>
      <c r="H511" s="124"/>
      <c r="I511" s="126"/>
      <c r="J511" s="127"/>
      <c r="K511" s="128"/>
      <c r="L511" s="128"/>
      <c r="M511" s="128"/>
      <c r="N511" s="128"/>
      <c r="O511" s="128"/>
      <c r="P511" s="128"/>
      <c r="Q511" s="128"/>
      <c r="R511" s="128"/>
      <c r="S511" s="128"/>
      <c r="T511" s="127"/>
      <c r="U511" s="123"/>
      <c r="V511" s="129"/>
      <c r="W511" s="130"/>
      <c r="X511" s="131"/>
    </row>
    <row r="512" spans="1:25" s="260" customFormat="1">
      <c r="A512" s="494">
        <v>0.05</v>
      </c>
      <c r="B512" s="87">
        <v>1</v>
      </c>
      <c r="C512" s="262">
        <v>45866</v>
      </c>
      <c r="D512" s="263">
        <v>71800</v>
      </c>
      <c r="E512" s="271" t="s">
        <v>2823</v>
      </c>
      <c r="F512" s="265">
        <v>6214</v>
      </c>
      <c r="G512" s="265">
        <f>39.7+(1288.73)+250</f>
        <v>1578.43</v>
      </c>
      <c r="H512" s="265"/>
      <c r="I512" s="266">
        <f>F512-G512-H512</f>
        <v>4635.57</v>
      </c>
      <c r="J512" s="267" t="s">
        <v>156</v>
      </c>
      <c r="K512" s="267">
        <v>1</v>
      </c>
      <c r="L512" s="314">
        <v>0</v>
      </c>
      <c r="M512" s="267">
        <v>1</v>
      </c>
      <c r="N512" s="267">
        <v>1</v>
      </c>
      <c r="O512" s="267">
        <v>1</v>
      </c>
      <c r="P512" s="314">
        <v>0</v>
      </c>
      <c r="Q512" s="314">
        <v>0</v>
      </c>
      <c r="R512" s="314">
        <v>0</v>
      </c>
      <c r="S512" s="366">
        <v>0</v>
      </c>
      <c r="T512" s="63"/>
      <c r="U512" s="94" t="s">
        <v>2930</v>
      </c>
      <c r="V512" s="90"/>
      <c r="W512" s="136"/>
      <c r="X512" s="92"/>
    </row>
    <row r="513" spans="1:24" s="260" customFormat="1">
      <c r="A513" s="260" t="s">
        <v>619</v>
      </c>
      <c r="B513" s="87">
        <f>B512+1</f>
        <v>2</v>
      </c>
      <c r="C513" s="262">
        <v>45866</v>
      </c>
      <c r="D513" s="263">
        <v>71787</v>
      </c>
      <c r="E513" s="271" t="s">
        <v>1338</v>
      </c>
      <c r="F513" s="265">
        <v>28614</v>
      </c>
      <c r="G513" s="265">
        <f>39.7+1424.2+(474.48+162.31+289.19+9.1+8.29-78.88)+(F513*0.25)</f>
        <v>9481.89</v>
      </c>
      <c r="H513" s="265"/>
      <c r="I513" s="266">
        <f>F513-G513-H513</f>
        <v>19132.11</v>
      </c>
      <c r="J513" s="267" t="s">
        <v>374</v>
      </c>
      <c r="K513" s="267">
        <v>1</v>
      </c>
      <c r="L513" s="267"/>
      <c r="M513" s="267">
        <v>1</v>
      </c>
      <c r="N513" s="267">
        <v>1</v>
      </c>
      <c r="O513" s="267">
        <v>1</v>
      </c>
      <c r="P513" s="314">
        <v>0</v>
      </c>
      <c r="Q513" s="314">
        <v>0</v>
      </c>
      <c r="R513" s="314">
        <v>0</v>
      </c>
      <c r="S513" s="366">
        <v>0</v>
      </c>
      <c r="T513" s="63"/>
      <c r="U513" s="94" t="s">
        <v>2852</v>
      </c>
      <c r="V513" s="90"/>
      <c r="W513" s="136"/>
      <c r="X513" s="137"/>
    </row>
    <row r="514" spans="1:24" s="260" customFormat="1">
      <c r="A514" s="261" t="s">
        <v>619</v>
      </c>
      <c r="B514" s="87">
        <f>B513+1</f>
        <v>3</v>
      </c>
      <c r="C514" s="274">
        <v>45873</v>
      </c>
      <c r="D514" s="327">
        <v>71967</v>
      </c>
      <c r="E514" s="281" t="s">
        <v>1256</v>
      </c>
      <c r="F514" s="277">
        <v>2681</v>
      </c>
      <c r="G514" s="277">
        <f>39.7+(189.05)+(15.38)+200</f>
        <v>444.13</v>
      </c>
      <c r="H514" s="277"/>
      <c r="I514" s="321">
        <f>F514-G514-H514</f>
        <v>2236.87</v>
      </c>
      <c r="J514" s="279" t="s">
        <v>374</v>
      </c>
      <c r="K514" s="279">
        <v>1</v>
      </c>
      <c r="L514" s="279">
        <v>1</v>
      </c>
      <c r="M514" s="279">
        <v>1</v>
      </c>
      <c r="N514" s="279">
        <v>1</v>
      </c>
      <c r="O514" s="279">
        <v>1</v>
      </c>
      <c r="P514" s="322">
        <v>0</v>
      </c>
      <c r="Q514" s="279">
        <v>1</v>
      </c>
      <c r="R514" s="279">
        <v>1</v>
      </c>
      <c r="S514" s="280">
        <v>1</v>
      </c>
      <c r="T514" s="63"/>
      <c r="U514" s="10" t="s">
        <v>2851</v>
      </c>
      <c r="V514" s="90"/>
      <c r="W514" s="91"/>
      <c r="X514" s="92"/>
    </row>
    <row r="515" spans="1:24" s="260" customFormat="1">
      <c r="A515" s="181" t="s">
        <v>619</v>
      </c>
      <c r="B515" s="87">
        <f t="shared" ref="B515:B520" si="109">B514+1</f>
        <v>4</v>
      </c>
      <c r="C515" s="262">
        <v>45881</v>
      </c>
      <c r="D515" s="263">
        <v>72270</v>
      </c>
      <c r="E515" s="271" t="s">
        <v>1120</v>
      </c>
      <c r="F515" s="265">
        <f>11380-2000</f>
        <v>9380</v>
      </c>
      <c r="G515" s="265">
        <f>39.7+(227.91)+300</f>
        <v>567.61</v>
      </c>
      <c r="H515" s="265"/>
      <c r="I515" s="266">
        <f>F515-G515-H515</f>
        <v>8812.39</v>
      </c>
      <c r="J515" s="267" t="s">
        <v>156</v>
      </c>
      <c r="K515" s="267">
        <v>1</v>
      </c>
      <c r="L515" s="267"/>
      <c r="M515" s="267">
        <v>1</v>
      </c>
      <c r="N515" s="267">
        <v>1</v>
      </c>
      <c r="O515" s="267">
        <v>1</v>
      </c>
      <c r="P515" s="314">
        <v>0</v>
      </c>
      <c r="Q515" s="314">
        <v>0</v>
      </c>
      <c r="R515" s="314">
        <v>0</v>
      </c>
      <c r="S515" s="366">
        <v>0</v>
      </c>
      <c r="T515" s="63"/>
      <c r="U515" s="94" t="s">
        <v>2872</v>
      </c>
      <c r="V515" s="90"/>
      <c r="W515" s="136"/>
      <c r="X515" s="137"/>
    </row>
    <row r="516" spans="1:24" s="260" customFormat="1">
      <c r="A516" s="261" t="s">
        <v>2542</v>
      </c>
      <c r="B516" s="87">
        <f t="shared" si="109"/>
        <v>5</v>
      </c>
      <c r="C516" s="274">
        <v>45890</v>
      </c>
      <c r="D516" s="327">
        <v>72522</v>
      </c>
      <c r="E516" s="276" t="s">
        <v>1169</v>
      </c>
      <c r="F516" s="277">
        <v>3122</v>
      </c>
      <c r="G516" s="277">
        <f>39.7+877.8+(521.76+88.09)+200</f>
        <v>1727.35</v>
      </c>
      <c r="H516" s="277"/>
      <c r="I516" s="321">
        <f>F516-G516-H516</f>
        <v>1394.65</v>
      </c>
      <c r="J516" s="279" t="s">
        <v>156</v>
      </c>
      <c r="K516" s="279">
        <v>1</v>
      </c>
      <c r="L516" s="279">
        <v>1</v>
      </c>
      <c r="M516" s="279">
        <v>1</v>
      </c>
      <c r="N516" s="279">
        <v>1</v>
      </c>
      <c r="O516" s="279">
        <v>1</v>
      </c>
      <c r="P516" s="279">
        <v>1</v>
      </c>
      <c r="Q516" s="279">
        <v>1</v>
      </c>
      <c r="R516" s="322">
        <v>0</v>
      </c>
      <c r="S516" s="328">
        <v>0</v>
      </c>
      <c r="T516" s="63"/>
      <c r="U516" s="10" t="s">
        <v>2931</v>
      </c>
      <c r="V516" s="90"/>
      <c r="W516" s="136"/>
      <c r="X516" s="137"/>
    </row>
    <row r="517" spans="1:24" s="260" customFormat="1">
      <c r="A517" s="261">
        <v>0.05</v>
      </c>
      <c r="B517" s="87">
        <f t="shared" si="109"/>
        <v>6</v>
      </c>
      <c r="C517" s="282">
        <v>45890</v>
      </c>
      <c r="D517" s="368">
        <v>72515</v>
      </c>
      <c r="E517" s="283" t="s">
        <v>1058</v>
      </c>
      <c r="F517" s="284">
        <v>2575</v>
      </c>
      <c r="G517" s="284">
        <v>39.700000000000003</v>
      </c>
      <c r="H517" s="315"/>
      <c r="I517" s="300">
        <f>F517-G517-H517</f>
        <v>2535.3000000000002</v>
      </c>
      <c r="J517" s="286" t="s">
        <v>374</v>
      </c>
      <c r="K517" s="286">
        <v>1</v>
      </c>
      <c r="L517" s="286">
        <v>1</v>
      </c>
      <c r="M517" s="286">
        <v>1</v>
      </c>
      <c r="N517" s="286">
        <v>1</v>
      </c>
      <c r="O517" s="286">
        <v>1</v>
      </c>
      <c r="P517" s="286">
        <v>1</v>
      </c>
      <c r="Q517" s="286">
        <v>1</v>
      </c>
      <c r="R517" s="332">
        <v>0</v>
      </c>
      <c r="S517" s="370">
        <v>0</v>
      </c>
      <c r="T517" s="63"/>
      <c r="U517" s="10" t="s">
        <v>2895</v>
      </c>
      <c r="V517" s="90"/>
      <c r="W517" s="91"/>
      <c r="X517" s="92"/>
    </row>
    <row r="518" spans="1:24" s="260" customFormat="1">
      <c r="A518" s="261">
        <v>0.05</v>
      </c>
      <c r="B518" s="87">
        <f t="shared" si="109"/>
        <v>7</v>
      </c>
      <c r="C518" s="262">
        <v>45896</v>
      </c>
      <c r="D518" s="490" t="s">
        <v>2926</v>
      </c>
      <c r="E518" s="271" t="s">
        <v>2919</v>
      </c>
      <c r="F518" s="265">
        <v>8213.2000000000007</v>
      </c>
      <c r="G518" s="265">
        <f>39.7+(13+1388.11)+750</f>
        <v>2190.81</v>
      </c>
      <c r="H518" s="265"/>
      <c r="I518" s="266">
        <f t="shared" ref="I518" si="110">F518-G518-H518</f>
        <v>6022.3900000000012</v>
      </c>
      <c r="J518" s="267" t="s">
        <v>228</v>
      </c>
      <c r="K518" s="267">
        <v>1</v>
      </c>
      <c r="L518" s="314">
        <v>0</v>
      </c>
      <c r="M518" s="267">
        <v>1</v>
      </c>
      <c r="N518" s="267">
        <v>1</v>
      </c>
      <c r="O518" s="267">
        <v>1</v>
      </c>
      <c r="P518" s="314">
        <v>0</v>
      </c>
      <c r="Q518" s="267">
        <v>1</v>
      </c>
      <c r="R518" s="314">
        <v>0</v>
      </c>
      <c r="S518" s="366">
        <v>0</v>
      </c>
      <c r="T518" s="21">
        <v>1</v>
      </c>
      <c r="U518" s="94" t="s">
        <v>2927</v>
      </c>
      <c r="V518" s="90"/>
      <c r="W518" s="91"/>
      <c r="X518" s="92"/>
    </row>
    <row r="519" spans="1:24" s="260" customFormat="1">
      <c r="A519" s="181" t="s">
        <v>2542</v>
      </c>
      <c r="B519" s="87">
        <f t="shared" si="109"/>
        <v>8</v>
      </c>
      <c r="C519" s="262">
        <v>45897</v>
      </c>
      <c r="D519" s="263">
        <v>72735</v>
      </c>
      <c r="E519" s="271" t="s">
        <v>1169</v>
      </c>
      <c r="F519" s="265">
        <v>2916</v>
      </c>
      <c r="G519" s="265">
        <f>39.7+(177.31+59.74+254.1)+300</f>
        <v>830.85</v>
      </c>
      <c r="H519" s="265"/>
      <c r="I519" s="266">
        <f>F519-G519-H519</f>
        <v>2085.15</v>
      </c>
      <c r="J519" s="267" t="s">
        <v>156</v>
      </c>
      <c r="K519" s="267">
        <v>1</v>
      </c>
      <c r="L519" s="267">
        <v>1</v>
      </c>
      <c r="M519" s="267">
        <v>1</v>
      </c>
      <c r="N519" s="267">
        <v>1</v>
      </c>
      <c r="O519" s="267">
        <v>1</v>
      </c>
      <c r="P519" s="267">
        <v>1</v>
      </c>
      <c r="Q519" s="267">
        <v>1</v>
      </c>
      <c r="R519" s="267">
        <v>1</v>
      </c>
      <c r="S519" s="366">
        <v>0</v>
      </c>
      <c r="T519" s="63"/>
      <c r="U519" s="94" t="s">
        <v>2929</v>
      </c>
      <c r="V519" s="90"/>
      <c r="W519" s="136"/>
      <c r="X519" s="137"/>
    </row>
    <row r="520" spans="1:24" s="260" customFormat="1">
      <c r="A520" s="261">
        <v>0.05</v>
      </c>
      <c r="B520" s="87">
        <f t="shared" si="109"/>
        <v>9</v>
      </c>
      <c r="C520" s="262">
        <v>45896</v>
      </c>
      <c r="D520" s="263">
        <v>72711</v>
      </c>
      <c r="E520" s="271" t="s">
        <v>1494</v>
      </c>
      <c r="F520" s="265">
        <v>2792</v>
      </c>
      <c r="G520" s="265">
        <f>+(85.41)</f>
        <v>85.41</v>
      </c>
      <c r="H520" s="265"/>
      <c r="I520" s="266">
        <f>F520-G520-H520</f>
        <v>2706.59</v>
      </c>
      <c r="J520" s="267" t="s">
        <v>156</v>
      </c>
      <c r="K520" s="267">
        <v>1</v>
      </c>
      <c r="L520" s="314">
        <v>0</v>
      </c>
      <c r="M520" s="267">
        <v>1</v>
      </c>
      <c r="N520" s="267">
        <v>1</v>
      </c>
      <c r="O520" s="267">
        <v>1</v>
      </c>
      <c r="P520" s="314">
        <v>0</v>
      </c>
      <c r="Q520" s="314">
        <v>0</v>
      </c>
      <c r="R520" s="314">
        <v>0</v>
      </c>
      <c r="S520" s="366">
        <v>0</v>
      </c>
      <c r="T520" s="63"/>
      <c r="U520" s="94" t="s">
        <v>2928</v>
      </c>
      <c r="V520" s="90"/>
      <c r="W520" s="136"/>
      <c r="X520" s="137"/>
    </row>
    <row r="521" spans="1:24" s="260" customFormat="1">
      <c r="B521" s="11"/>
      <c r="C521" s="36"/>
      <c r="D521" s="10"/>
      <c r="E521" s="10"/>
      <c r="F521" s="98">
        <f>SUM(F512:F520)</f>
        <v>66507.199999999997</v>
      </c>
      <c r="G521" s="98">
        <f t="shared" ref="G521:I521" si="111">SUM(G512:G520)</f>
        <v>16946.18</v>
      </c>
      <c r="H521" s="98">
        <f t="shared" si="111"/>
        <v>0</v>
      </c>
      <c r="I521" s="98">
        <f t="shared" si="111"/>
        <v>49561.020000000004</v>
      </c>
      <c r="J521" s="63"/>
      <c r="K521" s="21"/>
      <c r="L521" s="21"/>
      <c r="M521" s="21"/>
      <c r="N521" s="21"/>
      <c r="O521" s="21"/>
      <c r="P521" s="21"/>
      <c r="Q521" s="21"/>
      <c r="R521" s="21"/>
      <c r="S521" s="21"/>
      <c r="T521" s="63"/>
      <c r="U521" s="10"/>
      <c r="V521" s="90"/>
      <c r="W521" s="91"/>
      <c r="X521" s="92"/>
    </row>
    <row r="522" spans="1:24" s="260" customFormat="1">
      <c r="B522" s="11"/>
      <c r="C522" s="36"/>
      <c r="D522" s="10"/>
      <c r="E522" s="10"/>
      <c r="F522" s="88"/>
      <c r="G522" s="88"/>
      <c r="H522" s="88"/>
      <c r="I522" s="99"/>
      <c r="J522" s="63"/>
      <c r="K522" s="21"/>
      <c r="L522" s="21"/>
      <c r="M522" s="21"/>
      <c r="N522" s="21"/>
      <c r="O522" s="21"/>
      <c r="P522" s="21"/>
      <c r="Q522" s="21"/>
      <c r="R522" s="21"/>
      <c r="S522" s="21"/>
      <c r="T522" s="63"/>
      <c r="U522" s="10"/>
      <c r="V522" s="90"/>
      <c r="W522" s="91"/>
      <c r="X522" s="92"/>
    </row>
    <row r="523" spans="1:24" s="260" customFormat="1">
      <c r="A523" s="181"/>
      <c r="B523" s="100" t="s">
        <v>202</v>
      </c>
      <c r="C523" s="36"/>
      <c r="D523" s="10"/>
      <c r="E523" s="181"/>
      <c r="F523" s="88"/>
      <c r="G523" s="88"/>
      <c r="H523" s="88"/>
      <c r="I523" s="99"/>
      <c r="J523" s="63"/>
      <c r="K523" s="21"/>
      <c r="L523" s="21"/>
      <c r="M523" s="21"/>
      <c r="N523" s="21"/>
      <c r="O523" s="21"/>
      <c r="P523" s="21"/>
      <c r="Q523" s="21"/>
      <c r="R523" s="21"/>
      <c r="S523" s="21"/>
      <c r="T523" s="63"/>
      <c r="U523" s="94"/>
      <c r="V523" s="90"/>
      <c r="W523" s="91"/>
      <c r="X523" s="92"/>
    </row>
    <row r="524" spans="1:24" s="260" customFormat="1">
      <c r="A524" s="261">
        <v>0.05</v>
      </c>
      <c r="B524" s="87">
        <v>1</v>
      </c>
      <c r="C524" s="274">
        <v>45880</v>
      </c>
      <c r="D524" s="327">
        <v>72052</v>
      </c>
      <c r="E524" s="276" t="s">
        <v>1047</v>
      </c>
      <c r="F524" s="277">
        <v>2000</v>
      </c>
      <c r="G524" s="277">
        <f>39.7+300</f>
        <v>339.7</v>
      </c>
      <c r="H524" s="277"/>
      <c r="I524" s="321">
        <f>F524-G524-H524</f>
        <v>1660.3</v>
      </c>
      <c r="J524" s="279" t="s">
        <v>150</v>
      </c>
      <c r="K524" s="279">
        <v>1</v>
      </c>
      <c r="L524" s="279"/>
      <c r="M524" s="322">
        <v>0</v>
      </c>
      <c r="N524" s="279">
        <v>1</v>
      </c>
      <c r="O524" s="279">
        <v>1</v>
      </c>
      <c r="P524" s="279">
        <v>1</v>
      </c>
      <c r="Q524" s="279"/>
      <c r="R524" s="279"/>
      <c r="S524" s="280"/>
      <c r="T524" s="63"/>
      <c r="U524" s="94" t="s">
        <v>2902</v>
      </c>
      <c r="V524" s="90"/>
      <c r="W524" s="136"/>
      <c r="X524" s="137"/>
    </row>
    <row r="525" spans="1:24" s="260" customFormat="1">
      <c r="A525" s="261">
        <v>0.05</v>
      </c>
      <c r="B525" s="87">
        <f>B524+1</f>
        <v>2</v>
      </c>
      <c r="C525" s="274">
        <v>45884</v>
      </c>
      <c r="D525" s="327">
        <v>72342</v>
      </c>
      <c r="E525" s="276" t="s">
        <v>1231</v>
      </c>
      <c r="F525" s="277">
        <v>2215</v>
      </c>
      <c r="G525" s="277">
        <f>39.7</f>
        <v>39.700000000000003</v>
      </c>
      <c r="H525" s="277"/>
      <c r="I525" s="321">
        <f>F525-G525-H525</f>
        <v>2175.3000000000002</v>
      </c>
      <c r="J525" s="279" t="s">
        <v>156</v>
      </c>
      <c r="K525" s="279">
        <v>1</v>
      </c>
      <c r="L525" s="279"/>
      <c r="M525" s="279">
        <v>1</v>
      </c>
      <c r="N525" s="279">
        <v>1</v>
      </c>
      <c r="O525" s="279">
        <v>1</v>
      </c>
      <c r="P525" s="322">
        <v>0</v>
      </c>
      <c r="Q525" s="279"/>
      <c r="R525" s="279"/>
      <c r="S525" s="280"/>
      <c r="T525" s="63"/>
      <c r="U525" s="94"/>
      <c r="V525" s="90"/>
      <c r="W525" s="136"/>
      <c r="X525" s="137"/>
    </row>
    <row r="526" spans="1:24" s="260" customFormat="1">
      <c r="A526" s="261">
        <v>0.05</v>
      </c>
      <c r="B526" s="87">
        <f t="shared" ref="B526" si="112">B525+1</f>
        <v>3</v>
      </c>
      <c r="C526" s="262">
        <v>45890</v>
      </c>
      <c r="D526" s="357" t="s">
        <v>2899</v>
      </c>
      <c r="E526" s="271" t="s">
        <v>1058</v>
      </c>
      <c r="F526" s="265">
        <v>59586</v>
      </c>
      <c r="G526" s="265">
        <f>39.7+(117.24+344.15+121.94+185.08)+(141.77+494.21+630.04+1692.3)+(F526*0.25)</f>
        <v>18662.93</v>
      </c>
      <c r="H526" s="365"/>
      <c r="I526" s="272">
        <f>F526-G526-H526</f>
        <v>40923.07</v>
      </c>
      <c r="J526" s="267" t="s">
        <v>374</v>
      </c>
      <c r="K526" s="267">
        <v>1</v>
      </c>
      <c r="L526" s="267"/>
      <c r="M526" s="267"/>
      <c r="N526" s="267">
        <v>1</v>
      </c>
      <c r="O526" s="267">
        <v>1</v>
      </c>
      <c r="P526" s="267">
        <v>1</v>
      </c>
      <c r="Q526" s="267"/>
      <c r="R526" s="267"/>
      <c r="S526" s="269"/>
      <c r="T526" s="63"/>
      <c r="U526" s="10" t="s">
        <v>2959</v>
      </c>
      <c r="V526" s="90"/>
      <c r="W526" s="136"/>
      <c r="X526" s="137"/>
    </row>
    <row r="527" spans="1:24" s="260" customFormat="1">
      <c r="A527" s="181"/>
      <c r="B527" s="11"/>
      <c r="C527" s="36"/>
      <c r="D527" s="10"/>
      <c r="E527" s="10"/>
      <c r="F527" s="97">
        <f>SUM(F524:F526)</f>
        <v>63801</v>
      </c>
      <c r="G527" s="97">
        <f>SUM(G524:G526)</f>
        <v>19042.330000000002</v>
      </c>
      <c r="H527" s="97">
        <f>SUM(H524:H526)</f>
        <v>0</v>
      </c>
      <c r="I527" s="97">
        <f>SUM(I524:I526)</f>
        <v>44758.67</v>
      </c>
      <c r="J527" s="63"/>
      <c r="K527" s="21"/>
      <c r="L527" s="21"/>
      <c r="M527" s="21"/>
      <c r="N527" s="21"/>
      <c r="O527" s="21"/>
      <c r="P527" s="21"/>
      <c r="Q527" s="21"/>
      <c r="R527" s="21"/>
      <c r="S527" s="21"/>
      <c r="T527" s="63"/>
      <c r="U527" s="94"/>
      <c r="V527" s="90"/>
      <c r="W527" s="91"/>
      <c r="X527" s="92"/>
    </row>
    <row r="528" spans="1:24">
      <c r="A528" s="2"/>
      <c r="B528" s="11"/>
      <c r="C528" s="36"/>
      <c r="D528" s="10"/>
      <c r="E528" s="10"/>
      <c r="F528" s="88"/>
      <c r="G528" s="88"/>
      <c r="H528" s="88"/>
      <c r="I528" s="99"/>
      <c r="J528" s="63"/>
      <c r="K528" s="21"/>
      <c r="L528" s="21"/>
      <c r="M528" s="21"/>
      <c r="N528" s="21"/>
      <c r="O528" s="21"/>
      <c r="P528" s="21"/>
      <c r="Q528" s="21"/>
      <c r="R528" s="21"/>
      <c r="S528" s="21"/>
      <c r="T528" s="63"/>
      <c r="U528" s="94"/>
      <c r="V528" s="90"/>
      <c r="W528" s="91"/>
      <c r="X528" s="92"/>
    </row>
    <row r="529" spans="2:24">
      <c r="B529" s="100" t="s">
        <v>72</v>
      </c>
      <c r="C529" s="36"/>
      <c r="D529" s="10"/>
      <c r="E529" s="10"/>
      <c r="F529" s="88"/>
      <c r="G529" s="88"/>
      <c r="H529" s="88"/>
      <c r="I529" s="99"/>
      <c r="J529" s="63"/>
      <c r="K529" s="63"/>
      <c r="L529" s="63"/>
      <c r="M529" s="63"/>
      <c r="N529" s="63"/>
      <c r="O529" s="63"/>
      <c r="P529" s="63"/>
      <c r="Q529" s="63"/>
      <c r="R529" s="63"/>
      <c r="S529" s="63"/>
      <c r="T529" s="63"/>
      <c r="U529" s="10"/>
      <c r="V529" s="90"/>
      <c r="W529" s="91"/>
      <c r="X529" s="92"/>
    </row>
    <row r="530" spans="2:24">
      <c r="B530" s="87">
        <v>1</v>
      </c>
      <c r="C530" s="274">
        <v>45902</v>
      </c>
      <c r="D530" s="276">
        <v>72864</v>
      </c>
      <c r="E530" s="276" t="s">
        <v>1338</v>
      </c>
      <c r="F530" s="277">
        <v>775</v>
      </c>
      <c r="G530" s="277">
        <f>39.7</f>
        <v>39.700000000000003</v>
      </c>
      <c r="H530" s="277"/>
      <c r="I530" s="278">
        <f t="shared" ref="I530:I548" si="113">F530-G530-H530</f>
        <v>735.3</v>
      </c>
      <c r="J530" s="279" t="s">
        <v>205</v>
      </c>
      <c r="K530" s="279">
        <v>1</v>
      </c>
      <c r="L530" s="279"/>
      <c r="M530" s="279"/>
      <c r="N530" s="279">
        <v>1</v>
      </c>
      <c r="O530" s="279"/>
      <c r="P530" s="279"/>
      <c r="Q530" s="279">
        <v>1</v>
      </c>
      <c r="R530" s="279">
        <v>1</v>
      </c>
      <c r="S530" s="280"/>
      <c r="T530" s="63"/>
      <c r="U530" s="3"/>
      <c r="V530" s="90"/>
      <c r="W530" s="91"/>
      <c r="X530" s="92"/>
    </row>
    <row r="531" spans="2:24">
      <c r="B531" s="87">
        <f t="shared" ref="B531:B545" si="114">B530+1</f>
        <v>2</v>
      </c>
      <c r="C531" s="295">
        <v>45902</v>
      </c>
      <c r="D531" s="10">
        <v>72875</v>
      </c>
      <c r="E531" s="10" t="s">
        <v>1169</v>
      </c>
      <c r="F531" s="62">
        <v>681</v>
      </c>
      <c r="G531" s="62"/>
      <c r="H531" s="62"/>
      <c r="I531" s="89">
        <f t="shared" si="113"/>
        <v>681</v>
      </c>
      <c r="J531" s="63" t="s">
        <v>205</v>
      </c>
      <c r="K531" s="63">
        <v>1</v>
      </c>
      <c r="L531" s="63"/>
      <c r="M531" s="63"/>
      <c r="N531" s="63">
        <v>1</v>
      </c>
      <c r="O531" s="63"/>
      <c r="P531" s="63"/>
      <c r="Q531" s="63">
        <v>1</v>
      </c>
      <c r="R531" s="63">
        <v>1</v>
      </c>
      <c r="S531" s="296"/>
      <c r="T531" s="63"/>
      <c r="U531" s="10"/>
      <c r="V531" s="90"/>
      <c r="W531" s="136"/>
      <c r="X531" s="137"/>
    </row>
    <row r="532" spans="2:24">
      <c r="B532" s="87">
        <f t="shared" si="114"/>
        <v>3</v>
      </c>
      <c r="C532" s="295">
        <v>45902</v>
      </c>
      <c r="D532" s="10">
        <v>72893</v>
      </c>
      <c r="E532" s="10" t="s">
        <v>1047</v>
      </c>
      <c r="F532" s="62">
        <v>2214</v>
      </c>
      <c r="G532" s="62">
        <v>39.700000000000003</v>
      </c>
      <c r="H532" s="62"/>
      <c r="I532" s="89">
        <f t="shared" si="113"/>
        <v>2174.3000000000002</v>
      </c>
      <c r="J532" s="63" t="s">
        <v>205</v>
      </c>
      <c r="K532" s="63">
        <v>1</v>
      </c>
      <c r="L532" s="63"/>
      <c r="M532" s="63"/>
      <c r="N532" s="63">
        <v>1</v>
      </c>
      <c r="O532" s="63"/>
      <c r="P532" s="63"/>
      <c r="Q532" s="63">
        <v>1</v>
      </c>
      <c r="R532" s="63">
        <v>1</v>
      </c>
      <c r="S532" s="296"/>
      <c r="T532" s="63"/>
      <c r="U532" s="10"/>
      <c r="V532" s="90"/>
      <c r="W532" s="136"/>
      <c r="X532" s="137"/>
    </row>
    <row r="533" spans="2:24">
      <c r="B533" s="87">
        <f t="shared" si="114"/>
        <v>4</v>
      </c>
      <c r="C533" s="295">
        <v>45902</v>
      </c>
      <c r="D533" s="77" t="s">
        <v>2960</v>
      </c>
      <c r="E533" s="10" t="s">
        <v>1045</v>
      </c>
      <c r="F533" s="62">
        <v>2814</v>
      </c>
      <c r="G533" s="62">
        <f>39.7</f>
        <v>39.700000000000003</v>
      </c>
      <c r="H533" s="62"/>
      <c r="I533" s="89">
        <f t="shared" si="113"/>
        <v>2774.3</v>
      </c>
      <c r="J533" s="63" t="s">
        <v>219</v>
      </c>
      <c r="K533" s="63">
        <v>1</v>
      </c>
      <c r="L533" s="63"/>
      <c r="M533" s="63"/>
      <c r="N533" s="63">
        <v>1</v>
      </c>
      <c r="O533" s="63"/>
      <c r="P533" s="63"/>
      <c r="Q533" s="63"/>
      <c r="R533" s="63"/>
      <c r="S533" s="296"/>
      <c r="T533" s="63"/>
      <c r="U533" s="10"/>
      <c r="V533" s="90"/>
      <c r="W533" s="136"/>
      <c r="X533" s="137"/>
    </row>
    <row r="534" spans="2:24">
      <c r="B534" s="87">
        <f t="shared" si="114"/>
        <v>5</v>
      </c>
      <c r="C534" s="295">
        <v>45902</v>
      </c>
      <c r="D534" s="77" t="s">
        <v>2961</v>
      </c>
      <c r="E534" s="10" t="s">
        <v>1045</v>
      </c>
      <c r="F534" s="62">
        <v>1264</v>
      </c>
      <c r="G534" s="62">
        <f t="shared" ref="G534:G535" si="115">39.7</f>
        <v>39.700000000000003</v>
      </c>
      <c r="H534" s="62"/>
      <c r="I534" s="89">
        <f t="shared" si="113"/>
        <v>1224.3</v>
      </c>
      <c r="J534" s="63" t="s">
        <v>219</v>
      </c>
      <c r="K534" s="63">
        <v>1</v>
      </c>
      <c r="L534" s="63"/>
      <c r="M534" s="63"/>
      <c r="N534" s="63">
        <v>1</v>
      </c>
      <c r="O534" s="63"/>
      <c r="P534" s="63"/>
      <c r="Q534" s="63"/>
      <c r="R534" s="63"/>
      <c r="S534" s="296"/>
      <c r="T534" s="63"/>
      <c r="U534" s="10"/>
      <c r="V534" s="90"/>
      <c r="W534" s="136"/>
      <c r="X534" s="137"/>
    </row>
    <row r="535" spans="2:24">
      <c r="B535" s="87">
        <f t="shared" si="114"/>
        <v>6</v>
      </c>
      <c r="C535" s="295">
        <v>45902</v>
      </c>
      <c r="D535" s="77" t="s">
        <v>2962</v>
      </c>
      <c r="E535" s="10" t="s">
        <v>1045</v>
      </c>
      <c r="F535" s="62">
        <v>12814</v>
      </c>
      <c r="G535" s="62">
        <f t="shared" si="115"/>
        <v>39.700000000000003</v>
      </c>
      <c r="H535" s="62"/>
      <c r="I535" s="89">
        <f t="shared" si="113"/>
        <v>12774.3</v>
      </c>
      <c r="J535" s="63" t="s">
        <v>219</v>
      </c>
      <c r="K535" s="63">
        <v>1</v>
      </c>
      <c r="L535" s="63"/>
      <c r="M535" s="63"/>
      <c r="N535" s="63">
        <v>1</v>
      </c>
      <c r="O535" s="63"/>
      <c r="P535" s="63"/>
      <c r="Q535" s="63"/>
      <c r="R535" s="63"/>
      <c r="S535" s="296"/>
      <c r="T535" s="63"/>
      <c r="U535" s="10"/>
      <c r="V535" s="90"/>
      <c r="W535" s="136"/>
      <c r="X535" s="137"/>
    </row>
    <row r="536" spans="2:24">
      <c r="B536" s="87">
        <f t="shared" si="114"/>
        <v>7</v>
      </c>
      <c r="C536" s="274">
        <v>45903</v>
      </c>
      <c r="D536" s="276" t="s">
        <v>2963</v>
      </c>
      <c r="E536" s="281" t="s">
        <v>1072</v>
      </c>
      <c r="F536" s="277">
        <v>681</v>
      </c>
      <c r="G536" s="277"/>
      <c r="H536" s="277"/>
      <c r="I536" s="278">
        <f t="shared" si="113"/>
        <v>681</v>
      </c>
      <c r="J536" s="279" t="s">
        <v>205</v>
      </c>
      <c r="K536" s="279">
        <v>1</v>
      </c>
      <c r="L536" s="279"/>
      <c r="M536" s="279"/>
      <c r="N536" s="279">
        <v>1</v>
      </c>
      <c r="O536" s="279"/>
      <c r="P536" s="279"/>
      <c r="Q536" s="279">
        <v>1</v>
      </c>
      <c r="R536" s="279">
        <v>1</v>
      </c>
      <c r="S536" s="280"/>
      <c r="T536" s="63"/>
      <c r="U536" s="10"/>
      <c r="V536" s="90"/>
      <c r="W536" s="136"/>
      <c r="X536" s="137"/>
    </row>
    <row r="537" spans="2:24">
      <c r="B537" s="87">
        <f t="shared" si="114"/>
        <v>8</v>
      </c>
      <c r="C537" s="295">
        <v>45903</v>
      </c>
      <c r="D537" s="10" t="s">
        <v>2964</v>
      </c>
      <c r="E537" s="101" t="s">
        <v>1072</v>
      </c>
      <c r="F537" s="62">
        <v>5230</v>
      </c>
      <c r="G537" s="62">
        <f>39.7</f>
        <v>39.700000000000003</v>
      </c>
      <c r="H537" s="62"/>
      <c r="I537" s="89">
        <f t="shared" si="113"/>
        <v>5190.3</v>
      </c>
      <c r="J537" s="63" t="s">
        <v>205</v>
      </c>
      <c r="K537" s="63">
        <v>1</v>
      </c>
      <c r="L537" s="63"/>
      <c r="M537" s="63"/>
      <c r="N537" s="63">
        <v>1</v>
      </c>
      <c r="O537" s="63"/>
      <c r="P537" s="63"/>
      <c r="Q537" s="63">
        <v>1</v>
      </c>
      <c r="R537" s="63">
        <v>1</v>
      </c>
      <c r="S537" s="296"/>
      <c r="T537" s="63"/>
      <c r="U537" s="10"/>
      <c r="V537" s="90"/>
      <c r="W537" s="136"/>
      <c r="X537" s="137"/>
    </row>
    <row r="538" spans="2:24">
      <c r="B538" s="87">
        <f t="shared" si="114"/>
        <v>9</v>
      </c>
      <c r="C538" s="295">
        <v>45903</v>
      </c>
      <c r="D538" s="10">
        <v>72904</v>
      </c>
      <c r="E538" s="101" t="s">
        <v>1120</v>
      </c>
      <c r="F538" s="62">
        <v>12814</v>
      </c>
      <c r="G538" s="62">
        <v>39.700000000000003</v>
      </c>
      <c r="H538" s="62"/>
      <c r="I538" s="89">
        <f t="shared" si="113"/>
        <v>12774.3</v>
      </c>
      <c r="J538" s="63" t="s">
        <v>205</v>
      </c>
      <c r="K538" s="63">
        <v>1</v>
      </c>
      <c r="L538" s="63"/>
      <c r="M538" s="63"/>
      <c r="N538" s="63">
        <v>1</v>
      </c>
      <c r="O538" s="63"/>
      <c r="P538" s="63"/>
      <c r="Q538" s="63">
        <v>1</v>
      </c>
      <c r="R538" s="63">
        <v>1</v>
      </c>
      <c r="S538" s="296"/>
      <c r="T538" s="63"/>
      <c r="U538" s="10"/>
      <c r="V538" s="90"/>
      <c r="W538" s="136"/>
      <c r="X538" s="137"/>
    </row>
    <row r="539" spans="2:24">
      <c r="B539" s="87">
        <f t="shared" si="114"/>
        <v>10</v>
      </c>
      <c r="C539" s="274">
        <v>45904</v>
      </c>
      <c r="D539" s="276">
        <v>72940</v>
      </c>
      <c r="E539" s="281" t="s">
        <v>1186</v>
      </c>
      <c r="F539" s="277">
        <v>2641</v>
      </c>
      <c r="G539" s="277">
        <v>39.700000000000003</v>
      </c>
      <c r="H539" s="277"/>
      <c r="I539" s="278">
        <f t="shared" si="113"/>
        <v>2601.3000000000002</v>
      </c>
      <c r="J539" s="279" t="s">
        <v>205</v>
      </c>
      <c r="K539" s="279">
        <v>1</v>
      </c>
      <c r="L539" s="279"/>
      <c r="M539" s="279"/>
      <c r="N539" s="279">
        <v>1</v>
      </c>
      <c r="O539" s="279"/>
      <c r="P539" s="279"/>
      <c r="Q539" s="279">
        <v>1</v>
      </c>
      <c r="R539" s="279">
        <v>1</v>
      </c>
      <c r="S539" s="280"/>
      <c r="T539" s="63"/>
      <c r="U539" s="10"/>
      <c r="V539" s="90"/>
      <c r="W539" s="136"/>
      <c r="X539" s="137"/>
    </row>
    <row r="540" spans="2:24">
      <c r="B540" s="87">
        <f t="shared" si="114"/>
        <v>11</v>
      </c>
      <c r="C540" s="295">
        <v>45904</v>
      </c>
      <c r="D540" s="10">
        <v>72956</v>
      </c>
      <c r="E540" s="101" t="s">
        <v>1072</v>
      </c>
      <c r="F540" s="62">
        <v>5261</v>
      </c>
      <c r="G540" s="62">
        <v>39.700000000000003</v>
      </c>
      <c r="H540" s="62"/>
      <c r="I540" s="89">
        <f t="shared" si="113"/>
        <v>5221.3</v>
      </c>
      <c r="J540" s="63" t="s">
        <v>205</v>
      </c>
      <c r="K540" s="63">
        <v>1</v>
      </c>
      <c r="L540" s="63"/>
      <c r="M540" s="63"/>
      <c r="N540" s="63">
        <v>1</v>
      </c>
      <c r="O540" s="63"/>
      <c r="P540" s="63"/>
      <c r="Q540" s="63">
        <v>1</v>
      </c>
      <c r="R540" s="63">
        <v>1</v>
      </c>
      <c r="S540" s="296"/>
      <c r="T540" s="63"/>
      <c r="U540" s="10"/>
      <c r="V540" s="90"/>
      <c r="W540" s="136"/>
      <c r="X540" s="137"/>
    </row>
    <row r="541" spans="2:24">
      <c r="B541" s="87">
        <f t="shared" si="114"/>
        <v>12</v>
      </c>
      <c r="C541" s="295">
        <v>45904</v>
      </c>
      <c r="D541" s="10">
        <v>72946</v>
      </c>
      <c r="E541" s="101" t="s">
        <v>1338</v>
      </c>
      <c r="F541" s="62">
        <v>6075</v>
      </c>
      <c r="G541" s="62">
        <v>39.700000000000003</v>
      </c>
      <c r="H541" s="62"/>
      <c r="I541" s="89">
        <f t="shared" si="113"/>
        <v>6035.3</v>
      </c>
      <c r="J541" s="63" t="s">
        <v>205</v>
      </c>
      <c r="K541" s="63">
        <v>1</v>
      </c>
      <c r="L541" s="63"/>
      <c r="M541" s="63"/>
      <c r="N541" s="63">
        <v>1</v>
      </c>
      <c r="O541" s="63"/>
      <c r="P541" s="63"/>
      <c r="Q541" s="63">
        <v>1</v>
      </c>
      <c r="R541" s="63">
        <v>1</v>
      </c>
      <c r="S541" s="296"/>
      <c r="T541" s="63"/>
      <c r="U541" s="10"/>
      <c r="V541" s="90"/>
      <c r="W541" s="136"/>
      <c r="X541" s="137"/>
    </row>
    <row r="542" spans="2:24">
      <c r="B542" s="87">
        <f t="shared" si="114"/>
        <v>13</v>
      </c>
      <c r="C542" s="295">
        <v>45904</v>
      </c>
      <c r="D542" s="10">
        <v>72746</v>
      </c>
      <c r="E542" s="101" t="s">
        <v>1260</v>
      </c>
      <c r="F542" s="62">
        <v>2861</v>
      </c>
      <c r="G542" s="62">
        <v>39.700000000000003</v>
      </c>
      <c r="H542" s="62"/>
      <c r="I542" s="89">
        <f t="shared" si="113"/>
        <v>2821.3</v>
      </c>
      <c r="J542" s="63" t="s">
        <v>205</v>
      </c>
      <c r="K542" s="63">
        <v>1</v>
      </c>
      <c r="L542" s="63"/>
      <c r="M542" s="63"/>
      <c r="N542" s="63">
        <v>1</v>
      </c>
      <c r="O542" s="63"/>
      <c r="P542" s="63"/>
      <c r="Q542" s="63">
        <v>1</v>
      </c>
      <c r="R542" s="63">
        <v>1</v>
      </c>
      <c r="S542" s="296"/>
      <c r="T542" s="63"/>
      <c r="U542" s="10"/>
      <c r="V542" s="90"/>
      <c r="W542" s="136"/>
      <c r="X542" s="137"/>
    </row>
    <row r="543" spans="2:24">
      <c r="B543" s="87">
        <f t="shared" si="114"/>
        <v>14</v>
      </c>
      <c r="C543" s="295">
        <v>45904</v>
      </c>
      <c r="D543" s="10" t="s">
        <v>2965</v>
      </c>
      <c r="E543" s="10" t="s">
        <v>1256</v>
      </c>
      <c r="F543" s="62">
        <v>14232.6</v>
      </c>
      <c r="G543" s="62">
        <f>39.7</f>
        <v>39.700000000000003</v>
      </c>
      <c r="H543" s="62"/>
      <c r="I543" s="89">
        <f t="shared" si="113"/>
        <v>14192.9</v>
      </c>
      <c r="J543" s="63" t="s">
        <v>205</v>
      </c>
      <c r="K543" s="63">
        <v>1</v>
      </c>
      <c r="L543" s="63"/>
      <c r="M543" s="63"/>
      <c r="N543" s="63">
        <v>1</v>
      </c>
      <c r="O543" s="63"/>
      <c r="P543" s="63"/>
      <c r="Q543" s="63"/>
      <c r="R543" s="63"/>
      <c r="S543" s="296"/>
      <c r="T543" s="63"/>
      <c r="U543" s="10"/>
      <c r="V543" s="90"/>
      <c r="W543" s="136"/>
      <c r="X543" s="137"/>
    </row>
    <row r="544" spans="2:24">
      <c r="B544" s="87">
        <f t="shared" si="114"/>
        <v>15</v>
      </c>
      <c r="C544" s="295">
        <v>45904</v>
      </c>
      <c r="D544" s="10" t="s">
        <v>2966</v>
      </c>
      <c r="E544" s="101" t="s">
        <v>1058</v>
      </c>
      <c r="F544" s="62">
        <v>981</v>
      </c>
      <c r="G544" s="62">
        <v>39.700000000000003</v>
      </c>
      <c r="H544" s="62"/>
      <c r="I544" s="89">
        <f t="shared" si="113"/>
        <v>941.3</v>
      </c>
      <c r="J544" s="63" t="s">
        <v>205</v>
      </c>
      <c r="K544" s="63">
        <v>1</v>
      </c>
      <c r="L544" s="63"/>
      <c r="M544" s="63"/>
      <c r="N544" s="63">
        <v>1</v>
      </c>
      <c r="O544" s="63"/>
      <c r="P544" s="63"/>
      <c r="Q544" s="63"/>
      <c r="R544" s="63"/>
      <c r="S544" s="296"/>
      <c r="T544" s="63"/>
      <c r="U544" s="10"/>
      <c r="V544" s="90"/>
      <c r="W544" s="136"/>
      <c r="X544" s="137"/>
    </row>
    <row r="545" spans="2:25">
      <c r="B545" s="87">
        <f t="shared" si="114"/>
        <v>16</v>
      </c>
      <c r="C545" s="295">
        <v>45904</v>
      </c>
      <c r="D545" s="10" t="s">
        <v>2967</v>
      </c>
      <c r="E545" s="101" t="s">
        <v>1058</v>
      </c>
      <c r="F545" s="62">
        <v>16214</v>
      </c>
      <c r="G545" s="62">
        <v>39.700000000000003</v>
      </c>
      <c r="H545" s="62"/>
      <c r="I545" s="89">
        <f t="shared" si="113"/>
        <v>16174.3</v>
      </c>
      <c r="J545" s="63" t="s">
        <v>205</v>
      </c>
      <c r="K545" s="63">
        <v>1</v>
      </c>
      <c r="L545" s="63"/>
      <c r="M545" s="63"/>
      <c r="N545" s="63">
        <v>1</v>
      </c>
      <c r="O545" s="63"/>
      <c r="P545" s="63"/>
      <c r="Q545" s="63"/>
      <c r="R545" s="63"/>
      <c r="S545" s="296"/>
      <c r="T545" s="63"/>
      <c r="U545" s="10"/>
      <c r="V545" s="90"/>
      <c r="W545" s="136"/>
      <c r="X545" s="137"/>
    </row>
    <row r="546" spans="2:25">
      <c r="B546" s="87">
        <f>B545+1</f>
        <v>17</v>
      </c>
      <c r="C546" s="274">
        <v>45905</v>
      </c>
      <c r="D546" s="276" t="s">
        <v>2968</v>
      </c>
      <c r="E546" s="276" t="s">
        <v>1495</v>
      </c>
      <c r="F546" s="277">
        <v>2922</v>
      </c>
      <c r="G546" s="277">
        <v>39.700000000000003</v>
      </c>
      <c r="H546" s="277"/>
      <c r="I546" s="278">
        <f t="shared" si="113"/>
        <v>2882.3</v>
      </c>
      <c r="J546" s="279" t="s">
        <v>205</v>
      </c>
      <c r="K546" s="279">
        <v>1</v>
      </c>
      <c r="L546" s="279"/>
      <c r="M546" s="279"/>
      <c r="N546" s="279">
        <v>1</v>
      </c>
      <c r="O546" s="279"/>
      <c r="P546" s="279"/>
      <c r="Q546" s="279"/>
      <c r="R546" s="279"/>
      <c r="S546" s="280"/>
      <c r="T546" s="63"/>
      <c r="U546" s="10"/>
      <c r="V546" s="90"/>
      <c r="W546" s="136"/>
      <c r="X546" s="137"/>
    </row>
    <row r="547" spans="2:25">
      <c r="B547" s="87">
        <f>B546+1</f>
        <v>18</v>
      </c>
      <c r="C547" s="295">
        <v>45905</v>
      </c>
      <c r="D547" s="10">
        <v>73003</v>
      </c>
      <c r="E547" s="101" t="s">
        <v>1088</v>
      </c>
      <c r="F547" s="62">
        <v>681</v>
      </c>
      <c r="G547" s="62"/>
      <c r="H547" s="62"/>
      <c r="I547" s="89">
        <f t="shared" si="113"/>
        <v>681</v>
      </c>
      <c r="J547" s="63" t="s">
        <v>205</v>
      </c>
      <c r="K547" s="63">
        <v>1</v>
      </c>
      <c r="L547" s="63"/>
      <c r="M547" s="63"/>
      <c r="N547" s="63">
        <v>1</v>
      </c>
      <c r="O547" s="63"/>
      <c r="P547" s="63">
        <v>1</v>
      </c>
      <c r="Q547" s="63"/>
      <c r="R547" s="63"/>
      <c r="S547" s="296"/>
      <c r="T547" s="63"/>
      <c r="U547" s="10"/>
      <c r="V547" s="90"/>
      <c r="W547" s="136"/>
      <c r="X547" s="137"/>
    </row>
    <row r="548" spans="2:25">
      <c r="B548" s="87">
        <f>B547+1</f>
        <v>19</v>
      </c>
      <c r="C548" s="282">
        <v>45905</v>
      </c>
      <c r="D548" s="283">
        <v>73039</v>
      </c>
      <c r="E548" s="319" t="s">
        <v>1105</v>
      </c>
      <c r="F548" s="284">
        <v>1138</v>
      </c>
      <c r="G548" s="284">
        <f>39.7</f>
        <v>39.700000000000003</v>
      </c>
      <c r="H548" s="284"/>
      <c r="I548" s="285">
        <f t="shared" si="113"/>
        <v>1098.3</v>
      </c>
      <c r="J548" s="286" t="s">
        <v>156</v>
      </c>
      <c r="K548" s="286">
        <v>1</v>
      </c>
      <c r="L548" s="286"/>
      <c r="M548" s="286">
        <v>1</v>
      </c>
      <c r="N548" s="286">
        <v>1</v>
      </c>
      <c r="O548" s="286">
        <v>1</v>
      </c>
      <c r="P548" s="286"/>
      <c r="Q548" s="286"/>
      <c r="R548" s="286"/>
      <c r="S548" s="287"/>
      <c r="T548" s="63"/>
      <c r="U548" s="10"/>
      <c r="V548" s="90">
        <v>203.5</v>
      </c>
      <c r="W548" s="136"/>
      <c r="X548" s="137"/>
    </row>
    <row r="549" spans="2:25">
      <c r="B549" s="11"/>
      <c r="C549" s="36"/>
      <c r="D549" s="10"/>
      <c r="E549" s="10"/>
      <c r="F549" s="97">
        <f>SUM(F530:F548)</f>
        <v>92293.6</v>
      </c>
      <c r="G549" s="97">
        <f>SUM(G530:G548)</f>
        <v>635.20000000000005</v>
      </c>
      <c r="H549" s="97">
        <f>SUM(H530:H548)</f>
        <v>0</v>
      </c>
      <c r="I549" s="98">
        <f>SUM(I530:I548)</f>
        <v>91658.400000000023</v>
      </c>
      <c r="J549" s="10"/>
      <c r="K549" s="10"/>
      <c r="L549" s="10"/>
      <c r="M549" s="10"/>
      <c r="N549" s="10"/>
      <c r="O549" s="10"/>
      <c r="P549" s="10"/>
      <c r="Q549" s="10"/>
      <c r="R549" s="10"/>
      <c r="S549" s="10"/>
      <c r="T549" s="63"/>
      <c r="U549" s="10"/>
      <c r="V549" s="138"/>
      <c r="W549" s="136"/>
      <c r="X549" s="137"/>
    </row>
    <row r="550" spans="2:25">
      <c r="B550" s="26"/>
      <c r="C550" s="140"/>
      <c r="D550" s="141"/>
      <c r="E550" s="141"/>
      <c r="F550" s="141"/>
      <c r="G550" s="141"/>
      <c r="H550" s="141"/>
      <c r="I550" s="141"/>
      <c r="J550" s="141"/>
      <c r="K550" s="142"/>
      <c r="L550" s="142"/>
      <c r="M550" s="142"/>
      <c r="N550" s="142"/>
      <c r="O550" s="142"/>
      <c r="P550" s="142"/>
      <c r="Q550" s="142"/>
      <c r="R550" s="142"/>
      <c r="S550" s="142"/>
      <c r="T550" s="143">
        <f>SUM(T487:T549)</f>
        <v>3</v>
      </c>
      <c r="U550" s="141"/>
      <c r="V550" s="144">
        <f>SUM(V487:V549)</f>
        <v>20698.050000000003</v>
      </c>
      <c r="W550" s="144">
        <f t="shared" ref="W550:X550" si="116">SUM(W487:W549)</f>
        <v>7525.1</v>
      </c>
      <c r="X550" s="144">
        <f t="shared" si="116"/>
        <v>0</v>
      </c>
    </row>
    <row r="551" spans="2:25">
      <c r="B551" s="10"/>
      <c r="C551" s="36"/>
      <c r="D551" s="10"/>
      <c r="E551" s="10"/>
      <c r="F551" s="10"/>
      <c r="G551" s="10"/>
      <c r="H551" s="10"/>
      <c r="I551" s="10"/>
      <c r="J551" s="10"/>
      <c r="K551" s="147"/>
      <c r="L551" s="147"/>
      <c r="M551" s="147"/>
      <c r="N551" s="147"/>
      <c r="O551" s="147"/>
      <c r="P551" s="147"/>
      <c r="Q551" s="147"/>
      <c r="R551" s="147"/>
      <c r="S551" s="147"/>
      <c r="T551" s="21"/>
      <c r="U551" s="10"/>
      <c r="V551" s="99"/>
      <c r="W551" s="99"/>
      <c r="X551" s="99"/>
    </row>
    <row r="553" spans="2:25">
      <c r="B553" s="4" t="s">
        <v>1</v>
      </c>
      <c r="C553" s="5"/>
      <c r="D553" s="6"/>
      <c r="E553" s="6"/>
      <c r="F553" s="7" t="s">
        <v>2</v>
      </c>
      <c r="G553" s="608">
        <v>45914</v>
      </c>
      <c r="H553" s="7"/>
      <c r="I553" s="6"/>
      <c r="J553" s="6"/>
      <c r="K553" s="6"/>
      <c r="L553" s="6"/>
      <c r="M553" s="6"/>
      <c r="N553" s="6"/>
      <c r="O553" s="6"/>
      <c r="P553" s="6"/>
      <c r="Q553" s="6"/>
      <c r="R553" s="6"/>
      <c r="S553" s="6"/>
      <c r="T553" s="6"/>
      <c r="U553" s="9"/>
      <c r="V553" s="10"/>
      <c r="W553" s="10"/>
      <c r="X553" s="10"/>
      <c r="Y553" s="2"/>
    </row>
    <row r="554" spans="2:25">
      <c r="B554" s="11"/>
      <c r="C554" s="10"/>
      <c r="D554" s="10"/>
      <c r="E554" s="10"/>
      <c r="F554" s="10"/>
      <c r="G554" s="7"/>
      <c r="H554" s="12"/>
      <c r="I554" s="10"/>
      <c r="J554" s="10"/>
      <c r="K554" s="13" t="s">
        <v>3</v>
      </c>
      <c r="L554" s="14"/>
      <c r="M554" s="15"/>
      <c r="N554" s="13" t="s">
        <v>4</v>
      </c>
      <c r="O554" s="14"/>
      <c r="P554" s="15"/>
      <c r="Q554" s="13" t="s">
        <v>5</v>
      </c>
      <c r="R554" s="14"/>
      <c r="S554" s="15"/>
      <c r="T554" s="16"/>
      <c r="U554" s="17"/>
      <c r="V554" s="10"/>
      <c r="W554" s="10"/>
      <c r="X554" s="10"/>
      <c r="Y554" s="2"/>
    </row>
    <row r="555" spans="2:25">
      <c r="B555" s="18" t="s">
        <v>6</v>
      </c>
      <c r="C555" s="19">
        <f>C556+C557</f>
        <v>35</v>
      </c>
      <c r="D555" s="10"/>
      <c r="E555" s="18" t="s">
        <v>7</v>
      </c>
      <c r="F555" s="6"/>
      <c r="G555" s="9"/>
      <c r="H555" s="10"/>
      <c r="I555" s="10"/>
      <c r="J555" s="10"/>
      <c r="K555" s="20" t="s">
        <v>8</v>
      </c>
      <c r="L555" s="21" t="s">
        <v>9</v>
      </c>
      <c r="M555" s="21" t="s">
        <v>10</v>
      </c>
      <c r="N555" s="20" t="s">
        <v>11</v>
      </c>
      <c r="O555" s="21" t="s">
        <v>12</v>
      </c>
      <c r="P555" s="22" t="s">
        <v>13</v>
      </c>
      <c r="Q555" s="21" t="s">
        <v>11</v>
      </c>
      <c r="R555" s="21" t="s">
        <v>12</v>
      </c>
      <c r="S555" s="22" t="s">
        <v>13</v>
      </c>
      <c r="T555" s="23" t="s">
        <v>14</v>
      </c>
      <c r="U555" s="17"/>
      <c r="V555" s="10"/>
      <c r="W555" s="10"/>
      <c r="X555" s="10"/>
      <c r="Y555" s="2"/>
    </row>
    <row r="556" spans="2:25">
      <c r="B556" s="24" t="s">
        <v>15</v>
      </c>
      <c r="C556" s="25">
        <f>P563</f>
        <v>13</v>
      </c>
      <c r="D556" s="10"/>
      <c r="E556" s="26" t="s">
        <v>16</v>
      </c>
      <c r="F556" s="27">
        <v>0.05</v>
      </c>
      <c r="G556" s="28"/>
      <c r="H556" s="10"/>
      <c r="I556" s="10"/>
      <c r="J556" s="18" t="s">
        <v>17</v>
      </c>
      <c r="K556" s="29">
        <f>K590</f>
        <v>9</v>
      </c>
      <c r="L556" s="29">
        <f t="shared" ref="L556:S556" si="117">L590</f>
        <v>7</v>
      </c>
      <c r="M556" s="29">
        <f t="shared" si="117"/>
        <v>8</v>
      </c>
      <c r="N556" s="29">
        <f t="shared" si="117"/>
        <v>9</v>
      </c>
      <c r="O556" s="29">
        <f t="shared" si="117"/>
        <v>9</v>
      </c>
      <c r="P556" s="29">
        <f t="shared" si="117"/>
        <v>8</v>
      </c>
      <c r="Q556" s="29">
        <f t="shared" si="117"/>
        <v>7</v>
      </c>
      <c r="R556" s="29">
        <f t="shared" si="117"/>
        <v>4</v>
      </c>
      <c r="S556" s="29">
        <f t="shared" si="117"/>
        <v>7</v>
      </c>
      <c r="T556" s="30">
        <f>T645</f>
        <v>2</v>
      </c>
      <c r="U556" s="17"/>
      <c r="V556" s="10"/>
      <c r="W556" s="10"/>
      <c r="X556" s="10"/>
      <c r="Y556" s="2"/>
    </row>
    <row r="557" spans="2:25">
      <c r="B557" s="24" t="s">
        <v>18</v>
      </c>
      <c r="C557" s="25">
        <f>P564</f>
        <v>22</v>
      </c>
      <c r="D557" s="10"/>
      <c r="E557" s="10"/>
      <c r="F557" s="10"/>
      <c r="G557" s="31"/>
      <c r="H557" s="10"/>
      <c r="I557" s="10"/>
      <c r="J557" s="32" t="s">
        <v>19</v>
      </c>
      <c r="K557" s="33">
        <f>K590/K589</f>
        <v>1</v>
      </c>
      <c r="L557" s="33">
        <f t="shared" ref="L557:S557" si="118">L590/L589</f>
        <v>0.77777777777777779</v>
      </c>
      <c r="M557" s="33">
        <f t="shared" si="118"/>
        <v>0.88888888888888884</v>
      </c>
      <c r="N557" s="33">
        <f t="shared" si="118"/>
        <v>1</v>
      </c>
      <c r="O557" s="33">
        <f t="shared" si="118"/>
        <v>1</v>
      </c>
      <c r="P557" s="33">
        <f t="shared" si="118"/>
        <v>0.88888888888888884</v>
      </c>
      <c r="Q557" s="33">
        <f t="shared" si="118"/>
        <v>0.77777777777777779</v>
      </c>
      <c r="R557" s="33">
        <f t="shared" si="118"/>
        <v>0.44444444444444442</v>
      </c>
      <c r="S557" s="33">
        <f t="shared" si="118"/>
        <v>0.77777777777777779</v>
      </c>
      <c r="T557" s="23"/>
      <c r="U557" s="17" t="s">
        <v>20</v>
      </c>
      <c r="V557" s="10"/>
      <c r="W557" s="10"/>
      <c r="X557" s="10"/>
      <c r="Y557" s="2"/>
    </row>
    <row r="558" spans="2:25">
      <c r="B558" s="24" t="s">
        <v>21</v>
      </c>
      <c r="C558" s="34">
        <f>P565</f>
        <v>0.37142857142857144</v>
      </c>
      <c r="D558" s="10"/>
      <c r="E558" s="10"/>
      <c r="F558" s="10"/>
      <c r="G558" s="10"/>
      <c r="H558" s="10"/>
      <c r="I558" s="10"/>
      <c r="J558" s="10"/>
      <c r="K558" s="10"/>
      <c r="L558" s="10"/>
      <c r="M558" s="10"/>
      <c r="N558" s="10"/>
      <c r="O558" s="10"/>
      <c r="P558" s="10"/>
      <c r="Q558" s="10"/>
      <c r="R558" s="10"/>
      <c r="S558" s="10"/>
      <c r="T558" s="10"/>
      <c r="U558" s="17"/>
      <c r="V558" s="10"/>
      <c r="W558" s="10"/>
      <c r="X558" s="10"/>
      <c r="Y558" s="2"/>
    </row>
    <row r="559" spans="2:25">
      <c r="B559" s="24"/>
      <c r="C559" s="25"/>
      <c r="D559" s="10"/>
      <c r="E559" s="10"/>
      <c r="F559" s="18" t="s">
        <v>22</v>
      </c>
      <c r="G559" s="19" t="s">
        <v>23</v>
      </c>
      <c r="H559" s="35" t="s">
        <v>24</v>
      </c>
      <c r="I559" s="10"/>
      <c r="J559" s="10"/>
      <c r="K559" s="36"/>
      <c r="L559" s="36"/>
      <c r="M559" s="36"/>
      <c r="N559" s="36"/>
      <c r="O559" s="36"/>
      <c r="P559" s="36"/>
      <c r="Q559" s="36"/>
      <c r="R559" s="10"/>
      <c r="S559" s="10"/>
      <c r="T559" s="10"/>
      <c r="U559" s="17"/>
      <c r="V559" s="10"/>
      <c r="W559" s="10"/>
      <c r="X559" s="10"/>
      <c r="Y559" s="2"/>
    </row>
    <row r="560" spans="2:25" ht="17.25" customHeight="1">
      <c r="B560" s="32" t="s">
        <v>25</v>
      </c>
      <c r="C560" s="37">
        <f>P566</f>
        <v>2175.6992307692308</v>
      </c>
      <c r="D560" s="10"/>
      <c r="E560" s="18" t="s">
        <v>26</v>
      </c>
      <c r="F560" s="38">
        <f>P562</f>
        <v>28284.09</v>
      </c>
      <c r="G560" s="39">
        <f>I589+I595+I600</f>
        <v>28284.089999999997</v>
      </c>
      <c r="H560" s="767" t="s">
        <v>2150</v>
      </c>
      <c r="I560" s="767"/>
      <c r="J560" s="767"/>
      <c r="K560" s="43" t="s">
        <v>27</v>
      </c>
      <c r="L560" s="44"/>
      <c r="M560" s="44"/>
      <c r="N560" s="44"/>
      <c r="O560" s="44"/>
      <c r="P560" s="44"/>
      <c r="Q560" s="45"/>
      <c r="R560" s="46" t="s">
        <v>28</v>
      </c>
      <c r="S560" s="47" t="s">
        <v>29</v>
      </c>
      <c r="T560" s="10"/>
      <c r="U560" s="17"/>
      <c r="V560" s="10"/>
      <c r="W560" s="10"/>
      <c r="X560" s="10"/>
      <c r="Y560" s="2"/>
    </row>
    <row r="561" spans="2:25">
      <c r="B561" s="11"/>
      <c r="C561" s="10"/>
      <c r="D561" s="10"/>
      <c r="E561" s="24" t="s">
        <v>30</v>
      </c>
      <c r="F561" s="48">
        <f>F556</f>
        <v>0.05</v>
      </c>
      <c r="G561" s="17"/>
      <c r="H561" s="767"/>
      <c r="I561" s="767"/>
      <c r="J561" s="767"/>
      <c r="K561" s="20" t="s">
        <v>31</v>
      </c>
      <c r="L561" s="21" t="s">
        <v>32</v>
      </c>
      <c r="M561" s="21" t="s">
        <v>33</v>
      </c>
      <c r="N561" s="21" t="s">
        <v>34</v>
      </c>
      <c r="O561" s="21" t="s">
        <v>35</v>
      </c>
      <c r="P561" s="21" t="s">
        <v>36</v>
      </c>
      <c r="Q561" s="49" t="s">
        <v>37</v>
      </c>
      <c r="R561" s="50" t="s">
        <v>38</v>
      </c>
      <c r="S561" s="50" t="s">
        <v>38</v>
      </c>
      <c r="T561" s="10"/>
      <c r="U561" s="17"/>
      <c r="V561" s="10"/>
      <c r="W561" s="10"/>
      <c r="X561" s="10"/>
      <c r="Y561" s="2"/>
    </row>
    <row r="562" spans="2:25">
      <c r="B562" s="11"/>
      <c r="C562" s="10"/>
      <c r="D562" s="10"/>
      <c r="E562" s="51" t="s">
        <v>39</v>
      </c>
      <c r="F562" s="52">
        <f>(F560+F569-I581-I582-I583-I588-I593-I594-I598-I599)*F561</f>
        <v>257.55499999999978</v>
      </c>
      <c r="G562" s="53" t="s">
        <v>40</v>
      </c>
      <c r="H562" s="484">
        <f>F562/1.12</f>
        <v>229.95982142857122</v>
      </c>
      <c r="I562" s="55"/>
      <c r="J562" s="42"/>
      <c r="K562" s="56">
        <f>I580+I581+I582+I583+I598</f>
        <v>10131.82</v>
      </c>
      <c r="L562" s="57">
        <v>0</v>
      </c>
      <c r="M562" s="57">
        <f>I584+I585+I586+I593+I599</f>
        <v>15625.970000000001</v>
      </c>
      <c r="N562" s="57">
        <f>I587+I588+I594</f>
        <v>2526.3000000000002</v>
      </c>
      <c r="O562" s="57">
        <v>0</v>
      </c>
      <c r="P562" s="57">
        <f>SUM(K562:O562)</f>
        <v>28284.09</v>
      </c>
      <c r="Q562" s="58">
        <v>0</v>
      </c>
      <c r="R562" s="59">
        <f>I595+I600</f>
        <v>18756.8</v>
      </c>
      <c r="S562" s="59">
        <v>0</v>
      </c>
      <c r="T562" s="10"/>
      <c r="U562" s="17"/>
      <c r="V562" s="10"/>
      <c r="W562" s="10"/>
      <c r="X562" s="10"/>
      <c r="Y562" s="2"/>
    </row>
    <row r="563" spans="2:25">
      <c r="B563" s="11"/>
      <c r="C563" s="10"/>
      <c r="D563" s="10"/>
      <c r="E563" s="24" t="s">
        <v>41</v>
      </c>
      <c r="F563" s="60">
        <f>Q562</f>
        <v>0</v>
      </c>
      <c r="G563" s="61" t="s">
        <v>40</v>
      </c>
      <c r="H563" s="62"/>
      <c r="I563" s="62"/>
      <c r="J563" s="10" t="s">
        <v>42</v>
      </c>
      <c r="K563" s="63">
        <v>5</v>
      </c>
      <c r="L563" s="63">
        <v>0</v>
      </c>
      <c r="M563" s="63">
        <v>5</v>
      </c>
      <c r="N563" s="63">
        <v>3</v>
      </c>
      <c r="O563" s="63">
        <v>0</v>
      </c>
      <c r="P563" s="21">
        <f>SUM(K563:O563)</f>
        <v>13</v>
      </c>
      <c r="Q563" s="64"/>
      <c r="R563" s="63"/>
      <c r="S563" s="10"/>
      <c r="T563" s="10"/>
      <c r="U563" s="17"/>
      <c r="V563" s="10"/>
      <c r="W563" s="10"/>
      <c r="X563" s="10"/>
      <c r="Y563" s="2"/>
    </row>
    <row r="564" spans="2:25">
      <c r="B564" s="11"/>
      <c r="C564" s="10"/>
      <c r="D564" s="10"/>
      <c r="E564" s="51" t="s">
        <v>43</v>
      </c>
      <c r="F564" s="52">
        <f>F563*0.25</f>
        <v>0</v>
      </c>
      <c r="G564" s="53" t="s">
        <v>40</v>
      </c>
      <c r="H564" s="54">
        <f>F564/1.12</f>
        <v>0</v>
      </c>
      <c r="I564" s="10"/>
      <c r="J564" s="10" t="s">
        <v>44</v>
      </c>
      <c r="K564" s="63">
        <v>5</v>
      </c>
      <c r="L564" s="63">
        <v>8</v>
      </c>
      <c r="M564" s="63">
        <v>5</v>
      </c>
      <c r="N564" s="63">
        <v>4</v>
      </c>
      <c r="O564" s="63">
        <v>0</v>
      </c>
      <c r="P564" s="21">
        <f>SUM(K564:O564)</f>
        <v>22</v>
      </c>
      <c r="Q564" s="64"/>
      <c r="R564" s="63"/>
      <c r="S564" s="10"/>
      <c r="T564" s="10"/>
      <c r="U564" s="17"/>
      <c r="V564" s="10"/>
      <c r="W564" s="10"/>
      <c r="X564" s="10"/>
      <c r="Y564" s="2"/>
    </row>
    <row r="565" spans="2:25">
      <c r="B565" s="11"/>
      <c r="C565" s="10"/>
      <c r="D565" s="10"/>
      <c r="E565" s="24" t="s">
        <v>45</v>
      </c>
      <c r="F565" s="60"/>
      <c r="G565" s="61" t="s">
        <v>40</v>
      </c>
      <c r="H565" s="62"/>
      <c r="I565" s="10"/>
      <c r="J565" s="10" t="s">
        <v>46</v>
      </c>
      <c r="K565" s="31">
        <f t="shared" ref="K565:Q565" si="119">K563/(K563+K564)</f>
        <v>0.5</v>
      </c>
      <c r="L565" s="31">
        <f t="shared" si="119"/>
        <v>0</v>
      </c>
      <c r="M565" s="31">
        <f t="shared" si="119"/>
        <v>0.5</v>
      </c>
      <c r="N565" s="31">
        <f t="shared" si="119"/>
        <v>0.42857142857142855</v>
      </c>
      <c r="O565" s="31" t="e">
        <f t="shared" si="119"/>
        <v>#DIV/0!</v>
      </c>
      <c r="P565" s="31">
        <f t="shared" si="119"/>
        <v>0.37142857142857144</v>
      </c>
      <c r="Q565" s="31" t="e">
        <f t="shared" si="119"/>
        <v>#DIV/0!</v>
      </c>
      <c r="R565" s="63"/>
      <c r="S565" s="10"/>
      <c r="T565" s="10"/>
      <c r="U565" s="17"/>
      <c r="V565" s="10"/>
      <c r="W565" s="10"/>
      <c r="X565" s="10"/>
      <c r="Y565" s="2"/>
    </row>
    <row r="566" spans="2:25">
      <c r="B566" s="11"/>
      <c r="C566" s="10"/>
      <c r="D566" s="10"/>
      <c r="E566" s="51" t="s">
        <v>47</v>
      </c>
      <c r="F566" s="52">
        <f>F565*0.05</f>
        <v>0</v>
      </c>
      <c r="G566" s="65" t="s">
        <v>40</v>
      </c>
      <c r="H566" s="54">
        <f>F566/1.12</f>
        <v>0</v>
      </c>
      <c r="I566" s="42"/>
      <c r="J566" s="10" t="s">
        <v>48</v>
      </c>
      <c r="K566" s="66">
        <f>K562/K563</f>
        <v>2026.364</v>
      </c>
      <c r="L566" s="66" t="e">
        <f t="shared" ref="L566:Q566" si="120">L562/L563</f>
        <v>#DIV/0!</v>
      </c>
      <c r="M566" s="66">
        <f t="shared" si="120"/>
        <v>3125.1940000000004</v>
      </c>
      <c r="N566" s="66">
        <f t="shared" si="120"/>
        <v>842.1</v>
      </c>
      <c r="O566" s="66" t="e">
        <f t="shared" si="120"/>
        <v>#DIV/0!</v>
      </c>
      <c r="P566" s="66">
        <f t="shared" si="120"/>
        <v>2175.6992307692308</v>
      </c>
      <c r="Q566" s="66" t="e">
        <f t="shared" si="120"/>
        <v>#DIV/0!</v>
      </c>
      <c r="R566" s="63"/>
      <c r="S566" s="10"/>
      <c r="T566" s="10"/>
      <c r="U566" s="17"/>
      <c r="V566" s="10"/>
      <c r="W566" s="10"/>
      <c r="X566" s="10"/>
      <c r="Y566" s="2"/>
    </row>
    <row r="567" spans="2:25">
      <c r="B567" s="11"/>
      <c r="C567" s="10"/>
      <c r="D567" s="10"/>
      <c r="E567" s="67" t="s">
        <v>14</v>
      </c>
      <c r="F567" s="68">
        <f>2*50</f>
        <v>100</v>
      </c>
      <c r="G567" s="10"/>
      <c r="H567" s="54">
        <f>F567/1.12</f>
        <v>89.285714285714278</v>
      </c>
      <c r="I567" s="10"/>
      <c r="J567" s="10"/>
      <c r="K567" s="10"/>
      <c r="L567" s="10"/>
      <c r="M567" s="10"/>
      <c r="N567" s="10"/>
      <c r="O567" s="10"/>
      <c r="P567" s="10"/>
      <c r="Q567" s="10"/>
      <c r="R567" s="10"/>
      <c r="S567" s="10"/>
      <c r="T567" s="10"/>
      <c r="U567" s="17"/>
      <c r="V567" s="10"/>
      <c r="W567" s="10"/>
      <c r="X567" s="10"/>
      <c r="Y567" s="2"/>
    </row>
    <row r="568" spans="2:25">
      <c r="B568" s="11"/>
      <c r="C568" s="10"/>
      <c r="D568" s="10"/>
      <c r="E568" s="155" t="s">
        <v>49</v>
      </c>
      <c r="F568" s="364">
        <f>T557</f>
        <v>0</v>
      </c>
      <c r="G568" s="10"/>
      <c r="H568" s="54"/>
      <c r="I568" s="55"/>
      <c r="J568" s="42"/>
      <c r="K568" s="764" t="s">
        <v>50</v>
      </c>
      <c r="L568" s="765"/>
      <c r="M568" s="765"/>
      <c r="N568" s="765"/>
      <c r="O568" s="765"/>
      <c r="P568" s="765"/>
      <c r="Q568" s="766"/>
      <c r="R568" s="70" t="s">
        <v>28</v>
      </c>
      <c r="S568" s="71" t="s">
        <v>29</v>
      </c>
      <c r="T568" s="10"/>
      <c r="U568" s="17"/>
      <c r="V568" s="10"/>
      <c r="W568" s="10"/>
      <c r="X568" s="10"/>
      <c r="Y568" s="2"/>
    </row>
    <row r="569" spans="2:25">
      <c r="B569" s="11"/>
      <c r="C569" s="10"/>
      <c r="D569" s="10"/>
      <c r="E569" s="74" t="s">
        <v>2969</v>
      </c>
      <c r="F569" s="75">
        <v>-161.74</v>
      </c>
      <c r="G569" s="10"/>
      <c r="H569" s="10"/>
      <c r="I569" s="10"/>
      <c r="J569" s="42"/>
      <c r="K569" s="20" t="s">
        <v>31</v>
      </c>
      <c r="L569" s="21" t="s">
        <v>32</v>
      </c>
      <c r="M569" s="21" t="s">
        <v>33</v>
      </c>
      <c r="N569" s="21" t="s">
        <v>34</v>
      </c>
      <c r="O569" s="21" t="s">
        <v>35</v>
      </c>
      <c r="P569" s="21" t="s">
        <v>36</v>
      </c>
      <c r="Q569" s="49" t="s">
        <v>37</v>
      </c>
      <c r="R569" s="50" t="s">
        <v>38</v>
      </c>
      <c r="S569" s="50" t="s">
        <v>38</v>
      </c>
      <c r="T569" s="10"/>
      <c r="U569" s="17"/>
      <c r="V569" s="10"/>
      <c r="W569" s="10"/>
      <c r="X569" s="10"/>
      <c r="Y569" s="2"/>
    </row>
    <row r="570" spans="2:25">
      <c r="B570" s="11"/>
      <c r="C570" s="10"/>
      <c r="D570" s="10"/>
      <c r="E570" s="10"/>
      <c r="F570" s="10"/>
      <c r="G570" s="10"/>
      <c r="H570" s="10"/>
      <c r="I570" s="10"/>
      <c r="J570" s="42"/>
      <c r="K570" s="56">
        <f>F580+F581+F582+F583+F598</f>
        <v>11970.5</v>
      </c>
      <c r="L570" s="57">
        <v>0</v>
      </c>
      <c r="M570" s="57">
        <f>F584+F585+F586+F593+F599</f>
        <v>18290.7</v>
      </c>
      <c r="N570" s="57">
        <f>F587+F588+F594</f>
        <v>2566</v>
      </c>
      <c r="O570" s="57">
        <v>0</v>
      </c>
      <c r="P570" s="57">
        <f>SUM(K570:O570)</f>
        <v>32827.199999999997</v>
      </c>
      <c r="Q570" s="58">
        <v>0</v>
      </c>
      <c r="R570" s="59">
        <f>F595+F600</f>
        <v>22775.9</v>
      </c>
      <c r="S570" s="59">
        <v>0</v>
      </c>
      <c r="T570" s="10"/>
      <c r="U570" s="17"/>
      <c r="V570" s="10"/>
      <c r="W570" s="10"/>
      <c r="X570" s="10"/>
      <c r="Y570" s="2"/>
    </row>
    <row r="571" spans="2:25">
      <c r="B571" s="11"/>
      <c r="C571" s="10"/>
      <c r="D571" s="10"/>
      <c r="E571" s="10"/>
      <c r="F571" s="10"/>
      <c r="G571" s="10"/>
      <c r="H571" s="10"/>
      <c r="I571" s="10"/>
      <c r="J571" s="10" t="s">
        <v>42</v>
      </c>
      <c r="K571" s="63">
        <f>K563</f>
        <v>5</v>
      </c>
      <c r="L571" s="63">
        <f t="shared" ref="L571:Q572" si="121">L563</f>
        <v>0</v>
      </c>
      <c r="M571" s="63">
        <f t="shared" si="121"/>
        <v>5</v>
      </c>
      <c r="N571" s="63">
        <f t="shared" si="121"/>
        <v>3</v>
      </c>
      <c r="O571" s="63">
        <f t="shared" si="121"/>
        <v>0</v>
      </c>
      <c r="P571" s="63">
        <f t="shared" si="121"/>
        <v>13</v>
      </c>
      <c r="Q571" s="63">
        <f t="shared" si="121"/>
        <v>0</v>
      </c>
      <c r="R571" s="63"/>
      <c r="S571" s="10"/>
      <c r="T571" s="10"/>
      <c r="U571" s="17"/>
      <c r="V571" s="10"/>
      <c r="W571" s="10"/>
      <c r="X571" s="10"/>
      <c r="Y571" s="2"/>
    </row>
    <row r="572" spans="2:25">
      <c r="B572" s="11"/>
      <c r="C572" s="10"/>
      <c r="D572" s="10"/>
      <c r="E572" s="12"/>
      <c r="F572" s="76"/>
      <c r="G572" s="10"/>
      <c r="H572" s="10"/>
      <c r="I572" s="10"/>
      <c r="J572" s="10" t="s">
        <v>44</v>
      </c>
      <c r="K572" s="63">
        <f>K564</f>
        <v>5</v>
      </c>
      <c r="L572" s="63">
        <f t="shared" si="121"/>
        <v>8</v>
      </c>
      <c r="M572" s="63">
        <f t="shared" si="121"/>
        <v>5</v>
      </c>
      <c r="N572" s="63">
        <f t="shared" si="121"/>
        <v>4</v>
      </c>
      <c r="O572" s="63">
        <f t="shared" si="121"/>
        <v>0</v>
      </c>
      <c r="P572" s="63">
        <f t="shared" si="121"/>
        <v>22</v>
      </c>
      <c r="Q572" s="63">
        <f t="shared" si="121"/>
        <v>0</v>
      </c>
      <c r="R572" s="63"/>
      <c r="S572" s="10"/>
      <c r="T572" s="10"/>
      <c r="U572" s="17"/>
      <c r="V572" s="10"/>
      <c r="W572" s="10"/>
      <c r="X572" s="10"/>
      <c r="Y572" s="2"/>
    </row>
    <row r="573" spans="2:25">
      <c r="B573" s="11"/>
      <c r="C573" s="10"/>
      <c r="D573" s="10"/>
      <c r="E573" s="10"/>
      <c r="F573" s="10"/>
      <c r="G573" s="10"/>
      <c r="H573" s="10"/>
      <c r="I573" s="10"/>
      <c r="J573" s="10" t="s">
        <v>46</v>
      </c>
      <c r="K573" s="31">
        <f t="shared" ref="K573:Q573" si="122">K571/(K571+K572)</f>
        <v>0.5</v>
      </c>
      <c r="L573" s="31">
        <f t="shared" si="122"/>
        <v>0</v>
      </c>
      <c r="M573" s="31">
        <f t="shared" si="122"/>
        <v>0.5</v>
      </c>
      <c r="N573" s="31">
        <f t="shared" si="122"/>
        <v>0.42857142857142855</v>
      </c>
      <c r="O573" s="31" t="e">
        <f t="shared" si="122"/>
        <v>#DIV/0!</v>
      </c>
      <c r="P573" s="31">
        <f t="shared" si="122"/>
        <v>0.37142857142857144</v>
      </c>
      <c r="Q573" s="31" t="e">
        <f t="shared" si="122"/>
        <v>#DIV/0!</v>
      </c>
      <c r="R573" s="63"/>
      <c r="S573" s="10"/>
      <c r="T573" s="10"/>
      <c r="U573" s="17"/>
      <c r="V573" s="10"/>
      <c r="W573" s="10"/>
      <c r="X573" s="10"/>
      <c r="Y573" s="2"/>
    </row>
    <row r="574" spans="2:25">
      <c r="B574" s="11"/>
      <c r="C574" s="10"/>
      <c r="D574" s="10"/>
      <c r="E574" s="10"/>
      <c r="F574" s="10"/>
      <c r="G574" s="10"/>
      <c r="H574" s="10"/>
      <c r="I574" s="10"/>
      <c r="J574" s="10" t="s">
        <v>48</v>
      </c>
      <c r="K574" s="66">
        <f t="shared" ref="K574:Q574" si="123">K570/K571</f>
        <v>2394.1</v>
      </c>
      <c r="L574" s="66" t="e">
        <f t="shared" si="123"/>
        <v>#DIV/0!</v>
      </c>
      <c r="M574" s="66">
        <f t="shared" si="123"/>
        <v>3658.1400000000003</v>
      </c>
      <c r="N574" s="66">
        <f t="shared" si="123"/>
        <v>855.33333333333337</v>
      </c>
      <c r="O574" s="66" t="e">
        <f t="shared" si="123"/>
        <v>#DIV/0!</v>
      </c>
      <c r="P574" s="66">
        <f t="shared" si="123"/>
        <v>2525.1692307692306</v>
      </c>
      <c r="Q574" s="66" t="e">
        <f t="shared" si="123"/>
        <v>#DIV/0!</v>
      </c>
      <c r="R574" s="63"/>
      <c r="S574" s="10"/>
      <c r="T574" s="10"/>
      <c r="U574" s="17"/>
      <c r="V574" s="10"/>
      <c r="W574" s="10"/>
      <c r="X574" s="10"/>
      <c r="Y574" s="2"/>
    </row>
    <row r="575" spans="2:25">
      <c r="B575" s="11"/>
      <c r="C575" s="10"/>
      <c r="D575" s="10"/>
      <c r="E575" s="10"/>
      <c r="F575" s="10"/>
      <c r="G575" s="10"/>
      <c r="H575" s="10"/>
      <c r="I575" s="10"/>
      <c r="J575" s="10"/>
      <c r="K575" s="10"/>
      <c r="L575" s="10"/>
      <c r="M575" s="10"/>
      <c r="N575" s="10"/>
      <c r="O575" s="10"/>
      <c r="P575" s="10"/>
      <c r="Q575" s="10"/>
      <c r="R575" s="10"/>
      <c r="S575" s="10"/>
      <c r="T575" s="10"/>
      <c r="U575" s="17"/>
      <c r="V575" s="10"/>
      <c r="W575" s="10"/>
      <c r="X575" s="10"/>
      <c r="Y575" s="2"/>
    </row>
    <row r="576" spans="2:25">
      <c r="B576" s="11"/>
      <c r="C576" s="10"/>
      <c r="D576" s="10"/>
      <c r="E576" s="10"/>
      <c r="F576" s="10"/>
      <c r="G576" s="10"/>
      <c r="H576" s="10"/>
      <c r="I576" s="10"/>
      <c r="J576" s="10"/>
      <c r="K576" s="10"/>
      <c r="L576" s="10"/>
      <c r="M576" s="10"/>
      <c r="N576" s="10"/>
      <c r="O576" s="10"/>
      <c r="P576" s="10"/>
      <c r="Q576" s="10"/>
      <c r="R576" s="10"/>
      <c r="S576" s="10"/>
      <c r="T576" s="10"/>
      <c r="U576" s="17"/>
      <c r="V576" s="10"/>
      <c r="W576" s="10"/>
      <c r="X576" s="10"/>
      <c r="Y576" s="2"/>
    </row>
    <row r="577" spans="1:25">
      <c r="B577" s="18" t="s">
        <v>51</v>
      </c>
      <c r="C577" s="14"/>
      <c r="D577" s="14"/>
      <c r="E577" s="14"/>
      <c r="F577" s="13" t="s">
        <v>52</v>
      </c>
      <c r="G577" s="14"/>
      <c r="H577" s="14"/>
      <c r="I577" s="14"/>
      <c r="J577" s="14"/>
      <c r="K577" s="13" t="s">
        <v>3</v>
      </c>
      <c r="L577" s="14"/>
      <c r="M577" s="14"/>
      <c r="N577" s="13" t="s">
        <v>4</v>
      </c>
      <c r="O577" s="14"/>
      <c r="P577" s="14"/>
      <c r="Q577" s="13" t="s">
        <v>5</v>
      </c>
      <c r="R577" s="14"/>
      <c r="S577" s="14"/>
      <c r="T577" s="18"/>
      <c r="U577" s="16" t="s">
        <v>53</v>
      </c>
      <c r="V577" s="77"/>
      <c r="W577" s="77"/>
      <c r="X577" s="77"/>
      <c r="Y577" s="2"/>
    </row>
    <row r="578" spans="1:25">
      <c r="B578" s="24" t="s">
        <v>54</v>
      </c>
      <c r="C578" s="21" t="s">
        <v>55</v>
      </c>
      <c r="D578" s="21" t="s">
        <v>56</v>
      </c>
      <c r="E578" s="21" t="s">
        <v>57</v>
      </c>
      <c r="F578" s="20" t="s">
        <v>58</v>
      </c>
      <c r="G578" s="21" t="s">
        <v>59</v>
      </c>
      <c r="H578" s="21" t="s">
        <v>60</v>
      </c>
      <c r="I578" s="21" t="s">
        <v>26</v>
      </c>
      <c r="J578" s="22" t="s">
        <v>61</v>
      </c>
      <c r="K578" s="21" t="s">
        <v>8</v>
      </c>
      <c r="L578" s="21" t="s">
        <v>9</v>
      </c>
      <c r="M578" s="21" t="s">
        <v>10</v>
      </c>
      <c r="N578" s="20" t="s">
        <v>11</v>
      </c>
      <c r="O578" s="21" t="s">
        <v>12</v>
      </c>
      <c r="P578" s="22" t="s">
        <v>13</v>
      </c>
      <c r="Q578" s="21" t="s">
        <v>11</v>
      </c>
      <c r="R578" s="21" t="s">
        <v>12</v>
      </c>
      <c r="S578" s="21" t="s">
        <v>13</v>
      </c>
      <c r="T578" s="78" t="s">
        <v>14</v>
      </c>
      <c r="U578" s="30"/>
      <c r="V578" s="79" t="s">
        <v>62</v>
      </c>
      <c r="W578" s="80" t="s">
        <v>63</v>
      </c>
      <c r="X578" s="81" t="s">
        <v>64</v>
      </c>
      <c r="Y578" s="2"/>
    </row>
    <row r="579" spans="1:25">
      <c r="B579" s="4" t="s">
        <v>65</v>
      </c>
      <c r="C579" s="6"/>
      <c r="D579" s="6"/>
      <c r="E579" s="6"/>
      <c r="F579" s="6"/>
      <c r="G579" s="6"/>
      <c r="H579" s="6"/>
      <c r="I579" s="82"/>
      <c r="J579" s="6"/>
      <c r="K579" s="6"/>
      <c r="L579" s="6"/>
      <c r="M579" s="6"/>
      <c r="N579" s="6"/>
      <c r="O579" s="6"/>
      <c r="P579" s="6"/>
      <c r="Q579" s="6"/>
      <c r="R579" s="6"/>
      <c r="S579" s="6"/>
      <c r="T579" s="83"/>
      <c r="U579" s="6"/>
      <c r="V579" s="84"/>
      <c r="W579" s="85"/>
      <c r="X579" s="86"/>
      <c r="Y579" s="2"/>
    </row>
    <row r="580" spans="1:25">
      <c r="B580" s="87">
        <v>1</v>
      </c>
      <c r="C580" s="274">
        <v>45908</v>
      </c>
      <c r="D580" s="327">
        <v>73060</v>
      </c>
      <c r="E580" s="276" t="s">
        <v>2970</v>
      </c>
      <c r="F580" s="277">
        <v>1616</v>
      </c>
      <c r="G580" s="277">
        <f>39.7+(0.95)+(28.88)</f>
        <v>69.53</v>
      </c>
      <c r="H580" s="297"/>
      <c r="I580" s="321">
        <f t="shared" ref="I580:I588" si="124">F580-G580-H580</f>
        <v>1546.47</v>
      </c>
      <c r="J580" s="279" t="s">
        <v>156</v>
      </c>
      <c r="K580" s="279">
        <v>1</v>
      </c>
      <c r="L580" s="322">
        <v>0</v>
      </c>
      <c r="M580" s="279">
        <v>1</v>
      </c>
      <c r="N580" s="279">
        <v>1</v>
      </c>
      <c r="O580" s="279">
        <v>1</v>
      </c>
      <c r="P580" s="279">
        <v>1</v>
      </c>
      <c r="Q580" s="279">
        <v>1</v>
      </c>
      <c r="R580" s="279">
        <v>1</v>
      </c>
      <c r="S580" s="280">
        <v>1</v>
      </c>
      <c r="T580" s="63"/>
      <c r="U580" s="10"/>
      <c r="V580" s="90">
        <v>1777.6</v>
      </c>
      <c r="W580" s="91"/>
      <c r="X580" s="92"/>
      <c r="Y580" s="2"/>
    </row>
    <row r="581" spans="1:25">
      <c r="A581" t="s">
        <v>230</v>
      </c>
      <c r="B581" s="87">
        <f t="shared" ref="B581:B588" si="125">B580+1</f>
        <v>2</v>
      </c>
      <c r="C581" s="295">
        <v>45908</v>
      </c>
      <c r="D581" s="323">
        <v>73056</v>
      </c>
      <c r="E581" s="10" t="s">
        <v>2375</v>
      </c>
      <c r="F581" s="62">
        <f>581-65</f>
        <v>516</v>
      </c>
      <c r="G581" s="62"/>
      <c r="H581" s="62"/>
      <c r="I581" s="369">
        <f t="shared" si="124"/>
        <v>516</v>
      </c>
      <c r="J581" s="63" t="s">
        <v>156</v>
      </c>
      <c r="K581" s="63">
        <v>1</v>
      </c>
      <c r="L581" s="63">
        <v>1</v>
      </c>
      <c r="M581" s="325">
        <v>0</v>
      </c>
      <c r="N581" s="63">
        <v>1</v>
      </c>
      <c r="O581" s="63">
        <v>1</v>
      </c>
      <c r="P581" s="63">
        <v>1</v>
      </c>
      <c r="Q581" s="63">
        <v>1</v>
      </c>
      <c r="R581" s="63">
        <v>1</v>
      </c>
      <c r="S581" s="296">
        <v>1</v>
      </c>
      <c r="T581" s="63"/>
      <c r="U581" s="10" t="s">
        <v>2971</v>
      </c>
      <c r="V581" s="90">
        <v>639.1</v>
      </c>
      <c r="W581" s="91"/>
      <c r="X581" s="92"/>
      <c r="Y581" s="2"/>
    </row>
    <row r="582" spans="1:25">
      <c r="A582" t="s">
        <v>230</v>
      </c>
      <c r="B582" s="87">
        <f t="shared" si="125"/>
        <v>3</v>
      </c>
      <c r="C582" s="295">
        <v>45908</v>
      </c>
      <c r="D582" s="323">
        <v>73064</v>
      </c>
      <c r="E582" s="10" t="s">
        <v>1260</v>
      </c>
      <c r="F582" s="62">
        <v>2261</v>
      </c>
      <c r="G582" s="62">
        <f>39.7</f>
        <v>39.700000000000003</v>
      </c>
      <c r="H582" s="62"/>
      <c r="I582" s="369">
        <f t="shared" si="124"/>
        <v>2221.3000000000002</v>
      </c>
      <c r="J582" s="63" t="s">
        <v>156</v>
      </c>
      <c r="K582" s="63">
        <v>1</v>
      </c>
      <c r="L582" s="63">
        <v>1</v>
      </c>
      <c r="M582" s="63">
        <v>1</v>
      </c>
      <c r="N582" s="63">
        <v>1</v>
      </c>
      <c r="O582" s="63">
        <v>1</v>
      </c>
      <c r="P582" s="63">
        <v>1</v>
      </c>
      <c r="Q582" s="63">
        <v>1</v>
      </c>
      <c r="R582" s="325">
        <v>0</v>
      </c>
      <c r="S582" s="538">
        <v>1</v>
      </c>
      <c r="T582" s="63"/>
      <c r="U582" s="10" t="s">
        <v>2972</v>
      </c>
      <c r="V582" s="90">
        <f>200+2287.1</f>
        <v>2487.1</v>
      </c>
      <c r="W582" s="91"/>
      <c r="X582" s="92"/>
      <c r="Y582" s="2"/>
    </row>
    <row r="583" spans="1:25">
      <c r="B583" s="87">
        <f t="shared" si="125"/>
        <v>4</v>
      </c>
      <c r="C583" s="295">
        <v>45908</v>
      </c>
      <c r="D583" s="323">
        <v>73095</v>
      </c>
      <c r="E583" s="94" t="s">
        <v>1605</v>
      </c>
      <c r="F583" s="62">
        <f>1196-170.5</f>
        <v>1025.5</v>
      </c>
      <c r="G583" s="62">
        <f>39.7+(89.65)</f>
        <v>129.35000000000002</v>
      </c>
      <c r="H583" s="62"/>
      <c r="I583" s="369">
        <f t="shared" si="124"/>
        <v>896.15</v>
      </c>
      <c r="J583" s="63" t="s">
        <v>156</v>
      </c>
      <c r="K583" s="63">
        <v>1</v>
      </c>
      <c r="L583" s="63">
        <v>1</v>
      </c>
      <c r="M583" s="63">
        <v>1</v>
      </c>
      <c r="N583" s="63">
        <v>1</v>
      </c>
      <c r="O583" s="63">
        <v>1</v>
      </c>
      <c r="P583" s="63">
        <v>1</v>
      </c>
      <c r="Q583" s="63">
        <v>1</v>
      </c>
      <c r="R583" s="325">
        <v>0</v>
      </c>
      <c r="S583" s="538">
        <v>1</v>
      </c>
      <c r="T583" s="63"/>
      <c r="U583" s="10" t="s">
        <v>2973</v>
      </c>
      <c r="V583" s="90">
        <f>170.5+1145.1</f>
        <v>1315.6</v>
      </c>
      <c r="W583" s="91"/>
      <c r="X583" s="92"/>
      <c r="Y583" s="2"/>
    </row>
    <row r="584" spans="1:25">
      <c r="B584" s="87">
        <f t="shared" si="125"/>
        <v>5</v>
      </c>
      <c r="C584" s="274">
        <v>45910</v>
      </c>
      <c r="D584" s="327">
        <v>73158</v>
      </c>
      <c r="E584" s="276" t="s">
        <v>1256</v>
      </c>
      <c r="F584" s="277">
        <v>1071.9000000000001</v>
      </c>
      <c r="G584" s="277">
        <f>39.7</f>
        <v>39.700000000000003</v>
      </c>
      <c r="H584" s="277"/>
      <c r="I584" s="321">
        <f t="shared" si="124"/>
        <v>1032.2</v>
      </c>
      <c r="J584" s="279" t="s">
        <v>156</v>
      </c>
      <c r="K584" s="279">
        <v>1</v>
      </c>
      <c r="L584" s="279">
        <v>1</v>
      </c>
      <c r="M584" s="279">
        <v>1</v>
      </c>
      <c r="N584" s="279">
        <v>1</v>
      </c>
      <c r="O584" s="279">
        <v>1</v>
      </c>
      <c r="P584" s="279">
        <v>1</v>
      </c>
      <c r="Q584" s="279">
        <v>1</v>
      </c>
      <c r="R584" s="322">
        <v>0</v>
      </c>
      <c r="S584" s="595">
        <v>1</v>
      </c>
      <c r="T584" s="21">
        <v>1</v>
      </c>
      <c r="U584" s="10"/>
      <c r="V584" s="90">
        <v>1179.0899999999999</v>
      </c>
      <c r="W584" s="91"/>
      <c r="X584" s="92"/>
      <c r="Y584" s="2"/>
    </row>
    <row r="585" spans="1:25">
      <c r="B585" s="87">
        <f t="shared" si="125"/>
        <v>6</v>
      </c>
      <c r="C585" s="295">
        <v>45910</v>
      </c>
      <c r="D585" s="323">
        <v>73181</v>
      </c>
      <c r="E585" s="10" t="s">
        <v>1256</v>
      </c>
      <c r="F585" s="62">
        <v>1134.9000000000001</v>
      </c>
      <c r="G585" s="62">
        <f>39.7+(166.33)</f>
        <v>206.03000000000003</v>
      </c>
      <c r="H585" s="88"/>
      <c r="I585" s="324">
        <f t="shared" si="124"/>
        <v>928.87000000000012</v>
      </c>
      <c r="J585" s="63" t="s">
        <v>156</v>
      </c>
      <c r="K585" s="63">
        <v>1</v>
      </c>
      <c r="L585" s="325">
        <v>0</v>
      </c>
      <c r="M585" s="63">
        <v>1</v>
      </c>
      <c r="N585" s="63">
        <v>1</v>
      </c>
      <c r="O585" s="63">
        <v>1</v>
      </c>
      <c r="P585" s="63">
        <v>1</v>
      </c>
      <c r="Q585" s="325">
        <v>0</v>
      </c>
      <c r="R585" s="325">
        <v>0</v>
      </c>
      <c r="S585" s="326">
        <v>0</v>
      </c>
      <c r="T585" s="21">
        <v>1</v>
      </c>
      <c r="U585" s="10"/>
      <c r="V585" s="90">
        <v>1248.3900000000001</v>
      </c>
      <c r="W585" s="91"/>
      <c r="X585" s="92"/>
      <c r="Y585" s="2"/>
    </row>
    <row r="586" spans="1:25">
      <c r="B586" s="87">
        <f t="shared" si="125"/>
        <v>7</v>
      </c>
      <c r="C586" s="295">
        <v>45910</v>
      </c>
      <c r="D586" s="323">
        <v>73147</v>
      </c>
      <c r="E586" s="10" t="s">
        <v>1256</v>
      </c>
      <c r="F586" s="62">
        <v>360</v>
      </c>
      <c r="G586" s="62"/>
      <c r="H586" s="88"/>
      <c r="I586" s="89">
        <f t="shared" si="124"/>
        <v>360</v>
      </c>
      <c r="J586" s="63" t="s">
        <v>156</v>
      </c>
      <c r="K586" s="63">
        <v>1</v>
      </c>
      <c r="L586" s="63">
        <v>1</v>
      </c>
      <c r="M586" s="63">
        <v>1</v>
      </c>
      <c r="N586" s="63">
        <v>1</v>
      </c>
      <c r="O586" s="63">
        <v>1</v>
      </c>
      <c r="P586" s="63">
        <v>1</v>
      </c>
      <c r="Q586" s="63">
        <v>1</v>
      </c>
      <c r="R586" s="63">
        <v>1</v>
      </c>
      <c r="S586" s="296">
        <v>1</v>
      </c>
      <c r="T586" s="21"/>
      <c r="U586" s="10"/>
      <c r="V586" s="90">
        <v>396</v>
      </c>
      <c r="W586" s="91"/>
      <c r="X586" s="92"/>
      <c r="Y586" s="2"/>
    </row>
    <row r="587" spans="1:25">
      <c r="B587" s="87">
        <f t="shared" si="125"/>
        <v>8</v>
      </c>
      <c r="C587" s="274">
        <v>45911</v>
      </c>
      <c r="D587" s="327">
        <v>73234</v>
      </c>
      <c r="E587" s="276" t="s">
        <v>1045</v>
      </c>
      <c r="F587" s="277">
        <v>1485</v>
      </c>
      <c r="G587" s="277">
        <f>39.7</f>
        <v>39.700000000000003</v>
      </c>
      <c r="H587" s="297"/>
      <c r="I587" s="278">
        <f t="shared" si="124"/>
        <v>1445.3</v>
      </c>
      <c r="J587" s="279" t="s">
        <v>156</v>
      </c>
      <c r="K587" s="279">
        <v>1</v>
      </c>
      <c r="L587" s="279">
        <v>1</v>
      </c>
      <c r="M587" s="279">
        <v>1</v>
      </c>
      <c r="N587" s="279">
        <v>1</v>
      </c>
      <c r="O587" s="279">
        <v>1</v>
      </c>
      <c r="P587" s="279">
        <v>1</v>
      </c>
      <c r="Q587" s="279">
        <v>1</v>
      </c>
      <c r="R587" s="279">
        <v>1</v>
      </c>
      <c r="S587" s="280">
        <v>1</v>
      </c>
      <c r="T587" s="63"/>
      <c r="U587" s="10" t="s">
        <v>2974</v>
      </c>
      <c r="V587" s="90">
        <f>160+1473.5</f>
        <v>1633.5</v>
      </c>
      <c r="W587" s="91"/>
      <c r="X587" s="92"/>
      <c r="Y587" s="2"/>
    </row>
    <row r="588" spans="1:25">
      <c r="B588" s="87">
        <f t="shared" si="125"/>
        <v>9</v>
      </c>
      <c r="C588" s="282">
        <v>45911</v>
      </c>
      <c r="D588" s="368">
        <v>73229</v>
      </c>
      <c r="E588" s="283" t="s">
        <v>1494</v>
      </c>
      <c r="F588" s="284">
        <v>581</v>
      </c>
      <c r="G588" s="284"/>
      <c r="H588" s="315"/>
      <c r="I588" s="331">
        <f t="shared" si="124"/>
        <v>581</v>
      </c>
      <c r="J588" s="286" t="s">
        <v>156</v>
      </c>
      <c r="K588" s="286">
        <v>1</v>
      </c>
      <c r="L588" s="286">
        <v>1</v>
      </c>
      <c r="M588" s="286">
        <v>1</v>
      </c>
      <c r="N588" s="286">
        <v>1</v>
      </c>
      <c r="O588" s="286">
        <v>1</v>
      </c>
      <c r="P588" s="332">
        <v>0</v>
      </c>
      <c r="Q588" s="332">
        <v>0</v>
      </c>
      <c r="R588" s="332">
        <v>0</v>
      </c>
      <c r="S588" s="370">
        <v>0</v>
      </c>
      <c r="T588" s="63"/>
      <c r="U588" s="10" t="s">
        <v>2975</v>
      </c>
      <c r="V588" s="90">
        <v>639.1</v>
      </c>
      <c r="W588" s="91"/>
      <c r="X588" s="92"/>
      <c r="Y588" s="2"/>
    </row>
    <row r="589" spans="1:25">
      <c r="B589" s="87"/>
      <c r="C589" s="36"/>
      <c r="D589" s="10"/>
      <c r="E589" s="10"/>
      <c r="F589" s="97">
        <f>SUM(F580:F588)</f>
        <v>10051.299999999999</v>
      </c>
      <c r="G589" s="97">
        <f>SUM(G580:G588)</f>
        <v>524.0100000000001</v>
      </c>
      <c r="H589" s="97">
        <f>SUM(H580:H588)</f>
        <v>0</v>
      </c>
      <c r="I589" s="98">
        <f>SUM(I580:I588)</f>
        <v>9527.2899999999991</v>
      </c>
      <c r="J589" s="63"/>
      <c r="K589" s="63">
        <f>COUNT(K580:K588)</f>
        <v>9</v>
      </c>
      <c r="L589" s="63">
        <f>COUNT(L580:L588)</f>
        <v>9</v>
      </c>
      <c r="M589" s="63">
        <f>COUNT(M580:M588)</f>
        <v>9</v>
      </c>
      <c r="N589" s="63">
        <f>COUNT(N580:N588)</f>
        <v>9</v>
      </c>
      <c r="O589" s="63">
        <f>COUNT(O580:O588)</f>
        <v>9</v>
      </c>
      <c r="P589" s="63">
        <f>COUNT(P580:P588)</f>
        <v>9</v>
      </c>
      <c r="Q589" s="63">
        <f>COUNT(Q580:Q588)</f>
        <v>9</v>
      </c>
      <c r="R589" s="63">
        <f>COUNT(R580:R588)</f>
        <v>9</v>
      </c>
      <c r="S589" s="63">
        <f>COUNT(S580:S588)</f>
        <v>9</v>
      </c>
      <c r="T589" s="63"/>
      <c r="U589" s="10"/>
      <c r="V589" s="90"/>
      <c r="W589" s="91"/>
      <c r="X589" s="92"/>
      <c r="Y589" s="2"/>
    </row>
    <row r="590" spans="1:25">
      <c r="B590" s="87"/>
      <c r="C590" s="36"/>
      <c r="D590" s="10"/>
      <c r="E590" s="10"/>
      <c r="F590" s="88"/>
      <c r="G590" s="88"/>
      <c r="H590" s="88"/>
      <c r="I590" s="99"/>
      <c r="J590" s="63"/>
      <c r="K590" s="21">
        <f>SUM(K580:K588)</f>
        <v>9</v>
      </c>
      <c r="L590" s="21">
        <f>SUM(L580:L588)</f>
        <v>7</v>
      </c>
      <c r="M590" s="21">
        <f>SUM(M580:M588)</f>
        <v>8</v>
      </c>
      <c r="N590" s="21">
        <f>SUM(N580:N588)</f>
        <v>9</v>
      </c>
      <c r="O590" s="21">
        <f>SUM(O580:O588)</f>
        <v>9</v>
      </c>
      <c r="P590" s="21">
        <f>SUM(P580:P588)</f>
        <v>8</v>
      </c>
      <c r="Q590" s="21">
        <f>SUM(Q580:Q588)</f>
        <v>7</v>
      </c>
      <c r="R590" s="21">
        <f>SUM(R580:R588)</f>
        <v>4</v>
      </c>
      <c r="S590" s="21">
        <f>SUM(S580:S588)</f>
        <v>7</v>
      </c>
      <c r="T590" s="63"/>
      <c r="U590" s="10"/>
      <c r="V590" s="90"/>
      <c r="W590" s="91"/>
      <c r="X590" s="92"/>
      <c r="Y590" s="2"/>
    </row>
    <row r="591" spans="1:25">
      <c r="B591" s="11"/>
      <c r="C591" s="36"/>
      <c r="D591" s="10"/>
      <c r="E591" s="10"/>
      <c r="F591" s="88"/>
      <c r="G591" s="88"/>
      <c r="H591" s="88"/>
      <c r="I591" s="99"/>
      <c r="J591" s="63"/>
      <c r="K591" s="21"/>
      <c r="L591" s="21"/>
      <c r="M591" s="21"/>
      <c r="N591" s="21"/>
      <c r="O591" s="21"/>
      <c r="P591" s="21"/>
      <c r="Q591" s="21"/>
      <c r="R591" s="21"/>
      <c r="S591" s="21"/>
      <c r="T591" s="63"/>
      <c r="U591" s="94"/>
      <c r="V591" s="90"/>
      <c r="W591" s="91"/>
      <c r="X591" s="92"/>
      <c r="Y591" s="2"/>
    </row>
    <row r="592" spans="1:25">
      <c r="B592" s="121" t="s">
        <v>68</v>
      </c>
      <c r="C592" s="36"/>
      <c r="D592" s="123"/>
      <c r="E592" s="123"/>
      <c r="F592" s="124"/>
      <c r="G592" s="125"/>
      <c r="H592" s="124"/>
      <c r="I592" s="126"/>
      <c r="J592" s="127"/>
      <c r="K592" s="128"/>
      <c r="L592" s="128"/>
      <c r="M592" s="128"/>
      <c r="N592" s="128"/>
      <c r="O592" s="128"/>
      <c r="P592" s="128"/>
      <c r="Q592" s="128"/>
      <c r="R592" s="128"/>
      <c r="S592" s="128"/>
      <c r="T592" s="127"/>
      <c r="U592" s="123"/>
      <c r="V592" s="129"/>
      <c r="W592" s="130"/>
      <c r="X592" s="131"/>
      <c r="Y592" s="128"/>
    </row>
    <row r="593" spans="1:25">
      <c r="A593" s="705">
        <v>0.05</v>
      </c>
      <c r="B593" s="333">
        <v>1</v>
      </c>
      <c r="C593" s="350">
        <v>45910</v>
      </c>
      <c r="D593" s="263">
        <v>73185</v>
      </c>
      <c r="E593" s="358" t="s">
        <v>1319</v>
      </c>
      <c r="F593" s="352">
        <v>1674.9</v>
      </c>
      <c r="G593" s="352">
        <f>39.7+544.5</f>
        <v>584.20000000000005</v>
      </c>
      <c r="H593" s="486"/>
      <c r="I593" s="353">
        <f t="shared" ref="I593" si="126">F593-G593-H593</f>
        <v>1090.7</v>
      </c>
      <c r="J593" s="354" t="s">
        <v>150</v>
      </c>
      <c r="K593" s="354">
        <v>1</v>
      </c>
      <c r="L593" s="354">
        <v>1</v>
      </c>
      <c r="M593" s="314">
        <v>0</v>
      </c>
      <c r="N593" s="354">
        <v>1</v>
      </c>
      <c r="O593" s="354">
        <v>1</v>
      </c>
      <c r="P593" s="354">
        <v>1</v>
      </c>
      <c r="Q593" s="314">
        <v>0</v>
      </c>
      <c r="R593" s="314">
        <v>0</v>
      </c>
      <c r="S593" s="366">
        <v>0</v>
      </c>
      <c r="T593" s="127"/>
      <c r="U593" s="123" t="s">
        <v>570</v>
      </c>
      <c r="V593" s="129">
        <v>0</v>
      </c>
      <c r="W593" s="710">
        <v>200</v>
      </c>
      <c r="X593" s="131"/>
      <c r="Y593" s="128"/>
    </row>
    <row r="594" spans="1:25" s="342" customFormat="1">
      <c r="A594" s="342" t="s">
        <v>619</v>
      </c>
      <c r="B594" s="333">
        <f>B593+1</f>
        <v>2</v>
      </c>
      <c r="C594" s="350">
        <v>45911</v>
      </c>
      <c r="D594" s="263" t="s">
        <v>2976</v>
      </c>
      <c r="E594" s="358" t="s">
        <v>1045</v>
      </c>
      <c r="F594" s="352">
        <f>585-85</f>
        <v>500</v>
      </c>
      <c r="G594" s="352"/>
      <c r="H594" s="486"/>
      <c r="I594" s="353">
        <f t="shared" ref="I594" si="127">F594-G594-H594</f>
        <v>500</v>
      </c>
      <c r="J594" s="354" t="s">
        <v>156</v>
      </c>
      <c r="K594" s="354">
        <v>1</v>
      </c>
      <c r="L594" s="354">
        <v>1</v>
      </c>
      <c r="M594" s="354">
        <v>1</v>
      </c>
      <c r="N594" s="354">
        <v>1</v>
      </c>
      <c r="O594" s="354">
        <v>1</v>
      </c>
      <c r="P594" s="354">
        <v>1</v>
      </c>
      <c r="Q594" s="354">
        <v>1</v>
      </c>
      <c r="R594" s="314">
        <v>0</v>
      </c>
      <c r="S594" s="355">
        <v>1</v>
      </c>
      <c r="T594" s="127"/>
      <c r="U594" s="123"/>
      <c r="V594" s="129">
        <f>93.5</f>
        <v>93.5</v>
      </c>
      <c r="W594" s="130"/>
      <c r="X594" s="131"/>
      <c r="Y594" s="128"/>
    </row>
    <row r="595" spans="1:25">
      <c r="B595" s="132"/>
      <c r="C595" s="36"/>
      <c r="D595" s="123"/>
      <c r="E595" s="123"/>
      <c r="F595" s="133">
        <f>SUM(F593:F594)</f>
        <v>2174.9</v>
      </c>
      <c r="G595" s="133">
        <f>SUM(G593:G594)</f>
        <v>584.20000000000005</v>
      </c>
      <c r="H595" s="133">
        <f>SUM(H593:H594)</f>
        <v>0</v>
      </c>
      <c r="I595" s="133">
        <f>SUM(I593:I594)</f>
        <v>1590.7</v>
      </c>
      <c r="J595" s="127"/>
      <c r="K595" s="64"/>
      <c r="L595" s="64"/>
      <c r="M595" s="64"/>
      <c r="N595" s="64"/>
      <c r="O595" s="64"/>
      <c r="P595" s="64"/>
      <c r="Q595" s="64"/>
      <c r="R595" s="64"/>
      <c r="S595" s="64"/>
      <c r="T595" s="127"/>
      <c r="U595" s="123"/>
      <c r="V595" s="129"/>
      <c r="W595" s="130"/>
      <c r="X595" s="131"/>
      <c r="Y595" s="128"/>
    </row>
    <row r="596" spans="1:25">
      <c r="B596" s="11"/>
      <c r="C596" s="36"/>
      <c r="D596" s="10"/>
      <c r="E596" s="10"/>
      <c r="F596" s="88"/>
      <c r="G596" s="88"/>
      <c r="H596" s="88"/>
      <c r="I596" s="99"/>
      <c r="J596" s="63"/>
      <c r="K596" s="21"/>
      <c r="L596" s="21"/>
      <c r="M596" s="21"/>
      <c r="N596" s="21"/>
      <c r="O596" s="21"/>
      <c r="P596" s="21"/>
      <c r="Q596" s="21"/>
      <c r="R596" s="21"/>
      <c r="S596" s="21"/>
      <c r="T596" s="63"/>
      <c r="U596" s="94"/>
      <c r="V596" s="90"/>
      <c r="W596" s="91"/>
      <c r="X596" s="92"/>
      <c r="Y596" s="2"/>
    </row>
    <row r="597" spans="1:25">
      <c r="B597" s="121" t="s">
        <v>70</v>
      </c>
      <c r="C597" s="36"/>
      <c r="D597" s="123"/>
      <c r="E597" s="128"/>
      <c r="F597" s="124"/>
      <c r="G597" s="124"/>
      <c r="H597" s="124"/>
      <c r="I597" s="126"/>
      <c r="J597" s="127"/>
      <c r="K597" s="64"/>
      <c r="L597" s="64"/>
      <c r="M597" s="64"/>
      <c r="N597" s="64"/>
      <c r="O597" s="64"/>
      <c r="P597" s="64"/>
      <c r="Q597" s="64"/>
      <c r="R597" s="64"/>
      <c r="S597" s="64"/>
      <c r="T597" s="127"/>
      <c r="U597" s="135"/>
      <c r="V597" s="129"/>
      <c r="W597" s="130"/>
      <c r="X597" s="131"/>
      <c r="Y597" s="128"/>
    </row>
    <row r="598" spans="1:25" s="342" customFormat="1">
      <c r="A598" s="492" t="s">
        <v>2977</v>
      </c>
      <c r="B598" s="333">
        <v>1</v>
      </c>
      <c r="C598" s="334">
        <v>45908</v>
      </c>
      <c r="D598" s="327">
        <v>73058</v>
      </c>
      <c r="E598" s="335" t="s">
        <v>1319</v>
      </c>
      <c r="F598" s="336">
        <v>6552</v>
      </c>
      <c r="G598" s="336">
        <f>39.7+250</f>
        <v>289.7</v>
      </c>
      <c r="H598" s="336">
        <f>F598*0.2</f>
        <v>1310.4000000000001</v>
      </c>
      <c r="I598" s="337">
        <f>F598-G598-H598</f>
        <v>4951.8999999999996</v>
      </c>
      <c r="J598" s="338" t="s">
        <v>2978</v>
      </c>
      <c r="K598" s="338">
        <v>1</v>
      </c>
      <c r="L598" s="338"/>
      <c r="M598" s="338">
        <v>1</v>
      </c>
      <c r="N598" s="338">
        <v>1</v>
      </c>
      <c r="O598" s="338">
        <v>1</v>
      </c>
      <c r="P598" s="338">
        <v>1</v>
      </c>
      <c r="Q598" s="338"/>
      <c r="R598" s="338"/>
      <c r="S598" s="339"/>
      <c r="T598" s="127"/>
      <c r="U598" s="135" t="s">
        <v>2979</v>
      </c>
      <c r="V598" s="129">
        <v>0</v>
      </c>
      <c r="W598" s="711">
        <v>360</v>
      </c>
      <c r="X598" s="341"/>
      <c r="Y598" s="128"/>
    </row>
    <row r="599" spans="1:25" s="342" customFormat="1">
      <c r="A599" s="492">
        <v>0.05</v>
      </c>
      <c r="B599" s="333">
        <f t="shared" ref="B599" si="128">B598+1</f>
        <v>2</v>
      </c>
      <c r="C599" s="350">
        <v>45910</v>
      </c>
      <c r="D599" s="263">
        <v>73205</v>
      </c>
      <c r="E599" s="358" t="s">
        <v>1058</v>
      </c>
      <c r="F599" s="352">
        <v>14049</v>
      </c>
      <c r="G599" s="352">
        <f>39.7+(795.1)+1000</f>
        <v>1834.8000000000002</v>
      </c>
      <c r="H599" s="352"/>
      <c r="I599" s="353">
        <f t="shared" ref="I599" si="129">F599-G599-H599</f>
        <v>12214.2</v>
      </c>
      <c r="J599" s="354" t="s">
        <v>374</v>
      </c>
      <c r="K599" s="354">
        <v>1</v>
      </c>
      <c r="L599" s="354"/>
      <c r="M599" s="354">
        <v>1</v>
      </c>
      <c r="N599" s="354">
        <v>1</v>
      </c>
      <c r="O599" s="354">
        <v>1</v>
      </c>
      <c r="P599" s="354">
        <v>1</v>
      </c>
      <c r="Q599" s="354"/>
      <c r="R599" s="354"/>
      <c r="S599" s="355"/>
      <c r="T599" s="127"/>
      <c r="U599" s="135" t="s">
        <v>2980</v>
      </c>
      <c r="V599" s="129">
        <f>1500</f>
        <v>1500</v>
      </c>
      <c r="W599" s="340"/>
      <c r="X599" s="341"/>
      <c r="Y599" s="128"/>
    </row>
    <row r="600" spans="1:25">
      <c r="B600" s="132"/>
      <c r="C600" s="36"/>
      <c r="D600" s="123"/>
      <c r="E600" s="123"/>
      <c r="F600" s="133">
        <f>SUM(F598:F599)</f>
        <v>20601</v>
      </c>
      <c r="G600" s="133">
        <f>SUM(G598:G599)</f>
        <v>2124.5</v>
      </c>
      <c r="H600" s="133">
        <f>SUM(H598:H599)</f>
        <v>1310.4000000000001</v>
      </c>
      <c r="I600" s="134">
        <f>SUM(I598:I599)</f>
        <v>17166.099999999999</v>
      </c>
      <c r="J600" s="127"/>
      <c r="K600" s="64"/>
      <c r="L600" s="64"/>
      <c r="M600" s="64"/>
      <c r="N600" s="64"/>
      <c r="O600" s="64"/>
      <c r="P600" s="64"/>
      <c r="Q600" s="64"/>
      <c r="R600" s="64"/>
      <c r="S600" s="64"/>
      <c r="T600" s="127"/>
      <c r="U600" s="135"/>
      <c r="V600" s="129"/>
      <c r="W600" s="130"/>
      <c r="X600" s="131"/>
      <c r="Y600" s="128"/>
    </row>
    <row r="601" spans="1:25">
      <c r="B601" s="11"/>
      <c r="C601" s="36"/>
      <c r="D601" s="10"/>
      <c r="E601" s="10"/>
      <c r="F601" s="88"/>
      <c r="G601" s="88"/>
      <c r="H601" s="88"/>
      <c r="I601" s="99"/>
      <c r="J601" s="63"/>
      <c r="K601" s="21"/>
      <c r="L601" s="21"/>
      <c r="M601" s="21"/>
      <c r="N601" s="21"/>
      <c r="O601" s="21"/>
      <c r="P601" s="21"/>
      <c r="Q601" s="21"/>
      <c r="R601" s="21"/>
      <c r="S601" s="21"/>
      <c r="T601" s="63"/>
      <c r="U601" s="94"/>
      <c r="V601" s="90"/>
      <c r="W601" s="91"/>
      <c r="X601" s="92"/>
      <c r="Y601" s="2"/>
    </row>
    <row r="602" spans="1:25" s="342" customFormat="1">
      <c r="B602" s="100" t="s">
        <v>152</v>
      </c>
      <c r="C602" s="122"/>
      <c r="D602" s="123"/>
      <c r="E602" s="123"/>
      <c r="F602" s="124"/>
      <c r="G602" s="125"/>
      <c r="H602" s="124"/>
      <c r="I602" s="126"/>
      <c r="J602" s="127"/>
      <c r="K602" s="128"/>
      <c r="L602" s="128"/>
      <c r="M602" s="128"/>
      <c r="N602" s="128"/>
      <c r="O602" s="128"/>
      <c r="P602" s="128"/>
      <c r="Q602" s="128"/>
      <c r="R602" s="128"/>
      <c r="S602" s="128"/>
      <c r="T602" s="127"/>
      <c r="U602" s="123"/>
      <c r="V602" s="129"/>
      <c r="W602" s="130"/>
      <c r="X602" s="131"/>
    </row>
    <row r="603" spans="1:25" s="260" customFormat="1">
      <c r="A603" s="494">
        <v>0.05</v>
      </c>
      <c r="B603" s="87">
        <v>1</v>
      </c>
      <c r="C603" s="262">
        <v>45866</v>
      </c>
      <c r="D603" s="263">
        <v>71800</v>
      </c>
      <c r="E603" s="271" t="s">
        <v>2823</v>
      </c>
      <c r="F603" s="265">
        <v>6214</v>
      </c>
      <c r="G603" s="265">
        <f>39.7+(1288.73)+250</f>
        <v>1578.43</v>
      </c>
      <c r="H603" s="265"/>
      <c r="I603" s="266">
        <f>F603-G603-H603</f>
        <v>4635.57</v>
      </c>
      <c r="J603" s="267" t="s">
        <v>156</v>
      </c>
      <c r="K603" s="267">
        <v>1</v>
      </c>
      <c r="L603" s="314">
        <v>0</v>
      </c>
      <c r="M603" s="267">
        <v>1</v>
      </c>
      <c r="N603" s="267">
        <v>1</v>
      </c>
      <c r="O603" s="267">
        <v>1</v>
      </c>
      <c r="P603" s="314">
        <v>0</v>
      </c>
      <c r="Q603" s="314">
        <v>0</v>
      </c>
      <c r="R603" s="314">
        <v>0</v>
      </c>
      <c r="S603" s="366">
        <v>0</v>
      </c>
      <c r="T603" s="63"/>
      <c r="U603" s="94" t="s">
        <v>2930</v>
      </c>
      <c r="V603" s="90"/>
      <c r="W603" s="136"/>
      <c r="X603" s="92"/>
    </row>
    <row r="604" spans="1:25" s="260" customFormat="1">
      <c r="A604" s="260" t="s">
        <v>619</v>
      </c>
      <c r="B604" s="87">
        <f>B603+1</f>
        <v>2</v>
      </c>
      <c r="C604" s="262">
        <v>45866</v>
      </c>
      <c r="D604" s="263">
        <v>71787</v>
      </c>
      <c r="E604" s="271" t="s">
        <v>1338</v>
      </c>
      <c r="F604" s="265">
        <v>28614</v>
      </c>
      <c r="G604" s="265">
        <f>39.7+1424.2+(474.48+162.31+289.19+9.1+8.29-78.88)+(F604*0.25)</f>
        <v>9481.89</v>
      </c>
      <c r="H604" s="265"/>
      <c r="I604" s="266">
        <f>F604-G604-H604</f>
        <v>19132.11</v>
      </c>
      <c r="J604" s="267" t="s">
        <v>374</v>
      </c>
      <c r="K604" s="267">
        <v>1</v>
      </c>
      <c r="L604" s="267"/>
      <c r="M604" s="267">
        <v>1</v>
      </c>
      <c r="N604" s="267">
        <v>1</v>
      </c>
      <c r="O604" s="267">
        <v>1</v>
      </c>
      <c r="P604" s="314">
        <v>0</v>
      </c>
      <c r="Q604" s="314">
        <v>0</v>
      </c>
      <c r="R604" s="314">
        <v>0</v>
      </c>
      <c r="S604" s="366">
        <v>0</v>
      </c>
      <c r="T604" s="63"/>
      <c r="U604" s="94" t="s">
        <v>2852</v>
      </c>
      <c r="V604" s="90"/>
      <c r="W604" s="136"/>
      <c r="X604" s="137"/>
    </row>
    <row r="605" spans="1:25" s="260" customFormat="1">
      <c r="A605" s="261" t="s">
        <v>619</v>
      </c>
      <c r="B605" s="87">
        <f>B604+1</f>
        <v>3</v>
      </c>
      <c r="C605" s="274">
        <v>45873</v>
      </c>
      <c r="D605" s="327">
        <v>71967</v>
      </c>
      <c r="E605" s="281" t="s">
        <v>1256</v>
      </c>
      <c r="F605" s="277">
        <v>2681</v>
      </c>
      <c r="G605" s="277">
        <f>39.7+(189.05)+(15.38)+200</f>
        <v>444.13</v>
      </c>
      <c r="H605" s="277"/>
      <c r="I605" s="321">
        <f>F605-G605-H605</f>
        <v>2236.87</v>
      </c>
      <c r="J605" s="279" t="s">
        <v>374</v>
      </c>
      <c r="K605" s="279">
        <v>1</v>
      </c>
      <c r="L605" s="279">
        <v>1</v>
      </c>
      <c r="M605" s="279">
        <v>1</v>
      </c>
      <c r="N605" s="279">
        <v>1</v>
      </c>
      <c r="O605" s="279">
        <v>1</v>
      </c>
      <c r="P605" s="322">
        <v>0</v>
      </c>
      <c r="Q605" s="279">
        <v>1</v>
      </c>
      <c r="R605" s="279">
        <v>1</v>
      </c>
      <c r="S605" s="280">
        <v>1</v>
      </c>
      <c r="T605" s="63"/>
      <c r="U605" s="10" t="s">
        <v>2851</v>
      </c>
      <c r="V605" s="90"/>
      <c r="W605" s="91"/>
      <c r="X605" s="92"/>
    </row>
    <row r="606" spans="1:25" s="260" customFormat="1">
      <c r="A606" s="181" t="s">
        <v>619</v>
      </c>
      <c r="B606" s="87">
        <f t="shared" ref="B606:B611" si="130">B605+1</f>
        <v>4</v>
      </c>
      <c r="C606" s="262">
        <v>45881</v>
      </c>
      <c r="D606" s="263">
        <v>72270</v>
      </c>
      <c r="E606" s="271" t="s">
        <v>1120</v>
      </c>
      <c r="F606" s="265">
        <f>11380-2000</f>
        <v>9380</v>
      </c>
      <c r="G606" s="265">
        <f>39.7+(227.91)+300</f>
        <v>567.61</v>
      </c>
      <c r="H606" s="265"/>
      <c r="I606" s="266">
        <f>F606-G606-H606</f>
        <v>8812.39</v>
      </c>
      <c r="J606" s="267" t="s">
        <v>156</v>
      </c>
      <c r="K606" s="267">
        <v>1</v>
      </c>
      <c r="L606" s="267"/>
      <c r="M606" s="267">
        <v>1</v>
      </c>
      <c r="N606" s="267">
        <v>1</v>
      </c>
      <c r="O606" s="267">
        <v>1</v>
      </c>
      <c r="P606" s="314">
        <v>0</v>
      </c>
      <c r="Q606" s="314">
        <v>0</v>
      </c>
      <c r="R606" s="314">
        <v>0</v>
      </c>
      <c r="S606" s="366">
        <v>0</v>
      </c>
      <c r="T606" s="63"/>
      <c r="U606" s="94" t="s">
        <v>2872</v>
      </c>
      <c r="V606" s="90"/>
      <c r="W606" s="136"/>
      <c r="X606" s="137"/>
    </row>
    <row r="607" spans="1:25" s="260" customFormat="1">
      <c r="A607" s="261" t="s">
        <v>2542</v>
      </c>
      <c r="B607" s="87">
        <f t="shared" si="130"/>
        <v>5</v>
      </c>
      <c r="C607" s="274">
        <v>45890</v>
      </c>
      <c r="D607" s="327">
        <v>72522</v>
      </c>
      <c r="E607" s="276" t="s">
        <v>1169</v>
      </c>
      <c r="F607" s="277">
        <v>3122</v>
      </c>
      <c r="G607" s="277">
        <f>39.7+877.8+(521.76+88.09)+200</f>
        <v>1727.35</v>
      </c>
      <c r="H607" s="277"/>
      <c r="I607" s="321">
        <f>F607-G607-H607</f>
        <v>1394.65</v>
      </c>
      <c r="J607" s="279" t="s">
        <v>156</v>
      </c>
      <c r="K607" s="279">
        <v>1</v>
      </c>
      <c r="L607" s="279">
        <v>1</v>
      </c>
      <c r="M607" s="279">
        <v>1</v>
      </c>
      <c r="N607" s="279">
        <v>1</v>
      </c>
      <c r="O607" s="279">
        <v>1</v>
      </c>
      <c r="P607" s="279">
        <v>1</v>
      </c>
      <c r="Q607" s="279">
        <v>1</v>
      </c>
      <c r="R607" s="322">
        <v>0</v>
      </c>
      <c r="S607" s="328">
        <v>0</v>
      </c>
      <c r="T607" s="63"/>
      <c r="U607" s="10" t="s">
        <v>2931</v>
      </c>
      <c r="V607" s="90"/>
      <c r="W607" s="136"/>
      <c r="X607" s="137"/>
    </row>
    <row r="608" spans="1:25" s="260" customFormat="1">
      <c r="A608" s="261">
        <v>0.05</v>
      </c>
      <c r="B608" s="87">
        <f t="shared" si="130"/>
        <v>6</v>
      </c>
      <c r="C608" s="282">
        <v>45890</v>
      </c>
      <c r="D608" s="368">
        <v>72515</v>
      </c>
      <c r="E608" s="283" t="s">
        <v>1058</v>
      </c>
      <c r="F608" s="284">
        <v>2575</v>
      </c>
      <c r="G608" s="284">
        <v>39.700000000000003</v>
      </c>
      <c r="H608" s="315"/>
      <c r="I608" s="300">
        <f>F608-G608-H608</f>
        <v>2535.3000000000002</v>
      </c>
      <c r="J608" s="286" t="s">
        <v>374</v>
      </c>
      <c r="K608" s="286">
        <v>1</v>
      </c>
      <c r="L608" s="286">
        <v>1</v>
      </c>
      <c r="M608" s="286">
        <v>1</v>
      </c>
      <c r="N608" s="286">
        <v>1</v>
      </c>
      <c r="O608" s="286">
        <v>1</v>
      </c>
      <c r="P608" s="286">
        <v>1</v>
      </c>
      <c r="Q608" s="286">
        <v>1</v>
      </c>
      <c r="R608" s="332">
        <v>0</v>
      </c>
      <c r="S608" s="370">
        <v>0</v>
      </c>
      <c r="T608" s="63"/>
      <c r="U608" s="10" t="s">
        <v>2895</v>
      </c>
      <c r="V608" s="90"/>
      <c r="W608" s="91"/>
      <c r="X608" s="92"/>
    </row>
    <row r="609" spans="1:25" s="260" customFormat="1">
      <c r="A609" s="261">
        <v>0.05</v>
      </c>
      <c r="B609" s="87">
        <f t="shared" si="130"/>
        <v>7</v>
      </c>
      <c r="C609" s="262">
        <v>45896</v>
      </c>
      <c r="D609" s="490" t="s">
        <v>2926</v>
      </c>
      <c r="E609" s="271" t="s">
        <v>2919</v>
      </c>
      <c r="F609" s="265">
        <v>8213.2000000000007</v>
      </c>
      <c r="G609" s="265">
        <f>39.7+(13+1388.11)+750</f>
        <v>2190.81</v>
      </c>
      <c r="H609" s="265"/>
      <c r="I609" s="266">
        <f t="shared" ref="I609" si="131">F609-G609-H609</f>
        <v>6022.3900000000012</v>
      </c>
      <c r="J609" s="267" t="s">
        <v>228</v>
      </c>
      <c r="K609" s="267">
        <v>1</v>
      </c>
      <c r="L609" s="314">
        <v>0</v>
      </c>
      <c r="M609" s="267">
        <v>1</v>
      </c>
      <c r="N609" s="267">
        <v>1</v>
      </c>
      <c r="O609" s="267">
        <v>1</v>
      </c>
      <c r="P609" s="314">
        <v>0</v>
      </c>
      <c r="Q609" s="267">
        <v>1</v>
      </c>
      <c r="R609" s="314">
        <v>0</v>
      </c>
      <c r="S609" s="366">
        <v>0</v>
      </c>
      <c r="T609" s="21"/>
      <c r="U609" s="94" t="s">
        <v>2927</v>
      </c>
      <c r="V609" s="90"/>
      <c r="W609" s="91"/>
      <c r="X609" s="92"/>
    </row>
    <row r="610" spans="1:25" s="260" customFormat="1">
      <c r="A610" s="181" t="s">
        <v>2542</v>
      </c>
      <c r="B610" s="87">
        <f t="shared" si="130"/>
        <v>8</v>
      </c>
      <c r="C610" s="262">
        <v>45897</v>
      </c>
      <c r="D610" s="263">
        <v>72735</v>
      </c>
      <c r="E610" s="271" t="s">
        <v>1169</v>
      </c>
      <c r="F610" s="265">
        <v>2916</v>
      </c>
      <c r="G610" s="265">
        <f>39.7+(177.31+59.74+254.1)+300</f>
        <v>830.85</v>
      </c>
      <c r="H610" s="265"/>
      <c r="I610" s="266">
        <f>F610-G610-H610</f>
        <v>2085.15</v>
      </c>
      <c r="J610" s="267" t="s">
        <v>156</v>
      </c>
      <c r="K610" s="267">
        <v>1</v>
      </c>
      <c r="L610" s="267">
        <v>1</v>
      </c>
      <c r="M610" s="267">
        <v>1</v>
      </c>
      <c r="N610" s="267">
        <v>1</v>
      </c>
      <c r="O610" s="267">
        <v>1</v>
      </c>
      <c r="P610" s="267">
        <v>1</v>
      </c>
      <c r="Q610" s="267">
        <v>1</v>
      </c>
      <c r="R610" s="267">
        <v>1</v>
      </c>
      <c r="S610" s="366">
        <v>0</v>
      </c>
      <c r="T610" s="63"/>
      <c r="U610" s="94" t="s">
        <v>2929</v>
      </c>
      <c r="V610" s="90"/>
      <c r="W610" s="136"/>
      <c r="X610" s="137"/>
    </row>
    <row r="611" spans="1:25" s="260" customFormat="1">
      <c r="A611" s="261">
        <v>0.05</v>
      </c>
      <c r="B611" s="87">
        <f t="shared" si="130"/>
        <v>9</v>
      </c>
      <c r="C611" s="262">
        <v>45896</v>
      </c>
      <c r="D611" s="263">
        <v>72711</v>
      </c>
      <c r="E611" s="271" t="s">
        <v>1494</v>
      </c>
      <c r="F611" s="265">
        <v>2792</v>
      </c>
      <c r="G611" s="265">
        <f>+(85.41)</f>
        <v>85.41</v>
      </c>
      <c r="H611" s="265"/>
      <c r="I611" s="266">
        <f>F611-G611-H611</f>
        <v>2706.59</v>
      </c>
      <c r="J611" s="267" t="s">
        <v>156</v>
      </c>
      <c r="K611" s="267">
        <v>1</v>
      </c>
      <c r="L611" s="314">
        <v>0</v>
      </c>
      <c r="M611" s="267">
        <v>1</v>
      </c>
      <c r="N611" s="267">
        <v>1</v>
      </c>
      <c r="O611" s="267">
        <v>1</v>
      </c>
      <c r="P611" s="314">
        <v>0</v>
      </c>
      <c r="Q611" s="314">
        <v>0</v>
      </c>
      <c r="R611" s="314">
        <v>0</v>
      </c>
      <c r="S611" s="366">
        <v>0</v>
      </c>
      <c r="T611" s="63"/>
      <c r="U611" s="94" t="s">
        <v>2928</v>
      </c>
      <c r="V611" s="90"/>
      <c r="W611" s="136"/>
      <c r="X611" s="137"/>
    </row>
    <row r="612" spans="1:25" s="260" customFormat="1">
      <c r="B612" s="11"/>
      <c r="C612" s="36"/>
      <c r="D612" s="10"/>
      <c r="E612" s="10"/>
      <c r="F612" s="98">
        <f>SUM(F603:F611)</f>
        <v>66507.199999999997</v>
      </c>
      <c r="G612" s="98">
        <f t="shared" ref="G612" si="132">SUM(G603:G611)</f>
        <v>16946.18</v>
      </c>
      <c r="H612" s="98">
        <f t="shared" ref="H612" si="133">SUM(H603:H611)</f>
        <v>0</v>
      </c>
      <c r="I612" s="98">
        <f t="shared" ref="I612" si="134">SUM(I603:I611)</f>
        <v>49561.020000000004</v>
      </c>
      <c r="J612" s="63"/>
      <c r="K612" s="21"/>
      <c r="L612" s="21"/>
      <c r="M612" s="21"/>
      <c r="N612" s="21"/>
      <c r="O612" s="21"/>
      <c r="P612" s="21"/>
      <c r="Q612" s="21"/>
      <c r="R612" s="21"/>
      <c r="S612" s="21"/>
      <c r="T612" s="63"/>
      <c r="U612" s="10"/>
      <c r="V612" s="90"/>
      <c r="W612" s="91"/>
      <c r="X612" s="92"/>
    </row>
    <row r="613" spans="1:25" s="260" customFormat="1">
      <c r="B613" s="11"/>
      <c r="C613" s="36"/>
      <c r="D613" s="10"/>
      <c r="E613" s="10"/>
      <c r="F613" s="88"/>
      <c r="G613" s="88"/>
      <c r="H613" s="88"/>
      <c r="I613" s="99"/>
      <c r="J613" s="63"/>
      <c r="K613" s="21"/>
      <c r="L613" s="21"/>
      <c r="M613" s="21"/>
      <c r="N613" s="21"/>
      <c r="O613" s="21"/>
      <c r="P613" s="21"/>
      <c r="Q613" s="21"/>
      <c r="R613" s="21"/>
      <c r="S613" s="21"/>
      <c r="T613" s="63"/>
      <c r="U613" s="10"/>
      <c r="V613" s="90"/>
      <c r="W613" s="91"/>
      <c r="X613" s="92"/>
    </row>
    <row r="614" spans="1:25" s="260" customFormat="1">
      <c r="A614" s="181"/>
      <c r="B614" s="100" t="s">
        <v>202</v>
      </c>
      <c r="C614" s="36"/>
      <c r="D614" s="10"/>
      <c r="E614" s="181"/>
      <c r="F614" s="88"/>
      <c r="G614" s="88"/>
      <c r="H614" s="88"/>
      <c r="I614" s="99"/>
      <c r="J614" s="63"/>
      <c r="K614" s="21"/>
      <c r="L614" s="21"/>
      <c r="M614" s="21"/>
      <c r="N614" s="21"/>
      <c r="O614" s="21"/>
      <c r="P614" s="21"/>
      <c r="Q614" s="21"/>
      <c r="R614" s="21"/>
      <c r="S614" s="21"/>
      <c r="T614" s="63"/>
      <c r="U614" s="94"/>
      <c r="V614" s="90"/>
      <c r="W614" s="91"/>
      <c r="X614" s="92"/>
    </row>
    <row r="615" spans="1:25" s="260" customFormat="1">
      <c r="A615" s="261">
        <v>0.05</v>
      </c>
      <c r="B615" s="87">
        <v>1</v>
      </c>
      <c r="C615" s="274">
        <v>45880</v>
      </c>
      <c r="D615" s="327">
        <v>72052</v>
      </c>
      <c r="E615" s="276" t="s">
        <v>1047</v>
      </c>
      <c r="F615" s="277">
        <v>2000</v>
      </c>
      <c r="G615" s="277">
        <f>39.7+300</f>
        <v>339.7</v>
      </c>
      <c r="H615" s="277"/>
      <c r="I615" s="321">
        <f>F615-G615-H615</f>
        <v>1660.3</v>
      </c>
      <c r="J615" s="279" t="s">
        <v>150</v>
      </c>
      <c r="K615" s="279">
        <v>1</v>
      </c>
      <c r="L615" s="279"/>
      <c r="M615" s="322">
        <v>0</v>
      </c>
      <c r="N615" s="279">
        <v>1</v>
      </c>
      <c r="O615" s="279">
        <v>1</v>
      </c>
      <c r="P615" s="279">
        <v>1</v>
      </c>
      <c r="Q615" s="279"/>
      <c r="R615" s="279"/>
      <c r="S615" s="280"/>
      <c r="T615" s="63"/>
      <c r="U615" s="94" t="s">
        <v>2902</v>
      </c>
      <c r="V615" s="90"/>
      <c r="W615" s="136"/>
      <c r="X615" s="137"/>
    </row>
    <row r="616" spans="1:25" s="260" customFormat="1">
      <c r="A616" s="261">
        <v>0.05</v>
      </c>
      <c r="B616" s="87">
        <f>B615+1</f>
        <v>2</v>
      </c>
      <c r="C616" s="274">
        <v>45884</v>
      </c>
      <c r="D616" s="327">
        <v>72342</v>
      </c>
      <c r="E616" s="276" t="s">
        <v>1231</v>
      </c>
      <c r="F616" s="277">
        <v>2215</v>
      </c>
      <c r="G616" s="277">
        <f>39.7</f>
        <v>39.700000000000003</v>
      </c>
      <c r="H616" s="277"/>
      <c r="I616" s="321">
        <f>F616-G616-H616</f>
        <v>2175.3000000000002</v>
      </c>
      <c r="J616" s="279" t="s">
        <v>156</v>
      </c>
      <c r="K616" s="279">
        <v>1</v>
      </c>
      <c r="L616" s="279"/>
      <c r="M616" s="279">
        <v>1</v>
      </c>
      <c r="N616" s="279">
        <v>1</v>
      </c>
      <c r="O616" s="279">
        <v>1</v>
      </c>
      <c r="P616" s="322">
        <v>0</v>
      </c>
      <c r="Q616" s="279"/>
      <c r="R616" s="279"/>
      <c r="S616" s="280"/>
      <c r="T616" s="63"/>
      <c r="U616" s="94"/>
      <c r="V616" s="90"/>
      <c r="W616" s="136"/>
      <c r="X616" s="137"/>
    </row>
    <row r="617" spans="1:25" s="260" customFormat="1">
      <c r="A617" s="261">
        <v>0.05</v>
      </c>
      <c r="B617" s="87">
        <f t="shared" ref="B617:B618" si="135">B616+1</f>
        <v>3</v>
      </c>
      <c r="C617" s="262">
        <v>45890</v>
      </c>
      <c r="D617" s="357" t="s">
        <v>2899</v>
      </c>
      <c r="E617" s="271" t="s">
        <v>1058</v>
      </c>
      <c r="F617" s="265">
        <v>59586</v>
      </c>
      <c r="G617" s="265">
        <f>39.7+(117.24+344.15+121.94+185.08+231.75+13.3+541.6)+(141.77+494.21+630.04+1692.3+195.23+846.26)+(F617*0.25)</f>
        <v>20491.07</v>
      </c>
      <c r="H617" s="365"/>
      <c r="I617" s="272">
        <f>F617-G617-H617</f>
        <v>39094.93</v>
      </c>
      <c r="J617" s="267" t="s">
        <v>374</v>
      </c>
      <c r="K617" s="267">
        <v>1</v>
      </c>
      <c r="L617" s="267"/>
      <c r="M617" s="267"/>
      <c r="N617" s="267">
        <v>1</v>
      </c>
      <c r="O617" s="267">
        <v>1</v>
      </c>
      <c r="P617" s="267">
        <v>1</v>
      </c>
      <c r="Q617" s="267"/>
      <c r="R617" s="267"/>
      <c r="S617" s="269"/>
      <c r="T617" s="63"/>
      <c r="U617" s="10" t="s">
        <v>2981</v>
      </c>
      <c r="V617" s="90"/>
      <c r="W617" s="136"/>
      <c r="X617" s="137"/>
    </row>
    <row r="618" spans="1:25" s="260" customFormat="1">
      <c r="A618" s="494">
        <v>0.05</v>
      </c>
      <c r="B618" s="87">
        <f t="shared" si="135"/>
        <v>4</v>
      </c>
      <c r="C618" s="262">
        <v>45905</v>
      </c>
      <c r="D618" s="263" t="s">
        <v>2957</v>
      </c>
      <c r="E618" s="264" t="s">
        <v>1256</v>
      </c>
      <c r="F618" s="265">
        <v>12814</v>
      </c>
      <c r="G618" s="265">
        <f>39.7+96+(87+78.53+78.52+29.64+5.14+37.28+270.17+82.7)+(196.98)+1000</f>
        <v>2001.66</v>
      </c>
      <c r="H618" s="265"/>
      <c r="I618" s="272">
        <f>F618-G618-H618</f>
        <v>10812.34</v>
      </c>
      <c r="J618" s="267" t="s">
        <v>156</v>
      </c>
      <c r="K618" s="267">
        <v>1</v>
      </c>
      <c r="L618" s="267"/>
      <c r="M618" s="267">
        <v>1</v>
      </c>
      <c r="N618" s="267">
        <v>1</v>
      </c>
      <c r="O618" s="267">
        <v>1</v>
      </c>
      <c r="P618" s="267">
        <v>1</v>
      </c>
      <c r="Q618" s="267"/>
      <c r="R618" s="267"/>
      <c r="S618" s="269"/>
      <c r="T618" s="63"/>
      <c r="U618" s="94" t="s">
        <v>2982</v>
      </c>
      <c r="V618" s="90"/>
      <c r="W618" s="136"/>
      <c r="X618" s="137"/>
    </row>
    <row r="619" spans="1:25" s="260" customFormat="1">
      <c r="A619" s="181"/>
      <c r="B619" s="11"/>
      <c r="C619" s="36"/>
      <c r="D619" s="10"/>
      <c r="E619" s="10"/>
      <c r="F619" s="97">
        <f>SUM(F615:F617)</f>
        <v>63801</v>
      </c>
      <c r="G619" s="97">
        <f>SUM(G615:G617)</f>
        <v>20870.47</v>
      </c>
      <c r="H619" s="97">
        <f>SUM(H615:H617)</f>
        <v>0</v>
      </c>
      <c r="I619" s="97">
        <f>SUM(I615:I617)</f>
        <v>42930.53</v>
      </c>
      <c r="J619" s="63"/>
      <c r="K619" s="21"/>
      <c r="L619" s="21"/>
      <c r="M619" s="21"/>
      <c r="N619" s="21"/>
      <c r="O619" s="21"/>
      <c r="P619" s="21"/>
      <c r="Q619" s="21"/>
      <c r="R619" s="21"/>
      <c r="S619" s="21"/>
      <c r="T619" s="63"/>
      <c r="U619" s="94"/>
      <c r="V619" s="90"/>
      <c r="W619" s="91"/>
      <c r="X619" s="92"/>
    </row>
    <row r="620" spans="1:25">
      <c r="A620" s="2"/>
      <c r="B620" s="11"/>
      <c r="C620" s="36"/>
      <c r="D620" s="10"/>
      <c r="E620" s="10"/>
      <c r="F620" s="88"/>
      <c r="G620" s="88"/>
      <c r="H620" s="88"/>
      <c r="I620" s="99"/>
      <c r="J620" s="63"/>
      <c r="K620" s="21"/>
      <c r="L620" s="21"/>
      <c r="M620" s="21"/>
      <c r="N620" s="21"/>
      <c r="O620" s="21"/>
      <c r="P620" s="21"/>
      <c r="Q620" s="21"/>
      <c r="R620" s="21"/>
      <c r="S620" s="21"/>
      <c r="T620" s="63"/>
      <c r="U620" s="94"/>
      <c r="V620" s="90"/>
      <c r="W620" s="91"/>
      <c r="X620" s="92"/>
    </row>
    <row r="621" spans="1:25">
      <c r="B621" s="100" t="s">
        <v>72</v>
      </c>
      <c r="C621" s="36"/>
      <c r="D621" s="10"/>
      <c r="E621" s="10"/>
      <c r="F621" s="88"/>
      <c r="G621" s="88"/>
      <c r="H621" s="88"/>
      <c r="I621" s="99"/>
      <c r="J621" s="63"/>
      <c r="K621" s="63"/>
      <c r="L621" s="63"/>
      <c r="M621" s="63"/>
      <c r="N621" s="63"/>
      <c r="O621" s="63"/>
      <c r="P621" s="63"/>
      <c r="Q621" s="63"/>
      <c r="R621" s="63"/>
      <c r="S621" s="63"/>
      <c r="T621" s="63"/>
      <c r="U621" s="10"/>
      <c r="V621" s="90"/>
      <c r="W621" s="91"/>
      <c r="X621" s="92"/>
      <c r="Y621" s="2"/>
    </row>
    <row r="622" spans="1:25">
      <c r="B622" s="87">
        <v>1</v>
      </c>
      <c r="C622" s="274">
        <v>45908</v>
      </c>
      <c r="D622" s="276">
        <v>73071</v>
      </c>
      <c r="E622" s="276" t="s">
        <v>446</v>
      </c>
      <c r="F622" s="277">
        <v>0</v>
      </c>
      <c r="G622" s="277">
        <v>0</v>
      </c>
      <c r="H622" s="277"/>
      <c r="I622" s="278">
        <f t="shared" ref="I622:I643" si="136">F622-G622-H622</f>
        <v>0</v>
      </c>
      <c r="J622" s="279" t="s">
        <v>219</v>
      </c>
      <c r="K622" s="279"/>
      <c r="L622" s="279"/>
      <c r="M622" s="279"/>
      <c r="N622" s="279"/>
      <c r="O622" s="279"/>
      <c r="P622" s="279"/>
      <c r="Q622" s="279"/>
      <c r="R622" s="279"/>
      <c r="S622" s="280"/>
      <c r="T622" s="63"/>
      <c r="U622" s="3"/>
      <c r="V622" s="90"/>
      <c r="W622" s="91"/>
      <c r="X622" s="92"/>
      <c r="Y622" s="2"/>
    </row>
    <row r="623" spans="1:25">
      <c r="B623" s="87">
        <f t="shared" ref="B623:B636" si="137">B622+1</f>
        <v>2</v>
      </c>
      <c r="C623" s="295">
        <v>45908</v>
      </c>
      <c r="D623" s="10" t="s">
        <v>2983</v>
      </c>
      <c r="E623" s="10" t="s">
        <v>2375</v>
      </c>
      <c r="F623" s="62">
        <v>6841</v>
      </c>
      <c r="G623" s="62">
        <v>39.700000000000003</v>
      </c>
      <c r="H623" s="62"/>
      <c r="I623" s="89">
        <f t="shared" si="136"/>
        <v>6801.3</v>
      </c>
      <c r="J623" s="63" t="s">
        <v>205</v>
      </c>
      <c r="K623" s="63">
        <v>1</v>
      </c>
      <c r="L623" s="63"/>
      <c r="M623" s="63"/>
      <c r="N623" s="63">
        <v>1</v>
      </c>
      <c r="O623" s="63"/>
      <c r="P623" s="63"/>
      <c r="Q623" s="63"/>
      <c r="R623" s="63"/>
      <c r="S623" s="296"/>
      <c r="T623" s="63"/>
      <c r="U623" s="10"/>
      <c r="V623" s="90"/>
      <c r="W623" s="136"/>
      <c r="X623" s="137"/>
      <c r="Y623" s="2"/>
    </row>
    <row r="624" spans="1:25">
      <c r="B624" s="87">
        <f t="shared" si="137"/>
        <v>3</v>
      </c>
      <c r="C624" s="295">
        <v>45908</v>
      </c>
      <c r="D624" s="10" t="s">
        <v>2984</v>
      </c>
      <c r="E624" s="10" t="s">
        <v>2375</v>
      </c>
      <c r="F624" s="62">
        <v>6841</v>
      </c>
      <c r="G624" s="62">
        <v>39.700000000000003</v>
      </c>
      <c r="H624" s="62"/>
      <c r="I624" s="89">
        <f t="shared" si="136"/>
        <v>6801.3</v>
      </c>
      <c r="J624" s="63" t="s">
        <v>205</v>
      </c>
      <c r="K624" s="63">
        <v>1</v>
      </c>
      <c r="L624" s="63"/>
      <c r="M624" s="63"/>
      <c r="N624" s="63">
        <v>1</v>
      </c>
      <c r="O624" s="63"/>
      <c r="P624" s="63"/>
      <c r="Q624" s="63">
        <v>1</v>
      </c>
      <c r="R624" s="63">
        <v>1</v>
      </c>
      <c r="S624" s="296"/>
      <c r="T624" s="63"/>
      <c r="U624" s="10"/>
      <c r="V624" s="90"/>
      <c r="W624" s="136"/>
      <c r="X624" s="137"/>
      <c r="Y624" s="2"/>
    </row>
    <row r="625" spans="2:25">
      <c r="B625" s="87">
        <f t="shared" si="137"/>
        <v>4</v>
      </c>
      <c r="C625" s="295">
        <v>45908</v>
      </c>
      <c r="D625" s="10" t="s">
        <v>2985</v>
      </c>
      <c r="E625" s="10" t="s">
        <v>1319</v>
      </c>
      <c r="F625" s="62">
        <v>681</v>
      </c>
      <c r="G625" s="62"/>
      <c r="H625" s="62"/>
      <c r="I625" s="89">
        <f t="shared" si="136"/>
        <v>681</v>
      </c>
      <c r="J625" s="63" t="s">
        <v>205</v>
      </c>
      <c r="K625" s="63">
        <v>1</v>
      </c>
      <c r="L625" s="63"/>
      <c r="M625" s="63"/>
      <c r="N625" s="63">
        <v>1</v>
      </c>
      <c r="O625" s="63"/>
      <c r="P625" s="63"/>
      <c r="Q625" s="63"/>
      <c r="R625" s="63"/>
      <c r="S625" s="296"/>
      <c r="T625" s="63"/>
      <c r="U625" s="10"/>
      <c r="V625" s="90"/>
      <c r="W625" s="136"/>
      <c r="X625" s="137"/>
      <c r="Y625" s="2"/>
    </row>
    <row r="626" spans="2:25">
      <c r="B626" s="87">
        <f t="shared" si="137"/>
        <v>5</v>
      </c>
      <c r="C626" s="295">
        <v>45908</v>
      </c>
      <c r="D626" s="3" t="s">
        <v>2986</v>
      </c>
      <c r="E626" s="10" t="s">
        <v>1260</v>
      </c>
      <c r="F626" s="62">
        <v>12614</v>
      </c>
      <c r="G626" s="62">
        <v>39.700000000000003</v>
      </c>
      <c r="H626" s="62"/>
      <c r="I626" s="89">
        <f t="shared" si="136"/>
        <v>12574.3</v>
      </c>
      <c r="J626" s="63" t="s">
        <v>205</v>
      </c>
      <c r="K626" s="63">
        <v>1</v>
      </c>
      <c r="L626" s="63"/>
      <c r="M626" s="63"/>
      <c r="N626" s="63">
        <v>1</v>
      </c>
      <c r="O626" s="63"/>
      <c r="P626" s="63"/>
      <c r="Q626" s="63"/>
      <c r="R626" s="63"/>
      <c r="S626" s="296"/>
      <c r="T626" s="63"/>
      <c r="U626" s="10"/>
      <c r="V626" s="90"/>
      <c r="W626" s="136"/>
      <c r="X626" s="137"/>
      <c r="Y626" s="2"/>
    </row>
    <row r="627" spans="2:25">
      <c r="B627" s="87">
        <f t="shared" si="137"/>
        <v>6</v>
      </c>
      <c r="C627" s="274">
        <v>45909</v>
      </c>
      <c r="D627" s="276">
        <v>73070</v>
      </c>
      <c r="E627" s="281" t="s">
        <v>2987</v>
      </c>
      <c r="F627" s="277">
        <v>25752.6</v>
      </c>
      <c r="G627" s="277">
        <v>39.700000000000003</v>
      </c>
      <c r="H627" s="277"/>
      <c r="I627" s="278">
        <f t="shared" si="136"/>
        <v>25712.899999999998</v>
      </c>
      <c r="J627" s="279" t="s">
        <v>205</v>
      </c>
      <c r="K627" s="279">
        <v>1</v>
      </c>
      <c r="L627" s="279"/>
      <c r="M627" s="279"/>
      <c r="N627" s="279">
        <v>1</v>
      </c>
      <c r="O627" s="279"/>
      <c r="P627" s="279"/>
      <c r="Q627" s="279">
        <v>1</v>
      </c>
      <c r="R627" s="279">
        <v>1</v>
      </c>
      <c r="S627" s="280"/>
      <c r="T627" s="63"/>
      <c r="U627" s="10"/>
      <c r="V627" s="90"/>
      <c r="W627" s="136"/>
      <c r="X627" s="137"/>
      <c r="Y627" s="2"/>
    </row>
    <row r="628" spans="2:25">
      <c r="B628" s="87">
        <f t="shared" si="137"/>
        <v>7</v>
      </c>
      <c r="C628" s="295">
        <v>45909</v>
      </c>
      <c r="D628" s="10">
        <v>73101</v>
      </c>
      <c r="E628" s="101" t="s">
        <v>1098</v>
      </c>
      <c r="F628" s="62">
        <v>1153</v>
      </c>
      <c r="G628" s="62">
        <v>39.700000000000003</v>
      </c>
      <c r="H628" s="62"/>
      <c r="I628" s="89">
        <f t="shared" si="136"/>
        <v>1113.3</v>
      </c>
      <c r="J628" s="63" t="s">
        <v>205</v>
      </c>
      <c r="K628" s="63">
        <v>1</v>
      </c>
      <c r="L628" s="63"/>
      <c r="M628" s="63"/>
      <c r="N628" s="63">
        <v>1</v>
      </c>
      <c r="O628" s="63"/>
      <c r="P628" s="63"/>
      <c r="Q628" s="63">
        <v>1</v>
      </c>
      <c r="R628" s="63">
        <v>1</v>
      </c>
      <c r="S628" s="296"/>
      <c r="T628" s="63"/>
      <c r="U628" s="10"/>
      <c r="V628" s="90"/>
      <c r="W628" s="136"/>
      <c r="X628" s="137"/>
      <c r="Y628" s="2"/>
    </row>
    <row r="629" spans="2:25">
      <c r="B629" s="87">
        <f t="shared" si="137"/>
        <v>8</v>
      </c>
      <c r="C629" s="295">
        <v>45909</v>
      </c>
      <c r="D629" s="10">
        <v>73073</v>
      </c>
      <c r="E629" s="101" t="s">
        <v>1273</v>
      </c>
      <c r="F629" s="62">
        <v>2814</v>
      </c>
      <c r="G629" s="62">
        <v>39.700000000000003</v>
      </c>
      <c r="H629" s="62"/>
      <c r="I629" s="89">
        <f t="shared" si="136"/>
        <v>2774.3</v>
      </c>
      <c r="J629" s="63" t="s">
        <v>205</v>
      </c>
      <c r="K629" s="63">
        <v>1</v>
      </c>
      <c r="L629" s="63"/>
      <c r="M629" s="63"/>
      <c r="N629" s="63">
        <v>1</v>
      </c>
      <c r="O629" s="63"/>
      <c r="P629" s="63"/>
      <c r="Q629" s="63">
        <v>1</v>
      </c>
      <c r="R629" s="63">
        <v>1</v>
      </c>
      <c r="S629" s="296"/>
      <c r="T629" s="63"/>
      <c r="U629" s="10"/>
      <c r="V629" s="90"/>
      <c r="W629" s="136"/>
      <c r="X629" s="137"/>
      <c r="Y629" s="2"/>
    </row>
    <row r="630" spans="2:25">
      <c r="B630" s="87">
        <f t="shared" si="137"/>
        <v>9</v>
      </c>
      <c r="C630" s="295">
        <v>45909</v>
      </c>
      <c r="D630" s="10">
        <v>73072</v>
      </c>
      <c r="E630" s="101" t="s">
        <v>1284</v>
      </c>
      <c r="F630" s="62">
        <v>1073</v>
      </c>
      <c r="G630" s="62">
        <v>39.700000000000003</v>
      </c>
      <c r="H630" s="62"/>
      <c r="I630" s="89">
        <f t="shared" si="136"/>
        <v>1033.3</v>
      </c>
      <c r="J630" s="63" t="s">
        <v>205</v>
      </c>
      <c r="K630" s="63">
        <v>1</v>
      </c>
      <c r="L630" s="63"/>
      <c r="M630" s="63"/>
      <c r="N630" s="63">
        <v>1</v>
      </c>
      <c r="O630" s="63"/>
      <c r="P630" s="63"/>
      <c r="Q630" s="63">
        <v>1</v>
      </c>
      <c r="R630" s="63">
        <v>1</v>
      </c>
      <c r="S630" s="296"/>
      <c r="T630" s="63"/>
      <c r="U630" s="10"/>
      <c r="V630" s="90"/>
      <c r="W630" s="136"/>
      <c r="X630" s="137"/>
      <c r="Y630" s="2"/>
    </row>
    <row r="631" spans="2:25">
      <c r="B631" s="87">
        <f t="shared" si="137"/>
        <v>10</v>
      </c>
      <c r="C631" s="295">
        <v>45909</v>
      </c>
      <c r="D631" s="10">
        <v>73109</v>
      </c>
      <c r="E631" s="101" t="s">
        <v>1098</v>
      </c>
      <c r="F631" s="62">
        <v>681</v>
      </c>
      <c r="G631" s="62"/>
      <c r="H631" s="62"/>
      <c r="I631" s="89">
        <f t="shared" si="136"/>
        <v>681</v>
      </c>
      <c r="J631" s="63" t="s">
        <v>205</v>
      </c>
      <c r="K631" s="63">
        <v>1</v>
      </c>
      <c r="L631" s="63"/>
      <c r="M631" s="63"/>
      <c r="N631" s="63">
        <v>1</v>
      </c>
      <c r="O631" s="63"/>
      <c r="P631" s="63"/>
      <c r="Q631" s="63">
        <v>1</v>
      </c>
      <c r="R631" s="63">
        <v>1</v>
      </c>
      <c r="S631" s="296"/>
      <c r="T631" s="63"/>
      <c r="U631" s="10"/>
      <c r="V631" s="90"/>
      <c r="W631" s="136"/>
      <c r="X631" s="137"/>
      <c r="Y631" s="2"/>
    </row>
    <row r="632" spans="2:25">
      <c r="B632" s="87">
        <f t="shared" si="137"/>
        <v>11</v>
      </c>
      <c r="C632" s="295">
        <v>45909</v>
      </c>
      <c r="D632" s="10" t="s">
        <v>2988</v>
      </c>
      <c r="E632" s="101" t="s">
        <v>1028</v>
      </c>
      <c r="F632" s="62">
        <v>681</v>
      </c>
      <c r="G632" s="62"/>
      <c r="H632" s="62"/>
      <c r="I632" s="89">
        <f t="shared" si="136"/>
        <v>681</v>
      </c>
      <c r="J632" s="63" t="s">
        <v>205</v>
      </c>
      <c r="K632" s="63">
        <v>1</v>
      </c>
      <c r="L632" s="63"/>
      <c r="M632" s="63"/>
      <c r="N632" s="63">
        <v>1</v>
      </c>
      <c r="O632" s="63"/>
      <c r="P632" s="63"/>
      <c r="Q632" s="63">
        <v>1</v>
      </c>
      <c r="R632" s="63">
        <v>1</v>
      </c>
      <c r="S632" s="296"/>
      <c r="T632" s="63"/>
      <c r="U632" s="10"/>
      <c r="V632" s="90"/>
      <c r="W632" s="136"/>
      <c r="X632" s="137"/>
      <c r="Y632" s="2"/>
    </row>
    <row r="633" spans="2:25">
      <c r="B633" s="87">
        <f t="shared" si="137"/>
        <v>12</v>
      </c>
      <c r="C633" s="295">
        <v>45909</v>
      </c>
      <c r="D633" s="10" t="s">
        <v>2989</v>
      </c>
      <c r="E633" s="101" t="s">
        <v>1028</v>
      </c>
      <c r="F633" s="62">
        <v>5184</v>
      </c>
      <c r="G633" s="62">
        <v>39.700000000000003</v>
      </c>
      <c r="H633" s="62"/>
      <c r="I633" s="89">
        <f t="shared" si="136"/>
        <v>5144.3</v>
      </c>
      <c r="J633" s="63" t="s">
        <v>205</v>
      </c>
      <c r="K633" s="63">
        <v>1</v>
      </c>
      <c r="L633" s="63"/>
      <c r="M633" s="63"/>
      <c r="N633" s="63">
        <v>1</v>
      </c>
      <c r="O633" s="63"/>
      <c r="P633" s="63"/>
      <c r="Q633" s="63">
        <v>1</v>
      </c>
      <c r="R633" s="63">
        <v>1</v>
      </c>
      <c r="S633" s="296"/>
      <c r="T633" s="63"/>
      <c r="U633" s="10"/>
      <c r="V633" s="90"/>
      <c r="W633" s="136"/>
      <c r="X633" s="137"/>
      <c r="Y633" s="2"/>
    </row>
    <row r="634" spans="2:25">
      <c r="B634" s="87">
        <f t="shared" si="137"/>
        <v>13</v>
      </c>
      <c r="C634" s="295">
        <v>45909</v>
      </c>
      <c r="D634" s="10">
        <v>73118</v>
      </c>
      <c r="E634" s="101" t="s">
        <v>2375</v>
      </c>
      <c r="F634" s="62">
        <v>4419</v>
      </c>
      <c r="G634" s="62">
        <v>39.700000000000003</v>
      </c>
      <c r="H634" s="62"/>
      <c r="I634" s="89">
        <f t="shared" si="136"/>
        <v>4379.3</v>
      </c>
      <c r="J634" s="63" t="s">
        <v>205</v>
      </c>
      <c r="K634" s="63">
        <v>1</v>
      </c>
      <c r="L634" s="63"/>
      <c r="M634" s="63"/>
      <c r="N634" s="63">
        <v>1</v>
      </c>
      <c r="O634" s="63"/>
      <c r="P634" s="63"/>
      <c r="Q634" s="63">
        <v>1</v>
      </c>
      <c r="R634" s="63">
        <v>1</v>
      </c>
      <c r="S634" s="296"/>
      <c r="T634" s="63"/>
      <c r="U634" s="10"/>
      <c r="V634" s="90"/>
      <c r="W634" s="136"/>
      <c r="X634" s="137"/>
      <c r="Y634" s="2"/>
    </row>
    <row r="635" spans="2:25">
      <c r="B635" s="87">
        <f t="shared" si="137"/>
        <v>14</v>
      </c>
      <c r="C635" s="274">
        <v>45910</v>
      </c>
      <c r="D635" s="276">
        <v>73145</v>
      </c>
      <c r="E635" s="276" t="s">
        <v>1088</v>
      </c>
      <c r="F635" s="277">
        <v>5230</v>
      </c>
      <c r="G635" s="277">
        <v>39.700000000000003</v>
      </c>
      <c r="H635" s="277"/>
      <c r="I635" s="278">
        <f t="shared" si="136"/>
        <v>5190.3</v>
      </c>
      <c r="J635" s="279" t="s">
        <v>205</v>
      </c>
      <c r="K635" s="279">
        <v>1</v>
      </c>
      <c r="L635" s="279"/>
      <c r="M635" s="279"/>
      <c r="N635" s="279">
        <v>1</v>
      </c>
      <c r="O635" s="279"/>
      <c r="P635" s="279"/>
      <c r="Q635" s="279">
        <v>1</v>
      </c>
      <c r="R635" s="279">
        <v>1</v>
      </c>
      <c r="S635" s="280"/>
      <c r="T635" s="63"/>
      <c r="U635" s="10"/>
      <c r="V635" s="90"/>
      <c r="W635" s="136"/>
      <c r="X635" s="137"/>
      <c r="Y635" s="2"/>
    </row>
    <row r="636" spans="2:25">
      <c r="B636" s="87">
        <f t="shared" si="137"/>
        <v>15</v>
      </c>
      <c r="C636" s="295">
        <v>45910</v>
      </c>
      <c r="D636" s="10">
        <v>73161</v>
      </c>
      <c r="E636" s="10" t="s">
        <v>1256</v>
      </c>
      <c r="F636" s="62">
        <v>1138</v>
      </c>
      <c r="G636" s="62">
        <v>39.700000000000003</v>
      </c>
      <c r="H636" s="62"/>
      <c r="I636" s="89">
        <f t="shared" si="136"/>
        <v>1098.3</v>
      </c>
      <c r="J636" s="63" t="s">
        <v>205</v>
      </c>
      <c r="K636" s="63">
        <v>1</v>
      </c>
      <c r="L636" s="63"/>
      <c r="M636" s="63"/>
      <c r="N636" s="63">
        <v>1</v>
      </c>
      <c r="O636" s="63"/>
      <c r="P636" s="63"/>
      <c r="Q636" s="63">
        <v>1</v>
      </c>
      <c r="R636" s="63">
        <v>1</v>
      </c>
      <c r="S636" s="296"/>
      <c r="T636" s="63"/>
      <c r="U636" s="10"/>
      <c r="V636" s="90"/>
      <c r="W636" s="136"/>
      <c r="X636" s="137"/>
      <c r="Y636" s="2"/>
    </row>
    <row r="637" spans="2:25">
      <c r="B637" s="87">
        <f>B636+1</f>
        <v>16</v>
      </c>
      <c r="C637" s="295">
        <v>45910</v>
      </c>
      <c r="D637" s="10">
        <v>73128</v>
      </c>
      <c r="E637" s="10" t="s">
        <v>1256</v>
      </c>
      <c r="F637" s="62">
        <v>934.2</v>
      </c>
      <c r="G637" s="62">
        <v>39.700000000000003</v>
      </c>
      <c r="H637" s="62"/>
      <c r="I637" s="89">
        <f t="shared" si="136"/>
        <v>894.5</v>
      </c>
      <c r="J637" s="63" t="s">
        <v>205</v>
      </c>
      <c r="K637" s="63">
        <v>1</v>
      </c>
      <c r="L637" s="63"/>
      <c r="M637" s="63"/>
      <c r="N637" s="63">
        <v>1</v>
      </c>
      <c r="O637" s="63"/>
      <c r="P637" s="63"/>
      <c r="Q637" s="63">
        <v>1</v>
      </c>
      <c r="R637" s="63">
        <v>1</v>
      </c>
      <c r="S637" s="296"/>
      <c r="T637" s="63"/>
      <c r="U637" s="10"/>
      <c r="V637" s="90"/>
      <c r="W637" s="136"/>
      <c r="X637" s="137"/>
      <c r="Y637" s="2"/>
    </row>
    <row r="638" spans="2:25">
      <c r="B638" s="87">
        <f>B637+1</f>
        <v>17</v>
      </c>
      <c r="C638" s="295">
        <v>45910</v>
      </c>
      <c r="D638" s="10" t="s">
        <v>2990</v>
      </c>
      <c r="E638" s="10" t="s">
        <v>1058</v>
      </c>
      <c r="F638" s="62">
        <v>0</v>
      </c>
      <c r="G638" s="62">
        <v>0</v>
      </c>
      <c r="H638" s="62"/>
      <c r="I638" s="89">
        <f t="shared" si="136"/>
        <v>0</v>
      </c>
      <c r="J638" s="63" t="s">
        <v>205</v>
      </c>
      <c r="K638" s="63">
        <v>1</v>
      </c>
      <c r="L638" s="63"/>
      <c r="M638" s="63"/>
      <c r="N638" s="63"/>
      <c r="O638" s="63"/>
      <c r="P638" s="63"/>
      <c r="Q638" s="63"/>
      <c r="R638" s="63"/>
      <c r="S638" s="296"/>
      <c r="T638" s="63"/>
      <c r="U638" s="10"/>
      <c r="V638" s="90"/>
      <c r="W638" s="136"/>
      <c r="X638" s="137"/>
      <c r="Y638" s="2"/>
    </row>
    <row r="639" spans="2:25">
      <c r="B639" s="87">
        <f>B638+1</f>
        <v>18</v>
      </c>
      <c r="C639" s="295">
        <v>45910</v>
      </c>
      <c r="D639" s="10">
        <v>73173</v>
      </c>
      <c r="E639" s="10" t="s">
        <v>2935</v>
      </c>
      <c r="F639" s="62">
        <v>1197.95</v>
      </c>
      <c r="G639" s="62">
        <v>39.700000000000003</v>
      </c>
      <c r="H639" s="62"/>
      <c r="I639" s="89">
        <f t="shared" si="136"/>
        <v>1158.25</v>
      </c>
      <c r="J639" s="63" t="s">
        <v>205</v>
      </c>
      <c r="K639" s="63">
        <v>1</v>
      </c>
      <c r="L639" s="63"/>
      <c r="M639" s="63"/>
      <c r="N639" s="63">
        <v>1</v>
      </c>
      <c r="O639" s="63"/>
      <c r="P639" s="63"/>
      <c r="Q639" s="63">
        <v>1</v>
      </c>
      <c r="R639" s="63">
        <v>1</v>
      </c>
      <c r="S639" s="296"/>
      <c r="T639" s="63"/>
      <c r="U639" s="10"/>
      <c r="V639" s="90"/>
      <c r="W639" s="136"/>
      <c r="X639" s="137"/>
      <c r="Y639" s="2"/>
    </row>
    <row r="640" spans="2:25">
      <c r="B640" s="87">
        <f>B639+1</f>
        <v>19</v>
      </c>
      <c r="C640" s="274">
        <v>45911</v>
      </c>
      <c r="D640" s="276">
        <v>73099</v>
      </c>
      <c r="E640" s="276" t="s">
        <v>2991</v>
      </c>
      <c r="F640" s="277">
        <v>2461</v>
      </c>
      <c r="G640" s="277">
        <v>39.700000000000003</v>
      </c>
      <c r="H640" s="277"/>
      <c r="I640" s="278">
        <f t="shared" si="136"/>
        <v>2421.3000000000002</v>
      </c>
      <c r="J640" s="279" t="s">
        <v>205</v>
      </c>
      <c r="K640" s="279">
        <v>1</v>
      </c>
      <c r="L640" s="279"/>
      <c r="M640" s="279"/>
      <c r="N640" s="279">
        <v>1</v>
      </c>
      <c r="O640" s="279"/>
      <c r="P640" s="279"/>
      <c r="Q640" s="279">
        <v>1</v>
      </c>
      <c r="R640" s="279">
        <v>1</v>
      </c>
      <c r="S640" s="280"/>
      <c r="T640" s="63"/>
      <c r="U640" s="10"/>
      <c r="V640" s="90"/>
      <c r="W640" s="136"/>
      <c r="X640" s="137"/>
      <c r="Y640" s="2"/>
    </row>
    <row r="641" spans="1:25">
      <c r="B641" s="87">
        <f>B640+1</f>
        <v>20</v>
      </c>
      <c r="C641" s="295">
        <v>45911</v>
      </c>
      <c r="D641" s="10">
        <v>73213</v>
      </c>
      <c r="E641" s="10" t="s">
        <v>1072</v>
      </c>
      <c r="F641" s="62">
        <v>2034.9</v>
      </c>
      <c r="G641" s="62">
        <v>39.700000000000003</v>
      </c>
      <c r="H641" s="62"/>
      <c r="I641" s="89">
        <f t="shared" si="136"/>
        <v>1995.2</v>
      </c>
      <c r="J641" s="63" t="s">
        <v>205</v>
      </c>
      <c r="K641" s="63">
        <v>1</v>
      </c>
      <c r="L641" s="63"/>
      <c r="M641" s="63"/>
      <c r="N641" s="63">
        <v>1</v>
      </c>
      <c r="O641" s="63"/>
      <c r="P641" s="63"/>
      <c r="Q641" s="63">
        <v>1</v>
      </c>
      <c r="R641" s="63">
        <v>1</v>
      </c>
      <c r="S641" s="296"/>
      <c r="T641" s="63"/>
      <c r="U641" s="10"/>
      <c r="V641" s="90"/>
      <c r="W641" s="136"/>
      <c r="X641" s="137"/>
      <c r="Y641" s="2"/>
    </row>
    <row r="642" spans="1:25">
      <c r="B642" s="87">
        <f>B641+1</f>
        <v>21</v>
      </c>
      <c r="C642" s="295">
        <v>45911</v>
      </c>
      <c r="D642" s="10" t="s">
        <v>2992</v>
      </c>
      <c r="E642" s="10" t="s">
        <v>1045</v>
      </c>
      <c r="F642" s="62">
        <v>16214</v>
      </c>
      <c r="G642" s="62">
        <v>39.700000000000003</v>
      </c>
      <c r="H642" s="62"/>
      <c r="I642" s="89">
        <f t="shared" ref="I642" si="138">F642-G642-H642</f>
        <v>16174.3</v>
      </c>
      <c r="J642" s="63" t="s">
        <v>205</v>
      </c>
      <c r="K642" s="63">
        <v>1</v>
      </c>
      <c r="L642" s="63"/>
      <c r="M642" s="63"/>
      <c r="N642" s="63">
        <v>1</v>
      </c>
      <c r="O642" s="63"/>
      <c r="P642" s="63"/>
      <c r="Q642" s="63"/>
      <c r="R642" s="63"/>
      <c r="S642" s="296"/>
      <c r="T642" s="63"/>
      <c r="U642" s="10"/>
      <c r="V642" s="90"/>
      <c r="W642" s="136"/>
      <c r="X642" s="137"/>
      <c r="Y642" s="2"/>
    </row>
    <row r="643" spans="1:25">
      <c r="B643" s="87">
        <f>B642+1</f>
        <v>22</v>
      </c>
      <c r="C643" s="282">
        <v>45911</v>
      </c>
      <c r="D643" s="283">
        <v>73247</v>
      </c>
      <c r="E643" s="283" t="s">
        <v>1047</v>
      </c>
      <c r="F643" s="284">
        <v>4014.9</v>
      </c>
      <c r="G643" s="284">
        <v>39.700000000000003</v>
      </c>
      <c r="H643" s="284"/>
      <c r="I643" s="285">
        <f t="shared" si="136"/>
        <v>3975.2000000000003</v>
      </c>
      <c r="J643" s="286" t="s">
        <v>205</v>
      </c>
      <c r="K643" s="286">
        <v>1</v>
      </c>
      <c r="L643" s="286"/>
      <c r="M643" s="286"/>
      <c r="N643" s="286">
        <v>1</v>
      </c>
      <c r="O643" s="286"/>
      <c r="P643" s="286"/>
      <c r="Q643" s="286">
        <v>1</v>
      </c>
      <c r="R643" s="286">
        <v>1</v>
      </c>
      <c r="S643" s="287"/>
      <c r="T643" s="63"/>
      <c r="U643" s="10"/>
      <c r="V643" s="90"/>
      <c r="W643" s="136"/>
      <c r="X643" s="137"/>
      <c r="Y643" s="2"/>
    </row>
    <row r="644" spans="1:25">
      <c r="B644" s="11"/>
      <c r="C644" s="36"/>
      <c r="D644" s="10"/>
      <c r="E644" s="10"/>
      <c r="F644" s="97">
        <f>SUM(F622:F643)</f>
        <v>101959.54999999999</v>
      </c>
      <c r="G644" s="97">
        <f>SUM(G622:G643)</f>
        <v>674.90000000000009</v>
      </c>
      <c r="H644" s="97">
        <f>SUM(H622:H643)</f>
        <v>0</v>
      </c>
      <c r="I644" s="98">
        <f>SUM(I622:I643)</f>
        <v>101284.65000000002</v>
      </c>
      <c r="J644" s="10"/>
      <c r="K644" s="10"/>
      <c r="L644" s="10"/>
      <c r="M644" s="10"/>
      <c r="N644" s="10"/>
      <c r="O644" s="10"/>
      <c r="P644" s="10"/>
      <c r="Q644" s="10"/>
      <c r="R644" s="10"/>
      <c r="S644" s="10"/>
      <c r="T644" s="63"/>
      <c r="U644" s="10"/>
      <c r="V644" s="138"/>
      <c r="W644" s="136"/>
      <c r="X644" s="137"/>
      <c r="Y644" s="2"/>
    </row>
    <row r="645" spans="1:25">
      <c r="B645" s="26"/>
      <c r="C645" s="612"/>
      <c r="D645" s="141"/>
      <c r="E645" s="141"/>
      <c r="F645" s="141"/>
      <c r="G645" s="141"/>
      <c r="H645" s="141"/>
      <c r="I645" s="141"/>
      <c r="J645" s="141"/>
      <c r="K645" s="142"/>
      <c r="L645" s="142"/>
      <c r="M645" s="142"/>
      <c r="N645" s="142"/>
      <c r="O645" s="142"/>
      <c r="P645" s="142"/>
      <c r="Q645" s="142"/>
      <c r="R645" s="142"/>
      <c r="S645" s="142"/>
      <c r="T645" s="143">
        <f>SUM(T579:T644)</f>
        <v>2</v>
      </c>
      <c r="U645" s="141"/>
      <c r="V645" s="144">
        <f>SUM(V579:V644)</f>
        <v>12908.98</v>
      </c>
      <c r="W645" s="144">
        <f t="shared" ref="W645:X645" si="139">SUM(W579:W644)</f>
        <v>560</v>
      </c>
      <c r="X645" s="144">
        <f t="shared" si="139"/>
        <v>0</v>
      </c>
      <c r="Y645" s="2"/>
    </row>
    <row r="646" spans="1:25">
      <c r="B646" s="10"/>
      <c r="C646" s="36"/>
      <c r="D646" s="10"/>
      <c r="E646" s="10"/>
      <c r="F646" s="10"/>
      <c r="G646" s="10"/>
      <c r="H646" s="10"/>
      <c r="I646" s="10"/>
      <c r="J646" s="10"/>
      <c r="K646" s="147"/>
      <c r="L646" s="147"/>
      <c r="M646" s="147"/>
      <c r="N646" s="147"/>
      <c r="O646" s="147"/>
      <c r="P646" s="147"/>
      <c r="Q646" s="147"/>
      <c r="R646" s="147"/>
      <c r="S646" s="147"/>
      <c r="T646" s="21"/>
      <c r="U646" s="10"/>
      <c r="V646" s="99"/>
      <c r="W646" s="99"/>
      <c r="X646" s="99"/>
      <c r="Y646" s="2"/>
    </row>
    <row r="648" spans="1:25">
      <c r="A648" s="613"/>
      <c r="B648" s="4" t="s">
        <v>1</v>
      </c>
      <c r="C648" s="5"/>
      <c r="D648" s="6"/>
      <c r="E648" s="6"/>
      <c r="F648" s="7" t="s">
        <v>2</v>
      </c>
      <c r="G648" s="608">
        <v>45921</v>
      </c>
      <c r="H648" s="7"/>
      <c r="I648" s="6"/>
      <c r="J648" s="6"/>
      <c r="K648" s="6"/>
      <c r="L648" s="6"/>
      <c r="M648" s="6"/>
      <c r="N648" s="6"/>
      <c r="O648" s="6"/>
      <c r="P648" s="6"/>
      <c r="Q648" s="6"/>
      <c r="R648" s="6"/>
      <c r="S648" s="6"/>
      <c r="T648" s="6"/>
      <c r="U648" s="9"/>
      <c r="V648" s="10"/>
      <c r="W648" s="10"/>
      <c r="X648" s="10"/>
    </row>
    <row r="649" spans="1:25">
      <c r="A649" s="614"/>
      <c r="B649" s="11"/>
      <c r="C649" s="10"/>
      <c r="D649" s="10"/>
      <c r="E649" s="10"/>
      <c r="F649" s="10"/>
      <c r="G649" s="7"/>
      <c r="H649" s="12"/>
      <c r="I649" s="10"/>
      <c r="J649" s="10"/>
      <c r="K649" s="13" t="s">
        <v>3</v>
      </c>
      <c r="L649" s="14"/>
      <c r="M649" s="15"/>
      <c r="N649" s="13" t="s">
        <v>4</v>
      </c>
      <c r="O649" s="14"/>
      <c r="P649" s="15"/>
      <c r="Q649" s="13" t="s">
        <v>5</v>
      </c>
      <c r="R649" s="14"/>
      <c r="S649" s="15"/>
      <c r="T649" s="16"/>
      <c r="U649" s="17"/>
      <c r="V649" s="10"/>
      <c r="W649" s="10"/>
      <c r="X649" s="10"/>
    </row>
    <row r="650" spans="1:25">
      <c r="A650" s="614"/>
      <c r="B650" s="18" t="s">
        <v>6</v>
      </c>
      <c r="C650" s="19">
        <f>C651+C652</f>
        <v>31</v>
      </c>
      <c r="D650" s="10"/>
      <c r="E650" s="18" t="s">
        <v>7</v>
      </c>
      <c r="F650" s="6"/>
      <c r="G650" s="9"/>
      <c r="H650" s="10"/>
      <c r="I650" s="10"/>
      <c r="J650" s="10"/>
      <c r="K650" s="20" t="s">
        <v>8</v>
      </c>
      <c r="L650" s="21" t="s">
        <v>9</v>
      </c>
      <c r="M650" s="21" t="s">
        <v>10</v>
      </c>
      <c r="N650" s="20" t="s">
        <v>11</v>
      </c>
      <c r="O650" s="21" t="s">
        <v>12</v>
      </c>
      <c r="P650" s="22" t="s">
        <v>13</v>
      </c>
      <c r="Q650" s="21" t="s">
        <v>11</v>
      </c>
      <c r="R650" s="21" t="s">
        <v>12</v>
      </c>
      <c r="S650" s="22" t="s">
        <v>13</v>
      </c>
      <c r="T650" s="23" t="s">
        <v>14</v>
      </c>
      <c r="U650" s="17"/>
      <c r="V650" s="10"/>
      <c r="W650" s="10"/>
      <c r="X650" s="10"/>
    </row>
    <row r="651" spans="1:25">
      <c r="A651" s="614"/>
      <c r="B651" s="24" t="s">
        <v>15</v>
      </c>
      <c r="C651" s="25">
        <f>P658</f>
        <v>15</v>
      </c>
      <c r="D651" s="10"/>
      <c r="E651" s="26" t="s">
        <v>16</v>
      </c>
      <c r="F651" s="27">
        <v>0.05</v>
      </c>
      <c r="G651" s="28"/>
      <c r="H651" s="10"/>
      <c r="I651" s="10"/>
      <c r="J651" s="18" t="s">
        <v>17</v>
      </c>
      <c r="K651" s="29">
        <f>K689</f>
        <v>12</v>
      </c>
      <c r="L651" s="29">
        <f t="shared" ref="L651:S651" si="140">L689</f>
        <v>9</v>
      </c>
      <c r="M651" s="29">
        <f t="shared" si="140"/>
        <v>9</v>
      </c>
      <c r="N651" s="29">
        <f t="shared" si="140"/>
        <v>12</v>
      </c>
      <c r="O651" s="29">
        <f t="shared" si="140"/>
        <v>12</v>
      </c>
      <c r="P651" s="29">
        <f t="shared" si="140"/>
        <v>7</v>
      </c>
      <c r="Q651" s="29">
        <f t="shared" si="140"/>
        <v>4</v>
      </c>
      <c r="R651" s="29">
        <f t="shared" si="140"/>
        <v>1</v>
      </c>
      <c r="S651" s="29">
        <f t="shared" si="140"/>
        <v>0</v>
      </c>
      <c r="T651" s="30">
        <f>T744</f>
        <v>1</v>
      </c>
      <c r="U651" s="17" t="s">
        <v>1751</v>
      </c>
      <c r="V651" s="10"/>
      <c r="W651" s="10"/>
      <c r="X651" s="10"/>
    </row>
    <row r="652" spans="1:25">
      <c r="A652" s="614"/>
      <c r="B652" s="24" t="s">
        <v>18</v>
      </c>
      <c r="C652" s="25">
        <f>P659</f>
        <v>16</v>
      </c>
      <c r="D652" s="10"/>
      <c r="E652" s="10"/>
      <c r="F652" s="10"/>
      <c r="G652" s="31"/>
      <c r="H652" s="10"/>
      <c r="I652" s="10"/>
      <c r="J652" s="32" t="s">
        <v>19</v>
      </c>
      <c r="K652" s="33">
        <f>K689/K688</f>
        <v>1</v>
      </c>
      <c r="L652" s="33">
        <f t="shared" ref="L652:S652" si="141">L689/L688</f>
        <v>0.75</v>
      </c>
      <c r="M652" s="33">
        <f t="shared" si="141"/>
        <v>0.75</v>
      </c>
      <c r="N652" s="33">
        <f t="shared" si="141"/>
        <v>1</v>
      </c>
      <c r="O652" s="33">
        <f t="shared" si="141"/>
        <v>1</v>
      </c>
      <c r="P652" s="33">
        <f t="shared" si="141"/>
        <v>0.58333333333333337</v>
      </c>
      <c r="Q652" s="33">
        <f t="shared" si="141"/>
        <v>0.33333333333333331</v>
      </c>
      <c r="R652" s="33">
        <f t="shared" si="141"/>
        <v>8.3333333333333329E-2</v>
      </c>
      <c r="S652" s="33">
        <f t="shared" si="141"/>
        <v>0</v>
      </c>
      <c r="T652" s="23"/>
      <c r="U652" s="17" t="s">
        <v>20</v>
      </c>
      <c r="V652" s="10"/>
      <c r="W652" s="10"/>
      <c r="X652" s="10"/>
    </row>
    <row r="653" spans="1:25">
      <c r="A653" s="614"/>
      <c r="B653" s="24" t="s">
        <v>21</v>
      </c>
      <c r="C653" s="34">
        <f>P660</f>
        <v>0.4838709677419355</v>
      </c>
      <c r="D653" s="10"/>
      <c r="E653" s="10"/>
      <c r="F653" s="10"/>
      <c r="G653" s="10"/>
      <c r="H653" s="10"/>
      <c r="I653" s="10"/>
      <c r="J653" s="10"/>
      <c r="K653" s="10"/>
      <c r="L653" s="10"/>
      <c r="M653" s="10"/>
      <c r="N653" s="10"/>
      <c r="O653" s="10"/>
      <c r="P653" s="10"/>
      <c r="Q653" s="10"/>
      <c r="R653" s="10"/>
      <c r="S653" s="10"/>
      <c r="T653" s="10"/>
      <c r="U653" s="17"/>
      <c r="V653" s="10"/>
      <c r="W653" s="10"/>
      <c r="X653" s="10"/>
    </row>
    <row r="654" spans="1:25">
      <c r="A654" s="614"/>
      <c r="B654" s="24"/>
      <c r="C654" s="25"/>
      <c r="D654" s="10"/>
      <c r="E654" s="10"/>
      <c r="F654" s="18" t="s">
        <v>22</v>
      </c>
      <c r="G654" s="19" t="s">
        <v>23</v>
      </c>
      <c r="H654" s="35" t="s">
        <v>24</v>
      </c>
      <c r="I654" s="10"/>
      <c r="J654" s="10"/>
      <c r="K654" s="36"/>
      <c r="L654" s="36"/>
      <c r="M654" s="36"/>
      <c r="N654" s="36"/>
      <c r="O654" s="36"/>
      <c r="P654" s="36"/>
      <c r="Q654" s="36"/>
      <c r="R654" s="10"/>
      <c r="S654" s="10"/>
      <c r="T654" s="10"/>
      <c r="U654" s="17"/>
      <c r="V654" s="10"/>
      <c r="W654" s="10"/>
      <c r="X654" s="10"/>
    </row>
    <row r="655" spans="1:25" ht="16.5" customHeight="1">
      <c r="A655" s="614"/>
      <c r="B655" s="32" t="s">
        <v>25</v>
      </c>
      <c r="C655" s="37">
        <f>P661</f>
        <v>1981.194</v>
      </c>
      <c r="D655" s="10"/>
      <c r="E655" s="18" t="s">
        <v>26</v>
      </c>
      <c r="F655" s="38">
        <f>P657</f>
        <v>29717.91</v>
      </c>
      <c r="G655" s="39">
        <f>I688+I698+I702</f>
        <v>29717.91</v>
      </c>
      <c r="H655" s="767" t="s">
        <v>583</v>
      </c>
      <c r="I655" s="767"/>
      <c r="J655" s="767"/>
      <c r="K655" s="43" t="s">
        <v>27</v>
      </c>
      <c r="L655" s="44"/>
      <c r="M655" s="44"/>
      <c r="N655" s="44"/>
      <c r="O655" s="44"/>
      <c r="P655" s="44"/>
      <c r="Q655" s="45"/>
      <c r="R655" s="46" t="s">
        <v>28</v>
      </c>
      <c r="S655" s="47" t="s">
        <v>29</v>
      </c>
      <c r="T655" s="10"/>
      <c r="U655" s="17"/>
      <c r="V655" s="10"/>
      <c r="W655" s="10"/>
      <c r="X655" s="10"/>
    </row>
    <row r="656" spans="1:25">
      <c r="A656" s="614"/>
      <c r="B656" s="11"/>
      <c r="C656" s="10"/>
      <c r="D656" s="10"/>
      <c r="E656" s="24" t="s">
        <v>30</v>
      </c>
      <c r="F656" s="48">
        <f>F651</f>
        <v>0.05</v>
      </c>
      <c r="G656" s="17"/>
      <c r="H656" s="767"/>
      <c r="I656" s="767"/>
      <c r="J656" s="767"/>
      <c r="K656" s="20" t="s">
        <v>31</v>
      </c>
      <c r="L656" s="21" t="s">
        <v>32</v>
      </c>
      <c r="M656" s="21" t="s">
        <v>33</v>
      </c>
      <c r="N656" s="21" t="s">
        <v>34</v>
      </c>
      <c r="O656" s="21" t="s">
        <v>35</v>
      </c>
      <c r="P656" s="21" t="s">
        <v>36</v>
      </c>
      <c r="Q656" s="49" t="s">
        <v>37</v>
      </c>
      <c r="R656" s="50" t="s">
        <v>38</v>
      </c>
      <c r="S656" s="50" t="s">
        <v>38</v>
      </c>
      <c r="T656" s="10"/>
      <c r="U656" s="17"/>
      <c r="V656" s="10"/>
      <c r="W656" s="10"/>
      <c r="X656" s="10"/>
    </row>
    <row r="657" spans="1:24">
      <c r="A657" s="614"/>
      <c r="B657" s="11"/>
      <c r="C657" s="10"/>
      <c r="D657" s="10"/>
      <c r="E657" s="51" t="s">
        <v>39</v>
      </c>
      <c r="F657" s="52">
        <f>(F655+F664+F665+F666-I679-I680-I682-I684-I686-I696-I697-I701)*F656</f>
        <v>318.37450000000013</v>
      </c>
      <c r="G657" s="53" t="s">
        <v>40</v>
      </c>
      <c r="H657" s="484">
        <f>F657/1.12</f>
        <v>284.26294642857152</v>
      </c>
      <c r="I657" s="55"/>
      <c r="J657" s="42"/>
      <c r="K657" s="56">
        <f>I676+I677+I678+I696</f>
        <v>14238.74</v>
      </c>
      <c r="L657" s="57">
        <f>I679+I680</f>
        <v>2395.5700000000002</v>
      </c>
      <c r="M657" s="57">
        <f>I681+I697+I683+I682+I684</f>
        <v>6163.5700000000006</v>
      </c>
      <c r="N657" s="57">
        <f>I686+I701+I685</f>
        <v>5819.8</v>
      </c>
      <c r="O657" s="57">
        <f>I687</f>
        <v>1100.23</v>
      </c>
      <c r="P657" s="57">
        <f>SUM(K657:O657)</f>
        <v>29717.91</v>
      </c>
      <c r="Q657" s="58">
        <v>0</v>
      </c>
      <c r="R657" s="59">
        <f>I698+I702</f>
        <v>16189.54</v>
      </c>
      <c r="S657" s="59">
        <v>0</v>
      </c>
      <c r="T657" s="10"/>
      <c r="U657" s="17"/>
      <c r="V657" s="10"/>
      <c r="W657" s="10"/>
      <c r="X657" s="10"/>
    </row>
    <row r="658" spans="1:24">
      <c r="A658" s="614"/>
      <c r="B658" s="11"/>
      <c r="C658" s="10"/>
      <c r="D658" s="10"/>
      <c r="E658" s="24" t="s">
        <v>41</v>
      </c>
      <c r="F658" s="60">
        <f>Q657</f>
        <v>0</v>
      </c>
      <c r="G658" s="61" t="s">
        <v>40</v>
      </c>
      <c r="H658" s="62"/>
      <c r="I658" s="62"/>
      <c r="J658" s="10" t="s">
        <v>42</v>
      </c>
      <c r="K658" s="63">
        <v>4</v>
      </c>
      <c r="L658" s="63">
        <v>2</v>
      </c>
      <c r="M658" s="63">
        <v>5</v>
      </c>
      <c r="N658" s="63">
        <v>3</v>
      </c>
      <c r="O658" s="63">
        <v>1</v>
      </c>
      <c r="P658" s="21">
        <f>SUM(K658:O658)</f>
        <v>15</v>
      </c>
      <c r="Q658" s="64"/>
      <c r="R658" s="63"/>
      <c r="S658" s="10"/>
      <c r="T658" s="10"/>
      <c r="U658" s="17"/>
      <c r="V658" s="10"/>
      <c r="W658" s="10"/>
      <c r="X658" s="10"/>
    </row>
    <row r="659" spans="1:24">
      <c r="A659" s="614"/>
      <c r="B659" s="11"/>
      <c r="C659" s="10"/>
      <c r="D659" s="10"/>
      <c r="E659" s="51" t="s">
        <v>43</v>
      </c>
      <c r="F659" s="52">
        <f>F658*0.25</f>
        <v>0</v>
      </c>
      <c r="G659" s="53" t="s">
        <v>40</v>
      </c>
      <c r="H659" s="54">
        <f>F659/1.12</f>
        <v>0</v>
      </c>
      <c r="I659" s="10"/>
      <c r="J659" s="10" t="s">
        <v>44</v>
      </c>
      <c r="K659" s="63">
        <v>3</v>
      </c>
      <c r="L659" s="63">
        <v>3</v>
      </c>
      <c r="M659" s="63">
        <v>4</v>
      </c>
      <c r="N659" s="63">
        <v>4</v>
      </c>
      <c r="O659" s="63">
        <v>2</v>
      </c>
      <c r="P659" s="21">
        <f>SUM(K659:O659)</f>
        <v>16</v>
      </c>
      <c r="Q659" s="64"/>
      <c r="R659" s="63"/>
      <c r="S659" s="10"/>
      <c r="T659" s="10"/>
      <c r="U659" s="17"/>
      <c r="V659" s="10"/>
      <c r="W659" s="10"/>
      <c r="X659" s="10"/>
    </row>
    <row r="660" spans="1:24">
      <c r="A660" s="614"/>
      <c r="B660" s="11"/>
      <c r="C660" s="10"/>
      <c r="D660" s="10"/>
      <c r="E660" s="24" t="s">
        <v>45</v>
      </c>
      <c r="F660" s="60">
        <f>I693</f>
        <v>4951.8999999999996</v>
      </c>
      <c r="G660" s="61" t="s">
        <v>40</v>
      </c>
      <c r="H660" s="62"/>
      <c r="I660" s="10"/>
      <c r="J660" s="10" t="s">
        <v>46</v>
      </c>
      <c r="K660" s="31">
        <f t="shared" ref="K660:Q660" si="142">K658/(K658+K659)</f>
        <v>0.5714285714285714</v>
      </c>
      <c r="L660" s="31">
        <f t="shared" si="142"/>
        <v>0.4</v>
      </c>
      <c r="M660" s="31">
        <f t="shared" si="142"/>
        <v>0.55555555555555558</v>
      </c>
      <c r="N660" s="31">
        <f t="shared" si="142"/>
        <v>0.42857142857142855</v>
      </c>
      <c r="O660" s="31">
        <f t="shared" si="142"/>
        <v>0.33333333333333331</v>
      </c>
      <c r="P660" s="31">
        <f t="shared" si="142"/>
        <v>0.4838709677419355</v>
      </c>
      <c r="Q660" s="31" t="e">
        <f t="shared" si="142"/>
        <v>#DIV/0!</v>
      </c>
      <c r="R660" s="63"/>
      <c r="S660" s="10"/>
      <c r="T660" s="10"/>
      <c r="U660" s="17"/>
      <c r="V660" s="10"/>
      <c r="W660" s="10"/>
      <c r="X660" s="10"/>
    </row>
    <row r="661" spans="1:24">
      <c r="A661" s="614"/>
      <c r="B661" s="11"/>
      <c r="C661" s="10"/>
      <c r="D661" s="10"/>
      <c r="E661" s="51" t="s">
        <v>47</v>
      </c>
      <c r="F661" s="52">
        <f>(F660-I692)*0.05</f>
        <v>0</v>
      </c>
      <c r="G661" s="65" t="s">
        <v>40</v>
      </c>
      <c r="H661" s="54">
        <f>F661/1.12</f>
        <v>0</v>
      </c>
      <c r="I661" s="42"/>
      <c r="J661" s="10" t="s">
        <v>48</v>
      </c>
      <c r="K661" s="66">
        <f>K657/K658</f>
        <v>3559.6849999999999</v>
      </c>
      <c r="L661" s="66">
        <f t="shared" ref="L661:Q661" si="143">L657/L658</f>
        <v>1197.7850000000001</v>
      </c>
      <c r="M661" s="66">
        <f t="shared" si="143"/>
        <v>1232.7140000000002</v>
      </c>
      <c r="N661" s="66">
        <f t="shared" si="143"/>
        <v>1939.9333333333334</v>
      </c>
      <c r="O661" s="66">
        <f t="shared" si="143"/>
        <v>1100.23</v>
      </c>
      <c r="P661" s="66">
        <f t="shared" si="143"/>
        <v>1981.194</v>
      </c>
      <c r="Q661" s="66" t="e">
        <f t="shared" si="143"/>
        <v>#DIV/0!</v>
      </c>
      <c r="R661" s="63"/>
      <c r="S661" s="10"/>
      <c r="T661" s="10"/>
      <c r="U661" s="17"/>
      <c r="V661" s="10"/>
      <c r="W661" s="10"/>
      <c r="X661" s="10"/>
    </row>
    <row r="662" spans="1:24">
      <c r="A662" s="614"/>
      <c r="B662" s="11"/>
      <c r="C662" s="10"/>
      <c r="D662" s="10"/>
      <c r="E662" s="67" t="s">
        <v>14</v>
      </c>
      <c r="F662" s="68"/>
      <c r="G662" s="10"/>
      <c r="H662" s="54">
        <f>F662/1.12</f>
        <v>0</v>
      </c>
      <c r="I662" s="10"/>
      <c r="J662" s="10"/>
      <c r="K662" s="10"/>
      <c r="L662" s="10"/>
      <c r="M662" s="10"/>
      <c r="N662" s="10"/>
      <c r="O662" s="10"/>
      <c r="P662" s="10"/>
      <c r="Q662" s="10"/>
      <c r="R662" s="10"/>
      <c r="S662" s="10"/>
      <c r="T662" s="10"/>
      <c r="U662" s="17"/>
      <c r="V662" s="10"/>
      <c r="W662" s="10"/>
      <c r="X662" s="10"/>
    </row>
    <row r="663" spans="1:24">
      <c r="A663" s="614"/>
      <c r="B663" s="11"/>
      <c r="C663" s="10"/>
      <c r="D663" s="10"/>
      <c r="E663" s="67" t="s">
        <v>49</v>
      </c>
      <c r="F663" s="69">
        <f>T652</f>
        <v>0</v>
      </c>
      <c r="G663" s="10"/>
      <c r="H663" s="54"/>
      <c r="I663" s="55"/>
      <c r="J663" s="42"/>
      <c r="K663" s="764" t="s">
        <v>50</v>
      </c>
      <c r="L663" s="765"/>
      <c r="M663" s="765"/>
      <c r="N663" s="765"/>
      <c r="O663" s="765"/>
      <c r="P663" s="765"/>
      <c r="Q663" s="766"/>
      <c r="R663" s="70" t="s">
        <v>28</v>
      </c>
      <c r="S663" s="71" t="s">
        <v>29</v>
      </c>
      <c r="T663" s="10"/>
      <c r="U663" s="17"/>
      <c r="V663" s="10"/>
      <c r="W663" s="10"/>
      <c r="X663" s="10"/>
    </row>
    <row r="664" spans="1:24">
      <c r="A664" s="614"/>
      <c r="B664" s="11"/>
      <c r="C664" s="10"/>
      <c r="D664" s="10"/>
      <c r="E664" s="74" t="s">
        <v>2993</v>
      </c>
      <c r="F664" s="75">
        <v>-18.510000000000002</v>
      </c>
      <c r="G664" s="10"/>
      <c r="H664" s="10"/>
      <c r="I664" s="10"/>
      <c r="J664" s="42"/>
      <c r="K664" s="20" t="s">
        <v>31</v>
      </c>
      <c r="L664" s="21" t="s">
        <v>32</v>
      </c>
      <c r="M664" s="21" t="s">
        <v>33</v>
      </c>
      <c r="N664" s="21" t="s">
        <v>34</v>
      </c>
      <c r="O664" s="21" t="s">
        <v>35</v>
      </c>
      <c r="P664" s="21" t="s">
        <v>36</v>
      </c>
      <c r="Q664" s="49" t="s">
        <v>37</v>
      </c>
      <c r="R664" s="50" t="s">
        <v>38</v>
      </c>
      <c r="S664" s="50" t="s">
        <v>38</v>
      </c>
      <c r="T664" s="10"/>
      <c r="U664" s="17"/>
      <c r="V664" s="10"/>
      <c r="W664" s="10"/>
      <c r="X664" s="10"/>
    </row>
    <row r="665" spans="1:24">
      <c r="A665" s="614"/>
      <c r="B665" s="11"/>
      <c r="C665" s="10"/>
      <c r="D665" s="10"/>
      <c r="E665" s="74" t="s">
        <v>2994</v>
      </c>
      <c r="F665" s="75">
        <v>-115.91</v>
      </c>
      <c r="G665" s="10"/>
      <c r="H665" s="10"/>
      <c r="I665" s="10"/>
      <c r="J665" s="42"/>
      <c r="K665" s="56">
        <f>F676+F677+F678+F696</f>
        <v>15837.2</v>
      </c>
      <c r="L665" s="57">
        <f>F679+F680</f>
        <v>2819</v>
      </c>
      <c r="M665" s="57">
        <f>F681+F697+F683+F682+F684</f>
        <v>7886.6</v>
      </c>
      <c r="N665" s="57">
        <f>F686+F701+F685</f>
        <v>6184.9</v>
      </c>
      <c r="O665" s="57">
        <f>F687</f>
        <v>1281</v>
      </c>
      <c r="P665" s="57">
        <f>SUM(K665:O665)</f>
        <v>34008.700000000004</v>
      </c>
      <c r="Q665" s="58">
        <v>0</v>
      </c>
      <c r="R665" s="59">
        <f>F698+F702</f>
        <v>17860.900000000001</v>
      </c>
      <c r="S665" s="59">
        <v>0</v>
      </c>
      <c r="T665" s="10"/>
      <c r="U665" s="17"/>
      <c r="V665" s="10"/>
      <c r="W665" s="10"/>
      <c r="X665" s="10"/>
    </row>
    <row r="666" spans="1:24">
      <c r="A666" s="614"/>
      <c r="B666" s="11"/>
      <c r="C666" s="10"/>
      <c r="D666" s="10"/>
      <c r="E666" s="74" t="s">
        <v>2995</v>
      </c>
      <c r="F666" s="75">
        <v>-46.62</v>
      </c>
      <c r="G666" s="10"/>
      <c r="H666" s="10"/>
      <c r="I666" s="10"/>
      <c r="J666" s="10" t="s">
        <v>42</v>
      </c>
      <c r="K666" s="63">
        <f>K658</f>
        <v>4</v>
      </c>
      <c r="L666" s="63">
        <f t="shared" ref="L666:Q667" si="144">L658</f>
        <v>2</v>
      </c>
      <c r="M666" s="63">
        <f t="shared" si="144"/>
        <v>5</v>
      </c>
      <c r="N666" s="63">
        <f t="shared" si="144"/>
        <v>3</v>
      </c>
      <c r="O666" s="63">
        <f t="shared" si="144"/>
        <v>1</v>
      </c>
      <c r="P666" s="63">
        <f t="shared" si="144"/>
        <v>15</v>
      </c>
      <c r="Q666" s="63">
        <f t="shared" si="144"/>
        <v>0</v>
      </c>
      <c r="R666" s="63"/>
      <c r="S666" s="10"/>
      <c r="T666" s="10"/>
      <c r="U666" s="17"/>
      <c r="V666" s="10"/>
      <c r="W666" s="10"/>
      <c r="X666" s="10"/>
    </row>
    <row r="667" spans="1:24">
      <c r="A667" s="614"/>
      <c r="B667" s="11"/>
      <c r="C667" s="10"/>
      <c r="D667" s="10"/>
      <c r="E667" s="10"/>
      <c r="F667" s="10"/>
      <c r="G667" s="10"/>
      <c r="H667" s="10"/>
      <c r="I667" s="10"/>
      <c r="J667" s="10" t="s">
        <v>44</v>
      </c>
      <c r="K667" s="63">
        <f>K659</f>
        <v>3</v>
      </c>
      <c r="L667" s="63">
        <f t="shared" si="144"/>
        <v>3</v>
      </c>
      <c r="M667" s="63">
        <f t="shared" si="144"/>
        <v>4</v>
      </c>
      <c r="N667" s="63">
        <f t="shared" si="144"/>
        <v>4</v>
      </c>
      <c r="O667" s="63">
        <f t="shared" si="144"/>
        <v>2</v>
      </c>
      <c r="P667" s="63">
        <f t="shared" si="144"/>
        <v>16</v>
      </c>
      <c r="Q667" s="63">
        <f t="shared" si="144"/>
        <v>0</v>
      </c>
      <c r="R667" s="63"/>
      <c r="S667" s="10"/>
      <c r="T667" s="10"/>
      <c r="U667" s="17"/>
      <c r="V667" s="10"/>
      <c r="W667" s="10"/>
      <c r="X667" s="10"/>
    </row>
    <row r="668" spans="1:24">
      <c r="A668" s="614"/>
      <c r="B668" s="11"/>
      <c r="C668" s="10"/>
      <c r="D668" s="10"/>
      <c r="E668" s="10"/>
      <c r="F668" s="10"/>
      <c r="G668" s="10"/>
      <c r="H668" s="10"/>
      <c r="I668" s="10"/>
      <c r="J668" s="10" t="s">
        <v>46</v>
      </c>
      <c r="K668" s="31">
        <f t="shared" ref="K668:Q668" si="145">K666/(K666+K667)</f>
        <v>0.5714285714285714</v>
      </c>
      <c r="L668" s="31">
        <f t="shared" si="145"/>
        <v>0.4</v>
      </c>
      <c r="M668" s="31">
        <f t="shared" si="145"/>
        <v>0.55555555555555558</v>
      </c>
      <c r="N668" s="31">
        <f t="shared" si="145"/>
        <v>0.42857142857142855</v>
      </c>
      <c r="O668" s="31">
        <f t="shared" si="145"/>
        <v>0.33333333333333331</v>
      </c>
      <c r="P668" s="31">
        <f t="shared" si="145"/>
        <v>0.4838709677419355</v>
      </c>
      <c r="Q668" s="31" t="e">
        <f t="shared" si="145"/>
        <v>#DIV/0!</v>
      </c>
      <c r="R668" s="63"/>
      <c r="S668" s="10"/>
      <c r="T668" s="10"/>
      <c r="U668" s="17"/>
      <c r="V668" s="10"/>
      <c r="W668" s="10"/>
      <c r="X668" s="10"/>
    </row>
    <row r="669" spans="1:24">
      <c r="A669" s="614"/>
      <c r="B669" s="11"/>
      <c r="C669" s="10"/>
      <c r="D669" s="10"/>
      <c r="E669" s="10"/>
      <c r="F669" s="10"/>
      <c r="G669" s="10"/>
      <c r="H669" s="10"/>
      <c r="I669" s="10"/>
      <c r="J669" s="10" t="s">
        <v>48</v>
      </c>
      <c r="K669" s="66">
        <f t="shared" ref="K669:Q669" si="146">K665/K666</f>
        <v>3959.3</v>
      </c>
      <c r="L669" s="66">
        <f t="shared" si="146"/>
        <v>1409.5</v>
      </c>
      <c r="M669" s="66">
        <f t="shared" si="146"/>
        <v>1577.3200000000002</v>
      </c>
      <c r="N669" s="66">
        <f t="shared" si="146"/>
        <v>2061.6333333333332</v>
      </c>
      <c r="O669" s="66">
        <f t="shared" si="146"/>
        <v>1281</v>
      </c>
      <c r="P669" s="66">
        <f t="shared" si="146"/>
        <v>2267.2466666666669</v>
      </c>
      <c r="Q669" s="66" t="e">
        <f t="shared" si="146"/>
        <v>#DIV/0!</v>
      </c>
      <c r="R669" s="63"/>
      <c r="S669" s="10"/>
      <c r="T669" s="10"/>
      <c r="U669" s="17"/>
      <c r="V669" s="10"/>
      <c r="W669" s="10"/>
      <c r="X669" s="10"/>
    </row>
    <row r="670" spans="1:24">
      <c r="A670" s="614"/>
      <c r="B670" s="11"/>
      <c r="C670" s="10"/>
      <c r="D670" s="10"/>
      <c r="E670" s="10"/>
      <c r="F670" s="10"/>
      <c r="G670" s="10"/>
      <c r="H670" s="10"/>
      <c r="I670" s="10"/>
      <c r="J670" s="10"/>
      <c r="K670" s="66"/>
      <c r="L670" s="66"/>
      <c r="M670" s="66"/>
      <c r="N670" s="66"/>
      <c r="O670" s="66"/>
      <c r="P670" s="66"/>
      <c r="Q670" s="66"/>
      <c r="R670" s="63"/>
      <c r="S670" s="10"/>
      <c r="T670" s="10"/>
      <c r="U670" s="17"/>
      <c r="V670" s="10"/>
      <c r="W670" s="10"/>
      <c r="X670" s="10"/>
    </row>
    <row r="671" spans="1:24">
      <c r="A671" s="614"/>
      <c r="B671" s="11"/>
      <c r="C671" s="10"/>
      <c r="D671" s="10"/>
      <c r="E671" s="10"/>
      <c r="F671" s="10"/>
      <c r="G671" s="10"/>
      <c r="H671" s="10"/>
      <c r="I671" s="10"/>
      <c r="J671" s="10"/>
      <c r="K671" s="10"/>
      <c r="L671" s="10"/>
      <c r="M671" s="10"/>
      <c r="N671" s="10"/>
      <c r="O671" s="10"/>
      <c r="P671" s="10"/>
      <c r="Q671" s="10"/>
      <c r="R671" s="10"/>
      <c r="S671" s="10"/>
      <c r="T671" s="10"/>
      <c r="U671" s="17"/>
      <c r="V671" s="10"/>
      <c r="W671" s="10"/>
      <c r="X671" s="10"/>
    </row>
    <row r="672" spans="1:24">
      <c r="A672" s="614"/>
      <c r="B672" s="11"/>
      <c r="C672" s="10"/>
      <c r="D672" s="10"/>
      <c r="E672" s="10"/>
      <c r="F672" s="10"/>
      <c r="G672" s="10"/>
      <c r="H672" s="10"/>
      <c r="I672" s="10"/>
      <c r="J672" s="10"/>
      <c r="K672" s="10"/>
      <c r="L672" s="10"/>
      <c r="M672" s="10"/>
      <c r="N672" s="10"/>
      <c r="O672" s="10"/>
      <c r="P672" s="10"/>
      <c r="Q672" s="10"/>
      <c r="R672" s="10"/>
      <c r="S672" s="10"/>
      <c r="T672" s="10"/>
      <c r="U672" s="17"/>
      <c r="V672" s="10"/>
      <c r="W672" s="10"/>
      <c r="X672" s="10"/>
    </row>
    <row r="673" spans="1:24">
      <c r="A673" s="614"/>
      <c r="B673" s="18" t="s">
        <v>51</v>
      </c>
      <c r="C673" s="14"/>
      <c r="D673" s="14"/>
      <c r="E673" s="14"/>
      <c r="F673" s="13" t="s">
        <v>52</v>
      </c>
      <c r="G673" s="14"/>
      <c r="H673" s="14"/>
      <c r="I673" s="14"/>
      <c r="J673" s="14"/>
      <c r="K673" s="13" t="s">
        <v>3</v>
      </c>
      <c r="L673" s="14"/>
      <c r="M673" s="14"/>
      <c r="N673" s="13" t="s">
        <v>4</v>
      </c>
      <c r="O673" s="14"/>
      <c r="P673" s="14"/>
      <c r="Q673" s="13" t="s">
        <v>5</v>
      </c>
      <c r="R673" s="14"/>
      <c r="S673" s="14"/>
      <c r="T673" s="18"/>
      <c r="U673" s="16" t="s">
        <v>53</v>
      </c>
      <c r="V673" s="77"/>
      <c r="W673" s="77"/>
      <c r="X673" s="77"/>
    </row>
    <row r="674" spans="1:24">
      <c r="A674" s="614"/>
      <c r="B674" s="24" t="s">
        <v>54</v>
      </c>
      <c r="C674" s="21" t="s">
        <v>55</v>
      </c>
      <c r="D674" s="21" t="s">
        <v>56</v>
      </c>
      <c r="E674" s="21" t="s">
        <v>57</v>
      </c>
      <c r="F674" s="20" t="s">
        <v>58</v>
      </c>
      <c r="G674" s="21" t="s">
        <v>59</v>
      </c>
      <c r="H674" s="21" t="s">
        <v>60</v>
      </c>
      <c r="I674" s="21" t="s">
        <v>26</v>
      </c>
      <c r="J674" s="22" t="s">
        <v>61</v>
      </c>
      <c r="K674" s="21" t="s">
        <v>8</v>
      </c>
      <c r="L674" s="21" t="s">
        <v>9</v>
      </c>
      <c r="M674" s="21" t="s">
        <v>10</v>
      </c>
      <c r="N674" s="20" t="s">
        <v>11</v>
      </c>
      <c r="O674" s="21" t="s">
        <v>12</v>
      </c>
      <c r="P674" s="22" t="s">
        <v>13</v>
      </c>
      <c r="Q674" s="21" t="s">
        <v>11</v>
      </c>
      <c r="R674" s="21" t="s">
        <v>12</v>
      </c>
      <c r="S674" s="21" t="s">
        <v>13</v>
      </c>
      <c r="T674" s="78" t="s">
        <v>14</v>
      </c>
      <c r="U674" s="30"/>
      <c r="V674" s="79" t="s">
        <v>62</v>
      </c>
      <c r="W674" s="80" t="s">
        <v>63</v>
      </c>
      <c r="X674" s="81" t="s">
        <v>64</v>
      </c>
    </row>
    <row r="675" spans="1:24">
      <c r="A675" s="614"/>
      <c r="B675" s="4" t="s">
        <v>65</v>
      </c>
      <c r="C675" s="6"/>
      <c r="D675" s="6"/>
      <c r="E675" s="6"/>
      <c r="F675" s="6"/>
      <c r="G675" s="6"/>
      <c r="H675" s="6"/>
      <c r="I675" s="82"/>
      <c r="J675" s="6"/>
      <c r="K675" s="6"/>
      <c r="L675" s="6"/>
      <c r="M675" s="6"/>
      <c r="N675" s="6"/>
      <c r="O675" s="6"/>
      <c r="P675" s="6"/>
      <c r="Q675" s="6"/>
      <c r="R675" s="6"/>
      <c r="S675" s="6"/>
      <c r="T675" s="83"/>
      <c r="U675" s="6"/>
      <c r="V675" s="84"/>
      <c r="W675" s="85"/>
      <c r="X675" s="86"/>
    </row>
    <row r="676" spans="1:24">
      <c r="A676" s="614"/>
      <c r="B676" s="87">
        <v>1</v>
      </c>
      <c r="C676" s="274">
        <v>45915</v>
      </c>
      <c r="D676" s="327">
        <v>73308</v>
      </c>
      <c r="E676" s="276" t="s">
        <v>1338</v>
      </c>
      <c r="F676" s="277">
        <v>861</v>
      </c>
      <c r="G676" s="277">
        <f>39.7</f>
        <v>39.700000000000003</v>
      </c>
      <c r="H676" s="297"/>
      <c r="I676" s="321">
        <f t="shared" ref="I676:I687" si="147">F676-G676-H676</f>
        <v>821.3</v>
      </c>
      <c r="J676" s="279" t="s">
        <v>156</v>
      </c>
      <c r="K676" s="279">
        <v>1</v>
      </c>
      <c r="L676" s="279">
        <v>1</v>
      </c>
      <c r="M676" s="279">
        <v>1</v>
      </c>
      <c r="N676" s="279">
        <v>1</v>
      </c>
      <c r="O676" s="279">
        <v>1</v>
      </c>
      <c r="P676" s="279">
        <v>1</v>
      </c>
      <c r="Q676" s="322">
        <v>0</v>
      </c>
      <c r="R676" s="322">
        <v>0</v>
      </c>
      <c r="S676" s="328">
        <v>0</v>
      </c>
      <c r="T676" s="63"/>
      <c r="U676" s="10"/>
      <c r="V676" s="90">
        <v>947.1</v>
      </c>
      <c r="W676" s="91"/>
      <c r="X676" s="92"/>
    </row>
    <row r="677" spans="1:24">
      <c r="A677" s="614"/>
      <c r="B677" s="87">
        <f t="shared" ref="B677:B687" si="148">B676+1</f>
        <v>2</v>
      </c>
      <c r="C677" s="295">
        <v>45915</v>
      </c>
      <c r="D677" s="323">
        <v>73304</v>
      </c>
      <c r="E677" s="10" t="s">
        <v>1047</v>
      </c>
      <c r="F677" s="62">
        <v>1024.2</v>
      </c>
      <c r="G677" s="62">
        <f>39.7</f>
        <v>39.700000000000003</v>
      </c>
      <c r="H677" s="62"/>
      <c r="I677" s="324">
        <f t="shared" si="147"/>
        <v>984.5</v>
      </c>
      <c r="J677" s="63" t="s">
        <v>150</v>
      </c>
      <c r="K677" s="63">
        <v>1</v>
      </c>
      <c r="L677" s="325">
        <v>0</v>
      </c>
      <c r="M677" s="63">
        <v>1</v>
      </c>
      <c r="N677" s="63">
        <v>1</v>
      </c>
      <c r="O677" s="63">
        <v>1</v>
      </c>
      <c r="P677" s="63">
        <v>1</v>
      </c>
      <c r="Q677" s="63">
        <v>1</v>
      </c>
      <c r="R677" s="325">
        <v>0</v>
      </c>
      <c r="S677" s="326">
        <v>0</v>
      </c>
      <c r="T677" s="63"/>
      <c r="U677" s="10"/>
      <c r="V677" s="90">
        <v>0</v>
      </c>
      <c r="W677" s="440">
        <v>1126.6199999999999</v>
      </c>
      <c r="X677" s="92"/>
    </row>
    <row r="678" spans="1:24">
      <c r="A678" s="613"/>
      <c r="B678" s="87">
        <f t="shared" si="148"/>
        <v>3</v>
      </c>
      <c r="C678" s="295">
        <v>45915</v>
      </c>
      <c r="D678" s="323">
        <v>73313</v>
      </c>
      <c r="E678" s="10" t="s">
        <v>1034</v>
      </c>
      <c r="F678" s="62">
        <v>1138</v>
      </c>
      <c r="G678" s="62">
        <f>39.7+(47.7)</f>
        <v>87.4</v>
      </c>
      <c r="H678" s="62"/>
      <c r="I678" s="324">
        <f t="shared" si="147"/>
        <v>1050.5999999999999</v>
      </c>
      <c r="J678" s="63" t="s">
        <v>156</v>
      </c>
      <c r="K678" s="63">
        <v>1</v>
      </c>
      <c r="L678" s="63">
        <v>1</v>
      </c>
      <c r="M678" s="325">
        <v>0</v>
      </c>
      <c r="N678" s="63">
        <v>1</v>
      </c>
      <c r="O678" s="63">
        <v>1</v>
      </c>
      <c r="P678" s="63">
        <v>1</v>
      </c>
      <c r="Q678" s="325">
        <v>0</v>
      </c>
      <c r="R678" s="325">
        <v>0</v>
      </c>
      <c r="S678" s="326">
        <v>0</v>
      </c>
      <c r="T678" s="63"/>
      <c r="U678" s="10" t="s">
        <v>2996</v>
      </c>
      <c r="V678" s="90">
        <v>1251.8</v>
      </c>
      <c r="W678" s="91"/>
      <c r="X678" s="92"/>
    </row>
    <row r="679" spans="1:24">
      <c r="A679" s="614" t="s">
        <v>230</v>
      </c>
      <c r="B679" s="87">
        <f t="shared" si="148"/>
        <v>4</v>
      </c>
      <c r="C679" s="274">
        <v>45916</v>
      </c>
      <c r="D679" s="327">
        <v>73339</v>
      </c>
      <c r="E679" s="404" t="s">
        <v>1028</v>
      </c>
      <c r="F679" s="277">
        <v>1681</v>
      </c>
      <c r="G679" s="277">
        <f>39.7+(113.19)+200</f>
        <v>352.89</v>
      </c>
      <c r="H679" s="277"/>
      <c r="I679" s="329">
        <f t="shared" si="147"/>
        <v>1328.1100000000001</v>
      </c>
      <c r="J679" s="279" t="s">
        <v>156</v>
      </c>
      <c r="K679" s="279">
        <v>1</v>
      </c>
      <c r="L679" s="322">
        <v>0</v>
      </c>
      <c r="M679" s="322">
        <v>0</v>
      </c>
      <c r="N679" s="279">
        <v>1</v>
      </c>
      <c r="O679" s="279">
        <v>1</v>
      </c>
      <c r="P679" s="322">
        <v>0</v>
      </c>
      <c r="Q679" s="322">
        <v>0</v>
      </c>
      <c r="R679" s="322">
        <v>0</v>
      </c>
      <c r="S679" s="328">
        <v>0</v>
      </c>
      <c r="T679" s="63"/>
      <c r="U679" s="10" t="s">
        <v>2997</v>
      </c>
      <c r="V679" s="90">
        <v>1849.1</v>
      </c>
      <c r="W679" s="91"/>
      <c r="X679" s="92"/>
    </row>
    <row r="680" spans="1:24">
      <c r="A680" s="614" t="s">
        <v>2998</v>
      </c>
      <c r="B680" s="87">
        <f>B679+1</f>
        <v>5</v>
      </c>
      <c r="C680" s="282">
        <v>45916</v>
      </c>
      <c r="D680" s="368">
        <v>73324</v>
      </c>
      <c r="E680" s="283" t="s">
        <v>1256</v>
      </c>
      <c r="F680" s="284">
        <v>1138</v>
      </c>
      <c r="G680" s="284">
        <f>39.7+(30.84)</f>
        <v>70.540000000000006</v>
      </c>
      <c r="H680" s="284"/>
      <c r="I680" s="331">
        <f t="shared" ref="I680" si="149">F680-G680-H680</f>
        <v>1067.46</v>
      </c>
      <c r="J680" s="286" t="s">
        <v>374</v>
      </c>
      <c r="K680" s="286">
        <v>1</v>
      </c>
      <c r="L680" s="332">
        <v>0</v>
      </c>
      <c r="M680" s="286">
        <v>1</v>
      </c>
      <c r="N680" s="286">
        <v>1</v>
      </c>
      <c r="O680" s="286">
        <v>1</v>
      </c>
      <c r="P680" s="286">
        <v>1</v>
      </c>
      <c r="Q680" s="332">
        <v>0</v>
      </c>
      <c r="R680" s="332">
        <v>0</v>
      </c>
      <c r="S680" s="370">
        <v>0</v>
      </c>
      <c r="T680" s="63"/>
      <c r="U680" s="94" t="s">
        <v>2999</v>
      </c>
      <c r="V680" s="90">
        <f>1251.8</f>
        <v>1251.8</v>
      </c>
      <c r="W680" s="91"/>
      <c r="X680" s="92"/>
    </row>
    <row r="681" spans="1:24">
      <c r="A681" s="614"/>
      <c r="B681" s="87">
        <f>B680+1</f>
        <v>6</v>
      </c>
      <c r="C681" s="295">
        <v>45917</v>
      </c>
      <c r="D681" s="323">
        <v>73375</v>
      </c>
      <c r="E681" s="10" t="s">
        <v>446</v>
      </c>
      <c r="F681" s="62">
        <v>481</v>
      </c>
      <c r="G681" s="62"/>
      <c r="H681" s="62"/>
      <c r="I681" s="324">
        <f t="shared" si="147"/>
        <v>481</v>
      </c>
      <c r="J681" s="63" t="s">
        <v>236</v>
      </c>
      <c r="K681" s="63">
        <v>1</v>
      </c>
      <c r="L681" s="63">
        <v>1</v>
      </c>
      <c r="M681" s="325">
        <v>0</v>
      </c>
      <c r="N681" s="63">
        <v>1</v>
      </c>
      <c r="O681" s="63">
        <v>1</v>
      </c>
      <c r="P681" s="325">
        <v>0</v>
      </c>
      <c r="Q681" s="325">
        <v>0</v>
      </c>
      <c r="R681" s="325">
        <v>0</v>
      </c>
      <c r="S681" s="326">
        <v>0</v>
      </c>
      <c r="T681" s="63"/>
      <c r="U681" s="10"/>
      <c r="V681" s="90">
        <v>479.1</v>
      </c>
      <c r="W681" s="440">
        <v>50</v>
      </c>
      <c r="X681" s="92"/>
    </row>
    <row r="682" spans="1:24">
      <c r="A682" s="614" t="s">
        <v>3000</v>
      </c>
      <c r="B682" s="87">
        <f>B681+1</f>
        <v>7</v>
      </c>
      <c r="C682" s="295">
        <v>45917</v>
      </c>
      <c r="D682" s="323" t="s">
        <v>3001</v>
      </c>
      <c r="E682" s="10" t="s">
        <v>446</v>
      </c>
      <c r="F682" s="62">
        <v>4872.6000000000004</v>
      </c>
      <c r="G682" s="62">
        <f>39.7+(1153.93)+250+200</f>
        <v>1643.63</v>
      </c>
      <c r="H682" s="62"/>
      <c r="I682" s="369">
        <f>F682-G682-H682</f>
        <v>3228.9700000000003</v>
      </c>
      <c r="J682" s="63" t="s">
        <v>236</v>
      </c>
      <c r="K682" s="63">
        <v>1</v>
      </c>
      <c r="L682" s="63">
        <v>1</v>
      </c>
      <c r="M682" s="63">
        <v>1</v>
      </c>
      <c r="N682" s="63">
        <v>1</v>
      </c>
      <c r="O682" s="63">
        <v>1</v>
      </c>
      <c r="P682" s="63">
        <v>1</v>
      </c>
      <c r="Q682" s="63">
        <v>1</v>
      </c>
      <c r="R682" s="325">
        <v>0</v>
      </c>
      <c r="S682" s="326">
        <v>0</v>
      </c>
      <c r="T682" s="63"/>
      <c r="U682" s="94" t="s">
        <v>3002</v>
      </c>
      <c r="V682" s="90">
        <v>4859.8599999999997</v>
      </c>
      <c r="W682" s="456">
        <v>500</v>
      </c>
      <c r="X682" s="92"/>
    </row>
    <row r="683" spans="1:24">
      <c r="A683" s="614"/>
      <c r="B683" s="87">
        <f>B682+1</f>
        <v>8</v>
      </c>
      <c r="C683" s="295">
        <v>45917</v>
      </c>
      <c r="D683" s="323">
        <v>73384</v>
      </c>
      <c r="E683" s="101" t="s">
        <v>1072</v>
      </c>
      <c r="F683" s="62">
        <f>1223-85</f>
        <v>1138</v>
      </c>
      <c r="G683" s="62">
        <f>39.7</f>
        <v>39.700000000000003</v>
      </c>
      <c r="H683" s="62"/>
      <c r="I683" s="324">
        <f>F683-G683-H683</f>
        <v>1098.3</v>
      </c>
      <c r="J683" s="63" t="s">
        <v>228</v>
      </c>
      <c r="K683" s="63">
        <v>1</v>
      </c>
      <c r="L683" s="63">
        <v>1</v>
      </c>
      <c r="M683" s="63">
        <v>1</v>
      </c>
      <c r="N683" s="63">
        <v>1</v>
      </c>
      <c r="O683" s="63">
        <v>1</v>
      </c>
      <c r="P683" s="63">
        <v>1</v>
      </c>
      <c r="Q683" s="63">
        <v>1</v>
      </c>
      <c r="R683" s="325">
        <v>0</v>
      </c>
      <c r="S683" s="326">
        <v>0</v>
      </c>
      <c r="T683" s="63"/>
      <c r="U683" s="10"/>
      <c r="V683" s="90">
        <f>93.5+1158.3</f>
        <v>1251.8</v>
      </c>
      <c r="W683" s="91"/>
      <c r="X683" s="92"/>
    </row>
    <row r="684" spans="1:24">
      <c r="A684" s="614">
        <v>45918</v>
      </c>
      <c r="B684" s="87">
        <f t="shared" si="148"/>
        <v>9</v>
      </c>
      <c r="C684" s="295">
        <v>45917</v>
      </c>
      <c r="D684" s="323">
        <v>73382</v>
      </c>
      <c r="E684" s="10" t="s">
        <v>1284</v>
      </c>
      <c r="F684" s="62">
        <v>714</v>
      </c>
      <c r="G684" s="62">
        <f>39.7</f>
        <v>39.700000000000003</v>
      </c>
      <c r="H684" s="62"/>
      <c r="I684" s="369">
        <f>F684-G684-H684</f>
        <v>674.3</v>
      </c>
      <c r="J684" s="63" t="s">
        <v>156</v>
      </c>
      <c r="K684" s="63">
        <v>1</v>
      </c>
      <c r="L684" s="63">
        <v>1</v>
      </c>
      <c r="M684" s="63">
        <v>1</v>
      </c>
      <c r="N684" s="63">
        <v>1</v>
      </c>
      <c r="O684" s="63">
        <v>1</v>
      </c>
      <c r="P684" s="325">
        <v>0</v>
      </c>
      <c r="Q684" s="325">
        <v>0</v>
      </c>
      <c r="R684" s="325">
        <v>0</v>
      </c>
      <c r="S684" s="326">
        <v>0</v>
      </c>
      <c r="T684" s="63"/>
      <c r="U684" s="94" t="s">
        <v>3003</v>
      </c>
      <c r="V684" s="90">
        <v>785.4</v>
      </c>
      <c r="W684" s="91"/>
      <c r="X684" s="92"/>
    </row>
    <row r="685" spans="1:24">
      <c r="A685" s="614" t="s">
        <v>3004</v>
      </c>
      <c r="B685" s="87">
        <f>B684+1</f>
        <v>10</v>
      </c>
      <c r="C685" s="274">
        <v>45918</v>
      </c>
      <c r="D685" s="327">
        <v>73414</v>
      </c>
      <c r="E685" s="276" t="s">
        <v>1088</v>
      </c>
      <c r="F685" s="277">
        <v>1138</v>
      </c>
      <c r="G685" s="277">
        <f>39.7+(42+43.7)</f>
        <v>125.4</v>
      </c>
      <c r="H685" s="277"/>
      <c r="I685" s="278">
        <f>F685-G685-H685</f>
        <v>1012.6</v>
      </c>
      <c r="J685" s="279" t="s">
        <v>156</v>
      </c>
      <c r="K685" s="279">
        <v>1</v>
      </c>
      <c r="L685" s="279">
        <v>1</v>
      </c>
      <c r="M685" s="279">
        <v>1</v>
      </c>
      <c r="N685" s="279">
        <v>1</v>
      </c>
      <c r="O685" s="279">
        <v>1</v>
      </c>
      <c r="P685" s="322">
        <v>0</v>
      </c>
      <c r="Q685" s="279">
        <v>1</v>
      </c>
      <c r="R685" s="279">
        <v>1</v>
      </c>
      <c r="S685" s="328">
        <v>0</v>
      </c>
      <c r="T685" s="21">
        <v>1</v>
      </c>
      <c r="U685" s="94" t="s">
        <v>3005</v>
      </c>
      <c r="V685" s="90">
        <v>1251.8</v>
      </c>
      <c r="W685" s="91"/>
      <c r="X685" s="92"/>
    </row>
    <row r="686" spans="1:24">
      <c r="A686" s="614"/>
      <c r="B686" s="87">
        <f>B685+1</f>
        <v>11</v>
      </c>
      <c r="C686" s="282">
        <v>45918</v>
      </c>
      <c r="D686" s="368">
        <v>73438</v>
      </c>
      <c r="E686" s="283" t="s">
        <v>1088</v>
      </c>
      <c r="F686" s="284">
        <v>681</v>
      </c>
      <c r="G686" s="284"/>
      <c r="H686" s="315"/>
      <c r="I686" s="331">
        <f t="shared" si="147"/>
        <v>681</v>
      </c>
      <c r="J686" s="286" t="s">
        <v>156</v>
      </c>
      <c r="K686" s="286">
        <v>1</v>
      </c>
      <c r="L686" s="286">
        <v>1</v>
      </c>
      <c r="M686" s="286">
        <v>1</v>
      </c>
      <c r="N686" s="286">
        <v>1</v>
      </c>
      <c r="O686" s="286">
        <v>1</v>
      </c>
      <c r="P686" s="286">
        <v>1</v>
      </c>
      <c r="Q686" s="332">
        <v>0</v>
      </c>
      <c r="R686" s="332">
        <v>0</v>
      </c>
      <c r="S686" s="370">
        <v>0</v>
      </c>
      <c r="T686" s="63"/>
      <c r="U686" s="10" t="s">
        <v>3006</v>
      </c>
      <c r="V686" s="90">
        <v>749.1</v>
      </c>
      <c r="W686" s="91"/>
      <c r="X686" s="92"/>
    </row>
    <row r="687" spans="1:24">
      <c r="A687" s="614"/>
      <c r="B687" s="87">
        <f t="shared" si="148"/>
        <v>12</v>
      </c>
      <c r="C687" s="282">
        <v>45919</v>
      </c>
      <c r="D687" s="368">
        <v>73394</v>
      </c>
      <c r="E687" s="283" t="s">
        <v>1028</v>
      </c>
      <c r="F687" s="284">
        <v>1281</v>
      </c>
      <c r="G687" s="284">
        <f>39.7+(141.07)</f>
        <v>180.76999999999998</v>
      </c>
      <c r="H687" s="315"/>
      <c r="I687" s="300">
        <f t="shared" si="147"/>
        <v>1100.23</v>
      </c>
      <c r="J687" s="286" t="s">
        <v>156</v>
      </c>
      <c r="K687" s="286">
        <v>1</v>
      </c>
      <c r="L687" s="286">
        <v>1</v>
      </c>
      <c r="M687" s="286">
        <v>1</v>
      </c>
      <c r="N687" s="286">
        <v>1</v>
      </c>
      <c r="O687" s="286">
        <v>1</v>
      </c>
      <c r="P687" s="332">
        <v>0</v>
      </c>
      <c r="Q687" s="332">
        <v>0</v>
      </c>
      <c r="R687" s="332">
        <v>0</v>
      </c>
      <c r="S687" s="370">
        <v>0</v>
      </c>
      <c r="T687" s="63"/>
      <c r="U687" s="10"/>
      <c r="V687" s="90">
        <f>140+1269.1</f>
        <v>1409.1</v>
      </c>
      <c r="W687" s="91"/>
      <c r="X687" s="92"/>
    </row>
    <row r="688" spans="1:24">
      <c r="A688" s="614"/>
      <c r="B688" s="87"/>
      <c r="C688" s="36"/>
      <c r="D688" s="10"/>
      <c r="E688" s="10"/>
      <c r="F688" s="97">
        <f>SUM(F676:F687)</f>
        <v>16147.8</v>
      </c>
      <c r="G688" s="97">
        <f>SUM(G676:G687)</f>
        <v>2619.4299999999998</v>
      </c>
      <c r="H688" s="97">
        <f>SUM(H676:H687)</f>
        <v>0</v>
      </c>
      <c r="I688" s="98">
        <f>SUM(I676:I687)</f>
        <v>13528.369999999999</v>
      </c>
      <c r="J688" s="63"/>
      <c r="K688" s="63">
        <f>COUNT(K676:K687)</f>
        <v>12</v>
      </c>
      <c r="L688" s="63">
        <f>COUNT(L676:L687)</f>
        <v>12</v>
      </c>
      <c r="M688" s="63">
        <f>COUNT(M676:M687)</f>
        <v>12</v>
      </c>
      <c r="N688" s="63">
        <f>COUNT(N676:N687)</f>
        <v>12</v>
      </c>
      <c r="O688" s="63">
        <f>COUNT(O676:O687)</f>
        <v>12</v>
      </c>
      <c r="P688" s="63">
        <f>COUNT(P676:P687)</f>
        <v>12</v>
      </c>
      <c r="Q688" s="63">
        <f>COUNT(Q676:Q687)</f>
        <v>12</v>
      </c>
      <c r="R688" s="63">
        <f>COUNT(R676:R687)</f>
        <v>12</v>
      </c>
      <c r="S688" s="63">
        <f>COUNT(S676:S687)</f>
        <v>12</v>
      </c>
      <c r="T688" s="63"/>
      <c r="U688" s="10"/>
      <c r="V688" s="90"/>
      <c r="W688" s="91"/>
      <c r="X688" s="92"/>
    </row>
    <row r="689" spans="1:25">
      <c r="A689" s="614"/>
      <c r="B689" s="87"/>
      <c r="C689" s="36"/>
      <c r="D689" s="10"/>
      <c r="E689" s="10"/>
      <c r="F689" s="88"/>
      <c r="G689" s="88"/>
      <c r="H689" s="88"/>
      <c r="I689" s="99"/>
      <c r="J689" s="63"/>
      <c r="K689" s="21">
        <f>SUM(K676:K687)</f>
        <v>12</v>
      </c>
      <c r="L689" s="21">
        <f>SUM(L676:L687)</f>
        <v>9</v>
      </c>
      <c r="M689" s="21">
        <f>SUM(M676:M687)</f>
        <v>9</v>
      </c>
      <c r="N689" s="21">
        <f>SUM(N676:N687)</f>
        <v>12</v>
      </c>
      <c r="O689" s="21">
        <f>SUM(O676:O687)</f>
        <v>12</v>
      </c>
      <c r="P689" s="21">
        <f>SUM(P676:P687)</f>
        <v>7</v>
      </c>
      <c r="Q689" s="21">
        <f>SUM(Q676:Q687)</f>
        <v>4</v>
      </c>
      <c r="R689" s="21">
        <f>SUM(R676:R687)</f>
        <v>1</v>
      </c>
      <c r="S689" s="21">
        <f>SUM(S676:S687)</f>
        <v>0</v>
      </c>
      <c r="T689" s="63"/>
      <c r="U689" s="10"/>
      <c r="V689" s="90"/>
      <c r="W689" s="91"/>
      <c r="X689" s="92"/>
    </row>
    <row r="690" spans="1:25">
      <c r="A690" s="614"/>
      <c r="B690" s="11"/>
      <c r="C690" s="36"/>
      <c r="D690" s="10"/>
      <c r="E690" s="10"/>
      <c r="F690" s="88"/>
      <c r="G690" s="88"/>
      <c r="H690" s="88"/>
      <c r="I690" s="99"/>
      <c r="J690" s="63"/>
      <c r="K690" s="21"/>
      <c r="L690" s="21"/>
      <c r="M690" s="21"/>
      <c r="N690" s="21"/>
      <c r="O690" s="21"/>
      <c r="P690" s="21"/>
      <c r="Q690" s="21"/>
      <c r="R690" s="21"/>
      <c r="S690" s="21"/>
      <c r="T690" s="63"/>
      <c r="U690" s="94"/>
      <c r="V690" s="90"/>
      <c r="W690" s="91"/>
      <c r="X690" s="92"/>
    </row>
    <row r="691" spans="1:25">
      <c r="A691" s="614"/>
      <c r="B691" s="100" t="s">
        <v>67</v>
      </c>
      <c r="C691" s="36"/>
      <c r="D691" s="10"/>
      <c r="E691" s="10"/>
      <c r="F691" s="88"/>
      <c r="G691" s="62"/>
      <c r="H691" s="88"/>
      <c r="I691" s="99"/>
      <c r="J691" s="63"/>
      <c r="K691" s="2"/>
      <c r="L691" s="2"/>
      <c r="M691" s="2"/>
      <c r="N691" s="2"/>
      <c r="O691" s="2"/>
      <c r="P691" s="2"/>
      <c r="Q691" s="2"/>
      <c r="R691" s="2"/>
      <c r="S691" s="2"/>
      <c r="T691" s="63"/>
      <c r="U691" s="94"/>
      <c r="V691" s="90"/>
      <c r="W691" s="91"/>
      <c r="X691" s="92"/>
    </row>
    <row r="692" spans="1:25" s="381" customFormat="1">
      <c r="A692" s="493" t="s">
        <v>3007</v>
      </c>
      <c r="B692" s="372">
        <v>1</v>
      </c>
      <c r="C692" s="373">
        <v>45908</v>
      </c>
      <c r="D692" s="263">
        <v>73058</v>
      </c>
      <c r="E692" s="391" t="s">
        <v>1319</v>
      </c>
      <c r="F692" s="375">
        <v>6552</v>
      </c>
      <c r="G692" s="375">
        <f>39.7+250</f>
        <v>289.7</v>
      </c>
      <c r="H692" s="375">
        <f>F692*0.2</f>
        <v>1310.4000000000001</v>
      </c>
      <c r="I692" s="376">
        <f>F692-G692-H692</f>
        <v>4951.8999999999996</v>
      </c>
      <c r="J692" s="314" t="s">
        <v>2978</v>
      </c>
      <c r="K692" s="314">
        <v>1</v>
      </c>
      <c r="L692" s="314"/>
      <c r="M692" s="314">
        <v>1</v>
      </c>
      <c r="N692" s="314">
        <v>1</v>
      </c>
      <c r="O692" s="314">
        <v>1</v>
      </c>
      <c r="P692" s="314">
        <v>1</v>
      </c>
      <c r="Q692" s="314"/>
      <c r="R692" s="314"/>
      <c r="S692" s="366"/>
      <c r="T692" s="325"/>
      <c r="U692" s="430" t="s">
        <v>3008</v>
      </c>
      <c r="V692" s="377"/>
      <c r="W692" s="392"/>
      <c r="X692" s="379"/>
      <c r="Y692" s="380"/>
    </row>
    <row r="693" spans="1:25">
      <c r="A693" s="614"/>
      <c r="B693" s="11"/>
      <c r="C693" s="36"/>
      <c r="D693" s="10"/>
      <c r="E693" s="10"/>
      <c r="F693" s="97">
        <f>SUM(F692:F692)</f>
        <v>6552</v>
      </c>
      <c r="G693" s="97">
        <f>SUM(G692:G692)</f>
        <v>289.7</v>
      </c>
      <c r="H693" s="97">
        <f>SUM(H692:H692)</f>
        <v>1310.4000000000001</v>
      </c>
      <c r="I693" s="97">
        <f>SUM(I692:I692)</f>
        <v>4951.8999999999996</v>
      </c>
      <c r="J693" s="63"/>
      <c r="K693" s="21"/>
      <c r="L693" s="21"/>
      <c r="M693" s="21"/>
      <c r="N693" s="21"/>
      <c r="O693" s="21"/>
      <c r="P693" s="21"/>
      <c r="Q693" s="21"/>
      <c r="R693" s="21"/>
      <c r="S693" s="21"/>
      <c r="T693" s="63"/>
      <c r="U693" s="94"/>
      <c r="V693" s="90"/>
      <c r="W693" s="91"/>
      <c r="X693" s="92"/>
    </row>
    <row r="694" spans="1:25">
      <c r="A694" s="614"/>
      <c r="B694" s="11"/>
      <c r="C694" s="36"/>
      <c r="D694" s="10"/>
      <c r="E694" s="10"/>
      <c r="F694" s="88"/>
      <c r="G694" s="88"/>
      <c r="H694" s="88"/>
      <c r="I694" s="99"/>
      <c r="J694" s="63"/>
      <c r="K694" s="21"/>
      <c r="L694" s="21"/>
      <c r="M694" s="21"/>
      <c r="N694" s="21"/>
      <c r="O694" s="21"/>
      <c r="P694" s="21"/>
      <c r="Q694" s="21"/>
      <c r="R694" s="21"/>
      <c r="S694" s="21"/>
      <c r="T694" s="63"/>
      <c r="U694" s="94"/>
      <c r="V694" s="90"/>
      <c r="W694" s="91"/>
      <c r="X694" s="92"/>
    </row>
    <row r="695" spans="1:25">
      <c r="A695" s="615"/>
      <c r="B695" s="121" t="s">
        <v>68</v>
      </c>
      <c r="C695" s="36"/>
      <c r="D695" s="123"/>
      <c r="E695" s="123"/>
      <c r="F695" s="124"/>
      <c r="G695" s="125"/>
      <c r="H695" s="124"/>
      <c r="I695" s="126"/>
      <c r="J695" s="127"/>
      <c r="K695" s="128"/>
      <c r="L695" s="128"/>
      <c r="M695" s="128"/>
      <c r="N695" s="128"/>
      <c r="O695" s="128"/>
      <c r="P695" s="128"/>
      <c r="Q695" s="128"/>
      <c r="R695" s="128"/>
      <c r="S695" s="128"/>
      <c r="T695" s="127"/>
      <c r="U695" s="123"/>
      <c r="V695" s="129"/>
      <c r="W695" s="130"/>
      <c r="X695" s="131"/>
    </row>
    <row r="696" spans="1:25" s="342" customFormat="1">
      <c r="A696" s="356">
        <v>0.05</v>
      </c>
      <c r="B696" s="333">
        <v>1</v>
      </c>
      <c r="C696" s="334">
        <v>45915</v>
      </c>
      <c r="D696" s="327" t="s">
        <v>3009</v>
      </c>
      <c r="E696" s="335" t="s">
        <v>1047</v>
      </c>
      <c r="F696" s="336">
        <v>12814</v>
      </c>
      <c r="G696" s="336">
        <f>39.7+40+(140.32+64.57)+(41.36+105.71)+1000</f>
        <v>1431.6599999999999</v>
      </c>
      <c r="H696" s="336"/>
      <c r="I696" s="337">
        <f>F696-G696-H696</f>
        <v>11382.34</v>
      </c>
      <c r="J696" s="338" t="s">
        <v>150</v>
      </c>
      <c r="K696" s="338">
        <v>1</v>
      </c>
      <c r="L696" s="338">
        <v>1</v>
      </c>
      <c r="M696" s="338">
        <v>1</v>
      </c>
      <c r="N696" s="338">
        <v>1</v>
      </c>
      <c r="O696" s="338">
        <v>1</v>
      </c>
      <c r="P696" s="322">
        <v>0</v>
      </c>
      <c r="Q696" s="322">
        <v>0</v>
      </c>
      <c r="R696" s="322">
        <v>0</v>
      </c>
      <c r="S696" s="328">
        <v>0</v>
      </c>
      <c r="T696" s="127"/>
      <c r="U696" s="135" t="s">
        <v>3010</v>
      </c>
      <c r="V696" s="129"/>
      <c r="W696" s="711">
        <v>750</v>
      </c>
      <c r="X696" s="131"/>
    </row>
    <row r="697" spans="1:25" s="381" customFormat="1">
      <c r="A697" s="713" t="s">
        <v>3011</v>
      </c>
      <c r="B697" s="372">
        <f>B696+1</f>
        <v>2</v>
      </c>
      <c r="C697" s="373">
        <v>45917</v>
      </c>
      <c r="D697" s="263">
        <v>73288</v>
      </c>
      <c r="E697" s="391" t="s">
        <v>673</v>
      </c>
      <c r="F697" s="375">
        <v>681</v>
      </c>
      <c r="G697" s="375"/>
      <c r="H697" s="375"/>
      <c r="I697" s="376">
        <f t="shared" ref="I697" si="150">F697-G697-H697</f>
        <v>681</v>
      </c>
      <c r="J697" s="314" t="s">
        <v>156</v>
      </c>
      <c r="K697" s="314">
        <v>1</v>
      </c>
      <c r="L697" s="314">
        <v>1</v>
      </c>
      <c r="M697" s="314">
        <v>1</v>
      </c>
      <c r="N697" s="314">
        <v>1</v>
      </c>
      <c r="O697" s="314">
        <v>1</v>
      </c>
      <c r="P697" s="314">
        <v>0</v>
      </c>
      <c r="Q697" s="314">
        <v>0</v>
      </c>
      <c r="R697" s="314">
        <v>0</v>
      </c>
      <c r="S697" s="366">
        <v>0</v>
      </c>
      <c r="T697" s="325"/>
      <c r="U697" s="42"/>
      <c r="V697" s="377">
        <f>74.91</f>
        <v>74.91</v>
      </c>
      <c r="W697" s="378"/>
      <c r="X697" s="393"/>
    </row>
    <row r="698" spans="1:25">
      <c r="A698" s="615"/>
      <c r="B698" s="132"/>
      <c r="C698" s="36"/>
      <c r="D698" s="123"/>
      <c r="E698" s="123"/>
      <c r="F698" s="134">
        <f>SUM(F696:F697)</f>
        <v>13495</v>
      </c>
      <c r="G698" s="134">
        <f>SUM(G696:G697)</f>
        <v>1431.6599999999999</v>
      </c>
      <c r="H698" s="134">
        <f>SUM(H696:H697)</f>
        <v>0</v>
      </c>
      <c r="I698" s="134">
        <f>SUM(I696:I697)</f>
        <v>12063.34</v>
      </c>
      <c r="J698" s="127"/>
      <c r="K698" s="64"/>
      <c r="L698" s="64"/>
      <c r="M698" s="64"/>
      <c r="N698" s="64"/>
      <c r="O698" s="64"/>
      <c r="P698" s="64"/>
      <c r="Q698" s="64"/>
      <c r="R698" s="64"/>
      <c r="S698" s="64"/>
      <c r="T698" s="127"/>
      <c r="U698" s="123"/>
      <c r="V698" s="129"/>
      <c r="W698" s="130"/>
      <c r="X698" s="131"/>
    </row>
    <row r="699" spans="1:25">
      <c r="A699" s="614"/>
      <c r="B699" s="11"/>
      <c r="C699" s="36"/>
      <c r="D699" s="10"/>
      <c r="E699" s="10"/>
      <c r="F699" s="88"/>
      <c r="G699" s="88"/>
      <c r="H699" s="88"/>
      <c r="I699" s="99"/>
      <c r="J699" s="63"/>
      <c r="K699" s="21"/>
      <c r="L699" s="21"/>
      <c r="M699" s="21"/>
      <c r="N699" s="21"/>
      <c r="O699" s="21"/>
      <c r="P699" s="21"/>
      <c r="Q699" s="21"/>
      <c r="R699" s="21"/>
      <c r="S699" s="21"/>
      <c r="T699" s="63"/>
      <c r="U699" s="94"/>
      <c r="V699" s="90"/>
      <c r="W699" s="91"/>
      <c r="X699" s="92"/>
    </row>
    <row r="700" spans="1:25">
      <c r="A700" s="615"/>
      <c r="B700" s="121" t="s">
        <v>70</v>
      </c>
      <c r="C700" s="36"/>
      <c r="D700" s="123"/>
      <c r="E700" s="128"/>
      <c r="F700" s="124"/>
      <c r="G700" s="124"/>
      <c r="H700" s="124"/>
      <c r="I700" s="126"/>
      <c r="J700" s="127"/>
      <c r="K700" s="64"/>
      <c r="L700" s="64"/>
      <c r="M700" s="64"/>
      <c r="N700" s="64"/>
      <c r="O700" s="64"/>
      <c r="P700" s="64"/>
      <c r="Q700" s="64"/>
      <c r="R700" s="64"/>
      <c r="S700" s="64"/>
      <c r="T700" s="127"/>
      <c r="U700" s="135"/>
      <c r="V700" s="129"/>
      <c r="W700" s="130"/>
      <c r="X700" s="131"/>
    </row>
    <row r="701" spans="1:25" s="342" customFormat="1">
      <c r="A701" s="713" t="s">
        <v>3011</v>
      </c>
      <c r="B701" s="372">
        <v>1</v>
      </c>
      <c r="C701" s="373">
        <v>45918</v>
      </c>
      <c r="D701" s="263">
        <v>73437</v>
      </c>
      <c r="E701" s="391" t="s">
        <v>1319</v>
      </c>
      <c r="F701" s="375">
        <v>4365.8999999999996</v>
      </c>
      <c r="G701" s="375">
        <f>39.7+200</f>
        <v>239.7</v>
      </c>
      <c r="H701" s="375"/>
      <c r="I701" s="376">
        <f>F701-G701-H701</f>
        <v>4126.2</v>
      </c>
      <c r="J701" s="314" t="s">
        <v>150</v>
      </c>
      <c r="K701" s="314">
        <v>1</v>
      </c>
      <c r="L701" s="314">
        <v>1</v>
      </c>
      <c r="M701" s="314">
        <v>0</v>
      </c>
      <c r="N701" s="314">
        <v>1</v>
      </c>
      <c r="O701" s="314">
        <v>1</v>
      </c>
      <c r="P701" s="314">
        <v>1</v>
      </c>
      <c r="Q701" s="314">
        <v>1</v>
      </c>
      <c r="R701" s="314">
        <v>0</v>
      </c>
      <c r="S701" s="366">
        <v>0</v>
      </c>
      <c r="T701" s="325"/>
      <c r="U701" s="42" t="s">
        <v>3012</v>
      </c>
      <c r="V701" s="377"/>
      <c r="W701" s="440">
        <v>1460</v>
      </c>
      <c r="X701" s="393"/>
      <c r="Y701" s="381"/>
    </row>
    <row r="702" spans="1:25">
      <c r="A702" s="615"/>
      <c r="B702" s="132"/>
      <c r="C702" s="36"/>
      <c r="D702" s="123"/>
      <c r="E702" s="123"/>
      <c r="F702" s="134">
        <f>SUM(F701:F701)</f>
        <v>4365.8999999999996</v>
      </c>
      <c r="G702" s="134">
        <f>SUM(G701:G701)</f>
        <v>239.7</v>
      </c>
      <c r="H702" s="134">
        <f>SUM(H701:H701)</f>
        <v>0</v>
      </c>
      <c r="I702" s="134">
        <f>SUM(I701:I701)</f>
        <v>4126.2</v>
      </c>
      <c r="J702" s="127"/>
      <c r="K702" s="64"/>
      <c r="L702" s="64"/>
      <c r="M702" s="64"/>
      <c r="N702" s="64"/>
      <c r="O702" s="64"/>
      <c r="P702" s="64"/>
      <c r="Q702" s="64"/>
      <c r="R702" s="64"/>
      <c r="S702" s="64"/>
      <c r="T702" s="127"/>
      <c r="U702" s="135"/>
      <c r="V702" s="129"/>
      <c r="W702" s="130"/>
      <c r="X702" s="131"/>
    </row>
    <row r="703" spans="1:25">
      <c r="A703" s="614"/>
      <c r="B703" s="11"/>
      <c r="C703" s="609"/>
      <c r="D703" s="10"/>
      <c r="E703" s="10"/>
      <c r="F703" s="88"/>
      <c r="G703" s="88"/>
      <c r="H703" s="88"/>
      <c r="I703" s="99"/>
      <c r="J703" s="63"/>
      <c r="K703" s="21"/>
      <c r="L703" s="21"/>
      <c r="M703" s="21"/>
      <c r="N703" s="21"/>
      <c r="O703" s="21"/>
      <c r="P703" s="21"/>
      <c r="Q703" s="21"/>
      <c r="R703" s="21"/>
      <c r="S703" s="21"/>
      <c r="T703" s="63"/>
      <c r="U703" s="94"/>
      <c r="V703" s="90"/>
      <c r="W703" s="91"/>
      <c r="X703" s="92"/>
    </row>
    <row r="704" spans="1:25" s="342" customFormat="1">
      <c r="B704" s="100" t="s">
        <v>152</v>
      </c>
      <c r="C704" s="122"/>
      <c r="D704" s="123"/>
      <c r="E704" s="123"/>
      <c r="F704" s="124"/>
      <c r="G704" s="125"/>
      <c r="H704" s="124"/>
      <c r="I704" s="126"/>
      <c r="J704" s="127"/>
      <c r="K704" s="128"/>
      <c r="L704" s="128"/>
      <c r="M704" s="128"/>
      <c r="N704" s="128"/>
      <c r="O704" s="128"/>
      <c r="P704" s="128"/>
      <c r="Q704" s="128"/>
      <c r="R704" s="128"/>
      <c r="S704" s="128"/>
      <c r="T704" s="127"/>
      <c r="U704" s="123"/>
      <c r="V704" s="129"/>
      <c r="W704" s="130"/>
      <c r="X704" s="131"/>
    </row>
    <row r="705" spans="1:25" s="260" customFormat="1">
      <c r="A705" s="494">
        <v>0.05</v>
      </c>
      <c r="B705" s="87">
        <v>1</v>
      </c>
      <c r="C705" s="262">
        <v>45866</v>
      </c>
      <c r="D705" s="263">
        <v>71800</v>
      </c>
      <c r="E705" s="271" t="s">
        <v>2823</v>
      </c>
      <c r="F705" s="265">
        <v>6214</v>
      </c>
      <c r="G705" s="265">
        <f>39.7+(1288.73)+250</f>
        <v>1578.43</v>
      </c>
      <c r="H705" s="265"/>
      <c r="I705" s="266">
        <f>F705-G705-H705</f>
        <v>4635.57</v>
      </c>
      <c r="J705" s="267" t="s">
        <v>156</v>
      </c>
      <c r="K705" s="267">
        <v>1</v>
      </c>
      <c r="L705" s="314">
        <v>0</v>
      </c>
      <c r="M705" s="267">
        <v>1</v>
      </c>
      <c r="N705" s="267">
        <v>1</v>
      </c>
      <c r="O705" s="267">
        <v>1</v>
      </c>
      <c r="P705" s="314">
        <v>0</v>
      </c>
      <c r="Q705" s="314">
        <v>0</v>
      </c>
      <c r="R705" s="314">
        <v>0</v>
      </c>
      <c r="S705" s="366">
        <v>0</v>
      </c>
      <c r="T705" s="63"/>
      <c r="U705" s="94" t="s">
        <v>2930</v>
      </c>
      <c r="V705" s="90"/>
      <c r="W705" s="136"/>
      <c r="X705" s="92"/>
    </row>
    <row r="706" spans="1:25" s="260" customFormat="1">
      <c r="A706" s="260" t="s">
        <v>619</v>
      </c>
      <c r="B706" s="87">
        <f>B705+1</f>
        <v>2</v>
      </c>
      <c r="C706" s="262">
        <v>45866</v>
      </c>
      <c r="D706" s="263">
        <v>71787</v>
      </c>
      <c r="E706" s="271" t="s">
        <v>1338</v>
      </c>
      <c r="F706" s="265">
        <v>28614</v>
      </c>
      <c r="G706" s="265">
        <f>39.7+1424.2+(474.48+162.31+289.19+9.1+8.29-78.88)+(F706*0.25)</f>
        <v>9481.89</v>
      </c>
      <c r="H706" s="265"/>
      <c r="I706" s="266">
        <f>F706-G706-H706</f>
        <v>19132.11</v>
      </c>
      <c r="J706" s="267" t="s">
        <v>374</v>
      </c>
      <c r="K706" s="267">
        <v>1</v>
      </c>
      <c r="L706" s="267">
        <v>1</v>
      </c>
      <c r="M706" s="267">
        <v>1</v>
      </c>
      <c r="N706" s="267">
        <v>1</v>
      </c>
      <c r="O706" s="267">
        <v>1</v>
      </c>
      <c r="P706" s="314">
        <v>0</v>
      </c>
      <c r="Q706" s="314">
        <v>0</v>
      </c>
      <c r="R706" s="314">
        <v>0</v>
      </c>
      <c r="S706" s="366">
        <v>0</v>
      </c>
      <c r="T706" s="63"/>
      <c r="U706" s="94" t="s">
        <v>2852</v>
      </c>
      <c r="V706" s="90"/>
      <c r="W706" s="136"/>
      <c r="X706" s="137"/>
    </row>
    <row r="707" spans="1:25" s="260" customFormat="1">
      <c r="A707" s="261" t="s">
        <v>619</v>
      </c>
      <c r="B707" s="87">
        <f>B706+1</f>
        <v>3</v>
      </c>
      <c r="C707" s="274">
        <v>45873</v>
      </c>
      <c r="D707" s="327">
        <v>71967</v>
      </c>
      <c r="E707" s="281" t="s">
        <v>1256</v>
      </c>
      <c r="F707" s="277">
        <v>2681</v>
      </c>
      <c r="G707" s="277">
        <f>39.7+(189.05)+(15.38)+200</f>
        <v>444.13</v>
      </c>
      <c r="H707" s="277"/>
      <c r="I707" s="321">
        <f>F707-G707-H707</f>
        <v>2236.87</v>
      </c>
      <c r="J707" s="279" t="s">
        <v>374</v>
      </c>
      <c r="K707" s="279">
        <v>1</v>
      </c>
      <c r="L707" s="279">
        <v>1</v>
      </c>
      <c r="M707" s="279">
        <v>1</v>
      </c>
      <c r="N707" s="279">
        <v>1</v>
      </c>
      <c r="O707" s="279">
        <v>1</v>
      </c>
      <c r="P707" s="322">
        <v>0</v>
      </c>
      <c r="Q707" s="279">
        <v>1</v>
      </c>
      <c r="R707" s="279">
        <v>1</v>
      </c>
      <c r="S707" s="280">
        <v>1</v>
      </c>
      <c r="T707" s="63"/>
      <c r="U707" s="10" t="s">
        <v>2851</v>
      </c>
      <c r="V707" s="90"/>
      <c r="W707" s="91"/>
      <c r="X707" s="92"/>
    </row>
    <row r="708" spans="1:25" s="260" customFormat="1">
      <c r="A708" s="181" t="s">
        <v>619</v>
      </c>
      <c r="B708" s="87">
        <f t="shared" ref="B708:B715" si="151">B707+1</f>
        <v>4</v>
      </c>
      <c r="C708" s="262">
        <v>45881</v>
      </c>
      <c r="D708" s="263">
        <v>72270</v>
      </c>
      <c r="E708" s="271" t="s">
        <v>1120</v>
      </c>
      <c r="F708" s="265">
        <f>11380-2000</f>
        <v>9380</v>
      </c>
      <c r="G708" s="265">
        <f>39.7+(227.91)+300</f>
        <v>567.61</v>
      </c>
      <c r="H708" s="265"/>
      <c r="I708" s="266">
        <f>F708-G708-H708</f>
        <v>8812.39</v>
      </c>
      <c r="J708" s="267" t="s">
        <v>156</v>
      </c>
      <c r="K708" s="267">
        <v>1</v>
      </c>
      <c r="L708" s="267">
        <v>1</v>
      </c>
      <c r="M708" s="267">
        <v>1</v>
      </c>
      <c r="N708" s="267">
        <v>1</v>
      </c>
      <c r="O708" s="267">
        <v>1</v>
      </c>
      <c r="P708" s="314">
        <v>0</v>
      </c>
      <c r="Q708" s="314">
        <v>0</v>
      </c>
      <c r="R708" s="314">
        <v>0</v>
      </c>
      <c r="S708" s="366">
        <v>0</v>
      </c>
      <c r="T708" s="63"/>
      <c r="U708" s="94" t="s">
        <v>2872</v>
      </c>
      <c r="V708" s="90"/>
      <c r="W708" s="136"/>
      <c r="X708" s="137"/>
    </row>
    <row r="709" spans="1:25" s="260" customFormat="1">
      <c r="A709" s="261" t="s">
        <v>2542</v>
      </c>
      <c r="B709" s="87">
        <f t="shared" si="151"/>
        <v>5</v>
      </c>
      <c r="C709" s="274">
        <v>45890</v>
      </c>
      <c r="D709" s="327">
        <v>72522</v>
      </c>
      <c r="E709" s="276" t="s">
        <v>1169</v>
      </c>
      <c r="F709" s="277">
        <v>3122</v>
      </c>
      <c r="G709" s="277">
        <f>39.7+877.8+(521.76+88.09)+200</f>
        <v>1727.35</v>
      </c>
      <c r="H709" s="277"/>
      <c r="I709" s="321">
        <f>F709-G709-H709</f>
        <v>1394.65</v>
      </c>
      <c r="J709" s="279" t="s">
        <v>156</v>
      </c>
      <c r="K709" s="279">
        <v>1</v>
      </c>
      <c r="L709" s="279">
        <v>1</v>
      </c>
      <c r="M709" s="279">
        <v>1</v>
      </c>
      <c r="N709" s="279">
        <v>1</v>
      </c>
      <c r="O709" s="279">
        <v>1</v>
      </c>
      <c r="P709" s="279">
        <v>1</v>
      </c>
      <c r="Q709" s="279">
        <v>1</v>
      </c>
      <c r="R709" s="322">
        <v>0</v>
      </c>
      <c r="S709" s="328">
        <v>0</v>
      </c>
      <c r="T709" s="63"/>
      <c r="U709" s="10" t="s">
        <v>2931</v>
      </c>
      <c r="V709" s="90"/>
      <c r="W709" s="136"/>
      <c r="X709" s="137"/>
    </row>
    <row r="710" spans="1:25" s="260" customFormat="1">
      <c r="A710" s="261">
        <v>0.05</v>
      </c>
      <c r="B710" s="87">
        <f t="shared" si="151"/>
        <v>6</v>
      </c>
      <c r="C710" s="282">
        <v>45890</v>
      </c>
      <c r="D710" s="368">
        <v>72515</v>
      </c>
      <c r="E710" s="283" t="s">
        <v>1058</v>
      </c>
      <c r="F710" s="284">
        <v>2575</v>
      </c>
      <c r="G710" s="284">
        <v>39.700000000000003</v>
      </c>
      <c r="H710" s="315"/>
      <c r="I710" s="300">
        <f>F710-G710-H710</f>
        <v>2535.3000000000002</v>
      </c>
      <c r="J710" s="286" t="s">
        <v>374</v>
      </c>
      <c r="K710" s="286">
        <v>1</v>
      </c>
      <c r="L710" s="286">
        <v>1</v>
      </c>
      <c r="M710" s="286">
        <v>1</v>
      </c>
      <c r="N710" s="286">
        <v>1</v>
      </c>
      <c r="O710" s="286">
        <v>1</v>
      </c>
      <c r="P710" s="286">
        <v>1</v>
      </c>
      <c r="Q710" s="286">
        <v>1</v>
      </c>
      <c r="R710" s="332">
        <v>0</v>
      </c>
      <c r="S710" s="370">
        <v>0</v>
      </c>
      <c r="T710" s="63"/>
      <c r="U710" s="10" t="s">
        <v>2895</v>
      </c>
      <c r="V710" s="90"/>
      <c r="W710" s="91"/>
      <c r="X710" s="92"/>
    </row>
    <row r="711" spans="1:25" s="260" customFormat="1">
      <c r="A711" s="261">
        <v>0.05</v>
      </c>
      <c r="B711" s="87">
        <f t="shared" si="151"/>
        <v>7</v>
      </c>
      <c r="C711" s="262">
        <v>45896</v>
      </c>
      <c r="D711" s="490" t="s">
        <v>2926</v>
      </c>
      <c r="E711" s="271" t="s">
        <v>2919</v>
      </c>
      <c r="F711" s="265">
        <f>8213.2-800</f>
        <v>7413.2000000000007</v>
      </c>
      <c r="G711" s="265">
        <f>39.7+(13+1388.11)+750</f>
        <v>2190.81</v>
      </c>
      <c r="H711" s="265"/>
      <c r="I711" s="266">
        <f t="shared" ref="I711" si="152">F711-G711-H711</f>
        <v>5222.3900000000012</v>
      </c>
      <c r="J711" s="267" t="s">
        <v>228</v>
      </c>
      <c r="K711" s="267">
        <v>1</v>
      </c>
      <c r="L711" s="314">
        <v>0</v>
      </c>
      <c r="M711" s="267">
        <v>1</v>
      </c>
      <c r="N711" s="267">
        <v>1</v>
      </c>
      <c r="O711" s="267">
        <v>1</v>
      </c>
      <c r="P711" s="314">
        <v>0</v>
      </c>
      <c r="Q711" s="267">
        <v>1</v>
      </c>
      <c r="R711" s="314">
        <v>0</v>
      </c>
      <c r="S711" s="366">
        <v>0</v>
      </c>
      <c r="T711" s="21"/>
      <c r="U711" s="94" t="s">
        <v>2927</v>
      </c>
      <c r="V711" s="90"/>
      <c r="W711" s="91"/>
      <c r="X711" s="92"/>
    </row>
    <row r="712" spans="1:25" s="260" customFormat="1">
      <c r="A712" s="181" t="s">
        <v>2542</v>
      </c>
      <c r="B712" s="87">
        <f t="shared" si="151"/>
        <v>8</v>
      </c>
      <c r="C712" s="262">
        <v>45897</v>
      </c>
      <c r="D712" s="263">
        <v>72735</v>
      </c>
      <c r="E712" s="271" t="s">
        <v>1169</v>
      </c>
      <c r="F712" s="265">
        <v>2916</v>
      </c>
      <c r="G712" s="265">
        <f>39.7+(177.31+59.74+254.1)+300</f>
        <v>830.85</v>
      </c>
      <c r="H712" s="265"/>
      <c r="I712" s="266">
        <f>F712-G712-H712</f>
        <v>2085.15</v>
      </c>
      <c r="J712" s="267" t="s">
        <v>156</v>
      </c>
      <c r="K712" s="267">
        <v>1</v>
      </c>
      <c r="L712" s="267">
        <v>1</v>
      </c>
      <c r="M712" s="267">
        <v>1</v>
      </c>
      <c r="N712" s="267">
        <v>1</v>
      </c>
      <c r="O712" s="267">
        <v>1</v>
      </c>
      <c r="P712" s="267">
        <v>1</v>
      </c>
      <c r="Q712" s="267">
        <v>1</v>
      </c>
      <c r="R712" s="267">
        <v>1</v>
      </c>
      <c r="S712" s="366">
        <v>0</v>
      </c>
      <c r="T712" s="63"/>
      <c r="U712" s="94" t="s">
        <v>2929</v>
      </c>
      <c r="V712" s="90"/>
      <c r="W712" s="136"/>
      <c r="X712" s="137"/>
    </row>
    <row r="713" spans="1:25" s="260" customFormat="1">
      <c r="A713" s="261">
        <v>0.05</v>
      </c>
      <c r="B713" s="87">
        <f t="shared" si="151"/>
        <v>9</v>
      </c>
      <c r="C713" s="262">
        <v>45896</v>
      </c>
      <c r="D713" s="263">
        <v>72711</v>
      </c>
      <c r="E713" s="271" t="s">
        <v>1494</v>
      </c>
      <c r="F713" s="265">
        <v>2792</v>
      </c>
      <c r="G713" s="265">
        <f>+(85.41)</f>
        <v>85.41</v>
      </c>
      <c r="H713" s="265"/>
      <c r="I713" s="266">
        <f>F713-G713-H713</f>
        <v>2706.59</v>
      </c>
      <c r="J713" s="267" t="s">
        <v>156</v>
      </c>
      <c r="K713" s="267">
        <v>1</v>
      </c>
      <c r="L713" s="314">
        <v>0</v>
      </c>
      <c r="M713" s="267">
        <v>1</v>
      </c>
      <c r="N713" s="267">
        <v>1</v>
      </c>
      <c r="O713" s="267">
        <v>1</v>
      </c>
      <c r="P713" s="314">
        <v>0</v>
      </c>
      <c r="Q713" s="314">
        <v>0</v>
      </c>
      <c r="R713" s="314">
        <v>0</v>
      </c>
      <c r="S713" s="366">
        <v>0</v>
      </c>
      <c r="T713" s="63"/>
      <c r="U713" s="94" t="s">
        <v>2928</v>
      </c>
      <c r="V713" s="90"/>
      <c r="W713" s="136"/>
      <c r="X713" s="137"/>
    </row>
    <row r="714" spans="1:25" s="260" customFormat="1">
      <c r="A714" s="494">
        <v>0.05</v>
      </c>
      <c r="B714" s="87">
        <f t="shared" si="151"/>
        <v>10</v>
      </c>
      <c r="C714" s="262">
        <v>45910</v>
      </c>
      <c r="D714" s="263">
        <v>73185</v>
      </c>
      <c r="E714" s="271" t="s">
        <v>1319</v>
      </c>
      <c r="F714" s="265">
        <v>1674.9</v>
      </c>
      <c r="G714" s="265">
        <f>39.7+544.5</f>
        <v>584.20000000000005</v>
      </c>
      <c r="H714" s="365"/>
      <c r="I714" s="266">
        <f t="shared" ref="I714:I715" si="153">F714-G714-H714</f>
        <v>1090.7</v>
      </c>
      <c r="J714" s="267" t="s">
        <v>150</v>
      </c>
      <c r="K714" s="267">
        <v>1</v>
      </c>
      <c r="L714" s="267">
        <v>1</v>
      </c>
      <c r="M714" s="314">
        <v>0</v>
      </c>
      <c r="N714" s="267">
        <v>1</v>
      </c>
      <c r="O714" s="267">
        <v>1</v>
      </c>
      <c r="P714" s="267">
        <v>1</v>
      </c>
      <c r="Q714" s="314">
        <v>0</v>
      </c>
      <c r="R714" s="314">
        <v>0</v>
      </c>
      <c r="S714" s="366">
        <v>0</v>
      </c>
      <c r="T714" s="63"/>
      <c r="U714" s="10" t="s">
        <v>3013</v>
      </c>
      <c r="V714" s="90"/>
      <c r="W714" s="91"/>
      <c r="X714" s="92"/>
      <c r="Y714" s="181"/>
    </row>
    <row r="715" spans="1:25" s="260" customFormat="1">
      <c r="A715" s="260" t="s">
        <v>619</v>
      </c>
      <c r="B715" s="87">
        <f t="shared" si="151"/>
        <v>11</v>
      </c>
      <c r="C715" s="262">
        <v>45911</v>
      </c>
      <c r="D715" s="263" t="s">
        <v>2976</v>
      </c>
      <c r="E715" s="271" t="s">
        <v>1045</v>
      </c>
      <c r="F715" s="265">
        <f>585-85</f>
        <v>500</v>
      </c>
      <c r="G715" s="265"/>
      <c r="H715" s="365"/>
      <c r="I715" s="266">
        <f t="shared" si="153"/>
        <v>500</v>
      </c>
      <c r="J715" s="267" t="s">
        <v>156</v>
      </c>
      <c r="K715" s="267">
        <v>1</v>
      </c>
      <c r="L715" s="267">
        <v>1</v>
      </c>
      <c r="M715" s="267">
        <v>1</v>
      </c>
      <c r="N715" s="267">
        <v>1</v>
      </c>
      <c r="O715" s="267">
        <v>1</v>
      </c>
      <c r="P715" s="267">
        <v>1</v>
      </c>
      <c r="Q715" s="267">
        <v>1</v>
      </c>
      <c r="R715" s="314">
        <v>0</v>
      </c>
      <c r="S715" s="269">
        <v>1</v>
      </c>
      <c r="T715" s="63"/>
      <c r="U715" s="10"/>
      <c r="V715" s="90"/>
      <c r="W715" s="91"/>
      <c r="X715" s="92"/>
      <c r="Y715" s="181"/>
    </row>
    <row r="716" spans="1:25" s="260" customFormat="1">
      <c r="B716" s="11"/>
      <c r="C716" s="36"/>
      <c r="D716" s="10"/>
      <c r="E716" s="10"/>
      <c r="F716" s="98">
        <f>SUM(F705:F715)</f>
        <v>67882.099999999991</v>
      </c>
      <c r="G716" s="98">
        <f t="shared" ref="G716:I716" si="154">SUM(G705:G715)</f>
        <v>17530.38</v>
      </c>
      <c r="H716" s="98">
        <f t="shared" si="154"/>
        <v>0</v>
      </c>
      <c r="I716" s="98">
        <f t="shared" si="154"/>
        <v>50351.72</v>
      </c>
      <c r="J716" s="63"/>
      <c r="K716" s="21"/>
      <c r="L716" s="21"/>
      <c r="M716" s="21"/>
      <c r="N716" s="21"/>
      <c r="O716" s="21"/>
      <c r="P716" s="21"/>
      <c r="Q716" s="21"/>
      <c r="R716" s="21"/>
      <c r="S716" s="21"/>
      <c r="T716" s="63"/>
      <c r="U716" s="10"/>
      <c r="V716" s="90"/>
      <c r="W716" s="91"/>
      <c r="X716" s="92"/>
    </row>
    <row r="717" spans="1:25" s="260" customFormat="1">
      <c r="B717" s="11"/>
      <c r="C717" s="36"/>
      <c r="D717" s="10"/>
      <c r="E717" s="10"/>
      <c r="F717" s="88"/>
      <c r="G717" s="88"/>
      <c r="H717" s="88"/>
      <c r="I717" s="99"/>
      <c r="J717" s="63"/>
      <c r="K717" s="21"/>
      <c r="L717" s="21"/>
      <c r="M717" s="21"/>
      <c r="N717" s="21"/>
      <c r="O717" s="21"/>
      <c r="P717" s="21"/>
      <c r="Q717" s="21"/>
      <c r="R717" s="21"/>
      <c r="S717" s="21"/>
      <c r="T717" s="63"/>
      <c r="U717" s="10"/>
      <c r="V717" s="90"/>
      <c r="W717" s="91"/>
      <c r="X717" s="92"/>
    </row>
    <row r="718" spans="1:25" s="260" customFormat="1">
      <c r="A718" s="181"/>
      <c r="B718" s="100" t="s">
        <v>202</v>
      </c>
      <c r="C718" s="36"/>
      <c r="D718" s="10"/>
      <c r="E718" s="181"/>
      <c r="F718" s="88"/>
      <c r="G718" s="88"/>
      <c r="H718" s="88"/>
      <c r="I718" s="99"/>
      <c r="J718" s="63"/>
      <c r="K718" s="21"/>
      <c r="L718" s="21"/>
      <c r="M718" s="21"/>
      <c r="N718" s="21"/>
      <c r="O718" s="21"/>
      <c r="P718" s="21"/>
      <c r="Q718" s="21"/>
      <c r="R718" s="21"/>
      <c r="S718" s="21"/>
      <c r="T718" s="63"/>
      <c r="U718" s="94"/>
      <c r="V718" s="90"/>
      <c r="W718" s="91"/>
      <c r="X718" s="92"/>
    </row>
    <row r="719" spans="1:25" s="260" customFormat="1">
      <c r="A719" s="261">
        <v>0.05</v>
      </c>
      <c r="B719" s="87">
        <v>1</v>
      </c>
      <c r="C719" s="274">
        <v>45880</v>
      </c>
      <c r="D719" s="327">
        <v>72052</v>
      </c>
      <c r="E719" s="276" t="s">
        <v>1047</v>
      </c>
      <c r="F719" s="277">
        <v>2000</v>
      </c>
      <c r="G719" s="277">
        <f>39.7+300</f>
        <v>339.7</v>
      </c>
      <c r="H719" s="277"/>
      <c r="I719" s="321">
        <f>F719-G719-H719</f>
        <v>1660.3</v>
      </c>
      <c r="J719" s="279" t="s">
        <v>150</v>
      </c>
      <c r="K719" s="279">
        <v>1</v>
      </c>
      <c r="L719" s="279"/>
      <c r="M719" s="322">
        <v>0</v>
      </c>
      <c r="N719" s="279">
        <v>1</v>
      </c>
      <c r="O719" s="279">
        <v>1</v>
      </c>
      <c r="P719" s="279">
        <v>1</v>
      </c>
      <c r="Q719" s="279"/>
      <c r="R719" s="279"/>
      <c r="S719" s="280"/>
      <c r="T719" s="63"/>
      <c r="U719" s="94" t="s">
        <v>2902</v>
      </c>
      <c r="V719" s="90"/>
      <c r="W719" s="136"/>
      <c r="X719" s="137"/>
    </row>
    <row r="720" spans="1:25" s="260" customFormat="1">
      <c r="A720" s="261">
        <v>0.05</v>
      </c>
      <c r="B720" s="87">
        <f>B719+1</f>
        <v>2</v>
      </c>
      <c r="C720" s="274">
        <v>45884</v>
      </c>
      <c r="D720" s="327">
        <v>72342</v>
      </c>
      <c r="E720" s="276" t="s">
        <v>1231</v>
      </c>
      <c r="F720" s="277">
        <v>2215</v>
      </c>
      <c r="G720" s="277">
        <f>39.7</f>
        <v>39.700000000000003</v>
      </c>
      <c r="H720" s="277"/>
      <c r="I720" s="321">
        <f>F720-G720-H720</f>
        <v>2175.3000000000002</v>
      </c>
      <c r="J720" s="279" t="s">
        <v>156</v>
      </c>
      <c r="K720" s="279">
        <v>1</v>
      </c>
      <c r="L720" s="279"/>
      <c r="M720" s="279">
        <v>1</v>
      </c>
      <c r="N720" s="279">
        <v>1</v>
      </c>
      <c r="O720" s="279">
        <v>1</v>
      </c>
      <c r="P720" s="322">
        <v>0</v>
      </c>
      <c r="Q720" s="279"/>
      <c r="R720" s="279"/>
      <c r="S720" s="280"/>
      <c r="T720" s="63"/>
      <c r="U720" s="94"/>
      <c r="V720" s="90"/>
      <c r="W720" s="136"/>
      <c r="X720" s="137"/>
    </row>
    <row r="721" spans="1:25" s="260" customFormat="1">
      <c r="A721" s="261">
        <v>0.05</v>
      </c>
      <c r="B721" s="87">
        <f t="shared" ref="B721:B723" si="155">B720+1</f>
        <v>3</v>
      </c>
      <c r="C721" s="262">
        <v>45890</v>
      </c>
      <c r="D721" s="357" t="s">
        <v>2899</v>
      </c>
      <c r="E721" s="271" t="s">
        <v>1058</v>
      </c>
      <c r="F721" s="265">
        <v>59586</v>
      </c>
      <c r="G721" s="265">
        <f>39.7+(117.24+344.15+121.94+185.08+231.75+13.3+541.6+324.42)+(141.77+494.21+630.04+1692.3+195.23+846.26)+(F721*0.25)</f>
        <v>20815.489999999998</v>
      </c>
      <c r="H721" s="365"/>
      <c r="I721" s="272">
        <f>F721-G721-H721</f>
        <v>38770.51</v>
      </c>
      <c r="J721" s="267" t="s">
        <v>374</v>
      </c>
      <c r="K721" s="267">
        <v>1</v>
      </c>
      <c r="L721" s="267"/>
      <c r="M721" s="267"/>
      <c r="N721" s="267">
        <v>1</v>
      </c>
      <c r="O721" s="267">
        <v>1</v>
      </c>
      <c r="P721" s="267">
        <v>1</v>
      </c>
      <c r="Q721" s="267"/>
      <c r="R721" s="267"/>
      <c r="S721" s="269"/>
      <c r="T721" s="63"/>
      <c r="U721" s="10" t="s">
        <v>3014</v>
      </c>
      <c r="V721" s="90"/>
      <c r="W721" s="136"/>
      <c r="X721" s="137"/>
    </row>
    <row r="722" spans="1:25" s="260" customFormat="1">
      <c r="A722" s="494">
        <v>0.05</v>
      </c>
      <c r="B722" s="87">
        <f t="shared" si="155"/>
        <v>4</v>
      </c>
      <c r="C722" s="262">
        <v>45905</v>
      </c>
      <c r="D722" s="263" t="s">
        <v>2957</v>
      </c>
      <c r="E722" s="264" t="s">
        <v>1256</v>
      </c>
      <c r="F722" s="265">
        <v>12814</v>
      </c>
      <c r="G722" s="265">
        <f>39.7+96+(87+78.53+78.52+29.64+5.14+37.28+270.17+82.7)+(196.98)+1000</f>
        <v>2001.66</v>
      </c>
      <c r="H722" s="265"/>
      <c r="I722" s="272">
        <f>F722-G722-H722</f>
        <v>10812.34</v>
      </c>
      <c r="J722" s="267" t="s">
        <v>156</v>
      </c>
      <c r="K722" s="267">
        <v>1</v>
      </c>
      <c r="L722" s="267"/>
      <c r="M722" s="267">
        <v>1</v>
      </c>
      <c r="N722" s="267">
        <v>1</v>
      </c>
      <c r="O722" s="267">
        <v>1</v>
      </c>
      <c r="P722" s="267">
        <v>1</v>
      </c>
      <c r="Q722" s="267"/>
      <c r="R722" s="267"/>
      <c r="S722" s="269"/>
      <c r="T722" s="63"/>
      <c r="U722" s="94" t="s">
        <v>3015</v>
      </c>
      <c r="V722" s="90"/>
      <c r="W722" s="136"/>
      <c r="X722" s="137"/>
    </row>
    <row r="723" spans="1:25" s="260" customFormat="1">
      <c r="A723" s="494">
        <v>0.05</v>
      </c>
      <c r="B723" s="87">
        <f t="shared" si="155"/>
        <v>5</v>
      </c>
      <c r="C723" s="262">
        <v>45910</v>
      </c>
      <c r="D723" s="263">
        <v>73205</v>
      </c>
      <c r="E723" s="271" t="s">
        <v>1058</v>
      </c>
      <c r="F723" s="265">
        <v>14049</v>
      </c>
      <c r="G723" s="265">
        <f>39.7+(795.1)+1000</f>
        <v>1834.8000000000002</v>
      </c>
      <c r="H723" s="265"/>
      <c r="I723" s="272">
        <f t="shared" ref="I723" si="156">F723-G723-H723</f>
        <v>12214.2</v>
      </c>
      <c r="J723" s="267" t="s">
        <v>374</v>
      </c>
      <c r="K723" s="267">
        <v>1</v>
      </c>
      <c r="L723" s="267"/>
      <c r="M723" s="267">
        <v>1</v>
      </c>
      <c r="N723" s="267">
        <v>1</v>
      </c>
      <c r="O723" s="267">
        <v>1</v>
      </c>
      <c r="P723" s="267">
        <v>1</v>
      </c>
      <c r="Q723" s="267"/>
      <c r="R723" s="267"/>
      <c r="S723" s="269"/>
      <c r="T723" s="63"/>
      <c r="U723" s="94" t="s">
        <v>2980</v>
      </c>
      <c r="V723" s="90"/>
      <c r="W723" s="136"/>
      <c r="X723" s="137"/>
      <c r="Y723" s="181"/>
    </row>
    <row r="724" spans="1:25" s="260" customFormat="1">
      <c r="A724" s="181"/>
      <c r="B724" s="11"/>
      <c r="C724" s="36"/>
      <c r="D724" s="10"/>
      <c r="E724" s="10"/>
      <c r="F724" s="97">
        <f>SUM(F719:F723)</f>
        <v>90664</v>
      </c>
      <c r="G724" s="97">
        <f t="shared" ref="G724:I724" si="157">SUM(G719:G723)</f>
        <v>25031.35</v>
      </c>
      <c r="H724" s="97">
        <f t="shared" si="157"/>
        <v>0</v>
      </c>
      <c r="I724" s="97">
        <f t="shared" si="157"/>
        <v>65632.649999999994</v>
      </c>
      <c r="J724" s="63"/>
      <c r="K724" s="21"/>
      <c r="L724" s="21"/>
      <c r="M724" s="21"/>
      <c r="N724" s="21"/>
      <c r="O724" s="21"/>
      <c r="P724" s="21"/>
      <c r="Q724" s="21"/>
      <c r="R724" s="21"/>
      <c r="S724" s="21"/>
      <c r="T724" s="63"/>
      <c r="U724" s="94"/>
      <c r="V724" s="90"/>
      <c r="W724" s="91"/>
      <c r="X724" s="92"/>
    </row>
    <row r="725" spans="1:25">
      <c r="A725" s="2"/>
      <c r="B725" s="11"/>
      <c r="C725" s="36"/>
      <c r="D725" s="10"/>
      <c r="E725" s="10"/>
      <c r="F725" s="88"/>
      <c r="G725" s="88"/>
      <c r="H725" s="88"/>
      <c r="I725" s="99"/>
      <c r="J725" s="63"/>
      <c r="K725" s="21"/>
      <c r="L725" s="21"/>
      <c r="M725" s="21"/>
      <c r="N725" s="21"/>
      <c r="O725" s="21"/>
      <c r="P725" s="21"/>
      <c r="Q725" s="21"/>
      <c r="R725" s="21"/>
      <c r="S725" s="21"/>
      <c r="T725" s="63"/>
      <c r="U725" s="94"/>
      <c r="V725" s="90"/>
      <c r="W725" s="91"/>
      <c r="X725" s="92"/>
    </row>
    <row r="726" spans="1:25">
      <c r="A726" s="614"/>
      <c r="B726" s="100" t="s">
        <v>72</v>
      </c>
      <c r="C726" s="609"/>
      <c r="D726" s="10"/>
      <c r="E726" s="10"/>
      <c r="F726" s="88"/>
      <c r="G726" s="88"/>
      <c r="H726" s="88"/>
      <c r="I726" s="99"/>
      <c r="J726" s="63"/>
      <c r="K726" s="63"/>
      <c r="L726" s="63"/>
      <c r="M726" s="63"/>
      <c r="N726" s="63"/>
      <c r="O726" s="63"/>
      <c r="P726" s="63"/>
      <c r="Q726" s="63"/>
      <c r="R726" s="63"/>
      <c r="S726" s="63"/>
      <c r="T726" s="63"/>
      <c r="U726" s="10"/>
      <c r="V726" s="90"/>
      <c r="W726" s="91"/>
      <c r="X726" s="92"/>
    </row>
    <row r="727" spans="1:25">
      <c r="A727" s="614"/>
      <c r="B727" s="87">
        <v>1</v>
      </c>
      <c r="C727" s="274">
        <v>45915</v>
      </c>
      <c r="D727" s="276">
        <v>73069</v>
      </c>
      <c r="E727" s="276" t="s">
        <v>1273</v>
      </c>
      <c r="F727" s="277">
        <v>7722</v>
      </c>
      <c r="G727" s="277">
        <f>39.7</f>
        <v>39.700000000000003</v>
      </c>
      <c r="H727" s="277"/>
      <c r="I727" s="278">
        <f t="shared" ref="I727:I742" si="158">F727-G727-H727</f>
        <v>7682.3</v>
      </c>
      <c r="J727" s="279" t="s">
        <v>205</v>
      </c>
      <c r="K727" s="279">
        <v>1</v>
      </c>
      <c r="L727" s="279"/>
      <c r="M727" s="279"/>
      <c r="N727" s="279">
        <v>1</v>
      </c>
      <c r="O727" s="279"/>
      <c r="P727" s="279"/>
      <c r="Q727" s="279">
        <v>1</v>
      </c>
      <c r="R727" s="279">
        <v>1</v>
      </c>
      <c r="S727" s="280"/>
      <c r="T727" s="63"/>
      <c r="U727" s="3"/>
      <c r="V727" s="90"/>
      <c r="W727" s="91"/>
      <c r="X727" s="92"/>
    </row>
    <row r="728" spans="1:25">
      <c r="A728" s="614"/>
      <c r="B728" s="87">
        <f t="shared" ref="B728:B742" si="159">B727+1</f>
        <v>2</v>
      </c>
      <c r="C728" s="295">
        <v>45915</v>
      </c>
      <c r="D728" s="10">
        <v>73315</v>
      </c>
      <c r="E728" s="10" t="s">
        <v>1100</v>
      </c>
      <c r="F728" s="62">
        <v>6814</v>
      </c>
      <c r="G728" s="62">
        <v>39.700000000000003</v>
      </c>
      <c r="H728" s="62"/>
      <c r="I728" s="89">
        <f t="shared" si="158"/>
        <v>6774.3</v>
      </c>
      <c r="J728" s="63" t="s">
        <v>205</v>
      </c>
      <c r="K728" s="63">
        <v>1</v>
      </c>
      <c r="L728" s="63"/>
      <c r="M728" s="63"/>
      <c r="N728" s="63">
        <v>1</v>
      </c>
      <c r="O728" s="63"/>
      <c r="P728" s="63"/>
      <c r="Q728" s="63">
        <v>1</v>
      </c>
      <c r="R728" s="63">
        <v>1</v>
      </c>
      <c r="S728" s="296"/>
      <c r="T728" s="63"/>
      <c r="U728" s="10"/>
      <c r="V728" s="90"/>
      <c r="W728" s="136"/>
      <c r="X728" s="137"/>
    </row>
    <row r="729" spans="1:25">
      <c r="A729" s="614"/>
      <c r="B729" s="87">
        <f t="shared" si="159"/>
        <v>3</v>
      </c>
      <c r="C729" s="295">
        <v>45915</v>
      </c>
      <c r="D729" s="10">
        <v>73314</v>
      </c>
      <c r="E729" s="10" t="s">
        <v>3016</v>
      </c>
      <c r="F729" s="62">
        <v>612.9</v>
      </c>
      <c r="G729" s="62"/>
      <c r="H729" s="62"/>
      <c r="I729" s="89">
        <f t="shared" si="158"/>
        <v>612.9</v>
      </c>
      <c r="J729" s="63" t="s">
        <v>205</v>
      </c>
      <c r="K729" s="63">
        <v>1</v>
      </c>
      <c r="L729" s="63"/>
      <c r="M729" s="63"/>
      <c r="N729" s="63">
        <v>1</v>
      </c>
      <c r="O729" s="63"/>
      <c r="P729" s="63"/>
      <c r="Q729" s="63">
        <v>1</v>
      </c>
      <c r="R729" s="63">
        <v>1</v>
      </c>
      <c r="S729" s="296"/>
      <c r="T729" s="63"/>
      <c r="U729" s="10"/>
      <c r="V729" s="90"/>
      <c r="W729" s="136"/>
      <c r="X729" s="137"/>
    </row>
    <row r="730" spans="1:25">
      <c r="A730" s="614"/>
      <c r="B730" s="87">
        <f t="shared" si="159"/>
        <v>4</v>
      </c>
      <c r="C730" s="274">
        <v>45916</v>
      </c>
      <c r="D730" s="276">
        <v>73332</v>
      </c>
      <c r="E730" s="276" t="s">
        <v>1256</v>
      </c>
      <c r="F730" s="277">
        <v>2614</v>
      </c>
      <c r="G730" s="277">
        <v>39.700000000000003</v>
      </c>
      <c r="H730" s="277"/>
      <c r="I730" s="278">
        <f t="shared" si="158"/>
        <v>2574.3000000000002</v>
      </c>
      <c r="J730" s="279" t="s">
        <v>205</v>
      </c>
      <c r="K730" s="279">
        <v>1</v>
      </c>
      <c r="L730" s="279"/>
      <c r="M730" s="279"/>
      <c r="N730" s="279">
        <v>1</v>
      </c>
      <c r="O730" s="279"/>
      <c r="P730" s="279"/>
      <c r="Q730" s="279">
        <v>1</v>
      </c>
      <c r="R730" s="279">
        <v>1</v>
      </c>
      <c r="S730" s="280"/>
      <c r="T730" s="63"/>
      <c r="U730" s="10"/>
      <c r="V730" s="90"/>
      <c r="W730" s="136"/>
      <c r="X730" s="137"/>
    </row>
    <row r="731" spans="1:25">
      <c r="A731" s="614"/>
      <c r="B731" s="87">
        <f t="shared" si="159"/>
        <v>5</v>
      </c>
      <c r="C731" s="295">
        <v>45916</v>
      </c>
      <c r="D731" s="10">
        <v>73353</v>
      </c>
      <c r="E731" s="10" t="s">
        <v>2919</v>
      </c>
      <c r="F731" s="62">
        <v>461</v>
      </c>
      <c r="G731" s="62"/>
      <c r="H731" s="62"/>
      <c r="I731" s="89">
        <f t="shared" si="158"/>
        <v>461</v>
      </c>
      <c r="J731" s="63" t="s">
        <v>205</v>
      </c>
      <c r="K731" s="63">
        <v>1</v>
      </c>
      <c r="L731" s="63"/>
      <c r="M731" s="63"/>
      <c r="N731" s="63">
        <v>1</v>
      </c>
      <c r="O731" s="63"/>
      <c r="P731" s="63"/>
      <c r="Q731" s="63">
        <v>1</v>
      </c>
      <c r="R731" s="63">
        <v>1</v>
      </c>
      <c r="S731" s="296"/>
      <c r="T731" s="63"/>
      <c r="U731" s="10"/>
      <c r="V731" s="90"/>
      <c r="W731" s="136"/>
      <c r="X731" s="137"/>
    </row>
    <row r="732" spans="1:25">
      <c r="A732" s="614"/>
      <c r="B732" s="87">
        <f t="shared" si="159"/>
        <v>6</v>
      </c>
      <c r="C732" s="295">
        <v>45916</v>
      </c>
      <c r="D732" s="10">
        <v>73552</v>
      </c>
      <c r="E732" s="10" t="s">
        <v>2896</v>
      </c>
      <c r="F732" s="62">
        <v>12814</v>
      </c>
      <c r="G732" s="62">
        <v>39.700000000000003</v>
      </c>
      <c r="H732" s="62"/>
      <c r="I732" s="89">
        <f t="shared" si="158"/>
        <v>12774.3</v>
      </c>
      <c r="J732" s="63" t="s">
        <v>205</v>
      </c>
      <c r="K732" s="63">
        <v>1</v>
      </c>
      <c r="L732" s="63"/>
      <c r="M732" s="63"/>
      <c r="N732" s="63">
        <v>1</v>
      </c>
      <c r="O732" s="63"/>
      <c r="P732" s="63"/>
      <c r="Q732" s="63">
        <v>1</v>
      </c>
      <c r="R732" s="63">
        <v>1</v>
      </c>
      <c r="S732" s="296"/>
      <c r="T732" s="63"/>
      <c r="U732" s="10"/>
      <c r="V732" s="90"/>
      <c r="W732" s="136"/>
      <c r="X732" s="137"/>
    </row>
    <row r="733" spans="1:25">
      <c r="A733" s="614"/>
      <c r="B733" s="87">
        <f t="shared" si="159"/>
        <v>7</v>
      </c>
      <c r="C733" s="274">
        <v>45917</v>
      </c>
      <c r="D733" s="276" t="s">
        <v>3017</v>
      </c>
      <c r="E733" s="281" t="s">
        <v>673</v>
      </c>
      <c r="F733" s="277">
        <v>6214</v>
      </c>
      <c r="G733" s="277">
        <v>39.700000000000003</v>
      </c>
      <c r="H733" s="277"/>
      <c r="I733" s="278">
        <f t="shared" si="158"/>
        <v>6174.3</v>
      </c>
      <c r="J733" s="279" t="s">
        <v>205</v>
      </c>
      <c r="K733" s="279">
        <v>1</v>
      </c>
      <c r="L733" s="279"/>
      <c r="M733" s="279"/>
      <c r="N733" s="279">
        <v>1</v>
      </c>
      <c r="O733" s="279"/>
      <c r="P733" s="279"/>
      <c r="Q733" s="279"/>
      <c r="R733" s="279"/>
      <c r="S733" s="280"/>
      <c r="T733" s="63"/>
      <c r="U733" s="10"/>
      <c r="V733" s="90"/>
      <c r="W733" s="136"/>
      <c r="X733" s="137"/>
    </row>
    <row r="734" spans="1:25">
      <c r="A734" s="614"/>
      <c r="B734" s="87">
        <f t="shared" si="159"/>
        <v>8</v>
      </c>
      <c r="C734" s="295">
        <v>45917</v>
      </c>
      <c r="D734" s="94" t="s">
        <v>3018</v>
      </c>
      <c r="E734" s="10" t="s">
        <v>446</v>
      </c>
      <c r="F734" s="62">
        <v>5814</v>
      </c>
      <c r="G734" s="62">
        <v>39.700000000000003</v>
      </c>
      <c r="H734" s="62"/>
      <c r="I734" s="89">
        <f t="shared" si="158"/>
        <v>5774.3</v>
      </c>
      <c r="J734" s="63" t="s">
        <v>205</v>
      </c>
      <c r="K734" s="63">
        <v>1</v>
      </c>
      <c r="L734" s="63"/>
      <c r="M734" s="63"/>
      <c r="N734" s="63">
        <v>1</v>
      </c>
      <c r="O734" s="63"/>
      <c r="P734" s="63"/>
      <c r="Q734" s="63"/>
      <c r="R734" s="63"/>
      <c r="S734" s="296"/>
      <c r="T734" s="63"/>
      <c r="U734" s="10"/>
      <c r="V734" s="90"/>
      <c r="W734" s="136"/>
      <c r="X734" s="137"/>
    </row>
    <row r="735" spans="1:25">
      <c r="A735" s="614"/>
      <c r="B735" s="87">
        <f t="shared" si="159"/>
        <v>9</v>
      </c>
      <c r="C735" s="295">
        <v>45917</v>
      </c>
      <c r="D735" s="10" t="s">
        <v>3019</v>
      </c>
      <c r="E735" s="101" t="s">
        <v>1072</v>
      </c>
      <c r="F735" s="62">
        <v>16814</v>
      </c>
      <c r="G735" s="62">
        <v>39.700000000000003</v>
      </c>
      <c r="H735" s="62"/>
      <c r="I735" s="89">
        <f t="shared" si="158"/>
        <v>16774.3</v>
      </c>
      <c r="J735" s="63" t="s">
        <v>205</v>
      </c>
      <c r="K735" s="63">
        <v>1</v>
      </c>
      <c r="L735" s="63"/>
      <c r="M735" s="63"/>
      <c r="N735" s="63">
        <v>1</v>
      </c>
      <c r="O735" s="63"/>
      <c r="P735" s="63"/>
      <c r="Q735" s="63"/>
      <c r="R735" s="63"/>
      <c r="S735" s="296"/>
      <c r="T735" s="63"/>
      <c r="U735" s="10"/>
      <c r="V735" s="90"/>
      <c r="W735" s="136"/>
      <c r="X735" s="137"/>
    </row>
    <row r="736" spans="1:25">
      <c r="A736" s="614"/>
      <c r="B736" s="87">
        <f t="shared" si="159"/>
        <v>10</v>
      </c>
      <c r="C736" s="295">
        <v>45917</v>
      </c>
      <c r="D736" s="10">
        <v>73281</v>
      </c>
      <c r="E736" s="101" t="s">
        <v>2840</v>
      </c>
      <c r="F736" s="62">
        <v>6403</v>
      </c>
      <c r="G736" s="62">
        <v>39.700000000000003</v>
      </c>
      <c r="H736" s="62"/>
      <c r="I736" s="89">
        <f t="shared" si="158"/>
        <v>6363.3</v>
      </c>
      <c r="J736" s="63" t="s">
        <v>205</v>
      </c>
      <c r="K736" s="63">
        <v>1</v>
      </c>
      <c r="L736" s="63"/>
      <c r="M736" s="63"/>
      <c r="N736" s="63">
        <v>1</v>
      </c>
      <c r="O736" s="63"/>
      <c r="P736" s="63"/>
      <c r="Q736" s="63">
        <v>1</v>
      </c>
      <c r="R736" s="63">
        <v>1</v>
      </c>
      <c r="S736" s="296"/>
      <c r="T736" s="63"/>
      <c r="U736" s="10"/>
      <c r="V736" s="90"/>
      <c r="W736" s="136"/>
      <c r="X736" s="137"/>
    </row>
    <row r="737" spans="1:24">
      <c r="A737" s="614"/>
      <c r="B737" s="87">
        <f t="shared" si="159"/>
        <v>11</v>
      </c>
      <c r="C737" s="638">
        <v>45918</v>
      </c>
      <c r="D737" s="276">
        <v>73415</v>
      </c>
      <c r="E737" s="276" t="s">
        <v>1117</v>
      </c>
      <c r="F737" s="277">
        <v>0</v>
      </c>
      <c r="G737" s="277">
        <v>0</v>
      </c>
      <c r="H737" s="277"/>
      <c r="I737" s="278">
        <f t="shared" si="158"/>
        <v>0</v>
      </c>
      <c r="J737" s="279" t="s">
        <v>205</v>
      </c>
      <c r="K737" s="279">
        <v>1</v>
      </c>
      <c r="L737" s="279"/>
      <c r="M737" s="279"/>
      <c r="N737" s="279"/>
      <c r="O737" s="279"/>
      <c r="P737" s="279"/>
      <c r="Q737" s="279">
        <v>1</v>
      </c>
      <c r="R737" s="279">
        <v>1</v>
      </c>
      <c r="S737" s="280"/>
      <c r="T737" s="63"/>
      <c r="U737" s="10"/>
      <c r="V737" s="90"/>
      <c r="W737" s="136"/>
      <c r="X737" s="137"/>
    </row>
    <row r="738" spans="1:24">
      <c r="A738" s="614"/>
      <c r="B738" s="87">
        <f t="shared" si="159"/>
        <v>12</v>
      </c>
      <c r="C738" s="639">
        <v>45918</v>
      </c>
      <c r="D738" s="10">
        <v>73293</v>
      </c>
      <c r="E738" s="10" t="s">
        <v>2827</v>
      </c>
      <c r="F738" s="62">
        <v>0</v>
      </c>
      <c r="G738" s="62">
        <v>0</v>
      </c>
      <c r="H738" s="62"/>
      <c r="I738" s="89">
        <f>F738-G738-H738</f>
        <v>0</v>
      </c>
      <c r="J738" s="63" t="s">
        <v>156</v>
      </c>
      <c r="K738" s="63">
        <v>1</v>
      </c>
      <c r="L738" s="63"/>
      <c r="M738" s="63">
        <v>1</v>
      </c>
      <c r="N738" s="63"/>
      <c r="O738" s="63"/>
      <c r="P738" s="63"/>
      <c r="Q738" s="63"/>
      <c r="R738" s="63"/>
      <c r="S738" s="296"/>
      <c r="T738" s="63"/>
      <c r="U738" s="10"/>
      <c r="V738" s="90">
        <v>93.5</v>
      </c>
      <c r="W738" s="136"/>
      <c r="X738" s="137"/>
    </row>
    <row r="739" spans="1:24">
      <c r="A739" s="614"/>
      <c r="B739" s="87">
        <f t="shared" si="159"/>
        <v>13</v>
      </c>
      <c r="C739" s="295">
        <v>45918</v>
      </c>
      <c r="D739" s="10">
        <v>73421</v>
      </c>
      <c r="E739" s="10" t="s">
        <v>3016</v>
      </c>
      <c r="F739" s="62">
        <v>2861</v>
      </c>
      <c r="G739" s="62">
        <f>39.7</f>
        <v>39.700000000000003</v>
      </c>
      <c r="H739" s="62"/>
      <c r="I739" s="89">
        <f>F739-G739-H739</f>
        <v>2821.3</v>
      </c>
      <c r="J739" s="63" t="s">
        <v>205</v>
      </c>
      <c r="K739" s="63">
        <v>1</v>
      </c>
      <c r="L739" s="63"/>
      <c r="M739" s="63"/>
      <c r="N739" s="63">
        <v>1</v>
      </c>
      <c r="O739" s="63">
        <v>1</v>
      </c>
      <c r="P739" s="63">
        <v>1</v>
      </c>
      <c r="Q739" s="63">
        <v>1</v>
      </c>
      <c r="R739" s="63">
        <v>1</v>
      </c>
      <c r="S739" s="296">
        <v>1</v>
      </c>
      <c r="T739" s="63"/>
      <c r="U739" s="10"/>
      <c r="V739" s="90"/>
      <c r="W739" s="136"/>
      <c r="X739" s="137"/>
    </row>
    <row r="740" spans="1:24">
      <c r="A740" s="614"/>
      <c r="B740" s="87">
        <f t="shared" si="159"/>
        <v>14</v>
      </c>
      <c r="C740" s="295">
        <v>45918</v>
      </c>
      <c r="D740" s="10" t="s">
        <v>3020</v>
      </c>
      <c r="E740" s="10" t="s">
        <v>1088</v>
      </c>
      <c r="F740" s="62">
        <v>0</v>
      </c>
      <c r="G740" s="62">
        <v>0</v>
      </c>
      <c r="H740" s="62"/>
      <c r="I740" s="89">
        <f t="shared" si="158"/>
        <v>0</v>
      </c>
      <c r="J740" s="63" t="s">
        <v>205</v>
      </c>
      <c r="K740" s="63"/>
      <c r="L740" s="63"/>
      <c r="M740" s="63"/>
      <c r="N740" s="63"/>
      <c r="O740" s="63"/>
      <c r="P740" s="63"/>
      <c r="Q740" s="63"/>
      <c r="R740" s="63"/>
      <c r="S740" s="296"/>
      <c r="T740" s="63"/>
      <c r="U740" s="10"/>
      <c r="V740" s="90"/>
      <c r="W740" s="136"/>
      <c r="X740" s="137"/>
    </row>
    <row r="741" spans="1:24">
      <c r="A741" s="614"/>
      <c r="B741" s="87">
        <f t="shared" si="159"/>
        <v>15</v>
      </c>
      <c r="C741" s="274">
        <v>45919</v>
      </c>
      <c r="D741" s="276">
        <v>73412</v>
      </c>
      <c r="E741" s="276" t="s">
        <v>1494</v>
      </c>
      <c r="F741" s="277">
        <v>2034.9</v>
      </c>
      <c r="G741" s="277">
        <v>39.700000000000003</v>
      </c>
      <c r="H741" s="277"/>
      <c r="I741" s="278">
        <f t="shared" si="158"/>
        <v>1995.2</v>
      </c>
      <c r="J741" s="279" t="s">
        <v>205</v>
      </c>
      <c r="K741" s="279">
        <v>1</v>
      </c>
      <c r="L741" s="279"/>
      <c r="M741" s="279"/>
      <c r="N741" s="279">
        <v>1</v>
      </c>
      <c r="O741" s="279"/>
      <c r="P741" s="279"/>
      <c r="Q741" s="279">
        <v>1</v>
      </c>
      <c r="R741" s="279">
        <v>1</v>
      </c>
      <c r="S741" s="280"/>
      <c r="T741" s="63"/>
      <c r="U741" s="10"/>
      <c r="V741" s="90"/>
      <c r="W741" s="136"/>
      <c r="X741" s="137"/>
    </row>
    <row r="742" spans="1:24">
      <c r="A742" s="614"/>
      <c r="B742" s="87">
        <f t="shared" si="159"/>
        <v>16</v>
      </c>
      <c r="C742" s="282">
        <v>45919</v>
      </c>
      <c r="D742" s="283">
        <v>73484</v>
      </c>
      <c r="E742" s="283" t="s">
        <v>1338</v>
      </c>
      <c r="F742" s="284">
        <v>17167.5</v>
      </c>
      <c r="G742" s="284">
        <v>39.700000000000003</v>
      </c>
      <c r="H742" s="284"/>
      <c r="I742" s="285">
        <f t="shared" si="158"/>
        <v>17127.8</v>
      </c>
      <c r="J742" s="286" t="s">
        <v>205</v>
      </c>
      <c r="K742" s="286">
        <v>1</v>
      </c>
      <c r="L742" s="286"/>
      <c r="M742" s="286"/>
      <c r="N742" s="286">
        <v>1</v>
      </c>
      <c r="O742" s="286"/>
      <c r="P742" s="286"/>
      <c r="Q742" s="286">
        <v>1</v>
      </c>
      <c r="R742" s="286">
        <v>1</v>
      </c>
      <c r="S742" s="287">
        <v>1</v>
      </c>
      <c r="T742" s="63"/>
      <c r="U742" s="10"/>
      <c r="V742" s="90"/>
      <c r="W742" s="136"/>
      <c r="X742" s="137"/>
    </row>
    <row r="743" spans="1:24">
      <c r="A743" s="614"/>
      <c r="B743" s="11"/>
      <c r="C743" s="36"/>
      <c r="D743" s="10"/>
      <c r="E743" s="10"/>
      <c r="F743" s="97">
        <f>SUM(F727:F742)</f>
        <v>88346.299999999988</v>
      </c>
      <c r="G743" s="97">
        <f>SUM(G727:G742)</f>
        <v>436.69999999999993</v>
      </c>
      <c r="H743" s="97">
        <f>SUM(H727:H742)</f>
        <v>0</v>
      </c>
      <c r="I743" s="98">
        <f>SUM(I727:I742)</f>
        <v>87909.6</v>
      </c>
      <c r="J743" s="10"/>
      <c r="K743" s="10"/>
      <c r="L743" s="10"/>
      <c r="M743" s="10"/>
      <c r="N743" s="10"/>
      <c r="O743" s="10"/>
      <c r="P743" s="10"/>
      <c r="Q743" s="10"/>
      <c r="R743" s="10"/>
      <c r="S743" s="10"/>
      <c r="T743" s="63"/>
      <c r="U743" s="10"/>
      <c r="V743" s="138"/>
      <c r="W743" s="136"/>
      <c r="X743" s="137"/>
    </row>
    <row r="744" spans="1:24">
      <c r="A744" s="614"/>
      <c r="B744" s="26"/>
      <c r="C744" s="612"/>
      <c r="D744" s="141"/>
      <c r="E744" s="141"/>
      <c r="F744" s="141"/>
      <c r="G744" s="141"/>
      <c r="H744" s="141"/>
      <c r="I744" s="141"/>
      <c r="J744" s="141"/>
      <c r="K744" s="142"/>
      <c r="L744" s="142"/>
      <c r="M744" s="142"/>
      <c r="N744" s="142"/>
      <c r="O744" s="142"/>
      <c r="P744" s="142"/>
      <c r="Q744" s="142"/>
      <c r="R744" s="142"/>
      <c r="S744" s="142"/>
      <c r="T744" s="143">
        <f>SUM(T675:T743)</f>
        <v>1</v>
      </c>
      <c r="U744" s="141"/>
      <c r="V744" s="144">
        <f>SUM(V675:V743)</f>
        <v>16254.369999999999</v>
      </c>
      <c r="W744" s="144">
        <f>SUM(W675:W743)</f>
        <v>3886.62</v>
      </c>
      <c r="X744" s="144">
        <f>SUM(X675:X743)</f>
        <v>0</v>
      </c>
    </row>
    <row r="747" spans="1:24">
      <c r="B747" s="4" t="s">
        <v>1</v>
      </c>
      <c r="C747" s="5"/>
      <c r="D747" s="6"/>
      <c r="E747" s="6"/>
      <c r="F747" s="7" t="s">
        <v>2</v>
      </c>
      <c r="G747" s="608">
        <v>45928</v>
      </c>
      <c r="H747" s="7"/>
      <c r="I747" s="6"/>
      <c r="J747" s="6"/>
      <c r="K747" s="6"/>
      <c r="L747" s="6"/>
      <c r="M747" s="6"/>
      <c r="N747" s="6"/>
      <c r="O747" s="6"/>
      <c r="P747" s="6"/>
      <c r="Q747" s="6"/>
      <c r="R747" s="6"/>
      <c r="S747" s="6"/>
      <c r="T747" s="6"/>
      <c r="U747" s="9"/>
      <c r="V747" s="10"/>
      <c r="W747" s="10"/>
      <c r="X747" s="10"/>
    </row>
    <row r="748" spans="1:24">
      <c r="B748" s="11"/>
      <c r="C748" s="10"/>
      <c r="D748" s="10"/>
      <c r="E748" s="10"/>
      <c r="F748" s="10"/>
      <c r="G748" s="7"/>
      <c r="H748" s="12"/>
      <c r="I748" s="10"/>
      <c r="J748" s="10"/>
      <c r="K748" s="13" t="s">
        <v>3</v>
      </c>
      <c r="L748" s="14"/>
      <c r="M748" s="15"/>
      <c r="N748" s="13" t="s">
        <v>4</v>
      </c>
      <c r="O748" s="14"/>
      <c r="P748" s="15"/>
      <c r="Q748" s="13" t="s">
        <v>5</v>
      </c>
      <c r="R748" s="14"/>
      <c r="S748" s="15"/>
      <c r="T748" s="16"/>
      <c r="U748" s="17"/>
      <c r="V748" s="10"/>
      <c r="W748" s="10"/>
      <c r="X748" s="10"/>
    </row>
    <row r="749" spans="1:24">
      <c r="B749" s="18" t="s">
        <v>6</v>
      </c>
      <c r="C749" s="19">
        <f>C750+C751</f>
        <v>27</v>
      </c>
      <c r="D749" s="10"/>
      <c r="E749" s="18" t="s">
        <v>7</v>
      </c>
      <c r="F749" s="6"/>
      <c r="G749" s="9"/>
      <c r="H749" s="10"/>
      <c r="I749" s="10"/>
      <c r="J749" s="10"/>
      <c r="K749" s="20" t="s">
        <v>8</v>
      </c>
      <c r="L749" s="21" t="s">
        <v>9</v>
      </c>
      <c r="M749" s="21" t="s">
        <v>10</v>
      </c>
      <c r="N749" s="20" t="s">
        <v>11</v>
      </c>
      <c r="O749" s="21" t="s">
        <v>12</v>
      </c>
      <c r="P749" s="22" t="s">
        <v>13</v>
      </c>
      <c r="Q749" s="21" t="s">
        <v>11</v>
      </c>
      <c r="R749" s="21" t="s">
        <v>12</v>
      </c>
      <c r="S749" s="22" t="s">
        <v>13</v>
      </c>
      <c r="T749" s="23" t="s">
        <v>14</v>
      </c>
      <c r="U749" s="17"/>
      <c r="V749" s="10"/>
      <c r="W749" s="10"/>
      <c r="X749" s="10"/>
    </row>
    <row r="750" spans="1:24">
      <c r="B750" s="24" t="s">
        <v>15</v>
      </c>
      <c r="C750" s="25">
        <f>P757</f>
        <v>14</v>
      </c>
      <c r="D750" s="10"/>
      <c r="E750" s="26" t="s">
        <v>16</v>
      </c>
      <c r="F750" s="27">
        <v>0.05</v>
      </c>
      <c r="G750" s="28"/>
      <c r="H750" s="10"/>
      <c r="I750" s="10"/>
      <c r="J750" s="18" t="s">
        <v>17</v>
      </c>
      <c r="K750" s="29">
        <f>K778</f>
        <v>3</v>
      </c>
      <c r="L750" s="29">
        <f t="shared" ref="L750:S750" si="160">L778</f>
        <v>1</v>
      </c>
      <c r="M750" s="29">
        <f t="shared" si="160"/>
        <v>1</v>
      </c>
      <c r="N750" s="29">
        <f t="shared" si="160"/>
        <v>3</v>
      </c>
      <c r="O750" s="29">
        <f t="shared" si="160"/>
        <v>3</v>
      </c>
      <c r="P750" s="29">
        <f t="shared" si="160"/>
        <v>2</v>
      </c>
      <c r="Q750" s="29">
        <f t="shared" si="160"/>
        <v>1</v>
      </c>
      <c r="R750" s="29">
        <f t="shared" si="160"/>
        <v>1</v>
      </c>
      <c r="S750" s="29">
        <f t="shared" si="160"/>
        <v>0</v>
      </c>
      <c r="T750" s="30">
        <f>T835</f>
        <v>0</v>
      </c>
      <c r="U750" s="17"/>
      <c r="V750" s="10"/>
      <c r="W750" s="10"/>
      <c r="X750" s="10"/>
    </row>
    <row r="751" spans="1:24">
      <c r="B751" s="24" t="s">
        <v>18</v>
      </c>
      <c r="C751" s="25">
        <f>P758</f>
        <v>13</v>
      </c>
      <c r="D751" s="10"/>
      <c r="E751" s="10"/>
      <c r="F751" s="10"/>
      <c r="G751" s="31"/>
      <c r="H751" s="10"/>
      <c r="I751" s="10"/>
      <c r="J751" s="32" t="s">
        <v>19</v>
      </c>
      <c r="K751" s="33">
        <f>K778/K777</f>
        <v>1</v>
      </c>
      <c r="L751" s="33">
        <f t="shared" ref="L751:S751" si="161">L778/L777</f>
        <v>0.33333333333333331</v>
      </c>
      <c r="M751" s="33">
        <f t="shared" si="161"/>
        <v>0.33333333333333331</v>
      </c>
      <c r="N751" s="33">
        <f t="shared" si="161"/>
        <v>1</v>
      </c>
      <c r="O751" s="33">
        <f t="shared" si="161"/>
        <v>1</v>
      </c>
      <c r="P751" s="33">
        <f t="shared" si="161"/>
        <v>0.66666666666666663</v>
      </c>
      <c r="Q751" s="33">
        <f t="shared" si="161"/>
        <v>0.33333333333333331</v>
      </c>
      <c r="R751" s="33">
        <f t="shared" si="161"/>
        <v>0.33333333333333331</v>
      </c>
      <c r="S751" s="33">
        <f t="shared" si="161"/>
        <v>0</v>
      </c>
      <c r="T751" s="23"/>
      <c r="U751" s="17" t="s">
        <v>20</v>
      </c>
      <c r="V751" s="10"/>
      <c r="W751" s="10"/>
      <c r="X751" s="10"/>
    </row>
    <row r="752" spans="1:24">
      <c r="B752" s="24" t="s">
        <v>21</v>
      </c>
      <c r="C752" s="34">
        <f>P759</f>
        <v>0.51851851851851849</v>
      </c>
      <c r="D752" s="10"/>
      <c r="E752" s="10"/>
      <c r="F752" s="10"/>
      <c r="G752" s="10"/>
      <c r="H752" s="10"/>
      <c r="I752" s="10"/>
      <c r="J752" s="10"/>
      <c r="K752" s="10"/>
      <c r="L752" s="10"/>
      <c r="M752" s="10"/>
      <c r="N752" s="10"/>
      <c r="O752" s="10"/>
      <c r="P752" s="10"/>
      <c r="Q752" s="10"/>
      <c r="R752" s="10"/>
      <c r="S752" s="10"/>
      <c r="T752" s="10"/>
      <c r="U752" s="17"/>
      <c r="V752" s="10"/>
      <c r="W752" s="10"/>
      <c r="X752" s="10"/>
    </row>
    <row r="753" spans="2:24">
      <c r="B753" s="24"/>
      <c r="C753" s="25"/>
      <c r="D753" s="10"/>
      <c r="E753" s="10"/>
      <c r="F753" s="18" t="s">
        <v>22</v>
      </c>
      <c r="G753" s="19" t="s">
        <v>23</v>
      </c>
      <c r="H753" s="35" t="s">
        <v>24</v>
      </c>
      <c r="I753" s="10"/>
      <c r="J753" s="10"/>
      <c r="K753" s="36"/>
      <c r="L753" s="36"/>
      <c r="M753" s="36"/>
      <c r="N753" s="36"/>
      <c r="O753" s="36"/>
      <c r="P753" s="36"/>
      <c r="Q753" s="36"/>
      <c r="R753" s="10"/>
      <c r="S753" s="10"/>
      <c r="T753" s="10"/>
      <c r="U753" s="17"/>
      <c r="V753" s="10"/>
      <c r="W753" s="10"/>
      <c r="X753" s="10"/>
    </row>
    <row r="754" spans="2:24" ht="17.25" customHeight="1">
      <c r="B754" s="32" t="s">
        <v>25</v>
      </c>
      <c r="C754" s="37">
        <f>P760</f>
        <v>4176.665</v>
      </c>
      <c r="D754" s="10"/>
      <c r="E754" s="18" t="s">
        <v>26</v>
      </c>
      <c r="F754" s="38">
        <f>P756</f>
        <v>58473.31</v>
      </c>
      <c r="G754" s="39">
        <f>I777+I787+I795</f>
        <v>58473.310000000005</v>
      </c>
      <c r="H754" s="767" t="s">
        <v>3021</v>
      </c>
      <c r="I754" s="767"/>
      <c r="J754" s="767"/>
      <c r="K754" s="43" t="s">
        <v>27</v>
      </c>
      <c r="L754" s="44"/>
      <c r="M754" s="44"/>
      <c r="N754" s="44"/>
      <c r="O754" s="44"/>
      <c r="P754" s="44"/>
      <c r="Q754" s="45"/>
      <c r="R754" s="46" t="s">
        <v>28</v>
      </c>
      <c r="S754" s="47" t="s">
        <v>29</v>
      </c>
      <c r="T754" s="10"/>
      <c r="U754" s="17"/>
      <c r="V754" s="10"/>
      <c r="W754" s="10"/>
      <c r="X754" s="10"/>
    </row>
    <row r="755" spans="2:24">
      <c r="B755" s="11"/>
      <c r="C755" s="10"/>
      <c r="D755" s="10"/>
      <c r="E755" s="24" t="s">
        <v>30</v>
      </c>
      <c r="F755" s="48">
        <f>F750</f>
        <v>0.05</v>
      </c>
      <c r="G755" s="17"/>
      <c r="H755" s="767"/>
      <c r="I755" s="767"/>
      <c r="J755" s="767"/>
      <c r="K755" s="20" t="s">
        <v>31</v>
      </c>
      <c r="L755" s="21" t="s">
        <v>32</v>
      </c>
      <c r="M755" s="21" t="s">
        <v>33</v>
      </c>
      <c r="N755" s="21" t="s">
        <v>34</v>
      </c>
      <c r="O755" s="21" t="s">
        <v>35</v>
      </c>
      <c r="P755" s="21" t="s">
        <v>36</v>
      </c>
      <c r="Q755" s="49" t="s">
        <v>37</v>
      </c>
      <c r="R755" s="50" t="s">
        <v>38</v>
      </c>
      <c r="S755" s="50" t="s">
        <v>38</v>
      </c>
      <c r="T755" s="10"/>
      <c r="U755" s="17"/>
      <c r="V755" s="10"/>
      <c r="W755" s="10"/>
      <c r="X755" s="10"/>
    </row>
    <row r="756" spans="2:24">
      <c r="B756" s="11"/>
      <c r="C756" s="10"/>
      <c r="D756" s="10"/>
      <c r="E756" s="51" t="s">
        <v>39</v>
      </c>
      <c r="F756" s="52">
        <f>(F754-I781-I782-I783-I784-I785-I786-I790-I791-I792-I793-I794)*F755</f>
        <v>217.71349999999961</v>
      </c>
      <c r="G756" s="53" t="s">
        <v>40</v>
      </c>
      <c r="H756" s="484">
        <f>F756/1.12</f>
        <v>194.3870535714282</v>
      </c>
      <c r="I756" s="55"/>
      <c r="J756" s="42"/>
      <c r="K756" s="56">
        <f>I774+I781+I782</f>
        <v>3720.8</v>
      </c>
      <c r="L756" s="57">
        <f>I775+I783+I790+I784</f>
        <v>16033.859999999999</v>
      </c>
      <c r="M756" s="57">
        <f>I785+I791+I792</f>
        <v>21379.840000000004</v>
      </c>
      <c r="N756" s="57">
        <f>I776+I786+I793+I794</f>
        <v>17338.810000000001</v>
      </c>
      <c r="O756" s="57">
        <v>0</v>
      </c>
      <c r="P756" s="57">
        <f>SUM(K756:O756)</f>
        <v>58473.31</v>
      </c>
      <c r="Q756" s="58">
        <v>0</v>
      </c>
      <c r="R756" s="59">
        <f>I787+I795</f>
        <v>54119.040000000008</v>
      </c>
      <c r="S756" s="59">
        <f>0</f>
        <v>0</v>
      </c>
      <c r="T756" s="10"/>
      <c r="U756" s="17"/>
      <c r="V756" s="10"/>
      <c r="W756" s="10"/>
      <c r="X756" s="10"/>
    </row>
    <row r="757" spans="2:24">
      <c r="B757" s="11"/>
      <c r="C757" s="10"/>
      <c r="D757" s="10"/>
      <c r="E757" s="24" t="s">
        <v>41</v>
      </c>
      <c r="F757" s="60">
        <f>Q756</f>
        <v>0</v>
      </c>
      <c r="G757" s="61" t="s">
        <v>40</v>
      </c>
      <c r="H757" s="62"/>
      <c r="I757" s="62"/>
      <c r="J757" s="10" t="s">
        <v>42</v>
      </c>
      <c r="K757" s="63">
        <v>3</v>
      </c>
      <c r="L757" s="63">
        <v>4</v>
      </c>
      <c r="M757" s="63">
        <v>3</v>
      </c>
      <c r="N757" s="63">
        <v>4</v>
      </c>
      <c r="O757" s="63">
        <v>0</v>
      </c>
      <c r="P757" s="21">
        <f>SUM(K757:O757)</f>
        <v>14</v>
      </c>
      <c r="Q757" s="64"/>
      <c r="R757" s="63"/>
      <c r="S757" s="10"/>
      <c r="T757" s="10"/>
      <c r="U757" s="17"/>
      <c r="V757" s="10"/>
      <c r="W757" s="10"/>
      <c r="X757" s="10"/>
    </row>
    <row r="758" spans="2:24">
      <c r="B758" s="11"/>
      <c r="C758" s="10"/>
      <c r="D758" s="10"/>
      <c r="E758" s="51" t="s">
        <v>43</v>
      </c>
      <c r="F758" s="52">
        <f>F757*0.25</f>
        <v>0</v>
      </c>
      <c r="G758" s="53" t="s">
        <v>40</v>
      </c>
      <c r="H758" s="54">
        <f>F758/1.12</f>
        <v>0</v>
      </c>
      <c r="I758" s="10"/>
      <c r="J758" s="10" t="s">
        <v>44</v>
      </c>
      <c r="K758" s="63">
        <v>5</v>
      </c>
      <c r="L758" s="63">
        <v>2</v>
      </c>
      <c r="M758" s="63">
        <v>4</v>
      </c>
      <c r="N758" s="63">
        <v>2</v>
      </c>
      <c r="O758" s="63">
        <v>0</v>
      </c>
      <c r="P758" s="21">
        <f>SUM(K758:O758)</f>
        <v>13</v>
      </c>
      <c r="Q758" s="64"/>
      <c r="R758" s="63"/>
      <c r="S758" s="10"/>
      <c r="T758" s="10"/>
      <c r="U758" s="17"/>
      <c r="V758" s="10"/>
      <c r="W758" s="10"/>
      <c r="X758" s="10"/>
    </row>
    <row r="759" spans="2:24">
      <c r="B759" s="11"/>
      <c r="C759" s="10"/>
      <c r="D759" s="10"/>
      <c r="E759" s="24" t="s">
        <v>45</v>
      </c>
      <c r="F759" s="60"/>
      <c r="G759" s="61" t="s">
        <v>40</v>
      </c>
      <c r="H759" s="62"/>
      <c r="I759" s="10"/>
      <c r="J759" s="10" t="s">
        <v>46</v>
      </c>
      <c r="K759" s="31">
        <f t="shared" ref="K759:Q759" si="162">K757/(K757+K758)</f>
        <v>0.375</v>
      </c>
      <c r="L759" s="31">
        <f t="shared" si="162"/>
        <v>0.66666666666666663</v>
      </c>
      <c r="M759" s="31">
        <f t="shared" si="162"/>
        <v>0.42857142857142855</v>
      </c>
      <c r="N759" s="31">
        <f t="shared" si="162"/>
        <v>0.66666666666666663</v>
      </c>
      <c r="O759" s="31" t="e">
        <f t="shared" si="162"/>
        <v>#DIV/0!</v>
      </c>
      <c r="P759" s="31">
        <f t="shared" si="162"/>
        <v>0.51851851851851849</v>
      </c>
      <c r="Q759" s="31" t="e">
        <f t="shared" si="162"/>
        <v>#DIV/0!</v>
      </c>
      <c r="R759" s="63"/>
      <c r="S759" s="10"/>
      <c r="T759" s="10"/>
      <c r="U759" s="17"/>
      <c r="V759" s="10"/>
      <c r="W759" s="10"/>
      <c r="X759" s="10"/>
    </row>
    <row r="760" spans="2:24">
      <c r="B760" s="11"/>
      <c r="C760" s="10"/>
      <c r="D760" s="10"/>
      <c r="E760" s="51" t="s">
        <v>47</v>
      </c>
      <c r="F760" s="52">
        <f>F759*0.05</f>
        <v>0</v>
      </c>
      <c r="G760" s="65" t="s">
        <v>40</v>
      </c>
      <c r="H760" s="54">
        <f>F760/1.12</f>
        <v>0</v>
      </c>
      <c r="I760" s="42"/>
      <c r="J760" s="10" t="s">
        <v>48</v>
      </c>
      <c r="K760" s="66">
        <f>K756/K757</f>
        <v>1240.2666666666667</v>
      </c>
      <c r="L760" s="66">
        <f t="shared" ref="L760:Q760" si="163">L756/L757</f>
        <v>4008.4649999999997</v>
      </c>
      <c r="M760" s="66">
        <f t="shared" si="163"/>
        <v>7126.6133333333346</v>
      </c>
      <c r="N760" s="66">
        <f t="shared" si="163"/>
        <v>4334.7025000000003</v>
      </c>
      <c r="O760" s="66" t="e">
        <f t="shared" si="163"/>
        <v>#DIV/0!</v>
      </c>
      <c r="P760" s="66">
        <f t="shared" si="163"/>
        <v>4176.665</v>
      </c>
      <c r="Q760" s="66" t="e">
        <f t="shared" si="163"/>
        <v>#DIV/0!</v>
      </c>
      <c r="R760" s="63"/>
      <c r="S760" s="10"/>
      <c r="T760" s="10"/>
      <c r="U760" s="17"/>
      <c r="V760" s="10"/>
      <c r="W760" s="10"/>
      <c r="X760" s="10"/>
    </row>
    <row r="761" spans="2:24">
      <c r="B761" s="11"/>
      <c r="C761" s="10"/>
      <c r="D761" s="10"/>
      <c r="E761" s="67" t="s">
        <v>14</v>
      </c>
      <c r="F761" s="68"/>
      <c r="G761" s="10"/>
      <c r="H761" s="54">
        <f>F761/1.12</f>
        <v>0</v>
      </c>
      <c r="I761" s="10"/>
      <c r="J761" s="10"/>
      <c r="K761" s="10"/>
      <c r="L761" s="10"/>
      <c r="M761" s="10"/>
      <c r="N761" s="10"/>
      <c r="O761" s="10"/>
      <c r="P761" s="10"/>
      <c r="Q761" s="10"/>
      <c r="R761" s="10"/>
      <c r="S761" s="10"/>
      <c r="T761" s="10"/>
      <c r="U761" s="17"/>
      <c r="V761" s="10"/>
      <c r="W761" s="10"/>
      <c r="X761" s="10"/>
    </row>
    <row r="762" spans="2:24">
      <c r="B762" s="11"/>
      <c r="C762" s="10"/>
      <c r="D762" s="10"/>
      <c r="E762" s="155" t="s">
        <v>49</v>
      </c>
      <c r="F762" s="364">
        <f>T751</f>
        <v>0</v>
      </c>
      <c r="G762" s="10"/>
      <c r="H762" s="54"/>
      <c r="I762" s="55"/>
      <c r="J762" s="42"/>
      <c r="K762" s="764" t="s">
        <v>50</v>
      </c>
      <c r="L762" s="765"/>
      <c r="M762" s="765"/>
      <c r="N762" s="765"/>
      <c r="O762" s="765"/>
      <c r="P762" s="765"/>
      <c r="Q762" s="766"/>
      <c r="R762" s="70" t="s">
        <v>28</v>
      </c>
      <c r="S762" s="71" t="s">
        <v>29</v>
      </c>
      <c r="T762" s="10"/>
      <c r="U762" s="17"/>
      <c r="V762" s="10"/>
      <c r="W762" s="10"/>
      <c r="X762" s="10"/>
    </row>
    <row r="763" spans="2:24">
      <c r="B763" s="11"/>
      <c r="C763" s="10"/>
      <c r="D763" s="10"/>
      <c r="E763" s="10"/>
      <c r="F763" s="10"/>
      <c r="G763" s="10"/>
      <c r="H763" s="10"/>
      <c r="I763" s="10"/>
      <c r="J763" s="42"/>
      <c r="K763" s="20" t="s">
        <v>31</v>
      </c>
      <c r="L763" s="21" t="s">
        <v>32</v>
      </c>
      <c r="M763" s="21" t="s">
        <v>33</v>
      </c>
      <c r="N763" s="21" t="s">
        <v>34</v>
      </c>
      <c r="O763" s="21" t="s">
        <v>35</v>
      </c>
      <c r="P763" s="21" t="s">
        <v>36</v>
      </c>
      <c r="Q763" s="49" t="s">
        <v>37</v>
      </c>
      <c r="R763" s="50" t="s">
        <v>38</v>
      </c>
      <c r="S763" s="50" t="s">
        <v>38</v>
      </c>
      <c r="T763" s="10"/>
      <c r="U763" s="17"/>
      <c r="V763" s="10"/>
      <c r="W763" s="10"/>
      <c r="X763" s="10"/>
    </row>
    <row r="764" spans="2:24">
      <c r="B764" s="11"/>
      <c r="C764" s="10"/>
      <c r="D764" s="10"/>
      <c r="E764" s="10"/>
      <c r="F764" s="10"/>
      <c r="G764" s="10"/>
      <c r="H764" s="10"/>
      <c r="I764" s="10"/>
      <c r="J764" s="42"/>
      <c r="K764" s="56">
        <f>F774+F781+F782</f>
        <v>5860</v>
      </c>
      <c r="L764" s="57">
        <f>F775+F783+F790+F784</f>
        <v>18910.900000000001</v>
      </c>
      <c r="M764" s="57">
        <f>F785+F791+F792</f>
        <v>23104.2</v>
      </c>
      <c r="N764" s="57">
        <f>F776+F786+F793+F794</f>
        <v>20175.169999999998</v>
      </c>
      <c r="O764" s="57">
        <v>0</v>
      </c>
      <c r="P764" s="57">
        <f>SUM(K764:O764)</f>
        <v>68050.27</v>
      </c>
      <c r="Q764" s="58">
        <v>0</v>
      </c>
      <c r="R764" s="59">
        <f>F787+F795</f>
        <v>63498.37</v>
      </c>
      <c r="S764" s="59">
        <f>0</f>
        <v>0</v>
      </c>
      <c r="T764" s="10"/>
      <c r="U764" s="17"/>
      <c r="V764" s="10"/>
      <c r="W764" s="10"/>
      <c r="X764" s="10"/>
    </row>
    <row r="765" spans="2:24">
      <c r="B765" s="11"/>
      <c r="C765" s="10"/>
      <c r="D765" s="10"/>
      <c r="E765" s="10"/>
      <c r="F765" s="10"/>
      <c r="G765" s="10"/>
      <c r="H765" s="10"/>
      <c r="I765" s="10"/>
      <c r="J765" s="10" t="s">
        <v>42</v>
      </c>
      <c r="K765" s="63">
        <f>K757</f>
        <v>3</v>
      </c>
      <c r="L765" s="63">
        <f t="shared" ref="L765:Q766" si="164">L757</f>
        <v>4</v>
      </c>
      <c r="M765" s="63">
        <f t="shared" si="164"/>
        <v>3</v>
      </c>
      <c r="N765" s="63">
        <f t="shared" si="164"/>
        <v>4</v>
      </c>
      <c r="O765" s="63">
        <f t="shared" si="164"/>
        <v>0</v>
      </c>
      <c r="P765" s="63">
        <f t="shared" si="164"/>
        <v>14</v>
      </c>
      <c r="Q765" s="63">
        <f t="shared" si="164"/>
        <v>0</v>
      </c>
      <c r="R765" s="63"/>
      <c r="S765" s="10"/>
      <c r="T765" s="10"/>
      <c r="U765" s="17"/>
      <c r="V765" s="10"/>
      <c r="W765" s="10"/>
      <c r="X765" s="10"/>
    </row>
    <row r="766" spans="2:24">
      <c r="B766" s="11"/>
      <c r="C766" s="10"/>
      <c r="D766" s="10"/>
      <c r="E766" s="10"/>
      <c r="F766" s="10"/>
      <c r="G766" s="10"/>
      <c r="H766" s="10"/>
      <c r="I766" s="10"/>
      <c r="J766" s="10" t="s">
        <v>44</v>
      </c>
      <c r="K766" s="63">
        <f>K758</f>
        <v>5</v>
      </c>
      <c r="L766" s="63">
        <f t="shared" si="164"/>
        <v>2</v>
      </c>
      <c r="M766" s="63">
        <f t="shared" si="164"/>
        <v>4</v>
      </c>
      <c r="N766" s="63">
        <f t="shared" si="164"/>
        <v>2</v>
      </c>
      <c r="O766" s="63">
        <f t="shared" si="164"/>
        <v>0</v>
      </c>
      <c r="P766" s="63">
        <f t="shared" si="164"/>
        <v>13</v>
      </c>
      <c r="Q766" s="63">
        <f t="shared" si="164"/>
        <v>0</v>
      </c>
      <c r="R766" s="63"/>
      <c r="S766" s="10"/>
      <c r="T766" s="10"/>
      <c r="U766" s="17"/>
      <c r="V766" s="10"/>
      <c r="W766" s="10"/>
      <c r="X766" s="10"/>
    </row>
    <row r="767" spans="2:24">
      <c r="B767" s="11"/>
      <c r="C767" s="10"/>
      <c r="D767" s="10"/>
      <c r="E767" s="10"/>
      <c r="F767" s="10"/>
      <c r="G767" s="10"/>
      <c r="H767" s="10"/>
      <c r="I767" s="10"/>
      <c r="J767" s="10" t="s">
        <v>46</v>
      </c>
      <c r="K767" s="31">
        <f t="shared" ref="K767:Q767" si="165">K765/(K765+K766)</f>
        <v>0.375</v>
      </c>
      <c r="L767" s="31">
        <f t="shared" si="165"/>
        <v>0.66666666666666663</v>
      </c>
      <c r="M767" s="31">
        <f t="shared" si="165"/>
        <v>0.42857142857142855</v>
      </c>
      <c r="N767" s="31">
        <f t="shared" si="165"/>
        <v>0.66666666666666663</v>
      </c>
      <c r="O767" s="31" t="e">
        <f t="shared" si="165"/>
        <v>#DIV/0!</v>
      </c>
      <c r="P767" s="31">
        <f t="shared" si="165"/>
        <v>0.51851851851851849</v>
      </c>
      <c r="Q767" s="31" t="e">
        <f t="shared" si="165"/>
        <v>#DIV/0!</v>
      </c>
      <c r="R767" s="63"/>
      <c r="S767" s="10"/>
      <c r="T767" s="10"/>
      <c r="U767" s="17"/>
      <c r="V767" s="10"/>
      <c r="W767" s="10"/>
      <c r="X767" s="10"/>
    </row>
    <row r="768" spans="2:24">
      <c r="B768" s="11"/>
      <c r="C768" s="10"/>
      <c r="D768" s="10"/>
      <c r="E768" s="10"/>
      <c r="F768" s="10"/>
      <c r="G768" s="10"/>
      <c r="H768" s="10"/>
      <c r="I768" s="10"/>
      <c r="J768" s="10" t="s">
        <v>48</v>
      </c>
      <c r="K768" s="66">
        <f t="shared" ref="K768:Q768" si="166">K764/K765</f>
        <v>1953.3333333333333</v>
      </c>
      <c r="L768" s="66">
        <f t="shared" si="166"/>
        <v>4727.7250000000004</v>
      </c>
      <c r="M768" s="66">
        <f t="shared" si="166"/>
        <v>7701.4000000000005</v>
      </c>
      <c r="N768" s="66">
        <f t="shared" si="166"/>
        <v>5043.7924999999996</v>
      </c>
      <c r="O768" s="66" t="e">
        <f t="shared" si="166"/>
        <v>#DIV/0!</v>
      </c>
      <c r="P768" s="66">
        <f t="shared" si="166"/>
        <v>4860.7335714285718</v>
      </c>
      <c r="Q768" s="66" t="e">
        <f t="shared" si="166"/>
        <v>#DIV/0!</v>
      </c>
      <c r="R768" s="63"/>
      <c r="S768" s="10"/>
      <c r="T768" s="10"/>
      <c r="U768" s="17"/>
      <c r="V768" s="10"/>
      <c r="W768" s="10"/>
      <c r="X768" s="10"/>
    </row>
    <row r="769" spans="1:24">
      <c r="B769" s="11"/>
      <c r="C769" s="10"/>
      <c r="D769" s="10"/>
      <c r="E769" s="10"/>
      <c r="F769" s="10"/>
      <c r="G769" s="10"/>
      <c r="H769" s="10"/>
      <c r="I769" s="10"/>
      <c r="J769" s="10"/>
      <c r="K769" s="10"/>
      <c r="L769" s="10"/>
      <c r="M769" s="10"/>
      <c r="N769" s="10"/>
      <c r="O769" s="10"/>
      <c r="P769" s="10"/>
      <c r="Q769" s="10"/>
      <c r="R769" s="10"/>
      <c r="S769" s="10"/>
      <c r="T769" s="10"/>
      <c r="U769" s="17"/>
      <c r="V769" s="10"/>
      <c r="W769" s="10"/>
      <c r="X769" s="10"/>
    </row>
    <row r="770" spans="1:24">
      <c r="B770" s="11"/>
      <c r="C770" s="10"/>
      <c r="D770" s="10"/>
      <c r="E770" s="10"/>
      <c r="F770" s="10"/>
      <c r="G770" s="10"/>
      <c r="H770" s="10"/>
      <c r="I770" s="10"/>
      <c r="J770" s="10"/>
      <c r="K770" s="10"/>
      <c r="L770" s="10"/>
      <c r="M770" s="10"/>
      <c r="N770" s="10"/>
      <c r="O770" s="10"/>
      <c r="P770" s="10"/>
      <c r="Q770" s="10"/>
      <c r="R770" s="10"/>
      <c r="S770" s="10"/>
      <c r="T770" s="10"/>
      <c r="U770" s="17"/>
      <c r="V770" s="10"/>
      <c r="W770" s="10"/>
      <c r="X770" s="10"/>
    </row>
    <row r="771" spans="1:24">
      <c r="B771" s="18" t="s">
        <v>51</v>
      </c>
      <c r="C771" s="14"/>
      <c r="D771" s="14"/>
      <c r="E771" s="14"/>
      <c r="F771" s="13" t="s">
        <v>52</v>
      </c>
      <c r="G771" s="14"/>
      <c r="H771" s="14"/>
      <c r="I771" s="14"/>
      <c r="J771" s="14"/>
      <c r="K771" s="13" t="s">
        <v>3</v>
      </c>
      <c r="L771" s="14"/>
      <c r="M771" s="14"/>
      <c r="N771" s="13" t="s">
        <v>4</v>
      </c>
      <c r="O771" s="14"/>
      <c r="P771" s="14"/>
      <c r="Q771" s="13" t="s">
        <v>5</v>
      </c>
      <c r="R771" s="14"/>
      <c r="S771" s="14"/>
      <c r="T771" s="18"/>
      <c r="U771" s="16" t="s">
        <v>53</v>
      </c>
      <c r="V771" s="77"/>
      <c r="W771" s="77"/>
      <c r="X771" s="77"/>
    </row>
    <row r="772" spans="1:24">
      <c r="B772" s="24" t="s">
        <v>54</v>
      </c>
      <c r="C772" s="21" t="s">
        <v>55</v>
      </c>
      <c r="D772" s="21" t="s">
        <v>56</v>
      </c>
      <c r="E772" s="21" t="s">
        <v>57</v>
      </c>
      <c r="F772" s="20" t="s">
        <v>58</v>
      </c>
      <c r="G772" s="21" t="s">
        <v>59</v>
      </c>
      <c r="H772" s="21" t="s">
        <v>60</v>
      </c>
      <c r="I772" s="21" t="s">
        <v>26</v>
      </c>
      <c r="J772" s="22" t="s">
        <v>61</v>
      </c>
      <c r="K772" s="21" t="s">
        <v>8</v>
      </c>
      <c r="L772" s="21" t="s">
        <v>9</v>
      </c>
      <c r="M772" s="21" t="s">
        <v>10</v>
      </c>
      <c r="N772" s="20" t="s">
        <v>11</v>
      </c>
      <c r="O772" s="21" t="s">
        <v>12</v>
      </c>
      <c r="P772" s="22" t="s">
        <v>13</v>
      </c>
      <c r="Q772" s="21" t="s">
        <v>11</v>
      </c>
      <c r="R772" s="21" t="s">
        <v>12</v>
      </c>
      <c r="S772" s="21" t="s">
        <v>13</v>
      </c>
      <c r="T772" s="78" t="s">
        <v>14</v>
      </c>
      <c r="U772" s="30"/>
      <c r="V772" s="79" t="s">
        <v>62</v>
      </c>
      <c r="W772" s="80" t="s">
        <v>63</v>
      </c>
      <c r="X772" s="81" t="s">
        <v>64</v>
      </c>
    </row>
    <row r="773" spans="1:24">
      <c r="B773" s="4" t="s">
        <v>65</v>
      </c>
      <c r="C773" s="6"/>
      <c r="D773" s="6"/>
      <c r="E773" s="6"/>
      <c r="F773" s="6"/>
      <c r="G773" s="6"/>
      <c r="H773" s="6"/>
      <c r="I773" s="82"/>
      <c r="J773" s="6"/>
      <c r="K773" s="6"/>
      <c r="L773" s="6"/>
      <c r="M773" s="6"/>
      <c r="N773" s="6"/>
      <c r="O773" s="6"/>
      <c r="P773" s="6"/>
      <c r="Q773" s="6"/>
      <c r="R773" s="6"/>
      <c r="S773" s="6"/>
      <c r="T773" s="83"/>
      <c r="U773" s="6"/>
      <c r="V773" s="84"/>
      <c r="W773" s="85"/>
      <c r="X773" s="86"/>
    </row>
    <row r="774" spans="1:24">
      <c r="B774" s="87">
        <v>1</v>
      </c>
      <c r="C774" s="274">
        <v>45922</v>
      </c>
      <c r="D774" s="327">
        <v>73496</v>
      </c>
      <c r="E774" s="281" t="s">
        <v>1088</v>
      </c>
      <c r="F774" s="277">
        <f>2346-85</f>
        <v>2261</v>
      </c>
      <c r="G774" s="277">
        <f>39.7</f>
        <v>39.700000000000003</v>
      </c>
      <c r="H774" s="277"/>
      <c r="I774" s="321">
        <f t="shared" ref="I774" si="167">F774-G774-H774</f>
        <v>2221.3000000000002</v>
      </c>
      <c r="J774" s="279" t="s">
        <v>156</v>
      </c>
      <c r="K774" s="279">
        <v>1</v>
      </c>
      <c r="L774" s="322">
        <v>0</v>
      </c>
      <c r="M774" s="322">
        <v>0</v>
      </c>
      <c r="N774" s="279">
        <v>1</v>
      </c>
      <c r="O774" s="279">
        <v>1</v>
      </c>
      <c r="P774" s="322">
        <v>0</v>
      </c>
      <c r="Q774" s="322">
        <v>0</v>
      </c>
      <c r="R774" s="322">
        <v>0</v>
      </c>
      <c r="S774" s="328">
        <v>0</v>
      </c>
      <c r="T774" s="63"/>
      <c r="U774" s="10"/>
      <c r="V774" s="90">
        <f>93.5+250+2143.6</f>
        <v>2487.1</v>
      </c>
      <c r="W774" s="91"/>
      <c r="X774" s="92"/>
    </row>
    <row r="775" spans="1:24">
      <c r="B775" s="87">
        <f>B774+1</f>
        <v>2</v>
      </c>
      <c r="C775" s="262">
        <v>45923</v>
      </c>
      <c r="D775" s="263">
        <v>73538</v>
      </c>
      <c r="E775" s="271" t="s">
        <v>1319</v>
      </c>
      <c r="F775" s="265">
        <v>1138</v>
      </c>
      <c r="G775" s="265">
        <f>39.7</f>
        <v>39.700000000000003</v>
      </c>
      <c r="H775" s="265"/>
      <c r="I775" s="266">
        <f t="shared" ref="I775" si="168">F775-G775-H775</f>
        <v>1098.3</v>
      </c>
      <c r="J775" s="267" t="s">
        <v>156</v>
      </c>
      <c r="K775" s="267">
        <v>1</v>
      </c>
      <c r="L775" s="314">
        <v>0</v>
      </c>
      <c r="M775" s="314">
        <v>0</v>
      </c>
      <c r="N775" s="267">
        <v>1</v>
      </c>
      <c r="O775" s="267">
        <v>1</v>
      </c>
      <c r="P775" s="267">
        <v>1</v>
      </c>
      <c r="Q775" s="314">
        <v>0</v>
      </c>
      <c r="R775" s="314">
        <v>0</v>
      </c>
      <c r="S775" s="366">
        <v>0</v>
      </c>
      <c r="T775" s="63"/>
      <c r="U775" s="10" t="s">
        <v>3022</v>
      </c>
      <c r="V775" s="90">
        <f>120+1131.8</f>
        <v>1251.8</v>
      </c>
      <c r="W775" s="91"/>
      <c r="X775" s="92"/>
    </row>
    <row r="776" spans="1:24" s="260" customFormat="1">
      <c r="B776" s="87">
        <f>B775+1</f>
        <v>3</v>
      </c>
      <c r="C776" s="262">
        <v>45925</v>
      </c>
      <c r="D776" s="263">
        <v>73586</v>
      </c>
      <c r="E776" s="264" t="s">
        <v>1494</v>
      </c>
      <c r="F776" s="265">
        <v>1152.9000000000001</v>
      </c>
      <c r="G776" s="265">
        <f>39.7+(78.53)</f>
        <v>118.23</v>
      </c>
      <c r="H776" s="265"/>
      <c r="I776" s="266">
        <f>F776-G776-H776</f>
        <v>1034.67</v>
      </c>
      <c r="J776" s="267" t="s">
        <v>374</v>
      </c>
      <c r="K776" s="267">
        <v>1</v>
      </c>
      <c r="L776" s="267">
        <v>1</v>
      </c>
      <c r="M776" s="267">
        <v>1</v>
      </c>
      <c r="N776" s="267">
        <v>1</v>
      </c>
      <c r="O776" s="267">
        <v>1</v>
      </c>
      <c r="P776" s="267">
        <v>1</v>
      </c>
      <c r="Q776" s="267">
        <v>1</v>
      </c>
      <c r="R776" s="267">
        <v>1</v>
      </c>
      <c r="S776" s="366">
        <v>0</v>
      </c>
      <c r="T776" s="63"/>
      <c r="U776" s="10"/>
      <c r="V776" s="90">
        <f>1268.19</f>
        <v>1268.19</v>
      </c>
      <c r="W776" s="91"/>
      <c r="X776" s="92"/>
    </row>
    <row r="777" spans="1:24">
      <c r="B777" s="87"/>
      <c r="C777" s="36"/>
      <c r="D777" s="10"/>
      <c r="E777" s="10"/>
      <c r="F777" s="97">
        <f>SUM(F774:F776)</f>
        <v>4551.8999999999996</v>
      </c>
      <c r="G777" s="97">
        <f t="shared" ref="G777:I777" si="169">SUM(G774:G776)</f>
        <v>197.63</v>
      </c>
      <c r="H777" s="97">
        <f t="shared" si="169"/>
        <v>0</v>
      </c>
      <c r="I777" s="97">
        <f t="shared" si="169"/>
        <v>4354.2700000000004</v>
      </c>
      <c r="J777" s="63"/>
      <c r="K777" s="63">
        <f>COUNT(K774:K776)</f>
        <v>3</v>
      </c>
      <c r="L777" s="63">
        <f t="shared" ref="L777:S777" si="170">COUNT(L774:L776)</f>
        <v>3</v>
      </c>
      <c r="M777" s="63">
        <f t="shared" si="170"/>
        <v>3</v>
      </c>
      <c r="N777" s="63">
        <f t="shared" si="170"/>
        <v>3</v>
      </c>
      <c r="O777" s="63">
        <f t="shared" si="170"/>
        <v>3</v>
      </c>
      <c r="P777" s="63">
        <f t="shared" si="170"/>
        <v>3</v>
      </c>
      <c r="Q777" s="63">
        <f t="shared" si="170"/>
        <v>3</v>
      </c>
      <c r="R777" s="63">
        <f t="shared" si="170"/>
        <v>3</v>
      </c>
      <c r="S777" s="63">
        <f t="shared" si="170"/>
        <v>3</v>
      </c>
      <c r="T777" s="63"/>
      <c r="U777" s="10"/>
      <c r="V777" s="90"/>
      <c r="W777" s="91"/>
      <c r="X777" s="92"/>
    </row>
    <row r="778" spans="1:24">
      <c r="B778" s="87"/>
      <c r="C778" s="36"/>
      <c r="D778" s="10"/>
      <c r="E778" s="10"/>
      <c r="F778" s="88"/>
      <c r="G778" s="88"/>
      <c r="H778" s="88"/>
      <c r="I778" s="99"/>
      <c r="J778" s="63"/>
      <c r="K778" s="21">
        <f>SUM(K774:K776)</f>
        <v>3</v>
      </c>
      <c r="L778" s="21">
        <f t="shared" ref="L778:S778" si="171">SUM(L774:L776)</f>
        <v>1</v>
      </c>
      <c r="M778" s="21">
        <f t="shared" si="171"/>
        <v>1</v>
      </c>
      <c r="N778" s="21">
        <f t="shared" si="171"/>
        <v>3</v>
      </c>
      <c r="O778" s="21">
        <f t="shared" si="171"/>
        <v>3</v>
      </c>
      <c r="P778" s="21">
        <f t="shared" si="171"/>
        <v>2</v>
      </c>
      <c r="Q778" s="21">
        <f t="shared" si="171"/>
        <v>1</v>
      </c>
      <c r="R778" s="21">
        <f t="shared" si="171"/>
        <v>1</v>
      </c>
      <c r="S778" s="21">
        <f t="shared" si="171"/>
        <v>0</v>
      </c>
      <c r="T778" s="63"/>
      <c r="U778" s="10"/>
      <c r="V778" s="90"/>
      <c r="W778" s="91"/>
      <c r="X778" s="92"/>
    </row>
    <row r="779" spans="1:24">
      <c r="B779" s="11"/>
      <c r="C779" s="36"/>
      <c r="D779" s="10"/>
      <c r="E779" s="10"/>
      <c r="F779" s="88"/>
      <c r="G779" s="88"/>
      <c r="H779" s="88"/>
      <c r="I779" s="99"/>
      <c r="J779" s="63"/>
      <c r="K779" s="21"/>
      <c r="L779" s="21"/>
      <c r="M779" s="21"/>
      <c r="N779" s="21"/>
      <c r="O779" s="21"/>
      <c r="P779" s="21"/>
      <c r="Q779" s="21"/>
      <c r="R779" s="21"/>
      <c r="S779" s="21"/>
      <c r="T779" s="63"/>
      <c r="U779" s="10"/>
      <c r="V779" s="90"/>
      <c r="W779" s="91"/>
      <c r="X779" s="92"/>
    </row>
    <row r="780" spans="1:24">
      <c r="B780" s="121" t="s">
        <v>68</v>
      </c>
      <c r="C780" s="36"/>
      <c r="D780" s="123"/>
      <c r="E780" s="123"/>
      <c r="F780" s="124"/>
      <c r="G780" s="125"/>
      <c r="H780" s="124"/>
      <c r="I780" s="126"/>
      <c r="J780" s="127"/>
      <c r="K780" s="128"/>
      <c r="L780" s="128"/>
      <c r="M780" s="128"/>
      <c r="N780" s="128"/>
      <c r="O780" s="128"/>
      <c r="P780" s="128"/>
      <c r="Q780" s="128"/>
      <c r="R780" s="128"/>
      <c r="S780" s="128"/>
      <c r="T780" s="127"/>
      <c r="U780" s="123"/>
      <c r="V780" s="129"/>
      <c r="W780" s="130"/>
      <c r="X780" s="131"/>
    </row>
    <row r="781" spans="1:24" s="342" customFormat="1">
      <c r="B781" s="333">
        <v>1</v>
      </c>
      <c r="C781" s="334">
        <v>45922</v>
      </c>
      <c r="D781" s="327">
        <v>73507</v>
      </c>
      <c r="E781" s="335" t="s">
        <v>1028</v>
      </c>
      <c r="F781" s="336">
        <f>2546-85</f>
        <v>2461</v>
      </c>
      <c r="G781" s="336">
        <f>39.7+(20.1)+2000</f>
        <v>2059.8000000000002</v>
      </c>
      <c r="H781" s="336"/>
      <c r="I781" s="337">
        <f>F781-G781-H781</f>
        <v>401.19999999999982</v>
      </c>
      <c r="J781" s="338" t="s">
        <v>156</v>
      </c>
      <c r="K781" s="338">
        <v>1</v>
      </c>
      <c r="L781" s="338">
        <v>1</v>
      </c>
      <c r="M781" s="338">
        <v>1</v>
      </c>
      <c r="N781" s="338">
        <v>1</v>
      </c>
      <c r="O781" s="338">
        <v>1</v>
      </c>
      <c r="P781" s="322">
        <v>0</v>
      </c>
      <c r="Q781" s="322">
        <v>0</v>
      </c>
      <c r="R781" s="322">
        <v>0</v>
      </c>
      <c r="S781" s="328">
        <v>0</v>
      </c>
      <c r="T781" s="127"/>
      <c r="U781" s="135" t="s">
        <v>3023</v>
      </c>
      <c r="V781" s="129">
        <f>93.5+261.36</f>
        <v>354.86</v>
      </c>
      <c r="W781" s="130"/>
      <c r="X781" s="131"/>
    </row>
    <row r="782" spans="1:24" s="342" customFormat="1">
      <c r="B782" s="333">
        <f>B781+1</f>
        <v>2</v>
      </c>
      <c r="C782" s="395">
        <v>45922</v>
      </c>
      <c r="D782" s="368">
        <v>73523</v>
      </c>
      <c r="E782" s="396" t="s">
        <v>1283</v>
      </c>
      <c r="F782" s="397">
        <v>1138</v>
      </c>
      <c r="G782" s="397">
        <f>39.7</f>
        <v>39.700000000000003</v>
      </c>
      <c r="H782" s="397"/>
      <c r="I782" s="398">
        <f t="shared" ref="I782" si="172">F782-G782-H782</f>
        <v>1098.3</v>
      </c>
      <c r="J782" s="399" t="s">
        <v>156</v>
      </c>
      <c r="K782" s="399">
        <v>1</v>
      </c>
      <c r="L782" s="399">
        <v>1</v>
      </c>
      <c r="M782" s="332">
        <v>0</v>
      </c>
      <c r="N782" s="399">
        <v>1</v>
      </c>
      <c r="O782" s="399">
        <v>1</v>
      </c>
      <c r="P782" s="399">
        <v>1</v>
      </c>
      <c r="Q782" s="332">
        <v>0</v>
      </c>
      <c r="R782" s="332">
        <v>0</v>
      </c>
      <c r="S782" s="370">
        <v>0</v>
      </c>
      <c r="T782" s="127"/>
      <c r="U782" s="135" t="s">
        <v>3024</v>
      </c>
      <c r="V782" s="129">
        <f>1131.8</f>
        <v>1131.8</v>
      </c>
      <c r="W782" s="130"/>
      <c r="X782" s="131"/>
    </row>
    <row r="783" spans="1:24" s="342" customFormat="1">
      <c r="A783" s="342" t="s">
        <v>3025</v>
      </c>
      <c r="B783" s="333">
        <f>B782+1</f>
        <v>3</v>
      </c>
      <c r="C783" s="345">
        <v>45923</v>
      </c>
      <c r="D783" s="323">
        <v>73576</v>
      </c>
      <c r="E783" s="123" t="s">
        <v>1284</v>
      </c>
      <c r="F783" s="125">
        <v>3744.9</v>
      </c>
      <c r="G783" s="125">
        <f>39.7+(43.69)</f>
        <v>83.39</v>
      </c>
      <c r="H783" s="125"/>
      <c r="I783" s="347">
        <f>F783-G783-H783</f>
        <v>3661.51</v>
      </c>
      <c r="J783" s="127" t="s">
        <v>156</v>
      </c>
      <c r="K783" s="127">
        <v>1</v>
      </c>
      <c r="L783" s="127">
        <v>1</v>
      </c>
      <c r="M783" s="127">
        <v>1</v>
      </c>
      <c r="N783" s="127">
        <v>1</v>
      </c>
      <c r="O783" s="127">
        <v>1</v>
      </c>
      <c r="P783" s="127">
        <v>1</v>
      </c>
      <c r="Q783" s="325">
        <v>0</v>
      </c>
      <c r="R783" s="325">
        <v>0</v>
      </c>
      <c r="S783" s="326">
        <v>0</v>
      </c>
      <c r="T783" s="127"/>
      <c r="U783" s="135" t="s">
        <v>3026</v>
      </c>
      <c r="V783" s="129">
        <f>400+1200</f>
        <v>1600</v>
      </c>
      <c r="W783" s="130"/>
      <c r="X783" s="131"/>
    </row>
    <row r="784" spans="1:24" s="342" customFormat="1">
      <c r="A784" s="572">
        <v>45924</v>
      </c>
      <c r="B784" s="333">
        <f>B783+1</f>
        <v>4</v>
      </c>
      <c r="C784" s="345">
        <v>45923</v>
      </c>
      <c r="D784" s="323">
        <v>73570</v>
      </c>
      <c r="E784" s="123" t="s">
        <v>1169</v>
      </c>
      <c r="F784" s="125">
        <v>5814</v>
      </c>
      <c r="G784" s="125">
        <f>39.7+(1396.24)+250</f>
        <v>1685.94</v>
      </c>
      <c r="H784" s="125"/>
      <c r="I784" s="347">
        <f>F784-G784-H784</f>
        <v>4128.0599999999995</v>
      </c>
      <c r="J784" s="127" t="s">
        <v>150</v>
      </c>
      <c r="K784" s="127">
        <v>1</v>
      </c>
      <c r="L784" s="127">
        <v>1</v>
      </c>
      <c r="M784" s="127">
        <v>1</v>
      </c>
      <c r="N784" s="127">
        <v>1</v>
      </c>
      <c r="O784" s="127">
        <v>1</v>
      </c>
      <c r="P784" s="325">
        <v>0</v>
      </c>
      <c r="Q784" s="325">
        <v>0</v>
      </c>
      <c r="R784" s="325">
        <v>0</v>
      </c>
      <c r="S784" s="326">
        <v>0</v>
      </c>
      <c r="T784" s="127"/>
      <c r="U784" s="135" t="s">
        <v>3027</v>
      </c>
      <c r="V784" s="129">
        <v>0</v>
      </c>
      <c r="W784" s="711">
        <f>700</f>
        <v>700</v>
      </c>
      <c r="X784" s="131"/>
    </row>
    <row r="785" spans="1:24" s="342" customFormat="1">
      <c r="B785" s="333">
        <f>B784+1</f>
        <v>5</v>
      </c>
      <c r="C785" s="334">
        <v>45924</v>
      </c>
      <c r="D785" s="327">
        <v>73530</v>
      </c>
      <c r="E785" s="394" t="s">
        <v>1088</v>
      </c>
      <c r="F785" s="336">
        <v>1138</v>
      </c>
      <c r="G785" s="336">
        <f>39.7</f>
        <v>39.700000000000003</v>
      </c>
      <c r="H785" s="336"/>
      <c r="I785" s="337">
        <f t="shared" ref="I785:I786" si="173">F785-G785-H785</f>
        <v>1098.3</v>
      </c>
      <c r="J785" s="338" t="s">
        <v>156</v>
      </c>
      <c r="K785" s="338">
        <v>1</v>
      </c>
      <c r="L785" s="338">
        <v>1</v>
      </c>
      <c r="M785" s="338">
        <v>1</v>
      </c>
      <c r="N785" s="338">
        <v>1</v>
      </c>
      <c r="O785" s="338">
        <v>1</v>
      </c>
      <c r="P785" s="338">
        <v>1</v>
      </c>
      <c r="Q785" s="338">
        <v>1</v>
      </c>
      <c r="R785" s="322">
        <v>0</v>
      </c>
      <c r="S785" s="328">
        <v>0</v>
      </c>
      <c r="T785" s="127"/>
      <c r="U785" s="123" t="s">
        <v>3028</v>
      </c>
      <c r="V785" s="129">
        <f>120</f>
        <v>120</v>
      </c>
      <c r="W785" s="130"/>
      <c r="X785" s="131"/>
    </row>
    <row r="786" spans="1:24" s="381" customFormat="1">
      <c r="A786" s="381" t="s">
        <v>259</v>
      </c>
      <c r="B786" s="372">
        <f>B785+1</f>
        <v>6</v>
      </c>
      <c r="C786" s="453">
        <v>45925</v>
      </c>
      <c r="D786" s="368">
        <v>73673</v>
      </c>
      <c r="E786" s="700" t="s">
        <v>1260</v>
      </c>
      <c r="F786" s="428">
        <v>481</v>
      </c>
      <c r="G786" s="428"/>
      <c r="H786" s="428"/>
      <c r="I786" s="331">
        <f t="shared" si="173"/>
        <v>481</v>
      </c>
      <c r="J786" s="332"/>
      <c r="K786" s="332">
        <v>1</v>
      </c>
      <c r="L786" s="332">
        <v>0</v>
      </c>
      <c r="M786" s="332"/>
      <c r="N786" s="332">
        <v>1</v>
      </c>
      <c r="O786" s="332">
        <v>1</v>
      </c>
      <c r="P786" s="332">
        <v>0</v>
      </c>
      <c r="Q786" s="332">
        <v>1</v>
      </c>
      <c r="R786" s="332">
        <v>1</v>
      </c>
      <c r="S786" s="370">
        <v>1</v>
      </c>
      <c r="T786" s="325"/>
      <c r="U786" s="42"/>
      <c r="V786" s="377"/>
      <c r="W786" s="378"/>
      <c r="X786" s="393"/>
    </row>
    <row r="787" spans="1:24">
      <c r="B787" s="132"/>
      <c r="C787" s="36"/>
      <c r="D787" s="123"/>
      <c r="E787" s="123"/>
      <c r="F787" s="134">
        <f>SUM(F781:F786)</f>
        <v>14776.9</v>
      </c>
      <c r="G787" s="134">
        <f>SUM(G781:G786)</f>
        <v>3908.5299999999997</v>
      </c>
      <c r="H787" s="134">
        <f>SUM(H781:H786)</f>
        <v>0</v>
      </c>
      <c r="I787" s="134">
        <f>SUM(I781:I786)</f>
        <v>10868.369999999999</v>
      </c>
      <c r="J787" s="127"/>
      <c r="K787" s="64"/>
      <c r="L787" s="64"/>
      <c r="M787" s="64"/>
      <c r="N787" s="64"/>
      <c r="O787" s="64"/>
      <c r="P787" s="64"/>
      <c r="Q787" s="64"/>
      <c r="R787" s="64"/>
      <c r="S787" s="64"/>
      <c r="T787" s="127"/>
      <c r="U787" s="123"/>
      <c r="V787" s="129"/>
      <c r="W787" s="130"/>
      <c r="X787" s="131"/>
    </row>
    <row r="788" spans="1:24">
      <c r="B788" s="11"/>
      <c r="C788" s="36"/>
      <c r="D788" s="10"/>
      <c r="E788" s="10"/>
      <c r="F788" s="88"/>
      <c r="G788" s="88"/>
      <c r="H788" s="88"/>
      <c r="I788" s="99"/>
      <c r="J788" s="63"/>
      <c r="K788" s="21"/>
      <c r="L788" s="21"/>
      <c r="M788" s="21"/>
      <c r="N788" s="21"/>
      <c r="O788" s="21"/>
      <c r="P788" s="21"/>
      <c r="Q788" s="21"/>
      <c r="R788" s="21"/>
      <c r="S788" s="21"/>
      <c r="T788" s="63"/>
      <c r="U788" s="10"/>
      <c r="V788" s="90"/>
      <c r="W788" s="91"/>
      <c r="X788" s="92"/>
    </row>
    <row r="789" spans="1:24">
      <c r="B789" s="121" t="s">
        <v>70</v>
      </c>
      <c r="C789" s="36"/>
      <c r="D789" s="123"/>
      <c r="E789" s="128"/>
      <c r="F789" s="124"/>
      <c r="G789" s="124"/>
      <c r="H789" s="124"/>
      <c r="I789" s="126"/>
      <c r="J789" s="127"/>
      <c r="K789" s="64"/>
      <c r="L789" s="64"/>
      <c r="M789" s="64"/>
      <c r="N789" s="64"/>
      <c r="O789" s="64"/>
      <c r="P789" s="64"/>
      <c r="Q789" s="64"/>
      <c r="R789" s="64"/>
      <c r="S789" s="64"/>
      <c r="T789" s="127"/>
      <c r="U789" s="135"/>
      <c r="V789" s="129"/>
      <c r="W789" s="130"/>
      <c r="X789" s="131"/>
    </row>
    <row r="790" spans="1:24" s="342" customFormat="1">
      <c r="B790" s="333">
        <v>1</v>
      </c>
      <c r="C790" s="334">
        <v>45923</v>
      </c>
      <c r="D790" s="327">
        <v>73565</v>
      </c>
      <c r="E790" s="335" t="s">
        <v>1169</v>
      </c>
      <c r="F790" s="336">
        <v>8214</v>
      </c>
      <c r="G790" s="336">
        <f>39.7+(74.04+29.42)+(174.85)+750</f>
        <v>1068.01</v>
      </c>
      <c r="H790" s="336"/>
      <c r="I790" s="337">
        <f>F790-G790-H790</f>
        <v>7145.99</v>
      </c>
      <c r="J790" s="338" t="s">
        <v>156</v>
      </c>
      <c r="K790" s="338">
        <v>1</v>
      </c>
      <c r="L790" s="338"/>
      <c r="M790" s="338">
        <v>1</v>
      </c>
      <c r="N790" s="338">
        <v>1</v>
      </c>
      <c r="O790" s="338">
        <v>1</v>
      </c>
      <c r="P790" s="322">
        <v>0</v>
      </c>
      <c r="Q790" s="338"/>
      <c r="R790" s="338"/>
      <c r="S790" s="339"/>
      <c r="T790" s="127"/>
      <c r="U790" s="135" t="s">
        <v>3029</v>
      </c>
      <c r="V790" s="129">
        <f>800+800</f>
        <v>1600</v>
      </c>
      <c r="W790" s="340"/>
      <c r="X790" s="341"/>
    </row>
    <row r="791" spans="1:24" s="342" customFormat="1">
      <c r="B791" s="333">
        <f>B790+1</f>
        <v>2</v>
      </c>
      <c r="C791" s="334">
        <v>45924</v>
      </c>
      <c r="D791" s="327">
        <v>73656</v>
      </c>
      <c r="E791" s="335" t="s">
        <v>1115</v>
      </c>
      <c r="F791" s="336">
        <f>3046-185</f>
        <v>2861</v>
      </c>
      <c r="G791" s="336">
        <f>39.7</f>
        <v>39.700000000000003</v>
      </c>
      <c r="H791" s="336"/>
      <c r="I791" s="337">
        <f>F791-G791-H791</f>
        <v>2821.3</v>
      </c>
      <c r="J791" s="338" t="s">
        <v>156</v>
      </c>
      <c r="K791" s="338">
        <v>1</v>
      </c>
      <c r="L791" s="338"/>
      <c r="M791" s="338">
        <v>1</v>
      </c>
      <c r="N791" s="338">
        <v>1</v>
      </c>
      <c r="O791" s="338">
        <v>1</v>
      </c>
      <c r="P791" s="322">
        <v>0</v>
      </c>
      <c r="Q791" s="338"/>
      <c r="R791" s="338"/>
      <c r="S791" s="339"/>
      <c r="T791" s="127"/>
      <c r="U791" s="135" t="s">
        <v>3030</v>
      </c>
      <c r="V791" s="129">
        <f>203.5</f>
        <v>203.5</v>
      </c>
      <c r="W791" s="340"/>
      <c r="X791" s="341"/>
    </row>
    <row r="792" spans="1:24" s="342" customFormat="1">
      <c r="B792" s="333">
        <f t="shared" ref="B792:B793" si="174">B791+1</f>
        <v>3</v>
      </c>
      <c r="C792" s="345">
        <v>45924</v>
      </c>
      <c r="D792" s="323" t="s">
        <v>3031</v>
      </c>
      <c r="E792" s="123" t="s">
        <v>1115</v>
      </c>
      <c r="F792" s="125">
        <v>19105.2</v>
      </c>
      <c r="G792" s="125">
        <f>39.7+35.17+(70.09)+1500</f>
        <v>1644.96</v>
      </c>
      <c r="H792" s="125"/>
      <c r="I792" s="347">
        <f>F792-G792-H792</f>
        <v>17460.240000000002</v>
      </c>
      <c r="J792" s="127" t="s">
        <v>156</v>
      </c>
      <c r="K792" s="127">
        <v>1</v>
      </c>
      <c r="L792" s="127"/>
      <c r="M792" s="127">
        <v>1</v>
      </c>
      <c r="N792" s="127">
        <v>1</v>
      </c>
      <c r="O792" s="127">
        <v>1</v>
      </c>
      <c r="P792" s="127">
        <v>1</v>
      </c>
      <c r="Q792" s="127"/>
      <c r="R792" s="127"/>
      <c r="S792" s="349"/>
      <c r="T792" s="127"/>
      <c r="U792" s="135" t="s">
        <v>3032</v>
      </c>
      <c r="V792" s="129">
        <f>1500</f>
        <v>1500</v>
      </c>
      <c r="W792" s="340"/>
      <c r="X792" s="341"/>
    </row>
    <row r="793" spans="1:24" s="342" customFormat="1">
      <c r="B793" s="333">
        <f t="shared" si="174"/>
        <v>4</v>
      </c>
      <c r="C793" s="334">
        <v>45925</v>
      </c>
      <c r="D793" s="327" t="s">
        <v>3033</v>
      </c>
      <c r="E793" s="394" t="s">
        <v>1169</v>
      </c>
      <c r="F793" s="336">
        <v>12727.27</v>
      </c>
      <c r="G793" s="336">
        <f>39.7+(290.29)+1000</f>
        <v>1329.99</v>
      </c>
      <c r="H793" s="336"/>
      <c r="I793" s="337">
        <f t="shared" ref="I793:I794" si="175">F793-G793-H793</f>
        <v>11397.28</v>
      </c>
      <c r="J793" s="338"/>
      <c r="K793" s="338">
        <v>1</v>
      </c>
      <c r="L793" s="338"/>
      <c r="M793" s="338"/>
      <c r="N793" s="338">
        <v>1</v>
      </c>
      <c r="O793" s="338">
        <v>1</v>
      </c>
      <c r="P793" s="338">
        <v>1</v>
      </c>
      <c r="Q793" s="338"/>
      <c r="R793" s="338"/>
      <c r="S793" s="339"/>
      <c r="T793" s="127"/>
      <c r="U793" s="135" t="s">
        <v>3034</v>
      </c>
      <c r="V793" s="129"/>
      <c r="W793" s="340"/>
      <c r="X793" s="341"/>
    </row>
    <row r="794" spans="1:24" s="381" customFormat="1">
      <c r="A794" s="381" t="s">
        <v>259</v>
      </c>
      <c r="B794" s="372">
        <f>B793+1</f>
        <v>5</v>
      </c>
      <c r="C794" s="453">
        <v>45925</v>
      </c>
      <c r="D794" s="368">
        <v>73687</v>
      </c>
      <c r="E794" s="700" t="s">
        <v>1773</v>
      </c>
      <c r="F794" s="428">
        <v>5814</v>
      </c>
      <c r="G794" s="428">
        <f>39.7+(1078.94+19.5)+250</f>
        <v>1388.14</v>
      </c>
      <c r="H794" s="428"/>
      <c r="I794" s="331">
        <f t="shared" si="175"/>
        <v>4425.8599999999997</v>
      </c>
      <c r="J794" s="332"/>
      <c r="K794" s="332">
        <v>1</v>
      </c>
      <c r="L794" s="332"/>
      <c r="M794" s="332"/>
      <c r="N794" s="332">
        <v>1</v>
      </c>
      <c r="O794" s="332">
        <v>1</v>
      </c>
      <c r="P794" s="332">
        <v>0</v>
      </c>
      <c r="Q794" s="332"/>
      <c r="R794" s="332"/>
      <c r="S794" s="370"/>
      <c r="T794" s="325"/>
      <c r="U794" s="42" t="s">
        <v>3035</v>
      </c>
      <c r="V794" s="377"/>
      <c r="W794" s="392"/>
      <c r="X794" s="379"/>
    </row>
    <row r="795" spans="1:24">
      <c r="B795" s="132"/>
      <c r="C795" s="36"/>
      <c r="D795" s="123"/>
      <c r="E795" s="123"/>
      <c r="F795" s="134">
        <f>SUM(F790:F794)</f>
        <v>48721.47</v>
      </c>
      <c r="G795" s="134">
        <f>SUM(G790:G794)</f>
        <v>5470.8</v>
      </c>
      <c r="H795" s="134">
        <f>SUM(H790:H794)</f>
        <v>0</v>
      </c>
      <c r="I795" s="134">
        <f>SUM(I790:I794)</f>
        <v>43250.670000000006</v>
      </c>
      <c r="J795" s="127"/>
      <c r="K795" s="64"/>
      <c r="L795" s="64"/>
      <c r="M795" s="64"/>
      <c r="N795" s="64"/>
      <c r="O795" s="64"/>
      <c r="P795" s="64"/>
      <c r="Q795" s="64"/>
      <c r="R795" s="64"/>
      <c r="S795" s="64"/>
      <c r="T795" s="127"/>
      <c r="U795" s="135"/>
      <c r="V795" s="129"/>
      <c r="W795" s="130"/>
      <c r="X795" s="131"/>
    </row>
    <row r="796" spans="1:24">
      <c r="B796" s="11"/>
      <c r="C796" s="36"/>
      <c r="D796" s="10"/>
      <c r="E796" s="10"/>
      <c r="F796" s="88"/>
      <c r="G796" s="88"/>
      <c r="H796" s="88"/>
      <c r="I796" s="99"/>
      <c r="J796" s="10"/>
      <c r="K796" s="63"/>
      <c r="L796" s="63"/>
      <c r="M796" s="63"/>
      <c r="N796" s="63"/>
      <c r="O796" s="63"/>
      <c r="P796" s="63"/>
      <c r="Q796" s="63"/>
      <c r="R796" s="63"/>
      <c r="S796" s="63"/>
      <c r="T796" s="63"/>
      <c r="U796" s="94"/>
      <c r="V796" s="90"/>
      <c r="W796" s="91"/>
      <c r="X796" s="92"/>
    </row>
    <row r="797" spans="1:24" s="342" customFormat="1">
      <c r="B797" s="100" t="s">
        <v>152</v>
      </c>
      <c r="C797" s="122"/>
      <c r="D797" s="123"/>
      <c r="E797" s="123"/>
      <c r="F797" s="124"/>
      <c r="G797" s="125"/>
      <c r="H797" s="124"/>
      <c r="I797" s="126"/>
      <c r="J797" s="127"/>
      <c r="K797" s="128"/>
      <c r="L797" s="128"/>
      <c r="M797" s="128"/>
      <c r="N797" s="128"/>
      <c r="O797" s="128"/>
      <c r="P797" s="128"/>
      <c r="Q797" s="128"/>
      <c r="R797" s="128"/>
      <c r="S797" s="128"/>
      <c r="T797" s="127"/>
      <c r="U797" s="123"/>
      <c r="V797" s="129"/>
      <c r="W797" s="130"/>
      <c r="X797" s="131"/>
    </row>
    <row r="798" spans="1:24" s="260" customFormat="1">
      <c r="A798" s="494">
        <v>0.05</v>
      </c>
      <c r="B798" s="87">
        <v>1</v>
      </c>
      <c r="C798" s="262">
        <v>45866</v>
      </c>
      <c r="D798" s="263">
        <v>71800</v>
      </c>
      <c r="E798" s="271" t="s">
        <v>2823</v>
      </c>
      <c r="F798" s="265">
        <v>6214</v>
      </c>
      <c r="G798" s="265">
        <f>39.7+(1288.73)+250</f>
        <v>1578.43</v>
      </c>
      <c r="H798" s="265"/>
      <c r="I798" s="266">
        <f>F798-G798-H798</f>
        <v>4635.57</v>
      </c>
      <c r="J798" s="267" t="s">
        <v>156</v>
      </c>
      <c r="K798" s="267">
        <v>1</v>
      </c>
      <c r="L798" s="314">
        <v>0</v>
      </c>
      <c r="M798" s="267">
        <v>1</v>
      </c>
      <c r="N798" s="267">
        <v>1</v>
      </c>
      <c r="O798" s="267">
        <v>1</v>
      </c>
      <c r="P798" s="314">
        <v>0</v>
      </c>
      <c r="Q798" s="314">
        <v>0</v>
      </c>
      <c r="R798" s="314">
        <v>0</v>
      </c>
      <c r="S798" s="366">
        <v>0</v>
      </c>
      <c r="T798" s="63"/>
      <c r="U798" s="94" t="s">
        <v>2930</v>
      </c>
      <c r="V798" s="90"/>
      <c r="W798" s="136"/>
      <c r="X798" s="92"/>
    </row>
    <row r="799" spans="1:24" s="260" customFormat="1">
      <c r="A799" s="260" t="s">
        <v>619</v>
      </c>
      <c r="B799" s="87">
        <f>B798+1</f>
        <v>2</v>
      </c>
      <c r="C799" s="262">
        <v>45866</v>
      </c>
      <c r="D799" s="263">
        <v>71787</v>
      </c>
      <c r="E799" s="271" t="s">
        <v>1338</v>
      </c>
      <c r="F799" s="265">
        <v>28614</v>
      </c>
      <c r="G799" s="265">
        <f>39.7+1424.2+(474.48+162.31+289.19+9.1+8.29-78.88)+(F799*0.25)</f>
        <v>9481.89</v>
      </c>
      <c r="H799" s="265"/>
      <c r="I799" s="266">
        <f>F799-G799-H799</f>
        <v>19132.11</v>
      </c>
      <c r="J799" s="267" t="s">
        <v>374</v>
      </c>
      <c r="K799" s="267">
        <v>1</v>
      </c>
      <c r="L799" s="267">
        <v>1</v>
      </c>
      <c r="M799" s="267">
        <v>1</v>
      </c>
      <c r="N799" s="267">
        <v>1</v>
      </c>
      <c r="O799" s="267">
        <v>1</v>
      </c>
      <c r="P799" s="314">
        <v>0</v>
      </c>
      <c r="Q799" s="314">
        <v>0</v>
      </c>
      <c r="R799" s="314">
        <v>0</v>
      </c>
      <c r="S799" s="366">
        <v>0</v>
      </c>
      <c r="T799" s="63"/>
      <c r="U799" s="94" t="s">
        <v>2852</v>
      </c>
      <c r="V799" s="90"/>
      <c r="W799" s="136"/>
      <c r="X799" s="137"/>
    </row>
    <row r="800" spans="1:24" s="260" customFormat="1">
      <c r="A800" s="261" t="s">
        <v>619</v>
      </c>
      <c r="B800" s="87">
        <f>B799+1</f>
        <v>3</v>
      </c>
      <c r="C800" s="274">
        <v>45873</v>
      </c>
      <c r="D800" s="327">
        <v>71967</v>
      </c>
      <c r="E800" s="281" t="s">
        <v>1256</v>
      </c>
      <c r="F800" s="277">
        <v>2681</v>
      </c>
      <c r="G800" s="277">
        <f>39.7+(189.05)+(15.38)+200</f>
        <v>444.13</v>
      </c>
      <c r="H800" s="277"/>
      <c r="I800" s="321">
        <f>F800-G800-H800</f>
        <v>2236.87</v>
      </c>
      <c r="J800" s="279" t="s">
        <v>374</v>
      </c>
      <c r="K800" s="279">
        <v>1</v>
      </c>
      <c r="L800" s="279">
        <v>1</v>
      </c>
      <c r="M800" s="279">
        <v>1</v>
      </c>
      <c r="N800" s="279">
        <v>1</v>
      </c>
      <c r="O800" s="279">
        <v>1</v>
      </c>
      <c r="P800" s="322">
        <v>0</v>
      </c>
      <c r="Q800" s="279">
        <v>1</v>
      </c>
      <c r="R800" s="279">
        <v>1</v>
      </c>
      <c r="S800" s="280">
        <v>1</v>
      </c>
      <c r="T800" s="63"/>
      <c r="U800" s="10" t="s">
        <v>2851</v>
      </c>
      <c r="V800" s="90"/>
      <c r="W800" s="91"/>
      <c r="X800" s="92"/>
    </row>
    <row r="801" spans="1:25" s="260" customFormat="1">
      <c r="A801" s="181" t="s">
        <v>619</v>
      </c>
      <c r="B801" s="87">
        <f>B800+1</f>
        <v>4</v>
      </c>
      <c r="C801" s="262">
        <v>45881</v>
      </c>
      <c r="D801" s="263">
        <v>72270</v>
      </c>
      <c r="E801" s="271" t="s">
        <v>1120</v>
      </c>
      <c r="F801" s="265">
        <f>11380-2000</f>
        <v>9380</v>
      </c>
      <c r="G801" s="265">
        <f>39.7+(227.91)+300</f>
        <v>567.61</v>
      </c>
      <c r="H801" s="265"/>
      <c r="I801" s="266">
        <f>F801-G801-H801</f>
        <v>8812.39</v>
      </c>
      <c r="J801" s="267" t="s">
        <v>156</v>
      </c>
      <c r="K801" s="267">
        <v>1</v>
      </c>
      <c r="L801" s="267">
        <v>1</v>
      </c>
      <c r="M801" s="267">
        <v>1</v>
      </c>
      <c r="N801" s="267">
        <v>1</v>
      </c>
      <c r="O801" s="267">
        <v>1</v>
      </c>
      <c r="P801" s="314">
        <v>0</v>
      </c>
      <c r="Q801" s="314">
        <v>0</v>
      </c>
      <c r="R801" s="314">
        <v>0</v>
      </c>
      <c r="S801" s="366">
        <v>0</v>
      </c>
      <c r="T801" s="63"/>
      <c r="U801" s="94" t="s">
        <v>2872</v>
      </c>
      <c r="V801" s="90"/>
      <c r="W801" s="136"/>
      <c r="X801" s="137"/>
    </row>
    <row r="802" spans="1:25" s="260" customFormat="1">
      <c r="A802" s="261" t="s">
        <v>2542</v>
      </c>
      <c r="B802" s="87">
        <f>B801+1</f>
        <v>5</v>
      </c>
      <c r="C802" s="274">
        <v>45890</v>
      </c>
      <c r="D802" s="327">
        <v>72522</v>
      </c>
      <c r="E802" s="276" t="s">
        <v>1169</v>
      </c>
      <c r="F802" s="277">
        <v>3122</v>
      </c>
      <c r="G802" s="277">
        <f>39.7+877.8+(521.76+88.09)+200</f>
        <v>1727.35</v>
      </c>
      <c r="H802" s="277"/>
      <c r="I802" s="321">
        <f>F802-G802-H802</f>
        <v>1394.65</v>
      </c>
      <c r="J802" s="279" t="s">
        <v>156</v>
      </c>
      <c r="K802" s="279">
        <v>1</v>
      </c>
      <c r="L802" s="279">
        <v>1</v>
      </c>
      <c r="M802" s="279">
        <v>1</v>
      </c>
      <c r="N802" s="279">
        <v>1</v>
      </c>
      <c r="O802" s="279">
        <v>1</v>
      </c>
      <c r="P802" s="279">
        <v>1</v>
      </c>
      <c r="Q802" s="279">
        <v>1</v>
      </c>
      <c r="R802" s="322">
        <v>0</v>
      </c>
      <c r="S802" s="328">
        <v>0</v>
      </c>
      <c r="T802" s="63"/>
      <c r="U802" s="10" t="s">
        <v>2931</v>
      </c>
      <c r="V802" s="90"/>
      <c r="W802" s="136"/>
      <c r="X802" s="137"/>
    </row>
    <row r="803" spans="1:25" s="260" customFormat="1">
      <c r="A803" s="261">
        <v>0.05</v>
      </c>
      <c r="B803" s="87">
        <f>B802+1</f>
        <v>6</v>
      </c>
      <c r="C803" s="282">
        <v>45890</v>
      </c>
      <c r="D803" s="368">
        <v>72515</v>
      </c>
      <c r="E803" s="283" t="s">
        <v>1058</v>
      </c>
      <c r="F803" s="284">
        <v>2575</v>
      </c>
      <c r="G803" s="284">
        <v>39.700000000000003</v>
      </c>
      <c r="H803" s="315"/>
      <c r="I803" s="300">
        <f>F803-G803-H803</f>
        <v>2535.3000000000002</v>
      </c>
      <c r="J803" s="286" t="s">
        <v>374</v>
      </c>
      <c r="K803" s="286">
        <v>1</v>
      </c>
      <c r="L803" s="286">
        <v>1</v>
      </c>
      <c r="M803" s="286">
        <v>1</v>
      </c>
      <c r="N803" s="286">
        <v>1</v>
      </c>
      <c r="O803" s="286">
        <v>1</v>
      </c>
      <c r="P803" s="286">
        <v>1</v>
      </c>
      <c r="Q803" s="286">
        <v>1</v>
      </c>
      <c r="R803" s="332">
        <v>0</v>
      </c>
      <c r="S803" s="370">
        <v>0</v>
      </c>
      <c r="T803" s="63"/>
      <c r="U803" s="10" t="s">
        <v>2895</v>
      </c>
      <c r="V803" s="90"/>
      <c r="W803" s="91"/>
      <c r="X803" s="92"/>
    </row>
    <row r="804" spans="1:25" s="260" customFormat="1">
      <c r="A804" s="261">
        <v>0.05</v>
      </c>
      <c r="B804" s="87">
        <f>B803+1</f>
        <v>7</v>
      </c>
      <c r="C804" s="262">
        <v>45896</v>
      </c>
      <c r="D804" s="490" t="s">
        <v>2926</v>
      </c>
      <c r="E804" s="271" t="s">
        <v>2919</v>
      </c>
      <c r="F804" s="265">
        <f>8213.2-800-900</f>
        <v>6513.2000000000007</v>
      </c>
      <c r="G804" s="265">
        <f>39.7+(13+1388.11)+750</f>
        <v>2190.81</v>
      </c>
      <c r="H804" s="265"/>
      <c r="I804" s="266">
        <f>F804-G804-H804</f>
        <v>4322.3900000000012</v>
      </c>
      <c r="J804" s="267" t="s">
        <v>228</v>
      </c>
      <c r="K804" s="267">
        <v>1</v>
      </c>
      <c r="L804" s="314">
        <v>0</v>
      </c>
      <c r="M804" s="267">
        <v>1</v>
      </c>
      <c r="N804" s="267">
        <v>1</v>
      </c>
      <c r="O804" s="267">
        <v>1</v>
      </c>
      <c r="P804" s="314">
        <v>0</v>
      </c>
      <c r="Q804" s="267">
        <v>1</v>
      </c>
      <c r="R804" s="314">
        <v>0</v>
      </c>
      <c r="S804" s="366">
        <v>0</v>
      </c>
      <c r="T804" s="21"/>
      <c r="U804" s="94" t="s">
        <v>2927</v>
      </c>
      <c r="V804" s="90"/>
      <c r="W804" s="91"/>
      <c r="X804" s="92"/>
    </row>
    <row r="805" spans="1:25" s="260" customFormat="1">
      <c r="A805" s="181" t="s">
        <v>2542</v>
      </c>
      <c r="B805" s="87">
        <f>B804+1</f>
        <v>8</v>
      </c>
      <c r="C805" s="262">
        <v>45897</v>
      </c>
      <c r="D805" s="263">
        <v>72735</v>
      </c>
      <c r="E805" s="271" t="s">
        <v>1169</v>
      </c>
      <c r="F805" s="265">
        <v>2916</v>
      </c>
      <c r="G805" s="265">
        <f>39.7+(177.31+59.74+254.1)+300</f>
        <v>830.85</v>
      </c>
      <c r="H805" s="265"/>
      <c r="I805" s="266">
        <f>F805-G805-H805</f>
        <v>2085.15</v>
      </c>
      <c r="J805" s="267" t="s">
        <v>156</v>
      </c>
      <c r="K805" s="267">
        <v>1</v>
      </c>
      <c r="L805" s="267">
        <v>1</v>
      </c>
      <c r="M805" s="267">
        <v>1</v>
      </c>
      <c r="N805" s="267">
        <v>1</v>
      </c>
      <c r="O805" s="267">
        <v>1</v>
      </c>
      <c r="P805" s="267">
        <v>1</v>
      </c>
      <c r="Q805" s="267">
        <v>1</v>
      </c>
      <c r="R805" s="267">
        <v>1</v>
      </c>
      <c r="S805" s="366">
        <v>0</v>
      </c>
      <c r="T805" s="63"/>
      <c r="U805" s="94" t="s">
        <v>2929</v>
      </c>
      <c r="V805" s="90"/>
      <c r="W805" s="136"/>
      <c r="X805" s="137"/>
    </row>
    <row r="806" spans="1:25" s="260" customFormat="1">
      <c r="A806" s="261">
        <v>0.05</v>
      </c>
      <c r="B806" s="87">
        <f>B805+1</f>
        <v>9</v>
      </c>
      <c r="C806" s="262">
        <v>45896</v>
      </c>
      <c r="D806" s="263">
        <v>72711</v>
      </c>
      <c r="E806" s="271" t="s">
        <v>1494</v>
      </c>
      <c r="F806" s="265">
        <v>2792</v>
      </c>
      <c r="G806" s="265">
        <f>+(85.41)</f>
        <v>85.41</v>
      </c>
      <c r="H806" s="265"/>
      <c r="I806" s="266">
        <f>F806-G806-H806</f>
        <v>2706.59</v>
      </c>
      <c r="J806" s="267" t="s">
        <v>156</v>
      </c>
      <c r="K806" s="267">
        <v>1</v>
      </c>
      <c r="L806" s="314">
        <v>0</v>
      </c>
      <c r="M806" s="267">
        <v>1</v>
      </c>
      <c r="N806" s="267">
        <v>1</v>
      </c>
      <c r="O806" s="267">
        <v>1</v>
      </c>
      <c r="P806" s="314">
        <v>0</v>
      </c>
      <c r="Q806" s="314">
        <v>0</v>
      </c>
      <c r="R806" s="314">
        <v>0</v>
      </c>
      <c r="S806" s="366">
        <v>0</v>
      </c>
      <c r="T806" s="63"/>
      <c r="U806" s="94" t="s">
        <v>2928</v>
      </c>
      <c r="V806" s="90"/>
      <c r="W806" s="136"/>
      <c r="X806" s="137"/>
    </row>
    <row r="807" spans="1:25" s="260" customFormat="1">
      <c r="A807" s="494">
        <v>0.05</v>
      </c>
      <c r="B807" s="87">
        <f>B806+1</f>
        <v>10</v>
      </c>
      <c r="C807" s="274">
        <v>45910</v>
      </c>
      <c r="D807" s="327">
        <v>73185</v>
      </c>
      <c r="E807" s="276" t="s">
        <v>1319</v>
      </c>
      <c r="F807" s="277">
        <v>1674.9</v>
      </c>
      <c r="G807" s="277">
        <f>39.7+544.5</f>
        <v>584.20000000000005</v>
      </c>
      <c r="H807" s="297"/>
      <c r="I807" s="321">
        <f>F807-G807-H807</f>
        <v>1090.7</v>
      </c>
      <c r="J807" s="279" t="s">
        <v>150</v>
      </c>
      <c r="K807" s="279">
        <v>1</v>
      </c>
      <c r="L807" s="279">
        <v>1</v>
      </c>
      <c r="M807" s="322">
        <v>0</v>
      </c>
      <c r="N807" s="279">
        <v>1</v>
      </c>
      <c r="O807" s="279">
        <v>1</v>
      </c>
      <c r="P807" s="279">
        <v>1</v>
      </c>
      <c r="Q807" s="322">
        <v>0</v>
      </c>
      <c r="R807" s="322">
        <v>0</v>
      </c>
      <c r="S807" s="328">
        <v>0</v>
      </c>
      <c r="T807" s="63"/>
      <c r="U807" s="10" t="s">
        <v>3013</v>
      </c>
      <c r="V807" s="90"/>
      <c r="W807" s="91"/>
      <c r="X807" s="92"/>
      <c r="Y807" s="181"/>
    </row>
    <row r="808" spans="1:25" s="260" customFormat="1">
      <c r="A808" s="260" t="s">
        <v>619</v>
      </c>
      <c r="B808" s="87">
        <f>B807+1</f>
        <v>11</v>
      </c>
      <c r="C808" s="262">
        <v>45911</v>
      </c>
      <c r="D808" s="263" t="s">
        <v>2976</v>
      </c>
      <c r="E808" s="271" t="s">
        <v>1045</v>
      </c>
      <c r="F808" s="265">
        <f>585-85</f>
        <v>500</v>
      </c>
      <c r="G808" s="265"/>
      <c r="H808" s="365"/>
      <c r="I808" s="266">
        <f>F808-G808-H808</f>
        <v>500</v>
      </c>
      <c r="J808" s="267" t="s">
        <v>156</v>
      </c>
      <c r="K808" s="267">
        <v>1</v>
      </c>
      <c r="L808" s="267">
        <v>1</v>
      </c>
      <c r="M808" s="267">
        <v>1</v>
      </c>
      <c r="N808" s="267">
        <v>1</v>
      </c>
      <c r="O808" s="267">
        <v>1</v>
      </c>
      <c r="P808" s="267">
        <v>1</v>
      </c>
      <c r="Q808" s="267">
        <v>1</v>
      </c>
      <c r="R808" s="314">
        <v>0</v>
      </c>
      <c r="S808" s="269">
        <v>1</v>
      </c>
      <c r="T808" s="63"/>
      <c r="U808" s="10"/>
      <c r="V808" s="90"/>
      <c r="W808" s="91"/>
      <c r="X808" s="92"/>
      <c r="Y808" s="181"/>
    </row>
    <row r="809" spans="1:25" s="260" customFormat="1">
      <c r="B809" s="11"/>
      <c r="C809" s="36"/>
      <c r="D809" s="10"/>
      <c r="E809" s="10"/>
      <c r="F809" s="98">
        <f ca="1">SUM(F798:F817)</f>
        <v>79796.099999999991</v>
      </c>
      <c r="G809" s="98">
        <f ca="1">SUM(G798:G817)</f>
        <v>19254.04</v>
      </c>
      <c r="H809" s="98">
        <f ca="1">SUM(H798:H817)</f>
        <v>0</v>
      </c>
      <c r="I809" s="98">
        <f ca="1">SUM(I798:I817)</f>
        <v>60542.06</v>
      </c>
      <c r="J809" s="63"/>
      <c r="K809" s="21"/>
      <c r="L809" s="21"/>
      <c r="M809" s="21"/>
      <c r="N809" s="21"/>
      <c r="O809" s="21"/>
      <c r="P809" s="21"/>
      <c r="Q809" s="21"/>
      <c r="R809" s="21"/>
      <c r="S809" s="21"/>
      <c r="T809" s="63"/>
      <c r="U809" s="10"/>
      <c r="V809" s="90"/>
      <c r="W809" s="91"/>
      <c r="X809" s="92"/>
    </row>
    <row r="810" spans="1:25" s="260" customFormat="1">
      <c r="B810" s="11"/>
      <c r="C810" s="36"/>
      <c r="D810" s="10"/>
      <c r="E810" s="10"/>
      <c r="F810" s="88"/>
      <c r="G810" s="88"/>
      <c r="H810" s="88"/>
      <c r="I810" s="99"/>
      <c r="J810" s="63"/>
      <c r="K810" s="21"/>
      <c r="L810" s="21"/>
      <c r="M810" s="21"/>
      <c r="N810" s="21"/>
      <c r="O810" s="21"/>
      <c r="P810" s="21"/>
      <c r="Q810" s="21"/>
      <c r="R810" s="21"/>
      <c r="S810" s="21"/>
      <c r="T810" s="63"/>
      <c r="U810" s="10"/>
      <c r="V810" s="90"/>
      <c r="W810" s="91"/>
      <c r="X810" s="92"/>
    </row>
    <row r="811" spans="1:25" s="260" customFormat="1">
      <c r="A811" s="181"/>
      <c r="B811" s="100" t="s">
        <v>202</v>
      </c>
      <c r="C811" s="36"/>
      <c r="D811" s="10"/>
      <c r="E811" s="181"/>
      <c r="F811" s="88"/>
      <c r="G811" s="88"/>
      <c r="H811" s="88"/>
      <c r="I811" s="99"/>
      <c r="J811" s="63"/>
      <c r="K811" s="21"/>
      <c r="L811" s="21"/>
      <c r="M811" s="21"/>
      <c r="N811" s="21"/>
      <c r="O811" s="21"/>
      <c r="P811" s="21"/>
      <c r="Q811" s="21"/>
      <c r="R811" s="21"/>
      <c r="S811" s="21"/>
      <c r="T811" s="63"/>
      <c r="U811" s="94"/>
      <c r="V811" s="90"/>
      <c r="W811" s="91"/>
      <c r="X811" s="92"/>
    </row>
    <row r="812" spans="1:25" s="260" customFormat="1">
      <c r="A812" s="261">
        <v>0.05</v>
      </c>
      <c r="B812" s="87">
        <v>1</v>
      </c>
      <c r="C812" s="274">
        <v>45880</v>
      </c>
      <c r="D812" s="327">
        <v>72052</v>
      </c>
      <c r="E812" s="276" t="s">
        <v>1047</v>
      </c>
      <c r="F812" s="277">
        <v>2000</v>
      </c>
      <c r="G812" s="277">
        <f>39.7+300</f>
        <v>339.7</v>
      </c>
      <c r="H812" s="277"/>
      <c r="I812" s="321">
        <f>F812-G812-H812</f>
        <v>1660.3</v>
      </c>
      <c r="J812" s="279" t="s">
        <v>150</v>
      </c>
      <c r="K812" s="279">
        <v>1</v>
      </c>
      <c r="L812" s="279"/>
      <c r="M812" s="322">
        <v>0</v>
      </c>
      <c r="N812" s="279">
        <v>1</v>
      </c>
      <c r="O812" s="279">
        <v>1</v>
      </c>
      <c r="P812" s="279">
        <v>1</v>
      </c>
      <c r="Q812" s="279"/>
      <c r="R812" s="279"/>
      <c r="S812" s="280"/>
      <c r="T812" s="63"/>
      <c r="U812" s="94" t="s">
        <v>2902</v>
      </c>
      <c r="V812" s="90"/>
      <c r="W812" s="136"/>
      <c r="X812" s="137"/>
    </row>
    <row r="813" spans="1:25" s="260" customFormat="1">
      <c r="A813" s="261">
        <v>0.05</v>
      </c>
      <c r="B813" s="87">
        <f>B812+1</f>
        <v>2</v>
      </c>
      <c r="C813" s="274">
        <v>45884</v>
      </c>
      <c r="D813" s="327">
        <v>72342</v>
      </c>
      <c r="E813" s="276" t="s">
        <v>1231</v>
      </c>
      <c r="F813" s="277">
        <v>2215</v>
      </c>
      <c r="G813" s="277">
        <f>39.7</f>
        <v>39.700000000000003</v>
      </c>
      <c r="H813" s="277"/>
      <c r="I813" s="321">
        <f>F813-G813-H813</f>
        <v>2175.3000000000002</v>
      </c>
      <c r="J813" s="279" t="s">
        <v>156</v>
      </c>
      <c r="K813" s="279">
        <v>1</v>
      </c>
      <c r="L813" s="279"/>
      <c r="M813" s="279">
        <v>1</v>
      </c>
      <c r="N813" s="279">
        <v>1</v>
      </c>
      <c r="O813" s="279">
        <v>1</v>
      </c>
      <c r="P813" s="322">
        <v>0</v>
      </c>
      <c r="Q813" s="279"/>
      <c r="R813" s="279"/>
      <c r="S813" s="280"/>
      <c r="T813" s="63"/>
      <c r="U813" s="94"/>
      <c r="V813" s="90"/>
      <c r="W813" s="136"/>
      <c r="X813" s="137"/>
    </row>
    <row r="814" spans="1:25" s="260" customFormat="1">
      <c r="A814" s="261">
        <v>0.05</v>
      </c>
      <c r="B814" s="87">
        <f>B813+1</f>
        <v>3</v>
      </c>
      <c r="C814" s="262">
        <v>45890</v>
      </c>
      <c r="D814" s="357" t="s">
        <v>2899</v>
      </c>
      <c r="E814" s="271" t="s">
        <v>1058</v>
      </c>
      <c r="F814" s="265">
        <v>59586</v>
      </c>
      <c r="G814" s="265">
        <f>39.7+(117.24+344.15+121.94+185.08+231.75+13.3+541.6+324.42+190.2+7.67)+(141.77+494.21+630.04+1692.3+195.23+846.26)+(F814*0.25)</f>
        <v>21013.360000000001</v>
      </c>
      <c r="H814" s="365"/>
      <c r="I814" s="272">
        <f>F814-G814-H814</f>
        <v>38572.639999999999</v>
      </c>
      <c r="J814" s="267" t="s">
        <v>374</v>
      </c>
      <c r="K814" s="267">
        <v>1</v>
      </c>
      <c r="L814" s="267"/>
      <c r="M814" s="267"/>
      <c r="N814" s="267">
        <v>1</v>
      </c>
      <c r="O814" s="267">
        <v>1</v>
      </c>
      <c r="P814" s="267">
        <v>1</v>
      </c>
      <c r="Q814" s="267"/>
      <c r="R814" s="267"/>
      <c r="S814" s="269"/>
      <c r="T814" s="63"/>
      <c r="U814" s="10" t="s">
        <v>3036</v>
      </c>
      <c r="V814" s="90"/>
      <c r="W814" s="136"/>
      <c r="X814" s="137"/>
    </row>
    <row r="815" spans="1:25" s="260" customFormat="1">
      <c r="A815" s="494">
        <v>0.05</v>
      </c>
      <c r="B815" s="87">
        <f>B814+1</f>
        <v>4</v>
      </c>
      <c r="C815" s="262">
        <v>45905</v>
      </c>
      <c r="D815" s="263" t="s">
        <v>2957</v>
      </c>
      <c r="E815" s="264" t="s">
        <v>1256</v>
      </c>
      <c r="F815" s="265">
        <v>12814</v>
      </c>
      <c r="G815" s="265">
        <f>39.7+96+(87+78.53+78.52+29.64+5.14+37.28+270.17+82.7)+(196.98)+1000</f>
        <v>2001.66</v>
      </c>
      <c r="H815" s="265"/>
      <c r="I815" s="272">
        <f>F815-G815-H815</f>
        <v>10812.34</v>
      </c>
      <c r="J815" s="267" t="s">
        <v>156</v>
      </c>
      <c r="K815" s="267">
        <v>1</v>
      </c>
      <c r="L815" s="267"/>
      <c r="M815" s="267">
        <v>1</v>
      </c>
      <c r="N815" s="267">
        <v>1</v>
      </c>
      <c r="O815" s="267">
        <v>1</v>
      </c>
      <c r="P815" s="267">
        <v>1</v>
      </c>
      <c r="Q815" s="267"/>
      <c r="R815" s="267"/>
      <c r="S815" s="269"/>
      <c r="T815" s="63"/>
      <c r="U815" s="94" t="s">
        <v>3015</v>
      </c>
      <c r="V815" s="90"/>
      <c r="W815" s="136"/>
      <c r="X815" s="137"/>
    </row>
    <row r="816" spans="1:25" s="260" customFormat="1">
      <c r="A816" s="494">
        <v>0.05</v>
      </c>
      <c r="B816" s="87">
        <f>B815+1</f>
        <v>5</v>
      </c>
      <c r="C816" s="262">
        <v>45910</v>
      </c>
      <c r="D816" s="263">
        <v>73205</v>
      </c>
      <c r="E816" s="271" t="s">
        <v>1058</v>
      </c>
      <c r="F816" s="265">
        <v>14049</v>
      </c>
      <c r="G816" s="265">
        <f>39.7+(795.1)+1000</f>
        <v>1834.8000000000002</v>
      </c>
      <c r="H816" s="265"/>
      <c r="I816" s="272">
        <f>F816-G816-H816</f>
        <v>12214.2</v>
      </c>
      <c r="J816" s="267" t="s">
        <v>374</v>
      </c>
      <c r="K816" s="267">
        <v>1</v>
      </c>
      <c r="L816" s="267"/>
      <c r="M816" s="267">
        <v>1</v>
      </c>
      <c r="N816" s="267">
        <v>1</v>
      </c>
      <c r="O816" s="267">
        <v>1</v>
      </c>
      <c r="P816" s="267">
        <v>1</v>
      </c>
      <c r="Q816" s="267"/>
      <c r="R816" s="267"/>
      <c r="S816" s="269"/>
      <c r="T816" s="63"/>
      <c r="U816" s="94" t="s">
        <v>2980</v>
      </c>
      <c r="V816" s="90"/>
      <c r="W816" s="136"/>
      <c r="X816" s="137"/>
      <c r="Y816" s="181"/>
    </row>
    <row r="817" spans="1:24" s="260" customFormat="1">
      <c r="A817" s="261">
        <v>0.05</v>
      </c>
      <c r="B817" s="87">
        <f>B816+1</f>
        <v>6</v>
      </c>
      <c r="C817" s="262">
        <v>45915</v>
      </c>
      <c r="D817" s="263" t="s">
        <v>3009</v>
      </c>
      <c r="E817" s="271" t="s">
        <v>1047</v>
      </c>
      <c r="F817" s="265">
        <v>12814</v>
      </c>
      <c r="G817" s="265">
        <f>39.7+40+292+(140.32+64.57)+(41.36+105.71)+1000</f>
        <v>1723.6599999999999</v>
      </c>
      <c r="H817" s="265"/>
      <c r="I817" s="266">
        <f>F817-G817-H817</f>
        <v>11090.34</v>
      </c>
      <c r="J817" s="267" t="s">
        <v>150</v>
      </c>
      <c r="K817" s="267">
        <v>1</v>
      </c>
      <c r="L817" s="267">
        <v>1</v>
      </c>
      <c r="M817" s="267">
        <v>1</v>
      </c>
      <c r="N817" s="267">
        <v>1</v>
      </c>
      <c r="O817" s="267">
        <v>1</v>
      </c>
      <c r="P817" s="314">
        <v>0</v>
      </c>
      <c r="Q817" s="314">
        <v>0</v>
      </c>
      <c r="R817" s="314">
        <v>0</v>
      </c>
      <c r="S817" s="366">
        <v>0</v>
      </c>
      <c r="T817" s="63"/>
      <c r="U817" s="94" t="s">
        <v>3010</v>
      </c>
      <c r="V817" s="90"/>
      <c r="W817" s="136"/>
      <c r="X817" s="92"/>
    </row>
    <row r="818" spans="1:24" s="260" customFormat="1">
      <c r="A818" s="181"/>
      <c r="B818" s="11"/>
      <c r="C818" s="36"/>
      <c r="D818" s="10"/>
      <c r="E818" s="10"/>
      <c r="F818" s="97">
        <f>SUM(F812:F817)</f>
        <v>103478</v>
      </c>
      <c r="G818" s="97">
        <f t="shared" ref="G818:I818" si="176">SUM(G812:G817)</f>
        <v>26952.880000000001</v>
      </c>
      <c r="H818" s="97">
        <f t="shared" si="176"/>
        <v>0</v>
      </c>
      <c r="I818" s="97">
        <f t="shared" si="176"/>
        <v>76525.119999999995</v>
      </c>
      <c r="J818" s="63"/>
      <c r="K818" s="21"/>
      <c r="L818" s="21"/>
      <c r="M818" s="21"/>
      <c r="N818" s="21"/>
      <c r="O818" s="21"/>
      <c r="P818" s="21"/>
      <c r="Q818" s="21"/>
      <c r="R818" s="21"/>
      <c r="S818" s="21"/>
      <c r="T818" s="63"/>
      <c r="U818" s="94"/>
      <c r="V818" s="90"/>
      <c r="W818" s="91"/>
      <c r="X818" s="92"/>
    </row>
    <row r="819" spans="1:24">
      <c r="A819" s="2"/>
      <c r="B819" s="11"/>
      <c r="C819" s="36"/>
      <c r="D819" s="10"/>
      <c r="E819" s="10"/>
      <c r="F819" s="88"/>
      <c r="G819" s="88"/>
      <c r="H819" s="88"/>
      <c r="I819" s="99"/>
      <c r="J819" s="63"/>
      <c r="K819" s="21"/>
      <c r="L819" s="21"/>
      <c r="M819" s="21"/>
      <c r="N819" s="21"/>
      <c r="O819" s="21"/>
      <c r="P819" s="21"/>
      <c r="Q819" s="21"/>
      <c r="R819" s="21"/>
      <c r="S819" s="21"/>
      <c r="T819" s="63"/>
      <c r="U819" s="94"/>
      <c r="V819" s="90"/>
      <c r="W819" s="91"/>
      <c r="X819" s="92"/>
    </row>
    <row r="820" spans="1:24">
      <c r="B820" s="100" t="s">
        <v>72</v>
      </c>
      <c r="C820" s="609"/>
      <c r="D820" s="10"/>
      <c r="E820" s="10"/>
      <c r="F820" s="88"/>
      <c r="G820" s="88"/>
      <c r="H820" s="88"/>
      <c r="I820" s="99"/>
      <c r="J820" s="63"/>
      <c r="K820" s="63"/>
      <c r="L820" s="63"/>
      <c r="M820" s="63"/>
      <c r="N820" s="63"/>
      <c r="O820" s="63"/>
      <c r="P820" s="63"/>
      <c r="Q820" s="63"/>
      <c r="R820" s="63"/>
      <c r="S820" s="63"/>
      <c r="T820" s="63"/>
      <c r="U820" s="10"/>
      <c r="V820" s="90"/>
      <c r="W820" s="91"/>
      <c r="X820" s="92"/>
    </row>
    <row r="821" spans="1:24">
      <c r="B821" s="87">
        <v>1</v>
      </c>
      <c r="C821" s="274">
        <v>45922</v>
      </c>
      <c r="D821" s="276">
        <v>73493</v>
      </c>
      <c r="E821" s="276" t="s">
        <v>1088</v>
      </c>
      <c r="F821" s="277">
        <v>0</v>
      </c>
      <c r="G821" s="277"/>
      <c r="H821" s="277"/>
      <c r="I821" s="278">
        <f t="shared" ref="I821:I833" si="177">F821-G821-H821</f>
        <v>0</v>
      </c>
      <c r="J821" s="279" t="s">
        <v>810</v>
      </c>
      <c r="K821" s="279"/>
      <c r="L821" s="279"/>
      <c r="M821" s="279"/>
      <c r="N821" s="279"/>
      <c r="O821" s="279"/>
      <c r="P821" s="279"/>
      <c r="Q821" s="279"/>
      <c r="R821" s="279"/>
      <c r="S821" s="280"/>
      <c r="T821" s="63"/>
      <c r="U821" s="3"/>
      <c r="V821" s="90"/>
      <c r="W821" s="91"/>
      <c r="X821" s="92"/>
    </row>
    <row r="822" spans="1:24">
      <c r="B822" s="87">
        <f t="shared" ref="B822:B833" si="178">B821+1</f>
        <v>2</v>
      </c>
      <c r="C822" s="295">
        <v>45922</v>
      </c>
      <c r="D822" s="10" t="s">
        <v>3037</v>
      </c>
      <c r="E822" s="101" t="s">
        <v>1088</v>
      </c>
      <c r="F822" s="62">
        <v>4419</v>
      </c>
      <c r="G822" s="62">
        <v>39.700000000000003</v>
      </c>
      <c r="H822" s="62"/>
      <c r="I822" s="89">
        <f t="shared" si="177"/>
        <v>4379.3</v>
      </c>
      <c r="J822" s="63" t="s">
        <v>205</v>
      </c>
      <c r="K822" s="63">
        <v>1</v>
      </c>
      <c r="L822" s="63"/>
      <c r="M822" s="63"/>
      <c r="N822" s="63">
        <v>1</v>
      </c>
      <c r="O822" s="63"/>
      <c r="P822" s="63"/>
      <c r="Q822" s="63"/>
      <c r="R822" s="63"/>
      <c r="S822" s="296"/>
      <c r="T822" s="63"/>
      <c r="U822" s="10"/>
      <c r="V822" s="90"/>
      <c r="W822" s="136"/>
      <c r="X822" s="137"/>
    </row>
    <row r="823" spans="1:24">
      <c r="B823" s="87">
        <f t="shared" si="178"/>
        <v>3</v>
      </c>
      <c r="C823" s="295">
        <v>45922</v>
      </c>
      <c r="D823" s="10">
        <v>73532</v>
      </c>
      <c r="E823" s="10" t="s">
        <v>1284</v>
      </c>
      <c r="F823" s="62">
        <v>1114.2</v>
      </c>
      <c r="G823" s="62">
        <v>39.700000000000003</v>
      </c>
      <c r="H823" s="62"/>
      <c r="I823" s="89">
        <f t="shared" si="177"/>
        <v>1074.5</v>
      </c>
      <c r="J823" s="63" t="s">
        <v>205</v>
      </c>
      <c r="K823" s="63">
        <v>1</v>
      </c>
      <c r="L823" s="63"/>
      <c r="M823" s="63"/>
      <c r="N823" s="63">
        <v>1</v>
      </c>
      <c r="O823" s="63"/>
      <c r="P823" s="63"/>
      <c r="Q823" s="63">
        <v>1</v>
      </c>
      <c r="R823" s="63">
        <v>1</v>
      </c>
      <c r="S823" s="296"/>
      <c r="T823" s="63"/>
      <c r="U823" s="10"/>
      <c r="V823" s="90"/>
      <c r="W823" s="136"/>
      <c r="X823" s="137"/>
    </row>
    <row r="824" spans="1:24">
      <c r="B824" s="87">
        <f t="shared" si="178"/>
        <v>4</v>
      </c>
      <c r="C824" s="295">
        <v>45922</v>
      </c>
      <c r="D824" s="10">
        <v>73550</v>
      </c>
      <c r="E824" s="10" t="s">
        <v>446</v>
      </c>
      <c r="F824" s="62">
        <f>3046-185</f>
        <v>2861</v>
      </c>
      <c r="G824" s="62">
        <f>39.7</f>
        <v>39.700000000000003</v>
      </c>
      <c r="H824" s="62"/>
      <c r="I824" s="89">
        <f t="shared" si="177"/>
        <v>2821.3</v>
      </c>
      <c r="J824" s="63" t="s">
        <v>156</v>
      </c>
      <c r="K824" s="63">
        <v>1</v>
      </c>
      <c r="L824" s="63"/>
      <c r="M824" s="63">
        <v>1</v>
      </c>
      <c r="N824" s="63">
        <v>1</v>
      </c>
      <c r="O824" s="63"/>
      <c r="P824" s="63"/>
      <c r="Q824" s="63"/>
      <c r="R824" s="63"/>
      <c r="S824" s="296"/>
      <c r="T824" s="63"/>
      <c r="U824" s="10"/>
      <c r="V824" s="90">
        <v>203.5</v>
      </c>
      <c r="W824" s="136"/>
      <c r="X824" s="137"/>
    </row>
    <row r="825" spans="1:24">
      <c r="B825" s="87">
        <f t="shared" si="178"/>
        <v>5</v>
      </c>
      <c r="C825" s="295">
        <v>45922</v>
      </c>
      <c r="D825" s="10">
        <v>73521</v>
      </c>
      <c r="E825" s="10" t="s">
        <v>1047</v>
      </c>
      <c r="F825" s="62">
        <v>0</v>
      </c>
      <c r="G825" s="62">
        <v>0</v>
      </c>
      <c r="H825" s="62"/>
      <c r="I825" s="89">
        <f t="shared" si="177"/>
        <v>0</v>
      </c>
      <c r="J825" s="63" t="s">
        <v>205</v>
      </c>
      <c r="K825" s="63"/>
      <c r="L825" s="63"/>
      <c r="M825" s="63"/>
      <c r="N825" s="63"/>
      <c r="O825" s="63"/>
      <c r="P825" s="63"/>
      <c r="Q825" s="63"/>
      <c r="R825" s="63"/>
      <c r="S825" s="296"/>
      <c r="T825" s="63"/>
      <c r="U825" s="10"/>
      <c r="V825" s="90"/>
      <c r="W825" s="136"/>
      <c r="X825" s="137"/>
    </row>
    <row r="826" spans="1:24">
      <c r="B826" s="87">
        <f t="shared" si="178"/>
        <v>6</v>
      </c>
      <c r="C826" s="274">
        <v>45923</v>
      </c>
      <c r="D826" s="276">
        <v>73542</v>
      </c>
      <c r="E826" s="281" t="s">
        <v>1098</v>
      </c>
      <c r="F826" s="277">
        <v>421</v>
      </c>
      <c r="G826" s="277"/>
      <c r="H826" s="277"/>
      <c r="I826" s="278">
        <f t="shared" si="177"/>
        <v>421</v>
      </c>
      <c r="J826" s="279" t="s">
        <v>205</v>
      </c>
      <c r="K826" s="279">
        <v>1</v>
      </c>
      <c r="L826" s="279"/>
      <c r="M826" s="279"/>
      <c r="N826" s="279">
        <v>1</v>
      </c>
      <c r="O826" s="279"/>
      <c r="P826" s="279"/>
      <c r="Q826" s="279">
        <v>1</v>
      </c>
      <c r="R826" s="279">
        <v>1</v>
      </c>
      <c r="S826" s="280"/>
      <c r="T826" s="63"/>
      <c r="U826" s="10"/>
      <c r="V826" s="90"/>
      <c r="W826" s="136"/>
      <c r="X826" s="137"/>
    </row>
    <row r="827" spans="1:24">
      <c r="B827" s="87">
        <f t="shared" si="178"/>
        <v>7</v>
      </c>
      <c r="C827" s="295">
        <v>45923</v>
      </c>
      <c r="D827" s="10" t="s">
        <v>3038</v>
      </c>
      <c r="E827" s="101" t="s">
        <v>1319</v>
      </c>
      <c r="F827" s="62">
        <v>42618</v>
      </c>
      <c r="G827" s="62">
        <v>39.700000000000003</v>
      </c>
      <c r="H827" s="62"/>
      <c r="I827" s="89">
        <f t="shared" si="177"/>
        <v>42578.3</v>
      </c>
      <c r="J827" s="63" t="s">
        <v>205</v>
      </c>
      <c r="K827" s="63">
        <v>1</v>
      </c>
      <c r="L827" s="63"/>
      <c r="M827" s="63"/>
      <c r="N827" s="63">
        <v>1</v>
      </c>
      <c r="O827" s="63"/>
      <c r="P827" s="63"/>
      <c r="Q827" s="63"/>
      <c r="R827" s="63"/>
      <c r="S827" s="296"/>
      <c r="T827" s="63"/>
      <c r="U827" s="10"/>
      <c r="V827" s="90"/>
      <c r="W827" s="136"/>
      <c r="X827" s="137"/>
    </row>
    <row r="828" spans="1:24">
      <c r="B828" s="87">
        <f t="shared" si="178"/>
        <v>8</v>
      </c>
      <c r="C828" s="274">
        <v>45924</v>
      </c>
      <c r="D828" s="276">
        <v>73626</v>
      </c>
      <c r="E828" s="281" t="s">
        <v>1283</v>
      </c>
      <c r="F828" s="277">
        <v>14306.9</v>
      </c>
      <c r="G828" s="277">
        <f>39.7</f>
        <v>39.700000000000003</v>
      </c>
      <c r="H828" s="277"/>
      <c r="I828" s="278">
        <f t="shared" si="177"/>
        <v>14267.199999999999</v>
      </c>
      <c r="J828" s="279" t="s">
        <v>205</v>
      </c>
      <c r="K828" s="279">
        <v>1</v>
      </c>
      <c r="L828" s="279"/>
      <c r="M828" s="279"/>
      <c r="N828" s="279">
        <v>1</v>
      </c>
      <c r="O828" s="279"/>
      <c r="P828" s="279"/>
      <c r="Q828" s="279"/>
      <c r="R828" s="279"/>
      <c r="S828" s="280"/>
      <c r="T828" s="63"/>
      <c r="U828" s="10"/>
      <c r="V828" s="90"/>
      <c r="W828" s="136"/>
      <c r="X828" s="137"/>
    </row>
    <row r="829" spans="1:24">
      <c r="B829" s="87">
        <f t="shared" si="178"/>
        <v>9</v>
      </c>
      <c r="C829" s="295">
        <v>45924</v>
      </c>
      <c r="D829" s="10" t="s">
        <v>3039</v>
      </c>
      <c r="E829" s="101" t="s">
        <v>1088</v>
      </c>
      <c r="F829" s="62">
        <v>8614</v>
      </c>
      <c r="G829" s="62">
        <v>39.700000000000003</v>
      </c>
      <c r="H829" s="62"/>
      <c r="I829" s="89">
        <f t="shared" si="177"/>
        <v>8574.2999999999993</v>
      </c>
      <c r="J829" s="63" t="s">
        <v>205</v>
      </c>
      <c r="K829" s="63">
        <v>1</v>
      </c>
      <c r="L829" s="63"/>
      <c r="M829" s="63"/>
      <c r="N829" s="63">
        <v>1</v>
      </c>
      <c r="O829" s="63"/>
      <c r="P829" s="63"/>
      <c r="Q829" s="63"/>
      <c r="R829" s="63"/>
      <c r="S829" s="296"/>
      <c r="T829" s="63"/>
      <c r="U829" s="10"/>
      <c r="V829" s="90"/>
      <c r="W829" s="136"/>
      <c r="X829" s="137"/>
    </row>
    <row r="830" spans="1:24">
      <c r="B830" s="87">
        <f t="shared" si="178"/>
        <v>10</v>
      </c>
      <c r="C830" s="295">
        <v>45924</v>
      </c>
      <c r="D830" s="10" t="s">
        <v>3040</v>
      </c>
      <c r="E830" s="101" t="s">
        <v>1088</v>
      </c>
      <c r="F830" s="62">
        <v>7752.6</v>
      </c>
      <c r="G830" s="62">
        <v>39.700000000000003</v>
      </c>
      <c r="H830" s="62"/>
      <c r="I830" s="89">
        <f t="shared" si="177"/>
        <v>7712.9000000000005</v>
      </c>
      <c r="J830" s="63" t="s">
        <v>205</v>
      </c>
      <c r="K830" s="63">
        <v>1</v>
      </c>
      <c r="L830" s="63"/>
      <c r="M830" s="63"/>
      <c r="N830" s="63">
        <v>1</v>
      </c>
      <c r="O830" s="63"/>
      <c r="P830" s="63"/>
      <c r="Q830" s="63"/>
      <c r="R830" s="63"/>
      <c r="S830" s="296"/>
      <c r="T830" s="63"/>
      <c r="U830" s="10"/>
      <c r="V830" s="90"/>
      <c r="W830" s="136"/>
      <c r="X830" s="137"/>
    </row>
    <row r="831" spans="1:24">
      <c r="B831" s="87">
        <f t="shared" si="178"/>
        <v>11</v>
      </c>
      <c r="C831" s="295">
        <v>45924</v>
      </c>
      <c r="D831" s="10">
        <v>73634</v>
      </c>
      <c r="E831" s="101" t="s">
        <v>1088</v>
      </c>
      <c r="F831" s="62">
        <v>6814</v>
      </c>
      <c r="G831" s="62">
        <v>39.700000000000003</v>
      </c>
      <c r="H831" s="62"/>
      <c r="I831" s="89">
        <f t="shared" si="177"/>
        <v>6774.3</v>
      </c>
      <c r="J831" s="63" t="s">
        <v>205</v>
      </c>
      <c r="K831" s="63">
        <v>1</v>
      </c>
      <c r="L831" s="63"/>
      <c r="M831" s="63"/>
      <c r="N831" s="63">
        <v>1</v>
      </c>
      <c r="O831" s="63"/>
      <c r="P831" s="63"/>
      <c r="Q831" s="63">
        <v>1</v>
      </c>
      <c r="R831" s="63">
        <v>1</v>
      </c>
      <c r="S831" s="296"/>
      <c r="T831" s="63"/>
      <c r="U831" s="10"/>
      <c r="V831" s="90"/>
      <c r="W831" s="136"/>
      <c r="X831" s="137"/>
    </row>
    <row r="832" spans="1:24">
      <c r="B832" s="87">
        <f t="shared" si="178"/>
        <v>12</v>
      </c>
      <c r="C832" s="274">
        <v>45925</v>
      </c>
      <c r="D832" s="276">
        <v>73651</v>
      </c>
      <c r="E832" s="281" t="s">
        <v>1169</v>
      </c>
      <c r="F832" s="277">
        <v>5814</v>
      </c>
      <c r="G832" s="277">
        <v>39.700000000000003</v>
      </c>
      <c r="H832" s="277"/>
      <c r="I832" s="278">
        <f t="shared" si="177"/>
        <v>5774.3</v>
      </c>
      <c r="J832" s="279" t="s">
        <v>205</v>
      </c>
      <c r="K832" s="279">
        <v>1</v>
      </c>
      <c r="L832" s="279"/>
      <c r="M832" s="279"/>
      <c r="N832" s="279">
        <v>1</v>
      </c>
      <c r="O832" s="279"/>
      <c r="P832" s="279"/>
      <c r="Q832" s="279">
        <v>1</v>
      </c>
      <c r="R832" s="279">
        <v>1</v>
      </c>
      <c r="S832" s="280"/>
      <c r="T832" s="63"/>
      <c r="U832" s="10"/>
      <c r="V832" s="90"/>
      <c r="W832" s="136"/>
      <c r="X832" s="137"/>
    </row>
    <row r="833" spans="1:24">
      <c r="B833" s="87">
        <f t="shared" si="178"/>
        <v>13</v>
      </c>
      <c r="C833" s="282">
        <v>45925</v>
      </c>
      <c r="D833" s="283">
        <v>73665</v>
      </c>
      <c r="E833" s="319" t="s">
        <v>1260</v>
      </c>
      <c r="F833" s="284">
        <v>4419</v>
      </c>
      <c r="G833" s="284">
        <v>39.700000000000003</v>
      </c>
      <c r="H833" s="284"/>
      <c r="I833" s="285">
        <f t="shared" si="177"/>
        <v>4379.3</v>
      </c>
      <c r="J833" s="286" t="s">
        <v>205</v>
      </c>
      <c r="K833" s="286">
        <v>1</v>
      </c>
      <c r="L833" s="286"/>
      <c r="M833" s="286"/>
      <c r="N833" s="286">
        <v>1</v>
      </c>
      <c r="O833" s="286"/>
      <c r="P833" s="286"/>
      <c r="Q833" s="286">
        <v>1</v>
      </c>
      <c r="R833" s="286">
        <v>1</v>
      </c>
      <c r="S833" s="287"/>
      <c r="T833" s="63"/>
      <c r="U833" s="10"/>
      <c r="V833" s="90"/>
      <c r="W833" s="136"/>
      <c r="X833" s="137"/>
    </row>
    <row r="834" spans="1:24">
      <c r="B834" s="11"/>
      <c r="C834" s="36"/>
      <c r="D834" s="10"/>
      <c r="E834" s="10"/>
      <c r="F834" s="97">
        <f>SUM(F821:F833)</f>
        <v>99153.7</v>
      </c>
      <c r="G834" s="97">
        <f>SUM(G821:G833)</f>
        <v>396.99999999999994</v>
      </c>
      <c r="H834" s="97">
        <f>SUM(H821:H833)</f>
        <v>0</v>
      </c>
      <c r="I834" s="98">
        <f>SUM(I821:I833)</f>
        <v>98756.700000000012</v>
      </c>
      <c r="J834" s="10"/>
      <c r="K834" s="10"/>
      <c r="L834" s="10"/>
      <c r="M834" s="10"/>
      <c r="N834" s="10"/>
      <c r="O834" s="10"/>
      <c r="P834" s="10"/>
      <c r="Q834" s="10"/>
      <c r="R834" s="10"/>
      <c r="S834" s="10"/>
      <c r="T834" s="63"/>
      <c r="U834" s="10"/>
      <c r="V834" s="138"/>
      <c r="W834" s="136"/>
      <c r="X834" s="137"/>
    </row>
    <row r="835" spans="1:24">
      <c r="B835" s="26"/>
      <c r="C835" s="612"/>
      <c r="D835" s="141"/>
      <c r="E835" s="141"/>
      <c r="F835" s="141"/>
      <c r="G835" s="141"/>
      <c r="H835" s="141"/>
      <c r="I835" s="141"/>
      <c r="J835" s="141"/>
      <c r="K835" s="142"/>
      <c r="L835" s="142"/>
      <c r="M835" s="142"/>
      <c r="N835" s="142"/>
      <c r="O835" s="142"/>
      <c r="P835" s="142"/>
      <c r="Q835" s="142"/>
      <c r="R835" s="142"/>
      <c r="S835" s="142"/>
      <c r="T835" s="143">
        <f>SUM(T773:T834)</f>
        <v>0</v>
      </c>
      <c r="U835" s="141"/>
      <c r="V835" s="144">
        <f>SUM(V773:V834)</f>
        <v>11720.75</v>
      </c>
      <c r="W835" s="144">
        <f>SUM(W773:W834)</f>
        <v>700</v>
      </c>
      <c r="X835" s="144">
        <f>SUM(X773:X834)</f>
        <v>0</v>
      </c>
    </row>
    <row r="836" spans="1:24">
      <c r="B836" s="10"/>
      <c r="C836" s="36"/>
      <c r="D836" s="10"/>
      <c r="E836" s="10"/>
      <c r="F836" s="10"/>
      <c r="G836" s="10"/>
      <c r="H836" s="10"/>
      <c r="I836" s="10"/>
      <c r="J836" s="10"/>
      <c r="K836" s="147"/>
      <c r="L836" s="147"/>
      <c r="M836" s="147"/>
      <c r="N836" s="147"/>
      <c r="O836" s="147"/>
      <c r="P836" s="147"/>
      <c r="Q836" s="147"/>
      <c r="R836" s="147"/>
      <c r="S836" s="147"/>
      <c r="T836" s="21"/>
      <c r="U836" s="10"/>
      <c r="V836" s="99"/>
      <c r="W836" s="99"/>
      <c r="X836" s="99"/>
    </row>
    <row r="838" spans="1:24">
      <c r="A838" s="613"/>
      <c r="B838" s="4" t="s">
        <v>1</v>
      </c>
      <c r="C838" s="5"/>
      <c r="D838" s="6"/>
      <c r="E838" s="6"/>
      <c r="F838" s="7" t="s">
        <v>2</v>
      </c>
      <c r="G838" s="608">
        <v>45935</v>
      </c>
      <c r="H838" s="7"/>
      <c r="I838" s="6"/>
      <c r="J838" s="6"/>
      <c r="K838" s="6"/>
      <c r="L838" s="6"/>
      <c r="M838" s="6"/>
      <c r="N838" s="6"/>
      <c r="O838" s="6"/>
      <c r="P838" s="6"/>
      <c r="Q838" s="6"/>
      <c r="R838" s="6"/>
      <c r="S838" s="6"/>
      <c r="T838" s="6"/>
      <c r="U838" s="9"/>
      <c r="V838" s="10"/>
      <c r="W838" s="10"/>
      <c r="X838" s="10"/>
    </row>
    <row r="839" spans="1:24">
      <c r="A839" s="614"/>
      <c r="B839" s="11"/>
      <c r="C839" s="10"/>
      <c r="D839" s="10"/>
      <c r="E839" s="10"/>
      <c r="F839" s="10"/>
      <c r="G839" s="7"/>
      <c r="H839" s="12"/>
      <c r="I839" s="10"/>
      <c r="J839" s="10"/>
      <c r="K839" s="13" t="s">
        <v>3</v>
      </c>
      <c r="L839" s="14"/>
      <c r="M839" s="15"/>
      <c r="N839" s="13" t="s">
        <v>4</v>
      </c>
      <c r="O839" s="14"/>
      <c r="P839" s="15"/>
      <c r="Q839" s="13" t="s">
        <v>5</v>
      </c>
      <c r="R839" s="14"/>
      <c r="S839" s="15"/>
      <c r="T839" s="16"/>
      <c r="U839" s="17"/>
      <c r="V839" s="10"/>
      <c r="W839" s="10"/>
      <c r="X839" s="10"/>
    </row>
    <row r="840" spans="1:24">
      <c r="A840" s="614"/>
      <c r="B840" s="18" t="s">
        <v>6</v>
      </c>
      <c r="C840" s="19">
        <f>C841+C842</f>
        <v>38</v>
      </c>
      <c r="D840" s="10"/>
      <c r="E840" s="18" t="s">
        <v>7</v>
      </c>
      <c r="F840" s="6"/>
      <c r="G840" s="9"/>
      <c r="H840" s="10"/>
      <c r="I840" s="10"/>
      <c r="J840" s="10"/>
      <c r="K840" s="20" t="s">
        <v>8</v>
      </c>
      <c r="L840" s="21" t="s">
        <v>9</v>
      </c>
      <c r="M840" s="21" t="s">
        <v>10</v>
      </c>
      <c r="N840" s="20" t="s">
        <v>11</v>
      </c>
      <c r="O840" s="21" t="s">
        <v>12</v>
      </c>
      <c r="P840" s="22" t="s">
        <v>13</v>
      </c>
      <c r="Q840" s="21" t="s">
        <v>11</v>
      </c>
      <c r="R840" s="21" t="s">
        <v>12</v>
      </c>
      <c r="S840" s="22" t="s">
        <v>13</v>
      </c>
      <c r="T840" s="23" t="s">
        <v>14</v>
      </c>
      <c r="U840" s="17"/>
      <c r="V840" s="10"/>
      <c r="W840" s="10"/>
      <c r="X840" s="10"/>
    </row>
    <row r="841" spans="1:24">
      <c r="A841" s="614"/>
      <c r="B841" s="24" t="s">
        <v>15</v>
      </c>
      <c r="C841" s="25">
        <f>P848</f>
        <v>21</v>
      </c>
      <c r="D841" s="10"/>
      <c r="E841" s="26" t="s">
        <v>16</v>
      </c>
      <c r="F841" s="27">
        <v>0.05</v>
      </c>
      <c r="G841" s="28"/>
      <c r="H841" s="10"/>
      <c r="I841" s="10"/>
      <c r="J841" s="18" t="s">
        <v>17</v>
      </c>
      <c r="K841" s="29">
        <f>K886</f>
        <v>16</v>
      </c>
      <c r="L841" s="29">
        <f t="shared" ref="L841:S841" si="179">L886</f>
        <v>15</v>
      </c>
      <c r="M841" s="29">
        <f t="shared" si="179"/>
        <v>16</v>
      </c>
      <c r="N841" s="29">
        <f t="shared" si="179"/>
        <v>16</v>
      </c>
      <c r="O841" s="29">
        <f t="shared" si="179"/>
        <v>16</v>
      </c>
      <c r="P841" s="29">
        <f t="shared" si="179"/>
        <v>15</v>
      </c>
      <c r="Q841" s="29">
        <f t="shared" si="179"/>
        <v>10</v>
      </c>
      <c r="R841" s="29">
        <f t="shared" si="179"/>
        <v>7</v>
      </c>
      <c r="S841" s="29">
        <f t="shared" si="179"/>
        <v>3</v>
      </c>
      <c r="T841" s="30">
        <f>T954</f>
        <v>6</v>
      </c>
      <c r="U841" s="17"/>
      <c r="V841" s="10"/>
      <c r="W841" s="10"/>
      <c r="X841" s="10"/>
    </row>
    <row r="842" spans="1:24">
      <c r="A842" s="614"/>
      <c r="B842" s="24" t="s">
        <v>18</v>
      </c>
      <c r="C842" s="25">
        <f>P849</f>
        <v>17</v>
      </c>
      <c r="D842" s="10"/>
      <c r="E842" s="10"/>
      <c r="F842" s="10"/>
      <c r="G842" s="31"/>
      <c r="H842" s="10"/>
      <c r="I842" s="10"/>
      <c r="J842" s="32" t="s">
        <v>19</v>
      </c>
      <c r="K842" s="33">
        <f>K886/K885</f>
        <v>1</v>
      </c>
      <c r="L842" s="33">
        <f t="shared" ref="L842:S842" si="180">L886/L885</f>
        <v>0.9375</v>
      </c>
      <c r="M842" s="33">
        <f t="shared" si="180"/>
        <v>1</v>
      </c>
      <c r="N842" s="33">
        <f t="shared" si="180"/>
        <v>1</v>
      </c>
      <c r="O842" s="33">
        <f t="shared" si="180"/>
        <v>1</v>
      </c>
      <c r="P842" s="33">
        <f t="shared" si="180"/>
        <v>0.9375</v>
      </c>
      <c r="Q842" s="33">
        <f t="shared" si="180"/>
        <v>0.625</v>
      </c>
      <c r="R842" s="33">
        <f t="shared" si="180"/>
        <v>0.4375</v>
      </c>
      <c r="S842" s="33">
        <f t="shared" si="180"/>
        <v>0.1875</v>
      </c>
      <c r="T842" s="23"/>
      <c r="U842" s="17" t="s">
        <v>20</v>
      </c>
      <c r="V842" s="10"/>
      <c r="W842" s="10"/>
      <c r="X842" s="10"/>
    </row>
    <row r="843" spans="1:24">
      <c r="A843" s="614"/>
      <c r="B843" s="24" t="s">
        <v>21</v>
      </c>
      <c r="C843" s="34">
        <f>P850</f>
        <v>0.55263157894736847</v>
      </c>
      <c r="D843" s="10"/>
      <c r="E843" s="10"/>
      <c r="F843" s="10"/>
      <c r="G843" s="10"/>
      <c r="H843" s="10"/>
      <c r="I843" s="10"/>
      <c r="J843" s="10"/>
      <c r="K843" s="10"/>
      <c r="L843" s="10"/>
      <c r="M843" s="10"/>
      <c r="N843" s="10"/>
      <c r="O843" s="10"/>
      <c r="P843" s="10"/>
      <c r="Q843" s="10"/>
      <c r="R843" s="10"/>
      <c r="S843" s="10"/>
      <c r="T843" s="10"/>
      <c r="U843" s="17"/>
      <c r="V843" s="10"/>
      <c r="W843" s="10"/>
      <c r="X843" s="10"/>
    </row>
    <row r="844" spans="1:24">
      <c r="A844" s="614"/>
      <c r="B844" s="24"/>
      <c r="C844" s="25"/>
      <c r="D844" s="10"/>
      <c r="E844" s="10"/>
      <c r="F844" s="18" t="s">
        <v>22</v>
      </c>
      <c r="G844" s="19" t="s">
        <v>23</v>
      </c>
      <c r="H844" s="35" t="s">
        <v>24</v>
      </c>
      <c r="I844" s="10"/>
      <c r="J844" s="10"/>
      <c r="K844" s="36"/>
      <c r="L844" s="36"/>
      <c r="M844" s="36"/>
      <c r="N844" s="36"/>
      <c r="O844" s="36"/>
      <c r="P844" s="36"/>
      <c r="Q844" s="36"/>
      <c r="R844" s="10"/>
      <c r="S844" s="10"/>
      <c r="T844" s="10"/>
      <c r="U844" s="17"/>
      <c r="V844" s="10"/>
      <c r="W844" s="10"/>
      <c r="X844" s="10"/>
    </row>
    <row r="845" spans="1:24" ht="19.5" customHeight="1">
      <c r="A845" s="614"/>
      <c r="B845" s="32" t="s">
        <v>25</v>
      </c>
      <c r="C845" s="37">
        <f>P851</f>
        <v>1951.3875238095241</v>
      </c>
      <c r="D845" s="10"/>
      <c r="E845" s="18" t="s">
        <v>26</v>
      </c>
      <c r="F845" s="38">
        <f>P847</f>
        <v>40979.138000000006</v>
      </c>
      <c r="G845" s="39">
        <f>I885+I900+I904</f>
        <v>40979.137999999999</v>
      </c>
      <c r="H845" s="771" t="s">
        <v>3041</v>
      </c>
      <c r="I845" s="771"/>
      <c r="J845" s="771"/>
      <c r="K845" s="43" t="s">
        <v>27</v>
      </c>
      <c r="L845" s="44"/>
      <c r="M845" s="44"/>
      <c r="N845" s="44"/>
      <c r="O845" s="44"/>
      <c r="P845" s="44"/>
      <c r="Q845" s="45"/>
      <c r="R845" s="46" t="s">
        <v>28</v>
      </c>
      <c r="S845" s="47" t="s">
        <v>29</v>
      </c>
      <c r="T845" s="10"/>
      <c r="U845" s="17"/>
      <c r="V845" s="10"/>
      <c r="W845" s="10"/>
      <c r="X845" s="10"/>
    </row>
    <row r="846" spans="1:24">
      <c r="A846" s="614"/>
      <c r="B846" s="11"/>
      <c r="C846" s="10"/>
      <c r="D846" s="10"/>
      <c r="E846" s="24" t="s">
        <v>30</v>
      </c>
      <c r="F846" s="48">
        <f>F841</f>
        <v>0.05</v>
      </c>
      <c r="G846" s="17"/>
      <c r="H846" s="771"/>
      <c r="I846" s="771"/>
      <c r="J846" s="771"/>
      <c r="K846" s="20" t="s">
        <v>31</v>
      </c>
      <c r="L846" s="21" t="s">
        <v>32</v>
      </c>
      <c r="M846" s="21" t="s">
        <v>33</v>
      </c>
      <c r="N846" s="21" t="s">
        <v>34</v>
      </c>
      <c r="O846" s="21" t="s">
        <v>35</v>
      </c>
      <c r="P846" s="21" t="s">
        <v>36</v>
      </c>
      <c r="Q846" s="49" t="s">
        <v>37</v>
      </c>
      <c r="R846" s="50" t="s">
        <v>38</v>
      </c>
      <c r="S846" s="50" t="s">
        <v>38</v>
      </c>
      <c r="T846" s="10"/>
      <c r="U846" s="17"/>
      <c r="V846" s="10"/>
      <c r="W846" s="10"/>
      <c r="X846" s="10"/>
    </row>
    <row r="847" spans="1:24">
      <c r="A847" s="614"/>
      <c r="B847" s="11"/>
      <c r="C847" s="10"/>
      <c r="D847" s="10"/>
      <c r="E847" s="51" t="s">
        <v>39</v>
      </c>
      <c r="F847" s="52">
        <f>(F845+F854+F855+F856+F857+F858+F859-I870-I876-I878-I883-I884-I896-I897-I898-I899-I903)*F846</f>
        <v>1298.1795</v>
      </c>
      <c r="G847" s="53" t="s">
        <v>40</v>
      </c>
      <c r="H847" s="484">
        <f>F847/1.12</f>
        <v>1159.0888392857141</v>
      </c>
      <c r="I847" s="55"/>
      <c r="J847" s="42"/>
      <c r="K847" s="56">
        <f>I869+I870+I896+I871</f>
        <v>6403.59</v>
      </c>
      <c r="L847" s="57">
        <f>I872+I873+I874+I897</f>
        <v>10782.67</v>
      </c>
      <c r="M847" s="57">
        <f>I875+I878+I876+I877</f>
        <v>9315.9680000000008</v>
      </c>
      <c r="N847" s="57">
        <f>I880+I881+I898+I879+I899</f>
        <v>10866.19</v>
      </c>
      <c r="O847" s="57">
        <f>I882+I883+I884+I903</f>
        <v>3610.72</v>
      </c>
      <c r="P847" s="57">
        <f>SUM(K847:O847)</f>
        <v>40979.138000000006</v>
      </c>
      <c r="Q847" s="58">
        <v>0</v>
      </c>
      <c r="R847" s="59">
        <f>I900+I904</f>
        <v>8567.2100000000009</v>
      </c>
      <c r="S847" s="59">
        <v>0</v>
      </c>
      <c r="T847" s="10"/>
      <c r="U847" s="17"/>
      <c r="V847" s="10"/>
      <c r="W847" s="10"/>
      <c r="X847" s="10"/>
    </row>
    <row r="848" spans="1:24">
      <c r="A848" s="614"/>
      <c r="B848" s="11"/>
      <c r="C848" s="10"/>
      <c r="D848" s="10"/>
      <c r="E848" s="24" t="s">
        <v>41</v>
      </c>
      <c r="F848" s="60">
        <f>Q847</f>
        <v>0</v>
      </c>
      <c r="G848" s="61" t="s">
        <v>40</v>
      </c>
      <c r="H848" s="62"/>
      <c r="I848" s="62"/>
      <c r="J848" s="10" t="s">
        <v>42</v>
      </c>
      <c r="K848" s="63">
        <v>4</v>
      </c>
      <c r="L848" s="63">
        <v>4</v>
      </c>
      <c r="M848" s="63">
        <v>4</v>
      </c>
      <c r="N848" s="63">
        <v>5</v>
      </c>
      <c r="O848" s="63">
        <v>4</v>
      </c>
      <c r="P848" s="21">
        <f>SUM(K848:O848)</f>
        <v>21</v>
      </c>
      <c r="Q848" s="64">
        <v>0</v>
      </c>
      <c r="R848" s="63"/>
      <c r="S848" s="10"/>
      <c r="T848" s="10"/>
      <c r="U848" s="17"/>
      <c r="V848" s="10"/>
      <c r="W848" s="10"/>
      <c r="X848" s="10"/>
    </row>
    <row r="849" spans="1:24">
      <c r="A849" s="614"/>
      <c r="B849" s="11"/>
      <c r="C849" s="10"/>
      <c r="D849" s="10"/>
      <c r="E849" s="51" t="s">
        <v>43</v>
      </c>
      <c r="F849" s="52">
        <f>F848*0.25</f>
        <v>0</v>
      </c>
      <c r="G849" s="53" t="s">
        <v>40</v>
      </c>
      <c r="H849" s="54">
        <f>F849/1.12</f>
        <v>0</v>
      </c>
      <c r="I849" s="10"/>
      <c r="J849" s="10" t="s">
        <v>44</v>
      </c>
      <c r="K849" s="63">
        <v>4</v>
      </c>
      <c r="L849" s="63">
        <v>4</v>
      </c>
      <c r="M849" s="63">
        <v>3</v>
      </c>
      <c r="N849" s="63">
        <v>3</v>
      </c>
      <c r="O849" s="63">
        <v>3</v>
      </c>
      <c r="P849" s="21">
        <f>SUM(K849:O849)</f>
        <v>17</v>
      </c>
      <c r="Q849" s="64">
        <v>0</v>
      </c>
      <c r="R849" s="63"/>
      <c r="S849" s="10"/>
      <c r="T849" s="10"/>
      <c r="U849" s="17"/>
      <c r="V849" s="10"/>
      <c r="W849" s="10"/>
      <c r="X849" s="10"/>
    </row>
    <row r="850" spans="1:24">
      <c r="A850" s="614"/>
      <c r="B850" s="11"/>
      <c r="C850" s="10"/>
      <c r="D850" s="10"/>
      <c r="E850" s="24" t="s">
        <v>45</v>
      </c>
      <c r="F850" s="60"/>
      <c r="G850" s="61" t="s">
        <v>40</v>
      </c>
      <c r="H850" s="62"/>
      <c r="I850" s="10"/>
      <c r="J850" s="10" t="s">
        <v>46</v>
      </c>
      <c r="K850" s="31">
        <f t="shared" ref="K850:Q850" si="181">K848/(K848+K849)</f>
        <v>0.5</v>
      </c>
      <c r="L850" s="31">
        <f t="shared" si="181"/>
        <v>0.5</v>
      </c>
      <c r="M850" s="31">
        <f t="shared" si="181"/>
        <v>0.5714285714285714</v>
      </c>
      <c r="N850" s="31">
        <f t="shared" si="181"/>
        <v>0.625</v>
      </c>
      <c r="O850" s="31">
        <f t="shared" si="181"/>
        <v>0.5714285714285714</v>
      </c>
      <c r="P850" s="31">
        <f t="shared" si="181"/>
        <v>0.55263157894736847</v>
      </c>
      <c r="Q850" s="31" t="e">
        <f t="shared" si="181"/>
        <v>#DIV/0!</v>
      </c>
      <c r="R850" s="63"/>
      <c r="S850" s="10"/>
      <c r="T850" s="10"/>
      <c r="U850" s="17"/>
      <c r="V850" s="10"/>
      <c r="W850" s="10"/>
      <c r="X850" s="10"/>
    </row>
    <row r="851" spans="1:24">
      <c r="A851" s="614"/>
      <c r="B851" s="11"/>
      <c r="C851" s="10"/>
      <c r="D851" s="10"/>
      <c r="E851" s="51" t="s">
        <v>47</v>
      </c>
      <c r="F851" s="52">
        <f>F850*0.05</f>
        <v>0</v>
      </c>
      <c r="G851" s="65" t="s">
        <v>40</v>
      </c>
      <c r="H851" s="54">
        <f>F851/1.12</f>
        <v>0</v>
      </c>
      <c r="I851" s="42"/>
      <c r="J851" s="10" t="s">
        <v>48</v>
      </c>
      <c r="K851" s="66">
        <f>K847/K848</f>
        <v>1600.8975</v>
      </c>
      <c r="L851" s="66">
        <f t="shared" ref="L851:Q851" si="182">L847/L848</f>
        <v>2695.6675</v>
      </c>
      <c r="M851" s="66">
        <f t="shared" si="182"/>
        <v>2328.9920000000002</v>
      </c>
      <c r="N851" s="66">
        <f t="shared" si="182"/>
        <v>2173.2380000000003</v>
      </c>
      <c r="O851" s="66">
        <f t="shared" si="182"/>
        <v>902.68</v>
      </c>
      <c r="P851" s="66">
        <f t="shared" si="182"/>
        <v>1951.3875238095241</v>
      </c>
      <c r="Q851" s="66" t="e">
        <f t="shared" si="182"/>
        <v>#DIV/0!</v>
      </c>
      <c r="R851" s="63"/>
      <c r="S851" s="10"/>
      <c r="T851" s="10"/>
      <c r="U851" s="17"/>
      <c r="V851" s="10"/>
      <c r="W851" s="10"/>
      <c r="X851" s="10"/>
    </row>
    <row r="852" spans="1:24">
      <c r="A852" s="614"/>
      <c r="B852" s="11"/>
      <c r="C852" s="10"/>
      <c r="D852" s="10"/>
      <c r="E852" s="67" t="s">
        <v>14</v>
      </c>
      <c r="F852" s="68">
        <f>4*50+50*1/2</f>
        <v>225</v>
      </c>
      <c r="G852" s="10"/>
      <c r="H852" s="54">
        <f>F852/1.12</f>
        <v>200.89285714285711</v>
      </c>
      <c r="I852" s="10"/>
      <c r="J852" s="10"/>
      <c r="K852" s="10"/>
      <c r="L852" s="10"/>
      <c r="M852" s="10"/>
      <c r="N852" s="10"/>
      <c r="O852" s="10"/>
      <c r="P852" s="10"/>
      <c r="Q852" s="10"/>
      <c r="R852" s="10"/>
      <c r="S852" s="10"/>
      <c r="T852" s="10"/>
      <c r="U852" s="17"/>
      <c r="V852" s="10"/>
      <c r="W852" s="10"/>
      <c r="X852" s="10"/>
    </row>
    <row r="853" spans="1:24">
      <c r="A853" s="614"/>
      <c r="B853" s="11"/>
      <c r="C853" s="10"/>
      <c r="D853" s="10"/>
      <c r="E853" s="67" t="s">
        <v>49</v>
      </c>
      <c r="F853" s="69">
        <f>T842</f>
        <v>0</v>
      </c>
      <c r="G853" s="10"/>
      <c r="H853" s="54"/>
      <c r="I853" s="55"/>
      <c r="J853" s="42"/>
      <c r="K853" s="764" t="s">
        <v>50</v>
      </c>
      <c r="L853" s="765"/>
      <c r="M853" s="765"/>
      <c r="N853" s="765"/>
      <c r="O853" s="765"/>
      <c r="P853" s="765"/>
      <c r="Q853" s="766"/>
      <c r="R853" s="70" t="s">
        <v>28</v>
      </c>
      <c r="S853" s="71" t="s">
        <v>29</v>
      </c>
      <c r="T853" s="10"/>
      <c r="U853" s="17"/>
      <c r="V853" s="10"/>
      <c r="W853" s="10"/>
      <c r="X853" s="10"/>
    </row>
    <row r="854" spans="1:24">
      <c r="A854" s="614"/>
      <c r="B854" s="11"/>
      <c r="C854" s="10"/>
      <c r="D854" s="10"/>
      <c r="E854" s="72" t="s">
        <v>3042</v>
      </c>
      <c r="F854" s="73">
        <v>-46.93</v>
      </c>
      <c r="G854" s="10"/>
      <c r="H854" s="10"/>
      <c r="I854" s="10"/>
      <c r="J854" s="42"/>
      <c r="K854" s="20" t="s">
        <v>31</v>
      </c>
      <c r="L854" s="21" t="s">
        <v>32</v>
      </c>
      <c r="M854" s="21" t="s">
        <v>33</v>
      </c>
      <c r="N854" s="21" t="s">
        <v>34</v>
      </c>
      <c r="O854" s="21" t="s">
        <v>35</v>
      </c>
      <c r="P854" s="21" t="s">
        <v>36</v>
      </c>
      <c r="Q854" s="49" t="s">
        <v>37</v>
      </c>
      <c r="R854" s="50" t="s">
        <v>38</v>
      </c>
      <c r="S854" s="50" t="s">
        <v>38</v>
      </c>
      <c r="T854" s="10"/>
      <c r="U854" s="17"/>
      <c r="V854" s="10"/>
      <c r="W854" s="10"/>
      <c r="X854" s="10"/>
    </row>
    <row r="855" spans="1:24">
      <c r="A855" s="614"/>
      <c r="B855" s="11"/>
      <c r="C855" s="10"/>
      <c r="D855" s="10"/>
      <c r="E855" s="72" t="s">
        <v>3043</v>
      </c>
      <c r="F855" s="75">
        <v>-60.05</v>
      </c>
      <c r="G855" s="10"/>
      <c r="H855" s="10"/>
      <c r="I855" s="10"/>
      <c r="J855" s="42"/>
      <c r="K855" s="56">
        <f>F869+F870+F896+F871</f>
        <v>8745</v>
      </c>
      <c r="L855" s="57">
        <f>F872+F873+F874+F897</f>
        <v>13748.6</v>
      </c>
      <c r="M855" s="57">
        <f>F875+F878+F876+F877</f>
        <v>13867.66</v>
      </c>
      <c r="N855" s="57">
        <f>F880+F881+F898+F879+F899</f>
        <v>13065.8</v>
      </c>
      <c r="O855" s="57">
        <f>F882+F883+F884+F903</f>
        <v>3667.8</v>
      </c>
      <c r="P855" s="57">
        <f>SUM(K855:O855)</f>
        <v>53094.86</v>
      </c>
      <c r="Q855" s="58">
        <v>0</v>
      </c>
      <c r="R855" s="59">
        <f>F900+F904</f>
        <v>10254.9</v>
      </c>
      <c r="S855" s="59">
        <v>0</v>
      </c>
      <c r="T855" s="10"/>
      <c r="U855" s="17"/>
      <c r="V855" s="10"/>
      <c r="W855" s="10"/>
      <c r="X855" s="10"/>
    </row>
    <row r="856" spans="1:24">
      <c r="A856" s="614"/>
      <c r="B856" s="11"/>
      <c r="C856" s="10"/>
      <c r="D856" s="10"/>
      <c r="E856" s="72" t="s">
        <v>3044</v>
      </c>
      <c r="F856" s="75">
        <v>-1145.43</v>
      </c>
      <c r="G856" s="10"/>
      <c r="H856" s="10"/>
      <c r="I856" s="10"/>
      <c r="J856" s="10" t="s">
        <v>42</v>
      </c>
      <c r="K856" s="63">
        <f>K848</f>
        <v>4</v>
      </c>
      <c r="L856" s="63">
        <f t="shared" ref="L856:Q857" si="183">L848</f>
        <v>4</v>
      </c>
      <c r="M856" s="63">
        <f t="shared" si="183"/>
        <v>4</v>
      </c>
      <c r="N856" s="63">
        <f t="shared" si="183"/>
        <v>5</v>
      </c>
      <c r="O856" s="63">
        <f t="shared" si="183"/>
        <v>4</v>
      </c>
      <c r="P856" s="63">
        <f t="shared" si="183"/>
        <v>21</v>
      </c>
      <c r="Q856" s="63">
        <f t="shared" si="183"/>
        <v>0</v>
      </c>
      <c r="R856" s="63"/>
      <c r="S856" s="10"/>
      <c r="T856" s="10"/>
      <c r="U856" s="17"/>
      <c r="V856" s="10"/>
      <c r="W856" s="10"/>
      <c r="X856" s="10"/>
    </row>
    <row r="857" spans="1:24">
      <c r="A857" s="614"/>
      <c r="B857" s="11"/>
      <c r="C857" s="10"/>
      <c r="D857" s="10"/>
      <c r="E857" s="74" t="s">
        <v>3045</v>
      </c>
      <c r="F857" s="75">
        <v>-20.76</v>
      </c>
      <c r="G857" s="10"/>
      <c r="H857" s="10"/>
      <c r="I857" s="10"/>
      <c r="J857" s="10" t="s">
        <v>44</v>
      </c>
      <c r="K857" s="63">
        <f>K849</f>
        <v>4</v>
      </c>
      <c r="L857" s="63">
        <f t="shared" si="183"/>
        <v>4</v>
      </c>
      <c r="M857" s="63">
        <f t="shared" si="183"/>
        <v>3</v>
      </c>
      <c r="N857" s="63">
        <f t="shared" si="183"/>
        <v>3</v>
      </c>
      <c r="O857" s="63">
        <f t="shared" si="183"/>
        <v>3</v>
      </c>
      <c r="P857" s="63">
        <f t="shared" si="183"/>
        <v>17</v>
      </c>
      <c r="Q857" s="63">
        <f t="shared" si="183"/>
        <v>0</v>
      </c>
      <c r="R857" s="63"/>
      <c r="S857" s="10"/>
      <c r="T857" s="10"/>
      <c r="U857" s="17"/>
      <c r="V857" s="10"/>
      <c r="W857" s="10"/>
      <c r="X857" s="10"/>
    </row>
    <row r="858" spans="1:24">
      <c r="A858" s="614"/>
      <c r="B858" s="11"/>
      <c r="C858" s="10"/>
      <c r="D858" s="10"/>
      <c r="E858" s="72" t="s">
        <v>3046</v>
      </c>
      <c r="F858" s="73">
        <v>-25.07</v>
      </c>
      <c r="G858" s="10"/>
      <c r="H858" s="10"/>
      <c r="I858" s="10"/>
      <c r="J858" s="10" t="s">
        <v>46</v>
      </c>
      <c r="K858" s="31">
        <f t="shared" ref="K858:Q858" si="184">K856/(K856+K857)</f>
        <v>0.5</v>
      </c>
      <c r="L858" s="31">
        <f t="shared" si="184"/>
        <v>0.5</v>
      </c>
      <c r="M858" s="31">
        <f t="shared" si="184"/>
        <v>0.5714285714285714</v>
      </c>
      <c r="N858" s="31">
        <f t="shared" si="184"/>
        <v>0.625</v>
      </c>
      <c r="O858" s="31">
        <f t="shared" si="184"/>
        <v>0.5714285714285714</v>
      </c>
      <c r="P858" s="31">
        <f t="shared" si="184"/>
        <v>0.55263157894736847</v>
      </c>
      <c r="Q858" s="31" t="e">
        <f t="shared" si="184"/>
        <v>#DIV/0!</v>
      </c>
      <c r="R858" s="63"/>
      <c r="S858" s="10"/>
      <c r="T858" s="10"/>
      <c r="U858" s="17"/>
      <c r="V858" s="10"/>
      <c r="W858" s="10"/>
      <c r="X858" s="10"/>
    </row>
    <row r="859" spans="1:24">
      <c r="A859" s="614"/>
      <c r="B859" s="11"/>
      <c r="C859" s="10"/>
      <c r="D859" s="10"/>
      <c r="E859" s="74" t="s">
        <v>3047</v>
      </c>
      <c r="F859" s="75">
        <v>977.01</v>
      </c>
      <c r="G859" s="10"/>
      <c r="H859" s="10"/>
      <c r="I859" s="10"/>
      <c r="J859" s="10" t="s">
        <v>48</v>
      </c>
      <c r="K859" s="66">
        <f t="shared" ref="K859:Q859" si="185">K855/K856</f>
        <v>2186.25</v>
      </c>
      <c r="L859" s="66">
        <f t="shared" si="185"/>
        <v>3437.15</v>
      </c>
      <c r="M859" s="66">
        <f t="shared" si="185"/>
        <v>3466.915</v>
      </c>
      <c r="N859" s="66">
        <f t="shared" si="185"/>
        <v>2613.16</v>
      </c>
      <c r="O859" s="66">
        <f t="shared" si="185"/>
        <v>916.95</v>
      </c>
      <c r="P859" s="66">
        <f t="shared" si="185"/>
        <v>2528.3266666666668</v>
      </c>
      <c r="Q859" s="66" t="e">
        <f t="shared" si="185"/>
        <v>#DIV/0!</v>
      </c>
      <c r="R859" s="63"/>
      <c r="S859" s="10"/>
      <c r="T859" s="10"/>
      <c r="U859" s="17"/>
      <c r="V859" s="10"/>
      <c r="W859" s="10"/>
      <c r="X859" s="10"/>
    </row>
    <row r="860" spans="1:24">
      <c r="A860" s="614"/>
      <c r="B860" s="11"/>
      <c r="C860" s="10"/>
      <c r="D860" s="10"/>
      <c r="E860" s="10"/>
      <c r="F860" s="10"/>
      <c r="G860" s="10"/>
      <c r="H860" s="10"/>
      <c r="I860" s="10"/>
      <c r="J860" s="10"/>
      <c r="K860" s="66"/>
      <c r="L860" s="66"/>
      <c r="M860" s="66"/>
      <c r="N860" s="66"/>
      <c r="O860" s="66"/>
      <c r="P860" s="66"/>
      <c r="Q860" s="66"/>
      <c r="R860" s="63"/>
      <c r="S860" s="10"/>
      <c r="T860" s="10"/>
      <c r="U860" s="17"/>
      <c r="V860" s="10"/>
      <c r="W860" s="10"/>
      <c r="X860" s="10"/>
    </row>
    <row r="861" spans="1:24">
      <c r="A861" s="614"/>
      <c r="B861" s="11"/>
      <c r="C861" s="10"/>
      <c r="D861" s="10"/>
      <c r="E861" s="10"/>
      <c r="F861" s="10"/>
      <c r="G861" s="10"/>
      <c r="H861" s="10"/>
      <c r="I861" s="10"/>
      <c r="J861" s="10"/>
      <c r="K861" s="66"/>
      <c r="L861" s="66"/>
      <c r="M861" s="66"/>
      <c r="N861" s="66"/>
      <c r="O861" s="66"/>
      <c r="P861" s="66"/>
      <c r="Q861" s="66"/>
      <c r="R861" s="63"/>
      <c r="S861" s="10"/>
      <c r="T861" s="10"/>
      <c r="U861" s="17"/>
      <c r="V861" s="10"/>
      <c r="W861" s="10"/>
      <c r="X861" s="10"/>
    </row>
    <row r="862" spans="1:24">
      <c r="A862" s="614"/>
      <c r="B862" s="11"/>
      <c r="C862" s="10"/>
      <c r="D862" s="10"/>
      <c r="E862" s="10"/>
      <c r="F862" s="10"/>
      <c r="G862" s="10"/>
      <c r="H862" s="10"/>
      <c r="I862" s="10"/>
      <c r="J862" s="10"/>
      <c r="K862" s="66"/>
      <c r="L862" s="66"/>
      <c r="M862" s="66"/>
      <c r="N862" s="66"/>
      <c r="O862" s="66"/>
      <c r="P862" s="66"/>
      <c r="Q862" s="66"/>
      <c r="R862" s="63"/>
      <c r="S862" s="10"/>
      <c r="T862" s="10"/>
      <c r="U862" s="17"/>
      <c r="V862" s="10"/>
      <c r="W862" s="10"/>
      <c r="X862" s="10"/>
    </row>
    <row r="863" spans="1:24">
      <c r="A863" s="614"/>
      <c r="B863" s="11"/>
      <c r="C863" s="10"/>
      <c r="D863" s="10"/>
      <c r="E863" s="10"/>
      <c r="F863" s="10"/>
      <c r="G863" s="10"/>
      <c r="H863" s="10"/>
      <c r="I863" s="10"/>
      <c r="J863" s="10"/>
      <c r="K863" s="66"/>
      <c r="L863" s="66"/>
      <c r="M863" s="66"/>
      <c r="N863" s="66"/>
      <c r="O863" s="66"/>
      <c r="P863" s="66"/>
      <c r="Q863" s="66"/>
      <c r="R863" s="63"/>
      <c r="S863" s="10"/>
      <c r="T863" s="10"/>
      <c r="U863" s="17"/>
      <c r="V863" s="10"/>
      <c r="W863" s="10"/>
      <c r="X863" s="10"/>
    </row>
    <row r="864" spans="1:24">
      <c r="A864" s="614"/>
      <c r="B864" s="11"/>
      <c r="C864" s="10"/>
      <c r="D864" s="10"/>
      <c r="E864" s="10"/>
      <c r="F864" s="10"/>
      <c r="G864" s="10"/>
      <c r="H864" s="10"/>
      <c r="I864" s="10"/>
      <c r="J864" s="10"/>
      <c r="K864" s="10"/>
      <c r="L864" s="10"/>
      <c r="M864" s="10"/>
      <c r="N864" s="10"/>
      <c r="O864" s="10"/>
      <c r="P864" s="10"/>
      <c r="Q864" s="10"/>
      <c r="R864" s="10"/>
      <c r="S864" s="10"/>
      <c r="T864" s="10"/>
      <c r="U864" s="17"/>
      <c r="V864" s="10"/>
      <c r="W864" s="10"/>
      <c r="X864" s="10"/>
    </row>
    <row r="865" spans="1:24">
      <c r="A865" s="614"/>
      <c r="B865" s="11"/>
      <c r="C865" s="10"/>
      <c r="D865" s="10"/>
      <c r="E865" s="10"/>
      <c r="F865" s="10"/>
      <c r="G865" s="10"/>
      <c r="H865" s="10"/>
      <c r="I865" s="10"/>
      <c r="J865" s="10"/>
      <c r="K865" s="10"/>
      <c r="L865" s="10"/>
      <c r="M865" s="10"/>
      <c r="N865" s="10"/>
      <c r="O865" s="10"/>
      <c r="P865" s="10"/>
      <c r="Q865" s="10"/>
      <c r="R865" s="10"/>
      <c r="S865" s="10"/>
      <c r="T865" s="10"/>
      <c r="U865" s="17"/>
      <c r="V865" s="10"/>
      <c r="W865" s="10"/>
      <c r="X865" s="10"/>
    </row>
    <row r="866" spans="1:24">
      <c r="A866" s="614"/>
      <c r="B866" s="18" t="s">
        <v>51</v>
      </c>
      <c r="C866" s="14"/>
      <c r="D866" s="14"/>
      <c r="E866" s="14"/>
      <c r="F866" s="13" t="s">
        <v>52</v>
      </c>
      <c r="G866" s="14"/>
      <c r="H866" s="14"/>
      <c r="I866" s="14"/>
      <c r="J866" s="14"/>
      <c r="K866" s="13" t="s">
        <v>3</v>
      </c>
      <c r="L866" s="14"/>
      <c r="M866" s="14"/>
      <c r="N866" s="13" t="s">
        <v>4</v>
      </c>
      <c r="O866" s="14"/>
      <c r="P866" s="14"/>
      <c r="Q866" s="13" t="s">
        <v>5</v>
      </c>
      <c r="R866" s="14"/>
      <c r="S866" s="14"/>
      <c r="T866" s="18"/>
      <c r="U866" s="16" t="s">
        <v>53</v>
      </c>
      <c r="V866" s="77"/>
      <c r="W866" s="77"/>
      <c r="X866" s="77"/>
    </row>
    <row r="867" spans="1:24">
      <c r="A867" s="614"/>
      <c r="B867" s="24" t="s">
        <v>54</v>
      </c>
      <c r="C867" s="21" t="s">
        <v>55</v>
      </c>
      <c r="D867" s="21" t="s">
        <v>56</v>
      </c>
      <c r="E867" s="21" t="s">
        <v>57</v>
      </c>
      <c r="F867" s="20" t="s">
        <v>58</v>
      </c>
      <c r="G867" s="21" t="s">
        <v>59</v>
      </c>
      <c r="H867" s="21" t="s">
        <v>60</v>
      </c>
      <c r="I867" s="21" t="s">
        <v>26</v>
      </c>
      <c r="J867" s="22" t="s">
        <v>61</v>
      </c>
      <c r="K867" s="21" t="s">
        <v>8</v>
      </c>
      <c r="L867" s="21" t="s">
        <v>9</v>
      </c>
      <c r="M867" s="21" t="s">
        <v>10</v>
      </c>
      <c r="N867" s="20" t="s">
        <v>11</v>
      </c>
      <c r="O867" s="21" t="s">
        <v>12</v>
      </c>
      <c r="P867" s="22" t="s">
        <v>13</v>
      </c>
      <c r="Q867" s="21" t="s">
        <v>11</v>
      </c>
      <c r="R867" s="21" t="s">
        <v>12</v>
      </c>
      <c r="S867" s="21" t="s">
        <v>13</v>
      </c>
      <c r="T867" s="78" t="s">
        <v>14</v>
      </c>
      <c r="U867" s="30"/>
      <c r="V867" s="79" t="s">
        <v>62</v>
      </c>
      <c r="W867" s="80" t="s">
        <v>63</v>
      </c>
      <c r="X867" s="81" t="s">
        <v>64</v>
      </c>
    </row>
    <row r="868" spans="1:24">
      <c r="A868" s="614"/>
      <c r="B868" s="4" t="s">
        <v>65</v>
      </c>
      <c r="C868" s="6"/>
      <c r="D868" s="6"/>
      <c r="E868" s="6"/>
      <c r="F868" s="6"/>
      <c r="G868" s="6"/>
      <c r="H868" s="6"/>
      <c r="I868" s="82"/>
      <c r="J868" s="6"/>
      <c r="K868" s="6"/>
      <c r="L868" s="6"/>
      <c r="M868" s="6"/>
      <c r="N868" s="6"/>
      <c r="O868" s="6"/>
      <c r="P868" s="6"/>
      <c r="Q868" s="6"/>
      <c r="R868" s="6"/>
      <c r="S868" s="6"/>
      <c r="T868" s="83"/>
      <c r="U868" s="6"/>
      <c r="V868" s="84"/>
      <c r="W868" s="85"/>
      <c r="X868" s="86"/>
    </row>
    <row r="869" spans="1:24">
      <c r="A869" s="614"/>
      <c r="B869" s="87">
        <v>1</v>
      </c>
      <c r="C869" s="274">
        <v>45929</v>
      </c>
      <c r="D869" s="327">
        <v>73686</v>
      </c>
      <c r="E869" s="276" t="s">
        <v>1028</v>
      </c>
      <c r="F869" s="277">
        <v>1264</v>
      </c>
      <c r="G869" s="277">
        <f>39.7+(47.7)</f>
        <v>87.4</v>
      </c>
      <c r="H869" s="297"/>
      <c r="I869" s="321">
        <f t="shared" ref="I869:I884" si="186">F869-G869-H869</f>
        <v>1176.5999999999999</v>
      </c>
      <c r="J869" s="279" t="s">
        <v>156</v>
      </c>
      <c r="K869" s="279">
        <v>1</v>
      </c>
      <c r="L869" s="279">
        <v>1</v>
      </c>
      <c r="M869" s="279">
        <v>1</v>
      </c>
      <c r="N869" s="279">
        <v>1</v>
      </c>
      <c r="O869" s="279">
        <v>1</v>
      </c>
      <c r="P869" s="279">
        <v>1</v>
      </c>
      <c r="Q869" s="279">
        <v>1</v>
      </c>
      <c r="R869" s="279">
        <v>1</v>
      </c>
      <c r="S869" s="328">
        <v>0</v>
      </c>
      <c r="T869" s="21">
        <v>1</v>
      </c>
      <c r="U869" s="10"/>
      <c r="V869" s="90">
        <v>1390.4</v>
      </c>
      <c r="W869" s="91"/>
      <c r="X869" s="92"/>
    </row>
    <row r="870" spans="1:24">
      <c r="A870" s="614" t="s">
        <v>230</v>
      </c>
      <c r="B870" s="87">
        <f t="shared" ref="B870:B884" si="187">B869+1</f>
        <v>2</v>
      </c>
      <c r="C870" s="295">
        <v>45929</v>
      </c>
      <c r="D870" s="323">
        <v>73717</v>
      </c>
      <c r="E870" s="10" t="s">
        <v>1695</v>
      </c>
      <c r="F870" s="62">
        <v>681</v>
      </c>
      <c r="G870" s="62"/>
      <c r="H870" s="62"/>
      <c r="I870" s="369">
        <f t="shared" si="186"/>
        <v>681</v>
      </c>
      <c r="J870" s="63" t="s">
        <v>156</v>
      </c>
      <c r="K870" s="63">
        <v>1</v>
      </c>
      <c r="L870" s="63">
        <v>1</v>
      </c>
      <c r="M870" s="63">
        <v>1</v>
      </c>
      <c r="N870" s="63">
        <v>1</v>
      </c>
      <c r="O870" s="63">
        <v>1</v>
      </c>
      <c r="P870" s="63">
        <v>1</v>
      </c>
      <c r="Q870" s="63">
        <v>1</v>
      </c>
      <c r="R870" s="325">
        <v>0</v>
      </c>
      <c r="S870" s="326">
        <v>0</v>
      </c>
      <c r="T870" s="63"/>
      <c r="U870" s="10"/>
      <c r="V870" s="90">
        <f>75+674.1</f>
        <v>749.1</v>
      </c>
      <c r="W870" s="91"/>
      <c r="X870" s="92"/>
    </row>
    <row r="871" spans="1:24">
      <c r="A871" s="614">
        <v>45930</v>
      </c>
      <c r="B871" s="87">
        <f>B870+1</f>
        <v>3</v>
      </c>
      <c r="C871" s="295">
        <v>45929</v>
      </c>
      <c r="D871" s="323">
        <v>73757</v>
      </c>
      <c r="E871" s="10" t="s">
        <v>673</v>
      </c>
      <c r="F871" s="62">
        <v>5814</v>
      </c>
      <c r="G871" s="62">
        <f>39.7+(1924.61)+250</f>
        <v>2214.31</v>
      </c>
      <c r="H871" s="62"/>
      <c r="I871" s="324">
        <f>F871-G871-H871</f>
        <v>3599.69</v>
      </c>
      <c r="J871" s="63" t="s">
        <v>228</v>
      </c>
      <c r="K871" s="63">
        <v>1</v>
      </c>
      <c r="L871" s="63">
        <v>1</v>
      </c>
      <c r="M871" s="63">
        <v>1</v>
      </c>
      <c r="N871" s="63">
        <v>1</v>
      </c>
      <c r="O871" s="63">
        <v>1</v>
      </c>
      <c r="P871" s="63">
        <v>1</v>
      </c>
      <c r="Q871" s="63">
        <v>1</v>
      </c>
      <c r="R871" s="63">
        <v>1</v>
      </c>
      <c r="S871" s="326">
        <v>0</v>
      </c>
      <c r="T871" s="63"/>
      <c r="U871" s="94" t="s">
        <v>3048</v>
      </c>
      <c r="V871" s="90">
        <f>630+5765.4</f>
        <v>6395.4</v>
      </c>
      <c r="W871" s="91"/>
      <c r="X871" s="92"/>
    </row>
    <row r="872" spans="1:24">
      <c r="A872" s="613"/>
      <c r="B872" s="87">
        <f>B871+1</f>
        <v>4</v>
      </c>
      <c r="C872" s="274">
        <v>45930</v>
      </c>
      <c r="D872" s="327">
        <v>73805</v>
      </c>
      <c r="E872" s="276" t="s">
        <v>1115</v>
      </c>
      <c r="F872" s="277">
        <v>1681</v>
      </c>
      <c r="G872" s="277">
        <v>39.700000000000003</v>
      </c>
      <c r="H872" s="277"/>
      <c r="I872" s="321">
        <f t="shared" si="186"/>
        <v>1641.3</v>
      </c>
      <c r="J872" s="279" t="s">
        <v>156</v>
      </c>
      <c r="K872" s="279">
        <v>1</v>
      </c>
      <c r="L872" s="279">
        <v>1</v>
      </c>
      <c r="M872" s="279">
        <v>1</v>
      </c>
      <c r="N872" s="279">
        <v>1</v>
      </c>
      <c r="O872" s="279">
        <v>1</v>
      </c>
      <c r="P872" s="279">
        <v>1</v>
      </c>
      <c r="Q872" s="279">
        <v>1</v>
      </c>
      <c r="R872" s="322">
        <v>0</v>
      </c>
      <c r="S872" s="328">
        <v>0</v>
      </c>
      <c r="T872" s="63"/>
      <c r="U872" s="10"/>
      <c r="V872" s="90">
        <f>185+1664.1</f>
        <v>1849.1</v>
      </c>
      <c r="W872" s="91"/>
      <c r="X872" s="92"/>
    </row>
    <row r="873" spans="1:24">
      <c r="A873" s="614"/>
      <c r="B873" s="87">
        <f t="shared" si="187"/>
        <v>5</v>
      </c>
      <c r="C873" s="295">
        <v>45930</v>
      </c>
      <c r="D873" s="323" t="s">
        <v>3049</v>
      </c>
      <c r="E873" s="10" t="s">
        <v>1115</v>
      </c>
      <c r="F873" s="62">
        <v>6214</v>
      </c>
      <c r="G873" s="62">
        <f>39.7+(84.91)+(212.99+505.34)+300</f>
        <v>1142.94</v>
      </c>
      <c r="H873" s="62"/>
      <c r="I873" s="89">
        <f t="shared" si="186"/>
        <v>5071.0599999999995</v>
      </c>
      <c r="J873" s="63" t="s">
        <v>236</v>
      </c>
      <c r="K873" s="63">
        <v>1</v>
      </c>
      <c r="L873" s="63">
        <v>1</v>
      </c>
      <c r="M873" s="63">
        <v>1</v>
      </c>
      <c r="N873" s="63">
        <v>1</v>
      </c>
      <c r="O873" s="63">
        <v>1</v>
      </c>
      <c r="P873" s="63">
        <v>1</v>
      </c>
      <c r="Q873" s="63">
        <v>1</v>
      </c>
      <c r="R873" s="63">
        <v>1</v>
      </c>
      <c r="S873" s="296">
        <v>1</v>
      </c>
      <c r="T873" s="63"/>
      <c r="U873" s="10" t="s">
        <v>3050</v>
      </c>
      <c r="V873" s="90">
        <f>680+5955.4</f>
        <v>6635.4</v>
      </c>
      <c r="W873" s="440">
        <v>200</v>
      </c>
      <c r="X873" s="92"/>
    </row>
    <row r="874" spans="1:24">
      <c r="A874" s="614">
        <v>45931</v>
      </c>
      <c r="B874" s="87">
        <f t="shared" si="187"/>
        <v>6</v>
      </c>
      <c r="C874" s="295">
        <v>45930</v>
      </c>
      <c r="D874" s="323">
        <v>73803</v>
      </c>
      <c r="E874" s="10" t="s">
        <v>1169</v>
      </c>
      <c r="F874" s="62">
        <v>5232.6000000000004</v>
      </c>
      <c r="G874" s="62">
        <f>39.7+(1493.59)+250</f>
        <v>1783.29</v>
      </c>
      <c r="H874" s="62"/>
      <c r="I874" s="324">
        <f t="shared" ref="I874" si="188">F874-G874-H874</f>
        <v>3449.3100000000004</v>
      </c>
      <c r="J874" s="63" t="s">
        <v>156</v>
      </c>
      <c r="K874" s="63">
        <v>1</v>
      </c>
      <c r="L874" s="63">
        <v>1</v>
      </c>
      <c r="M874" s="63">
        <v>1</v>
      </c>
      <c r="N874" s="63">
        <v>1</v>
      </c>
      <c r="O874" s="63">
        <v>1</v>
      </c>
      <c r="P874" s="63">
        <v>1</v>
      </c>
      <c r="Q874" s="63">
        <v>1</v>
      </c>
      <c r="R874" s="63">
        <v>1</v>
      </c>
      <c r="S874" s="326">
        <v>0</v>
      </c>
      <c r="T874" s="63"/>
      <c r="U874" s="94" t="s">
        <v>3051</v>
      </c>
      <c r="V874" s="90">
        <f>580+5175.86</f>
        <v>5755.86</v>
      </c>
      <c r="W874" s="91"/>
      <c r="X874" s="92"/>
    </row>
    <row r="875" spans="1:24">
      <c r="A875" s="614"/>
      <c r="B875" s="87">
        <f t="shared" si="187"/>
        <v>7</v>
      </c>
      <c r="C875" s="274">
        <v>45931</v>
      </c>
      <c r="D875" s="327">
        <v>73881</v>
      </c>
      <c r="E875" s="276" t="s">
        <v>1509</v>
      </c>
      <c r="F875" s="277">
        <v>1461</v>
      </c>
      <c r="G875" s="277">
        <f>39.7+(132.76)</f>
        <v>172.45999999999998</v>
      </c>
      <c r="H875" s="297"/>
      <c r="I875" s="278">
        <f t="shared" si="186"/>
        <v>1288.54</v>
      </c>
      <c r="J875" s="279" t="s">
        <v>156</v>
      </c>
      <c r="K875" s="279">
        <v>1</v>
      </c>
      <c r="L875" s="279">
        <v>1</v>
      </c>
      <c r="M875" s="279">
        <v>1</v>
      </c>
      <c r="N875" s="279">
        <v>1</v>
      </c>
      <c r="O875" s="279">
        <v>1</v>
      </c>
      <c r="P875" s="279">
        <v>1</v>
      </c>
      <c r="Q875" s="279">
        <v>1</v>
      </c>
      <c r="R875" s="279">
        <v>1</v>
      </c>
      <c r="S875" s="280">
        <v>1</v>
      </c>
      <c r="T875" s="21">
        <v>1</v>
      </c>
      <c r="U875" s="10"/>
      <c r="V875" s="90">
        <f>160+1447.1</f>
        <v>1607.1</v>
      </c>
      <c r="W875" s="91"/>
      <c r="X875" s="92"/>
    </row>
    <row r="876" spans="1:24" s="260" customFormat="1">
      <c r="A876" s="704" t="s">
        <v>230</v>
      </c>
      <c r="B876" s="87">
        <f>B875+1</f>
        <v>8</v>
      </c>
      <c r="C876" s="295">
        <v>45931</v>
      </c>
      <c r="D876" s="323">
        <v>73885</v>
      </c>
      <c r="E876" s="10" t="s">
        <v>1256</v>
      </c>
      <c r="F876" s="62">
        <v>4978.66</v>
      </c>
      <c r="G876" s="62">
        <f>39.7+(134.85+1344.89+77.41+58.47)+250</f>
        <v>1905.3200000000002</v>
      </c>
      <c r="H876" s="62">
        <f>F876*0.2</f>
        <v>995.73199999999997</v>
      </c>
      <c r="I876" s="369">
        <f>F876-G876-H876</f>
        <v>2077.6079999999997</v>
      </c>
      <c r="J876" s="63" t="s">
        <v>817</v>
      </c>
      <c r="K876" s="63">
        <v>1</v>
      </c>
      <c r="L876" s="63">
        <v>1</v>
      </c>
      <c r="M876" s="63">
        <v>1</v>
      </c>
      <c r="N876" s="63">
        <v>1</v>
      </c>
      <c r="O876" s="63">
        <v>1</v>
      </c>
      <c r="P876" s="63">
        <v>1</v>
      </c>
      <c r="Q876" s="63">
        <v>1</v>
      </c>
      <c r="R876" s="63">
        <v>1</v>
      </c>
      <c r="S876" s="326">
        <v>0</v>
      </c>
      <c r="T876" s="63"/>
      <c r="U876" s="94" t="s">
        <v>3052</v>
      </c>
      <c r="V876" s="90">
        <v>4826.53</v>
      </c>
      <c r="W876" s="456">
        <v>650</v>
      </c>
      <c r="X876" s="92"/>
    </row>
    <row r="877" spans="1:24">
      <c r="A877" s="614">
        <v>45932</v>
      </c>
      <c r="B877" s="87">
        <f>B876+1</f>
        <v>9</v>
      </c>
      <c r="C877" s="295">
        <v>45931</v>
      </c>
      <c r="D877" s="323">
        <v>73890</v>
      </c>
      <c r="E877" s="10" t="s">
        <v>1260</v>
      </c>
      <c r="F877" s="62">
        <v>5814</v>
      </c>
      <c r="G877" s="62">
        <f>39.7+(1398.78)</f>
        <v>1438.48</v>
      </c>
      <c r="H877" s="62"/>
      <c r="I877" s="324">
        <f>F877-G877-H877</f>
        <v>4375.5200000000004</v>
      </c>
      <c r="J877" s="63" t="s">
        <v>374</v>
      </c>
      <c r="K877" s="63">
        <v>1</v>
      </c>
      <c r="L877" s="63">
        <v>1</v>
      </c>
      <c r="M877" s="63">
        <v>1</v>
      </c>
      <c r="N877" s="63">
        <v>1</v>
      </c>
      <c r="O877" s="63">
        <v>1</v>
      </c>
      <c r="P877" s="63">
        <v>1</v>
      </c>
      <c r="Q877" s="63">
        <v>1</v>
      </c>
      <c r="R877" s="325">
        <v>0</v>
      </c>
      <c r="S877" s="326">
        <v>0</v>
      </c>
      <c r="T877" s="63"/>
      <c r="U877" s="94" t="s">
        <v>3053</v>
      </c>
      <c r="V877" s="90">
        <f>600+5795.4</f>
        <v>6395.4</v>
      </c>
      <c r="W877" s="91"/>
      <c r="X877" s="92"/>
    </row>
    <row r="878" spans="1:24">
      <c r="A878" s="614"/>
      <c r="B878" s="87">
        <f>B877+1</f>
        <v>10</v>
      </c>
      <c r="C878" s="282">
        <v>45931</v>
      </c>
      <c r="D878" s="368">
        <v>73894</v>
      </c>
      <c r="E878" s="283" t="s">
        <v>1338</v>
      </c>
      <c r="F878" s="284">
        <v>1614</v>
      </c>
      <c r="G878" s="284">
        <f>39.7</f>
        <v>39.700000000000003</v>
      </c>
      <c r="H878" s="315"/>
      <c r="I878" s="331">
        <f t="shared" si="186"/>
        <v>1574.3</v>
      </c>
      <c r="J878" s="286" t="s">
        <v>236</v>
      </c>
      <c r="K878" s="286">
        <v>1</v>
      </c>
      <c r="L878" s="286">
        <v>1</v>
      </c>
      <c r="M878" s="286">
        <v>1</v>
      </c>
      <c r="N878" s="286">
        <v>1</v>
      </c>
      <c r="O878" s="286">
        <v>1</v>
      </c>
      <c r="P878" s="286">
        <v>1</v>
      </c>
      <c r="Q878" s="332">
        <v>0</v>
      </c>
      <c r="R878" s="332">
        <v>0</v>
      </c>
      <c r="S878" s="370">
        <v>0</v>
      </c>
      <c r="T878" s="63"/>
      <c r="U878" s="10" t="s">
        <v>3054</v>
      </c>
      <c r="V878" s="90">
        <v>1575.4</v>
      </c>
      <c r="W878" s="440">
        <v>200</v>
      </c>
      <c r="X878" s="92"/>
    </row>
    <row r="879" spans="1:24">
      <c r="A879" s="614" t="s">
        <v>3055</v>
      </c>
      <c r="B879" s="87">
        <f>B878+1</f>
        <v>11</v>
      </c>
      <c r="C879" s="295">
        <v>45932</v>
      </c>
      <c r="D879" s="323">
        <v>73904</v>
      </c>
      <c r="E879" s="10" t="s">
        <v>446</v>
      </c>
      <c r="F879" s="62">
        <v>3861</v>
      </c>
      <c r="G879" s="62">
        <f>39.7+(6.45)+(72.41+93.36)+300</f>
        <v>511.91999999999996</v>
      </c>
      <c r="H879" s="62"/>
      <c r="I879" s="89">
        <f>F879-G879-H879</f>
        <v>3349.08</v>
      </c>
      <c r="J879" s="63" t="s">
        <v>228</v>
      </c>
      <c r="K879" s="63">
        <v>1</v>
      </c>
      <c r="L879" s="63">
        <v>1</v>
      </c>
      <c r="M879" s="63">
        <v>1</v>
      </c>
      <c r="N879" s="63">
        <v>1</v>
      </c>
      <c r="O879" s="63">
        <v>1</v>
      </c>
      <c r="P879" s="63">
        <v>1</v>
      </c>
      <c r="Q879" s="63">
        <v>1</v>
      </c>
      <c r="R879" s="63">
        <v>1</v>
      </c>
      <c r="S879" s="296">
        <v>1</v>
      </c>
      <c r="T879" s="21">
        <v>1</v>
      </c>
      <c r="U879" s="94" t="s">
        <v>3056</v>
      </c>
      <c r="V879" s="90">
        <f>400+3847.1</f>
        <v>4247.1000000000004</v>
      </c>
      <c r="W879" s="91"/>
      <c r="X879" s="92"/>
    </row>
    <row r="880" spans="1:24">
      <c r="A880" s="614"/>
      <c r="B880" s="87">
        <f>B879+1</f>
        <v>12</v>
      </c>
      <c r="C880" s="295">
        <v>45932</v>
      </c>
      <c r="D880" s="323">
        <v>73940</v>
      </c>
      <c r="E880" s="10" t="s">
        <v>1260</v>
      </c>
      <c r="F880" s="62">
        <v>628</v>
      </c>
      <c r="G880" s="62"/>
      <c r="H880" s="88"/>
      <c r="I880" s="324">
        <f t="shared" si="186"/>
        <v>628</v>
      </c>
      <c r="J880" s="63" t="s">
        <v>156</v>
      </c>
      <c r="K880" s="63">
        <v>1</v>
      </c>
      <c r="L880" s="63">
        <v>1</v>
      </c>
      <c r="M880" s="63">
        <v>1</v>
      </c>
      <c r="N880" s="63">
        <v>1</v>
      </c>
      <c r="O880" s="63">
        <v>1</v>
      </c>
      <c r="P880" s="63">
        <v>1</v>
      </c>
      <c r="Q880" s="325">
        <v>0</v>
      </c>
      <c r="R880" s="325">
        <v>0</v>
      </c>
      <c r="S880" s="326">
        <v>0</v>
      </c>
      <c r="T880" s="21">
        <v>1</v>
      </c>
      <c r="U880" s="10"/>
      <c r="V880" s="90">
        <v>690.8</v>
      </c>
      <c r="W880" s="91"/>
      <c r="X880" s="92"/>
    </row>
    <row r="881" spans="1:29">
      <c r="A881" s="614"/>
      <c r="B881" s="87">
        <f t="shared" si="187"/>
        <v>13</v>
      </c>
      <c r="C881" s="295">
        <v>45932</v>
      </c>
      <c r="D881" s="323">
        <v>73973</v>
      </c>
      <c r="E881" s="10" t="s">
        <v>1260</v>
      </c>
      <c r="F881" s="62">
        <v>1081.8</v>
      </c>
      <c r="G881" s="62">
        <f>39.7</f>
        <v>39.700000000000003</v>
      </c>
      <c r="H881" s="88"/>
      <c r="I881" s="324">
        <f t="shared" si="186"/>
        <v>1042.0999999999999</v>
      </c>
      <c r="J881" s="63" t="s">
        <v>156</v>
      </c>
      <c r="K881" s="63">
        <v>1</v>
      </c>
      <c r="L881" s="325">
        <v>0</v>
      </c>
      <c r="M881" s="63">
        <v>1</v>
      </c>
      <c r="N881" s="63">
        <v>1</v>
      </c>
      <c r="O881" s="63">
        <v>1</v>
      </c>
      <c r="P881" s="63">
        <v>1</v>
      </c>
      <c r="Q881" s="325">
        <v>0</v>
      </c>
      <c r="R881" s="325">
        <v>0</v>
      </c>
      <c r="S881" s="326">
        <v>0</v>
      </c>
      <c r="T881" s="63"/>
      <c r="U881" s="10"/>
      <c r="V881" s="90">
        <v>1189.98</v>
      </c>
      <c r="W881" s="91"/>
      <c r="X881" s="92"/>
    </row>
    <row r="882" spans="1:29">
      <c r="A882" s="614"/>
      <c r="B882" s="87">
        <f t="shared" si="187"/>
        <v>14</v>
      </c>
      <c r="C882" s="274">
        <v>45933</v>
      </c>
      <c r="D882" s="327">
        <v>73989</v>
      </c>
      <c r="E882" s="276" t="s">
        <v>1284</v>
      </c>
      <c r="F882" s="277">
        <v>681</v>
      </c>
      <c r="G882" s="277">
        <f>+(17.38)</f>
        <v>17.38</v>
      </c>
      <c r="H882" s="297"/>
      <c r="I882" s="321">
        <f t="shared" si="186"/>
        <v>663.62</v>
      </c>
      <c r="J882" s="279" t="s">
        <v>156</v>
      </c>
      <c r="K882" s="279">
        <v>1</v>
      </c>
      <c r="L882" s="279">
        <v>1</v>
      </c>
      <c r="M882" s="279">
        <v>1</v>
      </c>
      <c r="N882" s="279">
        <v>1</v>
      </c>
      <c r="O882" s="279">
        <v>1</v>
      </c>
      <c r="P882" s="279">
        <v>1</v>
      </c>
      <c r="Q882" s="322">
        <v>0</v>
      </c>
      <c r="R882" s="322">
        <v>0</v>
      </c>
      <c r="S882" s="328">
        <v>0</v>
      </c>
      <c r="T882" s="21">
        <v>1</v>
      </c>
      <c r="U882" s="10"/>
      <c r="V882" s="90">
        <v>749.1</v>
      </c>
      <c r="W882" s="91"/>
      <c r="X882" s="92"/>
    </row>
    <row r="883" spans="1:29">
      <c r="A883" s="614" t="s">
        <v>230</v>
      </c>
      <c r="B883" s="87">
        <f t="shared" si="187"/>
        <v>15</v>
      </c>
      <c r="C883" s="295">
        <v>45933</v>
      </c>
      <c r="D883" s="323">
        <v>73997</v>
      </c>
      <c r="E883" s="10" t="s">
        <v>1509</v>
      </c>
      <c r="F883" s="95">
        <v>681</v>
      </c>
      <c r="G883" s="62"/>
      <c r="H883" s="62"/>
      <c r="I883" s="369">
        <f t="shared" si="186"/>
        <v>681</v>
      </c>
      <c r="J883" s="63" t="s">
        <v>156</v>
      </c>
      <c r="K883" s="63">
        <v>1</v>
      </c>
      <c r="L883" s="63">
        <v>1</v>
      </c>
      <c r="M883" s="63">
        <v>1</v>
      </c>
      <c r="N883" s="63">
        <v>1</v>
      </c>
      <c r="O883" s="63">
        <v>1</v>
      </c>
      <c r="P883" s="63">
        <v>1</v>
      </c>
      <c r="Q883" s="325">
        <v>0</v>
      </c>
      <c r="R883" s="325">
        <v>0</v>
      </c>
      <c r="S883" s="326">
        <v>0</v>
      </c>
      <c r="T883" s="63"/>
      <c r="U883" s="10" t="s">
        <v>3057</v>
      </c>
      <c r="V883" s="90">
        <v>749.1</v>
      </c>
      <c r="W883" s="91"/>
      <c r="X883" s="92"/>
    </row>
    <row r="884" spans="1:29">
      <c r="A884" s="614" t="s">
        <v>230</v>
      </c>
      <c r="B884" s="87">
        <f t="shared" si="187"/>
        <v>16</v>
      </c>
      <c r="C884" s="282">
        <v>45933</v>
      </c>
      <c r="D884" s="368" t="s">
        <v>3058</v>
      </c>
      <c r="E884" s="283" t="s">
        <v>1319</v>
      </c>
      <c r="F884" s="423">
        <v>1152.9000000000001</v>
      </c>
      <c r="G884" s="284">
        <f>39.7</f>
        <v>39.700000000000003</v>
      </c>
      <c r="H884" s="284"/>
      <c r="I884" s="331">
        <f t="shared" si="186"/>
        <v>1113.2</v>
      </c>
      <c r="J884" s="286" t="s">
        <v>156</v>
      </c>
      <c r="K884" s="286">
        <v>1</v>
      </c>
      <c r="L884" s="286">
        <v>1</v>
      </c>
      <c r="M884" s="286">
        <v>1</v>
      </c>
      <c r="N884" s="286">
        <v>1</v>
      </c>
      <c r="O884" s="286">
        <v>1</v>
      </c>
      <c r="P884" s="332">
        <v>0</v>
      </c>
      <c r="Q884" s="332">
        <v>0</v>
      </c>
      <c r="R884" s="332">
        <v>0</v>
      </c>
      <c r="S884" s="370">
        <v>0</v>
      </c>
      <c r="T884" s="21">
        <v>1</v>
      </c>
      <c r="U884" s="10" t="s">
        <v>3059</v>
      </c>
      <c r="V884" s="90">
        <v>1268.19</v>
      </c>
      <c r="W884" s="91"/>
      <c r="X884" s="92"/>
    </row>
    <row r="885" spans="1:29">
      <c r="A885" s="614"/>
      <c r="B885" s="87"/>
      <c r="C885" s="36"/>
      <c r="D885" s="10"/>
      <c r="E885" s="10"/>
      <c r="F885" s="97">
        <f>SUM(F869:F884)</f>
        <v>42839.96</v>
      </c>
      <c r="G885" s="97">
        <f>SUM(G869:G884)</f>
        <v>9432.3000000000011</v>
      </c>
      <c r="H885" s="97">
        <f>SUM(H869:H884)</f>
        <v>995.73199999999997</v>
      </c>
      <c r="I885" s="98">
        <f>SUM(I869:I884)</f>
        <v>32411.928</v>
      </c>
      <c r="J885" s="63"/>
      <c r="K885" s="63">
        <f>COUNT(K869:K884)</f>
        <v>16</v>
      </c>
      <c r="L885" s="63">
        <f>COUNT(L869:L884)</f>
        <v>16</v>
      </c>
      <c r="M885" s="63">
        <f>COUNT(M869:M884)</f>
        <v>16</v>
      </c>
      <c r="N885" s="63">
        <f>COUNT(N869:N884)</f>
        <v>16</v>
      </c>
      <c r="O885" s="63">
        <f>COUNT(O869:O884)</f>
        <v>16</v>
      </c>
      <c r="P885" s="63">
        <f>COUNT(P869:P884)</f>
        <v>16</v>
      </c>
      <c r="Q885" s="63">
        <f>COUNT(Q869:Q884)</f>
        <v>16</v>
      </c>
      <c r="R885" s="63">
        <f>COUNT(R869:R884)</f>
        <v>16</v>
      </c>
      <c r="S885" s="63">
        <f>COUNT(S869:S884)</f>
        <v>16</v>
      </c>
      <c r="T885" s="63"/>
      <c r="U885" s="10"/>
      <c r="V885" s="90"/>
      <c r="W885" s="91"/>
      <c r="X885" s="92"/>
    </row>
    <row r="886" spans="1:29">
      <c r="A886" s="614"/>
      <c r="B886" s="87"/>
      <c r="C886" s="36"/>
      <c r="D886" s="10"/>
      <c r="E886" s="10"/>
      <c r="F886" s="88"/>
      <c r="G886" s="88"/>
      <c r="H886" s="88"/>
      <c r="I886" s="99"/>
      <c r="J886" s="63"/>
      <c r="K886" s="21">
        <f>SUM(K869:K884)</f>
        <v>16</v>
      </c>
      <c r="L886" s="21">
        <f>SUM(L869:L884)</f>
        <v>15</v>
      </c>
      <c r="M886" s="21">
        <f>SUM(M869:M884)</f>
        <v>16</v>
      </c>
      <c r="N886" s="21">
        <f>SUM(N869:N884)</f>
        <v>16</v>
      </c>
      <c r="O886" s="21">
        <f>SUM(O869:O884)</f>
        <v>16</v>
      </c>
      <c r="P886" s="21">
        <f>SUM(P869:P884)</f>
        <v>15</v>
      </c>
      <c r="Q886" s="21">
        <f>SUM(Q869:Q884)</f>
        <v>10</v>
      </c>
      <c r="R886" s="21">
        <f>SUM(R869:R884)</f>
        <v>7</v>
      </c>
      <c r="S886" s="21">
        <f>SUM(S869:S884)</f>
        <v>3</v>
      </c>
      <c r="T886" s="63"/>
      <c r="U886" s="10"/>
      <c r="V886" s="90"/>
      <c r="W886" s="91"/>
      <c r="X886" s="92"/>
    </row>
    <row r="887" spans="1:29">
      <c r="A887" s="614"/>
      <c r="B887" s="87"/>
      <c r="C887" s="36"/>
      <c r="D887" s="10"/>
      <c r="E887" s="10"/>
      <c r="F887" s="88"/>
      <c r="G887" s="88"/>
      <c r="H887" s="88"/>
      <c r="I887" s="99"/>
      <c r="J887" s="63"/>
      <c r="K887" s="21"/>
      <c r="L887" s="21"/>
      <c r="M887" s="21"/>
      <c r="N887" s="21"/>
      <c r="O887" s="21"/>
      <c r="P887" s="21"/>
      <c r="Q887" s="21"/>
      <c r="R887" s="21"/>
      <c r="S887" s="21"/>
      <c r="T887" s="63"/>
      <c r="U887" s="10"/>
      <c r="V887" s="90"/>
      <c r="W887" s="91"/>
      <c r="X887" s="92"/>
    </row>
    <row r="888" spans="1:29" s="2" customFormat="1">
      <c r="A888" s="614"/>
      <c r="B888" s="100" t="s">
        <v>67</v>
      </c>
      <c r="C888" s="609"/>
      <c r="D888" s="10"/>
      <c r="E888" s="10"/>
      <c r="F888" s="88"/>
      <c r="G888" s="62"/>
      <c r="H888" s="88"/>
      <c r="I888" s="99"/>
      <c r="J888" s="63"/>
      <c r="T888" s="63"/>
      <c r="U888" s="94"/>
      <c r="V888" s="90"/>
      <c r="W888" s="91"/>
      <c r="X888" s="92"/>
    </row>
    <row r="889" spans="1:29" s="2" customFormat="1">
      <c r="A889" s="380" t="s">
        <v>3060</v>
      </c>
      <c r="B889" s="372">
        <v>1</v>
      </c>
      <c r="C889" s="373">
        <v>45881</v>
      </c>
      <c r="D889" s="263">
        <v>72270</v>
      </c>
      <c r="E889" s="391" t="s">
        <v>1120</v>
      </c>
      <c r="F889" s="375">
        <f>11380-2000</f>
        <v>9380</v>
      </c>
      <c r="G889" s="375">
        <f>39.7+(227.91)+300</f>
        <v>567.61</v>
      </c>
      <c r="H889" s="375"/>
      <c r="I889" s="376">
        <f>F889-G889-H889</f>
        <v>8812.39</v>
      </c>
      <c r="J889" s="314" t="s">
        <v>156</v>
      </c>
      <c r="K889" s="314">
        <v>1</v>
      </c>
      <c r="L889" s="314">
        <v>1</v>
      </c>
      <c r="M889" s="314">
        <v>1</v>
      </c>
      <c r="N889" s="314">
        <v>1</v>
      </c>
      <c r="O889" s="314">
        <v>1</v>
      </c>
      <c r="P889" s="314">
        <v>0</v>
      </c>
      <c r="Q889" s="314">
        <v>0</v>
      </c>
      <c r="R889" s="314">
        <v>0</v>
      </c>
      <c r="S889" s="366">
        <v>0</v>
      </c>
      <c r="T889" s="325"/>
      <c r="U889" s="430" t="s">
        <v>2872</v>
      </c>
      <c r="V889" s="377"/>
      <c r="W889" s="392"/>
      <c r="X889" s="379"/>
      <c r="Y889" s="381"/>
      <c r="Z889" s="381"/>
      <c r="AA889" s="381"/>
      <c r="AB889" s="381"/>
      <c r="AC889" s="381"/>
    </row>
    <row r="890" spans="1:29" s="2" customFormat="1">
      <c r="A890" s="380" t="s">
        <v>3061</v>
      </c>
      <c r="B890" s="372">
        <f>B889+1</f>
        <v>2</v>
      </c>
      <c r="C890" s="373">
        <v>45880</v>
      </c>
      <c r="D890" s="263">
        <v>72052</v>
      </c>
      <c r="E890" s="391" t="s">
        <v>1047</v>
      </c>
      <c r="F890" s="375">
        <v>2000</v>
      </c>
      <c r="G890" s="375">
        <f>39.7+300</f>
        <v>339.7</v>
      </c>
      <c r="H890" s="375"/>
      <c r="I890" s="376">
        <f>F890-G890-H890</f>
        <v>1660.3</v>
      </c>
      <c r="J890" s="314" t="s">
        <v>150</v>
      </c>
      <c r="K890" s="314">
        <v>1</v>
      </c>
      <c r="L890" s="314"/>
      <c r="M890" s="314">
        <v>0</v>
      </c>
      <c r="N890" s="314">
        <v>1</v>
      </c>
      <c r="O890" s="314">
        <v>1</v>
      </c>
      <c r="P890" s="314">
        <v>1</v>
      </c>
      <c r="Q890" s="314"/>
      <c r="R890" s="314"/>
      <c r="S890" s="366"/>
      <c r="T890" s="325"/>
      <c r="U890" s="430" t="s">
        <v>2902</v>
      </c>
      <c r="V890" s="377"/>
      <c r="W890" s="392"/>
      <c r="X890" s="379"/>
      <c r="Y890" s="381"/>
      <c r="Z890" s="381"/>
      <c r="AA890" s="381"/>
      <c r="AB890" s="381"/>
      <c r="AC890" s="381"/>
    </row>
    <row r="891" spans="1:29" s="2" customFormat="1">
      <c r="A891" s="380" t="s">
        <v>3062</v>
      </c>
      <c r="B891" s="372">
        <f>B890+1</f>
        <v>3</v>
      </c>
      <c r="C891" s="373">
        <v>45923</v>
      </c>
      <c r="D891" s="263">
        <v>73565</v>
      </c>
      <c r="E891" s="391" t="s">
        <v>1169</v>
      </c>
      <c r="F891" s="375">
        <v>8214</v>
      </c>
      <c r="G891" s="375">
        <f>39.7+(74.04+29.42+82.17+78.93)+(174.85+111.55+58.59+24.75)+750</f>
        <v>1424</v>
      </c>
      <c r="H891" s="375"/>
      <c r="I891" s="376">
        <f>F891-G891-H891</f>
        <v>6790</v>
      </c>
      <c r="J891" s="314" t="s">
        <v>156</v>
      </c>
      <c r="K891" s="314">
        <v>1</v>
      </c>
      <c r="L891" s="314"/>
      <c r="M891" s="314">
        <v>1</v>
      </c>
      <c r="N891" s="314">
        <v>1</v>
      </c>
      <c r="O891" s="314">
        <v>1</v>
      </c>
      <c r="P891" s="314">
        <v>0</v>
      </c>
      <c r="Q891" s="314"/>
      <c r="R891" s="314"/>
      <c r="S891" s="366"/>
      <c r="T891" s="325"/>
      <c r="U891" s="430" t="s">
        <v>3029</v>
      </c>
      <c r="V891" s="377"/>
      <c r="W891" s="392"/>
      <c r="X891" s="379"/>
      <c r="Y891" s="381"/>
      <c r="Z891" s="381"/>
      <c r="AA891" s="381"/>
      <c r="AB891" s="381"/>
      <c r="AC891" s="381"/>
    </row>
    <row r="892" spans="1:29" s="2" customFormat="1">
      <c r="A892" s="614"/>
      <c r="B892" s="11"/>
      <c r="C892" s="609"/>
      <c r="D892" s="10"/>
      <c r="E892" s="10"/>
      <c r="F892" s="97">
        <f>SUM(F889:F891)</f>
        <v>19594</v>
      </c>
      <c r="G892" s="97">
        <f>SUM(G889:G891)</f>
        <v>2331.31</v>
      </c>
      <c r="H892" s="97">
        <f>SUM(H889:H891)</f>
        <v>0</v>
      </c>
      <c r="I892" s="98">
        <f>SUM(I889:I891)</f>
        <v>17262.689999999999</v>
      </c>
      <c r="J892" s="63"/>
      <c r="K892" s="21"/>
      <c r="L892" s="21"/>
      <c r="M892" s="21"/>
      <c r="N892" s="21"/>
      <c r="O892" s="21"/>
      <c r="P892" s="21"/>
      <c r="Q892" s="21"/>
      <c r="R892" s="21"/>
      <c r="S892" s="21"/>
      <c r="T892" s="63"/>
      <c r="U892" s="94"/>
      <c r="V892" s="90"/>
      <c r="W892" s="91"/>
      <c r="X892" s="92"/>
    </row>
    <row r="893" spans="1:29" s="2" customFormat="1">
      <c r="A893" s="614"/>
      <c r="B893" s="11"/>
      <c r="C893" s="609"/>
      <c r="D893" s="10"/>
      <c r="E893" s="10"/>
      <c r="F893" s="88"/>
      <c r="G893" s="88"/>
      <c r="H893" s="88"/>
      <c r="I893" s="99"/>
      <c r="J893" s="63"/>
      <c r="K893" s="21"/>
      <c r="L893" s="21"/>
      <c r="M893" s="21"/>
      <c r="N893" s="21"/>
      <c r="O893" s="21"/>
      <c r="P893" s="21"/>
      <c r="Q893" s="21"/>
      <c r="R893" s="21"/>
      <c r="S893" s="21"/>
      <c r="T893" s="63"/>
      <c r="U893" s="94"/>
      <c r="V893" s="90"/>
      <c r="W893" s="91"/>
      <c r="X893" s="92"/>
    </row>
    <row r="894" spans="1:29">
      <c r="A894" s="614"/>
      <c r="B894" s="11"/>
      <c r="C894" s="609"/>
      <c r="D894" s="10"/>
      <c r="E894" s="10"/>
      <c r="F894" s="88"/>
      <c r="G894" s="88"/>
      <c r="H894" s="88"/>
      <c r="I894" s="99"/>
      <c r="J894" s="63"/>
      <c r="K894" s="21"/>
      <c r="L894" s="21"/>
      <c r="M894" s="21"/>
      <c r="N894" s="21"/>
      <c r="O894" s="21"/>
      <c r="P894" s="21"/>
      <c r="Q894" s="21"/>
      <c r="R894" s="21"/>
      <c r="S894" s="21"/>
      <c r="T894" s="63"/>
      <c r="U894" s="94"/>
      <c r="V894" s="90"/>
      <c r="W894" s="91"/>
      <c r="X894" s="92"/>
    </row>
    <row r="895" spans="1:29">
      <c r="A895" s="615"/>
      <c r="B895" s="121" t="s">
        <v>68</v>
      </c>
      <c r="C895" s="611"/>
      <c r="D895" s="123"/>
      <c r="E895" s="123"/>
      <c r="F895" s="124"/>
      <c r="G895" s="125"/>
      <c r="H895" s="124"/>
      <c r="I895" s="126"/>
      <c r="J895" s="127"/>
      <c r="K895" s="128"/>
      <c r="L895" s="128"/>
      <c r="M895" s="128"/>
      <c r="N895" s="128"/>
      <c r="O895" s="128"/>
      <c r="P895" s="128"/>
      <c r="Q895" s="128"/>
      <c r="R895" s="128"/>
      <c r="S895" s="128"/>
      <c r="T895" s="127"/>
      <c r="U895" s="123"/>
      <c r="V895" s="129"/>
      <c r="W895" s="130"/>
      <c r="X895" s="131"/>
    </row>
    <row r="896" spans="1:29" s="342" customFormat="1">
      <c r="A896" s="261">
        <v>0.05</v>
      </c>
      <c r="B896" s="333">
        <v>1</v>
      </c>
      <c r="C896" s="334">
        <v>45929</v>
      </c>
      <c r="D896" s="327">
        <v>73733</v>
      </c>
      <c r="E896" s="394" t="s">
        <v>1045</v>
      </c>
      <c r="F896" s="336">
        <v>986</v>
      </c>
      <c r="G896" s="336">
        <f>39.7</f>
        <v>39.700000000000003</v>
      </c>
      <c r="H896" s="336"/>
      <c r="I896" s="337">
        <f t="shared" ref="I896:I897" si="189">F896-G896-H896</f>
        <v>946.3</v>
      </c>
      <c r="J896" s="338"/>
      <c r="K896" s="338">
        <v>1</v>
      </c>
      <c r="L896" s="338">
        <v>1</v>
      </c>
      <c r="M896" s="338"/>
      <c r="N896" s="338">
        <v>1</v>
      </c>
      <c r="O896" s="338">
        <v>1</v>
      </c>
      <c r="P896" s="338">
        <v>1</v>
      </c>
      <c r="Q896" s="338">
        <v>1</v>
      </c>
      <c r="R896" s="338">
        <v>1</v>
      </c>
      <c r="S896" s="339">
        <v>1</v>
      </c>
      <c r="T896" s="127"/>
      <c r="U896" s="123"/>
      <c r="V896" s="129"/>
      <c r="W896" s="130"/>
      <c r="X896" s="131"/>
    </row>
    <row r="897" spans="1:24" s="342" customFormat="1">
      <c r="A897" s="261">
        <v>0.05</v>
      </c>
      <c r="B897" s="333">
        <f>B896+1</f>
        <v>2</v>
      </c>
      <c r="C897" s="334">
        <v>45930</v>
      </c>
      <c r="D897" s="327">
        <v>73804</v>
      </c>
      <c r="E897" s="394" t="s">
        <v>1028</v>
      </c>
      <c r="F897" s="336">
        <v>621</v>
      </c>
      <c r="G897" s="336"/>
      <c r="H897" s="336"/>
      <c r="I897" s="337">
        <f t="shared" si="189"/>
        <v>621</v>
      </c>
      <c r="J897" s="338" t="s">
        <v>150</v>
      </c>
      <c r="K897" s="338">
        <v>1</v>
      </c>
      <c r="L897" s="338">
        <v>1</v>
      </c>
      <c r="M897" s="338">
        <v>1</v>
      </c>
      <c r="N897" s="338">
        <v>1</v>
      </c>
      <c r="O897" s="338">
        <v>1</v>
      </c>
      <c r="P897" s="338">
        <v>1</v>
      </c>
      <c r="Q897" s="338">
        <v>1</v>
      </c>
      <c r="R897" s="338">
        <v>1</v>
      </c>
      <c r="S897" s="339">
        <v>1</v>
      </c>
      <c r="T897" s="127"/>
      <c r="U897" s="123"/>
      <c r="V897" s="129">
        <v>0</v>
      </c>
      <c r="W897" s="710">
        <v>350</v>
      </c>
      <c r="X897" s="131"/>
    </row>
    <row r="898" spans="1:24" s="342" customFormat="1">
      <c r="A898" s="261">
        <v>0.05</v>
      </c>
      <c r="B898" s="333">
        <f>B897+1</f>
        <v>3</v>
      </c>
      <c r="C898" s="334">
        <v>45932</v>
      </c>
      <c r="D898" s="327">
        <v>73923</v>
      </c>
      <c r="E898" s="335" t="s">
        <v>1196</v>
      </c>
      <c r="F898" s="336">
        <v>681</v>
      </c>
      <c r="G898" s="336"/>
      <c r="H898" s="336"/>
      <c r="I898" s="337">
        <f t="shared" ref="I898" si="190">F898-G898-H898</f>
        <v>681</v>
      </c>
      <c r="J898" s="338"/>
      <c r="K898" s="338">
        <v>1</v>
      </c>
      <c r="L898" s="338">
        <v>1</v>
      </c>
      <c r="M898" s="338"/>
      <c r="N898" s="338">
        <v>1</v>
      </c>
      <c r="O898" s="338">
        <v>1</v>
      </c>
      <c r="P898" s="338">
        <v>1</v>
      </c>
      <c r="Q898" s="338">
        <v>1</v>
      </c>
      <c r="R898" s="322">
        <v>0</v>
      </c>
      <c r="S898" s="328">
        <v>0</v>
      </c>
      <c r="T898" s="127"/>
      <c r="U898" s="123"/>
      <c r="V898" s="129"/>
      <c r="W898" s="130"/>
      <c r="X898" s="131"/>
    </row>
    <row r="899" spans="1:24" s="342" customFormat="1">
      <c r="A899" s="261">
        <v>0.05</v>
      </c>
      <c r="B899" s="333">
        <f>B898+1</f>
        <v>4</v>
      </c>
      <c r="C899" s="395">
        <v>45932</v>
      </c>
      <c r="D899" s="368" t="s">
        <v>3063</v>
      </c>
      <c r="E899" s="396" t="s">
        <v>1196</v>
      </c>
      <c r="F899" s="397">
        <v>6814</v>
      </c>
      <c r="G899" s="397">
        <f>39.7+(1358.29)+250</f>
        <v>1647.99</v>
      </c>
      <c r="H899" s="397"/>
      <c r="I899" s="398">
        <f>F899-G899-H899</f>
        <v>5166.01</v>
      </c>
      <c r="J899" s="399" t="s">
        <v>156</v>
      </c>
      <c r="K899" s="399">
        <v>1</v>
      </c>
      <c r="L899" s="399">
        <v>1</v>
      </c>
      <c r="M899" s="399">
        <v>1</v>
      </c>
      <c r="N899" s="399">
        <v>1</v>
      </c>
      <c r="O899" s="399">
        <v>1</v>
      </c>
      <c r="P899" s="399">
        <v>1</v>
      </c>
      <c r="Q899" s="332">
        <v>0</v>
      </c>
      <c r="R899" s="332">
        <v>0</v>
      </c>
      <c r="S899" s="370">
        <v>0</v>
      </c>
      <c r="T899" s="64"/>
      <c r="U899" s="135" t="s">
        <v>3064</v>
      </c>
      <c r="V899" s="129">
        <f>747.54</f>
        <v>747.54</v>
      </c>
      <c r="W899" s="130"/>
      <c r="X899" s="131"/>
    </row>
    <row r="900" spans="1:24">
      <c r="A900" s="615"/>
      <c r="B900" s="132"/>
      <c r="C900" s="36"/>
      <c r="D900" s="123"/>
      <c r="E900" s="123"/>
      <c r="F900" s="134">
        <f t="shared" ref="F900:H900" si="191">SUM(F896:F899)</f>
        <v>9102</v>
      </c>
      <c r="G900" s="134">
        <f t="shared" si="191"/>
        <v>1687.69</v>
      </c>
      <c r="H900" s="134">
        <f t="shared" si="191"/>
        <v>0</v>
      </c>
      <c r="I900" s="134">
        <f>SUM(I896:I899)</f>
        <v>7414.31</v>
      </c>
      <c r="J900" s="127"/>
      <c r="K900" s="64"/>
      <c r="L900" s="64"/>
      <c r="M900" s="64"/>
      <c r="N900" s="64"/>
      <c r="O900" s="64"/>
      <c r="P900" s="64"/>
      <c r="Q900" s="64"/>
      <c r="R900" s="64"/>
      <c r="S900" s="64"/>
      <c r="T900" s="127"/>
      <c r="U900" s="123"/>
      <c r="V900" s="129"/>
      <c r="W900" s="130"/>
      <c r="X900" s="131"/>
    </row>
    <row r="901" spans="1:24">
      <c r="A901" s="614"/>
      <c r="B901" s="11"/>
      <c r="C901" s="36"/>
      <c r="D901" s="10"/>
      <c r="E901" s="10"/>
      <c r="F901" s="88"/>
      <c r="G901" s="88"/>
      <c r="H901" s="88"/>
      <c r="I901" s="99"/>
      <c r="J901" s="63"/>
      <c r="K901" s="21"/>
      <c r="L901" s="21"/>
      <c r="M901" s="21"/>
      <c r="N901" s="21"/>
      <c r="O901" s="21"/>
      <c r="P901" s="21"/>
      <c r="Q901" s="21"/>
      <c r="R901" s="21"/>
      <c r="S901" s="21"/>
      <c r="T901" s="63"/>
      <c r="U901" s="94"/>
      <c r="V901" s="90"/>
      <c r="W901" s="91"/>
      <c r="X901" s="92"/>
    </row>
    <row r="902" spans="1:24">
      <c r="A902" s="615"/>
      <c r="B902" s="121" t="s">
        <v>70</v>
      </c>
      <c r="C902" s="36"/>
      <c r="D902" s="123"/>
      <c r="E902" s="128"/>
      <c r="F902" s="124"/>
      <c r="G902" s="124"/>
      <c r="H902" s="124"/>
      <c r="I902" s="126"/>
      <c r="J902" s="127"/>
      <c r="K902" s="64"/>
      <c r="L902" s="64"/>
      <c r="M902" s="64"/>
      <c r="N902" s="64"/>
      <c r="O902" s="64"/>
      <c r="P902" s="64"/>
      <c r="Q902" s="64"/>
      <c r="R902" s="64"/>
      <c r="S902" s="64"/>
      <c r="T902" s="127"/>
      <c r="U902" s="135"/>
      <c r="V902" s="129"/>
      <c r="W902" s="130"/>
      <c r="X902" s="131"/>
    </row>
    <row r="903" spans="1:24" s="342" customFormat="1">
      <c r="A903" s="261">
        <v>0.05</v>
      </c>
      <c r="B903" s="333">
        <v>1</v>
      </c>
      <c r="C903" s="350">
        <v>45933</v>
      </c>
      <c r="D903" s="263" t="s">
        <v>3065</v>
      </c>
      <c r="E903" s="358" t="s">
        <v>1319</v>
      </c>
      <c r="F903" s="352">
        <v>1152.9000000000001</v>
      </c>
      <c r="G903" s="352"/>
      <c r="H903" s="352"/>
      <c r="I903" s="353">
        <f t="shared" ref="I903" si="192">F903-G903-H903</f>
        <v>1152.9000000000001</v>
      </c>
      <c r="J903" s="354"/>
      <c r="K903" s="354">
        <v>1</v>
      </c>
      <c r="L903" s="354"/>
      <c r="M903" s="354"/>
      <c r="N903" s="354">
        <v>1</v>
      </c>
      <c r="O903" s="354">
        <v>1</v>
      </c>
      <c r="P903" s="314">
        <v>0</v>
      </c>
      <c r="Q903" s="354"/>
      <c r="R903" s="354"/>
      <c r="S903" s="355"/>
      <c r="T903" s="64"/>
      <c r="U903" s="135" t="s">
        <v>3066</v>
      </c>
      <c r="V903" s="129"/>
      <c r="W903" s="340"/>
      <c r="X903" s="341"/>
    </row>
    <row r="904" spans="1:24">
      <c r="A904" s="615"/>
      <c r="B904" s="132"/>
      <c r="C904" s="36"/>
      <c r="D904" s="123"/>
      <c r="E904" s="123"/>
      <c r="F904" s="134">
        <f t="shared" ref="F904:H904" si="193">SUM(F903)</f>
        <v>1152.9000000000001</v>
      </c>
      <c r="G904" s="134">
        <f t="shared" si="193"/>
        <v>0</v>
      </c>
      <c r="H904" s="134">
        <f t="shared" si="193"/>
        <v>0</v>
      </c>
      <c r="I904" s="134">
        <f>SUM(I903)</f>
        <v>1152.9000000000001</v>
      </c>
      <c r="J904" s="127"/>
      <c r="K904" s="64"/>
      <c r="L904" s="64"/>
      <c r="M904" s="64"/>
      <c r="N904" s="64"/>
      <c r="O904" s="64"/>
      <c r="P904" s="64"/>
      <c r="Q904" s="64"/>
      <c r="R904" s="64"/>
      <c r="S904" s="64"/>
      <c r="T904" s="127"/>
      <c r="U904" s="135"/>
      <c r="V904" s="129"/>
      <c r="W904" s="130"/>
      <c r="X904" s="131"/>
    </row>
    <row r="905" spans="1:24">
      <c r="A905" s="614"/>
      <c r="B905" s="11"/>
      <c r="C905" s="609"/>
      <c r="D905" s="10"/>
      <c r="E905" s="10"/>
      <c r="F905" s="88"/>
      <c r="G905" s="88"/>
      <c r="H905" s="88"/>
      <c r="I905" s="99"/>
      <c r="J905" s="63"/>
      <c r="K905" s="21"/>
      <c r="L905" s="21"/>
      <c r="M905" s="21"/>
      <c r="N905" s="21"/>
      <c r="O905" s="21"/>
      <c r="P905" s="21"/>
      <c r="Q905" s="21"/>
      <c r="R905" s="21"/>
      <c r="S905" s="21"/>
      <c r="T905" s="63"/>
      <c r="U905" s="94"/>
      <c r="V905" s="90"/>
      <c r="W905" s="91"/>
      <c r="X905" s="92"/>
    </row>
    <row r="906" spans="1:24" s="342" customFormat="1">
      <c r="B906" s="100" t="s">
        <v>152</v>
      </c>
      <c r="C906" s="122"/>
      <c r="D906" s="123"/>
      <c r="E906" s="123"/>
      <c r="F906" s="124"/>
      <c r="G906" s="125"/>
      <c r="H906" s="124"/>
      <c r="I906" s="126"/>
      <c r="J906" s="127"/>
      <c r="K906" s="128"/>
      <c r="L906" s="128"/>
      <c r="M906" s="128"/>
      <c r="N906" s="128"/>
      <c r="O906" s="128"/>
      <c r="P906" s="128"/>
      <c r="Q906" s="128"/>
      <c r="R906" s="128"/>
      <c r="S906" s="128"/>
      <c r="T906" s="127"/>
      <c r="U906" s="123"/>
      <c r="V906" s="129"/>
      <c r="W906" s="130"/>
      <c r="X906" s="131"/>
    </row>
    <row r="907" spans="1:24" s="260" customFormat="1">
      <c r="A907" s="494">
        <v>0.05</v>
      </c>
      <c r="B907" s="87">
        <v>1</v>
      </c>
      <c r="C907" s="262">
        <v>45866</v>
      </c>
      <c r="D907" s="263">
        <v>71800</v>
      </c>
      <c r="E907" s="271" t="s">
        <v>2823</v>
      </c>
      <c r="F907" s="265">
        <v>6214</v>
      </c>
      <c r="G907" s="265">
        <f>39.7+(1288.73)+250</f>
        <v>1578.43</v>
      </c>
      <c r="H907" s="265"/>
      <c r="I907" s="266">
        <f>F907-G907-H907</f>
        <v>4635.57</v>
      </c>
      <c r="J907" s="267" t="s">
        <v>156</v>
      </c>
      <c r="K907" s="267">
        <v>1</v>
      </c>
      <c r="L907" s="314">
        <v>0</v>
      </c>
      <c r="M907" s="267">
        <v>1</v>
      </c>
      <c r="N907" s="267">
        <v>1</v>
      </c>
      <c r="O907" s="267">
        <v>1</v>
      </c>
      <c r="P907" s="314">
        <v>0</v>
      </c>
      <c r="Q907" s="314">
        <v>0</v>
      </c>
      <c r="R907" s="314">
        <v>0</v>
      </c>
      <c r="S907" s="366">
        <v>0</v>
      </c>
      <c r="T907" s="63"/>
      <c r="U907" s="94" t="s">
        <v>2930</v>
      </c>
      <c r="V907" s="90"/>
      <c r="W907" s="136"/>
      <c r="X907" s="92"/>
    </row>
    <row r="908" spans="1:24" s="260" customFormat="1">
      <c r="A908" s="260" t="s">
        <v>619</v>
      </c>
      <c r="B908" s="87">
        <f>B907+1</f>
        <v>2</v>
      </c>
      <c r="C908" s="262">
        <v>45866</v>
      </c>
      <c r="D908" s="263">
        <v>71787</v>
      </c>
      <c r="E908" s="271" t="s">
        <v>1338</v>
      </c>
      <c r="F908" s="265">
        <v>28614</v>
      </c>
      <c r="G908" s="265">
        <f>39.7+1424.2+(474.48+162.31+289.19+9.1+8.29-78.88)+(F908*0.25)</f>
        <v>9481.89</v>
      </c>
      <c r="H908" s="265"/>
      <c r="I908" s="266">
        <f>F908-G908-H908</f>
        <v>19132.11</v>
      </c>
      <c r="J908" s="267" t="s">
        <v>374</v>
      </c>
      <c r="K908" s="267">
        <v>1</v>
      </c>
      <c r="L908" s="267">
        <v>1</v>
      </c>
      <c r="M908" s="267">
        <v>1</v>
      </c>
      <c r="N908" s="267">
        <v>1</v>
      </c>
      <c r="O908" s="267">
        <v>1</v>
      </c>
      <c r="P908" s="314">
        <v>0</v>
      </c>
      <c r="Q908" s="314">
        <v>0</v>
      </c>
      <c r="R908" s="314">
        <v>0</v>
      </c>
      <c r="S908" s="366">
        <v>0</v>
      </c>
      <c r="T908" s="63"/>
      <c r="U908" s="94" t="s">
        <v>2852</v>
      </c>
      <c r="V908" s="90"/>
      <c r="W908" s="136"/>
      <c r="X908" s="137"/>
    </row>
    <row r="909" spans="1:24" s="260" customFormat="1">
      <c r="A909" s="261" t="s">
        <v>619</v>
      </c>
      <c r="B909" s="87">
        <f>B908+1</f>
        <v>3</v>
      </c>
      <c r="C909" s="274">
        <v>45873</v>
      </c>
      <c r="D909" s="327">
        <v>71967</v>
      </c>
      <c r="E909" s="281" t="s">
        <v>1256</v>
      </c>
      <c r="F909" s="277">
        <v>2681</v>
      </c>
      <c r="G909" s="277">
        <f>39.7+(189.05)+(15.38)+200</f>
        <v>444.13</v>
      </c>
      <c r="H909" s="277"/>
      <c r="I909" s="321">
        <f>F909-G909-H909</f>
        <v>2236.87</v>
      </c>
      <c r="J909" s="279" t="s">
        <v>374</v>
      </c>
      <c r="K909" s="279">
        <v>1</v>
      </c>
      <c r="L909" s="279">
        <v>1</v>
      </c>
      <c r="M909" s="279">
        <v>1</v>
      </c>
      <c r="N909" s="279">
        <v>1</v>
      </c>
      <c r="O909" s="279">
        <v>1</v>
      </c>
      <c r="P909" s="322">
        <v>0</v>
      </c>
      <c r="Q909" s="279">
        <v>1</v>
      </c>
      <c r="R909" s="279">
        <v>1</v>
      </c>
      <c r="S909" s="280">
        <v>1</v>
      </c>
      <c r="T909" s="63"/>
      <c r="U909" s="10" t="s">
        <v>2851</v>
      </c>
      <c r="V909" s="90"/>
      <c r="W909" s="91"/>
      <c r="X909" s="92"/>
    </row>
    <row r="910" spans="1:24" s="260" customFormat="1">
      <c r="A910" s="261" t="s">
        <v>2542</v>
      </c>
      <c r="B910" s="87">
        <f t="shared" ref="B910:B922" si="194">B909+1</f>
        <v>4</v>
      </c>
      <c r="C910" s="274">
        <v>45890</v>
      </c>
      <c r="D910" s="327">
        <v>72522</v>
      </c>
      <c r="E910" s="276" t="s">
        <v>1169</v>
      </c>
      <c r="F910" s="277">
        <v>3122</v>
      </c>
      <c r="G910" s="277">
        <f>39.7+877.8+(521.76+88.09)+200</f>
        <v>1727.35</v>
      </c>
      <c r="H910" s="277"/>
      <c r="I910" s="321">
        <f>F910-G910-H910</f>
        <v>1394.65</v>
      </c>
      <c r="J910" s="279" t="s">
        <v>156</v>
      </c>
      <c r="K910" s="279">
        <v>1</v>
      </c>
      <c r="L910" s="279">
        <v>1</v>
      </c>
      <c r="M910" s="279">
        <v>1</v>
      </c>
      <c r="N910" s="279">
        <v>1</v>
      </c>
      <c r="O910" s="279">
        <v>1</v>
      </c>
      <c r="P910" s="279">
        <v>1</v>
      </c>
      <c r="Q910" s="279">
        <v>1</v>
      </c>
      <c r="R910" s="322">
        <v>0</v>
      </c>
      <c r="S910" s="328">
        <v>0</v>
      </c>
      <c r="T910" s="63"/>
      <c r="U910" s="10" t="s">
        <v>2931</v>
      </c>
      <c r="V910" s="90"/>
      <c r="W910" s="136"/>
      <c r="X910" s="137"/>
    </row>
    <row r="911" spans="1:24" s="260" customFormat="1">
      <c r="A911" s="261">
        <v>0.05</v>
      </c>
      <c r="B911" s="87">
        <f t="shared" si="194"/>
        <v>5</v>
      </c>
      <c r="C911" s="282">
        <v>45890</v>
      </c>
      <c r="D911" s="368">
        <v>72515</v>
      </c>
      <c r="E911" s="283" t="s">
        <v>1058</v>
      </c>
      <c r="F911" s="284">
        <v>2575</v>
      </c>
      <c r="G911" s="284">
        <v>39.700000000000003</v>
      </c>
      <c r="H911" s="315"/>
      <c r="I911" s="300">
        <f>F911-G911-H911</f>
        <v>2535.3000000000002</v>
      </c>
      <c r="J911" s="286" t="s">
        <v>374</v>
      </c>
      <c r="K911" s="286">
        <v>1</v>
      </c>
      <c r="L911" s="286">
        <v>1</v>
      </c>
      <c r="M911" s="286">
        <v>1</v>
      </c>
      <c r="N911" s="286">
        <v>1</v>
      </c>
      <c r="O911" s="286">
        <v>1</v>
      </c>
      <c r="P911" s="286">
        <v>1</v>
      </c>
      <c r="Q911" s="286">
        <v>1</v>
      </c>
      <c r="R911" s="332">
        <v>0</v>
      </c>
      <c r="S911" s="370">
        <v>0</v>
      </c>
      <c r="T911" s="63"/>
      <c r="U911" s="10" t="s">
        <v>2895</v>
      </c>
      <c r="V911" s="90"/>
      <c r="W911" s="91"/>
      <c r="X911" s="92"/>
    </row>
    <row r="912" spans="1:24" s="260" customFormat="1">
      <c r="A912" s="261" t="s">
        <v>598</v>
      </c>
      <c r="B912" s="87">
        <f t="shared" si="194"/>
        <v>6</v>
      </c>
      <c r="C912" s="262">
        <v>45896</v>
      </c>
      <c r="D912" s="490" t="s">
        <v>2926</v>
      </c>
      <c r="E912" s="271" t="s">
        <v>2919</v>
      </c>
      <c r="F912" s="265">
        <f>8213.2-800-900</f>
        <v>6513.2000000000007</v>
      </c>
      <c r="G912" s="265">
        <f>39.7+(13+1388.11)+750</f>
        <v>2190.81</v>
      </c>
      <c r="H912" s="265"/>
      <c r="I912" s="266">
        <f>F912-G912-H912</f>
        <v>4322.3900000000012</v>
      </c>
      <c r="J912" s="267" t="s">
        <v>228</v>
      </c>
      <c r="K912" s="267">
        <v>1</v>
      </c>
      <c r="L912" s="314">
        <v>0</v>
      </c>
      <c r="M912" s="267">
        <v>1</v>
      </c>
      <c r="N912" s="267">
        <v>1</v>
      </c>
      <c r="O912" s="267">
        <v>1</v>
      </c>
      <c r="P912" s="314">
        <v>0</v>
      </c>
      <c r="Q912" s="267">
        <v>1</v>
      </c>
      <c r="R912" s="314">
        <v>0</v>
      </c>
      <c r="S912" s="366">
        <v>0</v>
      </c>
      <c r="T912" s="21"/>
      <c r="U912" s="94" t="s">
        <v>2927</v>
      </c>
      <c r="V912" s="90"/>
      <c r="W912" s="91"/>
      <c r="X912" s="92"/>
    </row>
    <row r="913" spans="1:25" s="260" customFormat="1">
      <c r="A913" s="181" t="s">
        <v>2542</v>
      </c>
      <c r="B913" s="87">
        <f t="shared" si="194"/>
        <v>7</v>
      </c>
      <c r="C913" s="262">
        <v>45897</v>
      </c>
      <c r="D913" s="263">
        <v>72735</v>
      </c>
      <c r="E913" s="271" t="s">
        <v>1169</v>
      </c>
      <c r="F913" s="265">
        <v>2916</v>
      </c>
      <c r="G913" s="265">
        <f>39.7+(177.31+59.74+254.1)+300</f>
        <v>830.85</v>
      </c>
      <c r="H913" s="265"/>
      <c r="I913" s="266">
        <f>F913-G913-H913</f>
        <v>2085.15</v>
      </c>
      <c r="J913" s="267" t="s">
        <v>156</v>
      </c>
      <c r="K913" s="267">
        <v>1</v>
      </c>
      <c r="L913" s="267">
        <v>1</v>
      </c>
      <c r="M913" s="267">
        <v>1</v>
      </c>
      <c r="N913" s="267">
        <v>1</v>
      </c>
      <c r="O913" s="267">
        <v>1</v>
      </c>
      <c r="P913" s="267">
        <v>1</v>
      </c>
      <c r="Q913" s="267">
        <v>1</v>
      </c>
      <c r="R913" s="267">
        <v>1</v>
      </c>
      <c r="S913" s="366">
        <v>0</v>
      </c>
      <c r="T913" s="63"/>
      <c r="U913" s="94" t="s">
        <v>2929</v>
      </c>
      <c r="V913" s="90"/>
      <c r="W913" s="136"/>
      <c r="X913" s="137"/>
    </row>
    <row r="914" spans="1:25" s="260" customFormat="1">
      <c r="A914" s="261">
        <v>0.05</v>
      </c>
      <c r="B914" s="87">
        <f t="shared" si="194"/>
        <v>8</v>
      </c>
      <c r="C914" s="262">
        <v>45896</v>
      </c>
      <c r="D914" s="263">
        <v>72711</v>
      </c>
      <c r="E914" s="271" t="s">
        <v>1494</v>
      </c>
      <c r="F914" s="265">
        <v>2792</v>
      </c>
      <c r="G914" s="265">
        <f>+(85.41)</f>
        <v>85.41</v>
      </c>
      <c r="H914" s="265"/>
      <c r="I914" s="266">
        <f>F914-G914-H914</f>
        <v>2706.59</v>
      </c>
      <c r="J914" s="267" t="s">
        <v>156</v>
      </c>
      <c r="K914" s="267">
        <v>1</v>
      </c>
      <c r="L914" s="314">
        <v>0</v>
      </c>
      <c r="M914" s="267">
        <v>1</v>
      </c>
      <c r="N914" s="267">
        <v>1</v>
      </c>
      <c r="O914" s="267">
        <v>1</v>
      </c>
      <c r="P914" s="314">
        <v>0</v>
      </c>
      <c r="Q914" s="314">
        <v>0</v>
      </c>
      <c r="R914" s="314">
        <v>0</v>
      </c>
      <c r="S914" s="366">
        <v>0</v>
      </c>
      <c r="T914" s="63"/>
      <c r="U914" s="94" t="s">
        <v>2928</v>
      </c>
      <c r="V914" s="90"/>
      <c r="W914" s="136"/>
      <c r="X914" s="137"/>
    </row>
    <row r="915" spans="1:25" s="260" customFormat="1">
      <c r="A915" s="494">
        <v>0.05</v>
      </c>
      <c r="B915" s="87">
        <f t="shared" si="194"/>
        <v>9</v>
      </c>
      <c r="C915" s="274">
        <v>45910</v>
      </c>
      <c r="D915" s="327">
        <v>73185</v>
      </c>
      <c r="E915" s="276" t="s">
        <v>1319</v>
      </c>
      <c r="F915" s="277">
        <v>1674.9</v>
      </c>
      <c r="G915" s="277">
        <f>39.7+544.5</f>
        <v>584.20000000000005</v>
      </c>
      <c r="H915" s="297"/>
      <c r="I915" s="321">
        <f>F915-G915-H915</f>
        <v>1090.7</v>
      </c>
      <c r="J915" s="279" t="s">
        <v>150</v>
      </c>
      <c r="K915" s="279">
        <v>1</v>
      </c>
      <c r="L915" s="279">
        <v>1</v>
      </c>
      <c r="M915" s="322">
        <v>0</v>
      </c>
      <c r="N915" s="279">
        <v>1</v>
      </c>
      <c r="O915" s="279">
        <v>1</v>
      </c>
      <c r="P915" s="279">
        <v>1</v>
      </c>
      <c r="Q915" s="322">
        <v>0</v>
      </c>
      <c r="R915" s="322">
        <v>0</v>
      </c>
      <c r="S915" s="328">
        <v>0</v>
      </c>
      <c r="T915" s="63"/>
      <c r="U915" s="10" t="s">
        <v>3013</v>
      </c>
      <c r="V915" s="90"/>
      <c r="W915" s="91"/>
      <c r="X915" s="92"/>
      <c r="Y915" s="181"/>
    </row>
    <row r="916" spans="1:25" s="260" customFormat="1">
      <c r="A916" s="260" t="s">
        <v>619</v>
      </c>
      <c r="B916" s="87">
        <f t="shared" si="194"/>
        <v>10</v>
      </c>
      <c r="C916" s="262">
        <v>45911</v>
      </c>
      <c r="D916" s="263" t="s">
        <v>2976</v>
      </c>
      <c r="E916" s="271" t="s">
        <v>1045</v>
      </c>
      <c r="F916" s="265">
        <f>585-85</f>
        <v>500</v>
      </c>
      <c r="G916" s="265"/>
      <c r="H916" s="365"/>
      <c r="I916" s="266">
        <f>F916-G916-H916</f>
        <v>500</v>
      </c>
      <c r="J916" s="267" t="s">
        <v>156</v>
      </c>
      <c r="K916" s="267">
        <v>1</v>
      </c>
      <c r="L916" s="267">
        <v>1</v>
      </c>
      <c r="M916" s="267">
        <v>1</v>
      </c>
      <c r="N916" s="267">
        <v>1</v>
      </c>
      <c r="O916" s="267">
        <v>1</v>
      </c>
      <c r="P916" s="267">
        <v>1</v>
      </c>
      <c r="Q916" s="267">
        <v>1</v>
      </c>
      <c r="R916" s="314">
        <v>0</v>
      </c>
      <c r="S916" s="269">
        <v>1</v>
      </c>
      <c r="T916" s="63"/>
      <c r="U916" s="10"/>
      <c r="V916" s="90"/>
      <c r="W916" s="91"/>
      <c r="X916" s="92"/>
      <c r="Y916" s="181"/>
    </row>
    <row r="917" spans="1:25" s="260" customFormat="1">
      <c r="B917" s="87">
        <f t="shared" si="194"/>
        <v>11</v>
      </c>
      <c r="C917" s="274">
        <v>45922</v>
      </c>
      <c r="D917" s="327">
        <v>73507</v>
      </c>
      <c r="E917" s="276" t="s">
        <v>1028</v>
      </c>
      <c r="F917" s="277">
        <f>2546-85</f>
        <v>2461</v>
      </c>
      <c r="G917" s="277">
        <f>39.7+(20.1)+2000</f>
        <v>2059.8000000000002</v>
      </c>
      <c r="H917" s="277"/>
      <c r="I917" s="321">
        <f>F917-G917-H917</f>
        <v>401.19999999999982</v>
      </c>
      <c r="J917" s="279" t="s">
        <v>156</v>
      </c>
      <c r="K917" s="279">
        <v>1</v>
      </c>
      <c r="L917" s="279">
        <v>1</v>
      </c>
      <c r="M917" s="279">
        <v>1</v>
      </c>
      <c r="N917" s="279">
        <v>1</v>
      </c>
      <c r="O917" s="279">
        <v>1</v>
      </c>
      <c r="P917" s="322">
        <v>0</v>
      </c>
      <c r="Q917" s="322">
        <v>0</v>
      </c>
      <c r="R917" s="322">
        <v>0</v>
      </c>
      <c r="S917" s="328">
        <v>0</v>
      </c>
      <c r="T917" s="63"/>
      <c r="U917" s="94" t="s">
        <v>3023</v>
      </c>
      <c r="V917" s="90"/>
      <c r="W917" s="91"/>
      <c r="X917" s="92"/>
    </row>
    <row r="918" spans="1:25" s="260" customFormat="1">
      <c r="B918" s="87">
        <f t="shared" si="194"/>
        <v>12</v>
      </c>
      <c r="C918" s="282">
        <v>45922</v>
      </c>
      <c r="D918" s="368">
        <v>73523</v>
      </c>
      <c r="E918" s="283" t="s">
        <v>1283</v>
      </c>
      <c r="F918" s="284">
        <v>1138</v>
      </c>
      <c r="G918" s="284">
        <f>39.7</f>
        <v>39.700000000000003</v>
      </c>
      <c r="H918" s="284"/>
      <c r="I918" s="300">
        <f t="shared" ref="I918" si="195">F918-G918-H918</f>
        <v>1098.3</v>
      </c>
      <c r="J918" s="286" t="s">
        <v>156</v>
      </c>
      <c r="K918" s="286">
        <v>1</v>
      </c>
      <c r="L918" s="286">
        <v>1</v>
      </c>
      <c r="M918" s="286">
        <v>0</v>
      </c>
      <c r="N918" s="286">
        <v>1</v>
      </c>
      <c r="O918" s="286">
        <v>1</v>
      </c>
      <c r="P918" s="286">
        <v>1</v>
      </c>
      <c r="Q918" s="332">
        <v>0</v>
      </c>
      <c r="R918" s="332">
        <v>0</v>
      </c>
      <c r="S918" s="370">
        <v>0</v>
      </c>
      <c r="T918" s="63"/>
      <c r="U918" s="94" t="s">
        <v>3024</v>
      </c>
      <c r="V918" s="90"/>
      <c r="W918" s="91"/>
      <c r="X918" s="92"/>
    </row>
    <row r="919" spans="1:25" s="260" customFormat="1">
      <c r="A919" s="260" t="s">
        <v>3025</v>
      </c>
      <c r="B919" s="87">
        <f t="shared" si="194"/>
        <v>13</v>
      </c>
      <c r="C919" s="295">
        <v>45923</v>
      </c>
      <c r="D919" s="323">
        <v>73576</v>
      </c>
      <c r="E919" s="10" t="s">
        <v>1284</v>
      </c>
      <c r="F919" s="62">
        <v>3744.9</v>
      </c>
      <c r="G919" s="62">
        <f>39.7+(43.69)</f>
        <v>83.39</v>
      </c>
      <c r="H919" s="62"/>
      <c r="I919" s="324">
        <f>F919-G919-H919</f>
        <v>3661.51</v>
      </c>
      <c r="J919" s="63" t="s">
        <v>156</v>
      </c>
      <c r="K919" s="63">
        <v>1</v>
      </c>
      <c r="L919" s="63">
        <v>1</v>
      </c>
      <c r="M919" s="63">
        <v>1</v>
      </c>
      <c r="N919" s="63">
        <v>1</v>
      </c>
      <c r="O919" s="63">
        <v>1</v>
      </c>
      <c r="P919" s="63">
        <v>1</v>
      </c>
      <c r="Q919" s="325">
        <v>0</v>
      </c>
      <c r="R919" s="325">
        <v>0</v>
      </c>
      <c r="S919" s="326">
        <v>0</v>
      </c>
      <c r="T919" s="63"/>
      <c r="U919" s="94" t="s">
        <v>3026</v>
      </c>
      <c r="V919" s="90"/>
      <c r="W919" s="91"/>
      <c r="X919" s="92"/>
    </row>
    <row r="920" spans="1:25" s="260" customFormat="1">
      <c r="A920" s="530">
        <v>45924</v>
      </c>
      <c r="B920" s="87">
        <f t="shared" si="194"/>
        <v>14</v>
      </c>
      <c r="C920" s="295">
        <v>45923</v>
      </c>
      <c r="D920" s="323">
        <v>73570</v>
      </c>
      <c r="E920" s="10" t="s">
        <v>1169</v>
      </c>
      <c r="F920" s="62">
        <v>5814</v>
      </c>
      <c r="G920" s="62">
        <f>39.7+(1396.24)+250</f>
        <v>1685.94</v>
      </c>
      <c r="H920" s="62"/>
      <c r="I920" s="324">
        <f>F920-G920-H920</f>
        <v>4128.0599999999995</v>
      </c>
      <c r="J920" s="63" t="s">
        <v>150</v>
      </c>
      <c r="K920" s="63">
        <v>1</v>
      </c>
      <c r="L920" s="63">
        <v>1</v>
      </c>
      <c r="M920" s="63">
        <v>1</v>
      </c>
      <c r="N920" s="63">
        <v>1</v>
      </c>
      <c r="O920" s="63">
        <v>1</v>
      </c>
      <c r="P920" s="325">
        <v>0</v>
      </c>
      <c r="Q920" s="325">
        <v>0</v>
      </c>
      <c r="R920" s="325">
        <v>0</v>
      </c>
      <c r="S920" s="326">
        <v>0</v>
      </c>
      <c r="T920" s="63"/>
      <c r="U920" s="94" t="s">
        <v>3027</v>
      </c>
      <c r="V920" s="90"/>
      <c r="W920" s="136"/>
      <c r="X920" s="92"/>
    </row>
    <row r="921" spans="1:25" s="260" customFormat="1">
      <c r="B921" s="87">
        <f t="shared" si="194"/>
        <v>15</v>
      </c>
      <c r="C921" s="262">
        <v>45924</v>
      </c>
      <c r="D921" s="263">
        <v>73530</v>
      </c>
      <c r="E921" s="264" t="s">
        <v>1088</v>
      </c>
      <c r="F921" s="265">
        <v>1138</v>
      </c>
      <c r="G921" s="265">
        <f>39.7</f>
        <v>39.700000000000003</v>
      </c>
      <c r="H921" s="265"/>
      <c r="I921" s="266">
        <f t="shared" ref="I921" si="196">F921-G921-H921</f>
        <v>1098.3</v>
      </c>
      <c r="J921" s="267" t="s">
        <v>156</v>
      </c>
      <c r="K921" s="267">
        <v>1</v>
      </c>
      <c r="L921" s="267">
        <v>1</v>
      </c>
      <c r="M921" s="267">
        <v>1</v>
      </c>
      <c r="N921" s="267">
        <v>1</v>
      </c>
      <c r="O921" s="267">
        <v>1</v>
      </c>
      <c r="P921" s="267">
        <v>1</v>
      </c>
      <c r="Q921" s="267">
        <v>1</v>
      </c>
      <c r="R921" s="314">
        <v>0</v>
      </c>
      <c r="S921" s="366">
        <v>0</v>
      </c>
      <c r="T921" s="63"/>
      <c r="U921" s="10" t="s">
        <v>3028</v>
      </c>
      <c r="V921" s="90"/>
      <c r="W921" s="91"/>
      <c r="X921" s="92"/>
    </row>
    <row r="922" spans="1:25" s="260" customFormat="1">
      <c r="A922" s="261" t="s">
        <v>3067</v>
      </c>
      <c r="B922" s="87">
        <f t="shared" si="194"/>
        <v>16</v>
      </c>
      <c r="C922" s="262">
        <v>45925</v>
      </c>
      <c r="D922" s="263" t="s">
        <v>3033</v>
      </c>
      <c r="E922" s="264" t="s">
        <v>1169</v>
      </c>
      <c r="F922" s="265">
        <v>12727.27</v>
      </c>
      <c r="G922" s="265">
        <f>39.7+(174.85+290.29+58.59+212.47+35.91)+1000</f>
        <v>1811.81</v>
      </c>
      <c r="H922" s="265"/>
      <c r="I922" s="266">
        <f t="shared" ref="I922" si="197">F922-G922-H922</f>
        <v>10915.460000000001</v>
      </c>
      <c r="J922" s="267" t="s">
        <v>374</v>
      </c>
      <c r="K922" s="267">
        <v>1</v>
      </c>
      <c r="L922" s="267">
        <v>1</v>
      </c>
      <c r="M922" s="267">
        <v>1</v>
      </c>
      <c r="N922" s="267">
        <v>1</v>
      </c>
      <c r="O922" s="267">
        <v>1</v>
      </c>
      <c r="P922" s="267">
        <v>1</v>
      </c>
      <c r="Q922" s="314">
        <v>0</v>
      </c>
      <c r="R922" s="314">
        <v>0</v>
      </c>
      <c r="S922" s="366">
        <v>0</v>
      </c>
      <c r="T922" s="63"/>
      <c r="U922" s="94" t="s">
        <v>3034</v>
      </c>
      <c r="V922" s="90">
        <f>2435.4+9964.6</f>
        <v>12400</v>
      </c>
      <c r="W922" s="136"/>
      <c r="X922" s="137"/>
    </row>
    <row r="923" spans="1:25" s="260" customFormat="1">
      <c r="B923" s="11"/>
      <c r="C923" s="36"/>
      <c r="D923" s="10"/>
      <c r="E923" s="10"/>
      <c r="F923" s="98">
        <f>SUM(F907:F922)</f>
        <v>84625.27</v>
      </c>
      <c r="G923" s="98">
        <f t="shared" ref="G923:I923" si="198">SUM(G907:G922)</f>
        <v>22683.11</v>
      </c>
      <c r="H923" s="98">
        <f t="shared" si="198"/>
        <v>0</v>
      </c>
      <c r="I923" s="98">
        <f t="shared" si="198"/>
        <v>61942.16</v>
      </c>
      <c r="J923" s="63"/>
      <c r="K923" s="21"/>
      <c r="L923" s="21"/>
      <c r="M923" s="21"/>
      <c r="N923" s="21"/>
      <c r="O923" s="21"/>
      <c r="P923" s="21"/>
      <c r="Q923" s="21"/>
      <c r="R923" s="21"/>
      <c r="S923" s="21"/>
      <c r="T923" s="63"/>
      <c r="U923" s="10"/>
      <c r="V923" s="90"/>
      <c r="W923" s="91"/>
      <c r="X923" s="92"/>
    </row>
    <row r="924" spans="1:25" s="260" customFormat="1">
      <c r="B924" s="11"/>
      <c r="C924" s="36"/>
      <c r="D924" s="10"/>
      <c r="E924" s="10"/>
      <c r="F924" s="88"/>
      <c r="G924" s="88"/>
      <c r="H924" s="88"/>
      <c r="I924" s="99"/>
      <c r="J924" s="63"/>
      <c r="K924" s="21"/>
      <c r="L924" s="21"/>
      <c r="M924" s="21"/>
      <c r="N924" s="21"/>
      <c r="O924" s="21"/>
      <c r="P924" s="21"/>
      <c r="Q924" s="21"/>
      <c r="R924" s="21"/>
      <c r="S924" s="21"/>
      <c r="T924" s="63"/>
      <c r="U924" s="10"/>
      <c r="V924" s="90"/>
      <c r="W924" s="91"/>
      <c r="X924" s="92"/>
    </row>
    <row r="925" spans="1:25" s="260" customFormat="1">
      <c r="A925" s="181"/>
      <c r="B925" s="100" t="s">
        <v>202</v>
      </c>
      <c r="C925" s="36"/>
      <c r="D925" s="10"/>
      <c r="E925" s="181"/>
      <c r="F925" s="88"/>
      <c r="G925" s="88"/>
      <c r="H925" s="88"/>
      <c r="I925" s="99"/>
      <c r="J925" s="63"/>
      <c r="K925" s="21"/>
      <c r="L925" s="21"/>
      <c r="M925" s="21"/>
      <c r="N925" s="21"/>
      <c r="O925" s="21"/>
      <c r="P925" s="21"/>
      <c r="Q925" s="21"/>
      <c r="R925" s="21"/>
      <c r="S925" s="21"/>
      <c r="T925" s="63"/>
      <c r="U925" s="94"/>
      <c r="V925" s="90"/>
      <c r="W925" s="91"/>
      <c r="X925" s="92"/>
    </row>
    <row r="926" spans="1:25" s="260" customFormat="1">
      <c r="A926" s="261">
        <v>0.05</v>
      </c>
      <c r="B926" s="87">
        <v>1</v>
      </c>
      <c r="C926" s="274">
        <v>45884</v>
      </c>
      <c r="D926" s="327">
        <v>72342</v>
      </c>
      <c r="E926" s="276" t="s">
        <v>1231</v>
      </c>
      <c r="F926" s="277">
        <v>2215</v>
      </c>
      <c r="G926" s="277">
        <f>39.7</f>
        <v>39.700000000000003</v>
      </c>
      <c r="H926" s="277"/>
      <c r="I926" s="321">
        <f>F926-G926-H926</f>
        <v>2175.3000000000002</v>
      </c>
      <c r="J926" s="279" t="s">
        <v>156</v>
      </c>
      <c r="K926" s="279">
        <v>1</v>
      </c>
      <c r="L926" s="279"/>
      <c r="M926" s="279">
        <v>1</v>
      </c>
      <c r="N926" s="279">
        <v>1</v>
      </c>
      <c r="O926" s="279">
        <v>1</v>
      </c>
      <c r="P926" s="322">
        <v>0</v>
      </c>
      <c r="Q926" s="279"/>
      <c r="R926" s="279"/>
      <c r="S926" s="280"/>
      <c r="T926" s="63"/>
      <c r="U926" s="94"/>
      <c r="V926" s="90"/>
      <c r="W926" s="136"/>
      <c r="X926" s="137"/>
    </row>
    <row r="927" spans="1:25" s="260" customFormat="1">
      <c r="A927" s="261">
        <v>0.05</v>
      </c>
      <c r="B927" s="87">
        <f t="shared" ref="B927:B930" si="199">B926+1</f>
        <v>2</v>
      </c>
      <c r="C927" s="262">
        <v>45890</v>
      </c>
      <c r="D927" s="357" t="s">
        <v>2899</v>
      </c>
      <c r="E927" s="271" t="s">
        <v>1058</v>
      </c>
      <c r="F927" s="265">
        <v>59586</v>
      </c>
      <c r="G927" s="265">
        <f>39.7+(117.24+344.15+121.94+185.08+231.75+13.3+541.6+324.42+190.2+7.67)+(141.77+494.21+630.04+1692.3+195.23+846.26)+(F927*0.25)</f>
        <v>21013.360000000001</v>
      </c>
      <c r="H927" s="365"/>
      <c r="I927" s="272">
        <f>F927-G927-H927</f>
        <v>38572.639999999999</v>
      </c>
      <c r="J927" s="267" t="s">
        <v>374</v>
      </c>
      <c r="K927" s="267">
        <v>1</v>
      </c>
      <c r="L927" s="267"/>
      <c r="M927" s="267"/>
      <c r="N927" s="267">
        <v>1</v>
      </c>
      <c r="O927" s="267">
        <v>1</v>
      </c>
      <c r="P927" s="267">
        <v>1</v>
      </c>
      <c r="Q927" s="267"/>
      <c r="R927" s="267"/>
      <c r="S927" s="269"/>
      <c r="T927" s="63"/>
      <c r="U927" s="10" t="s">
        <v>3036</v>
      </c>
      <c r="V927" s="90"/>
      <c r="W927" s="136"/>
      <c r="X927" s="137"/>
    </row>
    <row r="928" spans="1:25" s="260" customFormat="1">
      <c r="A928" s="494">
        <v>0.05</v>
      </c>
      <c r="B928" s="87">
        <f t="shared" si="199"/>
        <v>3</v>
      </c>
      <c r="C928" s="262">
        <v>45905</v>
      </c>
      <c r="D928" s="263" t="s">
        <v>2957</v>
      </c>
      <c r="E928" s="264" t="s">
        <v>1256</v>
      </c>
      <c r="F928" s="265">
        <v>12814</v>
      </c>
      <c r="G928" s="265">
        <f>39.7+96+(87+78.53+78.52+29.64+5.14+37.28+270.17+82.7)+(196.98)+1000</f>
        <v>2001.66</v>
      </c>
      <c r="H928" s="265"/>
      <c r="I928" s="272">
        <f>F928-G928-H928</f>
        <v>10812.34</v>
      </c>
      <c r="J928" s="267" t="s">
        <v>156</v>
      </c>
      <c r="K928" s="267">
        <v>1</v>
      </c>
      <c r="L928" s="267"/>
      <c r="M928" s="267">
        <v>1</v>
      </c>
      <c r="N928" s="267">
        <v>1</v>
      </c>
      <c r="O928" s="267">
        <v>1</v>
      </c>
      <c r="P928" s="267">
        <v>1</v>
      </c>
      <c r="Q928" s="267"/>
      <c r="R928" s="267"/>
      <c r="S928" s="269"/>
      <c r="T928" s="63"/>
      <c r="U928" s="94" t="s">
        <v>3015</v>
      </c>
      <c r="V928" s="90"/>
      <c r="W928" s="136"/>
      <c r="X928" s="137"/>
    </row>
    <row r="929" spans="1:25" s="260" customFormat="1">
      <c r="A929" s="494">
        <v>0.05</v>
      </c>
      <c r="B929" s="87">
        <f t="shared" si="199"/>
        <v>4</v>
      </c>
      <c r="C929" s="262">
        <v>45910</v>
      </c>
      <c r="D929" s="263">
        <v>73205</v>
      </c>
      <c r="E929" s="271" t="s">
        <v>1058</v>
      </c>
      <c r="F929" s="265">
        <v>14049</v>
      </c>
      <c r="G929" s="265">
        <f>39.7+(795.1)+1000</f>
        <v>1834.8000000000002</v>
      </c>
      <c r="H929" s="265"/>
      <c r="I929" s="272">
        <f>F929-G929-H929</f>
        <v>12214.2</v>
      </c>
      <c r="J929" s="267" t="s">
        <v>374</v>
      </c>
      <c r="K929" s="267">
        <v>1</v>
      </c>
      <c r="L929" s="267"/>
      <c r="M929" s="267">
        <v>1</v>
      </c>
      <c r="N929" s="267">
        <v>1</v>
      </c>
      <c r="O929" s="267">
        <v>1</v>
      </c>
      <c r="P929" s="267">
        <v>1</v>
      </c>
      <c r="Q929" s="267"/>
      <c r="R929" s="267"/>
      <c r="S929" s="269"/>
      <c r="T929" s="63"/>
      <c r="U929" s="94" t="s">
        <v>2980</v>
      </c>
      <c r="V929" s="90"/>
      <c r="W929" s="136"/>
      <c r="X929" s="137"/>
      <c r="Y929" s="181"/>
    </row>
    <row r="930" spans="1:25" s="260" customFormat="1">
      <c r="A930" s="261">
        <v>0.05</v>
      </c>
      <c r="B930" s="87">
        <f t="shared" si="199"/>
        <v>5</v>
      </c>
      <c r="C930" s="274">
        <v>45915</v>
      </c>
      <c r="D930" s="327" t="s">
        <v>3009</v>
      </c>
      <c r="E930" s="276" t="s">
        <v>1047</v>
      </c>
      <c r="F930" s="277">
        <v>12814</v>
      </c>
      <c r="G930" s="277">
        <f>39.7+40+292+(140.32+64.57)+(41.36+105.71)+1000</f>
        <v>1723.6599999999999</v>
      </c>
      <c r="H930" s="277"/>
      <c r="I930" s="321">
        <f>F930-G930-H930</f>
        <v>11090.34</v>
      </c>
      <c r="J930" s="279" t="s">
        <v>150</v>
      </c>
      <c r="K930" s="279">
        <v>1</v>
      </c>
      <c r="L930" s="279">
        <v>1</v>
      </c>
      <c r="M930" s="279">
        <v>1</v>
      </c>
      <c r="N930" s="279">
        <v>1</v>
      </c>
      <c r="O930" s="279">
        <v>1</v>
      </c>
      <c r="P930" s="322">
        <v>0</v>
      </c>
      <c r="Q930" s="322">
        <v>0</v>
      </c>
      <c r="R930" s="322">
        <v>0</v>
      </c>
      <c r="S930" s="328">
        <v>0</v>
      </c>
      <c r="T930" s="63"/>
      <c r="U930" s="94" t="s">
        <v>3010</v>
      </c>
      <c r="V930" s="90"/>
      <c r="W930" s="136"/>
      <c r="X930" s="92"/>
    </row>
    <row r="931" spans="1:25" s="260" customFormat="1">
      <c r="A931" s="261">
        <v>0.05</v>
      </c>
      <c r="B931" s="87">
        <f>B930+1</f>
        <v>6</v>
      </c>
      <c r="C931" s="274">
        <v>45924</v>
      </c>
      <c r="D931" s="327">
        <v>73656</v>
      </c>
      <c r="E931" s="276" t="s">
        <v>1115</v>
      </c>
      <c r="F931" s="277">
        <f>3046-185</f>
        <v>2861</v>
      </c>
      <c r="G931" s="277">
        <f>39.7</f>
        <v>39.700000000000003</v>
      </c>
      <c r="H931" s="277"/>
      <c r="I931" s="321">
        <f>F931-G931-H931</f>
        <v>2821.3</v>
      </c>
      <c r="J931" s="279" t="s">
        <v>228</v>
      </c>
      <c r="K931" s="279">
        <v>1</v>
      </c>
      <c r="L931" s="279">
        <v>1</v>
      </c>
      <c r="M931" s="279">
        <v>1</v>
      </c>
      <c r="N931" s="279">
        <v>1</v>
      </c>
      <c r="O931" s="279">
        <v>1</v>
      </c>
      <c r="P931" s="322">
        <v>0</v>
      </c>
      <c r="Q931" s="279">
        <v>1</v>
      </c>
      <c r="R931" s="322">
        <v>0</v>
      </c>
      <c r="S931" s="280">
        <v>1</v>
      </c>
      <c r="T931" s="63"/>
      <c r="U931" s="94" t="s">
        <v>3068</v>
      </c>
      <c r="V931" s="90">
        <f>2943.6</f>
        <v>2943.6</v>
      </c>
      <c r="W931" s="136"/>
      <c r="X931" s="137"/>
    </row>
    <row r="932" spans="1:25" s="260" customFormat="1">
      <c r="A932" s="261">
        <v>0.05</v>
      </c>
      <c r="B932" s="87">
        <f>B931+1</f>
        <v>7</v>
      </c>
      <c r="C932" s="282">
        <v>45924</v>
      </c>
      <c r="D932" s="368" t="s">
        <v>3031</v>
      </c>
      <c r="E932" s="283" t="s">
        <v>1115</v>
      </c>
      <c r="F932" s="284">
        <v>1363.64</v>
      </c>
      <c r="G932" s="284">
        <f>39.7+35.17+(70.09)+300</f>
        <v>444.96000000000004</v>
      </c>
      <c r="H932" s="284"/>
      <c r="I932" s="300">
        <f>F932-G932-H932</f>
        <v>918.68000000000006</v>
      </c>
      <c r="J932" s="286" t="s">
        <v>156</v>
      </c>
      <c r="K932" s="286">
        <v>1</v>
      </c>
      <c r="L932" s="286">
        <v>1</v>
      </c>
      <c r="M932" s="286">
        <v>1</v>
      </c>
      <c r="N932" s="286">
        <v>1</v>
      </c>
      <c r="O932" s="286">
        <v>1</v>
      </c>
      <c r="P932" s="286">
        <v>1</v>
      </c>
      <c r="Q932" s="332">
        <v>0</v>
      </c>
      <c r="R932" s="332">
        <v>0</v>
      </c>
      <c r="S932" s="370">
        <v>0</v>
      </c>
      <c r="T932" s="63"/>
      <c r="U932" s="94" t="s">
        <v>3069</v>
      </c>
      <c r="V932" s="90"/>
      <c r="W932" s="136"/>
      <c r="X932" s="137"/>
    </row>
    <row r="933" spans="1:25" s="260" customFormat="1">
      <c r="A933" s="181"/>
      <c r="B933" s="11"/>
      <c r="C933" s="36"/>
      <c r="D933" s="10"/>
      <c r="E933" s="10"/>
      <c r="F933" s="97">
        <f>SUM(F926:F932)</f>
        <v>105702.64</v>
      </c>
      <c r="G933" s="97">
        <f t="shared" ref="G933:I933" si="200">SUM(G926:G932)</f>
        <v>27097.84</v>
      </c>
      <c r="H933" s="97">
        <f t="shared" si="200"/>
        <v>0</v>
      </c>
      <c r="I933" s="97">
        <f t="shared" si="200"/>
        <v>78604.799999999988</v>
      </c>
      <c r="J933" s="63"/>
      <c r="K933" s="21"/>
      <c r="L933" s="21"/>
      <c r="M933" s="21"/>
      <c r="N933" s="21"/>
      <c r="O933" s="21"/>
      <c r="P933" s="21"/>
      <c r="Q933" s="21"/>
      <c r="R933" s="21"/>
      <c r="S933" s="21"/>
      <c r="T933" s="63"/>
      <c r="U933" s="94"/>
      <c r="V933" s="90"/>
      <c r="W933" s="91"/>
      <c r="X933" s="92"/>
    </row>
    <row r="934" spans="1:25">
      <c r="A934" s="2"/>
      <c r="B934" s="11"/>
      <c r="C934" s="36"/>
      <c r="D934" s="10"/>
      <c r="E934" s="10"/>
      <c r="F934" s="88"/>
      <c r="G934" s="88"/>
      <c r="H934" s="88"/>
      <c r="I934" s="99"/>
      <c r="J934" s="63"/>
      <c r="K934" s="21"/>
      <c r="L934" s="21"/>
      <c r="M934" s="21"/>
      <c r="N934" s="21"/>
      <c r="O934" s="21"/>
      <c r="P934" s="21"/>
      <c r="Q934" s="21"/>
      <c r="R934" s="21"/>
      <c r="S934" s="21"/>
      <c r="T934" s="63"/>
      <c r="U934" s="94"/>
      <c r="V934" s="90"/>
      <c r="W934" s="91"/>
      <c r="X934" s="92"/>
    </row>
    <row r="935" spans="1:25">
      <c r="A935" s="614"/>
      <c r="B935" s="100" t="s">
        <v>72</v>
      </c>
      <c r="C935" s="609"/>
      <c r="D935" s="10"/>
      <c r="E935" s="10"/>
      <c r="F935" s="88"/>
      <c r="G935" s="88"/>
      <c r="H935" s="88"/>
      <c r="I935" s="99"/>
      <c r="J935" s="63"/>
      <c r="K935" s="63"/>
      <c r="L935" s="63"/>
      <c r="M935" s="63"/>
      <c r="N935" s="63"/>
      <c r="O935" s="63"/>
      <c r="P935" s="63"/>
      <c r="Q935" s="63"/>
      <c r="R935" s="63"/>
      <c r="S935" s="63"/>
      <c r="T935" s="63"/>
      <c r="U935" s="10"/>
      <c r="V935" s="90"/>
      <c r="W935" s="91"/>
      <c r="X935" s="92"/>
    </row>
    <row r="936" spans="1:25">
      <c r="A936" s="614"/>
      <c r="B936" s="87">
        <v>1</v>
      </c>
      <c r="C936" s="274">
        <v>45929</v>
      </c>
      <c r="D936" s="276" t="s">
        <v>3070</v>
      </c>
      <c r="E936" s="276" t="s">
        <v>1028</v>
      </c>
      <c r="F936" s="277">
        <v>4419</v>
      </c>
      <c r="G936" s="277">
        <v>39.700000000000003</v>
      </c>
      <c r="H936" s="277"/>
      <c r="I936" s="278">
        <f t="shared" ref="I936:I952" si="201">F936-G936-H936</f>
        <v>4379.3</v>
      </c>
      <c r="J936" s="279" t="s">
        <v>205</v>
      </c>
      <c r="K936" s="279">
        <v>1</v>
      </c>
      <c r="L936" s="279"/>
      <c r="M936" s="279"/>
      <c r="N936" s="279">
        <v>1</v>
      </c>
      <c r="O936" s="279"/>
      <c r="P936" s="279"/>
      <c r="Q936" s="279"/>
      <c r="R936" s="279"/>
      <c r="S936" s="280"/>
      <c r="T936" s="63"/>
      <c r="U936" s="3"/>
      <c r="V936" s="90"/>
      <c r="W936" s="91"/>
      <c r="X936" s="92"/>
    </row>
    <row r="937" spans="1:25">
      <c r="A937" s="614"/>
      <c r="B937" s="87">
        <f t="shared" ref="B937:B952" si="202">B936+1</f>
        <v>2</v>
      </c>
      <c r="C937" s="295">
        <v>45929</v>
      </c>
      <c r="D937" s="10" t="s">
        <v>3071</v>
      </c>
      <c r="E937" s="10" t="s">
        <v>1695</v>
      </c>
      <c r="F937" s="62">
        <v>5814</v>
      </c>
      <c r="G937" s="62">
        <v>39.700000000000003</v>
      </c>
      <c r="H937" s="62"/>
      <c r="I937" s="89">
        <f t="shared" si="201"/>
        <v>5774.3</v>
      </c>
      <c r="J937" s="63" t="s">
        <v>205</v>
      </c>
      <c r="K937" s="63">
        <v>1</v>
      </c>
      <c r="L937" s="63"/>
      <c r="M937" s="63"/>
      <c r="N937" s="63">
        <v>1</v>
      </c>
      <c r="O937" s="63"/>
      <c r="P937" s="63"/>
      <c r="Q937" s="63"/>
      <c r="R937" s="63"/>
      <c r="S937" s="296"/>
      <c r="T937" s="63"/>
      <c r="U937" s="10"/>
      <c r="V937" s="90"/>
      <c r="W937" s="136"/>
      <c r="X937" s="137"/>
    </row>
    <row r="938" spans="1:25">
      <c r="A938" s="614"/>
      <c r="B938" s="87">
        <f t="shared" si="202"/>
        <v>3</v>
      </c>
      <c r="C938" s="295">
        <v>45929</v>
      </c>
      <c r="D938" s="10">
        <v>73731</v>
      </c>
      <c r="E938" s="10" t="s">
        <v>1178</v>
      </c>
      <c r="F938" s="62">
        <v>0</v>
      </c>
      <c r="G938" s="62">
        <v>0</v>
      </c>
      <c r="H938" s="62"/>
      <c r="I938" s="89">
        <f t="shared" si="201"/>
        <v>0</v>
      </c>
      <c r="J938" s="63" t="s">
        <v>205</v>
      </c>
      <c r="K938" s="63"/>
      <c r="L938" s="63"/>
      <c r="M938" s="63"/>
      <c r="N938" s="63"/>
      <c r="O938" s="63"/>
      <c r="P938" s="63"/>
      <c r="Q938" s="63"/>
      <c r="R938" s="63"/>
      <c r="S938" s="296"/>
      <c r="T938" s="63"/>
      <c r="U938" s="10"/>
      <c r="V938" s="90"/>
      <c r="W938" s="136"/>
      <c r="X938" s="137"/>
    </row>
    <row r="939" spans="1:25">
      <c r="A939" s="614"/>
      <c r="B939" s="87">
        <f t="shared" si="202"/>
        <v>4</v>
      </c>
      <c r="C939" s="295">
        <v>45929</v>
      </c>
      <c r="D939" s="10">
        <v>73778</v>
      </c>
      <c r="E939" s="10" t="s">
        <v>3072</v>
      </c>
      <c r="F939" s="62">
        <v>1137.5999999999999</v>
      </c>
      <c r="G939" s="62">
        <v>39.700000000000003</v>
      </c>
      <c r="H939" s="62"/>
      <c r="I939" s="89">
        <f t="shared" si="201"/>
        <v>1097.8999999999999</v>
      </c>
      <c r="J939" s="63" t="s">
        <v>205</v>
      </c>
      <c r="K939" s="63">
        <v>1</v>
      </c>
      <c r="L939" s="63"/>
      <c r="M939" s="63"/>
      <c r="N939" s="63">
        <v>1</v>
      </c>
      <c r="O939" s="63"/>
      <c r="P939" s="63"/>
      <c r="Q939" s="63">
        <v>1</v>
      </c>
      <c r="R939" s="63">
        <v>1</v>
      </c>
      <c r="S939" s="296">
        <v>1</v>
      </c>
      <c r="T939" s="63"/>
      <c r="U939" s="10"/>
      <c r="V939" s="90"/>
      <c r="W939" s="136"/>
      <c r="X939" s="137"/>
    </row>
    <row r="940" spans="1:25">
      <c r="A940" s="614"/>
      <c r="B940" s="87">
        <f t="shared" si="202"/>
        <v>5</v>
      </c>
      <c r="C940" s="274">
        <v>45930</v>
      </c>
      <c r="D940" s="276" t="s">
        <v>3073</v>
      </c>
      <c r="E940" s="281" t="s">
        <v>3074</v>
      </c>
      <c r="F940" s="277">
        <v>5814</v>
      </c>
      <c r="G940" s="277">
        <v>39.700000000000003</v>
      </c>
      <c r="H940" s="277"/>
      <c r="I940" s="278">
        <f t="shared" si="201"/>
        <v>5774.3</v>
      </c>
      <c r="J940" s="279" t="s">
        <v>205</v>
      </c>
      <c r="K940" s="279">
        <v>1</v>
      </c>
      <c r="L940" s="279"/>
      <c r="M940" s="279"/>
      <c r="N940" s="279">
        <v>1</v>
      </c>
      <c r="O940" s="279"/>
      <c r="P940" s="279"/>
      <c r="Q940" s="279"/>
      <c r="R940" s="279"/>
      <c r="S940" s="280"/>
      <c r="T940" s="63"/>
      <c r="U940" s="10"/>
      <c r="V940" s="90"/>
      <c r="W940" s="136"/>
      <c r="X940" s="137"/>
    </row>
    <row r="941" spans="1:25">
      <c r="A941" s="614"/>
      <c r="B941" s="87">
        <f t="shared" si="202"/>
        <v>6</v>
      </c>
      <c r="C941" s="295">
        <v>45930</v>
      </c>
      <c r="D941" s="10" t="s">
        <v>3075</v>
      </c>
      <c r="E941" s="101" t="s">
        <v>3074</v>
      </c>
      <c r="F941" s="62">
        <v>4461</v>
      </c>
      <c r="G941" s="62">
        <v>39.700000000000003</v>
      </c>
      <c r="H941" s="62"/>
      <c r="I941" s="89">
        <f t="shared" si="201"/>
        <v>4421.3</v>
      </c>
      <c r="J941" s="63" t="s">
        <v>205</v>
      </c>
      <c r="K941" s="63">
        <v>1</v>
      </c>
      <c r="L941" s="63"/>
      <c r="M941" s="63"/>
      <c r="N941" s="63">
        <v>1</v>
      </c>
      <c r="O941" s="63"/>
      <c r="P941" s="63"/>
      <c r="Q941" s="63"/>
      <c r="R941" s="63"/>
      <c r="S941" s="296"/>
      <c r="T941" s="63"/>
      <c r="U941" s="10"/>
      <c r="V941" s="90"/>
      <c r="W941" s="136"/>
      <c r="X941" s="137"/>
    </row>
    <row r="942" spans="1:25">
      <c r="A942" s="614"/>
      <c r="B942" s="87">
        <f t="shared" si="202"/>
        <v>7</v>
      </c>
      <c r="C942" s="295">
        <v>45930</v>
      </c>
      <c r="D942" s="10">
        <v>73818</v>
      </c>
      <c r="E942" s="101" t="s">
        <v>1338</v>
      </c>
      <c r="F942" s="62">
        <v>612.9</v>
      </c>
      <c r="G942" s="62"/>
      <c r="H942" s="62"/>
      <c r="I942" s="89">
        <f t="shared" si="201"/>
        <v>612.9</v>
      </c>
      <c r="J942" s="63" t="s">
        <v>205</v>
      </c>
      <c r="K942" s="63">
        <v>1</v>
      </c>
      <c r="L942" s="63"/>
      <c r="M942" s="63"/>
      <c r="N942" s="63">
        <v>1</v>
      </c>
      <c r="O942" s="63"/>
      <c r="P942" s="63"/>
      <c r="Q942" s="63">
        <v>1</v>
      </c>
      <c r="R942" s="63">
        <v>1</v>
      </c>
      <c r="S942" s="296"/>
      <c r="T942" s="63"/>
      <c r="U942" s="10"/>
      <c r="V942" s="90"/>
      <c r="W942" s="136"/>
      <c r="X942" s="137"/>
    </row>
    <row r="943" spans="1:25">
      <c r="A943" s="614"/>
      <c r="B943" s="87">
        <f t="shared" si="202"/>
        <v>8</v>
      </c>
      <c r="C943" s="295">
        <v>45930</v>
      </c>
      <c r="D943" s="10">
        <v>73808</v>
      </c>
      <c r="E943" s="10" t="s">
        <v>3076</v>
      </c>
      <c r="F943" s="62">
        <v>2574.9</v>
      </c>
      <c r="G943" s="62">
        <f>39.7</f>
        <v>39.700000000000003</v>
      </c>
      <c r="H943" s="62"/>
      <c r="I943" s="89">
        <f>F943-G943-H943</f>
        <v>2535.2000000000003</v>
      </c>
      <c r="J943" s="63" t="s">
        <v>156</v>
      </c>
      <c r="K943" s="63">
        <v>1</v>
      </c>
      <c r="L943" s="63"/>
      <c r="M943" s="325">
        <v>0</v>
      </c>
      <c r="N943" s="63">
        <v>1</v>
      </c>
      <c r="O943" s="63">
        <v>1</v>
      </c>
      <c r="P943" s="325">
        <v>0</v>
      </c>
      <c r="Q943" s="63"/>
      <c r="R943" s="63"/>
      <c r="S943" s="296"/>
      <c r="T943" s="63"/>
      <c r="U943" s="94"/>
      <c r="V943" s="90">
        <v>280</v>
      </c>
      <c r="W943" s="136"/>
      <c r="X943" s="137"/>
    </row>
    <row r="944" spans="1:25">
      <c r="A944" s="614"/>
      <c r="B944" s="87">
        <f t="shared" si="202"/>
        <v>9</v>
      </c>
      <c r="C944" s="274">
        <v>45931</v>
      </c>
      <c r="D944" s="276">
        <v>73862</v>
      </c>
      <c r="E944" s="281" t="s">
        <v>1284</v>
      </c>
      <c r="F944" s="277">
        <v>1314.9</v>
      </c>
      <c r="G944" s="277">
        <v>39.700000000000003</v>
      </c>
      <c r="H944" s="277"/>
      <c r="I944" s="278">
        <f t="shared" si="201"/>
        <v>1275.2</v>
      </c>
      <c r="J944" s="279" t="s">
        <v>156</v>
      </c>
      <c r="K944" s="279">
        <v>1</v>
      </c>
      <c r="L944" s="279"/>
      <c r="M944" s="279">
        <v>1</v>
      </c>
      <c r="N944" s="279">
        <v>1</v>
      </c>
      <c r="O944" s="279"/>
      <c r="P944" s="279">
        <v>1</v>
      </c>
      <c r="Q944" s="279"/>
      <c r="R944" s="279"/>
      <c r="S944" s="280"/>
      <c r="T944" s="63"/>
      <c r="U944" s="10"/>
      <c r="V944" s="90">
        <v>93.5</v>
      </c>
      <c r="W944" s="136"/>
      <c r="X944" s="137"/>
    </row>
    <row r="945" spans="1:24">
      <c r="A945" s="614"/>
      <c r="B945" s="87">
        <f t="shared" si="202"/>
        <v>10</v>
      </c>
      <c r="C945" s="295">
        <v>45931</v>
      </c>
      <c r="D945" s="10">
        <v>73898</v>
      </c>
      <c r="E945" s="101" t="s">
        <v>1273</v>
      </c>
      <c r="F945" s="62">
        <v>1837.8</v>
      </c>
      <c r="G945" s="62">
        <f>39.7</f>
        <v>39.700000000000003</v>
      </c>
      <c r="H945" s="62"/>
      <c r="I945" s="89">
        <f t="shared" si="201"/>
        <v>1798.1</v>
      </c>
      <c r="J945" s="63" t="s">
        <v>205</v>
      </c>
      <c r="K945" s="63">
        <v>1</v>
      </c>
      <c r="L945" s="63"/>
      <c r="M945" s="63"/>
      <c r="N945" s="63">
        <v>1</v>
      </c>
      <c r="O945" s="63"/>
      <c r="P945" s="63"/>
      <c r="Q945" s="63">
        <v>1</v>
      </c>
      <c r="R945" s="63">
        <v>1</v>
      </c>
      <c r="S945" s="296"/>
      <c r="T945" s="63"/>
      <c r="U945" s="10"/>
      <c r="V945" s="90"/>
      <c r="W945" s="136"/>
      <c r="X945" s="137"/>
    </row>
    <row r="946" spans="1:24">
      <c r="A946" s="614"/>
      <c r="B946" s="87">
        <f t="shared" si="202"/>
        <v>11</v>
      </c>
      <c r="C946" s="295">
        <v>45931</v>
      </c>
      <c r="D946" s="10" t="s">
        <v>3077</v>
      </c>
      <c r="E946" s="10" t="s">
        <v>1338</v>
      </c>
      <c r="F946" s="62">
        <v>44619</v>
      </c>
      <c r="G946" s="62">
        <v>39.700000000000003</v>
      </c>
      <c r="H946" s="62"/>
      <c r="I946" s="89">
        <f t="shared" si="201"/>
        <v>44579.3</v>
      </c>
      <c r="J946" s="63" t="s">
        <v>205</v>
      </c>
      <c r="K946" s="63">
        <v>1</v>
      </c>
      <c r="L946" s="63"/>
      <c r="M946" s="63"/>
      <c r="N946" s="63">
        <v>1</v>
      </c>
      <c r="O946" s="63"/>
      <c r="P946" s="63"/>
      <c r="Q946" s="63"/>
      <c r="R946" s="63"/>
      <c r="S946" s="296"/>
      <c r="T946" s="63"/>
      <c r="U946" s="10"/>
      <c r="V946" s="90"/>
      <c r="W946" s="136"/>
      <c r="X946" s="137"/>
    </row>
    <row r="947" spans="1:24">
      <c r="A947" s="614"/>
      <c r="B947" s="87">
        <f t="shared" si="202"/>
        <v>12</v>
      </c>
      <c r="C947" s="274">
        <v>45932</v>
      </c>
      <c r="D947" s="276">
        <v>73935</v>
      </c>
      <c r="E947" s="281" t="s">
        <v>1273</v>
      </c>
      <c r="F947" s="277">
        <v>1903</v>
      </c>
      <c r="G947" s="277">
        <v>39.700000000000003</v>
      </c>
      <c r="H947" s="277"/>
      <c r="I947" s="278">
        <f t="shared" si="201"/>
        <v>1863.3</v>
      </c>
      <c r="J947" s="279" t="s">
        <v>205</v>
      </c>
      <c r="K947" s="279">
        <v>1</v>
      </c>
      <c r="L947" s="279"/>
      <c r="M947" s="279"/>
      <c r="N947" s="279">
        <v>1</v>
      </c>
      <c r="O947" s="279"/>
      <c r="P947" s="279"/>
      <c r="Q947" s="279">
        <v>1</v>
      </c>
      <c r="R947" s="279">
        <v>1</v>
      </c>
      <c r="S947" s="280">
        <v>1</v>
      </c>
      <c r="T947" s="63"/>
      <c r="U947" s="10"/>
      <c r="V947" s="90"/>
      <c r="W947" s="136"/>
      <c r="X947" s="137"/>
    </row>
    <row r="948" spans="1:24">
      <c r="A948" s="614"/>
      <c r="B948" s="87">
        <f t="shared" si="202"/>
        <v>13</v>
      </c>
      <c r="C948" s="295">
        <v>45932</v>
      </c>
      <c r="D948" s="10">
        <v>73938</v>
      </c>
      <c r="E948" s="101" t="s">
        <v>1260</v>
      </c>
      <c r="F948" s="62">
        <v>1020.6</v>
      </c>
      <c r="G948" s="62">
        <v>39.700000000000003</v>
      </c>
      <c r="H948" s="62"/>
      <c r="I948" s="89">
        <f t="shared" si="201"/>
        <v>980.9</v>
      </c>
      <c r="J948" s="63" t="s">
        <v>205</v>
      </c>
      <c r="K948" s="63">
        <v>1</v>
      </c>
      <c r="L948" s="63"/>
      <c r="M948" s="63"/>
      <c r="N948" s="63">
        <v>1</v>
      </c>
      <c r="O948" s="63"/>
      <c r="P948" s="63"/>
      <c r="Q948" s="63">
        <v>1</v>
      </c>
      <c r="R948" s="63">
        <v>1</v>
      </c>
      <c r="S948" s="296">
        <v>1</v>
      </c>
      <c r="T948" s="63"/>
      <c r="U948" s="10"/>
      <c r="V948" s="90"/>
      <c r="W948" s="136"/>
      <c r="X948" s="137"/>
    </row>
    <row r="949" spans="1:24">
      <c r="A949" s="614"/>
      <c r="B949" s="87">
        <f t="shared" si="202"/>
        <v>14</v>
      </c>
      <c r="C949" s="295">
        <v>45932</v>
      </c>
      <c r="D949" s="10">
        <v>73828</v>
      </c>
      <c r="E949" s="10" t="s">
        <v>1169</v>
      </c>
      <c r="F949" s="62">
        <v>2532.6</v>
      </c>
      <c r="G949" s="62">
        <v>39.700000000000003</v>
      </c>
      <c r="H949" s="62"/>
      <c r="I949" s="89">
        <f t="shared" si="201"/>
        <v>2492.9</v>
      </c>
      <c r="J949" s="63" t="s">
        <v>205</v>
      </c>
      <c r="K949" s="63">
        <v>1</v>
      </c>
      <c r="L949" s="63"/>
      <c r="M949" s="63"/>
      <c r="N949" s="63">
        <v>1</v>
      </c>
      <c r="O949" s="63"/>
      <c r="P949" s="63"/>
      <c r="Q949" s="63">
        <v>1</v>
      </c>
      <c r="R949" s="63">
        <v>1</v>
      </c>
      <c r="S949" s="296"/>
      <c r="T949" s="63"/>
      <c r="U949" s="10"/>
      <c r="V949" s="90"/>
      <c r="W949" s="136"/>
      <c r="X949" s="137"/>
    </row>
    <row r="950" spans="1:24">
      <c r="A950" s="614"/>
      <c r="B950" s="87">
        <f t="shared" si="202"/>
        <v>15</v>
      </c>
      <c r="C950" s="274">
        <v>45933</v>
      </c>
      <c r="D950" s="276">
        <v>73991</v>
      </c>
      <c r="E950" s="276" t="s">
        <v>1256</v>
      </c>
      <c r="F950" s="277">
        <v>2214</v>
      </c>
      <c r="G950" s="277">
        <v>39.700000000000003</v>
      </c>
      <c r="H950" s="277"/>
      <c r="I950" s="278">
        <f t="shared" si="201"/>
        <v>2174.3000000000002</v>
      </c>
      <c r="J950" s="279" t="s">
        <v>205</v>
      </c>
      <c r="K950" s="279">
        <v>1</v>
      </c>
      <c r="L950" s="279"/>
      <c r="M950" s="279"/>
      <c r="N950" s="279">
        <v>1</v>
      </c>
      <c r="O950" s="279"/>
      <c r="P950" s="279"/>
      <c r="Q950" s="279">
        <v>1</v>
      </c>
      <c r="R950" s="279">
        <v>1</v>
      </c>
      <c r="S950" s="280">
        <v>1</v>
      </c>
      <c r="T950" s="63"/>
      <c r="U950" s="10"/>
      <c r="V950" s="90"/>
      <c r="W950" s="136"/>
      <c r="X950" s="137"/>
    </row>
    <row r="951" spans="1:24">
      <c r="A951" s="614"/>
      <c r="B951" s="87">
        <f t="shared" si="202"/>
        <v>16</v>
      </c>
      <c r="C951" s="295">
        <v>45933</v>
      </c>
      <c r="D951" s="10">
        <v>74027</v>
      </c>
      <c r="E951" s="10" t="s">
        <v>446</v>
      </c>
      <c r="F951" s="62">
        <v>681</v>
      </c>
      <c r="G951" s="62"/>
      <c r="H951" s="62"/>
      <c r="I951" s="89">
        <f t="shared" si="201"/>
        <v>681</v>
      </c>
      <c r="J951" s="63" t="s">
        <v>205</v>
      </c>
      <c r="K951" s="63">
        <v>1</v>
      </c>
      <c r="L951" s="63"/>
      <c r="M951" s="63"/>
      <c r="N951" s="63">
        <v>1</v>
      </c>
      <c r="O951" s="63"/>
      <c r="P951" s="63"/>
      <c r="Q951" s="63"/>
      <c r="R951" s="63"/>
      <c r="S951" s="296"/>
      <c r="T951" s="63"/>
      <c r="U951" s="10"/>
      <c r="V951" s="90"/>
      <c r="W951" s="136"/>
      <c r="X951" s="137"/>
    </row>
    <row r="952" spans="1:24">
      <c r="A952" s="614"/>
      <c r="B952" s="87">
        <f t="shared" si="202"/>
        <v>17</v>
      </c>
      <c r="C952" s="282">
        <v>45933</v>
      </c>
      <c r="D952" s="283">
        <v>74030</v>
      </c>
      <c r="E952" s="283" t="s">
        <v>149</v>
      </c>
      <c r="F952" s="284">
        <v>1861</v>
      </c>
      <c r="G952" s="284">
        <v>39.700000000000003</v>
      </c>
      <c r="H952" s="284"/>
      <c r="I952" s="285">
        <f t="shared" si="201"/>
        <v>1821.3</v>
      </c>
      <c r="J952" s="286" t="s">
        <v>205</v>
      </c>
      <c r="K952" s="286"/>
      <c r="L952" s="286"/>
      <c r="M952" s="286"/>
      <c r="N952" s="286">
        <v>1</v>
      </c>
      <c r="O952" s="286"/>
      <c r="P952" s="286"/>
      <c r="Q952" s="286"/>
      <c r="R952" s="286"/>
      <c r="S952" s="287"/>
      <c r="T952" s="63"/>
      <c r="U952" s="10"/>
      <c r="V952" s="90"/>
      <c r="W952" s="136"/>
      <c r="X952" s="137"/>
    </row>
    <row r="953" spans="1:24">
      <c r="A953" s="614"/>
      <c r="B953" s="11"/>
      <c r="C953" s="36"/>
      <c r="D953" s="10"/>
      <c r="E953" s="10"/>
      <c r="F953" s="97">
        <f>SUM(F936:F952)</f>
        <v>82817.300000000017</v>
      </c>
      <c r="G953" s="97">
        <f>SUM(G936:G952)</f>
        <v>555.79999999999995</v>
      </c>
      <c r="H953" s="97">
        <f>SUM(H936:H952)</f>
        <v>0</v>
      </c>
      <c r="I953" s="98">
        <f>SUM(I936:I952)</f>
        <v>82261.5</v>
      </c>
      <c r="J953" s="10"/>
      <c r="K953" s="10"/>
      <c r="L953" s="10"/>
      <c r="M953" s="10"/>
      <c r="N953" s="10"/>
      <c r="O953" s="10"/>
      <c r="P953" s="10"/>
      <c r="Q953" s="10"/>
      <c r="R953" s="10"/>
      <c r="S953" s="10"/>
      <c r="T953" s="63"/>
      <c r="U953" s="10"/>
      <c r="V953" s="138"/>
      <c r="W953" s="136"/>
      <c r="X953" s="137"/>
    </row>
    <row r="954" spans="1:24">
      <c r="A954" s="614"/>
      <c r="B954" s="26"/>
      <c r="C954" s="612"/>
      <c r="D954" s="141"/>
      <c r="E954" s="141"/>
      <c r="F954" s="141"/>
      <c r="G954" s="141"/>
      <c r="H954" s="141"/>
      <c r="I954" s="141"/>
      <c r="J954" s="141"/>
      <c r="K954" s="142"/>
      <c r="L954" s="142"/>
      <c r="M954" s="142"/>
      <c r="N954" s="142"/>
      <c r="O954" s="142"/>
      <c r="P954" s="142"/>
      <c r="Q954" s="142"/>
      <c r="R954" s="142"/>
      <c r="S954" s="142"/>
      <c r="T954" s="143">
        <f>SUM(T868:T952)</f>
        <v>6</v>
      </c>
      <c r="U954" s="141"/>
      <c r="V954" s="144">
        <f>SUM(V868:V953)</f>
        <v>62538.600000000006</v>
      </c>
      <c r="W954" s="144">
        <f t="shared" ref="W954:X954" si="203">SUM(W868:W953)</f>
        <v>1400</v>
      </c>
      <c r="X954" s="144">
        <f t="shared" si="203"/>
        <v>0</v>
      </c>
    </row>
    <row r="957" spans="1:24">
      <c r="B957" s="4" t="s">
        <v>1</v>
      </c>
      <c r="C957" s="5"/>
      <c r="D957" s="6"/>
      <c r="E957" s="6"/>
      <c r="F957" s="7" t="s">
        <v>2</v>
      </c>
      <c r="G957" s="608">
        <v>45942</v>
      </c>
      <c r="H957" s="7"/>
      <c r="I957" s="6"/>
      <c r="J957" s="6"/>
      <c r="K957" s="6"/>
      <c r="L957" s="6"/>
      <c r="M957" s="6"/>
      <c r="N957" s="6"/>
      <c r="O957" s="6"/>
      <c r="P957" s="6"/>
      <c r="Q957" s="6"/>
      <c r="R957" s="6"/>
      <c r="S957" s="6"/>
      <c r="T957" s="6"/>
      <c r="U957" s="9"/>
      <c r="V957" s="10"/>
      <c r="W957" s="10"/>
      <c r="X957" s="10"/>
    </row>
    <row r="958" spans="1:24">
      <c r="B958" s="11"/>
      <c r="C958" s="10"/>
      <c r="D958" s="10"/>
      <c r="E958" s="10"/>
      <c r="F958" s="10"/>
      <c r="G958" s="7"/>
      <c r="H958" s="12"/>
      <c r="I958" s="10"/>
      <c r="J958" s="10"/>
      <c r="K958" s="13" t="s">
        <v>3</v>
      </c>
      <c r="L958" s="14"/>
      <c r="M958" s="15"/>
      <c r="N958" s="13" t="s">
        <v>4</v>
      </c>
      <c r="O958" s="14"/>
      <c r="P958" s="15"/>
      <c r="Q958" s="13" t="s">
        <v>5</v>
      </c>
      <c r="R958" s="14"/>
      <c r="S958" s="15"/>
      <c r="T958" s="16"/>
      <c r="U958" s="17"/>
      <c r="V958" s="10"/>
      <c r="W958" s="10"/>
      <c r="X958" s="10"/>
    </row>
    <row r="959" spans="1:24">
      <c r="B959" s="18" t="s">
        <v>6</v>
      </c>
      <c r="C959" s="19">
        <f>C960+C961</f>
        <v>36</v>
      </c>
      <c r="D959" s="10"/>
      <c r="E959" s="18" t="s">
        <v>7</v>
      </c>
      <c r="F959" s="6"/>
      <c r="G959" s="9"/>
      <c r="H959" s="10"/>
      <c r="I959" s="10"/>
      <c r="J959" s="10"/>
      <c r="K959" s="20" t="s">
        <v>8</v>
      </c>
      <c r="L959" s="21" t="s">
        <v>9</v>
      </c>
      <c r="M959" s="21" t="s">
        <v>10</v>
      </c>
      <c r="N959" s="20" t="s">
        <v>11</v>
      </c>
      <c r="O959" s="21" t="s">
        <v>12</v>
      </c>
      <c r="P959" s="22" t="s">
        <v>13</v>
      </c>
      <c r="Q959" s="21" t="s">
        <v>11</v>
      </c>
      <c r="R959" s="21" t="s">
        <v>12</v>
      </c>
      <c r="S959" s="22" t="s">
        <v>13</v>
      </c>
      <c r="T959" s="23" t="s">
        <v>14</v>
      </c>
      <c r="U959" s="17"/>
      <c r="V959" s="10"/>
      <c r="W959" s="10"/>
      <c r="X959" s="10"/>
    </row>
    <row r="960" spans="1:24">
      <c r="B960" s="24" t="s">
        <v>15</v>
      </c>
      <c r="C960" s="25">
        <f>P967</f>
        <v>17</v>
      </c>
      <c r="D960" s="10"/>
      <c r="E960" s="26" t="s">
        <v>16</v>
      </c>
      <c r="F960" s="27">
        <v>0.05</v>
      </c>
      <c r="G960" s="28"/>
      <c r="H960" s="10"/>
      <c r="I960" s="10"/>
      <c r="J960" s="18" t="s">
        <v>17</v>
      </c>
      <c r="K960" s="29">
        <f>K994</f>
        <v>9</v>
      </c>
      <c r="L960" s="29">
        <f t="shared" ref="L960:S960" si="204">L994</f>
        <v>8</v>
      </c>
      <c r="M960" s="29">
        <f t="shared" si="204"/>
        <v>7</v>
      </c>
      <c r="N960" s="29">
        <f t="shared" si="204"/>
        <v>9</v>
      </c>
      <c r="O960" s="29">
        <f t="shared" si="204"/>
        <v>9</v>
      </c>
      <c r="P960" s="29">
        <f t="shared" si="204"/>
        <v>6</v>
      </c>
      <c r="Q960" s="29">
        <f t="shared" si="204"/>
        <v>3</v>
      </c>
      <c r="R960" s="29">
        <f t="shared" si="204"/>
        <v>2</v>
      </c>
      <c r="S960" s="29">
        <f t="shared" si="204"/>
        <v>1</v>
      </c>
      <c r="T960" s="30">
        <f>T1071</f>
        <v>1</v>
      </c>
      <c r="U960" s="17" t="s">
        <v>3078</v>
      </c>
      <c r="V960" s="10"/>
      <c r="W960" s="10"/>
      <c r="X960" s="10"/>
    </row>
    <row r="961" spans="2:24">
      <c r="B961" s="24" t="s">
        <v>18</v>
      </c>
      <c r="C961" s="25">
        <f>P968</f>
        <v>19</v>
      </c>
      <c r="D961" s="10"/>
      <c r="E961" s="10"/>
      <c r="F961" s="10"/>
      <c r="G961" s="31"/>
      <c r="H961" s="10"/>
      <c r="I961" s="10"/>
      <c r="J961" s="32" t="s">
        <v>19</v>
      </c>
      <c r="K961" s="33">
        <f>K994/K993</f>
        <v>1</v>
      </c>
      <c r="L961" s="33">
        <f t="shared" ref="L961:S961" si="205">L994/L993</f>
        <v>0.88888888888888884</v>
      </c>
      <c r="M961" s="33">
        <f t="shared" si="205"/>
        <v>0.77777777777777779</v>
      </c>
      <c r="N961" s="33">
        <f t="shared" si="205"/>
        <v>1</v>
      </c>
      <c r="O961" s="33">
        <f t="shared" si="205"/>
        <v>1</v>
      </c>
      <c r="P961" s="33">
        <f t="shared" si="205"/>
        <v>0.66666666666666663</v>
      </c>
      <c r="Q961" s="33">
        <f t="shared" si="205"/>
        <v>0.33333333333333331</v>
      </c>
      <c r="R961" s="33">
        <f t="shared" si="205"/>
        <v>0.22222222222222221</v>
      </c>
      <c r="S961" s="33">
        <f t="shared" si="205"/>
        <v>0.1111111111111111</v>
      </c>
      <c r="T961" s="23"/>
      <c r="U961" s="17" t="s">
        <v>20</v>
      </c>
      <c r="V961" s="10"/>
      <c r="W961" s="10"/>
      <c r="X961" s="10"/>
    </row>
    <row r="962" spans="2:24">
      <c r="B962" s="24" t="s">
        <v>21</v>
      </c>
      <c r="C962" s="34">
        <f>P969</f>
        <v>0.47222222222222221</v>
      </c>
      <c r="D962" s="10"/>
      <c r="E962" s="10"/>
      <c r="F962" s="10"/>
      <c r="G962" s="10"/>
      <c r="H962" s="10"/>
      <c r="I962" s="10"/>
      <c r="J962" s="10"/>
      <c r="K962" s="10"/>
      <c r="L962" s="10"/>
      <c r="M962" s="10"/>
      <c r="N962" s="10"/>
      <c r="O962" s="10"/>
      <c r="P962" s="10"/>
      <c r="Q962" s="10"/>
      <c r="R962" s="10"/>
      <c r="S962" s="10"/>
      <c r="T962" s="10"/>
      <c r="U962" s="17"/>
      <c r="V962" s="10"/>
      <c r="W962" s="10"/>
      <c r="X962" s="10"/>
    </row>
    <row r="963" spans="2:24">
      <c r="B963" s="24"/>
      <c r="C963" s="25"/>
      <c r="D963" s="10"/>
      <c r="E963" s="10"/>
      <c r="F963" s="18" t="s">
        <v>22</v>
      </c>
      <c r="G963" s="19" t="s">
        <v>23</v>
      </c>
      <c r="H963" s="35" t="s">
        <v>24</v>
      </c>
      <c r="I963" s="10"/>
      <c r="J963" s="10"/>
      <c r="K963" s="36"/>
      <c r="L963" s="36"/>
      <c r="M963" s="36"/>
      <c r="N963" s="36"/>
      <c r="O963" s="36"/>
      <c r="P963" s="36"/>
      <c r="Q963" s="36"/>
      <c r="R963" s="10"/>
      <c r="S963" s="10"/>
      <c r="T963" s="10"/>
      <c r="U963" s="17"/>
      <c r="V963" s="10"/>
      <c r="W963" s="10"/>
      <c r="X963" s="10"/>
    </row>
    <row r="964" spans="2:24" ht="17.25" customHeight="1">
      <c r="B964" s="32" t="s">
        <v>25</v>
      </c>
      <c r="C964" s="37">
        <f>P970</f>
        <v>3331.1282352941175</v>
      </c>
      <c r="D964" s="10"/>
      <c r="E964" s="18" t="s">
        <v>26</v>
      </c>
      <c r="F964" s="38">
        <f>P966</f>
        <v>56629.18</v>
      </c>
      <c r="G964" s="39">
        <f>I993+I999+I1008</f>
        <v>56629.180000000008</v>
      </c>
      <c r="H964" s="767" t="s">
        <v>851</v>
      </c>
      <c r="I964" s="767"/>
      <c r="J964" s="767"/>
      <c r="K964" s="43" t="s">
        <v>27</v>
      </c>
      <c r="L964" s="44"/>
      <c r="M964" s="44"/>
      <c r="N964" s="44"/>
      <c r="O964" s="44"/>
      <c r="P964" s="44"/>
      <c r="Q964" s="45"/>
      <c r="R964" s="46" t="s">
        <v>28</v>
      </c>
      <c r="S964" s="47" t="s">
        <v>29</v>
      </c>
      <c r="T964" s="10"/>
      <c r="U964" s="17"/>
      <c r="V964" s="10"/>
      <c r="W964" s="10"/>
      <c r="X964" s="10"/>
    </row>
    <row r="965" spans="2:24">
      <c r="B965" s="11"/>
      <c r="C965" s="10"/>
      <c r="D965" s="10"/>
      <c r="E965" s="24" t="s">
        <v>30</v>
      </c>
      <c r="F965" s="48">
        <f>F960</f>
        <v>0.05</v>
      </c>
      <c r="G965" s="17"/>
      <c r="H965" s="767"/>
      <c r="I965" s="767"/>
      <c r="J965" s="767"/>
      <c r="K965" s="20" t="s">
        <v>31</v>
      </c>
      <c r="L965" s="21" t="s">
        <v>32</v>
      </c>
      <c r="M965" s="21" t="s">
        <v>33</v>
      </c>
      <c r="N965" s="21" t="s">
        <v>34</v>
      </c>
      <c r="O965" s="21" t="s">
        <v>35</v>
      </c>
      <c r="P965" s="21" t="s">
        <v>36</v>
      </c>
      <c r="Q965" s="49" t="s">
        <v>37</v>
      </c>
      <c r="R965" s="50" t="s">
        <v>38</v>
      </c>
      <c r="S965" s="50" t="s">
        <v>38</v>
      </c>
      <c r="T965" s="10"/>
      <c r="U965" s="17"/>
      <c r="V965" s="10"/>
      <c r="W965" s="10"/>
      <c r="X965" s="10"/>
    </row>
    <row r="966" spans="2:24">
      <c r="B966" s="11"/>
      <c r="C966" s="10"/>
      <c r="D966" s="10"/>
      <c r="E966" s="51" t="s">
        <v>39</v>
      </c>
      <c r="F966" s="52">
        <f>(F964-I991-I997-I998-I1002-I1003-I1004-I1005-I1006-I1007)*F965</f>
        <v>794.19449999999983</v>
      </c>
      <c r="G966" s="53" t="s">
        <v>40</v>
      </c>
      <c r="H966" s="484">
        <f>F966/1.12</f>
        <v>709.10223214285691</v>
      </c>
      <c r="I966" s="55"/>
      <c r="J966" s="42"/>
      <c r="K966" s="56">
        <f>I984+I985+I1002+I1003</f>
        <v>11253.130000000001</v>
      </c>
      <c r="L966" s="57">
        <f>I986+I987</f>
        <v>3321.16</v>
      </c>
      <c r="M966" s="57">
        <f>I988+I989+I991+I990</f>
        <v>4904.17</v>
      </c>
      <c r="N966" s="57">
        <f>I997+I1004</f>
        <v>7704.5999999999995</v>
      </c>
      <c r="O966" s="57">
        <f>I992+I998+I1005+I1006+I1007</f>
        <v>29446.120000000003</v>
      </c>
      <c r="P966" s="57">
        <f>SUM(K966:O966)</f>
        <v>56629.18</v>
      </c>
      <c r="Q966" s="58">
        <v>0</v>
      </c>
      <c r="R966" s="59">
        <f>I999+I1008</f>
        <v>39519.720000000008</v>
      </c>
      <c r="S966" s="59">
        <v>0</v>
      </c>
      <c r="T966" s="10"/>
      <c r="U966" s="17"/>
      <c r="V966" s="10"/>
      <c r="W966" s="10"/>
      <c r="X966" s="10"/>
    </row>
    <row r="967" spans="2:24">
      <c r="B967" s="11"/>
      <c r="C967" s="10"/>
      <c r="D967" s="10"/>
      <c r="E967" s="24" t="s">
        <v>41</v>
      </c>
      <c r="F967" s="60">
        <f>Q966</f>
        <v>0</v>
      </c>
      <c r="G967" s="61" t="s">
        <v>40</v>
      </c>
      <c r="H967" s="62"/>
      <c r="I967" s="62"/>
      <c r="J967" s="10" t="s">
        <v>42</v>
      </c>
      <c r="K967" s="63">
        <v>4</v>
      </c>
      <c r="L967" s="63">
        <v>2</v>
      </c>
      <c r="M967" s="63">
        <v>4</v>
      </c>
      <c r="N967" s="63">
        <v>2</v>
      </c>
      <c r="O967" s="63">
        <v>5</v>
      </c>
      <c r="P967" s="21">
        <f>SUM(K967:O967)</f>
        <v>17</v>
      </c>
      <c r="Q967" s="64">
        <v>0</v>
      </c>
      <c r="R967" s="63"/>
      <c r="S967" s="10"/>
      <c r="T967" s="10"/>
      <c r="U967" s="17"/>
      <c r="V967" s="10"/>
      <c r="W967" s="10"/>
      <c r="X967" s="10"/>
    </row>
    <row r="968" spans="2:24">
      <c r="B968" s="11"/>
      <c r="C968" s="10"/>
      <c r="D968" s="10"/>
      <c r="E968" s="51" t="s">
        <v>43</v>
      </c>
      <c r="F968" s="52">
        <f>F967*0.25</f>
        <v>0</v>
      </c>
      <c r="G968" s="53" t="s">
        <v>40</v>
      </c>
      <c r="H968" s="54">
        <f>F968/1.12</f>
        <v>0</v>
      </c>
      <c r="I968" s="10"/>
      <c r="J968" s="10" t="s">
        <v>44</v>
      </c>
      <c r="K968" s="63">
        <v>5</v>
      </c>
      <c r="L968" s="63">
        <v>7</v>
      </c>
      <c r="M968" s="63">
        <v>1</v>
      </c>
      <c r="N968" s="63">
        <v>5</v>
      </c>
      <c r="O968" s="63">
        <v>1</v>
      </c>
      <c r="P968" s="21">
        <f>SUM(K968:O968)</f>
        <v>19</v>
      </c>
      <c r="Q968" s="64">
        <v>2</v>
      </c>
      <c r="R968" s="63"/>
      <c r="S968" s="10"/>
      <c r="T968" s="10"/>
      <c r="U968" s="17"/>
      <c r="V968" s="10"/>
      <c r="W968" s="10"/>
      <c r="X968" s="10"/>
    </row>
    <row r="969" spans="2:24">
      <c r="B969" s="11"/>
      <c r="C969" s="10"/>
      <c r="D969" s="10"/>
      <c r="E969" s="24" t="s">
        <v>45</v>
      </c>
      <c r="F969" s="60"/>
      <c r="G969" s="61" t="s">
        <v>40</v>
      </c>
      <c r="H969" s="62"/>
      <c r="I969" s="10"/>
      <c r="J969" s="10" t="s">
        <v>46</v>
      </c>
      <c r="K969" s="31">
        <f t="shared" ref="K969:Q969" si="206">K967/(K967+K968)</f>
        <v>0.44444444444444442</v>
      </c>
      <c r="L969" s="31">
        <f t="shared" si="206"/>
        <v>0.22222222222222221</v>
      </c>
      <c r="M969" s="31">
        <f t="shared" si="206"/>
        <v>0.8</v>
      </c>
      <c r="N969" s="31">
        <f t="shared" si="206"/>
        <v>0.2857142857142857</v>
      </c>
      <c r="O969" s="31">
        <f t="shared" si="206"/>
        <v>0.83333333333333337</v>
      </c>
      <c r="P969" s="31">
        <f t="shared" si="206"/>
        <v>0.47222222222222221</v>
      </c>
      <c r="Q969" s="31">
        <f t="shared" si="206"/>
        <v>0</v>
      </c>
      <c r="R969" s="63"/>
      <c r="S969" s="10"/>
      <c r="T969" s="10"/>
      <c r="U969" s="17"/>
      <c r="V969" s="10"/>
      <c r="W969" s="10"/>
      <c r="X969" s="10"/>
    </row>
    <row r="970" spans="2:24">
      <c r="B970" s="11"/>
      <c r="C970" s="10"/>
      <c r="D970" s="10"/>
      <c r="E970" s="51" t="s">
        <v>47</v>
      </c>
      <c r="F970" s="52">
        <f>F969*0.05</f>
        <v>0</v>
      </c>
      <c r="G970" s="65" t="s">
        <v>40</v>
      </c>
      <c r="H970" s="54">
        <f>F970/1.12</f>
        <v>0</v>
      </c>
      <c r="I970" s="42"/>
      <c r="J970" s="10" t="s">
        <v>48</v>
      </c>
      <c r="K970" s="66">
        <f>K966/K967</f>
        <v>2813.2825000000003</v>
      </c>
      <c r="L970" s="66">
        <f t="shared" ref="L970:Q970" si="207">L966/L967</f>
        <v>1660.58</v>
      </c>
      <c r="M970" s="66">
        <f t="shared" si="207"/>
        <v>1226.0425</v>
      </c>
      <c r="N970" s="66">
        <f t="shared" si="207"/>
        <v>3852.2999999999997</v>
      </c>
      <c r="O970" s="66">
        <f t="shared" si="207"/>
        <v>5889.2240000000002</v>
      </c>
      <c r="P970" s="66">
        <f t="shared" si="207"/>
        <v>3331.1282352941175</v>
      </c>
      <c r="Q970" s="66" t="e">
        <f t="shared" si="207"/>
        <v>#DIV/0!</v>
      </c>
      <c r="R970" s="63"/>
      <c r="S970" s="10"/>
      <c r="T970" s="10"/>
      <c r="U970" s="17"/>
      <c r="V970" s="10"/>
      <c r="W970" s="10"/>
      <c r="X970" s="10"/>
    </row>
    <row r="971" spans="2:24">
      <c r="B971" s="11"/>
      <c r="C971" s="10"/>
      <c r="D971" s="10"/>
      <c r="E971" s="67" t="s">
        <v>14</v>
      </c>
      <c r="F971" s="68"/>
      <c r="G971" s="10"/>
      <c r="H971" s="54">
        <f>F971/1.12</f>
        <v>0</v>
      </c>
      <c r="I971" s="10"/>
      <c r="J971" s="10"/>
      <c r="K971" s="10"/>
      <c r="L971" s="10"/>
      <c r="M971" s="10"/>
      <c r="N971" s="10"/>
      <c r="O971" s="10"/>
      <c r="P971" s="10"/>
      <c r="Q971" s="10"/>
      <c r="R971" s="10"/>
      <c r="S971" s="10"/>
      <c r="T971" s="10"/>
      <c r="U971" s="17"/>
      <c r="V971" s="10"/>
      <c r="W971" s="10"/>
      <c r="X971" s="10"/>
    </row>
    <row r="972" spans="2:24">
      <c r="B972" s="11"/>
      <c r="C972" s="10"/>
      <c r="D972" s="10"/>
      <c r="E972" s="155" t="s">
        <v>49</v>
      </c>
      <c r="F972" s="364">
        <f>T961</f>
        <v>0</v>
      </c>
      <c r="G972" s="10"/>
      <c r="H972" s="54"/>
      <c r="I972" s="55"/>
      <c r="J972" s="42"/>
      <c r="K972" s="764" t="s">
        <v>50</v>
      </c>
      <c r="L972" s="765"/>
      <c r="M972" s="765"/>
      <c r="N972" s="765"/>
      <c r="O972" s="765"/>
      <c r="P972" s="765"/>
      <c r="Q972" s="766"/>
      <c r="R972" s="70" t="s">
        <v>28</v>
      </c>
      <c r="S972" s="71" t="s">
        <v>29</v>
      </c>
      <c r="T972" s="10"/>
      <c r="U972" s="17"/>
      <c r="V972" s="10"/>
      <c r="W972" s="10"/>
      <c r="X972" s="10"/>
    </row>
    <row r="973" spans="2:24">
      <c r="B973" s="11"/>
      <c r="C973" s="10"/>
      <c r="D973" s="10"/>
      <c r="E973" s="10"/>
      <c r="F973" s="10"/>
      <c r="G973" s="10"/>
      <c r="H973" s="10"/>
      <c r="I973" s="10"/>
      <c r="J973" s="42"/>
      <c r="K973" s="20" t="s">
        <v>31</v>
      </c>
      <c r="L973" s="21" t="s">
        <v>32</v>
      </c>
      <c r="M973" s="21" t="s">
        <v>33</v>
      </c>
      <c r="N973" s="21" t="s">
        <v>34</v>
      </c>
      <c r="O973" s="21" t="s">
        <v>35</v>
      </c>
      <c r="P973" s="21" t="s">
        <v>36</v>
      </c>
      <c r="Q973" s="49" t="s">
        <v>37</v>
      </c>
      <c r="R973" s="50" t="s">
        <v>38</v>
      </c>
      <c r="S973" s="50" t="s">
        <v>38</v>
      </c>
      <c r="T973" s="10"/>
      <c r="U973" s="17"/>
      <c r="V973" s="10"/>
      <c r="W973" s="10"/>
      <c r="X973" s="10"/>
    </row>
    <row r="974" spans="2:24">
      <c r="B974" s="11"/>
      <c r="C974" s="10"/>
      <c r="D974" s="10"/>
      <c r="E974" s="12" t="s">
        <v>3079</v>
      </c>
      <c r="F974" s="10"/>
      <c r="G974" s="10"/>
      <c r="H974" s="10"/>
      <c r="I974" s="10"/>
      <c r="J974" s="42"/>
      <c r="K974" s="56">
        <f>F984+F985+F1002+F1003</f>
        <v>15560.2</v>
      </c>
      <c r="L974" s="57">
        <f>F986+F987</f>
        <v>3616.6</v>
      </c>
      <c r="M974" s="57">
        <f>F988+F989+F991+F990</f>
        <v>5270.9</v>
      </c>
      <c r="N974" s="57">
        <f>F997+F1004</f>
        <v>9241</v>
      </c>
      <c r="O974" s="57">
        <f>F992+F998+F1005+F1006+F1007</f>
        <v>33892.400000000001</v>
      </c>
      <c r="P974" s="57">
        <f>SUM(K974:O974)</f>
        <v>67581.100000000006</v>
      </c>
      <c r="Q974" s="58">
        <v>0</v>
      </c>
      <c r="R974" s="59">
        <f>F999+F1008</f>
        <v>48042.1</v>
      </c>
      <c r="S974" s="59">
        <v>0</v>
      </c>
      <c r="T974" s="10"/>
      <c r="U974" s="17"/>
      <c r="V974" s="10"/>
      <c r="W974" s="10"/>
      <c r="X974" s="10"/>
    </row>
    <row r="975" spans="2:24">
      <c r="B975" s="11"/>
      <c r="C975" s="10"/>
      <c r="D975" s="10"/>
      <c r="E975" s="10"/>
      <c r="F975" s="10"/>
      <c r="G975" s="10"/>
      <c r="H975" s="10"/>
      <c r="I975" s="10"/>
      <c r="J975" s="10" t="s">
        <v>42</v>
      </c>
      <c r="K975" s="63">
        <f>K967</f>
        <v>4</v>
      </c>
      <c r="L975" s="63">
        <f t="shared" ref="L975:Q976" si="208">L967</f>
        <v>2</v>
      </c>
      <c r="M975" s="63">
        <f t="shared" si="208"/>
        <v>4</v>
      </c>
      <c r="N975" s="63">
        <f t="shared" si="208"/>
        <v>2</v>
      </c>
      <c r="O975" s="63">
        <f t="shared" si="208"/>
        <v>5</v>
      </c>
      <c r="P975" s="63">
        <f t="shared" si="208"/>
        <v>17</v>
      </c>
      <c r="Q975" s="63">
        <f t="shared" si="208"/>
        <v>0</v>
      </c>
      <c r="R975" s="63"/>
      <c r="S975" s="10"/>
      <c r="T975" s="10"/>
      <c r="U975" s="17"/>
      <c r="V975" s="10"/>
      <c r="W975" s="10"/>
      <c r="X975" s="10"/>
    </row>
    <row r="976" spans="2:24">
      <c r="B976" s="11"/>
      <c r="C976" s="10"/>
      <c r="D976" s="10"/>
      <c r="E976" s="10"/>
      <c r="F976" s="10"/>
      <c r="G976" s="10"/>
      <c r="H976" s="10"/>
      <c r="I976" s="10"/>
      <c r="J976" s="10" t="s">
        <v>44</v>
      </c>
      <c r="K976" s="63">
        <f>K968</f>
        <v>5</v>
      </c>
      <c r="L976" s="63">
        <f t="shared" si="208"/>
        <v>7</v>
      </c>
      <c r="M976" s="63">
        <f t="shared" si="208"/>
        <v>1</v>
      </c>
      <c r="N976" s="63">
        <f t="shared" si="208"/>
        <v>5</v>
      </c>
      <c r="O976" s="63">
        <f t="shared" si="208"/>
        <v>1</v>
      </c>
      <c r="P976" s="63">
        <f t="shared" si="208"/>
        <v>19</v>
      </c>
      <c r="Q976" s="63">
        <f t="shared" si="208"/>
        <v>2</v>
      </c>
      <c r="R976" s="63"/>
      <c r="S976" s="10"/>
      <c r="T976" s="10"/>
      <c r="U976" s="17"/>
      <c r="V976" s="10"/>
      <c r="W976" s="10"/>
      <c r="X976" s="10"/>
    </row>
    <row r="977" spans="1:24">
      <c r="B977" s="11"/>
      <c r="C977" s="10"/>
      <c r="D977" s="10"/>
      <c r="E977" s="10"/>
      <c r="F977" s="10"/>
      <c r="G977" s="10"/>
      <c r="H977" s="10"/>
      <c r="I977" s="10"/>
      <c r="J977" s="10" t="s">
        <v>46</v>
      </c>
      <c r="K977" s="31">
        <f t="shared" ref="K977:Q977" si="209">K975/(K975+K976)</f>
        <v>0.44444444444444442</v>
      </c>
      <c r="L977" s="31">
        <f t="shared" si="209"/>
        <v>0.22222222222222221</v>
      </c>
      <c r="M977" s="31">
        <f t="shared" si="209"/>
        <v>0.8</v>
      </c>
      <c r="N977" s="31">
        <f t="shared" si="209"/>
        <v>0.2857142857142857</v>
      </c>
      <c r="O977" s="31">
        <f t="shared" si="209"/>
        <v>0.83333333333333337</v>
      </c>
      <c r="P977" s="31">
        <f t="shared" si="209"/>
        <v>0.47222222222222221</v>
      </c>
      <c r="Q977" s="31">
        <f t="shared" si="209"/>
        <v>0</v>
      </c>
      <c r="R977" s="63"/>
      <c r="S977" s="10"/>
      <c r="T977" s="10"/>
      <c r="U977" s="17"/>
      <c r="V977" s="10"/>
      <c r="W977" s="10"/>
      <c r="X977" s="10"/>
    </row>
    <row r="978" spans="1:24">
      <c r="B978" s="11"/>
      <c r="C978" s="10"/>
      <c r="D978" s="10"/>
      <c r="E978" s="10"/>
      <c r="F978" s="10"/>
      <c r="G978" s="10"/>
      <c r="H978" s="10"/>
      <c r="I978" s="10"/>
      <c r="J978" s="10" t="s">
        <v>48</v>
      </c>
      <c r="K978" s="66">
        <f t="shared" ref="K978:Q978" si="210">K974/K975</f>
        <v>3890.05</v>
      </c>
      <c r="L978" s="66">
        <f t="shared" si="210"/>
        <v>1808.3</v>
      </c>
      <c r="M978" s="66">
        <f t="shared" si="210"/>
        <v>1317.7249999999999</v>
      </c>
      <c r="N978" s="66">
        <f t="shared" si="210"/>
        <v>4620.5</v>
      </c>
      <c r="O978" s="66">
        <f t="shared" si="210"/>
        <v>6778.4800000000005</v>
      </c>
      <c r="P978" s="66">
        <f t="shared" si="210"/>
        <v>3975.3588235294119</v>
      </c>
      <c r="Q978" s="66" t="e">
        <f t="shared" si="210"/>
        <v>#DIV/0!</v>
      </c>
      <c r="R978" s="63"/>
      <c r="S978" s="10"/>
      <c r="T978" s="10"/>
      <c r="U978" s="17"/>
      <c r="V978" s="10"/>
      <c r="W978" s="10"/>
      <c r="X978" s="10"/>
    </row>
    <row r="979" spans="1:24">
      <c r="B979" s="11"/>
      <c r="C979" s="10"/>
      <c r="D979" s="10"/>
      <c r="E979" s="10"/>
      <c r="F979" s="10"/>
      <c r="G979" s="10"/>
      <c r="H979" s="10"/>
      <c r="I979" s="10"/>
      <c r="J979" s="10"/>
      <c r="K979" s="10"/>
      <c r="L979" s="10"/>
      <c r="M979" s="10"/>
      <c r="N979" s="10"/>
      <c r="O979" s="10"/>
      <c r="P979" s="10"/>
      <c r="Q979" s="10"/>
      <c r="R979" s="10"/>
      <c r="S979" s="10"/>
      <c r="T979" s="10"/>
      <c r="U979" s="17"/>
      <c r="V979" s="10"/>
      <c r="W979" s="10"/>
      <c r="X979" s="10"/>
    </row>
    <row r="980" spans="1:24">
      <c r="B980" s="11"/>
      <c r="C980" s="10"/>
      <c r="D980" s="10"/>
      <c r="E980" s="10"/>
      <c r="F980" s="10"/>
      <c r="G980" s="10"/>
      <c r="H980" s="10"/>
      <c r="I980" s="10"/>
      <c r="J980" s="10"/>
      <c r="K980" s="10"/>
      <c r="L980" s="10"/>
      <c r="M980" s="10"/>
      <c r="N980" s="10"/>
      <c r="O980" s="10"/>
      <c r="P980" s="10"/>
      <c r="Q980" s="10"/>
      <c r="R980" s="10"/>
      <c r="S980" s="10"/>
      <c r="T980" s="10"/>
      <c r="U980" s="17"/>
      <c r="V980" s="10"/>
      <c r="W980" s="10"/>
      <c r="X980" s="10"/>
    </row>
    <row r="981" spans="1:24">
      <c r="B981" s="18" t="s">
        <v>51</v>
      </c>
      <c r="C981" s="14"/>
      <c r="D981" s="14"/>
      <c r="E981" s="14"/>
      <c r="F981" s="13" t="s">
        <v>52</v>
      </c>
      <c r="G981" s="14"/>
      <c r="H981" s="14"/>
      <c r="I981" s="14"/>
      <c r="J981" s="14"/>
      <c r="K981" s="13" t="s">
        <v>3</v>
      </c>
      <c r="L981" s="14"/>
      <c r="M981" s="14"/>
      <c r="N981" s="13" t="s">
        <v>4</v>
      </c>
      <c r="O981" s="14"/>
      <c r="P981" s="14"/>
      <c r="Q981" s="13" t="s">
        <v>5</v>
      </c>
      <c r="R981" s="14"/>
      <c r="S981" s="14"/>
      <c r="T981" s="18"/>
      <c r="U981" s="16" t="s">
        <v>53</v>
      </c>
      <c r="V981" s="77"/>
      <c r="W981" s="77"/>
      <c r="X981" s="77"/>
    </row>
    <row r="982" spans="1:24">
      <c r="B982" s="24" t="s">
        <v>54</v>
      </c>
      <c r="C982" s="21" t="s">
        <v>55</v>
      </c>
      <c r="D982" s="21" t="s">
        <v>56</v>
      </c>
      <c r="E982" s="21" t="s">
        <v>57</v>
      </c>
      <c r="F982" s="20" t="s">
        <v>58</v>
      </c>
      <c r="G982" s="21" t="s">
        <v>59</v>
      </c>
      <c r="H982" s="21" t="s">
        <v>60</v>
      </c>
      <c r="I982" s="21" t="s">
        <v>26</v>
      </c>
      <c r="J982" s="22" t="s">
        <v>61</v>
      </c>
      <c r="K982" s="21" t="s">
        <v>8</v>
      </c>
      <c r="L982" s="21" t="s">
        <v>9</v>
      </c>
      <c r="M982" s="21" t="s">
        <v>10</v>
      </c>
      <c r="N982" s="20" t="s">
        <v>11</v>
      </c>
      <c r="O982" s="21" t="s">
        <v>12</v>
      </c>
      <c r="P982" s="22" t="s">
        <v>13</v>
      </c>
      <c r="Q982" s="21" t="s">
        <v>11</v>
      </c>
      <c r="R982" s="21" t="s">
        <v>12</v>
      </c>
      <c r="S982" s="21" t="s">
        <v>13</v>
      </c>
      <c r="T982" s="78" t="s">
        <v>14</v>
      </c>
      <c r="U982" s="30"/>
      <c r="V982" s="79" t="s">
        <v>62</v>
      </c>
      <c r="W982" s="80" t="s">
        <v>63</v>
      </c>
      <c r="X982" s="81" t="s">
        <v>64</v>
      </c>
    </row>
    <row r="983" spans="1:24">
      <c r="B983" s="4" t="s">
        <v>65</v>
      </c>
      <c r="C983" s="6"/>
      <c r="D983" s="6"/>
      <c r="E983" s="6"/>
      <c r="F983" s="6"/>
      <c r="G983" s="6"/>
      <c r="H983" s="6"/>
      <c r="I983" s="82"/>
      <c r="J983" s="6"/>
      <c r="K983" s="6"/>
      <c r="L983" s="6"/>
      <c r="M983" s="6"/>
      <c r="N983" s="6"/>
      <c r="O983" s="6"/>
      <c r="P983" s="6"/>
      <c r="Q983" s="6"/>
      <c r="R983" s="6"/>
      <c r="S983" s="6"/>
      <c r="T983" s="83"/>
      <c r="U983" s="6"/>
      <c r="V983" s="84"/>
      <c r="W983" s="85"/>
      <c r="X983" s="86"/>
    </row>
    <row r="984" spans="1:24">
      <c r="B984" s="87">
        <v>1</v>
      </c>
      <c r="C984" s="274">
        <v>45936</v>
      </c>
      <c r="D984" s="276">
        <v>74039</v>
      </c>
      <c r="E984" s="281" t="s">
        <v>3076</v>
      </c>
      <c r="F984" s="277">
        <v>2352.6</v>
      </c>
      <c r="G984" s="277">
        <f>39.7+(197.57+208.84-161.85)</f>
        <v>284.26</v>
      </c>
      <c r="H984" s="277"/>
      <c r="I984" s="321">
        <f>F984-G984-H984</f>
        <v>2068.34</v>
      </c>
      <c r="J984" s="279" t="s">
        <v>156</v>
      </c>
      <c r="K984" s="279">
        <v>1</v>
      </c>
      <c r="L984" s="279">
        <v>1</v>
      </c>
      <c r="M984" s="279">
        <v>1</v>
      </c>
      <c r="N984" s="279">
        <v>1</v>
      </c>
      <c r="O984" s="279">
        <v>1</v>
      </c>
      <c r="P984" s="322">
        <v>0</v>
      </c>
      <c r="Q984" s="322">
        <v>0</v>
      </c>
      <c r="R984" s="322">
        <v>0</v>
      </c>
      <c r="S984" s="328">
        <v>0</v>
      </c>
      <c r="T984" s="63"/>
      <c r="U984" s="10" t="s">
        <v>3080</v>
      </c>
      <c r="V984" s="90">
        <f>258.78+2329.08</f>
        <v>2587.8599999999997</v>
      </c>
      <c r="W984" s="578"/>
      <c r="X984" s="579"/>
    </row>
    <row r="985" spans="1:24">
      <c r="B985" s="87">
        <f>B984+1</f>
        <v>2</v>
      </c>
      <c r="C985" s="282">
        <v>45936</v>
      </c>
      <c r="D985" s="283">
        <v>74084</v>
      </c>
      <c r="E985" s="283" t="s">
        <v>1137</v>
      </c>
      <c r="F985" s="284">
        <v>5814</v>
      </c>
      <c r="G985" s="284">
        <f>39.7+(1403.71)</f>
        <v>1443.41</v>
      </c>
      <c r="H985" s="284"/>
      <c r="I985" s="300">
        <f>F985-G985-H985</f>
        <v>4370.59</v>
      </c>
      <c r="J985" s="286" t="s">
        <v>228</v>
      </c>
      <c r="K985" s="286">
        <v>1</v>
      </c>
      <c r="L985" s="286">
        <v>1</v>
      </c>
      <c r="M985" s="286">
        <v>1</v>
      </c>
      <c r="N985" s="286">
        <v>1</v>
      </c>
      <c r="O985" s="286">
        <v>1</v>
      </c>
      <c r="P985" s="332">
        <v>0</v>
      </c>
      <c r="Q985" s="286">
        <v>1</v>
      </c>
      <c r="R985" s="286">
        <v>1</v>
      </c>
      <c r="S985" s="370">
        <v>0</v>
      </c>
      <c r="T985" s="63"/>
      <c r="U985" s="94" t="s">
        <v>3081</v>
      </c>
      <c r="V985" s="90">
        <f>639.54+5755.86</f>
        <v>6395.4</v>
      </c>
      <c r="W985" s="578"/>
      <c r="X985" s="579"/>
    </row>
    <row r="986" spans="1:24">
      <c r="B986" s="87">
        <f>B985+1</f>
        <v>3</v>
      </c>
      <c r="C986" s="295">
        <v>45937</v>
      </c>
      <c r="D986" s="10">
        <v>74089</v>
      </c>
      <c r="E986" s="10" t="s">
        <v>1047</v>
      </c>
      <c r="F986" s="62">
        <v>2352.6</v>
      </c>
      <c r="G986" s="62">
        <f>39.7+(18.74+197.3)</f>
        <v>255.74</v>
      </c>
      <c r="H986" s="88"/>
      <c r="I986" s="324">
        <f t="shared" ref="I986:I992" si="211">F986-G986-H986</f>
        <v>2096.8599999999997</v>
      </c>
      <c r="J986" s="63" t="s">
        <v>150</v>
      </c>
      <c r="K986" s="63">
        <v>1</v>
      </c>
      <c r="L986" s="63">
        <v>1</v>
      </c>
      <c r="M986" s="63">
        <v>1</v>
      </c>
      <c r="N986" s="63">
        <v>1</v>
      </c>
      <c r="O986" s="63">
        <v>1</v>
      </c>
      <c r="P986" s="63">
        <v>1</v>
      </c>
      <c r="Q986" s="325">
        <v>0</v>
      </c>
      <c r="R986" s="325">
        <v>0</v>
      </c>
      <c r="S986" s="326">
        <v>0</v>
      </c>
      <c r="T986" s="21">
        <v>1</v>
      </c>
      <c r="U986" s="10" t="s">
        <v>3082</v>
      </c>
      <c r="V986" s="90">
        <v>0</v>
      </c>
      <c r="W986" s="440">
        <f>250+2337.86</f>
        <v>2587.86</v>
      </c>
      <c r="X986" s="92"/>
    </row>
    <row r="987" spans="1:24">
      <c r="B987" s="87">
        <f t="shared" ref="B987:B992" si="212">B986+1</f>
        <v>4</v>
      </c>
      <c r="C987" s="295">
        <v>45937</v>
      </c>
      <c r="D987" s="10">
        <v>74108</v>
      </c>
      <c r="E987" s="10" t="s">
        <v>1260</v>
      </c>
      <c r="F987" s="62">
        <v>1264</v>
      </c>
      <c r="G987" s="62">
        <f>39.7</f>
        <v>39.700000000000003</v>
      </c>
      <c r="H987" s="62"/>
      <c r="I987" s="324">
        <f t="shared" si="211"/>
        <v>1224.3</v>
      </c>
      <c r="J987" s="63" t="s">
        <v>156</v>
      </c>
      <c r="K987" s="63">
        <v>1</v>
      </c>
      <c r="L987" s="63">
        <v>1</v>
      </c>
      <c r="M987" s="63">
        <v>1</v>
      </c>
      <c r="N987" s="63">
        <v>1</v>
      </c>
      <c r="O987" s="63">
        <v>1</v>
      </c>
      <c r="P987" s="63">
        <v>1</v>
      </c>
      <c r="Q987" s="325">
        <v>0</v>
      </c>
      <c r="R987" s="325">
        <v>0</v>
      </c>
      <c r="S987" s="326">
        <v>0</v>
      </c>
      <c r="T987" s="63"/>
      <c r="U987" s="10"/>
      <c r="V987" s="90">
        <v>1390.4</v>
      </c>
      <c r="W987" s="91"/>
      <c r="X987" s="92"/>
    </row>
    <row r="988" spans="1:24">
      <c r="B988" s="87">
        <f t="shared" si="212"/>
        <v>5</v>
      </c>
      <c r="C988" s="274">
        <v>45938</v>
      </c>
      <c r="D988" s="509">
        <v>74177</v>
      </c>
      <c r="E988" s="276" t="s">
        <v>1115</v>
      </c>
      <c r="F988" s="277">
        <v>981</v>
      </c>
      <c r="G988" s="277">
        <f>39.7</f>
        <v>39.700000000000003</v>
      </c>
      <c r="H988" s="277"/>
      <c r="I988" s="321">
        <f t="shared" si="211"/>
        <v>941.3</v>
      </c>
      <c r="J988" s="279" t="s">
        <v>236</v>
      </c>
      <c r="K988" s="279">
        <v>1</v>
      </c>
      <c r="L988" s="279">
        <v>1</v>
      </c>
      <c r="M988" s="279">
        <v>1</v>
      </c>
      <c r="N988" s="279">
        <v>1</v>
      </c>
      <c r="O988" s="279">
        <v>1</v>
      </c>
      <c r="P988" s="322">
        <v>0</v>
      </c>
      <c r="Q988" s="322">
        <v>0</v>
      </c>
      <c r="R988" s="322">
        <v>0</v>
      </c>
      <c r="S988" s="328">
        <v>0</v>
      </c>
      <c r="T988" s="63"/>
      <c r="U988" s="10"/>
      <c r="V988" s="90">
        <v>879.1</v>
      </c>
      <c r="W988" s="440">
        <f>200</f>
        <v>200</v>
      </c>
      <c r="X988" s="92"/>
    </row>
    <row r="989" spans="1:24">
      <c r="A989" s="2"/>
      <c r="B989" s="87">
        <f t="shared" si="212"/>
        <v>6</v>
      </c>
      <c r="C989" s="295">
        <v>45938</v>
      </c>
      <c r="D989" s="10">
        <v>74157</v>
      </c>
      <c r="E989" s="94" t="s">
        <v>1088</v>
      </c>
      <c r="F989" s="62">
        <v>2196</v>
      </c>
      <c r="G989" s="62">
        <f>39.7</f>
        <v>39.700000000000003</v>
      </c>
      <c r="H989" s="62"/>
      <c r="I989" s="324">
        <f t="shared" si="211"/>
        <v>2156.3000000000002</v>
      </c>
      <c r="J989" s="63" t="s">
        <v>156</v>
      </c>
      <c r="K989" s="63">
        <v>1</v>
      </c>
      <c r="L989" s="63">
        <v>1</v>
      </c>
      <c r="M989" s="63">
        <v>1</v>
      </c>
      <c r="N989" s="63">
        <v>1</v>
      </c>
      <c r="O989" s="63">
        <v>1</v>
      </c>
      <c r="P989" s="63">
        <v>1</v>
      </c>
      <c r="Q989" s="325">
        <v>0</v>
      </c>
      <c r="R989" s="325">
        <v>0</v>
      </c>
      <c r="S989" s="326">
        <v>0</v>
      </c>
      <c r="T989" s="63"/>
      <c r="U989" s="10"/>
      <c r="V989" s="90">
        <f>240+2175.6</f>
        <v>2415.6</v>
      </c>
      <c r="W989" s="91"/>
      <c r="X989" s="92"/>
    </row>
    <row r="990" spans="1:24">
      <c r="A990" s="2"/>
      <c r="B990" s="87">
        <f>B989+1</f>
        <v>7</v>
      </c>
      <c r="C990" s="295">
        <v>45938</v>
      </c>
      <c r="D990" s="10">
        <v>74203</v>
      </c>
      <c r="E990" s="101" t="s">
        <v>1494</v>
      </c>
      <c r="F990" s="62">
        <v>581</v>
      </c>
      <c r="G990" s="62"/>
      <c r="H990" s="62"/>
      <c r="I990" s="89">
        <f>F990-G990-H990</f>
        <v>581</v>
      </c>
      <c r="J990" s="63" t="s">
        <v>156</v>
      </c>
      <c r="K990" s="63">
        <v>1</v>
      </c>
      <c r="L990" s="63">
        <v>1</v>
      </c>
      <c r="M990" s="63">
        <v>0</v>
      </c>
      <c r="N990" s="63">
        <v>1</v>
      </c>
      <c r="O990" s="63">
        <v>1</v>
      </c>
      <c r="P990" s="63">
        <v>1</v>
      </c>
      <c r="Q990" s="63">
        <v>1</v>
      </c>
      <c r="R990" s="325">
        <v>0</v>
      </c>
      <c r="S990" s="326">
        <v>0</v>
      </c>
      <c r="T990" s="63"/>
      <c r="U990" s="10" t="s">
        <v>3083</v>
      </c>
      <c r="V990" s="90">
        <v>639.1</v>
      </c>
      <c r="W990" s="91"/>
      <c r="X990" s="92"/>
    </row>
    <row r="991" spans="1:24">
      <c r="A991" s="2" t="s">
        <v>230</v>
      </c>
      <c r="B991" s="87">
        <f>B990+1</f>
        <v>8</v>
      </c>
      <c r="C991" s="282">
        <v>45938</v>
      </c>
      <c r="D991" s="283">
        <v>74212</v>
      </c>
      <c r="E991" s="283" t="s">
        <v>1260</v>
      </c>
      <c r="F991" s="284">
        <v>1512.9</v>
      </c>
      <c r="G991" s="284">
        <f>39.7+(247.63)</f>
        <v>287.33</v>
      </c>
      <c r="H991" s="284"/>
      <c r="I991" s="331">
        <f t="shared" si="211"/>
        <v>1225.5700000000002</v>
      </c>
      <c r="J991" s="286" t="s">
        <v>150</v>
      </c>
      <c r="K991" s="286">
        <v>1</v>
      </c>
      <c r="L991" s="286">
        <v>1</v>
      </c>
      <c r="M991" s="286">
        <v>1</v>
      </c>
      <c r="N991" s="286">
        <v>1</v>
      </c>
      <c r="O991" s="286">
        <v>1</v>
      </c>
      <c r="P991" s="286">
        <v>1</v>
      </c>
      <c r="Q991" s="286">
        <v>1</v>
      </c>
      <c r="R991" s="286">
        <v>1</v>
      </c>
      <c r="S991" s="287">
        <v>1</v>
      </c>
      <c r="T991" s="63"/>
      <c r="U991" s="10"/>
      <c r="V991" s="90">
        <v>0</v>
      </c>
      <c r="W991" s="440">
        <v>1665</v>
      </c>
      <c r="X991" s="92"/>
    </row>
    <row r="992" spans="1:24">
      <c r="B992" s="87">
        <f t="shared" si="212"/>
        <v>9</v>
      </c>
      <c r="C992" s="282">
        <v>45940</v>
      </c>
      <c r="D992" s="283" t="s">
        <v>3084</v>
      </c>
      <c r="E992" s="319" t="s">
        <v>1695</v>
      </c>
      <c r="F992" s="284">
        <v>2484.9</v>
      </c>
      <c r="G992" s="284">
        <f>39.7</f>
        <v>39.700000000000003</v>
      </c>
      <c r="H992" s="284"/>
      <c r="I992" s="300">
        <f t="shared" si="211"/>
        <v>2445.2000000000003</v>
      </c>
      <c r="J992" s="286" t="s">
        <v>156</v>
      </c>
      <c r="K992" s="286">
        <v>1</v>
      </c>
      <c r="L992" s="286">
        <v>0</v>
      </c>
      <c r="M992" s="286">
        <v>0</v>
      </c>
      <c r="N992" s="286">
        <v>1</v>
      </c>
      <c r="O992" s="286">
        <v>1</v>
      </c>
      <c r="P992" s="286">
        <v>1</v>
      </c>
      <c r="Q992" s="332">
        <v>0</v>
      </c>
      <c r="R992" s="332">
        <v>0</v>
      </c>
      <c r="S992" s="370">
        <v>0</v>
      </c>
      <c r="T992" s="63"/>
      <c r="U992" s="10"/>
      <c r="V992" s="90">
        <f>270+2463</f>
        <v>2733</v>
      </c>
      <c r="W992" s="91"/>
      <c r="X992" s="92"/>
    </row>
    <row r="993" spans="1:24">
      <c r="B993" s="87"/>
      <c r="C993" s="36"/>
      <c r="D993" s="10"/>
      <c r="E993" s="10"/>
      <c r="F993" s="98">
        <f>SUM(F984:F992)</f>
        <v>19539.000000000004</v>
      </c>
      <c r="G993" s="98">
        <f>SUM(G984:G992)</f>
        <v>2429.5399999999995</v>
      </c>
      <c r="H993" s="98">
        <f>SUM(H984:H992)</f>
        <v>0</v>
      </c>
      <c r="I993" s="98">
        <f>SUM(I984:I992)</f>
        <v>17109.46</v>
      </c>
      <c r="J993" s="63"/>
      <c r="K993" s="63">
        <f>COUNT(K984:K992)</f>
        <v>9</v>
      </c>
      <c r="L993" s="63">
        <f>COUNT(L984:L992)</f>
        <v>9</v>
      </c>
      <c r="M993" s="63">
        <f>COUNT(M984:M992)</f>
        <v>9</v>
      </c>
      <c r="N993" s="63">
        <f>COUNT(N984:N992)</f>
        <v>9</v>
      </c>
      <c r="O993" s="63">
        <f>COUNT(O984:O992)</f>
        <v>9</v>
      </c>
      <c r="P993" s="63">
        <f>COUNT(P984:P992)</f>
        <v>9</v>
      </c>
      <c r="Q993" s="63">
        <f>COUNT(Q984:Q992)</f>
        <v>9</v>
      </c>
      <c r="R993" s="63">
        <f>COUNT(R984:R992)</f>
        <v>9</v>
      </c>
      <c r="S993" s="63">
        <f>COUNT(S984:S992)</f>
        <v>9</v>
      </c>
      <c r="T993" s="63"/>
      <c r="U993" s="10"/>
      <c r="V993" s="90"/>
      <c r="W993" s="91"/>
      <c r="X993" s="92"/>
    </row>
    <row r="994" spans="1:24">
      <c r="B994" s="87"/>
      <c r="C994" s="36"/>
      <c r="D994" s="10"/>
      <c r="E994" s="10"/>
      <c r="F994" s="88"/>
      <c r="G994" s="88"/>
      <c r="H994" s="88"/>
      <c r="I994" s="99"/>
      <c r="J994" s="63"/>
      <c r="K994" s="21">
        <f>SUM(K984:K992)</f>
        <v>9</v>
      </c>
      <c r="L994" s="21">
        <f>SUM(L984:L992)</f>
        <v>8</v>
      </c>
      <c r="M994" s="21">
        <f>SUM(M984:M992)</f>
        <v>7</v>
      </c>
      <c r="N994" s="21">
        <f>SUM(N984:N992)</f>
        <v>9</v>
      </c>
      <c r="O994" s="21">
        <f>SUM(O984:O992)</f>
        <v>9</v>
      </c>
      <c r="P994" s="21">
        <f>SUM(P984:P992)</f>
        <v>6</v>
      </c>
      <c r="Q994" s="21">
        <f>SUM(Q984:Q992)</f>
        <v>3</v>
      </c>
      <c r="R994" s="21">
        <f>SUM(R984:R992)</f>
        <v>2</v>
      </c>
      <c r="S994" s="21">
        <f>SUM(S984:S992)</f>
        <v>1</v>
      </c>
      <c r="T994" s="63"/>
      <c r="U994" s="10"/>
      <c r="V994" s="90"/>
      <c r="W994" s="91"/>
      <c r="X994" s="92"/>
    </row>
    <row r="995" spans="1:24">
      <c r="B995" s="11"/>
      <c r="C995" s="609"/>
      <c r="D995" s="10"/>
      <c r="E995" s="10"/>
      <c r="F995" s="88"/>
      <c r="G995" s="88"/>
      <c r="H995" s="88"/>
      <c r="I995" s="99"/>
      <c r="J995" s="63"/>
      <c r="K995" s="21"/>
      <c r="L995" s="21"/>
      <c r="M995" s="21"/>
      <c r="N995" s="21"/>
      <c r="O995" s="21"/>
      <c r="P995" s="21"/>
      <c r="Q995" s="21"/>
      <c r="R995" s="21"/>
      <c r="S995" s="21"/>
      <c r="T995" s="63"/>
      <c r="U995" s="94"/>
      <c r="V995" s="90"/>
      <c r="W995" s="91"/>
      <c r="X995" s="92"/>
    </row>
    <row r="996" spans="1:24">
      <c r="B996" s="121" t="s">
        <v>68</v>
      </c>
      <c r="C996" s="611"/>
      <c r="D996" s="123"/>
      <c r="E996" s="123"/>
      <c r="F996" s="124"/>
      <c r="G996" s="125"/>
      <c r="H996" s="124"/>
      <c r="I996" s="126"/>
      <c r="J996" s="127"/>
      <c r="K996" s="128"/>
      <c r="L996" s="128"/>
      <c r="M996" s="128"/>
      <c r="N996" s="128"/>
      <c r="O996" s="128"/>
      <c r="P996" s="128"/>
      <c r="Q996" s="128"/>
      <c r="R996" s="128"/>
      <c r="S996" s="128"/>
      <c r="T996" s="127"/>
      <c r="U996" s="123"/>
      <c r="V996" s="129"/>
      <c r="W996" s="130"/>
      <c r="X996" s="131"/>
    </row>
    <row r="997" spans="1:24" s="342" customFormat="1">
      <c r="A997" s="492">
        <v>0.05</v>
      </c>
      <c r="B997" s="333">
        <v>1</v>
      </c>
      <c r="C997" s="334">
        <v>45939</v>
      </c>
      <c r="D997" s="335">
        <v>74222</v>
      </c>
      <c r="E997" s="394" t="s">
        <v>1284</v>
      </c>
      <c r="F997" s="336">
        <v>600</v>
      </c>
      <c r="G997" s="336">
        <f>+(19.96)</f>
        <v>19.96</v>
      </c>
      <c r="H997" s="336"/>
      <c r="I997" s="337">
        <f t="shared" ref="I997:I998" si="213">F997-G997-H997</f>
        <v>580.04</v>
      </c>
      <c r="J997" s="338" t="s">
        <v>156</v>
      </c>
      <c r="K997" s="338">
        <v>1</v>
      </c>
      <c r="L997" s="338">
        <v>1</v>
      </c>
      <c r="M997" s="338">
        <v>1</v>
      </c>
      <c r="N997" s="338">
        <v>1</v>
      </c>
      <c r="O997" s="338">
        <v>1</v>
      </c>
      <c r="P997" s="322">
        <v>0</v>
      </c>
      <c r="Q997" s="322">
        <v>0</v>
      </c>
      <c r="R997" s="322">
        <v>0</v>
      </c>
      <c r="S997" s="328">
        <v>0</v>
      </c>
      <c r="T997" s="127"/>
      <c r="U997" s="123"/>
      <c r="V997" s="129">
        <f>400</f>
        <v>400</v>
      </c>
      <c r="W997" s="130"/>
      <c r="X997" s="131"/>
    </row>
    <row r="998" spans="1:24">
      <c r="A998" s="492">
        <v>0.05</v>
      </c>
      <c r="B998" s="333">
        <f t="shared" ref="B998" si="214">B997+1</f>
        <v>2</v>
      </c>
      <c r="C998" s="350">
        <v>45940</v>
      </c>
      <c r="D998" s="358">
        <v>74295</v>
      </c>
      <c r="E998" s="351" t="s">
        <v>1273</v>
      </c>
      <c r="F998" s="352">
        <v>681</v>
      </c>
      <c r="G998" s="352"/>
      <c r="H998" s="352"/>
      <c r="I998" s="353">
        <f t="shared" si="213"/>
        <v>681</v>
      </c>
      <c r="J998" s="354"/>
      <c r="K998" s="354">
        <v>1</v>
      </c>
      <c r="L998" s="354">
        <v>1</v>
      </c>
      <c r="M998" s="354"/>
      <c r="N998" s="354">
        <v>1</v>
      </c>
      <c r="O998" s="354">
        <v>1</v>
      </c>
      <c r="P998" s="314">
        <v>0</v>
      </c>
      <c r="Q998" s="314">
        <v>0</v>
      </c>
      <c r="R998" s="314">
        <v>0</v>
      </c>
      <c r="S998" s="366">
        <v>0</v>
      </c>
      <c r="T998" s="127"/>
      <c r="U998" s="123" t="s">
        <v>3085</v>
      </c>
      <c r="V998" s="129"/>
      <c r="W998" s="130"/>
      <c r="X998" s="131"/>
    </row>
    <row r="999" spans="1:24">
      <c r="B999" s="132"/>
      <c r="C999" s="36"/>
      <c r="D999" s="123"/>
      <c r="E999" s="123"/>
      <c r="F999" s="134">
        <f t="shared" ref="F999:H999" si="215">SUM(F997:F998)</f>
        <v>1281</v>
      </c>
      <c r="G999" s="134">
        <f t="shared" si="215"/>
        <v>19.96</v>
      </c>
      <c r="H999" s="134">
        <f t="shared" si="215"/>
        <v>0</v>
      </c>
      <c r="I999" s="134">
        <f>SUM(I997:I998)</f>
        <v>1261.04</v>
      </c>
      <c r="J999" s="127"/>
      <c r="K999" s="64"/>
      <c r="L999" s="64"/>
      <c r="M999" s="64"/>
      <c r="N999" s="64"/>
      <c r="O999" s="64"/>
      <c r="P999" s="64"/>
      <c r="Q999" s="64"/>
      <c r="R999" s="64"/>
      <c r="S999" s="64"/>
      <c r="T999" s="127"/>
      <c r="U999" s="123"/>
      <c r="V999" s="129"/>
      <c r="W999" s="130"/>
      <c r="X999" s="131"/>
    </row>
    <row r="1000" spans="1:24">
      <c r="B1000" s="11"/>
      <c r="C1000" s="36"/>
      <c r="D1000" s="10"/>
      <c r="E1000" s="10"/>
      <c r="F1000" s="88"/>
      <c r="G1000" s="88"/>
      <c r="H1000" s="88"/>
      <c r="I1000" s="99"/>
      <c r="J1000" s="63"/>
      <c r="K1000" s="21"/>
      <c r="L1000" s="21"/>
      <c r="M1000" s="21"/>
      <c r="N1000" s="21"/>
      <c r="O1000" s="21"/>
      <c r="P1000" s="21"/>
      <c r="Q1000" s="21"/>
      <c r="R1000" s="21"/>
      <c r="S1000" s="21"/>
      <c r="T1000" s="63"/>
      <c r="U1000" s="94"/>
      <c r="V1000" s="90"/>
      <c r="W1000" s="91"/>
      <c r="X1000" s="92"/>
    </row>
    <row r="1001" spans="1:24">
      <c r="B1001" s="121" t="s">
        <v>70</v>
      </c>
      <c r="C1001" s="36"/>
      <c r="D1001" s="123"/>
      <c r="E1001" s="128"/>
      <c r="F1001" s="124"/>
      <c r="G1001" s="124"/>
      <c r="H1001" s="124"/>
      <c r="I1001" s="126"/>
      <c r="J1001" s="127"/>
      <c r="K1001" s="64"/>
      <c r="L1001" s="64"/>
      <c r="M1001" s="64"/>
      <c r="N1001" s="64"/>
      <c r="O1001" s="64"/>
      <c r="P1001" s="64"/>
      <c r="Q1001" s="64"/>
      <c r="R1001" s="64"/>
      <c r="S1001" s="64"/>
      <c r="T1001" s="127"/>
      <c r="U1001" s="135"/>
      <c r="V1001" s="129"/>
      <c r="W1001" s="130"/>
      <c r="X1001" s="131"/>
    </row>
    <row r="1002" spans="1:24" s="342" customFormat="1">
      <c r="A1002" s="492">
        <v>0.05</v>
      </c>
      <c r="B1002" s="333">
        <v>1</v>
      </c>
      <c r="C1002" s="334">
        <v>45936</v>
      </c>
      <c r="D1002" s="335">
        <v>74104</v>
      </c>
      <c r="E1002" s="335" t="s">
        <v>1088</v>
      </c>
      <c r="F1002" s="336">
        <v>1261</v>
      </c>
      <c r="G1002" s="336">
        <f>39.7</f>
        <v>39.700000000000003</v>
      </c>
      <c r="H1002" s="336"/>
      <c r="I1002" s="337">
        <f t="shared" ref="I1002" si="216">F1002-G1002-H1002</f>
        <v>1221.3</v>
      </c>
      <c r="J1002" s="338" t="s">
        <v>156</v>
      </c>
      <c r="K1002" s="338">
        <v>1</v>
      </c>
      <c r="L1002" s="338"/>
      <c r="M1002" s="338">
        <v>1</v>
      </c>
      <c r="N1002" s="338">
        <v>1</v>
      </c>
      <c r="O1002" s="338">
        <v>1</v>
      </c>
      <c r="P1002" s="338">
        <v>1</v>
      </c>
      <c r="Q1002" s="338"/>
      <c r="R1002" s="338"/>
      <c r="S1002" s="339"/>
      <c r="T1002" s="127"/>
      <c r="U1002" s="135"/>
      <c r="V1002" s="129">
        <f>130</f>
        <v>130</v>
      </c>
      <c r="W1002" s="340"/>
      <c r="X1002" s="341"/>
    </row>
    <row r="1003" spans="1:24" s="342" customFormat="1">
      <c r="A1003" s="492">
        <v>0.05</v>
      </c>
      <c r="B1003" s="333">
        <f t="shared" ref="B1003:B1007" si="217">B1002+1</f>
        <v>2</v>
      </c>
      <c r="C1003" s="345">
        <v>45936</v>
      </c>
      <c r="D1003" s="123" t="s">
        <v>3086</v>
      </c>
      <c r="E1003" s="123" t="s">
        <v>1088</v>
      </c>
      <c r="F1003" s="125">
        <v>6132.6</v>
      </c>
      <c r="G1003" s="125">
        <f>39.7+2500</f>
        <v>2539.6999999999998</v>
      </c>
      <c r="H1003" s="125"/>
      <c r="I1003" s="347">
        <f>F1003-G1003-H1003</f>
        <v>3592.9000000000005</v>
      </c>
      <c r="J1003" s="127" t="s">
        <v>156</v>
      </c>
      <c r="K1003" s="127">
        <v>1</v>
      </c>
      <c r="L1003" s="127"/>
      <c r="M1003" s="127">
        <v>1</v>
      </c>
      <c r="N1003" s="127">
        <v>1</v>
      </c>
      <c r="O1003" s="127">
        <v>1</v>
      </c>
      <c r="P1003" s="127">
        <v>1</v>
      </c>
      <c r="Q1003" s="127"/>
      <c r="R1003" s="127"/>
      <c r="S1003" s="349"/>
      <c r="T1003" s="127"/>
      <c r="U1003" s="135" t="s">
        <v>3087</v>
      </c>
      <c r="V1003" s="129">
        <f>650</f>
        <v>650</v>
      </c>
      <c r="W1003" s="340"/>
      <c r="X1003" s="341"/>
    </row>
    <row r="1004" spans="1:24" s="342" customFormat="1">
      <c r="A1004" s="492">
        <v>0.05</v>
      </c>
      <c r="B1004" s="333">
        <f t="shared" si="217"/>
        <v>3</v>
      </c>
      <c r="C1004" s="334">
        <v>45939</v>
      </c>
      <c r="D1004" s="335">
        <v>74268</v>
      </c>
      <c r="E1004" s="335" t="s">
        <v>1273</v>
      </c>
      <c r="F1004" s="336">
        <v>8641</v>
      </c>
      <c r="G1004" s="336">
        <f>39.7+(71.1+59.28)+(305.4+149.01+161.17+59.57+210.55-391.64+30.8+71.5)+750</f>
        <v>1516.44</v>
      </c>
      <c r="H1004" s="336"/>
      <c r="I1004" s="337">
        <f>F1004-G1004-H1004</f>
        <v>7124.5599999999995</v>
      </c>
      <c r="J1004" s="338" t="s">
        <v>156</v>
      </c>
      <c r="K1004" s="338">
        <v>1</v>
      </c>
      <c r="L1004" s="338"/>
      <c r="M1004" s="338">
        <v>1</v>
      </c>
      <c r="N1004" s="338">
        <v>1</v>
      </c>
      <c r="O1004" s="338">
        <v>1</v>
      </c>
      <c r="P1004" s="338">
        <v>1</v>
      </c>
      <c r="Q1004" s="338"/>
      <c r="R1004" s="338"/>
      <c r="S1004" s="339"/>
      <c r="T1004" s="127"/>
      <c r="U1004" s="135" t="s">
        <v>3088</v>
      </c>
      <c r="V1004" s="129">
        <f>950.51</f>
        <v>950.51</v>
      </c>
      <c r="W1004" s="340"/>
      <c r="X1004" s="341"/>
    </row>
    <row r="1005" spans="1:24" s="342" customFormat="1">
      <c r="A1005" s="492">
        <v>0.05</v>
      </c>
      <c r="B1005" s="333">
        <f t="shared" si="217"/>
        <v>4</v>
      </c>
      <c r="C1005" s="334">
        <v>45940</v>
      </c>
      <c r="D1005" s="335" t="s">
        <v>3089</v>
      </c>
      <c r="E1005" s="335" t="s">
        <v>1273</v>
      </c>
      <c r="F1005" s="336">
        <v>16214</v>
      </c>
      <c r="G1005" s="336">
        <f>39.7+(610.52+460.85)+1500</f>
        <v>2611.0699999999997</v>
      </c>
      <c r="H1005" s="336"/>
      <c r="I1005" s="337">
        <f>F1005-G1005-H1005</f>
        <v>13602.93</v>
      </c>
      <c r="J1005" s="338" t="s">
        <v>156</v>
      </c>
      <c r="K1005" s="338">
        <v>1</v>
      </c>
      <c r="L1005" s="338"/>
      <c r="M1005" s="338">
        <v>1</v>
      </c>
      <c r="N1005" s="338">
        <v>1</v>
      </c>
      <c r="O1005" s="338">
        <v>1</v>
      </c>
      <c r="P1005" s="338">
        <v>1</v>
      </c>
      <c r="Q1005" s="338"/>
      <c r="R1005" s="338"/>
      <c r="S1005" s="339"/>
      <c r="T1005" s="127"/>
      <c r="U1005" s="135" t="s">
        <v>3090</v>
      </c>
      <c r="V1005" s="129">
        <f>1780</f>
        <v>1780</v>
      </c>
      <c r="W1005" s="340"/>
      <c r="X1005" s="341"/>
    </row>
    <row r="1006" spans="1:24" s="342" customFormat="1">
      <c r="A1006" s="492">
        <v>0.05</v>
      </c>
      <c r="B1006" s="333">
        <f t="shared" si="217"/>
        <v>5</v>
      </c>
      <c r="C1006" s="345">
        <v>45940</v>
      </c>
      <c r="D1006" s="123">
        <v>74272</v>
      </c>
      <c r="E1006" s="123" t="s">
        <v>1088</v>
      </c>
      <c r="F1006" s="125">
        <v>2979.9</v>
      </c>
      <c r="G1006" s="125">
        <f>39.7+200</f>
        <v>239.7</v>
      </c>
      <c r="H1006" s="125"/>
      <c r="I1006" s="347">
        <f>F1006-G1006-H1006</f>
        <v>2740.2000000000003</v>
      </c>
      <c r="J1006" s="127" t="s">
        <v>156</v>
      </c>
      <c r="K1006" s="127">
        <v>1</v>
      </c>
      <c r="L1006" s="127"/>
      <c r="M1006" s="127">
        <v>1</v>
      </c>
      <c r="N1006" s="127">
        <v>1</v>
      </c>
      <c r="O1006" s="127">
        <v>1</v>
      </c>
      <c r="P1006" s="325">
        <v>0</v>
      </c>
      <c r="Q1006" s="127"/>
      <c r="R1006" s="127"/>
      <c r="S1006" s="349"/>
      <c r="T1006" s="127"/>
      <c r="U1006" s="135" t="s">
        <v>3091</v>
      </c>
      <c r="V1006" s="129">
        <f>327</f>
        <v>327</v>
      </c>
      <c r="W1006" s="340"/>
      <c r="X1006" s="341"/>
    </row>
    <row r="1007" spans="1:24" s="342" customFormat="1">
      <c r="A1007" s="492">
        <v>0.05</v>
      </c>
      <c r="B1007" s="333">
        <f t="shared" si="217"/>
        <v>6</v>
      </c>
      <c r="C1007" s="395">
        <v>45940</v>
      </c>
      <c r="D1007" s="396" t="s">
        <v>3092</v>
      </c>
      <c r="E1007" s="454" t="s">
        <v>1695</v>
      </c>
      <c r="F1007" s="397">
        <v>11532.6</v>
      </c>
      <c r="G1007" s="397">
        <f>39.7+(16.11)+1500</f>
        <v>1555.81</v>
      </c>
      <c r="H1007" s="397"/>
      <c r="I1007" s="398">
        <f t="shared" ref="I1007" si="218">F1007-G1007-H1007</f>
        <v>9976.7900000000009</v>
      </c>
      <c r="J1007" s="399"/>
      <c r="K1007" s="399">
        <v>1</v>
      </c>
      <c r="L1007" s="399"/>
      <c r="M1007" s="399"/>
      <c r="N1007" s="399">
        <v>1</v>
      </c>
      <c r="O1007" s="399">
        <v>1</v>
      </c>
      <c r="P1007" s="332">
        <v>0</v>
      </c>
      <c r="Q1007" s="399"/>
      <c r="R1007" s="399"/>
      <c r="S1007" s="400"/>
      <c r="T1007" s="127"/>
      <c r="U1007" s="135" t="s">
        <v>3093</v>
      </c>
      <c r="V1007" s="129"/>
      <c r="W1007" s="340"/>
      <c r="X1007" s="341"/>
    </row>
    <row r="1008" spans="1:24">
      <c r="B1008" s="132"/>
      <c r="C1008" s="36"/>
      <c r="D1008" s="123"/>
      <c r="E1008" s="123"/>
      <c r="F1008" s="134">
        <f>SUM(F1002:F1007)</f>
        <v>46761.1</v>
      </c>
      <c r="G1008" s="134">
        <f>SUM(G1002:G1007)</f>
        <v>8502.42</v>
      </c>
      <c r="H1008" s="134">
        <f>SUM(H1002:H1007)</f>
        <v>0</v>
      </c>
      <c r="I1008" s="134">
        <f>SUM(I1002:I1007)</f>
        <v>38258.680000000008</v>
      </c>
      <c r="J1008" s="127"/>
      <c r="K1008" s="64"/>
      <c r="L1008" s="64"/>
      <c r="M1008" s="64"/>
      <c r="N1008" s="64"/>
      <c r="O1008" s="64"/>
      <c r="P1008" s="64"/>
      <c r="Q1008" s="64"/>
      <c r="R1008" s="64"/>
      <c r="S1008" s="64"/>
      <c r="T1008" s="127"/>
      <c r="U1008" s="135"/>
      <c r="V1008" s="129"/>
      <c r="W1008" s="130"/>
      <c r="X1008" s="131"/>
    </row>
    <row r="1009" spans="1:25">
      <c r="B1009" s="11"/>
      <c r="C1009" s="36"/>
      <c r="D1009" s="10"/>
      <c r="E1009" s="10"/>
      <c r="F1009" s="88"/>
      <c r="G1009" s="88"/>
      <c r="H1009" s="88"/>
      <c r="I1009" s="99"/>
      <c r="J1009" s="63"/>
      <c r="K1009" s="21"/>
      <c r="L1009" s="21"/>
      <c r="M1009" s="21"/>
      <c r="N1009" s="21"/>
      <c r="O1009" s="21"/>
      <c r="P1009" s="21"/>
      <c r="Q1009" s="21"/>
      <c r="R1009" s="21"/>
      <c r="S1009" s="21"/>
      <c r="T1009" s="63"/>
      <c r="U1009" s="94"/>
      <c r="V1009" s="90"/>
      <c r="W1009" s="91"/>
      <c r="X1009" s="92"/>
    </row>
    <row r="1010" spans="1:25" s="342" customFormat="1">
      <c r="B1010" s="100" t="s">
        <v>152</v>
      </c>
      <c r="C1010" s="122"/>
      <c r="D1010" s="123"/>
      <c r="E1010" s="123"/>
      <c r="F1010" s="124"/>
      <c r="G1010" s="125"/>
      <c r="H1010" s="124"/>
      <c r="I1010" s="126"/>
      <c r="J1010" s="127"/>
      <c r="K1010" s="128"/>
      <c r="L1010" s="128"/>
      <c r="M1010" s="128"/>
      <c r="N1010" s="128"/>
      <c r="O1010" s="128"/>
      <c r="P1010" s="128"/>
      <c r="Q1010" s="128"/>
      <c r="R1010" s="128"/>
      <c r="S1010" s="128"/>
      <c r="T1010" s="127"/>
      <c r="U1010" s="123"/>
      <c r="V1010" s="129"/>
      <c r="W1010" s="130"/>
      <c r="X1010" s="131"/>
    </row>
    <row r="1011" spans="1:25" s="260" customFormat="1">
      <c r="A1011" s="494">
        <v>0.05</v>
      </c>
      <c r="B1011" s="87">
        <v>1</v>
      </c>
      <c r="C1011" s="262">
        <v>45866</v>
      </c>
      <c r="D1011" s="263">
        <v>71800</v>
      </c>
      <c r="E1011" s="271" t="s">
        <v>2823</v>
      </c>
      <c r="F1011" s="265">
        <v>6214</v>
      </c>
      <c r="G1011" s="265">
        <f>39.7+(1288.73)+250</f>
        <v>1578.43</v>
      </c>
      <c r="H1011" s="265"/>
      <c r="I1011" s="266">
        <f>F1011-G1011-H1011</f>
        <v>4635.57</v>
      </c>
      <c r="J1011" s="267" t="s">
        <v>156</v>
      </c>
      <c r="K1011" s="267">
        <v>1</v>
      </c>
      <c r="L1011" s="314">
        <v>0</v>
      </c>
      <c r="M1011" s="267">
        <v>1</v>
      </c>
      <c r="N1011" s="267">
        <v>1</v>
      </c>
      <c r="O1011" s="267">
        <v>1</v>
      </c>
      <c r="P1011" s="314">
        <v>0</v>
      </c>
      <c r="Q1011" s="314">
        <v>0</v>
      </c>
      <c r="R1011" s="314">
        <v>0</v>
      </c>
      <c r="S1011" s="366">
        <v>0</v>
      </c>
      <c r="T1011" s="63"/>
      <c r="U1011" s="94" t="s">
        <v>2930</v>
      </c>
      <c r="V1011" s="90"/>
      <c r="W1011" s="136"/>
      <c r="X1011" s="92"/>
    </row>
    <row r="1012" spans="1:25" s="260" customFormat="1">
      <c r="A1012" s="260" t="s">
        <v>619</v>
      </c>
      <c r="B1012" s="87">
        <f>B1011+1</f>
        <v>2</v>
      </c>
      <c r="C1012" s="262">
        <v>45866</v>
      </c>
      <c r="D1012" s="263">
        <v>71787</v>
      </c>
      <c r="E1012" s="271" t="s">
        <v>1338</v>
      </c>
      <c r="F1012" s="265">
        <v>28614</v>
      </c>
      <c r="G1012" s="265">
        <f>39.7+1424.2+(474.48+162.31+289.19+9.1+8.29-78.88)+(F1012*0.25)</f>
        <v>9481.89</v>
      </c>
      <c r="H1012" s="265"/>
      <c r="I1012" s="266">
        <f>F1012-G1012-H1012</f>
        <v>19132.11</v>
      </c>
      <c r="J1012" s="267" t="s">
        <v>374</v>
      </c>
      <c r="K1012" s="267">
        <v>1</v>
      </c>
      <c r="L1012" s="267">
        <v>1</v>
      </c>
      <c r="M1012" s="267">
        <v>1</v>
      </c>
      <c r="N1012" s="267">
        <v>1</v>
      </c>
      <c r="O1012" s="267">
        <v>1</v>
      </c>
      <c r="P1012" s="314">
        <v>0</v>
      </c>
      <c r="Q1012" s="314">
        <v>0</v>
      </c>
      <c r="R1012" s="314">
        <v>0</v>
      </c>
      <c r="S1012" s="366">
        <v>0</v>
      </c>
      <c r="T1012" s="63"/>
      <c r="U1012" s="94" t="s">
        <v>2852</v>
      </c>
      <c r="V1012" s="90"/>
      <c r="W1012" s="136"/>
      <c r="X1012" s="137"/>
    </row>
    <row r="1013" spans="1:25" s="260" customFormat="1">
      <c r="A1013" s="261" t="s">
        <v>619</v>
      </c>
      <c r="B1013" s="87">
        <f>B1012+1</f>
        <v>3</v>
      </c>
      <c r="C1013" s="274">
        <v>45873</v>
      </c>
      <c r="D1013" s="327">
        <v>71967</v>
      </c>
      <c r="E1013" s="281" t="s">
        <v>1256</v>
      </c>
      <c r="F1013" s="277">
        <v>2681</v>
      </c>
      <c r="G1013" s="277">
        <f>39.7+(189.05)+(15.38)+200</f>
        <v>444.13</v>
      </c>
      <c r="H1013" s="277"/>
      <c r="I1013" s="321">
        <f>F1013-G1013-H1013</f>
        <v>2236.87</v>
      </c>
      <c r="J1013" s="279" t="s">
        <v>374</v>
      </c>
      <c r="K1013" s="279">
        <v>1</v>
      </c>
      <c r="L1013" s="279">
        <v>1</v>
      </c>
      <c r="M1013" s="279">
        <v>1</v>
      </c>
      <c r="N1013" s="279">
        <v>1</v>
      </c>
      <c r="O1013" s="279">
        <v>1</v>
      </c>
      <c r="P1013" s="322">
        <v>0</v>
      </c>
      <c r="Q1013" s="279">
        <v>1</v>
      </c>
      <c r="R1013" s="279">
        <v>1</v>
      </c>
      <c r="S1013" s="280">
        <v>1</v>
      </c>
      <c r="T1013" s="63"/>
      <c r="U1013" s="10" t="s">
        <v>2851</v>
      </c>
      <c r="V1013" s="90"/>
      <c r="W1013" s="91"/>
      <c r="X1013" s="92"/>
    </row>
    <row r="1014" spans="1:25" s="260" customFormat="1">
      <c r="A1014" s="261" t="s">
        <v>2542</v>
      </c>
      <c r="B1014" s="87">
        <f t="shared" ref="B1014:B1031" si="219">B1013+1</f>
        <v>4</v>
      </c>
      <c r="C1014" s="274">
        <v>45890</v>
      </c>
      <c r="D1014" s="327">
        <v>72522</v>
      </c>
      <c r="E1014" s="276" t="s">
        <v>1169</v>
      </c>
      <c r="F1014" s="277">
        <v>3122</v>
      </c>
      <c r="G1014" s="277">
        <f>39.7+877.8+(521.76+88.09)+200</f>
        <v>1727.35</v>
      </c>
      <c r="H1014" s="277"/>
      <c r="I1014" s="321">
        <f>F1014-G1014-H1014</f>
        <v>1394.65</v>
      </c>
      <c r="J1014" s="279" t="s">
        <v>156</v>
      </c>
      <c r="K1014" s="279">
        <v>1</v>
      </c>
      <c r="L1014" s="279">
        <v>1</v>
      </c>
      <c r="M1014" s="279">
        <v>1</v>
      </c>
      <c r="N1014" s="279">
        <v>1</v>
      </c>
      <c r="O1014" s="279">
        <v>1</v>
      </c>
      <c r="P1014" s="279">
        <v>1</v>
      </c>
      <c r="Q1014" s="279">
        <v>1</v>
      </c>
      <c r="R1014" s="322">
        <v>0</v>
      </c>
      <c r="S1014" s="328">
        <v>0</v>
      </c>
      <c r="T1014" s="63"/>
      <c r="U1014" s="10" t="s">
        <v>2931</v>
      </c>
      <c r="V1014" s="90"/>
      <c r="W1014" s="136"/>
      <c r="X1014" s="137"/>
    </row>
    <row r="1015" spans="1:25" s="260" customFormat="1">
      <c r="A1015" s="261">
        <v>0.05</v>
      </c>
      <c r="B1015" s="87">
        <f t="shared" si="219"/>
        <v>5</v>
      </c>
      <c r="C1015" s="282">
        <v>45890</v>
      </c>
      <c r="D1015" s="368">
        <v>72515</v>
      </c>
      <c r="E1015" s="283" t="s">
        <v>1058</v>
      </c>
      <c r="F1015" s="284">
        <v>2575</v>
      </c>
      <c r="G1015" s="284">
        <v>39.700000000000003</v>
      </c>
      <c r="H1015" s="315"/>
      <c r="I1015" s="300">
        <f>F1015-G1015-H1015</f>
        <v>2535.3000000000002</v>
      </c>
      <c r="J1015" s="286" t="s">
        <v>374</v>
      </c>
      <c r="K1015" s="286">
        <v>1</v>
      </c>
      <c r="L1015" s="286">
        <v>1</v>
      </c>
      <c r="M1015" s="286">
        <v>1</v>
      </c>
      <c r="N1015" s="286">
        <v>1</v>
      </c>
      <c r="O1015" s="286">
        <v>1</v>
      </c>
      <c r="P1015" s="286">
        <v>1</v>
      </c>
      <c r="Q1015" s="286">
        <v>1</v>
      </c>
      <c r="R1015" s="332">
        <v>0</v>
      </c>
      <c r="S1015" s="370">
        <v>0</v>
      </c>
      <c r="T1015" s="63"/>
      <c r="U1015" s="10" t="s">
        <v>2895</v>
      </c>
      <c r="V1015" s="90"/>
      <c r="W1015" s="91"/>
      <c r="X1015" s="92"/>
    </row>
    <row r="1016" spans="1:25" s="260" customFormat="1">
      <c r="A1016" s="261" t="s">
        <v>598</v>
      </c>
      <c r="B1016" s="87">
        <f t="shared" si="219"/>
        <v>6</v>
      </c>
      <c r="C1016" s="262">
        <v>45896</v>
      </c>
      <c r="D1016" s="490" t="s">
        <v>2926</v>
      </c>
      <c r="E1016" s="271" t="s">
        <v>2919</v>
      </c>
      <c r="F1016" s="265">
        <f>8213.2-800-900</f>
        <v>6513.2000000000007</v>
      </c>
      <c r="G1016" s="265">
        <f>39.7+(13+1388.11)+750</f>
        <v>2190.81</v>
      </c>
      <c r="H1016" s="265"/>
      <c r="I1016" s="266">
        <f>F1016-G1016-H1016</f>
        <v>4322.3900000000012</v>
      </c>
      <c r="J1016" s="267" t="s">
        <v>228</v>
      </c>
      <c r="K1016" s="267">
        <v>1</v>
      </c>
      <c r="L1016" s="314">
        <v>0</v>
      </c>
      <c r="M1016" s="267">
        <v>1</v>
      </c>
      <c r="N1016" s="267">
        <v>1</v>
      </c>
      <c r="O1016" s="267">
        <v>1</v>
      </c>
      <c r="P1016" s="314">
        <v>0</v>
      </c>
      <c r="Q1016" s="267">
        <v>1</v>
      </c>
      <c r="R1016" s="314">
        <v>0</v>
      </c>
      <c r="S1016" s="366">
        <v>0</v>
      </c>
      <c r="T1016" s="21"/>
      <c r="U1016" s="94" t="s">
        <v>2927</v>
      </c>
      <c r="V1016" s="90"/>
      <c r="W1016" s="91"/>
      <c r="X1016" s="92"/>
    </row>
    <row r="1017" spans="1:25" s="260" customFormat="1">
      <c r="A1017" s="181" t="s">
        <v>2542</v>
      </c>
      <c r="B1017" s="87">
        <f t="shared" si="219"/>
        <v>7</v>
      </c>
      <c r="C1017" s="262">
        <v>45897</v>
      </c>
      <c r="D1017" s="263">
        <v>72735</v>
      </c>
      <c r="E1017" s="271" t="s">
        <v>1169</v>
      </c>
      <c r="F1017" s="265">
        <v>2916</v>
      </c>
      <c r="G1017" s="265">
        <f>39.7+(177.31+59.74+254.1)+300</f>
        <v>830.85</v>
      </c>
      <c r="H1017" s="265"/>
      <c r="I1017" s="266">
        <f>F1017-G1017-H1017</f>
        <v>2085.15</v>
      </c>
      <c r="J1017" s="267" t="s">
        <v>156</v>
      </c>
      <c r="K1017" s="267">
        <v>1</v>
      </c>
      <c r="L1017" s="267">
        <v>1</v>
      </c>
      <c r="M1017" s="267">
        <v>1</v>
      </c>
      <c r="N1017" s="267">
        <v>1</v>
      </c>
      <c r="O1017" s="267">
        <v>1</v>
      </c>
      <c r="P1017" s="267">
        <v>1</v>
      </c>
      <c r="Q1017" s="267">
        <v>1</v>
      </c>
      <c r="R1017" s="267">
        <v>1</v>
      </c>
      <c r="S1017" s="366">
        <v>0</v>
      </c>
      <c r="T1017" s="63"/>
      <c r="U1017" s="94" t="s">
        <v>2929</v>
      </c>
      <c r="V1017" s="90"/>
      <c r="W1017" s="136"/>
      <c r="X1017" s="137"/>
    </row>
    <row r="1018" spans="1:25" s="260" customFormat="1">
      <c r="A1018" s="261">
        <v>0.05</v>
      </c>
      <c r="B1018" s="87">
        <f t="shared" si="219"/>
        <v>8</v>
      </c>
      <c r="C1018" s="262">
        <v>45896</v>
      </c>
      <c r="D1018" s="263">
        <v>72711</v>
      </c>
      <c r="E1018" s="271" t="s">
        <v>1494</v>
      </c>
      <c r="F1018" s="265">
        <v>2792</v>
      </c>
      <c r="G1018" s="265">
        <f>+(85.41)</f>
        <v>85.41</v>
      </c>
      <c r="H1018" s="265"/>
      <c r="I1018" s="266">
        <f>F1018-G1018-H1018</f>
        <v>2706.59</v>
      </c>
      <c r="J1018" s="267" t="s">
        <v>156</v>
      </c>
      <c r="K1018" s="267">
        <v>1</v>
      </c>
      <c r="L1018" s="314">
        <v>0</v>
      </c>
      <c r="M1018" s="267">
        <v>1</v>
      </c>
      <c r="N1018" s="267">
        <v>1</v>
      </c>
      <c r="O1018" s="267">
        <v>1</v>
      </c>
      <c r="P1018" s="314">
        <v>0</v>
      </c>
      <c r="Q1018" s="314">
        <v>0</v>
      </c>
      <c r="R1018" s="314">
        <v>0</v>
      </c>
      <c r="S1018" s="366">
        <v>0</v>
      </c>
      <c r="T1018" s="63"/>
      <c r="U1018" s="94" t="s">
        <v>2928</v>
      </c>
      <c r="V1018" s="90"/>
      <c r="W1018" s="136"/>
      <c r="X1018" s="137"/>
    </row>
    <row r="1019" spans="1:25" s="260" customFormat="1">
      <c r="A1019" s="494">
        <v>0.05</v>
      </c>
      <c r="B1019" s="87">
        <f t="shared" si="219"/>
        <v>9</v>
      </c>
      <c r="C1019" s="274">
        <v>45910</v>
      </c>
      <c r="D1019" s="327">
        <v>73185</v>
      </c>
      <c r="E1019" s="276" t="s">
        <v>1319</v>
      </c>
      <c r="F1019" s="277">
        <v>1674.9</v>
      </c>
      <c r="G1019" s="277">
        <f>39.7+544.5</f>
        <v>584.20000000000005</v>
      </c>
      <c r="H1019" s="297"/>
      <c r="I1019" s="321">
        <f>F1019-G1019-H1019</f>
        <v>1090.7</v>
      </c>
      <c r="J1019" s="279" t="s">
        <v>150</v>
      </c>
      <c r="K1019" s="279">
        <v>1</v>
      </c>
      <c r="L1019" s="279">
        <v>1</v>
      </c>
      <c r="M1019" s="322">
        <v>0</v>
      </c>
      <c r="N1019" s="279">
        <v>1</v>
      </c>
      <c r="O1019" s="279">
        <v>1</v>
      </c>
      <c r="P1019" s="279">
        <v>1</v>
      </c>
      <c r="Q1019" s="322">
        <v>0</v>
      </c>
      <c r="R1019" s="322">
        <v>0</v>
      </c>
      <c r="S1019" s="328">
        <v>0</v>
      </c>
      <c r="T1019" s="63"/>
      <c r="U1019" s="10" t="s">
        <v>3013</v>
      </c>
      <c r="V1019" s="90"/>
      <c r="W1019" s="91"/>
      <c r="X1019" s="92"/>
      <c r="Y1019" s="181"/>
    </row>
    <row r="1020" spans="1:25" s="260" customFormat="1">
      <c r="A1020" s="260" t="s">
        <v>619</v>
      </c>
      <c r="B1020" s="87">
        <f t="shared" si="219"/>
        <v>10</v>
      </c>
      <c r="C1020" s="262">
        <v>45911</v>
      </c>
      <c r="D1020" s="263" t="s">
        <v>2976</v>
      </c>
      <c r="E1020" s="271" t="s">
        <v>1045</v>
      </c>
      <c r="F1020" s="265">
        <f>585-85</f>
        <v>500</v>
      </c>
      <c r="G1020" s="265"/>
      <c r="H1020" s="365"/>
      <c r="I1020" s="266">
        <f>F1020-G1020-H1020</f>
        <v>500</v>
      </c>
      <c r="J1020" s="267" t="s">
        <v>156</v>
      </c>
      <c r="K1020" s="267">
        <v>1</v>
      </c>
      <c r="L1020" s="267">
        <v>1</v>
      </c>
      <c r="M1020" s="267">
        <v>1</v>
      </c>
      <c r="N1020" s="267">
        <v>1</v>
      </c>
      <c r="O1020" s="267">
        <v>1</v>
      </c>
      <c r="P1020" s="267">
        <v>1</v>
      </c>
      <c r="Q1020" s="267">
        <v>1</v>
      </c>
      <c r="R1020" s="314">
        <v>0</v>
      </c>
      <c r="S1020" s="269">
        <v>1</v>
      </c>
      <c r="T1020" s="63"/>
      <c r="U1020" s="10"/>
      <c r="V1020" s="90"/>
      <c r="W1020" s="91"/>
      <c r="X1020" s="92"/>
      <c r="Y1020" s="181"/>
    </row>
    <row r="1021" spans="1:25" s="260" customFormat="1">
      <c r="B1021" s="87">
        <f t="shared" si="219"/>
        <v>11</v>
      </c>
      <c r="C1021" s="274">
        <v>45922</v>
      </c>
      <c r="D1021" s="327">
        <v>73507</v>
      </c>
      <c r="E1021" s="276" t="s">
        <v>1028</v>
      </c>
      <c r="F1021" s="277">
        <f>2546-85</f>
        <v>2461</v>
      </c>
      <c r="G1021" s="277">
        <f>39.7+(20.1)+2000</f>
        <v>2059.8000000000002</v>
      </c>
      <c r="H1021" s="277"/>
      <c r="I1021" s="321">
        <f>F1021-G1021-H1021</f>
        <v>401.19999999999982</v>
      </c>
      <c r="J1021" s="279" t="s">
        <v>156</v>
      </c>
      <c r="K1021" s="279">
        <v>1</v>
      </c>
      <c r="L1021" s="279">
        <v>1</v>
      </c>
      <c r="M1021" s="279">
        <v>1</v>
      </c>
      <c r="N1021" s="279">
        <v>1</v>
      </c>
      <c r="O1021" s="279">
        <v>1</v>
      </c>
      <c r="P1021" s="322">
        <v>0</v>
      </c>
      <c r="Q1021" s="322">
        <v>0</v>
      </c>
      <c r="R1021" s="322">
        <v>0</v>
      </c>
      <c r="S1021" s="328">
        <v>0</v>
      </c>
      <c r="T1021" s="63"/>
      <c r="U1021" s="94" t="s">
        <v>3023</v>
      </c>
      <c r="V1021" s="90"/>
      <c r="W1021" s="91"/>
      <c r="X1021" s="92"/>
    </row>
    <row r="1022" spans="1:25" s="260" customFormat="1">
      <c r="B1022" s="87">
        <f t="shared" si="219"/>
        <v>12</v>
      </c>
      <c r="C1022" s="282">
        <v>45922</v>
      </c>
      <c r="D1022" s="368">
        <v>73523</v>
      </c>
      <c r="E1022" s="283" t="s">
        <v>1283</v>
      </c>
      <c r="F1022" s="284">
        <v>1138</v>
      </c>
      <c r="G1022" s="284">
        <f>39.7</f>
        <v>39.700000000000003</v>
      </c>
      <c r="H1022" s="284"/>
      <c r="I1022" s="300">
        <f t="shared" ref="I1022" si="220">F1022-G1022-H1022</f>
        <v>1098.3</v>
      </c>
      <c r="J1022" s="286" t="s">
        <v>156</v>
      </c>
      <c r="K1022" s="286">
        <v>1</v>
      </c>
      <c r="L1022" s="286">
        <v>1</v>
      </c>
      <c r="M1022" s="286">
        <v>0</v>
      </c>
      <c r="N1022" s="286">
        <v>1</v>
      </c>
      <c r="O1022" s="286">
        <v>1</v>
      </c>
      <c r="P1022" s="286">
        <v>1</v>
      </c>
      <c r="Q1022" s="332">
        <v>0</v>
      </c>
      <c r="R1022" s="332">
        <v>0</v>
      </c>
      <c r="S1022" s="370">
        <v>0</v>
      </c>
      <c r="T1022" s="63"/>
      <c r="U1022" s="94" t="s">
        <v>3024</v>
      </c>
      <c r="V1022" s="90"/>
      <c r="W1022" s="91"/>
      <c r="X1022" s="92"/>
    </row>
    <row r="1023" spans="1:25" s="260" customFormat="1">
      <c r="A1023" s="260" t="s">
        <v>3025</v>
      </c>
      <c r="B1023" s="87">
        <f t="shared" si="219"/>
        <v>13</v>
      </c>
      <c r="C1023" s="295">
        <v>45923</v>
      </c>
      <c r="D1023" s="323">
        <v>73576</v>
      </c>
      <c r="E1023" s="10" t="s">
        <v>1284</v>
      </c>
      <c r="F1023" s="62">
        <v>3744.9</v>
      </c>
      <c r="G1023" s="62">
        <f>39.7+(43.69)</f>
        <v>83.39</v>
      </c>
      <c r="H1023" s="62"/>
      <c r="I1023" s="324">
        <f>F1023-G1023-H1023</f>
        <v>3661.51</v>
      </c>
      <c r="J1023" s="63" t="s">
        <v>156</v>
      </c>
      <c r="K1023" s="63">
        <v>1</v>
      </c>
      <c r="L1023" s="63">
        <v>1</v>
      </c>
      <c r="M1023" s="63">
        <v>1</v>
      </c>
      <c r="N1023" s="63">
        <v>1</v>
      </c>
      <c r="O1023" s="63">
        <v>1</v>
      </c>
      <c r="P1023" s="63">
        <v>1</v>
      </c>
      <c r="Q1023" s="325">
        <v>0</v>
      </c>
      <c r="R1023" s="325">
        <v>0</v>
      </c>
      <c r="S1023" s="326">
        <v>0</v>
      </c>
      <c r="T1023" s="63"/>
      <c r="U1023" s="94" t="s">
        <v>3026</v>
      </c>
      <c r="V1023" s="90"/>
      <c r="W1023" s="91"/>
      <c r="X1023" s="92"/>
    </row>
    <row r="1024" spans="1:25" s="260" customFormat="1">
      <c r="A1024" s="530">
        <v>45924</v>
      </c>
      <c r="B1024" s="87">
        <f t="shared" si="219"/>
        <v>14</v>
      </c>
      <c r="C1024" s="295">
        <v>45923</v>
      </c>
      <c r="D1024" s="323">
        <v>73570</v>
      </c>
      <c r="E1024" s="10" t="s">
        <v>1169</v>
      </c>
      <c r="F1024" s="62">
        <v>5814</v>
      </c>
      <c r="G1024" s="62">
        <f>39.7+(1396.24)+250</f>
        <v>1685.94</v>
      </c>
      <c r="H1024" s="62"/>
      <c r="I1024" s="324">
        <f>F1024-G1024-H1024</f>
        <v>4128.0599999999995</v>
      </c>
      <c r="J1024" s="63" t="s">
        <v>150</v>
      </c>
      <c r="K1024" s="63">
        <v>1</v>
      </c>
      <c r="L1024" s="63">
        <v>1</v>
      </c>
      <c r="M1024" s="63">
        <v>1</v>
      </c>
      <c r="N1024" s="63">
        <v>1</v>
      </c>
      <c r="O1024" s="63">
        <v>1</v>
      </c>
      <c r="P1024" s="325">
        <v>0</v>
      </c>
      <c r="Q1024" s="325">
        <v>0</v>
      </c>
      <c r="R1024" s="325">
        <v>0</v>
      </c>
      <c r="S1024" s="326">
        <v>0</v>
      </c>
      <c r="T1024" s="63"/>
      <c r="U1024" s="94" t="s">
        <v>3027</v>
      </c>
      <c r="V1024" s="90"/>
      <c r="W1024" s="136"/>
      <c r="X1024" s="92"/>
    </row>
    <row r="1025" spans="1:25" s="260" customFormat="1">
      <c r="B1025" s="87">
        <f t="shared" si="219"/>
        <v>15</v>
      </c>
      <c r="C1025" s="262">
        <v>45924</v>
      </c>
      <c r="D1025" s="263">
        <v>73530</v>
      </c>
      <c r="E1025" s="264" t="s">
        <v>1088</v>
      </c>
      <c r="F1025" s="265">
        <v>1138</v>
      </c>
      <c r="G1025" s="265">
        <f>39.7</f>
        <v>39.700000000000003</v>
      </c>
      <c r="H1025" s="265"/>
      <c r="I1025" s="266">
        <f t="shared" ref="I1025:I1029" si="221">F1025-G1025-H1025</f>
        <v>1098.3</v>
      </c>
      <c r="J1025" s="267" t="s">
        <v>156</v>
      </c>
      <c r="K1025" s="267">
        <v>1</v>
      </c>
      <c r="L1025" s="267">
        <v>1</v>
      </c>
      <c r="M1025" s="267">
        <v>1</v>
      </c>
      <c r="N1025" s="267">
        <v>1</v>
      </c>
      <c r="O1025" s="267">
        <v>1</v>
      </c>
      <c r="P1025" s="267">
        <v>1</v>
      </c>
      <c r="Q1025" s="267">
        <v>1</v>
      </c>
      <c r="R1025" s="314">
        <v>0</v>
      </c>
      <c r="S1025" s="366">
        <v>0</v>
      </c>
      <c r="T1025" s="63"/>
      <c r="U1025" s="10" t="s">
        <v>3028</v>
      </c>
      <c r="V1025" s="90"/>
      <c r="W1025" s="91"/>
      <c r="X1025" s="92"/>
    </row>
    <row r="1026" spans="1:25" s="260" customFormat="1">
      <c r="A1026" s="261" t="s">
        <v>3067</v>
      </c>
      <c r="B1026" s="87">
        <f t="shared" si="219"/>
        <v>16</v>
      </c>
      <c r="C1026" s="262">
        <v>45925</v>
      </c>
      <c r="D1026" s="263" t="s">
        <v>3033</v>
      </c>
      <c r="E1026" s="264" t="s">
        <v>1169</v>
      </c>
      <c r="F1026" s="265">
        <v>12727.27</v>
      </c>
      <c r="G1026" s="265">
        <f>39.7+(174.85+290.29+58.59+212.47+35.91)+1000</f>
        <v>1811.81</v>
      </c>
      <c r="H1026" s="265"/>
      <c r="I1026" s="266">
        <f t="shared" si="221"/>
        <v>10915.460000000001</v>
      </c>
      <c r="J1026" s="267" t="s">
        <v>374</v>
      </c>
      <c r="K1026" s="267">
        <v>1</v>
      </c>
      <c r="L1026" s="267">
        <v>1</v>
      </c>
      <c r="M1026" s="267">
        <v>1</v>
      </c>
      <c r="N1026" s="267">
        <v>1</v>
      </c>
      <c r="O1026" s="267">
        <v>1</v>
      </c>
      <c r="P1026" s="267">
        <v>1</v>
      </c>
      <c r="Q1026" s="314">
        <v>0</v>
      </c>
      <c r="R1026" s="314">
        <v>0</v>
      </c>
      <c r="S1026" s="366">
        <v>0</v>
      </c>
      <c r="T1026" s="63"/>
      <c r="U1026" s="94" t="s">
        <v>3034</v>
      </c>
      <c r="V1026" s="90"/>
      <c r="W1026" s="136"/>
      <c r="X1026" s="137"/>
    </row>
    <row r="1027" spans="1:25" s="260" customFormat="1">
      <c r="A1027" s="261" t="s">
        <v>1242</v>
      </c>
      <c r="B1027" s="87">
        <f t="shared" si="219"/>
        <v>17</v>
      </c>
      <c r="C1027" s="274">
        <v>45929</v>
      </c>
      <c r="D1027" s="327">
        <v>73733</v>
      </c>
      <c r="E1027" s="281" t="s">
        <v>1045</v>
      </c>
      <c r="F1027" s="277">
        <v>986</v>
      </c>
      <c r="G1027" s="277">
        <f>39.7</f>
        <v>39.700000000000003</v>
      </c>
      <c r="H1027" s="277"/>
      <c r="I1027" s="278">
        <f t="shared" si="221"/>
        <v>946.3</v>
      </c>
      <c r="J1027" s="279"/>
      <c r="K1027" s="279">
        <v>1</v>
      </c>
      <c r="L1027" s="279">
        <v>1</v>
      </c>
      <c r="M1027" s="279"/>
      <c r="N1027" s="279">
        <v>1</v>
      </c>
      <c r="O1027" s="279">
        <v>1</v>
      </c>
      <c r="P1027" s="279">
        <v>1</v>
      </c>
      <c r="Q1027" s="279">
        <v>1</v>
      </c>
      <c r="R1027" s="279">
        <v>1</v>
      </c>
      <c r="S1027" s="280">
        <v>1</v>
      </c>
      <c r="T1027" s="63"/>
      <c r="U1027" s="10"/>
      <c r="V1027" s="90">
        <f>1084.6</f>
        <v>1084.5999999999999</v>
      </c>
      <c r="W1027" s="91"/>
      <c r="X1027" s="92"/>
    </row>
    <row r="1028" spans="1:25" s="260" customFormat="1">
      <c r="A1028" s="261">
        <v>0.05</v>
      </c>
      <c r="B1028" s="87">
        <f t="shared" si="219"/>
        <v>18</v>
      </c>
      <c r="C1028" s="274">
        <v>45930</v>
      </c>
      <c r="D1028" s="327">
        <v>73804</v>
      </c>
      <c r="E1028" s="281" t="s">
        <v>1028</v>
      </c>
      <c r="F1028" s="277">
        <v>621</v>
      </c>
      <c r="G1028" s="277"/>
      <c r="H1028" s="277"/>
      <c r="I1028" s="278">
        <f t="shared" si="221"/>
        <v>621</v>
      </c>
      <c r="J1028" s="279" t="s">
        <v>150</v>
      </c>
      <c r="K1028" s="279">
        <v>1</v>
      </c>
      <c r="L1028" s="279">
        <v>1</v>
      </c>
      <c r="M1028" s="279">
        <v>1</v>
      </c>
      <c r="N1028" s="279">
        <v>1</v>
      </c>
      <c r="O1028" s="279">
        <v>1</v>
      </c>
      <c r="P1028" s="279">
        <v>1</v>
      </c>
      <c r="Q1028" s="279">
        <v>1</v>
      </c>
      <c r="R1028" s="279">
        <v>1</v>
      </c>
      <c r="S1028" s="280">
        <v>1</v>
      </c>
      <c r="T1028" s="63"/>
      <c r="U1028" s="10"/>
      <c r="V1028" s="90"/>
      <c r="W1028" s="91"/>
      <c r="X1028" s="92"/>
    </row>
    <row r="1029" spans="1:25" s="260" customFormat="1">
      <c r="A1029" s="261">
        <v>0.05</v>
      </c>
      <c r="B1029" s="87">
        <f t="shared" si="219"/>
        <v>19</v>
      </c>
      <c r="C1029" s="274">
        <v>45932</v>
      </c>
      <c r="D1029" s="327">
        <v>73923</v>
      </c>
      <c r="E1029" s="276" t="s">
        <v>1196</v>
      </c>
      <c r="F1029" s="277">
        <v>681</v>
      </c>
      <c r="G1029" s="277"/>
      <c r="H1029" s="277"/>
      <c r="I1029" s="321">
        <f t="shared" si="221"/>
        <v>681</v>
      </c>
      <c r="J1029" s="279"/>
      <c r="K1029" s="279">
        <v>1</v>
      </c>
      <c r="L1029" s="279">
        <v>1</v>
      </c>
      <c r="M1029" s="279"/>
      <c r="N1029" s="279">
        <v>1</v>
      </c>
      <c r="O1029" s="279">
        <v>1</v>
      </c>
      <c r="P1029" s="279">
        <v>1</v>
      </c>
      <c r="Q1029" s="279">
        <v>1</v>
      </c>
      <c r="R1029" s="322">
        <v>0</v>
      </c>
      <c r="S1029" s="328">
        <v>0</v>
      </c>
      <c r="T1029" s="63"/>
      <c r="U1029" s="10"/>
      <c r="V1029" s="90"/>
      <c r="W1029" s="91"/>
      <c r="X1029" s="92"/>
    </row>
    <row r="1030" spans="1:25" s="260" customFormat="1">
      <c r="A1030" s="261">
        <v>0.05</v>
      </c>
      <c r="B1030" s="87">
        <f t="shared" si="219"/>
        <v>20</v>
      </c>
      <c r="C1030" s="282">
        <v>45932</v>
      </c>
      <c r="D1030" s="368" t="s">
        <v>3063</v>
      </c>
      <c r="E1030" s="283" t="s">
        <v>1196</v>
      </c>
      <c r="F1030" s="284">
        <v>6814</v>
      </c>
      <c r="G1030" s="284">
        <f>39.7+(1358.29)+250</f>
        <v>1647.99</v>
      </c>
      <c r="H1030" s="284"/>
      <c r="I1030" s="300">
        <f>F1030-G1030-H1030</f>
        <v>5166.01</v>
      </c>
      <c r="J1030" s="286" t="s">
        <v>156</v>
      </c>
      <c r="K1030" s="286">
        <v>1</v>
      </c>
      <c r="L1030" s="286">
        <v>1</v>
      </c>
      <c r="M1030" s="286">
        <v>1</v>
      </c>
      <c r="N1030" s="286">
        <v>1</v>
      </c>
      <c r="O1030" s="286">
        <v>1</v>
      </c>
      <c r="P1030" s="286">
        <v>1</v>
      </c>
      <c r="Q1030" s="332">
        <v>0</v>
      </c>
      <c r="R1030" s="332">
        <v>0</v>
      </c>
      <c r="S1030" s="370">
        <v>0</v>
      </c>
      <c r="T1030" s="21"/>
      <c r="U1030" s="94" t="s">
        <v>3064</v>
      </c>
      <c r="V1030" s="90"/>
      <c r="W1030" s="91"/>
      <c r="X1030" s="92"/>
    </row>
    <row r="1031" spans="1:25" s="260" customFormat="1">
      <c r="A1031" s="261" t="s">
        <v>3094</v>
      </c>
      <c r="B1031" s="87">
        <f t="shared" si="219"/>
        <v>21</v>
      </c>
      <c r="C1031" s="262">
        <v>45933</v>
      </c>
      <c r="D1031" s="263" t="s">
        <v>3065</v>
      </c>
      <c r="E1031" s="271" t="s">
        <v>1319</v>
      </c>
      <c r="F1031" s="265">
        <v>1152.9000000000001</v>
      </c>
      <c r="G1031" s="265"/>
      <c r="H1031" s="265"/>
      <c r="I1031" s="266">
        <f t="shared" ref="I1031" si="222">F1031-G1031-H1031</f>
        <v>1152.9000000000001</v>
      </c>
      <c r="J1031" s="267"/>
      <c r="K1031" s="267">
        <v>1</v>
      </c>
      <c r="L1031" s="267"/>
      <c r="M1031" s="267"/>
      <c r="N1031" s="267">
        <v>1</v>
      </c>
      <c r="O1031" s="267">
        <v>1</v>
      </c>
      <c r="P1031" s="314">
        <v>0</v>
      </c>
      <c r="Q1031" s="267"/>
      <c r="R1031" s="267"/>
      <c r="S1031" s="269"/>
      <c r="T1031" s="21"/>
      <c r="U1031" s="94" t="s">
        <v>3066</v>
      </c>
      <c r="V1031" s="90">
        <f>1268.19</f>
        <v>1268.19</v>
      </c>
      <c r="W1031" s="136"/>
      <c r="X1031" s="137"/>
    </row>
    <row r="1032" spans="1:25" s="260" customFormat="1">
      <c r="B1032" s="11"/>
      <c r="C1032" s="36"/>
      <c r="D1032" s="10"/>
      <c r="E1032" s="10"/>
      <c r="F1032" s="98">
        <f>SUM(F1011:F1031)</f>
        <v>94880.17</v>
      </c>
      <c r="G1032" s="98">
        <f t="shared" ref="G1032:I1032" si="223">SUM(G1011:G1031)</f>
        <v>24370.800000000003</v>
      </c>
      <c r="H1032" s="98">
        <f t="shared" si="223"/>
        <v>0</v>
      </c>
      <c r="I1032" s="98">
        <f t="shared" si="223"/>
        <v>70509.37</v>
      </c>
      <c r="J1032" s="63"/>
      <c r="K1032" s="21"/>
      <c r="L1032" s="21"/>
      <c r="M1032" s="21"/>
      <c r="N1032" s="21"/>
      <c r="O1032" s="21"/>
      <c r="P1032" s="21"/>
      <c r="Q1032" s="21"/>
      <c r="R1032" s="21"/>
      <c r="S1032" s="21"/>
      <c r="T1032" s="63"/>
      <c r="U1032" s="10"/>
      <c r="V1032" s="90"/>
      <c r="W1032" s="91"/>
      <c r="X1032" s="92"/>
    </row>
    <row r="1033" spans="1:25" s="260" customFormat="1">
      <c r="B1033" s="11"/>
      <c r="C1033" s="36"/>
      <c r="D1033" s="10"/>
      <c r="E1033" s="10"/>
      <c r="F1033" s="88"/>
      <c r="G1033" s="88"/>
      <c r="H1033" s="88"/>
      <c r="I1033" s="99"/>
      <c r="J1033" s="63"/>
      <c r="K1033" s="21"/>
      <c r="L1033" s="21"/>
      <c r="M1033" s="21"/>
      <c r="N1033" s="21"/>
      <c r="O1033" s="21"/>
      <c r="P1033" s="21"/>
      <c r="Q1033" s="21"/>
      <c r="R1033" s="21"/>
      <c r="S1033" s="21"/>
      <c r="T1033" s="63"/>
      <c r="U1033" s="10"/>
      <c r="V1033" s="90"/>
      <c r="W1033" s="91"/>
      <c r="X1033" s="92"/>
    </row>
    <row r="1034" spans="1:25" s="260" customFormat="1">
      <c r="A1034" s="181"/>
      <c r="B1034" s="100" t="s">
        <v>202</v>
      </c>
      <c r="C1034" s="36"/>
      <c r="D1034" s="10"/>
      <c r="E1034" s="181"/>
      <c r="F1034" s="88"/>
      <c r="G1034" s="88"/>
      <c r="H1034" s="88"/>
      <c r="I1034" s="99"/>
      <c r="J1034" s="63"/>
      <c r="K1034" s="21"/>
      <c r="L1034" s="21"/>
      <c r="M1034" s="21"/>
      <c r="N1034" s="21"/>
      <c r="O1034" s="21"/>
      <c r="P1034" s="21"/>
      <c r="Q1034" s="21"/>
      <c r="R1034" s="21"/>
      <c r="S1034" s="21"/>
      <c r="T1034" s="63"/>
      <c r="U1034" s="94"/>
      <c r="V1034" s="90"/>
      <c r="W1034" s="91"/>
      <c r="X1034" s="92"/>
    </row>
    <row r="1035" spans="1:25" s="260" customFormat="1">
      <c r="A1035" s="261">
        <v>0.05</v>
      </c>
      <c r="B1035" s="87">
        <v>1</v>
      </c>
      <c r="C1035" s="274">
        <v>45884</v>
      </c>
      <c r="D1035" s="327">
        <v>72342</v>
      </c>
      <c r="E1035" s="276" t="s">
        <v>1231</v>
      </c>
      <c r="F1035" s="277">
        <v>2215</v>
      </c>
      <c r="G1035" s="277">
        <f>39.7</f>
        <v>39.700000000000003</v>
      </c>
      <c r="H1035" s="277"/>
      <c r="I1035" s="321">
        <f>F1035-G1035-H1035</f>
        <v>2175.3000000000002</v>
      </c>
      <c r="J1035" s="279" t="s">
        <v>156</v>
      </c>
      <c r="K1035" s="279">
        <v>1</v>
      </c>
      <c r="L1035" s="279"/>
      <c r="M1035" s="279">
        <v>1</v>
      </c>
      <c r="N1035" s="279">
        <v>1</v>
      </c>
      <c r="O1035" s="279">
        <v>1</v>
      </c>
      <c r="P1035" s="322">
        <v>0</v>
      </c>
      <c r="Q1035" s="279"/>
      <c r="R1035" s="279"/>
      <c r="S1035" s="280"/>
      <c r="T1035" s="63"/>
      <c r="U1035" s="94"/>
      <c r="V1035" s="90"/>
      <c r="W1035" s="136"/>
      <c r="X1035" s="137"/>
    </row>
    <row r="1036" spans="1:25" s="260" customFormat="1">
      <c r="A1036" s="261">
        <v>0.05</v>
      </c>
      <c r="B1036" s="87">
        <f t="shared" ref="B1036:B1039" si="224">B1035+1</f>
        <v>2</v>
      </c>
      <c r="C1036" s="262">
        <v>45890</v>
      </c>
      <c r="D1036" s="357" t="s">
        <v>2899</v>
      </c>
      <c r="E1036" s="271" t="s">
        <v>1058</v>
      </c>
      <c r="F1036" s="265">
        <v>59586</v>
      </c>
      <c r="G1036" s="265">
        <f>39.7+(117.24+344.15+121.94+185.08+231.75+13.3+541.6+324.42+190.2+7.67+45.96+45.96)+(141.77+494.21+630.04+1692.3+195.23+846.26+279.65+375.94+375.94)+(F1036*0.25)</f>
        <v>22136.809999999998</v>
      </c>
      <c r="H1036" s="365"/>
      <c r="I1036" s="272">
        <f>F1036-G1036-H1036</f>
        <v>37449.19</v>
      </c>
      <c r="J1036" s="267" t="s">
        <v>374</v>
      </c>
      <c r="K1036" s="267">
        <v>1</v>
      </c>
      <c r="L1036" s="267"/>
      <c r="M1036" s="267"/>
      <c r="N1036" s="267">
        <v>1</v>
      </c>
      <c r="O1036" s="267">
        <v>1</v>
      </c>
      <c r="P1036" s="267">
        <v>1</v>
      </c>
      <c r="Q1036" s="267"/>
      <c r="R1036" s="267"/>
      <c r="S1036" s="269"/>
      <c r="T1036" s="63"/>
      <c r="U1036" s="10" t="s">
        <v>3036</v>
      </c>
      <c r="V1036" s="90"/>
      <c r="W1036" s="136"/>
      <c r="X1036" s="137"/>
    </row>
    <row r="1037" spans="1:25" s="260" customFormat="1">
      <c r="A1037" s="494">
        <v>0.05</v>
      </c>
      <c r="B1037" s="87">
        <f t="shared" si="224"/>
        <v>3</v>
      </c>
      <c r="C1037" s="262">
        <v>45905</v>
      </c>
      <c r="D1037" s="263" t="s">
        <v>2957</v>
      </c>
      <c r="E1037" s="264" t="s">
        <v>1256</v>
      </c>
      <c r="F1037" s="265">
        <v>12814</v>
      </c>
      <c r="G1037" s="265">
        <f>39.7+96+(87+78.53+78.52+29.64+5.14+37.28+270.17+82.7)+(196.98)+1000</f>
        <v>2001.66</v>
      </c>
      <c r="H1037" s="265"/>
      <c r="I1037" s="272">
        <f>F1037-G1037-H1037</f>
        <v>10812.34</v>
      </c>
      <c r="J1037" s="267" t="s">
        <v>156</v>
      </c>
      <c r="K1037" s="267">
        <v>1</v>
      </c>
      <c r="L1037" s="267"/>
      <c r="M1037" s="267">
        <v>1</v>
      </c>
      <c r="N1037" s="267">
        <v>1</v>
      </c>
      <c r="O1037" s="267">
        <v>1</v>
      </c>
      <c r="P1037" s="267">
        <v>1</v>
      </c>
      <c r="Q1037" s="267"/>
      <c r="R1037" s="267"/>
      <c r="S1037" s="269"/>
      <c r="T1037" s="63"/>
      <c r="U1037" s="94" t="s">
        <v>3015</v>
      </c>
      <c r="V1037" s="90"/>
      <c r="W1037" s="136"/>
      <c r="X1037" s="137"/>
    </row>
    <row r="1038" spans="1:25" s="260" customFormat="1">
      <c r="A1038" s="494">
        <v>0.05</v>
      </c>
      <c r="B1038" s="87">
        <f t="shared" si="224"/>
        <v>4</v>
      </c>
      <c r="C1038" s="262">
        <v>45910</v>
      </c>
      <c r="D1038" s="263">
        <v>73205</v>
      </c>
      <c r="E1038" s="271" t="s">
        <v>1058</v>
      </c>
      <c r="F1038" s="265">
        <v>14049</v>
      </c>
      <c r="G1038" s="265">
        <f>39.7+(795.1)+1000</f>
        <v>1834.8000000000002</v>
      </c>
      <c r="H1038" s="265"/>
      <c r="I1038" s="272">
        <f>F1038-G1038-H1038</f>
        <v>12214.2</v>
      </c>
      <c r="J1038" s="267" t="s">
        <v>374</v>
      </c>
      <c r="K1038" s="267">
        <v>1</v>
      </c>
      <c r="L1038" s="267"/>
      <c r="M1038" s="267">
        <v>1</v>
      </c>
      <c r="N1038" s="267">
        <v>1</v>
      </c>
      <c r="O1038" s="267">
        <v>1</v>
      </c>
      <c r="P1038" s="267">
        <v>1</v>
      </c>
      <c r="Q1038" s="267"/>
      <c r="R1038" s="267"/>
      <c r="S1038" s="269"/>
      <c r="T1038" s="63"/>
      <c r="U1038" s="94" t="s">
        <v>2980</v>
      </c>
      <c r="V1038" s="90"/>
      <c r="W1038" s="136"/>
      <c r="X1038" s="137"/>
      <c r="Y1038" s="181"/>
    </row>
    <row r="1039" spans="1:25" s="260" customFormat="1">
      <c r="A1039" s="261">
        <v>0.05</v>
      </c>
      <c r="B1039" s="87">
        <f t="shared" si="224"/>
        <v>5</v>
      </c>
      <c r="C1039" s="274">
        <v>45915</v>
      </c>
      <c r="D1039" s="327" t="s">
        <v>3009</v>
      </c>
      <c r="E1039" s="276" t="s">
        <v>1047</v>
      </c>
      <c r="F1039" s="277">
        <v>12814</v>
      </c>
      <c r="G1039" s="277">
        <f>39.7+40+292+(140.32+64.57)+(41.36+105.71)+1000</f>
        <v>1723.6599999999999</v>
      </c>
      <c r="H1039" s="277"/>
      <c r="I1039" s="321">
        <f>F1039-G1039-H1039</f>
        <v>11090.34</v>
      </c>
      <c r="J1039" s="279" t="s">
        <v>150</v>
      </c>
      <c r="K1039" s="279">
        <v>1</v>
      </c>
      <c r="L1039" s="279">
        <v>1</v>
      </c>
      <c r="M1039" s="279">
        <v>1</v>
      </c>
      <c r="N1039" s="279">
        <v>1</v>
      </c>
      <c r="O1039" s="279">
        <v>1</v>
      </c>
      <c r="P1039" s="322">
        <v>0</v>
      </c>
      <c r="Q1039" s="322">
        <v>0</v>
      </c>
      <c r="R1039" s="322">
        <v>0</v>
      </c>
      <c r="S1039" s="328">
        <v>0</v>
      </c>
      <c r="T1039" s="63"/>
      <c r="U1039" s="94" t="s">
        <v>3010</v>
      </c>
      <c r="V1039" s="90"/>
      <c r="W1039" s="136"/>
      <c r="X1039" s="92"/>
    </row>
    <row r="1040" spans="1:25" s="260" customFormat="1">
      <c r="A1040" s="261">
        <v>0.05</v>
      </c>
      <c r="B1040" s="87">
        <f>B1039+1</f>
        <v>6</v>
      </c>
      <c r="C1040" s="274">
        <v>45924</v>
      </c>
      <c r="D1040" s="327">
        <v>73656</v>
      </c>
      <c r="E1040" s="276" t="s">
        <v>1115</v>
      </c>
      <c r="F1040" s="277">
        <f>3046-185</f>
        <v>2861</v>
      </c>
      <c r="G1040" s="277">
        <f>39.7</f>
        <v>39.700000000000003</v>
      </c>
      <c r="H1040" s="277"/>
      <c r="I1040" s="321">
        <f>F1040-G1040-H1040</f>
        <v>2821.3</v>
      </c>
      <c r="J1040" s="279" t="s">
        <v>228</v>
      </c>
      <c r="K1040" s="279">
        <v>1</v>
      </c>
      <c r="L1040" s="279">
        <v>1</v>
      </c>
      <c r="M1040" s="279">
        <v>1</v>
      </c>
      <c r="N1040" s="279">
        <v>1</v>
      </c>
      <c r="O1040" s="279">
        <v>1</v>
      </c>
      <c r="P1040" s="322">
        <v>0</v>
      </c>
      <c r="Q1040" s="279">
        <v>1</v>
      </c>
      <c r="R1040" s="322">
        <v>0</v>
      </c>
      <c r="S1040" s="280">
        <v>1</v>
      </c>
      <c r="T1040" s="63"/>
      <c r="U1040" s="94" t="s">
        <v>3068</v>
      </c>
      <c r="V1040" s="90"/>
      <c r="W1040" s="136"/>
      <c r="X1040" s="137"/>
    </row>
    <row r="1041" spans="1:24" s="260" customFormat="1">
      <c r="A1041" s="261">
        <v>0.05</v>
      </c>
      <c r="B1041" s="87">
        <f>B1040+1</f>
        <v>7</v>
      </c>
      <c r="C1041" s="282">
        <v>45924</v>
      </c>
      <c r="D1041" s="368" t="s">
        <v>3031</v>
      </c>
      <c r="E1041" s="283" t="s">
        <v>1115</v>
      </c>
      <c r="F1041" s="284">
        <v>1363.64</v>
      </c>
      <c r="G1041" s="284">
        <f>39.7+35.17+(70.09)+300</f>
        <v>444.96000000000004</v>
      </c>
      <c r="H1041" s="284"/>
      <c r="I1041" s="300">
        <f>F1041-G1041-H1041</f>
        <v>918.68000000000006</v>
      </c>
      <c r="J1041" s="286" t="s">
        <v>156</v>
      </c>
      <c r="K1041" s="286">
        <v>1</v>
      </c>
      <c r="L1041" s="286">
        <v>1</v>
      </c>
      <c r="M1041" s="286">
        <v>1</v>
      </c>
      <c r="N1041" s="286">
        <v>1</v>
      </c>
      <c r="O1041" s="286">
        <v>1</v>
      </c>
      <c r="P1041" s="286">
        <v>1</v>
      </c>
      <c r="Q1041" s="332">
        <v>0</v>
      </c>
      <c r="R1041" s="332">
        <v>0</v>
      </c>
      <c r="S1041" s="370">
        <v>0</v>
      </c>
      <c r="T1041" s="63"/>
      <c r="U1041" s="94" t="s">
        <v>3069</v>
      </c>
      <c r="V1041" s="90"/>
      <c r="W1041" s="136"/>
      <c r="X1041" s="137"/>
    </row>
    <row r="1042" spans="1:24" s="260" customFormat="1">
      <c r="A1042" s="181"/>
      <c r="B1042" s="11"/>
      <c r="C1042" s="36"/>
      <c r="D1042" s="10"/>
      <c r="E1042" s="10"/>
      <c r="F1042" s="97">
        <f>SUM(F1035:F1041)</f>
        <v>105702.64</v>
      </c>
      <c r="G1042" s="97">
        <f t="shared" ref="G1042:I1042" si="225">SUM(G1035:G1041)</f>
        <v>28221.289999999997</v>
      </c>
      <c r="H1042" s="97">
        <f t="shared" si="225"/>
        <v>0</v>
      </c>
      <c r="I1042" s="97">
        <f t="shared" si="225"/>
        <v>77481.349999999991</v>
      </c>
      <c r="J1042" s="63"/>
      <c r="K1042" s="21"/>
      <c r="L1042" s="21"/>
      <c r="M1042" s="21"/>
      <c r="N1042" s="21"/>
      <c r="O1042" s="21"/>
      <c r="P1042" s="21"/>
      <c r="Q1042" s="21"/>
      <c r="R1042" s="21"/>
      <c r="S1042" s="21"/>
      <c r="T1042" s="63"/>
      <c r="U1042" s="94"/>
      <c r="V1042" s="90"/>
      <c r="W1042" s="91"/>
      <c r="X1042" s="92"/>
    </row>
    <row r="1043" spans="1:24">
      <c r="A1043" s="2"/>
      <c r="B1043" s="11"/>
      <c r="C1043" s="36"/>
      <c r="D1043" s="10"/>
      <c r="E1043" s="10"/>
      <c r="F1043" s="88"/>
      <c r="G1043" s="88"/>
      <c r="H1043" s="88"/>
      <c r="I1043" s="99"/>
      <c r="J1043" s="63"/>
      <c r="K1043" s="21"/>
      <c r="L1043" s="21"/>
      <c r="M1043" s="21"/>
      <c r="N1043" s="21"/>
      <c r="O1043" s="21"/>
      <c r="P1043" s="21"/>
      <c r="Q1043" s="21"/>
      <c r="R1043" s="21"/>
      <c r="S1043" s="21"/>
      <c r="T1043" s="63"/>
      <c r="U1043" s="94"/>
      <c r="V1043" s="90"/>
      <c r="W1043" s="91"/>
      <c r="X1043" s="92"/>
    </row>
    <row r="1044" spans="1:24">
      <c r="B1044" s="100" t="s">
        <v>72</v>
      </c>
      <c r="C1044" s="36"/>
      <c r="D1044" s="10"/>
      <c r="E1044" s="10"/>
      <c r="F1044" s="88"/>
      <c r="G1044" s="88"/>
      <c r="H1044" s="88"/>
      <c r="I1044" s="99"/>
      <c r="J1044" s="63"/>
      <c r="K1044" s="63"/>
      <c r="L1044" s="63"/>
      <c r="M1044" s="63"/>
      <c r="N1044" s="63"/>
      <c r="O1044" s="63"/>
      <c r="P1044" s="63"/>
      <c r="Q1044" s="63"/>
      <c r="R1044" s="63"/>
      <c r="S1044" s="63"/>
      <c r="T1044" s="63"/>
      <c r="U1044" s="10"/>
      <c r="V1044" s="90"/>
      <c r="W1044" s="91"/>
      <c r="X1044" s="92"/>
    </row>
    <row r="1045" spans="1:24">
      <c r="B1045" s="87">
        <v>1</v>
      </c>
      <c r="C1045" s="274">
        <v>45936</v>
      </c>
      <c r="D1045" s="276">
        <v>74040</v>
      </c>
      <c r="E1045" s="276" t="s">
        <v>1098</v>
      </c>
      <c r="F1045" s="277">
        <v>8904</v>
      </c>
      <c r="G1045" s="277">
        <v>39.700000000000003</v>
      </c>
      <c r="H1045" s="277"/>
      <c r="I1045" s="278">
        <f t="shared" ref="I1045:I1063" si="226">F1045-G1045-H1045</f>
        <v>8864.2999999999993</v>
      </c>
      <c r="J1045" s="279" t="s">
        <v>205</v>
      </c>
      <c r="K1045" s="279">
        <v>1</v>
      </c>
      <c r="L1045" s="279"/>
      <c r="M1045" s="279"/>
      <c r="N1045" s="279">
        <v>1</v>
      </c>
      <c r="O1045" s="279"/>
      <c r="P1045" s="279"/>
      <c r="Q1045" s="279"/>
      <c r="R1045" s="279"/>
      <c r="S1045" s="280"/>
      <c r="T1045" s="63"/>
      <c r="U1045" s="3"/>
      <c r="V1045" s="90"/>
      <c r="W1045" s="91"/>
      <c r="X1045" s="92"/>
    </row>
    <row r="1046" spans="1:24">
      <c r="B1046" s="87">
        <f t="shared" ref="B1046:B1063" si="227">B1045+1</f>
        <v>2</v>
      </c>
      <c r="C1046" s="295">
        <v>45936</v>
      </c>
      <c r="D1046" s="10">
        <v>74048</v>
      </c>
      <c r="E1046" s="10" t="s">
        <v>446</v>
      </c>
      <c r="F1046" s="62">
        <v>4014.9</v>
      </c>
      <c r="G1046" s="62">
        <v>39.700000000000003</v>
      </c>
      <c r="H1046" s="62"/>
      <c r="I1046" s="89">
        <f t="shared" si="226"/>
        <v>3975.2000000000003</v>
      </c>
      <c r="J1046" s="63" t="s">
        <v>205</v>
      </c>
      <c r="K1046" s="63">
        <v>1</v>
      </c>
      <c r="L1046" s="63"/>
      <c r="M1046" s="63"/>
      <c r="N1046" s="63">
        <v>1</v>
      </c>
      <c r="O1046" s="63"/>
      <c r="P1046" s="63"/>
      <c r="Q1046" s="63">
        <v>1</v>
      </c>
      <c r="R1046" s="63">
        <v>1</v>
      </c>
      <c r="S1046" s="296"/>
      <c r="T1046" s="63"/>
      <c r="U1046" s="10"/>
      <c r="V1046" s="90"/>
      <c r="W1046" s="136"/>
      <c r="X1046" s="137"/>
    </row>
    <row r="1047" spans="1:24">
      <c r="B1047" s="87">
        <f t="shared" si="227"/>
        <v>3</v>
      </c>
      <c r="C1047" s="295">
        <v>45936</v>
      </c>
      <c r="D1047" s="10">
        <v>74061</v>
      </c>
      <c r="E1047" s="10" t="s">
        <v>1256</v>
      </c>
      <c r="F1047" s="62">
        <f>1766-85</f>
        <v>1681</v>
      </c>
      <c r="G1047" s="62">
        <v>39.700000000000003</v>
      </c>
      <c r="H1047" s="62"/>
      <c r="I1047" s="89">
        <f t="shared" si="226"/>
        <v>1641.3</v>
      </c>
      <c r="J1047" s="63" t="s">
        <v>156</v>
      </c>
      <c r="K1047" s="63">
        <v>1</v>
      </c>
      <c r="L1047" s="63"/>
      <c r="M1047" s="63">
        <v>1</v>
      </c>
      <c r="N1047" s="63">
        <v>1</v>
      </c>
      <c r="O1047" s="63"/>
      <c r="P1047" s="63">
        <v>1</v>
      </c>
      <c r="Q1047" s="63">
        <v>1</v>
      </c>
      <c r="R1047" s="63">
        <v>1</v>
      </c>
      <c r="S1047" s="296"/>
      <c r="T1047" s="63"/>
      <c r="U1047" s="10"/>
      <c r="V1047" s="90">
        <v>93.5</v>
      </c>
      <c r="W1047" s="136"/>
      <c r="X1047" s="137"/>
    </row>
    <row r="1048" spans="1:24">
      <c r="B1048" s="87">
        <f t="shared" si="227"/>
        <v>4</v>
      </c>
      <c r="C1048" s="295">
        <v>45936</v>
      </c>
      <c r="D1048" s="10">
        <v>74078</v>
      </c>
      <c r="E1048" s="10" t="s">
        <v>1494</v>
      </c>
      <c r="F1048" s="62">
        <v>0</v>
      </c>
      <c r="G1048" s="62">
        <v>0</v>
      </c>
      <c r="H1048" s="62"/>
      <c r="I1048" s="89">
        <f t="shared" si="226"/>
        <v>0</v>
      </c>
      <c r="J1048" s="63" t="s">
        <v>205</v>
      </c>
      <c r="K1048" s="63"/>
      <c r="L1048" s="63"/>
      <c r="M1048" s="63"/>
      <c r="N1048" s="63"/>
      <c r="O1048" s="63"/>
      <c r="P1048" s="63"/>
      <c r="Q1048" s="63"/>
      <c r="R1048" s="63"/>
      <c r="S1048" s="296"/>
      <c r="T1048" s="63"/>
      <c r="U1048" s="10"/>
      <c r="V1048" s="90"/>
      <c r="W1048" s="136"/>
      <c r="X1048" s="137"/>
    </row>
    <row r="1049" spans="1:24">
      <c r="B1049" s="87">
        <f t="shared" si="227"/>
        <v>5</v>
      </c>
      <c r="C1049" s="295">
        <v>45936</v>
      </c>
      <c r="D1049" s="10">
        <v>74068</v>
      </c>
      <c r="E1049" s="10" t="s">
        <v>1098</v>
      </c>
      <c r="F1049" s="62">
        <v>1071.8499999999999</v>
      </c>
      <c r="G1049" s="62">
        <v>39.700000000000003</v>
      </c>
      <c r="H1049" s="62"/>
      <c r="I1049" s="89">
        <f t="shared" si="226"/>
        <v>1032.1499999999999</v>
      </c>
      <c r="J1049" s="63" t="s">
        <v>205</v>
      </c>
      <c r="K1049" s="63">
        <v>1</v>
      </c>
      <c r="L1049" s="63"/>
      <c r="M1049" s="63"/>
      <c r="N1049" s="63">
        <v>1</v>
      </c>
      <c r="O1049" s="63"/>
      <c r="P1049" s="63"/>
      <c r="Q1049" s="63">
        <v>1</v>
      </c>
      <c r="R1049" s="63">
        <v>1</v>
      </c>
      <c r="S1049" s="296"/>
      <c r="T1049" s="63"/>
      <c r="U1049" s="10"/>
      <c r="V1049" s="90"/>
      <c r="W1049" s="136"/>
      <c r="X1049" s="137"/>
    </row>
    <row r="1050" spans="1:24">
      <c r="B1050" s="87">
        <f t="shared" si="227"/>
        <v>6</v>
      </c>
      <c r="C1050" s="274">
        <v>45937</v>
      </c>
      <c r="D1050" s="276">
        <v>74097</v>
      </c>
      <c r="E1050" s="281" t="s">
        <v>1115</v>
      </c>
      <c r="F1050" s="277">
        <v>5814</v>
      </c>
      <c r="G1050" s="277">
        <f>39.7</f>
        <v>39.700000000000003</v>
      </c>
      <c r="H1050" s="277"/>
      <c r="I1050" s="278">
        <f t="shared" si="226"/>
        <v>5774.3</v>
      </c>
      <c r="J1050" s="279" t="s">
        <v>205</v>
      </c>
      <c r="K1050" s="279">
        <v>1</v>
      </c>
      <c r="L1050" s="279"/>
      <c r="M1050" s="279"/>
      <c r="N1050" s="279">
        <v>1</v>
      </c>
      <c r="O1050" s="279"/>
      <c r="P1050" s="279"/>
      <c r="Q1050" s="279">
        <v>1</v>
      </c>
      <c r="R1050" s="279">
        <v>1</v>
      </c>
      <c r="S1050" s="280"/>
      <c r="T1050" s="63"/>
      <c r="U1050" s="10"/>
      <c r="V1050" s="90"/>
      <c r="W1050" s="136"/>
      <c r="X1050" s="137"/>
    </row>
    <row r="1051" spans="1:24">
      <c r="B1051" s="87">
        <f t="shared" si="227"/>
        <v>7</v>
      </c>
      <c r="C1051" s="295">
        <v>45937</v>
      </c>
      <c r="D1051" s="10">
        <v>74077</v>
      </c>
      <c r="E1051" s="101" t="s">
        <v>1088</v>
      </c>
      <c r="F1051" s="62">
        <v>1314.9</v>
      </c>
      <c r="G1051" s="62">
        <v>39.700000000000003</v>
      </c>
      <c r="H1051" s="62"/>
      <c r="I1051" s="89">
        <f t="shared" si="226"/>
        <v>1275.2</v>
      </c>
      <c r="J1051" s="63" t="s">
        <v>205</v>
      </c>
      <c r="K1051" s="63">
        <v>1</v>
      </c>
      <c r="L1051" s="63"/>
      <c r="M1051" s="63"/>
      <c r="N1051" s="63">
        <v>1</v>
      </c>
      <c r="O1051" s="63"/>
      <c r="P1051" s="63"/>
      <c r="Q1051" s="63">
        <v>1</v>
      </c>
      <c r="R1051" s="63">
        <v>1</v>
      </c>
      <c r="S1051" s="296"/>
      <c r="T1051" s="63"/>
      <c r="U1051" s="10"/>
      <c r="V1051" s="90"/>
      <c r="W1051" s="136"/>
      <c r="X1051" s="137"/>
    </row>
    <row r="1052" spans="1:24">
      <c r="B1052" s="87">
        <f t="shared" si="227"/>
        <v>8</v>
      </c>
      <c r="C1052" s="295">
        <v>45937</v>
      </c>
      <c r="D1052" s="10">
        <v>74120</v>
      </c>
      <c r="E1052" s="101" t="s">
        <v>1136</v>
      </c>
      <c r="F1052" s="62">
        <v>1134</v>
      </c>
      <c r="G1052" s="62">
        <v>39.700000000000003</v>
      </c>
      <c r="H1052" s="62"/>
      <c r="I1052" s="89">
        <f t="shared" si="226"/>
        <v>1094.3</v>
      </c>
      <c r="J1052" s="63" t="s">
        <v>205</v>
      </c>
      <c r="K1052" s="63">
        <v>1</v>
      </c>
      <c r="L1052" s="63"/>
      <c r="M1052" s="63"/>
      <c r="N1052" s="63">
        <v>1</v>
      </c>
      <c r="O1052" s="63"/>
      <c r="P1052" s="63"/>
      <c r="Q1052" s="63">
        <v>1</v>
      </c>
      <c r="R1052" s="63">
        <v>1</v>
      </c>
      <c r="S1052" s="296"/>
      <c r="T1052" s="63"/>
      <c r="U1052" s="10"/>
      <c r="V1052" s="90"/>
      <c r="W1052" s="136"/>
      <c r="X1052" s="137"/>
    </row>
    <row r="1053" spans="1:24">
      <c r="B1053" s="87">
        <f t="shared" si="227"/>
        <v>9</v>
      </c>
      <c r="C1053" s="295">
        <v>45937</v>
      </c>
      <c r="D1053" s="10">
        <v>74132</v>
      </c>
      <c r="E1053" s="101" t="s">
        <v>2375</v>
      </c>
      <c r="F1053" s="62">
        <v>4014.9</v>
      </c>
      <c r="G1053" s="62">
        <f>39.7</f>
        <v>39.700000000000003</v>
      </c>
      <c r="H1053" s="62"/>
      <c r="I1053" s="89">
        <f t="shared" si="226"/>
        <v>3975.2000000000003</v>
      </c>
      <c r="J1053" s="63" t="s">
        <v>205</v>
      </c>
      <c r="K1053" s="63">
        <v>1</v>
      </c>
      <c r="L1053" s="63"/>
      <c r="M1053" s="63"/>
      <c r="N1053" s="63">
        <v>1</v>
      </c>
      <c r="O1053" s="63"/>
      <c r="P1053" s="63"/>
      <c r="Q1053" s="63">
        <v>1</v>
      </c>
      <c r="R1053" s="63">
        <v>1</v>
      </c>
      <c r="S1053" s="296"/>
      <c r="T1053" s="63"/>
      <c r="U1053" s="10"/>
      <c r="V1053" s="90"/>
      <c r="W1053" s="136"/>
      <c r="X1053" s="137"/>
    </row>
    <row r="1054" spans="1:24">
      <c r="B1054" s="87">
        <f t="shared" si="227"/>
        <v>10</v>
      </c>
      <c r="C1054" s="295">
        <v>45937</v>
      </c>
      <c r="D1054" s="10">
        <v>74113</v>
      </c>
      <c r="E1054" s="101" t="s">
        <v>1494</v>
      </c>
      <c r="F1054" s="62">
        <v>1681</v>
      </c>
      <c r="G1054" s="62">
        <v>39.700000000000003</v>
      </c>
      <c r="H1054" s="62"/>
      <c r="I1054" s="89">
        <f t="shared" si="226"/>
        <v>1641.3</v>
      </c>
      <c r="J1054" s="63" t="s">
        <v>205</v>
      </c>
      <c r="K1054" s="63">
        <v>1</v>
      </c>
      <c r="L1054" s="63"/>
      <c r="M1054" s="63"/>
      <c r="N1054" s="63">
        <v>1</v>
      </c>
      <c r="O1054" s="63"/>
      <c r="P1054" s="63"/>
      <c r="Q1054" s="63">
        <v>1</v>
      </c>
      <c r="R1054" s="63">
        <v>1</v>
      </c>
      <c r="S1054" s="296">
        <v>1</v>
      </c>
      <c r="T1054" s="63"/>
      <c r="U1054" s="10"/>
      <c r="V1054" s="90"/>
      <c r="W1054" s="136"/>
      <c r="X1054" s="137"/>
    </row>
    <row r="1055" spans="1:24">
      <c r="B1055" s="87">
        <f t="shared" si="227"/>
        <v>11</v>
      </c>
      <c r="C1055" s="295">
        <v>45937</v>
      </c>
      <c r="D1055" s="10">
        <v>74136</v>
      </c>
      <c r="E1055" s="101" t="s">
        <v>1319</v>
      </c>
      <c r="F1055" s="62">
        <v>1681</v>
      </c>
      <c r="G1055" s="62">
        <v>39.700000000000003</v>
      </c>
      <c r="H1055" s="62"/>
      <c r="I1055" s="89">
        <f t="shared" si="226"/>
        <v>1641.3</v>
      </c>
      <c r="J1055" s="63" t="s">
        <v>205</v>
      </c>
      <c r="K1055" s="63">
        <v>1</v>
      </c>
      <c r="L1055" s="63"/>
      <c r="M1055" s="63"/>
      <c r="N1055" s="63">
        <v>1</v>
      </c>
      <c r="O1055" s="63"/>
      <c r="P1055" s="63"/>
      <c r="Q1055" s="63">
        <v>1</v>
      </c>
      <c r="R1055" s="63">
        <v>1</v>
      </c>
      <c r="S1055" s="296"/>
      <c r="T1055" s="63"/>
      <c r="U1055" s="10"/>
      <c r="V1055" s="90"/>
      <c r="W1055" s="136"/>
      <c r="X1055" s="137"/>
    </row>
    <row r="1056" spans="1:24">
      <c r="B1056" s="87">
        <f t="shared" si="227"/>
        <v>12</v>
      </c>
      <c r="C1056" s="295">
        <v>45937</v>
      </c>
      <c r="D1056" s="10" t="s">
        <v>3095</v>
      </c>
      <c r="E1056" s="10" t="s">
        <v>1260</v>
      </c>
      <c r="F1056" s="62">
        <v>1138</v>
      </c>
      <c r="G1056" s="62">
        <f>39.7</f>
        <v>39.700000000000003</v>
      </c>
      <c r="H1056" s="62"/>
      <c r="I1056" s="89">
        <f t="shared" si="226"/>
        <v>1098.3</v>
      </c>
      <c r="J1056" s="63" t="s">
        <v>205</v>
      </c>
      <c r="K1056" s="63"/>
      <c r="L1056" s="63"/>
      <c r="M1056" s="63"/>
      <c r="N1056" s="63">
        <v>1</v>
      </c>
      <c r="O1056" s="63">
        <v>1</v>
      </c>
      <c r="P1056" s="63"/>
      <c r="Q1056" s="63"/>
      <c r="R1056" s="63"/>
      <c r="S1056" s="296"/>
      <c r="T1056" s="63"/>
      <c r="U1056" s="10"/>
      <c r="V1056" s="90"/>
      <c r="W1056" s="136"/>
      <c r="X1056" s="137"/>
    </row>
    <row r="1057" spans="2:24">
      <c r="B1057" s="87">
        <f t="shared" si="227"/>
        <v>13</v>
      </c>
      <c r="C1057" s="274">
        <v>45938</v>
      </c>
      <c r="D1057" s="276">
        <v>74185</v>
      </c>
      <c r="E1057" s="281" t="s">
        <v>1115</v>
      </c>
      <c r="F1057" s="277">
        <v>17180</v>
      </c>
      <c r="G1057" s="277">
        <v>39.700000000000003</v>
      </c>
      <c r="H1057" s="277"/>
      <c r="I1057" s="278">
        <f t="shared" si="226"/>
        <v>17140.3</v>
      </c>
      <c r="J1057" s="279" t="s">
        <v>219</v>
      </c>
      <c r="K1057" s="279"/>
      <c r="L1057" s="279"/>
      <c r="M1057" s="279"/>
      <c r="N1057" s="279">
        <v>1</v>
      </c>
      <c r="O1057" s="279"/>
      <c r="P1057" s="279"/>
      <c r="Q1057" s="279"/>
      <c r="R1057" s="279"/>
      <c r="S1057" s="280"/>
      <c r="T1057" s="63"/>
      <c r="U1057" s="10"/>
      <c r="V1057" s="90"/>
      <c r="W1057" s="136"/>
      <c r="X1057" s="137"/>
    </row>
    <row r="1058" spans="2:24">
      <c r="B1058" s="87">
        <f t="shared" si="227"/>
        <v>14</v>
      </c>
      <c r="C1058" s="274">
        <v>45939</v>
      </c>
      <c r="D1058" s="276" t="s">
        <v>3096</v>
      </c>
      <c r="E1058" s="276" t="s">
        <v>1088</v>
      </c>
      <c r="F1058" s="277">
        <v>1138</v>
      </c>
      <c r="G1058" s="277">
        <v>39.700000000000003</v>
      </c>
      <c r="H1058" s="277"/>
      <c r="I1058" s="278">
        <f t="shared" si="226"/>
        <v>1098.3</v>
      </c>
      <c r="J1058" s="279" t="s">
        <v>205</v>
      </c>
      <c r="K1058" s="279">
        <v>1</v>
      </c>
      <c r="L1058" s="279"/>
      <c r="M1058" s="279"/>
      <c r="N1058" s="279">
        <v>1</v>
      </c>
      <c r="O1058" s="279"/>
      <c r="P1058" s="279"/>
      <c r="Q1058" s="279">
        <v>1</v>
      </c>
      <c r="R1058" s="279">
        <v>1</v>
      </c>
      <c r="S1058" s="280"/>
      <c r="T1058" s="63"/>
      <c r="U1058" s="10"/>
      <c r="V1058" s="90"/>
      <c r="W1058" s="136"/>
      <c r="X1058" s="137"/>
    </row>
    <row r="1059" spans="2:24">
      <c r="B1059" s="87">
        <f>B1058+1</f>
        <v>15</v>
      </c>
      <c r="C1059" s="295">
        <v>45939</v>
      </c>
      <c r="D1059" s="10" t="s">
        <v>3097</v>
      </c>
      <c r="E1059" s="10" t="s">
        <v>1088</v>
      </c>
      <c r="F1059" s="62">
        <v>581</v>
      </c>
      <c r="G1059" s="62"/>
      <c r="H1059" s="62"/>
      <c r="I1059" s="89">
        <f t="shared" si="226"/>
        <v>581</v>
      </c>
      <c r="J1059" s="63" t="s">
        <v>205</v>
      </c>
      <c r="K1059" s="63">
        <v>1</v>
      </c>
      <c r="L1059" s="63"/>
      <c r="M1059" s="63"/>
      <c r="N1059" s="63">
        <v>1</v>
      </c>
      <c r="O1059" s="63"/>
      <c r="P1059" s="63"/>
      <c r="Q1059" s="63">
        <v>1</v>
      </c>
      <c r="R1059" s="63">
        <v>1</v>
      </c>
      <c r="S1059" s="296"/>
      <c r="T1059" s="63"/>
      <c r="U1059" s="10"/>
      <c r="V1059" s="90"/>
      <c r="W1059" s="136"/>
      <c r="X1059" s="137"/>
    </row>
    <row r="1060" spans="2:24">
      <c r="B1060" s="87">
        <f>B1059+1</f>
        <v>16</v>
      </c>
      <c r="C1060" s="295">
        <v>45939</v>
      </c>
      <c r="D1060" s="10" t="s">
        <v>3098</v>
      </c>
      <c r="E1060" s="10" t="s">
        <v>1088</v>
      </c>
      <c r="F1060" s="62">
        <v>5814</v>
      </c>
      <c r="G1060" s="62">
        <v>39.700000000000003</v>
      </c>
      <c r="H1060" s="62"/>
      <c r="I1060" s="89">
        <f t="shared" si="226"/>
        <v>5774.3</v>
      </c>
      <c r="J1060" s="63" t="s">
        <v>205</v>
      </c>
      <c r="K1060" s="63">
        <v>1</v>
      </c>
      <c r="L1060" s="63"/>
      <c r="M1060" s="63"/>
      <c r="N1060" s="63">
        <v>1</v>
      </c>
      <c r="O1060" s="63"/>
      <c r="P1060" s="63"/>
      <c r="Q1060" s="63"/>
      <c r="R1060" s="63"/>
      <c r="S1060" s="296"/>
      <c r="T1060" s="63"/>
      <c r="U1060" s="10"/>
      <c r="V1060" s="90"/>
      <c r="W1060" s="136"/>
      <c r="X1060" s="137"/>
    </row>
    <row r="1061" spans="2:24">
      <c r="B1061" s="87">
        <f>B1060+1</f>
        <v>17</v>
      </c>
      <c r="C1061" s="295">
        <v>45939</v>
      </c>
      <c r="D1061" s="10" t="s">
        <v>3099</v>
      </c>
      <c r="E1061" s="10" t="s">
        <v>1088</v>
      </c>
      <c r="F1061" s="62">
        <v>6814</v>
      </c>
      <c r="G1061" s="62">
        <v>39.700000000000003</v>
      </c>
      <c r="H1061" s="62"/>
      <c r="I1061" s="89">
        <f t="shared" si="226"/>
        <v>6774.3</v>
      </c>
      <c r="J1061" s="63" t="s">
        <v>205</v>
      </c>
      <c r="K1061" s="63">
        <v>1</v>
      </c>
      <c r="L1061" s="63"/>
      <c r="M1061" s="63"/>
      <c r="N1061" s="63">
        <v>1</v>
      </c>
      <c r="O1061" s="63"/>
      <c r="P1061" s="63"/>
      <c r="Q1061" s="63"/>
      <c r="R1061" s="63"/>
      <c r="S1061" s="296"/>
      <c r="T1061" s="63"/>
      <c r="U1061" s="10"/>
      <c r="V1061" s="90"/>
      <c r="W1061" s="136"/>
      <c r="X1061" s="137"/>
    </row>
    <row r="1062" spans="2:24">
      <c r="B1062" s="87">
        <f t="shared" si="227"/>
        <v>18</v>
      </c>
      <c r="C1062" s="295">
        <v>45939</v>
      </c>
      <c r="D1062" s="10">
        <v>74262</v>
      </c>
      <c r="E1062" s="10" t="s">
        <v>1273</v>
      </c>
      <c r="F1062" s="62">
        <v>1681</v>
      </c>
      <c r="G1062" s="62">
        <f>39.7</f>
        <v>39.700000000000003</v>
      </c>
      <c r="H1062" s="62"/>
      <c r="I1062" s="89">
        <f t="shared" si="226"/>
        <v>1641.3</v>
      </c>
      <c r="J1062" s="63" t="s">
        <v>205</v>
      </c>
      <c r="K1062" s="63">
        <v>1</v>
      </c>
      <c r="L1062" s="63"/>
      <c r="M1062" s="63"/>
      <c r="N1062" s="63">
        <v>1</v>
      </c>
      <c r="O1062" s="63"/>
      <c r="P1062" s="63"/>
      <c r="Q1062" s="63">
        <v>1</v>
      </c>
      <c r="R1062" s="63">
        <v>1</v>
      </c>
      <c r="S1062" s="296"/>
      <c r="T1062" s="63"/>
      <c r="U1062" s="10"/>
      <c r="V1062" s="90"/>
      <c r="W1062" s="136"/>
      <c r="X1062" s="137"/>
    </row>
    <row r="1063" spans="2:24">
      <c r="B1063" s="87">
        <f t="shared" si="227"/>
        <v>19</v>
      </c>
      <c r="C1063" s="262">
        <v>45940</v>
      </c>
      <c r="D1063" s="271">
        <v>74282</v>
      </c>
      <c r="E1063" s="271" t="s">
        <v>1494</v>
      </c>
      <c r="F1063" s="265">
        <v>2861</v>
      </c>
      <c r="G1063" s="265">
        <v>39.700000000000003</v>
      </c>
      <c r="H1063" s="265"/>
      <c r="I1063" s="272">
        <f t="shared" si="226"/>
        <v>2821.3</v>
      </c>
      <c r="J1063" s="267" t="s">
        <v>205</v>
      </c>
      <c r="K1063" s="267">
        <v>1</v>
      </c>
      <c r="L1063" s="267"/>
      <c r="M1063" s="267"/>
      <c r="N1063" s="267">
        <v>1</v>
      </c>
      <c r="O1063" s="267"/>
      <c r="P1063" s="267"/>
      <c r="Q1063" s="267">
        <v>1</v>
      </c>
      <c r="R1063" s="267">
        <v>1</v>
      </c>
      <c r="S1063" s="269"/>
      <c r="T1063" s="63"/>
      <c r="U1063" s="10"/>
      <c r="V1063" s="90"/>
      <c r="W1063" s="136"/>
      <c r="X1063" s="137"/>
    </row>
    <row r="1064" spans="2:24">
      <c r="B1064" s="11"/>
      <c r="C1064" s="36"/>
      <c r="D1064" s="10"/>
      <c r="E1064" s="10"/>
      <c r="F1064" s="97">
        <f>SUM(F1045:F1063)</f>
        <v>68518.55</v>
      </c>
      <c r="G1064" s="97">
        <f>SUM(G1045:G1063)</f>
        <v>674.90000000000009</v>
      </c>
      <c r="H1064" s="97">
        <f>SUM(H1045:H1063)</f>
        <v>0</v>
      </c>
      <c r="I1064" s="98">
        <f>SUM(I1045:I1063)</f>
        <v>67843.650000000009</v>
      </c>
      <c r="J1064" s="10"/>
      <c r="K1064" s="10"/>
      <c r="L1064" s="10"/>
      <c r="M1064" s="10"/>
      <c r="N1064" s="10"/>
      <c r="O1064" s="10"/>
      <c r="P1064" s="10"/>
      <c r="Q1064" s="10"/>
      <c r="R1064" s="10"/>
      <c r="S1064" s="10"/>
      <c r="T1064" s="63"/>
      <c r="U1064" s="10"/>
      <c r="V1064" s="90"/>
      <c r="W1064" s="136"/>
      <c r="X1064" s="137"/>
    </row>
    <row r="1065" spans="2:24">
      <c r="B1065" s="11"/>
      <c r="C1065" s="36"/>
      <c r="D1065" s="10"/>
      <c r="E1065" s="10"/>
      <c r="F1065" s="88"/>
      <c r="G1065" s="88"/>
      <c r="H1065" s="88"/>
      <c r="I1065" s="99"/>
      <c r="J1065" s="10"/>
      <c r="K1065" s="10"/>
      <c r="L1065" s="10"/>
      <c r="M1065" s="10"/>
      <c r="N1065" s="10"/>
      <c r="O1065" s="10"/>
      <c r="P1065" s="10"/>
      <c r="Q1065" s="10"/>
      <c r="R1065" s="10"/>
      <c r="S1065" s="10"/>
      <c r="T1065" s="63"/>
      <c r="U1065" s="10"/>
      <c r="V1065" s="90"/>
      <c r="W1065" s="136"/>
      <c r="X1065" s="137"/>
    </row>
    <row r="1066" spans="2:24">
      <c r="B1066" s="100" t="s">
        <v>73</v>
      </c>
      <c r="C1066" s="36"/>
      <c r="D1066" s="10"/>
      <c r="E1066" s="10"/>
      <c r="F1066" s="88"/>
      <c r="G1066" s="88"/>
      <c r="H1066" s="88"/>
      <c r="I1066" s="99"/>
      <c r="J1066" s="10"/>
      <c r="K1066" s="10"/>
      <c r="L1066" s="10"/>
      <c r="M1066" s="10"/>
      <c r="N1066" s="10"/>
      <c r="O1066" s="10"/>
      <c r="P1066" s="10"/>
      <c r="Q1066" s="10"/>
      <c r="R1066" s="10"/>
      <c r="S1066" s="10"/>
      <c r="T1066" s="63"/>
      <c r="U1066" s="10"/>
      <c r="V1066" s="90"/>
      <c r="W1066" s="136"/>
      <c r="X1066" s="137"/>
    </row>
    <row r="1067" spans="2:24">
      <c r="B1067" s="87">
        <v>1</v>
      </c>
      <c r="C1067" s="274">
        <v>45941</v>
      </c>
      <c r="D1067" s="276">
        <v>74269</v>
      </c>
      <c r="E1067" s="276" t="s">
        <v>446</v>
      </c>
      <c r="F1067" s="277">
        <v>1495</v>
      </c>
      <c r="G1067" s="277">
        <f>39.7</f>
        <v>39.700000000000003</v>
      </c>
      <c r="H1067" s="278"/>
      <c r="I1067" s="278">
        <f>F1067-G1067-H1067</f>
        <v>1455.3</v>
      </c>
      <c r="J1067" s="279" t="s">
        <v>205</v>
      </c>
      <c r="K1067" s="279">
        <v>1</v>
      </c>
      <c r="L1067" s="279"/>
      <c r="M1067" s="279"/>
      <c r="N1067" s="279">
        <v>1</v>
      </c>
      <c r="O1067" s="279"/>
      <c r="P1067" s="279"/>
      <c r="Q1067" s="279">
        <v>1</v>
      </c>
      <c r="R1067" s="279">
        <v>1</v>
      </c>
      <c r="S1067" s="280"/>
      <c r="T1067" s="63"/>
      <c r="U1067" s="10"/>
      <c r="V1067" s="90"/>
      <c r="W1067" s="136"/>
      <c r="X1067" s="137"/>
    </row>
    <row r="1068" spans="2:24">
      <c r="B1068" s="87">
        <v>2</v>
      </c>
      <c r="C1068" s="282">
        <v>45941</v>
      </c>
      <c r="D1068" s="283" t="s">
        <v>3100</v>
      </c>
      <c r="E1068" s="283" t="s">
        <v>1256</v>
      </c>
      <c r="F1068" s="284">
        <v>1461</v>
      </c>
      <c r="G1068" s="284">
        <f>39.7</f>
        <v>39.700000000000003</v>
      </c>
      <c r="H1068" s="284"/>
      <c r="I1068" s="285">
        <f>F1068-G1068-H1068</f>
        <v>1421.3</v>
      </c>
      <c r="J1068" s="286" t="s">
        <v>205</v>
      </c>
      <c r="K1068" s="286">
        <v>1</v>
      </c>
      <c r="L1068" s="286"/>
      <c r="M1068" s="286"/>
      <c r="N1068" s="286">
        <v>1</v>
      </c>
      <c r="O1068" s="286"/>
      <c r="P1068" s="286"/>
      <c r="Q1068" s="286"/>
      <c r="R1068" s="286"/>
      <c r="S1068" s="287"/>
      <c r="T1068" s="63"/>
      <c r="U1068" s="10"/>
      <c r="V1068" s="90"/>
      <c r="W1068" s="136"/>
      <c r="X1068" s="137"/>
    </row>
    <row r="1069" spans="2:24">
      <c r="B1069" s="87"/>
      <c r="C1069" s="36"/>
      <c r="D1069" s="10"/>
      <c r="E1069" s="10"/>
      <c r="F1069" s="98">
        <f t="shared" ref="F1069:H1069" si="228">SUM(F1067:F1068)</f>
        <v>2956</v>
      </c>
      <c r="G1069" s="98">
        <f t="shared" si="228"/>
        <v>79.400000000000006</v>
      </c>
      <c r="H1069" s="98">
        <f t="shared" si="228"/>
        <v>0</v>
      </c>
      <c r="I1069" s="98">
        <f>SUM(I1067:I1068)</f>
        <v>2876.6</v>
      </c>
      <c r="J1069" s="10"/>
      <c r="K1069" s="10"/>
      <c r="L1069" s="10"/>
      <c r="M1069" s="10"/>
      <c r="N1069" s="10"/>
      <c r="O1069" s="10"/>
      <c r="P1069" s="10"/>
      <c r="Q1069" s="10"/>
      <c r="R1069" s="10"/>
      <c r="S1069" s="10"/>
      <c r="T1069" s="63"/>
      <c r="U1069" s="10"/>
      <c r="V1069" s="90"/>
      <c r="W1069" s="136"/>
      <c r="X1069" s="137"/>
    </row>
    <row r="1070" spans="2:24">
      <c r="B1070" s="11"/>
      <c r="C1070" s="36"/>
      <c r="D1070" s="10"/>
      <c r="E1070" s="10"/>
      <c r="F1070" s="88"/>
      <c r="G1070" s="88"/>
      <c r="H1070" s="88"/>
      <c r="I1070" s="99"/>
      <c r="J1070" s="10"/>
      <c r="K1070" s="10"/>
      <c r="L1070" s="10"/>
      <c r="M1070" s="10"/>
      <c r="N1070" s="10"/>
      <c r="O1070" s="10"/>
      <c r="P1070" s="10"/>
      <c r="Q1070" s="10"/>
      <c r="R1070" s="10"/>
      <c r="S1070" s="10"/>
      <c r="T1070" s="63"/>
      <c r="U1070" s="10"/>
      <c r="V1070" s="90"/>
      <c r="W1070" s="136"/>
      <c r="X1070" s="137"/>
    </row>
    <row r="1071" spans="2:24">
      <c r="B1071" s="26"/>
      <c r="C1071" s="612"/>
      <c r="D1071" s="141"/>
      <c r="E1071" s="141"/>
      <c r="F1071" s="141"/>
      <c r="G1071" s="141"/>
      <c r="H1071" s="141"/>
      <c r="I1071" s="141"/>
      <c r="J1071" s="141"/>
      <c r="K1071" s="142"/>
      <c r="L1071" s="142"/>
      <c r="M1071" s="142"/>
      <c r="N1071" s="142"/>
      <c r="O1071" s="142"/>
      <c r="P1071" s="142"/>
      <c r="Q1071" s="142"/>
      <c r="R1071" s="142"/>
      <c r="S1071" s="142"/>
      <c r="T1071" s="143">
        <f>SUM(T983:T1070)</f>
        <v>1</v>
      </c>
      <c r="U1071" s="141"/>
      <c r="V1071" s="144">
        <f>SUM(V983:V1070)</f>
        <v>23724.259999999995</v>
      </c>
      <c r="W1071" s="144">
        <f>SUM(W983:W1070)</f>
        <v>4452.8600000000006</v>
      </c>
      <c r="X1071" s="144">
        <f>SUM(X983:X1070)</f>
        <v>0</v>
      </c>
    </row>
    <row r="1072" spans="2:24">
      <c r="B1072" s="10"/>
      <c r="C1072" s="36"/>
      <c r="D1072" s="10"/>
      <c r="E1072" s="10"/>
      <c r="F1072" s="10"/>
      <c r="G1072" s="10"/>
      <c r="H1072" s="10"/>
      <c r="I1072" s="10"/>
      <c r="J1072" s="10"/>
      <c r="K1072" s="147"/>
      <c r="L1072" s="147"/>
      <c r="M1072" s="147"/>
      <c r="N1072" s="147"/>
      <c r="O1072" s="147"/>
      <c r="P1072" s="147"/>
      <c r="Q1072" s="147"/>
      <c r="R1072" s="147"/>
      <c r="S1072" s="147"/>
      <c r="T1072" s="21"/>
      <c r="U1072" s="10"/>
      <c r="V1072" s="99"/>
      <c r="W1072" s="99"/>
      <c r="X1072" s="99"/>
    </row>
    <row r="1074" spans="1:24">
      <c r="A1074" s="613"/>
      <c r="B1074" s="4" t="s">
        <v>1</v>
      </c>
      <c r="C1074" s="5"/>
      <c r="D1074" s="6"/>
      <c r="E1074" s="6"/>
      <c r="F1074" s="7" t="s">
        <v>2</v>
      </c>
      <c r="G1074" s="608">
        <v>45949</v>
      </c>
      <c r="H1074" s="7"/>
      <c r="I1074" s="6"/>
      <c r="J1074" s="6"/>
      <c r="K1074" s="6"/>
      <c r="L1074" s="6"/>
      <c r="M1074" s="6"/>
      <c r="N1074" s="6"/>
      <c r="O1074" s="6"/>
      <c r="P1074" s="6"/>
      <c r="Q1074" s="6"/>
      <c r="R1074" s="6"/>
      <c r="S1074" s="6"/>
      <c r="T1074" s="6"/>
      <c r="U1074" s="9"/>
      <c r="V1074" s="10"/>
      <c r="W1074" s="10"/>
      <c r="X1074" s="10"/>
    </row>
    <row r="1075" spans="1:24">
      <c r="A1075" s="614"/>
      <c r="B1075" s="11"/>
      <c r="C1075" s="10"/>
      <c r="D1075" s="10"/>
      <c r="E1075" s="10"/>
      <c r="F1075" s="10"/>
      <c r="G1075" s="7"/>
      <c r="H1075" s="12"/>
      <c r="I1075" s="10"/>
      <c r="J1075" s="10"/>
      <c r="K1075" s="13" t="s">
        <v>3</v>
      </c>
      <c r="L1075" s="14"/>
      <c r="M1075" s="15"/>
      <c r="N1075" s="13" t="s">
        <v>4</v>
      </c>
      <c r="O1075" s="14"/>
      <c r="P1075" s="15"/>
      <c r="Q1075" s="13" t="s">
        <v>5</v>
      </c>
      <c r="R1075" s="14"/>
      <c r="S1075" s="15"/>
      <c r="T1075" s="16"/>
      <c r="U1075" s="17"/>
      <c r="V1075" s="10"/>
      <c r="W1075" s="10"/>
      <c r="X1075" s="10"/>
    </row>
    <row r="1076" spans="1:24">
      <c r="A1076" s="614"/>
      <c r="B1076" s="18" t="s">
        <v>6</v>
      </c>
      <c r="C1076" s="19">
        <f>C1077+C1078</f>
        <v>4</v>
      </c>
      <c r="D1076" s="10"/>
      <c r="E1076" s="18" t="s">
        <v>7</v>
      </c>
      <c r="F1076" s="6"/>
      <c r="G1076" s="9"/>
      <c r="H1076" s="10"/>
      <c r="I1076" s="10"/>
      <c r="J1076" s="10"/>
      <c r="K1076" s="20" t="s">
        <v>8</v>
      </c>
      <c r="L1076" s="21" t="s">
        <v>9</v>
      </c>
      <c r="M1076" s="21" t="s">
        <v>10</v>
      </c>
      <c r="N1076" s="20" t="s">
        <v>11</v>
      </c>
      <c r="O1076" s="21" t="s">
        <v>12</v>
      </c>
      <c r="P1076" s="22" t="s">
        <v>13</v>
      </c>
      <c r="Q1076" s="21" t="s">
        <v>11</v>
      </c>
      <c r="R1076" s="21" t="s">
        <v>12</v>
      </c>
      <c r="S1076" s="22" t="s">
        <v>13</v>
      </c>
      <c r="T1076" s="23" t="s">
        <v>14</v>
      </c>
      <c r="U1076" s="17"/>
      <c r="V1076" s="10"/>
      <c r="W1076" s="10"/>
      <c r="X1076" s="10"/>
    </row>
    <row r="1077" spans="1:24">
      <c r="A1077" s="614"/>
      <c r="B1077" s="24" t="s">
        <v>15</v>
      </c>
      <c r="C1077" s="25">
        <f>P1084</f>
        <v>2</v>
      </c>
      <c r="D1077" s="10"/>
      <c r="E1077" s="26" t="s">
        <v>16</v>
      </c>
      <c r="F1077" s="27">
        <v>0.05</v>
      </c>
      <c r="G1077" s="28"/>
      <c r="H1077" s="10"/>
      <c r="I1077" s="10"/>
      <c r="J1077" s="18" t="s">
        <v>17</v>
      </c>
      <c r="K1077" s="29">
        <f>K1105</f>
        <v>1</v>
      </c>
      <c r="L1077" s="29">
        <f>L1105</f>
        <v>1</v>
      </c>
      <c r="M1077" s="29">
        <f>M1105</f>
        <v>1</v>
      </c>
      <c r="N1077" s="29">
        <f>N1105</f>
        <v>1</v>
      </c>
      <c r="O1077" s="29">
        <f>O1105</f>
        <v>1</v>
      </c>
      <c r="P1077" s="29">
        <f>P1105</f>
        <v>0</v>
      </c>
      <c r="Q1077" s="29">
        <f>Q1105</f>
        <v>1</v>
      </c>
      <c r="R1077" s="29">
        <f>R1105</f>
        <v>1</v>
      </c>
      <c r="S1077" s="29">
        <f>S1105</f>
        <v>1</v>
      </c>
      <c r="T1077" s="30">
        <f>T1168</f>
        <v>0</v>
      </c>
      <c r="U1077" s="17"/>
      <c r="V1077" s="10"/>
      <c r="W1077" s="10"/>
      <c r="X1077" s="10"/>
    </row>
    <row r="1078" spans="1:24">
      <c r="A1078" s="614"/>
      <c r="B1078" s="24" t="s">
        <v>18</v>
      </c>
      <c r="C1078" s="25">
        <f>P1085</f>
        <v>2</v>
      </c>
      <c r="D1078" s="10"/>
      <c r="E1078" s="10"/>
      <c r="F1078" s="10"/>
      <c r="G1078" s="31"/>
      <c r="H1078" s="10"/>
      <c r="I1078" s="10"/>
      <c r="J1078" s="32" t="s">
        <v>19</v>
      </c>
      <c r="K1078" s="33">
        <f>K1105/K1104</f>
        <v>1</v>
      </c>
      <c r="L1078" s="33">
        <f>L1105/L1104</f>
        <v>1</v>
      </c>
      <c r="M1078" s="33">
        <f>M1105/M1104</f>
        <v>1</v>
      </c>
      <c r="N1078" s="33">
        <f>N1105/N1104</f>
        <v>1</v>
      </c>
      <c r="O1078" s="33">
        <f>O1105/O1104</f>
        <v>1</v>
      </c>
      <c r="P1078" s="33">
        <f>P1105/P1104</f>
        <v>0</v>
      </c>
      <c r="Q1078" s="33">
        <f>Q1105/Q1104</f>
        <v>1</v>
      </c>
      <c r="R1078" s="33">
        <f>R1105/R1104</f>
        <v>1</v>
      </c>
      <c r="S1078" s="33">
        <f>S1105/S1104</f>
        <v>1</v>
      </c>
      <c r="T1078" s="23"/>
      <c r="U1078" s="17" t="s">
        <v>20</v>
      </c>
      <c r="V1078" s="10"/>
      <c r="W1078" s="10"/>
      <c r="X1078" s="10"/>
    </row>
    <row r="1079" spans="1:24">
      <c r="A1079" s="614"/>
      <c r="B1079" s="24" t="s">
        <v>21</v>
      </c>
      <c r="C1079" s="34">
        <f>P1086</f>
        <v>0.5</v>
      </c>
      <c r="D1079" s="10"/>
      <c r="E1079" s="10"/>
      <c r="F1079" s="10"/>
      <c r="G1079" s="10"/>
      <c r="H1079" s="10"/>
      <c r="I1079" s="10"/>
      <c r="J1079" s="10"/>
      <c r="K1079" s="10"/>
      <c r="L1079" s="10"/>
      <c r="M1079" s="10"/>
      <c r="N1079" s="10"/>
      <c r="O1079" s="10"/>
      <c r="P1079" s="10"/>
      <c r="Q1079" s="10"/>
      <c r="R1079" s="10"/>
      <c r="S1079" s="10"/>
      <c r="T1079" s="10"/>
      <c r="U1079" s="17"/>
      <c r="V1079" s="10"/>
      <c r="W1079" s="10"/>
      <c r="X1079" s="10"/>
    </row>
    <row r="1080" spans="1:24">
      <c r="A1080" s="614"/>
      <c r="B1080" s="24"/>
      <c r="C1080" s="25"/>
      <c r="D1080" s="10"/>
      <c r="E1080" s="10"/>
      <c r="F1080" s="18" t="s">
        <v>22</v>
      </c>
      <c r="G1080" s="19" t="s">
        <v>23</v>
      </c>
      <c r="H1080" s="35" t="s">
        <v>24</v>
      </c>
      <c r="I1080" s="10"/>
      <c r="J1080" s="10"/>
      <c r="K1080" s="36"/>
      <c r="L1080" s="36"/>
      <c r="M1080" s="36"/>
      <c r="N1080" s="36"/>
      <c r="O1080" s="36"/>
      <c r="P1080" s="36"/>
      <c r="Q1080" s="36"/>
      <c r="R1080" s="10"/>
      <c r="S1080" s="10"/>
      <c r="T1080" s="10"/>
      <c r="U1080" s="17"/>
      <c r="V1080" s="10"/>
      <c r="W1080" s="10"/>
      <c r="X1080" s="10"/>
    </row>
    <row r="1081" spans="1:24">
      <c r="A1081" s="614"/>
      <c r="B1081" s="32" t="s">
        <v>25</v>
      </c>
      <c r="C1081" s="37">
        <f>P1087</f>
        <v>2518.84</v>
      </c>
      <c r="D1081" s="10"/>
      <c r="E1081" s="18" t="s">
        <v>26</v>
      </c>
      <c r="F1081" s="38">
        <f>P1083</f>
        <v>5037.68</v>
      </c>
      <c r="G1081" s="39">
        <f>I1104+I1120</f>
        <v>5037.68</v>
      </c>
      <c r="H1081" s="40"/>
      <c r="I1081" s="41"/>
      <c r="J1081" s="42"/>
      <c r="K1081" s="43" t="s">
        <v>27</v>
      </c>
      <c r="L1081" s="44"/>
      <c r="M1081" s="44"/>
      <c r="N1081" s="44"/>
      <c r="O1081" s="44"/>
      <c r="P1081" s="44"/>
      <c r="Q1081" s="45"/>
      <c r="R1081" s="46" t="s">
        <v>28</v>
      </c>
      <c r="S1081" s="47" t="s">
        <v>29</v>
      </c>
      <c r="T1081" s="10"/>
      <c r="U1081" s="17"/>
      <c r="V1081" s="10"/>
      <c r="W1081" s="10"/>
      <c r="X1081" s="10"/>
    </row>
    <row r="1082" spans="1:24">
      <c r="A1082" s="614"/>
      <c r="B1082" s="11"/>
      <c r="C1082" s="10"/>
      <c r="D1082" s="10"/>
      <c r="E1082" s="24" t="s">
        <v>30</v>
      </c>
      <c r="F1082" s="48">
        <f>F1077</f>
        <v>0.05</v>
      </c>
      <c r="G1082" s="17"/>
      <c r="H1082" s="40"/>
      <c r="I1082" s="41"/>
      <c r="J1082" s="42"/>
      <c r="K1082" s="20" t="s">
        <v>31</v>
      </c>
      <c r="L1082" s="21" t="s">
        <v>32</v>
      </c>
      <c r="M1082" s="21" t="s">
        <v>33</v>
      </c>
      <c r="N1082" s="21" t="s">
        <v>34</v>
      </c>
      <c r="O1082" s="21" t="s">
        <v>35</v>
      </c>
      <c r="P1082" s="21" t="s">
        <v>36</v>
      </c>
      <c r="Q1082" s="49" t="s">
        <v>37</v>
      </c>
      <c r="R1082" s="50" t="s">
        <v>38</v>
      </c>
      <c r="S1082" s="50" t="s">
        <v>38</v>
      </c>
      <c r="T1082" s="10"/>
      <c r="U1082" s="17"/>
      <c r="V1082" s="10"/>
      <c r="W1082" s="10"/>
      <c r="X1082" s="10"/>
    </row>
    <row r="1083" spans="1:24">
      <c r="A1083" s="614"/>
      <c r="B1083" s="11"/>
      <c r="C1083" s="10"/>
      <c r="D1083" s="10"/>
      <c r="E1083" s="51" t="s">
        <v>39</v>
      </c>
      <c r="F1083" s="52">
        <f>F1081*F1082</f>
        <v>251.88400000000001</v>
      </c>
      <c r="G1083" s="53" t="s">
        <v>40</v>
      </c>
      <c r="H1083" s="54">
        <f>F1083/1.12</f>
        <v>224.89642857142857</v>
      </c>
      <c r="I1083" s="55"/>
      <c r="J1083" s="42"/>
      <c r="K1083" s="56">
        <f>I1119+I1103</f>
        <v>5037.68</v>
      </c>
      <c r="L1083" s="57">
        <v>0</v>
      </c>
      <c r="M1083" s="57">
        <v>0</v>
      </c>
      <c r="N1083" s="57">
        <v>0</v>
      </c>
      <c r="O1083" s="57">
        <v>0</v>
      </c>
      <c r="P1083" s="57">
        <f>SUM(K1083:O1083)</f>
        <v>5037.68</v>
      </c>
      <c r="Q1083" s="58">
        <v>0</v>
      </c>
      <c r="R1083" s="59">
        <f>I1120</f>
        <v>681</v>
      </c>
      <c r="S1083" s="59">
        <v>0</v>
      </c>
      <c r="T1083" s="10"/>
      <c r="U1083" s="17"/>
      <c r="V1083" s="10"/>
      <c r="W1083" s="10"/>
      <c r="X1083" s="10"/>
    </row>
    <row r="1084" spans="1:24">
      <c r="A1084" s="614"/>
      <c r="B1084" s="11"/>
      <c r="C1084" s="10"/>
      <c r="D1084" s="10"/>
      <c r="E1084" s="24" t="s">
        <v>41</v>
      </c>
      <c r="F1084" s="60">
        <f>Q1083</f>
        <v>0</v>
      </c>
      <c r="G1084" s="61" t="s">
        <v>40</v>
      </c>
      <c r="H1084" s="62"/>
      <c r="I1084" s="62"/>
      <c r="J1084" s="10" t="s">
        <v>42</v>
      </c>
      <c r="K1084" s="63">
        <v>2</v>
      </c>
      <c r="L1084" s="63">
        <v>0</v>
      </c>
      <c r="M1084" s="63">
        <v>0</v>
      </c>
      <c r="N1084" s="63">
        <v>0</v>
      </c>
      <c r="O1084" s="63">
        <v>0</v>
      </c>
      <c r="P1084" s="21">
        <f>SUM(K1084:O1084)</f>
        <v>2</v>
      </c>
      <c r="Q1084" s="64"/>
      <c r="R1084" s="63"/>
      <c r="S1084" s="10"/>
      <c r="T1084" s="10"/>
      <c r="U1084" s="17"/>
      <c r="V1084" s="10"/>
      <c r="W1084" s="10"/>
      <c r="X1084" s="10"/>
    </row>
    <row r="1085" spans="1:24">
      <c r="A1085" s="614"/>
      <c r="B1085" s="11"/>
      <c r="C1085" s="10"/>
      <c r="D1085" s="10"/>
      <c r="E1085" s="51" t="s">
        <v>43</v>
      </c>
      <c r="F1085" s="52">
        <f>F1084*0.25</f>
        <v>0</v>
      </c>
      <c r="G1085" s="53" t="s">
        <v>40</v>
      </c>
      <c r="H1085" s="54">
        <f>F1085/1.12</f>
        <v>0</v>
      </c>
      <c r="I1085" s="10"/>
      <c r="J1085" s="10" t="s">
        <v>44</v>
      </c>
      <c r="K1085" s="63">
        <v>2</v>
      </c>
      <c r="L1085" s="63">
        <v>0</v>
      </c>
      <c r="M1085" s="63">
        <v>0</v>
      </c>
      <c r="N1085" s="63">
        <v>0</v>
      </c>
      <c r="O1085" s="63">
        <v>0</v>
      </c>
      <c r="P1085" s="21">
        <f>SUM(K1085:O1085)</f>
        <v>2</v>
      </c>
      <c r="Q1085" s="64"/>
      <c r="R1085" s="63"/>
      <c r="S1085" s="10"/>
      <c r="T1085" s="10"/>
      <c r="U1085" s="17"/>
      <c r="V1085" s="10"/>
      <c r="W1085" s="10"/>
      <c r="X1085" s="10"/>
    </row>
    <row r="1086" spans="1:24">
      <c r="A1086" s="614"/>
      <c r="B1086" s="11"/>
      <c r="C1086" s="10"/>
      <c r="D1086" s="10"/>
      <c r="E1086" s="24" t="s">
        <v>45</v>
      </c>
      <c r="F1086" s="60"/>
      <c r="G1086" s="61" t="s">
        <v>40</v>
      </c>
      <c r="H1086" s="62"/>
      <c r="I1086" s="10"/>
      <c r="J1086" s="10" t="s">
        <v>46</v>
      </c>
      <c r="K1086" s="31">
        <f>K1084/(K1084+K1085)</f>
        <v>0.5</v>
      </c>
      <c r="L1086" s="31" t="e">
        <f>L1084/(L1084+L1085)</f>
        <v>#DIV/0!</v>
      </c>
      <c r="M1086" s="31" t="e">
        <f>M1084/(M1084+M1085)</f>
        <v>#DIV/0!</v>
      </c>
      <c r="N1086" s="31" t="e">
        <f>N1084/(N1084+N1085)</f>
        <v>#DIV/0!</v>
      </c>
      <c r="O1086" s="31" t="e">
        <f>O1084/(O1084+O1085)</f>
        <v>#DIV/0!</v>
      </c>
      <c r="P1086" s="31">
        <f>P1084/(P1084+P1085)</f>
        <v>0.5</v>
      </c>
      <c r="Q1086" s="31" t="e">
        <f>Q1084/(Q1084+Q1085)</f>
        <v>#DIV/0!</v>
      </c>
      <c r="R1086" s="63"/>
      <c r="S1086" s="10"/>
      <c r="T1086" s="10"/>
      <c r="U1086" s="17"/>
      <c r="V1086" s="10"/>
      <c r="W1086" s="10"/>
      <c r="X1086" s="10"/>
    </row>
    <row r="1087" spans="1:24">
      <c r="A1087" s="614"/>
      <c r="B1087" s="11"/>
      <c r="C1087" s="10"/>
      <c r="D1087" s="10"/>
      <c r="E1087" s="51" t="s">
        <v>47</v>
      </c>
      <c r="F1087" s="52">
        <f>F1086*0.05</f>
        <v>0</v>
      </c>
      <c r="G1087" s="65" t="s">
        <v>40</v>
      </c>
      <c r="H1087" s="54">
        <f>F1087/1.12</f>
        <v>0</v>
      </c>
      <c r="I1087" s="42"/>
      <c r="J1087" s="10" t="s">
        <v>48</v>
      </c>
      <c r="K1087" s="66">
        <f>K1083/K1084</f>
        <v>2518.84</v>
      </c>
      <c r="L1087" s="66" t="e">
        <f>L1083/L1084</f>
        <v>#DIV/0!</v>
      </c>
      <c r="M1087" s="66" t="e">
        <f>M1083/M1084</f>
        <v>#DIV/0!</v>
      </c>
      <c r="N1087" s="66" t="e">
        <f>N1083/N1084</f>
        <v>#DIV/0!</v>
      </c>
      <c r="O1087" s="66" t="e">
        <f>O1083/O1084</f>
        <v>#DIV/0!</v>
      </c>
      <c r="P1087" s="66">
        <f>P1083/P1084</f>
        <v>2518.84</v>
      </c>
      <c r="Q1087" s="66" t="e">
        <f>Q1083/Q1084</f>
        <v>#DIV/0!</v>
      </c>
      <c r="R1087" s="63"/>
      <c r="S1087" s="10"/>
      <c r="T1087" s="10"/>
      <c r="U1087" s="17"/>
      <c r="V1087" s="10"/>
      <c r="W1087" s="10"/>
      <c r="X1087" s="10"/>
    </row>
    <row r="1088" spans="1:24">
      <c r="A1088" s="614"/>
      <c r="B1088" s="11"/>
      <c r="C1088" s="10"/>
      <c r="D1088" s="10"/>
      <c r="E1088" s="67" t="s">
        <v>14</v>
      </c>
      <c r="F1088" s="68"/>
      <c r="G1088" s="10"/>
      <c r="H1088" s="54">
        <f>F1088/1.12</f>
        <v>0</v>
      </c>
      <c r="I1088" s="10"/>
      <c r="J1088" s="10"/>
      <c r="K1088" s="10"/>
      <c r="L1088" s="10"/>
      <c r="M1088" s="10"/>
      <c r="N1088" s="10"/>
      <c r="O1088" s="10"/>
      <c r="P1088" s="10"/>
      <c r="Q1088" s="10"/>
      <c r="R1088" s="10"/>
      <c r="S1088" s="10"/>
      <c r="T1088" s="10"/>
      <c r="U1088" s="17"/>
      <c r="V1088" s="10"/>
      <c r="W1088" s="10"/>
      <c r="X1088" s="10"/>
    </row>
    <row r="1089" spans="1:24">
      <c r="A1089" s="614"/>
      <c r="B1089" s="11"/>
      <c r="C1089" s="10"/>
      <c r="D1089" s="10"/>
      <c r="E1089" s="67" t="s">
        <v>49</v>
      </c>
      <c r="F1089" s="69">
        <f>T1078</f>
        <v>0</v>
      </c>
      <c r="G1089" s="10"/>
      <c r="H1089" s="54"/>
      <c r="I1089" s="55"/>
      <c r="J1089" s="42"/>
      <c r="K1089" s="764" t="s">
        <v>50</v>
      </c>
      <c r="L1089" s="765"/>
      <c r="M1089" s="765"/>
      <c r="N1089" s="765"/>
      <c r="O1089" s="765"/>
      <c r="P1089" s="765"/>
      <c r="Q1089" s="766"/>
      <c r="R1089" s="70" t="s">
        <v>28</v>
      </c>
      <c r="S1089" s="71" t="s">
        <v>29</v>
      </c>
      <c r="T1089" s="10"/>
      <c r="U1089" s="17"/>
      <c r="V1089" s="10"/>
      <c r="W1089" s="10"/>
      <c r="X1089" s="10"/>
    </row>
    <row r="1090" spans="1:24">
      <c r="A1090" s="614"/>
      <c r="B1090" s="11"/>
      <c r="C1090" s="10"/>
      <c r="D1090" s="10"/>
      <c r="E1090" s="303" t="s">
        <v>2176</v>
      </c>
      <c r="F1090" s="304">
        <f>$H$470</f>
        <v>781.5549107142856</v>
      </c>
      <c r="G1090" s="104"/>
      <c r="H1090" s="306">
        <f>F1090/1.12</f>
        <v>697.81688456632639</v>
      </c>
      <c r="I1090" s="10"/>
      <c r="J1090" s="42"/>
      <c r="K1090" s="20" t="s">
        <v>31</v>
      </c>
      <c r="L1090" s="21" t="s">
        <v>32</v>
      </c>
      <c r="M1090" s="21" t="s">
        <v>33</v>
      </c>
      <c r="N1090" s="21" t="s">
        <v>34</v>
      </c>
      <c r="O1090" s="21" t="s">
        <v>35</v>
      </c>
      <c r="P1090" s="21" t="s">
        <v>36</v>
      </c>
      <c r="Q1090" s="49" t="s">
        <v>37</v>
      </c>
      <c r="R1090" s="50" t="s">
        <v>38</v>
      </c>
      <c r="S1090" s="50" t="s">
        <v>38</v>
      </c>
      <c r="T1090" s="10"/>
      <c r="U1090" s="17"/>
      <c r="V1090" s="10"/>
      <c r="W1090" s="10"/>
      <c r="X1090" s="10"/>
    </row>
    <row r="1091" spans="1:24">
      <c r="A1091" s="614"/>
      <c r="B1091" s="11"/>
      <c r="C1091" s="10"/>
      <c r="D1091" s="10"/>
      <c r="E1091" s="303" t="s">
        <v>2177</v>
      </c>
      <c r="F1091" s="304">
        <f>$F$562</f>
        <v>257.55499999999978</v>
      </c>
      <c r="G1091" s="104"/>
      <c r="H1091" s="306">
        <f>F1091/1.12</f>
        <v>229.95982142857122</v>
      </c>
      <c r="I1091" s="10"/>
      <c r="J1091" s="42"/>
      <c r="K1091" s="56">
        <f>F1119+F1103</f>
        <v>6495</v>
      </c>
      <c r="L1091" s="57">
        <v>0</v>
      </c>
      <c r="M1091" s="57">
        <v>0</v>
      </c>
      <c r="N1091" s="57">
        <v>0</v>
      </c>
      <c r="O1091" s="57">
        <v>0</v>
      </c>
      <c r="P1091" s="57">
        <f>SUM(K1091:O1091)</f>
        <v>6495</v>
      </c>
      <c r="Q1091" s="58">
        <v>0</v>
      </c>
      <c r="R1091" s="59">
        <f>F1120</f>
        <v>681</v>
      </c>
      <c r="S1091" s="59">
        <v>0</v>
      </c>
      <c r="T1091" s="10"/>
      <c r="U1091" s="17"/>
      <c r="V1091" s="10"/>
      <c r="W1091" s="10"/>
      <c r="X1091" s="10"/>
    </row>
    <row r="1092" spans="1:24">
      <c r="A1092" s="614"/>
      <c r="B1092" s="11"/>
      <c r="C1092" s="10"/>
      <c r="D1092" s="10"/>
      <c r="E1092" s="307" t="s">
        <v>2607</v>
      </c>
      <c r="F1092" s="308">
        <f>$F$657</f>
        <v>318.37450000000013</v>
      </c>
      <c r="G1092" s="104"/>
      <c r="H1092" s="306">
        <f>F1092/1.12</f>
        <v>284.26294642857152</v>
      </c>
      <c r="I1092" s="10"/>
      <c r="J1092" s="10" t="s">
        <v>42</v>
      </c>
      <c r="K1092" s="63">
        <f>K1084</f>
        <v>2</v>
      </c>
      <c r="L1092" s="63">
        <f>L1084</f>
        <v>0</v>
      </c>
      <c r="M1092" s="63">
        <f>M1084</f>
        <v>0</v>
      </c>
      <c r="N1092" s="63">
        <f>N1084</f>
        <v>0</v>
      </c>
      <c r="O1092" s="63">
        <f>O1084</f>
        <v>0</v>
      </c>
      <c r="P1092" s="63">
        <f>P1084</f>
        <v>2</v>
      </c>
      <c r="Q1092" s="63">
        <f>Q1084</f>
        <v>0</v>
      </c>
      <c r="R1092" s="63"/>
      <c r="S1092" s="10"/>
      <c r="T1092" s="10"/>
      <c r="U1092" s="17"/>
      <c r="V1092" s="10"/>
      <c r="W1092" s="10"/>
      <c r="X1092" s="10"/>
    </row>
    <row r="1093" spans="1:24">
      <c r="A1093" s="614"/>
      <c r="B1093" s="11"/>
      <c r="C1093" s="10"/>
      <c r="D1093" s="10"/>
      <c r="E1093" s="307" t="s">
        <v>3101</v>
      </c>
      <c r="F1093" s="308">
        <f>$F$847</f>
        <v>1298.1795</v>
      </c>
      <c r="G1093" s="305"/>
      <c r="H1093" s="306">
        <f>F1093/1.12</f>
        <v>1159.0888392857141</v>
      </c>
      <c r="I1093" s="10"/>
      <c r="J1093" s="10" t="s">
        <v>44</v>
      </c>
      <c r="K1093" s="63">
        <f>K1085</f>
        <v>2</v>
      </c>
      <c r="L1093" s="63">
        <f>L1085</f>
        <v>0</v>
      </c>
      <c r="M1093" s="63">
        <f>M1085</f>
        <v>0</v>
      </c>
      <c r="N1093" s="63">
        <f>N1085</f>
        <v>0</v>
      </c>
      <c r="O1093" s="63">
        <f>O1085</f>
        <v>0</v>
      </c>
      <c r="P1093" s="63">
        <f>P1085</f>
        <v>2</v>
      </c>
      <c r="Q1093" s="63">
        <f>Q1085</f>
        <v>0</v>
      </c>
      <c r="R1093" s="63"/>
      <c r="S1093" s="10"/>
      <c r="T1093" s="10"/>
      <c r="U1093" s="17"/>
      <c r="V1093" s="10"/>
      <c r="W1093" s="10"/>
      <c r="X1093" s="10"/>
    </row>
    <row r="1094" spans="1:24">
      <c r="A1094" s="614"/>
      <c r="B1094" s="11"/>
      <c r="C1094" s="10"/>
      <c r="D1094" s="10"/>
      <c r="E1094" s="303" t="s">
        <v>2321</v>
      </c>
      <c r="F1094" s="304">
        <f>$F$966</f>
        <v>794.19449999999983</v>
      </c>
      <c r="G1094" s="305"/>
      <c r="H1094" s="306">
        <f>F1094/1.12</f>
        <v>709.10223214285691</v>
      </c>
      <c r="I1094" s="10"/>
      <c r="J1094" s="10" t="s">
        <v>46</v>
      </c>
      <c r="K1094" s="31">
        <f>K1092/(K1092+K1093)</f>
        <v>0.5</v>
      </c>
      <c r="L1094" s="31" t="e">
        <f>L1092/(L1092+L1093)</f>
        <v>#DIV/0!</v>
      </c>
      <c r="M1094" s="31" t="e">
        <f>M1092/(M1092+M1093)</f>
        <v>#DIV/0!</v>
      </c>
      <c r="N1094" s="31" t="e">
        <f>N1092/(N1092+N1093)</f>
        <v>#DIV/0!</v>
      </c>
      <c r="O1094" s="31" t="e">
        <f>O1092/(O1092+O1093)</f>
        <v>#DIV/0!</v>
      </c>
      <c r="P1094" s="31">
        <f>P1092/(P1092+P1093)</f>
        <v>0.5</v>
      </c>
      <c r="Q1094" s="31" t="e">
        <f>Q1092/(Q1092+Q1093)</f>
        <v>#DIV/0!</v>
      </c>
      <c r="R1094" s="63"/>
      <c r="S1094" s="10"/>
      <c r="T1094" s="10"/>
      <c r="U1094" s="17"/>
      <c r="V1094" s="10"/>
      <c r="W1094" s="10"/>
      <c r="X1094" s="10"/>
    </row>
    <row r="1095" spans="1:24">
      <c r="A1095" s="614"/>
      <c r="B1095" s="11"/>
      <c r="C1095" s="10"/>
      <c r="D1095" s="10"/>
      <c r="E1095" s="74" t="s">
        <v>3102</v>
      </c>
      <c r="F1095" s="75">
        <v>-23.48</v>
      </c>
      <c r="G1095" s="10"/>
      <c r="H1095" s="10"/>
      <c r="I1095" s="10"/>
      <c r="J1095" s="10" t="s">
        <v>48</v>
      </c>
      <c r="K1095" s="66">
        <f>K1091/K1092</f>
        <v>3247.5</v>
      </c>
      <c r="L1095" s="66" t="e">
        <f>L1091/L1092</f>
        <v>#DIV/0!</v>
      </c>
      <c r="M1095" s="66" t="e">
        <f>M1091/M1092</f>
        <v>#DIV/0!</v>
      </c>
      <c r="N1095" s="66" t="e">
        <f>N1091/N1092</f>
        <v>#DIV/0!</v>
      </c>
      <c r="O1095" s="66" t="e">
        <f>O1091/O1092</f>
        <v>#DIV/0!</v>
      </c>
      <c r="P1095" s="66">
        <f>P1091/P1092</f>
        <v>3247.5</v>
      </c>
      <c r="Q1095" s="66" t="e">
        <f>Q1091/Q1092</f>
        <v>#DIV/0!</v>
      </c>
      <c r="R1095" s="63"/>
      <c r="S1095" s="10"/>
      <c r="T1095" s="10"/>
      <c r="U1095" s="17"/>
      <c r="V1095" s="10"/>
      <c r="W1095" s="10"/>
      <c r="X1095" s="10"/>
    </row>
    <row r="1096" spans="1:24">
      <c r="A1096" s="614"/>
      <c r="B1096" s="11"/>
      <c r="C1096" s="10"/>
      <c r="D1096" s="10"/>
      <c r="E1096" s="74" t="s">
        <v>3103</v>
      </c>
      <c r="F1096" s="75">
        <v>-80.97</v>
      </c>
      <c r="G1096" s="10"/>
      <c r="H1096" s="10"/>
      <c r="I1096" s="10"/>
      <c r="J1096" s="10"/>
      <c r="K1096" s="66"/>
      <c r="L1096" s="66"/>
      <c r="M1096" s="66"/>
      <c r="N1096" s="66"/>
      <c r="O1096" s="66"/>
      <c r="P1096" s="66"/>
      <c r="Q1096" s="66"/>
      <c r="R1096" s="63"/>
      <c r="S1096" s="10"/>
      <c r="T1096" s="10"/>
      <c r="U1096" s="17"/>
      <c r="V1096" s="10"/>
      <c r="W1096" s="10"/>
      <c r="X1096" s="10"/>
    </row>
    <row r="1097" spans="1:24">
      <c r="A1097" s="614"/>
      <c r="B1097" s="11"/>
      <c r="C1097" s="10"/>
      <c r="D1097" s="10"/>
      <c r="E1097" s="74" t="s">
        <v>3104</v>
      </c>
      <c r="F1097" s="75">
        <v>-88.77</v>
      </c>
      <c r="G1097" s="10"/>
      <c r="H1097" s="10"/>
      <c r="I1097" s="10"/>
      <c r="J1097" s="10"/>
      <c r="K1097" s="66"/>
      <c r="L1097" s="66"/>
      <c r="M1097" s="66"/>
      <c r="N1097" s="66"/>
      <c r="O1097" s="66"/>
      <c r="P1097" s="66"/>
      <c r="Q1097" s="66"/>
      <c r="R1097" s="63"/>
      <c r="S1097" s="10"/>
      <c r="T1097" s="10"/>
      <c r="U1097" s="17"/>
      <c r="V1097" s="10"/>
      <c r="W1097" s="10"/>
      <c r="X1097" s="10"/>
    </row>
    <row r="1098" spans="1:24">
      <c r="A1098" s="614"/>
      <c r="B1098" s="11"/>
      <c r="C1098" s="10"/>
      <c r="D1098" s="10"/>
      <c r="E1098" s="10"/>
      <c r="F1098" s="10"/>
      <c r="G1098" s="10"/>
      <c r="H1098" s="10"/>
      <c r="I1098" s="10"/>
      <c r="J1098" s="10"/>
      <c r="K1098" s="10"/>
      <c r="L1098" s="10"/>
      <c r="M1098" s="10"/>
      <c r="N1098" s="10"/>
      <c r="O1098" s="10"/>
      <c r="P1098" s="10"/>
      <c r="Q1098" s="10"/>
      <c r="R1098" s="10"/>
      <c r="S1098" s="10"/>
      <c r="T1098" s="10"/>
      <c r="U1098" s="17"/>
      <c r="V1098" s="10"/>
      <c r="W1098" s="10"/>
      <c r="X1098" s="10"/>
    </row>
    <row r="1099" spans="1:24">
      <c r="A1099" s="614"/>
      <c r="B1099" s="11"/>
      <c r="C1099" s="10"/>
      <c r="D1099" s="10"/>
      <c r="E1099" s="10"/>
      <c r="F1099" s="10"/>
      <c r="G1099" s="10"/>
      <c r="H1099" s="10"/>
      <c r="I1099" s="10"/>
      <c r="J1099" s="10"/>
      <c r="K1099" s="10"/>
      <c r="L1099" s="10"/>
      <c r="M1099" s="10"/>
      <c r="N1099" s="10"/>
      <c r="O1099" s="10"/>
      <c r="P1099" s="10"/>
      <c r="Q1099" s="10"/>
      <c r="R1099" s="10"/>
      <c r="S1099" s="10"/>
      <c r="T1099" s="10"/>
      <c r="U1099" s="17"/>
      <c r="V1099" s="10"/>
      <c r="W1099" s="10"/>
      <c r="X1099" s="10"/>
    </row>
    <row r="1100" spans="1:24">
      <c r="A1100" s="614"/>
      <c r="B1100" s="18" t="s">
        <v>51</v>
      </c>
      <c r="C1100" s="14"/>
      <c r="D1100" s="14"/>
      <c r="E1100" s="14"/>
      <c r="F1100" s="13" t="s">
        <v>52</v>
      </c>
      <c r="G1100" s="14"/>
      <c r="H1100" s="14"/>
      <c r="I1100" s="14"/>
      <c r="J1100" s="14"/>
      <c r="K1100" s="13" t="s">
        <v>3</v>
      </c>
      <c r="L1100" s="14"/>
      <c r="M1100" s="14"/>
      <c r="N1100" s="13" t="s">
        <v>4</v>
      </c>
      <c r="O1100" s="14"/>
      <c r="P1100" s="14"/>
      <c r="Q1100" s="13" t="s">
        <v>5</v>
      </c>
      <c r="R1100" s="14"/>
      <c r="S1100" s="14"/>
      <c r="T1100" s="18"/>
      <c r="U1100" s="16" t="s">
        <v>53</v>
      </c>
      <c r="V1100" s="77"/>
      <c r="W1100" s="77"/>
      <c r="X1100" s="77"/>
    </row>
    <row r="1101" spans="1:24">
      <c r="A1101" s="614"/>
      <c r="B1101" s="24" t="s">
        <v>54</v>
      </c>
      <c r="C1101" s="21" t="s">
        <v>55</v>
      </c>
      <c r="D1101" s="21" t="s">
        <v>56</v>
      </c>
      <c r="E1101" s="21" t="s">
        <v>57</v>
      </c>
      <c r="F1101" s="20" t="s">
        <v>58</v>
      </c>
      <c r="G1101" s="21" t="s">
        <v>59</v>
      </c>
      <c r="H1101" s="21" t="s">
        <v>60</v>
      </c>
      <c r="I1101" s="21" t="s">
        <v>26</v>
      </c>
      <c r="J1101" s="22" t="s">
        <v>61</v>
      </c>
      <c r="K1101" s="21" t="s">
        <v>8</v>
      </c>
      <c r="L1101" s="21" t="s">
        <v>9</v>
      </c>
      <c r="M1101" s="21" t="s">
        <v>10</v>
      </c>
      <c r="N1101" s="20" t="s">
        <v>11</v>
      </c>
      <c r="O1101" s="21" t="s">
        <v>12</v>
      </c>
      <c r="P1101" s="22" t="s">
        <v>13</v>
      </c>
      <c r="Q1101" s="21" t="s">
        <v>11</v>
      </c>
      <c r="R1101" s="21" t="s">
        <v>12</v>
      </c>
      <c r="S1101" s="21" t="s">
        <v>13</v>
      </c>
      <c r="T1101" s="78" t="s">
        <v>14</v>
      </c>
      <c r="U1101" s="30"/>
      <c r="V1101" s="79" t="s">
        <v>62</v>
      </c>
      <c r="W1101" s="80" t="s">
        <v>63</v>
      </c>
      <c r="X1101" s="81" t="s">
        <v>64</v>
      </c>
    </row>
    <row r="1102" spans="1:24">
      <c r="A1102" s="614"/>
      <c r="B1102" s="4" t="s">
        <v>65</v>
      </c>
      <c r="C1102" s="6"/>
      <c r="D1102" s="6"/>
      <c r="E1102" s="6"/>
      <c r="F1102" s="6"/>
      <c r="G1102" s="6"/>
      <c r="H1102" s="6"/>
      <c r="I1102" s="82"/>
      <c r="J1102" s="6"/>
      <c r="K1102" s="6"/>
      <c r="L1102" s="6"/>
      <c r="M1102" s="6"/>
      <c r="N1102" s="6"/>
      <c r="O1102" s="6"/>
      <c r="P1102" s="6"/>
      <c r="Q1102" s="6"/>
      <c r="R1102" s="6"/>
      <c r="S1102" s="6"/>
      <c r="T1102" s="83"/>
      <c r="U1102" s="6"/>
      <c r="V1102" s="84"/>
      <c r="W1102" s="85"/>
      <c r="X1102" s="86"/>
    </row>
    <row r="1103" spans="1:24">
      <c r="A1103" s="614"/>
      <c r="B1103" s="87">
        <v>1</v>
      </c>
      <c r="C1103" s="262">
        <v>45943</v>
      </c>
      <c r="D1103" s="271" t="s">
        <v>3105</v>
      </c>
      <c r="E1103" s="264" t="s">
        <v>1058</v>
      </c>
      <c r="F1103" s="265">
        <v>5814</v>
      </c>
      <c r="G1103" s="265">
        <f>39.7+(207.62+1210)</f>
        <v>1457.32</v>
      </c>
      <c r="H1103" s="265"/>
      <c r="I1103" s="272">
        <f>F1103-G1103-H1103</f>
        <v>4356.68</v>
      </c>
      <c r="J1103" s="267" t="s">
        <v>228</v>
      </c>
      <c r="K1103" s="267">
        <v>1</v>
      </c>
      <c r="L1103" s="267">
        <v>1</v>
      </c>
      <c r="M1103" s="267">
        <v>1</v>
      </c>
      <c r="N1103" s="267">
        <v>1</v>
      </c>
      <c r="O1103" s="267">
        <v>1</v>
      </c>
      <c r="P1103" s="267">
        <v>0</v>
      </c>
      <c r="Q1103" s="267">
        <v>1</v>
      </c>
      <c r="R1103" s="267">
        <v>1</v>
      </c>
      <c r="S1103" s="269">
        <v>1</v>
      </c>
      <c r="T1103" s="63"/>
      <c r="U1103" s="94" t="s">
        <v>3106</v>
      </c>
      <c r="V1103" s="90">
        <f>630+5755.4+10</f>
        <v>6395.4</v>
      </c>
      <c r="W1103" s="91"/>
      <c r="X1103" s="92"/>
    </row>
    <row r="1104" spans="1:24">
      <c r="A1104" s="614"/>
      <c r="B1104" s="87"/>
      <c r="C1104" s="36"/>
      <c r="D1104" s="10"/>
      <c r="E1104" s="10"/>
      <c r="F1104" s="97">
        <f>SUM(F1103:F1103)</f>
        <v>5814</v>
      </c>
      <c r="G1104" s="97">
        <f>SUM(G1103:G1103)</f>
        <v>1457.32</v>
      </c>
      <c r="H1104" s="97">
        <f>SUM(H1103:H1103)</f>
        <v>0</v>
      </c>
      <c r="I1104" s="98">
        <f>SUM(I1103:I1103)</f>
        <v>4356.68</v>
      </c>
      <c r="J1104" s="63"/>
      <c r="K1104" s="63">
        <f>COUNT(K1103:K1103)</f>
        <v>1</v>
      </c>
      <c r="L1104" s="63">
        <f>COUNT(L1103:L1103)</f>
        <v>1</v>
      </c>
      <c r="M1104" s="63">
        <f>COUNT(M1103:M1103)</f>
        <v>1</v>
      </c>
      <c r="N1104" s="63">
        <f>COUNT(N1103:N1103)</f>
        <v>1</v>
      </c>
      <c r="O1104" s="63">
        <f>COUNT(O1103:O1103)</f>
        <v>1</v>
      </c>
      <c r="P1104" s="63">
        <f>COUNT(P1103:P1103)</f>
        <v>1</v>
      </c>
      <c r="Q1104" s="63">
        <f>COUNT(Q1103:Q1103)</f>
        <v>1</v>
      </c>
      <c r="R1104" s="63">
        <f>COUNT(R1103:R1103)</f>
        <v>1</v>
      </c>
      <c r="S1104" s="63">
        <f>COUNT(S1103:S1103)</f>
        <v>1</v>
      </c>
      <c r="T1104" s="63"/>
      <c r="U1104" s="10"/>
      <c r="V1104" s="90"/>
      <c r="W1104" s="91"/>
      <c r="X1104" s="92"/>
    </row>
    <row r="1105" spans="1:24">
      <c r="A1105" s="614"/>
      <c r="B1105" s="87"/>
      <c r="C1105" s="36"/>
      <c r="D1105" s="10"/>
      <c r="E1105" s="10"/>
      <c r="F1105" s="88"/>
      <c r="G1105" s="88"/>
      <c r="H1105" s="88"/>
      <c r="I1105" s="99"/>
      <c r="J1105" s="63"/>
      <c r="K1105" s="21">
        <f>SUM(K1103:K1103)</f>
        <v>1</v>
      </c>
      <c r="L1105" s="21">
        <f>SUM(L1103:L1103)</f>
        <v>1</v>
      </c>
      <c r="M1105" s="21">
        <f>SUM(M1103:M1103)</f>
        <v>1</v>
      </c>
      <c r="N1105" s="21">
        <f>SUM(N1103:N1103)</f>
        <v>1</v>
      </c>
      <c r="O1105" s="21">
        <f>SUM(O1103:O1103)</f>
        <v>1</v>
      </c>
      <c r="P1105" s="21">
        <f>SUM(P1103:P1103)</f>
        <v>0</v>
      </c>
      <c r="Q1105" s="21">
        <f>SUM(Q1103:Q1103)</f>
        <v>1</v>
      </c>
      <c r="R1105" s="21">
        <f>SUM(R1103:R1103)</f>
        <v>1</v>
      </c>
      <c r="S1105" s="21">
        <f>SUM(S1103:S1103)</f>
        <v>1</v>
      </c>
      <c r="T1105" s="63"/>
      <c r="U1105" s="10"/>
      <c r="V1105" s="90"/>
      <c r="W1105" s="91"/>
      <c r="X1105" s="92"/>
    </row>
    <row r="1106" spans="1:24">
      <c r="A1106" s="614"/>
      <c r="B1106" s="11"/>
      <c r="C1106" s="609"/>
      <c r="D1106" s="10"/>
      <c r="E1106" s="10"/>
      <c r="F1106" s="88"/>
      <c r="G1106" s="88"/>
      <c r="H1106" s="88"/>
      <c r="I1106" s="99"/>
      <c r="J1106" s="63"/>
      <c r="K1106" s="21"/>
      <c r="L1106" s="21"/>
      <c r="M1106" s="21"/>
      <c r="N1106" s="21"/>
      <c r="O1106" s="21"/>
      <c r="P1106" s="21"/>
      <c r="Q1106" s="21"/>
      <c r="R1106" s="21"/>
      <c r="S1106" s="21"/>
      <c r="T1106" s="63"/>
      <c r="U1106" s="94"/>
      <c r="V1106" s="90"/>
      <c r="W1106" s="91"/>
      <c r="X1106" s="92"/>
    </row>
    <row r="1107" spans="1:24">
      <c r="A1107" s="614"/>
      <c r="B1107" s="102" t="s">
        <v>67</v>
      </c>
      <c r="C1107" s="610"/>
      <c r="D1107" s="104"/>
      <c r="E1107" s="104"/>
      <c r="F1107" s="105"/>
      <c r="G1107" s="106"/>
      <c r="H1107" s="105"/>
      <c r="I1107" s="107"/>
      <c r="J1107" s="108"/>
      <c r="K1107" s="109"/>
      <c r="L1107" s="109"/>
      <c r="M1107" s="109"/>
      <c r="N1107" s="109"/>
      <c r="O1107" s="109"/>
      <c r="P1107" s="109"/>
      <c r="Q1107" s="109"/>
      <c r="R1107" s="109"/>
      <c r="S1107" s="109"/>
      <c r="T1107" s="108"/>
      <c r="U1107" s="110"/>
      <c r="V1107" s="111"/>
      <c r="W1107" s="112"/>
      <c r="X1107" s="113"/>
    </row>
    <row r="1108" spans="1:24">
      <c r="A1108" s="614"/>
      <c r="B1108" s="114">
        <v>1</v>
      </c>
      <c r="C1108" s="610"/>
      <c r="D1108" s="104"/>
      <c r="E1108" s="115"/>
      <c r="F1108" s="106"/>
      <c r="G1108" s="106"/>
      <c r="H1108" s="106"/>
      <c r="I1108" s="116">
        <f>F1108-G1108-H1108</f>
        <v>0</v>
      </c>
      <c r="J1108" s="108"/>
      <c r="K1108" s="108"/>
      <c r="L1108" s="108"/>
      <c r="M1108" s="108"/>
      <c r="N1108" s="108"/>
      <c r="O1108" s="108"/>
      <c r="P1108" s="108"/>
      <c r="Q1108" s="108"/>
      <c r="R1108" s="108"/>
      <c r="S1108" s="108"/>
      <c r="T1108" s="108"/>
      <c r="U1108" s="110"/>
      <c r="V1108" s="111"/>
      <c r="W1108" s="112"/>
      <c r="X1108" s="113"/>
    </row>
    <row r="1109" spans="1:24">
      <c r="A1109" s="614"/>
      <c r="B1109" s="114">
        <f>B1108+1</f>
        <v>2</v>
      </c>
      <c r="C1109" s="610"/>
      <c r="D1109" s="104"/>
      <c r="E1109" s="115"/>
      <c r="F1109" s="106"/>
      <c r="G1109" s="106"/>
      <c r="H1109" s="106"/>
      <c r="I1109" s="116">
        <f>F1109-G1109-H1109</f>
        <v>0</v>
      </c>
      <c r="J1109" s="108"/>
      <c r="K1109" s="108"/>
      <c r="L1109" s="108"/>
      <c r="M1109" s="108"/>
      <c r="N1109" s="108"/>
      <c r="O1109" s="108"/>
      <c r="P1109" s="108"/>
      <c r="Q1109" s="108"/>
      <c r="R1109" s="108"/>
      <c r="S1109" s="108"/>
      <c r="T1109" s="108"/>
      <c r="U1109" s="110"/>
      <c r="V1109" s="111"/>
      <c r="W1109" s="112"/>
      <c r="X1109" s="113"/>
    </row>
    <row r="1110" spans="1:24">
      <c r="A1110" s="614"/>
      <c r="B1110" s="114">
        <f>B1109+1</f>
        <v>3</v>
      </c>
      <c r="C1110" s="610"/>
      <c r="D1110" s="104"/>
      <c r="E1110" s="115"/>
      <c r="F1110" s="106"/>
      <c r="G1110" s="106"/>
      <c r="H1110" s="106"/>
      <c r="I1110" s="116">
        <f>F1110-G1110-H1110</f>
        <v>0</v>
      </c>
      <c r="J1110" s="108"/>
      <c r="K1110" s="108"/>
      <c r="L1110" s="108"/>
      <c r="M1110" s="108"/>
      <c r="N1110" s="108"/>
      <c r="O1110" s="108"/>
      <c r="P1110" s="108"/>
      <c r="Q1110" s="108"/>
      <c r="R1110" s="108"/>
      <c r="S1110" s="108"/>
      <c r="T1110" s="108"/>
      <c r="U1110" s="110"/>
      <c r="V1110" s="111"/>
      <c r="W1110" s="112"/>
      <c r="X1110" s="113"/>
    </row>
    <row r="1111" spans="1:24">
      <c r="A1111" s="614"/>
      <c r="B1111" s="114">
        <f>B1110+1</f>
        <v>4</v>
      </c>
      <c r="C1111" s="610"/>
      <c r="D1111" s="104"/>
      <c r="E1111" s="115"/>
      <c r="F1111" s="106"/>
      <c r="G1111" s="106"/>
      <c r="H1111" s="106"/>
      <c r="I1111" s="116">
        <f>F1111-G1111-H1111</f>
        <v>0</v>
      </c>
      <c r="J1111" s="108"/>
      <c r="K1111" s="108"/>
      <c r="L1111" s="108"/>
      <c r="M1111" s="108"/>
      <c r="N1111" s="108"/>
      <c r="O1111" s="108"/>
      <c r="P1111" s="108"/>
      <c r="Q1111" s="108"/>
      <c r="R1111" s="108"/>
      <c r="S1111" s="108"/>
      <c r="T1111" s="108"/>
      <c r="U1111" s="110"/>
      <c r="V1111" s="111"/>
      <c r="W1111" s="112"/>
      <c r="X1111" s="113"/>
    </row>
    <row r="1112" spans="1:24">
      <c r="A1112" s="614"/>
      <c r="B1112" s="114">
        <f>B1111+1</f>
        <v>5</v>
      </c>
      <c r="C1112" s="610"/>
      <c r="D1112" s="104"/>
      <c r="E1112" s="115"/>
      <c r="F1112" s="106"/>
      <c r="G1112" s="106"/>
      <c r="H1112" s="106"/>
      <c r="I1112" s="116">
        <f>F1112-G1112-H1112</f>
        <v>0</v>
      </c>
      <c r="J1112" s="108"/>
      <c r="K1112" s="108"/>
      <c r="L1112" s="108"/>
      <c r="M1112" s="108"/>
      <c r="N1112" s="108"/>
      <c r="O1112" s="108"/>
      <c r="P1112" s="108"/>
      <c r="Q1112" s="108"/>
      <c r="R1112" s="108"/>
      <c r="S1112" s="108"/>
      <c r="T1112" s="108"/>
      <c r="U1112" s="110"/>
      <c r="V1112" s="111"/>
      <c r="W1112" s="112"/>
      <c r="X1112" s="113"/>
    </row>
    <row r="1113" spans="1:24">
      <c r="A1113" s="614"/>
      <c r="B1113" s="114">
        <f>B1112+1</f>
        <v>6</v>
      </c>
      <c r="C1113" s="610"/>
      <c r="D1113" s="104"/>
      <c r="E1113" s="115"/>
      <c r="F1113" s="106"/>
      <c r="G1113" s="106"/>
      <c r="H1113" s="106"/>
      <c r="I1113" s="116">
        <f>F1113-G1113-H1113</f>
        <v>0</v>
      </c>
      <c r="J1113" s="108"/>
      <c r="K1113" s="108"/>
      <c r="L1113" s="108"/>
      <c r="M1113" s="108"/>
      <c r="N1113" s="108"/>
      <c r="O1113" s="108"/>
      <c r="P1113" s="108"/>
      <c r="Q1113" s="108"/>
      <c r="R1113" s="108"/>
      <c r="S1113" s="108"/>
      <c r="T1113" s="108"/>
      <c r="U1113" s="110"/>
      <c r="V1113" s="111"/>
      <c r="W1113" s="112"/>
      <c r="X1113" s="113"/>
    </row>
    <row r="1114" spans="1:24">
      <c r="A1114" s="614"/>
      <c r="B1114" s="114">
        <f>B1113+1</f>
        <v>7</v>
      </c>
      <c r="C1114" s="610"/>
      <c r="D1114" s="104"/>
      <c r="E1114" s="115"/>
      <c r="F1114" s="106"/>
      <c r="G1114" s="106"/>
      <c r="H1114" s="106"/>
      <c r="I1114" s="116">
        <f>F1114-G1114-H1114</f>
        <v>0</v>
      </c>
      <c r="J1114" s="108"/>
      <c r="K1114" s="108"/>
      <c r="L1114" s="108"/>
      <c r="M1114" s="108"/>
      <c r="N1114" s="108"/>
      <c r="O1114" s="108"/>
      <c r="P1114" s="108"/>
      <c r="Q1114" s="108"/>
      <c r="R1114" s="108"/>
      <c r="S1114" s="108"/>
      <c r="T1114" s="108"/>
      <c r="U1114" s="110"/>
      <c r="V1114" s="111"/>
      <c r="W1114" s="112"/>
      <c r="X1114" s="113"/>
    </row>
    <row r="1115" spans="1:24">
      <c r="A1115" s="614"/>
      <c r="B1115" s="114">
        <f>B1114+1</f>
        <v>8</v>
      </c>
      <c r="C1115" s="610"/>
      <c r="D1115" s="104"/>
      <c r="E1115" s="115"/>
      <c r="F1115" s="106"/>
      <c r="G1115" s="106"/>
      <c r="H1115" s="106"/>
      <c r="I1115" s="116">
        <f>F1115-G1115-H1115</f>
        <v>0</v>
      </c>
      <c r="J1115" s="108"/>
      <c r="K1115" s="108"/>
      <c r="L1115" s="108"/>
      <c r="M1115" s="108"/>
      <c r="N1115" s="108"/>
      <c r="O1115" s="108"/>
      <c r="P1115" s="108"/>
      <c r="Q1115" s="108"/>
      <c r="R1115" s="108"/>
      <c r="S1115" s="108"/>
      <c r="T1115" s="108"/>
      <c r="U1115" s="110"/>
      <c r="V1115" s="111"/>
      <c r="W1115" s="112"/>
      <c r="X1115" s="113"/>
    </row>
    <row r="1116" spans="1:24">
      <c r="A1116" s="614"/>
      <c r="B1116" s="117"/>
      <c r="C1116" s="610"/>
      <c r="D1116" s="104"/>
      <c r="E1116" s="104"/>
      <c r="F1116" s="118">
        <f>SUM(F1108:F1115)</f>
        <v>0</v>
      </c>
      <c r="G1116" s="118">
        <f>SUM(G1108:G1115)</f>
        <v>0</v>
      </c>
      <c r="H1116" s="118">
        <f>SUM(H1108:H1115)</f>
        <v>0</v>
      </c>
      <c r="I1116" s="119">
        <f>SUM(I1108:I1115)</f>
        <v>0</v>
      </c>
      <c r="J1116" s="108"/>
      <c r="K1116" s="120"/>
      <c r="L1116" s="120"/>
      <c r="M1116" s="120"/>
      <c r="N1116" s="120"/>
      <c r="O1116" s="120"/>
      <c r="P1116" s="120"/>
      <c r="Q1116" s="120"/>
      <c r="R1116" s="120"/>
      <c r="S1116" s="120"/>
      <c r="T1116" s="108"/>
      <c r="U1116" s="110"/>
      <c r="V1116" s="111"/>
      <c r="W1116" s="112"/>
      <c r="X1116" s="113"/>
    </row>
    <row r="1117" spans="1:24">
      <c r="A1117" s="614"/>
      <c r="B1117" s="11"/>
      <c r="C1117" s="609"/>
      <c r="D1117" s="10"/>
      <c r="E1117" s="10"/>
      <c r="F1117" s="88"/>
      <c r="G1117" s="88"/>
      <c r="H1117" s="88"/>
      <c r="I1117" s="99"/>
      <c r="J1117" s="63"/>
      <c r="K1117" s="21"/>
      <c r="L1117" s="21"/>
      <c r="M1117" s="21"/>
      <c r="N1117" s="21"/>
      <c r="O1117" s="21"/>
      <c r="P1117" s="21"/>
      <c r="Q1117" s="21"/>
      <c r="R1117" s="21"/>
      <c r="S1117" s="21"/>
      <c r="T1117" s="63"/>
      <c r="U1117" s="94"/>
      <c r="V1117" s="90"/>
      <c r="W1117" s="91"/>
      <c r="X1117" s="92"/>
    </row>
    <row r="1118" spans="1:24">
      <c r="A1118" s="615"/>
      <c r="B1118" s="121" t="s">
        <v>68</v>
      </c>
      <c r="C1118" s="611"/>
      <c r="D1118" s="123"/>
      <c r="E1118" s="123"/>
      <c r="F1118" s="124"/>
      <c r="G1118" s="125"/>
      <c r="H1118" s="124"/>
      <c r="I1118" s="126"/>
      <c r="J1118" s="127"/>
      <c r="K1118" s="128"/>
      <c r="L1118" s="128"/>
      <c r="M1118" s="128"/>
      <c r="N1118" s="128"/>
      <c r="O1118" s="128"/>
      <c r="P1118" s="128"/>
      <c r="Q1118" s="128"/>
      <c r="R1118" s="128"/>
      <c r="S1118" s="128"/>
      <c r="T1118" s="127"/>
      <c r="U1118" s="123"/>
      <c r="V1118" s="129"/>
      <c r="W1118" s="130"/>
      <c r="X1118" s="131"/>
    </row>
    <row r="1119" spans="1:24">
      <c r="A1119" s="614"/>
      <c r="B1119" s="87">
        <v>1</v>
      </c>
      <c r="C1119" s="262">
        <v>45943</v>
      </c>
      <c r="D1119" s="271">
        <v>74361</v>
      </c>
      <c r="E1119" s="264" t="s">
        <v>1058</v>
      </c>
      <c r="F1119" s="265">
        <v>681</v>
      </c>
      <c r="G1119" s="265"/>
      <c r="H1119" s="265"/>
      <c r="I1119" s="272">
        <f>F1119-G1119-H1119</f>
        <v>681</v>
      </c>
      <c r="J1119" s="267" t="s">
        <v>156</v>
      </c>
      <c r="K1119" s="267">
        <v>1</v>
      </c>
      <c r="L1119" s="267">
        <v>1</v>
      </c>
      <c r="M1119" s="267">
        <v>1</v>
      </c>
      <c r="N1119" s="267">
        <v>1</v>
      </c>
      <c r="O1119" s="267">
        <v>1</v>
      </c>
      <c r="P1119" s="267">
        <v>1</v>
      </c>
      <c r="Q1119" s="267">
        <v>1</v>
      </c>
      <c r="R1119" s="267">
        <v>0</v>
      </c>
      <c r="S1119" s="269">
        <v>0</v>
      </c>
      <c r="T1119" s="63"/>
      <c r="U1119" s="17" t="s">
        <v>3107</v>
      </c>
      <c r="V1119" s="90">
        <f>60</f>
        <v>60</v>
      </c>
      <c r="W1119" s="91"/>
      <c r="X1119" s="92"/>
    </row>
    <row r="1120" spans="1:24">
      <c r="A1120" s="615"/>
      <c r="B1120" s="132"/>
      <c r="C1120" s="36"/>
      <c r="D1120" s="123"/>
      <c r="E1120" s="123"/>
      <c r="F1120" s="133">
        <f>SUM(F1119:F1119)</f>
        <v>681</v>
      </c>
      <c r="G1120" s="133">
        <f>SUM(G1119:G1119)</f>
        <v>0</v>
      </c>
      <c r="H1120" s="133">
        <f>SUM(H1119:H1119)</f>
        <v>0</v>
      </c>
      <c r="I1120" s="134">
        <f>SUM(I1119:I1119)</f>
        <v>681</v>
      </c>
      <c r="J1120" s="127"/>
      <c r="K1120" s="64"/>
      <c r="L1120" s="64"/>
      <c r="M1120" s="64"/>
      <c r="N1120" s="64"/>
      <c r="O1120" s="64"/>
      <c r="P1120" s="64"/>
      <c r="Q1120" s="64"/>
      <c r="R1120" s="64"/>
      <c r="S1120" s="64"/>
      <c r="T1120" s="127"/>
      <c r="U1120" s="123"/>
      <c r="V1120" s="129"/>
      <c r="W1120" s="130"/>
      <c r="X1120" s="131"/>
    </row>
    <row r="1121" spans="1:25">
      <c r="A1121" s="614"/>
      <c r="B1121" s="11"/>
      <c r="C1121" s="609"/>
      <c r="D1121" s="10"/>
      <c r="E1121" s="10"/>
      <c r="F1121" s="88"/>
      <c r="G1121" s="88"/>
      <c r="H1121" s="88"/>
      <c r="I1121" s="99"/>
      <c r="J1121" s="63"/>
      <c r="K1121" s="21"/>
      <c r="L1121" s="21"/>
      <c r="M1121" s="21"/>
      <c r="N1121" s="21"/>
      <c r="O1121" s="21"/>
      <c r="P1121" s="21"/>
      <c r="Q1121" s="21"/>
      <c r="R1121" s="21"/>
      <c r="S1121" s="21"/>
      <c r="T1121" s="63"/>
      <c r="U1121" s="94"/>
      <c r="V1121" s="90"/>
      <c r="W1121" s="91"/>
      <c r="X1121" s="92"/>
    </row>
    <row r="1122" spans="1:25" s="342" customFormat="1">
      <c r="B1122" s="100" t="s">
        <v>152</v>
      </c>
      <c r="C1122" s="122"/>
      <c r="D1122" s="123"/>
      <c r="E1122" s="123"/>
      <c r="F1122" s="124"/>
      <c r="G1122" s="125"/>
      <c r="H1122" s="124"/>
      <c r="I1122" s="126"/>
      <c r="J1122" s="127"/>
      <c r="K1122" s="128"/>
      <c r="L1122" s="128"/>
      <c r="M1122" s="128"/>
      <c r="N1122" s="128"/>
      <c r="O1122" s="128"/>
      <c r="P1122" s="128"/>
      <c r="Q1122" s="128"/>
      <c r="R1122" s="128"/>
      <c r="S1122" s="128"/>
      <c r="T1122" s="127"/>
      <c r="U1122" s="123"/>
      <c r="V1122" s="129"/>
      <c r="W1122" s="130"/>
      <c r="X1122" s="131"/>
    </row>
    <row r="1123" spans="1:25" s="260" customFormat="1">
      <c r="A1123" s="494">
        <v>0.05</v>
      </c>
      <c r="B1123" s="87">
        <v>1</v>
      </c>
      <c r="C1123" s="262">
        <v>45866</v>
      </c>
      <c r="D1123" s="271">
        <v>71800</v>
      </c>
      <c r="E1123" s="271" t="s">
        <v>2823</v>
      </c>
      <c r="F1123" s="265">
        <v>6214</v>
      </c>
      <c r="G1123" s="265">
        <f>39.7+(1288.73)+250</f>
        <v>1578.43</v>
      </c>
      <c r="H1123" s="265"/>
      <c r="I1123" s="266">
        <f>F1123-G1123-H1123</f>
        <v>4635.57</v>
      </c>
      <c r="J1123" s="267" t="s">
        <v>156</v>
      </c>
      <c r="K1123" s="267">
        <v>1</v>
      </c>
      <c r="L1123" s="314">
        <v>0</v>
      </c>
      <c r="M1123" s="267">
        <v>1</v>
      </c>
      <c r="N1123" s="267">
        <v>1</v>
      </c>
      <c r="O1123" s="267">
        <v>1</v>
      </c>
      <c r="P1123" s="314">
        <v>0</v>
      </c>
      <c r="Q1123" s="314">
        <v>0</v>
      </c>
      <c r="R1123" s="314">
        <v>0</v>
      </c>
      <c r="S1123" s="366">
        <v>0</v>
      </c>
      <c r="T1123" s="63"/>
      <c r="U1123" s="94" t="s">
        <v>2930</v>
      </c>
      <c r="V1123" s="90"/>
      <c r="W1123" s="136"/>
      <c r="X1123" s="92"/>
    </row>
    <row r="1124" spans="1:25" s="260" customFormat="1">
      <c r="A1124" s="260" t="s">
        <v>619</v>
      </c>
      <c r="B1124" s="87">
        <f>B1123+1</f>
        <v>2</v>
      </c>
      <c r="C1124" s="262">
        <v>45866</v>
      </c>
      <c r="D1124" s="271">
        <v>71787</v>
      </c>
      <c r="E1124" s="271" t="s">
        <v>1338</v>
      </c>
      <c r="F1124" s="265">
        <v>28614</v>
      </c>
      <c r="G1124" s="265">
        <f>39.7+1424.2+(474.48+162.31+289.19+9.1+8.29-78.88)+(F1124*0.25)</f>
        <v>9481.89</v>
      </c>
      <c r="H1124" s="265"/>
      <c r="I1124" s="266">
        <f>F1124-G1124-H1124</f>
        <v>19132.11</v>
      </c>
      <c r="J1124" s="267" t="s">
        <v>374</v>
      </c>
      <c r="K1124" s="267">
        <v>1</v>
      </c>
      <c r="L1124" s="267">
        <v>1</v>
      </c>
      <c r="M1124" s="267">
        <v>1</v>
      </c>
      <c r="N1124" s="267">
        <v>1</v>
      </c>
      <c r="O1124" s="267">
        <v>1</v>
      </c>
      <c r="P1124" s="314">
        <v>0</v>
      </c>
      <c r="Q1124" s="314">
        <v>0</v>
      </c>
      <c r="R1124" s="314">
        <v>0</v>
      </c>
      <c r="S1124" s="366">
        <v>0</v>
      </c>
      <c r="T1124" s="63"/>
      <c r="U1124" s="94" t="s">
        <v>2852</v>
      </c>
      <c r="V1124" s="90"/>
      <c r="W1124" s="136"/>
      <c r="X1124" s="137"/>
    </row>
    <row r="1125" spans="1:25" s="260" customFormat="1">
      <c r="A1125" s="261" t="s">
        <v>619</v>
      </c>
      <c r="B1125" s="87">
        <f>B1124+1</f>
        <v>3</v>
      </c>
      <c r="C1125" s="274">
        <v>45873</v>
      </c>
      <c r="D1125" s="276">
        <v>71967</v>
      </c>
      <c r="E1125" s="281" t="s">
        <v>1256</v>
      </c>
      <c r="F1125" s="277">
        <v>2681</v>
      </c>
      <c r="G1125" s="277">
        <f>39.7+(189.05)+(15.38)+200</f>
        <v>444.13</v>
      </c>
      <c r="H1125" s="277"/>
      <c r="I1125" s="321">
        <f>F1125-G1125-H1125</f>
        <v>2236.87</v>
      </c>
      <c r="J1125" s="279" t="s">
        <v>374</v>
      </c>
      <c r="K1125" s="279">
        <v>1</v>
      </c>
      <c r="L1125" s="279">
        <v>1</v>
      </c>
      <c r="M1125" s="279">
        <v>1</v>
      </c>
      <c r="N1125" s="279">
        <v>1</v>
      </c>
      <c r="O1125" s="279">
        <v>1</v>
      </c>
      <c r="P1125" s="322">
        <v>0</v>
      </c>
      <c r="Q1125" s="279">
        <v>1</v>
      </c>
      <c r="R1125" s="279">
        <v>1</v>
      </c>
      <c r="S1125" s="280">
        <v>1</v>
      </c>
      <c r="T1125" s="63"/>
      <c r="U1125" s="10" t="s">
        <v>2851</v>
      </c>
      <c r="V1125" s="90"/>
      <c r="W1125" s="91"/>
      <c r="X1125" s="92"/>
    </row>
    <row r="1126" spans="1:25" s="260" customFormat="1">
      <c r="A1126" s="261" t="s">
        <v>2542</v>
      </c>
      <c r="B1126" s="87">
        <f t="shared" ref="B1126:B1145" si="229">B1125+1</f>
        <v>4</v>
      </c>
      <c r="C1126" s="274">
        <v>45890</v>
      </c>
      <c r="D1126" s="276">
        <v>72522</v>
      </c>
      <c r="E1126" s="276" t="s">
        <v>1169</v>
      </c>
      <c r="F1126" s="277">
        <v>3122</v>
      </c>
      <c r="G1126" s="277">
        <f>39.7+877.8+(521.76+88.09)+200</f>
        <v>1727.35</v>
      </c>
      <c r="H1126" s="277"/>
      <c r="I1126" s="321">
        <f>F1126-G1126-H1126</f>
        <v>1394.65</v>
      </c>
      <c r="J1126" s="279" t="s">
        <v>156</v>
      </c>
      <c r="K1126" s="279">
        <v>1</v>
      </c>
      <c r="L1126" s="279">
        <v>1</v>
      </c>
      <c r="M1126" s="279">
        <v>1</v>
      </c>
      <c r="N1126" s="279">
        <v>1</v>
      </c>
      <c r="O1126" s="279">
        <v>1</v>
      </c>
      <c r="P1126" s="279">
        <v>1</v>
      </c>
      <c r="Q1126" s="279">
        <v>1</v>
      </c>
      <c r="R1126" s="322">
        <v>0</v>
      </c>
      <c r="S1126" s="328">
        <v>0</v>
      </c>
      <c r="T1126" s="63"/>
      <c r="U1126" s="10" t="s">
        <v>2931</v>
      </c>
      <c r="V1126" s="90"/>
      <c r="W1126" s="136"/>
      <c r="X1126" s="137"/>
    </row>
    <row r="1127" spans="1:25" s="260" customFormat="1">
      <c r="A1127" s="261">
        <v>0.05</v>
      </c>
      <c r="B1127" s="87">
        <f t="shared" si="229"/>
        <v>5</v>
      </c>
      <c r="C1127" s="282">
        <v>45890</v>
      </c>
      <c r="D1127" s="283">
        <v>72515</v>
      </c>
      <c r="E1127" s="283" t="s">
        <v>1058</v>
      </c>
      <c r="F1127" s="284">
        <v>2575</v>
      </c>
      <c r="G1127" s="284">
        <v>39.700000000000003</v>
      </c>
      <c r="H1127" s="315"/>
      <c r="I1127" s="300">
        <f>F1127-G1127-H1127</f>
        <v>2535.3000000000002</v>
      </c>
      <c r="J1127" s="286" t="s">
        <v>374</v>
      </c>
      <c r="K1127" s="286">
        <v>1</v>
      </c>
      <c r="L1127" s="286">
        <v>1</v>
      </c>
      <c r="M1127" s="286">
        <v>1</v>
      </c>
      <c r="N1127" s="286">
        <v>1</v>
      </c>
      <c r="O1127" s="286">
        <v>1</v>
      </c>
      <c r="P1127" s="286">
        <v>1</v>
      </c>
      <c r="Q1127" s="286">
        <v>1</v>
      </c>
      <c r="R1127" s="332">
        <v>0</v>
      </c>
      <c r="S1127" s="370">
        <v>0</v>
      </c>
      <c r="T1127" s="63"/>
      <c r="U1127" s="10" t="s">
        <v>2895</v>
      </c>
      <c r="V1127" s="90"/>
      <c r="W1127" s="91"/>
      <c r="X1127" s="92"/>
    </row>
    <row r="1128" spans="1:25" s="260" customFormat="1">
      <c r="A1128" s="261" t="s">
        <v>598</v>
      </c>
      <c r="B1128" s="87">
        <f t="shared" si="229"/>
        <v>6</v>
      </c>
      <c r="C1128" s="262">
        <v>45896</v>
      </c>
      <c r="D1128" s="309" t="s">
        <v>2926</v>
      </c>
      <c r="E1128" s="271" t="s">
        <v>2919</v>
      </c>
      <c r="F1128" s="265">
        <f>8213.2-800-900</f>
        <v>6513.2000000000007</v>
      </c>
      <c r="G1128" s="265">
        <f>39.7+(13+1388.11)+750</f>
        <v>2190.81</v>
      </c>
      <c r="H1128" s="265"/>
      <c r="I1128" s="266">
        <f>F1128-G1128-H1128</f>
        <v>4322.3900000000012</v>
      </c>
      <c r="J1128" s="267" t="s">
        <v>228</v>
      </c>
      <c r="K1128" s="267">
        <v>1</v>
      </c>
      <c r="L1128" s="314">
        <v>0</v>
      </c>
      <c r="M1128" s="267">
        <v>1</v>
      </c>
      <c r="N1128" s="267">
        <v>1</v>
      </c>
      <c r="O1128" s="267">
        <v>1</v>
      </c>
      <c r="P1128" s="314">
        <v>0</v>
      </c>
      <c r="Q1128" s="267">
        <v>1</v>
      </c>
      <c r="R1128" s="314">
        <v>0</v>
      </c>
      <c r="S1128" s="366">
        <v>0</v>
      </c>
      <c r="T1128" s="21"/>
      <c r="U1128" s="94" t="s">
        <v>2927</v>
      </c>
      <c r="V1128" s="90"/>
      <c r="W1128" s="91"/>
      <c r="X1128" s="92"/>
    </row>
    <row r="1129" spans="1:25" s="260" customFormat="1">
      <c r="A1129" s="181" t="s">
        <v>2542</v>
      </c>
      <c r="B1129" s="87">
        <f t="shared" si="229"/>
        <v>7</v>
      </c>
      <c r="C1129" s="262">
        <v>45897</v>
      </c>
      <c r="D1129" s="271">
        <v>72735</v>
      </c>
      <c r="E1129" s="271" t="s">
        <v>1169</v>
      </c>
      <c r="F1129" s="265">
        <v>2916</v>
      </c>
      <c r="G1129" s="265">
        <f>39.7+(177.31+59.74+254.1)+300</f>
        <v>830.85</v>
      </c>
      <c r="H1129" s="265"/>
      <c r="I1129" s="266">
        <f>F1129-G1129-H1129</f>
        <v>2085.15</v>
      </c>
      <c r="J1129" s="267" t="s">
        <v>156</v>
      </c>
      <c r="K1129" s="267">
        <v>1</v>
      </c>
      <c r="L1129" s="267">
        <v>1</v>
      </c>
      <c r="M1129" s="267">
        <v>1</v>
      </c>
      <c r="N1129" s="267">
        <v>1</v>
      </c>
      <c r="O1129" s="267">
        <v>1</v>
      </c>
      <c r="P1129" s="267">
        <v>1</v>
      </c>
      <c r="Q1129" s="267">
        <v>1</v>
      </c>
      <c r="R1129" s="267">
        <v>1</v>
      </c>
      <c r="S1129" s="366">
        <v>0</v>
      </c>
      <c r="T1129" s="63"/>
      <c r="U1129" s="94" t="s">
        <v>2929</v>
      </c>
      <c r="V1129" s="90"/>
      <c r="W1129" s="136"/>
      <c r="X1129" s="137"/>
    </row>
    <row r="1130" spans="1:25" s="260" customFormat="1">
      <c r="A1130" s="261">
        <v>0.05</v>
      </c>
      <c r="B1130" s="87">
        <f t="shared" si="229"/>
        <v>8</v>
      </c>
      <c r="C1130" s="262">
        <v>45896</v>
      </c>
      <c r="D1130" s="271">
        <v>72711</v>
      </c>
      <c r="E1130" s="271" t="s">
        <v>1494</v>
      </c>
      <c r="F1130" s="265">
        <v>2792</v>
      </c>
      <c r="G1130" s="265">
        <f>+(85.41)</f>
        <v>85.41</v>
      </c>
      <c r="H1130" s="265"/>
      <c r="I1130" s="266">
        <f>F1130-G1130-H1130</f>
        <v>2706.59</v>
      </c>
      <c r="J1130" s="267" t="s">
        <v>156</v>
      </c>
      <c r="K1130" s="267">
        <v>1</v>
      </c>
      <c r="L1130" s="314">
        <v>0</v>
      </c>
      <c r="M1130" s="267">
        <v>1</v>
      </c>
      <c r="N1130" s="267">
        <v>1</v>
      </c>
      <c r="O1130" s="267">
        <v>1</v>
      </c>
      <c r="P1130" s="314">
        <v>0</v>
      </c>
      <c r="Q1130" s="314">
        <v>0</v>
      </c>
      <c r="R1130" s="314">
        <v>0</v>
      </c>
      <c r="S1130" s="366">
        <v>0</v>
      </c>
      <c r="T1130" s="63"/>
      <c r="U1130" s="94" t="s">
        <v>2928</v>
      </c>
      <c r="V1130" s="90"/>
      <c r="W1130" s="136"/>
      <c r="X1130" s="137"/>
    </row>
    <row r="1131" spans="1:25" s="260" customFormat="1">
      <c r="A1131" s="494">
        <v>0.05</v>
      </c>
      <c r="B1131" s="87">
        <f t="shared" si="229"/>
        <v>9</v>
      </c>
      <c r="C1131" s="274">
        <v>45910</v>
      </c>
      <c r="D1131" s="276">
        <v>73185</v>
      </c>
      <c r="E1131" s="276" t="s">
        <v>1319</v>
      </c>
      <c r="F1131" s="277">
        <v>1674.9</v>
      </c>
      <c r="G1131" s="277">
        <f>39.7+544.5</f>
        <v>584.20000000000005</v>
      </c>
      <c r="H1131" s="297"/>
      <c r="I1131" s="321">
        <f>F1131-G1131-H1131</f>
        <v>1090.7</v>
      </c>
      <c r="J1131" s="279" t="s">
        <v>150</v>
      </c>
      <c r="K1131" s="279">
        <v>1</v>
      </c>
      <c r="L1131" s="279">
        <v>1</v>
      </c>
      <c r="M1131" s="322">
        <v>0</v>
      </c>
      <c r="N1131" s="279">
        <v>1</v>
      </c>
      <c r="O1131" s="279">
        <v>1</v>
      </c>
      <c r="P1131" s="279">
        <v>1</v>
      </c>
      <c r="Q1131" s="322">
        <v>0</v>
      </c>
      <c r="R1131" s="322">
        <v>0</v>
      </c>
      <c r="S1131" s="328">
        <v>0</v>
      </c>
      <c r="T1131" s="63"/>
      <c r="U1131" s="10" t="s">
        <v>3013</v>
      </c>
      <c r="V1131" s="90"/>
      <c r="W1131" s="91"/>
      <c r="X1131" s="92"/>
      <c r="Y1131" s="181"/>
    </row>
    <row r="1132" spans="1:25" s="260" customFormat="1">
      <c r="A1132" s="260" t="s">
        <v>619</v>
      </c>
      <c r="B1132" s="87">
        <f t="shared" si="229"/>
        <v>10</v>
      </c>
      <c r="C1132" s="262">
        <v>45911</v>
      </c>
      <c r="D1132" s="271" t="s">
        <v>2976</v>
      </c>
      <c r="E1132" s="271" t="s">
        <v>1045</v>
      </c>
      <c r="F1132" s="265">
        <f>585-85</f>
        <v>500</v>
      </c>
      <c r="G1132" s="265"/>
      <c r="H1132" s="365"/>
      <c r="I1132" s="266">
        <f>F1132-G1132-H1132</f>
        <v>500</v>
      </c>
      <c r="J1132" s="267" t="s">
        <v>156</v>
      </c>
      <c r="K1132" s="267">
        <v>1</v>
      </c>
      <c r="L1132" s="267">
        <v>1</v>
      </c>
      <c r="M1132" s="267">
        <v>1</v>
      </c>
      <c r="N1132" s="267">
        <v>1</v>
      </c>
      <c r="O1132" s="267">
        <v>1</v>
      </c>
      <c r="P1132" s="267">
        <v>1</v>
      </c>
      <c r="Q1132" s="267">
        <v>1</v>
      </c>
      <c r="R1132" s="314">
        <v>0</v>
      </c>
      <c r="S1132" s="269">
        <v>1</v>
      </c>
      <c r="T1132" s="63"/>
      <c r="U1132" s="10"/>
      <c r="V1132" s="90"/>
      <c r="W1132" s="91"/>
      <c r="X1132" s="92"/>
      <c r="Y1132" s="181"/>
    </row>
    <row r="1133" spans="1:25" s="260" customFormat="1">
      <c r="B1133" s="87">
        <f t="shared" si="229"/>
        <v>11</v>
      </c>
      <c r="C1133" s="274">
        <v>45922</v>
      </c>
      <c r="D1133" s="276">
        <v>73507</v>
      </c>
      <c r="E1133" s="276" t="s">
        <v>1028</v>
      </c>
      <c r="F1133" s="277">
        <f>2546-85</f>
        <v>2461</v>
      </c>
      <c r="G1133" s="277">
        <f>39.7+(20.1)+2000</f>
        <v>2059.8000000000002</v>
      </c>
      <c r="H1133" s="277"/>
      <c r="I1133" s="321">
        <f>F1133-G1133-H1133</f>
        <v>401.19999999999982</v>
      </c>
      <c r="J1133" s="279" t="s">
        <v>156</v>
      </c>
      <c r="K1133" s="279">
        <v>1</v>
      </c>
      <c r="L1133" s="279">
        <v>1</v>
      </c>
      <c r="M1133" s="279">
        <v>1</v>
      </c>
      <c r="N1133" s="279">
        <v>1</v>
      </c>
      <c r="O1133" s="279">
        <v>1</v>
      </c>
      <c r="P1133" s="322">
        <v>0</v>
      </c>
      <c r="Q1133" s="322">
        <v>0</v>
      </c>
      <c r="R1133" s="322">
        <v>0</v>
      </c>
      <c r="S1133" s="328">
        <v>0</v>
      </c>
      <c r="T1133" s="63"/>
      <c r="U1133" s="94" t="s">
        <v>3023</v>
      </c>
      <c r="V1133" s="90"/>
      <c r="W1133" s="91"/>
      <c r="X1133" s="92"/>
    </row>
    <row r="1134" spans="1:25" s="260" customFormat="1">
      <c r="B1134" s="87">
        <f t="shared" si="229"/>
        <v>12</v>
      </c>
      <c r="C1134" s="282">
        <v>45922</v>
      </c>
      <c r="D1134" s="283">
        <v>73523</v>
      </c>
      <c r="E1134" s="283" t="s">
        <v>1283</v>
      </c>
      <c r="F1134" s="284">
        <v>1138</v>
      </c>
      <c r="G1134" s="284">
        <f>39.7</f>
        <v>39.700000000000003</v>
      </c>
      <c r="H1134" s="284"/>
      <c r="I1134" s="300">
        <f t="shared" ref="I1134" si="230">F1134-G1134-H1134</f>
        <v>1098.3</v>
      </c>
      <c r="J1134" s="286" t="s">
        <v>156</v>
      </c>
      <c r="K1134" s="286">
        <v>1</v>
      </c>
      <c r="L1134" s="286">
        <v>1</v>
      </c>
      <c r="M1134" s="286">
        <v>0</v>
      </c>
      <c r="N1134" s="286">
        <v>1</v>
      </c>
      <c r="O1134" s="286">
        <v>1</v>
      </c>
      <c r="P1134" s="286">
        <v>1</v>
      </c>
      <c r="Q1134" s="332">
        <v>0</v>
      </c>
      <c r="R1134" s="332">
        <v>0</v>
      </c>
      <c r="S1134" s="370">
        <v>0</v>
      </c>
      <c r="T1134" s="63"/>
      <c r="U1134" s="94" t="s">
        <v>3024</v>
      </c>
      <c r="V1134" s="90"/>
      <c r="W1134" s="91"/>
      <c r="X1134" s="92"/>
    </row>
    <row r="1135" spans="1:25" s="260" customFormat="1">
      <c r="A1135" s="260" t="s">
        <v>3025</v>
      </c>
      <c r="B1135" s="87">
        <f t="shared" si="229"/>
        <v>13</v>
      </c>
      <c r="C1135" s="295">
        <v>45923</v>
      </c>
      <c r="D1135" s="10">
        <v>73576</v>
      </c>
      <c r="E1135" s="10" t="s">
        <v>1284</v>
      </c>
      <c r="F1135" s="62">
        <v>3744.9</v>
      </c>
      <c r="G1135" s="62">
        <f>39.7+(43.69)</f>
        <v>83.39</v>
      </c>
      <c r="H1135" s="62"/>
      <c r="I1135" s="324">
        <f>F1135-G1135-H1135</f>
        <v>3661.51</v>
      </c>
      <c r="J1135" s="63" t="s">
        <v>156</v>
      </c>
      <c r="K1135" s="63">
        <v>1</v>
      </c>
      <c r="L1135" s="63">
        <v>1</v>
      </c>
      <c r="M1135" s="63">
        <v>1</v>
      </c>
      <c r="N1135" s="63">
        <v>1</v>
      </c>
      <c r="O1135" s="63">
        <v>1</v>
      </c>
      <c r="P1135" s="63">
        <v>1</v>
      </c>
      <c r="Q1135" s="325">
        <v>0</v>
      </c>
      <c r="R1135" s="325">
        <v>0</v>
      </c>
      <c r="S1135" s="326">
        <v>0</v>
      </c>
      <c r="T1135" s="63"/>
      <c r="U1135" s="94" t="s">
        <v>3108</v>
      </c>
      <c r="V1135" s="90"/>
      <c r="W1135" s="91"/>
      <c r="X1135" s="92"/>
    </row>
    <row r="1136" spans="1:25" s="260" customFormat="1">
      <c r="A1136" s="530">
        <v>45924</v>
      </c>
      <c r="B1136" s="87">
        <f t="shared" si="229"/>
        <v>14</v>
      </c>
      <c r="C1136" s="295">
        <v>45923</v>
      </c>
      <c r="D1136" s="10">
        <v>73570</v>
      </c>
      <c r="E1136" s="10" t="s">
        <v>1169</v>
      </c>
      <c r="F1136" s="62">
        <v>5814</v>
      </c>
      <c r="G1136" s="62">
        <f>39.7+(1396.24)+250</f>
        <v>1685.94</v>
      </c>
      <c r="H1136" s="62"/>
      <c r="I1136" s="324">
        <f>F1136-G1136-H1136</f>
        <v>4128.0599999999995</v>
      </c>
      <c r="J1136" s="63" t="s">
        <v>150</v>
      </c>
      <c r="K1136" s="63">
        <v>1</v>
      </c>
      <c r="L1136" s="63">
        <v>1</v>
      </c>
      <c r="M1136" s="63">
        <v>1</v>
      </c>
      <c r="N1136" s="63">
        <v>1</v>
      </c>
      <c r="O1136" s="63">
        <v>1</v>
      </c>
      <c r="P1136" s="325">
        <v>0</v>
      </c>
      <c r="Q1136" s="325">
        <v>0</v>
      </c>
      <c r="R1136" s="325">
        <v>0</v>
      </c>
      <c r="S1136" s="326">
        <v>0</v>
      </c>
      <c r="T1136" s="63"/>
      <c r="U1136" s="94" t="s">
        <v>3027</v>
      </c>
      <c r="V1136" s="90"/>
      <c r="W1136" s="136"/>
      <c r="X1136" s="92"/>
    </row>
    <row r="1137" spans="1:25" s="260" customFormat="1">
      <c r="B1137" s="87">
        <f t="shared" si="229"/>
        <v>15</v>
      </c>
      <c r="C1137" s="262">
        <v>45924</v>
      </c>
      <c r="D1137" s="271">
        <v>73530</v>
      </c>
      <c r="E1137" s="264" t="s">
        <v>1088</v>
      </c>
      <c r="F1137" s="265">
        <v>1138</v>
      </c>
      <c r="G1137" s="265">
        <f>39.7</f>
        <v>39.700000000000003</v>
      </c>
      <c r="H1137" s="265"/>
      <c r="I1137" s="266">
        <f t="shared" ref="I1137:I1141" si="231">F1137-G1137-H1137</f>
        <v>1098.3</v>
      </c>
      <c r="J1137" s="267" t="s">
        <v>156</v>
      </c>
      <c r="K1137" s="267">
        <v>1</v>
      </c>
      <c r="L1137" s="267">
        <v>1</v>
      </c>
      <c r="M1137" s="267">
        <v>1</v>
      </c>
      <c r="N1137" s="267">
        <v>1</v>
      </c>
      <c r="O1137" s="267">
        <v>1</v>
      </c>
      <c r="P1137" s="267">
        <v>1</v>
      </c>
      <c r="Q1137" s="267">
        <v>1</v>
      </c>
      <c r="R1137" s="314">
        <v>0</v>
      </c>
      <c r="S1137" s="366">
        <v>0</v>
      </c>
      <c r="T1137" s="63"/>
      <c r="U1137" s="10" t="s">
        <v>3028</v>
      </c>
      <c r="V1137" s="90"/>
      <c r="W1137" s="91"/>
      <c r="X1137" s="92"/>
    </row>
    <row r="1138" spans="1:25" s="260" customFormat="1">
      <c r="A1138" s="261" t="s">
        <v>3067</v>
      </c>
      <c r="B1138" s="87">
        <f t="shared" si="229"/>
        <v>16</v>
      </c>
      <c r="C1138" s="262">
        <v>45925</v>
      </c>
      <c r="D1138" s="271" t="s">
        <v>3033</v>
      </c>
      <c r="E1138" s="264" t="s">
        <v>1169</v>
      </c>
      <c r="F1138" s="265">
        <v>12727.27</v>
      </c>
      <c r="G1138" s="265">
        <f>39.7+(174.85+290.29+58.59+212.47+35.91)+1000</f>
        <v>1811.81</v>
      </c>
      <c r="H1138" s="265"/>
      <c r="I1138" s="266">
        <f t="shared" si="231"/>
        <v>10915.460000000001</v>
      </c>
      <c r="J1138" s="267" t="s">
        <v>374</v>
      </c>
      <c r="K1138" s="267">
        <v>1</v>
      </c>
      <c r="L1138" s="267">
        <v>1</v>
      </c>
      <c r="M1138" s="267">
        <v>1</v>
      </c>
      <c r="N1138" s="267">
        <v>1</v>
      </c>
      <c r="O1138" s="267">
        <v>1</v>
      </c>
      <c r="P1138" s="267">
        <v>1</v>
      </c>
      <c r="Q1138" s="314">
        <v>0</v>
      </c>
      <c r="R1138" s="314">
        <v>0</v>
      </c>
      <c r="S1138" s="366">
        <v>0</v>
      </c>
      <c r="T1138" s="63"/>
      <c r="U1138" s="94" t="s">
        <v>3034</v>
      </c>
      <c r="V1138" s="90"/>
      <c r="W1138" s="136"/>
      <c r="X1138" s="137"/>
    </row>
    <row r="1139" spans="1:25" s="260" customFormat="1">
      <c r="A1139" s="261" t="s">
        <v>1242</v>
      </c>
      <c r="B1139" s="87">
        <f t="shared" si="229"/>
        <v>17</v>
      </c>
      <c r="C1139" s="274">
        <v>45929</v>
      </c>
      <c r="D1139" s="276">
        <v>73733</v>
      </c>
      <c r="E1139" s="281" t="s">
        <v>1045</v>
      </c>
      <c r="F1139" s="277">
        <v>986</v>
      </c>
      <c r="G1139" s="277">
        <f>39.7</f>
        <v>39.700000000000003</v>
      </c>
      <c r="H1139" s="277"/>
      <c r="I1139" s="278">
        <f t="shared" si="231"/>
        <v>946.3</v>
      </c>
      <c r="J1139" s="279"/>
      <c r="K1139" s="279">
        <v>1</v>
      </c>
      <c r="L1139" s="279">
        <v>1</v>
      </c>
      <c r="M1139" s="279"/>
      <c r="N1139" s="279">
        <v>1</v>
      </c>
      <c r="O1139" s="279">
        <v>1</v>
      </c>
      <c r="P1139" s="279">
        <v>1</v>
      </c>
      <c r="Q1139" s="279">
        <v>1</v>
      </c>
      <c r="R1139" s="279">
        <v>1</v>
      </c>
      <c r="S1139" s="280">
        <v>1</v>
      </c>
      <c r="T1139" s="63"/>
      <c r="U1139" s="10"/>
      <c r="V1139" s="90"/>
      <c r="W1139" s="91"/>
      <c r="X1139" s="92"/>
    </row>
    <row r="1140" spans="1:25" s="260" customFormat="1">
      <c r="A1140" s="261">
        <v>0.05</v>
      </c>
      <c r="B1140" s="87">
        <f t="shared" si="229"/>
        <v>18</v>
      </c>
      <c r="C1140" s="274">
        <v>45930</v>
      </c>
      <c r="D1140" s="276">
        <v>73804</v>
      </c>
      <c r="E1140" s="281" t="s">
        <v>1028</v>
      </c>
      <c r="F1140" s="277">
        <v>621</v>
      </c>
      <c r="G1140" s="277"/>
      <c r="H1140" s="277"/>
      <c r="I1140" s="278">
        <f t="shared" si="231"/>
        <v>621</v>
      </c>
      <c r="J1140" s="279" t="s">
        <v>150</v>
      </c>
      <c r="K1140" s="279">
        <v>1</v>
      </c>
      <c r="L1140" s="279">
        <v>1</v>
      </c>
      <c r="M1140" s="279">
        <v>1</v>
      </c>
      <c r="N1140" s="279">
        <v>1</v>
      </c>
      <c r="O1140" s="279">
        <v>1</v>
      </c>
      <c r="P1140" s="279">
        <v>1</v>
      </c>
      <c r="Q1140" s="279">
        <v>1</v>
      </c>
      <c r="R1140" s="279">
        <v>1</v>
      </c>
      <c r="S1140" s="280">
        <v>1</v>
      </c>
      <c r="T1140" s="63"/>
      <c r="U1140" s="10"/>
      <c r="V1140" s="90"/>
      <c r="W1140" s="91"/>
      <c r="X1140" s="92"/>
    </row>
    <row r="1141" spans="1:25" s="260" customFormat="1">
      <c r="A1141" s="261">
        <v>0.05</v>
      </c>
      <c r="B1141" s="87">
        <f t="shared" si="229"/>
        <v>19</v>
      </c>
      <c r="C1141" s="274">
        <v>45932</v>
      </c>
      <c r="D1141" s="276">
        <v>73923</v>
      </c>
      <c r="E1141" s="276" t="s">
        <v>1196</v>
      </c>
      <c r="F1141" s="277">
        <v>681</v>
      </c>
      <c r="G1141" s="277"/>
      <c r="H1141" s="277"/>
      <c r="I1141" s="321">
        <f t="shared" si="231"/>
        <v>681</v>
      </c>
      <c r="J1141" s="279"/>
      <c r="K1141" s="279">
        <v>1</v>
      </c>
      <c r="L1141" s="279">
        <v>1</v>
      </c>
      <c r="M1141" s="279"/>
      <c r="N1141" s="279">
        <v>1</v>
      </c>
      <c r="O1141" s="279">
        <v>1</v>
      </c>
      <c r="P1141" s="279">
        <v>1</v>
      </c>
      <c r="Q1141" s="279">
        <v>1</v>
      </c>
      <c r="R1141" s="322">
        <v>0</v>
      </c>
      <c r="S1141" s="328">
        <v>0</v>
      </c>
      <c r="T1141" s="63"/>
      <c r="U1141" s="10"/>
      <c r="V1141" s="90"/>
      <c r="W1141" s="91"/>
      <c r="X1141" s="92"/>
    </row>
    <row r="1142" spans="1:25" s="260" customFormat="1">
      <c r="A1142" s="261">
        <v>0.05</v>
      </c>
      <c r="B1142" s="87">
        <f t="shared" si="229"/>
        <v>20</v>
      </c>
      <c r="C1142" s="282">
        <v>45932</v>
      </c>
      <c r="D1142" s="283" t="s">
        <v>3063</v>
      </c>
      <c r="E1142" s="283" t="s">
        <v>1196</v>
      </c>
      <c r="F1142" s="284">
        <v>6814</v>
      </c>
      <c r="G1142" s="284">
        <f>39.7+(1358.29)+250</f>
        <v>1647.99</v>
      </c>
      <c r="H1142" s="284"/>
      <c r="I1142" s="300">
        <f>F1142-G1142-H1142</f>
        <v>5166.01</v>
      </c>
      <c r="J1142" s="286" t="s">
        <v>156</v>
      </c>
      <c r="K1142" s="286">
        <v>1</v>
      </c>
      <c r="L1142" s="286">
        <v>1</v>
      </c>
      <c r="M1142" s="286">
        <v>1</v>
      </c>
      <c r="N1142" s="286">
        <v>1</v>
      </c>
      <c r="O1142" s="286">
        <v>1</v>
      </c>
      <c r="P1142" s="286">
        <v>1</v>
      </c>
      <c r="Q1142" s="332">
        <v>0</v>
      </c>
      <c r="R1142" s="332">
        <v>0</v>
      </c>
      <c r="S1142" s="370">
        <v>0</v>
      </c>
      <c r="T1142" s="21"/>
      <c r="U1142" s="94" t="s">
        <v>3064</v>
      </c>
      <c r="V1142" s="90"/>
      <c r="W1142" s="91"/>
      <c r="X1142" s="92"/>
    </row>
    <row r="1143" spans="1:25" s="260" customFormat="1">
      <c r="A1143" s="261" t="s">
        <v>3094</v>
      </c>
      <c r="B1143" s="87">
        <f t="shared" si="229"/>
        <v>21</v>
      </c>
      <c r="C1143" s="262">
        <v>45933</v>
      </c>
      <c r="D1143" s="271" t="s">
        <v>3065</v>
      </c>
      <c r="E1143" s="271" t="s">
        <v>1319</v>
      </c>
      <c r="F1143" s="265">
        <v>1152.9000000000001</v>
      </c>
      <c r="G1143" s="265"/>
      <c r="H1143" s="265"/>
      <c r="I1143" s="266">
        <f t="shared" ref="I1143:I1145" si="232">F1143-G1143-H1143</f>
        <v>1152.9000000000001</v>
      </c>
      <c r="J1143" s="267"/>
      <c r="K1143" s="267">
        <v>1</v>
      </c>
      <c r="L1143" s="267"/>
      <c r="M1143" s="267"/>
      <c r="N1143" s="267">
        <v>1</v>
      </c>
      <c r="O1143" s="267">
        <v>1</v>
      </c>
      <c r="P1143" s="314">
        <v>0</v>
      </c>
      <c r="Q1143" s="267"/>
      <c r="R1143" s="267"/>
      <c r="S1143" s="269"/>
      <c r="T1143" s="21"/>
      <c r="U1143" s="94" t="s">
        <v>3066</v>
      </c>
      <c r="V1143" s="90"/>
      <c r="W1143" s="136"/>
      <c r="X1143" s="137"/>
    </row>
    <row r="1144" spans="1:25" s="260" customFormat="1">
      <c r="A1144" s="494">
        <v>0.05</v>
      </c>
      <c r="B1144" s="87">
        <f t="shared" si="229"/>
        <v>22</v>
      </c>
      <c r="C1144" s="274">
        <v>45939</v>
      </c>
      <c r="D1144" s="276">
        <v>74222</v>
      </c>
      <c r="E1144" s="281" t="s">
        <v>1284</v>
      </c>
      <c r="F1144" s="277">
        <v>600</v>
      </c>
      <c r="G1144" s="277">
        <f>+(19.96)</f>
        <v>19.96</v>
      </c>
      <c r="H1144" s="277"/>
      <c r="I1144" s="321">
        <f t="shared" si="232"/>
        <v>580.04</v>
      </c>
      <c r="J1144" s="279" t="s">
        <v>156</v>
      </c>
      <c r="K1144" s="279">
        <v>1</v>
      </c>
      <c r="L1144" s="279">
        <v>1</v>
      </c>
      <c r="M1144" s="279">
        <v>1</v>
      </c>
      <c r="N1144" s="279">
        <v>1</v>
      </c>
      <c r="O1144" s="279">
        <v>1</v>
      </c>
      <c r="P1144" s="322">
        <v>0</v>
      </c>
      <c r="Q1144" s="322">
        <v>0</v>
      </c>
      <c r="R1144" s="322">
        <v>0</v>
      </c>
      <c r="S1144" s="328">
        <v>0</v>
      </c>
      <c r="T1144" s="63"/>
      <c r="U1144" s="10"/>
      <c r="V1144" s="90"/>
      <c r="W1144" s="91"/>
      <c r="X1144" s="92"/>
    </row>
    <row r="1145" spans="1:25" s="260" customFormat="1">
      <c r="A1145" s="494">
        <v>0.05</v>
      </c>
      <c r="B1145" s="87">
        <f t="shared" si="229"/>
        <v>23</v>
      </c>
      <c r="C1145" s="262">
        <v>45940</v>
      </c>
      <c r="D1145" s="271">
        <v>74295</v>
      </c>
      <c r="E1145" s="264" t="s">
        <v>1273</v>
      </c>
      <c r="F1145" s="265">
        <v>681</v>
      </c>
      <c r="G1145" s="265"/>
      <c r="H1145" s="265"/>
      <c r="I1145" s="266">
        <f t="shared" si="232"/>
        <v>681</v>
      </c>
      <c r="J1145" s="267"/>
      <c r="K1145" s="267">
        <v>1</v>
      </c>
      <c r="L1145" s="267">
        <v>1</v>
      </c>
      <c r="M1145" s="267"/>
      <c r="N1145" s="267">
        <v>1</v>
      </c>
      <c r="O1145" s="267">
        <v>1</v>
      </c>
      <c r="P1145" s="314">
        <v>0</v>
      </c>
      <c r="Q1145" s="314">
        <v>0</v>
      </c>
      <c r="R1145" s="314">
        <v>0</v>
      </c>
      <c r="S1145" s="366">
        <v>0</v>
      </c>
      <c r="T1145" s="63"/>
      <c r="U1145" s="10" t="s">
        <v>3085</v>
      </c>
      <c r="V1145" s="90"/>
      <c r="W1145" s="91"/>
      <c r="X1145" s="92"/>
    </row>
    <row r="1146" spans="1:25" s="260" customFormat="1">
      <c r="B1146" s="11"/>
      <c r="C1146" s="36"/>
      <c r="D1146" s="10"/>
      <c r="E1146" s="10"/>
      <c r="F1146" s="98">
        <f>SUM(F1123:F1145)</f>
        <v>96161.17</v>
      </c>
      <c r="G1146" s="98">
        <f t="shared" ref="G1146:I1146" si="233">SUM(G1123:G1145)</f>
        <v>24390.760000000002</v>
      </c>
      <c r="H1146" s="98">
        <f t="shared" si="233"/>
        <v>0</v>
      </c>
      <c r="I1146" s="98">
        <f t="shared" si="233"/>
        <v>71770.409999999989</v>
      </c>
      <c r="J1146" s="63"/>
      <c r="K1146" s="21"/>
      <c r="L1146" s="21"/>
      <c r="M1146" s="21"/>
      <c r="N1146" s="21"/>
      <c r="O1146" s="21"/>
      <c r="P1146" s="21"/>
      <c r="Q1146" s="21"/>
      <c r="R1146" s="21"/>
      <c r="S1146" s="21"/>
      <c r="T1146" s="63"/>
      <c r="U1146" s="10"/>
      <c r="V1146" s="90"/>
      <c r="W1146" s="91"/>
      <c r="X1146" s="92"/>
    </row>
    <row r="1147" spans="1:25" s="260" customFormat="1">
      <c r="B1147" s="11"/>
      <c r="C1147" s="36"/>
      <c r="D1147" s="10"/>
      <c r="E1147" s="10"/>
      <c r="F1147" s="88"/>
      <c r="G1147" s="88"/>
      <c r="H1147" s="88"/>
      <c r="I1147" s="99"/>
      <c r="J1147" s="63"/>
      <c r="K1147" s="21"/>
      <c r="L1147" s="21"/>
      <c r="M1147" s="21"/>
      <c r="N1147" s="21"/>
      <c r="O1147" s="21"/>
      <c r="P1147" s="21"/>
      <c r="Q1147" s="21"/>
      <c r="R1147" s="21"/>
      <c r="S1147" s="21"/>
      <c r="T1147" s="63"/>
      <c r="U1147" s="10"/>
      <c r="V1147" s="90"/>
      <c r="W1147" s="91"/>
      <c r="X1147" s="92"/>
    </row>
    <row r="1148" spans="1:25" s="260" customFormat="1">
      <c r="A1148" s="181"/>
      <c r="B1148" s="100" t="s">
        <v>202</v>
      </c>
      <c r="C1148" s="36"/>
      <c r="D1148" s="10"/>
      <c r="E1148" s="181"/>
      <c r="F1148" s="88"/>
      <c r="G1148" s="88"/>
      <c r="H1148" s="88"/>
      <c r="I1148" s="99"/>
      <c r="J1148" s="63"/>
      <c r="K1148" s="21"/>
      <c r="L1148" s="21"/>
      <c r="M1148" s="21"/>
      <c r="N1148" s="21"/>
      <c r="O1148" s="21"/>
      <c r="P1148" s="21"/>
      <c r="Q1148" s="21"/>
      <c r="R1148" s="21"/>
      <c r="S1148" s="21"/>
      <c r="T1148" s="63"/>
      <c r="U1148" s="94"/>
      <c r="V1148" s="90"/>
      <c r="W1148" s="91"/>
      <c r="X1148" s="92"/>
    </row>
    <row r="1149" spans="1:25" s="260" customFormat="1">
      <c r="A1149" s="261">
        <v>0.05</v>
      </c>
      <c r="B1149" s="87">
        <v>1</v>
      </c>
      <c r="C1149" s="274">
        <v>45884</v>
      </c>
      <c r="D1149" s="276">
        <v>72342</v>
      </c>
      <c r="E1149" s="276" t="s">
        <v>1231</v>
      </c>
      <c r="F1149" s="277">
        <v>2215</v>
      </c>
      <c r="G1149" s="277">
        <f>39.7</f>
        <v>39.700000000000003</v>
      </c>
      <c r="H1149" s="277"/>
      <c r="I1149" s="321">
        <f>F1149-G1149-H1149</f>
        <v>2175.3000000000002</v>
      </c>
      <c r="J1149" s="279" t="s">
        <v>156</v>
      </c>
      <c r="K1149" s="279">
        <v>1</v>
      </c>
      <c r="L1149" s="279"/>
      <c r="M1149" s="279">
        <v>1</v>
      </c>
      <c r="N1149" s="279">
        <v>1</v>
      </c>
      <c r="O1149" s="279">
        <v>1</v>
      </c>
      <c r="P1149" s="322">
        <v>0</v>
      </c>
      <c r="Q1149" s="279"/>
      <c r="R1149" s="279"/>
      <c r="S1149" s="280"/>
      <c r="T1149" s="63"/>
      <c r="U1149" s="94"/>
      <c r="V1149" s="90"/>
      <c r="W1149" s="136"/>
      <c r="X1149" s="137"/>
    </row>
    <row r="1150" spans="1:25" s="260" customFormat="1">
      <c r="A1150" s="261">
        <v>0.05</v>
      </c>
      <c r="B1150" s="87">
        <f t="shared" ref="B1150:B1153" si="234">B1149+1</f>
        <v>2</v>
      </c>
      <c r="C1150" s="262">
        <v>45890</v>
      </c>
      <c r="D1150" s="273" t="s">
        <v>2899</v>
      </c>
      <c r="E1150" s="271" t="s">
        <v>1058</v>
      </c>
      <c r="F1150" s="265">
        <v>59586</v>
      </c>
      <c r="G1150" s="265">
        <f>39.7+(117.24+344.15+121.94+185.08+231.75+13.3+541.6+324.42+190.2+7.67+45.96+45.96)+(141.77+494.21+630.04+1692.3+195.23+846.26+279.65+375.94+375.94)+(F1150*0.25)</f>
        <v>22136.809999999998</v>
      </c>
      <c r="H1150" s="365"/>
      <c r="I1150" s="272">
        <f>F1150-G1150-H1150</f>
        <v>37449.19</v>
      </c>
      <c r="J1150" s="267" t="s">
        <v>374</v>
      </c>
      <c r="K1150" s="267">
        <v>1</v>
      </c>
      <c r="L1150" s="267"/>
      <c r="M1150" s="267"/>
      <c r="N1150" s="267">
        <v>1</v>
      </c>
      <c r="O1150" s="267">
        <v>1</v>
      </c>
      <c r="P1150" s="267">
        <v>1</v>
      </c>
      <c r="Q1150" s="267"/>
      <c r="R1150" s="267"/>
      <c r="S1150" s="269"/>
      <c r="T1150" s="63"/>
      <c r="U1150" s="10" t="s">
        <v>3109</v>
      </c>
      <c r="V1150" s="90"/>
      <c r="W1150" s="136"/>
      <c r="X1150" s="137"/>
    </row>
    <row r="1151" spans="1:25" s="260" customFormat="1">
      <c r="A1151" s="494">
        <v>0.05</v>
      </c>
      <c r="B1151" s="87">
        <f t="shared" si="234"/>
        <v>3</v>
      </c>
      <c r="C1151" s="262">
        <v>45905</v>
      </c>
      <c r="D1151" s="271" t="s">
        <v>2957</v>
      </c>
      <c r="E1151" s="264" t="s">
        <v>1256</v>
      </c>
      <c r="F1151" s="265">
        <v>12814</v>
      </c>
      <c r="G1151" s="265">
        <f>39.7+96+(87+78.53+78.52+29.64+5.14+37.28+270.17+82.7)+(196.98)+1000</f>
        <v>2001.66</v>
      </c>
      <c r="H1151" s="265"/>
      <c r="I1151" s="272">
        <f>F1151-G1151-H1151</f>
        <v>10812.34</v>
      </c>
      <c r="J1151" s="267" t="s">
        <v>156</v>
      </c>
      <c r="K1151" s="267">
        <v>1</v>
      </c>
      <c r="L1151" s="267"/>
      <c r="M1151" s="267">
        <v>1</v>
      </c>
      <c r="N1151" s="267">
        <v>1</v>
      </c>
      <c r="O1151" s="267">
        <v>1</v>
      </c>
      <c r="P1151" s="267">
        <v>1</v>
      </c>
      <c r="Q1151" s="267"/>
      <c r="R1151" s="267"/>
      <c r="S1151" s="269"/>
      <c r="T1151" s="63"/>
      <c r="U1151" s="94" t="s">
        <v>3110</v>
      </c>
      <c r="V1151" s="90"/>
      <c r="W1151" s="136"/>
      <c r="X1151" s="137"/>
    </row>
    <row r="1152" spans="1:25" s="260" customFormat="1">
      <c r="A1152" s="494">
        <v>0.05</v>
      </c>
      <c r="B1152" s="87">
        <f t="shared" si="234"/>
        <v>4</v>
      </c>
      <c r="C1152" s="262">
        <v>45910</v>
      </c>
      <c r="D1152" s="271">
        <v>73205</v>
      </c>
      <c r="E1152" s="271" t="s">
        <v>1058</v>
      </c>
      <c r="F1152" s="265">
        <v>14049</v>
      </c>
      <c r="G1152" s="265">
        <f>39.7+(795.1)+1000</f>
        <v>1834.8000000000002</v>
      </c>
      <c r="H1152" s="265"/>
      <c r="I1152" s="272">
        <f>F1152-G1152-H1152</f>
        <v>12214.2</v>
      </c>
      <c r="J1152" s="267" t="s">
        <v>374</v>
      </c>
      <c r="K1152" s="267">
        <v>1</v>
      </c>
      <c r="L1152" s="267"/>
      <c r="M1152" s="267">
        <v>1</v>
      </c>
      <c r="N1152" s="267">
        <v>1</v>
      </c>
      <c r="O1152" s="267">
        <v>1</v>
      </c>
      <c r="P1152" s="267">
        <v>1</v>
      </c>
      <c r="Q1152" s="267"/>
      <c r="R1152" s="267"/>
      <c r="S1152" s="269"/>
      <c r="T1152" s="63"/>
      <c r="U1152" s="94" t="s">
        <v>2980</v>
      </c>
      <c r="V1152" s="90"/>
      <c r="W1152" s="136"/>
      <c r="X1152" s="137"/>
      <c r="Y1152" s="181"/>
    </row>
    <row r="1153" spans="1:24" s="260" customFormat="1">
      <c r="A1153" s="261">
        <v>0.05</v>
      </c>
      <c r="B1153" s="87">
        <f t="shared" si="234"/>
        <v>5</v>
      </c>
      <c r="C1153" s="274">
        <v>45915</v>
      </c>
      <c r="D1153" s="276" t="s">
        <v>3009</v>
      </c>
      <c r="E1153" s="276" t="s">
        <v>1047</v>
      </c>
      <c r="F1153" s="277">
        <v>12814</v>
      </c>
      <c r="G1153" s="277">
        <f>39.7+40+292+(140.32+64.57)+(41.36+105.71)+1000</f>
        <v>1723.6599999999999</v>
      </c>
      <c r="H1153" s="277"/>
      <c r="I1153" s="321">
        <f>F1153-G1153-H1153</f>
        <v>11090.34</v>
      </c>
      <c r="J1153" s="279" t="s">
        <v>150</v>
      </c>
      <c r="K1153" s="279">
        <v>1</v>
      </c>
      <c r="L1153" s="279">
        <v>1</v>
      </c>
      <c r="M1153" s="279">
        <v>1</v>
      </c>
      <c r="N1153" s="279">
        <v>1</v>
      </c>
      <c r="O1153" s="279">
        <v>1</v>
      </c>
      <c r="P1153" s="322">
        <v>0</v>
      </c>
      <c r="Q1153" s="322">
        <v>0</v>
      </c>
      <c r="R1153" s="322">
        <v>0</v>
      </c>
      <c r="S1153" s="328">
        <v>0</v>
      </c>
      <c r="T1153" s="63"/>
      <c r="U1153" s="94" t="s">
        <v>3010</v>
      </c>
      <c r="V1153" s="90"/>
      <c r="W1153" s="136"/>
      <c r="X1153" s="92"/>
    </row>
    <row r="1154" spans="1:24" s="260" customFormat="1">
      <c r="A1154" s="261">
        <v>0.05</v>
      </c>
      <c r="B1154" s="87">
        <f>B1153+1</f>
        <v>6</v>
      </c>
      <c r="C1154" s="274">
        <v>45924</v>
      </c>
      <c r="D1154" s="276">
        <v>73656</v>
      </c>
      <c r="E1154" s="276" t="s">
        <v>1115</v>
      </c>
      <c r="F1154" s="277">
        <f>3046-185</f>
        <v>2861</v>
      </c>
      <c r="G1154" s="277">
        <f>39.7</f>
        <v>39.700000000000003</v>
      </c>
      <c r="H1154" s="277"/>
      <c r="I1154" s="321">
        <f>F1154-G1154-H1154</f>
        <v>2821.3</v>
      </c>
      <c r="J1154" s="279" t="s">
        <v>228</v>
      </c>
      <c r="K1154" s="279">
        <v>1</v>
      </c>
      <c r="L1154" s="279">
        <v>1</v>
      </c>
      <c r="M1154" s="279">
        <v>1</v>
      </c>
      <c r="N1154" s="279">
        <v>1</v>
      </c>
      <c r="O1154" s="279">
        <v>1</v>
      </c>
      <c r="P1154" s="322">
        <v>0</v>
      </c>
      <c r="Q1154" s="279">
        <v>1</v>
      </c>
      <c r="R1154" s="322">
        <v>0</v>
      </c>
      <c r="S1154" s="280">
        <v>1</v>
      </c>
      <c r="T1154" s="63"/>
      <c r="U1154" s="94" t="s">
        <v>3068</v>
      </c>
      <c r="V1154" s="90"/>
      <c r="W1154" s="136"/>
      <c r="X1154" s="137"/>
    </row>
    <row r="1155" spans="1:24" s="260" customFormat="1">
      <c r="A1155" s="261">
        <v>0.05</v>
      </c>
      <c r="B1155" s="87">
        <f t="shared" ref="B1155:B1161" si="235">B1154+1</f>
        <v>7</v>
      </c>
      <c r="C1155" s="282">
        <v>45924</v>
      </c>
      <c r="D1155" s="283" t="s">
        <v>3031</v>
      </c>
      <c r="E1155" s="283" t="s">
        <v>1115</v>
      </c>
      <c r="F1155" s="284">
        <v>1363.64</v>
      </c>
      <c r="G1155" s="284">
        <f>39.7+35.17+(70.09)+300</f>
        <v>444.96000000000004</v>
      </c>
      <c r="H1155" s="284"/>
      <c r="I1155" s="300">
        <f>F1155-G1155-H1155</f>
        <v>918.68000000000006</v>
      </c>
      <c r="J1155" s="286" t="s">
        <v>156</v>
      </c>
      <c r="K1155" s="286">
        <v>1</v>
      </c>
      <c r="L1155" s="286">
        <v>1</v>
      </c>
      <c r="M1155" s="286">
        <v>1</v>
      </c>
      <c r="N1155" s="286">
        <v>1</v>
      </c>
      <c r="O1155" s="286">
        <v>1</v>
      </c>
      <c r="P1155" s="286">
        <v>1</v>
      </c>
      <c r="Q1155" s="332">
        <v>0</v>
      </c>
      <c r="R1155" s="332">
        <v>0</v>
      </c>
      <c r="S1155" s="370">
        <v>0</v>
      </c>
      <c r="T1155" s="63"/>
      <c r="U1155" s="94" t="s">
        <v>3069</v>
      </c>
      <c r="V1155" s="90"/>
      <c r="W1155" s="136"/>
      <c r="X1155" s="137"/>
    </row>
    <row r="1156" spans="1:24" s="260" customFormat="1">
      <c r="A1156" s="494">
        <v>0.05</v>
      </c>
      <c r="B1156" s="87">
        <f t="shared" si="235"/>
        <v>8</v>
      </c>
      <c r="C1156" s="274">
        <v>45936</v>
      </c>
      <c r="D1156" s="276">
        <v>74104</v>
      </c>
      <c r="E1156" s="276" t="s">
        <v>1088</v>
      </c>
      <c r="F1156" s="277">
        <v>1261</v>
      </c>
      <c r="G1156" s="277">
        <f>39.7</f>
        <v>39.700000000000003</v>
      </c>
      <c r="H1156" s="277"/>
      <c r="I1156" s="278">
        <f t="shared" ref="I1156" si="236">F1156-G1156-H1156</f>
        <v>1221.3</v>
      </c>
      <c r="J1156" s="279" t="s">
        <v>156</v>
      </c>
      <c r="K1156" s="279">
        <v>1</v>
      </c>
      <c r="L1156" s="279"/>
      <c r="M1156" s="279">
        <v>1</v>
      </c>
      <c r="N1156" s="279">
        <v>1</v>
      </c>
      <c r="O1156" s="279">
        <v>1</v>
      </c>
      <c r="P1156" s="279">
        <v>1</v>
      </c>
      <c r="Q1156" s="279"/>
      <c r="R1156" s="279"/>
      <c r="S1156" s="280"/>
      <c r="T1156" s="63"/>
      <c r="U1156" s="94"/>
      <c r="V1156" s="90"/>
      <c r="W1156" s="136"/>
      <c r="X1156" s="137"/>
    </row>
    <row r="1157" spans="1:24" s="260" customFormat="1">
      <c r="A1157" s="494">
        <v>0.05</v>
      </c>
      <c r="B1157" s="87">
        <f t="shared" si="235"/>
        <v>9</v>
      </c>
      <c r="C1157" s="295">
        <v>45936</v>
      </c>
      <c r="D1157" s="10" t="s">
        <v>3086</v>
      </c>
      <c r="E1157" s="10" t="s">
        <v>1088</v>
      </c>
      <c r="F1157" s="62">
        <v>6132.6</v>
      </c>
      <c r="G1157" s="62">
        <f>39.7</f>
        <v>39.700000000000003</v>
      </c>
      <c r="H1157" s="62"/>
      <c r="I1157" s="89">
        <f>F1157-G1157-H1157</f>
        <v>6092.9000000000005</v>
      </c>
      <c r="J1157" s="63" t="s">
        <v>156</v>
      </c>
      <c r="K1157" s="63">
        <v>1</v>
      </c>
      <c r="L1157" s="63"/>
      <c r="M1157" s="63">
        <v>1</v>
      </c>
      <c r="N1157" s="63">
        <v>1</v>
      </c>
      <c r="O1157" s="63">
        <v>1</v>
      </c>
      <c r="P1157" s="63">
        <v>1</v>
      </c>
      <c r="Q1157" s="63"/>
      <c r="R1157" s="63"/>
      <c r="S1157" s="296"/>
      <c r="T1157" s="63"/>
      <c r="U1157" s="94" t="s">
        <v>3111</v>
      </c>
      <c r="V1157" s="90"/>
      <c r="W1157" s="136"/>
      <c r="X1157" s="137"/>
    </row>
    <row r="1158" spans="1:24" s="260" customFormat="1">
      <c r="A1158" s="494">
        <v>0.05</v>
      </c>
      <c r="B1158" s="87">
        <f t="shared" si="235"/>
        <v>10</v>
      </c>
      <c r="C1158" s="274">
        <v>45939</v>
      </c>
      <c r="D1158" s="276">
        <v>74268</v>
      </c>
      <c r="E1158" s="276" t="s">
        <v>1273</v>
      </c>
      <c r="F1158" s="277">
        <v>8641</v>
      </c>
      <c r="G1158" s="277">
        <f>39.7+111.2+(71.1+59.28)+(305.4+149.01+161.17+59.57+210.55-391.64+30.8+71.5)+750</f>
        <v>1627.6399999999999</v>
      </c>
      <c r="H1158" s="277"/>
      <c r="I1158" s="278">
        <f>F1158-G1158-H1158</f>
        <v>7013.3600000000006</v>
      </c>
      <c r="J1158" s="279" t="s">
        <v>156</v>
      </c>
      <c r="K1158" s="279">
        <v>1</v>
      </c>
      <c r="L1158" s="279"/>
      <c r="M1158" s="279">
        <v>1</v>
      </c>
      <c r="N1158" s="279">
        <v>1</v>
      </c>
      <c r="O1158" s="279">
        <v>1</v>
      </c>
      <c r="P1158" s="279">
        <v>1</v>
      </c>
      <c r="Q1158" s="279"/>
      <c r="R1158" s="279"/>
      <c r="S1158" s="280"/>
      <c r="T1158" s="63"/>
      <c r="U1158" s="94" t="s">
        <v>3088</v>
      </c>
      <c r="V1158" s="90"/>
      <c r="W1158" s="136"/>
      <c r="X1158" s="137"/>
    </row>
    <row r="1159" spans="1:24" s="260" customFormat="1">
      <c r="A1159" s="494">
        <v>0.05</v>
      </c>
      <c r="B1159" s="87">
        <f t="shared" si="235"/>
        <v>11</v>
      </c>
      <c r="C1159" s="274">
        <v>45940</v>
      </c>
      <c r="D1159" s="276" t="s">
        <v>3089</v>
      </c>
      <c r="E1159" s="276" t="s">
        <v>1273</v>
      </c>
      <c r="F1159" s="277">
        <v>16214</v>
      </c>
      <c r="G1159" s="277">
        <f>39.7+(610.52+460.85+66.24)+1500</f>
        <v>2677.31</v>
      </c>
      <c r="H1159" s="277"/>
      <c r="I1159" s="278">
        <f>F1159-G1159-H1159</f>
        <v>13536.69</v>
      </c>
      <c r="J1159" s="279" t="s">
        <v>156</v>
      </c>
      <c r="K1159" s="279">
        <v>1</v>
      </c>
      <c r="L1159" s="279"/>
      <c r="M1159" s="279">
        <v>1</v>
      </c>
      <c r="N1159" s="279">
        <v>1</v>
      </c>
      <c r="O1159" s="279">
        <v>1</v>
      </c>
      <c r="P1159" s="279">
        <v>1</v>
      </c>
      <c r="Q1159" s="279"/>
      <c r="R1159" s="279"/>
      <c r="S1159" s="280"/>
      <c r="T1159" s="63"/>
      <c r="U1159" s="94" t="s">
        <v>3090</v>
      </c>
      <c r="V1159" s="90"/>
      <c r="W1159" s="136"/>
      <c r="X1159" s="137"/>
    </row>
    <row r="1160" spans="1:24" s="260" customFormat="1">
      <c r="A1160" s="494">
        <v>0.05</v>
      </c>
      <c r="B1160" s="87">
        <f t="shared" si="235"/>
        <v>12</v>
      </c>
      <c r="C1160" s="295">
        <v>45940</v>
      </c>
      <c r="D1160" s="10">
        <v>74272</v>
      </c>
      <c r="E1160" s="10" t="s">
        <v>1088</v>
      </c>
      <c r="F1160" s="62">
        <v>2979.9</v>
      </c>
      <c r="G1160" s="62">
        <f>39.7+200</f>
        <v>239.7</v>
      </c>
      <c r="H1160" s="62"/>
      <c r="I1160" s="324">
        <f>F1160-G1160-H1160</f>
        <v>2740.2000000000003</v>
      </c>
      <c r="J1160" s="63" t="s">
        <v>156</v>
      </c>
      <c r="K1160" s="63">
        <v>1</v>
      </c>
      <c r="L1160" s="63"/>
      <c r="M1160" s="63">
        <v>1</v>
      </c>
      <c r="N1160" s="63">
        <v>1</v>
      </c>
      <c r="O1160" s="63">
        <v>1</v>
      </c>
      <c r="P1160" s="325">
        <v>0</v>
      </c>
      <c r="Q1160" s="63"/>
      <c r="R1160" s="63"/>
      <c r="S1160" s="296"/>
      <c r="T1160" s="63"/>
      <c r="U1160" s="94" t="s">
        <v>3091</v>
      </c>
      <c r="V1160" s="90"/>
      <c r="W1160" s="136"/>
      <c r="X1160" s="137"/>
    </row>
    <row r="1161" spans="1:24" s="260" customFormat="1">
      <c r="A1161" s="494">
        <v>0.05</v>
      </c>
      <c r="B1161" s="87">
        <f t="shared" si="235"/>
        <v>13</v>
      </c>
      <c r="C1161" s="282">
        <v>45940</v>
      </c>
      <c r="D1161" s="283" t="s">
        <v>3092</v>
      </c>
      <c r="E1161" s="319" t="s">
        <v>1695</v>
      </c>
      <c r="F1161" s="284">
        <v>11532.6</v>
      </c>
      <c r="G1161" s="284">
        <f>39.7+(16.11)+1500</f>
        <v>1555.81</v>
      </c>
      <c r="H1161" s="284"/>
      <c r="I1161" s="300">
        <f t="shared" ref="I1161" si="237">F1161-G1161-H1161</f>
        <v>9976.7900000000009</v>
      </c>
      <c r="J1161" s="286"/>
      <c r="K1161" s="286">
        <v>1</v>
      </c>
      <c r="L1161" s="286"/>
      <c r="M1161" s="286"/>
      <c r="N1161" s="286">
        <v>1</v>
      </c>
      <c r="O1161" s="286">
        <v>1</v>
      </c>
      <c r="P1161" s="332">
        <v>0</v>
      </c>
      <c r="Q1161" s="286"/>
      <c r="R1161" s="286"/>
      <c r="S1161" s="287"/>
      <c r="T1161" s="63"/>
      <c r="U1161" s="94" t="s">
        <v>3112</v>
      </c>
      <c r="V1161" s="90"/>
      <c r="W1161" s="136"/>
      <c r="X1161" s="137"/>
    </row>
    <row r="1162" spans="1:24" s="260" customFormat="1">
      <c r="A1162" s="181"/>
      <c r="B1162" s="11"/>
      <c r="C1162" s="36"/>
      <c r="D1162" s="10"/>
      <c r="E1162" s="10"/>
      <c r="F1162" s="97">
        <f>SUM(F1149:F1161)</f>
        <v>152463.74</v>
      </c>
      <c r="G1162" s="97">
        <f t="shared" ref="G1162:I1162" si="238">SUM(G1149:G1161)</f>
        <v>34401.149999999994</v>
      </c>
      <c r="H1162" s="97">
        <f t="shared" si="238"/>
        <v>0</v>
      </c>
      <c r="I1162" s="97">
        <f t="shared" si="238"/>
        <v>118062.59</v>
      </c>
      <c r="J1162" s="63"/>
      <c r="K1162" s="21"/>
      <c r="L1162" s="21"/>
      <c r="M1162" s="21"/>
      <c r="N1162" s="21"/>
      <c r="O1162" s="21"/>
      <c r="P1162" s="21"/>
      <c r="Q1162" s="21"/>
      <c r="R1162" s="21"/>
      <c r="S1162" s="21"/>
      <c r="T1162" s="63"/>
      <c r="U1162" s="94"/>
      <c r="V1162" s="90"/>
      <c r="W1162" s="91"/>
      <c r="X1162" s="92"/>
    </row>
    <row r="1163" spans="1:24">
      <c r="A1163" s="2"/>
      <c r="B1163" s="11"/>
      <c r="C1163" s="36"/>
      <c r="D1163" s="10"/>
      <c r="E1163" s="10"/>
      <c r="F1163" s="88"/>
      <c r="G1163" s="88"/>
      <c r="H1163" s="88"/>
      <c r="I1163" s="99"/>
      <c r="J1163" s="63"/>
      <c r="K1163" s="21"/>
      <c r="L1163" s="21"/>
      <c r="M1163" s="21"/>
      <c r="N1163" s="21"/>
      <c r="O1163" s="21"/>
      <c r="P1163" s="21"/>
      <c r="Q1163" s="21"/>
      <c r="R1163" s="21"/>
      <c r="S1163" s="21"/>
      <c r="T1163" s="63"/>
      <c r="U1163" s="94"/>
      <c r="V1163" s="90"/>
      <c r="W1163" s="91"/>
      <c r="X1163" s="92"/>
    </row>
    <row r="1164" spans="1:24">
      <c r="A1164" s="614"/>
      <c r="B1164" s="100" t="s">
        <v>72</v>
      </c>
      <c r="C1164" s="609"/>
      <c r="D1164" s="10"/>
      <c r="E1164" s="10"/>
      <c r="F1164" s="88"/>
      <c r="G1164" s="88"/>
      <c r="H1164" s="88"/>
      <c r="I1164" s="99"/>
      <c r="J1164" s="63"/>
      <c r="K1164" s="63"/>
      <c r="L1164" s="63"/>
      <c r="M1164" s="63"/>
      <c r="N1164" s="63"/>
      <c r="O1164" s="63"/>
      <c r="P1164" s="63"/>
      <c r="Q1164" s="63"/>
      <c r="R1164" s="63"/>
      <c r="S1164" s="63"/>
      <c r="T1164" s="63"/>
      <c r="U1164" s="10"/>
      <c r="V1164" s="90"/>
      <c r="W1164" s="91"/>
      <c r="X1164" s="92"/>
    </row>
    <row r="1165" spans="1:24">
      <c r="A1165" s="614"/>
      <c r="B1165" s="87">
        <v>1</v>
      </c>
      <c r="C1165" s="274">
        <v>45943</v>
      </c>
      <c r="D1165" s="276">
        <v>74357</v>
      </c>
      <c r="E1165" s="276" t="s">
        <v>1088</v>
      </c>
      <c r="F1165" s="277">
        <v>2814</v>
      </c>
      <c r="G1165" s="277">
        <v>39.700000000000003</v>
      </c>
      <c r="H1165" s="277"/>
      <c r="I1165" s="278">
        <f>F1165-G1165-H1165</f>
        <v>2774.3</v>
      </c>
      <c r="J1165" s="279" t="s">
        <v>205</v>
      </c>
      <c r="K1165" s="279">
        <v>1</v>
      </c>
      <c r="L1165" s="279"/>
      <c r="M1165" s="279"/>
      <c r="N1165" s="279">
        <v>1</v>
      </c>
      <c r="O1165" s="279"/>
      <c r="P1165" s="279"/>
      <c r="Q1165" s="279">
        <v>1</v>
      </c>
      <c r="R1165" s="279">
        <v>1</v>
      </c>
      <c r="S1165" s="280"/>
      <c r="T1165" s="63"/>
      <c r="U1165" s="3"/>
      <c r="V1165" s="90"/>
      <c r="W1165" s="91"/>
      <c r="X1165" s="92"/>
    </row>
    <row r="1166" spans="1:24">
      <c r="A1166" s="614"/>
      <c r="B1166" s="87">
        <f>B1165+1</f>
        <v>2</v>
      </c>
      <c r="C1166" s="282">
        <v>45943</v>
      </c>
      <c r="D1166" s="283">
        <v>74358</v>
      </c>
      <c r="E1166" s="283" t="s">
        <v>1088</v>
      </c>
      <c r="F1166" s="284">
        <v>3977.1</v>
      </c>
      <c r="G1166" s="284">
        <v>39.700000000000003</v>
      </c>
      <c r="H1166" s="284"/>
      <c r="I1166" s="285">
        <f>F1166-G1166-H1166</f>
        <v>3937.4</v>
      </c>
      <c r="J1166" s="286" t="s">
        <v>205</v>
      </c>
      <c r="K1166" s="286">
        <v>1</v>
      </c>
      <c r="L1166" s="286"/>
      <c r="M1166" s="286"/>
      <c r="N1166" s="286">
        <v>1</v>
      </c>
      <c r="O1166" s="286"/>
      <c r="P1166" s="286"/>
      <c r="Q1166" s="286">
        <v>1</v>
      </c>
      <c r="R1166" s="286">
        <v>1</v>
      </c>
      <c r="S1166" s="287"/>
      <c r="T1166" s="63"/>
      <c r="U1166" s="10"/>
      <c r="V1166" s="90"/>
      <c r="W1166" s="136"/>
      <c r="X1166" s="137"/>
    </row>
    <row r="1167" spans="1:24">
      <c r="A1167" s="614"/>
      <c r="B1167" s="11"/>
      <c r="C1167" s="36"/>
      <c r="D1167" s="10"/>
      <c r="E1167" s="10"/>
      <c r="F1167" s="97">
        <f>SUM(F1165:F1166)</f>
        <v>6791.1</v>
      </c>
      <c r="G1167" s="97">
        <f>SUM(G1165:G1166)</f>
        <v>79.400000000000006</v>
      </c>
      <c r="H1167" s="97">
        <f>SUM(H1165:H1166)</f>
        <v>0</v>
      </c>
      <c r="I1167" s="98">
        <f>SUM(I1165:I1166)</f>
        <v>6711.7000000000007</v>
      </c>
      <c r="J1167" s="10"/>
      <c r="K1167" s="10"/>
      <c r="L1167" s="10"/>
      <c r="M1167" s="10"/>
      <c r="N1167" s="10"/>
      <c r="O1167" s="10"/>
      <c r="P1167" s="10"/>
      <c r="Q1167" s="10"/>
      <c r="R1167" s="10"/>
      <c r="S1167" s="10"/>
      <c r="T1167" s="63"/>
      <c r="U1167" s="10"/>
      <c r="V1167" s="138"/>
      <c r="W1167" s="136"/>
      <c r="X1167" s="137"/>
    </row>
    <row r="1168" spans="1:24">
      <c r="A1168" s="614"/>
      <c r="B1168" s="26"/>
      <c r="C1168" s="612"/>
      <c r="D1168" s="141"/>
      <c r="E1168" s="141"/>
      <c r="F1168" s="141"/>
      <c r="G1168" s="141"/>
      <c r="H1168" s="141"/>
      <c r="I1168" s="141"/>
      <c r="J1168" s="141"/>
      <c r="K1168" s="142"/>
      <c r="L1168" s="142"/>
      <c r="M1168" s="142"/>
      <c r="N1168" s="142"/>
      <c r="O1168" s="142"/>
      <c r="P1168" s="142"/>
      <c r="Q1168" s="142"/>
      <c r="R1168" s="142"/>
      <c r="S1168" s="142"/>
      <c r="T1168" s="143">
        <f>SUM(T1103:T1167)</f>
        <v>0</v>
      </c>
      <c r="U1168" s="141"/>
      <c r="V1168" s="144">
        <f>SUM(V1103:V1167)</f>
        <v>6455.4</v>
      </c>
      <c r="W1168" s="145">
        <f>SUM(W1103:W1167)</f>
        <v>0</v>
      </c>
      <c r="X1168" s="146">
        <f>SUM(X1103:X1167)</f>
        <v>0</v>
      </c>
    </row>
    <row r="1171" spans="2:25">
      <c r="B1171" s="4" t="s">
        <v>1</v>
      </c>
      <c r="C1171" s="5"/>
      <c r="D1171" s="6"/>
      <c r="E1171" s="6"/>
      <c r="F1171" s="7" t="s">
        <v>2</v>
      </c>
      <c r="G1171" s="608"/>
      <c r="H1171" s="7"/>
      <c r="I1171" s="6"/>
      <c r="J1171" s="6"/>
      <c r="K1171" s="6"/>
      <c r="L1171" s="6"/>
      <c r="M1171" s="6"/>
      <c r="N1171" s="6"/>
      <c r="O1171" s="6"/>
      <c r="P1171" s="6"/>
      <c r="Q1171" s="6"/>
      <c r="R1171" s="6"/>
      <c r="S1171" s="6"/>
      <c r="T1171" s="6"/>
      <c r="U1171" s="9"/>
      <c r="V1171" s="10"/>
      <c r="W1171" s="10"/>
      <c r="X1171" s="10"/>
      <c r="Y1171" s="2"/>
    </row>
    <row r="1172" spans="2:25">
      <c r="B1172" s="11"/>
      <c r="C1172" s="10"/>
      <c r="D1172" s="10"/>
      <c r="E1172" s="10"/>
      <c r="F1172" s="10"/>
      <c r="G1172" s="7"/>
      <c r="H1172" s="12"/>
      <c r="I1172" s="10"/>
      <c r="J1172" s="10"/>
      <c r="K1172" s="13" t="s">
        <v>3</v>
      </c>
      <c r="L1172" s="14"/>
      <c r="M1172" s="15"/>
      <c r="N1172" s="13" t="s">
        <v>4</v>
      </c>
      <c r="O1172" s="14"/>
      <c r="P1172" s="15"/>
      <c r="Q1172" s="13" t="s">
        <v>5</v>
      </c>
      <c r="R1172" s="14"/>
      <c r="S1172" s="15"/>
      <c r="T1172" s="16"/>
      <c r="U1172" s="17"/>
      <c r="V1172" s="10"/>
      <c r="W1172" s="10"/>
      <c r="X1172" s="10"/>
      <c r="Y1172" s="2"/>
    </row>
    <row r="1173" spans="2:25">
      <c r="B1173" s="18" t="s">
        <v>6</v>
      </c>
      <c r="C1173" s="19">
        <f>C1174+C1175</f>
        <v>0</v>
      </c>
      <c r="D1173" s="10"/>
      <c r="E1173" s="18" t="s">
        <v>7</v>
      </c>
      <c r="F1173" s="6"/>
      <c r="G1173" s="9"/>
      <c r="H1173" s="10"/>
      <c r="I1173" s="10"/>
      <c r="J1173" s="10"/>
      <c r="K1173" s="20" t="s">
        <v>8</v>
      </c>
      <c r="L1173" s="21" t="s">
        <v>9</v>
      </c>
      <c r="M1173" s="21" t="s">
        <v>10</v>
      </c>
      <c r="N1173" s="20" t="s">
        <v>11</v>
      </c>
      <c r="O1173" s="21" t="s">
        <v>12</v>
      </c>
      <c r="P1173" s="22" t="s">
        <v>13</v>
      </c>
      <c r="Q1173" s="21" t="s">
        <v>11</v>
      </c>
      <c r="R1173" s="21" t="s">
        <v>12</v>
      </c>
      <c r="S1173" s="22" t="s">
        <v>13</v>
      </c>
      <c r="T1173" s="23" t="s">
        <v>14</v>
      </c>
      <c r="U1173" s="17"/>
      <c r="V1173" s="10"/>
      <c r="W1173" s="10"/>
      <c r="X1173" s="10"/>
      <c r="Y1173" s="2"/>
    </row>
    <row r="1174" spans="2:25">
      <c r="B1174" s="24" t="s">
        <v>15</v>
      </c>
      <c r="C1174" s="25">
        <f>P1181</f>
        <v>0</v>
      </c>
      <c r="D1174" s="10"/>
      <c r="E1174" s="26" t="s">
        <v>16</v>
      </c>
      <c r="F1174" s="27">
        <v>0.05</v>
      </c>
      <c r="G1174" s="28"/>
      <c r="H1174" s="10"/>
      <c r="I1174" s="10"/>
      <c r="J1174" s="18" t="s">
        <v>17</v>
      </c>
      <c r="K1174" s="29">
        <f>K1200</f>
        <v>0</v>
      </c>
      <c r="L1174" s="29">
        <f t="shared" ref="L1174:S1174" si="239">L1200</f>
        <v>0</v>
      </c>
      <c r="M1174" s="29">
        <f t="shared" si="239"/>
        <v>0</v>
      </c>
      <c r="N1174" s="29">
        <f t="shared" si="239"/>
        <v>0</v>
      </c>
      <c r="O1174" s="29">
        <f t="shared" si="239"/>
        <v>0</v>
      </c>
      <c r="P1174" s="29">
        <f t="shared" si="239"/>
        <v>0</v>
      </c>
      <c r="Q1174" s="29">
        <f t="shared" si="239"/>
        <v>0</v>
      </c>
      <c r="R1174" s="29">
        <f t="shared" si="239"/>
        <v>0</v>
      </c>
      <c r="S1174" s="29">
        <f t="shared" si="239"/>
        <v>0</v>
      </c>
      <c r="T1174" s="30">
        <f>T1202</f>
        <v>0</v>
      </c>
      <c r="U1174" s="17"/>
      <c r="V1174" s="10"/>
      <c r="W1174" s="10"/>
      <c r="X1174" s="10"/>
      <c r="Y1174" s="2"/>
    </row>
    <row r="1175" spans="2:25">
      <c r="B1175" s="24" t="s">
        <v>18</v>
      </c>
      <c r="C1175" s="25">
        <f>P1182</f>
        <v>0</v>
      </c>
      <c r="D1175" s="10"/>
      <c r="E1175" s="10"/>
      <c r="F1175" s="10"/>
      <c r="G1175" s="31"/>
      <c r="H1175" s="10"/>
      <c r="I1175" s="10"/>
      <c r="J1175" s="32" t="s">
        <v>19</v>
      </c>
      <c r="K1175" s="33" t="e">
        <f>K1200/K1199</f>
        <v>#DIV/0!</v>
      </c>
      <c r="L1175" s="33" t="e">
        <f t="shared" ref="L1175:S1175" si="240">L1200/L1199</f>
        <v>#DIV/0!</v>
      </c>
      <c r="M1175" s="33" t="e">
        <f t="shared" si="240"/>
        <v>#DIV/0!</v>
      </c>
      <c r="N1175" s="33" t="e">
        <f t="shared" si="240"/>
        <v>#DIV/0!</v>
      </c>
      <c r="O1175" s="33" t="e">
        <f t="shared" si="240"/>
        <v>#DIV/0!</v>
      </c>
      <c r="P1175" s="33" t="e">
        <f t="shared" si="240"/>
        <v>#DIV/0!</v>
      </c>
      <c r="Q1175" s="33" t="e">
        <f t="shared" si="240"/>
        <v>#DIV/0!</v>
      </c>
      <c r="R1175" s="33" t="e">
        <f t="shared" si="240"/>
        <v>#DIV/0!</v>
      </c>
      <c r="S1175" s="33" t="e">
        <f t="shared" si="240"/>
        <v>#DIV/0!</v>
      </c>
      <c r="T1175" s="23"/>
      <c r="U1175" s="17" t="s">
        <v>20</v>
      </c>
      <c r="V1175" s="10"/>
      <c r="W1175" s="10"/>
      <c r="X1175" s="10"/>
      <c r="Y1175" s="2"/>
    </row>
    <row r="1176" spans="2:25">
      <c r="B1176" s="24" t="s">
        <v>21</v>
      </c>
      <c r="C1176" s="34" t="e">
        <f>P1183</f>
        <v>#DIV/0!</v>
      </c>
      <c r="D1176" s="10"/>
      <c r="E1176" s="10"/>
      <c r="F1176" s="10"/>
      <c r="G1176" s="10"/>
      <c r="H1176" s="10"/>
      <c r="I1176" s="10"/>
      <c r="J1176" s="10"/>
      <c r="K1176" s="10"/>
      <c r="L1176" s="10"/>
      <c r="M1176" s="10"/>
      <c r="N1176" s="10"/>
      <c r="O1176" s="10"/>
      <c r="P1176" s="10"/>
      <c r="Q1176" s="10"/>
      <c r="R1176" s="10"/>
      <c r="S1176" s="10"/>
      <c r="T1176" s="10"/>
      <c r="U1176" s="17"/>
      <c r="V1176" s="10"/>
      <c r="W1176" s="10"/>
      <c r="X1176" s="10"/>
      <c r="Y1176" s="2"/>
    </row>
    <row r="1177" spans="2:25">
      <c r="B1177" s="24"/>
      <c r="C1177" s="25"/>
      <c r="D1177" s="10"/>
      <c r="E1177" s="10"/>
      <c r="F1177" s="18" t="s">
        <v>22</v>
      </c>
      <c r="G1177" s="19" t="s">
        <v>23</v>
      </c>
      <c r="H1177" s="35" t="s">
        <v>24</v>
      </c>
      <c r="I1177" s="10"/>
      <c r="J1177" s="10"/>
      <c r="K1177" s="36"/>
      <c r="L1177" s="36"/>
      <c r="M1177" s="36"/>
      <c r="N1177" s="36"/>
      <c r="O1177" s="36"/>
      <c r="P1177" s="36"/>
      <c r="Q1177" s="36"/>
      <c r="R1177" s="10"/>
      <c r="S1177" s="10"/>
      <c r="T1177" s="10"/>
      <c r="U1177" s="17"/>
      <c r="V1177" s="10"/>
      <c r="W1177" s="10"/>
      <c r="X1177" s="10"/>
      <c r="Y1177" s="2"/>
    </row>
    <row r="1178" spans="2:25">
      <c r="B1178" s="32" t="s">
        <v>25</v>
      </c>
      <c r="C1178" s="37" t="e">
        <f>P1184</f>
        <v>#DIV/0!</v>
      </c>
      <c r="D1178" s="10"/>
      <c r="E1178" s="18" t="s">
        <v>26</v>
      </c>
      <c r="F1178" s="38">
        <f>P1180</f>
        <v>0</v>
      </c>
      <c r="G1178" s="39">
        <f>I1199</f>
        <v>0</v>
      </c>
      <c r="H1178" s="40"/>
      <c r="I1178" s="41"/>
      <c r="J1178" s="42"/>
      <c r="K1178" s="43" t="s">
        <v>27</v>
      </c>
      <c r="L1178" s="44"/>
      <c r="M1178" s="44"/>
      <c r="N1178" s="44"/>
      <c r="O1178" s="44"/>
      <c r="P1178" s="44"/>
      <c r="Q1178" s="45"/>
      <c r="R1178" s="46" t="s">
        <v>28</v>
      </c>
      <c r="S1178" s="47" t="s">
        <v>29</v>
      </c>
      <c r="T1178" s="10"/>
      <c r="U1178" s="17"/>
      <c r="V1178" s="10"/>
      <c r="W1178" s="10"/>
      <c r="X1178" s="10"/>
      <c r="Y1178" s="2"/>
    </row>
    <row r="1179" spans="2:25">
      <c r="B1179" s="11"/>
      <c r="C1179" s="10"/>
      <c r="D1179" s="10"/>
      <c r="E1179" s="24" t="s">
        <v>30</v>
      </c>
      <c r="F1179" s="48">
        <f>F1174</f>
        <v>0.05</v>
      </c>
      <c r="G1179" s="17"/>
      <c r="H1179" s="40"/>
      <c r="I1179" s="41"/>
      <c r="J1179" s="42"/>
      <c r="K1179" s="20" t="s">
        <v>31</v>
      </c>
      <c r="L1179" s="21" t="s">
        <v>32</v>
      </c>
      <c r="M1179" s="21" t="s">
        <v>33</v>
      </c>
      <c r="N1179" s="21" t="s">
        <v>34</v>
      </c>
      <c r="O1179" s="21" t="s">
        <v>35</v>
      </c>
      <c r="P1179" s="21" t="s">
        <v>36</v>
      </c>
      <c r="Q1179" s="49" t="s">
        <v>37</v>
      </c>
      <c r="R1179" s="50" t="s">
        <v>38</v>
      </c>
      <c r="S1179" s="50" t="s">
        <v>38</v>
      </c>
      <c r="T1179" s="10"/>
      <c r="U1179" s="17"/>
      <c r="V1179" s="10"/>
      <c r="W1179" s="10"/>
      <c r="X1179" s="10"/>
      <c r="Y1179" s="2"/>
    </row>
    <row r="1180" spans="2:25">
      <c r="B1180" s="11"/>
      <c r="C1180" s="10"/>
      <c r="D1180" s="10"/>
      <c r="E1180" s="51" t="s">
        <v>39</v>
      </c>
      <c r="F1180" s="52">
        <f>F1178*F1179</f>
        <v>0</v>
      </c>
      <c r="G1180" s="53" t="s">
        <v>40</v>
      </c>
      <c r="H1180" s="54">
        <f>F1180/1.12</f>
        <v>0</v>
      </c>
      <c r="I1180" s="55"/>
      <c r="J1180" s="42"/>
      <c r="K1180" s="56">
        <v>0</v>
      </c>
      <c r="L1180" s="57">
        <v>0</v>
      </c>
      <c r="M1180" s="57">
        <v>0</v>
      </c>
      <c r="N1180" s="57">
        <v>0</v>
      </c>
      <c r="O1180" s="57">
        <v>0</v>
      </c>
      <c r="P1180" s="57">
        <f>SUM(K1180:O1180)</f>
        <v>0</v>
      </c>
      <c r="Q1180" s="58">
        <v>0</v>
      </c>
      <c r="R1180" s="59">
        <v>0</v>
      </c>
      <c r="S1180" s="59">
        <v>0</v>
      </c>
      <c r="T1180" s="10"/>
      <c r="U1180" s="17"/>
      <c r="V1180" s="10"/>
      <c r="W1180" s="10"/>
      <c r="X1180" s="10"/>
      <c r="Y1180" s="2"/>
    </row>
    <row r="1181" spans="2:25">
      <c r="B1181" s="11"/>
      <c r="C1181" s="10"/>
      <c r="D1181" s="10"/>
      <c r="E1181" s="24" t="s">
        <v>41</v>
      </c>
      <c r="F1181" s="60">
        <f>Q1180</f>
        <v>0</v>
      </c>
      <c r="G1181" s="61" t="s">
        <v>40</v>
      </c>
      <c r="H1181" s="62"/>
      <c r="I1181" s="62"/>
      <c r="J1181" s="10" t="s">
        <v>42</v>
      </c>
      <c r="K1181" s="63"/>
      <c r="L1181" s="63"/>
      <c r="M1181" s="63"/>
      <c r="N1181" s="63"/>
      <c r="O1181" s="63"/>
      <c r="P1181" s="21">
        <f>SUM(K1181:O1181)</f>
        <v>0</v>
      </c>
      <c r="Q1181" s="64"/>
      <c r="R1181" s="63"/>
      <c r="S1181" s="10"/>
      <c r="T1181" s="10"/>
      <c r="U1181" s="17"/>
      <c r="V1181" s="10"/>
      <c r="W1181" s="10"/>
      <c r="X1181" s="10"/>
      <c r="Y1181" s="2"/>
    </row>
    <row r="1182" spans="2:25">
      <c r="B1182" s="11"/>
      <c r="C1182" s="10"/>
      <c r="D1182" s="10"/>
      <c r="E1182" s="51" t="s">
        <v>43</v>
      </c>
      <c r="F1182" s="52">
        <f>F1181*0.25</f>
        <v>0</v>
      </c>
      <c r="G1182" s="53" t="s">
        <v>40</v>
      </c>
      <c r="H1182" s="54">
        <f>F1182/1.12</f>
        <v>0</v>
      </c>
      <c r="I1182" s="10"/>
      <c r="J1182" s="10" t="s">
        <v>44</v>
      </c>
      <c r="K1182" s="63"/>
      <c r="L1182" s="63"/>
      <c r="M1182" s="63"/>
      <c r="N1182" s="63"/>
      <c r="O1182" s="63"/>
      <c r="P1182" s="21">
        <f>SUM(K1182:O1182)</f>
        <v>0</v>
      </c>
      <c r="Q1182" s="64"/>
      <c r="R1182" s="63"/>
      <c r="S1182" s="10"/>
      <c r="T1182" s="10"/>
      <c r="U1182" s="17"/>
      <c r="V1182" s="10"/>
      <c r="W1182" s="10"/>
      <c r="X1182" s="10"/>
      <c r="Y1182" s="2"/>
    </row>
    <row r="1183" spans="2:25">
      <c r="B1183" s="11"/>
      <c r="C1183" s="10"/>
      <c r="D1183" s="10"/>
      <c r="E1183" s="24" t="s">
        <v>45</v>
      </c>
      <c r="F1183" s="60"/>
      <c r="G1183" s="61" t="s">
        <v>40</v>
      </c>
      <c r="H1183" s="62"/>
      <c r="I1183" s="10"/>
      <c r="J1183" s="10" t="s">
        <v>46</v>
      </c>
      <c r="K1183" s="31" t="e">
        <f t="shared" ref="K1183:Q1183" si="241">K1181/(K1181+K1182)</f>
        <v>#DIV/0!</v>
      </c>
      <c r="L1183" s="31" t="e">
        <f t="shared" si="241"/>
        <v>#DIV/0!</v>
      </c>
      <c r="M1183" s="31" t="e">
        <f t="shared" si="241"/>
        <v>#DIV/0!</v>
      </c>
      <c r="N1183" s="31" t="e">
        <f t="shared" si="241"/>
        <v>#DIV/0!</v>
      </c>
      <c r="O1183" s="31" t="e">
        <f t="shared" si="241"/>
        <v>#DIV/0!</v>
      </c>
      <c r="P1183" s="31" t="e">
        <f t="shared" si="241"/>
        <v>#DIV/0!</v>
      </c>
      <c r="Q1183" s="31" t="e">
        <f t="shared" si="241"/>
        <v>#DIV/0!</v>
      </c>
      <c r="R1183" s="63"/>
      <c r="S1183" s="10"/>
      <c r="T1183" s="10"/>
      <c r="U1183" s="17"/>
      <c r="V1183" s="10"/>
      <c r="W1183" s="10"/>
      <c r="X1183" s="10"/>
      <c r="Y1183" s="2"/>
    </row>
    <row r="1184" spans="2:25">
      <c r="B1184" s="11"/>
      <c r="C1184" s="10"/>
      <c r="D1184" s="10"/>
      <c r="E1184" s="51" t="s">
        <v>47</v>
      </c>
      <c r="F1184" s="52">
        <f>F1183*0.05</f>
        <v>0</v>
      </c>
      <c r="G1184" s="65" t="s">
        <v>40</v>
      </c>
      <c r="H1184" s="54">
        <f>F1184/1.12</f>
        <v>0</v>
      </c>
      <c r="I1184" s="42"/>
      <c r="J1184" s="10" t="s">
        <v>48</v>
      </c>
      <c r="K1184" s="66" t="e">
        <f>K1180/K1181</f>
        <v>#DIV/0!</v>
      </c>
      <c r="L1184" s="66" t="e">
        <f t="shared" ref="L1184:Q1184" si="242">L1180/L1181</f>
        <v>#DIV/0!</v>
      </c>
      <c r="M1184" s="66" t="e">
        <f t="shared" si="242"/>
        <v>#DIV/0!</v>
      </c>
      <c r="N1184" s="66" t="e">
        <f t="shared" si="242"/>
        <v>#DIV/0!</v>
      </c>
      <c r="O1184" s="66" t="e">
        <f t="shared" si="242"/>
        <v>#DIV/0!</v>
      </c>
      <c r="P1184" s="66" t="e">
        <f t="shared" si="242"/>
        <v>#DIV/0!</v>
      </c>
      <c r="Q1184" s="66" t="e">
        <f t="shared" si="242"/>
        <v>#DIV/0!</v>
      </c>
      <c r="R1184" s="63"/>
      <c r="S1184" s="10"/>
      <c r="T1184" s="10"/>
      <c r="U1184" s="17"/>
      <c r="V1184" s="10"/>
      <c r="W1184" s="10"/>
      <c r="X1184" s="10"/>
      <c r="Y1184" s="2"/>
    </row>
    <row r="1185" spans="2:25">
      <c r="B1185" s="11"/>
      <c r="C1185" s="10"/>
      <c r="D1185" s="10"/>
      <c r="E1185" s="67" t="s">
        <v>14</v>
      </c>
      <c r="F1185" s="68"/>
      <c r="G1185" s="10"/>
      <c r="H1185" s="54">
        <f>F1185/1.12</f>
        <v>0</v>
      </c>
      <c r="I1185" s="10"/>
      <c r="J1185" s="10"/>
      <c r="K1185" s="10"/>
      <c r="L1185" s="10"/>
      <c r="M1185" s="10"/>
      <c r="N1185" s="10"/>
      <c r="O1185" s="10"/>
      <c r="P1185" s="10"/>
      <c r="Q1185" s="10"/>
      <c r="R1185" s="10"/>
      <c r="S1185" s="10"/>
      <c r="T1185" s="10"/>
      <c r="U1185" s="17"/>
      <c r="V1185" s="10"/>
      <c r="W1185" s="10"/>
      <c r="X1185" s="10"/>
      <c r="Y1185" s="2"/>
    </row>
    <row r="1186" spans="2:25">
      <c r="B1186" s="11"/>
      <c r="C1186" s="10"/>
      <c r="D1186" s="10"/>
      <c r="E1186" s="67" t="s">
        <v>49</v>
      </c>
      <c r="F1186" s="69">
        <f>T1175</f>
        <v>0</v>
      </c>
      <c r="G1186" s="10"/>
      <c r="H1186" s="54"/>
      <c r="I1186" s="55"/>
      <c r="J1186" s="42"/>
      <c r="K1186" s="764" t="s">
        <v>50</v>
      </c>
      <c r="L1186" s="765"/>
      <c r="M1186" s="765"/>
      <c r="N1186" s="765"/>
      <c r="O1186" s="765"/>
      <c r="P1186" s="765"/>
      <c r="Q1186" s="766"/>
      <c r="R1186" s="70" t="s">
        <v>28</v>
      </c>
      <c r="S1186" s="71" t="s">
        <v>29</v>
      </c>
      <c r="T1186" s="10"/>
      <c r="U1186" s="17"/>
      <c r="V1186" s="10"/>
      <c r="W1186" s="10"/>
      <c r="X1186" s="10"/>
      <c r="Y1186" s="2"/>
    </row>
    <row r="1187" spans="2:25">
      <c r="B1187" s="11"/>
      <c r="C1187" s="10"/>
      <c r="D1187" s="10"/>
      <c r="E1187" s="72" t="s">
        <v>3113</v>
      </c>
      <c r="F1187" s="73">
        <v>-111.1</v>
      </c>
      <c r="G1187" s="10"/>
      <c r="H1187" s="10"/>
      <c r="I1187" s="10"/>
      <c r="J1187" s="42"/>
      <c r="K1187" s="20" t="s">
        <v>31</v>
      </c>
      <c r="L1187" s="21" t="s">
        <v>32</v>
      </c>
      <c r="M1187" s="21" t="s">
        <v>33</v>
      </c>
      <c r="N1187" s="21" t="s">
        <v>34</v>
      </c>
      <c r="O1187" s="21" t="s">
        <v>35</v>
      </c>
      <c r="P1187" s="21" t="s">
        <v>36</v>
      </c>
      <c r="Q1187" s="49" t="s">
        <v>37</v>
      </c>
      <c r="R1187" s="50" t="s">
        <v>38</v>
      </c>
      <c r="S1187" s="50" t="s">
        <v>38</v>
      </c>
      <c r="T1187" s="10"/>
      <c r="U1187" s="17"/>
      <c r="V1187" s="10"/>
      <c r="W1187" s="10"/>
      <c r="X1187" s="10"/>
      <c r="Y1187" s="2"/>
    </row>
    <row r="1188" spans="2:25">
      <c r="B1188" s="11"/>
      <c r="C1188" s="10"/>
      <c r="D1188" s="10"/>
      <c r="E1188" s="72" t="s">
        <v>3114</v>
      </c>
      <c r="F1188" s="73">
        <v>-27.36</v>
      </c>
      <c r="G1188" s="10"/>
      <c r="H1188" s="10"/>
      <c r="I1188" s="10"/>
      <c r="J1188" s="42"/>
      <c r="K1188" s="56">
        <v>0</v>
      </c>
      <c r="L1188" s="57">
        <v>0</v>
      </c>
      <c r="M1188" s="57">
        <v>0</v>
      </c>
      <c r="N1188" s="57">
        <v>0</v>
      </c>
      <c r="O1188" s="57">
        <v>0</v>
      </c>
      <c r="P1188" s="57">
        <v>0</v>
      </c>
      <c r="Q1188" s="58">
        <v>0</v>
      </c>
      <c r="R1188" s="59">
        <v>0</v>
      </c>
      <c r="S1188" s="59">
        <v>0</v>
      </c>
      <c r="T1188" s="10"/>
      <c r="U1188" s="17"/>
      <c r="V1188" s="10"/>
      <c r="W1188" s="10"/>
      <c r="X1188" s="10"/>
      <c r="Y1188" s="2"/>
    </row>
    <row r="1189" spans="2:25">
      <c r="B1189" s="11"/>
      <c r="C1189" s="10"/>
      <c r="D1189" s="10"/>
      <c r="E1189" s="72" t="s">
        <v>3115</v>
      </c>
      <c r="F1189" s="73">
        <v>9.98</v>
      </c>
      <c r="G1189" s="10"/>
      <c r="H1189" s="10"/>
      <c r="I1189" s="10"/>
      <c r="J1189" s="10" t="s">
        <v>42</v>
      </c>
      <c r="K1189" s="63">
        <f>K1181</f>
        <v>0</v>
      </c>
      <c r="L1189" s="63">
        <f t="shared" ref="L1189:Q1190" si="243">L1181</f>
        <v>0</v>
      </c>
      <c r="M1189" s="63">
        <f t="shared" si="243"/>
        <v>0</v>
      </c>
      <c r="N1189" s="63">
        <f t="shared" si="243"/>
        <v>0</v>
      </c>
      <c r="O1189" s="63">
        <f t="shared" si="243"/>
        <v>0</v>
      </c>
      <c r="P1189" s="63">
        <f t="shared" si="243"/>
        <v>0</v>
      </c>
      <c r="Q1189" s="63">
        <f t="shared" si="243"/>
        <v>0</v>
      </c>
      <c r="R1189" s="63"/>
      <c r="S1189" s="10"/>
      <c r="T1189" s="10"/>
      <c r="U1189" s="17"/>
      <c r="V1189" s="10"/>
      <c r="W1189" s="10"/>
      <c r="X1189" s="10"/>
      <c r="Y1189" s="2"/>
    </row>
    <row r="1190" spans="2:25">
      <c r="B1190" s="11"/>
      <c r="C1190" s="10"/>
      <c r="D1190" s="10"/>
      <c r="E1190" s="74" t="s">
        <v>3116</v>
      </c>
      <c r="F1190" s="75">
        <f>2.97+2.7</f>
        <v>5.67</v>
      </c>
      <c r="G1190" s="10"/>
      <c r="H1190" s="10"/>
      <c r="I1190" s="10"/>
      <c r="J1190" s="10" t="s">
        <v>44</v>
      </c>
      <c r="K1190" s="63">
        <f>K1182</f>
        <v>0</v>
      </c>
      <c r="L1190" s="63">
        <f t="shared" si="243"/>
        <v>0</v>
      </c>
      <c r="M1190" s="63">
        <f t="shared" si="243"/>
        <v>0</v>
      </c>
      <c r="N1190" s="63">
        <f t="shared" si="243"/>
        <v>0</v>
      </c>
      <c r="O1190" s="63">
        <f t="shared" si="243"/>
        <v>0</v>
      </c>
      <c r="P1190" s="63">
        <f t="shared" si="243"/>
        <v>0</v>
      </c>
      <c r="Q1190" s="63">
        <f t="shared" si="243"/>
        <v>0</v>
      </c>
      <c r="R1190" s="63"/>
      <c r="S1190" s="10"/>
      <c r="T1190" s="10"/>
      <c r="U1190" s="17"/>
      <c r="V1190" s="10"/>
      <c r="W1190" s="10"/>
      <c r="X1190" s="10"/>
      <c r="Y1190" s="2"/>
    </row>
    <row r="1191" spans="2:25">
      <c r="B1191" s="11"/>
      <c r="C1191" s="10"/>
      <c r="D1191" s="10"/>
      <c r="E1191" s="12"/>
      <c r="F1191" s="76"/>
      <c r="G1191" s="10"/>
      <c r="H1191" s="10"/>
      <c r="I1191" s="10"/>
      <c r="J1191" s="10" t="s">
        <v>46</v>
      </c>
      <c r="K1191" s="31" t="e">
        <f t="shared" ref="K1191:Q1191" si="244">K1189/(K1189+K1190)</f>
        <v>#DIV/0!</v>
      </c>
      <c r="L1191" s="31" t="e">
        <f t="shared" si="244"/>
        <v>#DIV/0!</v>
      </c>
      <c r="M1191" s="31" t="e">
        <f t="shared" si="244"/>
        <v>#DIV/0!</v>
      </c>
      <c r="N1191" s="31" t="e">
        <f t="shared" si="244"/>
        <v>#DIV/0!</v>
      </c>
      <c r="O1191" s="31" t="e">
        <f t="shared" si="244"/>
        <v>#DIV/0!</v>
      </c>
      <c r="P1191" s="31" t="e">
        <f t="shared" si="244"/>
        <v>#DIV/0!</v>
      </c>
      <c r="Q1191" s="31" t="e">
        <f t="shared" si="244"/>
        <v>#DIV/0!</v>
      </c>
      <c r="R1191" s="63"/>
      <c r="S1191" s="10"/>
      <c r="T1191" s="10"/>
      <c r="U1191" s="17"/>
      <c r="V1191" s="10"/>
      <c r="W1191" s="10"/>
      <c r="X1191" s="10"/>
      <c r="Y1191" s="2"/>
    </row>
    <row r="1192" spans="2:25">
      <c r="B1192" s="11"/>
      <c r="C1192" s="10"/>
      <c r="D1192" s="10"/>
      <c r="E1192" s="10"/>
      <c r="F1192" s="10"/>
      <c r="G1192" s="10"/>
      <c r="H1192" s="10"/>
      <c r="I1192" s="10"/>
      <c r="J1192" s="10" t="s">
        <v>48</v>
      </c>
      <c r="K1192" s="66" t="e">
        <f t="shared" ref="K1192:Q1192" si="245">K1188/K1189</f>
        <v>#DIV/0!</v>
      </c>
      <c r="L1192" s="66" t="e">
        <f t="shared" si="245"/>
        <v>#DIV/0!</v>
      </c>
      <c r="M1192" s="66" t="e">
        <f t="shared" si="245"/>
        <v>#DIV/0!</v>
      </c>
      <c r="N1192" s="66" t="e">
        <f t="shared" si="245"/>
        <v>#DIV/0!</v>
      </c>
      <c r="O1192" s="66" t="e">
        <f t="shared" si="245"/>
        <v>#DIV/0!</v>
      </c>
      <c r="P1192" s="66" t="e">
        <f t="shared" si="245"/>
        <v>#DIV/0!</v>
      </c>
      <c r="Q1192" s="66" t="e">
        <f t="shared" si="245"/>
        <v>#DIV/0!</v>
      </c>
      <c r="R1192" s="63"/>
      <c r="S1192" s="10"/>
      <c r="T1192" s="10"/>
      <c r="U1192" s="17"/>
      <c r="V1192" s="10"/>
      <c r="W1192" s="10"/>
      <c r="X1192" s="10"/>
      <c r="Y1192" s="2"/>
    </row>
    <row r="1193" spans="2:25">
      <c r="B1193" s="11"/>
      <c r="C1193" s="10"/>
      <c r="D1193" s="10"/>
      <c r="E1193" s="10"/>
      <c r="F1193" s="10"/>
      <c r="G1193" s="10"/>
      <c r="H1193" s="10"/>
      <c r="I1193" s="10"/>
      <c r="J1193" s="10"/>
      <c r="K1193" s="10"/>
      <c r="L1193" s="10"/>
      <c r="M1193" s="10"/>
      <c r="N1193" s="10"/>
      <c r="O1193" s="10"/>
      <c r="P1193" s="10"/>
      <c r="Q1193" s="10"/>
      <c r="R1193" s="10"/>
      <c r="S1193" s="10"/>
      <c r="T1193" s="10"/>
      <c r="U1193" s="17"/>
      <c r="V1193" s="10"/>
      <c r="W1193" s="10"/>
      <c r="X1193" s="10"/>
      <c r="Y1193" s="2"/>
    </row>
    <row r="1194" spans="2:25">
      <c r="B1194" s="11"/>
      <c r="C1194" s="10"/>
      <c r="D1194" s="10"/>
      <c r="E1194" s="10"/>
      <c r="F1194" s="10"/>
      <c r="G1194" s="10"/>
      <c r="H1194" s="10"/>
      <c r="I1194" s="10"/>
      <c r="J1194" s="10"/>
      <c r="K1194" s="10"/>
      <c r="L1194" s="10"/>
      <c r="M1194" s="10"/>
      <c r="N1194" s="10"/>
      <c r="O1194" s="10"/>
      <c r="P1194" s="10"/>
      <c r="Q1194" s="10"/>
      <c r="R1194" s="10"/>
      <c r="S1194" s="10"/>
      <c r="T1194" s="10"/>
      <c r="U1194" s="17"/>
      <c r="V1194" s="10"/>
      <c r="W1194" s="10"/>
      <c r="X1194" s="10"/>
      <c r="Y1194" s="2"/>
    </row>
    <row r="1195" spans="2:25">
      <c r="B1195" s="18" t="s">
        <v>51</v>
      </c>
      <c r="C1195" s="14"/>
      <c r="D1195" s="14"/>
      <c r="E1195" s="14"/>
      <c r="F1195" s="13" t="s">
        <v>52</v>
      </c>
      <c r="G1195" s="14"/>
      <c r="H1195" s="14"/>
      <c r="I1195" s="14"/>
      <c r="J1195" s="14"/>
      <c r="K1195" s="13" t="s">
        <v>3</v>
      </c>
      <c r="L1195" s="14"/>
      <c r="M1195" s="14"/>
      <c r="N1195" s="13" t="s">
        <v>4</v>
      </c>
      <c r="O1195" s="14"/>
      <c r="P1195" s="14"/>
      <c r="Q1195" s="13" t="s">
        <v>5</v>
      </c>
      <c r="R1195" s="14"/>
      <c r="S1195" s="14"/>
      <c r="T1195" s="18"/>
      <c r="U1195" s="16" t="s">
        <v>53</v>
      </c>
      <c r="V1195" s="77"/>
      <c r="W1195" s="77"/>
      <c r="X1195" s="77"/>
      <c r="Y1195" s="2"/>
    </row>
    <row r="1196" spans="2:25">
      <c r="B1196" s="24" t="s">
        <v>54</v>
      </c>
      <c r="C1196" s="21" t="s">
        <v>55</v>
      </c>
      <c r="D1196" s="21" t="s">
        <v>56</v>
      </c>
      <c r="E1196" s="21" t="s">
        <v>57</v>
      </c>
      <c r="F1196" s="20" t="s">
        <v>58</v>
      </c>
      <c r="G1196" s="21" t="s">
        <v>59</v>
      </c>
      <c r="H1196" s="21" t="s">
        <v>60</v>
      </c>
      <c r="I1196" s="21" t="s">
        <v>26</v>
      </c>
      <c r="J1196" s="22" t="s">
        <v>61</v>
      </c>
      <c r="K1196" s="21" t="s">
        <v>8</v>
      </c>
      <c r="L1196" s="21" t="s">
        <v>9</v>
      </c>
      <c r="M1196" s="21" t="s">
        <v>10</v>
      </c>
      <c r="N1196" s="20" t="s">
        <v>11</v>
      </c>
      <c r="O1196" s="21" t="s">
        <v>12</v>
      </c>
      <c r="P1196" s="22" t="s">
        <v>13</v>
      </c>
      <c r="Q1196" s="21" t="s">
        <v>11</v>
      </c>
      <c r="R1196" s="21" t="s">
        <v>12</v>
      </c>
      <c r="S1196" s="21" t="s">
        <v>13</v>
      </c>
      <c r="T1196" s="78" t="s">
        <v>14</v>
      </c>
      <c r="U1196" s="30"/>
      <c r="V1196" s="79" t="s">
        <v>62</v>
      </c>
      <c r="W1196" s="80" t="s">
        <v>63</v>
      </c>
      <c r="X1196" s="81" t="s">
        <v>64</v>
      </c>
      <c r="Y1196" s="2"/>
    </row>
    <row r="1197" spans="2:25">
      <c r="B1197" s="4" t="s">
        <v>65</v>
      </c>
      <c r="C1197" s="6"/>
      <c r="D1197" s="6"/>
      <c r="E1197" s="6"/>
      <c r="F1197" s="6"/>
      <c r="G1197" s="6"/>
      <c r="H1197" s="6"/>
      <c r="I1197" s="82"/>
      <c r="J1197" s="6"/>
      <c r="K1197" s="6"/>
      <c r="L1197" s="6"/>
      <c r="M1197" s="6"/>
      <c r="N1197" s="6"/>
      <c r="O1197" s="6"/>
      <c r="P1197" s="6"/>
      <c r="Q1197" s="6"/>
      <c r="R1197" s="6"/>
      <c r="S1197" s="6"/>
      <c r="T1197" s="83"/>
      <c r="U1197" s="6"/>
      <c r="V1197" s="84"/>
      <c r="W1197" s="85"/>
      <c r="X1197" s="86"/>
      <c r="Y1197" s="2"/>
    </row>
    <row r="1198" spans="2:25">
      <c r="B1198" s="87">
        <v>1</v>
      </c>
      <c r="C1198" s="609"/>
      <c r="D1198" s="10"/>
      <c r="E1198" s="10"/>
      <c r="F1198" s="62"/>
      <c r="G1198" s="62"/>
      <c r="H1198" s="88"/>
      <c r="I1198" s="89">
        <f t="shared" ref="I1198" si="246">F1198-G1198-H1198</f>
        <v>0</v>
      </c>
      <c r="J1198" s="63"/>
      <c r="K1198" s="63"/>
      <c r="L1198" s="63"/>
      <c r="M1198" s="63"/>
      <c r="N1198" s="63"/>
      <c r="O1198" s="63"/>
      <c r="P1198" s="63"/>
      <c r="Q1198" s="63"/>
      <c r="R1198" s="63"/>
      <c r="S1198" s="63"/>
      <c r="T1198" s="63"/>
      <c r="U1198" s="10"/>
      <c r="V1198" s="90"/>
      <c r="W1198" s="91"/>
      <c r="X1198" s="92"/>
      <c r="Y1198" s="2"/>
    </row>
    <row r="1199" spans="2:25">
      <c r="B1199" s="87"/>
      <c r="C1199" s="609"/>
      <c r="D1199" s="10"/>
      <c r="E1199" s="10"/>
      <c r="F1199" s="97">
        <f>SUM(F1198:F1198)</f>
        <v>0</v>
      </c>
      <c r="G1199" s="97">
        <f>SUM(G1198:G1198)</f>
        <v>0</v>
      </c>
      <c r="H1199" s="97">
        <f>SUM(H1198:H1198)</f>
        <v>0</v>
      </c>
      <c r="I1199" s="98">
        <f>SUM(I1198:I1198)</f>
        <v>0</v>
      </c>
      <c r="J1199" s="63"/>
      <c r="K1199" s="63">
        <f>COUNT(K1198:K1198)</f>
        <v>0</v>
      </c>
      <c r="L1199" s="63">
        <f>COUNT(L1198:L1198)</f>
        <v>0</v>
      </c>
      <c r="M1199" s="63">
        <f>COUNT(M1198:M1198)</f>
        <v>0</v>
      </c>
      <c r="N1199" s="63">
        <f>COUNT(N1198:N1198)</f>
        <v>0</v>
      </c>
      <c r="O1199" s="63">
        <f>COUNT(O1198:O1198)</f>
        <v>0</v>
      </c>
      <c r="P1199" s="63">
        <f>COUNT(P1198:P1198)</f>
        <v>0</v>
      </c>
      <c r="Q1199" s="63">
        <f>COUNT(Q1198:Q1198)</f>
        <v>0</v>
      </c>
      <c r="R1199" s="63">
        <f>COUNT(R1198:R1198)</f>
        <v>0</v>
      </c>
      <c r="S1199" s="63">
        <f>COUNT(S1198:S1198)</f>
        <v>0</v>
      </c>
      <c r="T1199" s="63"/>
      <c r="U1199" s="10"/>
      <c r="V1199" s="90"/>
      <c r="W1199" s="91"/>
      <c r="X1199" s="92"/>
      <c r="Y1199" s="2"/>
    </row>
    <row r="1200" spans="2:25">
      <c r="B1200" s="87"/>
      <c r="C1200" s="609"/>
      <c r="D1200" s="10"/>
      <c r="E1200" s="10"/>
      <c r="F1200" s="88"/>
      <c r="G1200" s="88"/>
      <c r="H1200" s="88"/>
      <c r="I1200" s="99"/>
      <c r="J1200" s="63"/>
      <c r="K1200" s="21">
        <f>SUM(K1198:K1198)</f>
        <v>0</v>
      </c>
      <c r="L1200" s="21">
        <f>SUM(L1198:L1198)</f>
        <v>0</v>
      </c>
      <c r="M1200" s="21">
        <f>SUM(M1198:M1198)</f>
        <v>0</v>
      </c>
      <c r="N1200" s="21">
        <f>SUM(N1198:N1198)</f>
        <v>0</v>
      </c>
      <c r="O1200" s="21">
        <f>SUM(O1198:O1198)</f>
        <v>0</v>
      </c>
      <c r="P1200" s="21">
        <f>SUM(P1198:P1198)</f>
        <v>0</v>
      </c>
      <c r="Q1200" s="21">
        <f>SUM(Q1198:Q1198)</f>
        <v>0</v>
      </c>
      <c r="R1200" s="21">
        <f>SUM(R1198:R1198)</f>
        <v>0</v>
      </c>
      <c r="S1200" s="21">
        <f>SUM(S1198:S1198)</f>
        <v>0</v>
      </c>
      <c r="T1200" s="63"/>
      <c r="U1200" s="10"/>
      <c r="V1200" s="90"/>
      <c r="W1200" s="91"/>
      <c r="X1200" s="92"/>
      <c r="Y1200" s="2"/>
    </row>
    <row r="1201" spans="2:25">
      <c r="B1201" s="11"/>
      <c r="C1201" s="609"/>
      <c r="D1201" s="10"/>
      <c r="E1201" s="10"/>
      <c r="F1201" s="88"/>
      <c r="G1201" s="88"/>
      <c r="H1201" s="88"/>
      <c r="I1201" s="99"/>
      <c r="J1201" s="63"/>
      <c r="K1201" s="21"/>
      <c r="L1201" s="21"/>
      <c r="M1201" s="21"/>
      <c r="N1201" s="21"/>
      <c r="O1201" s="21"/>
      <c r="P1201" s="21"/>
      <c r="Q1201" s="21"/>
      <c r="R1201" s="21"/>
      <c r="S1201" s="21"/>
      <c r="T1201" s="63"/>
      <c r="U1201" s="10"/>
      <c r="V1201" s="90"/>
      <c r="W1201" s="91"/>
      <c r="X1201" s="92"/>
      <c r="Y1201" s="2"/>
    </row>
    <row r="1202" spans="2:25">
      <c r="B1202" s="26"/>
      <c r="C1202" s="612"/>
      <c r="D1202" s="141"/>
      <c r="E1202" s="141"/>
      <c r="F1202" s="141"/>
      <c r="G1202" s="141"/>
      <c r="H1202" s="141"/>
      <c r="I1202" s="141"/>
      <c r="J1202" s="141"/>
      <c r="K1202" s="142"/>
      <c r="L1202" s="142"/>
      <c r="M1202" s="142"/>
      <c r="N1202" s="142"/>
      <c r="O1202" s="142"/>
      <c r="P1202" s="142"/>
      <c r="Q1202" s="142"/>
      <c r="R1202" s="142"/>
      <c r="S1202" s="142"/>
      <c r="T1202" s="143">
        <f>SUM(T1198:T1201)</f>
        <v>0</v>
      </c>
      <c r="U1202" s="141"/>
      <c r="V1202" s="144">
        <f>SUM(V1198:V1201)</f>
        <v>0</v>
      </c>
      <c r="W1202" s="145">
        <f>SUM(W1198:W1201)</f>
        <v>0</v>
      </c>
      <c r="X1202" s="146">
        <f>SUM(X1198:X1201)</f>
        <v>0</v>
      </c>
      <c r="Y1202" s="2"/>
    </row>
    <row r="1203" spans="2:25">
      <c r="B1203" s="10"/>
      <c r="C1203" s="36"/>
      <c r="D1203" s="10"/>
      <c r="E1203" s="10"/>
      <c r="F1203" s="10"/>
      <c r="G1203" s="10"/>
      <c r="H1203" s="10"/>
      <c r="I1203" s="10"/>
      <c r="J1203" s="10"/>
      <c r="K1203" s="147"/>
      <c r="L1203" s="147"/>
      <c r="M1203" s="147"/>
      <c r="N1203" s="147"/>
      <c r="O1203" s="147"/>
      <c r="P1203" s="147"/>
      <c r="Q1203" s="147"/>
      <c r="R1203" s="147"/>
      <c r="S1203" s="147"/>
      <c r="T1203" s="21"/>
      <c r="U1203" s="10"/>
      <c r="V1203" s="99"/>
      <c r="W1203" s="99"/>
      <c r="X1203" s="99"/>
      <c r="Y1203" s="2"/>
    </row>
  </sheetData>
  <mergeCells count="22">
    <mergeCell ref="K17:Q17"/>
    <mergeCell ref="K50:Q50"/>
    <mergeCell ref="K136:Q136"/>
    <mergeCell ref="H274:J275"/>
    <mergeCell ref="K476:Q476"/>
    <mergeCell ref="H128:J129"/>
    <mergeCell ref="K202:Q202"/>
    <mergeCell ref="K365:Q365"/>
    <mergeCell ref="K282:Q282"/>
    <mergeCell ref="H468:J469"/>
    <mergeCell ref="K1186:Q1186"/>
    <mergeCell ref="K1089:Q1089"/>
    <mergeCell ref="K663:Q663"/>
    <mergeCell ref="H560:J561"/>
    <mergeCell ref="K568:Q568"/>
    <mergeCell ref="H655:J656"/>
    <mergeCell ref="K972:Q972"/>
    <mergeCell ref="K853:Q853"/>
    <mergeCell ref="H754:J755"/>
    <mergeCell ref="K762:Q762"/>
    <mergeCell ref="H845:J846"/>
    <mergeCell ref="H964:J965"/>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65266-32C3-46C5-BAE1-952AC8DE88E6}">
  <sheetPr>
    <tabColor theme="2" tint="-9.9978637043366805E-2"/>
  </sheetPr>
  <dimension ref="A3:AE608"/>
  <sheetViews>
    <sheetView topLeftCell="A585" workbookViewId="0">
      <selection activeCell="A395" sqref="A395"/>
    </sheetView>
  </sheetViews>
  <sheetFormatPr defaultRowHeight="15"/>
  <cols>
    <col min="1" max="1" width="7.7109375" customWidth="1"/>
    <col min="3" max="3" width="12.140625" customWidth="1"/>
    <col min="4" max="4" width="17.7109375" customWidth="1"/>
    <col min="5" max="5" width="26.42578125" customWidth="1"/>
    <col min="6" max="6" width="14.5703125" customWidth="1"/>
    <col min="7" max="7" width="12" customWidth="1"/>
    <col min="8" max="8" width="13.85546875" customWidth="1"/>
    <col min="9" max="9" width="12.85546875" customWidth="1"/>
    <col min="11" max="11" width="10.5703125" customWidth="1"/>
    <col min="12" max="12" width="10.28515625" customWidth="1"/>
    <col min="13" max="13" width="10.7109375" customWidth="1"/>
    <col min="14" max="14" width="10.140625" customWidth="1"/>
    <col min="15" max="15" width="10.140625" bestFit="1" customWidth="1"/>
    <col min="16" max="16" width="10" customWidth="1"/>
    <col min="18" max="18" width="10.7109375" customWidth="1"/>
    <col min="21" max="21" width="9.5703125" customWidth="1"/>
    <col min="22" max="22" width="12.42578125" customWidth="1"/>
    <col min="23" max="23" width="9.85546875" customWidth="1"/>
    <col min="24" max="24" width="13.28515625" customWidth="1"/>
  </cols>
  <sheetData>
    <row r="3" spans="2:24" s="2" customFormat="1">
      <c r="B3" s="4" t="s">
        <v>1</v>
      </c>
      <c r="C3" s="405"/>
      <c r="D3" s="163"/>
      <c r="E3" s="6"/>
      <c r="F3" s="7" t="s">
        <v>2</v>
      </c>
      <c r="G3" s="8">
        <v>45837</v>
      </c>
      <c r="H3" s="7"/>
      <c r="I3" s="6"/>
      <c r="J3" s="6"/>
      <c r="K3" s="6"/>
      <c r="L3" s="6"/>
      <c r="M3" s="6"/>
      <c r="N3" s="6"/>
      <c r="O3" s="6"/>
      <c r="P3" s="6"/>
      <c r="Q3" s="6"/>
      <c r="R3" s="6"/>
      <c r="S3" s="6"/>
      <c r="T3" s="6"/>
      <c r="U3" s="149"/>
      <c r="V3" s="77"/>
      <c r="W3" s="77"/>
      <c r="X3" s="77"/>
    </row>
    <row r="4" spans="2:24" s="2" customFormat="1">
      <c r="B4" s="11"/>
      <c r="C4" s="77"/>
      <c r="D4" s="77"/>
      <c r="E4" s="10"/>
      <c r="F4" s="10"/>
      <c r="G4" s="7"/>
      <c r="H4" s="12"/>
      <c r="I4" s="10"/>
      <c r="J4" s="10"/>
      <c r="K4" s="13" t="s">
        <v>3</v>
      </c>
      <c r="L4" s="14"/>
      <c r="M4" s="15"/>
      <c r="N4" s="13" t="s">
        <v>4</v>
      </c>
      <c r="O4" s="14"/>
      <c r="P4" s="15"/>
      <c r="Q4" s="13" t="s">
        <v>5</v>
      </c>
      <c r="R4" s="14"/>
      <c r="S4" s="15"/>
      <c r="T4" s="16"/>
      <c r="U4" s="151"/>
      <c r="V4" s="77"/>
      <c r="W4" s="77"/>
      <c r="X4" s="77"/>
    </row>
    <row r="5" spans="2:24" s="2" customFormat="1">
      <c r="B5" s="18" t="s">
        <v>6</v>
      </c>
      <c r="C5" s="406">
        <f>C6+C7</f>
        <v>29</v>
      </c>
      <c r="D5" s="77"/>
      <c r="E5" s="18" t="s">
        <v>7</v>
      </c>
      <c r="F5" s="6"/>
      <c r="G5" s="9"/>
      <c r="H5" s="10"/>
      <c r="I5" s="10"/>
      <c r="J5" s="10"/>
      <c r="K5" s="20" t="s">
        <v>8</v>
      </c>
      <c r="L5" s="21" t="s">
        <v>9</v>
      </c>
      <c r="M5" s="21" t="s">
        <v>10</v>
      </c>
      <c r="N5" s="20" t="s">
        <v>11</v>
      </c>
      <c r="O5" s="21" t="s">
        <v>12</v>
      </c>
      <c r="P5" s="22" t="s">
        <v>13</v>
      </c>
      <c r="Q5" s="21" t="s">
        <v>11</v>
      </c>
      <c r="R5" s="21" t="s">
        <v>12</v>
      </c>
      <c r="S5" s="22" t="s">
        <v>13</v>
      </c>
      <c r="T5" s="23" t="s">
        <v>14</v>
      </c>
      <c r="U5" s="151"/>
      <c r="V5" s="77"/>
      <c r="W5" s="77"/>
      <c r="X5" s="77"/>
    </row>
    <row r="6" spans="2:24" s="2" customFormat="1">
      <c r="B6" s="24" t="s">
        <v>15</v>
      </c>
      <c r="C6" s="407">
        <f>P13</f>
        <v>16</v>
      </c>
      <c r="D6" s="77"/>
      <c r="E6" s="11" t="s">
        <v>16</v>
      </c>
      <c r="F6" s="10" t="s">
        <v>78</v>
      </c>
      <c r="G6" s="153">
        <v>0.05</v>
      </c>
      <c r="H6" s="10"/>
      <c r="I6" s="10"/>
      <c r="J6" s="18" t="s">
        <v>17</v>
      </c>
      <c r="K6" s="29">
        <f>K47</f>
        <v>15</v>
      </c>
      <c r="L6" s="29">
        <f t="shared" ref="L6:S6" si="0">L47</f>
        <v>15</v>
      </c>
      <c r="M6" s="29">
        <f t="shared" si="0"/>
        <v>13</v>
      </c>
      <c r="N6" s="29">
        <f t="shared" si="0"/>
        <v>15</v>
      </c>
      <c r="O6" s="29">
        <f t="shared" si="0"/>
        <v>15</v>
      </c>
      <c r="P6" s="29">
        <f t="shared" si="0"/>
        <v>14</v>
      </c>
      <c r="Q6" s="29">
        <f t="shared" si="0"/>
        <v>14</v>
      </c>
      <c r="R6" s="29">
        <f t="shared" si="0"/>
        <v>14</v>
      </c>
      <c r="S6" s="29">
        <f t="shared" si="0"/>
        <v>14</v>
      </c>
      <c r="T6" s="30">
        <f>T87</f>
        <v>6</v>
      </c>
      <c r="U6" s="151"/>
      <c r="V6" s="77"/>
      <c r="W6" s="77"/>
      <c r="X6" s="77"/>
    </row>
    <row r="7" spans="2:24" s="2" customFormat="1">
      <c r="B7" s="24" t="s">
        <v>18</v>
      </c>
      <c r="C7" s="407">
        <f>P14</f>
        <v>13</v>
      </c>
      <c r="D7" s="77"/>
      <c r="E7" s="26" t="s">
        <v>80</v>
      </c>
      <c r="F7" s="141" t="s">
        <v>81</v>
      </c>
      <c r="G7" s="154">
        <v>0.1</v>
      </c>
      <c r="H7" s="10"/>
      <c r="I7" s="10"/>
      <c r="J7" s="32" t="s">
        <v>19</v>
      </c>
      <c r="K7" s="33">
        <f>K47/K46</f>
        <v>1</v>
      </c>
      <c r="L7" s="33">
        <f t="shared" ref="L7:S7" si="1">L47/L46</f>
        <v>1</v>
      </c>
      <c r="M7" s="33">
        <f t="shared" si="1"/>
        <v>0.8666666666666667</v>
      </c>
      <c r="N7" s="33">
        <f t="shared" si="1"/>
        <v>1</v>
      </c>
      <c r="O7" s="33">
        <f t="shared" si="1"/>
        <v>1</v>
      </c>
      <c r="P7" s="33">
        <f t="shared" si="1"/>
        <v>0.93333333333333335</v>
      </c>
      <c r="Q7" s="33">
        <f t="shared" si="1"/>
        <v>0.93333333333333335</v>
      </c>
      <c r="R7" s="33">
        <f t="shared" si="1"/>
        <v>0.93333333333333335</v>
      </c>
      <c r="S7" s="33">
        <f t="shared" si="1"/>
        <v>0.93333333333333335</v>
      </c>
      <c r="T7" s="23"/>
      <c r="U7" s="151" t="s">
        <v>20</v>
      </c>
      <c r="V7" s="77"/>
      <c r="W7" s="77"/>
      <c r="X7" s="77"/>
    </row>
    <row r="8" spans="2:24" s="2" customFormat="1">
      <c r="B8" s="24" t="s">
        <v>21</v>
      </c>
      <c r="C8" s="408">
        <f>P15</f>
        <v>0.55172413793103448</v>
      </c>
      <c r="D8" s="77"/>
      <c r="E8" s="10"/>
      <c r="F8" s="10"/>
      <c r="G8" s="10"/>
      <c r="H8" s="10"/>
      <c r="I8" s="10"/>
      <c r="J8" s="10"/>
      <c r="K8" s="10"/>
      <c r="L8" s="10"/>
      <c r="M8" s="10"/>
      <c r="N8" s="10"/>
      <c r="O8" s="10"/>
      <c r="P8" s="10"/>
      <c r="Q8" s="10"/>
      <c r="R8" s="10"/>
      <c r="S8" s="10"/>
      <c r="T8" s="10"/>
      <c r="U8" s="151"/>
      <c r="V8" s="77"/>
      <c r="W8" s="77"/>
      <c r="X8" s="77"/>
    </row>
    <row r="9" spans="2:24" s="2" customFormat="1">
      <c r="B9" s="24"/>
      <c r="C9" s="407"/>
      <c r="D9" s="77"/>
      <c r="E9" s="10"/>
      <c r="F9" s="18" t="s">
        <v>22</v>
      </c>
      <c r="G9" s="19" t="s">
        <v>23</v>
      </c>
      <c r="H9" s="35" t="s">
        <v>24</v>
      </c>
      <c r="I9" s="10"/>
      <c r="J9" s="10"/>
      <c r="K9" s="36"/>
      <c r="L9" s="36"/>
      <c r="M9" s="36"/>
      <c r="N9" s="36"/>
      <c r="O9" s="36"/>
      <c r="P9" s="36"/>
      <c r="Q9" s="36"/>
      <c r="R9" s="10"/>
      <c r="S9" s="10"/>
      <c r="T9" s="10"/>
      <c r="U9" s="151"/>
      <c r="V9" s="77"/>
      <c r="W9" s="77"/>
      <c r="X9" s="77"/>
    </row>
    <row r="10" spans="2:24" s="2" customFormat="1">
      <c r="B10" s="32" t="s">
        <v>25</v>
      </c>
      <c r="C10" s="409">
        <f>P16</f>
        <v>2426.8776875000003</v>
      </c>
      <c r="D10" s="77"/>
      <c r="E10" s="18" t="s">
        <v>26</v>
      </c>
      <c r="F10" s="38">
        <f>P12</f>
        <v>38830.043000000005</v>
      </c>
      <c r="G10" s="39">
        <f>I46+I56</f>
        <v>38830.042999999998</v>
      </c>
      <c r="H10" s="410"/>
      <c r="I10" s="411"/>
      <c r="J10" s="412"/>
      <c r="K10" s="413" t="s">
        <v>27</v>
      </c>
      <c r="L10" s="44"/>
      <c r="M10" s="44"/>
      <c r="N10" s="44"/>
      <c r="O10" s="44"/>
      <c r="P10" s="44"/>
      <c r="Q10" s="45"/>
      <c r="R10" s="46" t="s">
        <v>28</v>
      </c>
      <c r="S10" s="47" t="s">
        <v>29</v>
      </c>
      <c r="T10" s="10"/>
      <c r="U10" s="151"/>
      <c r="V10" s="77"/>
      <c r="W10" s="77"/>
      <c r="X10" s="77"/>
    </row>
    <row r="11" spans="2:24" s="2" customFormat="1">
      <c r="B11" s="11"/>
      <c r="C11" s="77"/>
      <c r="D11" s="77"/>
      <c r="E11" s="24" t="s">
        <v>30</v>
      </c>
      <c r="F11" s="48">
        <f>IF(F10&gt;=25000,10%,5%)</f>
        <v>0.1</v>
      </c>
      <c r="G11" s="17"/>
      <c r="H11" s="410"/>
      <c r="I11" s="411"/>
      <c r="J11" s="412"/>
      <c r="K11" s="20" t="s">
        <v>31</v>
      </c>
      <c r="L11" s="21" t="s">
        <v>32</v>
      </c>
      <c r="M11" s="21" t="s">
        <v>33</v>
      </c>
      <c r="N11" s="21" t="s">
        <v>34</v>
      </c>
      <c r="O11" s="21" t="s">
        <v>35</v>
      </c>
      <c r="P11" s="21" t="s">
        <v>36</v>
      </c>
      <c r="Q11" s="49" t="s">
        <v>37</v>
      </c>
      <c r="R11" s="50" t="s">
        <v>38</v>
      </c>
      <c r="S11" s="50" t="s">
        <v>38</v>
      </c>
      <c r="T11" s="10"/>
      <c r="U11" s="151"/>
      <c r="V11" s="77"/>
      <c r="W11" s="77"/>
      <c r="X11" s="77"/>
    </row>
    <row r="12" spans="2:24" s="2" customFormat="1">
      <c r="B12" s="11"/>
      <c r="C12" s="77"/>
      <c r="D12" s="77"/>
      <c r="E12" s="51" t="s">
        <v>39</v>
      </c>
      <c r="F12" s="52">
        <f>(F10-I35-I43-I55)*F11</f>
        <v>2936.9970000000012</v>
      </c>
      <c r="G12" s="53" t="s">
        <v>40</v>
      </c>
      <c r="H12" s="54">
        <f>F12/1.12</f>
        <v>2622.3187500000008</v>
      </c>
      <c r="I12" s="55"/>
      <c r="J12" s="42"/>
      <c r="K12" s="56">
        <f>I31+I32+I33+I34+I55</f>
        <v>13333.023000000001</v>
      </c>
      <c r="L12" s="57">
        <f>I35+I37+I36</f>
        <v>6153.26</v>
      </c>
      <c r="M12" s="57">
        <f>I38+I39</f>
        <v>2920.37</v>
      </c>
      <c r="N12" s="57">
        <f>I40+I43+I44+I45+I41+I42</f>
        <v>16423.39</v>
      </c>
      <c r="O12" s="57">
        <v>0</v>
      </c>
      <c r="P12" s="57">
        <f>SUM(K12:O12)</f>
        <v>38830.043000000005</v>
      </c>
      <c r="Q12" s="58">
        <v>0</v>
      </c>
      <c r="R12" s="59">
        <f>+I56</f>
        <v>8183.3730000000005</v>
      </c>
      <c r="S12" s="59">
        <v>0</v>
      </c>
      <c r="T12" s="10"/>
      <c r="U12" s="151"/>
      <c r="V12" s="77"/>
      <c r="W12" s="77"/>
      <c r="X12" s="77"/>
    </row>
    <row r="13" spans="2:24" s="2" customFormat="1">
      <c r="B13" s="11"/>
      <c r="C13" s="77"/>
      <c r="D13" s="77"/>
      <c r="E13" s="24" t="s">
        <v>41</v>
      </c>
      <c r="F13" s="60">
        <f>Q12</f>
        <v>0</v>
      </c>
      <c r="G13" s="61" t="s">
        <v>40</v>
      </c>
      <c r="H13" s="62"/>
      <c r="I13" s="62"/>
      <c r="J13" s="10" t="s">
        <v>42</v>
      </c>
      <c r="K13" s="63">
        <v>5</v>
      </c>
      <c r="L13" s="63">
        <v>3</v>
      </c>
      <c r="M13" s="63">
        <v>2</v>
      </c>
      <c r="N13" s="63">
        <v>6</v>
      </c>
      <c r="O13" s="63">
        <v>0</v>
      </c>
      <c r="P13" s="21">
        <f>SUM(K13:O13)</f>
        <v>16</v>
      </c>
      <c r="Q13" s="64"/>
      <c r="R13" s="63"/>
      <c r="S13" s="10"/>
      <c r="T13" s="10"/>
      <c r="U13" s="151"/>
      <c r="V13" s="77"/>
      <c r="W13" s="77"/>
      <c r="X13" s="77"/>
    </row>
    <row r="14" spans="2:24" s="2" customFormat="1">
      <c r="B14" s="11"/>
      <c r="C14" s="77"/>
      <c r="D14" s="77"/>
      <c r="E14" s="51" t="s">
        <v>43</v>
      </c>
      <c r="F14" s="52">
        <f>F13*0.25</f>
        <v>0</v>
      </c>
      <c r="G14" s="53" t="s">
        <v>40</v>
      </c>
      <c r="H14" s="54">
        <f>F14/1.12</f>
        <v>0</v>
      </c>
      <c r="I14" s="10"/>
      <c r="J14" s="10" t="s">
        <v>44</v>
      </c>
      <c r="K14" s="63">
        <v>3</v>
      </c>
      <c r="L14" s="63">
        <v>2</v>
      </c>
      <c r="M14" s="63">
        <v>6</v>
      </c>
      <c r="N14" s="63">
        <v>2</v>
      </c>
      <c r="O14" s="63">
        <v>0</v>
      </c>
      <c r="P14" s="21">
        <f>SUM(K14:O14)</f>
        <v>13</v>
      </c>
      <c r="Q14" s="64"/>
      <c r="R14" s="63"/>
      <c r="S14" s="10"/>
      <c r="T14" s="10"/>
      <c r="U14" s="151"/>
      <c r="V14" s="77"/>
      <c r="W14" s="77"/>
      <c r="X14" s="77"/>
    </row>
    <row r="15" spans="2:24" s="2" customFormat="1">
      <c r="B15" s="11"/>
      <c r="C15" s="77"/>
      <c r="D15" s="77"/>
      <c r="E15" s="24" t="s">
        <v>45</v>
      </c>
      <c r="F15" s="60">
        <f>I52</f>
        <v>6546.1600000000017</v>
      </c>
      <c r="G15" s="61" t="s">
        <v>40</v>
      </c>
      <c r="H15" s="62"/>
      <c r="I15" s="10"/>
      <c r="J15" s="10" t="s">
        <v>46</v>
      </c>
      <c r="K15" s="31">
        <f t="shared" ref="K15:Q15" si="2">K13/(K13+K14)</f>
        <v>0.625</v>
      </c>
      <c r="L15" s="31">
        <f t="shared" si="2"/>
        <v>0.6</v>
      </c>
      <c r="M15" s="31">
        <f t="shared" si="2"/>
        <v>0.25</v>
      </c>
      <c r="N15" s="31">
        <f t="shared" si="2"/>
        <v>0.75</v>
      </c>
      <c r="O15" s="31" t="e">
        <f t="shared" si="2"/>
        <v>#DIV/0!</v>
      </c>
      <c r="P15" s="31">
        <f t="shared" si="2"/>
        <v>0.55172413793103448</v>
      </c>
      <c r="Q15" s="31" t="e">
        <f t="shared" si="2"/>
        <v>#DIV/0!</v>
      </c>
      <c r="R15" s="63"/>
      <c r="S15" s="10"/>
      <c r="T15" s="10"/>
      <c r="U15" s="151"/>
      <c r="V15" s="77"/>
      <c r="W15" s="77"/>
      <c r="X15" s="77"/>
    </row>
    <row r="16" spans="2:24" s="2" customFormat="1">
      <c r="B16" s="11"/>
      <c r="C16" s="77"/>
      <c r="D16" s="77"/>
      <c r="E16" s="51" t="s">
        <v>47</v>
      </c>
      <c r="F16" s="52">
        <f>(F15-I51)*0.05</f>
        <v>327.30800000000011</v>
      </c>
      <c r="G16" s="65" t="s">
        <v>40</v>
      </c>
      <c r="H16" s="54">
        <f>F16/1.12</f>
        <v>292.23928571428576</v>
      </c>
      <c r="I16" s="42"/>
      <c r="J16" s="10" t="s">
        <v>48</v>
      </c>
      <c r="K16" s="66">
        <f>K12/K13</f>
        <v>2666.6046000000001</v>
      </c>
      <c r="L16" s="66">
        <f t="shared" ref="L16:Q16" si="3">L12/L13</f>
        <v>2051.0866666666666</v>
      </c>
      <c r="M16" s="66">
        <f t="shared" si="3"/>
        <v>1460.1849999999999</v>
      </c>
      <c r="N16" s="66">
        <f t="shared" si="3"/>
        <v>2737.2316666666666</v>
      </c>
      <c r="O16" s="66" t="e">
        <f t="shared" si="3"/>
        <v>#DIV/0!</v>
      </c>
      <c r="P16" s="66">
        <f t="shared" si="3"/>
        <v>2426.8776875000003</v>
      </c>
      <c r="Q16" s="66" t="e">
        <f t="shared" si="3"/>
        <v>#DIV/0!</v>
      </c>
      <c r="R16" s="63"/>
      <c r="S16" s="10"/>
      <c r="T16" s="10"/>
      <c r="U16" s="151"/>
      <c r="V16" s="77"/>
      <c r="W16" s="77"/>
      <c r="X16" s="77"/>
    </row>
    <row r="17" spans="2:24" s="2" customFormat="1">
      <c r="B17" s="132"/>
      <c r="C17" s="414"/>
      <c r="D17" s="414"/>
      <c r="E17" s="155" t="s">
        <v>14</v>
      </c>
      <c r="F17" s="156">
        <f>6*50</f>
        <v>300</v>
      </c>
      <c r="G17" s="123"/>
      <c r="H17" s="54">
        <f>F17/1.12</f>
        <v>267.85714285714283</v>
      </c>
      <c r="I17" s="123"/>
      <c r="J17" s="123"/>
      <c r="K17" s="123"/>
      <c r="L17" s="123"/>
      <c r="M17" s="123"/>
      <c r="N17" s="123"/>
      <c r="O17" s="123"/>
      <c r="P17" s="123"/>
      <c r="Q17" s="123"/>
      <c r="R17" s="123"/>
      <c r="S17" s="123"/>
      <c r="T17" s="123"/>
      <c r="U17" s="157"/>
      <c r="V17" s="123"/>
      <c r="W17" s="123"/>
      <c r="X17" s="123"/>
    </row>
    <row r="18" spans="2:24" s="2" customFormat="1">
      <c r="B18" s="132"/>
      <c r="C18" s="414"/>
      <c r="D18" s="414"/>
      <c r="E18" s="158" t="s">
        <v>49</v>
      </c>
      <c r="F18" s="159">
        <f>T7</f>
        <v>0</v>
      </c>
      <c r="G18" s="123"/>
      <c r="H18" s="54"/>
      <c r="I18" s="123"/>
      <c r="J18" s="42"/>
      <c r="K18" s="764" t="s">
        <v>50</v>
      </c>
      <c r="L18" s="764"/>
      <c r="M18" s="764"/>
      <c r="N18" s="764"/>
      <c r="O18" s="764"/>
      <c r="P18" s="764"/>
      <c r="Q18" s="764"/>
      <c r="R18" s="70" t="s">
        <v>28</v>
      </c>
      <c r="S18" s="71" t="s">
        <v>29</v>
      </c>
      <c r="T18" s="123"/>
      <c r="U18" s="157"/>
      <c r="V18" s="123"/>
      <c r="W18" s="123"/>
      <c r="X18" s="123"/>
    </row>
    <row r="19" spans="2:24" s="2" customFormat="1">
      <c r="B19" s="132"/>
      <c r="C19" s="414"/>
      <c r="D19" s="414"/>
      <c r="E19" s="307" t="s">
        <v>3117</v>
      </c>
      <c r="F19" s="308">
        <f>1806.11</f>
        <v>1806.11</v>
      </c>
      <c r="G19" s="305"/>
      <c r="H19" s="306">
        <f>F19/1.12</f>
        <v>1612.598214285714</v>
      </c>
      <c r="I19" s="123"/>
      <c r="J19" s="42"/>
      <c r="K19" s="20" t="s">
        <v>31</v>
      </c>
      <c r="L19" s="21" t="s">
        <v>32</v>
      </c>
      <c r="M19" s="21" t="s">
        <v>33</v>
      </c>
      <c r="N19" s="21" t="s">
        <v>34</v>
      </c>
      <c r="O19" s="21" t="s">
        <v>35</v>
      </c>
      <c r="P19" s="21" t="s">
        <v>36</v>
      </c>
      <c r="Q19" s="49" t="s">
        <v>37</v>
      </c>
      <c r="R19" s="50" t="s">
        <v>38</v>
      </c>
      <c r="S19" s="50" t="s">
        <v>38</v>
      </c>
      <c r="T19" s="123"/>
      <c r="U19" s="157"/>
      <c r="V19" s="123"/>
      <c r="W19" s="123"/>
      <c r="X19" s="123"/>
    </row>
    <row r="20" spans="2:24" s="2" customFormat="1">
      <c r="B20" s="132"/>
      <c r="C20" s="414"/>
      <c r="D20" s="414"/>
      <c r="E20" s="303" t="s">
        <v>3118</v>
      </c>
      <c r="F20" s="304">
        <f>2273.15</f>
        <v>2273.15</v>
      </c>
      <c r="G20" s="415"/>
      <c r="H20" s="306">
        <f>F20/1.12</f>
        <v>2029.5982142857142</v>
      </c>
      <c r="I20" s="123"/>
      <c r="J20" s="42"/>
      <c r="K20" s="56">
        <f>F31+F32+F33+F34+F55</f>
        <v>14083.27</v>
      </c>
      <c r="L20" s="57">
        <f>F35+F37+F36</f>
        <v>6251.5999999999995</v>
      </c>
      <c r="M20" s="57">
        <f>F38+F39</f>
        <v>3429.5</v>
      </c>
      <c r="N20" s="57">
        <f>F40+F43+F44+F45+F41+F42</f>
        <v>24181</v>
      </c>
      <c r="O20" s="57">
        <v>0</v>
      </c>
      <c r="P20" s="57">
        <f>SUM(K20:O20)</f>
        <v>47945.369999999995</v>
      </c>
      <c r="Q20" s="58">
        <v>0</v>
      </c>
      <c r="R20" s="59">
        <f>+F56</f>
        <v>8520.27</v>
      </c>
      <c r="S20" s="59">
        <v>0</v>
      </c>
      <c r="T20" s="123"/>
      <c r="U20" s="157"/>
      <c r="V20" s="123"/>
      <c r="W20" s="123"/>
      <c r="X20" s="123"/>
    </row>
    <row r="21" spans="2:24" s="2" customFormat="1">
      <c r="B21" s="132"/>
      <c r="C21" s="414"/>
      <c r="D21" s="414"/>
      <c r="E21" s="303" t="s">
        <v>3119</v>
      </c>
      <c r="F21" s="304">
        <f>0</f>
        <v>0</v>
      </c>
      <c r="G21" s="415"/>
      <c r="H21" s="306">
        <f>F21/1.12</f>
        <v>0</v>
      </c>
      <c r="I21" s="123"/>
      <c r="J21" s="10" t="s">
        <v>42</v>
      </c>
      <c r="K21" s="63">
        <f t="shared" ref="K21:Q22" si="4">K13</f>
        <v>5</v>
      </c>
      <c r="L21" s="63">
        <f t="shared" si="4"/>
        <v>3</v>
      </c>
      <c r="M21" s="63">
        <f t="shared" si="4"/>
        <v>2</v>
      </c>
      <c r="N21" s="63">
        <f t="shared" si="4"/>
        <v>6</v>
      </c>
      <c r="O21" s="63">
        <f t="shared" si="4"/>
        <v>0</v>
      </c>
      <c r="P21" s="63">
        <f t="shared" si="4"/>
        <v>16</v>
      </c>
      <c r="Q21" s="63">
        <f t="shared" si="4"/>
        <v>0</v>
      </c>
      <c r="R21" s="63"/>
      <c r="S21" s="10"/>
      <c r="T21" s="123"/>
      <c r="U21" s="157"/>
      <c r="V21" s="123"/>
      <c r="W21" s="123"/>
      <c r="X21" s="123"/>
    </row>
    <row r="22" spans="2:24" s="2" customFormat="1">
      <c r="B22" s="132"/>
      <c r="C22" s="414"/>
      <c r="D22" s="414"/>
      <c r="E22" s="416" t="s">
        <v>3120</v>
      </c>
      <c r="F22" s="417">
        <v>9.93</v>
      </c>
      <c r="G22" s="123"/>
      <c r="H22" s="54"/>
      <c r="I22" s="123"/>
      <c r="J22" s="10" t="s">
        <v>44</v>
      </c>
      <c r="K22" s="63">
        <f t="shared" si="4"/>
        <v>3</v>
      </c>
      <c r="L22" s="63">
        <f t="shared" si="4"/>
        <v>2</v>
      </c>
      <c r="M22" s="63">
        <f t="shared" si="4"/>
        <v>6</v>
      </c>
      <c r="N22" s="63">
        <f t="shared" si="4"/>
        <v>2</v>
      </c>
      <c r="O22" s="63">
        <f t="shared" si="4"/>
        <v>0</v>
      </c>
      <c r="P22" s="63">
        <f t="shared" si="4"/>
        <v>13</v>
      </c>
      <c r="Q22" s="63">
        <f t="shared" si="4"/>
        <v>0</v>
      </c>
      <c r="R22" s="63"/>
      <c r="S22" s="10"/>
      <c r="T22" s="123"/>
      <c r="U22" s="157"/>
      <c r="V22" s="123"/>
      <c r="W22" s="123"/>
      <c r="X22" s="123"/>
    </row>
    <row r="23" spans="2:24" s="2" customFormat="1">
      <c r="B23" s="132"/>
      <c r="C23" s="414"/>
      <c r="D23" s="414"/>
      <c r="E23" s="12"/>
      <c r="F23" s="160"/>
      <c r="G23" s="123"/>
      <c r="H23" s="54"/>
      <c r="I23" s="123"/>
      <c r="J23" s="10" t="s">
        <v>46</v>
      </c>
      <c r="K23" s="31">
        <f t="shared" ref="K23:Q23" si="5">K21/(K21+K22)</f>
        <v>0.625</v>
      </c>
      <c r="L23" s="31">
        <f t="shared" si="5"/>
        <v>0.6</v>
      </c>
      <c r="M23" s="31">
        <f t="shared" si="5"/>
        <v>0.25</v>
      </c>
      <c r="N23" s="31">
        <f t="shared" si="5"/>
        <v>0.75</v>
      </c>
      <c r="O23" s="31" t="e">
        <f t="shared" si="5"/>
        <v>#DIV/0!</v>
      </c>
      <c r="P23" s="31">
        <f t="shared" si="5"/>
        <v>0.55172413793103448</v>
      </c>
      <c r="Q23" s="31" t="e">
        <f t="shared" si="5"/>
        <v>#DIV/0!</v>
      </c>
      <c r="R23" s="63"/>
      <c r="S23" s="10"/>
      <c r="T23" s="123"/>
      <c r="U23" s="157"/>
      <c r="V23" s="123"/>
      <c r="W23" s="123"/>
      <c r="X23" s="123"/>
    </row>
    <row r="24" spans="2:24" s="2" customFormat="1">
      <c r="B24" s="132"/>
      <c r="C24" s="414"/>
      <c r="D24" s="414"/>
      <c r="E24" s="12"/>
      <c r="F24" s="12"/>
      <c r="G24" s="123"/>
      <c r="H24" s="54"/>
      <c r="I24" s="123"/>
      <c r="J24" s="10" t="s">
        <v>48</v>
      </c>
      <c r="K24" s="66">
        <f t="shared" ref="K24:Q24" si="6">K20/K21</f>
        <v>2816.654</v>
      </c>
      <c r="L24" s="66">
        <f t="shared" si="6"/>
        <v>2083.8666666666663</v>
      </c>
      <c r="M24" s="66">
        <f t="shared" si="6"/>
        <v>1714.75</v>
      </c>
      <c r="N24" s="66">
        <f t="shared" si="6"/>
        <v>4030.1666666666665</v>
      </c>
      <c r="O24" s="66" t="e">
        <f t="shared" si="6"/>
        <v>#DIV/0!</v>
      </c>
      <c r="P24" s="66">
        <f t="shared" si="6"/>
        <v>2996.5856249999997</v>
      </c>
      <c r="Q24" s="66" t="e">
        <f t="shared" si="6"/>
        <v>#DIV/0!</v>
      </c>
      <c r="R24" s="63"/>
      <c r="S24" s="10"/>
      <c r="T24" s="123"/>
      <c r="U24" s="157"/>
      <c r="V24" s="123"/>
      <c r="W24" s="123"/>
      <c r="X24" s="123"/>
    </row>
    <row r="25" spans="2:24" s="2" customFormat="1">
      <c r="B25" s="132"/>
      <c r="C25" s="414"/>
      <c r="D25" s="414"/>
      <c r="E25" s="12"/>
      <c r="F25" s="160"/>
      <c r="G25" s="123"/>
      <c r="H25" s="54"/>
      <c r="I25" s="123"/>
      <c r="J25" s="123"/>
      <c r="K25" s="123"/>
      <c r="L25" s="123"/>
      <c r="M25" s="123"/>
      <c r="N25" s="123"/>
      <c r="O25" s="123"/>
      <c r="P25" s="123"/>
      <c r="Q25" s="123"/>
      <c r="R25" s="123"/>
      <c r="S25" s="123"/>
      <c r="T25" s="123"/>
      <c r="U25" s="157"/>
      <c r="V25" s="123"/>
      <c r="W25" s="123"/>
      <c r="X25" s="123"/>
    </row>
    <row r="26" spans="2:24" s="2" customFormat="1">
      <c r="B26" s="11"/>
      <c r="C26" s="77"/>
      <c r="D26" s="77"/>
      <c r="E26" s="12"/>
      <c r="F26" s="12"/>
      <c r="G26" s="10"/>
      <c r="H26" s="10"/>
      <c r="I26" s="10"/>
      <c r="J26" s="10"/>
      <c r="K26" s="10"/>
      <c r="L26" s="10"/>
      <c r="M26" s="10"/>
      <c r="N26" s="10"/>
      <c r="O26" s="10"/>
      <c r="P26" s="10"/>
      <c r="Q26" s="10"/>
      <c r="R26" s="10"/>
      <c r="S26" s="10"/>
      <c r="T26" s="10"/>
      <c r="U26" s="151"/>
      <c r="V26" s="77"/>
      <c r="W26" s="77"/>
      <c r="X26" s="77"/>
    </row>
    <row r="27" spans="2:24" s="2" customFormat="1">
      <c r="B27" s="11"/>
      <c r="C27" s="77"/>
      <c r="D27" s="77"/>
      <c r="E27" s="10"/>
      <c r="F27" s="10"/>
      <c r="G27" s="10"/>
      <c r="H27" s="10"/>
      <c r="I27" s="10"/>
      <c r="J27" s="10"/>
      <c r="K27" s="10"/>
      <c r="L27" s="10"/>
      <c r="M27" s="10"/>
      <c r="N27" s="10"/>
      <c r="O27" s="10"/>
      <c r="P27" s="10"/>
      <c r="Q27" s="10"/>
      <c r="R27" s="10"/>
      <c r="S27" s="10"/>
      <c r="T27" s="10"/>
      <c r="U27" s="151"/>
      <c r="V27" s="77"/>
      <c r="W27" s="77"/>
      <c r="X27" s="77"/>
    </row>
    <row r="28" spans="2:24" s="2" customFormat="1">
      <c r="B28" s="18" t="s">
        <v>51</v>
      </c>
      <c r="C28" s="418"/>
      <c r="D28" s="418"/>
      <c r="E28" s="14"/>
      <c r="F28" s="13" t="s">
        <v>52</v>
      </c>
      <c r="G28" s="14"/>
      <c r="H28" s="14"/>
      <c r="I28" s="14"/>
      <c r="J28" s="14"/>
      <c r="K28" s="13" t="s">
        <v>3</v>
      </c>
      <c r="L28" s="14"/>
      <c r="M28" s="14"/>
      <c r="N28" s="13" t="s">
        <v>4</v>
      </c>
      <c r="O28" s="14"/>
      <c r="P28" s="14"/>
      <c r="Q28" s="13" t="s">
        <v>5</v>
      </c>
      <c r="R28" s="14"/>
      <c r="S28" s="14"/>
      <c r="T28" s="18"/>
      <c r="U28" s="161" t="s">
        <v>53</v>
      </c>
      <c r="V28" s="77"/>
      <c r="W28" s="77"/>
      <c r="X28" s="77"/>
    </row>
    <row r="29" spans="2:24" s="2" customFormat="1">
      <c r="B29" s="24" t="s">
        <v>54</v>
      </c>
      <c r="C29" s="419" t="s">
        <v>55</v>
      </c>
      <c r="D29" s="419" t="s">
        <v>56</v>
      </c>
      <c r="E29" s="21" t="s">
        <v>57</v>
      </c>
      <c r="F29" s="20" t="s">
        <v>58</v>
      </c>
      <c r="G29" s="21" t="s">
        <v>59</v>
      </c>
      <c r="H29" s="21" t="s">
        <v>60</v>
      </c>
      <c r="I29" s="21" t="s">
        <v>26</v>
      </c>
      <c r="J29" s="22" t="s">
        <v>61</v>
      </c>
      <c r="K29" s="21" t="s">
        <v>8</v>
      </c>
      <c r="L29" s="21" t="s">
        <v>9</v>
      </c>
      <c r="M29" s="21" t="s">
        <v>10</v>
      </c>
      <c r="N29" s="20" t="s">
        <v>11</v>
      </c>
      <c r="O29" s="21" t="s">
        <v>12</v>
      </c>
      <c r="P29" s="22" t="s">
        <v>13</v>
      </c>
      <c r="Q29" s="21" t="s">
        <v>11</v>
      </c>
      <c r="R29" s="21" t="s">
        <v>12</v>
      </c>
      <c r="S29" s="21" t="s">
        <v>13</v>
      </c>
      <c r="T29" s="78" t="s">
        <v>14</v>
      </c>
      <c r="U29" s="162"/>
      <c r="V29" s="79" t="s">
        <v>62</v>
      </c>
      <c r="W29" s="80" t="s">
        <v>63</v>
      </c>
      <c r="X29" s="81" t="s">
        <v>64</v>
      </c>
    </row>
    <row r="30" spans="2:24" s="2" customFormat="1">
      <c r="B30" s="4" t="s">
        <v>65</v>
      </c>
      <c r="C30" s="82"/>
      <c r="D30" s="82"/>
      <c r="E30" s="6"/>
      <c r="F30" s="6"/>
      <c r="G30" s="6"/>
      <c r="H30" s="6"/>
      <c r="I30" s="82"/>
      <c r="J30" s="6"/>
      <c r="K30" s="6"/>
      <c r="L30" s="6"/>
      <c r="M30" s="6"/>
      <c r="N30" s="6"/>
      <c r="O30" s="6"/>
      <c r="P30" s="6"/>
      <c r="Q30" s="6"/>
      <c r="R30" s="6"/>
      <c r="S30" s="6"/>
      <c r="T30" s="83"/>
      <c r="U30" s="163"/>
      <c r="V30" s="84"/>
      <c r="W30" s="85"/>
      <c r="X30" s="86"/>
    </row>
    <row r="31" spans="2:24" s="2" customFormat="1">
      <c r="B31" s="87">
        <v>1</v>
      </c>
      <c r="C31" s="420">
        <v>45831</v>
      </c>
      <c r="D31" s="320">
        <v>701869</v>
      </c>
      <c r="E31" s="276" t="s">
        <v>3121</v>
      </c>
      <c r="F31" s="277">
        <v>777</v>
      </c>
      <c r="G31" s="277"/>
      <c r="H31" s="297"/>
      <c r="I31" s="278">
        <f>F31-G31-H31</f>
        <v>777</v>
      </c>
      <c r="J31" s="279" t="s">
        <v>156</v>
      </c>
      <c r="K31" s="279">
        <v>1</v>
      </c>
      <c r="L31" s="279">
        <v>1</v>
      </c>
      <c r="M31" s="279">
        <v>1</v>
      </c>
      <c r="N31" s="279">
        <v>1</v>
      </c>
      <c r="O31" s="279">
        <v>1</v>
      </c>
      <c r="P31" s="279">
        <v>1</v>
      </c>
      <c r="Q31" s="279">
        <v>1</v>
      </c>
      <c r="R31" s="279">
        <v>1</v>
      </c>
      <c r="S31" s="280">
        <v>1</v>
      </c>
      <c r="T31" s="21">
        <v>1</v>
      </c>
      <c r="U31" s="94"/>
      <c r="V31" s="90">
        <f>92.62+762.08</f>
        <v>854.7</v>
      </c>
      <c r="W31" s="91"/>
      <c r="X31" s="92"/>
    </row>
    <row r="32" spans="2:24" s="2" customFormat="1">
      <c r="B32" s="87">
        <f t="shared" ref="B32:B45" si="7">B31+1</f>
        <v>2</v>
      </c>
      <c r="C32" s="421">
        <v>45831</v>
      </c>
      <c r="D32" s="346">
        <v>701902</v>
      </c>
      <c r="E32" s="10" t="s">
        <v>3122</v>
      </c>
      <c r="F32" s="62">
        <v>2261</v>
      </c>
      <c r="G32" s="62">
        <f>+(94.75+94.75)+200</f>
        <v>389.5</v>
      </c>
      <c r="H32" s="62"/>
      <c r="I32" s="89">
        <f t="shared" ref="I32:I45" si="8">F32-G32-H32</f>
        <v>1871.5</v>
      </c>
      <c r="J32" s="63" t="s">
        <v>156</v>
      </c>
      <c r="K32" s="63">
        <v>1</v>
      </c>
      <c r="L32" s="63">
        <v>1</v>
      </c>
      <c r="M32" s="63">
        <v>1</v>
      </c>
      <c r="N32" s="63">
        <v>1</v>
      </c>
      <c r="O32" s="63">
        <v>1</v>
      </c>
      <c r="P32" s="63">
        <v>1</v>
      </c>
      <c r="Q32" s="63">
        <v>1</v>
      </c>
      <c r="R32" s="63">
        <v>1</v>
      </c>
      <c r="S32" s="296">
        <v>1</v>
      </c>
      <c r="T32" s="63"/>
      <c r="U32" s="94" t="s">
        <v>3123</v>
      </c>
      <c r="V32" s="90">
        <f>248.71+2238.39</f>
        <v>2487.1</v>
      </c>
      <c r="W32" s="91"/>
      <c r="X32" s="92"/>
    </row>
    <row r="33" spans="1:24" s="2" customFormat="1">
      <c r="B33" s="87">
        <f t="shared" si="7"/>
        <v>3</v>
      </c>
      <c r="C33" s="421">
        <v>45831</v>
      </c>
      <c r="D33" s="346">
        <v>701883</v>
      </c>
      <c r="E33" s="10" t="s">
        <v>3124</v>
      </c>
      <c r="F33" s="62">
        <v>1261</v>
      </c>
      <c r="G33" s="62"/>
      <c r="H33" s="62"/>
      <c r="I33" s="89">
        <f t="shared" si="8"/>
        <v>1261</v>
      </c>
      <c r="J33" s="63" t="s">
        <v>156</v>
      </c>
      <c r="K33" s="63">
        <v>1</v>
      </c>
      <c r="L33" s="63">
        <v>1</v>
      </c>
      <c r="M33" s="63">
        <v>1</v>
      </c>
      <c r="N33" s="63">
        <v>1</v>
      </c>
      <c r="O33" s="63">
        <v>1</v>
      </c>
      <c r="P33" s="63">
        <v>1</v>
      </c>
      <c r="Q33" s="63">
        <v>1</v>
      </c>
      <c r="R33" s="63">
        <v>1</v>
      </c>
      <c r="S33" s="296">
        <v>1</v>
      </c>
      <c r="T33" s="21">
        <v>1</v>
      </c>
      <c r="U33" s="94" t="s">
        <v>3125</v>
      </c>
      <c r="V33" s="90">
        <f>1387.1</f>
        <v>1387.1</v>
      </c>
      <c r="W33" s="91"/>
      <c r="X33" s="92"/>
    </row>
    <row r="34" spans="1:24" s="2" customFormat="1">
      <c r="B34" s="87">
        <f t="shared" si="7"/>
        <v>4</v>
      </c>
      <c r="C34" s="421">
        <v>45831</v>
      </c>
      <c r="D34" s="346">
        <v>701851</v>
      </c>
      <c r="E34" s="94" t="s">
        <v>3126</v>
      </c>
      <c r="F34" s="62">
        <v>1264</v>
      </c>
      <c r="G34" s="62">
        <f>+(23.85)</f>
        <v>23.85</v>
      </c>
      <c r="H34" s="62"/>
      <c r="I34" s="89">
        <f t="shared" si="8"/>
        <v>1240.1500000000001</v>
      </c>
      <c r="J34" s="63" t="s">
        <v>156</v>
      </c>
      <c r="K34" s="63">
        <v>1</v>
      </c>
      <c r="L34" s="63">
        <v>1</v>
      </c>
      <c r="M34" s="63">
        <v>1</v>
      </c>
      <c r="N34" s="63">
        <v>1</v>
      </c>
      <c r="O34" s="63">
        <v>1</v>
      </c>
      <c r="P34" s="63">
        <v>1</v>
      </c>
      <c r="Q34" s="63">
        <v>1</v>
      </c>
      <c r="R34" s="63">
        <v>1</v>
      </c>
      <c r="S34" s="296">
        <v>1</v>
      </c>
      <c r="T34" s="21">
        <v>1</v>
      </c>
      <c r="U34" s="94" t="s">
        <v>3127</v>
      </c>
      <c r="V34" s="90">
        <f>139.04+1251.36</f>
        <v>1390.3999999999999</v>
      </c>
      <c r="W34" s="91"/>
      <c r="X34" s="92"/>
    </row>
    <row r="35" spans="1:24" s="2" customFormat="1">
      <c r="A35" s="388">
        <v>45836</v>
      </c>
      <c r="B35" s="87">
        <f t="shared" si="7"/>
        <v>5</v>
      </c>
      <c r="C35" s="420">
        <v>45832</v>
      </c>
      <c r="D35" s="320">
        <v>701907</v>
      </c>
      <c r="E35" s="276" t="s">
        <v>3128</v>
      </c>
      <c r="F35" s="277">
        <f>681-85.3</f>
        <v>595.70000000000005</v>
      </c>
      <c r="G35" s="277"/>
      <c r="H35" s="277"/>
      <c r="I35" s="329">
        <f t="shared" si="8"/>
        <v>595.70000000000005</v>
      </c>
      <c r="J35" s="279" t="s">
        <v>156</v>
      </c>
      <c r="K35" s="279">
        <v>1</v>
      </c>
      <c r="L35" s="279">
        <v>1</v>
      </c>
      <c r="M35" s="279">
        <v>1</v>
      </c>
      <c r="N35" s="279">
        <v>1</v>
      </c>
      <c r="O35" s="279">
        <v>1</v>
      </c>
      <c r="P35" s="279">
        <v>1</v>
      </c>
      <c r="Q35" s="279">
        <v>1</v>
      </c>
      <c r="R35" s="279">
        <v>1</v>
      </c>
      <c r="S35" s="280">
        <v>1</v>
      </c>
      <c r="T35" s="21">
        <v>1</v>
      </c>
      <c r="U35" s="94" t="s">
        <v>3129</v>
      </c>
      <c r="V35" s="90">
        <f>74.91+674.19</f>
        <v>749.1</v>
      </c>
      <c r="W35" s="91"/>
      <c r="X35" s="92"/>
    </row>
    <row r="36" spans="1:24" s="2" customFormat="1">
      <c r="B36" s="87">
        <f t="shared" si="7"/>
        <v>6</v>
      </c>
      <c r="C36" s="421">
        <v>45832</v>
      </c>
      <c r="D36" s="346">
        <v>701825</v>
      </c>
      <c r="E36" s="10" t="s">
        <v>3130</v>
      </c>
      <c r="F36" s="62">
        <v>4374.8999999999996</v>
      </c>
      <c r="G36" s="62"/>
      <c r="H36" s="62"/>
      <c r="I36" s="324">
        <f>F36-G36-H36</f>
        <v>4374.8999999999996</v>
      </c>
      <c r="J36" s="63" t="s">
        <v>156</v>
      </c>
      <c r="K36" s="63">
        <v>1</v>
      </c>
      <c r="L36" s="63">
        <v>1</v>
      </c>
      <c r="M36" s="63">
        <v>1</v>
      </c>
      <c r="N36" s="63">
        <v>1</v>
      </c>
      <c r="O36" s="63">
        <v>1</v>
      </c>
      <c r="P36" s="63">
        <v>1</v>
      </c>
      <c r="Q36" s="325">
        <v>0</v>
      </c>
      <c r="R36" s="325">
        <v>0</v>
      </c>
      <c r="S36" s="326">
        <v>0</v>
      </c>
      <c r="T36" s="63"/>
      <c r="U36" s="94" t="s">
        <v>3131</v>
      </c>
      <c r="V36" s="90">
        <f>481.24+4331.15</f>
        <v>4812.3899999999994</v>
      </c>
      <c r="W36" s="91"/>
      <c r="X36" s="92"/>
    </row>
    <row r="37" spans="1:24" s="2" customFormat="1">
      <c r="B37" s="87">
        <f t="shared" si="7"/>
        <v>7</v>
      </c>
      <c r="C37" s="422">
        <v>45832</v>
      </c>
      <c r="D37" s="330">
        <v>701838</v>
      </c>
      <c r="E37" s="283" t="s">
        <v>3132</v>
      </c>
      <c r="F37" s="284">
        <v>1281</v>
      </c>
      <c r="G37" s="284">
        <f>+(98.34)</f>
        <v>98.34</v>
      </c>
      <c r="H37" s="315"/>
      <c r="I37" s="300">
        <f t="shared" si="8"/>
        <v>1182.6600000000001</v>
      </c>
      <c r="J37" s="286" t="s">
        <v>156</v>
      </c>
      <c r="K37" s="286">
        <v>1</v>
      </c>
      <c r="L37" s="286">
        <v>1</v>
      </c>
      <c r="M37" s="332">
        <v>0</v>
      </c>
      <c r="N37" s="286">
        <v>1</v>
      </c>
      <c r="O37" s="286">
        <v>1</v>
      </c>
      <c r="P37" s="286">
        <v>1</v>
      </c>
      <c r="Q37" s="286">
        <v>1</v>
      </c>
      <c r="R37" s="286">
        <v>1</v>
      </c>
      <c r="S37" s="287">
        <v>1</v>
      </c>
      <c r="T37" s="21">
        <v>1</v>
      </c>
      <c r="U37" s="94" t="s">
        <v>3133</v>
      </c>
      <c r="V37" s="90">
        <f>140.91+1268.19</f>
        <v>1409.1000000000001</v>
      </c>
      <c r="W37" s="91"/>
      <c r="X37" s="92"/>
    </row>
    <row r="38" spans="1:24" s="2" customFormat="1">
      <c r="B38" s="87">
        <f t="shared" si="7"/>
        <v>8</v>
      </c>
      <c r="C38" s="421">
        <v>45833</v>
      </c>
      <c r="D38" s="346">
        <v>701898</v>
      </c>
      <c r="E38" s="10" t="s">
        <v>3134</v>
      </c>
      <c r="F38" s="62">
        <v>581</v>
      </c>
      <c r="G38" s="62"/>
      <c r="H38" s="88"/>
      <c r="I38" s="324">
        <f t="shared" ref="I38:I43" si="9">F38-G38-H38</f>
        <v>581</v>
      </c>
      <c r="J38" s="63" t="s">
        <v>156</v>
      </c>
      <c r="K38" s="63">
        <v>1</v>
      </c>
      <c r="L38" s="63">
        <v>1</v>
      </c>
      <c r="M38" s="325">
        <v>0</v>
      </c>
      <c r="N38" s="63">
        <v>1</v>
      </c>
      <c r="O38" s="63">
        <v>1</v>
      </c>
      <c r="P38" s="63">
        <v>1</v>
      </c>
      <c r="Q38" s="63">
        <v>1</v>
      </c>
      <c r="R38" s="63">
        <v>1</v>
      </c>
      <c r="S38" s="296">
        <v>1</v>
      </c>
      <c r="T38" s="63"/>
      <c r="U38" s="94"/>
      <c r="V38" s="90">
        <f>63.91+575.19</f>
        <v>639.1</v>
      </c>
      <c r="W38" s="91"/>
      <c r="X38" s="92"/>
    </row>
    <row r="39" spans="1:24" s="2" customFormat="1">
      <c r="B39" s="87">
        <f t="shared" si="7"/>
        <v>9</v>
      </c>
      <c r="C39" s="421">
        <v>45833</v>
      </c>
      <c r="D39" s="346">
        <v>701914</v>
      </c>
      <c r="E39" s="10" t="s">
        <v>3135</v>
      </c>
      <c r="F39" s="62">
        <v>2848.5</v>
      </c>
      <c r="G39" s="62">
        <f>34.5+(274.63)+200</f>
        <v>509.13</v>
      </c>
      <c r="H39" s="88"/>
      <c r="I39" s="89">
        <f t="shared" si="9"/>
        <v>2339.37</v>
      </c>
      <c r="J39" s="63" t="s">
        <v>156</v>
      </c>
      <c r="K39" s="63">
        <v>1</v>
      </c>
      <c r="L39" s="63">
        <v>1</v>
      </c>
      <c r="M39" s="63">
        <v>1</v>
      </c>
      <c r="N39" s="63">
        <v>1</v>
      </c>
      <c r="O39" s="63">
        <v>1</v>
      </c>
      <c r="P39" s="63">
        <v>1</v>
      </c>
      <c r="Q39" s="63">
        <v>1</v>
      </c>
      <c r="R39" s="63">
        <v>1</v>
      </c>
      <c r="S39" s="296">
        <v>1</v>
      </c>
      <c r="T39" s="21">
        <v>1</v>
      </c>
      <c r="U39" s="94" t="s">
        <v>3136</v>
      </c>
      <c r="V39" s="90">
        <f>313.33+2820.02</f>
        <v>3133.35</v>
      </c>
      <c r="W39" s="91"/>
      <c r="X39" s="92"/>
    </row>
    <row r="40" spans="1:24" s="2" customFormat="1">
      <c r="B40" s="87">
        <f t="shared" si="7"/>
        <v>10</v>
      </c>
      <c r="C40" s="420">
        <v>45834</v>
      </c>
      <c r="D40" s="320">
        <v>702039</v>
      </c>
      <c r="E40" s="276" t="s">
        <v>3137</v>
      </c>
      <c r="F40" s="277">
        <f>3046-185</f>
        <v>2861</v>
      </c>
      <c r="G40" s="277">
        <f>+(69.3)+200</f>
        <v>269.3</v>
      </c>
      <c r="H40" s="297"/>
      <c r="I40" s="278">
        <f t="shared" si="9"/>
        <v>2591.6999999999998</v>
      </c>
      <c r="J40" s="279" t="s">
        <v>156</v>
      </c>
      <c r="K40" s="279">
        <v>1</v>
      </c>
      <c r="L40" s="279">
        <v>1</v>
      </c>
      <c r="M40" s="279">
        <v>1</v>
      </c>
      <c r="N40" s="279">
        <v>1</v>
      </c>
      <c r="O40" s="279">
        <v>1</v>
      </c>
      <c r="P40" s="279">
        <v>1</v>
      </c>
      <c r="Q40" s="279">
        <v>1</v>
      </c>
      <c r="R40" s="279">
        <v>1</v>
      </c>
      <c r="S40" s="280">
        <v>1</v>
      </c>
      <c r="T40" s="63"/>
      <c r="U40" s="94" t="s">
        <v>3138</v>
      </c>
      <c r="V40" s="90">
        <f>203.5+314.71+2850.89</f>
        <v>3369.1</v>
      </c>
      <c r="W40" s="91"/>
      <c r="X40" s="92"/>
    </row>
    <row r="41" spans="1:24" s="2" customFormat="1">
      <c r="B41" s="87">
        <f t="shared" si="7"/>
        <v>11</v>
      </c>
      <c r="C41" s="421">
        <v>45834</v>
      </c>
      <c r="D41" s="346" t="s">
        <v>3139</v>
      </c>
      <c r="E41" s="101" t="s">
        <v>3140</v>
      </c>
      <c r="F41" s="62">
        <v>481</v>
      </c>
      <c r="G41" s="62"/>
      <c r="H41" s="62"/>
      <c r="I41" s="89">
        <f t="shared" si="9"/>
        <v>481</v>
      </c>
      <c r="J41" s="63" t="s">
        <v>228</v>
      </c>
      <c r="K41" s="63">
        <v>1</v>
      </c>
      <c r="L41" s="63">
        <v>1</v>
      </c>
      <c r="M41" s="63">
        <v>1</v>
      </c>
      <c r="N41" s="63">
        <v>1</v>
      </c>
      <c r="O41" s="63">
        <v>1</v>
      </c>
      <c r="P41" s="63">
        <v>1</v>
      </c>
      <c r="Q41" s="63">
        <v>1</v>
      </c>
      <c r="R41" s="63">
        <v>1</v>
      </c>
      <c r="S41" s="296">
        <v>1</v>
      </c>
      <c r="T41" s="63"/>
      <c r="U41" s="94"/>
      <c r="V41" s="90">
        <f>52.91+476.19</f>
        <v>529.1</v>
      </c>
      <c r="W41" s="91"/>
      <c r="X41" s="92"/>
    </row>
    <row r="42" spans="1:24" s="2" customFormat="1">
      <c r="B42" s="87">
        <f t="shared" si="7"/>
        <v>12</v>
      </c>
      <c r="C42" s="421">
        <v>45834</v>
      </c>
      <c r="D42" s="346" t="s">
        <v>3141</v>
      </c>
      <c r="E42" s="101" t="s">
        <v>3140</v>
      </c>
      <c r="F42" s="62">
        <v>12848.5</v>
      </c>
      <c r="G42" s="62">
        <f>34.5+772.87+(3365.15)+1000</f>
        <v>5172.5200000000004</v>
      </c>
      <c r="H42" s="62"/>
      <c r="I42" s="89">
        <f t="shared" si="9"/>
        <v>7675.98</v>
      </c>
      <c r="J42" s="63" t="s">
        <v>228</v>
      </c>
      <c r="K42" s="63">
        <v>1</v>
      </c>
      <c r="L42" s="63">
        <v>1</v>
      </c>
      <c r="M42" s="63">
        <v>1</v>
      </c>
      <c r="N42" s="63">
        <v>1</v>
      </c>
      <c r="O42" s="63">
        <v>1</v>
      </c>
      <c r="P42" s="63">
        <v>1</v>
      </c>
      <c r="Q42" s="63">
        <v>1</v>
      </c>
      <c r="R42" s="63">
        <v>1</v>
      </c>
      <c r="S42" s="296">
        <v>1</v>
      </c>
      <c r="T42" s="63"/>
      <c r="U42" s="94" t="s">
        <v>3142</v>
      </c>
      <c r="V42" s="90">
        <f>1460+11358.39</f>
        <v>12818.39</v>
      </c>
      <c r="W42" s="91"/>
      <c r="X42" s="92"/>
    </row>
    <row r="43" spans="1:24" s="2" customFormat="1">
      <c r="A43" s="2" t="s">
        <v>230</v>
      </c>
      <c r="B43" s="87">
        <f t="shared" si="7"/>
        <v>13</v>
      </c>
      <c r="C43" s="421">
        <v>45834</v>
      </c>
      <c r="D43" s="346" t="s">
        <v>3143</v>
      </c>
      <c r="E43" s="10" t="s">
        <v>3144</v>
      </c>
      <c r="F43" s="62">
        <v>681</v>
      </c>
      <c r="G43" s="62"/>
      <c r="H43" s="88"/>
      <c r="I43" s="369">
        <f t="shared" si="9"/>
        <v>681</v>
      </c>
      <c r="J43" s="63" t="s">
        <v>156</v>
      </c>
      <c r="K43" s="63">
        <v>1</v>
      </c>
      <c r="L43" s="63">
        <v>1</v>
      </c>
      <c r="M43" s="63">
        <v>1</v>
      </c>
      <c r="N43" s="63">
        <v>1</v>
      </c>
      <c r="O43" s="63">
        <v>1</v>
      </c>
      <c r="P43" s="325">
        <v>0</v>
      </c>
      <c r="Q43" s="63">
        <v>1</v>
      </c>
      <c r="R43" s="63">
        <v>1</v>
      </c>
      <c r="S43" s="296">
        <v>1</v>
      </c>
      <c r="T43" s="63"/>
      <c r="U43" s="94"/>
      <c r="V43" s="90">
        <f>74.91+674.19</f>
        <v>749.1</v>
      </c>
      <c r="W43" s="91"/>
      <c r="X43" s="92"/>
    </row>
    <row r="44" spans="1:24" s="2" customFormat="1">
      <c r="A44" s="388">
        <v>45835</v>
      </c>
      <c r="B44" s="87">
        <f t="shared" si="7"/>
        <v>14</v>
      </c>
      <c r="C44" s="421">
        <v>45834</v>
      </c>
      <c r="D44" s="346">
        <v>701986</v>
      </c>
      <c r="E44" s="10" t="s">
        <v>3145</v>
      </c>
      <c r="F44" s="95">
        <v>5848.5</v>
      </c>
      <c r="G44" s="62">
        <f>34.5+(55.68+1975.61)+250</f>
        <v>2315.79</v>
      </c>
      <c r="H44" s="62"/>
      <c r="I44" s="89">
        <f t="shared" si="8"/>
        <v>3532.71</v>
      </c>
      <c r="J44" s="63" t="s">
        <v>156</v>
      </c>
      <c r="K44" s="63">
        <v>1</v>
      </c>
      <c r="L44" s="63">
        <v>1</v>
      </c>
      <c r="M44" s="63">
        <v>1</v>
      </c>
      <c r="N44" s="63">
        <v>1</v>
      </c>
      <c r="O44" s="63">
        <v>1</v>
      </c>
      <c r="P44" s="63">
        <v>1</v>
      </c>
      <c r="Q44" s="63">
        <v>1</v>
      </c>
      <c r="R44" s="63">
        <v>1</v>
      </c>
      <c r="S44" s="296">
        <v>1</v>
      </c>
      <c r="T44" s="63"/>
      <c r="U44" s="94" t="s">
        <v>3146</v>
      </c>
      <c r="V44" s="90">
        <f>643.35+2395+3395</f>
        <v>6433.35</v>
      </c>
      <c r="W44" s="91"/>
      <c r="X44" s="92"/>
    </row>
    <row r="45" spans="1:24" s="2" customFormat="1">
      <c r="B45" s="87">
        <f t="shared" si="7"/>
        <v>15</v>
      </c>
      <c r="C45" s="422">
        <v>45834</v>
      </c>
      <c r="D45" s="330">
        <v>702032</v>
      </c>
      <c r="E45" s="283" t="s">
        <v>3147</v>
      </c>
      <c r="F45" s="423">
        <v>1461</v>
      </c>
      <c r="G45" s="284"/>
      <c r="H45" s="284"/>
      <c r="I45" s="285">
        <f t="shared" si="8"/>
        <v>1461</v>
      </c>
      <c r="J45" s="286" t="s">
        <v>156</v>
      </c>
      <c r="K45" s="286">
        <v>1</v>
      </c>
      <c r="L45" s="286">
        <v>1</v>
      </c>
      <c r="M45" s="286">
        <v>1</v>
      </c>
      <c r="N45" s="286">
        <v>1</v>
      </c>
      <c r="O45" s="286">
        <v>1</v>
      </c>
      <c r="P45" s="286">
        <v>1</v>
      </c>
      <c r="Q45" s="286">
        <v>1</v>
      </c>
      <c r="R45" s="286">
        <v>1</v>
      </c>
      <c r="S45" s="287">
        <v>1</v>
      </c>
      <c r="T45" s="63"/>
      <c r="U45" s="94"/>
      <c r="V45" s="90">
        <f>160.71+1446.39</f>
        <v>1607.1000000000001</v>
      </c>
      <c r="W45" s="91"/>
      <c r="X45" s="92"/>
    </row>
    <row r="46" spans="1:24" s="2" customFormat="1">
      <c r="B46" s="87"/>
      <c r="C46" s="270"/>
      <c r="D46" s="77"/>
      <c r="E46" s="10"/>
      <c r="F46" s="97">
        <f>SUM(F31:F45)</f>
        <v>39425.1</v>
      </c>
      <c r="G46" s="97">
        <f>SUM(G31:G45)</f>
        <v>8778.43</v>
      </c>
      <c r="H46" s="97">
        <f>SUM(H31:H45)</f>
        <v>0</v>
      </c>
      <c r="I46" s="98">
        <f>SUM(I31:I45)</f>
        <v>30646.67</v>
      </c>
      <c r="J46" s="63"/>
      <c r="K46" s="63">
        <f t="shared" ref="K46:S46" si="10">COUNT(K31:K45)</f>
        <v>15</v>
      </c>
      <c r="L46" s="63">
        <f t="shared" si="10"/>
        <v>15</v>
      </c>
      <c r="M46" s="63">
        <f t="shared" si="10"/>
        <v>15</v>
      </c>
      <c r="N46" s="63">
        <f t="shared" si="10"/>
        <v>15</v>
      </c>
      <c r="O46" s="63">
        <f t="shared" si="10"/>
        <v>15</v>
      </c>
      <c r="P46" s="63">
        <f t="shared" si="10"/>
        <v>15</v>
      </c>
      <c r="Q46" s="63">
        <f t="shared" si="10"/>
        <v>15</v>
      </c>
      <c r="R46" s="63">
        <f t="shared" si="10"/>
        <v>15</v>
      </c>
      <c r="S46" s="63">
        <f t="shared" si="10"/>
        <v>15</v>
      </c>
      <c r="T46" s="63"/>
      <c r="U46" s="94"/>
      <c r="V46" s="90"/>
      <c r="W46" s="91"/>
      <c r="X46" s="92"/>
    </row>
    <row r="47" spans="1:24" s="2" customFormat="1">
      <c r="B47" s="87"/>
      <c r="C47" s="270"/>
      <c r="D47" s="77"/>
      <c r="E47" s="10"/>
      <c r="F47" s="88"/>
      <c r="G47" s="88"/>
      <c r="H47" s="88"/>
      <c r="I47" s="99"/>
      <c r="J47" s="63"/>
      <c r="K47" s="21">
        <f t="shared" ref="K47:S47" si="11">SUM(K31:K45)</f>
        <v>15</v>
      </c>
      <c r="L47" s="21">
        <f t="shared" si="11"/>
        <v>15</v>
      </c>
      <c r="M47" s="21">
        <f t="shared" si="11"/>
        <v>13</v>
      </c>
      <c r="N47" s="21">
        <f t="shared" si="11"/>
        <v>15</v>
      </c>
      <c r="O47" s="21">
        <f t="shared" si="11"/>
        <v>15</v>
      </c>
      <c r="P47" s="21">
        <f t="shared" si="11"/>
        <v>14</v>
      </c>
      <c r="Q47" s="21">
        <f t="shared" si="11"/>
        <v>14</v>
      </c>
      <c r="R47" s="21">
        <f t="shared" si="11"/>
        <v>14</v>
      </c>
      <c r="S47" s="21">
        <f t="shared" si="11"/>
        <v>14</v>
      </c>
      <c r="T47" s="63"/>
      <c r="U47" s="94"/>
      <c r="V47" s="90"/>
      <c r="W47" s="91"/>
      <c r="X47" s="92"/>
    </row>
    <row r="48" spans="1:24" s="2" customFormat="1">
      <c r="B48" s="11"/>
      <c r="C48" s="270"/>
      <c r="D48" s="77"/>
      <c r="E48" s="10"/>
      <c r="F48" s="88"/>
      <c r="G48" s="88"/>
      <c r="H48" s="88"/>
      <c r="I48" s="99"/>
      <c r="J48" s="63"/>
      <c r="K48" s="21"/>
      <c r="L48" s="21"/>
      <c r="M48" s="21"/>
      <c r="N48" s="21"/>
      <c r="O48" s="21"/>
      <c r="P48" s="21"/>
      <c r="Q48" s="21"/>
      <c r="R48" s="21"/>
      <c r="S48" s="21"/>
      <c r="T48" s="63"/>
      <c r="U48" s="94"/>
      <c r="V48" s="90"/>
      <c r="W48" s="91"/>
      <c r="X48" s="92"/>
    </row>
    <row r="49" spans="1:31" s="2" customFormat="1">
      <c r="B49" s="100" t="s">
        <v>67</v>
      </c>
      <c r="C49" s="270"/>
      <c r="D49" s="77"/>
      <c r="E49" s="10"/>
      <c r="F49" s="88"/>
      <c r="G49" s="62"/>
      <c r="H49" s="88"/>
      <c r="I49" s="99"/>
      <c r="J49" s="63"/>
      <c r="T49" s="63"/>
      <c r="U49" s="94"/>
      <c r="V49" s="90"/>
      <c r="W49" s="91"/>
      <c r="X49" s="92"/>
    </row>
    <row r="50" spans="1:31" s="2" customFormat="1">
      <c r="A50" s="424" t="s">
        <v>3148</v>
      </c>
      <c r="B50" s="87">
        <v>1</v>
      </c>
      <c r="C50" s="425">
        <v>45705</v>
      </c>
      <c r="D50" s="357">
        <v>626729</v>
      </c>
      <c r="E50" s="271" t="s">
        <v>3149</v>
      </c>
      <c r="F50" s="265">
        <f>11108.27-104.74</f>
        <v>11003.53</v>
      </c>
      <c r="G50" s="265">
        <f>272+149+149+53.41+(82.62+176.86)+1000</f>
        <v>1882.8899999999999</v>
      </c>
      <c r="H50" s="265">
        <f>2340.44+234.04</f>
        <v>2574.48</v>
      </c>
      <c r="I50" s="272">
        <f>F50-G50-H50</f>
        <v>6546.1600000000017</v>
      </c>
      <c r="J50" s="267" t="s">
        <v>313</v>
      </c>
      <c r="K50" s="267">
        <v>1</v>
      </c>
      <c r="L50" s="267">
        <v>1</v>
      </c>
      <c r="M50" s="267">
        <v>1</v>
      </c>
      <c r="N50" s="267">
        <v>1</v>
      </c>
      <c r="O50" s="267">
        <v>1</v>
      </c>
      <c r="P50" s="267">
        <v>1</v>
      </c>
      <c r="Q50" s="267">
        <v>1</v>
      </c>
      <c r="R50" s="267">
        <v>1</v>
      </c>
      <c r="S50" s="269">
        <v>1</v>
      </c>
      <c r="T50" s="63"/>
      <c r="U50" s="94" t="s">
        <v>3150</v>
      </c>
      <c r="V50" s="138"/>
      <c r="W50" s="136"/>
      <c r="X50" s="137"/>
      <c r="Y50" s="181"/>
    </row>
    <row r="51" spans="1:31" s="2" customFormat="1">
      <c r="A51" s="371" t="s">
        <v>3151</v>
      </c>
      <c r="B51" s="372">
        <f>B50+1</f>
        <v>2</v>
      </c>
      <c r="C51" s="426">
        <v>45827</v>
      </c>
      <c r="D51" s="330" t="s">
        <v>3152</v>
      </c>
      <c r="E51" s="427" t="s">
        <v>3153</v>
      </c>
      <c r="F51" s="428">
        <f>3895.5-3895.5</f>
        <v>0</v>
      </c>
      <c r="G51" s="428"/>
      <c r="H51" s="428"/>
      <c r="I51" s="429">
        <f>F51-G51-H51</f>
        <v>0</v>
      </c>
      <c r="J51" s="332" t="s">
        <v>156</v>
      </c>
      <c r="K51" s="332">
        <v>1</v>
      </c>
      <c r="L51" s="332"/>
      <c r="M51" s="332">
        <v>1</v>
      </c>
      <c r="N51" s="332">
        <v>1</v>
      </c>
      <c r="O51" s="332">
        <v>1</v>
      </c>
      <c r="P51" s="332">
        <v>0</v>
      </c>
      <c r="Q51" s="332"/>
      <c r="R51" s="332"/>
      <c r="S51" s="370"/>
      <c r="T51" s="325"/>
      <c r="U51" s="430" t="s">
        <v>3154</v>
      </c>
      <c r="V51" s="377"/>
      <c r="W51" s="392"/>
      <c r="X51" s="379"/>
      <c r="Y51" s="380"/>
      <c r="Z51" s="380"/>
      <c r="AA51" s="380"/>
      <c r="AB51" s="380"/>
      <c r="AC51" s="380"/>
      <c r="AD51" s="380"/>
      <c r="AE51" s="380"/>
    </row>
    <row r="52" spans="1:31" s="2" customFormat="1">
      <c r="B52" s="11"/>
      <c r="C52" s="270"/>
      <c r="D52" s="77"/>
      <c r="E52" s="10"/>
      <c r="F52" s="97">
        <f>SUM(F50:F51)</f>
        <v>11003.53</v>
      </c>
      <c r="G52" s="97">
        <f>SUM(G50:G51)</f>
        <v>1882.8899999999999</v>
      </c>
      <c r="H52" s="97">
        <f>SUM(H50:H51)</f>
        <v>2574.48</v>
      </c>
      <c r="I52" s="98">
        <f>SUM(I50:I51)</f>
        <v>6546.1600000000017</v>
      </c>
      <c r="J52" s="63"/>
      <c r="K52" s="21"/>
      <c r="L52" s="21"/>
      <c r="M52" s="21"/>
      <c r="N52" s="21"/>
      <c r="O52" s="21"/>
      <c r="P52" s="21"/>
      <c r="Q52" s="21"/>
      <c r="R52" s="21"/>
      <c r="S52" s="21"/>
      <c r="T52" s="63"/>
      <c r="U52" s="94"/>
      <c r="V52" s="90"/>
      <c r="W52" s="91"/>
      <c r="X52" s="92"/>
    </row>
    <row r="53" spans="1:31" s="2" customFormat="1">
      <c r="B53" s="11"/>
      <c r="C53" s="270"/>
      <c r="D53" s="77"/>
      <c r="E53" s="10"/>
      <c r="F53" s="88"/>
      <c r="G53" s="88"/>
      <c r="H53" s="88"/>
      <c r="I53" s="99"/>
      <c r="J53" s="63"/>
      <c r="K53" s="21"/>
      <c r="L53" s="21"/>
      <c r="M53" s="21"/>
      <c r="N53" s="21"/>
      <c r="O53" s="21"/>
      <c r="P53" s="21"/>
      <c r="Q53" s="21"/>
      <c r="R53" s="21"/>
      <c r="S53" s="21"/>
      <c r="T53" s="63"/>
      <c r="U53" s="94"/>
      <c r="V53" s="90"/>
      <c r="W53" s="91"/>
      <c r="X53" s="92"/>
    </row>
    <row r="54" spans="1:31" s="2" customFormat="1">
      <c r="B54" s="121" t="s">
        <v>70</v>
      </c>
      <c r="C54" s="431"/>
      <c r="D54" s="414"/>
      <c r="E54" s="128"/>
      <c r="F54" s="124"/>
      <c r="G54" s="124"/>
      <c r="H54" s="124"/>
      <c r="I54" s="126"/>
      <c r="J54" s="127"/>
      <c r="K54" s="64"/>
      <c r="L54" s="64"/>
      <c r="M54" s="64"/>
      <c r="N54" s="64"/>
      <c r="O54" s="64"/>
      <c r="P54" s="64"/>
      <c r="Q54" s="64"/>
      <c r="R54" s="64"/>
      <c r="S54" s="64"/>
      <c r="T54" s="127"/>
      <c r="U54" s="135"/>
      <c r="V54" s="129"/>
      <c r="W54" s="130"/>
      <c r="X54" s="131"/>
    </row>
    <row r="55" spans="1:31" s="128" customFormat="1">
      <c r="A55" s="128" t="s">
        <v>383</v>
      </c>
      <c r="B55" s="333">
        <v>1</v>
      </c>
      <c r="C55" s="432">
        <v>45831</v>
      </c>
      <c r="D55" s="357">
        <v>701437</v>
      </c>
      <c r="E55" s="358" t="s">
        <v>3155</v>
      </c>
      <c r="F55" s="352">
        <v>8520.27</v>
      </c>
      <c r="G55" s="352">
        <f>234.27*1.1+72*1.1</f>
        <v>336.89700000000005</v>
      </c>
      <c r="H55" s="352"/>
      <c r="I55" s="353">
        <f>F55-G55-H55</f>
        <v>8183.3730000000005</v>
      </c>
      <c r="J55" s="354" t="s">
        <v>156</v>
      </c>
      <c r="K55" s="354">
        <v>1</v>
      </c>
      <c r="L55" s="354"/>
      <c r="M55" s="354">
        <v>1</v>
      </c>
      <c r="N55" s="354">
        <v>1</v>
      </c>
      <c r="O55" s="354">
        <v>1</v>
      </c>
      <c r="P55" s="354">
        <v>1</v>
      </c>
      <c r="Q55" s="354"/>
      <c r="R55" s="354"/>
      <c r="S55" s="355"/>
      <c r="T55" s="127"/>
      <c r="U55" s="135" t="s">
        <v>3156</v>
      </c>
      <c r="V55" s="129">
        <f>937.23</f>
        <v>937.23</v>
      </c>
      <c r="W55" s="340"/>
      <c r="X55" s="341"/>
    </row>
    <row r="56" spans="1:31" s="2" customFormat="1">
      <c r="B56" s="132"/>
      <c r="C56" s="431"/>
      <c r="D56" s="414"/>
      <c r="E56" s="123"/>
      <c r="F56" s="133">
        <f>SUM(F55:F55)</f>
        <v>8520.27</v>
      </c>
      <c r="G56" s="133">
        <f>SUM(G55:G55)</f>
        <v>336.89700000000005</v>
      </c>
      <c r="H56" s="133">
        <f>SUM(H55:H55)</f>
        <v>0</v>
      </c>
      <c r="I56" s="134">
        <f>SUM(I55:I55)</f>
        <v>8183.3730000000005</v>
      </c>
      <c r="J56" s="127"/>
      <c r="K56" s="64"/>
      <c r="L56" s="64"/>
      <c r="M56" s="64"/>
      <c r="N56" s="64"/>
      <c r="O56" s="64"/>
      <c r="P56" s="64"/>
      <c r="Q56" s="64"/>
      <c r="R56" s="64"/>
      <c r="S56" s="64"/>
      <c r="T56" s="127"/>
      <c r="U56" s="135"/>
      <c r="V56" s="129"/>
      <c r="W56" s="130"/>
      <c r="X56" s="131"/>
    </row>
    <row r="57" spans="1:31" s="2" customFormat="1">
      <c r="B57" s="11"/>
      <c r="C57" s="270"/>
      <c r="D57" s="77"/>
      <c r="E57" s="10"/>
      <c r="F57" s="88"/>
      <c r="G57" s="88"/>
      <c r="H57" s="88"/>
      <c r="I57" s="99"/>
      <c r="J57" s="63"/>
      <c r="K57" s="21"/>
      <c r="L57" s="21"/>
      <c r="M57" s="21"/>
      <c r="N57" s="21"/>
      <c r="O57" s="21"/>
      <c r="P57" s="21"/>
      <c r="Q57" s="21"/>
      <c r="R57" s="21"/>
      <c r="S57" s="21"/>
      <c r="T57" s="63"/>
      <c r="U57" s="94"/>
      <c r="V57" s="90"/>
      <c r="W57" s="91"/>
      <c r="X57" s="92"/>
    </row>
    <row r="58" spans="1:31" s="181" customFormat="1">
      <c r="B58" s="100" t="s">
        <v>152</v>
      </c>
      <c r="C58" s="270"/>
      <c r="D58" s="77"/>
      <c r="E58" s="10"/>
      <c r="F58" s="88"/>
      <c r="G58" s="62"/>
      <c r="H58" s="88"/>
      <c r="I58" s="99"/>
      <c r="J58" s="63"/>
      <c r="K58" s="63"/>
      <c r="L58" s="63"/>
      <c r="M58" s="63"/>
      <c r="N58" s="63"/>
      <c r="O58" s="63"/>
      <c r="P58" s="63"/>
      <c r="Q58" s="63"/>
      <c r="R58" s="63"/>
      <c r="S58" s="63"/>
      <c r="T58" s="63"/>
      <c r="U58" s="94"/>
      <c r="V58" s="90"/>
      <c r="W58" s="91"/>
      <c r="X58" s="92"/>
    </row>
    <row r="59" spans="1:31" s="181" customFormat="1">
      <c r="A59" s="261">
        <v>0.1</v>
      </c>
      <c r="B59" s="87">
        <v>1</v>
      </c>
      <c r="C59" s="420">
        <v>45799</v>
      </c>
      <c r="D59" s="320" t="s">
        <v>3157</v>
      </c>
      <c r="E59" s="281" t="s">
        <v>3158</v>
      </c>
      <c r="F59" s="277">
        <v>481</v>
      </c>
      <c r="G59" s="277"/>
      <c r="H59" s="277"/>
      <c r="I59" s="278">
        <f>F59-G59-H59</f>
        <v>481</v>
      </c>
      <c r="J59" s="279" t="s">
        <v>156</v>
      </c>
      <c r="K59" s="279">
        <v>1</v>
      </c>
      <c r="L59" s="279">
        <v>1</v>
      </c>
      <c r="M59" s="279">
        <v>1</v>
      </c>
      <c r="N59" s="279">
        <v>1</v>
      </c>
      <c r="O59" s="279">
        <v>1</v>
      </c>
      <c r="P59" s="279">
        <v>0</v>
      </c>
      <c r="Q59" s="279">
        <v>0</v>
      </c>
      <c r="R59" s="279">
        <v>0</v>
      </c>
      <c r="S59" s="280">
        <v>0</v>
      </c>
      <c r="T59" s="63"/>
      <c r="U59" s="94"/>
      <c r="V59" s="90"/>
      <c r="W59" s="91"/>
      <c r="X59" s="92"/>
    </row>
    <row r="60" spans="1:31" s="181" customFormat="1">
      <c r="A60" s="261">
        <v>0.1</v>
      </c>
      <c r="B60" s="87">
        <f t="shared" ref="B60:B62" si="12">B59+1</f>
        <v>2</v>
      </c>
      <c r="C60" s="433">
        <v>45818</v>
      </c>
      <c r="D60" s="357">
        <v>701386</v>
      </c>
      <c r="E60" s="264" t="s">
        <v>3159</v>
      </c>
      <c r="F60" s="265">
        <f>3046-185</f>
        <v>2861</v>
      </c>
      <c r="G60" s="265">
        <f>+(64.82)</f>
        <v>64.819999999999993</v>
      </c>
      <c r="H60" s="265"/>
      <c r="I60" s="272">
        <f t="shared" ref="I60" si="13">F60-G60-H60</f>
        <v>2796.18</v>
      </c>
      <c r="J60" s="267" t="s">
        <v>156</v>
      </c>
      <c r="K60" s="267">
        <v>1</v>
      </c>
      <c r="L60" s="267">
        <v>1</v>
      </c>
      <c r="M60" s="267">
        <v>1</v>
      </c>
      <c r="N60" s="267">
        <v>1</v>
      </c>
      <c r="O60" s="267">
        <v>1</v>
      </c>
      <c r="P60" s="267">
        <v>1</v>
      </c>
      <c r="Q60" s="267">
        <v>1</v>
      </c>
      <c r="R60" s="267">
        <v>1</v>
      </c>
      <c r="S60" s="269">
        <v>1</v>
      </c>
      <c r="T60" s="63"/>
      <c r="U60" s="94"/>
      <c r="V60" s="90"/>
      <c r="W60" s="91"/>
      <c r="X60" s="92"/>
    </row>
    <row r="61" spans="1:31" s="181" customFormat="1">
      <c r="A61" s="261">
        <v>0.05</v>
      </c>
      <c r="B61" s="87">
        <f>B60+1</f>
        <v>3</v>
      </c>
      <c r="C61" s="433">
        <v>45756</v>
      </c>
      <c r="D61" s="357">
        <v>629082</v>
      </c>
      <c r="E61" s="271" t="s">
        <v>3160</v>
      </c>
      <c r="F61" s="265">
        <v>1461</v>
      </c>
      <c r="G61" s="265"/>
      <c r="H61" s="265"/>
      <c r="I61" s="272">
        <f>F61-G61-H61</f>
        <v>1461</v>
      </c>
      <c r="J61" s="267" t="s">
        <v>156</v>
      </c>
      <c r="K61" s="267">
        <v>1</v>
      </c>
      <c r="L61" s="267">
        <v>1</v>
      </c>
      <c r="M61" s="267">
        <v>1</v>
      </c>
      <c r="N61" s="267">
        <v>1</v>
      </c>
      <c r="O61" s="267">
        <v>1</v>
      </c>
      <c r="P61" s="267">
        <v>1</v>
      </c>
      <c r="Q61" s="267">
        <v>1</v>
      </c>
      <c r="R61" s="267">
        <v>1</v>
      </c>
      <c r="S61" s="269">
        <v>1</v>
      </c>
      <c r="T61" s="63"/>
      <c r="U61" s="94"/>
      <c r="V61" s="90"/>
      <c r="W61" s="136"/>
      <c r="X61" s="137"/>
    </row>
    <row r="62" spans="1:31" s="181" customFormat="1">
      <c r="A62" s="261">
        <v>0.1</v>
      </c>
      <c r="B62" s="87">
        <f t="shared" si="12"/>
        <v>4</v>
      </c>
      <c r="C62" s="433">
        <v>45825</v>
      </c>
      <c r="D62" s="357">
        <v>701642</v>
      </c>
      <c r="E62" s="271" t="s">
        <v>3161</v>
      </c>
      <c r="F62" s="265">
        <v>6248.5</v>
      </c>
      <c r="G62" s="265">
        <f>34.5+(1529.45)+250</f>
        <v>1813.95</v>
      </c>
      <c r="H62" s="265">
        <f>F62*0.2</f>
        <v>1249.7</v>
      </c>
      <c r="I62" s="272">
        <f>F62-G62-H62</f>
        <v>3184.8500000000004</v>
      </c>
      <c r="J62" s="267" t="s">
        <v>185</v>
      </c>
      <c r="K62" s="267">
        <v>1</v>
      </c>
      <c r="L62" s="267">
        <v>1</v>
      </c>
      <c r="M62" s="267">
        <v>1</v>
      </c>
      <c r="N62" s="267">
        <v>1</v>
      </c>
      <c r="O62" s="267">
        <v>1</v>
      </c>
      <c r="P62" s="267">
        <v>1</v>
      </c>
      <c r="Q62" s="267">
        <v>1</v>
      </c>
      <c r="R62" s="267">
        <v>1</v>
      </c>
      <c r="S62" s="269">
        <v>1</v>
      </c>
      <c r="T62" s="63"/>
      <c r="U62" s="94" t="s">
        <v>3162</v>
      </c>
      <c r="V62" s="90"/>
      <c r="W62" s="91"/>
      <c r="X62" s="92"/>
    </row>
    <row r="63" spans="1:31" s="181" customFormat="1">
      <c r="B63" s="11"/>
      <c r="C63" s="270"/>
      <c r="D63" s="77"/>
      <c r="E63" s="10"/>
      <c r="F63" s="98">
        <f>SUM(F59:F62)</f>
        <v>11051.5</v>
      </c>
      <c r="G63" s="98">
        <f>SUM(G59:G62)</f>
        <v>1878.77</v>
      </c>
      <c r="H63" s="98">
        <f>SUM(H59:H62)</f>
        <v>1249.7</v>
      </c>
      <c r="I63" s="98">
        <f>SUM(I59:I62)</f>
        <v>7923.0300000000007</v>
      </c>
      <c r="J63" s="63"/>
      <c r="K63" s="21"/>
      <c r="L63" s="21"/>
      <c r="M63" s="21"/>
      <c r="N63" s="21"/>
      <c r="O63" s="21"/>
      <c r="P63" s="21"/>
      <c r="Q63" s="21"/>
      <c r="R63" s="21"/>
      <c r="S63" s="21"/>
      <c r="T63" s="63"/>
      <c r="U63" s="94"/>
      <c r="V63" s="90"/>
      <c r="W63" s="91"/>
      <c r="X63" s="92"/>
    </row>
    <row r="64" spans="1:31" s="181" customFormat="1">
      <c r="B64" s="11"/>
      <c r="C64" s="270"/>
      <c r="D64" s="77"/>
      <c r="E64" s="10"/>
      <c r="F64" s="88"/>
      <c r="G64" s="88"/>
      <c r="H64" s="88"/>
      <c r="I64" s="99"/>
      <c r="J64" s="63"/>
      <c r="K64" s="21"/>
      <c r="L64" s="21"/>
      <c r="M64" s="21"/>
      <c r="N64" s="21"/>
      <c r="O64" s="21"/>
      <c r="P64" s="21"/>
      <c r="Q64" s="21"/>
      <c r="R64" s="21"/>
      <c r="S64" s="21"/>
      <c r="T64" s="63"/>
      <c r="U64" s="94"/>
      <c r="V64" s="90"/>
      <c r="W64" s="91"/>
      <c r="X64" s="92"/>
    </row>
    <row r="65" spans="1:25" s="181" customFormat="1">
      <c r="A65" s="434"/>
      <c r="B65" s="100" t="s">
        <v>1521</v>
      </c>
      <c r="C65" s="435"/>
      <c r="D65" s="63"/>
      <c r="E65" s="260"/>
      <c r="F65" s="88"/>
      <c r="G65" s="88"/>
      <c r="H65" s="88"/>
      <c r="I65" s="99"/>
      <c r="J65" s="63"/>
      <c r="K65" s="21"/>
      <c r="L65" s="21"/>
      <c r="M65" s="21"/>
      <c r="N65" s="21"/>
      <c r="O65" s="21"/>
      <c r="P65" s="21"/>
      <c r="Q65" s="21"/>
      <c r="R65" s="21"/>
      <c r="S65" s="21"/>
      <c r="T65" s="63"/>
      <c r="U65" s="94"/>
      <c r="V65" s="138"/>
      <c r="W65" s="136"/>
      <c r="X65" s="92"/>
      <c r="Y65" s="260"/>
    </row>
    <row r="66" spans="1:25" s="181" customFormat="1">
      <c r="A66" s="424">
        <v>0.05</v>
      </c>
      <c r="B66" s="87">
        <v>1</v>
      </c>
      <c r="C66" s="436">
        <v>45694</v>
      </c>
      <c r="D66" s="320">
        <v>626228</v>
      </c>
      <c r="E66" s="276" t="s">
        <v>3163</v>
      </c>
      <c r="F66" s="277">
        <v>4219.82</v>
      </c>
      <c r="G66" s="277">
        <f>201.82*1.1</f>
        <v>222.00200000000001</v>
      </c>
      <c r="H66" s="277"/>
      <c r="I66" s="278">
        <f>F66-G66-H66</f>
        <v>3997.8179999999998</v>
      </c>
      <c r="J66" s="279" t="s">
        <v>156</v>
      </c>
      <c r="K66" s="279">
        <v>1</v>
      </c>
      <c r="L66" s="279"/>
      <c r="M66" s="279">
        <v>1</v>
      </c>
      <c r="N66" s="279">
        <v>1</v>
      </c>
      <c r="O66" s="279">
        <v>1</v>
      </c>
      <c r="P66" s="279">
        <v>1</v>
      </c>
      <c r="Q66" s="279"/>
      <c r="R66" s="279"/>
      <c r="S66" s="280"/>
      <c r="T66" s="63"/>
      <c r="U66" s="94" t="s">
        <v>3164</v>
      </c>
      <c r="V66" s="138"/>
      <c r="W66" s="136"/>
      <c r="X66" s="137"/>
      <c r="Y66" s="260"/>
    </row>
    <row r="67" spans="1:25" s="181" customFormat="1">
      <c r="A67" s="261">
        <v>0.1</v>
      </c>
      <c r="B67" s="87">
        <f>B66+1</f>
        <v>2</v>
      </c>
      <c r="C67" s="433">
        <v>45799</v>
      </c>
      <c r="D67" s="357" t="s">
        <v>3165</v>
      </c>
      <c r="E67" s="264" t="s">
        <v>3158</v>
      </c>
      <c r="F67" s="265">
        <v>5785.94</v>
      </c>
      <c r="G67" s="265">
        <f>214.82*1.1+300</f>
        <v>536.30200000000002</v>
      </c>
      <c r="H67" s="265"/>
      <c r="I67" s="272">
        <f>F67-G67-H67</f>
        <v>5249.6379999999999</v>
      </c>
      <c r="J67" s="267"/>
      <c r="K67" s="267">
        <v>1</v>
      </c>
      <c r="L67" s="267"/>
      <c r="M67" s="267"/>
      <c r="N67" s="267">
        <v>1</v>
      </c>
      <c r="O67" s="267">
        <v>1</v>
      </c>
      <c r="P67" s="267">
        <v>0</v>
      </c>
      <c r="Q67" s="267"/>
      <c r="R67" s="267"/>
      <c r="S67" s="269"/>
      <c r="T67" s="63"/>
      <c r="U67" s="94" t="s">
        <v>3166</v>
      </c>
      <c r="V67" s="90"/>
      <c r="W67" s="136"/>
      <c r="X67" s="137"/>
    </row>
    <row r="68" spans="1:25" s="181" customFormat="1">
      <c r="A68" s="261">
        <v>0.1</v>
      </c>
      <c r="B68" s="87">
        <f t="shared" ref="B68:B69" si="14">B67+1</f>
        <v>3</v>
      </c>
      <c r="C68" s="420">
        <v>45826</v>
      </c>
      <c r="D68" s="320">
        <v>701572</v>
      </c>
      <c r="E68" s="276" t="s">
        <v>3167</v>
      </c>
      <c r="F68" s="277">
        <v>3261</v>
      </c>
      <c r="G68" s="277"/>
      <c r="H68" s="277"/>
      <c r="I68" s="278">
        <f>F68-G68-H68</f>
        <v>3261</v>
      </c>
      <c r="J68" s="279" t="s">
        <v>228</v>
      </c>
      <c r="K68" s="279">
        <v>1</v>
      </c>
      <c r="L68" s="279"/>
      <c r="M68" s="279">
        <v>1</v>
      </c>
      <c r="N68" s="279">
        <v>1</v>
      </c>
      <c r="O68" s="279">
        <v>1</v>
      </c>
      <c r="P68" s="279">
        <v>1</v>
      </c>
      <c r="Q68" s="279"/>
      <c r="R68" s="279"/>
      <c r="S68" s="280"/>
      <c r="T68" s="63"/>
      <c r="U68" s="94" t="s">
        <v>3168</v>
      </c>
      <c r="V68" s="90"/>
      <c r="W68" s="136"/>
      <c r="X68" s="137"/>
    </row>
    <row r="69" spans="1:25" s="181" customFormat="1">
      <c r="A69" s="261">
        <v>0.1</v>
      </c>
      <c r="B69" s="87">
        <f t="shared" si="14"/>
        <v>4</v>
      </c>
      <c r="C69" s="433">
        <v>45827</v>
      </c>
      <c r="D69" s="357">
        <v>701730</v>
      </c>
      <c r="E69" s="271" t="s">
        <v>3169</v>
      </c>
      <c r="F69" s="265">
        <f>2946-85</f>
        <v>2861</v>
      </c>
      <c r="G69" s="265"/>
      <c r="H69" s="265"/>
      <c r="I69" s="272">
        <f>F69-G69-H69</f>
        <v>2861</v>
      </c>
      <c r="J69" s="267" t="s">
        <v>156</v>
      </c>
      <c r="K69" s="267">
        <v>1</v>
      </c>
      <c r="L69" s="267"/>
      <c r="M69" s="267">
        <v>1</v>
      </c>
      <c r="N69" s="267">
        <v>1</v>
      </c>
      <c r="O69" s="267">
        <v>1</v>
      </c>
      <c r="P69" s="267">
        <v>0</v>
      </c>
      <c r="Q69" s="267"/>
      <c r="R69" s="267"/>
      <c r="S69" s="269"/>
      <c r="T69" s="63"/>
      <c r="U69" s="94" t="s">
        <v>3170</v>
      </c>
      <c r="V69" s="90"/>
      <c r="W69" s="136"/>
      <c r="X69" s="137"/>
    </row>
    <row r="70" spans="1:25" s="181" customFormat="1">
      <c r="A70" s="434"/>
      <c r="B70" s="11"/>
      <c r="C70" s="435"/>
      <c r="D70" s="63"/>
      <c r="E70" s="10"/>
      <c r="F70" s="98">
        <f>SUM(F66:F69)</f>
        <v>16127.759999999998</v>
      </c>
      <c r="G70" s="98">
        <f>SUM(G66:G69)</f>
        <v>758.30400000000009</v>
      </c>
      <c r="H70" s="98">
        <f>SUM(H66:H69)</f>
        <v>0</v>
      </c>
      <c r="I70" s="98">
        <f>SUM(I66:I69)</f>
        <v>15369.456</v>
      </c>
      <c r="J70" s="63"/>
      <c r="K70" s="21"/>
      <c r="L70" s="21"/>
      <c r="M70" s="21"/>
      <c r="N70" s="21"/>
      <c r="O70" s="21"/>
      <c r="P70" s="21"/>
      <c r="Q70" s="21"/>
      <c r="R70" s="21"/>
      <c r="S70" s="21"/>
      <c r="T70" s="63"/>
      <c r="U70" s="94"/>
      <c r="V70" s="138"/>
      <c r="W70" s="136"/>
      <c r="X70" s="92"/>
      <c r="Y70" s="260"/>
    </row>
    <row r="71" spans="1:25" s="181" customFormat="1">
      <c r="A71" s="434"/>
      <c r="B71" s="11"/>
      <c r="C71" s="435"/>
      <c r="D71" s="63"/>
      <c r="E71" s="10"/>
      <c r="F71" s="99"/>
      <c r="G71" s="99"/>
      <c r="H71" s="99"/>
      <c r="I71" s="99"/>
      <c r="J71" s="63"/>
      <c r="K71" s="21"/>
      <c r="L71" s="21"/>
      <c r="M71" s="21"/>
      <c r="N71" s="21"/>
      <c r="O71" s="21"/>
      <c r="P71" s="21"/>
      <c r="Q71" s="21"/>
      <c r="R71" s="21"/>
      <c r="S71" s="21"/>
      <c r="T71" s="63"/>
      <c r="U71" s="94"/>
      <c r="V71" s="138"/>
      <c r="W71" s="136"/>
      <c r="X71" s="92"/>
      <c r="Y71" s="260"/>
    </row>
    <row r="72" spans="1:25" s="2" customFormat="1">
      <c r="B72" s="100" t="s">
        <v>72</v>
      </c>
      <c r="C72" s="270"/>
      <c r="D72" s="77"/>
      <c r="E72" s="10"/>
      <c r="F72" s="88"/>
      <c r="G72" s="88"/>
      <c r="H72" s="88"/>
      <c r="I72" s="99"/>
      <c r="J72" s="63"/>
      <c r="K72" s="63"/>
      <c r="L72" s="63"/>
      <c r="M72" s="63"/>
      <c r="N72" s="63"/>
      <c r="O72" s="63"/>
      <c r="P72" s="63"/>
      <c r="Q72" s="63"/>
      <c r="R72" s="63"/>
      <c r="S72" s="63"/>
      <c r="T72" s="63"/>
      <c r="U72" s="94"/>
      <c r="V72" s="90"/>
      <c r="W72" s="91"/>
      <c r="X72" s="92"/>
    </row>
    <row r="73" spans="1:25" s="2" customFormat="1">
      <c r="B73" s="87">
        <v>1</v>
      </c>
      <c r="C73" s="420">
        <v>45831</v>
      </c>
      <c r="D73" s="275">
        <v>701841</v>
      </c>
      <c r="E73" s="276" t="s">
        <v>3155</v>
      </c>
      <c r="F73" s="277">
        <v>8648.5</v>
      </c>
      <c r="G73" s="277"/>
      <c r="H73" s="277"/>
      <c r="I73" s="278">
        <f t="shared" ref="I73:I85" si="15">F73-G73-H73</f>
        <v>8648.5</v>
      </c>
      <c r="J73" s="279" t="s">
        <v>2869</v>
      </c>
      <c r="K73" s="279">
        <v>1</v>
      </c>
      <c r="L73" s="279">
        <v>0</v>
      </c>
      <c r="M73" s="279">
        <v>0</v>
      </c>
      <c r="N73" s="279">
        <v>1</v>
      </c>
      <c r="O73" s="279">
        <v>0</v>
      </c>
      <c r="P73" s="279">
        <v>0</v>
      </c>
      <c r="Q73" s="279">
        <v>1</v>
      </c>
      <c r="R73" s="279">
        <v>1</v>
      </c>
      <c r="S73" s="280">
        <v>1</v>
      </c>
      <c r="T73" s="63"/>
      <c r="U73" s="164"/>
      <c r="V73" s="90"/>
      <c r="W73" s="91"/>
      <c r="X73" s="92"/>
    </row>
    <row r="74" spans="1:25" s="2" customFormat="1">
      <c r="B74" s="87">
        <f>B73+1</f>
        <v>2</v>
      </c>
      <c r="C74" s="421">
        <v>45831</v>
      </c>
      <c r="D74" s="77">
        <v>701819</v>
      </c>
      <c r="E74" s="10" t="s">
        <v>3171</v>
      </c>
      <c r="F74" s="62">
        <v>0</v>
      </c>
      <c r="G74" s="62">
        <v>0</v>
      </c>
      <c r="H74" s="62"/>
      <c r="I74" s="89">
        <f t="shared" si="15"/>
        <v>0</v>
      </c>
      <c r="J74" s="63" t="s">
        <v>2869</v>
      </c>
      <c r="K74" s="63">
        <v>1</v>
      </c>
      <c r="L74" s="63">
        <v>0</v>
      </c>
      <c r="M74" s="63">
        <v>0</v>
      </c>
      <c r="N74" s="63">
        <v>0</v>
      </c>
      <c r="O74" s="63">
        <v>0</v>
      </c>
      <c r="P74" s="63">
        <v>0</v>
      </c>
      <c r="Q74" s="63">
        <v>1</v>
      </c>
      <c r="R74" s="63">
        <v>1</v>
      </c>
      <c r="S74" s="296">
        <v>1</v>
      </c>
      <c r="T74" s="63"/>
      <c r="U74" s="94"/>
      <c r="V74" s="90"/>
      <c r="W74" s="136"/>
      <c r="X74" s="137"/>
    </row>
    <row r="75" spans="1:25" s="2" customFormat="1">
      <c r="B75" s="87">
        <f t="shared" ref="B75:B85" si="16">B74+1</f>
        <v>3</v>
      </c>
      <c r="C75" s="421">
        <v>45831</v>
      </c>
      <c r="D75" s="77">
        <v>701864</v>
      </c>
      <c r="E75" s="10" t="s">
        <v>3172</v>
      </c>
      <c r="F75" s="62">
        <v>6199.07</v>
      </c>
      <c r="G75" s="62"/>
      <c r="H75" s="62"/>
      <c r="I75" s="89">
        <f t="shared" si="15"/>
        <v>6199.07</v>
      </c>
      <c r="J75" s="63" t="s">
        <v>2869</v>
      </c>
      <c r="K75" s="63">
        <v>1</v>
      </c>
      <c r="L75" s="63">
        <v>0</v>
      </c>
      <c r="M75" s="63">
        <v>0</v>
      </c>
      <c r="N75" s="63">
        <v>1</v>
      </c>
      <c r="O75" s="63">
        <v>0</v>
      </c>
      <c r="P75" s="63">
        <v>0</v>
      </c>
      <c r="Q75" s="63">
        <v>1</v>
      </c>
      <c r="R75" s="63">
        <v>1</v>
      </c>
      <c r="S75" s="296">
        <v>1</v>
      </c>
      <c r="T75" s="63"/>
      <c r="U75" s="94"/>
      <c r="V75" s="90"/>
      <c r="W75" s="136"/>
      <c r="X75" s="137"/>
    </row>
    <row r="76" spans="1:25" s="2" customFormat="1">
      <c r="B76" s="87">
        <f t="shared" si="16"/>
        <v>4</v>
      </c>
      <c r="C76" s="420">
        <v>45832</v>
      </c>
      <c r="D76" s="275">
        <v>701857</v>
      </c>
      <c r="E76" s="276" t="s">
        <v>3173</v>
      </c>
      <c r="F76" s="277">
        <v>0</v>
      </c>
      <c r="G76" s="277">
        <v>0</v>
      </c>
      <c r="H76" s="277"/>
      <c r="I76" s="278">
        <f t="shared" si="15"/>
        <v>0</v>
      </c>
      <c r="J76" s="279" t="s">
        <v>2869</v>
      </c>
      <c r="K76" s="279">
        <v>1</v>
      </c>
      <c r="L76" s="279">
        <v>0</v>
      </c>
      <c r="M76" s="279">
        <v>0</v>
      </c>
      <c r="N76" s="279">
        <v>0</v>
      </c>
      <c r="O76" s="279">
        <v>0</v>
      </c>
      <c r="P76" s="279">
        <v>0</v>
      </c>
      <c r="Q76" s="279">
        <v>1</v>
      </c>
      <c r="R76" s="279">
        <v>1</v>
      </c>
      <c r="S76" s="280">
        <v>1</v>
      </c>
      <c r="T76" s="63"/>
      <c r="U76" s="94"/>
      <c r="V76" s="90"/>
      <c r="W76" s="136"/>
      <c r="X76" s="137"/>
    </row>
    <row r="77" spans="1:25" s="2" customFormat="1">
      <c r="B77" s="87">
        <f t="shared" si="16"/>
        <v>5</v>
      </c>
      <c r="C77" s="421">
        <v>45832</v>
      </c>
      <c r="D77" s="77">
        <v>701852</v>
      </c>
      <c r="E77" s="10" t="s">
        <v>3163</v>
      </c>
      <c r="F77" s="62">
        <v>0</v>
      </c>
      <c r="G77" s="62">
        <v>0</v>
      </c>
      <c r="H77" s="62"/>
      <c r="I77" s="89">
        <f t="shared" si="15"/>
        <v>0</v>
      </c>
      <c r="J77" s="63" t="s">
        <v>2869</v>
      </c>
      <c r="K77" s="63">
        <v>1</v>
      </c>
      <c r="L77" s="63">
        <v>0</v>
      </c>
      <c r="M77" s="63">
        <v>0</v>
      </c>
      <c r="N77" s="63">
        <v>0</v>
      </c>
      <c r="O77" s="63">
        <v>0</v>
      </c>
      <c r="P77" s="63">
        <v>0</v>
      </c>
      <c r="Q77" s="63">
        <v>1</v>
      </c>
      <c r="R77" s="63">
        <v>1</v>
      </c>
      <c r="S77" s="296">
        <v>1</v>
      </c>
      <c r="T77" s="63"/>
      <c r="U77" s="94"/>
      <c r="V77" s="90"/>
      <c r="W77" s="136"/>
      <c r="X77" s="137"/>
    </row>
    <row r="78" spans="1:25" s="2" customFormat="1">
      <c r="B78" s="87">
        <f t="shared" si="16"/>
        <v>6</v>
      </c>
      <c r="C78" s="420">
        <v>45833</v>
      </c>
      <c r="D78" s="275">
        <v>701920</v>
      </c>
      <c r="E78" s="281" t="s">
        <v>3160</v>
      </c>
      <c r="F78" s="277">
        <v>2261</v>
      </c>
      <c r="G78" s="277"/>
      <c r="H78" s="277"/>
      <c r="I78" s="278">
        <f t="shared" si="15"/>
        <v>2261</v>
      </c>
      <c r="J78" s="279" t="s">
        <v>2869</v>
      </c>
      <c r="K78" s="279">
        <v>1</v>
      </c>
      <c r="L78" s="279">
        <v>0</v>
      </c>
      <c r="M78" s="279">
        <v>0</v>
      </c>
      <c r="N78" s="279">
        <v>1</v>
      </c>
      <c r="O78" s="279">
        <v>0</v>
      </c>
      <c r="P78" s="279">
        <v>0</v>
      </c>
      <c r="Q78" s="279">
        <v>1</v>
      </c>
      <c r="R78" s="279">
        <v>0</v>
      </c>
      <c r="S78" s="280">
        <v>0</v>
      </c>
      <c r="T78" s="63"/>
      <c r="U78" s="94"/>
      <c r="V78" s="90"/>
      <c r="W78" s="136"/>
      <c r="X78" s="137"/>
    </row>
    <row r="79" spans="1:25" s="2" customFormat="1">
      <c r="B79" s="87">
        <f t="shared" si="16"/>
        <v>7</v>
      </c>
      <c r="C79" s="421">
        <v>45833</v>
      </c>
      <c r="D79" s="77">
        <v>701937</v>
      </c>
      <c r="E79" s="101" t="s">
        <v>3174</v>
      </c>
      <c r="F79" s="62">
        <v>0</v>
      </c>
      <c r="G79" s="62">
        <v>0</v>
      </c>
      <c r="H79" s="62"/>
      <c r="I79" s="89">
        <f t="shared" si="15"/>
        <v>0</v>
      </c>
      <c r="J79" s="63" t="s">
        <v>2869</v>
      </c>
      <c r="K79" s="63">
        <v>1</v>
      </c>
      <c r="L79" s="63">
        <v>0</v>
      </c>
      <c r="M79" s="63">
        <v>0</v>
      </c>
      <c r="N79" s="63">
        <v>0</v>
      </c>
      <c r="O79" s="63">
        <v>0</v>
      </c>
      <c r="P79" s="63">
        <v>0</v>
      </c>
      <c r="Q79" s="63">
        <v>1</v>
      </c>
      <c r="R79" s="63">
        <v>1</v>
      </c>
      <c r="S79" s="296">
        <v>1</v>
      </c>
      <c r="T79" s="63"/>
      <c r="U79" s="94"/>
      <c r="V79" s="90"/>
      <c r="W79" s="136"/>
      <c r="X79" s="137"/>
    </row>
    <row r="80" spans="1:25" s="2" customFormat="1">
      <c r="B80" s="87">
        <f t="shared" si="16"/>
        <v>8</v>
      </c>
      <c r="C80" s="421">
        <v>45833</v>
      </c>
      <c r="D80" s="77">
        <v>701900</v>
      </c>
      <c r="E80" s="101" t="s">
        <v>3160</v>
      </c>
      <c r="F80" s="62">
        <v>0</v>
      </c>
      <c r="G80" s="62">
        <v>0</v>
      </c>
      <c r="H80" s="62"/>
      <c r="I80" s="89">
        <f t="shared" si="15"/>
        <v>0</v>
      </c>
      <c r="J80" s="63" t="s">
        <v>2869</v>
      </c>
      <c r="K80" s="63">
        <v>1</v>
      </c>
      <c r="L80" s="63">
        <v>0</v>
      </c>
      <c r="M80" s="63">
        <v>0</v>
      </c>
      <c r="N80" s="63">
        <v>0</v>
      </c>
      <c r="O80" s="63">
        <v>0</v>
      </c>
      <c r="P80" s="63">
        <v>0</v>
      </c>
      <c r="Q80" s="63">
        <v>1</v>
      </c>
      <c r="R80" s="63">
        <v>1</v>
      </c>
      <c r="S80" s="296">
        <v>1</v>
      </c>
      <c r="T80" s="63"/>
      <c r="U80" s="94"/>
      <c r="V80" s="90"/>
      <c r="W80" s="136"/>
      <c r="X80" s="137"/>
    </row>
    <row r="81" spans="1:29" s="2" customFormat="1">
      <c r="B81" s="87">
        <f t="shared" si="16"/>
        <v>9</v>
      </c>
      <c r="C81" s="421">
        <v>45833</v>
      </c>
      <c r="D81" s="77">
        <v>701958</v>
      </c>
      <c r="E81" s="101" t="s">
        <v>3175</v>
      </c>
      <c r="F81" s="62">
        <v>12848.5</v>
      </c>
      <c r="G81" s="62"/>
      <c r="H81" s="62"/>
      <c r="I81" s="89">
        <f t="shared" si="15"/>
        <v>12848.5</v>
      </c>
      <c r="J81" s="63" t="s">
        <v>2869</v>
      </c>
      <c r="K81" s="63">
        <v>1</v>
      </c>
      <c r="L81" s="63">
        <v>0</v>
      </c>
      <c r="M81" s="63">
        <v>0</v>
      </c>
      <c r="N81" s="63">
        <v>1</v>
      </c>
      <c r="O81" s="63">
        <v>0</v>
      </c>
      <c r="P81" s="63">
        <v>0</v>
      </c>
      <c r="Q81" s="63">
        <v>1</v>
      </c>
      <c r="R81" s="63">
        <v>1</v>
      </c>
      <c r="S81" s="296">
        <v>1</v>
      </c>
      <c r="T81" s="63"/>
      <c r="U81" s="94"/>
      <c r="V81" s="90"/>
      <c r="W81" s="136"/>
      <c r="X81" s="137"/>
    </row>
    <row r="82" spans="1:29" s="2" customFormat="1">
      <c r="A82" s="388">
        <v>45836</v>
      </c>
      <c r="B82" s="87">
        <f t="shared" si="16"/>
        <v>10</v>
      </c>
      <c r="C82" s="421">
        <v>45833</v>
      </c>
      <c r="D82" s="77">
        <v>702002</v>
      </c>
      <c r="E82" s="101" t="s">
        <v>3176</v>
      </c>
      <c r="F82" s="62">
        <v>0</v>
      </c>
      <c r="G82" s="62">
        <v>0</v>
      </c>
      <c r="H82" s="62"/>
      <c r="I82" s="89">
        <f t="shared" si="15"/>
        <v>0</v>
      </c>
      <c r="J82" s="63" t="s">
        <v>156</v>
      </c>
      <c r="K82" s="63">
        <v>0</v>
      </c>
      <c r="L82" s="63">
        <v>0</v>
      </c>
      <c r="M82" s="63">
        <v>1</v>
      </c>
      <c r="N82" s="63">
        <v>0</v>
      </c>
      <c r="O82" s="63">
        <v>0</v>
      </c>
      <c r="P82" s="63">
        <v>0</v>
      </c>
      <c r="Q82" s="63">
        <v>1</v>
      </c>
      <c r="R82" s="63">
        <v>0</v>
      </c>
      <c r="S82" s="296">
        <v>1</v>
      </c>
      <c r="T82" s="63"/>
      <c r="U82" s="94" t="s">
        <v>3177</v>
      </c>
      <c r="V82" s="90">
        <v>93.5</v>
      </c>
      <c r="W82" s="136"/>
      <c r="X82" s="137"/>
    </row>
    <row r="83" spans="1:29" s="181" customFormat="1">
      <c r="A83" s="181" t="s">
        <v>3178</v>
      </c>
      <c r="B83" s="87">
        <f t="shared" si="16"/>
        <v>11</v>
      </c>
      <c r="C83" s="422">
        <v>45833</v>
      </c>
      <c r="D83" s="302">
        <v>701952</v>
      </c>
      <c r="E83" s="283" t="s">
        <v>3179</v>
      </c>
      <c r="F83" s="284">
        <v>6028.82</v>
      </c>
      <c r="G83" s="284">
        <f>214.82*1.1</f>
        <v>236.30200000000002</v>
      </c>
      <c r="H83" s="284"/>
      <c r="I83" s="331">
        <f t="shared" si="15"/>
        <v>5792.518</v>
      </c>
      <c r="J83" s="286" t="s">
        <v>156</v>
      </c>
      <c r="K83" s="286">
        <v>1</v>
      </c>
      <c r="L83" s="286"/>
      <c r="M83" s="286">
        <v>1</v>
      </c>
      <c r="N83" s="286">
        <v>1</v>
      </c>
      <c r="O83" s="286">
        <v>1</v>
      </c>
      <c r="P83" s="286">
        <v>1</v>
      </c>
      <c r="Q83" s="286"/>
      <c r="R83" s="286"/>
      <c r="S83" s="287"/>
      <c r="T83" s="63"/>
      <c r="U83" s="94"/>
      <c r="V83" s="90">
        <f>663.17</f>
        <v>663.17</v>
      </c>
      <c r="W83" s="136"/>
      <c r="X83" s="137"/>
    </row>
    <row r="84" spans="1:29" s="2" customFormat="1">
      <c r="B84" s="87">
        <f t="shared" si="16"/>
        <v>12</v>
      </c>
      <c r="C84" s="421">
        <v>45834</v>
      </c>
      <c r="D84" s="77" t="s">
        <v>3180</v>
      </c>
      <c r="E84" s="10" t="s">
        <v>3144</v>
      </c>
      <c r="F84" s="62">
        <v>11567.1</v>
      </c>
      <c r="G84" s="62"/>
      <c r="H84" s="62"/>
      <c r="I84" s="89">
        <f t="shared" si="15"/>
        <v>11567.1</v>
      </c>
      <c r="J84" s="63" t="s">
        <v>2869</v>
      </c>
      <c r="K84" s="63">
        <v>1</v>
      </c>
      <c r="L84" s="63">
        <v>0</v>
      </c>
      <c r="M84" s="63">
        <v>0</v>
      </c>
      <c r="N84" s="63">
        <v>1</v>
      </c>
      <c r="O84" s="63">
        <v>0</v>
      </c>
      <c r="P84" s="63">
        <v>0</v>
      </c>
      <c r="Q84" s="63">
        <v>0</v>
      </c>
      <c r="R84" s="63">
        <v>0</v>
      </c>
      <c r="S84" s="296">
        <v>0</v>
      </c>
      <c r="T84" s="63"/>
      <c r="U84" s="94"/>
      <c r="V84" s="90"/>
      <c r="W84" s="136"/>
      <c r="X84" s="137"/>
    </row>
    <row r="85" spans="1:29" s="2" customFormat="1">
      <c r="B85" s="87">
        <f t="shared" si="16"/>
        <v>13</v>
      </c>
      <c r="C85" s="422">
        <v>45834</v>
      </c>
      <c r="D85" s="302" t="s">
        <v>3181</v>
      </c>
      <c r="E85" s="283" t="s">
        <v>3144</v>
      </c>
      <c r="F85" s="284">
        <v>7427.1</v>
      </c>
      <c r="G85" s="284"/>
      <c r="H85" s="284"/>
      <c r="I85" s="285">
        <f t="shared" si="15"/>
        <v>7427.1</v>
      </c>
      <c r="J85" s="286" t="s">
        <v>2869</v>
      </c>
      <c r="K85" s="286">
        <v>1</v>
      </c>
      <c r="L85" s="286">
        <v>0</v>
      </c>
      <c r="M85" s="286">
        <v>0</v>
      </c>
      <c r="N85" s="286">
        <v>1</v>
      </c>
      <c r="O85" s="286">
        <v>0</v>
      </c>
      <c r="P85" s="286">
        <v>0</v>
      </c>
      <c r="Q85" s="286">
        <v>0</v>
      </c>
      <c r="R85" s="286">
        <v>0</v>
      </c>
      <c r="S85" s="287">
        <v>0</v>
      </c>
      <c r="T85" s="63"/>
      <c r="U85" s="94"/>
      <c r="V85" s="90"/>
      <c r="W85" s="136"/>
      <c r="X85" s="137"/>
    </row>
    <row r="86" spans="1:29" s="2" customFormat="1">
      <c r="B86" s="11"/>
      <c r="C86" s="270"/>
      <c r="D86" s="77"/>
      <c r="E86" s="10"/>
      <c r="F86" s="97">
        <f>SUM(F73:F85)</f>
        <v>54980.09</v>
      </c>
      <c r="G86" s="97">
        <f>SUM(G73:G85)</f>
        <v>236.30200000000002</v>
      </c>
      <c r="H86" s="97">
        <f>SUM(H73:H85)</f>
        <v>0</v>
      </c>
      <c r="I86" s="98">
        <f>SUM(I73:I85)</f>
        <v>54743.788</v>
      </c>
      <c r="J86" s="10"/>
      <c r="K86" s="10"/>
      <c r="L86" s="10"/>
      <c r="M86" s="10"/>
      <c r="N86" s="10"/>
      <c r="O86" s="10"/>
      <c r="P86" s="10"/>
      <c r="Q86" s="10"/>
      <c r="R86" s="10"/>
      <c r="S86" s="10"/>
      <c r="T86" s="63"/>
      <c r="U86" s="94"/>
      <c r="V86" s="90"/>
      <c r="W86" s="91"/>
      <c r="X86" s="92"/>
    </row>
    <row r="87" spans="1:29" s="2" customFormat="1">
      <c r="B87" s="26"/>
      <c r="C87" s="437"/>
      <c r="D87" s="438"/>
      <c r="E87" s="141"/>
      <c r="F87" s="141"/>
      <c r="G87" s="141"/>
      <c r="H87" s="141"/>
      <c r="I87" s="141"/>
      <c r="J87" s="141"/>
      <c r="K87" s="142"/>
      <c r="L87" s="142"/>
      <c r="M87" s="142"/>
      <c r="N87" s="142"/>
      <c r="O87" s="142"/>
      <c r="P87" s="142"/>
      <c r="Q87" s="142"/>
      <c r="R87" s="142"/>
      <c r="S87" s="142"/>
      <c r="T87" s="143">
        <f>SUM(T30:T86)</f>
        <v>6</v>
      </c>
      <c r="U87" s="168"/>
      <c r="V87" s="144">
        <f>SUM(V30:V86)</f>
        <v>44062.37999999999</v>
      </c>
      <c r="W87" s="145">
        <f>SUM(W30:W86)</f>
        <v>0</v>
      </c>
      <c r="X87" s="146">
        <f>SUM(X30:X86)</f>
        <v>0</v>
      </c>
    </row>
    <row r="88" spans="1:29">
      <c r="B88" s="258"/>
      <c r="C88" s="258"/>
      <c r="D88" s="258"/>
      <c r="E88" s="258"/>
      <c r="F88" s="258"/>
      <c r="G88" s="258"/>
      <c r="H88" s="258"/>
      <c r="I88" s="258"/>
      <c r="J88" s="258"/>
      <c r="K88" s="258"/>
      <c r="L88" s="258"/>
      <c r="M88" s="258"/>
      <c r="N88" s="258"/>
      <c r="O88" s="258"/>
      <c r="P88" s="258"/>
      <c r="Q88" s="258"/>
      <c r="R88" s="258"/>
      <c r="S88" s="258"/>
      <c r="T88" s="258"/>
      <c r="U88" s="258"/>
      <c r="V88" s="258"/>
      <c r="W88" s="258"/>
      <c r="X88" s="258"/>
    </row>
    <row r="91" spans="1:29">
      <c r="A91" s="148" t="s">
        <v>74</v>
      </c>
      <c r="B91" s="4" t="s">
        <v>1</v>
      </c>
      <c r="C91" s="5"/>
      <c r="D91" s="83"/>
      <c r="E91" s="6"/>
      <c r="F91" s="7" t="s">
        <v>2</v>
      </c>
      <c r="G91" s="8">
        <v>45858</v>
      </c>
      <c r="H91" s="7" t="s">
        <v>3182</v>
      </c>
      <c r="I91" s="6"/>
      <c r="J91" s="6"/>
      <c r="K91" s="6"/>
      <c r="L91" s="6"/>
      <c r="M91" s="6"/>
      <c r="N91" s="6"/>
      <c r="O91" s="6"/>
      <c r="P91" s="6"/>
      <c r="Q91" s="6"/>
      <c r="R91" s="6"/>
      <c r="S91" s="6"/>
      <c r="T91" s="6"/>
      <c r="U91" s="149"/>
      <c r="V91" s="77"/>
      <c r="W91" s="77"/>
      <c r="X91" s="77"/>
      <c r="Y91" s="2"/>
      <c r="Z91" s="2"/>
      <c r="AA91" s="2"/>
      <c r="AB91" s="2"/>
      <c r="AC91" s="2"/>
    </row>
    <row r="92" spans="1:29">
      <c r="A92" s="150" t="s">
        <v>75</v>
      </c>
      <c r="B92" s="11"/>
      <c r="C92" s="10"/>
      <c r="D92" s="63"/>
      <c r="E92" s="10"/>
      <c r="F92" s="10"/>
      <c r="G92" s="7"/>
      <c r="H92" s="12"/>
      <c r="I92" s="10"/>
      <c r="J92" s="10"/>
      <c r="K92" s="13" t="s">
        <v>3</v>
      </c>
      <c r="L92" s="14"/>
      <c r="M92" s="15"/>
      <c r="N92" s="13" t="s">
        <v>4</v>
      </c>
      <c r="O92" s="14"/>
      <c r="P92" s="15"/>
      <c r="Q92" s="13" t="s">
        <v>5</v>
      </c>
      <c r="R92" s="14"/>
      <c r="S92" s="15"/>
      <c r="T92" s="16"/>
      <c r="U92" s="151"/>
      <c r="V92" s="77"/>
      <c r="W92" s="77"/>
      <c r="X92" s="77"/>
      <c r="Y92" s="2"/>
      <c r="Z92" s="2"/>
      <c r="AA92" s="2"/>
      <c r="AB92" s="2"/>
      <c r="AC92" s="2"/>
    </row>
    <row r="93" spans="1:29">
      <c r="A93" s="148" t="s">
        <v>76</v>
      </c>
      <c r="B93" s="18" t="s">
        <v>6</v>
      </c>
      <c r="C93" s="19">
        <f>C94+C95</f>
        <v>27</v>
      </c>
      <c r="D93" s="63"/>
      <c r="E93" s="18" t="s">
        <v>7</v>
      </c>
      <c r="F93" s="6"/>
      <c r="G93" s="9"/>
      <c r="H93" s="10"/>
      <c r="I93" s="10"/>
      <c r="J93" s="10"/>
      <c r="K93" s="20" t="s">
        <v>8</v>
      </c>
      <c r="L93" s="21" t="s">
        <v>9</v>
      </c>
      <c r="M93" s="21" t="s">
        <v>10</v>
      </c>
      <c r="N93" s="20" t="s">
        <v>11</v>
      </c>
      <c r="O93" s="21" t="s">
        <v>12</v>
      </c>
      <c r="P93" s="22" t="s">
        <v>13</v>
      </c>
      <c r="Q93" s="21" t="s">
        <v>11</v>
      </c>
      <c r="R93" s="21" t="s">
        <v>12</v>
      </c>
      <c r="S93" s="22" t="s">
        <v>13</v>
      </c>
      <c r="T93" s="23" t="s">
        <v>14</v>
      </c>
      <c r="U93" s="151"/>
      <c r="V93" s="77"/>
      <c r="W93" s="77"/>
      <c r="X93" s="77"/>
      <c r="Y93" s="2"/>
      <c r="Z93" s="2"/>
      <c r="AA93" s="2"/>
      <c r="AB93" s="2"/>
      <c r="AC93" s="2"/>
    </row>
    <row r="94" spans="1:29">
      <c r="A94" s="152" t="s">
        <v>3183</v>
      </c>
      <c r="B94" s="24" t="s">
        <v>15</v>
      </c>
      <c r="C94" s="25">
        <f>P101</f>
        <v>14</v>
      </c>
      <c r="D94" s="63"/>
      <c r="E94" s="11" t="s">
        <v>16</v>
      </c>
      <c r="F94" s="10" t="s">
        <v>78</v>
      </c>
      <c r="G94" s="153">
        <v>0.05</v>
      </c>
      <c r="H94" s="10"/>
      <c r="I94" s="10"/>
      <c r="J94" s="18" t="s">
        <v>17</v>
      </c>
      <c r="K94" s="29">
        <f t="shared" ref="K94:S94" si="17">K130</f>
        <v>10</v>
      </c>
      <c r="L94" s="29">
        <f t="shared" si="17"/>
        <v>10</v>
      </c>
      <c r="M94" s="29">
        <f t="shared" si="17"/>
        <v>10</v>
      </c>
      <c r="N94" s="29">
        <f t="shared" si="17"/>
        <v>8</v>
      </c>
      <c r="O94" s="29">
        <f t="shared" si="17"/>
        <v>8</v>
      </c>
      <c r="P94" s="29">
        <f t="shared" si="17"/>
        <v>8</v>
      </c>
      <c r="Q94" s="29">
        <f t="shared" si="17"/>
        <v>8</v>
      </c>
      <c r="R94" s="29">
        <f t="shared" si="17"/>
        <v>7</v>
      </c>
      <c r="S94" s="29">
        <f t="shared" si="17"/>
        <v>7</v>
      </c>
      <c r="T94" s="30">
        <f>T172</f>
        <v>4</v>
      </c>
      <c r="U94" s="151"/>
      <c r="V94" s="77"/>
      <c r="W94" s="77"/>
      <c r="X94" s="77"/>
      <c r="Y94" s="2"/>
      <c r="Z94" s="2"/>
      <c r="AA94" s="2"/>
      <c r="AB94" s="2"/>
      <c r="AC94" s="2"/>
    </row>
    <row r="95" spans="1:29">
      <c r="A95" s="152" t="s">
        <v>3184</v>
      </c>
      <c r="B95" s="24" t="s">
        <v>18</v>
      </c>
      <c r="C95" s="25">
        <f>P102</f>
        <v>13</v>
      </c>
      <c r="D95" s="63"/>
      <c r="E95" s="26" t="s">
        <v>80</v>
      </c>
      <c r="F95" s="141" t="s">
        <v>81</v>
      </c>
      <c r="G95" s="154">
        <v>0.1</v>
      </c>
      <c r="H95" s="10"/>
      <c r="I95" s="10"/>
      <c r="J95" s="32" t="s">
        <v>19</v>
      </c>
      <c r="K95" s="33">
        <f t="shared" ref="K95:S95" si="18">K130/K129</f>
        <v>1</v>
      </c>
      <c r="L95" s="33">
        <f t="shared" si="18"/>
        <v>1</v>
      </c>
      <c r="M95" s="33">
        <f t="shared" si="18"/>
        <v>1</v>
      </c>
      <c r="N95" s="33">
        <f t="shared" si="18"/>
        <v>0.8</v>
      </c>
      <c r="O95" s="33">
        <f t="shared" si="18"/>
        <v>0.8</v>
      </c>
      <c r="P95" s="33">
        <f t="shared" si="18"/>
        <v>0.8</v>
      </c>
      <c r="Q95" s="33">
        <f t="shared" si="18"/>
        <v>0.8</v>
      </c>
      <c r="R95" s="33">
        <f t="shared" si="18"/>
        <v>0.7</v>
      </c>
      <c r="S95" s="33">
        <f t="shared" si="18"/>
        <v>0.7</v>
      </c>
      <c r="T95" s="23"/>
      <c r="U95" s="151" t="s">
        <v>20</v>
      </c>
      <c r="V95" s="77"/>
      <c r="W95" s="77"/>
      <c r="X95" s="77"/>
      <c r="Y95" s="2"/>
      <c r="Z95" s="2"/>
      <c r="AA95" s="2"/>
      <c r="AB95" s="2"/>
      <c r="AC95" s="2"/>
    </row>
    <row r="96" spans="1:29">
      <c r="A96" s="2"/>
      <c r="B96" s="24" t="s">
        <v>21</v>
      </c>
      <c r="C96" s="34">
        <f>P103</f>
        <v>0.51851851851851849</v>
      </c>
      <c r="D96" s="63"/>
      <c r="E96" s="10"/>
      <c r="F96" s="10"/>
      <c r="G96" s="10"/>
      <c r="H96" s="10"/>
      <c r="I96" s="10"/>
      <c r="J96" s="10"/>
      <c r="K96" s="10"/>
      <c r="L96" s="10"/>
      <c r="M96" s="10"/>
      <c r="N96" s="10"/>
      <c r="O96" s="10"/>
      <c r="P96" s="10"/>
      <c r="Q96" s="10"/>
      <c r="R96" s="10"/>
      <c r="S96" s="10"/>
      <c r="T96" s="10"/>
      <c r="U96" s="151"/>
      <c r="V96" s="77"/>
      <c r="W96" s="77"/>
      <c r="X96" s="77"/>
      <c r="Y96" s="2"/>
      <c r="Z96" s="2"/>
      <c r="AA96" s="2"/>
      <c r="AB96" s="2"/>
      <c r="AC96" s="2"/>
    </row>
    <row r="97" spans="1:29">
      <c r="A97" s="2"/>
      <c r="B97" s="24"/>
      <c r="C97" s="25"/>
      <c r="D97" s="63"/>
      <c r="E97" s="10"/>
      <c r="F97" s="18" t="s">
        <v>22</v>
      </c>
      <c r="G97" s="19" t="s">
        <v>23</v>
      </c>
      <c r="H97" s="35" t="s">
        <v>24</v>
      </c>
      <c r="I97" s="10"/>
      <c r="J97" s="10"/>
      <c r="K97" s="36"/>
      <c r="L97" s="36"/>
      <c r="M97" s="36"/>
      <c r="N97" s="36"/>
      <c r="O97" s="36"/>
      <c r="P97" s="36"/>
      <c r="Q97" s="36"/>
      <c r="R97" s="10"/>
      <c r="S97" s="10"/>
      <c r="T97" s="10"/>
      <c r="U97" s="151"/>
      <c r="V97" s="77"/>
      <c r="W97" s="77"/>
      <c r="X97" s="77"/>
      <c r="Y97" s="2"/>
      <c r="Z97" s="2"/>
      <c r="AA97" s="2"/>
      <c r="AB97" s="2"/>
      <c r="AC97" s="2"/>
    </row>
    <row r="98" spans="1:29">
      <c r="A98" s="2"/>
      <c r="B98" s="32" t="s">
        <v>25</v>
      </c>
      <c r="C98" s="37">
        <f>P104</f>
        <v>2350.7907142857143</v>
      </c>
      <c r="D98" s="63"/>
      <c r="E98" s="18" t="s">
        <v>26</v>
      </c>
      <c r="F98" s="38">
        <f>P100</f>
        <v>32911.07</v>
      </c>
      <c r="G98" s="39">
        <f>I129+I134+I140</f>
        <v>32911.07</v>
      </c>
      <c r="H98" s="767" t="s">
        <v>3185</v>
      </c>
      <c r="I98" s="767"/>
      <c r="J98" s="767"/>
      <c r="K98" s="43" t="s">
        <v>27</v>
      </c>
      <c r="L98" s="44"/>
      <c r="M98" s="44"/>
      <c r="N98" s="44"/>
      <c r="O98" s="44"/>
      <c r="P98" s="44"/>
      <c r="Q98" s="45"/>
      <c r="R98" s="46" t="s">
        <v>28</v>
      </c>
      <c r="S98" s="47" t="s">
        <v>29</v>
      </c>
      <c r="T98" s="10"/>
      <c r="U98" s="151"/>
      <c r="V98" s="77"/>
      <c r="W98" s="77"/>
      <c r="X98" s="77"/>
      <c r="Y98" s="2"/>
      <c r="Z98" s="2"/>
      <c r="AA98" s="2"/>
      <c r="AB98" s="2"/>
      <c r="AC98" s="2"/>
    </row>
    <row r="99" spans="1:29">
      <c r="A99" s="2"/>
      <c r="B99" s="11"/>
      <c r="C99" s="10"/>
      <c r="D99" s="63"/>
      <c r="E99" s="24" t="s">
        <v>30</v>
      </c>
      <c r="F99" s="48">
        <f>IF(F98&gt;=25000,10%,5%)</f>
        <v>0.1</v>
      </c>
      <c r="G99" s="17"/>
      <c r="H99" s="767"/>
      <c r="I99" s="767"/>
      <c r="J99" s="767"/>
      <c r="K99" s="20" t="s">
        <v>31</v>
      </c>
      <c r="L99" s="21" t="s">
        <v>32</v>
      </c>
      <c r="M99" s="21" t="s">
        <v>33</v>
      </c>
      <c r="N99" s="21" t="s">
        <v>34</v>
      </c>
      <c r="O99" s="21" t="s">
        <v>35</v>
      </c>
      <c r="P99" s="21" t="s">
        <v>36</v>
      </c>
      <c r="Q99" s="49" t="s">
        <v>37</v>
      </c>
      <c r="R99" s="50" t="s">
        <v>38</v>
      </c>
      <c r="S99" s="50" t="s">
        <v>38</v>
      </c>
      <c r="T99" s="10"/>
      <c r="U99" s="151"/>
      <c r="V99" s="77"/>
      <c r="W99" s="77"/>
      <c r="X99" s="77"/>
      <c r="Y99" s="2"/>
      <c r="Z99" s="2"/>
      <c r="AA99" s="2"/>
      <c r="AB99" s="2"/>
      <c r="AC99" s="2"/>
    </row>
    <row r="100" spans="1:29">
      <c r="A100" s="2"/>
      <c r="B100" s="11"/>
      <c r="C100" s="10"/>
      <c r="D100" s="63"/>
      <c r="E100" s="51" t="s">
        <v>39</v>
      </c>
      <c r="F100" s="52">
        <f>(F98+F108+F109+F110+F111-I133-I137-I138-I139)*F99</f>
        <v>1477.7259999999999</v>
      </c>
      <c r="G100" s="53" t="s">
        <v>40</v>
      </c>
      <c r="H100" s="484">
        <f>F100/1.12</f>
        <v>1319.3982142857139</v>
      </c>
      <c r="I100" s="55"/>
      <c r="J100" s="42"/>
      <c r="K100" s="56"/>
      <c r="L100" s="57">
        <f>I119+I120</f>
        <v>5585.35</v>
      </c>
      <c r="M100" s="57">
        <f>I121+I122+I123+I133+I137</f>
        <v>17230.150000000001</v>
      </c>
      <c r="N100" s="57">
        <f>I124+I125+I126</f>
        <v>3859.5600000000004</v>
      </c>
      <c r="O100" s="57">
        <f>I128+I138+I127+I139</f>
        <v>6236.01</v>
      </c>
      <c r="P100" s="57">
        <f>SUM(K100:O100)</f>
        <v>32911.07</v>
      </c>
      <c r="Q100" s="58">
        <v>0</v>
      </c>
      <c r="R100" s="59">
        <f>I134+I140</f>
        <v>16914.87</v>
      </c>
      <c r="S100" s="59">
        <v>0</v>
      </c>
      <c r="T100" s="10"/>
      <c r="U100" s="151"/>
      <c r="V100" s="77"/>
      <c r="W100" s="77"/>
      <c r="X100" s="77"/>
      <c r="Y100" s="2"/>
      <c r="Z100" s="2"/>
      <c r="AA100" s="2"/>
      <c r="AB100" s="2"/>
      <c r="AC100" s="2" t="s">
        <v>85</v>
      </c>
    </row>
    <row r="101" spans="1:29">
      <c r="A101" s="2"/>
      <c r="B101" s="11"/>
      <c r="C101" s="10"/>
      <c r="D101" s="63"/>
      <c r="E101" s="24" t="s">
        <v>41</v>
      </c>
      <c r="F101" s="60">
        <f>Q100</f>
        <v>0</v>
      </c>
      <c r="G101" s="61" t="s">
        <v>40</v>
      </c>
      <c r="H101" s="62"/>
      <c r="I101" s="62"/>
      <c r="J101" s="10" t="s">
        <v>42</v>
      </c>
      <c r="K101" s="63"/>
      <c r="L101" s="63">
        <v>2</v>
      </c>
      <c r="M101" s="63">
        <v>5</v>
      </c>
      <c r="N101" s="63">
        <v>3</v>
      </c>
      <c r="O101" s="63">
        <v>4</v>
      </c>
      <c r="P101" s="21">
        <f>SUM(K101:O101)</f>
        <v>14</v>
      </c>
      <c r="Q101" s="64"/>
      <c r="R101" s="63"/>
      <c r="S101" s="10"/>
      <c r="T101" s="10"/>
      <c r="U101" s="151"/>
      <c r="V101" s="77"/>
      <c r="W101" s="77"/>
      <c r="X101" s="77"/>
      <c r="Y101" s="2"/>
      <c r="Z101" s="2"/>
      <c r="AA101" s="2"/>
      <c r="AB101" s="2"/>
      <c r="AC101" s="2"/>
    </row>
    <row r="102" spans="1:29">
      <c r="A102" s="2"/>
      <c r="B102" s="11"/>
      <c r="C102" s="10"/>
      <c r="D102" s="63"/>
      <c r="E102" s="51" t="s">
        <v>43</v>
      </c>
      <c r="F102" s="52">
        <f>F101*0.25</f>
        <v>0</v>
      </c>
      <c r="G102" s="53" t="s">
        <v>40</v>
      </c>
      <c r="H102" s="54">
        <f>F102/1.12</f>
        <v>0</v>
      </c>
      <c r="I102" s="10"/>
      <c r="J102" s="10" t="s">
        <v>44</v>
      </c>
      <c r="K102" s="63"/>
      <c r="L102" s="63">
        <v>1</v>
      </c>
      <c r="M102" s="63">
        <v>3</v>
      </c>
      <c r="N102" s="63">
        <v>2</v>
      </c>
      <c r="O102" s="63">
        <v>7</v>
      </c>
      <c r="P102" s="21">
        <f>SUM(K102:O102)</f>
        <v>13</v>
      </c>
      <c r="Q102" s="64"/>
      <c r="R102" s="63"/>
      <c r="S102" s="10"/>
      <c r="T102" s="10"/>
      <c r="U102" s="151"/>
      <c r="V102" s="77"/>
      <c r="W102" s="77"/>
      <c r="X102" s="77"/>
      <c r="Y102" s="2"/>
      <c r="Z102" s="2"/>
      <c r="AA102" s="2"/>
      <c r="AB102" s="2"/>
      <c r="AC102" s="2"/>
    </row>
    <row r="103" spans="1:29">
      <c r="A103" s="2"/>
      <c r="B103" s="11"/>
      <c r="C103" s="10"/>
      <c r="D103" s="63"/>
      <c r="E103" s="24" t="s">
        <v>45</v>
      </c>
      <c r="F103" s="60">
        <v>0</v>
      </c>
      <c r="G103" s="61" t="s">
        <v>40</v>
      </c>
      <c r="H103" s="62"/>
      <c r="I103" s="10"/>
      <c r="J103" s="10" t="s">
        <v>46</v>
      </c>
      <c r="K103" s="31" t="e">
        <f t="shared" ref="K103:Q103" si="19">K101/(K101+K102)</f>
        <v>#DIV/0!</v>
      </c>
      <c r="L103" s="31">
        <f t="shared" si="19"/>
        <v>0.66666666666666663</v>
      </c>
      <c r="M103" s="31">
        <f t="shared" si="19"/>
        <v>0.625</v>
      </c>
      <c r="N103" s="31">
        <f t="shared" si="19"/>
        <v>0.6</v>
      </c>
      <c r="O103" s="31">
        <f t="shared" si="19"/>
        <v>0.36363636363636365</v>
      </c>
      <c r="P103" s="31">
        <f t="shared" si="19"/>
        <v>0.51851851851851849</v>
      </c>
      <c r="Q103" s="31" t="e">
        <f t="shared" si="19"/>
        <v>#DIV/0!</v>
      </c>
      <c r="R103" s="63"/>
      <c r="S103" s="10"/>
      <c r="T103" s="10"/>
      <c r="U103" s="151"/>
      <c r="V103" s="77"/>
      <c r="W103" s="77"/>
      <c r="X103" s="77"/>
      <c r="Y103" s="2"/>
      <c r="Z103" s="2"/>
      <c r="AA103" s="2"/>
      <c r="AB103" s="2"/>
      <c r="AC103" s="2"/>
    </row>
    <row r="104" spans="1:29">
      <c r="A104" s="2"/>
      <c r="B104" s="11"/>
      <c r="C104" s="10"/>
      <c r="D104" s="63"/>
      <c r="E104" s="51" t="s">
        <v>47</v>
      </c>
      <c r="F104" s="52">
        <f>F103*0.05</f>
        <v>0</v>
      </c>
      <c r="G104" s="65" t="s">
        <v>40</v>
      </c>
      <c r="H104" s="54">
        <f>F104/1.12</f>
        <v>0</v>
      </c>
      <c r="I104" s="42"/>
      <c r="J104" s="10" t="s">
        <v>48</v>
      </c>
      <c r="K104" s="66" t="e">
        <f t="shared" ref="K104:Q104" si="20">K100/K101</f>
        <v>#DIV/0!</v>
      </c>
      <c r="L104" s="66">
        <f t="shared" si="20"/>
        <v>2792.6750000000002</v>
      </c>
      <c r="M104" s="66">
        <f t="shared" si="20"/>
        <v>3446.03</v>
      </c>
      <c r="N104" s="66">
        <f t="shared" si="20"/>
        <v>1286.5200000000002</v>
      </c>
      <c r="O104" s="66">
        <f t="shared" si="20"/>
        <v>1559.0025000000001</v>
      </c>
      <c r="P104" s="66">
        <f t="shared" si="20"/>
        <v>2350.7907142857143</v>
      </c>
      <c r="Q104" s="66" t="e">
        <f t="shared" si="20"/>
        <v>#DIV/0!</v>
      </c>
      <c r="R104" s="63"/>
      <c r="S104" s="10"/>
      <c r="T104" s="10"/>
      <c r="U104" s="151"/>
      <c r="V104" s="77"/>
      <c r="W104" s="77"/>
      <c r="X104" s="77"/>
      <c r="Y104" s="2"/>
      <c r="Z104" s="2"/>
      <c r="AA104" s="2"/>
      <c r="AB104" s="2"/>
      <c r="AC104" s="2"/>
    </row>
    <row r="105" spans="1:29">
      <c r="A105" s="128"/>
      <c r="B105" s="132"/>
      <c r="C105" s="123"/>
      <c r="D105" s="127"/>
      <c r="E105" s="155" t="s">
        <v>14</v>
      </c>
      <c r="F105" s="156">
        <f>4*50/2+1*50</f>
        <v>150</v>
      </c>
      <c r="G105" s="123"/>
      <c r="H105" s="54">
        <f>F105/1.12</f>
        <v>133.92857142857142</v>
      </c>
      <c r="I105" s="123"/>
      <c r="J105" s="123"/>
      <c r="K105" s="123"/>
      <c r="L105" s="123"/>
      <c r="M105" s="123"/>
      <c r="N105" s="123"/>
      <c r="O105" s="123"/>
      <c r="P105" s="123"/>
      <c r="Q105" s="123"/>
      <c r="R105" s="123"/>
      <c r="S105" s="123"/>
      <c r="T105" s="123"/>
      <c r="U105" s="157"/>
      <c r="V105" s="123"/>
      <c r="W105" s="123"/>
      <c r="X105" s="123"/>
      <c r="Y105" s="128"/>
      <c r="Z105" s="128"/>
      <c r="AA105" s="128"/>
      <c r="AB105" s="128"/>
      <c r="AC105" s="128"/>
    </row>
    <row r="106" spans="1:29">
      <c r="A106" s="128"/>
      <c r="B106" s="132"/>
      <c r="C106" s="123"/>
      <c r="D106" s="127"/>
      <c r="E106" s="158" t="s">
        <v>49</v>
      </c>
      <c r="F106" s="159">
        <f>T95</f>
        <v>0</v>
      </c>
      <c r="G106" s="123"/>
      <c r="H106" s="54"/>
      <c r="I106" s="123"/>
      <c r="J106" s="42"/>
      <c r="K106" s="764" t="s">
        <v>50</v>
      </c>
      <c r="L106" s="764"/>
      <c r="M106" s="764"/>
      <c r="N106" s="764"/>
      <c r="O106" s="764"/>
      <c r="P106" s="764"/>
      <c r="Q106" s="764"/>
      <c r="R106" s="70" t="s">
        <v>28</v>
      </c>
      <c r="S106" s="71" t="s">
        <v>29</v>
      </c>
      <c r="T106" s="123"/>
      <c r="U106" s="157"/>
      <c r="V106" s="123"/>
      <c r="W106" s="123"/>
      <c r="X106" s="123"/>
      <c r="Y106" s="128"/>
      <c r="Z106" s="128"/>
      <c r="AA106" s="128"/>
      <c r="AB106" s="128"/>
      <c r="AC106" s="128"/>
    </row>
    <row r="107" spans="1:29">
      <c r="A107" s="128"/>
      <c r="B107" s="132"/>
      <c r="C107" s="123"/>
      <c r="D107" s="127"/>
      <c r="E107" s="155" t="s">
        <v>3117</v>
      </c>
      <c r="F107" s="156">
        <f>$F$19</f>
        <v>1806.11</v>
      </c>
      <c r="G107" s="123"/>
      <c r="H107" s="54">
        <f>F107/1.115</f>
        <v>1619.8295964125559</v>
      </c>
      <c r="I107" s="123"/>
      <c r="J107" s="42"/>
      <c r="K107" s="20" t="s">
        <v>31</v>
      </c>
      <c r="L107" s="21" t="s">
        <v>32</v>
      </c>
      <c r="M107" s="21" t="s">
        <v>33</v>
      </c>
      <c r="N107" s="21" t="s">
        <v>34</v>
      </c>
      <c r="O107" s="21" t="s">
        <v>35</v>
      </c>
      <c r="P107" s="21" t="s">
        <v>36</v>
      </c>
      <c r="Q107" s="49" t="s">
        <v>37</v>
      </c>
      <c r="R107" s="50" t="s">
        <v>38</v>
      </c>
      <c r="S107" s="50" t="s">
        <v>38</v>
      </c>
      <c r="T107" s="123"/>
      <c r="U107" s="157"/>
      <c r="V107" s="123"/>
      <c r="W107" s="123"/>
      <c r="X107" s="123"/>
      <c r="Y107" s="128"/>
      <c r="Z107" s="128"/>
      <c r="AA107" s="128"/>
      <c r="AB107" s="128"/>
      <c r="AC107" s="128"/>
    </row>
    <row r="108" spans="1:29">
      <c r="A108" s="128"/>
      <c r="B108" s="132"/>
      <c r="C108" s="123"/>
      <c r="D108" s="127"/>
      <c r="E108" s="74" t="s">
        <v>3186</v>
      </c>
      <c r="F108" s="75">
        <f>-595.32</f>
        <v>-595.32000000000005</v>
      </c>
      <c r="G108" s="123"/>
      <c r="H108" s="54"/>
      <c r="I108" s="123"/>
      <c r="J108" s="42"/>
      <c r="K108" s="56"/>
      <c r="L108" s="57">
        <f>F119+F120</f>
        <v>5917</v>
      </c>
      <c r="M108" s="57">
        <f>F121+F122+F123+F133+F137</f>
        <v>20224.95</v>
      </c>
      <c r="N108" s="57">
        <f>F124+F125+F126</f>
        <v>4080</v>
      </c>
      <c r="O108" s="57">
        <f>F128+F138+F127+F139</f>
        <v>7911</v>
      </c>
      <c r="P108" s="57">
        <f>SUM(K108:O108)</f>
        <v>38132.949999999997</v>
      </c>
      <c r="Q108" s="58">
        <v>0</v>
      </c>
      <c r="R108" s="59">
        <f>F134+F140</f>
        <v>20912</v>
      </c>
      <c r="S108" s="59">
        <v>0</v>
      </c>
      <c r="T108" s="123"/>
      <c r="U108" s="157"/>
      <c r="V108" s="123"/>
      <c r="W108" s="123"/>
      <c r="X108" s="123"/>
      <c r="Y108" s="128"/>
      <c r="Z108" s="128"/>
      <c r="AA108" s="128"/>
      <c r="AB108" s="128"/>
      <c r="AC108" s="128"/>
    </row>
    <row r="109" spans="1:29">
      <c r="A109" s="128"/>
      <c r="B109" s="132"/>
      <c r="C109" s="123"/>
      <c r="D109" s="127"/>
      <c r="E109" s="74" t="s">
        <v>3187</v>
      </c>
      <c r="F109" s="75">
        <v>-53.04</v>
      </c>
      <c r="G109" s="123"/>
      <c r="H109" s="54"/>
      <c r="I109" s="123"/>
      <c r="J109" s="10" t="s">
        <v>42</v>
      </c>
      <c r="K109" s="63">
        <f t="shared" ref="K109:Q110" si="21">K101</f>
        <v>0</v>
      </c>
      <c r="L109" s="63">
        <f t="shared" si="21"/>
        <v>2</v>
      </c>
      <c r="M109" s="63">
        <f t="shared" si="21"/>
        <v>5</v>
      </c>
      <c r="N109" s="63">
        <f t="shared" si="21"/>
        <v>3</v>
      </c>
      <c r="O109" s="63">
        <f t="shared" si="21"/>
        <v>4</v>
      </c>
      <c r="P109" s="63">
        <f t="shared" si="21"/>
        <v>14</v>
      </c>
      <c r="Q109" s="63">
        <f t="shared" si="21"/>
        <v>0</v>
      </c>
      <c r="R109" s="63"/>
      <c r="S109" s="10"/>
      <c r="T109" s="123"/>
      <c r="U109" s="157"/>
      <c r="V109" s="123"/>
      <c r="W109" s="123"/>
      <c r="X109" s="123"/>
      <c r="Y109" s="128"/>
      <c r="Z109" s="128"/>
      <c r="AA109" s="128"/>
      <c r="AB109" s="128"/>
      <c r="AC109" s="128"/>
    </row>
    <row r="110" spans="1:29">
      <c r="A110" s="128"/>
      <c r="B110" s="132"/>
      <c r="C110" s="123"/>
      <c r="D110" s="127"/>
      <c r="E110" s="74" t="s">
        <v>3188</v>
      </c>
      <c r="F110" s="75">
        <f>-250</f>
        <v>-250</v>
      </c>
      <c r="G110" s="123"/>
      <c r="H110" s="54"/>
      <c r="I110" s="123"/>
      <c r="J110" s="10" t="s">
        <v>44</v>
      </c>
      <c r="K110" s="63">
        <f t="shared" si="21"/>
        <v>0</v>
      </c>
      <c r="L110" s="63">
        <f t="shared" si="21"/>
        <v>1</v>
      </c>
      <c r="M110" s="63">
        <f t="shared" si="21"/>
        <v>3</v>
      </c>
      <c r="N110" s="63">
        <f t="shared" si="21"/>
        <v>2</v>
      </c>
      <c r="O110" s="63">
        <f t="shared" si="21"/>
        <v>7</v>
      </c>
      <c r="P110" s="63">
        <f t="shared" si="21"/>
        <v>13</v>
      </c>
      <c r="Q110" s="63">
        <f t="shared" si="21"/>
        <v>0</v>
      </c>
      <c r="R110" s="63"/>
      <c r="S110" s="10"/>
      <c r="T110" s="123"/>
      <c r="U110" s="157"/>
      <c r="V110" s="123"/>
      <c r="W110" s="123"/>
      <c r="X110" s="123"/>
      <c r="Y110" s="128"/>
      <c r="Z110" s="128"/>
      <c r="AA110" s="128"/>
      <c r="AB110" s="128"/>
      <c r="AC110" s="128"/>
    </row>
    <row r="111" spans="1:29">
      <c r="A111" s="128"/>
      <c r="B111" s="132"/>
      <c r="C111" s="123"/>
      <c r="D111" s="127"/>
      <c r="E111" s="74" t="s">
        <v>3189</v>
      </c>
      <c r="F111" s="75">
        <v>-320.58</v>
      </c>
      <c r="G111" s="123"/>
      <c r="H111" s="54"/>
      <c r="I111" s="123"/>
      <c r="J111" s="10" t="s">
        <v>46</v>
      </c>
      <c r="K111" s="31" t="e">
        <f t="shared" ref="K111:Q111" si="22">K109/(K109+K110)</f>
        <v>#DIV/0!</v>
      </c>
      <c r="L111" s="31">
        <f t="shared" si="22"/>
        <v>0.66666666666666663</v>
      </c>
      <c r="M111" s="31">
        <f t="shared" si="22"/>
        <v>0.625</v>
      </c>
      <c r="N111" s="31">
        <f t="shared" si="22"/>
        <v>0.6</v>
      </c>
      <c r="O111" s="31">
        <f t="shared" si="22"/>
        <v>0.36363636363636365</v>
      </c>
      <c r="P111" s="31">
        <f t="shared" si="22"/>
        <v>0.51851851851851849</v>
      </c>
      <c r="Q111" s="31" t="e">
        <f t="shared" si="22"/>
        <v>#DIV/0!</v>
      </c>
      <c r="R111" s="63"/>
      <c r="S111" s="10"/>
      <c r="T111" s="123"/>
      <c r="U111" s="157"/>
      <c r="V111" s="123"/>
      <c r="W111" s="123"/>
      <c r="X111" s="123"/>
      <c r="Y111" s="128"/>
      <c r="Z111" s="128"/>
      <c r="AA111" s="128"/>
      <c r="AB111" s="128"/>
      <c r="AC111" s="128"/>
    </row>
    <row r="112" spans="1:29">
      <c r="A112" s="128"/>
      <c r="B112" s="132"/>
      <c r="C112" s="123"/>
      <c r="D112" s="127"/>
      <c r="E112" s="12"/>
      <c r="F112" s="12"/>
      <c r="G112" s="10"/>
      <c r="H112" s="10"/>
      <c r="I112" s="123"/>
      <c r="J112" s="10" t="s">
        <v>48</v>
      </c>
      <c r="K112" s="66" t="e">
        <f t="shared" ref="K112:Q112" si="23">K108/K109</f>
        <v>#DIV/0!</v>
      </c>
      <c r="L112" s="66">
        <f t="shared" si="23"/>
        <v>2958.5</v>
      </c>
      <c r="M112" s="66">
        <f t="shared" si="23"/>
        <v>4044.9900000000002</v>
      </c>
      <c r="N112" s="66">
        <f t="shared" si="23"/>
        <v>1360</v>
      </c>
      <c r="O112" s="66">
        <f t="shared" si="23"/>
        <v>1977.75</v>
      </c>
      <c r="P112" s="66">
        <f t="shared" si="23"/>
        <v>2723.7821428571428</v>
      </c>
      <c r="Q112" s="66" t="e">
        <f t="shared" si="23"/>
        <v>#DIV/0!</v>
      </c>
      <c r="R112" s="63"/>
      <c r="S112" s="10"/>
      <c r="T112" s="123"/>
      <c r="U112" s="157"/>
      <c r="V112" s="123"/>
      <c r="W112" s="123"/>
      <c r="X112" s="123"/>
      <c r="Y112" s="128"/>
      <c r="Z112" s="128"/>
      <c r="AA112" s="128"/>
      <c r="AB112" s="128"/>
      <c r="AC112" s="128"/>
    </row>
    <row r="113" spans="1:29">
      <c r="A113" s="128"/>
      <c r="B113" s="132"/>
      <c r="C113" s="123"/>
      <c r="D113" s="127"/>
      <c r="E113" s="12"/>
      <c r="F113" s="12"/>
      <c r="G113" s="10"/>
      <c r="H113" s="10"/>
      <c r="I113" s="123"/>
      <c r="J113" s="123"/>
      <c r="K113" s="123"/>
      <c r="L113" s="123"/>
      <c r="M113" s="123"/>
      <c r="N113" s="123"/>
      <c r="O113" s="123"/>
      <c r="P113" s="123"/>
      <c r="Q113" s="123"/>
      <c r="R113" s="123"/>
      <c r="S113" s="123"/>
      <c r="T113" s="123"/>
      <c r="U113" s="157"/>
      <c r="V113" s="123"/>
      <c r="W113" s="123"/>
      <c r="X113" s="123"/>
      <c r="Y113" s="128"/>
      <c r="Z113" s="128"/>
      <c r="AA113" s="128"/>
      <c r="AB113" s="128"/>
      <c r="AC113" s="128"/>
    </row>
    <row r="114" spans="1:29">
      <c r="A114" s="2"/>
      <c r="B114" s="11"/>
      <c r="C114" s="10"/>
      <c r="D114" s="63"/>
      <c r="E114" s="12"/>
      <c r="F114" s="12"/>
      <c r="G114" s="10"/>
      <c r="H114" s="10"/>
      <c r="I114" s="10"/>
      <c r="J114" s="10"/>
      <c r="K114" s="10"/>
      <c r="L114" s="10"/>
      <c r="M114" s="10"/>
      <c r="N114" s="10"/>
      <c r="O114" s="10"/>
      <c r="P114" s="10"/>
      <c r="Q114" s="10"/>
      <c r="R114" s="10"/>
      <c r="S114" s="10"/>
      <c r="T114" s="10"/>
      <c r="U114" s="151"/>
      <c r="V114" s="77"/>
      <c r="W114" s="77"/>
      <c r="X114" s="77"/>
      <c r="Y114" s="2"/>
      <c r="Z114" s="2"/>
      <c r="AA114" s="2"/>
      <c r="AB114" s="2"/>
      <c r="AC114" s="2"/>
    </row>
    <row r="115" spans="1:29">
      <c r="A115" s="2"/>
      <c r="B115" s="11"/>
      <c r="C115" s="10"/>
      <c r="D115" s="63"/>
      <c r="E115" s="10"/>
      <c r="F115" s="10"/>
      <c r="G115" s="10"/>
      <c r="H115" s="10"/>
      <c r="I115" s="10"/>
      <c r="J115" s="10"/>
      <c r="K115" s="10"/>
      <c r="L115" s="10"/>
      <c r="M115" s="10"/>
      <c r="N115" s="10"/>
      <c r="O115" s="10"/>
      <c r="P115" s="10"/>
      <c r="Q115" s="10"/>
      <c r="R115" s="10"/>
      <c r="S115" s="10"/>
      <c r="T115" s="10"/>
      <c r="U115" s="151"/>
      <c r="V115" s="77"/>
      <c r="W115" s="77"/>
      <c r="X115" s="77"/>
      <c r="Y115" s="2"/>
      <c r="Z115" s="2"/>
      <c r="AA115" s="2"/>
      <c r="AB115" s="2"/>
      <c r="AC115" s="2"/>
    </row>
    <row r="116" spans="1:29">
      <c r="A116" s="2"/>
      <c r="B116" s="18" t="s">
        <v>51</v>
      </c>
      <c r="C116" s="14"/>
      <c r="D116" s="14"/>
      <c r="E116" s="14"/>
      <c r="F116" s="13" t="s">
        <v>52</v>
      </c>
      <c r="G116" s="14"/>
      <c r="H116" s="14"/>
      <c r="I116" s="14"/>
      <c r="J116" s="14"/>
      <c r="K116" s="13" t="s">
        <v>3</v>
      </c>
      <c r="L116" s="14"/>
      <c r="M116" s="14"/>
      <c r="N116" s="13" t="s">
        <v>4</v>
      </c>
      <c r="O116" s="14"/>
      <c r="P116" s="14"/>
      <c r="Q116" s="13" t="s">
        <v>5</v>
      </c>
      <c r="R116" s="14"/>
      <c r="S116" s="14"/>
      <c r="T116" s="18"/>
      <c r="U116" s="161" t="s">
        <v>53</v>
      </c>
      <c r="V116" s="77"/>
      <c r="W116" s="77"/>
      <c r="X116" s="77"/>
      <c r="Y116" s="2"/>
      <c r="Z116" s="2"/>
      <c r="AA116" s="2"/>
      <c r="AB116" s="2"/>
      <c r="AC116" s="2"/>
    </row>
    <row r="117" spans="1:29">
      <c r="A117" s="2"/>
      <c r="B117" s="24" t="s">
        <v>54</v>
      </c>
      <c r="C117" s="21" t="s">
        <v>55</v>
      </c>
      <c r="D117" s="21" t="s">
        <v>56</v>
      </c>
      <c r="E117" s="21" t="s">
        <v>57</v>
      </c>
      <c r="F117" s="20" t="s">
        <v>58</v>
      </c>
      <c r="G117" s="21" t="s">
        <v>59</v>
      </c>
      <c r="H117" s="21" t="s">
        <v>60</v>
      </c>
      <c r="I117" s="21" t="s">
        <v>26</v>
      </c>
      <c r="J117" s="22" t="s">
        <v>61</v>
      </c>
      <c r="K117" s="21" t="s">
        <v>8</v>
      </c>
      <c r="L117" s="21" t="s">
        <v>9</v>
      </c>
      <c r="M117" s="21" t="s">
        <v>10</v>
      </c>
      <c r="N117" s="20" t="s">
        <v>11</v>
      </c>
      <c r="O117" s="21" t="s">
        <v>12</v>
      </c>
      <c r="P117" s="22" t="s">
        <v>13</v>
      </c>
      <c r="Q117" s="21" t="s">
        <v>11</v>
      </c>
      <c r="R117" s="21" t="s">
        <v>12</v>
      </c>
      <c r="S117" s="21" t="s">
        <v>13</v>
      </c>
      <c r="T117" s="78" t="s">
        <v>14</v>
      </c>
      <c r="U117" s="162"/>
      <c r="V117" s="79" t="s">
        <v>62</v>
      </c>
      <c r="W117" s="80" t="s">
        <v>63</v>
      </c>
      <c r="X117" s="81" t="s">
        <v>64</v>
      </c>
      <c r="Y117" s="2"/>
      <c r="Z117" s="2"/>
      <c r="AA117" s="2"/>
      <c r="AB117" s="2"/>
      <c r="AC117" s="2"/>
    </row>
    <row r="118" spans="1:29">
      <c r="A118" s="2"/>
      <c r="B118" s="4" t="s">
        <v>65</v>
      </c>
      <c r="C118" s="6"/>
      <c r="D118" s="6"/>
      <c r="E118" s="6"/>
      <c r="F118" s="6"/>
      <c r="G118" s="6"/>
      <c r="H118" s="6"/>
      <c r="I118" s="82"/>
      <c r="J118" s="6"/>
      <c r="K118" s="6"/>
      <c r="L118" s="6"/>
      <c r="M118" s="6"/>
      <c r="N118" s="6"/>
      <c r="O118" s="6"/>
      <c r="P118" s="6"/>
      <c r="Q118" s="6"/>
      <c r="R118" s="6"/>
      <c r="S118" s="6"/>
      <c r="T118" s="83"/>
      <c r="U118" s="163"/>
      <c r="V118" s="84"/>
      <c r="W118" s="85"/>
      <c r="X118" s="86"/>
      <c r="Y118" s="2"/>
      <c r="Z118" s="2"/>
      <c r="AA118" s="2"/>
      <c r="AB118" s="2"/>
      <c r="AC118" s="2"/>
    </row>
    <row r="119" spans="1:29">
      <c r="A119" s="2"/>
      <c r="B119" s="87">
        <v>1</v>
      </c>
      <c r="C119" s="274">
        <v>45853</v>
      </c>
      <c r="D119" s="327">
        <v>71444</v>
      </c>
      <c r="E119" s="276" t="s">
        <v>382</v>
      </c>
      <c r="F119" s="277">
        <v>4056</v>
      </c>
      <c r="G119" s="277">
        <f>39.7+(107.15)+(145.1)</f>
        <v>291.95000000000005</v>
      </c>
      <c r="H119" s="297"/>
      <c r="I119" s="278">
        <f t="shared" ref="I119:I128" si="24">F119-G119-H119</f>
        <v>3764.05</v>
      </c>
      <c r="J119" s="279" t="s">
        <v>228</v>
      </c>
      <c r="K119" s="279">
        <v>1</v>
      </c>
      <c r="L119" s="279">
        <v>1</v>
      </c>
      <c r="M119" s="279">
        <v>1</v>
      </c>
      <c r="N119" s="279">
        <v>1</v>
      </c>
      <c r="O119" s="279">
        <v>1</v>
      </c>
      <c r="P119" s="279">
        <v>1</v>
      </c>
      <c r="Q119" s="279">
        <v>1</v>
      </c>
      <c r="R119" s="279">
        <v>1</v>
      </c>
      <c r="S119" s="280">
        <v>1</v>
      </c>
      <c r="T119" s="21">
        <v>1</v>
      </c>
      <c r="U119" s="94" t="s">
        <v>3190</v>
      </c>
      <c r="V119" s="90">
        <f>446.16+4015.44</f>
        <v>4461.6000000000004</v>
      </c>
      <c r="W119" s="91"/>
      <c r="X119" s="92"/>
      <c r="Y119" s="2"/>
      <c r="Z119" s="2"/>
      <c r="AA119" s="2"/>
      <c r="AB119" s="2"/>
      <c r="AC119" s="2"/>
    </row>
    <row r="120" spans="1:29">
      <c r="A120" s="2"/>
      <c r="B120" s="87">
        <f t="shared" ref="B120:B128" si="25">B119+1</f>
        <v>2</v>
      </c>
      <c r="C120" s="295">
        <v>45853</v>
      </c>
      <c r="D120" s="323">
        <v>71442</v>
      </c>
      <c r="E120" s="10" t="s">
        <v>278</v>
      </c>
      <c r="F120" s="62">
        <f>1946-85</f>
        <v>1861</v>
      </c>
      <c r="G120" s="62">
        <f>39.7</f>
        <v>39.700000000000003</v>
      </c>
      <c r="H120" s="62"/>
      <c r="I120" s="324">
        <f t="shared" si="24"/>
        <v>1821.3</v>
      </c>
      <c r="J120" s="63" t="s">
        <v>228</v>
      </c>
      <c r="K120" s="63">
        <v>1</v>
      </c>
      <c r="L120" s="63">
        <v>1</v>
      </c>
      <c r="M120" s="63">
        <v>1</v>
      </c>
      <c r="N120" s="63">
        <v>1</v>
      </c>
      <c r="O120" s="63">
        <v>1</v>
      </c>
      <c r="P120" s="63">
        <v>1</v>
      </c>
      <c r="Q120" s="63">
        <v>1</v>
      </c>
      <c r="R120" s="63">
        <v>1</v>
      </c>
      <c r="S120" s="326">
        <v>0</v>
      </c>
      <c r="T120" s="63"/>
      <c r="U120" s="94" t="s">
        <v>3191</v>
      </c>
      <c r="V120" s="90">
        <f>93.5+204.71+1842.39</f>
        <v>2140.6000000000004</v>
      </c>
      <c r="W120" s="91"/>
      <c r="X120" s="92"/>
      <c r="Y120" s="2"/>
      <c r="Z120" s="2"/>
      <c r="AA120" s="2"/>
      <c r="AB120" s="2"/>
      <c r="AC120" s="2"/>
    </row>
    <row r="121" spans="1:29">
      <c r="A121" s="93"/>
      <c r="B121" s="87">
        <f t="shared" si="25"/>
        <v>3</v>
      </c>
      <c r="C121" s="274">
        <v>45854</v>
      </c>
      <c r="D121" s="327">
        <v>71478</v>
      </c>
      <c r="E121" s="276" t="s">
        <v>172</v>
      </c>
      <c r="F121" s="277">
        <f>1223-85</f>
        <v>1138</v>
      </c>
      <c r="G121" s="277">
        <f>39.7+(31.48)</f>
        <v>71.180000000000007</v>
      </c>
      <c r="H121" s="277"/>
      <c r="I121" s="278">
        <f t="shared" si="24"/>
        <v>1066.82</v>
      </c>
      <c r="J121" s="279" t="s">
        <v>156</v>
      </c>
      <c r="K121" s="279">
        <v>1</v>
      </c>
      <c r="L121" s="279">
        <v>1</v>
      </c>
      <c r="M121" s="279">
        <v>1</v>
      </c>
      <c r="N121" s="279">
        <v>1</v>
      </c>
      <c r="O121" s="279">
        <v>1</v>
      </c>
      <c r="P121" s="279">
        <v>1</v>
      </c>
      <c r="Q121" s="279">
        <v>1</v>
      </c>
      <c r="R121" s="279">
        <v>1</v>
      </c>
      <c r="S121" s="280">
        <v>1</v>
      </c>
      <c r="T121" s="21">
        <v>1</v>
      </c>
      <c r="U121" s="94"/>
      <c r="V121" s="90">
        <f>93.5+125.18+1100+26.62</f>
        <v>1345.3</v>
      </c>
      <c r="W121" s="91"/>
      <c r="X121" s="92"/>
      <c r="Y121" s="2"/>
      <c r="Z121" s="2"/>
      <c r="AA121" s="2"/>
      <c r="AB121" s="2"/>
      <c r="AC121" s="2"/>
    </row>
    <row r="122" spans="1:29">
      <c r="A122" s="2"/>
      <c r="B122" s="87">
        <f t="shared" si="25"/>
        <v>4</v>
      </c>
      <c r="C122" s="295">
        <v>45854</v>
      </c>
      <c r="D122" s="346" t="s">
        <v>3192</v>
      </c>
      <c r="E122" s="94" t="s">
        <v>3193</v>
      </c>
      <c r="F122" s="62">
        <f>3046-185</f>
        <v>2861</v>
      </c>
      <c r="G122" s="62">
        <f>39.7</f>
        <v>39.700000000000003</v>
      </c>
      <c r="H122" s="62"/>
      <c r="I122" s="89">
        <f t="shared" si="24"/>
        <v>2821.3</v>
      </c>
      <c r="J122" s="63" t="s">
        <v>156</v>
      </c>
      <c r="K122" s="63">
        <v>1</v>
      </c>
      <c r="L122" s="63">
        <v>1</v>
      </c>
      <c r="M122" s="63">
        <v>1</v>
      </c>
      <c r="N122" s="63">
        <v>1</v>
      </c>
      <c r="O122" s="63">
        <v>1</v>
      </c>
      <c r="P122" s="63">
        <v>1</v>
      </c>
      <c r="Q122" s="63">
        <v>1</v>
      </c>
      <c r="R122" s="325">
        <v>0</v>
      </c>
      <c r="S122" s="296">
        <v>1</v>
      </c>
      <c r="T122" s="63"/>
      <c r="U122" s="94"/>
      <c r="V122" s="90">
        <f>203.5+139.04+3008.06</f>
        <v>3350.6</v>
      </c>
      <c r="W122" s="91"/>
      <c r="X122" s="92"/>
      <c r="Y122" s="2"/>
      <c r="Z122" s="2"/>
      <c r="AA122" s="2"/>
      <c r="AB122" s="2"/>
      <c r="AC122" s="2"/>
    </row>
    <row r="123" spans="1:29">
      <c r="A123" s="2"/>
      <c r="B123" s="87">
        <f t="shared" si="25"/>
        <v>5</v>
      </c>
      <c r="C123" s="295">
        <v>45854</v>
      </c>
      <c r="D123" s="323">
        <v>71491</v>
      </c>
      <c r="E123" s="10" t="s">
        <v>464</v>
      </c>
      <c r="F123" s="62">
        <v>2147.9499999999998</v>
      </c>
      <c r="G123" s="62">
        <f>39.7+(73.72+8.66)+200</f>
        <v>322.08</v>
      </c>
      <c r="H123" s="88"/>
      <c r="I123" s="89">
        <f t="shared" si="24"/>
        <v>1825.87</v>
      </c>
      <c r="J123" s="63" t="s">
        <v>156</v>
      </c>
      <c r="K123" s="63">
        <v>1</v>
      </c>
      <c r="L123" s="63">
        <v>1</v>
      </c>
      <c r="M123" s="63">
        <v>1</v>
      </c>
      <c r="N123" s="63">
        <v>1</v>
      </c>
      <c r="O123" s="63">
        <v>1</v>
      </c>
      <c r="P123" s="63">
        <v>1</v>
      </c>
      <c r="Q123" s="63">
        <v>1</v>
      </c>
      <c r="R123" s="63">
        <v>1</v>
      </c>
      <c r="S123" s="296">
        <v>1</v>
      </c>
      <c r="T123" s="63"/>
      <c r="U123" s="94"/>
      <c r="V123" s="90">
        <f>248.71+2114.04</f>
        <v>2362.75</v>
      </c>
      <c r="W123" s="91"/>
      <c r="X123" s="92"/>
      <c r="Y123" s="2"/>
      <c r="Z123" s="2"/>
      <c r="AA123" s="2"/>
      <c r="AB123" s="2"/>
      <c r="AC123" s="2"/>
    </row>
    <row r="124" spans="1:29">
      <c r="A124" s="2"/>
      <c r="B124" s="87">
        <f t="shared" si="25"/>
        <v>6</v>
      </c>
      <c r="C124" s="274">
        <v>45855</v>
      </c>
      <c r="D124" s="327">
        <v>71512</v>
      </c>
      <c r="E124" s="276" t="s">
        <v>304</v>
      </c>
      <c r="F124" s="277">
        <v>1138</v>
      </c>
      <c r="G124" s="277">
        <f>39.7</f>
        <v>39.700000000000003</v>
      </c>
      <c r="H124" s="297"/>
      <c r="I124" s="278">
        <f t="shared" si="24"/>
        <v>1098.3</v>
      </c>
      <c r="J124" s="279" t="s">
        <v>156</v>
      </c>
      <c r="K124" s="279">
        <v>1</v>
      </c>
      <c r="L124" s="279">
        <v>1</v>
      </c>
      <c r="M124" s="279">
        <v>1</v>
      </c>
      <c r="N124" s="322">
        <v>0</v>
      </c>
      <c r="O124" s="322">
        <v>0</v>
      </c>
      <c r="P124" s="322">
        <v>0</v>
      </c>
      <c r="Q124" s="322">
        <v>0</v>
      </c>
      <c r="R124" s="322">
        <v>0</v>
      </c>
      <c r="S124" s="328">
        <v>0</v>
      </c>
      <c r="T124" s="63"/>
      <c r="U124" s="94"/>
      <c r="V124" s="90">
        <f>27.18+98+1126.62</f>
        <v>1251.8</v>
      </c>
      <c r="W124" s="91"/>
      <c r="X124" s="92"/>
      <c r="Y124" s="2"/>
      <c r="Z124" s="2"/>
      <c r="AA124" s="2"/>
      <c r="AB124" s="2"/>
      <c r="AC124" s="2"/>
    </row>
    <row r="125" spans="1:29">
      <c r="A125" s="2"/>
      <c r="B125" s="87">
        <f t="shared" si="25"/>
        <v>7</v>
      </c>
      <c r="C125" s="295">
        <v>45855</v>
      </c>
      <c r="D125" s="506" t="s">
        <v>3194</v>
      </c>
      <c r="E125" s="10" t="s">
        <v>304</v>
      </c>
      <c r="F125" s="62">
        <v>2261</v>
      </c>
      <c r="G125" s="62">
        <f>39.7+(46.62+94.42)</f>
        <v>180.74</v>
      </c>
      <c r="H125" s="88"/>
      <c r="I125" s="89">
        <f t="shared" si="24"/>
        <v>2080.2600000000002</v>
      </c>
      <c r="J125" s="63" t="s">
        <v>156</v>
      </c>
      <c r="K125" s="63">
        <v>1</v>
      </c>
      <c r="L125" s="63">
        <v>1</v>
      </c>
      <c r="M125" s="63">
        <v>1</v>
      </c>
      <c r="N125" s="325">
        <v>0</v>
      </c>
      <c r="O125" s="325">
        <v>0</v>
      </c>
      <c r="P125" s="325">
        <v>0</v>
      </c>
      <c r="Q125" s="325">
        <v>0</v>
      </c>
      <c r="R125" s="325">
        <v>0</v>
      </c>
      <c r="S125" s="326">
        <v>0</v>
      </c>
      <c r="T125" s="21">
        <v>1</v>
      </c>
      <c r="U125" s="94"/>
      <c r="V125" s="90">
        <f>248.71+2238.39</f>
        <v>2487.1</v>
      </c>
      <c r="W125" s="91"/>
      <c r="X125" s="92"/>
      <c r="Y125" s="2"/>
      <c r="Z125" s="2"/>
      <c r="AA125" s="2"/>
      <c r="AB125" s="2"/>
      <c r="AC125" s="2"/>
    </row>
    <row r="126" spans="1:29">
      <c r="A126" s="2" t="s">
        <v>3195</v>
      </c>
      <c r="B126" s="87">
        <f t="shared" si="25"/>
        <v>8</v>
      </c>
      <c r="C126" s="295">
        <v>45855</v>
      </c>
      <c r="D126" s="346" t="s">
        <v>3196</v>
      </c>
      <c r="E126" s="10" t="s">
        <v>211</v>
      </c>
      <c r="F126" s="62">
        <v>681</v>
      </c>
      <c r="G126" s="62"/>
      <c r="H126" s="88"/>
      <c r="I126" s="89">
        <f t="shared" si="24"/>
        <v>681</v>
      </c>
      <c r="J126" s="63" t="s">
        <v>156</v>
      </c>
      <c r="K126" s="63">
        <v>1</v>
      </c>
      <c r="L126" s="63">
        <v>1</v>
      </c>
      <c r="M126" s="63">
        <v>1</v>
      </c>
      <c r="N126" s="63">
        <v>1</v>
      </c>
      <c r="O126" s="63">
        <v>1</v>
      </c>
      <c r="P126" s="63">
        <v>1</v>
      </c>
      <c r="Q126" s="63">
        <v>1</v>
      </c>
      <c r="R126" s="63">
        <v>1</v>
      </c>
      <c r="S126" s="296">
        <v>1</v>
      </c>
      <c r="T126" s="21">
        <v>1</v>
      </c>
      <c r="U126" s="94" t="s">
        <v>3197</v>
      </c>
      <c r="V126" s="90">
        <f>74.91+674.19</f>
        <v>749.1</v>
      </c>
      <c r="W126" s="91"/>
      <c r="X126" s="92"/>
      <c r="Y126" s="2"/>
      <c r="Z126" s="2"/>
      <c r="AA126" s="2"/>
      <c r="AB126" s="2"/>
      <c r="AC126" s="2"/>
    </row>
    <row r="127" spans="1:29">
      <c r="A127" s="464">
        <v>45857</v>
      </c>
      <c r="B127" s="87">
        <f t="shared" si="25"/>
        <v>9</v>
      </c>
      <c r="C127" s="274">
        <v>45856</v>
      </c>
      <c r="D127" s="320" t="s">
        <v>3198</v>
      </c>
      <c r="E127" s="281" t="s">
        <v>1530</v>
      </c>
      <c r="F127" s="277">
        <v>481</v>
      </c>
      <c r="G127" s="277">
        <f>39.7+200</f>
        <v>239.7</v>
      </c>
      <c r="H127" s="277"/>
      <c r="I127" s="278">
        <f t="shared" si="24"/>
        <v>241.3</v>
      </c>
      <c r="J127" s="279" t="s">
        <v>374</v>
      </c>
      <c r="K127" s="279">
        <v>1</v>
      </c>
      <c r="L127" s="279">
        <v>1</v>
      </c>
      <c r="M127" s="279">
        <v>1</v>
      </c>
      <c r="N127" s="279">
        <v>1</v>
      </c>
      <c r="O127" s="279">
        <v>1</v>
      </c>
      <c r="P127" s="279">
        <v>1</v>
      </c>
      <c r="Q127" s="279">
        <v>1</v>
      </c>
      <c r="R127" s="279">
        <v>1</v>
      </c>
      <c r="S127" s="280">
        <v>1</v>
      </c>
      <c r="T127" s="63"/>
      <c r="U127" s="94" t="s">
        <v>3199</v>
      </c>
      <c r="V127" s="90">
        <f>529.1</f>
        <v>529.1</v>
      </c>
      <c r="W127" s="91"/>
      <c r="X127" s="92"/>
    </row>
    <row r="128" spans="1:29">
      <c r="A128" s="2"/>
      <c r="B128" s="87">
        <f t="shared" si="25"/>
        <v>10</v>
      </c>
      <c r="C128" s="282">
        <v>45856</v>
      </c>
      <c r="D128" s="368" t="s">
        <v>3200</v>
      </c>
      <c r="E128" s="283" t="s">
        <v>1530</v>
      </c>
      <c r="F128" s="284">
        <v>596</v>
      </c>
      <c r="G128" s="284"/>
      <c r="H128" s="315"/>
      <c r="I128" s="285">
        <f t="shared" si="24"/>
        <v>596</v>
      </c>
      <c r="J128" s="286" t="s">
        <v>156</v>
      </c>
      <c r="K128" s="286">
        <v>1</v>
      </c>
      <c r="L128" s="286">
        <v>1</v>
      </c>
      <c r="M128" s="286">
        <v>1</v>
      </c>
      <c r="N128" s="286">
        <v>1</v>
      </c>
      <c r="O128" s="286">
        <v>1</v>
      </c>
      <c r="P128" s="286">
        <v>1</v>
      </c>
      <c r="Q128" s="286">
        <v>1</v>
      </c>
      <c r="R128" s="286">
        <v>1</v>
      </c>
      <c r="S128" s="287">
        <v>1</v>
      </c>
      <c r="T128" s="63"/>
      <c r="U128" s="94" t="s">
        <v>3199</v>
      </c>
      <c r="V128" s="90">
        <f>65.56+590.04</f>
        <v>655.59999999999991</v>
      </c>
      <c r="W128" s="91"/>
      <c r="X128" s="92"/>
      <c r="Y128" s="2"/>
      <c r="Z128" s="2"/>
      <c r="AA128" s="2"/>
      <c r="AB128" s="2"/>
      <c r="AC128" s="2"/>
    </row>
    <row r="129" spans="1:29">
      <c r="A129" s="2"/>
      <c r="B129" s="87"/>
      <c r="C129" s="36"/>
      <c r="D129" s="10"/>
      <c r="E129" s="10"/>
      <c r="F129" s="97">
        <f>SUM(F119:F128)</f>
        <v>17220.95</v>
      </c>
      <c r="G129" s="97">
        <f>SUM(G119:G128)</f>
        <v>1224.75</v>
      </c>
      <c r="H129" s="97">
        <f>SUM(H119:H128)</f>
        <v>0</v>
      </c>
      <c r="I129" s="97">
        <f>SUM(I119:I128)</f>
        <v>15996.199999999999</v>
      </c>
      <c r="J129" s="63"/>
      <c r="K129" s="63">
        <f t="shared" ref="K129:S129" si="26">COUNT(K119:K128)</f>
        <v>10</v>
      </c>
      <c r="L129" s="63">
        <f t="shared" si="26"/>
        <v>10</v>
      </c>
      <c r="M129" s="63">
        <f t="shared" si="26"/>
        <v>10</v>
      </c>
      <c r="N129" s="63">
        <f t="shared" si="26"/>
        <v>10</v>
      </c>
      <c r="O129" s="63">
        <f t="shared" si="26"/>
        <v>10</v>
      </c>
      <c r="P129" s="63">
        <f t="shared" si="26"/>
        <v>10</v>
      </c>
      <c r="Q129" s="63">
        <f t="shared" si="26"/>
        <v>10</v>
      </c>
      <c r="R129" s="63">
        <f t="shared" si="26"/>
        <v>10</v>
      </c>
      <c r="S129" s="63">
        <f t="shared" si="26"/>
        <v>10</v>
      </c>
      <c r="T129" s="63"/>
      <c r="U129" s="94"/>
      <c r="V129" s="90"/>
      <c r="W129" s="91"/>
      <c r="X129" s="92"/>
      <c r="Y129" s="2"/>
      <c r="Z129" s="2"/>
      <c r="AA129" s="2"/>
      <c r="AB129" s="2"/>
      <c r="AC129" s="2"/>
    </row>
    <row r="130" spans="1:29">
      <c r="A130" s="2"/>
      <c r="B130" s="87"/>
      <c r="C130" s="36"/>
      <c r="D130" s="10"/>
      <c r="E130" s="10"/>
      <c r="F130" s="88"/>
      <c r="G130" s="88"/>
      <c r="H130" s="88"/>
      <c r="I130" s="99"/>
      <c r="J130" s="63"/>
      <c r="K130" s="21">
        <f t="shared" ref="K130:S130" si="27">SUM(K119:K128)</f>
        <v>10</v>
      </c>
      <c r="L130" s="21">
        <f t="shared" si="27"/>
        <v>10</v>
      </c>
      <c r="M130" s="21">
        <f t="shared" si="27"/>
        <v>10</v>
      </c>
      <c r="N130" s="21">
        <f t="shared" si="27"/>
        <v>8</v>
      </c>
      <c r="O130" s="21">
        <f t="shared" si="27"/>
        <v>8</v>
      </c>
      <c r="P130" s="21">
        <f t="shared" si="27"/>
        <v>8</v>
      </c>
      <c r="Q130" s="21">
        <f t="shared" si="27"/>
        <v>8</v>
      </c>
      <c r="R130" s="21">
        <f t="shared" si="27"/>
        <v>7</v>
      </c>
      <c r="S130" s="21">
        <f t="shared" si="27"/>
        <v>7</v>
      </c>
      <c r="T130" s="63"/>
      <c r="U130" s="94"/>
      <c r="V130" s="90"/>
      <c r="W130" s="91"/>
      <c r="X130" s="92"/>
      <c r="Y130" s="2"/>
      <c r="Z130" s="2"/>
      <c r="AA130" s="2"/>
      <c r="AB130" s="2"/>
      <c r="AC130" s="2"/>
    </row>
    <row r="131" spans="1:29">
      <c r="A131" s="2"/>
      <c r="B131" s="11"/>
      <c r="C131" s="36"/>
      <c r="D131" s="10"/>
      <c r="E131" s="10"/>
      <c r="F131" s="88"/>
      <c r="G131" s="88"/>
      <c r="H131" s="88"/>
      <c r="I131" s="99"/>
      <c r="J131" s="63"/>
      <c r="K131" s="21"/>
      <c r="L131" s="21"/>
      <c r="M131" s="21"/>
      <c r="N131" s="21"/>
      <c r="O131" s="21"/>
      <c r="P131" s="21"/>
      <c r="Q131" s="21"/>
      <c r="R131" s="21"/>
      <c r="S131" s="21"/>
      <c r="T131" s="63"/>
      <c r="U131" s="94"/>
      <c r="V131" s="90"/>
      <c r="W131" s="91"/>
      <c r="X131" s="92"/>
      <c r="Y131" s="2"/>
      <c r="Z131" s="2"/>
      <c r="AA131" s="2"/>
      <c r="AB131" s="2"/>
      <c r="AC131" s="2"/>
    </row>
    <row r="132" spans="1:29">
      <c r="A132" s="128"/>
      <c r="B132" s="121" t="s">
        <v>68</v>
      </c>
      <c r="C132" s="122"/>
      <c r="D132" s="123"/>
      <c r="E132" s="123"/>
      <c r="F132" s="124"/>
      <c r="G132" s="125"/>
      <c r="H132" s="124"/>
      <c r="I132" s="126"/>
      <c r="J132" s="127"/>
      <c r="K132" s="128"/>
      <c r="L132" s="128"/>
      <c r="M132" s="128"/>
      <c r="N132" s="128"/>
      <c r="O132" s="128"/>
      <c r="P132" s="128"/>
      <c r="Q132" s="128"/>
      <c r="R132" s="128"/>
      <c r="S132" s="128"/>
      <c r="T132" s="127"/>
      <c r="U132" s="135"/>
      <c r="V132" s="129"/>
      <c r="W132" s="130"/>
      <c r="X132" s="131"/>
      <c r="Y132" s="128"/>
      <c r="Z132" s="128"/>
      <c r="AA132" s="128"/>
      <c r="AB132" s="128"/>
      <c r="AC132" s="128"/>
    </row>
    <row r="133" spans="1:29" s="342" customFormat="1">
      <c r="A133" s="356">
        <v>0.1</v>
      </c>
      <c r="B133" s="333">
        <v>1</v>
      </c>
      <c r="C133" s="350">
        <v>45854</v>
      </c>
      <c r="D133" s="263" t="s">
        <v>3201</v>
      </c>
      <c r="E133" s="498" t="s">
        <v>1757</v>
      </c>
      <c r="F133" s="352">
        <v>1264</v>
      </c>
      <c r="G133" s="352">
        <f>39.7+(35.34)</f>
        <v>75.040000000000006</v>
      </c>
      <c r="H133" s="352"/>
      <c r="I133" s="353">
        <f>F133-G133-H133</f>
        <v>1188.96</v>
      </c>
      <c r="J133" s="354" t="s">
        <v>2869</v>
      </c>
      <c r="K133" s="354">
        <v>1</v>
      </c>
      <c r="L133" s="354">
        <v>1</v>
      </c>
      <c r="M133" s="354"/>
      <c r="N133" s="354">
        <v>1</v>
      </c>
      <c r="O133" s="354">
        <v>1</v>
      </c>
      <c r="P133" s="314">
        <v>0</v>
      </c>
      <c r="Q133" s="314">
        <v>0</v>
      </c>
      <c r="R133" s="314">
        <v>0</v>
      </c>
      <c r="S133" s="366">
        <v>0</v>
      </c>
      <c r="T133" s="127"/>
      <c r="U133" s="135"/>
      <c r="V133" s="129"/>
      <c r="W133" s="130"/>
      <c r="X133" s="131"/>
      <c r="Y133" s="128"/>
      <c r="Z133" s="128"/>
      <c r="AA133" s="128"/>
      <c r="AB133" s="128"/>
      <c r="AC133" s="128"/>
    </row>
    <row r="134" spans="1:29">
      <c r="A134" s="128"/>
      <c r="B134" s="132"/>
      <c r="C134" s="122"/>
      <c r="D134" s="123"/>
      <c r="E134" s="123"/>
      <c r="F134" s="134">
        <f>SUM(F133:F133)</f>
        <v>1264</v>
      </c>
      <c r="G134" s="134">
        <f>SUM(G133:G133)</f>
        <v>75.040000000000006</v>
      </c>
      <c r="H134" s="134">
        <f>SUM(H133:H133)</f>
        <v>0</v>
      </c>
      <c r="I134" s="134">
        <f>SUM(I133:I133)</f>
        <v>1188.96</v>
      </c>
      <c r="J134" s="127"/>
      <c r="K134" s="64"/>
      <c r="L134" s="64"/>
      <c r="M134" s="64"/>
      <c r="N134" s="64"/>
      <c r="O134" s="64"/>
      <c r="P134" s="64"/>
      <c r="Q134" s="64"/>
      <c r="R134" s="64"/>
      <c r="S134" s="64"/>
      <c r="T134" s="127"/>
      <c r="U134" s="135"/>
      <c r="V134" s="129"/>
      <c r="W134" s="130"/>
      <c r="X134" s="131"/>
      <c r="Y134" s="128"/>
      <c r="Z134" s="128"/>
      <c r="AA134" s="128"/>
      <c r="AB134" s="128"/>
      <c r="AC134" s="128"/>
    </row>
    <row r="135" spans="1:29">
      <c r="A135" s="2"/>
      <c r="B135" s="11"/>
      <c r="C135" s="36"/>
      <c r="D135" s="10"/>
      <c r="E135" s="10"/>
      <c r="F135" s="88"/>
      <c r="G135" s="88"/>
      <c r="H135" s="88"/>
      <c r="I135" s="99"/>
      <c r="J135" s="63"/>
      <c r="K135" s="21"/>
      <c r="L135" s="21"/>
      <c r="M135" s="21"/>
      <c r="N135" s="21"/>
      <c r="O135" s="21"/>
      <c r="P135" s="21"/>
      <c r="Q135" s="21"/>
      <c r="R135" s="21"/>
      <c r="S135" s="21"/>
      <c r="T135" s="63"/>
      <c r="U135" s="94"/>
      <c r="V135" s="90"/>
      <c r="W135" s="91"/>
      <c r="X135" s="92"/>
      <c r="Y135" s="2"/>
      <c r="Z135" s="2"/>
      <c r="AA135" s="2"/>
      <c r="AB135" s="2"/>
      <c r="AC135" s="2"/>
    </row>
    <row r="136" spans="1:29">
      <c r="A136" s="128"/>
      <c r="B136" s="121" t="s">
        <v>70</v>
      </c>
      <c r="C136" s="122"/>
      <c r="D136" s="123"/>
      <c r="E136" s="128"/>
      <c r="F136" s="124"/>
      <c r="G136" s="124"/>
      <c r="H136" s="124"/>
      <c r="I136" s="126"/>
      <c r="J136" s="127"/>
      <c r="K136" s="64"/>
      <c r="L136" s="64"/>
      <c r="M136" s="64"/>
      <c r="N136" s="64"/>
      <c r="O136" s="64"/>
      <c r="P136" s="64"/>
      <c r="Q136" s="64"/>
      <c r="R136" s="64"/>
      <c r="S136" s="64"/>
      <c r="T136" s="127"/>
      <c r="U136" s="135"/>
      <c r="V136" s="129"/>
      <c r="W136" s="130"/>
      <c r="X136" s="131"/>
      <c r="Y136" s="128"/>
      <c r="Z136" s="128"/>
      <c r="AA136" s="128"/>
      <c r="AB136" s="128"/>
      <c r="AC136" s="128"/>
    </row>
    <row r="137" spans="1:29">
      <c r="A137" s="507">
        <v>0.1</v>
      </c>
      <c r="B137" s="467">
        <v>1</v>
      </c>
      <c r="C137" s="468">
        <v>45854</v>
      </c>
      <c r="D137" s="495" t="s">
        <v>3202</v>
      </c>
      <c r="E137" s="499" t="s">
        <v>1757</v>
      </c>
      <c r="F137" s="471">
        <v>12814</v>
      </c>
      <c r="G137" s="471">
        <f>39.7+306+199+(24+83.75+189.41+303.76+74.73-76.96)+(35.34+56.32+165.63+57.91+16.5-21.29+33)+1000</f>
        <v>2486.7999999999997</v>
      </c>
      <c r="H137" s="500"/>
      <c r="I137" s="329">
        <f>F137-G137-H137</f>
        <v>10327.200000000001</v>
      </c>
      <c r="J137" s="472" t="s">
        <v>156</v>
      </c>
      <c r="K137" s="472">
        <v>1</v>
      </c>
      <c r="L137" s="501">
        <v>1</v>
      </c>
      <c r="M137" s="472">
        <v>1</v>
      </c>
      <c r="N137" s="472">
        <v>1</v>
      </c>
      <c r="O137" s="472">
        <v>1</v>
      </c>
      <c r="P137" s="472">
        <v>1</v>
      </c>
      <c r="Q137" s="522">
        <v>0</v>
      </c>
      <c r="R137" s="522">
        <v>0</v>
      </c>
      <c r="S137" s="523">
        <v>0</v>
      </c>
      <c r="T137" s="474"/>
      <c r="U137" s="475" t="s">
        <v>3203</v>
      </c>
      <c r="V137" s="476">
        <v>1409.54</v>
      </c>
      <c r="W137" s="465"/>
      <c r="X137" s="483"/>
      <c r="Y137" s="2"/>
      <c r="Z137" s="2"/>
      <c r="AA137" s="2"/>
      <c r="AB137" s="2"/>
      <c r="AC137" s="2"/>
    </row>
    <row r="138" spans="1:29" s="342" customFormat="1">
      <c r="A138" s="356">
        <v>0.1</v>
      </c>
      <c r="B138" s="333">
        <f t="shared" ref="B138:B139" si="28">B137+1</f>
        <v>2</v>
      </c>
      <c r="C138" s="334">
        <v>45856</v>
      </c>
      <c r="D138" s="327" t="s">
        <v>3204</v>
      </c>
      <c r="E138" s="335" t="s">
        <v>1530</v>
      </c>
      <c r="F138" s="336">
        <v>6218</v>
      </c>
      <c r="G138" s="336">
        <f>39.7+(1145.59)+250</f>
        <v>1435.29</v>
      </c>
      <c r="H138" s="502"/>
      <c r="I138" s="337">
        <f>F138-G138-H138</f>
        <v>4782.71</v>
      </c>
      <c r="J138" s="338" t="s">
        <v>156</v>
      </c>
      <c r="K138" s="338">
        <v>1</v>
      </c>
      <c r="L138" s="338"/>
      <c r="M138" s="338">
        <v>1</v>
      </c>
      <c r="N138" s="338">
        <v>1</v>
      </c>
      <c r="O138" s="338">
        <v>1</v>
      </c>
      <c r="P138" s="338">
        <v>1</v>
      </c>
      <c r="Q138" s="338"/>
      <c r="R138" s="338"/>
      <c r="S138" s="339"/>
      <c r="T138" s="127"/>
      <c r="U138" s="135" t="s">
        <v>3205</v>
      </c>
      <c r="V138" s="129">
        <v>683.98</v>
      </c>
      <c r="W138" s="340"/>
      <c r="X138" s="341"/>
      <c r="Y138" s="128"/>
      <c r="Z138" s="128"/>
      <c r="AA138" s="128"/>
      <c r="AB138" s="128"/>
      <c r="AC138" s="128"/>
    </row>
    <row r="139" spans="1:29" s="342" customFormat="1">
      <c r="A139" s="356">
        <v>0.1</v>
      </c>
      <c r="B139" s="333">
        <f t="shared" si="28"/>
        <v>3</v>
      </c>
      <c r="C139" s="395">
        <v>45856</v>
      </c>
      <c r="D139" s="368">
        <v>71558</v>
      </c>
      <c r="E139" s="396" t="s">
        <v>294</v>
      </c>
      <c r="F139" s="397">
        <v>616</v>
      </c>
      <c r="G139" s="397"/>
      <c r="H139" s="397"/>
      <c r="I139" s="398">
        <f>F139-G139-H139</f>
        <v>616</v>
      </c>
      <c r="J139" s="399" t="s">
        <v>156</v>
      </c>
      <c r="K139" s="399">
        <v>1</v>
      </c>
      <c r="L139" s="399"/>
      <c r="M139" s="399">
        <v>1</v>
      </c>
      <c r="N139" s="399">
        <v>1</v>
      </c>
      <c r="O139" s="399">
        <v>1</v>
      </c>
      <c r="P139" s="399">
        <v>1</v>
      </c>
      <c r="Q139" s="399"/>
      <c r="R139" s="399"/>
      <c r="S139" s="400"/>
      <c r="T139" s="127"/>
      <c r="U139" s="135"/>
      <c r="V139" s="129">
        <v>67.760000000000005</v>
      </c>
      <c r="W139" s="340"/>
      <c r="X139" s="341"/>
      <c r="Y139" s="128"/>
      <c r="Z139" s="128"/>
      <c r="AA139" s="128"/>
      <c r="AB139" s="128"/>
      <c r="AC139" s="128"/>
    </row>
    <row r="140" spans="1:29">
      <c r="A140" s="128"/>
      <c r="B140" s="132"/>
      <c r="C140" s="122"/>
      <c r="D140" s="123"/>
      <c r="E140" s="123"/>
      <c r="F140" s="134">
        <f>SUM(F137:F139)</f>
        <v>19648</v>
      </c>
      <c r="G140" s="134">
        <f>SUM(G137:G139)</f>
        <v>3922.0899999999997</v>
      </c>
      <c r="H140" s="134">
        <f>SUM(H137:H139)</f>
        <v>0</v>
      </c>
      <c r="I140" s="134">
        <f>SUM(I137:I139)</f>
        <v>15725.91</v>
      </c>
      <c r="J140" s="127"/>
      <c r="K140" s="64"/>
      <c r="L140" s="64"/>
      <c r="M140" s="64"/>
      <c r="N140" s="64"/>
      <c r="O140" s="64"/>
      <c r="P140" s="64"/>
      <c r="Q140" s="64"/>
      <c r="R140" s="64"/>
      <c r="S140" s="64"/>
      <c r="T140" s="127"/>
      <c r="U140" s="135"/>
      <c r="V140" s="129"/>
      <c r="W140" s="130"/>
      <c r="X140" s="131"/>
      <c r="Y140" s="128"/>
      <c r="Z140" s="128"/>
      <c r="AA140" s="128"/>
      <c r="AB140" s="128"/>
      <c r="AC140" s="128"/>
    </row>
    <row r="141" spans="1:29">
      <c r="A141" s="2"/>
      <c r="B141" s="11"/>
      <c r="C141" s="36"/>
      <c r="D141" s="10"/>
      <c r="E141" s="10"/>
      <c r="F141" s="88"/>
      <c r="G141" s="88"/>
      <c r="H141" s="88"/>
      <c r="I141" s="99"/>
      <c r="J141" s="10"/>
      <c r="K141" s="63"/>
      <c r="L141" s="63"/>
      <c r="M141" s="63"/>
      <c r="N141" s="63"/>
      <c r="O141" s="63"/>
      <c r="P141" s="63"/>
      <c r="Q141" s="63"/>
      <c r="R141" s="63"/>
      <c r="S141" s="63"/>
      <c r="T141" s="63"/>
      <c r="U141" s="94"/>
      <c r="V141" s="90"/>
      <c r="W141" s="91"/>
      <c r="X141" s="92"/>
      <c r="Y141" s="2"/>
      <c r="Z141" s="2"/>
      <c r="AA141" s="2"/>
      <c r="AB141" s="2"/>
      <c r="AC141" s="2"/>
    </row>
    <row r="142" spans="1:29" s="181" customFormat="1">
      <c r="B142" s="100" t="s">
        <v>152</v>
      </c>
      <c r="C142" s="270"/>
      <c r="D142" s="77"/>
      <c r="E142" s="10"/>
      <c r="F142" s="88"/>
      <c r="G142" s="62"/>
      <c r="H142" s="88"/>
      <c r="I142" s="99"/>
      <c r="J142" s="63"/>
      <c r="K142" s="63"/>
      <c r="L142" s="63"/>
      <c r="M142" s="63"/>
      <c r="N142" s="63"/>
      <c r="O142" s="63"/>
      <c r="P142" s="63"/>
      <c r="Q142" s="63"/>
      <c r="R142" s="63"/>
      <c r="S142" s="63"/>
      <c r="T142" s="63"/>
      <c r="U142" s="94"/>
      <c r="V142" s="90"/>
      <c r="W142" s="91"/>
      <c r="X142" s="92"/>
    </row>
    <row r="143" spans="1:29" s="181" customFormat="1">
      <c r="A143" s="261">
        <v>0.05</v>
      </c>
      <c r="B143" s="87">
        <v>1</v>
      </c>
      <c r="C143" s="433">
        <v>45756</v>
      </c>
      <c r="D143" s="357">
        <v>629082</v>
      </c>
      <c r="E143" s="271" t="s">
        <v>3160</v>
      </c>
      <c r="F143" s="265">
        <v>1461</v>
      </c>
      <c r="G143" s="265"/>
      <c r="H143" s="265"/>
      <c r="I143" s="272">
        <f>F143-G143-H143</f>
        <v>1461</v>
      </c>
      <c r="J143" s="267" t="s">
        <v>156</v>
      </c>
      <c r="K143" s="267">
        <v>1</v>
      </c>
      <c r="L143" s="267">
        <v>1</v>
      </c>
      <c r="M143" s="267">
        <v>1</v>
      </c>
      <c r="N143" s="267">
        <v>1</v>
      </c>
      <c r="O143" s="267">
        <v>1</v>
      </c>
      <c r="P143" s="267">
        <v>1</v>
      </c>
      <c r="Q143" s="267">
        <v>1</v>
      </c>
      <c r="R143" s="267">
        <v>1</v>
      </c>
      <c r="S143" s="269">
        <v>1</v>
      </c>
      <c r="T143" s="63"/>
      <c r="U143" s="94"/>
      <c r="V143" s="90"/>
      <c r="W143" s="136"/>
      <c r="X143" s="137"/>
    </row>
    <row r="144" spans="1:29" s="181" customFormat="1">
      <c r="A144" s="261">
        <v>0.1</v>
      </c>
      <c r="B144" s="87">
        <f>B143+1</f>
        <v>2</v>
      </c>
      <c r="C144" s="420">
        <v>45799</v>
      </c>
      <c r="D144" s="320" t="s">
        <v>3157</v>
      </c>
      <c r="E144" s="281" t="s">
        <v>3158</v>
      </c>
      <c r="F144" s="277">
        <v>481</v>
      </c>
      <c r="G144" s="277"/>
      <c r="H144" s="277"/>
      <c r="I144" s="278">
        <f>F144-G144-H144</f>
        <v>481</v>
      </c>
      <c r="J144" s="279" t="s">
        <v>156</v>
      </c>
      <c r="K144" s="279">
        <v>1</v>
      </c>
      <c r="L144" s="279">
        <v>1</v>
      </c>
      <c r="M144" s="279">
        <v>1</v>
      </c>
      <c r="N144" s="279">
        <v>1</v>
      </c>
      <c r="O144" s="279">
        <v>1</v>
      </c>
      <c r="P144" s="279">
        <v>0</v>
      </c>
      <c r="Q144" s="279">
        <v>0</v>
      </c>
      <c r="R144" s="279">
        <v>0</v>
      </c>
      <c r="S144" s="280">
        <v>0</v>
      </c>
      <c r="T144" s="63"/>
      <c r="U144" s="94"/>
      <c r="V144" s="90"/>
      <c r="W144" s="91"/>
      <c r="X144" s="92"/>
    </row>
    <row r="145" spans="1:29" s="181" customFormat="1">
      <c r="A145" s="261">
        <v>0.1</v>
      </c>
      <c r="B145" s="87">
        <f t="shared" ref="B145:B147" si="29">B144+1</f>
        <v>3</v>
      </c>
      <c r="C145" s="433">
        <v>45799</v>
      </c>
      <c r="D145" s="357" t="s">
        <v>3165</v>
      </c>
      <c r="E145" s="264" t="s">
        <v>3158</v>
      </c>
      <c r="F145" s="265">
        <v>5785.94</v>
      </c>
      <c r="G145" s="265">
        <f>214.82*1.1+300</f>
        <v>536.30200000000002</v>
      </c>
      <c r="H145" s="265"/>
      <c r="I145" s="272">
        <f>F145-G145-H145</f>
        <v>5249.6379999999999</v>
      </c>
      <c r="J145" s="267"/>
      <c r="K145" s="267">
        <v>1</v>
      </c>
      <c r="L145" s="267"/>
      <c r="M145" s="267"/>
      <c r="N145" s="267">
        <v>1</v>
      </c>
      <c r="O145" s="267">
        <v>1</v>
      </c>
      <c r="P145" s="267">
        <v>0</v>
      </c>
      <c r="Q145" s="267"/>
      <c r="R145" s="267"/>
      <c r="S145" s="269"/>
      <c r="T145" s="63"/>
      <c r="U145" s="94" t="s">
        <v>3166</v>
      </c>
      <c r="V145" s="90"/>
      <c r="W145" s="136"/>
      <c r="X145" s="137"/>
    </row>
    <row r="146" spans="1:29" s="181" customFormat="1">
      <c r="A146" s="261">
        <v>0.1</v>
      </c>
      <c r="B146" s="87">
        <f t="shared" si="29"/>
        <v>4</v>
      </c>
      <c r="C146" s="433">
        <v>45818</v>
      </c>
      <c r="D146" s="357">
        <v>701386</v>
      </c>
      <c r="E146" s="264" t="s">
        <v>3159</v>
      </c>
      <c r="F146" s="265">
        <f>3046-185</f>
        <v>2861</v>
      </c>
      <c r="G146" s="265">
        <f>+(64.82)</f>
        <v>64.819999999999993</v>
      </c>
      <c r="H146" s="265"/>
      <c r="I146" s="272">
        <f>F146-G146-H146</f>
        <v>2796.18</v>
      </c>
      <c r="J146" s="267" t="s">
        <v>156</v>
      </c>
      <c r="K146" s="267">
        <v>1</v>
      </c>
      <c r="L146" s="267">
        <v>1</v>
      </c>
      <c r="M146" s="267">
        <v>1</v>
      </c>
      <c r="N146" s="267">
        <v>1</v>
      </c>
      <c r="O146" s="267">
        <v>1</v>
      </c>
      <c r="P146" s="267">
        <v>1</v>
      </c>
      <c r="Q146" s="267">
        <v>1</v>
      </c>
      <c r="R146" s="267">
        <v>1</v>
      </c>
      <c r="S146" s="269">
        <v>1</v>
      </c>
      <c r="T146" s="63"/>
      <c r="U146" s="94"/>
      <c r="V146" s="90"/>
      <c r="W146" s="91"/>
      <c r="X146" s="92"/>
    </row>
    <row r="147" spans="1:29" s="181" customFormat="1">
      <c r="A147" s="261">
        <v>0.1</v>
      </c>
      <c r="B147" s="87">
        <f t="shared" si="29"/>
        <v>5</v>
      </c>
      <c r="C147" s="433">
        <v>45825</v>
      </c>
      <c r="D147" s="357">
        <v>701642</v>
      </c>
      <c r="E147" s="271" t="s">
        <v>3161</v>
      </c>
      <c r="F147" s="265">
        <v>6248.5</v>
      </c>
      <c r="G147" s="265">
        <f>34.5+(1529.45)+250</f>
        <v>1813.95</v>
      </c>
      <c r="H147" s="265">
        <f>F147*0.2</f>
        <v>1249.7</v>
      </c>
      <c r="I147" s="272">
        <f>F147-G147-H147</f>
        <v>3184.8500000000004</v>
      </c>
      <c r="J147" s="267" t="s">
        <v>185</v>
      </c>
      <c r="K147" s="267">
        <v>1</v>
      </c>
      <c r="L147" s="267">
        <v>1</v>
      </c>
      <c r="M147" s="267">
        <v>1</v>
      </c>
      <c r="N147" s="267">
        <v>1</v>
      </c>
      <c r="O147" s="267">
        <v>1</v>
      </c>
      <c r="P147" s="267">
        <v>1</v>
      </c>
      <c r="Q147" s="267">
        <v>1</v>
      </c>
      <c r="R147" s="267">
        <v>1</v>
      </c>
      <c r="S147" s="269">
        <v>1</v>
      </c>
      <c r="T147" s="63"/>
      <c r="U147" s="94" t="s">
        <v>3162</v>
      </c>
      <c r="V147" s="90"/>
      <c r="W147" s="91"/>
      <c r="X147" s="92"/>
    </row>
    <row r="148" spans="1:29" s="181" customFormat="1">
      <c r="B148" s="11"/>
      <c r="C148" s="270"/>
      <c r="D148" s="77"/>
      <c r="E148" s="10"/>
      <c r="F148" s="98">
        <f>SUM(F143:F147)</f>
        <v>16837.439999999999</v>
      </c>
      <c r="G148" s="98">
        <f>SUM(G143:G147)</f>
        <v>2415.0720000000001</v>
      </c>
      <c r="H148" s="98">
        <f>SUM(H143:H147)</f>
        <v>1249.7</v>
      </c>
      <c r="I148" s="98">
        <f>SUM(I143:I147)</f>
        <v>13172.668</v>
      </c>
      <c r="J148" s="63"/>
      <c r="K148" s="21"/>
      <c r="L148" s="21"/>
      <c r="M148" s="21"/>
      <c r="N148" s="21"/>
      <c r="O148" s="21"/>
      <c r="P148" s="21"/>
      <c r="Q148" s="21"/>
      <c r="R148" s="21"/>
      <c r="S148" s="21"/>
      <c r="T148" s="63"/>
      <c r="U148" s="94"/>
      <c r="V148" s="90"/>
      <c r="W148" s="91"/>
      <c r="X148" s="92"/>
    </row>
    <row r="149" spans="1:29" s="181" customFormat="1">
      <c r="B149" s="11"/>
      <c r="C149" s="270"/>
      <c r="D149" s="77"/>
      <c r="E149" s="10"/>
      <c r="F149" s="88"/>
      <c r="G149" s="88"/>
      <c r="H149" s="88"/>
      <c r="I149" s="99"/>
      <c r="J149" s="63"/>
      <c r="K149" s="21"/>
      <c r="L149" s="21"/>
      <c r="M149" s="21"/>
      <c r="N149" s="21"/>
      <c r="O149" s="21"/>
      <c r="P149" s="21"/>
      <c r="Q149" s="21"/>
      <c r="R149" s="21"/>
      <c r="S149" s="21"/>
      <c r="T149" s="63"/>
      <c r="U149" s="94"/>
      <c r="V149" s="90"/>
      <c r="W149" s="91"/>
      <c r="X149" s="92"/>
    </row>
    <row r="150" spans="1:29" s="181" customFormat="1">
      <c r="A150" s="434"/>
      <c r="B150" s="100" t="s">
        <v>1521</v>
      </c>
      <c r="C150" s="435"/>
      <c r="D150" s="63"/>
      <c r="E150" s="260"/>
      <c r="F150" s="88"/>
      <c r="G150" s="88"/>
      <c r="H150" s="88"/>
      <c r="I150" s="99"/>
      <c r="J150" s="63"/>
      <c r="K150" s="21"/>
      <c r="L150" s="21"/>
      <c r="M150" s="21"/>
      <c r="N150" s="21"/>
      <c r="O150" s="21"/>
      <c r="P150" s="21"/>
      <c r="Q150" s="21"/>
      <c r="R150" s="21"/>
      <c r="S150" s="21"/>
      <c r="T150" s="63"/>
      <c r="U150" s="94"/>
      <c r="V150" s="138"/>
      <c r="W150" s="136"/>
      <c r="X150" s="92"/>
      <c r="Y150" s="260"/>
    </row>
    <row r="151" spans="1:29" s="181" customFormat="1">
      <c r="A151" s="424">
        <v>0.05</v>
      </c>
      <c r="B151" s="87">
        <v>1</v>
      </c>
      <c r="C151" s="436">
        <v>45694</v>
      </c>
      <c r="D151" s="320">
        <v>626228</v>
      </c>
      <c r="E151" s="276" t="s">
        <v>3163</v>
      </c>
      <c r="F151" s="277">
        <v>4219.82</v>
      </c>
      <c r="G151" s="277">
        <f>201.82*1.1</f>
        <v>222.00200000000001</v>
      </c>
      <c r="H151" s="277"/>
      <c r="I151" s="278">
        <f>F151-G151-H151</f>
        <v>3997.8179999999998</v>
      </c>
      <c r="J151" s="279" t="s">
        <v>156</v>
      </c>
      <c r="K151" s="279">
        <v>1</v>
      </c>
      <c r="L151" s="279"/>
      <c r="M151" s="279">
        <v>1</v>
      </c>
      <c r="N151" s="279">
        <v>1</v>
      </c>
      <c r="O151" s="279">
        <v>1</v>
      </c>
      <c r="P151" s="279">
        <v>1</v>
      </c>
      <c r="Q151" s="279"/>
      <c r="R151" s="279"/>
      <c r="S151" s="280"/>
      <c r="T151" s="63"/>
      <c r="U151" s="94" t="s">
        <v>3164</v>
      </c>
      <c r="V151" s="138"/>
      <c r="W151" s="136"/>
      <c r="X151" s="137"/>
      <c r="Y151" s="260"/>
    </row>
    <row r="152" spans="1:29" s="181" customFormat="1">
      <c r="A152" s="261">
        <v>0.1</v>
      </c>
      <c r="B152" s="87">
        <f>B151+1</f>
        <v>2</v>
      </c>
      <c r="C152" s="420">
        <v>45826</v>
      </c>
      <c r="D152" s="320">
        <v>701572</v>
      </c>
      <c r="E152" s="276" t="s">
        <v>3167</v>
      </c>
      <c r="F152" s="277">
        <v>3261</v>
      </c>
      <c r="G152" s="277"/>
      <c r="H152" s="277"/>
      <c r="I152" s="278">
        <f>F152-G152-H152</f>
        <v>3261</v>
      </c>
      <c r="J152" s="279" t="s">
        <v>228</v>
      </c>
      <c r="K152" s="279">
        <v>1</v>
      </c>
      <c r="L152" s="279"/>
      <c r="M152" s="279">
        <v>1</v>
      </c>
      <c r="N152" s="279">
        <v>1</v>
      </c>
      <c r="O152" s="279">
        <v>1</v>
      </c>
      <c r="P152" s="279">
        <v>1</v>
      </c>
      <c r="Q152" s="279"/>
      <c r="R152" s="279"/>
      <c r="S152" s="280"/>
      <c r="T152" s="63"/>
      <c r="U152" s="94" t="s">
        <v>3168</v>
      </c>
      <c r="V152" s="90"/>
      <c r="W152" s="136"/>
      <c r="X152" s="137"/>
    </row>
    <row r="153" spans="1:29" s="181" customFormat="1">
      <c r="A153" s="261">
        <v>0.1</v>
      </c>
      <c r="B153" s="87">
        <f t="shared" ref="B153:B154" si="30">B152+1</f>
        <v>3</v>
      </c>
      <c r="C153" s="433">
        <v>45827</v>
      </c>
      <c r="D153" s="357">
        <v>701730</v>
      </c>
      <c r="E153" s="271" t="s">
        <v>3169</v>
      </c>
      <c r="F153" s="265">
        <f>2946-85</f>
        <v>2861</v>
      </c>
      <c r="G153" s="265"/>
      <c r="H153" s="265"/>
      <c r="I153" s="272">
        <f>F153-G153-H153</f>
        <v>2861</v>
      </c>
      <c r="J153" s="267" t="s">
        <v>156</v>
      </c>
      <c r="K153" s="267">
        <v>1</v>
      </c>
      <c r="L153" s="267"/>
      <c r="M153" s="267">
        <v>1</v>
      </c>
      <c r="N153" s="267">
        <v>1</v>
      </c>
      <c r="O153" s="267">
        <v>1</v>
      </c>
      <c r="P153" s="267">
        <v>0</v>
      </c>
      <c r="Q153" s="267"/>
      <c r="R153" s="267"/>
      <c r="S153" s="269"/>
      <c r="T153" s="63"/>
      <c r="U153" s="94" t="s">
        <v>3170</v>
      </c>
      <c r="V153" s="90"/>
      <c r="W153" s="136"/>
      <c r="X153" s="137"/>
    </row>
    <row r="154" spans="1:29" s="181" customFormat="1">
      <c r="A154" s="181" t="s">
        <v>683</v>
      </c>
      <c r="B154" s="87">
        <f t="shared" si="30"/>
        <v>4</v>
      </c>
      <c r="C154" s="433">
        <v>45831</v>
      </c>
      <c r="D154" s="357">
        <v>701437</v>
      </c>
      <c r="E154" s="271" t="s">
        <v>3155</v>
      </c>
      <c r="F154" s="265">
        <v>8520.27</v>
      </c>
      <c r="G154" s="265">
        <f>234.27*1.1+72*1.1</f>
        <v>336.89700000000005</v>
      </c>
      <c r="H154" s="265"/>
      <c r="I154" s="272">
        <f>F154-G154-H154</f>
        <v>8183.3730000000005</v>
      </c>
      <c r="J154" s="267" t="s">
        <v>156</v>
      </c>
      <c r="K154" s="267">
        <v>1</v>
      </c>
      <c r="L154" s="267"/>
      <c r="M154" s="267">
        <v>1</v>
      </c>
      <c r="N154" s="267">
        <v>1</v>
      </c>
      <c r="O154" s="267">
        <v>1</v>
      </c>
      <c r="P154" s="267">
        <v>1</v>
      </c>
      <c r="Q154" s="267"/>
      <c r="R154" s="267"/>
      <c r="S154" s="269"/>
      <c r="T154" s="63"/>
      <c r="U154" s="94" t="s">
        <v>3156</v>
      </c>
      <c r="V154" s="90"/>
      <c r="W154" s="136"/>
      <c r="X154" s="137"/>
    </row>
    <row r="155" spans="1:29" s="181" customFormat="1">
      <c r="A155" s="434"/>
      <c r="B155" s="11"/>
      <c r="C155" s="435"/>
      <c r="D155" s="63"/>
      <c r="E155" s="10"/>
      <c r="F155" s="98">
        <f>SUM(F151:F154)</f>
        <v>18862.09</v>
      </c>
      <c r="G155" s="98">
        <f>SUM(G151:G154)</f>
        <v>558.89900000000011</v>
      </c>
      <c r="H155" s="98">
        <f>SUM(H151:H154)</f>
        <v>0</v>
      </c>
      <c r="I155" s="98">
        <f>SUM(I151:I154)</f>
        <v>18303.190999999999</v>
      </c>
      <c r="J155" s="63"/>
      <c r="K155" s="21"/>
      <c r="L155" s="21"/>
      <c r="M155" s="21"/>
      <c r="N155" s="21"/>
      <c r="O155" s="21"/>
      <c r="P155" s="21"/>
      <c r="Q155" s="21"/>
      <c r="R155" s="21"/>
      <c r="S155" s="21"/>
      <c r="T155" s="63"/>
      <c r="U155" s="94"/>
      <c r="V155" s="138"/>
      <c r="W155" s="136"/>
      <c r="X155" s="92"/>
      <c r="Y155" s="260"/>
    </row>
    <row r="156" spans="1:29" s="181" customFormat="1">
      <c r="A156" s="434"/>
      <c r="B156" s="11"/>
      <c r="C156" s="435"/>
      <c r="D156" s="63"/>
      <c r="E156" s="10"/>
      <c r="F156" s="99"/>
      <c r="G156" s="99"/>
      <c r="H156" s="99"/>
      <c r="I156" s="99"/>
      <c r="J156" s="63"/>
      <c r="K156" s="21"/>
      <c r="L156" s="21"/>
      <c r="M156" s="21"/>
      <c r="N156" s="21"/>
      <c r="O156" s="21"/>
      <c r="P156" s="21"/>
      <c r="Q156" s="21"/>
      <c r="R156" s="21"/>
      <c r="S156" s="21"/>
      <c r="T156" s="63"/>
      <c r="U156" s="94"/>
      <c r="V156" s="138"/>
      <c r="W156" s="136"/>
      <c r="X156" s="92"/>
      <c r="Y156" s="260"/>
    </row>
    <row r="157" spans="1:29">
      <c r="A157" s="2"/>
      <c r="B157" s="100" t="s">
        <v>72</v>
      </c>
      <c r="C157" s="36"/>
      <c r="D157" s="10"/>
      <c r="E157" s="10"/>
      <c r="F157" s="88"/>
      <c r="G157" s="88"/>
      <c r="H157" s="88"/>
      <c r="I157" s="99"/>
      <c r="J157" s="63"/>
      <c r="K157" s="63"/>
      <c r="L157" s="63"/>
      <c r="M157" s="63"/>
      <c r="N157" s="63"/>
      <c r="O157" s="63"/>
      <c r="P157" s="63"/>
      <c r="Q157" s="63"/>
      <c r="R157" s="63"/>
      <c r="S157" s="63"/>
      <c r="T157" s="63"/>
      <c r="U157" s="94"/>
      <c r="V157" s="90"/>
      <c r="W157" s="91"/>
      <c r="X157" s="92"/>
      <c r="Y157" s="2"/>
      <c r="Z157" s="2"/>
      <c r="AA157" s="2"/>
      <c r="AB157" s="2"/>
      <c r="AC157" s="2"/>
    </row>
    <row r="158" spans="1:29">
      <c r="A158" s="2"/>
      <c r="B158" s="87">
        <v>1</v>
      </c>
      <c r="C158" s="274">
        <v>45853</v>
      </c>
      <c r="D158" s="276">
        <v>71460</v>
      </c>
      <c r="E158" s="276" t="s">
        <v>155</v>
      </c>
      <c r="F158" s="277">
        <v>4261</v>
      </c>
      <c r="G158" s="277">
        <f>39.7</f>
        <v>39.700000000000003</v>
      </c>
      <c r="H158" s="277"/>
      <c r="I158" s="278">
        <f t="shared" ref="I158:I170" si="31">F158-G158-H158</f>
        <v>4221.3</v>
      </c>
      <c r="J158" s="279" t="s">
        <v>205</v>
      </c>
      <c r="K158" s="279">
        <v>1</v>
      </c>
      <c r="L158" s="279"/>
      <c r="M158" s="279"/>
      <c r="N158" s="279">
        <v>1</v>
      </c>
      <c r="O158" s="279"/>
      <c r="P158" s="279"/>
      <c r="Q158" s="279">
        <v>1</v>
      </c>
      <c r="R158" s="279">
        <v>1</v>
      </c>
      <c r="S158" s="280">
        <v>1</v>
      </c>
      <c r="T158" s="63"/>
      <c r="U158" s="164"/>
      <c r="V158" s="90"/>
      <c r="W158" s="91"/>
      <c r="X158" s="92"/>
      <c r="Y158" s="2"/>
      <c r="Z158" s="2"/>
      <c r="AA158" s="2"/>
      <c r="AB158" s="2"/>
      <c r="AC158" s="2"/>
    </row>
    <row r="159" spans="1:29">
      <c r="A159" s="388">
        <v>45856</v>
      </c>
      <c r="B159" s="87">
        <f>B158+1</f>
        <v>2</v>
      </c>
      <c r="C159" s="274">
        <v>45854</v>
      </c>
      <c r="D159" s="276">
        <v>71469</v>
      </c>
      <c r="E159" s="276" t="s">
        <v>218</v>
      </c>
      <c r="F159" s="277">
        <v>1138</v>
      </c>
      <c r="G159" s="277">
        <f>39.7</f>
        <v>39.700000000000003</v>
      </c>
      <c r="H159" s="277"/>
      <c r="I159" s="278">
        <f t="shared" si="31"/>
        <v>1098.3</v>
      </c>
      <c r="J159" s="279" t="s">
        <v>156</v>
      </c>
      <c r="K159" s="279">
        <v>1</v>
      </c>
      <c r="L159" s="279"/>
      <c r="M159" s="279">
        <v>1</v>
      </c>
      <c r="N159" s="279">
        <v>1</v>
      </c>
      <c r="O159" s="279">
        <v>1</v>
      </c>
      <c r="P159" s="279">
        <v>1</v>
      </c>
      <c r="Q159" s="279">
        <v>1</v>
      </c>
      <c r="R159" s="279">
        <v>1</v>
      </c>
      <c r="S159" s="280">
        <v>1</v>
      </c>
      <c r="T159" s="63"/>
      <c r="U159" s="94" t="s">
        <v>3206</v>
      </c>
      <c r="V159" s="90">
        <v>125.18</v>
      </c>
      <c r="W159" s="136"/>
      <c r="X159" s="137"/>
      <c r="Y159" s="2"/>
      <c r="Z159" s="2"/>
      <c r="AA159" s="2"/>
      <c r="AB159" s="2"/>
      <c r="AC159" s="2"/>
    </row>
    <row r="160" spans="1:29">
      <c r="A160" s="2"/>
      <c r="B160" s="87">
        <f t="shared" ref="B160:B170" si="32">B159+1</f>
        <v>3</v>
      </c>
      <c r="C160" s="295">
        <v>45854</v>
      </c>
      <c r="D160" s="10">
        <v>71483</v>
      </c>
      <c r="E160" s="10" t="s">
        <v>294</v>
      </c>
      <c r="F160" s="62">
        <v>814</v>
      </c>
      <c r="G160" s="62">
        <f>39.7</f>
        <v>39.700000000000003</v>
      </c>
      <c r="H160" s="62"/>
      <c r="I160" s="89">
        <f t="shared" si="31"/>
        <v>774.3</v>
      </c>
      <c r="J160" s="63" t="s">
        <v>205</v>
      </c>
      <c r="K160" s="63">
        <v>1</v>
      </c>
      <c r="L160" s="63"/>
      <c r="M160" s="63"/>
      <c r="N160" s="63">
        <v>1</v>
      </c>
      <c r="O160" s="63"/>
      <c r="P160" s="63"/>
      <c r="Q160" s="63">
        <v>1</v>
      </c>
      <c r="R160" s="63">
        <v>1</v>
      </c>
      <c r="S160" s="296">
        <v>1</v>
      </c>
      <c r="T160" s="63"/>
      <c r="U160" s="94"/>
      <c r="V160" s="90"/>
      <c r="W160" s="136"/>
      <c r="X160" s="137"/>
      <c r="Y160" s="2"/>
      <c r="Z160" s="2"/>
      <c r="AA160" s="2"/>
      <c r="AB160" s="2"/>
      <c r="AC160" s="2"/>
    </row>
    <row r="161" spans="1:29">
      <c r="A161" s="2"/>
      <c r="B161" s="87">
        <f t="shared" si="32"/>
        <v>4</v>
      </c>
      <c r="C161" s="295">
        <v>45854</v>
      </c>
      <c r="D161" s="10">
        <v>71477</v>
      </c>
      <c r="E161" s="10" t="s">
        <v>294</v>
      </c>
      <c r="F161" s="62">
        <v>0</v>
      </c>
      <c r="G161" s="62"/>
      <c r="H161" s="62"/>
      <c r="I161" s="89">
        <f t="shared" si="31"/>
        <v>0</v>
      </c>
      <c r="J161" s="63" t="s">
        <v>219</v>
      </c>
      <c r="K161" s="63"/>
      <c r="L161" s="63"/>
      <c r="M161" s="63"/>
      <c r="N161" s="63"/>
      <c r="O161" s="63"/>
      <c r="P161" s="63"/>
      <c r="Q161" s="63"/>
      <c r="R161" s="63"/>
      <c r="S161" s="296"/>
      <c r="T161" s="63"/>
      <c r="U161" s="94" t="s">
        <v>3207</v>
      </c>
      <c r="V161" s="90"/>
      <c r="W161" s="136"/>
      <c r="X161" s="137"/>
      <c r="Y161" s="2"/>
      <c r="Z161" s="2"/>
      <c r="AA161" s="2"/>
      <c r="AB161" s="2"/>
      <c r="AC161" s="2"/>
    </row>
    <row r="162" spans="1:29">
      <c r="A162" s="2"/>
      <c r="B162" s="87">
        <f t="shared" si="32"/>
        <v>5</v>
      </c>
      <c r="C162" s="274">
        <v>45855</v>
      </c>
      <c r="D162" s="276" t="s">
        <v>3208</v>
      </c>
      <c r="E162" s="276" t="s">
        <v>3209</v>
      </c>
      <c r="F162" s="277">
        <v>1264</v>
      </c>
      <c r="G162" s="277">
        <f>39.7</f>
        <v>39.700000000000003</v>
      </c>
      <c r="H162" s="277"/>
      <c r="I162" s="278">
        <f t="shared" si="31"/>
        <v>1224.3</v>
      </c>
      <c r="J162" s="279" t="s">
        <v>205</v>
      </c>
      <c r="K162" s="279">
        <v>1</v>
      </c>
      <c r="L162" s="279"/>
      <c r="M162" s="279"/>
      <c r="N162" s="279">
        <v>1</v>
      </c>
      <c r="O162" s="279"/>
      <c r="P162" s="279"/>
      <c r="Q162" s="279"/>
      <c r="R162" s="279"/>
      <c r="S162" s="280"/>
      <c r="T162" s="63"/>
      <c r="U162" s="94"/>
      <c r="V162" s="90"/>
      <c r="W162" s="136"/>
      <c r="X162" s="137"/>
      <c r="Y162" s="2"/>
      <c r="Z162" s="2"/>
      <c r="AA162" s="2"/>
      <c r="AB162" s="2"/>
      <c r="AC162" s="2"/>
    </row>
    <row r="163" spans="1:29">
      <c r="A163" s="2"/>
      <c r="B163" s="87">
        <f t="shared" si="32"/>
        <v>6</v>
      </c>
      <c r="C163" s="295">
        <v>45855</v>
      </c>
      <c r="D163" s="10">
        <v>71536</v>
      </c>
      <c r="E163" s="101" t="s">
        <v>1085</v>
      </c>
      <c r="F163" s="62">
        <v>1861</v>
      </c>
      <c r="G163" s="62">
        <f>39.7</f>
        <v>39.700000000000003</v>
      </c>
      <c r="H163" s="62"/>
      <c r="I163" s="89">
        <f t="shared" si="31"/>
        <v>1821.3</v>
      </c>
      <c r="J163" s="63" t="s">
        <v>205</v>
      </c>
      <c r="K163" s="63">
        <v>1</v>
      </c>
      <c r="L163" s="63"/>
      <c r="M163" s="63"/>
      <c r="N163" s="63">
        <v>1</v>
      </c>
      <c r="O163" s="63"/>
      <c r="P163" s="63"/>
      <c r="Q163" s="63">
        <v>1</v>
      </c>
      <c r="R163" s="63">
        <v>1</v>
      </c>
      <c r="S163" s="296">
        <v>1</v>
      </c>
      <c r="T163" s="63"/>
      <c r="U163" s="94"/>
      <c r="V163" s="90"/>
      <c r="W163" s="136"/>
      <c r="X163" s="137"/>
      <c r="Y163" s="2"/>
      <c r="Z163" s="2"/>
      <c r="AA163" s="2"/>
      <c r="AB163" s="2"/>
      <c r="AC163" s="2"/>
    </row>
    <row r="164" spans="1:29">
      <c r="A164" s="2"/>
      <c r="B164" s="87">
        <f t="shared" si="32"/>
        <v>7</v>
      </c>
      <c r="C164" s="274">
        <v>45856</v>
      </c>
      <c r="D164" s="276">
        <v>71467</v>
      </c>
      <c r="E164" s="281" t="s">
        <v>211</v>
      </c>
      <c r="F164" s="277">
        <v>1138</v>
      </c>
      <c r="G164" s="277">
        <f>39.7</f>
        <v>39.700000000000003</v>
      </c>
      <c r="H164" s="277"/>
      <c r="I164" s="278">
        <f t="shared" si="31"/>
        <v>1098.3</v>
      </c>
      <c r="J164" s="279" t="s">
        <v>205</v>
      </c>
      <c r="K164" s="279">
        <v>1</v>
      </c>
      <c r="L164" s="279"/>
      <c r="M164" s="279"/>
      <c r="N164" s="279">
        <v>1</v>
      </c>
      <c r="O164" s="279"/>
      <c r="P164" s="279"/>
      <c r="Q164" s="279"/>
      <c r="R164" s="279"/>
      <c r="S164" s="280"/>
      <c r="T164" s="63"/>
      <c r="U164" s="94"/>
      <c r="V164" s="90"/>
      <c r="W164" s="136"/>
      <c r="X164" s="137"/>
      <c r="Y164" s="2"/>
      <c r="Z164" s="2"/>
      <c r="AA164" s="2"/>
      <c r="AB164" s="2"/>
      <c r="AC164" s="2"/>
    </row>
    <row r="165" spans="1:29">
      <c r="A165" s="2"/>
      <c r="B165" s="87">
        <f t="shared" si="32"/>
        <v>8</v>
      </c>
      <c r="C165" s="295">
        <v>45856</v>
      </c>
      <c r="D165" s="10">
        <v>71520</v>
      </c>
      <c r="E165" s="101" t="s">
        <v>317</v>
      </c>
      <c r="F165" s="62">
        <v>16214</v>
      </c>
      <c r="G165" s="62">
        <v>39.700000000000003</v>
      </c>
      <c r="H165" s="62"/>
      <c r="I165" s="89">
        <f t="shared" si="31"/>
        <v>16174.3</v>
      </c>
      <c r="J165" s="63" t="s">
        <v>205</v>
      </c>
      <c r="K165" s="63">
        <v>1</v>
      </c>
      <c r="L165" s="63"/>
      <c r="M165" s="63"/>
      <c r="N165" s="63">
        <v>1</v>
      </c>
      <c r="O165" s="63"/>
      <c r="P165" s="63"/>
      <c r="Q165" s="63">
        <v>1</v>
      </c>
      <c r="R165" s="63">
        <v>1</v>
      </c>
      <c r="S165" s="296">
        <v>1</v>
      </c>
      <c r="T165" s="63"/>
      <c r="U165" s="94"/>
      <c r="V165" s="90"/>
      <c r="W165" s="136"/>
      <c r="X165" s="137"/>
      <c r="Y165" s="2"/>
      <c r="Z165" s="2"/>
      <c r="AA165" s="2"/>
      <c r="AB165" s="2"/>
      <c r="AC165" s="2"/>
    </row>
    <row r="166" spans="1:29">
      <c r="A166" s="2"/>
      <c r="B166" s="87">
        <f t="shared" si="32"/>
        <v>9</v>
      </c>
      <c r="C166" s="295">
        <v>45856</v>
      </c>
      <c r="D166" s="10">
        <v>71533</v>
      </c>
      <c r="E166" s="101" t="s">
        <v>2606</v>
      </c>
      <c r="F166" s="62">
        <v>2261</v>
      </c>
      <c r="G166" s="62">
        <v>39.700000000000003</v>
      </c>
      <c r="H166" s="62"/>
      <c r="I166" s="89">
        <f t="shared" si="31"/>
        <v>2221.3000000000002</v>
      </c>
      <c r="J166" s="63" t="s">
        <v>205</v>
      </c>
      <c r="K166" s="63">
        <v>1</v>
      </c>
      <c r="L166" s="63"/>
      <c r="M166" s="63"/>
      <c r="N166" s="63">
        <v>1</v>
      </c>
      <c r="O166" s="63"/>
      <c r="P166" s="63"/>
      <c r="Q166" s="63">
        <v>1</v>
      </c>
      <c r="R166" s="63">
        <v>1</v>
      </c>
      <c r="S166" s="296">
        <v>1</v>
      </c>
      <c r="T166" s="63"/>
      <c r="U166" s="94"/>
      <c r="V166" s="90"/>
      <c r="W166" s="136"/>
      <c r="X166" s="137"/>
      <c r="Y166" s="2"/>
      <c r="Z166" s="2"/>
      <c r="AA166" s="2"/>
      <c r="AB166" s="2"/>
      <c r="AC166" s="2"/>
    </row>
    <row r="167" spans="1:29">
      <c r="A167" s="2"/>
      <c r="B167" s="87">
        <f t="shared" si="32"/>
        <v>10</v>
      </c>
      <c r="C167" s="295">
        <v>45856</v>
      </c>
      <c r="D167" s="10" t="s">
        <v>3210</v>
      </c>
      <c r="E167" s="10" t="s">
        <v>1530</v>
      </c>
      <c r="F167" s="95">
        <v>2861</v>
      </c>
      <c r="G167" s="62">
        <v>39.700000000000003</v>
      </c>
      <c r="H167" s="62"/>
      <c r="I167" s="89">
        <f t="shared" si="31"/>
        <v>2821.3</v>
      </c>
      <c r="J167" s="63" t="s">
        <v>205</v>
      </c>
      <c r="K167" s="63">
        <v>1</v>
      </c>
      <c r="L167" s="63"/>
      <c r="M167" s="63"/>
      <c r="N167" s="63">
        <v>1</v>
      </c>
      <c r="O167" s="63"/>
      <c r="P167" s="63"/>
      <c r="Q167" s="63"/>
      <c r="R167" s="63"/>
      <c r="S167" s="296"/>
      <c r="T167" s="63"/>
      <c r="U167" s="94"/>
      <c r="V167" s="90"/>
      <c r="W167" s="136"/>
      <c r="X167" s="137"/>
      <c r="Y167" s="2"/>
      <c r="Z167" s="2"/>
      <c r="AA167" s="2"/>
      <c r="AB167" s="2"/>
      <c r="AC167" s="2"/>
    </row>
    <row r="168" spans="1:29">
      <c r="A168" s="2"/>
      <c r="B168" s="87">
        <f t="shared" si="32"/>
        <v>11</v>
      </c>
      <c r="C168" s="295">
        <v>45856</v>
      </c>
      <c r="D168" s="10" t="s">
        <v>3211</v>
      </c>
      <c r="E168" s="10" t="s">
        <v>1530</v>
      </c>
      <c r="F168" s="62">
        <v>11532.6</v>
      </c>
      <c r="G168" s="62">
        <v>39.700000000000003</v>
      </c>
      <c r="H168" s="62"/>
      <c r="I168" s="89">
        <f t="shared" si="31"/>
        <v>11492.9</v>
      </c>
      <c r="J168" s="63" t="s">
        <v>205</v>
      </c>
      <c r="K168" s="63">
        <v>1</v>
      </c>
      <c r="L168" s="63"/>
      <c r="M168" s="63"/>
      <c r="N168" s="63">
        <v>1</v>
      </c>
      <c r="O168" s="63"/>
      <c r="P168" s="63"/>
      <c r="Q168" s="63"/>
      <c r="R168" s="63"/>
      <c r="S168" s="296"/>
      <c r="T168" s="63"/>
      <c r="U168" s="94"/>
      <c r="V168" s="90"/>
      <c r="W168" s="136"/>
      <c r="X168" s="137"/>
      <c r="Y168" s="2"/>
      <c r="Z168" s="2"/>
      <c r="AA168" s="2"/>
      <c r="AB168" s="2"/>
      <c r="AC168" s="2"/>
    </row>
    <row r="169" spans="1:29">
      <c r="A169" s="2"/>
      <c r="B169" s="87">
        <f t="shared" si="32"/>
        <v>12</v>
      </c>
      <c r="C169" s="295">
        <v>45856</v>
      </c>
      <c r="D169" s="10" t="s">
        <v>3212</v>
      </c>
      <c r="E169" s="101" t="s">
        <v>3213</v>
      </c>
      <c r="F169" s="62">
        <v>1138</v>
      </c>
      <c r="G169" s="62">
        <v>39.700000000000003</v>
      </c>
      <c r="H169" s="62"/>
      <c r="I169" s="89">
        <f t="shared" si="31"/>
        <v>1098.3</v>
      </c>
      <c r="J169" s="63" t="s">
        <v>205</v>
      </c>
      <c r="K169" s="63">
        <v>1</v>
      </c>
      <c r="L169" s="63"/>
      <c r="M169" s="63"/>
      <c r="N169" s="63">
        <v>1</v>
      </c>
      <c r="O169" s="63"/>
      <c r="P169" s="63"/>
      <c r="Q169" s="63"/>
      <c r="R169" s="63"/>
      <c r="S169" s="296"/>
      <c r="T169" s="63"/>
      <c r="U169" s="94"/>
      <c r="V169" s="90"/>
      <c r="W169" s="136"/>
      <c r="X169" s="137"/>
      <c r="Y169" s="2"/>
      <c r="Z169" s="2"/>
      <c r="AA169" s="2"/>
      <c r="AB169" s="2"/>
      <c r="AC169" s="2"/>
    </row>
    <row r="170" spans="1:29">
      <c r="A170" s="2"/>
      <c r="B170" s="87">
        <f t="shared" si="32"/>
        <v>13</v>
      </c>
      <c r="C170" s="282">
        <v>45856</v>
      </c>
      <c r="D170" s="283" t="s">
        <v>3214</v>
      </c>
      <c r="E170" s="319" t="s">
        <v>3213</v>
      </c>
      <c r="F170" s="284">
        <v>8614</v>
      </c>
      <c r="G170" s="284">
        <v>39.700000000000003</v>
      </c>
      <c r="H170" s="284"/>
      <c r="I170" s="285">
        <f t="shared" si="31"/>
        <v>8574.2999999999993</v>
      </c>
      <c r="J170" s="286" t="s">
        <v>205</v>
      </c>
      <c r="K170" s="286">
        <v>1</v>
      </c>
      <c r="L170" s="286"/>
      <c r="M170" s="286"/>
      <c r="N170" s="286">
        <v>1</v>
      </c>
      <c r="O170" s="286"/>
      <c r="P170" s="286"/>
      <c r="Q170" s="286"/>
      <c r="R170" s="286"/>
      <c r="S170" s="287"/>
      <c r="T170" s="63"/>
      <c r="U170" s="94"/>
      <c r="V170" s="90"/>
      <c r="W170" s="136"/>
      <c r="X170" s="137"/>
      <c r="Y170" s="2"/>
      <c r="Z170" s="2"/>
      <c r="AA170" s="2"/>
      <c r="AB170" s="2"/>
      <c r="AC170" s="2"/>
    </row>
    <row r="171" spans="1:29">
      <c r="A171" s="2"/>
      <c r="B171" s="11"/>
      <c r="C171" s="36"/>
      <c r="D171" s="10"/>
      <c r="E171" s="10"/>
      <c r="F171" s="97">
        <f>SUM(F158:F170)</f>
        <v>53096.6</v>
      </c>
      <c r="G171" s="97">
        <f>SUM(G158:G170)</f>
        <v>476.39999999999992</v>
      </c>
      <c r="H171" s="97">
        <f>SUM(H158:H170)</f>
        <v>0</v>
      </c>
      <c r="I171" s="98">
        <f>SUM(I158:I170)</f>
        <v>52620.2</v>
      </c>
      <c r="J171" s="10"/>
      <c r="K171" s="10"/>
      <c r="L171" s="10"/>
      <c r="M171" s="10"/>
      <c r="N171" s="10"/>
      <c r="O171" s="10"/>
      <c r="P171" s="10"/>
      <c r="Q171" s="10"/>
      <c r="R171" s="10"/>
      <c r="S171" s="10"/>
      <c r="T171" s="63"/>
      <c r="U171" s="94"/>
      <c r="V171" s="90"/>
      <c r="W171" s="91"/>
      <c r="X171" s="92"/>
      <c r="Y171" s="2"/>
      <c r="Z171" s="2"/>
      <c r="AA171" s="2"/>
      <c r="AB171" s="2"/>
      <c r="AC171" s="2"/>
    </row>
    <row r="172" spans="1:29">
      <c r="A172" s="2"/>
      <c r="B172" s="26"/>
      <c r="C172" s="140"/>
      <c r="D172" s="141"/>
      <c r="E172" s="141"/>
      <c r="F172" s="141"/>
      <c r="G172" s="141"/>
      <c r="H172" s="141"/>
      <c r="I172" s="141"/>
      <c r="J172" s="141"/>
      <c r="K172" s="142"/>
      <c r="L172" s="142"/>
      <c r="M172" s="142"/>
      <c r="N172" s="142"/>
      <c r="O172" s="142"/>
      <c r="P172" s="142"/>
      <c r="Q172" s="142"/>
      <c r="R172" s="142"/>
      <c r="S172" s="142"/>
      <c r="T172" s="143">
        <f>SUM(T118:T171)</f>
        <v>4</v>
      </c>
      <c r="U172" s="168"/>
      <c r="V172" s="144">
        <f>SUM(V118:V171)</f>
        <v>21620.009999999995</v>
      </c>
      <c r="W172" s="145">
        <f>SUM(W118:W171)</f>
        <v>0</v>
      </c>
      <c r="X172" s="146">
        <f>SUM(X118:X171)</f>
        <v>0</v>
      </c>
      <c r="Y172" s="2"/>
      <c r="Z172" s="2"/>
      <c r="AA172" s="2"/>
      <c r="AB172" s="2"/>
      <c r="AC172" s="2"/>
    </row>
    <row r="175" spans="1:29">
      <c r="A175" s="148" t="s">
        <v>74</v>
      </c>
      <c r="B175" s="4" t="s">
        <v>1</v>
      </c>
      <c r="C175" s="5"/>
      <c r="D175" s="83"/>
      <c r="E175" s="6"/>
      <c r="F175" s="7" t="s">
        <v>2</v>
      </c>
      <c r="G175" s="8">
        <v>45865</v>
      </c>
      <c r="H175" s="7"/>
      <c r="I175" s="6"/>
      <c r="J175" s="6"/>
      <c r="K175" s="6"/>
      <c r="L175" s="6"/>
      <c r="M175" s="6"/>
      <c r="N175" s="6"/>
      <c r="O175" s="6"/>
      <c r="P175" s="6"/>
      <c r="Q175" s="6"/>
      <c r="R175" s="6"/>
      <c r="S175" s="6"/>
      <c r="T175" s="6"/>
      <c r="U175" s="149"/>
      <c r="V175" s="77"/>
      <c r="W175" s="77"/>
      <c r="X175" s="77"/>
      <c r="Y175" s="2"/>
      <c r="Z175" s="2"/>
      <c r="AA175" s="2"/>
      <c r="AB175" s="2"/>
      <c r="AC175" s="2"/>
    </row>
    <row r="176" spans="1:29">
      <c r="A176" s="150" t="s">
        <v>75</v>
      </c>
      <c r="B176" s="11"/>
      <c r="C176" s="10"/>
      <c r="D176" s="63"/>
      <c r="E176" s="10"/>
      <c r="F176" s="10"/>
      <c r="G176" s="7"/>
      <c r="H176" s="12"/>
      <c r="I176" s="10"/>
      <c r="J176" s="10"/>
      <c r="K176" s="13" t="s">
        <v>3</v>
      </c>
      <c r="L176" s="14"/>
      <c r="M176" s="15"/>
      <c r="N176" s="13" t="s">
        <v>4</v>
      </c>
      <c r="O176" s="14"/>
      <c r="P176" s="15"/>
      <c r="Q176" s="13" t="s">
        <v>5</v>
      </c>
      <c r="R176" s="14"/>
      <c r="S176" s="15"/>
      <c r="T176" s="16"/>
      <c r="U176" s="151"/>
      <c r="V176" s="77"/>
      <c r="W176" s="77"/>
      <c r="X176" s="77"/>
      <c r="Y176" s="2"/>
      <c r="Z176" s="2"/>
      <c r="AA176" s="2"/>
      <c r="AB176" s="2"/>
      <c r="AC176" s="2"/>
    </row>
    <row r="177" spans="1:29">
      <c r="A177" s="148" t="s">
        <v>76</v>
      </c>
      <c r="B177" s="18" t="s">
        <v>6</v>
      </c>
      <c r="C177" s="19">
        <f>C178+C179</f>
        <v>31</v>
      </c>
      <c r="D177" s="63"/>
      <c r="E177" s="18" t="s">
        <v>7</v>
      </c>
      <c r="F177" s="6"/>
      <c r="G177" s="9"/>
      <c r="H177" s="10"/>
      <c r="I177" s="10"/>
      <c r="J177" s="10"/>
      <c r="K177" s="20" t="s">
        <v>8</v>
      </c>
      <c r="L177" s="21" t="s">
        <v>9</v>
      </c>
      <c r="M177" s="21" t="s">
        <v>10</v>
      </c>
      <c r="N177" s="20" t="s">
        <v>11</v>
      </c>
      <c r="O177" s="21" t="s">
        <v>12</v>
      </c>
      <c r="P177" s="22" t="s">
        <v>13</v>
      </c>
      <c r="Q177" s="21" t="s">
        <v>11</v>
      </c>
      <c r="R177" s="21" t="s">
        <v>12</v>
      </c>
      <c r="S177" s="22" t="s">
        <v>13</v>
      </c>
      <c r="T177" s="23" t="s">
        <v>14</v>
      </c>
      <c r="U177" s="151"/>
      <c r="V177" s="77"/>
      <c r="W177" s="77"/>
      <c r="X177" s="77"/>
      <c r="Y177" s="2"/>
      <c r="Z177" s="2"/>
      <c r="AA177" s="2"/>
      <c r="AB177" s="2"/>
      <c r="AC177" s="2"/>
    </row>
    <row r="178" spans="1:29">
      <c r="A178" s="152" t="s">
        <v>3183</v>
      </c>
      <c r="B178" s="24" t="s">
        <v>15</v>
      </c>
      <c r="C178" s="25">
        <f>P185</f>
        <v>16</v>
      </c>
      <c r="D178" s="63"/>
      <c r="E178" s="11" t="s">
        <v>16</v>
      </c>
      <c r="F178" s="10" t="s">
        <v>78</v>
      </c>
      <c r="G178" s="153">
        <v>0.05</v>
      </c>
      <c r="H178" s="10"/>
      <c r="I178" s="10"/>
      <c r="J178" s="18" t="s">
        <v>17</v>
      </c>
      <c r="K178" s="29">
        <f>K214</f>
        <v>11</v>
      </c>
      <c r="L178" s="29">
        <f t="shared" ref="L178:S178" si="33">L214</f>
        <v>11</v>
      </c>
      <c r="M178" s="29">
        <f t="shared" si="33"/>
        <v>11</v>
      </c>
      <c r="N178" s="29">
        <f t="shared" si="33"/>
        <v>11</v>
      </c>
      <c r="O178" s="29">
        <f t="shared" si="33"/>
        <v>11</v>
      </c>
      <c r="P178" s="29">
        <f t="shared" si="33"/>
        <v>11</v>
      </c>
      <c r="Q178" s="29">
        <f t="shared" si="33"/>
        <v>11</v>
      </c>
      <c r="R178" s="29">
        <f t="shared" si="33"/>
        <v>11</v>
      </c>
      <c r="S178" s="29">
        <f t="shared" si="33"/>
        <v>11</v>
      </c>
      <c r="T178" s="30">
        <f>T262</f>
        <v>5</v>
      </c>
      <c r="U178" s="151" t="s">
        <v>3215</v>
      </c>
      <c r="V178" s="77"/>
      <c r="W178" s="77"/>
      <c r="X178" s="77"/>
      <c r="Y178" s="2"/>
      <c r="Z178" s="2"/>
      <c r="AA178" s="2"/>
      <c r="AB178" s="2"/>
      <c r="AC178" s="2"/>
    </row>
    <row r="179" spans="1:29">
      <c r="A179" s="152" t="s">
        <v>3184</v>
      </c>
      <c r="B179" s="24" t="s">
        <v>18</v>
      </c>
      <c r="C179" s="25">
        <f>P186</f>
        <v>15</v>
      </c>
      <c r="D179" s="63"/>
      <c r="E179" s="26" t="s">
        <v>80</v>
      </c>
      <c r="F179" s="141" t="s">
        <v>81</v>
      </c>
      <c r="G179" s="154">
        <v>0.1</v>
      </c>
      <c r="H179" s="10"/>
      <c r="I179" s="10"/>
      <c r="J179" s="32" t="s">
        <v>19</v>
      </c>
      <c r="K179" s="33">
        <f>K214/K213</f>
        <v>1</v>
      </c>
      <c r="L179" s="33">
        <f t="shared" ref="L179:S179" si="34">L214/L213</f>
        <v>1</v>
      </c>
      <c r="M179" s="33">
        <f t="shared" si="34"/>
        <v>1</v>
      </c>
      <c r="N179" s="33">
        <f t="shared" si="34"/>
        <v>1</v>
      </c>
      <c r="O179" s="33">
        <f t="shared" si="34"/>
        <v>1</v>
      </c>
      <c r="P179" s="33">
        <f t="shared" si="34"/>
        <v>1</v>
      </c>
      <c r="Q179" s="33">
        <f t="shared" si="34"/>
        <v>1</v>
      </c>
      <c r="R179" s="33">
        <f t="shared" si="34"/>
        <v>1</v>
      </c>
      <c r="S179" s="33">
        <f t="shared" si="34"/>
        <v>1</v>
      </c>
      <c r="T179" s="23"/>
      <c r="U179" s="151" t="s">
        <v>20</v>
      </c>
      <c r="V179" s="77"/>
      <c r="W179" s="77"/>
      <c r="X179" s="77"/>
      <c r="Y179" s="2"/>
      <c r="Z179" s="2"/>
      <c r="AA179" s="2"/>
      <c r="AB179" s="2"/>
      <c r="AC179" s="2"/>
    </row>
    <row r="180" spans="1:29">
      <c r="A180" s="2"/>
      <c r="B180" s="24" t="s">
        <v>21</v>
      </c>
      <c r="C180" s="34">
        <f>P187</f>
        <v>0.5161290322580645</v>
      </c>
      <c r="D180" s="63"/>
      <c r="E180" s="10"/>
      <c r="F180" s="10"/>
      <c r="G180" s="10"/>
      <c r="H180" s="10"/>
      <c r="I180" s="10"/>
      <c r="J180" s="10"/>
      <c r="K180" s="10"/>
      <c r="L180" s="10"/>
      <c r="M180" s="10"/>
      <c r="N180" s="10"/>
      <c r="O180" s="10"/>
      <c r="P180" s="10"/>
      <c r="Q180" s="10"/>
      <c r="R180" s="10"/>
      <c r="S180" s="10"/>
      <c r="T180" s="10"/>
      <c r="U180" s="151"/>
      <c r="V180" s="77"/>
      <c r="W180" s="77"/>
      <c r="X180" s="77"/>
      <c r="Y180" s="2"/>
      <c r="Z180" s="2"/>
      <c r="AA180" s="2"/>
      <c r="AB180" s="2"/>
      <c r="AC180" s="2"/>
    </row>
    <row r="181" spans="1:29">
      <c r="A181" s="2"/>
      <c r="B181" s="24"/>
      <c r="C181" s="25"/>
      <c r="D181" s="63"/>
      <c r="E181" s="10"/>
      <c r="F181" s="18" t="s">
        <v>22</v>
      </c>
      <c r="G181" s="19" t="s">
        <v>23</v>
      </c>
      <c r="H181" s="35" t="s">
        <v>24</v>
      </c>
      <c r="I181" s="10"/>
      <c r="J181" s="10"/>
      <c r="K181" s="36"/>
      <c r="L181" s="36"/>
      <c r="M181" s="36"/>
      <c r="N181" s="36"/>
      <c r="O181" s="36"/>
      <c r="P181" s="36"/>
      <c r="Q181" s="36"/>
      <c r="R181" s="10"/>
      <c r="S181" s="10"/>
      <c r="T181" s="10"/>
      <c r="U181" s="151"/>
      <c r="V181" s="77"/>
      <c r="W181" s="77"/>
      <c r="X181" s="77"/>
      <c r="Y181" s="2"/>
      <c r="Z181" s="2"/>
      <c r="AA181" s="2"/>
      <c r="AB181" s="2"/>
      <c r="AC181" s="2"/>
    </row>
    <row r="182" spans="1:29" ht="16.5" customHeight="1">
      <c r="A182" s="2"/>
      <c r="B182" s="32" t="s">
        <v>25</v>
      </c>
      <c r="C182" s="37">
        <f>P188</f>
        <v>2446.1999999999998</v>
      </c>
      <c r="D182" s="63"/>
      <c r="E182" s="18" t="s">
        <v>26</v>
      </c>
      <c r="F182" s="38">
        <f>P184</f>
        <v>39139.199999999997</v>
      </c>
      <c r="G182" s="39">
        <f>I213+I229</f>
        <v>39139.199999999997</v>
      </c>
      <c r="H182" s="771" t="s">
        <v>3216</v>
      </c>
      <c r="I182" s="771"/>
      <c r="J182" s="771"/>
      <c r="K182" s="43" t="s">
        <v>27</v>
      </c>
      <c r="L182" s="44"/>
      <c r="M182" s="44"/>
      <c r="N182" s="44"/>
      <c r="O182" s="44"/>
      <c r="P182" s="44"/>
      <c r="Q182" s="45"/>
      <c r="R182" s="46" t="s">
        <v>28</v>
      </c>
      <c r="S182" s="47" t="s">
        <v>29</v>
      </c>
      <c r="T182" s="10"/>
      <c r="U182" s="151"/>
      <c r="V182" s="77"/>
      <c r="W182" s="77"/>
      <c r="X182" s="77"/>
      <c r="Y182" s="2"/>
      <c r="Z182" s="2"/>
      <c r="AA182" s="2"/>
      <c r="AB182" s="2"/>
      <c r="AC182" s="2"/>
    </row>
    <row r="183" spans="1:29">
      <c r="A183" s="2"/>
      <c r="B183" s="11"/>
      <c r="C183" s="10"/>
      <c r="D183" s="63"/>
      <c r="E183" s="24" t="s">
        <v>30</v>
      </c>
      <c r="F183" s="48">
        <f>IF(F182&gt;=25000,10%,5%)</f>
        <v>0.1</v>
      </c>
      <c r="G183" s="17"/>
      <c r="H183" s="771"/>
      <c r="I183" s="771"/>
      <c r="J183" s="771"/>
      <c r="K183" s="20" t="s">
        <v>31</v>
      </c>
      <c r="L183" s="21" t="s">
        <v>32</v>
      </c>
      <c r="M183" s="21" t="s">
        <v>33</v>
      </c>
      <c r="N183" s="21" t="s">
        <v>34</v>
      </c>
      <c r="O183" s="21" t="s">
        <v>35</v>
      </c>
      <c r="P183" s="21" t="s">
        <v>36</v>
      </c>
      <c r="Q183" s="49" t="s">
        <v>37</v>
      </c>
      <c r="R183" s="50" t="s">
        <v>38</v>
      </c>
      <c r="S183" s="50" t="s">
        <v>38</v>
      </c>
      <c r="T183" s="10"/>
      <c r="U183" s="151"/>
      <c r="V183" s="77"/>
      <c r="W183" s="77"/>
      <c r="X183" s="77"/>
      <c r="Y183" s="2"/>
      <c r="Z183" s="2"/>
      <c r="AA183" s="2"/>
      <c r="AB183" s="2"/>
      <c r="AC183" s="2"/>
    </row>
    <row r="184" spans="1:29">
      <c r="A184" s="2"/>
      <c r="B184" s="11"/>
      <c r="C184" s="10"/>
      <c r="D184" s="63"/>
      <c r="E184" s="51" t="s">
        <v>39</v>
      </c>
      <c r="F184" s="52">
        <f>(F182-I224-I225-I226-I227-I228+I227)*F183</f>
        <v>2405.1610000000001</v>
      </c>
      <c r="G184" s="53" t="s">
        <v>40</v>
      </c>
      <c r="H184" s="54">
        <f>F184/1.12</f>
        <v>2147.4651785714286</v>
      </c>
      <c r="I184" s="570" t="s">
        <v>3217</v>
      </c>
      <c r="J184" s="42"/>
      <c r="K184" s="56">
        <f>I202+I203+I204+I224+I225</f>
        <v>12330.09</v>
      </c>
      <c r="L184" s="57">
        <v>0</v>
      </c>
      <c r="M184" s="57">
        <f>I205+I226</f>
        <v>1679.3</v>
      </c>
      <c r="N184" s="57">
        <f>I206+I207+I208+I209+I227</f>
        <v>14491.580000000002</v>
      </c>
      <c r="O184" s="57">
        <f>I210+I212+I211+I228</f>
        <v>10638.23</v>
      </c>
      <c r="P184" s="57">
        <f>SUM(K184:O184)</f>
        <v>39139.199999999997</v>
      </c>
      <c r="Q184" s="58">
        <v>0</v>
      </c>
      <c r="R184" s="59">
        <f>+I229</f>
        <v>23634.37</v>
      </c>
      <c r="S184" s="59">
        <v>0</v>
      </c>
      <c r="T184" s="10"/>
      <c r="U184" s="151"/>
      <c r="V184" s="77"/>
      <c r="W184" s="77"/>
      <c r="X184" s="77"/>
      <c r="Y184" s="2"/>
      <c r="Z184" s="2"/>
      <c r="AA184" s="2"/>
      <c r="AB184" s="2"/>
      <c r="AC184" s="2" t="s">
        <v>85</v>
      </c>
    </row>
    <row r="185" spans="1:29">
      <c r="A185" s="2"/>
      <c r="B185" s="11"/>
      <c r="C185" s="10"/>
      <c r="D185" s="63"/>
      <c r="E185" s="24" t="s">
        <v>41</v>
      </c>
      <c r="F185" s="60">
        <f>Q184</f>
        <v>0</v>
      </c>
      <c r="G185" s="61" t="s">
        <v>40</v>
      </c>
      <c r="H185" s="62"/>
      <c r="I185" s="62"/>
      <c r="J185" s="10" t="s">
        <v>42</v>
      </c>
      <c r="K185" s="63">
        <v>5</v>
      </c>
      <c r="L185" s="63">
        <v>0</v>
      </c>
      <c r="M185" s="63">
        <v>2</v>
      </c>
      <c r="N185" s="63">
        <v>5</v>
      </c>
      <c r="O185" s="63">
        <v>4</v>
      </c>
      <c r="P185" s="21">
        <f>SUM(K185:O185)</f>
        <v>16</v>
      </c>
      <c r="Q185" s="64"/>
      <c r="R185" s="63"/>
      <c r="S185" s="10"/>
      <c r="T185" s="10"/>
      <c r="U185" s="151"/>
      <c r="V185" s="77"/>
      <c r="W185" s="77"/>
      <c r="X185" s="77"/>
      <c r="Y185" s="2"/>
      <c r="Z185" s="2"/>
      <c r="AA185" s="2"/>
      <c r="AB185" s="2"/>
      <c r="AC185" s="2"/>
    </row>
    <row r="186" spans="1:29">
      <c r="A186" s="2"/>
      <c r="B186" s="11"/>
      <c r="C186" s="10"/>
      <c r="D186" s="63"/>
      <c r="E186" s="51" t="s">
        <v>43</v>
      </c>
      <c r="F186" s="52">
        <f>F185*0.25</f>
        <v>0</v>
      </c>
      <c r="G186" s="53" t="s">
        <v>40</v>
      </c>
      <c r="H186" s="54">
        <f>F186/1.12</f>
        <v>0</v>
      </c>
      <c r="I186" s="10"/>
      <c r="J186" s="10" t="s">
        <v>44</v>
      </c>
      <c r="K186" s="63">
        <v>4</v>
      </c>
      <c r="L186" s="63">
        <v>2</v>
      </c>
      <c r="M186" s="63">
        <v>4</v>
      </c>
      <c r="N186" s="63">
        <v>2</v>
      </c>
      <c r="O186" s="63">
        <v>3</v>
      </c>
      <c r="P186" s="21">
        <f>SUM(K186:O186)</f>
        <v>15</v>
      </c>
      <c r="Q186" s="64"/>
      <c r="R186" s="63"/>
      <c r="S186" s="10"/>
      <c r="T186" s="10"/>
      <c r="U186" s="151"/>
      <c r="V186" s="77"/>
      <c r="W186" s="77"/>
      <c r="X186" s="77"/>
      <c r="Y186" s="2"/>
      <c r="Z186" s="2"/>
      <c r="AA186" s="2"/>
      <c r="AB186" s="2"/>
      <c r="AC186" s="2"/>
    </row>
    <row r="187" spans="1:29">
      <c r="A187" s="2"/>
      <c r="B187" s="11"/>
      <c r="C187" s="10"/>
      <c r="D187" s="63"/>
      <c r="E187" s="24" t="s">
        <v>45</v>
      </c>
      <c r="F187" s="60">
        <f>I221</f>
        <v>7258.8179999999993</v>
      </c>
      <c r="G187" s="61" t="s">
        <v>40</v>
      </c>
      <c r="H187" s="62"/>
      <c r="I187" s="10"/>
      <c r="J187" s="10" t="s">
        <v>46</v>
      </c>
      <c r="K187" s="31">
        <f t="shared" ref="K187:Q187" si="35">K185/(K185+K186)</f>
        <v>0.55555555555555558</v>
      </c>
      <c r="L187" s="31">
        <f t="shared" si="35"/>
        <v>0</v>
      </c>
      <c r="M187" s="31">
        <f t="shared" si="35"/>
        <v>0.33333333333333331</v>
      </c>
      <c r="N187" s="31">
        <f t="shared" si="35"/>
        <v>0.7142857142857143</v>
      </c>
      <c r="O187" s="31">
        <f t="shared" si="35"/>
        <v>0.5714285714285714</v>
      </c>
      <c r="P187" s="31">
        <f t="shared" si="35"/>
        <v>0.5161290322580645</v>
      </c>
      <c r="Q187" s="31" t="e">
        <f t="shared" si="35"/>
        <v>#DIV/0!</v>
      </c>
      <c r="R187" s="63"/>
      <c r="S187" s="10"/>
      <c r="T187" s="10"/>
      <c r="U187" s="151"/>
      <c r="V187" s="77"/>
      <c r="W187" s="77"/>
      <c r="X187" s="77"/>
      <c r="Y187" s="2"/>
      <c r="Z187" s="2"/>
      <c r="AA187" s="2"/>
      <c r="AB187" s="2"/>
      <c r="AC187" s="2"/>
    </row>
    <row r="188" spans="1:29">
      <c r="A188" s="2"/>
      <c r="B188" s="11"/>
      <c r="C188" s="10"/>
      <c r="D188" s="63"/>
      <c r="E188" s="51" t="s">
        <v>47</v>
      </c>
      <c r="F188" s="52">
        <f>(F187-I217-I218-I219-I220)*0.05</f>
        <v>-2.2737367544323207E-14</v>
      </c>
      <c r="G188" s="65" t="s">
        <v>40</v>
      </c>
      <c r="H188" s="54">
        <f>F188/1.12</f>
        <v>-2.0301221021717149E-14</v>
      </c>
      <c r="I188" s="42"/>
      <c r="J188" s="10" t="s">
        <v>48</v>
      </c>
      <c r="K188" s="66">
        <f t="shared" ref="K188:Q188" si="36">K184/K185</f>
        <v>2466.018</v>
      </c>
      <c r="L188" s="66" t="e">
        <f t="shared" si="36"/>
        <v>#DIV/0!</v>
      </c>
      <c r="M188" s="66">
        <f t="shared" si="36"/>
        <v>839.65</v>
      </c>
      <c r="N188" s="66">
        <f t="shared" si="36"/>
        <v>2898.3160000000003</v>
      </c>
      <c r="O188" s="66">
        <f t="shared" si="36"/>
        <v>2659.5574999999999</v>
      </c>
      <c r="P188" s="66">
        <f t="shared" si="36"/>
        <v>2446.1999999999998</v>
      </c>
      <c r="Q188" s="66" t="e">
        <f t="shared" si="36"/>
        <v>#DIV/0!</v>
      </c>
      <c r="R188" s="63"/>
      <c r="S188" s="10"/>
      <c r="T188" s="10"/>
      <c r="U188" s="151"/>
      <c r="V188" s="77"/>
      <c r="W188" s="77"/>
      <c r="X188" s="77"/>
      <c r="Y188" s="2"/>
      <c r="Z188" s="2"/>
      <c r="AA188" s="2"/>
      <c r="AB188" s="2"/>
      <c r="AC188" s="2"/>
    </row>
    <row r="189" spans="1:29">
      <c r="A189" s="128"/>
      <c r="B189" s="132"/>
      <c r="C189" s="123"/>
      <c r="D189" s="127"/>
      <c r="E189" s="155" t="s">
        <v>14</v>
      </c>
      <c r="F189" s="156">
        <f>3*50/2</f>
        <v>75</v>
      </c>
      <c r="G189" s="123"/>
      <c r="H189" s="54">
        <f>F189/1.12</f>
        <v>66.964285714285708</v>
      </c>
      <c r="I189" s="123"/>
      <c r="J189" s="123"/>
      <c r="K189" s="123"/>
      <c r="L189" s="123"/>
      <c r="M189" s="123"/>
      <c r="N189" s="123"/>
      <c r="O189" s="123"/>
      <c r="P189" s="123"/>
      <c r="Q189" s="123"/>
      <c r="R189" s="123"/>
      <c r="S189" s="123"/>
      <c r="T189" s="123"/>
      <c r="U189" s="157"/>
      <c r="V189" s="123"/>
      <c r="W189" s="123"/>
      <c r="X189" s="123"/>
      <c r="Y189" s="128"/>
      <c r="Z189" s="128"/>
      <c r="AA189" s="128"/>
      <c r="AB189" s="128"/>
      <c r="AC189" s="128"/>
    </row>
    <row r="190" spans="1:29" ht="15" customHeight="1">
      <c r="A190" s="128"/>
      <c r="B190" s="132"/>
      <c r="C190" s="123"/>
      <c r="D190" s="127"/>
      <c r="E190" s="158" t="s">
        <v>49</v>
      </c>
      <c r="F190" s="159">
        <f>T179</f>
        <v>0</v>
      </c>
      <c r="G190" s="123"/>
      <c r="H190" s="54"/>
      <c r="I190" s="123"/>
      <c r="J190" s="42"/>
      <c r="K190" s="764" t="s">
        <v>50</v>
      </c>
      <c r="L190" s="764"/>
      <c r="M190" s="764"/>
      <c r="N190" s="764"/>
      <c r="O190" s="764"/>
      <c r="P190" s="764"/>
      <c r="Q190" s="764"/>
      <c r="R190" s="70" t="s">
        <v>28</v>
      </c>
      <c r="S190" s="71" t="s">
        <v>29</v>
      </c>
      <c r="T190" s="123"/>
      <c r="U190" s="157"/>
      <c r="V190" s="123"/>
      <c r="W190" s="123"/>
      <c r="X190" s="123"/>
      <c r="Y190" s="128"/>
      <c r="Z190" s="128"/>
      <c r="AA190" s="128"/>
      <c r="AB190" s="128"/>
      <c r="AC190" s="128"/>
    </row>
    <row r="191" spans="1:29">
      <c r="A191" s="128"/>
      <c r="B191" s="132"/>
      <c r="C191" s="123"/>
      <c r="D191" s="127"/>
      <c r="E191" s="12"/>
      <c r="F191" s="160"/>
      <c r="G191" s="123"/>
      <c r="H191" s="54"/>
      <c r="I191" s="123"/>
      <c r="J191" s="42"/>
      <c r="K191" s="20" t="s">
        <v>31</v>
      </c>
      <c r="L191" s="21" t="s">
        <v>32</v>
      </c>
      <c r="M191" s="21" t="s">
        <v>33</v>
      </c>
      <c r="N191" s="21" t="s">
        <v>34</v>
      </c>
      <c r="O191" s="21" t="s">
        <v>35</v>
      </c>
      <c r="P191" s="21" t="s">
        <v>36</v>
      </c>
      <c r="Q191" s="49" t="s">
        <v>37</v>
      </c>
      <c r="R191" s="50" t="s">
        <v>38</v>
      </c>
      <c r="S191" s="50" t="s">
        <v>38</v>
      </c>
      <c r="T191" s="123"/>
      <c r="U191" s="157"/>
      <c r="V191" s="123"/>
      <c r="W191" s="123"/>
      <c r="X191" s="123"/>
      <c r="Y191" s="128"/>
      <c r="Z191" s="128"/>
      <c r="AA191" s="128"/>
      <c r="AB191" s="128"/>
      <c r="AC191" s="128"/>
    </row>
    <row r="192" spans="1:29">
      <c r="A192" s="128"/>
      <c r="B192" s="132"/>
      <c r="C192" s="123"/>
      <c r="D192" s="127"/>
      <c r="E192" s="12"/>
      <c r="F192" s="12"/>
      <c r="G192" s="123"/>
      <c r="H192" s="54"/>
      <c r="I192" s="123"/>
      <c r="J192" s="42"/>
      <c r="K192" s="56">
        <f>F202+F203+F204+F224+F225</f>
        <v>14058.099999999999</v>
      </c>
      <c r="L192" s="57">
        <v>0</v>
      </c>
      <c r="M192" s="57">
        <f>F205+F226</f>
        <v>1719</v>
      </c>
      <c r="N192" s="57">
        <f>F206+F207+F208+F209+F227</f>
        <v>15858.5</v>
      </c>
      <c r="O192" s="57">
        <f>F210+F212+F211+F228</f>
        <v>11383</v>
      </c>
      <c r="P192" s="57">
        <f>SUM(K192:O192)</f>
        <v>43018.6</v>
      </c>
      <c r="Q192" s="58">
        <v>0</v>
      </c>
      <c r="R192" s="59">
        <f>+F229</f>
        <v>26570.5</v>
      </c>
      <c r="S192" s="59">
        <v>0</v>
      </c>
      <c r="T192" s="123"/>
      <c r="U192" s="157"/>
      <c r="V192" s="123"/>
      <c r="W192" s="123"/>
      <c r="X192" s="123"/>
      <c r="Y192" s="128"/>
      <c r="Z192" s="128"/>
      <c r="AA192" s="128"/>
      <c r="AB192" s="128"/>
      <c r="AC192" s="128"/>
    </row>
    <row r="193" spans="1:29">
      <c r="A193" s="128"/>
      <c r="B193" s="132"/>
      <c r="C193" s="123"/>
      <c r="D193" s="127"/>
      <c r="E193" s="10"/>
      <c r="F193" s="10"/>
      <c r="G193" s="123"/>
      <c r="H193" s="54"/>
      <c r="I193" s="123"/>
      <c r="J193" s="10" t="s">
        <v>42</v>
      </c>
      <c r="K193" s="63">
        <f t="shared" ref="K193:Q194" si="37">K185</f>
        <v>5</v>
      </c>
      <c r="L193" s="63">
        <f t="shared" si="37"/>
        <v>0</v>
      </c>
      <c r="M193" s="63">
        <f t="shared" si="37"/>
        <v>2</v>
      </c>
      <c r="N193" s="63">
        <f t="shared" si="37"/>
        <v>5</v>
      </c>
      <c r="O193" s="63">
        <f t="shared" si="37"/>
        <v>4</v>
      </c>
      <c r="P193" s="63">
        <f t="shared" si="37"/>
        <v>16</v>
      </c>
      <c r="Q193" s="63">
        <f t="shared" si="37"/>
        <v>0</v>
      </c>
      <c r="R193" s="63"/>
      <c r="S193" s="10"/>
      <c r="T193" s="123"/>
      <c r="U193" s="157"/>
      <c r="V193" s="123"/>
      <c r="W193" s="123"/>
      <c r="X193" s="123"/>
      <c r="Y193" s="128"/>
      <c r="Z193" s="128"/>
      <c r="AA193" s="128"/>
      <c r="AB193" s="128"/>
      <c r="AC193" s="128"/>
    </row>
    <row r="194" spans="1:29">
      <c r="A194" s="128"/>
      <c r="B194" s="132"/>
      <c r="C194" s="123"/>
      <c r="D194" s="127"/>
      <c r="E194" s="12"/>
      <c r="F194" s="160"/>
      <c r="G194" s="123"/>
      <c r="H194" s="54"/>
      <c r="I194" s="123"/>
      <c r="J194" s="10" t="s">
        <v>44</v>
      </c>
      <c r="K194" s="63">
        <f t="shared" si="37"/>
        <v>4</v>
      </c>
      <c r="L194" s="63">
        <f t="shared" si="37"/>
        <v>2</v>
      </c>
      <c r="M194" s="63">
        <f t="shared" si="37"/>
        <v>4</v>
      </c>
      <c r="N194" s="63">
        <f t="shared" si="37"/>
        <v>2</v>
      </c>
      <c r="O194" s="63">
        <f t="shared" si="37"/>
        <v>3</v>
      </c>
      <c r="P194" s="63">
        <f t="shared" si="37"/>
        <v>15</v>
      </c>
      <c r="Q194" s="63">
        <f t="shared" si="37"/>
        <v>0</v>
      </c>
      <c r="R194" s="63"/>
      <c r="S194" s="10"/>
      <c r="T194" s="123"/>
      <c r="U194" s="157"/>
      <c r="V194" s="123"/>
      <c r="W194" s="123"/>
      <c r="X194" s="123"/>
      <c r="Y194" s="128"/>
      <c r="Z194" s="128"/>
      <c r="AA194" s="128"/>
      <c r="AB194" s="128"/>
      <c r="AC194" s="128"/>
    </row>
    <row r="195" spans="1:29">
      <c r="A195" s="128"/>
      <c r="B195" s="132"/>
      <c r="C195" s="123"/>
      <c r="D195" s="127"/>
      <c r="E195" s="12"/>
      <c r="F195" s="12"/>
      <c r="G195" s="123"/>
      <c r="H195" s="54"/>
      <c r="I195" s="123"/>
      <c r="J195" s="10" t="s">
        <v>46</v>
      </c>
      <c r="K195" s="31">
        <f t="shared" ref="K195:Q195" si="38">K193/(K193+K194)</f>
        <v>0.55555555555555558</v>
      </c>
      <c r="L195" s="31">
        <f t="shared" si="38"/>
        <v>0</v>
      </c>
      <c r="M195" s="31">
        <f t="shared" si="38"/>
        <v>0.33333333333333331</v>
      </c>
      <c r="N195" s="31">
        <f t="shared" si="38"/>
        <v>0.7142857142857143</v>
      </c>
      <c r="O195" s="31">
        <f t="shared" si="38"/>
        <v>0.5714285714285714</v>
      </c>
      <c r="P195" s="31">
        <f t="shared" si="38"/>
        <v>0.5161290322580645</v>
      </c>
      <c r="Q195" s="31" t="e">
        <f t="shared" si="38"/>
        <v>#DIV/0!</v>
      </c>
      <c r="R195" s="63"/>
      <c r="S195" s="10"/>
      <c r="T195" s="123"/>
      <c r="U195" s="157"/>
      <c r="V195" s="123"/>
      <c r="W195" s="123"/>
      <c r="X195" s="123"/>
      <c r="Y195" s="128"/>
      <c r="Z195" s="128"/>
      <c r="AA195" s="128"/>
      <c r="AB195" s="128"/>
      <c r="AC195" s="128"/>
    </row>
    <row r="196" spans="1:29">
      <c r="A196" s="128"/>
      <c r="B196" s="132"/>
      <c r="C196" s="123"/>
      <c r="D196" s="127"/>
      <c r="E196" s="10"/>
      <c r="F196" s="10"/>
      <c r="G196" s="123"/>
      <c r="H196" s="54"/>
      <c r="I196" s="123"/>
      <c r="J196" s="10" t="s">
        <v>48</v>
      </c>
      <c r="K196" s="66">
        <f t="shared" ref="K196:Q196" si="39">K192/K193</f>
        <v>2811.62</v>
      </c>
      <c r="L196" s="66" t="e">
        <f t="shared" si="39"/>
        <v>#DIV/0!</v>
      </c>
      <c r="M196" s="66">
        <f t="shared" si="39"/>
        <v>859.5</v>
      </c>
      <c r="N196" s="66">
        <f t="shared" si="39"/>
        <v>3171.7</v>
      </c>
      <c r="O196" s="66">
        <f t="shared" si="39"/>
        <v>2845.75</v>
      </c>
      <c r="P196" s="66">
        <f t="shared" si="39"/>
        <v>2688.6624999999999</v>
      </c>
      <c r="Q196" s="66" t="e">
        <f t="shared" si="39"/>
        <v>#DIV/0!</v>
      </c>
      <c r="R196" s="63"/>
      <c r="S196" s="10"/>
      <c r="T196" s="123"/>
      <c r="U196" s="157"/>
      <c r="V196" s="123"/>
      <c r="W196" s="123"/>
      <c r="X196" s="123"/>
      <c r="Y196" s="128"/>
      <c r="Z196" s="128"/>
      <c r="AA196" s="128"/>
      <c r="AB196" s="128"/>
      <c r="AC196" s="128"/>
    </row>
    <row r="197" spans="1:29">
      <c r="A197" s="128"/>
      <c r="B197" s="132"/>
      <c r="C197" s="123"/>
      <c r="D197" s="127"/>
      <c r="E197" s="12"/>
      <c r="F197" s="160"/>
      <c r="G197" s="123"/>
      <c r="H197" s="54"/>
      <c r="I197" s="123"/>
      <c r="J197" s="123"/>
      <c r="K197" s="123"/>
      <c r="L197" s="123"/>
      <c r="M197" s="123"/>
      <c r="N197" s="123"/>
      <c r="O197" s="123"/>
      <c r="P197" s="123"/>
      <c r="Q197" s="123"/>
      <c r="R197" s="123"/>
      <c r="S197" s="123"/>
      <c r="T197" s="123"/>
      <c r="U197" s="157"/>
      <c r="V197" s="123"/>
      <c r="W197" s="123"/>
      <c r="X197" s="123"/>
      <c r="Y197" s="128"/>
      <c r="Z197" s="128"/>
      <c r="AA197" s="128"/>
      <c r="AB197" s="128"/>
      <c r="AC197" s="128"/>
    </row>
    <row r="198" spans="1:29">
      <c r="A198" s="2"/>
      <c r="B198" s="11"/>
      <c r="C198" s="10"/>
      <c r="D198" s="63"/>
      <c r="E198" s="10"/>
      <c r="F198" s="10"/>
      <c r="G198" s="10"/>
      <c r="H198" s="10"/>
      <c r="I198" s="10"/>
      <c r="J198" s="10"/>
      <c r="K198" s="10"/>
      <c r="L198" s="10"/>
      <c r="M198" s="10"/>
      <c r="N198" s="10"/>
      <c r="O198" s="10"/>
      <c r="P198" s="10"/>
      <c r="Q198" s="10"/>
      <c r="R198" s="10"/>
      <c r="S198" s="10"/>
      <c r="T198" s="10"/>
      <c r="U198" s="151"/>
      <c r="V198" s="77"/>
      <c r="W198" s="77"/>
      <c r="X198" s="77"/>
      <c r="Y198" s="2"/>
      <c r="Z198" s="2"/>
      <c r="AA198" s="2"/>
      <c r="AB198" s="2"/>
      <c r="AC198" s="2"/>
    </row>
    <row r="199" spans="1:29">
      <c r="A199" s="2"/>
      <c r="B199" s="18" t="s">
        <v>51</v>
      </c>
      <c r="C199" s="14"/>
      <c r="D199" s="14"/>
      <c r="E199" s="14"/>
      <c r="F199" s="13" t="s">
        <v>52</v>
      </c>
      <c r="G199" s="14"/>
      <c r="H199" s="14"/>
      <c r="I199" s="14"/>
      <c r="J199" s="14"/>
      <c r="K199" s="13" t="s">
        <v>3</v>
      </c>
      <c r="L199" s="14"/>
      <c r="M199" s="14"/>
      <c r="N199" s="13" t="s">
        <v>4</v>
      </c>
      <c r="O199" s="14"/>
      <c r="P199" s="14"/>
      <c r="Q199" s="13" t="s">
        <v>5</v>
      </c>
      <c r="R199" s="14"/>
      <c r="S199" s="14"/>
      <c r="T199" s="18"/>
      <c r="U199" s="161" t="s">
        <v>53</v>
      </c>
      <c r="V199" s="77"/>
      <c r="W199" s="77"/>
      <c r="X199" s="77"/>
      <c r="Y199" s="2"/>
      <c r="Z199" s="2"/>
      <c r="AA199" s="2"/>
      <c r="AB199" s="2"/>
      <c r="AC199" s="2"/>
    </row>
    <row r="200" spans="1:29">
      <c r="A200" s="2"/>
      <c r="B200" s="24" t="s">
        <v>54</v>
      </c>
      <c r="C200" s="21" t="s">
        <v>55</v>
      </c>
      <c r="D200" s="21" t="s">
        <v>56</v>
      </c>
      <c r="E200" s="21" t="s">
        <v>57</v>
      </c>
      <c r="F200" s="20" t="s">
        <v>58</v>
      </c>
      <c r="G200" s="21" t="s">
        <v>59</v>
      </c>
      <c r="H200" s="21" t="s">
        <v>60</v>
      </c>
      <c r="I200" s="21" t="s">
        <v>26</v>
      </c>
      <c r="J200" s="22" t="s">
        <v>61</v>
      </c>
      <c r="K200" s="21" t="s">
        <v>8</v>
      </c>
      <c r="L200" s="21" t="s">
        <v>9</v>
      </c>
      <c r="M200" s="21" t="s">
        <v>10</v>
      </c>
      <c r="N200" s="20" t="s">
        <v>11</v>
      </c>
      <c r="O200" s="21" t="s">
        <v>12</v>
      </c>
      <c r="P200" s="22" t="s">
        <v>13</v>
      </c>
      <c r="Q200" s="21" t="s">
        <v>11</v>
      </c>
      <c r="R200" s="21" t="s">
        <v>12</v>
      </c>
      <c r="S200" s="21" t="s">
        <v>13</v>
      </c>
      <c r="T200" s="78" t="s">
        <v>14</v>
      </c>
      <c r="U200" s="162"/>
      <c r="V200" s="79" t="s">
        <v>62</v>
      </c>
      <c r="W200" s="80" t="s">
        <v>63</v>
      </c>
      <c r="X200" s="81" t="s">
        <v>64</v>
      </c>
      <c r="Y200" s="2"/>
      <c r="Z200" s="2"/>
      <c r="AA200" s="2"/>
      <c r="AB200" s="2"/>
      <c r="AC200" s="2"/>
    </row>
    <row r="201" spans="1:29">
      <c r="A201" s="2"/>
      <c r="B201" s="4" t="s">
        <v>65</v>
      </c>
      <c r="C201" s="6"/>
      <c r="D201" s="6"/>
      <c r="E201" s="6"/>
      <c r="F201" s="6"/>
      <c r="G201" s="6"/>
      <c r="H201" s="6"/>
      <c r="I201" s="82"/>
      <c r="J201" s="6"/>
      <c r="K201" s="6"/>
      <c r="L201" s="6"/>
      <c r="M201" s="6"/>
      <c r="N201" s="6"/>
      <c r="O201" s="6"/>
      <c r="P201" s="6"/>
      <c r="Q201" s="6"/>
      <c r="R201" s="6"/>
      <c r="S201" s="6"/>
      <c r="T201" s="83"/>
      <c r="U201" s="163"/>
      <c r="V201" s="84"/>
      <c r="W201" s="85"/>
      <c r="X201" s="86"/>
      <c r="Y201" s="2"/>
      <c r="Z201" s="2"/>
      <c r="AA201" s="2"/>
      <c r="AB201" s="2"/>
      <c r="AC201" s="2"/>
    </row>
    <row r="202" spans="1:29">
      <c r="A202" s="2"/>
      <c r="B202" s="87">
        <v>1</v>
      </c>
      <c r="C202" s="274">
        <v>45859</v>
      </c>
      <c r="D202" s="327" t="s">
        <v>3218</v>
      </c>
      <c r="E202" s="276" t="s">
        <v>330</v>
      </c>
      <c r="F202" s="277">
        <v>1024.2</v>
      </c>
      <c r="G202" s="277">
        <v>39.700000000000003</v>
      </c>
      <c r="H202" s="297"/>
      <c r="I202" s="278">
        <f>F202-G202-H202</f>
        <v>984.5</v>
      </c>
      <c r="J202" s="279" t="s">
        <v>156</v>
      </c>
      <c r="K202" s="279">
        <v>1</v>
      </c>
      <c r="L202" s="279">
        <v>1</v>
      </c>
      <c r="M202" s="279">
        <v>1</v>
      </c>
      <c r="N202" s="279">
        <v>1</v>
      </c>
      <c r="O202" s="279">
        <v>1</v>
      </c>
      <c r="P202" s="279">
        <v>1</v>
      </c>
      <c r="Q202" s="279">
        <v>1</v>
      </c>
      <c r="R202" s="279">
        <v>1</v>
      </c>
      <c r="S202" s="280">
        <v>1</v>
      </c>
      <c r="T202" s="63"/>
      <c r="U202" s="94"/>
      <c r="V202" s="90">
        <f>112.66+1013.96</f>
        <v>1126.6200000000001</v>
      </c>
      <c r="W202" s="91"/>
      <c r="X202" s="92"/>
      <c r="Y202" s="2"/>
      <c r="Z202" s="2"/>
      <c r="AA202" s="2"/>
      <c r="AB202" s="2"/>
      <c r="AC202" s="2"/>
    </row>
    <row r="203" spans="1:29">
      <c r="A203" s="2"/>
      <c r="B203" s="87">
        <f t="shared" ref="B203:B210" si="40">B202+1</f>
        <v>2</v>
      </c>
      <c r="C203" s="295">
        <v>45859</v>
      </c>
      <c r="D203" s="323">
        <v>71596</v>
      </c>
      <c r="E203" s="10" t="s">
        <v>395</v>
      </c>
      <c r="F203" s="62">
        <v>1138</v>
      </c>
      <c r="G203" s="62">
        <v>39.700000000000003</v>
      </c>
      <c r="H203" s="62"/>
      <c r="I203" s="89">
        <f>F203-G203-H203</f>
        <v>1098.3</v>
      </c>
      <c r="J203" s="63" t="s">
        <v>156</v>
      </c>
      <c r="K203" s="63">
        <v>1</v>
      </c>
      <c r="L203" s="63">
        <v>1</v>
      </c>
      <c r="M203" s="63">
        <v>1</v>
      </c>
      <c r="N203" s="63">
        <v>1</v>
      </c>
      <c r="O203" s="63">
        <v>1</v>
      </c>
      <c r="P203" s="63">
        <v>1</v>
      </c>
      <c r="Q203" s="63">
        <v>1</v>
      </c>
      <c r="R203" s="63">
        <v>1</v>
      </c>
      <c r="S203" s="296">
        <v>1</v>
      </c>
      <c r="T203" s="21">
        <v>1</v>
      </c>
      <c r="U203" s="94" t="s">
        <v>3219</v>
      </c>
      <c r="V203" s="90">
        <f>125.18+1126.62</f>
        <v>1251.8</v>
      </c>
      <c r="W203" s="91"/>
      <c r="X203" s="92"/>
      <c r="Y203" s="2"/>
      <c r="Z203" s="2"/>
      <c r="AA203" s="2"/>
      <c r="AB203" s="2"/>
      <c r="AC203" s="2"/>
    </row>
    <row r="204" spans="1:29">
      <c r="A204" s="93"/>
      <c r="B204" s="87">
        <f t="shared" si="40"/>
        <v>3</v>
      </c>
      <c r="C204" s="295">
        <v>45859</v>
      </c>
      <c r="D204" s="346" t="s">
        <v>3220</v>
      </c>
      <c r="E204" s="10" t="s">
        <v>1863</v>
      </c>
      <c r="F204" s="62">
        <v>681</v>
      </c>
      <c r="G204" s="62"/>
      <c r="H204" s="62"/>
      <c r="I204" s="89">
        <f>F204-G204-H204</f>
        <v>681</v>
      </c>
      <c r="J204" s="63" t="s">
        <v>228</v>
      </c>
      <c r="K204" s="63">
        <v>1</v>
      </c>
      <c r="L204" s="63">
        <v>1</v>
      </c>
      <c r="M204" s="63">
        <v>1</v>
      </c>
      <c r="N204" s="63">
        <v>1</v>
      </c>
      <c r="O204" s="63">
        <v>1</v>
      </c>
      <c r="P204" s="63">
        <v>1</v>
      </c>
      <c r="Q204" s="63">
        <v>1</v>
      </c>
      <c r="R204" s="63">
        <v>1</v>
      </c>
      <c r="S204" s="296">
        <v>1</v>
      </c>
      <c r="T204" s="63"/>
      <c r="U204" s="94"/>
      <c r="V204" s="90">
        <f>74.91+674.19</f>
        <v>749.1</v>
      </c>
      <c r="W204" s="91"/>
      <c r="X204" s="92"/>
      <c r="Y204" s="2"/>
      <c r="Z204" s="2"/>
      <c r="AA204" s="2"/>
      <c r="AB204" s="2"/>
      <c r="AC204" s="2"/>
    </row>
    <row r="205" spans="1:29">
      <c r="A205" s="2"/>
      <c r="B205" s="87">
        <f t="shared" si="40"/>
        <v>4</v>
      </c>
      <c r="C205" s="274">
        <v>45861</v>
      </c>
      <c r="D205" s="327">
        <v>71572</v>
      </c>
      <c r="E205" s="276" t="s">
        <v>1211</v>
      </c>
      <c r="F205" s="277">
        <v>1138</v>
      </c>
      <c r="G205" s="277">
        <v>39.700000000000003</v>
      </c>
      <c r="H205" s="297"/>
      <c r="I205" s="278">
        <f>F205-G205-H205</f>
        <v>1098.3</v>
      </c>
      <c r="J205" s="279" t="s">
        <v>156</v>
      </c>
      <c r="K205" s="279">
        <v>1</v>
      </c>
      <c r="L205" s="279">
        <v>1</v>
      </c>
      <c r="M205" s="279">
        <v>1</v>
      </c>
      <c r="N205" s="279">
        <v>1</v>
      </c>
      <c r="O205" s="279">
        <v>1</v>
      </c>
      <c r="P205" s="279">
        <v>1</v>
      </c>
      <c r="Q205" s="279">
        <v>1</v>
      </c>
      <c r="R205" s="279">
        <v>1</v>
      </c>
      <c r="S205" s="280">
        <v>1</v>
      </c>
      <c r="T205" s="21">
        <v>1</v>
      </c>
      <c r="U205" s="94" t="s">
        <v>3221</v>
      </c>
      <c r="V205" s="90">
        <f>125.18+1126.62</f>
        <v>1251.8</v>
      </c>
      <c r="W205" s="91"/>
      <c r="X205" s="92"/>
      <c r="Y205" s="2"/>
      <c r="Z205" s="2"/>
      <c r="AA205" s="2"/>
      <c r="AB205" s="2"/>
      <c r="AC205" s="2"/>
    </row>
    <row r="206" spans="1:29">
      <c r="A206" s="2"/>
      <c r="B206" s="87">
        <f t="shared" si="40"/>
        <v>5</v>
      </c>
      <c r="C206" s="274">
        <v>45862</v>
      </c>
      <c r="D206" s="320" t="s">
        <v>3222</v>
      </c>
      <c r="E206" s="281" t="s">
        <v>464</v>
      </c>
      <c r="F206" s="277">
        <v>2861</v>
      </c>
      <c r="G206" s="277">
        <v>39.700000000000003</v>
      </c>
      <c r="H206" s="277"/>
      <c r="I206" s="278">
        <f>F206-G206-H206</f>
        <v>2821.3</v>
      </c>
      <c r="J206" s="279" t="s">
        <v>156</v>
      </c>
      <c r="K206" s="279">
        <v>1</v>
      </c>
      <c r="L206" s="279">
        <v>1</v>
      </c>
      <c r="M206" s="279">
        <v>1</v>
      </c>
      <c r="N206" s="279">
        <v>1</v>
      </c>
      <c r="O206" s="279">
        <v>1</v>
      </c>
      <c r="P206" s="279">
        <v>1</v>
      </c>
      <c r="Q206" s="279">
        <v>1</v>
      </c>
      <c r="R206" s="279">
        <v>1</v>
      </c>
      <c r="S206" s="280">
        <v>1</v>
      </c>
      <c r="T206" s="21">
        <v>1</v>
      </c>
      <c r="U206" s="94"/>
      <c r="V206" s="90">
        <f>314.71+2832.39</f>
        <v>3147.1</v>
      </c>
      <c r="W206" s="91"/>
      <c r="X206" s="92"/>
      <c r="Y206" s="2"/>
      <c r="Z206" s="2"/>
      <c r="AA206" s="2"/>
      <c r="AB206" s="2"/>
      <c r="AC206" s="2"/>
    </row>
    <row r="207" spans="1:29">
      <c r="A207" s="2"/>
      <c r="B207" s="87">
        <f t="shared" si="40"/>
        <v>6</v>
      </c>
      <c r="C207" s="295">
        <v>45862</v>
      </c>
      <c r="D207" s="323">
        <v>71686</v>
      </c>
      <c r="E207" s="101" t="s">
        <v>464</v>
      </c>
      <c r="F207" s="62">
        <v>612.9</v>
      </c>
      <c r="G207" s="62"/>
      <c r="H207" s="88"/>
      <c r="I207" s="89">
        <f t="shared" ref="I207" si="41">F207-G207-H207</f>
        <v>612.9</v>
      </c>
      <c r="J207" s="63" t="s">
        <v>156</v>
      </c>
      <c r="K207" s="63">
        <v>1</v>
      </c>
      <c r="L207" s="63">
        <v>1</v>
      </c>
      <c r="M207" s="63">
        <v>1</v>
      </c>
      <c r="N207" s="63">
        <v>1</v>
      </c>
      <c r="O207" s="63">
        <v>1</v>
      </c>
      <c r="P207" s="63">
        <v>1</v>
      </c>
      <c r="Q207" s="63">
        <v>1</v>
      </c>
      <c r="R207" s="63">
        <v>1</v>
      </c>
      <c r="S207" s="296">
        <v>1</v>
      </c>
      <c r="T207" s="21">
        <v>1</v>
      </c>
      <c r="U207" s="94"/>
      <c r="V207" s="90">
        <f>67.42+606.77</f>
        <v>674.18999999999994</v>
      </c>
      <c r="W207" s="91"/>
      <c r="X207" s="92"/>
      <c r="Y207" s="2"/>
      <c r="Z207" s="2"/>
      <c r="AA207" s="2"/>
      <c r="AB207" s="2"/>
      <c r="AC207" s="2"/>
    </row>
    <row r="208" spans="1:29">
      <c r="A208" s="2"/>
      <c r="B208" s="87">
        <f t="shared" si="40"/>
        <v>7</v>
      </c>
      <c r="C208" s="295">
        <v>45862</v>
      </c>
      <c r="D208" s="323" t="s">
        <v>3223</v>
      </c>
      <c r="E208" s="101" t="s">
        <v>739</v>
      </c>
      <c r="F208" s="62">
        <v>1138</v>
      </c>
      <c r="G208" s="62">
        <v>39.700000000000003</v>
      </c>
      <c r="H208" s="62"/>
      <c r="I208" s="89">
        <f>F208-G208-H208</f>
        <v>1098.3</v>
      </c>
      <c r="J208" s="63" t="s">
        <v>228</v>
      </c>
      <c r="K208" s="63">
        <v>1</v>
      </c>
      <c r="L208" s="63">
        <v>1</v>
      </c>
      <c r="M208" s="63">
        <v>1</v>
      </c>
      <c r="N208" s="63">
        <v>1</v>
      </c>
      <c r="O208" s="63">
        <v>1</v>
      </c>
      <c r="P208" s="63">
        <v>1</v>
      </c>
      <c r="Q208" s="63">
        <v>1</v>
      </c>
      <c r="R208" s="63">
        <v>1</v>
      </c>
      <c r="S208" s="296">
        <v>1</v>
      </c>
      <c r="T208" s="63"/>
      <c r="U208" s="94" t="s">
        <v>3224</v>
      </c>
      <c r="V208" s="90">
        <f>125.18+1126.62</f>
        <v>1251.8</v>
      </c>
      <c r="W208" s="91"/>
      <c r="X208" s="92"/>
      <c r="Y208" s="2"/>
      <c r="Z208" s="2"/>
      <c r="AA208" s="2"/>
      <c r="AB208" s="2"/>
      <c r="AC208" s="2"/>
    </row>
    <row r="209" spans="1:31">
      <c r="A209" s="388">
        <v>45864</v>
      </c>
      <c r="B209" s="87">
        <f t="shared" si="40"/>
        <v>8</v>
      </c>
      <c r="C209" s="295">
        <v>45862</v>
      </c>
      <c r="D209" s="323">
        <v>71734</v>
      </c>
      <c r="E209" s="10" t="s">
        <v>317</v>
      </c>
      <c r="F209" s="62">
        <f>1952-500</f>
        <v>1452</v>
      </c>
      <c r="G209" s="62">
        <v>39.700000000000003</v>
      </c>
      <c r="H209" s="62"/>
      <c r="I209" s="369">
        <f>F209-G209-H209</f>
        <v>1412.3</v>
      </c>
      <c r="J209" s="63" t="s">
        <v>228</v>
      </c>
      <c r="K209" s="63">
        <v>1</v>
      </c>
      <c r="L209" s="63">
        <v>1</v>
      </c>
      <c r="M209" s="63">
        <v>1</v>
      </c>
      <c r="N209" s="63">
        <v>1</v>
      </c>
      <c r="O209" s="63">
        <v>1</v>
      </c>
      <c r="P209" s="63">
        <v>1</v>
      </c>
      <c r="Q209" s="63">
        <v>1</v>
      </c>
      <c r="R209" s="63">
        <v>1</v>
      </c>
      <c r="S209" s="296">
        <v>1</v>
      </c>
      <c r="T209" s="21">
        <v>1</v>
      </c>
      <c r="U209" s="94" t="s">
        <v>3225</v>
      </c>
      <c r="V209" s="90">
        <f>214.72+1932.48</f>
        <v>2147.1999999999998</v>
      </c>
      <c r="W209" s="91"/>
      <c r="X209" s="92"/>
      <c r="Y209" s="2"/>
      <c r="Z209" s="2"/>
      <c r="AA209" s="2"/>
      <c r="AB209" s="2"/>
      <c r="AC209" s="2"/>
    </row>
    <row r="210" spans="1:31">
      <c r="A210" s="2"/>
      <c r="B210" s="87">
        <f t="shared" si="40"/>
        <v>9</v>
      </c>
      <c r="C210" s="274">
        <v>45863</v>
      </c>
      <c r="D210" s="327">
        <v>71755</v>
      </c>
      <c r="E210" s="276" t="s">
        <v>382</v>
      </c>
      <c r="F210" s="277">
        <v>681</v>
      </c>
      <c r="G210" s="277">
        <f>22.51+(22.51)</f>
        <v>45.02</v>
      </c>
      <c r="H210" s="297"/>
      <c r="I210" s="278">
        <f>F210-G210-H210</f>
        <v>635.98</v>
      </c>
      <c r="J210" s="279" t="s">
        <v>156</v>
      </c>
      <c r="K210" s="279">
        <v>1</v>
      </c>
      <c r="L210" s="279">
        <v>1</v>
      </c>
      <c r="M210" s="279">
        <v>1</v>
      </c>
      <c r="N210" s="279">
        <v>1</v>
      </c>
      <c r="O210" s="279">
        <v>1</v>
      </c>
      <c r="P210" s="279">
        <v>1</v>
      </c>
      <c r="Q210" s="279">
        <v>1</v>
      </c>
      <c r="R210" s="279">
        <v>1</v>
      </c>
      <c r="S210" s="280">
        <v>1</v>
      </c>
      <c r="T210" s="63"/>
      <c r="U210" s="94"/>
      <c r="V210" s="90">
        <f>74.91+674.19</f>
        <v>749.1</v>
      </c>
      <c r="W210" s="91"/>
      <c r="X210" s="92"/>
      <c r="Y210" s="2"/>
      <c r="Z210" s="2"/>
      <c r="AA210" s="2"/>
      <c r="AB210" s="2"/>
      <c r="AC210" s="2"/>
    </row>
    <row r="211" spans="1:31">
      <c r="A211" s="2"/>
      <c r="B211" s="87">
        <f>B210+1</f>
        <v>10</v>
      </c>
      <c r="C211" s="295">
        <v>45863</v>
      </c>
      <c r="D211" s="323" t="s">
        <v>3226</v>
      </c>
      <c r="E211" s="10" t="s">
        <v>278</v>
      </c>
      <c r="F211" s="62">
        <v>2861</v>
      </c>
      <c r="G211" s="62">
        <f>39.7+24+(191.61+115.72-1.58-0.89)</f>
        <v>368.56000000000006</v>
      </c>
      <c r="H211" s="62"/>
      <c r="I211" s="89">
        <f>F211-G211-H211</f>
        <v>2492.44</v>
      </c>
      <c r="J211" s="63" t="s">
        <v>228</v>
      </c>
      <c r="K211" s="63">
        <v>1</v>
      </c>
      <c r="L211" s="63">
        <v>1</v>
      </c>
      <c r="M211" s="63">
        <v>1</v>
      </c>
      <c r="N211" s="63">
        <v>1</v>
      </c>
      <c r="O211" s="63">
        <v>1</v>
      </c>
      <c r="P211" s="63">
        <v>1</v>
      </c>
      <c r="Q211" s="63">
        <v>1</v>
      </c>
      <c r="R211" s="63">
        <v>1</v>
      </c>
      <c r="S211" s="296">
        <v>1</v>
      </c>
      <c r="T211" s="63"/>
      <c r="U211" s="94" t="s">
        <v>3227</v>
      </c>
      <c r="V211" s="90">
        <f>314.71+2832.39</f>
        <v>3147.1</v>
      </c>
      <c r="W211" s="91"/>
      <c r="X211" s="92"/>
      <c r="Y211" s="2"/>
      <c r="Z211" s="2"/>
      <c r="AA211" s="2"/>
      <c r="AB211" s="2"/>
      <c r="AC211" s="2"/>
    </row>
    <row r="212" spans="1:31">
      <c r="A212" s="2"/>
      <c r="B212" s="87">
        <f>B211+1</f>
        <v>11</v>
      </c>
      <c r="C212" s="282">
        <v>45863</v>
      </c>
      <c r="D212" s="368">
        <v>71752</v>
      </c>
      <c r="E212" s="283" t="s">
        <v>1143</v>
      </c>
      <c r="F212" s="284">
        <f>2946-85</f>
        <v>2861</v>
      </c>
      <c r="G212" s="284">
        <f>39.7+(251.79)</f>
        <v>291.49</v>
      </c>
      <c r="H212" s="284"/>
      <c r="I212" s="285">
        <f>F212-G212-H212</f>
        <v>2569.5100000000002</v>
      </c>
      <c r="J212" s="286" t="s">
        <v>228</v>
      </c>
      <c r="K212" s="286">
        <v>1</v>
      </c>
      <c r="L212" s="286">
        <v>1</v>
      </c>
      <c r="M212" s="286">
        <v>1</v>
      </c>
      <c r="N212" s="286">
        <v>1</v>
      </c>
      <c r="O212" s="286">
        <v>1</v>
      </c>
      <c r="P212" s="286">
        <v>1</v>
      </c>
      <c r="Q212" s="286">
        <v>1</v>
      </c>
      <c r="R212" s="286">
        <v>1</v>
      </c>
      <c r="S212" s="287">
        <v>1</v>
      </c>
      <c r="T212" s="63"/>
      <c r="U212" s="94"/>
      <c r="V212" s="90">
        <f>93.5+314.71+2832.39</f>
        <v>3240.6</v>
      </c>
      <c r="W212" s="91"/>
      <c r="X212" s="92"/>
      <c r="Y212" s="2"/>
      <c r="Z212" s="2"/>
      <c r="AA212" s="2"/>
      <c r="AB212" s="2"/>
      <c r="AC212" s="2"/>
    </row>
    <row r="213" spans="1:31">
      <c r="A213" s="2"/>
      <c r="B213" s="87"/>
      <c r="C213" s="36"/>
      <c r="D213" s="10"/>
      <c r="E213" s="10"/>
      <c r="F213" s="97">
        <f>SUM(F202:F212)</f>
        <v>16448.099999999999</v>
      </c>
      <c r="G213" s="97">
        <f>SUM(G202:G212)</f>
        <v>943.27</v>
      </c>
      <c r="H213" s="97">
        <f>SUM(H202:H212)</f>
        <v>0</v>
      </c>
      <c r="I213" s="98">
        <f>SUM(I202:I212)</f>
        <v>15504.83</v>
      </c>
      <c r="J213" s="63"/>
      <c r="K213" s="63">
        <f t="shared" ref="K213:S213" si="42">COUNT(K202:K212)</f>
        <v>11</v>
      </c>
      <c r="L213" s="63">
        <f t="shared" si="42"/>
        <v>11</v>
      </c>
      <c r="M213" s="63">
        <f t="shared" si="42"/>
        <v>11</v>
      </c>
      <c r="N213" s="63">
        <f t="shared" si="42"/>
        <v>11</v>
      </c>
      <c r="O213" s="63">
        <f t="shared" si="42"/>
        <v>11</v>
      </c>
      <c r="P213" s="63">
        <f t="shared" si="42"/>
        <v>11</v>
      </c>
      <c r="Q213" s="63">
        <f t="shared" si="42"/>
        <v>11</v>
      </c>
      <c r="R213" s="63">
        <f t="shared" si="42"/>
        <v>11</v>
      </c>
      <c r="S213" s="63">
        <f t="shared" si="42"/>
        <v>11</v>
      </c>
      <c r="T213" s="63"/>
      <c r="U213" s="94"/>
      <c r="V213" s="90"/>
      <c r="W213" s="91"/>
      <c r="X213" s="92"/>
      <c r="Y213" s="2"/>
      <c r="Z213" s="2"/>
      <c r="AA213" s="2"/>
      <c r="AB213" s="2"/>
      <c r="AC213" s="2"/>
    </row>
    <row r="214" spans="1:31">
      <c r="A214" s="2"/>
      <c r="B214" s="87"/>
      <c r="C214" s="36"/>
      <c r="D214" s="10"/>
      <c r="E214" s="10"/>
      <c r="F214" s="88"/>
      <c r="G214" s="88"/>
      <c r="H214" s="88"/>
      <c r="I214" s="99"/>
      <c r="J214" s="63"/>
      <c r="K214" s="21">
        <f t="shared" ref="K214:S214" si="43">SUM(K202:K212)</f>
        <v>11</v>
      </c>
      <c r="L214" s="21">
        <f t="shared" si="43"/>
        <v>11</v>
      </c>
      <c r="M214" s="21">
        <f t="shared" si="43"/>
        <v>11</v>
      </c>
      <c r="N214" s="21">
        <f t="shared" si="43"/>
        <v>11</v>
      </c>
      <c r="O214" s="21">
        <f t="shared" si="43"/>
        <v>11</v>
      </c>
      <c r="P214" s="21">
        <f t="shared" si="43"/>
        <v>11</v>
      </c>
      <c r="Q214" s="21">
        <f t="shared" si="43"/>
        <v>11</v>
      </c>
      <c r="R214" s="21">
        <f t="shared" si="43"/>
        <v>11</v>
      </c>
      <c r="S214" s="21">
        <f t="shared" si="43"/>
        <v>11</v>
      </c>
      <c r="T214" s="63"/>
      <c r="U214" s="94"/>
      <c r="V214" s="90"/>
      <c r="W214" s="91"/>
      <c r="X214" s="92"/>
      <c r="Y214" s="2"/>
      <c r="Z214" s="2"/>
      <c r="AA214" s="2"/>
      <c r="AB214" s="2"/>
      <c r="AC214" s="2"/>
    </row>
    <row r="215" spans="1:31">
      <c r="A215" s="2"/>
      <c r="B215" s="11"/>
      <c r="C215" s="36"/>
      <c r="D215" s="10"/>
      <c r="E215" s="10"/>
      <c r="F215" s="88"/>
      <c r="G215" s="88"/>
      <c r="H215" s="88"/>
      <c r="I215" s="99"/>
      <c r="J215" s="63"/>
      <c r="K215" s="21"/>
      <c r="L215" s="21"/>
      <c r="M215" s="21"/>
      <c r="N215" s="21"/>
      <c r="O215" s="21"/>
      <c r="P215" s="21"/>
      <c r="Q215" s="21"/>
      <c r="R215" s="21"/>
      <c r="S215" s="21"/>
      <c r="T215" s="63"/>
      <c r="U215" s="94"/>
      <c r="V215" s="90"/>
      <c r="W215" s="91"/>
      <c r="X215" s="92"/>
      <c r="Y215" s="2"/>
      <c r="Z215" s="2"/>
      <c r="AA215" s="2"/>
      <c r="AB215" s="2"/>
      <c r="AC215" s="2"/>
    </row>
    <row r="216" spans="1:31">
      <c r="A216" s="2"/>
      <c r="B216" s="100" t="s">
        <v>67</v>
      </c>
      <c r="C216" s="36"/>
      <c r="D216" s="10"/>
      <c r="E216" s="10"/>
      <c r="F216" s="88"/>
      <c r="G216" s="62"/>
      <c r="H216" s="88"/>
      <c r="I216" s="99"/>
      <c r="J216" s="63"/>
      <c r="K216" s="2"/>
      <c r="L216" s="2"/>
      <c r="M216" s="2"/>
      <c r="N216" s="2"/>
      <c r="O216" s="2"/>
      <c r="P216" s="2"/>
      <c r="Q216" s="2"/>
      <c r="R216" s="2"/>
      <c r="S216" s="2"/>
      <c r="T216" s="63"/>
      <c r="U216" s="94"/>
      <c r="V216" s="90"/>
      <c r="W216" s="91"/>
      <c r="X216" s="92"/>
      <c r="Y216" s="2"/>
      <c r="Z216" s="2"/>
      <c r="AA216" s="2"/>
      <c r="AB216" s="2"/>
      <c r="AC216" s="2"/>
    </row>
    <row r="217" spans="1:31">
      <c r="A217" s="371" t="s">
        <v>3228</v>
      </c>
      <c r="B217" s="372">
        <v>1</v>
      </c>
      <c r="C217" s="442">
        <v>45854</v>
      </c>
      <c r="D217" s="327" t="s">
        <v>3201</v>
      </c>
      <c r="E217" s="525" t="s">
        <v>1757</v>
      </c>
      <c r="F217" s="445">
        <f>1264-1264</f>
        <v>0</v>
      </c>
      <c r="G217" s="445">
        <f>39.7+(35.34)-75.04</f>
        <v>0</v>
      </c>
      <c r="H217" s="445"/>
      <c r="I217" s="329">
        <f>F217-G217-H217</f>
        <v>0</v>
      </c>
      <c r="J217" s="322" t="s">
        <v>2869</v>
      </c>
      <c r="K217" s="322">
        <v>1</v>
      </c>
      <c r="L217" s="322">
        <v>1</v>
      </c>
      <c r="M217" s="322"/>
      <c r="N217" s="322">
        <v>1</v>
      </c>
      <c r="O217" s="322">
        <v>1</v>
      </c>
      <c r="P217" s="322">
        <v>0</v>
      </c>
      <c r="Q217" s="322">
        <v>0</v>
      </c>
      <c r="R217" s="322">
        <v>0</v>
      </c>
      <c r="S217" s="328">
        <v>0</v>
      </c>
      <c r="T217" s="325"/>
      <c r="U217" s="430" t="s">
        <v>3229</v>
      </c>
      <c r="V217" s="377"/>
      <c r="W217" s="378"/>
      <c r="X217" s="393"/>
      <c r="Y217" s="380"/>
      <c r="Z217" s="380"/>
      <c r="AA217" s="380"/>
      <c r="AB217" s="380"/>
      <c r="AC217" s="380"/>
    </row>
    <row r="218" spans="1:31">
      <c r="A218" s="371" t="s">
        <v>249</v>
      </c>
      <c r="B218" s="372">
        <f>B217+1</f>
        <v>2</v>
      </c>
      <c r="C218" s="373">
        <v>45694</v>
      </c>
      <c r="D218" s="263">
        <v>626228</v>
      </c>
      <c r="E218" s="524" t="s">
        <v>3163</v>
      </c>
      <c r="F218" s="375">
        <v>4219.82</v>
      </c>
      <c r="G218" s="375">
        <f>201.82*1.1</f>
        <v>222.00200000000001</v>
      </c>
      <c r="H218" s="375"/>
      <c r="I218" s="376">
        <f t="shared" ref="I218" si="44">F218-G218-H218</f>
        <v>3997.8179999999998</v>
      </c>
      <c r="J218" s="314" t="s">
        <v>156</v>
      </c>
      <c r="K218" s="314">
        <v>1</v>
      </c>
      <c r="L218" s="314"/>
      <c r="M218" s="314">
        <v>1</v>
      </c>
      <c r="N218" s="314">
        <v>1</v>
      </c>
      <c r="O218" s="314">
        <v>1</v>
      </c>
      <c r="P218" s="314">
        <v>1</v>
      </c>
      <c r="Q218" s="314"/>
      <c r="R218" s="314"/>
      <c r="S218" s="366"/>
      <c r="T218" s="325"/>
      <c r="U218" s="430" t="s">
        <v>3164</v>
      </c>
      <c r="V218" s="377"/>
      <c r="W218" s="378"/>
      <c r="X218" s="393"/>
      <c r="Y218" s="380"/>
      <c r="Z218" s="380"/>
      <c r="AA218" s="380"/>
      <c r="AB218" s="380"/>
      <c r="AC218" s="380"/>
    </row>
    <row r="219" spans="1:31">
      <c r="A219" s="371" t="s">
        <v>3230</v>
      </c>
      <c r="B219" s="372">
        <f t="shared" ref="B219:B220" si="45">B218+1</f>
        <v>3</v>
      </c>
      <c r="C219" s="513">
        <v>45826</v>
      </c>
      <c r="D219" s="320">
        <v>701572</v>
      </c>
      <c r="E219" s="444" t="s">
        <v>3167</v>
      </c>
      <c r="F219" s="445">
        <v>3261</v>
      </c>
      <c r="G219" s="445"/>
      <c r="H219" s="445"/>
      <c r="I219" s="329">
        <f>F219-G219-H219</f>
        <v>3261</v>
      </c>
      <c r="J219" s="322" t="s">
        <v>228</v>
      </c>
      <c r="K219" s="322">
        <v>1</v>
      </c>
      <c r="L219" s="322"/>
      <c r="M219" s="322">
        <v>1</v>
      </c>
      <c r="N219" s="322">
        <v>1</v>
      </c>
      <c r="O219" s="322">
        <v>1</v>
      </c>
      <c r="P219" s="322">
        <v>1</v>
      </c>
      <c r="Q219" s="322"/>
      <c r="R219" s="322"/>
      <c r="S219" s="328"/>
      <c r="T219" s="325"/>
      <c r="U219" s="430" t="s">
        <v>3231</v>
      </c>
      <c r="V219" s="377"/>
      <c r="W219" s="392"/>
      <c r="X219" s="379"/>
      <c r="Y219" s="380"/>
      <c r="Z219" s="380"/>
      <c r="AA219" s="380"/>
      <c r="AB219" s="380"/>
      <c r="AC219" s="380"/>
      <c r="AD219" s="380"/>
      <c r="AE219" s="380"/>
    </row>
    <row r="220" spans="1:31">
      <c r="A220" s="371" t="s">
        <v>3232</v>
      </c>
      <c r="B220" s="372">
        <f t="shared" si="45"/>
        <v>4</v>
      </c>
      <c r="C220" s="373">
        <v>45856</v>
      </c>
      <c r="D220" s="263">
        <v>71558</v>
      </c>
      <c r="E220" s="391" t="s">
        <v>294</v>
      </c>
      <c r="F220" s="375">
        <f>616-616</f>
        <v>0</v>
      </c>
      <c r="G220" s="375"/>
      <c r="H220" s="375"/>
      <c r="I220" s="376">
        <f>F220-G220-H220</f>
        <v>0</v>
      </c>
      <c r="J220" s="314" t="s">
        <v>156</v>
      </c>
      <c r="K220" s="314">
        <v>1</v>
      </c>
      <c r="L220" s="314"/>
      <c r="M220" s="314">
        <v>1</v>
      </c>
      <c r="N220" s="314">
        <v>1</v>
      </c>
      <c r="O220" s="314">
        <v>1</v>
      </c>
      <c r="P220" s="314">
        <v>1</v>
      </c>
      <c r="Q220" s="314"/>
      <c r="R220" s="314"/>
      <c r="S220" s="366"/>
      <c r="T220" s="325"/>
      <c r="U220" s="430" t="s">
        <v>3233</v>
      </c>
      <c r="V220" s="377"/>
      <c r="W220" s="392"/>
      <c r="X220" s="379"/>
      <c r="Y220" s="380"/>
      <c r="Z220" s="380"/>
      <c r="AA220" s="380"/>
      <c r="AB220" s="380"/>
      <c r="AC220" s="380"/>
      <c r="AD220" s="381"/>
      <c r="AE220" s="381"/>
    </row>
    <row r="221" spans="1:31">
      <c r="A221" s="2"/>
      <c r="B221" s="11"/>
      <c r="C221" s="36"/>
      <c r="D221" s="10"/>
      <c r="E221" s="10"/>
      <c r="F221" s="97">
        <f>SUM(F217:F220)</f>
        <v>7480.82</v>
      </c>
      <c r="G221" s="97">
        <f t="shared" ref="G221:I221" si="46">SUM(G217:G220)</f>
        <v>222.00200000000001</v>
      </c>
      <c r="H221" s="97">
        <f t="shared" si="46"/>
        <v>0</v>
      </c>
      <c r="I221" s="97">
        <f t="shared" si="46"/>
        <v>7258.8179999999993</v>
      </c>
      <c r="J221" s="63"/>
      <c r="K221" s="21"/>
      <c r="L221" s="21"/>
      <c r="M221" s="21"/>
      <c r="N221" s="21"/>
      <c r="O221" s="21"/>
      <c r="P221" s="21"/>
      <c r="Q221" s="21"/>
      <c r="R221" s="21"/>
      <c r="S221" s="21"/>
      <c r="T221" s="63"/>
      <c r="U221" s="94"/>
      <c r="V221" s="90"/>
      <c r="W221" s="91"/>
      <c r="X221" s="92"/>
      <c r="Y221" s="2"/>
      <c r="Z221" s="2"/>
      <c r="AA221" s="2"/>
      <c r="AB221" s="2"/>
      <c r="AC221" s="2"/>
    </row>
    <row r="222" spans="1:31">
      <c r="A222" s="2"/>
      <c r="B222" s="11"/>
      <c r="C222" s="36"/>
      <c r="D222" s="10"/>
      <c r="E222" s="10"/>
      <c r="F222" s="88"/>
      <c r="G222" s="88"/>
      <c r="H222" s="88"/>
      <c r="I222" s="99"/>
      <c r="J222" s="63"/>
      <c r="K222" s="21"/>
      <c r="L222" s="21"/>
      <c r="M222" s="21"/>
      <c r="N222" s="21"/>
      <c r="O222" s="21"/>
      <c r="P222" s="21"/>
      <c r="Q222" s="21"/>
      <c r="R222" s="21"/>
      <c r="S222" s="21"/>
      <c r="T222" s="63"/>
      <c r="U222" s="94"/>
      <c r="V222" s="90"/>
      <c r="W222" s="91"/>
      <c r="X222" s="92"/>
      <c r="Y222" s="2"/>
      <c r="Z222" s="2"/>
      <c r="AA222" s="2"/>
      <c r="AB222" s="2"/>
      <c r="AC222" s="2"/>
    </row>
    <row r="223" spans="1:31">
      <c r="A223" s="128"/>
      <c r="B223" s="121" t="s">
        <v>70</v>
      </c>
      <c r="C223" s="122"/>
      <c r="D223" s="123"/>
      <c r="E223" s="128"/>
      <c r="F223" s="124"/>
      <c r="G223" s="124"/>
      <c r="H223" s="124"/>
      <c r="I223" s="126"/>
      <c r="J223" s="127"/>
      <c r="K223" s="64"/>
      <c r="L223" s="64"/>
      <c r="M223" s="64"/>
      <c r="N223" s="64"/>
      <c r="O223" s="64"/>
      <c r="P223" s="64"/>
      <c r="Q223" s="64"/>
      <c r="R223" s="64"/>
      <c r="S223" s="64"/>
      <c r="T223" s="127"/>
      <c r="U223" s="135"/>
      <c r="V223" s="129"/>
      <c r="W223" s="130"/>
      <c r="X223" s="131"/>
      <c r="Y223" s="128"/>
      <c r="Z223" s="128"/>
      <c r="AA223" s="128"/>
      <c r="AB223" s="128"/>
      <c r="AC223" s="128"/>
    </row>
    <row r="224" spans="1:31" s="342" customFormat="1">
      <c r="A224" s="356" t="s">
        <v>3234</v>
      </c>
      <c r="B224" s="333">
        <v>1</v>
      </c>
      <c r="C224" s="334">
        <v>45859</v>
      </c>
      <c r="D224" s="526" t="s">
        <v>3235</v>
      </c>
      <c r="E224" s="335" t="s">
        <v>1863</v>
      </c>
      <c r="F224" s="336">
        <v>9753.9</v>
      </c>
      <c r="G224" s="336">
        <f>39.7+(89.61+96.05+57.19+34.6+236.82+9.62+186.01)+(20.69+61.79+26.83)+750</f>
        <v>1608.91</v>
      </c>
      <c r="H224" s="336"/>
      <c r="I224" s="337">
        <f>F224-G224-H224</f>
        <v>8144.99</v>
      </c>
      <c r="J224" s="338" t="s">
        <v>374</v>
      </c>
      <c r="K224" s="338">
        <v>1</v>
      </c>
      <c r="L224" s="338">
        <v>1</v>
      </c>
      <c r="M224" s="338">
        <v>1</v>
      </c>
      <c r="N224" s="338">
        <v>1</v>
      </c>
      <c r="O224" s="338">
        <v>1</v>
      </c>
      <c r="P224" s="338">
        <v>1</v>
      </c>
      <c r="Q224" s="338">
        <v>0</v>
      </c>
      <c r="R224" s="338">
        <v>0</v>
      </c>
      <c r="S224" s="339">
        <v>0</v>
      </c>
      <c r="T224" s="127"/>
      <c r="U224" s="135" t="s">
        <v>3236</v>
      </c>
      <c r="V224" s="129">
        <f>4000+1409.54+3000</f>
        <v>8409.5400000000009</v>
      </c>
      <c r="W224" s="340"/>
      <c r="X224" s="341"/>
      <c r="Y224" s="128"/>
      <c r="Z224" s="128"/>
      <c r="AA224" s="128"/>
      <c r="AB224" s="128"/>
      <c r="AC224" s="128"/>
    </row>
    <row r="225" spans="1:29" s="342" customFormat="1">
      <c r="A225" s="356">
        <v>0.1</v>
      </c>
      <c r="B225" s="333">
        <f t="shared" ref="B225:B228" si="47">B224+1</f>
        <v>2</v>
      </c>
      <c r="C225" s="345">
        <v>45859</v>
      </c>
      <c r="D225" s="323">
        <v>71574</v>
      </c>
      <c r="E225" s="123" t="s">
        <v>327</v>
      </c>
      <c r="F225" s="125">
        <v>1461</v>
      </c>
      <c r="G225" s="125">
        <v>39.700000000000003</v>
      </c>
      <c r="H225" s="125"/>
      <c r="I225" s="347">
        <f t="shared" ref="I225" si="48">F225-G225-H225</f>
        <v>1421.3</v>
      </c>
      <c r="J225" s="127" t="s">
        <v>156</v>
      </c>
      <c r="K225" s="127">
        <v>1</v>
      </c>
      <c r="L225" s="127"/>
      <c r="M225" s="127">
        <v>1</v>
      </c>
      <c r="N225" s="127">
        <v>1</v>
      </c>
      <c r="O225" s="127">
        <v>1</v>
      </c>
      <c r="P225" s="127">
        <v>1</v>
      </c>
      <c r="Q225" s="127"/>
      <c r="R225" s="127"/>
      <c r="S225" s="349"/>
      <c r="T225" s="127"/>
      <c r="U225" s="135" t="s">
        <v>3237</v>
      </c>
      <c r="V225" s="129">
        <v>325</v>
      </c>
      <c r="W225" s="340"/>
      <c r="X225" s="341"/>
      <c r="Y225" s="128"/>
      <c r="Z225" s="128"/>
      <c r="AA225" s="128"/>
      <c r="AB225" s="128"/>
      <c r="AC225" s="128"/>
    </row>
    <row r="226" spans="1:29" s="342" customFormat="1">
      <c r="A226" s="356">
        <v>0.1</v>
      </c>
      <c r="B226" s="333">
        <f t="shared" si="47"/>
        <v>3</v>
      </c>
      <c r="C226" s="334">
        <v>45861</v>
      </c>
      <c r="D226" s="327">
        <v>71688</v>
      </c>
      <c r="E226" s="335" t="s">
        <v>604</v>
      </c>
      <c r="F226" s="336">
        <v>581</v>
      </c>
      <c r="G226" s="336"/>
      <c r="H226" s="336"/>
      <c r="I226" s="337">
        <f>F226-G226-H226</f>
        <v>581</v>
      </c>
      <c r="J226" s="338" t="s">
        <v>156</v>
      </c>
      <c r="K226" s="338">
        <v>1</v>
      </c>
      <c r="L226" s="338"/>
      <c r="M226" s="338">
        <v>1</v>
      </c>
      <c r="N226" s="338">
        <v>1</v>
      </c>
      <c r="O226" s="338">
        <v>1</v>
      </c>
      <c r="P226" s="338">
        <v>1</v>
      </c>
      <c r="Q226" s="338"/>
      <c r="R226" s="338"/>
      <c r="S226" s="339"/>
      <c r="T226" s="127"/>
      <c r="U226" s="135"/>
      <c r="V226" s="129">
        <v>63.91</v>
      </c>
      <c r="W226" s="340"/>
      <c r="X226" s="341"/>
      <c r="Y226" s="128"/>
      <c r="Z226" s="128"/>
      <c r="AA226" s="128"/>
      <c r="AB226" s="128"/>
      <c r="AC226" s="128"/>
    </row>
    <row r="227" spans="1:29">
      <c r="A227" s="356" t="s">
        <v>3238</v>
      </c>
      <c r="B227" s="467">
        <f>B226+1</f>
        <v>4</v>
      </c>
      <c r="C227" s="468">
        <v>45862</v>
      </c>
      <c r="D227" s="495" t="s">
        <v>3239</v>
      </c>
      <c r="E227" s="470" t="s">
        <v>739</v>
      </c>
      <c r="F227" s="471">
        <v>9794.6</v>
      </c>
      <c r="G227" s="471">
        <f>39.7+(208.12)+1000</f>
        <v>1247.82</v>
      </c>
      <c r="H227" s="471"/>
      <c r="I227" s="278">
        <f>F227-G227-H227</f>
        <v>8546.7800000000007</v>
      </c>
      <c r="J227" s="472" t="s">
        <v>374</v>
      </c>
      <c r="K227" s="472">
        <v>1</v>
      </c>
      <c r="L227" s="472">
        <v>1</v>
      </c>
      <c r="M227" s="472">
        <v>1</v>
      </c>
      <c r="N227" s="472">
        <v>1</v>
      </c>
      <c r="O227" s="472">
        <v>1</v>
      </c>
      <c r="P227" s="472">
        <v>1</v>
      </c>
      <c r="Q227" s="472">
        <v>1</v>
      </c>
      <c r="R227" s="472">
        <v>1</v>
      </c>
      <c r="S227" s="473">
        <v>1</v>
      </c>
      <c r="T227" s="474"/>
      <c r="U227" s="475" t="s">
        <v>3240</v>
      </c>
      <c r="V227" s="476">
        <f>1409.54+4500+4864.52</f>
        <v>10774.060000000001</v>
      </c>
      <c r="W227" s="465"/>
      <c r="X227" s="483"/>
      <c r="Y227" s="2"/>
      <c r="Z227" s="2"/>
      <c r="AA227" s="2"/>
      <c r="AB227" s="2"/>
      <c r="AC227" s="2"/>
    </row>
    <row r="228" spans="1:29" s="381" customFormat="1">
      <c r="A228" s="371">
        <v>0.1</v>
      </c>
      <c r="B228" s="372">
        <f t="shared" si="47"/>
        <v>5</v>
      </c>
      <c r="C228" s="373">
        <v>45863</v>
      </c>
      <c r="D228" s="391">
        <v>71622</v>
      </c>
      <c r="E228" s="391" t="s">
        <v>3241</v>
      </c>
      <c r="F228" s="375">
        <v>4980</v>
      </c>
      <c r="G228" s="375">
        <v>39.700000000000003</v>
      </c>
      <c r="H228" s="375"/>
      <c r="I228" s="589">
        <f t="shared" ref="I228" si="49">F228-G228-H228</f>
        <v>4940.3</v>
      </c>
      <c r="J228" s="314" t="s">
        <v>374</v>
      </c>
      <c r="K228" s="314">
        <v>1</v>
      </c>
      <c r="L228" s="314"/>
      <c r="M228" s="314">
        <v>1</v>
      </c>
      <c r="N228" s="314">
        <v>1</v>
      </c>
      <c r="O228" s="314">
        <v>1</v>
      </c>
      <c r="P228" s="314">
        <v>1</v>
      </c>
      <c r="Q228" s="314"/>
      <c r="R228" s="314"/>
      <c r="S228" s="366"/>
      <c r="T228" s="325"/>
      <c r="U228" s="430"/>
      <c r="V228" s="377">
        <f>594+547.8</f>
        <v>1141.8</v>
      </c>
      <c r="W228" s="392"/>
      <c r="X228" s="379"/>
      <c r="Y228" s="380"/>
      <c r="Z228" s="380"/>
      <c r="AA228" s="380"/>
      <c r="AB228" s="380"/>
      <c r="AC228" s="380"/>
    </row>
    <row r="229" spans="1:29">
      <c r="A229" s="128"/>
      <c r="B229" s="132"/>
      <c r="C229" s="122"/>
      <c r="D229" s="123"/>
      <c r="E229" s="123"/>
      <c r="F229" s="133">
        <f>SUM(F224:F228)</f>
        <v>26570.5</v>
      </c>
      <c r="G229" s="133">
        <f>SUM(G224:G228)</f>
        <v>2936.13</v>
      </c>
      <c r="H229" s="133">
        <f>SUM(H224:H228)</f>
        <v>0</v>
      </c>
      <c r="I229" s="134">
        <f>SUM(I224:I228)</f>
        <v>23634.37</v>
      </c>
      <c r="J229" s="127"/>
      <c r="K229" s="64"/>
      <c r="L229" s="64"/>
      <c r="M229" s="64"/>
      <c r="N229" s="64"/>
      <c r="O229" s="64"/>
      <c r="P229" s="64"/>
      <c r="Q229" s="64"/>
      <c r="R229" s="64"/>
      <c r="S229" s="64"/>
      <c r="T229" s="127"/>
      <c r="U229" s="135"/>
      <c r="V229" s="129"/>
      <c r="W229" s="130"/>
      <c r="X229" s="131"/>
      <c r="Y229" s="128"/>
      <c r="Z229" s="128"/>
      <c r="AA229" s="128"/>
      <c r="AB229" s="128"/>
      <c r="AC229" s="128"/>
    </row>
    <row r="230" spans="1:29">
      <c r="A230" s="2"/>
      <c r="B230" s="11"/>
      <c r="C230" s="36"/>
      <c r="D230" s="10"/>
      <c r="E230" s="10"/>
      <c r="F230" s="88"/>
      <c r="G230" s="88"/>
      <c r="H230" s="88"/>
      <c r="I230" s="99"/>
      <c r="J230" s="63"/>
      <c r="K230" s="21"/>
      <c r="L230" s="21"/>
      <c r="M230" s="21"/>
      <c r="N230" s="21"/>
      <c r="O230" s="21"/>
      <c r="P230" s="21"/>
      <c r="Q230" s="21"/>
      <c r="R230" s="21"/>
      <c r="S230" s="21"/>
      <c r="T230" s="63"/>
      <c r="U230" s="94"/>
      <c r="V230" s="90"/>
      <c r="W230" s="91"/>
      <c r="X230" s="92"/>
      <c r="Y230" s="2"/>
      <c r="Z230" s="2"/>
      <c r="AA230" s="2"/>
      <c r="AB230" s="2"/>
      <c r="AC230" s="2"/>
    </row>
    <row r="231" spans="1:29" s="181" customFormat="1">
      <c r="B231" s="100" t="s">
        <v>152</v>
      </c>
      <c r="C231" s="270"/>
      <c r="D231" s="77"/>
      <c r="E231" s="10"/>
      <c r="F231" s="88"/>
      <c r="G231" s="62"/>
      <c r="H231" s="88"/>
      <c r="I231" s="99"/>
      <c r="J231" s="63"/>
      <c r="K231" s="63"/>
      <c r="L231" s="63"/>
      <c r="M231" s="63"/>
      <c r="N231" s="63"/>
      <c r="O231" s="63"/>
      <c r="P231" s="63"/>
      <c r="Q231" s="63"/>
      <c r="R231" s="63"/>
      <c r="S231" s="63"/>
      <c r="T231" s="63"/>
      <c r="U231" s="94"/>
      <c r="V231" s="90"/>
      <c r="W231" s="91"/>
      <c r="X231" s="92"/>
    </row>
    <row r="232" spans="1:29" s="181" customFormat="1">
      <c r="A232" s="261">
        <v>0.05</v>
      </c>
      <c r="B232" s="87">
        <v>1</v>
      </c>
      <c r="C232" s="433">
        <v>45756</v>
      </c>
      <c r="D232" s="357">
        <v>629082</v>
      </c>
      <c r="E232" s="271" t="s">
        <v>3160</v>
      </c>
      <c r="F232" s="265">
        <v>1461</v>
      </c>
      <c r="G232" s="265"/>
      <c r="H232" s="265"/>
      <c r="I232" s="272">
        <f>F232-G232-H232</f>
        <v>1461</v>
      </c>
      <c r="J232" s="267" t="s">
        <v>156</v>
      </c>
      <c r="K232" s="267">
        <v>1</v>
      </c>
      <c r="L232" s="267">
        <v>1</v>
      </c>
      <c r="M232" s="267">
        <v>1</v>
      </c>
      <c r="N232" s="267">
        <v>1</v>
      </c>
      <c r="O232" s="267">
        <v>1</v>
      </c>
      <c r="P232" s="267">
        <v>1</v>
      </c>
      <c r="Q232" s="267">
        <v>1</v>
      </c>
      <c r="R232" s="267">
        <v>1</v>
      </c>
      <c r="S232" s="269">
        <v>1</v>
      </c>
      <c r="T232" s="63"/>
      <c r="U232" s="94"/>
      <c r="V232" s="90"/>
      <c r="W232" s="136"/>
      <c r="X232" s="137"/>
    </row>
    <row r="233" spans="1:29" s="181" customFormat="1">
      <c r="A233" s="261">
        <v>0.1</v>
      </c>
      <c r="B233" s="87">
        <f>B232+1</f>
        <v>2</v>
      </c>
      <c r="C233" s="420">
        <v>45799</v>
      </c>
      <c r="D233" s="320" t="s">
        <v>3157</v>
      </c>
      <c r="E233" s="281" t="s">
        <v>3158</v>
      </c>
      <c r="F233" s="277">
        <v>481</v>
      </c>
      <c r="G233" s="277"/>
      <c r="H233" s="277"/>
      <c r="I233" s="321">
        <f>F233-G233-H233</f>
        <v>481</v>
      </c>
      <c r="J233" s="279" t="s">
        <v>156</v>
      </c>
      <c r="K233" s="279">
        <v>1</v>
      </c>
      <c r="L233" s="279">
        <v>1</v>
      </c>
      <c r="M233" s="279">
        <v>1</v>
      </c>
      <c r="N233" s="279">
        <v>1</v>
      </c>
      <c r="O233" s="279">
        <v>1</v>
      </c>
      <c r="P233" s="322">
        <v>0</v>
      </c>
      <c r="Q233" s="322">
        <v>0</v>
      </c>
      <c r="R233" s="322">
        <v>0</v>
      </c>
      <c r="S233" s="328">
        <v>0</v>
      </c>
      <c r="T233" s="63"/>
      <c r="U233" s="94"/>
      <c r="V233" s="90"/>
      <c r="W233" s="91"/>
      <c r="X233" s="92"/>
    </row>
    <row r="234" spans="1:29" s="181" customFormat="1">
      <c r="A234" s="261">
        <v>0.1</v>
      </c>
      <c r="B234" s="87">
        <f t="shared" ref="B234" si="50">B233+1</f>
        <v>3</v>
      </c>
      <c r="C234" s="433">
        <v>45799</v>
      </c>
      <c r="D234" s="357" t="s">
        <v>3165</v>
      </c>
      <c r="E234" s="264" t="s">
        <v>3158</v>
      </c>
      <c r="F234" s="265">
        <v>5785.94</v>
      </c>
      <c r="G234" s="265">
        <f>214.82*1.1+300</f>
        <v>536.30200000000002</v>
      </c>
      <c r="H234" s="265"/>
      <c r="I234" s="266">
        <f t="shared" ref="I234:I235" si="51">F234-G234-H234</f>
        <v>5249.6379999999999</v>
      </c>
      <c r="J234" s="267"/>
      <c r="K234" s="267">
        <v>1</v>
      </c>
      <c r="L234" s="267"/>
      <c r="M234" s="267"/>
      <c r="N234" s="267">
        <v>1</v>
      </c>
      <c r="O234" s="267">
        <v>1</v>
      </c>
      <c r="P234" s="314">
        <v>0</v>
      </c>
      <c r="Q234" s="314">
        <v>0</v>
      </c>
      <c r="R234" s="314">
        <v>0</v>
      </c>
      <c r="S234" s="366">
        <v>0</v>
      </c>
      <c r="T234" s="63"/>
      <c r="U234" s="94" t="s">
        <v>3166</v>
      </c>
      <c r="V234" s="90"/>
      <c r="W234" s="136"/>
      <c r="X234" s="137"/>
    </row>
    <row r="235" spans="1:29" s="181" customFormat="1">
      <c r="A235" s="261">
        <v>0.1</v>
      </c>
      <c r="B235" s="87">
        <f>B234+1</f>
        <v>4</v>
      </c>
      <c r="C235" s="433">
        <v>45818</v>
      </c>
      <c r="D235" s="357">
        <v>701386</v>
      </c>
      <c r="E235" s="264" t="s">
        <v>3159</v>
      </c>
      <c r="F235" s="265">
        <f>3046-185</f>
        <v>2861</v>
      </c>
      <c r="G235" s="265">
        <f>+(64.82)</f>
        <v>64.819999999999993</v>
      </c>
      <c r="H235" s="265"/>
      <c r="I235" s="272">
        <f t="shared" si="51"/>
        <v>2796.18</v>
      </c>
      <c r="J235" s="267" t="s">
        <v>156</v>
      </c>
      <c r="K235" s="267">
        <v>1</v>
      </c>
      <c r="L235" s="267">
        <v>1</v>
      </c>
      <c r="M235" s="267">
        <v>1</v>
      </c>
      <c r="N235" s="267">
        <v>1</v>
      </c>
      <c r="O235" s="267">
        <v>1</v>
      </c>
      <c r="P235" s="267">
        <v>1</v>
      </c>
      <c r="Q235" s="267">
        <v>1</v>
      </c>
      <c r="R235" s="267">
        <v>1</v>
      </c>
      <c r="S235" s="269">
        <v>1</v>
      </c>
      <c r="T235" s="63"/>
      <c r="U235" s="94"/>
      <c r="V235" s="90"/>
      <c r="W235" s="91"/>
      <c r="X235" s="92"/>
    </row>
    <row r="236" spans="1:29" s="181" customFormat="1">
      <c r="A236" s="261">
        <v>0.1</v>
      </c>
      <c r="B236" s="87">
        <f>B235+1</f>
        <v>5</v>
      </c>
      <c r="C236" s="433">
        <v>45825</v>
      </c>
      <c r="D236" s="357">
        <v>701642</v>
      </c>
      <c r="E236" s="271" t="s">
        <v>3161</v>
      </c>
      <c r="F236" s="265">
        <v>6248.5</v>
      </c>
      <c r="G236" s="265">
        <f>34.5+(1529.45)+250</f>
        <v>1813.95</v>
      </c>
      <c r="H236" s="265">
        <f>F236*0.2</f>
        <v>1249.7</v>
      </c>
      <c r="I236" s="272">
        <f>F236-G236-H236</f>
        <v>3184.8500000000004</v>
      </c>
      <c r="J236" s="267" t="s">
        <v>185</v>
      </c>
      <c r="K236" s="267">
        <v>1</v>
      </c>
      <c r="L236" s="267">
        <v>1</v>
      </c>
      <c r="M236" s="267">
        <v>1</v>
      </c>
      <c r="N236" s="267">
        <v>1</v>
      </c>
      <c r="O236" s="267">
        <v>1</v>
      </c>
      <c r="P236" s="267">
        <v>1</v>
      </c>
      <c r="Q236" s="267">
        <v>1</v>
      </c>
      <c r="R236" s="267">
        <v>1</v>
      </c>
      <c r="S236" s="269">
        <v>1</v>
      </c>
      <c r="T236" s="63"/>
      <c r="U236" s="94" t="s">
        <v>3162</v>
      </c>
      <c r="V236" s="90"/>
      <c r="W236" s="91"/>
      <c r="X236" s="92"/>
    </row>
    <row r="237" spans="1:29" s="181" customFormat="1">
      <c r="B237" s="11"/>
      <c r="C237" s="270"/>
      <c r="D237" s="77"/>
      <c r="E237" s="10"/>
      <c r="F237" s="98">
        <f>SUM(F232:F236)</f>
        <v>16837.439999999999</v>
      </c>
      <c r="G237" s="98">
        <f t="shared" ref="G237" si="52">SUM(G232:G236)</f>
        <v>2415.0720000000001</v>
      </c>
      <c r="H237" s="98">
        <f t="shared" ref="H237" si="53">SUM(H232:H236)</f>
        <v>1249.7</v>
      </c>
      <c r="I237" s="98">
        <f t="shared" ref="I237" si="54">SUM(I232:I236)</f>
        <v>13172.668</v>
      </c>
      <c r="J237" s="63"/>
      <c r="K237" s="21"/>
      <c r="L237" s="21"/>
      <c r="M237" s="21"/>
      <c r="N237" s="21"/>
      <c r="O237" s="21"/>
      <c r="P237" s="21"/>
      <c r="Q237" s="21"/>
      <c r="R237" s="21"/>
      <c r="S237" s="21"/>
      <c r="T237" s="63"/>
      <c r="U237" s="94"/>
      <c r="V237" s="90"/>
      <c r="W237" s="91"/>
      <c r="X237" s="92"/>
    </row>
    <row r="238" spans="1:29" s="181" customFormat="1">
      <c r="B238" s="11"/>
      <c r="C238" s="270"/>
      <c r="D238" s="77"/>
      <c r="E238" s="10"/>
      <c r="F238" s="88"/>
      <c r="G238" s="88"/>
      <c r="H238" s="88"/>
      <c r="I238" s="99"/>
      <c r="J238" s="63"/>
      <c r="K238" s="21"/>
      <c r="L238" s="21"/>
      <c r="M238" s="21"/>
      <c r="N238" s="21"/>
      <c r="O238" s="21"/>
      <c r="P238" s="21"/>
      <c r="Q238" s="21"/>
      <c r="R238" s="21"/>
      <c r="S238" s="21"/>
      <c r="T238" s="63"/>
      <c r="U238" s="94"/>
      <c r="V238" s="90"/>
      <c r="W238" s="91"/>
      <c r="X238" s="92"/>
    </row>
    <row r="239" spans="1:29" s="181" customFormat="1">
      <c r="A239" s="434"/>
      <c r="B239" s="100" t="s">
        <v>1521</v>
      </c>
      <c r="C239" s="435"/>
      <c r="D239" s="63"/>
      <c r="E239" s="260"/>
      <c r="F239" s="88"/>
      <c r="G239" s="88"/>
      <c r="H239" s="88"/>
      <c r="I239" s="99"/>
      <c r="J239" s="63"/>
      <c r="K239" s="21"/>
      <c r="L239" s="21"/>
      <c r="M239" s="21"/>
      <c r="N239" s="21"/>
      <c r="O239" s="21"/>
      <c r="P239" s="21"/>
      <c r="Q239" s="21"/>
      <c r="R239" s="21"/>
      <c r="S239" s="21"/>
      <c r="T239" s="63"/>
      <c r="U239" s="94"/>
      <c r="V239" s="138"/>
      <c r="W239" s="136"/>
      <c r="X239" s="92"/>
      <c r="Y239" s="260"/>
    </row>
    <row r="240" spans="1:29" s="181" customFormat="1">
      <c r="A240" s="261">
        <v>0.1</v>
      </c>
      <c r="B240" s="87">
        <v>1</v>
      </c>
      <c r="C240" s="433">
        <v>45827</v>
      </c>
      <c r="D240" s="357">
        <v>701730</v>
      </c>
      <c r="E240" s="271" t="s">
        <v>3169</v>
      </c>
      <c r="F240" s="265">
        <f>2946-85</f>
        <v>2861</v>
      </c>
      <c r="G240" s="265"/>
      <c r="H240" s="265"/>
      <c r="I240" s="272">
        <f t="shared" ref="I240:I242" si="55">F240-G240-H240</f>
        <v>2861</v>
      </c>
      <c r="J240" s="267" t="s">
        <v>156</v>
      </c>
      <c r="K240" s="267">
        <v>1</v>
      </c>
      <c r="L240" s="267"/>
      <c r="M240" s="267">
        <v>1</v>
      </c>
      <c r="N240" s="267">
        <v>1</v>
      </c>
      <c r="O240" s="267">
        <v>1</v>
      </c>
      <c r="P240" s="267">
        <v>0</v>
      </c>
      <c r="Q240" s="267"/>
      <c r="R240" s="267"/>
      <c r="S240" s="269"/>
      <c r="T240" s="63"/>
      <c r="U240" s="94" t="s">
        <v>3170</v>
      </c>
      <c r="V240" s="90"/>
      <c r="W240" s="136"/>
      <c r="X240" s="137"/>
    </row>
    <row r="241" spans="1:29" s="181" customFormat="1">
      <c r="A241" s="181" t="s">
        <v>683</v>
      </c>
      <c r="B241" s="87">
        <f>B240+1</f>
        <v>2</v>
      </c>
      <c r="C241" s="420">
        <v>45831</v>
      </c>
      <c r="D241" s="320">
        <v>701437</v>
      </c>
      <c r="E241" s="276" t="s">
        <v>3155</v>
      </c>
      <c r="F241" s="277">
        <v>8520.27</v>
      </c>
      <c r="G241" s="277">
        <f>234.27*1.1+72*1.1</f>
        <v>336.89700000000005</v>
      </c>
      <c r="H241" s="277"/>
      <c r="I241" s="278">
        <f t="shared" si="55"/>
        <v>8183.3730000000005</v>
      </c>
      <c r="J241" s="279" t="s">
        <v>156</v>
      </c>
      <c r="K241" s="279">
        <v>1</v>
      </c>
      <c r="L241" s="279"/>
      <c r="M241" s="279">
        <v>1</v>
      </c>
      <c r="N241" s="279">
        <v>1</v>
      </c>
      <c r="O241" s="279">
        <v>1</v>
      </c>
      <c r="P241" s="279">
        <v>1</v>
      </c>
      <c r="Q241" s="279"/>
      <c r="R241" s="279"/>
      <c r="S241" s="280"/>
      <c r="T241" s="63"/>
      <c r="U241" s="94" t="s">
        <v>3156</v>
      </c>
      <c r="V241" s="90"/>
      <c r="W241" s="136"/>
      <c r="X241" s="137"/>
    </row>
    <row r="242" spans="1:29" s="260" customFormat="1">
      <c r="A242" s="261">
        <v>0.1</v>
      </c>
      <c r="B242" s="87">
        <f>B241+1</f>
        <v>3</v>
      </c>
      <c r="C242" s="262">
        <v>45856</v>
      </c>
      <c r="D242" s="263" t="s">
        <v>3204</v>
      </c>
      <c r="E242" s="271" t="s">
        <v>1530</v>
      </c>
      <c r="F242" s="265">
        <v>6218</v>
      </c>
      <c r="G242" s="265">
        <f>39.7+(1145.59)+250</f>
        <v>1435.29</v>
      </c>
      <c r="H242" s="365"/>
      <c r="I242" s="272">
        <f t="shared" si="55"/>
        <v>4782.71</v>
      </c>
      <c r="J242" s="267" t="s">
        <v>156</v>
      </c>
      <c r="K242" s="267">
        <v>1</v>
      </c>
      <c r="L242" s="267"/>
      <c r="M242" s="267">
        <v>1</v>
      </c>
      <c r="N242" s="267">
        <v>1</v>
      </c>
      <c r="O242" s="267">
        <v>1</v>
      </c>
      <c r="P242" s="267">
        <v>1</v>
      </c>
      <c r="Q242" s="267"/>
      <c r="R242" s="267"/>
      <c r="S242" s="269"/>
      <c r="T242" s="63"/>
      <c r="U242" s="94" t="s">
        <v>3242</v>
      </c>
      <c r="V242" s="90"/>
      <c r="W242" s="136"/>
      <c r="X242" s="137"/>
      <c r="Y242" s="181"/>
      <c r="Z242" s="181"/>
      <c r="AA242" s="181"/>
      <c r="AB242" s="181"/>
      <c r="AC242" s="181"/>
    </row>
    <row r="243" spans="1:29" s="181" customFormat="1">
      <c r="A243" s="434"/>
      <c r="B243" s="11"/>
      <c r="C243" s="435"/>
      <c r="D243" s="63"/>
      <c r="E243" s="10"/>
      <c r="F243" s="98">
        <f>SUM(F240:F242)</f>
        <v>17599.27</v>
      </c>
      <c r="G243" s="98">
        <f t="shared" ref="G243:I243" si="56">SUM(G240:G242)</f>
        <v>1772.1869999999999</v>
      </c>
      <c r="H243" s="98">
        <f t="shared" si="56"/>
        <v>0</v>
      </c>
      <c r="I243" s="98">
        <f t="shared" si="56"/>
        <v>15827.082999999999</v>
      </c>
      <c r="J243" s="63"/>
      <c r="K243" s="21"/>
      <c r="L243" s="21"/>
      <c r="M243" s="21"/>
      <c r="N243" s="21"/>
      <c r="O243" s="21"/>
      <c r="P243" s="21"/>
      <c r="Q243" s="21"/>
      <c r="R243" s="21"/>
      <c r="S243" s="21"/>
      <c r="T243" s="63"/>
      <c r="U243" s="94"/>
      <c r="V243" s="138"/>
      <c r="W243" s="136"/>
      <c r="X243" s="92"/>
      <c r="Y243" s="260"/>
    </row>
    <row r="244" spans="1:29" s="181" customFormat="1">
      <c r="A244" s="434"/>
      <c r="B244" s="11"/>
      <c r="C244" s="435"/>
      <c r="D244" s="63"/>
      <c r="E244" s="10"/>
      <c r="F244" s="99"/>
      <c r="G244" s="99"/>
      <c r="H244" s="99"/>
      <c r="I244" s="99"/>
      <c r="J244" s="63"/>
      <c r="K244" s="21"/>
      <c r="L244" s="21"/>
      <c r="M244" s="21"/>
      <c r="N244" s="21"/>
      <c r="O244" s="21"/>
      <c r="P244" s="21"/>
      <c r="Q244" s="21"/>
      <c r="R244" s="21"/>
      <c r="S244" s="21"/>
      <c r="T244" s="63"/>
      <c r="U244" s="94"/>
      <c r="V244" s="138"/>
      <c r="W244" s="136"/>
      <c r="X244" s="92"/>
      <c r="Y244" s="260"/>
    </row>
    <row r="245" spans="1:29">
      <c r="A245" s="2"/>
      <c r="B245" s="100" t="s">
        <v>72</v>
      </c>
      <c r="C245" s="36"/>
      <c r="D245" s="10"/>
      <c r="E245" s="10"/>
      <c r="F245" s="88"/>
      <c r="G245" s="88"/>
      <c r="H245" s="88"/>
      <c r="I245" s="99"/>
      <c r="J245" s="63"/>
      <c r="K245" s="63"/>
      <c r="L245" s="63"/>
      <c r="M245" s="63"/>
      <c r="N245" s="63"/>
      <c r="O245" s="63"/>
      <c r="P245" s="63"/>
      <c r="Q245" s="63"/>
      <c r="R245" s="63"/>
      <c r="S245" s="63"/>
      <c r="T245" s="63"/>
      <c r="U245" s="94"/>
      <c r="V245" s="90"/>
      <c r="W245" s="91"/>
      <c r="X245" s="92"/>
      <c r="Y245" s="2"/>
      <c r="Z245" s="2"/>
      <c r="AA245" s="2"/>
      <c r="AB245" s="2"/>
      <c r="AC245" s="2"/>
    </row>
    <row r="246" spans="1:29">
      <c r="A246" s="2"/>
      <c r="B246" s="87">
        <v>1</v>
      </c>
      <c r="C246" s="274">
        <v>45859</v>
      </c>
      <c r="D246" s="276" t="s">
        <v>3243</v>
      </c>
      <c r="E246" s="276" t="s">
        <v>330</v>
      </c>
      <c r="F246" s="277">
        <v>0</v>
      </c>
      <c r="G246" s="277"/>
      <c r="H246" s="277"/>
      <c r="I246" s="278">
        <f t="shared" ref="I246" si="57">F246-G246-H246</f>
        <v>0</v>
      </c>
      <c r="J246" s="279" t="s">
        <v>219</v>
      </c>
      <c r="K246" s="279">
        <v>1</v>
      </c>
      <c r="L246" s="279"/>
      <c r="M246" s="279"/>
      <c r="N246" s="279"/>
      <c r="O246" s="279"/>
      <c r="P246" s="279"/>
      <c r="Q246" s="279"/>
      <c r="R246" s="279"/>
      <c r="S246" s="280"/>
      <c r="T246" s="63"/>
      <c r="U246" s="94"/>
      <c r="V246" s="90"/>
      <c r="W246" s="91"/>
      <c r="X246" s="92"/>
      <c r="Y246" s="2"/>
      <c r="Z246" s="2"/>
      <c r="AA246" s="2"/>
      <c r="AB246" s="2"/>
      <c r="AC246" s="2"/>
    </row>
    <row r="247" spans="1:29">
      <c r="A247" s="2"/>
      <c r="B247" s="87">
        <f>B246+1</f>
        <v>2</v>
      </c>
      <c r="C247" s="295">
        <v>45859</v>
      </c>
      <c r="D247" s="10" t="s">
        <v>3244</v>
      </c>
      <c r="E247" s="10" t="s">
        <v>330</v>
      </c>
      <c r="F247" s="62">
        <v>12796.2</v>
      </c>
      <c r="G247" s="62">
        <v>39.700000000000003</v>
      </c>
      <c r="H247" s="62"/>
      <c r="I247" s="89">
        <f>F247-G247-H247</f>
        <v>12756.5</v>
      </c>
      <c r="J247" s="63" t="s">
        <v>205</v>
      </c>
      <c r="K247" s="63">
        <v>1</v>
      </c>
      <c r="L247" s="63"/>
      <c r="M247" s="63"/>
      <c r="N247" s="63">
        <v>1</v>
      </c>
      <c r="O247" s="63"/>
      <c r="P247" s="63"/>
      <c r="Q247" s="63"/>
      <c r="R247" s="63"/>
      <c r="S247" s="296"/>
      <c r="T247" s="63"/>
      <c r="U247" s="94"/>
      <c r="V247" s="90"/>
      <c r="W247" s="91"/>
      <c r="X247" s="92"/>
      <c r="Y247" s="2"/>
      <c r="Z247" s="2"/>
      <c r="AA247" s="2"/>
      <c r="AB247" s="2"/>
      <c r="AC247" s="2"/>
    </row>
    <row r="248" spans="1:29">
      <c r="A248" s="2"/>
      <c r="B248" s="87">
        <f>B247+1</f>
        <v>3</v>
      </c>
      <c r="C248" s="295">
        <v>45859</v>
      </c>
      <c r="D248" s="10">
        <v>71609</v>
      </c>
      <c r="E248" s="10" t="s">
        <v>370</v>
      </c>
      <c r="F248" s="62">
        <v>12814</v>
      </c>
      <c r="G248" s="62">
        <v>39.700000000000003</v>
      </c>
      <c r="H248" s="62"/>
      <c r="I248" s="89">
        <f t="shared" ref="I248:I260" si="58">F248-G248-H248</f>
        <v>12774.3</v>
      </c>
      <c r="J248" s="63" t="s">
        <v>205</v>
      </c>
      <c r="K248" s="63">
        <v>1</v>
      </c>
      <c r="L248" s="63"/>
      <c r="M248" s="63"/>
      <c r="N248" s="63">
        <v>1</v>
      </c>
      <c r="O248" s="63"/>
      <c r="P248" s="63"/>
      <c r="Q248" s="63"/>
      <c r="R248" s="63"/>
      <c r="S248" s="296"/>
      <c r="T248" s="63"/>
      <c r="U248" s="94"/>
      <c r="V248" s="90"/>
      <c r="W248" s="136"/>
      <c r="X248" s="137"/>
      <c r="Y248" s="2"/>
      <c r="Z248" s="2"/>
      <c r="AA248" s="2"/>
      <c r="AB248" s="2"/>
      <c r="AC248" s="2"/>
    </row>
    <row r="249" spans="1:29">
      <c r="A249" s="2"/>
      <c r="B249" s="87">
        <f t="shared" ref="B249:B260" si="59">B248+1</f>
        <v>4</v>
      </c>
      <c r="C249" s="282">
        <v>45859</v>
      </c>
      <c r="D249" s="283">
        <v>71629</v>
      </c>
      <c r="E249" s="283" t="s">
        <v>370</v>
      </c>
      <c r="F249" s="284">
        <v>2627.1</v>
      </c>
      <c r="G249" s="284">
        <v>39.700000000000003</v>
      </c>
      <c r="H249" s="284"/>
      <c r="I249" s="285">
        <f t="shared" si="58"/>
        <v>2587.4</v>
      </c>
      <c r="J249" s="286" t="s">
        <v>205</v>
      </c>
      <c r="K249" s="286">
        <v>1</v>
      </c>
      <c r="L249" s="286"/>
      <c r="M249" s="286"/>
      <c r="N249" s="286">
        <v>1</v>
      </c>
      <c r="O249" s="286"/>
      <c r="P249" s="286"/>
      <c r="Q249" s="286"/>
      <c r="R249" s="286"/>
      <c r="S249" s="287"/>
      <c r="T249" s="63"/>
      <c r="U249" s="94"/>
      <c r="V249" s="90"/>
      <c r="W249" s="136"/>
      <c r="X249" s="137"/>
      <c r="Y249" s="2"/>
      <c r="Z249" s="2"/>
      <c r="AA249" s="2"/>
      <c r="AB249" s="2"/>
      <c r="AC249" s="2"/>
    </row>
    <row r="250" spans="1:29">
      <c r="A250" s="2"/>
      <c r="B250" s="87">
        <f t="shared" si="59"/>
        <v>5</v>
      </c>
      <c r="C250" s="295">
        <v>45860</v>
      </c>
      <c r="D250" s="10">
        <v>71499</v>
      </c>
      <c r="E250" s="10" t="s">
        <v>464</v>
      </c>
      <c r="F250" s="62">
        <v>861</v>
      </c>
      <c r="G250" s="62">
        <f>39.7</f>
        <v>39.700000000000003</v>
      </c>
      <c r="H250" s="62"/>
      <c r="I250" s="89">
        <f t="shared" si="58"/>
        <v>821.3</v>
      </c>
      <c r="J250" s="63" t="s">
        <v>205</v>
      </c>
      <c r="K250" s="63">
        <v>1</v>
      </c>
      <c r="L250" s="63"/>
      <c r="M250" s="63"/>
      <c r="N250" s="63">
        <v>1</v>
      </c>
      <c r="O250" s="63"/>
      <c r="P250" s="63"/>
      <c r="Q250" s="63">
        <v>1</v>
      </c>
      <c r="R250" s="63">
        <v>1</v>
      </c>
      <c r="S250" s="296">
        <v>1</v>
      </c>
      <c r="T250" s="63"/>
      <c r="U250" s="94"/>
      <c r="V250" s="90"/>
      <c r="W250" s="136"/>
      <c r="X250" s="137"/>
      <c r="Y250" s="2"/>
      <c r="Z250" s="2"/>
      <c r="AA250" s="2"/>
      <c r="AB250" s="2"/>
      <c r="AC250" s="2"/>
    </row>
    <row r="251" spans="1:29">
      <c r="A251" s="2"/>
      <c r="B251" s="87">
        <f t="shared" si="59"/>
        <v>6</v>
      </c>
      <c r="C251" s="295">
        <v>45860</v>
      </c>
      <c r="D251" s="10">
        <v>71645</v>
      </c>
      <c r="E251" s="10" t="s">
        <v>1217</v>
      </c>
      <c r="F251" s="62">
        <v>2530.8000000000002</v>
      </c>
      <c r="G251" s="62">
        <f>39.7</f>
        <v>39.700000000000003</v>
      </c>
      <c r="H251" s="62"/>
      <c r="I251" s="89">
        <f t="shared" si="58"/>
        <v>2491.1000000000004</v>
      </c>
      <c r="J251" s="63" t="s">
        <v>205</v>
      </c>
      <c r="K251" s="63">
        <v>1</v>
      </c>
      <c r="L251" s="63"/>
      <c r="M251" s="63"/>
      <c r="N251" s="63">
        <v>1</v>
      </c>
      <c r="O251" s="63"/>
      <c r="P251" s="63"/>
      <c r="Q251" s="63">
        <v>1</v>
      </c>
      <c r="R251" s="63">
        <v>1</v>
      </c>
      <c r="S251" s="296">
        <v>1</v>
      </c>
      <c r="T251" s="63"/>
      <c r="U251" s="94"/>
      <c r="V251" s="90"/>
      <c r="W251" s="136"/>
      <c r="X251" s="137"/>
      <c r="Y251" s="2"/>
      <c r="Z251" s="2"/>
      <c r="AA251" s="2"/>
      <c r="AB251" s="2"/>
      <c r="AC251" s="2"/>
    </row>
    <row r="252" spans="1:29">
      <c r="A252" s="2"/>
      <c r="B252" s="87">
        <f>B251+1</f>
        <v>7</v>
      </c>
      <c r="C252" s="274">
        <v>45861</v>
      </c>
      <c r="D252" s="276">
        <v>71633</v>
      </c>
      <c r="E252" s="281" t="s">
        <v>1031</v>
      </c>
      <c r="F252" s="277">
        <v>681</v>
      </c>
      <c r="G252" s="277">
        <v>39.700000000000003</v>
      </c>
      <c r="H252" s="277"/>
      <c r="I252" s="278">
        <f t="shared" ref="I252" si="60">F252-G252-H252</f>
        <v>641.29999999999995</v>
      </c>
      <c r="J252" s="279" t="s">
        <v>205</v>
      </c>
      <c r="K252" s="279">
        <v>1</v>
      </c>
      <c r="L252" s="279"/>
      <c r="M252" s="279"/>
      <c r="N252" s="279">
        <v>1</v>
      </c>
      <c r="O252" s="279"/>
      <c r="P252" s="279"/>
      <c r="Q252" s="279"/>
      <c r="R252" s="279"/>
      <c r="S252" s="280"/>
      <c r="T252" s="63"/>
      <c r="U252" s="94"/>
      <c r="V252" s="90"/>
      <c r="W252" s="136"/>
      <c r="X252" s="137"/>
      <c r="Y252" s="2"/>
      <c r="Z252" s="2"/>
      <c r="AA252" s="2"/>
      <c r="AB252" s="2"/>
      <c r="AC252" s="2"/>
    </row>
    <row r="253" spans="1:29">
      <c r="A253" s="2"/>
      <c r="B253" s="87">
        <f>B252+1</f>
        <v>8</v>
      </c>
      <c r="C253" s="295">
        <v>45861</v>
      </c>
      <c r="D253" s="10">
        <v>71665</v>
      </c>
      <c r="E253" s="101" t="s">
        <v>1132</v>
      </c>
      <c r="F253" s="62">
        <v>0</v>
      </c>
      <c r="G253" s="62"/>
      <c r="H253" s="62"/>
      <c r="I253" s="89">
        <f t="shared" si="58"/>
        <v>0</v>
      </c>
      <c r="J253" s="63" t="s">
        <v>219</v>
      </c>
      <c r="K253" s="63"/>
      <c r="L253" s="63"/>
      <c r="M253" s="63"/>
      <c r="N253" s="63"/>
      <c r="O253" s="63"/>
      <c r="P253" s="63"/>
      <c r="Q253" s="63"/>
      <c r="R253" s="63"/>
      <c r="S253" s="296"/>
      <c r="T253" s="63"/>
      <c r="U253" s="94"/>
      <c r="V253" s="90"/>
      <c r="W253" s="136"/>
      <c r="X253" s="137"/>
      <c r="Y253" s="2"/>
      <c r="Z253" s="2"/>
      <c r="AA253" s="2"/>
      <c r="AB253" s="2"/>
      <c r="AC253" s="2"/>
    </row>
    <row r="254" spans="1:29">
      <c r="A254" s="388">
        <v>45870</v>
      </c>
      <c r="B254" s="87">
        <f>B253+1</f>
        <v>9</v>
      </c>
      <c r="C254" s="295">
        <v>45861</v>
      </c>
      <c r="D254" s="10">
        <v>71652</v>
      </c>
      <c r="E254" s="10" t="s">
        <v>211</v>
      </c>
      <c r="F254" s="62">
        <v>4261</v>
      </c>
      <c r="G254" s="62">
        <v>39.700000000000003</v>
      </c>
      <c r="H254" s="62"/>
      <c r="I254" s="89">
        <f>F254-G254-H254</f>
        <v>4221.3</v>
      </c>
      <c r="J254" s="63" t="s">
        <v>156</v>
      </c>
      <c r="K254" s="63">
        <v>1</v>
      </c>
      <c r="L254" s="63"/>
      <c r="M254" s="63">
        <v>1</v>
      </c>
      <c r="N254" s="63">
        <v>1</v>
      </c>
      <c r="O254" s="63">
        <v>1</v>
      </c>
      <c r="P254" s="63">
        <v>1</v>
      </c>
      <c r="Q254" s="63"/>
      <c r="R254" s="63"/>
      <c r="S254" s="296"/>
      <c r="T254" s="63"/>
      <c r="U254" s="94" t="s">
        <v>3245</v>
      </c>
      <c r="V254" s="90">
        <v>468.71</v>
      </c>
      <c r="W254" s="136"/>
      <c r="X254" s="137"/>
      <c r="Y254" s="2"/>
      <c r="Z254" s="2"/>
      <c r="AA254" s="2"/>
      <c r="AB254" s="2"/>
      <c r="AC254" s="2"/>
    </row>
    <row r="255" spans="1:29">
      <c r="A255" s="2"/>
      <c r="B255" s="87">
        <f>B254+1</f>
        <v>10</v>
      </c>
      <c r="C255" s="295">
        <v>45861</v>
      </c>
      <c r="D255" s="10">
        <v>71704</v>
      </c>
      <c r="E255" s="10" t="s">
        <v>296</v>
      </c>
      <c r="F255" s="62">
        <v>1138</v>
      </c>
      <c r="G255" s="62">
        <v>39.700000000000003</v>
      </c>
      <c r="H255" s="62"/>
      <c r="I255" s="89">
        <f>F255-G255-H255</f>
        <v>1098.3</v>
      </c>
      <c r="J255" s="63" t="s">
        <v>156</v>
      </c>
      <c r="K255" s="63">
        <v>1</v>
      </c>
      <c r="L255" s="63"/>
      <c r="M255" s="63">
        <v>1</v>
      </c>
      <c r="N255" s="63">
        <v>1</v>
      </c>
      <c r="O255" s="63">
        <v>1</v>
      </c>
      <c r="P255" s="63">
        <v>1</v>
      </c>
      <c r="Q255" s="63"/>
      <c r="R255" s="63"/>
      <c r="S255" s="296"/>
      <c r="T255" s="63"/>
      <c r="U255" s="94" t="s">
        <v>3246</v>
      </c>
      <c r="V255" s="90">
        <v>125.18</v>
      </c>
      <c r="W255" s="136"/>
      <c r="X255" s="137"/>
      <c r="Y255" s="2"/>
      <c r="Z255" s="2"/>
      <c r="AA255" s="2"/>
      <c r="AB255" s="2"/>
      <c r="AC255" s="2"/>
    </row>
    <row r="256" spans="1:29">
      <c r="A256" s="2"/>
      <c r="B256" s="87">
        <f>B255+1</f>
        <v>11</v>
      </c>
      <c r="C256" s="274">
        <v>45862</v>
      </c>
      <c r="D256" s="275" t="s">
        <v>3247</v>
      </c>
      <c r="E256" s="281" t="s">
        <v>464</v>
      </c>
      <c r="F256" s="277">
        <v>12814</v>
      </c>
      <c r="G256" s="277">
        <v>39.700000000000003</v>
      </c>
      <c r="H256" s="277"/>
      <c r="I256" s="278">
        <f>F256-G256-H256</f>
        <v>12774.3</v>
      </c>
      <c r="J256" s="279" t="s">
        <v>205</v>
      </c>
      <c r="K256" s="279">
        <v>1</v>
      </c>
      <c r="L256" s="279"/>
      <c r="M256" s="279"/>
      <c r="N256" s="279">
        <v>1</v>
      </c>
      <c r="O256" s="279"/>
      <c r="P256" s="279"/>
      <c r="Q256" s="279"/>
      <c r="R256" s="279"/>
      <c r="S256" s="280"/>
      <c r="T256" s="63"/>
      <c r="U256" s="94"/>
      <c r="V256" s="90"/>
      <c r="W256" s="136"/>
      <c r="X256" s="137"/>
      <c r="Y256" s="2"/>
      <c r="Z256" s="2"/>
      <c r="AA256" s="2"/>
      <c r="AB256" s="2"/>
      <c r="AC256" s="2"/>
    </row>
    <row r="257" spans="1:29">
      <c r="A257" s="2"/>
      <c r="B257" s="87">
        <f t="shared" si="59"/>
        <v>12</v>
      </c>
      <c r="C257" s="295">
        <v>45862</v>
      </c>
      <c r="D257" s="10" t="s">
        <v>3248</v>
      </c>
      <c r="E257" s="101" t="s">
        <v>464</v>
      </c>
      <c r="F257" s="62">
        <v>12814</v>
      </c>
      <c r="G257" s="62">
        <v>39.700000000000003</v>
      </c>
      <c r="H257" s="62"/>
      <c r="I257" s="89">
        <f>F257-G257-H257</f>
        <v>12774.3</v>
      </c>
      <c r="J257" s="63" t="s">
        <v>205</v>
      </c>
      <c r="K257" s="63">
        <v>1</v>
      </c>
      <c r="L257" s="63"/>
      <c r="M257" s="63"/>
      <c r="N257" s="63">
        <v>1</v>
      </c>
      <c r="O257" s="63"/>
      <c r="P257" s="63"/>
      <c r="Q257" s="63"/>
      <c r="R257" s="63"/>
      <c r="S257" s="296"/>
      <c r="T257" s="63"/>
      <c r="U257" s="94"/>
      <c r="V257" s="90"/>
      <c r="W257" s="136"/>
      <c r="X257" s="137"/>
      <c r="Y257" s="2"/>
      <c r="Z257" s="2"/>
      <c r="AA257" s="2"/>
      <c r="AB257" s="2"/>
      <c r="AC257" s="2"/>
    </row>
    <row r="258" spans="1:29">
      <c r="A258" s="2"/>
      <c r="B258" s="87">
        <f t="shared" si="59"/>
        <v>13</v>
      </c>
      <c r="C258" s="274">
        <v>45863</v>
      </c>
      <c r="D258" s="276">
        <v>71763</v>
      </c>
      <c r="E258" s="276" t="s">
        <v>3249</v>
      </c>
      <c r="F258" s="277">
        <v>8075</v>
      </c>
      <c r="G258" s="277">
        <v>39.700000000000003</v>
      </c>
      <c r="H258" s="277"/>
      <c r="I258" s="278">
        <f t="shared" si="58"/>
        <v>8035.3</v>
      </c>
      <c r="J258" s="279" t="s">
        <v>205</v>
      </c>
      <c r="K258" s="279">
        <v>1</v>
      </c>
      <c r="L258" s="279"/>
      <c r="M258" s="279"/>
      <c r="N258" s="279">
        <v>1</v>
      </c>
      <c r="O258" s="279"/>
      <c r="P258" s="279"/>
      <c r="Q258" s="279"/>
      <c r="R258" s="279"/>
      <c r="S258" s="280"/>
      <c r="T258" s="63"/>
      <c r="U258" s="94"/>
      <c r="V258" s="90"/>
      <c r="W258" s="136"/>
      <c r="X258" s="137"/>
      <c r="Y258" s="2"/>
      <c r="Z258" s="2"/>
      <c r="AA258" s="2"/>
      <c r="AB258" s="2"/>
      <c r="AC258" s="2"/>
    </row>
    <row r="259" spans="1:29">
      <c r="A259" s="2"/>
      <c r="B259" s="87">
        <f t="shared" si="59"/>
        <v>14</v>
      </c>
      <c r="C259" s="295">
        <v>45863</v>
      </c>
      <c r="D259" s="10">
        <v>71764</v>
      </c>
      <c r="E259" s="10" t="s">
        <v>3250</v>
      </c>
      <c r="F259" s="62">
        <v>0</v>
      </c>
      <c r="G259" s="62"/>
      <c r="H259" s="62"/>
      <c r="I259" s="89">
        <f t="shared" si="58"/>
        <v>0</v>
      </c>
      <c r="J259" s="63" t="s">
        <v>374</v>
      </c>
      <c r="K259" s="63">
        <v>1</v>
      </c>
      <c r="L259" s="63"/>
      <c r="M259" s="63">
        <v>1</v>
      </c>
      <c r="N259" s="63"/>
      <c r="O259" s="63"/>
      <c r="P259" s="63"/>
      <c r="Q259" s="63"/>
      <c r="R259" s="63"/>
      <c r="S259" s="296"/>
      <c r="T259" s="63"/>
      <c r="U259" s="94"/>
      <c r="V259" s="90">
        <v>93.5</v>
      </c>
      <c r="W259" s="136"/>
      <c r="X259" s="137"/>
      <c r="Y259" s="2"/>
      <c r="Z259" s="2"/>
      <c r="AA259" s="2"/>
      <c r="AB259" s="2"/>
      <c r="AC259" s="2"/>
    </row>
    <row r="260" spans="1:29">
      <c r="A260" s="2"/>
      <c r="B260" s="87">
        <f t="shared" si="59"/>
        <v>15</v>
      </c>
      <c r="C260" s="282">
        <v>45863</v>
      </c>
      <c r="D260" s="283">
        <v>71779</v>
      </c>
      <c r="E260" s="319" t="s">
        <v>172</v>
      </c>
      <c r="F260" s="284">
        <v>1681</v>
      </c>
      <c r="G260" s="284">
        <v>39.700000000000003</v>
      </c>
      <c r="H260" s="284"/>
      <c r="I260" s="285">
        <f t="shared" si="58"/>
        <v>1641.3</v>
      </c>
      <c r="J260" s="286" t="s">
        <v>205</v>
      </c>
      <c r="K260" s="286">
        <v>1</v>
      </c>
      <c r="L260" s="286"/>
      <c r="M260" s="286"/>
      <c r="N260" s="286">
        <v>1</v>
      </c>
      <c r="O260" s="286"/>
      <c r="P260" s="286"/>
      <c r="Q260" s="286"/>
      <c r="R260" s="286"/>
      <c r="S260" s="287"/>
      <c r="T260" s="63"/>
      <c r="U260" s="94"/>
      <c r="V260" s="90"/>
      <c r="W260" s="136"/>
      <c r="X260" s="137"/>
      <c r="Y260" s="2"/>
      <c r="Z260" s="2"/>
      <c r="AA260" s="2"/>
      <c r="AB260" s="2"/>
      <c r="AC260" s="2"/>
    </row>
    <row r="261" spans="1:29">
      <c r="A261" s="2"/>
      <c r="B261" s="11"/>
      <c r="C261" s="36"/>
      <c r="D261" s="10"/>
      <c r="E261" s="10"/>
      <c r="F261" s="98">
        <f>SUM(F246:F260)</f>
        <v>73093.100000000006</v>
      </c>
      <c r="G261" s="98">
        <f>SUM(G246:G260)</f>
        <v>476.39999999999992</v>
      </c>
      <c r="H261" s="98">
        <f>SUM(H246:H260)</f>
        <v>0</v>
      </c>
      <c r="I261" s="98">
        <f>SUM(I246:I260)</f>
        <v>72616.700000000012</v>
      </c>
      <c r="J261" s="10"/>
      <c r="K261" s="10"/>
      <c r="L261" s="10"/>
      <c r="M261" s="10"/>
      <c r="N261" s="10"/>
      <c r="O261" s="10"/>
      <c r="P261" s="10"/>
      <c r="Q261" s="10"/>
      <c r="R261" s="10"/>
      <c r="S261" s="10"/>
      <c r="T261" s="63"/>
      <c r="U261" s="94"/>
      <c r="V261" s="90"/>
      <c r="W261" s="91"/>
      <c r="X261" s="92"/>
      <c r="Y261" s="2"/>
      <c r="Z261" s="2"/>
      <c r="AA261" s="2"/>
      <c r="AB261" s="2"/>
      <c r="AC261" s="2"/>
    </row>
    <row r="262" spans="1:29">
      <c r="A262" s="2"/>
      <c r="B262" s="26"/>
      <c r="C262" s="140"/>
      <c r="D262" s="141"/>
      <c r="E262" s="141"/>
      <c r="F262" s="141"/>
      <c r="G262" s="141"/>
      <c r="H262" s="141"/>
      <c r="I262" s="141"/>
      <c r="J262" s="141"/>
      <c r="K262" s="142"/>
      <c r="L262" s="142"/>
      <c r="M262" s="142"/>
      <c r="N262" s="142"/>
      <c r="O262" s="142"/>
      <c r="P262" s="142"/>
      <c r="Q262" s="142"/>
      <c r="R262" s="142"/>
      <c r="S262" s="142"/>
      <c r="T262" s="143">
        <f>SUM(T201:T261)</f>
        <v>5</v>
      </c>
      <c r="U262" s="168"/>
      <c r="V262" s="144">
        <f>SUM(V201:V261)</f>
        <v>40138.11</v>
      </c>
      <c r="W262" s="145">
        <f>SUM(W201:W261)</f>
        <v>0</v>
      </c>
      <c r="X262" s="146">
        <f>SUM(X201:X261)</f>
        <v>0</v>
      </c>
      <c r="Y262" s="2"/>
      <c r="Z262" s="2"/>
      <c r="AA262" s="2"/>
      <c r="AB262" s="2"/>
      <c r="AC262" s="2"/>
    </row>
    <row r="265" spans="1:29">
      <c r="B265" s="4" t="s">
        <v>1</v>
      </c>
      <c r="C265" s="5"/>
      <c r="D265" s="83"/>
      <c r="E265" s="6"/>
      <c r="F265" s="7" t="s">
        <v>2</v>
      </c>
      <c r="G265" s="8">
        <v>45872</v>
      </c>
      <c r="H265" s="7"/>
      <c r="I265" s="6"/>
      <c r="J265" s="6"/>
      <c r="K265" s="6"/>
      <c r="L265" s="6"/>
      <c r="M265" s="6"/>
      <c r="N265" s="6"/>
      <c r="O265" s="6"/>
      <c r="P265" s="6"/>
      <c r="Q265" s="6"/>
      <c r="R265" s="6"/>
      <c r="S265" s="6"/>
      <c r="T265" s="6"/>
      <c r="U265" s="149"/>
      <c r="V265" s="77"/>
      <c r="W265" s="77"/>
      <c r="X265" s="77"/>
    </row>
    <row r="266" spans="1:29">
      <c r="B266" s="11"/>
      <c r="C266" s="10"/>
      <c r="D266" s="63"/>
      <c r="E266" s="10"/>
      <c r="F266" s="10"/>
      <c r="G266" s="7"/>
      <c r="H266" s="12"/>
      <c r="I266" s="10"/>
      <c r="J266" s="10"/>
      <c r="K266" s="13" t="s">
        <v>3</v>
      </c>
      <c r="L266" s="14"/>
      <c r="M266" s="15"/>
      <c r="N266" s="13" t="s">
        <v>4</v>
      </c>
      <c r="O266" s="14"/>
      <c r="P266" s="15"/>
      <c r="Q266" s="13" t="s">
        <v>5</v>
      </c>
      <c r="R266" s="14"/>
      <c r="S266" s="15"/>
      <c r="T266" s="16"/>
      <c r="U266" s="151"/>
      <c r="V266" s="77"/>
      <c r="W266" s="77"/>
      <c r="X266" s="77"/>
    </row>
    <row r="267" spans="1:29">
      <c r="B267" s="18" t="s">
        <v>6</v>
      </c>
      <c r="C267" s="19">
        <f>C268+C269</f>
        <v>35</v>
      </c>
      <c r="D267" s="63"/>
      <c r="E267" s="18" t="s">
        <v>7</v>
      </c>
      <c r="F267" s="6"/>
      <c r="G267" s="9"/>
      <c r="H267" s="10"/>
      <c r="I267" s="10"/>
      <c r="J267" s="10"/>
      <c r="K267" s="20" t="s">
        <v>8</v>
      </c>
      <c r="L267" s="21" t="s">
        <v>9</v>
      </c>
      <c r="M267" s="21" t="s">
        <v>10</v>
      </c>
      <c r="N267" s="20" t="s">
        <v>11</v>
      </c>
      <c r="O267" s="21" t="s">
        <v>12</v>
      </c>
      <c r="P267" s="22" t="s">
        <v>13</v>
      </c>
      <c r="Q267" s="21" t="s">
        <v>11</v>
      </c>
      <c r="R267" s="21" t="s">
        <v>12</v>
      </c>
      <c r="S267" s="22" t="s">
        <v>13</v>
      </c>
      <c r="T267" s="23" t="s">
        <v>14</v>
      </c>
      <c r="U267" s="151"/>
      <c r="V267" s="77"/>
      <c r="W267" s="77"/>
      <c r="X267" s="77"/>
    </row>
    <row r="268" spans="1:29">
      <c r="B268" s="24" t="s">
        <v>15</v>
      </c>
      <c r="C268" s="25">
        <f>P275</f>
        <v>14</v>
      </c>
      <c r="D268" s="63"/>
      <c r="E268" s="11" t="s">
        <v>16</v>
      </c>
      <c r="F268" s="10" t="s">
        <v>78</v>
      </c>
      <c r="G268" s="153">
        <v>0.05</v>
      </c>
      <c r="H268" s="10"/>
      <c r="I268" s="10"/>
      <c r="J268" s="18" t="s">
        <v>17</v>
      </c>
      <c r="K268" s="29">
        <f>K307</f>
        <v>13</v>
      </c>
      <c r="L268" s="29">
        <f t="shared" ref="L268:S268" si="61">L307</f>
        <v>13</v>
      </c>
      <c r="M268" s="29">
        <f t="shared" si="61"/>
        <v>13</v>
      </c>
      <c r="N268" s="29">
        <f t="shared" si="61"/>
        <v>13</v>
      </c>
      <c r="O268" s="29">
        <f t="shared" si="61"/>
        <v>13</v>
      </c>
      <c r="P268" s="29">
        <f t="shared" si="61"/>
        <v>12</v>
      </c>
      <c r="Q268" s="29">
        <f t="shared" si="61"/>
        <v>13</v>
      </c>
      <c r="R268" s="29">
        <f t="shared" si="61"/>
        <v>13</v>
      </c>
      <c r="S268" s="29">
        <f t="shared" si="61"/>
        <v>13</v>
      </c>
      <c r="T268" s="30">
        <f>T356</f>
        <v>5</v>
      </c>
      <c r="U268" s="151"/>
      <c r="V268" s="77"/>
      <c r="W268" s="77"/>
      <c r="X268" s="77"/>
    </row>
    <row r="269" spans="1:29">
      <c r="B269" s="24" t="s">
        <v>18</v>
      </c>
      <c r="C269" s="25">
        <f>P276</f>
        <v>21</v>
      </c>
      <c r="D269" s="63"/>
      <c r="E269" s="26" t="s">
        <v>80</v>
      </c>
      <c r="F269" s="141" t="s">
        <v>81</v>
      </c>
      <c r="G269" s="154">
        <v>0.1</v>
      </c>
      <c r="H269" s="10"/>
      <c r="I269" s="10"/>
      <c r="J269" s="32" t="s">
        <v>19</v>
      </c>
      <c r="K269" s="33">
        <f>K307/K306</f>
        <v>1</v>
      </c>
      <c r="L269" s="33">
        <f t="shared" ref="L269:S269" si="62">L307/L306</f>
        <v>1</v>
      </c>
      <c r="M269" s="33">
        <f t="shared" si="62"/>
        <v>1</v>
      </c>
      <c r="N269" s="33">
        <f t="shared" si="62"/>
        <v>1</v>
      </c>
      <c r="O269" s="33">
        <f t="shared" si="62"/>
        <v>1</v>
      </c>
      <c r="P269" s="33">
        <f t="shared" si="62"/>
        <v>0.92307692307692313</v>
      </c>
      <c r="Q269" s="33">
        <f t="shared" si="62"/>
        <v>1</v>
      </c>
      <c r="R269" s="33">
        <f t="shared" si="62"/>
        <v>1</v>
      </c>
      <c r="S269" s="33">
        <f t="shared" si="62"/>
        <v>1</v>
      </c>
      <c r="T269" s="23"/>
      <c r="U269" s="151" t="s">
        <v>20</v>
      </c>
      <c r="V269" s="77"/>
      <c r="W269" s="77"/>
      <c r="X269" s="77"/>
    </row>
    <row r="270" spans="1:29">
      <c r="B270" s="24" t="s">
        <v>21</v>
      </c>
      <c r="C270" s="34">
        <f>P277</f>
        <v>0.4</v>
      </c>
      <c r="D270" s="63"/>
      <c r="E270" s="10"/>
      <c r="F270" s="10"/>
      <c r="G270" s="10"/>
      <c r="H270" s="10"/>
      <c r="I270" s="10"/>
      <c r="J270" s="10"/>
      <c r="K270" s="10"/>
      <c r="L270" s="10"/>
      <c r="M270" s="10"/>
      <c r="N270" s="10"/>
      <c r="O270" s="10"/>
      <c r="P270" s="10"/>
      <c r="Q270" s="10"/>
      <c r="R270" s="10"/>
      <c r="S270" s="10"/>
      <c r="T270" s="10"/>
      <c r="U270" s="151"/>
      <c r="V270" s="77"/>
      <c r="W270" s="77"/>
      <c r="X270" s="77"/>
    </row>
    <row r="271" spans="1:29">
      <c r="B271" s="24"/>
      <c r="C271" s="25"/>
      <c r="D271" s="63"/>
      <c r="E271" s="10"/>
      <c r="F271" s="18" t="s">
        <v>22</v>
      </c>
      <c r="G271" s="19" t="s">
        <v>23</v>
      </c>
      <c r="H271" s="35" t="s">
        <v>24</v>
      </c>
      <c r="I271" s="10"/>
      <c r="J271" s="10"/>
      <c r="K271" s="36"/>
      <c r="L271" s="36"/>
      <c r="M271" s="36"/>
      <c r="N271" s="36"/>
      <c r="O271" s="36"/>
      <c r="P271" s="36"/>
      <c r="Q271" s="36"/>
      <c r="R271" s="10"/>
      <c r="S271" s="10"/>
      <c r="T271" s="10"/>
      <c r="U271" s="151"/>
      <c r="V271" s="77"/>
      <c r="W271" s="77"/>
      <c r="X271" s="77"/>
    </row>
    <row r="272" spans="1:29">
      <c r="B272" s="32" t="s">
        <v>25</v>
      </c>
      <c r="C272" s="37">
        <f>P278</f>
        <v>2207.3778571428575</v>
      </c>
      <c r="D272" s="63"/>
      <c r="E272" s="18" t="s">
        <v>26</v>
      </c>
      <c r="F272" s="38">
        <f>P274</f>
        <v>30903.290000000005</v>
      </c>
      <c r="G272" s="39">
        <f>I306+I316</f>
        <v>30903.29</v>
      </c>
      <c r="H272" s="40"/>
      <c r="I272" s="41"/>
      <c r="J272" s="42"/>
      <c r="K272" s="43" t="s">
        <v>27</v>
      </c>
      <c r="L272" s="44"/>
      <c r="M272" s="44"/>
      <c r="N272" s="44"/>
      <c r="O272" s="44"/>
      <c r="P272" s="44"/>
      <c r="Q272" s="45"/>
      <c r="R272" s="46" t="s">
        <v>28</v>
      </c>
      <c r="S272" s="47" t="s">
        <v>29</v>
      </c>
      <c r="T272" s="10"/>
      <c r="U272" s="151"/>
      <c r="V272" s="77"/>
      <c r="W272" s="77"/>
      <c r="X272" s="77"/>
    </row>
    <row r="273" spans="2:24">
      <c r="B273" s="11"/>
      <c r="C273" s="10"/>
      <c r="D273" s="63"/>
      <c r="E273" s="24" t="s">
        <v>30</v>
      </c>
      <c r="F273" s="48">
        <f>IF(F272&gt;=25000,10%,5%)</f>
        <v>0.1</v>
      </c>
      <c r="G273" s="17"/>
      <c r="H273" s="40"/>
      <c r="I273" s="41"/>
      <c r="J273" s="42"/>
      <c r="K273" s="20" t="s">
        <v>31</v>
      </c>
      <c r="L273" s="21" t="s">
        <v>32</v>
      </c>
      <c r="M273" s="21" t="s">
        <v>33</v>
      </c>
      <c r="N273" s="21" t="s">
        <v>34</v>
      </c>
      <c r="O273" s="21" t="s">
        <v>35</v>
      </c>
      <c r="P273" s="21" t="s">
        <v>36</v>
      </c>
      <c r="Q273" s="49" t="s">
        <v>37</v>
      </c>
      <c r="R273" s="50" t="s">
        <v>38</v>
      </c>
      <c r="S273" s="50" t="s">
        <v>38</v>
      </c>
      <c r="T273" s="10"/>
      <c r="U273" s="151"/>
      <c r="V273" s="77"/>
      <c r="W273" s="77"/>
      <c r="X273" s="77"/>
    </row>
    <row r="274" spans="2:24">
      <c r="B274" s="11"/>
      <c r="C274" s="10"/>
      <c r="D274" s="63"/>
      <c r="E274" s="51" t="s">
        <v>39</v>
      </c>
      <c r="F274" s="52">
        <f>(F272-I315)*F273</f>
        <v>2505.9990000000007</v>
      </c>
      <c r="G274" s="53" t="s">
        <v>40</v>
      </c>
      <c r="H274" s="54">
        <f>F274/1.12</f>
        <v>2237.4991071428576</v>
      </c>
      <c r="I274" s="55"/>
      <c r="J274" s="42"/>
      <c r="K274" s="56">
        <f>I293+I294+I295+I296</f>
        <v>9170.3100000000013</v>
      </c>
      <c r="L274" s="57">
        <f>I298+I299+I300+I301+I297</f>
        <v>10884.400000000001</v>
      </c>
      <c r="M274" s="57">
        <f>I302+I303+I315</f>
        <v>7748.6</v>
      </c>
      <c r="N274" s="57">
        <v>0</v>
      </c>
      <c r="O274" s="57">
        <f>I304+I305</f>
        <v>3099.98</v>
      </c>
      <c r="P274" s="57">
        <f>SUM(K274:O274)</f>
        <v>30903.290000000005</v>
      </c>
      <c r="Q274" s="58">
        <v>0</v>
      </c>
      <c r="R274" s="59">
        <f>+I316</f>
        <v>5843.3</v>
      </c>
      <c r="S274" s="59">
        <v>0</v>
      </c>
      <c r="T274" s="10"/>
      <c r="U274" s="151"/>
      <c r="V274" s="77"/>
      <c r="W274" s="77"/>
      <c r="X274" s="77"/>
    </row>
    <row r="275" spans="2:24">
      <c r="B275" s="11"/>
      <c r="C275" s="10"/>
      <c r="D275" s="63"/>
      <c r="E275" s="24" t="s">
        <v>41</v>
      </c>
      <c r="F275" s="60">
        <f>Q274</f>
        <v>0</v>
      </c>
      <c r="G275" s="61" t="s">
        <v>40</v>
      </c>
      <c r="H275" s="62"/>
      <c r="I275" s="62"/>
      <c r="J275" s="10" t="s">
        <v>42</v>
      </c>
      <c r="K275" s="63">
        <v>4</v>
      </c>
      <c r="L275" s="63">
        <v>5</v>
      </c>
      <c r="M275" s="63">
        <v>3</v>
      </c>
      <c r="N275" s="63">
        <v>0</v>
      </c>
      <c r="O275" s="63">
        <v>2</v>
      </c>
      <c r="P275" s="21">
        <f>SUM(K275:O275)</f>
        <v>14</v>
      </c>
      <c r="Q275" s="64"/>
      <c r="R275" s="63"/>
      <c r="S275" s="10"/>
      <c r="T275" s="10"/>
      <c r="U275" s="151"/>
      <c r="V275" s="77"/>
      <c r="W275" s="77"/>
      <c r="X275" s="77"/>
    </row>
    <row r="276" spans="2:24">
      <c r="B276" s="11"/>
      <c r="C276" s="10"/>
      <c r="D276" s="63"/>
      <c r="E276" s="51" t="s">
        <v>43</v>
      </c>
      <c r="F276" s="52">
        <f>F275*0.25</f>
        <v>0</v>
      </c>
      <c r="G276" s="53" t="s">
        <v>40</v>
      </c>
      <c r="H276" s="54">
        <f>F276/1.12</f>
        <v>0</v>
      </c>
      <c r="I276" s="10"/>
      <c r="J276" s="10" t="s">
        <v>44</v>
      </c>
      <c r="K276" s="63">
        <v>2</v>
      </c>
      <c r="L276" s="63">
        <v>4</v>
      </c>
      <c r="M276" s="63">
        <v>4</v>
      </c>
      <c r="N276" s="63">
        <v>6</v>
      </c>
      <c r="O276" s="63">
        <v>5</v>
      </c>
      <c r="P276" s="21">
        <f>SUM(K276:O276)</f>
        <v>21</v>
      </c>
      <c r="Q276" s="64"/>
      <c r="R276" s="63"/>
      <c r="S276" s="10"/>
      <c r="T276" s="10"/>
      <c r="U276" s="151"/>
      <c r="V276" s="77"/>
      <c r="W276" s="77"/>
      <c r="X276" s="77"/>
    </row>
    <row r="277" spans="2:24">
      <c r="B277" s="11"/>
      <c r="C277" s="10"/>
      <c r="D277" s="63"/>
      <c r="E277" s="24" t="s">
        <v>45</v>
      </c>
      <c r="F277" s="60">
        <f>I312</f>
        <v>11407.630000000001</v>
      </c>
      <c r="G277" s="61" t="s">
        <v>40</v>
      </c>
      <c r="H277" s="62"/>
      <c r="I277" s="10"/>
      <c r="J277" s="10" t="s">
        <v>46</v>
      </c>
      <c r="K277" s="31">
        <f t="shared" ref="K277:Q277" si="63">K275/(K275+K276)</f>
        <v>0.66666666666666663</v>
      </c>
      <c r="L277" s="31">
        <f t="shared" si="63"/>
        <v>0.55555555555555558</v>
      </c>
      <c r="M277" s="31">
        <f t="shared" si="63"/>
        <v>0.42857142857142855</v>
      </c>
      <c r="N277" s="31">
        <f t="shared" si="63"/>
        <v>0</v>
      </c>
      <c r="O277" s="31">
        <f t="shared" si="63"/>
        <v>0.2857142857142857</v>
      </c>
      <c r="P277" s="31">
        <f t="shared" si="63"/>
        <v>0.4</v>
      </c>
      <c r="Q277" s="31" t="e">
        <f t="shared" si="63"/>
        <v>#DIV/0!</v>
      </c>
      <c r="R277" s="63"/>
      <c r="S277" s="10"/>
      <c r="T277" s="10"/>
      <c r="U277" s="151"/>
      <c r="V277" s="77"/>
      <c r="W277" s="77"/>
      <c r="X277" s="77"/>
    </row>
    <row r="278" spans="2:24">
      <c r="B278" s="11"/>
      <c r="C278" s="10"/>
      <c r="D278" s="63"/>
      <c r="E278" s="51" t="s">
        <v>47</v>
      </c>
      <c r="F278" s="52">
        <f>(F277+F281)*0.05</f>
        <v>560.0775000000001</v>
      </c>
      <c r="G278" s="65" t="s">
        <v>40</v>
      </c>
      <c r="H278" s="54">
        <f>F278/1.12</f>
        <v>500.06919642857144</v>
      </c>
      <c r="I278" s="42"/>
      <c r="J278" s="10" t="s">
        <v>48</v>
      </c>
      <c r="K278" s="66">
        <f>K274/K275</f>
        <v>2292.5775000000003</v>
      </c>
      <c r="L278" s="66">
        <f t="shared" ref="L278:Q278" si="64">L274/L275</f>
        <v>2176.88</v>
      </c>
      <c r="M278" s="66">
        <f t="shared" si="64"/>
        <v>2582.8666666666668</v>
      </c>
      <c r="N278" s="66" t="e">
        <f t="shared" si="64"/>
        <v>#DIV/0!</v>
      </c>
      <c r="O278" s="66">
        <f t="shared" si="64"/>
        <v>1549.99</v>
      </c>
      <c r="P278" s="66">
        <f t="shared" si="64"/>
        <v>2207.3778571428575</v>
      </c>
      <c r="Q278" s="66" t="e">
        <f t="shared" si="64"/>
        <v>#DIV/0!</v>
      </c>
      <c r="R278" s="63"/>
      <c r="S278" s="10"/>
      <c r="T278" s="10"/>
      <c r="U278" s="151"/>
      <c r="V278" s="77"/>
      <c r="W278" s="77"/>
      <c r="X278" s="77"/>
    </row>
    <row r="279" spans="2:24">
      <c r="B279" s="132"/>
      <c r="C279" s="123"/>
      <c r="D279" s="127"/>
      <c r="E279" s="155" t="s">
        <v>14</v>
      </c>
      <c r="F279" s="156">
        <f>1*50+5*50/2</f>
        <v>175</v>
      </c>
      <c r="G279" s="123"/>
      <c r="H279" s="54">
        <f>F279/1.12</f>
        <v>156.24999999999997</v>
      </c>
      <c r="I279" s="123"/>
      <c r="J279" s="123"/>
      <c r="K279" s="123"/>
      <c r="L279" s="123"/>
      <c r="M279" s="123"/>
      <c r="N279" s="123"/>
      <c r="O279" s="123"/>
      <c r="P279" s="123"/>
      <c r="Q279" s="123"/>
      <c r="R279" s="123"/>
      <c r="S279" s="123"/>
      <c r="T279" s="123"/>
      <c r="U279" s="157"/>
      <c r="V279" s="123"/>
      <c r="W279" s="123"/>
      <c r="X279" s="123"/>
    </row>
    <row r="280" spans="2:24">
      <c r="B280" s="132"/>
      <c r="C280" s="123"/>
      <c r="D280" s="127"/>
      <c r="E280" s="158" t="s">
        <v>49</v>
      </c>
      <c r="F280" s="159">
        <f>T269</f>
        <v>0</v>
      </c>
      <c r="G280" s="123"/>
      <c r="H280" s="54"/>
      <c r="I280" s="123"/>
      <c r="J280" s="42"/>
      <c r="K280" s="764" t="s">
        <v>50</v>
      </c>
      <c r="L280" s="764"/>
      <c r="M280" s="764"/>
      <c r="N280" s="764"/>
      <c r="O280" s="764"/>
      <c r="P280" s="764"/>
      <c r="Q280" s="764"/>
      <c r="R280" s="70" t="s">
        <v>28</v>
      </c>
      <c r="S280" s="71" t="s">
        <v>29</v>
      </c>
      <c r="T280" s="123"/>
      <c r="U280" s="157"/>
      <c r="V280" s="123"/>
      <c r="W280" s="123"/>
      <c r="X280" s="123"/>
    </row>
    <row r="281" spans="2:24">
      <c r="B281" s="132"/>
      <c r="C281" s="123"/>
      <c r="D281" s="127"/>
      <c r="E281" s="74" t="s">
        <v>3251</v>
      </c>
      <c r="F281" s="75">
        <v>-206.08</v>
      </c>
      <c r="G281" s="123"/>
      <c r="H281" s="54"/>
      <c r="I281" s="123"/>
      <c r="J281" s="42"/>
      <c r="K281" s="20" t="s">
        <v>31</v>
      </c>
      <c r="L281" s="21" t="s">
        <v>32</v>
      </c>
      <c r="M281" s="21" t="s">
        <v>33</v>
      </c>
      <c r="N281" s="21" t="s">
        <v>34</v>
      </c>
      <c r="O281" s="21" t="s">
        <v>35</v>
      </c>
      <c r="P281" s="21" t="s">
        <v>36</v>
      </c>
      <c r="Q281" s="49" t="s">
        <v>37</v>
      </c>
      <c r="R281" s="50" t="s">
        <v>38</v>
      </c>
      <c r="S281" s="50" t="s">
        <v>38</v>
      </c>
      <c r="T281" s="123"/>
      <c r="U281" s="157"/>
      <c r="V281" s="123"/>
      <c r="W281" s="123"/>
      <c r="X281" s="123"/>
    </row>
    <row r="282" spans="2:24">
      <c r="B282" s="132"/>
      <c r="C282" s="123"/>
      <c r="D282" s="127"/>
      <c r="E282" s="12"/>
      <c r="F282" s="12"/>
      <c r="G282" s="123"/>
      <c r="H282" s="54"/>
      <c r="I282" s="123"/>
      <c r="J282" s="42"/>
      <c r="K282" s="56">
        <f>F293+F294+F295+F296</f>
        <v>15110</v>
      </c>
      <c r="L282" s="57">
        <f>F298+F299+F300+F301+F297</f>
        <v>13417</v>
      </c>
      <c r="M282" s="57">
        <f>F302+F303+F315</f>
        <v>8078</v>
      </c>
      <c r="N282" s="57">
        <v>0</v>
      </c>
      <c r="O282" s="57">
        <f>F304+F305</f>
        <v>3228</v>
      </c>
      <c r="P282" s="57">
        <f>SUM(K282:O282)</f>
        <v>39833</v>
      </c>
      <c r="Q282" s="58">
        <v>0</v>
      </c>
      <c r="R282" s="59">
        <f>F316</f>
        <v>6133</v>
      </c>
      <c r="S282" s="59">
        <v>0</v>
      </c>
      <c r="T282" s="123"/>
      <c r="U282" s="157"/>
      <c r="V282" s="123"/>
      <c r="W282" s="123"/>
      <c r="X282" s="123"/>
    </row>
    <row r="283" spans="2:24">
      <c r="B283" s="132"/>
      <c r="C283" s="123"/>
      <c r="D283" s="127"/>
      <c r="E283" s="10"/>
      <c r="F283" s="10"/>
      <c r="G283" s="123"/>
      <c r="H283" s="54"/>
      <c r="I283" s="123"/>
      <c r="J283" s="10" t="s">
        <v>42</v>
      </c>
      <c r="K283" s="63">
        <f t="shared" ref="K283:Q284" si="65">K275</f>
        <v>4</v>
      </c>
      <c r="L283" s="63">
        <f t="shared" si="65"/>
        <v>5</v>
      </c>
      <c r="M283" s="63">
        <f t="shared" si="65"/>
        <v>3</v>
      </c>
      <c r="N283" s="63">
        <f t="shared" si="65"/>
        <v>0</v>
      </c>
      <c r="O283" s="63">
        <f t="shared" si="65"/>
        <v>2</v>
      </c>
      <c r="P283" s="63">
        <f t="shared" si="65"/>
        <v>14</v>
      </c>
      <c r="Q283" s="63">
        <f t="shared" si="65"/>
        <v>0</v>
      </c>
      <c r="R283" s="63"/>
      <c r="S283" s="10"/>
      <c r="T283" s="123"/>
      <c r="U283" s="157"/>
      <c r="V283" s="123"/>
      <c r="W283" s="123"/>
      <c r="X283" s="123"/>
    </row>
    <row r="284" spans="2:24">
      <c r="B284" s="132"/>
      <c r="C284" s="123"/>
      <c r="D284" s="127"/>
      <c r="E284" s="12"/>
      <c r="F284" s="12"/>
      <c r="G284" s="10"/>
      <c r="H284" s="10"/>
      <c r="I284" s="123"/>
      <c r="J284" s="10" t="s">
        <v>44</v>
      </c>
      <c r="K284" s="63">
        <f t="shared" si="65"/>
        <v>2</v>
      </c>
      <c r="L284" s="63">
        <f t="shared" si="65"/>
        <v>4</v>
      </c>
      <c r="M284" s="63">
        <f t="shared" si="65"/>
        <v>4</v>
      </c>
      <c r="N284" s="63">
        <f t="shared" si="65"/>
        <v>6</v>
      </c>
      <c r="O284" s="63">
        <f t="shared" si="65"/>
        <v>5</v>
      </c>
      <c r="P284" s="63">
        <f t="shared" si="65"/>
        <v>21</v>
      </c>
      <c r="Q284" s="63">
        <f t="shared" si="65"/>
        <v>0</v>
      </c>
      <c r="R284" s="63"/>
      <c r="S284" s="10"/>
      <c r="T284" s="123"/>
      <c r="U284" s="157"/>
      <c r="V284" s="123"/>
      <c r="W284" s="123"/>
      <c r="X284" s="123"/>
    </row>
    <row r="285" spans="2:24">
      <c r="B285" s="132"/>
      <c r="C285" s="123"/>
      <c r="D285" s="127"/>
      <c r="E285" s="10"/>
      <c r="F285" s="10"/>
      <c r="G285" s="123"/>
      <c r="H285" s="54"/>
      <c r="I285" s="123"/>
      <c r="J285" s="10" t="s">
        <v>46</v>
      </c>
      <c r="K285" s="31">
        <f t="shared" ref="K285:Q285" si="66">K283/(K283+K284)</f>
        <v>0.66666666666666663</v>
      </c>
      <c r="L285" s="31">
        <f t="shared" si="66"/>
        <v>0.55555555555555558</v>
      </c>
      <c r="M285" s="31">
        <f t="shared" si="66"/>
        <v>0.42857142857142855</v>
      </c>
      <c r="N285" s="31">
        <f t="shared" si="66"/>
        <v>0</v>
      </c>
      <c r="O285" s="31">
        <f t="shared" si="66"/>
        <v>0.2857142857142857</v>
      </c>
      <c r="P285" s="31">
        <f t="shared" si="66"/>
        <v>0.4</v>
      </c>
      <c r="Q285" s="31" t="e">
        <f t="shared" si="66"/>
        <v>#DIV/0!</v>
      </c>
      <c r="R285" s="63"/>
      <c r="S285" s="10"/>
      <c r="T285" s="123"/>
      <c r="U285" s="157"/>
      <c r="V285" s="123"/>
      <c r="W285" s="123"/>
      <c r="X285" s="123"/>
    </row>
    <row r="286" spans="2:24">
      <c r="B286" s="132"/>
      <c r="C286" s="123"/>
      <c r="D286" s="127"/>
      <c r="E286" s="12"/>
      <c r="F286" s="12"/>
      <c r="G286" s="10"/>
      <c r="H286" s="10"/>
      <c r="I286" s="123"/>
      <c r="J286" s="10" t="s">
        <v>48</v>
      </c>
      <c r="K286" s="66">
        <f t="shared" ref="K286:Q286" si="67">K282/K283</f>
        <v>3777.5</v>
      </c>
      <c r="L286" s="66">
        <f t="shared" si="67"/>
        <v>2683.4</v>
      </c>
      <c r="M286" s="66">
        <f t="shared" si="67"/>
        <v>2692.6666666666665</v>
      </c>
      <c r="N286" s="66" t="e">
        <f t="shared" si="67"/>
        <v>#DIV/0!</v>
      </c>
      <c r="O286" s="66">
        <f t="shared" si="67"/>
        <v>1614</v>
      </c>
      <c r="P286" s="66">
        <f t="shared" si="67"/>
        <v>2845.2142857142858</v>
      </c>
      <c r="Q286" s="66" t="e">
        <f t="shared" si="67"/>
        <v>#DIV/0!</v>
      </c>
      <c r="R286" s="63"/>
      <c r="S286" s="10"/>
      <c r="T286" s="123"/>
      <c r="U286" s="157"/>
      <c r="V286" s="123"/>
      <c r="W286" s="123"/>
      <c r="X286" s="123"/>
    </row>
    <row r="287" spans="2:24">
      <c r="B287" s="132"/>
      <c r="C287" s="123"/>
      <c r="D287" s="127"/>
      <c r="E287" s="10"/>
      <c r="F287" s="10"/>
      <c r="G287" s="123"/>
      <c r="H287" s="54"/>
      <c r="I287" s="123"/>
      <c r="J287" s="123"/>
      <c r="K287" s="123"/>
      <c r="L287" s="123"/>
      <c r="M287" s="123"/>
      <c r="N287" s="123"/>
      <c r="O287" s="123"/>
      <c r="P287" s="123"/>
      <c r="Q287" s="123"/>
      <c r="R287" s="123"/>
      <c r="S287" s="123"/>
      <c r="T287" s="123"/>
      <c r="U287" s="157"/>
      <c r="V287" s="123"/>
      <c r="W287" s="123"/>
      <c r="X287" s="123"/>
    </row>
    <row r="288" spans="2:24">
      <c r="B288" s="11"/>
      <c r="C288" s="10"/>
      <c r="D288" s="63"/>
      <c r="E288" s="12"/>
      <c r="F288" s="12"/>
      <c r="G288" s="10"/>
      <c r="H288" s="10"/>
      <c r="I288" s="10"/>
      <c r="J288" s="10"/>
      <c r="K288" s="10"/>
      <c r="L288" s="10"/>
      <c r="M288" s="10"/>
      <c r="N288" s="10"/>
      <c r="O288" s="10"/>
      <c r="P288" s="10"/>
      <c r="Q288" s="10"/>
      <c r="R288" s="10"/>
      <c r="S288" s="10"/>
      <c r="T288" s="10"/>
      <c r="U288" s="151"/>
      <c r="V288" s="77"/>
      <c r="W288" s="77"/>
      <c r="X288" s="77"/>
    </row>
    <row r="289" spans="1:24">
      <c r="B289" s="11"/>
      <c r="C289" s="10"/>
      <c r="D289" s="63"/>
      <c r="E289" s="10"/>
      <c r="F289" s="10"/>
      <c r="G289" s="10"/>
      <c r="H289" s="10"/>
      <c r="I289" s="10"/>
      <c r="J289" s="10"/>
      <c r="K289" s="10"/>
      <c r="L289" s="10"/>
      <c r="M289" s="10"/>
      <c r="N289" s="10"/>
      <c r="O289" s="10"/>
      <c r="P289" s="10"/>
      <c r="Q289" s="10"/>
      <c r="R289" s="10"/>
      <c r="S289" s="10"/>
      <c r="T289" s="10"/>
      <c r="U289" s="151"/>
      <c r="V289" s="77"/>
      <c r="W289" s="77"/>
      <c r="X289" s="77"/>
    </row>
    <row r="290" spans="1:24">
      <c r="B290" s="18" t="s">
        <v>51</v>
      </c>
      <c r="C290" s="14"/>
      <c r="D290" s="14"/>
      <c r="E290" s="14"/>
      <c r="F290" s="13" t="s">
        <v>52</v>
      </c>
      <c r="G290" s="14"/>
      <c r="H290" s="14"/>
      <c r="I290" s="14"/>
      <c r="J290" s="14"/>
      <c r="K290" s="13" t="s">
        <v>3</v>
      </c>
      <c r="L290" s="14"/>
      <c r="M290" s="14"/>
      <c r="N290" s="13" t="s">
        <v>4</v>
      </c>
      <c r="O290" s="14"/>
      <c r="P290" s="14"/>
      <c r="Q290" s="13" t="s">
        <v>5</v>
      </c>
      <c r="R290" s="14"/>
      <c r="S290" s="14"/>
      <c r="T290" s="18"/>
      <c r="U290" s="161" t="s">
        <v>53</v>
      </c>
      <c r="V290" s="77"/>
      <c r="W290" s="77"/>
      <c r="X290" s="77"/>
    </row>
    <row r="291" spans="1:24">
      <c r="B291" s="24" t="s">
        <v>54</v>
      </c>
      <c r="C291" s="21" t="s">
        <v>55</v>
      </c>
      <c r="D291" s="21" t="s">
        <v>56</v>
      </c>
      <c r="E291" s="21" t="s">
        <v>57</v>
      </c>
      <c r="F291" s="20" t="s">
        <v>58</v>
      </c>
      <c r="G291" s="21" t="s">
        <v>59</v>
      </c>
      <c r="H291" s="21" t="s">
        <v>60</v>
      </c>
      <c r="I291" s="21" t="s">
        <v>26</v>
      </c>
      <c r="J291" s="22" t="s">
        <v>61</v>
      </c>
      <c r="K291" s="21" t="s">
        <v>8</v>
      </c>
      <c r="L291" s="21" t="s">
        <v>9</v>
      </c>
      <c r="M291" s="21" t="s">
        <v>10</v>
      </c>
      <c r="N291" s="20" t="s">
        <v>11</v>
      </c>
      <c r="O291" s="21" t="s">
        <v>12</v>
      </c>
      <c r="P291" s="22" t="s">
        <v>13</v>
      </c>
      <c r="Q291" s="21" t="s">
        <v>11</v>
      </c>
      <c r="R291" s="21" t="s">
        <v>12</v>
      </c>
      <c r="S291" s="21" t="s">
        <v>13</v>
      </c>
      <c r="T291" s="78" t="s">
        <v>14</v>
      </c>
      <c r="U291" s="162"/>
      <c r="V291" s="79" t="s">
        <v>62</v>
      </c>
      <c r="W291" s="80" t="s">
        <v>63</v>
      </c>
      <c r="X291" s="81" t="s">
        <v>64</v>
      </c>
    </row>
    <row r="292" spans="1:24">
      <c r="B292" s="4" t="s">
        <v>65</v>
      </c>
      <c r="C292" s="6"/>
      <c r="D292" s="6"/>
      <c r="E292" s="6"/>
      <c r="F292" s="6"/>
      <c r="G292" s="6"/>
      <c r="H292" s="6"/>
      <c r="I292" s="82"/>
      <c r="J292" s="6"/>
      <c r="K292" s="6"/>
      <c r="L292" s="6"/>
      <c r="M292" s="6"/>
      <c r="N292" s="6"/>
      <c r="O292" s="6"/>
      <c r="P292" s="6"/>
      <c r="Q292" s="6"/>
      <c r="R292" s="6"/>
      <c r="S292" s="6"/>
      <c r="T292" s="83"/>
      <c r="U292" s="163"/>
      <c r="V292" s="84"/>
      <c r="W292" s="85"/>
      <c r="X292" s="86"/>
    </row>
    <row r="293" spans="1:24">
      <c r="B293" s="87">
        <v>1</v>
      </c>
      <c r="C293" s="274">
        <v>45866</v>
      </c>
      <c r="D293" s="327">
        <v>71798</v>
      </c>
      <c r="E293" s="276" t="s">
        <v>659</v>
      </c>
      <c r="F293" s="277">
        <v>681</v>
      </c>
      <c r="G293" s="277"/>
      <c r="H293" s="297"/>
      <c r="I293" s="278">
        <f>F293-G293-H293</f>
        <v>681</v>
      </c>
      <c r="J293" s="279" t="s">
        <v>156</v>
      </c>
      <c r="K293" s="279">
        <v>1</v>
      </c>
      <c r="L293" s="279">
        <v>1</v>
      </c>
      <c r="M293" s="279">
        <v>1</v>
      </c>
      <c r="N293" s="279">
        <v>1</v>
      </c>
      <c r="O293" s="279">
        <v>1</v>
      </c>
      <c r="P293" s="279">
        <v>1</v>
      </c>
      <c r="Q293" s="279">
        <v>1</v>
      </c>
      <c r="R293" s="279">
        <v>1</v>
      </c>
      <c r="S293" s="280">
        <v>1</v>
      </c>
      <c r="T293" s="21">
        <v>1</v>
      </c>
      <c r="U293" s="94" t="s">
        <v>3252</v>
      </c>
      <c r="V293" s="90">
        <f>74.91+674.19</f>
        <v>749.1</v>
      </c>
      <c r="W293" s="91"/>
      <c r="X293" s="92"/>
    </row>
    <row r="294" spans="1:24">
      <c r="B294" s="87">
        <f t="shared" ref="B294:B305" si="68">B293+1</f>
        <v>2</v>
      </c>
      <c r="C294" s="295">
        <v>45866</v>
      </c>
      <c r="D294" s="323">
        <v>71814</v>
      </c>
      <c r="E294" s="10" t="s">
        <v>798</v>
      </c>
      <c r="F294" s="62">
        <v>481</v>
      </c>
      <c r="G294" s="62"/>
      <c r="H294" s="62"/>
      <c r="I294" s="89">
        <f t="shared" ref="I294:I305" si="69">F294-G294-H294</f>
        <v>481</v>
      </c>
      <c r="J294" s="63" t="s">
        <v>156</v>
      </c>
      <c r="K294" s="63">
        <v>1</v>
      </c>
      <c r="L294" s="63">
        <v>1</v>
      </c>
      <c r="M294" s="63">
        <v>1</v>
      </c>
      <c r="N294" s="63">
        <v>1</v>
      </c>
      <c r="O294" s="63">
        <v>1</v>
      </c>
      <c r="P294" s="63">
        <v>1</v>
      </c>
      <c r="Q294" s="63">
        <v>1</v>
      </c>
      <c r="R294" s="63">
        <v>1</v>
      </c>
      <c r="S294" s="296">
        <v>1</v>
      </c>
      <c r="T294" s="21">
        <v>1</v>
      </c>
      <c r="U294" s="94" t="s">
        <v>3253</v>
      </c>
      <c r="V294" s="90">
        <f>52.91+476.19</f>
        <v>529.1</v>
      </c>
      <c r="W294" s="91"/>
      <c r="X294" s="92"/>
    </row>
    <row r="295" spans="1:24">
      <c r="B295" s="87">
        <f t="shared" si="68"/>
        <v>3</v>
      </c>
      <c r="C295" s="295">
        <v>45866</v>
      </c>
      <c r="D295" s="346" t="s">
        <v>3254</v>
      </c>
      <c r="E295" s="10" t="s">
        <v>1217</v>
      </c>
      <c r="F295" s="62">
        <v>1134</v>
      </c>
      <c r="G295" s="62">
        <v>39.700000000000003</v>
      </c>
      <c r="H295" s="62"/>
      <c r="I295" s="89">
        <f t="shared" si="69"/>
        <v>1094.3</v>
      </c>
      <c r="J295" s="63" t="s">
        <v>156</v>
      </c>
      <c r="K295" s="63">
        <v>1</v>
      </c>
      <c r="L295" s="63">
        <v>1</v>
      </c>
      <c r="M295" s="63">
        <v>1</v>
      </c>
      <c r="N295" s="63">
        <v>1</v>
      </c>
      <c r="O295" s="63">
        <v>1</v>
      </c>
      <c r="P295" s="63">
        <v>1</v>
      </c>
      <c r="Q295" s="63">
        <v>1</v>
      </c>
      <c r="R295" s="63">
        <v>1</v>
      </c>
      <c r="S295" s="296">
        <v>1</v>
      </c>
      <c r="T295" s="63"/>
      <c r="U295" s="94"/>
      <c r="V295" s="90">
        <f>124.74+1122.66</f>
        <v>1247.4000000000001</v>
      </c>
      <c r="W295" s="91"/>
      <c r="X295" s="92"/>
    </row>
    <row r="296" spans="1:24">
      <c r="B296" s="87">
        <f>B295+1</f>
        <v>4</v>
      </c>
      <c r="C296" s="295">
        <v>45866</v>
      </c>
      <c r="D296" s="323" t="s">
        <v>3255</v>
      </c>
      <c r="E296" s="10" t="s">
        <v>1217</v>
      </c>
      <c r="F296" s="62">
        <v>12814</v>
      </c>
      <c r="G296" s="62">
        <f>39.7+(24.25)+(16.89+3918.07+12.18+50.3+8.61+1113.23+14+210.65-7.89)+500</f>
        <v>5899.99</v>
      </c>
      <c r="H296" s="62"/>
      <c r="I296" s="89">
        <f>F296-G296-H296</f>
        <v>6914.01</v>
      </c>
      <c r="J296" s="63" t="s">
        <v>156</v>
      </c>
      <c r="K296" s="63">
        <v>1</v>
      </c>
      <c r="L296" s="63">
        <v>1</v>
      </c>
      <c r="M296" s="63">
        <v>1</v>
      </c>
      <c r="N296" s="63">
        <v>1</v>
      </c>
      <c r="O296" s="63">
        <v>1</v>
      </c>
      <c r="P296" s="63">
        <v>1</v>
      </c>
      <c r="Q296" s="63">
        <v>1</v>
      </c>
      <c r="R296" s="63">
        <v>1</v>
      </c>
      <c r="S296" s="296">
        <v>1</v>
      </c>
      <c r="T296" s="21">
        <v>1</v>
      </c>
      <c r="U296" s="94" t="s">
        <v>3256</v>
      </c>
      <c r="V296" s="90">
        <f>1409.54+10000+2685.86</f>
        <v>14095.400000000001</v>
      </c>
      <c r="W296" s="91"/>
      <c r="X296" s="92"/>
    </row>
    <row r="297" spans="1:24">
      <c r="A297" s="464">
        <v>45870</v>
      </c>
      <c r="B297" s="87">
        <f>B296+1</f>
        <v>5</v>
      </c>
      <c r="C297" s="274">
        <v>45867</v>
      </c>
      <c r="D297" s="327">
        <v>71747</v>
      </c>
      <c r="E297" s="276" t="s">
        <v>169</v>
      </c>
      <c r="F297" s="277">
        <v>5213</v>
      </c>
      <c r="G297" s="277">
        <f>39.7+(7.24+117.79)+200</f>
        <v>364.73</v>
      </c>
      <c r="H297" s="277"/>
      <c r="I297" s="278">
        <f>F297-G297-H297</f>
        <v>4848.2700000000004</v>
      </c>
      <c r="J297" s="279" t="s">
        <v>156</v>
      </c>
      <c r="K297" s="279">
        <v>1</v>
      </c>
      <c r="L297" s="279">
        <v>1</v>
      </c>
      <c r="M297" s="279">
        <v>1</v>
      </c>
      <c r="N297" s="279">
        <v>1</v>
      </c>
      <c r="O297" s="279">
        <v>1</v>
      </c>
      <c r="P297" s="279">
        <v>1</v>
      </c>
      <c r="Q297" s="279">
        <v>1</v>
      </c>
      <c r="R297" s="279">
        <v>1</v>
      </c>
      <c r="S297" s="280">
        <v>1</v>
      </c>
      <c r="T297" s="63"/>
      <c r="U297" s="94" t="s">
        <v>3257</v>
      </c>
      <c r="V297" s="90">
        <f>573.43+3000+2160.87</f>
        <v>5734.2999999999993</v>
      </c>
      <c r="W297" s="91"/>
      <c r="X297" s="92"/>
    </row>
    <row r="298" spans="1:24">
      <c r="B298" s="87">
        <f>B297+1</f>
        <v>6</v>
      </c>
      <c r="C298" s="295">
        <v>45867</v>
      </c>
      <c r="D298" s="346" t="s">
        <v>3258</v>
      </c>
      <c r="E298" s="10" t="s">
        <v>746</v>
      </c>
      <c r="F298" s="62">
        <v>681</v>
      </c>
      <c r="G298" s="62"/>
      <c r="H298" s="62"/>
      <c r="I298" s="89">
        <f t="shared" ref="I298" si="70">F298-G298-H298</f>
        <v>681</v>
      </c>
      <c r="J298" s="63" t="s">
        <v>156</v>
      </c>
      <c r="K298" s="63">
        <v>1</v>
      </c>
      <c r="L298" s="63">
        <v>1</v>
      </c>
      <c r="M298" s="63">
        <v>1</v>
      </c>
      <c r="N298" s="63">
        <v>1</v>
      </c>
      <c r="O298" s="63">
        <v>1</v>
      </c>
      <c r="P298" s="63">
        <v>1</v>
      </c>
      <c r="Q298" s="63">
        <v>1</v>
      </c>
      <c r="R298" s="63">
        <v>1</v>
      </c>
      <c r="S298" s="296">
        <v>1</v>
      </c>
      <c r="T298" s="63"/>
      <c r="U298" s="94" t="s">
        <v>3259</v>
      </c>
      <c r="V298" s="90">
        <f>74.91+674.19</f>
        <v>749.1</v>
      </c>
      <c r="W298" s="91"/>
      <c r="X298" s="92"/>
    </row>
    <row r="299" spans="1:24">
      <c r="B299" s="87">
        <f t="shared" si="68"/>
        <v>7</v>
      </c>
      <c r="C299" s="295">
        <v>45867</v>
      </c>
      <c r="D299" s="506" t="s">
        <v>3260</v>
      </c>
      <c r="E299" s="10" t="s">
        <v>746</v>
      </c>
      <c r="F299" s="62">
        <v>5814</v>
      </c>
      <c r="G299" s="62">
        <f>39.7+(1151.07+512.78+3.55+171.07)+250</f>
        <v>2128.17</v>
      </c>
      <c r="H299" s="62"/>
      <c r="I299" s="324">
        <f t="shared" si="69"/>
        <v>3685.83</v>
      </c>
      <c r="J299" s="63" t="s">
        <v>156</v>
      </c>
      <c r="K299" s="63">
        <v>1</v>
      </c>
      <c r="L299" s="63">
        <v>1</v>
      </c>
      <c r="M299" s="63">
        <v>1</v>
      </c>
      <c r="N299" s="63">
        <v>1</v>
      </c>
      <c r="O299" s="63">
        <v>1</v>
      </c>
      <c r="P299" s="325">
        <v>0</v>
      </c>
      <c r="Q299" s="63">
        <v>1</v>
      </c>
      <c r="R299" s="63">
        <v>1</v>
      </c>
      <c r="S299" s="296">
        <v>1</v>
      </c>
      <c r="T299" s="63"/>
      <c r="U299" s="94" t="s">
        <v>3261</v>
      </c>
      <c r="V299" s="90">
        <f>639.54+2850+2905.86</f>
        <v>6395.4</v>
      </c>
      <c r="W299" s="91"/>
      <c r="X299" s="92"/>
    </row>
    <row r="300" spans="1:24">
      <c r="B300" s="87">
        <f t="shared" si="68"/>
        <v>8</v>
      </c>
      <c r="C300" s="295">
        <v>45867</v>
      </c>
      <c r="D300" s="346" t="s">
        <v>3262</v>
      </c>
      <c r="E300" s="10" t="s">
        <v>1073</v>
      </c>
      <c r="F300" s="62">
        <v>681</v>
      </c>
      <c r="G300" s="62"/>
      <c r="H300" s="88"/>
      <c r="I300" s="89">
        <f t="shared" si="69"/>
        <v>681</v>
      </c>
      <c r="J300" s="63" t="s">
        <v>156</v>
      </c>
      <c r="K300" s="63">
        <v>1</v>
      </c>
      <c r="L300" s="63">
        <v>1</v>
      </c>
      <c r="M300" s="63">
        <v>1</v>
      </c>
      <c r="N300" s="63">
        <v>1</v>
      </c>
      <c r="O300" s="63">
        <v>1</v>
      </c>
      <c r="P300" s="63">
        <v>1</v>
      </c>
      <c r="Q300" s="63">
        <v>1</v>
      </c>
      <c r="R300" s="63">
        <v>1</v>
      </c>
      <c r="S300" s="296">
        <v>1</v>
      </c>
      <c r="T300" s="63"/>
      <c r="U300" s="94" t="s">
        <v>3263</v>
      </c>
      <c r="V300" s="90">
        <f>74.91+674.19</f>
        <v>749.1</v>
      </c>
      <c r="W300" s="91"/>
      <c r="X300" s="92"/>
    </row>
    <row r="301" spans="1:24">
      <c r="B301" s="87">
        <f t="shared" si="68"/>
        <v>9</v>
      </c>
      <c r="C301" s="282">
        <v>45867</v>
      </c>
      <c r="D301" s="330" t="s">
        <v>3264</v>
      </c>
      <c r="E301" s="283" t="s">
        <v>1080</v>
      </c>
      <c r="F301" s="284">
        <v>1028</v>
      </c>
      <c r="G301" s="284">
        <v>39.700000000000003</v>
      </c>
      <c r="H301" s="315"/>
      <c r="I301" s="285">
        <f>F301-G301-H301</f>
        <v>988.3</v>
      </c>
      <c r="J301" s="286" t="s">
        <v>150</v>
      </c>
      <c r="K301" s="286">
        <v>1</v>
      </c>
      <c r="L301" s="286">
        <v>1</v>
      </c>
      <c r="M301" s="286">
        <v>1</v>
      </c>
      <c r="N301" s="286">
        <v>1</v>
      </c>
      <c r="O301" s="286">
        <v>1</v>
      </c>
      <c r="P301" s="286">
        <v>1</v>
      </c>
      <c r="Q301" s="286">
        <v>1</v>
      </c>
      <c r="R301" s="286">
        <v>1</v>
      </c>
      <c r="S301" s="287">
        <v>1</v>
      </c>
      <c r="T301" s="63"/>
      <c r="U301" s="94" t="s">
        <v>3265</v>
      </c>
      <c r="V301" s="90">
        <v>0</v>
      </c>
      <c r="W301" s="440">
        <f>110+1020.8</f>
        <v>1130.8</v>
      </c>
      <c r="X301" s="92"/>
    </row>
    <row r="302" spans="1:24">
      <c r="B302" s="87">
        <f t="shared" si="68"/>
        <v>10</v>
      </c>
      <c r="C302" s="295">
        <v>45868</v>
      </c>
      <c r="D302" s="346" t="s">
        <v>3266</v>
      </c>
      <c r="E302" s="10" t="s">
        <v>1076</v>
      </c>
      <c r="F302" s="62">
        <v>681</v>
      </c>
      <c r="G302" s="62"/>
      <c r="H302" s="88"/>
      <c r="I302" s="89">
        <f>F302-G302-H302</f>
        <v>681</v>
      </c>
      <c r="J302" s="63" t="s">
        <v>156</v>
      </c>
      <c r="K302" s="63">
        <v>1</v>
      </c>
      <c r="L302" s="63">
        <v>1</v>
      </c>
      <c r="M302" s="63">
        <v>1</v>
      </c>
      <c r="N302" s="63">
        <v>1</v>
      </c>
      <c r="O302" s="63">
        <v>1</v>
      </c>
      <c r="P302" s="63">
        <v>1</v>
      </c>
      <c r="Q302" s="63">
        <v>1</v>
      </c>
      <c r="R302" s="63">
        <v>1</v>
      </c>
      <c r="S302" s="296">
        <v>1</v>
      </c>
      <c r="T302" s="63"/>
      <c r="U302" s="94"/>
      <c r="V302" s="90">
        <f>74.91+674.19</f>
        <v>749.1</v>
      </c>
      <c r="W302" s="91"/>
      <c r="X302" s="92"/>
    </row>
    <row r="303" spans="1:24">
      <c r="A303" s="464"/>
      <c r="B303" s="87">
        <f t="shared" si="68"/>
        <v>11</v>
      </c>
      <c r="C303" s="295">
        <v>45868</v>
      </c>
      <c r="D303" s="323">
        <v>71890</v>
      </c>
      <c r="E303" s="101" t="s">
        <v>1034</v>
      </c>
      <c r="F303" s="62">
        <f>1349-85</f>
        <v>1264</v>
      </c>
      <c r="G303" s="62">
        <v>39.700000000000003</v>
      </c>
      <c r="H303" s="88"/>
      <c r="I303" s="89">
        <f>F303-G303-H303</f>
        <v>1224.3</v>
      </c>
      <c r="J303" s="63" t="s">
        <v>156</v>
      </c>
      <c r="K303" s="63">
        <v>1</v>
      </c>
      <c r="L303" s="63">
        <v>1</v>
      </c>
      <c r="M303" s="63">
        <v>1</v>
      </c>
      <c r="N303" s="63">
        <v>1</v>
      </c>
      <c r="O303" s="63">
        <v>1</v>
      </c>
      <c r="P303" s="63">
        <v>1</v>
      </c>
      <c r="Q303" s="63">
        <v>1</v>
      </c>
      <c r="R303" s="63">
        <v>1</v>
      </c>
      <c r="S303" s="296">
        <v>1</v>
      </c>
      <c r="T303" s="21">
        <v>1</v>
      </c>
      <c r="U303" s="94"/>
      <c r="V303" s="90">
        <f>93.5+1390.4</f>
        <v>1483.9</v>
      </c>
      <c r="W303" s="91"/>
      <c r="X303" s="92"/>
    </row>
    <row r="304" spans="1:24">
      <c r="B304" s="87">
        <f t="shared" si="68"/>
        <v>12</v>
      </c>
      <c r="C304" s="274">
        <v>45870</v>
      </c>
      <c r="D304" s="327">
        <v>71956</v>
      </c>
      <c r="E304" s="276" t="s">
        <v>572</v>
      </c>
      <c r="F304" s="277">
        <v>2547</v>
      </c>
      <c r="G304" s="277">
        <f>39.7+(88.32)</f>
        <v>128.01999999999998</v>
      </c>
      <c r="H304" s="297"/>
      <c r="I304" s="278">
        <f>F304-G304-H304</f>
        <v>2418.98</v>
      </c>
      <c r="J304" s="279" t="s">
        <v>156</v>
      </c>
      <c r="K304" s="279">
        <v>1</v>
      </c>
      <c r="L304" s="279">
        <v>1</v>
      </c>
      <c r="M304" s="279">
        <v>1</v>
      </c>
      <c r="N304" s="279">
        <v>1</v>
      </c>
      <c r="O304" s="279">
        <v>1</v>
      </c>
      <c r="P304" s="279">
        <v>1</v>
      </c>
      <c r="Q304" s="279">
        <v>1</v>
      </c>
      <c r="R304" s="279">
        <v>1</v>
      </c>
      <c r="S304" s="280">
        <v>1</v>
      </c>
      <c r="T304" s="21">
        <v>1</v>
      </c>
      <c r="U304" s="94"/>
      <c r="V304" s="90">
        <f>280.17+2521.53</f>
        <v>2801.7000000000003</v>
      </c>
      <c r="W304" s="91"/>
      <c r="X304" s="92"/>
    </row>
    <row r="305" spans="1:31">
      <c r="B305" s="87">
        <f t="shared" si="68"/>
        <v>13</v>
      </c>
      <c r="C305" s="282">
        <v>45870</v>
      </c>
      <c r="D305" s="368">
        <v>71945</v>
      </c>
      <c r="E305" s="283" t="s">
        <v>2061</v>
      </c>
      <c r="F305" s="423">
        <v>681</v>
      </c>
      <c r="G305" s="284"/>
      <c r="H305" s="284"/>
      <c r="I305" s="285">
        <f t="shared" si="69"/>
        <v>681</v>
      </c>
      <c r="J305" s="286" t="s">
        <v>156</v>
      </c>
      <c r="K305" s="286">
        <v>1</v>
      </c>
      <c r="L305" s="286">
        <v>1</v>
      </c>
      <c r="M305" s="286">
        <v>1</v>
      </c>
      <c r="N305" s="286">
        <v>1</v>
      </c>
      <c r="O305" s="286">
        <v>1</v>
      </c>
      <c r="P305" s="286">
        <v>1</v>
      </c>
      <c r="Q305" s="286">
        <v>1</v>
      </c>
      <c r="R305" s="286">
        <v>1</v>
      </c>
      <c r="S305" s="287">
        <v>1</v>
      </c>
      <c r="T305" s="63"/>
      <c r="U305" s="94"/>
      <c r="V305" s="90">
        <f>74.91+674.19</f>
        <v>749.1</v>
      </c>
      <c r="W305" s="91"/>
      <c r="X305" s="92"/>
    </row>
    <row r="306" spans="1:31">
      <c r="B306" s="87"/>
      <c r="C306" s="36"/>
      <c r="D306" s="10"/>
      <c r="E306" s="10"/>
      <c r="F306" s="97">
        <f>SUM(F293:F305)</f>
        <v>33700</v>
      </c>
      <c r="G306" s="97">
        <f>SUM(G293:G305)</f>
        <v>8640.010000000002</v>
      </c>
      <c r="H306" s="97">
        <f>SUM(H293:H305)</f>
        <v>0</v>
      </c>
      <c r="I306" s="98">
        <f>SUM(I293:I305)</f>
        <v>25059.99</v>
      </c>
      <c r="J306" s="63"/>
      <c r="K306" s="63">
        <f t="shared" ref="K306:S306" si="71">COUNT(K293:K305)</f>
        <v>13</v>
      </c>
      <c r="L306" s="63">
        <f t="shared" si="71"/>
        <v>13</v>
      </c>
      <c r="M306" s="63">
        <f t="shared" si="71"/>
        <v>13</v>
      </c>
      <c r="N306" s="63">
        <f t="shared" si="71"/>
        <v>13</v>
      </c>
      <c r="O306" s="63">
        <f t="shared" si="71"/>
        <v>13</v>
      </c>
      <c r="P306" s="63">
        <f t="shared" si="71"/>
        <v>13</v>
      </c>
      <c r="Q306" s="63">
        <f t="shared" si="71"/>
        <v>13</v>
      </c>
      <c r="R306" s="63">
        <f t="shared" si="71"/>
        <v>13</v>
      </c>
      <c r="S306" s="63">
        <f t="shared" si="71"/>
        <v>13</v>
      </c>
      <c r="T306" s="63"/>
      <c r="U306" s="94"/>
      <c r="V306" s="90"/>
      <c r="W306" s="91"/>
      <c r="X306" s="92"/>
    </row>
    <row r="307" spans="1:31">
      <c r="B307" s="87"/>
      <c r="C307" s="36"/>
      <c r="D307" s="10"/>
      <c r="E307" s="10"/>
      <c r="F307" s="88"/>
      <c r="G307" s="88"/>
      <c r="H307" s="88"/>
      <c r="I307" s="99"/>
      <c r="J307" s="63"/>
      <c r="K307" s="21">
        <f t="shared" ref="K307:S307" si="72">SUM(K293:K305)</f>
        <v>13</v>
      </c>
      <c r="L307" s="21">
        <f t="shared" si="72"/>
        <v>13</v>
      </c>
      <c r="M307" s="21">
        <f t="shared" si="72"/>
        <v>13</v>
      </c>
      <c r="N307" s="21">
        <f t="shared" si="72"/>
        <v>13</v>
      </c>
      <c r="O307" s="21">
        <f t="shared" si="72"/>
        <v>13</v>
      </c>
      <c r="P307" s="21">
        <f t="shared" si="72"/>
        <v>12</v>
      </c>
      <c r="Q307" s="21">
        <f t="shared" si="72"/>
        <v>13</v>
      </c>
      <c r="R307" s="21">
        <f t="shared" si="72"/>
        <v>13</v>
      </c>
      <c r="S307" s="21">
        <f t="shared" si="72"/>
        <v>13</v>
      </c>
      <c r="T307" s="63"/>
      <c r="U307" s="94"/>
      <c r="V307" s="90"/>
      <c r="W307" s="91"/>
      <c r="X307" s="92"/>
    </row>
    <row r="308" spans="1:31">
      <c r="B308" s="11"/>
      <c r="C308" s="36"/>
      <c r="D308" s="10"/>
      <c r="E308" s="10"/>
      <c r="F308" s="88"/>
      <c r="G308" s="88"/>
      <c r="H308" s="88"/>
      <c r="I308" s="99"/>
      <c r="J308" s="63"/>
      <c r="K308" s="21"/>
      <c r="L308" s="21"/>
      <c r="M308" s="21"/>
      <c r="N308" s="21"/>
      <c r="O308" s="21"/>
      <c r="P308" s="21"/>
      <c r="Q308" s="21"/>
      <c r="R308" s="21"/>
      <c r="S308" s="21"/>
      <c r="T308" s="63"/>
      <c r="U308" s="94"/>
      <c r="V308" s="90"/>
      <c r="W308" s="91"/>
      <c r="X308" s="92"/>
    </row>
    <row r="309" spans="1:31">
      <c r="B309" s="100" t="s">
        <v>67</v>
      </c>
      <c r="C309" s="36"/>
      <c r="D309" s="10"/>
      <c r="E309" s="10"/>
      <c r="F309" s="88"/>
      <c r="G309" s="62"/>
      <c r="H309" s="88"/>
      <c r="I309" s="99"/>
      <c r="J309" s="63"/>
      <c r="K309" s="2"/>
      <c r="L309" s="2"/>
      <c r="M309" s="2"/>
      <c r="N309" s="2"/>
      <c r="O309" s="2"/>
      <c r="P309" s="2"/>
      <c r="Q309" s="2"/>
      <c r="R309" s="2"/>
      <c r="S309" s="2"/>
      <c r="T309" s="63"/>
      <c r="U309" s="94"/>
      <c r="V309" s="90"/>
      <c r="W309" s="91"/>
      <c r="X309" s="92"/>
    </row>
    <row r="310" spans="1:31">
      <c r="A310" s="261" t="s">
        <v>3267</v>
      </c>
      <c r="B310" s="87">
        <v>1</v>
      </c>
      <c r="C310" s="420">
        <v>45825</v>
      </c>
      <c r="D310" s="320">
        <v>701642</v>
      </c>
      <c r="E310" s="276" t="s">
        <v>3161</v>
      </c>
      <c r="F310" s="277">
        <v>6248.5</v>
      </c>
      <c r="G310" s="277">
        <f>34.5+(1529.45)+250</f>
        <v>1813.95</v>
      </c>
      <c r="H310" s="277">
        <f>1065.37+106.54</f>
        <v>1171.9099999999999</v>
      </c>
      <c r="I310" s="278">
        <f>F310-G310-H310</f>
        <v>3262.6400000000003</v>
      </c>
      <c r="J310" s="279" t="s">
        <v>185</v>
      </c>
      <c r="K310" s="279">
        <v>1</v>
      </c>
      <c r="L310" s="279">
        <v>1</v>
      </c>
      <c r="M310" s="279">
        <v>1</v>
      </c>
      <c r="N310" s="279">
        <v>1</v>
      </c>
      <c r="O310" s="279">
        <v>1</v>
      </c>
      <c r="P310" s="279">
        <v>1</v>
      </c>
      <c r="Q310" s="279">
        <v>1</v>
      </c>
      <c r="R310" s="279">
        <v>1</v>
      </c>
      <c r="S310" s="280">
        <v>1</v>
      </c>
      <c r="T310" s="63"/>
      <c r="U310" s="94" t="s">
        <v>3268</v>
      </c>
      <c r="V310" s="90"/>
      <c r="W310" s="91"/>
      <c r="X310" s="92">
        <f>5701.44</f>
        <v>5701.44</v>
      </c>
      <c r="Y310" s="181"/>
      <c r="Z310" s="181"/>
      <c r="AA310" s="181"/>
      <c r="AB310" s="181"/>
      <c r="AC310" s="181"/>
    </row>
    <row r="311" spans="1:31">
      <c r="A311" s="261" t="s">
        <v>3234</v>
      </c>
      <c r="B311" s="87">
        <f>B310+1</f>
        <v>2</v>
      </c>
      <c r="C311" s="262">
        <v>45859</v>
      </c>
      <c r="D311" s="490" t="s">
        <v>3235</v>
      </c>
      <c r="E311" s="271" t="s">
        <v>1863</v>
      </c>
      <c r="F311" s="265">
        <v>9753.9</v>
      </c>
      <c r="G311" s="265">
        <f>39.7+(89.61+96.05+57.19+34.6+236.82+9.62+186.01)+(20.69+61.79+26.83)+750</f>
        <v>1608.91</v>
      </c>
      <c r="H311" s="265"/>
      <c r="I311" s="266">
        <f>F311-G311-H311</f>
        <v>8144.99</v>
      </c>
      <c r="J311" s="267" t="s">
        <v>374</v>
      </c>
      <c r="K311" s="267">
        <v>1</v>
      </c>
      <c r="L311" s="267">
        <v>1</v>
      </c>
      <c r="M311" s="267">
        <v>1</v>
      </c>
      <c r="N311" s="267">
        <v>1</v>
      </c>
      <c r="O311" s="267">
        <v>1</v>
      </c>
      <c r="P311" s="267">
        <v>1</v>
      </c>
      <c r="Q311" s="314">
        <v>0</v>
      </c>
      <c r="R311" s="314">
        <v>0</v>
      </c>
      <c r="S311" s="366">
        <v>0</v>
      </c>
      <c r="T311" s="63"/>
      <c r="U311" s="94" t="s">
        <v>3236</v>
      </c>
      <c r="V311" s="90">
        <f>3000+2319.75</f>
        <v>5319.75</v>
      </c>
      <c r="W311" s="136"/>
      <c r="X311" s="137"/>
      <c r="Y311" s="181"/>
      <c r="Z311" s="181"/>
      <c r="AA311" s="181"/>
      <c r="AB311" s="181"/>
      <c r="AC311" s="181"/>
      <c r="AD311" s="260"/>
      <c r="AE311" s="260"/>
    </row>
    <row r="312" spans="1:31">
      <c r="B312" s="11"/>
      <c r="C312" s="36"/>
      <c r="D312" s="10"/>
      <c r="E312" s="10"/>
      <c r="F312" s="97">
        <f>SUM(F310:F311)</f>
        <v>16002.4</v>
      </c>
      <c r="G312" s="97">
        <f>SUM(G310:G311)</f>
        <v>3422.86</v>
      </c>
      <c r="H312" s="97">
        <f>SUM(H310:H311)</f>
        <v>1171.9099999999999</v>
      </c>
      <c r="I312" s="98">
        <f>SUM(I310:I311)</f>
        <v>11407.630000000001</v>
      </c>
      <c r="J312" s="63"/>
      <c r="K312" s="21"/>
      <c r="L312" s="21"/>
      <c r="M312" s="21"/>
      <c r="N312" s="21"/>
      <c r="O312" s="21"/>
      <c r="P312" s="21"/>
      <c r="Q312" s="21"/>
      <c r="R312" s="21"/>
      <c r="S312" s="21"/>
      <c r="T312" s="63"/>
      <c r="U312" s="94"/>
      <c r="V312" s="90"/>
      <c r="W312" s="91"/>
      <c r="X312" s="92"/>
    </row>
    <row r="313" spans="1:31">
      <c r="B313" s="11"/>
      <c r="C313" s="36"/>
      <c r="D313" s="10"/>
      <c r="E313" s="10"/>
      <c r="F313" s="88"/>
      <c r="G313" s="88"/>
      <c r="H313" s="88"/>
      <c r="I313" s="99"/>
      <c r="J313" s="63"/>
      <c r="K313" s="21"/>
      <c r="L313" s="21"/>
      <c r="M313" s="21"/>
      <c r="N313" s="21"/>
      <c r="O313" s="21"/>
      <c r="P313" s="21"/>
      <c r="Q313" s="21"/>
      <c r="R313" s="21"/>
      <c r="S313" s="21"/>
      <c r="T313" s="63"/>
      <c r="U313" s="94"/>
      <c r="V313" s="90"/>
      <c r="W313" s="91"/>
      <c r="X313" s="92"/>
    </row>
    <row r="314" spans="1:31">
      <c r="B314" s="121" t="s">
        <v>70</v>
      </c>
      <c r="C314" s="122"/>
      <c r="D314" s="123"/>
      <c r="E314" s="128"/>
      <c r="F314" s="124"/>
      <c r="G314" s="124"/>
      <c r="H314" s="124"/>
      <c r="I314" s="126"/>
      <c r="J314" s="127"/>
      <c r="K314" s="64"/>
      <c r="L314" s="64"/>
      <c r="M314" s="64"/>
      <c r="N314" s="64"/>
      <c r="O314" s="64"/>
      <c r="P314" s="64"/>
      <c r="Q314" s="64"/>
      <c r="R314" s="64"/>
      <c r="S314" s="64"/>
      <c r="T314" s="127"/>
      <c r="U314" s="135"/>
      <c r="V314" s="129"/>
      <c r="W314" s="130"/>
      <c r="X314" s="131"/>
    </row>
    <row r="315" spans="1:31" s="342" customFormat="1">
      <c r="A315" s="492">
        <v>0.1</v>
      </c>
      <c r="B315" s="333">
        <v>1</v>
      </c>
      <c r="C315" s="350">
        <v>45868</v>
      </c>
      <c r="D315" s="263" t="s">
        <v>3269</v>
      </c>
      <c r="E315" s="358" t="s">
        <v>1076</v>
      </c>
      <c r="F315" s="352">
        <v>6133</v>
      </c>
      <c r="G315" s="352">
        <f>39.7+250</f>
        <v>289.7</v>
      </c>
      <c r="H315" s="486"/>
      <c r="I315" s="353">
        <f>F315-G315-H315</f>
        <v>5843.3</v>
      </c>
      <c r="J315" s="354" t="s">
        <v>156</v>
      </c>
      <c r="K315" s="354">
        <v>1</v>
      </c>
      <c r="L315" s="354"/>
      <c r="M315" s="354">
        <v>1</v>
      </c>
      <c r="N315" s="354">
        <v>1</v>
      </c>
      <c r="O315" s="354">
        <v>1</v>
      </c>
      <c r="P315" s="354">
        <v>1</v>
      </c>
      <c r="Q315" s="354"/>
      <c r="R315" s="354"/>
      <c r="S315" s="355"/>
      <c r="T315" s="127"/>
      <c r="U315" s="135"/>
      <c r="V315" s="129">
        <v>5</v>
      </c>
      <c r="W315" s="340"/>
      <c r="X315" s="341"/>
    </row>
    <row r="316" spans="1:31">
      <c r="B316" s="132"/>
      <c r="C316" s="122"/>
      <c r="D316" s="123"/>
      <c r="E316" s="123"/>
      <c r="F316" s="134">
        <f>SUM(F315:F315)</f>
        <v>6133</v>
      </c>
      <c r="G316" s="134">
        <f>SUM(G315:G315)</f>
        <v>289.7</v>
      </c>
      <c r="H316" s="134">
        <f>SUM(H315:H315)</f>
        <v>0</v>
      </c>
      <c r="I316" s="134">
        <f>SUM(I315:I315)</f>
        <v>5843.3</v>
      </c>
      <c r="J316" s="127"/>
      <c r="K316" s="64"/>
      <c r="L316" s="64"/>
      <c r="M316" s="64"/>
      <c r="N316" s="64"/>
      <c r="O316" s="64"/>
      <c r="P316" s="64"/>
      <c r="Q316" s="64"/>
      <c r="R316" s="64"/>
      <c r="S316" s="64"/>
      <c r="T316" s="127"/>
      <c r="U316" s="135"/>
      <c r="V316" s="129"/>
      <c r="W316" s="130"/>
      <c r="X316" s="131"/>
    </row>
    <row r="317" spans="1:31">
      <c r="B317" s="11"/>
      <c r="C317" s="36"/>
      <c r="D317" s="10"/>
      <c r="E317" s="10"/>
      <c r="F317" s="88"/>
      <c r="G317" s="88"/>
      <c r="H317" s="88"/>
      <c r="I317" s="99"/>
      <c r="J317" s="63"/>
      <c r="K317" s="21"/>
      <c r="L317" s="21"/>
      <c r="M317" s="21"/>
      <c r="N317" s="21"/>
      <c r="O317" s="21"/>
      <c r="P317" s="21"/>
      <c r="Q317" s="21"/>
      <c r="R317" s="21"/>
      <c r="S317" s="21"/>
      <c r="T317" s="63"/>
      <c r="U317" s="94"/>
      <c r="V317" s="90"/>
      <c r="W317" s="91"/>
      <c r="X317" s="92"/>
    </row>
    <row r="318" spans="1:31" s="181" customFormat="1">
      <c r="B318" s="100" t="s">
        <v>152</v>
      </c>
      <c r="C318" s="270"/>
      <c r="D318" s="77"/>
      <c r="E318" s="10"/>
      <c r="F318" s="88"/>
      <c r="G318" s="62"/>
      <c r="H318" s="88"/>
      <c r="I318" s="99"/>
      <c r="J318" s="63"/>
      <c r="K318" s="63"/>
      <c r="L318" s="63"/>
      <c r="M318" s="63"/>
      <c r="N318" s="63"/>
      <c r="O318" s="63"/>
      <c r="P318" s="63"/>
      <c r="Q318" s="63"/>
      <c r="R318" s="63"/>
      <c r="S318" s="63"/>
      <c r="T318" s="63"/>
      <c r="U318" s="94"/>
      <c r="V318" s="90"/>
      <c r="W318" s="91"/>
      <c r="X318" s="92"/>
    </row>
    <row r="319" spans="1:31" s="181" customFormat="1">
      <c r="A319" s="261">
        <v>0.05</v>
      </c>
      <c r="B319" s="87">
        <v>1</v>
      </c>
      <c r="C319" s="433">
        <v>45756</v>
      </c>
      <c r="D319" s="357">
        <v>629082</v>
      </c>
      <c r="E319" s="271" t="s">
        <v>3160</v>
      </c>
      <c r="F319" s="265">
        <v>1461</v>
      </c>
      <c r="G319" s="265"/>
      <c r="H319" s="265"/>
      <c r="I319" s="272">
        <f>F319-G319-H319</f>
        <v>1461</v>
      </c>
      <c r="J319" s="267" t="s">
        <v>156</v>
      </c>
      <c r="K319" s="267">
        <v>1</v>
      </c>
      <c r="L319" s="267">
        <v>1</v>
      </c>
      <c r="M319" s="267">
        <v>1</v>
      </c>
      <c r="N319" s="267">
        <v>1</v>
      </c>
      <c r="O319" s="267">
        <v>1</v>
      </c>
      <c r="P319" s="267">
        <v>1</v>
      </c>
      <c r="Q319" s="267">
        <v>1</v>
      </c>
      <c r="R319" s="267">
        <v>1</v>
      </c>
      <c r="S319" s="269">
        <v>1</v>
      </c>
      <c r="T319" s="63"/>
      <c r="U319" s="94"/>
      <c r="V319" s="90"/>
      <c r="W319" s="136"/>
      <c r="X319" s="137"/>
    </row>
    <row r="320" spans="1:31" s="181" customFormat="1">
      <c r="A320" s="261">
        <v>0.1</v>
      </c>
      <c r="B320" s="87">
        <f>B319+1</f>
        <v>2</v>
      </c>
      <c r="C320" s="420">
        <v>45799</v>
      </c>
      <c r="D320" s="320" t="s">
        <v>3157</v>
      </c>
      <c r="E320" s="281" t="s">
        <v>3158</v>
      </c>
      <c r="F320" s="277">
        <v>481</v>
      </c>
      <c r="G320" s="277"/>
      <c r="H320" s="277"/>
      <c r="I320" s="321">
        <f>F320-G320-H320</f>
        <v>481</v>
      </c>
      <c r="J320" s="279" t="s">
        <v>156</v>
      </c>
      <c r="K320" s="279">
        <v>1</v>
      </c>
      <c r="L320" s="279">
        <v>1</v>
      </c>
      <c r="M320" s="279">
        <v>1</v>
      </c>
      <c r="N320" s="279">
        <v>1</v>
      </c>
      <c r="O320" s="279">
        <v>1</v>
      </c>
      <c r="P320" s="322">
        <v>0</v>
      </c>
      <c r="Q320" s="322">
        <v>0</v>
      </c>
      <c r="R320" s="322">
        <v>0</v>
      </c>
      <c r="S320" s="328">
        <v>0</v>
      </c>
      <c r="T320" s="63"/>
      <c r="U320" s="94"/>
      <c r="V320" s="90"/>
      <c r="W320" s="91"/>
      <c r="X320" s="92"/>
    </row>
    <row r="321" spans="1:29" s="181" customFormat="1">
      <c r="A321" s="261">
        <v>0.1</v>
      </c>
      <c r="B321" s="87">
        <f t="shared" ref="B321" si="73">B320+1</f>
        <v>3</v>
      </c>
      <c r="C321" s="433">
        <v>45799</v>
      </c>
      <c r="D321" s="357" t="s">
        <v>3165</v>
      </c>
      <c r="E321" s="264" t="s">
        <v>3158</v>
      </c>
      <c r="F321" s="265">
        <v>5785.94</v>
      </c>
      <c r="G321" s="265">
        <f>214.82*1.1+300</f>
        <v>536.30200000000002</v>
      </c>
      <c r="H321" s="265"/>
      <c r="I321" s="266">
        <f t="shared" ref="I321:I322" si="74">F321-G321-H321</f>
        <v>5249.6379999999999</v>
      </c>
      <c r="J321" s="267"/>
      <c r="K321" s="267">
        <v>1</v>
      </c>
      <c r="L321" s="267"/>
      <c r="M321" s="267"/>
      <c r="N321" s="267">
        <v>1</v>
      </c>
      <c r="O321" s="267">
        <v>1</v>
      </c>
      <c r="P321" s="314">
        <v>0</v>
      </c>
      <c r="Q321" s="314">
        <v>0</v>
      </c>
      <c r="R321" s="314">
        <v>0</v>
      </c>
      <c r="S321" s="366">
        <v>0</v>
      </c>
      <c r="T321" s="63"/>
      <c r="U321" s="94" t="s">
        <v>3166</v>
      </c>
      <c r="V321" s="90"/>
      <c r="W321" s="136"/>
      <c r="X321" s="137"/>
    </row>
    <row r="322" spans="1:29" s="181" customFormat="1">
      <c r="A322" s="261">
        <v>0.1</v>
      </c>
      <c r="B322" s="87">
        <f>B321+1</f>
        <v>4</v>
      </c>
      <c r="C322" s="433">
        <v>45818</v>
      </c>
      <c r="D322" s="357">
        <v>701386</v>
      </c>
      <c r="E322" s="264" t="s">
        <v>3159</v>
      </c>
      <c r="F322" s="265">
        <f>3046-185</f>
        <v>2861</v>
      </c>
      <c r="G322" s="265">
        <f>+(64.82)</f>
        <v>64.819999999999993</v>
      </c>
      <c r="H322" s="265"/>
      <c r="I322" s="272">
        <f t="shared" si="74"/>
        <v>2796.18</v>
      </c>
      <c r="J322" s="267" t="s">
        <v>156</v>
      </c>
      <c r="K322" s="267">
        <v>1</v>
      </c>
      <c r="L322" s="267">
        <v>1</v>
      </c>
      <c r="M322" s="267">
        <v>1</v>
      </c>
      <c r="N322" s="267">
        <v>1</v>
      </c>
      <c r="O322" s="267">
        <v>1</v>
      </c>
      <c r="P322" s="267">
        <v>1</v>
      </c>
      <c r="Q322" s="267">
        <v>1</v>
      </c>
      <c r="R322" s="267">
        <v>1</v>
      </c>
      <c r="S322" s="269">
        <v>1</v>
      </c>
      <c r="T322" s="63"/>
      <c r="U322" s="94"/>
      <c r="V322" s="90"/>
      <c r="W322" s="91"/>
      <c r="X322" s="92"/>
    </row>
    <row r="323" spans="1:29" s="260" customFormat="1">
      <c r="A323" s="261">
        <v>0.1</v>
      </c>
      <c r="B323" s="87">
        <f>B330+1</f>
        <v>5</v>
      </c>
      <c r="C323" s="262">
        <v>45861</v>
      </c>
      <c r="D323" s="263">
        <v>71688</v>
      </c>
      <c r="E323" s="271" t="s">
        <v>604</v>
      </c>
      <c r="F323" s="265">
        <v>581</v>
      </c>
      <c r="G323" s="265"/>
      <c r="H323" s="265"/>
      <c r="I323" s="272">
        <f>F323-G323-H323</f>
        <v>581</v>
      </c>
      <c r="J323" s="267" t="s">
        <v>156</v>
      </c>
      <c r="K323" s="267">
        <v>1</v>
      </c>
      <c r="L323" s="267"/>
      <c r="M323" s="267">
        <v>1</v>
      </c>
      <c r="N323" s="267">
        <v>1</v>
      </c>
      <c r="O323" s="267">
        <v>1</v>
      </c>
      <c r="P323" s="267">
        <v>1</v>
      </c>
      <c r="Q323" s="267"/>
      <c r="R323" s="267"/>
      <c r="S323" s="269"/>
      <c r="T323" s="63"/>
      <c r="U323" s="94"/>
      <c r="V323" s="90"/>
      <c r="W323" s="136"/>
      <c r="X323" s="137"/>
      <c r="Y323" s="181"/>
      <c r="Z323" s="181"/>
      <c r="AA323" s="181"/>
      <c r="AB323" s="181"/>
      <c r="AC323" s="181"/>
    </row>
    <row r="324" spans="1:29" s="181" customFormat="1">
      <c r="B324" s="11"/>
      <c r="C324" s="270"/>
      <c r="D324" s="77"/>
      <c r="E324" s="10"/>
      <c r="F324" s="98">
        <f>SUM(F319:F323)</f>
        <v>11169.939999999999</v>
      </c>
      <c r="G324" s="98">
        <f t="shared" ref="G324:I324" si="75">SUM(G319:G323)</f>
        <v>601.12200000000007</v>
      </c>
      <c r="H324" s="98">
        <f t="shared" si="75"/>
        <v>0</v>
      </c>
      <c r="I324" s="98">
        <f t="shared" si="75"/>
        <v>10568.817999999999</v>
      </c>
      <c r="J324" s="63"/>
      <c r="K324" s="21"/>
      <c r="L324" s="21"/>
      <c r="M324" s="21"/>
      <c r="N324" s="21"/>
      <c r="O324" s="21"/>
      <c r="P324" s="21"/>
      <c r="Q324" s="21"/>
      <c r="R324" s="21"/>
      <c r="S324" s="21"/>
      <c r="T324" s="63"/>
      <c r="U324" s="94"/>
      <c r="V324" s="90"/>
      <c r="W324" s="91"/>
      <c r="X324" s="92"/>
    </row>
    <row r="325" spans="1:29" s="181" customFormat="1">
      <c r="B325" s="11"/>
      <c r="C325" s="270"/>
      <c r="D325" s="77"/>
      <c r="E325" s="10"/>
      <c r="F325" s="88"/>
      <c r="G325" s="88"/>
      <c r="H325" s="88"/>
      <c r="I325" s="99"/>
      <c r="J325" s="63"/>
      <c r="K325" s="21"/>
      <c r="L325" s="21"/>
      <c r="M325" s="21"/>
      <c r="N325" s="21"/>
      <c r="O325" s="21"/>
      <c r="P325" s="21"/>
      <c r="Q325" s="21"/>
      <c r="R325" s="21"/>
      <c r="S325" s="21"/>
      <c r="T325" s="63"/>
      <c r="U325" s="94"/>
      <c r="V325" s="90"/>
      <c r="W325" s="91"/>
      <c r="X325" s="92"/>
    </row>
    <row r="326" spans="1:29" s="181" customFormat="1">
      <c r="A326" s="434"/>
      <c r="B326" s="100" t="s">
        <v>1521</v>
      </c>
      <c r="C326" s="435"/>
      <c r="D326" s="63"/>
      <c r="E326" s="260"/>
      <c r="F326" s="88"/>
      <c r="G326" s="88"/>
      <c r="H326" s="88"/>
      <c r="I326" s="99"/>
      <c r="J326" s="63"/>
      <c r="K326" s="21"/>
      <c r="L326" s="21"/>
      <c r="M326" s="21"/>
      <c r="N326" s="21"/>
      <c r="O326" s="21"/>
      <c r="P326" s="21"/>
      <c r="Q326" s="21"/>
      <c r="R326" s="21"/>
      <c r="S326" s="21"/>
      <c r="T326" s="63"/>
      <c r="U326" s="94"/>
      <c r="V326" s="138"/>
      <c r="W326" s="136"/>
      <c r="X326" s="92"/>
      <c r="Y326" s="260"/>
    </row>
    <row r="327" spans="1:29" s="181" customFormat="1">
      <c r="A327" s="261">
        <v>0.1</v>
      </c>
      <c r="B327" s="87">
        <v>1</v>
      </c>
      <c r="C327" s="433">
        <v>45827</v>
      </c>
      <c r="D327" s="357">
        <v>701730</v>
      </c>
      <c r="E327" s="271" t="s">
        <v>3169</v>
      </c>
      <c r="F327" s="265">
        <f>2946-85</f>
        <v>2861</v>
      </c>
      <c r="G327" s="265"/>
      <c r="H327" s="265"/>
      <c r="I327" s="266">
        <f t="shared" ref="I327:I329" si="76">F327-G327-H327</f>
        <v>2861</v>
      </c>
      <c r="J327" s="267" t="s">
        <v>156</v>
      </c>
      <c r="K327" s="267">
        <v>1</v>
      </c>
      <c r="L327" s="267"/>
      <c r="M327" s="267">
        <v>1</v>
      </c>
      <c r="N327" s="267">
        <v>1</v>
      </c>
      <c r="O327" s="267">
        <v>1</v>
      </c>
      <c r="P327" s="314">
        <v>0</v>
      </c>
      <c r="Q327" s="267"/>
      <c r="R327" s="267"/>
      <c r="S327" s="269"/>
      <c r="T327" s="63"/>
      <c r="U327" s="94" t="s">
        <v>3170</v>
      </c>
      <c r="V327" s="90"/>
      <c r="W327" s="136"/>
      <c r="X327" s="137"/>
    </row>
    <row r="328" spans="1:29" s="181" customFormat="1">
      <c r="A328" s="181" t="s">
        <v>683</v>
      </c>
      <c r="B328" s="87">
        <f>B327+1</f>
        <v>2</v>
      </c>
      <c r="C328" s="420">
        <v>45831</v>
      </c>
      <c r="D328" s="320">
        <v>701437</v>
      </c>
      <c r="E328" s="276" t="s">
        <v>3155</v>
      </c>
      <c r="F328" s="277">
        <v>8520.27</v>
      </c>
      <c r="G328" s="277">
        <f>234.27*1.1+72*1.1</f>
        <v>336.89700000000005</v>
      </c>
      <c r="H328" s="277"/>
      <c r="I328" s="278">
        <f t="shared" si="76"/>
        <v>8183.3730000000005</v>
      </c>
      <c r="J328" s="279" t="s">
        <v>156</v>
      </c>
      <c r="K328" s="279">
        <v>1</v>
      </c>
      <c r="L328" s="279"/>
      <c r="M328" s="279">
        <v>1</v>
      </c>
      <c r="N328" s="279">
        <v>1</v>
      </c>
      <c r="O328" s="279">
        <v>1</v>
      </c>
      <c r="P328" s="279">
        <v>1</v>
      </c>
      <c r="Q328" s="279"/>
      <c r="R328" s="279"/>
      <c r="S328" s="280"/>
      <c r="T328" s="63"/>
      <c r="U328" s="94" t="s">
        <v>3156</v>
      </c>
      <c r="V328" s="90"/>
      <c r="W328" s="136"/>
      <c r="X328" s="137"/>
    </row>
    <row r="329" spans="1:29" s="260" customFormat="1">
      <c r="A329" s="261">
        <v>0.1</v>
      </c>
      <c r="B329" s="87">
        <f t="shared" ref="B329:B330" si="77">B328+1</f>
        <v>3</v>
      </c>
      <c r="C329" s="274">
        <v>45856</v>
      </c>
      <c r="D329" s="327" t="s">
        <v>3204</v>
      </c>
      <c r="E329" s="276" t="s">
        <v>1530</v>
      </c>
      <c r="F329" s="277">
        <v>6218</v>
      </c>
      <c r="G329" s="277">
        <f>39.7+(1145.59)+250</f>
        <v>1435.29</v>
      </c>
      <c r="H329" s="297"/>
      <c r="I329" s="278">
        <f t="shared" si="76"/>
        <v>4782.71</v>
      </c>
      <c r="J329" s="279" t="s">
        <v>156</v>
      </c>
      <c r="K329" s="279">
        <v>1</v>
      </c>
      <c r="L329" s="279"/>
      <c r="M329" s="279">
        <v>1</v>
      </c>
      <c r="N329" s="279">
        <v>1</v>
      </c>
      <c r="O329" s="279">
        <v>1</v>
      </c>
      <c r="P329" s="279">
        <v>1</v>
      </c>
      <c r="Q329" s="279"/>
      <c r="R329" s="279"/>
      <c r="S329" s="280"/>
      <c r="T329" s="63"/>
      <c r="U329" s="94" t="s">
        <v>3242</v>
      </c>
      <c r="V329" s="90"/>
      <c r="W329" s="136"/>
      <c r="X329" s="137"/>
      <c r="Y329" s="181"/>
      <c r="Z329" s="181"/>
      <c r="AA329" s="181"/>
      <c r="AB329" s="181"/>
      <c r="AC329" s="181"/>
    </row>
    <row r="330" spans="1:29" s="260" customFormat="1">
      <c r="A330" s="261">
        <v>0.1</v>
      </c>
      <c r="B330" s="87">
        <f t="shared" si="77"/>
        <v>4</v>
      </c>
      <c r="C330" s="262">
        <v>45859</v>
      </c>
      <c r="D330" s="263">
        <v>71574</v>
      </c>
      <c r="E330" s="271" t="s">
        <v>327</v>
      </c>
      <c r="F330" s="265">
        <v>1461</v>
      </c>
      <c r="G330" s="265">
        <v>39.700000000000003</v>
      </c>
      <c r="H330" s="265"/>
      <c r="I330" s="272">
        <f t="shared" ref="I330" si="78">F330-G330-H330</f>
        <v>1421.3</v>
      </c>
      <c r="J330" s="267" t="s">
        <v>156</v>
      </c>
      <c r="K330" s="267">
        <v>1</v>
      </c>
      <c r="L330" s="267"/>
      <c r="M330" s="267">
        <v>1</v>
      </c>
      <c r="N330" s="267">
        <v>1</v>
      </c>
      <c r="O330" s="267">
        <v>1</v>
      </c>
      <c r="P330" s="267">
        <v>1</v>
      </c>
      <c r="Q330" s="267"/>
      <c r="R330" s="267"/>
      <c r="S330" s="269"/>
      <c r="T330" s="63"/>
      <c r="U330" s="94" t="s">
        <v>3237</v>
      </c>
      <c r="V330" s="90"/>
      <c r="W330" s="136"/>
      <c r="X330" s="137"/>
      <c r="Y330" s="181"/>
      <c r="Z330" s="181"/>
      <c r="AA330" s="181"/>
      <c r="AB330" s="181"/>
      <c r="AC330" s="181"/>
    </row>
    <row r="331" spans="1:29" s="181" customFormat="1">
      <c r="A331" s="434"/>
      <c r="B331" s="11"/>
      <c r="C331" s="435"/>
      <c r="D331" s="63"/>
      <c r="E331" s="10"/>
      <c r="F331" s="98">
        <f>SUM(F327:F330)</f>
        <v>19060.27</v>
      </c>
      <c r="G331" s="98">
        <f>SUM(G327:G330)</f>
        <v>1811.8869999999999</v>
      </c>
      <c r="H331" s="98">
        <f>SUM(H327:H330)</f>
        <v>0</v>
      </c>
      <c r="I331" s="98">
        <f>SUM(I327:I330)</f>
        <v>17248.382999999998</v>
      </c>
      <c r="J331" s="63"/>
      <c r="K331" s="21"/>
      <c r="L331" s="21"/>
      <c r="M331" s="21"/>
      <c r="N331" s="21"/>
      <c r="O331" s="21"/>
      <c r="P331" s="21"/>
      <c r="Q331" s="21"/>
      <c r="R331" s="21"/>
      <c r="S331" s="21"/>
      <c r="T331" s="63"/>
      <c r="U331" s="94"/>
      <c r="V331" s="138"/>
      <c r="W331" s="136"/>
      <c r="X331" s="92"/>
      <c r="Y331" s="260"/>
    </row>
    <row r="332" spans="1:29" s="181" customFormat="1">
      <c r="A332" s="434"/>
      <c r="B332" s="11"/>
      <c r="C332" s="435"/>
      <c r="D332" s="63"/>
      <c r="E332" s="10"/>
      <c r="F332" s="99"/>
      <c r="G332" s="99"/>
      <c r="H332" s="99"/>
      <c r="I332" s="99"/>
      <c r="J332" s="63"/>
      <c r="K332" s="21"/>
      <c r="L332" s="21"/>
      <c r="M332" s="21"/>
      <c r="N332" s="21"/>
      <c r="O332" s="21"/>
      <c r="P332" s="21"/>
      <c r="Q332" s="21"/>
      <c r="R332" s="21"/>
      <c r="S332" s="21"/>
      <c r="T332" s="63"/>
      <c r="U332" s="94"/>
      <c r="V332" s="138"/>
      <c r="W332" s="136"/>
      <c r="X332" s="92"/>
      <c r="Y332" s="260"/>
    </row>
    <row r="333" spans="1:29">
      <c r="B333" s="100" t="s">
        <v>72</v>
      </c>
      <c r="C333" s="36"/>
      <c r="D333" s="10"/>
      <c r="E333" s="10"/>
      <c r="F333" s="88"/>
      <c r="G333" s="88"/>
      <c r="H333" s="88"/>
      <c r="I333" s="99"/>
      <c r="J333" s="63"/>
      <c r="K333" s="63"/>
      <c r="L333" s="63"/>
      <c r="M333" s="63"/>
      <c r="N333" s="63"/>
      <c r="O333" s="63"/>
      <c r="P333" s="63"/>
      <c r="Q333" s="63"/>
      <c r="R333" s="63"/>
      <c r="S333" s="63"/>
      <c r="T333" s="63"/>
      <c r="U333" s="94"/>
      <c r="V333" s="90"/>
      <c r="W333" s="91"/>
      <c r="X333" s="92"/>
    </row>
    <row r="334" spans="1:29">
      <c r="A334" s="464">
        <v>45870</v>
      </c>
      <c r="B334" s="87">
        <v>1</v>
      </c>
      <c r="C334" s="274">
        <v>45866</v>
      </c>
      <c r="D334" s="276">
        <v>71799</v>
      </c>
      <c r="E334" s="276" t="s">
        <v>444</v>
      </c>
      <c r="F334" s="277">
        <v>1138</v>
      </c>
      <c r="G334" s="277">
        <v>39.700000000000003</v>
      </c>
      <c r="H334" s="277"/>
      <c r="I334" s="278">
        <f>F334-G334-H334</f>
        <v>1098.3</v>
      </c>
      <c r="J334" s="279" t="s">
        <v>156</v>
      </c>
      <c r="K334" s="279">
        <v>1</v>
      </c>
      <c r="L334" s="279"/>
      <c r="M334" s="279">
        <v>0</v>
      </c>
      <c r="N334" s="279">
        <v>1</v>
      </c>
      <c r="O334" s="279">
        <v>1</v>
      </c>
      <c r="P334" s="279">
        <v>1</v>
      </c>
      <c r="Q334" s="279">
        <v>1</v>
      </c>
      <c r="R334" s="279">
        <v>1</v>
      </c>
      <c r="S334" s="280">
        <v>1</v>
      </c>
      <c r="T334" s="63"/>
      <c r="U334" s="164" t="s">
        <v>3270</v>
      </c>
      <c r="V334" s="90">
        <v>125.18</v>
      </c>
      <c r="W334" s="91"/>
      <c r="X334" s="92"/>
    </row>
    <row r="335" spans="1:29">
      <c r="B335" s="87">
        <f>B334+1</f>
        <v>2</v>
      </c>
      <c r="C335" s="295">
        <v>45866</v>
      </c>
      <c r="D335" s="10">
        <v>71802</v>
      </c>
      <c r="E335" s="10" t="s">
        <v>3271</v>
      </c>
      <c r="F335" s="62">
        <v>0</v>
      </c>
      <c r="G335" s="62"/>
      <c r="H335" s="62"/>
      <c r="I335" s="89">
        <f t="shared" ref="I335:I354" si="79">F335-G335-H335</f>
        <v>0</v>
      </c>
      <c r="J335" s="63" t="s">
        <v>219</v>
      </c>
      <c r="K335" s="63">
        <v>1</v>
      </c>
      <c r="L335" s="63"/>
      <c r="M335" s="63"/>
      <c r="N335" s="63">
        <v>1</v>
      </c>
      <c r="O335" s="63"/>
      <c r="P335" s="63"/>
      <c r="Q335" s="63">
        <v>1</v>
      </c>
      <c r="R335" s="63">
        <v>1</v>
      </c>
      <c r="S335" s="296">
        <v>1</v>
      </c>
      <c r="T335" s="63"/>
      <c r="U335" s="94"/>
      <c r="V335" s="90"/>
      <c r="W335" s="136"/>
      <c r="X335" s="137"/>
    </row>
    <row r="336" spans="1:29">
      <c r="A336" s="464">
        <v>45870</v>
      </c>
      <c r="B336" s="87">
        <f>B335+1</f>
        <v>3</v>
      </c>
      <c r="C336" s="274">
        <v>45867</v>
      </c>
      <c r="D336" s="276" t="s">
        <v>3272</v>
      </c>
      <c r="E336" s="276" t="s">
        <v>1073</v>
      </c>
      <c r="F336" s="277">
        <v>7139.7</v>
      </c>
      <c r="G336" s="277">
        <f>39.7</f>
        <v>39.700000000000003</v>
      </c>
      <c r="H336" s="297"/>
      <c r="I336" s="278">
        <f>F336-G336-H336</f>
        <v>7100</v>
      </c>
      <c r="J336" s="279" t="s">
        <v>156</v>
      </c>
      <c r="K336" s="279">
        <v>1</v>
      </c>
      <c r="L336" s="279"/>
      <c r="M336" s="279">
        <v>1</v>
      </c>
      <c r="N336" s="279">
        <v>1</v>
      </c>
      <c r="O336" s="279">
        <v>1</v>
      </c>
      <c r="P336" s="279">
        <v>1</v>
      </c>
      <c r="Q336" s="279"/>
      <c r="R336" s="279"/>
      <c r="S336" s="280"/>
      <c r="T336" s="63"/>
      <c r="U336" s="94" t="s">
        <v>3273</v>
      </c>
      <c r="V336" s="90">
        <v>758.37</v>
      </c>
      <c r="W336" s="136"/>
      <c r="X336" s="137"/>
    </row>
    <row r="337" spans="1:24">
      <c r="B337" s="87">
        <f>B336+1</f>
        <v>4</v>
      </c>
      <c r="C337" s="295">
        <v>45867</v>
      </c>
      <c r="D337" s="10" t="s">
        <v>3274</v>
      </c>
      <c r="E337" s="10" t="s">
        <v>1080</v>
      </c>
      <c r="F337" s="62">
        <v>18161</v>
      </c>
      <c r="G337" s="62">
        <f>39.7</f>
        <v>39.700000000000003</v>
      </c>
      <c r="H337" s="88"/>
      <c r="I337" s="89">
        <f>F337-G337-H337</f>
        <v>18121.3</v>
      </c>
      <c r="J337" s="63" t="s">
        <v>205</v>
      </c>
      <c r="K337" s="63">
        <v>1</v>
      </c>
      <c r="L337" s="63"/>
      <c r="M337" s="63"/>
      <c r="N337" s="63">
        <v>1</v>
      </c>
      <c r="O337" s="63"/>
      <c r="P337" s="63"/>
      <c r="Q337" s="63"/>
      <c r="R337" s="63"/>
      <c r="S337" s="296"/>
      <c r="T337" s="63"/>
      <c r="U337" s="94" t="s">
        <v>3275</v>
      </c>
      <c r="V337" s="90"/>
      <c r="W337" s="136"/>
      <c r="X337" s="137"/>
    </row>
    <row r="338" spans="1:24">
      <c r="B338" s="87">
        <f t="shared" ref="B338:B352" si="80">B337+1</f>
        <v>5</v>
      </c>
      <c r="C338" s="295">
        <v>45867</v>
      </c>
      <c r="D338" s="10">
        <v>71856</v>
      </c>
      <c r="E338" s="10" t="s">
        <v>1073</v>
      </c>
      <c r="F338" s="62">
        <v>1261</v>
      </c>
      <c r="G338" s="62">
        <f>39.7</f>
        <v>39.700000000000003</v>
      </c>
      <c r="H338" s="62"/>
      <c r="I338" s="89">
        <f t="shared" si="79"/>
        <v>1221.3</v>
      </c>
      <c r="J338" s="63" t="s">
        <v>205</v>
      </c>
      <c r="K338" s="63">
        <v>1</v>
      </c>
      <c r="L338" s="63"/>
      <c r="M338" s="63"/>
      <c r="N338" s="63">
        <v>1</v>
      </c>
      <c r="O338" s="63"/>
      <c r="P338" s="63"/>
      <c r="Q338" s="63"/>
      <c r="R338" s="63"/>
      <c r="S338" s="296"/>
      <c r="T338" s="63"/>
      <c r="U338" s="94"/>
      <c r="V338" s="90"/>
      <c r="W338" s="136"/>
      <c r="X338" s="137"/>
    </row>
    <row r="339" spans="1:24">
      <c r="B339" s="87">
        <f t="shared" si="80"/>
        <v>6</v>
      </c>
      <c r="C339" s="295">
        <v>45867</v>
      </c>
      <c r="D339" s="10">
        <v>71827</v>
      </c>
      <c r="E339" s="10" t="s">
        <v>739</v>
      </c>
      <c r="F339" s="62">
        <v>1175</v>
      </c>
      <c r="G339" s="62">
        <f>39.7</f>
        <v>39.700000000000003</v>
      </c>
      <c r="H339" s="62"/>
      <c r="I339" s="89">
        <f t="shared" si="79"/>
        <v>1135.3</v>
      </c>
      <c r="J339" s="63" t="s">
        <v>205</v>
      </c>
      <c r="K339" s="63">
        <v>1</v>
      </c>
      <c r="L339" s="63"/>
      <c r="M339" s="63"/>
      <c r="N339" s="63">
        <v>1</v>
      </c>
      <c r="O339" s="63">
        <v>1</v>
      </c>
      <c r="P339" s="63"/>
      <c r="Q339" s="63">
        <v>1</v>
      </c>
      <c r="R339" s="63">
        <v>1</v>
      </c>
      <c r="S339" s="296">
        <v>1</v>
      </c>
      <c r="T339" s="63"/>
      <c r="U339" s="94" t="s">
        <v>3276</v>
      </c>
      <c r="V339" s="90"/>
      <c r="W339" s="136"/>
      <c r="X339" s="137"/>
    </row>
    <row r="340" spans="1:24">
      <c r="B340" s="87">
        <f t="shared" si="80"/>
        <v>7</v>
      </c>
      <c r="C340" s="274">
        <v>45868</v>
      </c>
      <c r="D340" s="276">
        <v>71775</v>
      </c>
      <c r="E340" s="281" t="s">
        <v>1062</v>
      </c>
      <c r="F340" s="277">
        <v>8214</v>
      </c>
      <c r="G340" s="277">
        <v>39.700000000000003</v>
      </c>
      <c r="H340" s="277"/>
      <c r="I340" s="278">
        <f t="shared" si="79"/>
        <v>8174.3</v>
      </c>
      <c r="J340" s="279" t="s">
        <v>205</v>
      </c>
      <c r="K340" s="279">
        <v>1</v>
      </c>
      <c r="L340" s="279"/>
      <c r="M340" s="279"/>
      <c r="N340" s="279">
        <v>1</v>
      </c>
      <c r="O340" s="279"/>
      <c r="P340" s="279"/>
      <c r="Q340" s="279">
        <v>1</v>
      </c>
      <c r="R340" s="279">
        <v>1</v>
      </c>
      <c r="S340" s="280">
        <v>1</v>
      </c>
      <c r="T340" s="63"/>
      <c r="U340" s="94"/>
      <c r="V340" s="90"/>
      <c r="W340" s="136"/>
      <c r="X340" s="137"/>
    </row>
    <row r="341" spans="1:24">
      <c r="A341" s="464">
        <v>45870</v>
      </c>
      <c r="B341" s="87">
        <f>B340+1</f>
        <v>8</v>
      </c>
      <c r="C341" s="295">
        <v>45868</v>
      </c>
      <c r="D341" s="10">
        <v>71839</v>
      </c>
      <c r="E341" s="10" t="s">
        <v>725</v>
      </c>
      <c r="F341" s="62">
        <v>581</v>
      </c>
      <c r="G341" s="62"/>
      <c r="H341" s="62"/>
      <c r="I341" s="89">
        <f>F341-G341-H341</f>
        <v>581</v>
      </c>
      <c r="J341" s="63" t="s">
        <v>156</v>
      </c>
      <c r="K341" s="63">
        <v>1</v>
      </c>
      <c r="L341" s="63"/>
      <c r="M341" s="63">
        <v>1</v>
      </c>
      <c r="N341" s="63">
        <v>1</v>
      </c>
      <c r="O341" s="63">
        <v>1</v>
      </c>
      <c r="P341" s="63">
        <v>1</v>
      </c>
      <c r="Q341" s="63"/>
      <c r="R341" s="63"/>
      <c r="S341" s="296"/>
      <c r="T341" s="63"/>
      <c r="U341" s="94" t="s">
        <v>3277</v>
      </c>
      <c r="V341" s="90">
        <v>63.91</v>
      </c>
      <c r="W341" s="136"/>
      <c r="X341" s="137"/>
    </row>
    <row r="342" spans="1:24">
      <c r="B342" s="87">
        <f>B341+1</f>
        <v>9</v>
      </c>
      <c r="C342" s="295">
        <v>45868</v>
      </c>
      <c r="D342" s="10">
        <v>71886</v>
      </c>
      <c r="E342" s="101" t="s">
        <v>1115</v>
      </c>
      <c r="F342" s="62">
        <v>1138</v>
      </c>
      <c r="G342" s="62">
        <v>39.700000000000003</v>
      </c>
      <c r="H342" s="62"/>
      <c r="I342" s="89">
        <f t="shared" si="79"/>
        <v>1098.3</v>
      </c>
      <c r="J342" s="63" t="s">
        <v>205</v>
      </c>
      <c r="K342" s="63">
        <v>1</v>
      </c>
      <c r="L342" s="63"/>
      <c r="M342" s="63"/>
      <c r="N342" s="63">
        <v>1</v>
      </c>
      <c r="O342" s="63"/>
      <c r="P342" s="63"/>
      <c r="Q342" s="63">
        <v>1</v>
      </c>
      <c r="R342" s="63">
        <v>1</v>
      </c>
      <c r="S342" s="296">
        <v>1</v>
      </c>
      <c r="T342" s="63"/>
      <c r="U342" s="94"/>
      <c r="V342" s="90"/>
      <c r="W342" s="136"/>
      <c r="X342" s="137"/>
    </row>
    <row r="343" spans="1:24">
      <c r="B343" s="87">
        <f t="shared" si="80"/>
        <v>10</v>
      </c>
      <c r="C343" s="295">
        <v>45868</v>
      </c>
      <c r="D343" s="10">
        <v>71889</v>
      </c>
      <c r="E343" s="101" t="s">
        <v>1008</v>
      </c>
      <c r="F343" s="62">
        <v>2814</v>
      </c>
      <c r="G343" s="62">
        <v>39.700000000000003</v>
      </c>
      <c r="H343" s="62"/>
      <c r="I343" s="89">
        <f t="shared" si="79"/>
        <v>2774.3</v>
      </c>
      <c r="J343" s="63" t="s">
        <v>205</v>
      </c>
      <c r="K343" s="63">
        <v>1</v>
      </c>
      <c r="L343" s="63"/>
      <c r="M343" s="63"/>
      <c r="N343" s="63">
        <v>1</v>
      </c>
      <c r="O343" s="63"/>
      <c r="P343" s="63"/>
      <c r="Q343" s="63">
        <v>1</v>
      </c>
      <c r="R343" s="63">
        <v>1</v>
      </c>
      <c r="S343" s="296">
        <v>1</v>
      </c>
      <c r="T343" s="63"/>
      <c r="U343" s="94"/>
      <c r="V343" s="90"/>
      <c r="W343" s="136"/>
      <c r="X343" s="137"/>
    </row>
    <row r="344" spans="1:24">
      <c r="B344" s="87">
        <f t="shared" si="80"/>
        <v>11</v>
      </c>
      <c r="C344" s="274">
        <v>45869</v>
      </c>
      <c r="D344" s="276">
        <v>71894</v>
      </c>
      <c r="E344" s="281" t="s">
        <v>1231</v>
      </c>
      <c r="F344" s="277">
        <v>4116</v>
      </c>
      <c r="G344" s="277">
        <f>39.7</f>
        <v>39.700000000000003</v>
      </c>
      <c r="H344" s="277"/>
      <c r="I344" s="278">
        <f t="shared" si="79"/>
        <v>4076.3</v>
      </c>
      <c r="J344" s="279" t="s">
        <v>205</v>
      </c>
      <c r="K344" s="279">
        <v>1</v>
      </c>
      <c r="L344" s="279"/>
      <c r="M344" s="279"/>
      <c r="N344" s="279">
        <v>1</v>
      </c>
      <c r="O344" s="279"/>
      <c r="P344" s="279"/>
      <c r="Q344" s="279">
        <v>1</v>
      </c>
      <c r="R344" s="279">
        <v>1</v>
      </c>
      <c r="S344" s="280">
        <v>1</v>
      </c>
      <c r="T344" s="63"/>
      <c r="U344" s="94"/>
      <c r="V344" s="90"/>
      <c r="W344" s="136"/>
      <c r="X344" s="137"/>
    </row>
    <row r="345" spans="1:24">
      <c r="B345" s="87">
        <f t="shared" si="80"/>
        <v>12</v>
      </c>
      <c r="C345" s="295">
        <v>45869</v>
      </c>
      <c r="D345" s="10">
        <v>71891</v>
      </c>
      <c r="E345" s="101" t="s">
        <v>3278</v>
      </c>
      <c r="F345" s="62">
        <v>0</v>
      </c>
      <c r="G345" s="62">
        <v>0</v>
      </c>
      <c r="H345" s="62"/>
      <c r="I345" s="89">
        <f t="shared" si="79"/>
        <v>0</v>
      </c>
      <c r="J345" s="63" t="s">
        <v>205</v>
      </c>
      <c r="K345" s="63">
        <v>1</v>
      </c>
      <c r="L345" s="63"/>
      <c r="M345" s="63"/>
      <c r="N345" s="63"/>
      <c r="O345" s="63"/>
      <c r="P345" s="63"/>
      <c r="Q345" s="63">
        <v>1</v>
      </c>
      <c r="R345" s="63">
        <v>1</v>
      </c>
      <c r="S345" s="296">
        <v>1</v>
      </c>
      <c r="T345" s="63"/>
      <c r="U345" s="94"/>
      <c r="V345" s="90"/>
      <c r="W345" s="136"/>
      <c r="X345" s="137"/>
    </row>
    <row r="346" spans="1:24">
      <c r="B346" s="87">
        <f t="shared" si="80"/>
        <v>13</v>
      </c>
      <c r="C346" s="295">
        <v>45869</v>
      </c>
      <c r="D346" s="10">
        <v>71896</v>
      </c>
      <c r="E346" s="101" t="s">
        <v>1088</v>
      </c>
      <c r="F346" s="62">
        <v>0</v>
      </c>
      <c r="G346" s="62">
        <v>0</v>
      </c>
      <c r="H346" s="62"/>
      <c r="I346" s="89">
        <f t="shared" si="79"/>
        <v>0</v>
      </c>
      <c r="J346" s="63" t="s">
        <v>205</v>
      </c>
      <c r="K346" s="63"/>
      <c r="L346" s="63"/>
      <c r="M346" s="63"/>
      <c r="N346" s="63"/>
      <c r="O346" s="63"/>
      <c r="P346" s="63"/>
      <c r="Q346" s="63"/>
      <c r="R346" s="63"/>
      <c r="S346" s="296"/>
      <c r="T346" s="63"/>
      <c r="U346" s="94"/>
      <c r="V346" s="90"/>
      <c r="W346" s="136"/>
      <c r="X346" s="137"/>
    </row>
    <row r="347" spans="1:24">
      <c r="B347" s="87">
        <f t="shared" si="80"/>
        <v>14</v>
      </c>
      <c r="C347" s="295">
        <v>45869</v>
      </c>
      <c r="D347" s="10">
        <v>71911</v>
      </c>
      <c r="E347" s="101" t="s">
        <v>1034</v>
      </c>
      <c r="F347" s="62">
        <v>0</v>
      </c>
      <c r="G347" s="62">
        <v>0</v>
      </c>
      <c r="H347" s="62"/>
      <c r="I347" s="89">
        <f t="shared" si="79"/>
        <v>0</v>
      </c>
      <c r="J347" s="63" t="s">
        <v>205</v>
      </c>
      <c r="K347" s="63">
        <v>1</v>
      </c>
      <c r="L347" s="63"/>
      <c r="M347" s="63"/>
      <c r="N347" s="63"/>
      <c r="O347" s="63"/>
      <c r="P347" s="63"/>
      <c r="Q347" s="63">
        <v>1</v>
      </c>
      <c r="R347" s="63">
        <v>1</v>
      </c>
      <c r="S347" s="296">
        <v>1</v>
      </c>
      <c r="T347" s="63"/>
      <c r="U347" s="94"/>
      <c r="V347" s="90"/>
      <c r="W347" s="136"/>
      <c r="X347" s="137"/>
    </row>
    <row r="348" spans="1:24">
      <c r="B348" s="87">
        <f t="shared" si="80"/>
        <v>15</v>
      </c>
      <c r="C348" s="295">
        <v>45869</v>
      </c>
      <c r="D348" s="10">
        <v>71922</v>
      </c>
      <c r="E348" s="101" t="s">
        <v>1047</v>
      </c>
      <c r="F348" s="62">
        <v>681</v>
      </c>
      <c r="G348" s="62"/>
      <c r="H348" s="62"/>
      <c r="I348" s="89">
        <f t="shared" si="79"/>
        <v>681</v>
      </c>
      <c r="J348" s="63" t="s">
        <v>205</v>
      </c>
      <c r="K348" s="63">
        <v>1</v>
      </c>
      <c r="L348" s="63"/>
      <c r="M348" s="63"/>
      <c r="N348" s="63">
        <v>1</v>
      </c>
      <c r="O348" s="63"/>
      <c r="P348" s="63"/>
      <c r="Q348" s="63">
        <v>1</v>
      </c>
      <c r="R348" s="63">
        <v>1</v>
      </c>
      <c r="S348" s="296">
        <v>1</v>
      </c>
      <c r="T348" s="63"/>
      <c r="U348" s="94"/>
      <c r="V348" s="90"/>
      <c r="W348" s="136"/>
      <c r="X348" s="137"/>
    </row>
    <row r="349" spans="1:24">
      <c r="B349" s="87">
        <f t="shared" si="80"/>
        <v>16</v>
      </c>
      <c r="C349" s="295">
        <v>45869</v>
      </c>
      <c r="D349" s="10">
        <v>71913</v>
      </c>
      <c r="E349" s="10" t="s">
        <v>1338</v>
      </c>
      <c r="F349" s="62">
        <v>0</v>
      </c>
      <c r="G349" s="62">
        <v>0</v>
      </c>
      <c r="H349" s="62"/>
      <c r="I349" s="89">
        <f t="shared" si="79"/>
        <v>0</v>
      </c>
      <c r="J349" s="63" t="s">
        <v>205</v>
      </c>
      <c r="K349" s="63">
        <v>1</v>
      </c>
      <c r="L349" s="63"/>
      <c r="M349" s="63"/>
      <c r="N349" s="63"/>
      <c r="O349" s="63"/>
      <c r="P349" s="63"/>
      <c r="Q349" s="63">
        <v>1</v>
      </c>
      <c r="R349" s="63">
        <v>1</v>
      </c>
      <c r="S349" s="296">
        <v>1</v>
      </c>
      <c r="T349" s="63"/>
      <c r="U349" s="94"/>
      <c r="V349" s="90"/>
      <c r="W349" s="136"/>
      <c r="X349" s="137"/>
    </row>
    <row r="350" spans="1:24">
      <c r="B350" s="87">
        <f t="shared" si="80"/>
        <v>17</v>
      </c>
      <c r="C350" s="274">
        <v>45870</v>
      </c>
      <c r="D350" s="276">
        <v>71955</v>
      </c>
      <c r="E350" s="276" t="s">
        <v>1365</v>
      </c>
      <c r="F350" s="277">
        <v>0</v>
      </c>
      <c r="G350" s="277">
        <v>0</v>
      </c>
      <c r="H350" s="277"/>
      <c r="I350" s="278">
        <f t="shared" si="79"/>
        <v>0</v>
      </c>
      <c r="J350" s="279" t="s">
        <v>156</v>
      </c>
      <c r="K350" s="279">
        <v>1</v>
      </c>
      <c r="L350" s="279"/>
      <c r="M350" s="279">
        <v>1</v>
      </c>
      <c r="N350" s="279"/>
      <c r="O350" s="279"/>
      <c r="P350" s="279"/>
      <c r="Q350" s="279">
        <v>1</v>
      </c>
      <c r="R350" s="279">
        <v>0</v>
      </c>
      <c r="S350" s="280">
        <v>1</v>
      </c>
      <c r="T350" s="63"/>
      <c r="U350" s="94"/>
      <c r="V350" s="90">
        <v>203.5</v>
      </c>
      <c r="W350" s="136"/>
      <c r="X350" s="137"/>
    </row>
    <row r="351" spans="1:24">
      <c r="B351" s="87">
        <f t="shared" si="80"/>
        <v>18</v>
      </c>
      <c r="C351" s="295">
        <v>45870</v>
      </c>
      <c r="D351" s="10">
        <v>71957</v>
      </c>
      <c r="E351" s="10" t="s">
        <v>751</v>
      </c>
      <c r="F351" s="62">
        <v>0</v>
      </c>
      <c r="G351" s="62">
        <v>0</v>
      </c>
      <c r="H351" s="62"/>
      <c r="I351" s="89">
        <f t="shared" si="79"/>
        <v>0</v>
      </c>
      <c r="J351" s="63" t="s">
        <v>205</v>
      </c>
      <c r="K351" s="63">
        <v>1</v>
      </c>
      <c r="L351" s="63"/>
      <c r="M351" s="63"/>
      <c r="N351" s="63"/>
      <c r="O351" s="63"/>
      <c r="P351" s="63"/>
      <c r="Q351" s="63">
        <v>1</v>
      </c>
      <c r="R351" s="63">
        <v>1</v>
      </c>
      <c r="S351" s="296">
        <v>1</v>
      </c>
      <c r="T351" s="63"/>
      <c r="U351" s="94"/>
      <c r="V351" s="90"/>
      <c r="W351" s="136"/>
      <c r="X351" s="137"/>
    </row>
    <row r="352" spans="1:24">
      <c r="B352" s="87">
        <f t="shared" si="80"/>
        <v>19</v>
      </c>
      <c r="C352" s="295">
        <v>45870</v>
      </c>
      <c r="D352" s="77" t="s">
        <v>3279</v>
      </c>
      <c r="E352" s="10" t="s">
        <v>2061</v>
      </c>
      <c r="F352" s="95">
        <v>6133</v>
      </c>
      <c r="G352" s="62">
        <v>39.700000000000003</v>
      </c>
      <c r="H352" s="62"/>
      <c r="I352" s="89">
        <f t="shared" si="79"/>
        <v>6093.3</v>
      </c>
      <c r="J352" s="63" t="s">
        <v>205</v>
      </c>
      <c r="K352" s="63">
        <v>1</v>
      </c>
      <c r="L352" s="63"/>
      <c r="M352" s="63"/>
      <c r="N352" s="63">
        <v>1</v>
      </c>
      <c r="O352" s="63">
        <v>1</v>
      </c>
      <c r="P352" s="63">
        <v>1</v>
      </c>
      <c r="Q352" s="63"/>
      <c r="R352" s="63"/>
      <c r="S352" s="296"/>
      <c r="T352" s="63"/>
      <c r="U352" s="94" t="s">
        <v>3280</v>
      </c>
      <c r="V352" s="90">
        <v>0</v>
      </c>
      <c r="W352" s="136"/>
      <c r="X352" s="137"/>
    </row>
    <row r="353" spans="1:29">
      <c r="B353" s="87">
        <f>B352+1</f>
        <v>20</v>
      </c>
      <c r="C353" s="295">
        <v>45870</v>
      </c>
      <c r="D353" s="77" t="s">
        <v>3281</v>
      </c>
      <c r="E353" s="10" t="s">
        <v>2061</v>
      </c>
      <c r="F353" s="95">
        <v>4095</v>
      </c>
      <c r="G353" s="62">
        <v>39.700000000000003</v>
      </c>
      <c r="H353" s="62"/>
      <c r="I353" s="89">
        <f t="shared" si="79"/>
        <v>4055.3</v>
      </c>
      <c r="J353" s="63" t="s">
        <v>205</v>
      </c>
      <c r="K353" s="63">
        <v>1</v>
      </c>
      <c r="L353" s="63"/>
      <c r="M353" s="63"/>
      <c r="N353" s="63"/>
      <c r="O353" s="63"/>
      <c r="P353" s="63"/>
      <c r="Q353" s="63"/>
      <c r="R353" s="63"/>
      <c r="S353" s="296"/>
      <c r="T353" s="63"/>
      <c r="U353" s="94"/>
      <c r="V353" s="90"/>
      <c r="W353" s="136"/>
      <c r="X353" s="137"/>
    </row>
    <row r="354" spans="1:29">
      <c r="B354" s="87">
        <f>B353+1</f>
        <v>21</v>
      </c>
      <c r="C354" s="282">
        <v>45870</v>
      </c>
      <c r="D354" s="283">
        <v>71960</v>
      </c>
      <c r="E354" s="283" t="s">
        <v>2372</v>
      </c>
      <c r="F354" s="284">
        <v>0</v>
      </c>
      <c r="G354" s="284">
        <v>0</v>
      </c>
      <c r="H354" s="284"/>
      <c r="I354" s="285">
        <f t="shared" si="79"/>
        <v>0</v>
      </c>
      <c r="J354" s="286" t="s">
        <v>205</v>
      </c>
      <c r="K354" s="286">
        <v>1</v>
      </c>
      <c r="L354" s="286"/>
      <c r="M354" s="286"/>
      <c r="N354" s="286"/>
      <c r="O354" s="286"/>
      <c r="P354" s="286"/>
      <c r="Q354" s="286">
        <v>1</v>
      </c>
      <c r="R354" s="286">
        <v>1</v>
      </c>
      <c r="S354" s="287">
        <v>1</v>
      </c>
      <c r="T354" s="63"/>
      <c r="U354" s="94"/>
      <c r="V354" s="90"/>
      <c r="W354" s="136"/>
      <c r="X354" s="137"/>
    </row>
    <row r="355" spans="1:29">
      <c r="B355" s="11"/>
      <c r="C355" s="36"/>
      <c r="D355" s="10"/>
      <c r="E355" s="10"/>
      <c r="F355" s="97">
        <f>SUM(F334:F354)</f>
        <v>56646.7</v>
      </c>
      <c r="G355" s="97">
        <f>SUM(G334:G354)</f>
        <v>436.69999999999993</v>
      </c>
      <c r="H355" s="97">
        <f>SUM(H334:H354)</f>
        <v>0</v>
      </c>
      <c r="I355" s="98">
        <f>SUM(I334:I354)</f>
        <v>56210.000000000015</v>
      </c>
      <c r="J355" s="10"/>
      <c r="K355" s="10"/>
      <c r="L355" s="10"/>
      <c r="M355" s="10"/>
      <c r="N355" s="10"/>
      <c r="O355" s="10"/>
      <c r="P355" s="10"/>
      <c r="Q355" s="10"/>
      <c r="R355" s="10"/>
      <c r="S355" s="10"/>
      <c r="T355" s="63"/>
      <c r="U355" s="94"/>
      <c r="V355" s="90"/>
      <c r="W355" s="91"/>
      <c r="X355" s="92"/>
    </row>
    <row r="356" spans="1:29">
      <c r="B356" s="26"/>
      <c r="C356" s="140"/>
      <c r="D356" s="141"/>
      <c r="E356" s="141"/>
      <c r="F356" s="141"/>
      <c r="G356" s="141"/>
      <c r="H356" s="141"/>
      <c r="I356" s="141"/>
      <c r="J356" s="141"/>
      <c r="K356" s="142"/>
      <c r="L356" s="142"/>
      <c r="M356" s="142"/>
      <c r="N356" s="142"/>
      <c r="O356" s="142"/>
      <c r="P356" s="142"/>
      <c r="Q356" s="142"/>
      <c r="R356" s="142"/>
      <c r="S356" s="142"/>
      <c r="T356" s="143">
        <f>SUM(T292:T355)</f>
        <v>5</v>
      </c>
      <c r="U356" s="168"/>
      <c r="V356" s="144">
        <f>SUM(V292:V355)</f>
        <v>42508.409999999996</v>
      </c>
      <c r="W356" s="145">
        <f>SUM(W292:W355)</f>
        <v>1130.8</v>
      </c>
      <c r="X356" s="146">
        <f>SUM(X292:X355)</f>
        <v>5701.44</v>
      </c>
    </row>
    <row r="359" spans="1:29">
      <c r="A359" s="148" t="s">
        <v>74</v>
      </c>
      <c r="B359" s="4" t="s">
        <v>1</v>
      </c>
      <c r="C359" s="5"/>
      <c r="D359" s="83"/>
      <c r="E359" s="6"/>
      <c r="F359" s="7" t="s">
        <v>2</v>
      </c>
      <c r="G359" s="8">
        <v>45879</v>
      </c>
      <c r="H359" s="7"/>
      <c r="I359" s="6"/>
      <c r="J359" s="6"/>
      <c r="K359" s="6"/>
      <c r="L359" s="6"/>
      <c r="M359" s="6"/>
      <c r="N359" s="6"/>
      <c r="O359" s="6"/>
      <c r="P359" s="6"/>
      <c r="Q359" s="6"/>
      <c r="R359" s="6"/>
      <c r="S359" s="6"/>
      <c r="T359" s="6"/>
      <c r="U359" s="149"/>
      <c r="V359" s="77"/>
      <c r="W359" s="77"/>
      <c r="X359" s="77"/>
      <c r="Y359" s="2"/>
      <c r="Z359" s="2"/>
      <c r="AA359" s="2"/>
      <c r="AB359" s="2"/>
      <c r="AC359" s="2"/>
    </row>
    <row r="360" spans="1:29">
      <c r="A360" s="150" t="s">
        <v>75</v>
      </c>
      <c r="B360" s="11"/>
      <c r="C360" s="10"/>
      <c r="D360" s="63"/>
      <c r="E360" s="10"/>
      <c r="F360" s="10"/>
      <c r="G360" s="7"/>
      <c r="H360" s="12"/>
      <c r="I360" s="10"/>
      <c r="J360" s="10"/>
      <c r="K360" s="13" t="s">
        <v>3</v>
      </c>
      <c r="L360" s="14"/>
      <c r="M360" s="15"/>
      <c r="N360" s="13" t="s">
        <v>4</v>
      </c>
      <c r="O360" s="14"/>
      <c r="P360" s="15"/>
      <c r="Q360" s="13" t="s">
        <v>5</v>
      </c>
      <c r="R360" s="14"/>
      <c r="S360" s="15"/>
      <c r="T360" s="16"/>
      <c r="U360" s="151"/>
      <c r="V360" s="77"/>
      <c r="W360" s="77"/>
      <c r="X360" s="77"/>
      <c r="Y360" s="2"/>
      <c r="Z360" s="2"/>
      <c r="AA360" s="2"/>
      <c r="AB360" s="2"/>
      <c r="AC360" s="2"/>
    </row>
    <row r="361" spans="1:29">
      <c r="A361" s="148" t="s">
        <v>76</v>
      </c>
      <c r="B361" s="18" t="s">
        <v>6</v>
      </c>
      <c r="C361" s="19">
        <f>C362+C363</f>
        <v>37</v>
      </c>
      <c r="D361" s="63"/>
      <c r="E361" s="18" t="s">
        <v>7</v>
      </c>
      <c r="F361" s="6"/>
      <c r="G361" s="9"/>
      <c r="H361" s="10"/>
      <c r="I361" s="10"/>
      <c r="J361" s="10"/>
      <c r="K361" s="20" t="s">
        <v>8</v>
      </c>
      <c r="L361" s="21" t="s">
        <v>9</v>
      </c>
      <c r="M361" s="21" t="s">
        <v>10</v>
      </c>
      <c r="N361" s="20" t="s">
        <v>11</v>
      </c>
      <c r="O361" s="21" t="s">
        <v>12</v>
      </c>
      <c r="P361" s="22" t="s">
        <v>13</v>
      </c>
      <c r="Q361" s="21" t="s">
        <v>11</v>
      </c>
      <c r="R361" s="21" t="s">
        <v>12</v>
      </c>
      <c r="S361" s="22" t="s">
        <v>13</v>
      </c>
      <c r="T361" s="23" t="s">
        <v>14</v>
      </c>
      <c r="U361" s="151"/>
      <c r="V361" s="77"/>
      <c r="W361" s="77"/>
      <c r="X361" s="77"/>
      <c r="Y361" s="2"/>
      <c r="Z361" s="2"/>
      <c r="AA361" s="2"/>
      <c r="AB361" s="2"/>
      <c r="AC361" s="2"/>
    </row>
    <row r="362" spans="1:29">
      <c r="A362" s="152" t="s">
        <v>3184</v>
      </c>
      <c r="B362" s="24" t="s">
        <v>15</v>
      </c>
      <c r="C362" s="25">
        <f>P369</f>
        <v>17</v>
      </c>
      <c r="D362" s="63"/>
      <c r="E362" s="11" t="s">
        <v>16</v>
      </c>
      <c r="F362" s="10" t="s">
        <v>78</v>
      </c>
      <c r="G362" s="153">
        <v>0.05</v>
      </c>
      <c r="H362" s="10"/>
      <c r="I362" s="10"/>
      <c r="J362" s="18" t="s">
        <v>17</v>
      </c>
      <c r="K362" s="29">
        <f>K401</f>
        <v>13</v>
      </c>
      <c r="L362" s="29">
        <f t="shared" ref="L362:S362" si="81">L401</f>
        <v>11</v>
      </c>
      <c r="M362" s="29">
        <f t="shared" si="81"/>
        <v>12</v>
      </c>
      <c r="N362" s="29">
        <f t="shared" si="81"/>
        <v>13</v>
      </c>
      <c r="O362" s="29">
        <f t="shared" si="81"/>
        <v>13</v>
      </c>
      <c r="P362" s="29">
        <f t="shared" si="81"/>
        <v>12</v>
      </c>
      <c r="Q362" s="29">
        <f t="shared" si="81"/>
        <v>13</v>
      </c>
      <c r="R362" s="29">
        <f t="shared" si="81"/>
        <v>13</v>
      </c>
      <c r="S362" s="29">
        <f t="shared" si="81"/>
        <v>11</v>
      </c>
      <c r="T362" s="30">
        <f>T451</f>
        <v>7</v>
      </c>
      <c r="U362" s="151" t="s">
        <v>3282</v>
      </c>
      <c r="V362" s="77"/>
      <c r="W362" s="77"/>
      <c r="X362" s="77"/>
      <c r="Y362" s="2"/>
      <c r="Z362" s="2"/>
      <c r="AA362" s="2"/>
      <c r="AB362" s="2"/>
      <c r="AC362" s="2"/>
    </row>
    <row r="363" spans="1:29">
      <c r="A363" s="2"/>
      <c r="B363" s="24" t="s">
        <v>18</v>
      </c>
      <c r="C363" s="25">
        <f>P370</f>
        <v>20</v>
      </c>
      <c r="D363" s="63"/>
      <c r="E363" s="26" t="s">
        <v>80</v>
      </c>
      <c r="F363" s="141" t="s">
        <v>81</v>
      </c>
      <c r="G363" s="154">
        <v>0.1</v>
      </c>
      <c r="H363" s="10"/>
      <c r="I363" s="10"/>
      <c r="J363" s="32" t="s">
        <v>19</v>
      </c>
      <c r="K363" s="33">
        <f>K401/K400</f>
        <v>1</v>
      </c>
      <c r="L363" s="33">
        <f t="shared" ref="L363:S363" si="82">L401/L400</f>
        <v>0.84615384615384615</v>
      </c>
      <c r="M363" s="33">
        <f t="shared" si="82"/>
        <v>0.92307692307692313</v>
      </c>
      <c r="N363" s="33">
        <f t="shared" si="82"/>
        <v>1</v>
      </c>
      <c r="O363" s="33">
        <f t="shared" si="82"/>
        <v>1</v>
      </c>
      <c r="P363" s="33">
        <f t="shared" si="82"/>
        <v>0.92307692307692313</v>
      </c>
      <c r="Q363" s="33">
        <f t="shared" si="82"/>
        <v>1</v>
      </c>
      <c r="R363" s="33">
        <f t="shared" si="82"/>
        <v>1</v>
      </c>
      <c r="S363" s="33">
        <f t="shared" si="82"/>
        <v>0.84615384615384615</v>
      </c>
      <c r="T363" s="23"/>
      <c r="U363" s="151" t="s">
        <v>20</v>
      </c>
      <c r="V363" s="77"/>
      <c r="W363" s="77"/>
      <c r="X363" s="77"/>
      <c r="Y363" s="2"/>
      <c r="Z363" s="2"/>
      <c r="AA363" s="2"/>
      <c r="AB363" s="2"/>
      <c r="AC363" s="2"/>
    </row>
    <row r="364" spans="1:29">
      <c r="A364" s="2"/>
      <c r="B364" s="24" t="s">
        <v>21</v>
      </c>
      <c r="C364" s="34">
        <f>P371</f>
        <v>0.45945945945945948</v>
      </c>
      <c r="D364" s="63"/>
      <c r="E364" s="10"/>
      <c r="F364" s="10"/>
      <c r="G364" s="10"/>
      <c r="H364" s="10"/>
      <c r="I364" s="10"/>
      <c r="J364" s="10"/>
      <c r="K364" s="10"/>
      <c r="L364" s="10"/>
      <c r="M364" s="10"/>
      <c r="N364" s="10"/>
      <c r="O364" s="10"/>
      <c r="P364" s="10"/>
      <c r="Q364" s="10"/>
      <c r="R364" s="10"/>
      <c r="S364" s="10"/>
      <c r="T364" s="10"/>
      <c r="U364" s="151"/>
      <c r="V364" s="77"/>
      <c r="W364" s="77"/>
      <c r="X364" s="77"/>
      <c r="Y364" s="2"/>
      <c r="Z364" s="2"/>
      <c r="AA364" s="2"/>
      <c r="AB364" s="2"/>
      <c r="AC364" s="2"/>
    </row>
    <row r="365" spans="1:29">
      <c r="A365" s="2"/>
      <c r="B365" s="24"/>
      <c r="C365" s="25"/>
      <c r="D365" s="63"/>
      <c r="E365" s="10"/>
      <c r="F365" s="18" t="s">
        <v>22</v>
      </c>
      <c r="G365" s="19" t="s">
        <v>23</v>
      </c>
      <c r="H365" s="35" t="s">
        <v>24</v>
      </c>
      <c r="I365" s="10"/>
      <c r="J365" s="10"/>
      <c r="K365" s="36"/>
      <c r="L365" s="36"/>
      <c r="M365" s="36"/>
      <c r="N365" s="36"/>
      <c r="O365" s="36"/>
      <c r="P365" s="36"/>
      <c r="Q365" s="36"/>
      <c r="R365" s="10"/>
      <c r="S365" s="10"/>
      <c r="T365" s="10"/>
      <c r="U365" s="151"/>
      <c r="V365" s="77"/>
      <c r="W365" s="77"/>
      <c r="X365" s="77"/>
      <c r="Y365" s="2"/>
      <c r="Z365" s="2"/>
      <c r="AA365" s="2"/>
      <c r="AB365" s="2"/>
      <c r="AC365" s="2"/>
    </row>
    <row r="366" spans="1:29">
      <c r="A366" s="2"/>
      <c r="B366" s="32" t="s">
        <v>25</v>
      </c>
      <c r="C366" s="37">
        <f>P372</f>
        <v>3255.4664705882351</v>
      </c>
      <c r="D366" s="63"/>
      <c r="E366" s="18" t="s">
        <v>26</v>
      </c>
      <c r="F366" s="38">
        <f>P368</f>
        <v>55342.929999999993</v>
      </c>
      <c r="G366" s="39">
        <f>I400+I413</f>
        <v>55342.93</v>
      </c>
      <c r="H366" s="771" t="s">
        <v>3283</v>
      </c>
      <c r="I366" s="771"/>
      <c r="J366" s="771"/>
      <c r="K366" s="43" t="s">
        <v>27</v>
      </c>
      <c r="L366" s="44"/>
      <c r="M366" s="44"/>
      <c r="N366" s="44"/>
      <c r="O366" s="44"/>
      <c r="P366" s="44"/>
      <c r="Q366" s="45"/>
      <c r="R366" s="46" t="s">
        <v>28</v>
      </c>
      <c r="S366" s="47" t="s">
        <v>29</v>
      </c>
      <c r="T366" s="10"/>
      <c r="U366" s="151"/>
      <c r="V366" s="77"/>
      <c r="W366" s="77"/>
      <c r="X366" s="77"/>
      <c r="Y366" s="2"/>
      <c r="Z366" s="2"/>
      <c r="AA366" s="2"/>
      <c r="AB366" s="2"/>
      <c r="AC366" s="2"/>
    </row>
    <row r="367" spans="1:29">
      <c r="A367" s="2"/>
      <c r="B367" s="11"/>
      <c r="C367" s="10"/>
      <c r="D367" s="63"/>
      <c r="E367" s="24" t="s">
        <v>30</v>
      </c>
      <c r="F367" s="48">
        <f>IF(F366&gt;=25000,10%,5%)</f>
        <v>0.1</v>
      </c>
      <c r="G367" s="17"/>
      <c r="H367" s="771"/>
      <c r="I367" s="771"/>
      <c r="J367" s="771"/>
      <c r="K367" s="20" t="s">
        <v>31</v>
      </c>
      <c r="L367" s="21" t="s">
        <v>32</v>
      </c>
      <c r="M367" s="21" t="s">
        <v>33</v>
      </c>
      <c r="N367" s="21" t="s">
        <v>34</v>
      </c>
      <c r="O367" s="21" t="s">
        <v>35</v>
      </c>
      <c r="P367" s="21" t="s">
        <v>36</v>
      </c>
      <c r="Q367" s="49" t="s">
        <v>37</v>
      </c>
      <c r="R367" s="50" t="s">
        <v>38</v>
      </c>
      <c r="S367" s="50" t="s">
        <v>38</v>
      </c>
      <c r="T367" s="10"/>
      <c r="U367" s="151"/>
      <c r="V367" s="77"/>
      <c r="W367" s="77"/>
      <c r="X367" s="77"/>
      <c r="Y367" s="2"/>
      <c r="Z367" s="2"/>
      <c r="AA367" s="2"/>
      <c r="AB367" s="2"/>
      <c r="AC367" s="2"/>
    </row>
    <row r="368" spans="1:29">
      <c r="A368" s="2"/>
      <c r="B368" s="11"/>
      <c r="C368" s="10"/>
      <c r="D368" s="63"/>
      <c r="E368" s="51" t="s">
        <v>39</v>
      </c>
      <c r="F368" s="52">
        <f>(F366+F375+F376+F377+F378-I389-I391-I399-I409-I410-I411-I412)*F367</f>
        <v>1541.690999999998</v>
      </c>
      <c r="G368" s="53" t="s">
        <v>40</v>
      </c>
      <c r="H368" s="484">
        <f>F368/1.12</f>
        <v>1376.5098214285695</v>
      </c>
      <c r="I368" s="55"/>
      <c r="J368" s="42"/>
      <c r="K368" s="56">
        <f>I387+I388+I389</f>
        <v>5009.96</v>
      </c>
      <c r="L368" s="57">
        <f>I391+I390</f>
        <v>1842.32</v>
      </c>
      <c r="M368" s="57">
        <f>I392+I393+I394+I409+I410+I411</f>
        <v>33779.919999999998</v>
      </c>
      <c r="N368" s="57">
        <f>I395+I396+I397+I412</f>
        <v>9368.1700000000019</v>
      </c>
      <c r="O368" s="57">
        <f>I398+I399</f>
        <v>5342.56</v>
      </c>
      <c r="P368" s="57">
        <f>SUM(K368:O368)</f>
        <v>55342.929999999993</v>
      </c>
      <c r="Q368" s="58">
        <v>0</v>
      </c>
      <c r="R368" s="59">
        <f>+I413</f>
        <v>36195.35</v>
      </c>
      <c r="S368" s="59">
        <v>0</v>
      </c>
      <c r="T368" s="10"/>
      <c r="U368" s="151"/>
      <c r="V368" s="77"/>
      <c r="W368" s="77"/>
      <c r="X368" s="77"/>
      <c r="Y368" s="2"/>
      <c r="Z368" s="2"/>
      <c r="AA368" s="2"/>
      <c r="AB368" s="2"/>
      <c r="AC368" s="2" t="s">
        <v>85</v>
      </c>
    </row>
    <row r="369" spans="1:29">
      <c r="A369" s="2"/>
      <c r="B369" s="11"/>
      <c r="C369" s="10"/>
      <c r="D369" s="63"/>
      <c r="E369" s="24" t="s">
        <v>41</v>
      </c>
      <c r="F369" s="60">
        <f>Q368</f>
        <v>0</v>
      </c>
      <c r="G369" s="61" t="s">
        <v>40</v>
      </c>
      <c r="H369" s="62"/>
      <c r="I369" s="62"/>
      <c r="J369" s="10" t="s">
        <v>42</v>
      </c>
      <c r="K369" s="63">
        <v>3</v>
      </c>
      <c r="L369" s="63">
        <v>2</v>
      </c>
      <c r="M369" s="63">
        <v>6</v>
      </c>
      <c r="N369" s="63">
        <v>4</v>
      </c>
      <c r="O369" s="63">
        <v>2</v>
      </c>
      <c r="P369" s="21">
        <f>SUM(K369:O369)</f>
        <v>17</v>
      </c>
      <c r="Q369" s="64"/>
      <c r="R369" s="63"/>
      <c r="S369" s="10"/>
      <c r="T369" s="10"/>
      <c r="U369" s="151"/>
      <c r="V369" s="77"/>
      <c r="W369" s="77"/>
      <c r="X369" s="77"/>
      <c r="Y369" s="2"/>
      <c r="Z369" s="2"/>
      <c r="AA369" s="2"/>
      <c r="AB369" s="2"/>
      <c r="AC369" s="2"/>
    </row>
    <row r="370" spans="1:29">
      <c r="A370" s="2"/>
      <c r="B370" s="11"/>
      <c r="C370" s="10"/>
      <c r="D370" s="63"/>
      <c r="E370" s="51" t="s">
        <v>43</v>
      </c>
      <c r="F370" s="52">
        <f>F369*0.25</f>
        <v>0</v>
      </c>
      <c r="G370" s="53" t="s">
        <v>40</v>
      </c>
      <c r="H370" s="54">
        <f>F370/1.12</f>
        <v>0</v>
      </c>
      <c r="I370" s="10"/>
      <c r="J370" s="10" t="s">
        <v>44</v>
      </c>
      <c r="K370" s="63">
        <v>6</v>
      </c>
      <c r="L370" s="63">
        <v>3</v>
      </c>
      <c r="M370" s="63">
        <v>3</v>
      </c>
      <c r="N370" s="63">
        <v>4</v>
      </c>
      <c r="O370" s="63">
        <v>4</v>
      </c>
      <c r="P370" s="21">
        <f>SUM(K370:O370)</f>
        <v>20</v>
      </c>
      <c r="Q370" s="64"/>
      <c r="R370" s="63"/>
      <c r="S370" s="10"/>
      <c r="T370" s="10"/>
      <c r="U370" s="151"/>
      <c r="V370" s="77"/>
      <c r="W370" s="77"/>
      <c r="X370" s="77"/>
      <c r="Y370" s="2"/>
      <c r="Z370" s="2"/>
      <c r="AA370" s="2"/>
      <c r="AB370" s="2"/>
      <c r="AC370" s="2"/>
    </row>
    <row r="371" spans="1:29">
      <c r="A371" s="2"/>
      <c r="B371" s="11"/>
      <c r="C371" s="10"/>
      <c r="D371" s="63"/>
      <c r="E371" s="24" t="s">
        <v>45</v>
      </c>
      <c r="F371" s="60">
        <f>I406</f>
        <v>2882.3</v>
      </c>
      <c r="G371" s="61" t="s">
        <v>40</v>
      </c>
      <c r="H371" s="62"/>
      <c r="I371" s="10"/>
      <c r="J371" s="10" t="s">
        <v>46</v>
      </c>
      <c r="K371" s="31">
        <f t="shared" ref="K371:Q371" si="83">K369/(K369+K370)</f>
        <v>0.33333333333333331</v>
      </c>
      <c r="L371" s="31">
        <f t="shared" si="83"/>
        <v>0.4</v>
      </c>
      <c r="M371" s="31">
        <f t="shared" si="83"/>
        <v>0.66666666666666663</v>
      </c>
      <c r="N371" s="31">
        <f t="shared" si="83"/>
        <v>0.5</v>
      </c>
      <c r="O371" s="31">
        <f t="shared" si="83"/>
        <v>0.33333333333333331</v>
      </c>
      <c r="P371" s="31">
        <f t="shared" si="83"/>
        <v>0.45945945945945948</v>
      </c>
      <c r="Q371" s="31" t="e">
        <f t="shared" si="83"/>
        <v>#DIV/0!</v>
      </c>
      <c r="R371" s="63"/>
      <c r="S371" s="10"/>
      <c r="T371" s="10"/>
      <c r="U371" s="151"/>
      <c r="V371" s="77"/>
      <c r="W371" s="77"/>
      <c r="X371" s="77"/>
      <c r="Y371" s="2"/>
      <c r="Z371" s="2"/>
      <c r="AA371" s="2"/>
      <c r="AB371" s="2"/>
      <c r="AC371" s="2"/>
    </row>
    <row r="372" spans="1:29">
      <c r="A372" s="2"/>
      <c r="B372" s="11"/>
      <c r="C372" s="10"/>
      <c r="D372" s="63"/>
      <c r="E372" s="51" t="s">
        <v>47</v>
      </c>
      <c r="F372" s="52">
        <f>(F371-I404-I405)*0.05</f>
        <v>1.1368683772161604E-14</v>
      </c>
      <c r="G372" s="65" t="s">
        <v>40</v>
      </c>
      <c r="H372" s="54">
        <f>F372/1.12</f>
        <v>1.0150610510858574E-14</v>
      </c>
      <c r="I372" s="42"/>
      <c r="J372" s="10" t="s">
        <v>48</v>
      </c>
      <c r="K372" s="66">
        <f>K368/K369</f>
        <v>1669.9866666666667</v>
      </c>
      <c r="L372" s="66">
        <f t="shared" ref="L372:Q372" si="84">L368/L369</f>
        <v>921.16</v>
      </c>
      <c r="M372" s="66">
        <f t="shared" si="84"/>
        <v>5629.9866666666667</v>
      </c>
      <c r="N372" s="66">
        <f t="shared" si="84"/>
        <v>2342.0425000000005</v>
      </c>
      <c r="O372" s="66">
        <f t="shared" si="84"/>
        <v>2671.28</v>
      </c>
      <c r="P372" s="66">
        <f t="shared" si="84"/>
        <v>3255.4664705882351</v>
      </c>
      <c r="Q372" s="66" t="e">
        <f t="shared" si="84"/>
        <v>#DIV/0!</v>
      </c>
      <c r="R372" s="63"/>
      <c r="S372" s="10"/>
      <c r="T372" s="10"/>
      <c r="U372" s="151"/>
      <c r="V372" s="77"/>
      <c r="W372" s="77"/>
      <c r="X372" s="77"/>
      <c r="Y372" s="2"/>
      <c r="Z372" s="2"/>
      <c r="AA372" s="2"/>
      <c r="AB372" s="2"/>
      <c r="AC372" s="2"/>
    </row>
    <row r="373" spans="1:29">
      <c r="A373" s="128"/>
      <c r="B373" s="132"/>
      <c r="C373" s="123"/>
      <c r="D373" s="127"/>
      <c r="E373" s="155" t="s">
        <v>14</v>
      </c>
      <c r="F373" s="156">
        <f>6*50/2</f>
        <v>150</v>
      </c>
      <c r="G373" s="123"/>
      <c r="H373" s="54">
        <f>F373/1.12</f>
        <v>133.92857142857142</v>
      </c>
      <c r="I373" s="123"/>
      <c r="J373" s="123"/>
      <c r="K373" s="123"/>
      <c r="L373" s="123"/>
      <c r="M373" s="123"/>
      <c r="N373" s="123"/>
      <c r="O373" s="123"/>
      <c r="P373" s="123"/>
      <c r="Q373" s="123"/>
      <c r="R373" s="123"/>
      <c r="S373" s="123"/>
      <c r="T373" s="123"/>
      <c r="U373" s="157"/>
      <c r="V373" s="123"/>
      <c r="W373" s="123"/>
      <c r="X373" s="123"/>
      <c r="Y373" s="128"/>
      <c r="Z373" s="128"/>
      <c r="AA373" s="128"/>
      <c r="AB373" s="128"/>
      <c r="AC373" s="128"/>
    </row>
    <row r="374" spans="1:29">
      <c r="A374" s="128"/>
      <c r="B374" s="132"/>
      <c r="C374" s="123"/>
      <c r="D374" s="127"/>
      <c r="E374" s="568" t="s">
        <v>49</v>
      </c>
      <c r="F374" s="569">
        <f>T363</f>
        <v>0</v>
      </c>
      <c r="G374" s="123"/>
      <c r="H374" s="54"/>
      <c r="I374" s="123"/>
      <c r="J374" s="42"/>
      <c r="K374" s="764" t="s">
        <v>50</v>
      </c>
      <c r="L374" s="764"/>
      <c r="M374" s="764"/>
      <c r="N374" s="764"/>
      <c r="O374" s="764"/>
      <c r="P374" s="764"/>
      <c r="Q374" s="764"/>
      <c r="R374" s="70" t="s">
        <v>28</v>
      </c>
      <c r="S374" s="71" t="s">
        <v>29</v>
      </c>
      <c r="T374" s="123"/>
      <c r="U374" s="157"/>
      <c r="V374" s="123"/>
      <c r="W374" s="123"/>
      <c r="X374" s="123"/>
      <c r="Y374" s="128"/>
      <c r="Z374" s="128"/>
      <c r="AA374" s="128"/>
      <c r="AB374" s="128"/>
      <c r="AC374" s="128"/>
    </row>
    <row r="375" spans="1:29">
      <c r="A375" s="128"/>
      <c r="B375" s="132"/>
      <c r="C375" s="123"/>
      <c r="D375" s="127"/>
      <c r="E375" s="74" t="s">
        <v>3284</v>
      </c>
      <c r="F375" s="75">
        <v>-33.44</v>
      </c>
      <c r="G375" s="123"/>
      <c r="H375" s="54"/>
      <c r="I375" s="123"/>
      <c r="J375" s="42"/>
      <c r="K375" s="20" t="s">
        <v>31</v>
      </c>
      <c r="L375" s="21" t="s">
        <v>32</v>
      </c>
      <c r="M375" s="21" t="s">
        <v>33</v>
      </c>
      <c r="N375" s="21" t="s">
        <v>34</v>
      </c>
      <c r="O375" s="21" t="s">
        <v>35</v>
      </c>
      <c r="P375" s="21" t="s">
        <v>36</v>
      </c>
      <c r="Q375" s="49" t="s">
        <v>37</v>
      </c>
      <c r="R375" s="50" t="s">
        <v>38</v>
      </c>
      <c r="S375" s="50" t="s">
        <v>38</v>
      </c>
      <c r="T375" s="123"/>
      <c r="U375" s="157"/>
      <c r="V375" s="123"/>
      <c r="W375" s="123"/>
      <c r="X375" s="123"/>
      <c r="Y375" s="128"/>
      <c r="Z375" s="128"/>
      <c r="AA375" s="128"/>
      <c r="AB375" s="128"/>
      <c r="AC375" s="128"/>
    </row>
    <row r="376" spans="1:29">
      <c r="A376" s="128"/>
      <c r="B376" s="132"/>
      <c r="C376" s="123"/>
      <c r="D376" s="127"/>
      <c r="E376" s="74" t="s">
        <v>3285</v>
      </c>
      <c r="F376" s="75">
        <v>-8.51</v>
      </c>
      <c r="G376" s="123"/>
      <c r="H376" s="54"/>
      <c r="I376" s="123"/>
      <c r="J376" s="42"/>
      <c r="K376" s="56">
        <f>F387+F388+F389</f>
        <v>5956</v>
      </c>
      <c r="L376" s="57">
        <f>F391+F390</f>
        <v>1952</v>
      </c>
      <c r="M376" s="57">
        <f>F392+F393+F394+F409+F410+F411</f>
        <v>39866</v>
      </c>
      <c r="N376" s="57">
        <f>F395+F396+F397+F412</f>
        <v>13546.6</v>
      </c>
      <c r="O376" s="57">
        <f>F398+F399</f>
        <v>6616.8</v>
      </c>
      <c r="P376" s="57">
        <f>SUM(K376:O376)</f>
        <v>67937.399999999994</v>
      </c>
      <c r="Q376" s="58">
        <v>0</v>
      </c>
      <c r="R376" s="59">
        <f>+F413</f>
        <v>45719.6</v>
      </c>
      <c r="S376" s="59">
        <v>0</v>
      </c>
      <c r="T376" s="123"/>
      <c r="U376" s="157"/>
      <c r="V376" s="123"/>
      <c r="W376" s="123"/>
      <c r="X376" s="123"/>
      <c r="Y376" s="128"/>
      <c r="Z376" s="128"/>
      <c r="AA376" s="128"/>
      <c r="AB376" s="128"/>
      <c r="AC376" s="128"/>
    </row>
    <row r="377" spans="1:29">
      <c r="A377" s="128"/>
      <c r="B377" s="132"/>
      <c r="C377" s="123"/>
      <c r="D377" s="127"/>
      <c r="E377" s="74" t="s">
        <v>3286</v>
      </c>
      <c r="F377" s="75">
        <v>-161.91</v>
      </c>
      <c r="G377" s="123"/>
      <c r="H377" s="54"/>
      <c r="I377" s="123"/>
      <c r="J377" s="10" t="s">
        <v>42</v>
      </c>
      <c r="K377" s="63">
        <f t="shared" ref="K377:Q378" si="85">K369</f>
        <v>3</v>
      </c>
      <c r="L377" s="63">
        <f t="shared" si="85"/>
        <v>2</v>
      </c>
      <c r="M377" s="63">
        <f t="shared" si="85"/>
        <v>6</v>
      </c>
      <c r="N377" s="63">
        <f t="shared" si="85"/>
        <v>4</v>
      </c>
      <c r="O377" s="63">
        <f t="shared" si="85"/>
        <v>2</v>
      </c>
      <c r="P377" s="63">
        <f t="shared" si="85"/>
        <v>17</v>
      </c>
      <c r="Q377" s="63">
        <f t="shared" si="85"/>
        <v>0</v>
      </c>
      <c r="R377" s="63"/>
      <c r="S377" s="10"/>
      <c r="T377" s="123"/>
      <c r="U377" s="157"/>
      <c r="V377" s="123"/>
      <c r="W377" s="123"/>
      <c r="X377" s="123"/>
      <c r="Y377" s="128"/>
      <c r="Z377" s="128"/>
      <c r="AA377" s="128"/>
      <c r="AB377" s="128"/>
      <c r="AC377" s="128"/>
    </row>
    <row r="378" spans="1:29">
      <c r="A378" s="128"/>
      <c r="B378" s="132"/>
      <c r="C378" s="123"/>
      <c r="D378" s="127"/>
      <c r="E378" s="74" t="s">
        <v>3287</v>
      </c>
      <c r="F378" s="75">
        <f>4*75*2</f>
        <v>600</v>
      </c>
      <c r="G378" s="10"/>
      <c r="H378" s="10"/>
      <c r="I378" s="123"/>
      <c r="J378" s="10" t="s">
        <v>44</v>
      </c>
      <c r="K378" s="63">
        <f t="shared" si="85"/>
        <v>6</v>
      </c>
      <c r="L378" s="63">
        <f t="shared" si="85"/>
        <v>3</v>
      </c>
      <c r="M378" s="63">
        <f t="shared" si="85"/>
        <v>3</v>
      </c>
      <c r="N378" s="63">
        <f t="shared" si="85"/>
        <v>4</v>
      </c>
      <c r="O378" s="63">
        <f t="shared" si="85"/>
        <v>4</v>
      </c>
      <c r="P378" s="63">
        <f t="shared" si="85"/>
        <v>20</v>
      </c>
      <c r="Q378" s="63">
        <f t="shared" si="85"/>
        <v>0</v>
      </c>
      <c r="R378" s="63"/>
      <c r="S378" s="10"/>
      <c r="T378" s="123"/>
      <c r="U378" s="157"/>
      <c r="V378" s="123"/>
      <c r="W378" s="123"/>
      <c r="X378" s="123"/>
      <c r="Y378" s="128"/>
      <c r="Z378" s="128"/>
      <c r="AA378" s="128"/>
      <c r="AB378" s="128"/>
      <c r="AC378" s="128"/>
    </row>
    <row r="379" spans="1:29">
      <c r="A379" s="128"/>
      <c r="B379" s="132"/>
      <c r="C379" s="123"/>
      <c r="D379" s="127"/>
      <c r="E379" s="12"/>
      <c r="F379" s="12"/>
      <c r="G379" s="123"/>
      <c r="H379" s="54"/>
      <c r="I379" s="123"/>
      <c r="J379" s="10" t="s">
        <v>46</v>
      </c>
      <c r="K379" s="31">
        <f t="shared" ref="K379:Q379" si="86">K377/(K377+K378)</f>
        <v>0.33333333333333331</v>
      </c>
      <c r="L379" s="31">
        <f t="shared" si="86"/>
        <v>0.4</v>
      </c>
      <c r="M379" s="31">
        <f t="shared" si="86"/>
        <v>0.66666666666666663</v>
      </c>
      <c r="N379" s="31">
        <f t="shared" si="86"/>
        <v>0.5</v>
      </c>
      <c r="O379" s="31">
        <f t="shared" si="86"/>
        <v>0.33333333333333331</v>
      </c>
      <c r="P379" s="31">
        <f t="shared" si="86"/>
        <v>0.45945945945945948</v>
      </c>
      <c r="Q379" s="31" t="e">
        <f t="shared" si="86"/>
        <v>#DIV/0!</v>
      </c>
      <c r="R379" s="63"/>
      <c r="S379" s="10"/>
      <c r="T379" s="123"/>
      <c r="U379" s="157"/>
      <c r="V379" s="123"/>
      <c r="W379" s="123"/>
      <c r="X379" s="123"/>
      <c r="Y379" s="128"/>
      <c r="Z379" s="128"/>
      <c r="AA379" s="128"/>
      <c r="AB379" s="128"/>
      <c r="AC379" s="128"/>
    </row>
    <row r="380" spans="1:29">
      <c r="A380" s="128"/>
      <c r="B380" s="132"/>
      <c r="C380" s="123"/>
      <c r="D380" s="127"/>
      <c r="E380" s="12"/>
      <c r="F380" s="12"/>
      <c r="G380" s="123"/>
      <c r="H380" s="54"/>
      <c r="I380" s="123"/>
      <c r="J380" s="10" t="s">
        <v>48</v>
      </c>
      <c r="K380" s="66">
        <f t="shared" ref="K380:Q380" si="87">K376/K377</f>
        <v>1985.3333333333333</v>
      </c>
      <c r="L380" s="66">
        <f t="shared" si="87"/>
        <v>976</v>
      </c>
      <c r="M380" s="66">
        <f t="shared" si="87"/>
        <v>6644.333333333333</v>
      </c>
      <c r="N380" s="66">
        <f t="shared" si="87"/>
        <v>3386.65</v>
      </c>
      <c r="O380" s="66">
        <f t="shared" si="87"/>
        <v>3308.4</v>
      </c>
      <c r="P380" s="66">
        <f t="shared" si="87"/>
        <v>3996.3176470588232</v>
      </c>
      <c r="Q380" s="66" t="e">
        <f t="shared" si="87"/>
        <v>#DIV/0!</v>
      </c>
      <c r="R380" s="63"/>
      <c r="S380" s="10"/>
      <c r="T380" s="123"/>
      <c r="U380" s="157"/>
      <c r="V380" s="123"/>
      <c r="W380" s="123"/>
      <c r="X380" s="123"/>
      <c r="Y380" s="128"/>
      <c r="Z380" s="128"/>
      <c r="AA380" s="128"/>
      <c r="AB380" s="128"/>
      <c r="AC380" s="128"/>
    </row>
    <row r="381" spans="1:29">
      <c r="A381" s="128"/>
      <c r="B381" s="132"/>
      <c r="C381" s="123"/>
      <c r="D381" s="127"/>
      <c r="E381" s="10"/>
      <c r="F381" s="10"/>
      <c r="G381" s="123"/>
      <c r="H381" s="54"/>
      <c r="I381" s="123"/>
      <c r="J381" s="123"/>
      <c r="K381" s="123"/>
      <c r="L381" s="123"/>
      <c r="M381" s="123"/>
      <c r="N381" s="123"/>
      <c r="O381" s="123"/>
      <c r="P381" s="123"/>
      <c r="Q381" s="123"/>
      <c r="R381" s="123"/>
      <c r="S381" s="123"/>
      <c r="T381" s="123"/>
      <c r="U381" s="157"/>
      <c r="V381" s="123"/>
      <c r="W381" s="123"/>
      <c r="X381" s="123"/>
      <c r="Y381" s="128"/>
      <c r="Z381" s="128"/>
      <c r="AA381" s="128"/>
      <c r="AB381" s="128"/>
      <c r="AC381" s="128"/>
    </row>
    <row r="382" spans="1:29">
      <c r="A382" s="2"/>
      <c r="B382" s="11"/>
      <c r="C382" s="10"/>
      <c r="D382" s="63"/>
      <c r="E382" s="12"/>
      <c r="F382" s="12"/>
      <c r="G382" s="10"/>
      <c r="H382" s="10"/>
      <c r="I382" s="10"/>
      <c r="J382" s="10"/>
      <c r="K382" s="10"/>
      <c r="L382" s="10"/>
      <c r="M382" s="10"/>
      <c r="N382" s="10"/>
      <c r="O382" s="10"/>
      <c r="P382" s="10"/>
      <c r="Q382" s="10"/>
      <c r="R382" s="10"/>
      <c r="S382" s="10"/>
      <c r="T382" s="10"/>
      <c r="U382" s="151"/>
      <c r="V382" s="77"/>
      <c r="W382" s="77"/>
      <c r="X382" s="77"/>
      <c r="Y382" s="2"/>
      <c r="Z382" s="2"/>
      <c r="AA382" s="2"/>
      <c r="AB382" s="2"/>
      <c r="AC382" s="2"/>
    </row>
    <row r="383" spans="1:29">
      <c r="A383" s="2"/>
      <c r="B383" s="11"/>
      <c r="C383" s="10"/>
      <c r="D383" s="63"/>
      <c r="E383" s="10"/>
      <c r="F383" s="10"/>
      <c r="G383" s="10"/>
      <c r="H383" s="10"/>
      <c r="I383" s="10"/>
      <c r="J383" s="10"/>
      <c r="K383" s="10"/>
      <c r="L383" s="10"/>
      <c r="M383" s="10"/>
      <c r="N383" s="10"/>
      <c r="O383" s="10"/>
      <c r="P383" s="10"/>
      <c r="Q383" s="10"/>
      <c r="R383" s="10"/>
      <c r="S383" s="10"/>
      <c r="T383" s="10"/>
      <c r="U383" s="151"/>
      <c r="V383" s="77"/>
      <c r="W383" s="77"/>
      <c r="X383" s="77"/>
      <c r="Y383" s="2"/>
      <c r="Z383" s="2"/>
      <c r="AA383" s="2"/>
      <c r="AB383" s="2"/>
      <c r="AC383" s="2"/>
    </row>
    <row r="384" spans="1:29">
      <c r="A384" s="2"/>
      <c r="B384" s="18" t="s">
        <v>51</v>
      </c>
      <c r="C384" s="14"/>
      <c r="D384" s="14"/>
      <c r="E384" s="14"/>
      <c r="F384" s="13" t="s">
        <v>52</v>
      </c>
      <c r="G384" s="14"/>
      <c r="H384" s="14"/>
      <c r="I384" s="14"/>
      <c r="J384" s="14"/>
      <c r="K384" s="13" t="s">
        <v>3</v>
      </c>
      <c r="L384" s="14"/>
      <c r="M384" s="14"/>
      <c r="N384" s="13" t="s">
        <v>4</v>
      </c>
      <c r="O384" s="14"/>
      <c r="P384" s="14"/>
      <c r="Q384" s="13" t="s">
        <v>5</v>
      </c>
      <c r="R384" s="14"/>
      <c r="S384" s="14"/>
      <c r="T384" s="18"/>
      <c r="U384" s="161" t="s">
        <v>53</v>
      </c>
      <c r="V384" s="77"/>
      <c r="W384" s="77"/>
      <c r="X384" s="77"/>
      <c r="Y384" s="2"/>
      <c r="Z384" s="2"/>
      <c r="AA384" s="2"/>
      <c r="AB384" s="2"/>
      <c r="AC384" s="2"/>
    </row>
    <row r="385" spans="1:29">
      <c r="A385" s="2"/>
      <c r="B385" s="24" t="s">
        <v>54</v>
      </c>
      <c r="C385" s="21" t="s">
        <v>55</v>
      </c>
      <c r="D385" s="21" t="s">
        <v>56</v>
      </c>
      <c r="E385" s="21" t="s">
        <v>57</v>
      </c>
      <c r="F385" s="20" t="s">
        <v>58</v>
      </c>
      <c r="G385" s="21" t="s">
        <v>59</v>
      </c>
      <c r="H385" s="21" t="s">
        <v>60</v>
      </c>
      <c r="I385" s="21" t="s">
        <v>26</v>
      </c>
      <c r="J385" s="22" t="s">
        <v>61</v>
      </c>
      <c r="K385" s="21" t="s">
        <v>8</v>
      </c>
      <c r="L385" s="21" t="s">
        <v>9</v>
      </c>
      <c r="M385" s="21" t="s">
        <v>10</v>
      </c>
      <c r="N385" s="20" t="s">
        <v>11</v>
      </c>
      <c r="O385" s="21" t="s">
        <v>12</v>
      </c>
      <c r="P385" s="22" t="s">
        <v>13</v>
      </c>
      <c r="Q385" s="21" t="s">
        <v>11</v>
      </c>
      <c r="R385" s="21" t="s">
        <v>12</v>
      </c>
      <c r="S385" s="21" t="s">
        <v>13</v>
      </c>
      <c r="T385" s="78" t="s">
        <v>14</v>
      </c>
      <c r="U385" s="162"/>
      <c r="V385" s="79" t="s">
        <v>62</v>
      </c>
      <c r="W385" s="80" t="s">
        <v>63</v>
      </c>
      <c r="X385" s="81" t="s">
        <v>64</v>
      </c>
      <c r="Y385" s="2"/>
      <c r="Z385" s="2"/>
      <c r="AA385" s="2"/>
      <c r="AB385" s="2"/>
      <c r="AC385" s="2"/>
    </row>
    <row r="386" spans="1:29">
      <c r="A386" s="2"/>
      <c r="B386" s="4" t="s">
        <v>65</v>
      </c>
      <c r="C386" s="6"/>
      <c r="D386" s="6"/>
      <c r="E386" s="6"/>
      <c r="F386" s="6"/>
      <c r="G386" s="6"/>
      <c r="H386" s="6"/>
      <c r="I386" s="82"/>
      <c r="J386" s="6"/>
      <c r="K386" s="6"/>
      <c r="L386" s="6"/>
      <c r="M386" s="6"/>
      <c r="N386" s="6"/>
      <c r="O386" s="6"/>
      <c r="P386" s="6"/>
      <c r="Q386" s="6"/>
      <c r="R386" s="6"/>
      <c r="S386" s="6"/>
      <c r="T386" s="83"/>
      <c r="U386" s="163"/>
      <c r="V386" s="84"/>
      <c r="W386" s="85"/>
      <c r="X386" s="86"/>
      <c r="Y386" s="2"/>
      <c r="Z386" s="2"/>
      <c r="AA386" s="2"/>
      <c r="AB386" s="2"/>
      <c r="AC386" s="2"/>
    </row>
    <row r="387" spans="1:29">
      <c r="A387" s="2"/>
      <c r="B387" s="87">
        <v>1</v>
      </c>
      <c r="C387" s="274">
        <v>45873</v>
      </c>
      <c r="D387" s="327">
        <v>71990</v>
      </c>
      <c r="E387" s="276" t="s">
        <v>778</v>
      </c>
      <c r="F387" s="277">
        <v>681</v>
      </c>
      <c r="G387" s="277"/>
      <c r="H387" s="297"/>
      <c r="I387" s="278">
        <f>F387-G387-H387</f>
        <v>681</v>
      </c>
      <c r="J387" s="279" t="s">
        <v>156</v>
      </c>
      <c r="K387" s="279">
        <v>1</v>
      </c>
      <c r="L387" s="279">
        <v>1</v>
      </c>
      <c r="M387" s="279">
        <v>1</v>
      </c>
      <c r="N387" s="279">
        <v>1</v>
      </c>
      <c r="O387" s="279">
        <v>1</v>
      </c>
      <c r="P387" s="279">
        <v>1</v>
      </c>
      <c r="Q387" s="279">
        <v>1</v>
      </c>
      <c r="R387" s="279">
        <v>1</v>
      </c>
      <c r="S387" s="280">
        <v>1</v>
      </c>
      <c r="T387" s="21">
        <v>1</v>
      </c>
      <c r="U387" s="94"/>
      <c r="V387" s="90">
        <f>74.91+674.91</f>
        <v>749.81999999999994</v>
      </c>
      <c r="W387" s="91"/>
      <c r="X387" s="92"/>
      <c r="Y387" s="2"/>
      <c r="Z387" s="2"/>
      <c r="AA387" s="2"/>
      <c r="AB387" s="2"/>
      <c r="AC387" s="2"/>
    </row>
    <row r="388" spans="1:29" s="260" customFormat="1">
      <c r="A388" s="463">
        <v>45877</v>
      </c>
      <c r="B388" s="87">
        <f>B387+1</f>
        <v>2</v>
      </c>
      <c r="C388" s="295">
        <v>45873</v>
      </c>
      <c r="D388" s="323">
        <v>71999</v>
      </c>
      <c r="E388" s="10" t="s">
        <v>1042</v>
      </c>
      <c r="F388" s="62">
        <v>2814</v>
      </c>
      <c r="G388" s="62">
        <f>39.7+(59.94+29.64+58.74)+(97.72+43.31)+200</f>
        <v>529.04999999999995</v>
      </c>
      <c r="H388" s="62"/>
      <c r="I388" s="324">
        <f>F388-G388-H388</f>
        <v>2284.9499999999998</v>
      </c>
      <c r="J388" s="63" t="s">
        <v>228</v>
      </c>
      <c r="K388" s="63">
        <v>1</v>
      </c>
      <c r="L388" s="63">
        <v>1</v>
      </c>
      <c r="M388" s="325">
        <v>0</v>
      </c>
      <c r="N388" s="63">
        <v>1</v>
      </c>
      <c r="O388" s="63">
        <v>1</v>
      </c>
      <c r="P388" s="325">
        <v>0</v>
      </c>
      <c r="Q388" s="63">
        <v>1</v>
      </c>
      <c r="R388" s="63">
        <v>1</v>
      </c>
      <c r="S388" s="326">
        <v>0</v>
      </c>
      <c r="T388" s="63"/>
      <c r="U388" s="94" t="s">
        <v>3288</v>
      </c>
      <c r="V388" s="90">
        <f>309.54+1500+1000+285.86</f>
        <v>3095.4</v>
      </c>
      <c r="W388" s="91"/>
      <c r="X388" s="92"/>
      <c r="Y388" s="181"/>
      <c r="Z388" s="181"/>
      <c r="AA388" s="181"/>
      <c r="AB388" s="181"/>
      <c r="AC388" s="181"/>
    </row>
    <row r="389" spans="1:29">
      <c r="A389" s="388">
        <v>45878</v>
      </c>
      <c r="B389" s="87">
        <f>B388+1</f>
        <v>3</v>
      </c>
      <c r="C389" s="554">
        <v>45873</v>
      </c>
      <c r="D389" s="368">
        <v>72001</v>
      </c>
      <c r="E389" s="555" t="s">
        <v>1034</v>
      </c>
      <c r="F389" s="556">
        <v>2461</v>
      </c>
      <c r="G389" s="556">
        <f>39.7+(63.11+56.34+39.79+18.05)+200</f>
        <v>416.99</v>
      </c>
      <c r="H389" s="556"/>
      <c r="I389" s="562">
        <f>F389-G389-H389</f>
        <v>2044.01</v>
      </c>
      <c r="J389" s="558" t="s">
        <v>228</v>
      </c>
      <c r="K389" s="558">
        <v>1</v>
      </c>
      <c r="L389" s="558">
        <v>1</v>
      </c>
      <c r="M389" s="558">
        <v>1</v>
      </c>
      <c r="N389" s="558">
        <v>1</v>
      </c>
      <c r="O389" s="558">
        <v>1</v>
      </c>
      <c r="P389" s="558">
        <v>1</v>
      </c>
      <c r="Q389" s="558">
        <v>1</v>
      </c>
      <c r="R389" s="558">
        <v>1</v>
      </c>
      <c r="S389" s="559">
        <v>1</v>
      </c>
      <c r="T389" s="537">
        <v>1</v>
      </c>
      <c r="U389" s="164" t="s">
        <v>3289</v>
      </c>
      <c r="V389" s="551">
        <f>270.71+2436.39</f>
        <v>2707.1</v>
      </c>
      <c r="W389" s="552"/>
      <c r="X389" s="553"/>
      <c r="Y389" s="2"/>
      <c r="Z389" s="2"/>
      <c r="AA389" s="2"/>
      <c r="AB389" s="2"/>
      <c r="AC389" s="2"/>
    </row>
    <row r="390" spans="1:29">
      <c r="A390" s="2"/>
      <c r="B390" s="87">
        <f>B389+1</f>
        <v>4</v>
      </c>
      <c r="C390" s="295">
        <v>45874</v>
      </c>
      <c r="D390" s="323">
        <v>72039</v>
      </c>
      <c r="E390" s="10" t="s">
        <v>1835</v>
      </c>
      <c r="F390" s="62">
        <v>814</v>
      </c>
      <c r="G390" s="62">
        <f>39.7+(30.28)</f>
        <v>69.98</v>
      </c>
      <c r="H390" s="62"/>
      <c r="I390" s="324">
        <f t="shared" ref="I390" si="88">F390-G390-H390</f>
        <v>744.02</v>
      </c>
      <c r="J390" s="63" t="s">
        <v>374</v>
      </c>
      <c r="K390" s="63">
        <v>1</v>
      </c>
      <c r="L390" s="63">
        <v>1</v>
      </c>
      <c r="M390" s="63">
        <v>1</v>
      </c>
      <c r="N390" s="63">
        <v>1</v>
      </c>
      <c r="O390" s="63">
        <v>1</v>
      </c>
      <c r="P390" s="63">
        <v>1</v>
      </c>
      <c r="Q390" s="63">
        <v>1</v>
      </c>
      <c r="R390" s="63">
        <v>1</v>
      </c>
      <c r="S390" s="326">
        <v>0</v>
      </c>
      <c r="T390" s="21">
        <v>1</v>
      </c>
      <c r="U390" s="94"/>
      <c r="V390" s="90">
        <v>895.4</v>
      </c>
      <c r="W390" s="91"/>
      <c r="X390" s="92"/>
      <c r="Y390" s="2"/>
      <c r="Z390" s="2"/>
      <c r="AA390" s="2"/>
      <c r="AB390" s="2"/>
      <c r="AC390" s="2"/>
    </row>
    <row r="391" spans="1:29">
      <c r="A391" s="2"/>
      <c r="B391" s="87">
        <f>B390+1</f>
        <v>5</v>
      </c>
      <c r="C391" s="295">
        <v>45874</v>
      </c>
      <c r="D391" s="323">
        <v>72046</v>
      </c>
      <c r="E391" s="10" t="s">
        <v>187</v>
      </c>
      <c r="F391" s="62">
        <v>1138</v>
      </c>
      <c r="G391" s="62">
        <f>39.7</f>
        <v>39.700000000000003</v>
      </c>
      <c r="H391" s="62"/>
      <c r="I391" s="369">
        <f t="shared" ref="I391:I399" si="89">F391-G391-H391</f>
        <v>1098.3</v>
      </c>
      <c r="J391" s="63" t="s">
        <v>156</v>
      </c>
      <c r="K391" s="63">
        <v>1</v>
      </c>
      <c r="L391" s="325">
        <v>0</v>
      </c>
      <c r="M391" s="63">
        <v>1</v>
      </c>
      <c r="N391" s="63">
        <v>1</v>
      </c>
      <c r="O391" s="63">
        <v>1</v>
      </c>
      <c r="P391" s="63">
        <v>1</v>
      </c>
      <c r="Q391" s="63">
        <v>1</v>
      </c>
      <c r="R391" s="63">
        <v>1</v>
      </c>
      <c r="S391" s="296">
        <v>1</v>
      </c>
      <c r="T391" s="21"/>
      <c r="U391" s="94" t="s">
        <v>3290</v>
      </c>
      <c r="V391" s="90">
        <f>125.18+1126.62</f>
        <v>1251.8</v>
      </c>
      <c r="W391" s="91"/>
      <c r="X391" s="92"/>
      <c r="Y391" s="2"/>
      <c r="Z391" s="2"/>
      <c r="AA391" s="2"/>
      <c r="AB391" s="2"/>
      <c r="AC391" s="2"/>
    </row>
    <row r="392" spans="1:29">
      <c r="A392" s="93"/>
      <c r="B392" s="87">
        <f t="shared" ref="B392:B399" si="90">B391+1</f>
        <v>6</v>
      </c>
      <c r="C392" s="274">
        <v>45875</v>
      </c>
      <c r="D392" s="327">
        <v>72063</v>
      </c>
      <c r="E392" s="276" t="s">
        <v>187</v>
      </c>
      <c r="F392" s="277">
        <v>861</v>
      </c>
      <c r="G392" s="277">
        <f>39.7</f>
        <v>39.700000000000003</v>
      </c>
      <c r="H392" s="277"/>
      <c r="I392" s="278">
        <f t="shared" si="89"/>
        <v>821.3</v>
      </c>
      <c r="J392" s="279" t="s">
        <v>236</v>
      </c>
      <c r="K392" s="279">
        <v>1</v>
      </c>
      <c r="L392" s="279">
        <v>1</v>
      </c>
      <c r="M392" s="279">
        <v>1</v>
      </c>
      <c r="N392" s="279">
        <v>1</v>
      </c>
      <c r="O392" s="279">
        <v>1</v>
      </c>
      <c r="P392" s="279">
        <v>1</v>
      </c>
      <c r="Q392" s="279">
        <v>1</v>
      </c>
      <c r="R392" s="279">
        <v>1</v>
      </c>
      <c r="S392" s="280">
        <v>1</v>
      </c>
      <c r="T392" s="21">
        <v>1</v>
      </c>
      <c r="U392" s="94"/>
      <c r="V392" s="90">
        <v>647.1</v>
      </c>
      <c r="W392" s="440">
        <v>300</v>
      </c>
      <c r="X392" s="92"/>
      <c r="Y392" s="2"/>
      <c r="Z392" s="2"/>
      <c r="AA392" s="2"/>
      <c r="AB392" s="2"/>
      <c r="AC392" s="2"/>
    </row>
    <row r="393" spans="1:29">
      <c r="A393" s="2"/>
      <c r="B393" s="87">
        <f t="shared" si="90"/>
        <v>7</v>
      </c>
      <c r="C393" s="295">
        <v>45875</v>
      </c>
      <c r="D393" s="323">
        <v>72078</v>
      </c>
      <c r="E393" s="94" t="s">
        <v>761</v>
      </c>
      <c r="F393" s="62">
        <f>55-55</f>
        <v>0</v>
      </c>
      <c r="G393" s="62"/>
      <c r="H393" s="62"/>
      <c r="I393" s="89">
        <f t="shared" si="89"/>
        <v>0</v>
      </c>
      <c r="J393" s="63" t="s">
        <v>156</v>
      </c>
      <c r="K393" s="63">
        <v>1</v>
      </c>
      <c r="L393" s="63">
        <v>1</v>
      </c>
      <c r="M393" s="63">
        <v>1</v>
      </c>
      <c r="N393" s="63">
        <v>1</v>
      </c>
      <c r="O393" s="63">
        <v>1</v>
      </c>
      <c r="P393" s="63">
        <v>1</v>
      </c>
      <c r="Q393" s="63">
        <v>1</v>
      </c>
      <c r="R393" s="63">
        <v>1</v>
      </c>
      <c r="S393" s="296">
        <v>1</v>
      </c>
      <c r="T393" s="21">
        <v>1</v>
      </c>
      <c r="U393" s="94"/>
      <c r="V393" s="90">
        <v>60.5</v>
      </c>
      <c r="W393" s="91"/>
      <c r="X393" s="92"/>
      <c r="Y393" s="2"/>
      <c r="Z393" s="2"/>
      <c r="AA393" s="2"/>
      <c r="AB393" s="2"/>
      <c r="AC393" s="2"/>
    </row>
    <row r="394" spans="1:29">
      <c r="A394" s="2" t="s">
        <v>3291</v>
      </c>
      <c r="B394" s="87">
        <f t="shared" si="90"/>
        <v>8</v>
      </c>
      <c r="C394" s="295">
        <v>45875</v>
      </c>
      <c r="D394" s="346" t="s">
        <v>3292</v>
      </c>
      <c r="E394" s="10" t="s">
        <v>1835</v>
      </c>
      <c r="F394" s="62">
        <v>1038</v>
      </c>
      <c r="G394" s="62">
        <f>+(207.7)</f>
        <v>207.7</v>
      </c>
      <c r="H394" s="62"/>
      <c r="I394" s="89">
        <f t="shared" si="89"/>
        <v>830.3</v>
      </c>
      <c r="J394" s="63" t="s">
        <v>156</v>
      </c>
      <c r="K394" s="63">
        <v>1</v>
      </c>
      <c r="L394" s="63">
        <v>1</v>
      </c>
      <c r="M394" s="63">
        <v>1</v>
      </c>
      <c r="N394" s="63">
        <v>1</v>
      </c>
      <c r="O394" s="63">
        <v>1</v>
      </c>
      <c r="P394" s="63">
        <v>1</v>
      </c>
      <c r="Q394" s="63">
        <v>1</v>
      </c>
      <c r="R394" s="63">
        <v>1</v>
      </c>
      <c r="S394" s="296">
        <v>1</v>
      </c>
      <c r="T394" s="21">
        <v>1</v>
      </c>
      <c r="U394" s="94" t="s">
        <v>3293</v>
      </c>
      <c r="V394" s="90">
        <f>114.18+1027.62</f>
        <v>1141.8</v>
      </c>
      <c r="W394" s="91"/>
      <c r="X394" s="92"/>
      <c r="Y394" s="2"/>
      <c r="Z394" s="2"/>
      <c r="AA394" s="2"/>
      <c r="AB394" s="2"/>
      <c r="AC394" s="2"/>
    </row>
    <row r="395" spans="1:29">
      <c r="A395" s="2"/>
      <c r="B395" s="87">
        <f t="shared" si="90"/>
        <v>9</v>
      </c>
      <c r="C395" s="274">
        <v>45876</v>
      </c>
      <c r="D395" s="327">
        <v>72125</v>
      </c>
      <c r="E395" s="276" t="s">
        <v>780</v>
      </c>
      <c r="F395" s="277">
        <v>614</v>
      </c>
      <c r="G395" s="277"/>
      <c r="H395" s="297"/>
      <c r="I395" s="278">
        <f t="shared" si="89"/>
        <v>614</v>
      </c>
      <c r="J395" s="279" t="s">
        <v>156</v>
      </c>
      <c r="K395" s="279">
        <v>1</v>
      </c>
      <c r="L395" s="279">
        <v>1</v>
      </c>
      <c r="M395" s="279">
        <v>1</v>
      </c>
      <c r="N395" s="279">
        <v>1</v>
      </c>
      <c r="O395" s="279">
        <v>1</v>
      </c>
      <c r="P395" s="279">
        <v>1</v>
      </c>
      <c r="Q395" s="279">
        <v>1</v>
      </c>
      <c r="R395" s="279">
        <v>1</v>
      </c>
      <c r="S395" s="280">
        <v>1</v>
      </c>
      <c r="T395" s="21">
        <v>1</v>
      </c>
      <c r="U395" s="94"/>
      <c r="V395" s="90">
        <v>675.4</v>
      </c>
      <c r="W395" s="91"/>
      <c r="X395" s="92"/>
      <c r="Y395" s="2"/>
      <c r="Z395" s="2"/>
      <c r="AA395" s="2"/>
      <c r="AB395" s="2"/>
      <c r="AC395" s="2"/>
    </row>
    <row r="396" spans="1:29" s="260" customFormat="1">
      <c r="A396" s="181"/>
      <c r="B396" s="87">
        <f t="shared" si="90"/>
        <v>10</v>
      </c>
      <c r="C396" s="295">
        <v>45876</v>
      </c>
      <c r="D396" s="323">
        <v>72124</v>
      </c>
      <c r="E396" s="101" t="s">
        <v>973</v>
      </c>
      <c r="F396" s="62">
        <v>2319</v>
      </c>
      <c r="G396" s="62">
        <f>39.7+(13.46)+200</f>
        <v>253.16</v>
      </c>
      <c r="H396" s="62"/>
      <c r="I396" s="89">
        <f>F396-G396-H396</f>
        <v>2065.84</v>
      </c>
      <c r="J396" s="63" t="s">
        <v>228</v>
      </c>
      <c r="K396" s="63">
        <v>1</v>
      </c>
      <c r="L396" s="63">
        <v>1</v>
      </c>
      <c r="M396" s="63">
        <v>1</v>
      </c>
      <c r="N396" s="63">
        <v>1</v>
      </c>
      <c r="O396" s="63">
        <v>1</v>
      </c>
      <c r="P396" s="63">
        <v>1</v>
      </c>
      <c r="Q396" s="63">
        <v>1</v>
      </c>
      <c r="R396" s="63">
        <v>1</v>
      </c>
      <c r="S396" s="296">
        <v>1</v>
      </c>
      <c r="T396" s="63"/>
      <c r="U396" s="94"/>
      <c r="V396" s="90">
        <f>255.09+2295.81</f>
        <v>2550.9</v>
      </c>
      <c r="W396" s="91"/>
      <c r="X396" s="92"/>
      <c r="Y396" s="181"/>
      <c r="Z396" s="181"/>
      <c r="AA396" s="181"/>
      <c r="AB396" s="181"/>
      <c r="AC396" s="181"/>
    </row>
    <row r="397" spans="1:29">
      <c r="A397" s="2"/>
      <c r="B397" s="87">
        <f>B396+1</f>
        <v>11</v>
      </c>
      <c r="C397" s="295">
        <v>45876</v>
      </c>
      <c r="D397" s="323">
        <v>72160</v>
      </c>
      <c r="E397" s="101" t="s">
        <v>1141</v>
      </c>
      <c r="F397" s="62">
        <v>2861</v>
      </c>
      <c r="G397" s="62">
        <f>39.7+200</f>
        <v>239.7</v>
      </c>
      <c r="H397" s="62"/>
      <c r="I397" s="89">
        <f>F397-G397-H397</f>
        <v>2621.3000000000002</v>
      </c>
      <c r="J397" s="63" t="s">
        <v>156</v>
      </c>
      <c r="K397" s="63">
        <v>1</v>
      </c>
      <c r="L397" s="63">
        <v>1</v>
      </c>
      <c r="M397" s="63">
        <v>1</v>
      </c>
      <c r="N397" s="63">
        <v>1</v>
      </c>
      <c r="O397" s="63">
        <v>1</v>
      </c>
      <c r="P397" s="63">
        <v>1</v>
      </c>
      <c r="Q397" s="63">
        <v>1</v>
      </c>
      <c r="R397" s="63">
        <v>1</v>
      </c>
      <c r="S397" s="296">
        <v>1</v>
      </c>
      <c r="T397" s="63"/>
      <c r="U397" s="10" t="s">
        <v>3294</v>
      </c>
      <c r="V397" s="90">
        <f>314.71+2300+532.39</f>
        <v>3147.1</v>
      </c>
      <c r="W397" s="91"/>
      <c r="X397" s="92"/>
      <c r="Y397" s="2"/>
      <c r="Z397" s="2"/>
      <c r="AA397" s="2"/>
      <c r="AB397" s="2"/>
      <c r="AC397" s="2"/>
    </row>
    <row r="398" spans="1:29">
      <c r="A398" s="2"/>
      <c r="B398" s="87">
        <f t="shared" si="90"/>
        <v>12</v>
      </c>
      <c r="C398" s="274">
        <v>45877</v>
      </c>
      <c r="D398" s="327">
        <v>72184</v>
      </c>
      <c r="E398" s="276" t="s">
        <v>2606</v>
      </c>
      <c r="F398" s="277">
        <v>5592.6</v>
      </c>
      <c r="G398" s="277">
        <f>39.7+(1194.84)</f>
        <v>1234.54</v>
      </c>
      <c r="H398" s="297"/>
      <c r="I398" s="278">
        <f>F398-G398-H398</f>
        <v>4358.0600000000004</v>
      </c>
      <c r="J398" s="279" t="s">
        <v>156</v>
      </c>
      <c r="K398" s="279">
        <v>1</v>
      </c>
      <c r="L398" s="279">
        <v>1</v>
      </c>
      <c r="M398" s="279">
        <v>1</v>
      </c>
      <c r="N398" s="279">
        <v>1</v>
      </c>
      <c r="O398" s="279">
        <v>1</v>
      </c>
      <c r="P398" s="279">
        <v>1</v>
      </c>
      <c r="Q398" s="279">
        <v>1</v>
      </c>
      <c r="R398" s="279">
        <v>1</v>
      </c>
      <c r="S398" s="280">
        <v>1</v>
      </c>
      <c r="T398" s="63"/>
      <c r="U398" s="94"/>
      <c r="V398" s="90">
        <f>613.46+5538.4</f>
        <v>6151.86</v>
      </c>
      <c r="W398" s="91"/>
      <c r="X398" s="92"/>
      <c r="Y398" s="2"/>
      <c r="Z398" s="2"/>
      <c r="AA398" s="2"/>
      <c r="AB398" s="2"/>
      <c r="AC398" s="2"/>
    </row>
    <row r="399" spans="1:29">
      <c r="A399" s="2"/>
      <c r="B399" s="87">
        <f t="shared" si="90"/>
        <v>13</v>
      </c>
      <c r="C399" s="282">
        <v>45877</v>
      </c>
      <c r="D399" s="330" t="s">
        <v>3295</v>
      </c>
      <c r="E399" s="283" t="s">
        <v>1002</v>
      </c>
      <c r="F399" s="423">
        <v>1024.2</v>
      </c>
      <c r="G399" s="284">
        <f>39.7</f>
        <v>39.700000000000003</v>
      </c>
      <c r="H399" s="284"/>
      <c r="I399" s="331">
        <f t="shared" si="89"/>
        <v>984.5</v>
      </c>
      <c r="J399" s="286" t="s">
        <v>156</v>
      </c>
      <c r="K399" s="286">
        <v>1</v>
      </c>
      <c r="L399" s="332">
        <v>0</v>
      </c>
      <c r="M399" s="286">
        <v>1</v>
      </c>
      <c r="N399" s="286">
        <v>1</v>
      </c>
      <c r="O399" s="286">
        <v>1</v>
      </c>
      <c r="P399" s="286">
        <v>1</v>
      </c>
      <c r="Q399" s="286">
        <v>1</v>
      </c>
      <c r="R399" s="286">
        <v>1</v>
      </c>
      <c r="S399" s="287">
        <v>1</v>
      </c>
      <c r="T399" s="63"/>
      <c r="U399" s="94" t="s">
        <v>3296</v>
      </c>
      <c r="V399" s="90">
        <f>120+1006.62</f>
        <v>1126.6199999999999</v>
      </c>
      <c r="W399" s="91"/>
      <c r="X399" s="92"/>
      <c r="Y399" s="2"/>
      <c r="Z399" s="2"/>
      <c r="AA399" s="2"/>
      <c r="AB399" s="2"/>
      <c r="AC399" s="2"/>
    </row>
    <row r="400" spans="1:29">
      <c r="A400" s="2"/>
      <c r="B400" s="87"/>
      <c r="C400" s="36"/>
      <c r="D400" s="10"/>
      <c r="E400" s="10"/>
      <c r="F400" s="97">
        <f>SUM(F387:F399)</f>
        <v>22217.8</v>
      </c>
      <c r="G400" s="97">
        <f>SUM(G387:G399)</f>
        <v>3070.2200000000003</v>
      </c>
      <c r="H400" s="97">
        <f>SUM(H387:H399)</f>
        <v>0</v>
      </c>
      <c r="I400" s="98">
        <f>SUM(I387:I399)</f>
        <v>19147.580000000002</v>
      </c>
      <c r="J400" s="63"/>
      <c r="K400" s="63">
        <f>COUNT(K387:K399)</f>
        <v>13</v>
      </c>
      <c r="L400" s="63">
        <f>COUNT(L387:L399)</f>
        <v>13</v>
      </c>
      <c r="M400" s="63">
        <f>COUNT(M387:M399)</f>
        <v>13</v>
      </c>
      <c r="N400" s="63">
        <f>COUNT(N387:N399)</f>
        <v>13</v>
      </c>
      <c r="O400" s="63">
        <f>COUNT(O387:O399)</f>
        <v>13</v>
      </c>
      <c r="P400" s="63">
        <f>COUNT(P387:P399)</f>
        <v>13</v>
      </c>
      <c r="Q400" s="63">
        <f>COUNT(Q387:Q399)</f>
        <v>13</v>
      </c>
      <c r="R400" s="63">
        <f>COUNT(R387:R399)</f>
        <v>13</v>
      </c>
      <c r="S400" s="63">
        <f>COUNT(S387:S399)</f>
        <v>13</v>
      </c>
      <c r="T400" s="63"/>
      <c r="U400" s="94"/>
      <c r="V400" s="90"/>
      <c r="W400" s="91"/>
      <c r="X400" s="92"/>
      <c r="Y400" s="2"/>
      <c r="Z400" s="2"/>
      <c r="AA400" s="2"/>
      <c r="AB400" s="2"/>
      <c r="AC400" s="2"/>
    </row>
    <row r="401" spans="1:31">
      <c r="A401" s="2"/>
      <c r="B401" s="87"/>
      <c r="C401" s="36"/>
      <c r="D401" s="10"/>
      <c r="E401" s="10"/>
      <c r="F401" s="88"/>
      <c r="G401" s="88"/>
      <c r="H401" s="88"/>
      <c r="I401" s="99"/>
      <c r="J401" s="63"/>
      <c r="K401" s="21">
        <f>SUM(K387:K399)</f>
        <v>13</v>
      </c>
      <c r="L401" s="21">
        <f>SUM(L387:L399)</f>
        <v>11</v>
      </c>
      <c r="M401" s="21">
        <f>SUM(M387:M399)</f>
        <v>12</v>
      </c>
      <c r="N401" s="21">
        <f>SUM(N387:N399)</f>
        <v>13</v>
      </c>
      <c r="O401" s="21">
        <f>SUM(O387:O399)</f>
        <v>13</v>
      </c>
      <c r="P401" s="21">
        <f>SUM(P387:P399)</f>
        <v>12</v>
      </c>
      <c r="Q401" s="21">
        <f>SUM(Q387:Q399)</f>
        <v>13</v>
      </c>
      <c r="R401" s="21">
        <f>SUM(R387:R399)</f>
        <v>13</v>
      </c>
      <c r="S401" s="21">
        <f>SUM(S387:S399)</f>
        <v>11</v>
      </c>
      <c r="T401" s="63"/>
      <c r="U401" s="94"/>
      <c r="V401" s="90"/>
      <c r="W401" s="91"/>
      <c r="X401" s="92"/>
      <c r="Y401" s="2"/>
      <c r="Z401" s="2"/>
      <c r="AA401" s="2"/>
      <c r="AB401" s="2"/>
      <c r="AC401" s="2"/>
    </row>
    <row r="402" spans="1:31">
      <c r="A402" s="2"/>
      <c r="B402" s="11"/>
      <c r="C402" s="36"/>
      <c r="D402" s="10"/>
      <c r="E402" s="10"/>
      <c r="F402" s="88"/>
      <c r="G402" s="88"/>
      <c r="H402" s="88"/>
      <c r="I402" s="99"/>
      <c r="J402" s="63"/>
      <c r="K402" s="21"/>
      <c r="L402" s="21"/>
      <c r="M402" s="21"/>
      <c r="N402" s="21"/>
      <c r="O402" s="21"/>
      <c r="P402" s="21"/>
      <c r="Q402" s="21"/>
      <c r="R402" s="21"/>
      <c r="S402" s="21"/>
      <c r="T402" s="63"/>
      <c r="U402" s="94"/>
      <c r="V402" s="90"/>
      <c r="W402" s="91"/>
      <c r="X402" s="92"/>
      <c r="Y402" s="2"/>
      <c r="Z402" s="2"/>
      <c r="AA402" s="2"/>
      <c r="AB402" s="2"/>
      <c r="AC402" s="2"/>
    </row>
    <row r="403" spans="1:31">
      <c r="A403" s="2"/>
      <c r="B403" s="100" t="s">
        <v>67</v>
      </c>
      <c r="C403" s="36"/>
      <c r="D403" s="10"/>
      <c r="E403" s="10"/>
      <c r="F403" s="88"/>
      <c r="G403" s="62"/>
      <c r="H403" s="88"/>
      <c r="I403" s="99"/>
      <c r="J403" s="63"/>
      <c r="K403" s="2"/>
      <c r="L403" s="2"/>
      <c r="M403" s="2"/>
      <c r="N403" s="2"/>
      <c r="O403" s="2"/>
      <c r="P403" s="2"/>
      <c r="Q403" s="2"/>
      <c r="R403" s="2"/>
      <c r="S403" s="2"/>
      <c r="T403" s="63"/>
      <c r="U403" s="94"/>
      <c r="V403" s="90"/>
      <c r="W403" s="91"/>
      <c r="X403" s="92"/>
      <c r="Y403" s="2"/>
      <c r="Z403" s="2"/>
      <c r="AA403" s="2"/>
      <c r="AB403" s="2"/>
      <c r="AC403" s="2"/>
    </row>
    <row r="404" spans="1:31" s="381" customFormat="1">
      <c r="A404" s="371" t="s">
        <v>3297</v>
      </c>
      <c r="B404" s="372">
        <v>1</v>
      </c>
      <c r="C404" s="390">
        <v>45756</v>
      </c>
      <c r="D404" s="357">
        <v>629082</v>
      </c>
      <c r="E404" s="391" t="s">
        <v>3160</v>
      </c>
      <c r="F404" s="375">
        <v>1461</v>
      </c>
      <c r="G404" s="375"/>
      <c r="H404" s="375"/>
      <c r="I404" s="376">
        <f>F404-G404-H404</f>
        <v>1461</v>
      </c>
      <c r="J404" s="314" t="s">
        <v>156</v>
      </c>
      <c r="K404" s="314">
        <v>1</v>
      </c>
      <c r="L404" s="314">
        <v>1</v>
      </c>
      <c r="M404" s="314">
        <v>1</v>
      </c>
      <c r="N404" s="314">
        <v>1</v>
      </c>
      <c r="O404" s="314">
        <v>1</v>
      </c>
      <c r="P404" s="314">
        <v>1</v>
      </c>
      <c r="Q404" s="314">
        <v>1</v>
      </c>
      <c r="R404" s="314">
        <v>1</v>
      </c>
      <c r="S404" s="366">
        <v>1</v>
      </c>
      <c r="T404" s="325"/>
      <c r="U404" s="430"/>
      <c r="V404" s="377"/>
      <c r="W404" s="392"/>
      <c r="X404" s="379"/>
      <c r="Y404" s="380"/>
      <c r="Z404" s="380"/>
      <c r="AA404" s="380"/>
      <c r="AB404" s="380"/>
      <c r="AC404" s="380"/>
      <c r="AD404" s="380"/>
      <c r="AE404" s="380"/>
    </row>
    <row r="405" spans="1:31">
      <c r="A405" s="371" t="s">
        <v>3298</v>
      </c>
      <c r="B405" s="372">
        <f>B404+1</f>
        <v>2</v>
      </c>
      <c r="C405" s="390">
        <v>45859</v>
      </c>
      <c r="D405" s="357">
        <v>71574</v>
      </c>
      <c r="E405" s="391" t="s">
        <v>327</v>
      </c>
      <c r="F405" s="375">
        <v>1461</v>
      </c>
      <c r="G405" s="375">
        <v>39.700000000000003</v>
      </c>
      <c r="H405" s="375"/>
      <c r="I405" s="376">
        <f>F405-G405-H405</f>
        <v>1421.3</v>
      </c>
      <c r="J405" s="314" t="s">
        <v>156</v>
      </c>
      <c r="K405" s="314">
        <v>1</v>
      </c>
      <c r="L405" s="314"/>
      <c r="M405" s="314">
        <v>1</v>
      </c>
      <c r="N405" s="314">
        <v>1</v>
      </c>
      <c r="O405" s="314">
        <v>1</v>
      </c>
      <c r="P405" s="314">
        <v>1</v>
      </c>
      <c r="Q405" s="314"/>
      <c r="R405" s="314"/>
      <c r="S405" s="366"/>
      <c r="T405" s="325"/>
      <c r="U405" s="430" t="s">
        <v>3237</v>
      </c>
      <c r="V405" s="377"/>
      <c r="W405" s="392"/>
      <c r="X405" s="379"/>
      <c r="Y405" s="380"/>
      <c r="Z405" s="380"/>
      <c r="AA405" s="380"/>
      <c r="AB405" s="380"/>
      <c r="AC405" s="380"/>
      <c r="AD405" s="380"/>
      <c r="AE405" s="380"/>
    </row>
    <row r="406" spans="1:31">
      <c r="A406" s="2"/>
      <c r="B406" s="11"/>
      <c r="C406" s="36"/>
      <c r="D406" s="10"/>
      <c r="E406" s="10"/>
      <c r="F406" s="97">
        <f>SUM(F404:F405)</f>
        <v>2922</v>
      </c>
      <c r="G406" s="97">
        <f>SUM(G404:G405)</f>
        <v>39.700000000000003</v>
      </c>
      <c r="H406" s="97">
        <f>SUM(H404:H405)</f>
        <v>0</v>
      </c>
      <c r="I406" s="98">
        <f>SUM(I404:I405)</f>
        <v>2882.3</v>
      </c>
      <c r="J406" s="63"/>
      <c r="K406" s="21"/>
      <c r="L406" s="21"/>
      <c r="M406" s="21"/>
      <c r="N406" s="21"/>
      <c r="O406" s="21"/>
      <c r="P406" s="21"/>
      <c r="Q406" s="21"/>
      <c r="R406" s="21"/>
      <c r="S406" s="21"/>
      <c r="T406" s="63"/>
      <c r="U406" s="94"/>
      <c r="V406" s="90"/>
      <c r="W406" s="91"/>
      <c r="X406" s="92"/>
      <c r="Y406" s="2"/>
      <c r="Z406" s="2"/>
      <c r="AA406" s="2"/>
      <c r="AB406" s="2"/>
      <c r="AC406" s="2"/>
    </row>
    <row r="407" spans="1:31">
      <c r="A407" s="2"/>
      <c r="B407" s="11"/>
      <c r="C407" s="36"/>
      <c r="D407" s="10"/>
      <c r="E407" s="10"/>
      <c r="F407" s="88"/>
      <c r="G407" s="88"/>
      <c r="H407" s="88"/>
      <c r="I407" s="99"/>
      <c r="J407" s="63"/>
      <c r="K407" s="21"/>
      <c r="L407" s="21"/>
      <c r="M407" s="21"/>
      <c r="N407" s="21"/>
      <c r="O407" s="21"/>
      <c r="P407" s="21"/>
      <c r="Q407" s="21"/>
      <c r="R407" s="21"/>
      <c r="S407" s="21"/>
      <c r="T407" s="63"/>
      <c r="U407" s="94"/>
      <c r="V407" s="90"/>
      <c r="W407" s="91"/>
      <c r="X407" s="92"/>
      <c r="Y407" s="2"/>
      <c r="Z407" s="2"/>
      <c r="AA407" s="2"/>
      <c r="AB407" s="2"/>
      <c r="AC407" s="2"/>
    </row>
    <row r="408" spans="1:31">
      <c r="A408" s="128"/>
      <c r="B408" s="121" t="s">
        <v>70</v>
      </c>
      <c r="C408" s="122"/>
      <c r="D408" s="123"/>
      <c r="E408" s="128"/>
      <c r="F408" s="124"/>
      <c r="G408" s="124"/>
      <c r="H408" s="124"/>
      <c r="I408" s="126"/>
      <c r="J408" s="127"/>
      <c r="K408" s="64"/>
      <c r="L408" s="64"/>
      <c r="M408" s="64"/>
      <c r="N408" s="64"/>
      <c r="O408" s="64"/>
      <c r="P408" s="64"/>
      <c r="Q408" s="64"/>
      <c r="R408" s="64"/>
      <c r="S408" s="64"/>
      <c r="T408" s="127"/>
      <c r="U408" s="135"/>
      <c r="V408" s="129"/>
      <c r="W408" s="130"/>
      <c r="X408" s="131"/>
      <c r="Y408" s="128"/>
      <c r="Z408" s="128"/>
      <c r="AA408" s="128"/>
      <c r="AB408" s="128"/>
      <c r="AC408" s="128"/>
    </row>
    <row r="409" spans="1:31" s="342" customFormat="1">
      <c r="A409" s="356">
        <v>0.1</v>
      </c>
      <c r="B409" s="333">
        <v>1</v>
      </c>
      <c r="C409" s="334">
        <v>45875</v>
      </c>
      <c r="D409" s="327">
        <v>72080</v>
      </c>
      <c r="E409" s="335" t="s">
        <v>187</v>
      </c>
      <c r="F409" s="336">
        <v>16814</v>
      </c>
      <c r="G409" s="336">
        <f>39.7+(57.87)+(1049.15)+1500</f>
        <v>2646.7200000000003</v>
      </c>
      <c r="H409" s="336"/>
      <c r="I409" s="337">
        <f t="shared" ref="I409" si="91">F409-G409-H409</f>
        <v>14167.279999999999</v>
      </c>
      <c r="J409" s="338" t="s">
        <v>156</v>
      </c>
      <c r="K409" s="338">
        <v>1</v>
      </c>
      <c r="L409" s="338"/>
      <c r="M409" s="338">
        <v>1</v>
      </c>
      <c r="N409" s="338">
        <v>1</v>
      </c>
      <c r="O409" s="338">
        <v>1</v>
      </c>
      <c r="P409" s="338">
        <v>1</v>
      </c>
      <c r="Q409" s="338"/>
      <c r="R409" s="338"/>
      <c r="S409" s="339"/>
      <c r="T409" s="127"/>
      <c r="U409" s="135" t="s">
        <v>3299</v>
      </c>
      <c r="V409" s="129">
        <f>1849.54+1645.86+3000+3000+2500</f>
        <v>11995.4</v>
      </c>
      <c r="W409" s="340"/>
      <c r="X409" s="341"/>
      <c r="Y409" s="128"/>
      <c r="Z409" s="128"/>
      <c r="AA409" s="128"/>
      <c r="AB409" s="128"/>
      <c r="AC409" s="128"/>
    </row>
    <row r="410" spans="1:31" s="342" customFormat="1">
      <c r="A410" s="356">
        <v>0.1</v>
      </c>
      <c r="B410" s="333">
        <f t="shared" ref="B410:B412" si="92">B409+1</f>
        <v>2</v>
      </c>
      <c r="C410" s="395">
        <v>45875</v>
      </c>
      <c r="D410" s="368">
        <v>72048</v>
      </c>
      <c r="E410" s="396" t="s">
        <v>1225</v>
      </c>
      <c r="F410" s="397">
        <v>4939</v>
      </c>
      <c r="G410" s="397">
        <f>39.7+(24)+(202.65)+250</f>
        <v>516.35</v>
      </c>
      <c r="H410" s="397"/>
      <c r="I410" s="398">
        <f>F410-G410-H410</f>
        <v>4422.6499999999996</v>
      </c>
      <c r="J410" s="399" t="s">
        <v>156</v>
      </c>
      <c r="K410" s="399">
        <v>1</v>
      </c>
      <c r="L410" s="399"/>
      <c r="M410" s="399">
        <v>1</v>
      </c>
      <c r="N410" s="399">
        <v>1</v>
      </c>
      <c r="O410" s="399">
        <v>1</v>
      </c>
      <c r="P410" s="332">
        <v>0</v>
      </c>
      <c r="Q410" s="399"/>
      <c r="R410" s="399"/>
      <c r="S410" s="400"/>
      <c r="T410" s="127"/>
      <c r="U410" s="135" t="s">
        <v>3300</v>
      </c>
      <c r="V410" s="129">
        <f>543.29+1800</f>
        <v>2343.29</v>
      </c>
      <c r="W410" s="340"/>
      <c r="X410" s="341"/>
      <c r="Y410" s="128"/>
      <c r="Z410" s="128"/>
      <c r="AA410" s="128"/>
      <c r="AB410" s="128"/>
      <c r="AC410" s="128"/>
    </row>
    <row r="411" spans="1:31">
      <c r="A411" s="2"/>
      <c r="B411" s="467">
        <f t="shared" si="92"/>
        <v>3</v>
      </c>
      <c r="C411" s="546">
        <v>45875</v>
      </c>
      <c r="D411" s="563">
        <v>72103</v>
      </c>
      <c r="E411" s="547" t="s">
        <v>1225</v>
      </c>
      <c r="F411" s="548">
        <v>16214</v>
      </c>
      <c r="G411" s="548">
        <f>39.7+47.8+35.2+(28.76+58.11+253)+(80.3+274.27+187.3+48.4+89.21+33.56)+1500</f>
        <v>2675.6099999999997</v>
      </c>
      <c r="H411" s="548"/>
      <c r="I411" s="369">
        <f>F411-G411-H411</f>
        <v>13538.39</v>
      </c>
      <c r="J411" s="474" t="s">
        <v>228</v>
      </c>
      <c r="K411" s="474">
        <v>1</v>
      </c>
      <c r="L411" s="474"/>
      <c r="M411" s="474">
        <v>1</v>
      </c>
      <c r="N411" s="474">
        <v>1</v>
      </c>
      <c r="O411" s="474">
        <v>1</v>
      </c>
      <c r="P411" s="474">
        <v>1</v>
      </c>
      <c r="Q411" s="474"/>
      <c r="R411" s="474"/>
      <c r="S411" s="549"/>
      <c r="T411" s="474"/>
      <c r="U411" s="475" t="s">
        <v>3301</v>
      </c>
      <c r="V411" s="476">
        <f>1783.54+2000</f>
        <v>3783.54</v>
      </c>
      <c r="W411" s="465"/>
      <c r="X411" s="483"/>
      <c r="Y411" s="2"/>
      <c r="Z411" s="2"/>
      <c r="AA411" s="2"/>
      <c r="AB411" s="2"/>
      <c r="AC411" s="2"/>
    </row>
    <row r="412" spans="1:31">
      <c r="A412" s="2"/>
      <c r="B412" s="467">
        <f t="shared" si="92"/>
        <v>4</v>
      </c>
      <c r="C412" s="478">
        <v>45876</v>
      </c>
      <c r="D412" s="527">
        <v>72109</v>
      </c>
      <c r="E412" s="521" t="s">
        <v>3302</v>
      </c>
      <c r="F412" s="480">
        <f>7837.6-85</f>
        <v>7752.6</v>
      </c>
      <c r="G412" s="480">
        <f>39.7+(4.29+39.44+1444.51-11.37+1419)+750</f>
        <v>3685.5699999999997</v>
      </c>
      <c r="H412" s="480"/>
      <c r="I412" s="376">
        <f>F412-G412-H412</f>
        <v>4067.0300000000007</v>
      </c>
      <c r="J412" s="481" t="s">
        <v>228</v>
      </c>
      <c r="K412" s="481">
        <v>1</v>
      </c>
      <c r="L412" s="481"/>
      <c r="M412" s="481">
        <v>1</v>
      </c>
      <c r="N412" s="481">
        <v>1</v>
      </c>
      <c r="O412" s="481">
        <v>1</v>
      </c>
      <c r="P412" s="481">
        <v>1</v>
      </c>
      <c r="Q412" s="481"/>
      <c r="R412" s="481"/>
      <c r="S412" s="482"/>
      <c r="T412" s="474"/>
      <c r="U412" s="475" t="s">
        <v>3303</v>
      </c>
      <c r="V412" s="476">
        <f>93.5+783.76+6881.96</f>
        <v>7759.22</v>
      </c>
      <c r="W412" s="465"/>
      <c r="X412" s="483"/>
      <c r="Y412" s="2"/>
      <c r="Z412" s="2"/>
      <c r="AA412" s="2"/>
      <c r="AB412" s="2"/>
      <c r="AC412" s="2"/>
    </row>
    <row r="413" spans="1:31">
      <c r="A413" s="128"/>
      <c r="B413" s="132"/>
      <c r="C413" s="122"/>
      <c r="D413" s="123"/>
      <c r="E413" s="123"/>
      <c r="F413" s="134">
        <f>SUM(F409:F412)</f>
        <v>45719.6</v>
      </c>
      <c r="G413" s="134">
        <f>SUM(G409:G412)</f>
        <v>9524.25</v>
      </c>
      <c r="H413" s="134">
        <f>SUM(H409:H412)</f>
        <v>0</v>
      </c>
      <c r="I413" s="134">
        <f>SUM(I409:I412)</f>
        <v>36195.35</v>
      </c>
      <c r="J413" s="127"/>
      <c r="K413" s="64"/>
      <c r="L413" s="64"/>
      <c r="M413" s="64"/>
      <c r="N413" s="64"/>
      <c r="O413" s="64"/>
      <c r="P413" s="64"/>
      <c r="Q413" s="64"/>
      <c r="R413" s="64"/>
      <c r="S413" s="64"/>
      <c r="T413" s="127"/>
      <c r="U413" s="135"/>
      <c r="V413" s="129"/>
      <c r="W413" s="130"/>
      <c r="X413" s="131"/>
      <c r="Y413" s="128"/>
      <c r="Z413" s="128"/>
      <c r="AA413" s="128"/>
      <c r="AB413" s="128"/>
      <c r="AC413" s="128"/>
    </row>
    <row r="414" spans="1:31">
      <c r="A414" s="2"/>
      <c r="B414" s="11"/>
      <c r="C414" s="36"/>
      <c r="D414" s="10"/>
      <c r="E414" s="10"/>
      <c r="F414" s="88"/>
      <c r="G414" s="88"/>
      <c r="H414" s="88"/>
      <c r="I414" s="99"/>
      <c r="J414" s="63"/>
      <c r="K414" s="21"/>
      <c r="L414" s="21"/>
      <c r="M414" s="21"/>
      <c r="N414" s="21"/>
      <c r="O414" s="21"/>
      <c r="P414" s="21"/>
      <c r="Q414" s="21"/>
      <c r="R414" s="21"/>
      <c r="S414" s="21"/>
      <c r="T414" s="63"/>
      <c r="U414" s="94"/>
      <c r="V414" s="90"/>
      <c r="W414" s="91"/>
      <c r="X414" s="92"/>
      <c r="Y414" s="2"/>
      <c r="Z414" s="2"/>
      <c r="AA414" s="2"/>
      <c r="AB414" s="2"/>
      <c r="AC414" s="2"/>
    </row>
    <row r="415" spans="1:31" s="181" customFormat="1">
      <c r="B415" s="100" t="s">
        <v>152</v>
      </c>
      <c r="C415" s="270"/>
      <c r="D415" s="77"/>
      <c r="E415" s="10"/>
      <c r="F415" s="88"/>
      <c r="G415" s="62"/>
      <c r="H415" s="88"/>
      <c r="I415" s="99"/>
      <c r="J415" s="63"/>
      <c r="K415" s="63"/>
      <c r="L415" s="63"/>
      <c r="M415" s="63"/>
      <c r="N415" s="63"/>
      <c r="O415" s="63"/>
      <c r="P415" s="63"/>
      <c r="Q415" s="63"/>
      <c r="R415" s="63"/>
      <c r="S415" s="63"/>
      <c r="T415" s="63"/>
      <c r="U415" s="94"/>
      <c r="V415" s="90"/>
      <c r="W415" s="91"/>
      <c r="X415" s="92"/>
    </row>
    <row r="416" spans="1:31" s="181" customFormat="1">
      <c r="A416" s="261">
        <v>0.1</v>
      </c>
      <c r="B416" s="87">
        <f>B404+1</f>
        <v>2</v>
      </c>
      <c r="C416" s="420">
        <v>45799</v>
      </c>
      <c r="D416" s="320" t="s">
        <v>3157</v>
      </c>
      <c r="E416" s="281" t="s">
        <v>3158</v>
      </c>
      <c r="F416" s="277">
        <v>481</v>
      </c>
      <c r="G416" s="277"/>
      <c r="H416" s="277"/>
      <c r="I416" s="321">
        <f>F416-G416-H416</f>
        <v>481</v>
      </c>
      <c r="J416" s="279" t="s">
        <v>156</v>
      </c>
      <c r="K416" s="279">
        <v>1</v>
      </c>
      <c r="L416" s="279">
        <v>1</v>
      </c>
      <c r="M416" s="279">
        <v>1</v>
      </c>
      <c r="N416" s="279">
        <v>1</v>
      </c>
      <c r="O416" s="279">
        <v>1</v>
      </c>
      <c r="P416" s="322">
        <v>0</v>
      </c>
      <c r="Q416" s="322">
        <v>0</v>
      </c>
      <c r="R416" s="322">
        <v>0</v>
      </c>
      <c r="S416" s="328">
        <v>0</v>
      </c>
      <c r="T416" s="63"/>
      <c r="U416" s="94"/>
      <c r="V416" s="90"/>
      <c r="W416" s="91"/>
      <c r="X416" s="92"/>
    </row>
    <row r="417" spans="1:31" s="181" customFormat="1">
      <c r="A417" s="261">
        <v>0.1</v>
      </c>
      <c r="B417" s="87">
        <f t="shared" ref="B417" si="93">B416+1</f>
        <v>3</v>
      </c>
      <c r="C417" s="433">
        <v>45799</v>
      </c>
      <c r="D417" s="357" t="s">
        <v>3165</v>
      </c>
      <c r="E417" s="264" t="s">
        <v>3158</v>
      </c>
      <c r="F417" s="265">
        <v>5785.94</v>
      </c>
      <c r="G417" s="265">
        <f>214.82*1.1+300</f>
        <v>536.30200000000002</v>
      </c>
      <c r="H417" s="265"/>
      <c r="I417" s="266">
        <f t="shared" ref="I417:I418" si="94">F417-G417-H417</f>
        <v>5249.6379999999999</v>
      </c>
      <c r="J417" s="267"/>
      <c r="K417" s="267">
        <v>1</v>
      </c>
      <c r="L417" s="267"/>
      <c r="M417" s="267"/>
      <c r="N417" s="267">
        <v>1</v>
      </c>
      <c r="O417" s="267">
        <v>1</v>
      </c>
      <c r="P417" s="314">
        <v>0</v>
      </c>
      <c r="Q417" s="314">
        <v>0</v>
      </c>
      <c r="R417" s="314">
        <v>0</v>
      </c>
      <c r="S417" s="366">
        <v>0</v>
      </c>
      <c r="T417" s="63"/>
      <c r="U417" s="94" t="s">
        <v>3166</v>
      </c>
      <c r="V417" s="90"/>
      <c r="W417" s="136"/>
      <c r="X417" s="137"/>
    </row>
    <row r="418" spans="1:31" s="181" customFormat="1">
      <c r="A418" s="261">
        <v>0.1</v>
      </c>
      <c r="B418" s="87">
        <f>B417+1</f>
        <v>4</v>
      </c>
      <c r="C418" s="433">
        <v>45818</v>
      </c>
      <c r="D418" s="357">
        <v>701386</v>
      </c>
      <c r="E418" s="264" t="s">
        <v>3159</v>
      </c>
      <c r="F418" s="265">
        <f>3046-185</f>
        <v>2861</v>
      </c>
      <c r="G418" s="265">
        <f>+(64.82)</f>
        <v>64.819999999999993</v>
      </c>
      <c r="H418" s="265"/>
      <c r="I418" s="272">
        <f t="shared" si="94"/>
        <v>2796.18</v>
      </c>
      <c r="J418" s="267" t="s">
        <v>156</v>
      </c>
      <c r="K418" s="267">
        <v>1</v>
      </c>
      <c r="L418" s="267">
        <v>1</v>
      </c>
      <c r="M418" s="267">
        <v>1</v>
      </c>
      <c r="N418" s="267">
        <v>1</v>
      </c>
      <c r="O418" s="267">
        <v>1</v>
      </c>
      <c r="P418" s="267">
        <v>1</v>
      </c>
      <c r="Q418" s="267">
        <v>1</v>
      </c>
      <c r="R418" s="267">
        <v>1</v>
      </c>
      <c r="S418" s="269">
        <v>1</v>
      </c>
      <c r="T418" s="63"/>
      <c r="U418" s="94"/>
      <c r="V418" s="90"/>
      <c r="W418" s="91"/>
      <c r="X418" s="92"/>
    </row>
    <row r="419" spans="1:31" s="260" customFormat="1">
      <c r="A419" s="261">
        <v>0.1</v>
      </c>
      <c r="B419" s="87">
        <f>B405+1</f>
        <v>3</v>
      </c>
      <c r="C419" s="262">
        <v>45861</v>
      </c>
      <c r="D419" s="263">
        <v>71688</v>
      </c>
      <c r="E419" s="271" t="s">
        <v>604</v>
      </c>
      <c r="F419" s="265">
        <v>581</v>
      </c>
      <c r="G419" s="265"/>
      <c r="H419" s="265"/>
      <c r="I419" s="272">
        <f>F419-G419-H419</f>
        <v>581</v>
      </c>
      <c r="J419" s="267" t="s">
        <v>156</v>
      </c>
      <c r="K419" s="267">
        <v>1</v>
      </c>
      <c r="L419" s="267">
        <v>1</v>
      </c>
      <c r="M419" s="267">
        <v>1</v>
      </c>
      <c r="N419" s="267">
        <v>1</v>
      </c>
      <c r="O419" s="267">
        <v>1</v>
      </c>
      <c r="P419" s="267">
        <v>1</v>
      </c>
      <c r="Q419" s="267">
        <v>1</v>
      </c>
      <c r="R419" s="267">
        <v>1</v>
      </c>
      <c r="S419" s="269">
        <v>1</v>
      </c>
      <c r="T419" s="63"/>
      <c r="U419" s="94"/>
      <c r="V419" s="90"/>
      <c r="W419" s="136"/>
      <c r="X419" s="137"/>
      <c r="Y419" s="181"/>
      <c r="Z419" s="181"/>
      <c r="AA419" s="181"/>
      <c r="AB419" s="181"/>
      <c r="AC419" s="181"/>
    </row>
    <row r="420" spans="1:31" s="181" customFormat="1">
      <c r="B420" s="11"/>
      <c r="C420" s="270"/>
      <c r="D420" s="77"/>
      <c r="E420" s="10"/>
      <c r="F420" s="98">
        <f>SUM(F416:F419)</f>
        <v>9708.9399999999987</v>
      </c>
      <c r="G420" s="98">
        <f t="shared" ref="G420:I420" si="95">SUM(G416:G419)</f>
        <v>601.12200000000007</v>
      </c>
      <c r="H420" s="98">
        <f t="shared" si="95"/>
        <v>0</v>
      </c>
      <c r="I420" s="98">
        <f t="shared" si="95"/>
        <v>9107.8179999999993</v>
      </c>
      <c r="J420" s="63"/>
      <c r="K420" s="21"/>
      <c r="L420" s="21"/>
      <c r="M420" s="21"/>
      <c r="N420" s="21"/>
      <c r="O420" s="21"/>
      <c r="P420" s="21"/>
      <c r="Q420" s="21"/>
      <c r="R420" s="21"/>
      <c r="S420" s="21"/>
      <c r="T420" s="63"/>
      <c r="U420" s="94"/>
      <c r="V420" s="90"/>
      <c r="W420" s="91"/>
      <c r="X420" s="92"/>
    </row>
    <row r="421" spans="1:31" s="181" customFormat="1">
      <c r="B421" s="11"/>
      <c r="C421" s="270"/>
      <c r="D421" s="77"/>
      <c r="E421" s="10"/>
      <c r="F421" s="88"/>
      <c r="G421" s="88"/>
      <c r="H421" s="88"/>
      <c r="I421" s="99"/>
      <c r="J421" s="63"/>
      <c r="K421" s="21"/>
      <c r="L421" s="21"/>
      <c r="M421" s="21"/>
      <c r="N421" s="21"/>
      <c r="O421" s="21"/>
      <c r="P421" s="21"/>
      <c r="Q421" s="21"/>
      <c r="R421" s="21"/>
      <c r="S421" s="21"/>
      <c r="T421" s="63"/>
      <c r="U421" s="94"/>
      <c r="V421" s="90"/>
      <c r="W421" s="91"/>
      <c r="X421" s="92"/>
    </row>
    <row r="422" spans="1:31" s="181" customFormat="1">
      <c r="A422" s="434"/>
      <c r="B422" s="100" t="s">
        <v>1521</v>
      </c>
      <c r="C422" s="435"/>
      <c r="D422" s="63"/>
      <c r="E422" s="260"/>
      <c r="F422" s="88"/>
      <c r="G422" s="88"/>
      <c r="H422" s="88"/>
      <c r="I422" s="99"/>
      <c r="J422" s="63"/>
      <c r="K422" s="21"/>
      <c r="L422" s="21"/>
      <c r="M422" s="21"/>
      <c r="N422" s="21"/>
      <c r="O422" s="21"/>
      <c r="P422" s="21"/>
      <c r="Q422" s="21"/>
      <c r="R422" s="21"/>
      <c r="S422" s="21"/>
      <c r="T422" s="63"/>
      <c r="U422" s="94"/>
      <c r="V422" s="138"/>
      <c r="W422" s="136"/>
      <c r="X422" s="92"/>
      <c r="Y422" s="260"/>
    </row>
    <row r="423" spans="1:31" s="181" customFormat="1">
      <c r="A423" s="261">
        <v>0.1</v>
      </c>
      <c r="B423" s="87">
        <v>1</v>
      </c>
      <c r="C423" s="433">
        <v>45827</v>
      </c>
      <c r="D423" s="357">
        <v>701730</v>
      </c>
      <c r="E423" s="271" t="s">
        <v>3169</v>
      </c>
      <c r="F423" s="265">
        <f>2946-85</f>
        <v>2861</v>
      </c>
      <c r="G423" s="265"/>
      <c r="H423" s="265"/>
      <c r="I423" s="266">
        <f t="shared" ref="I423:I425" si="96">F423-G423-H423</f>
        <v>2861</v>
      </c>
      <c r="J423" s="267" t="s">
        <v>156</v>
      </c>
      <c r="K423" s="267">
        <v>1</v>
      </c>
      <c r="L423" s="267"/>
      <c r="M423" s="267">
        <v>1</v>
      </c>
      <c r="N423" s="267">
        <v>1</v>
      </c>
      <c r="O423" s="267">
        <v>1</v>
      </c>
      <c r="P423" s="314">
        <v>0</v>
      </c>
      <c r="Q423" s="267"/>
      <c r="R423" s="267"/>
      <c r="S423" s="269"/>
      <c r="T423" s="63"/>
      <c r="U423" s="94" t="s">
        <v>3170</v>
      </c>
      <c r="V423" s="90"/>
      <c r="W423" s="136"/>
      <c r="X423" s="137"/>
    </row>
    <row r="424" spans="1:31" s="181" customFormat="1">
      <c r="A424" s="181" t="s">
        <v>683</v>
      </c>
      <c r="B424" s="87">
        <f>B423+1</f>
        <v>2</v>
      </c>
      <c r="C424" s="420">
        <v>45831</v>
      </c>
      <c r="D424" s="320">
        <v>701437</v>
      </c>
      <c r="E424" s="276" t="s">
        <v>3155</v>
      </c>
      <c r="F424" s="277">
        <v>8520.27</v>
      </c>
      <c r="G424" s="277">
        <f>234.27*1.1+72*1.1</f>
        <v>336.89700000000005</v>
      </c>
      <c r="H424" s="277"/>
      <c r="I424" s="278">
        <f t="shared" si="96"/>
        <v>8183.3730000000005</v>
      </c>
      <c r="J424" s="279" t="s">
        <v>156</v>
      </c>
      <c r="K424" s="279">
        <v>1</v>
      </c>
      <c r="L424" s="279"/>
      <c r="M424" s="279">
        <v>1</v>
      </c>
      <c r="N424" s="279">
        <v>1</v>
      </c>
      <c r="O424" s="279">
        <v>1</v>
      </c>
      <c r="P424" s="279">
        <v>1</v>
      </c>
      <c r="Q424" s="279"/>
      <c r="R424" s="279"/>
      <c r="S424" s="280"/>
      <c r="T424" s="63"/>
      <c r="U424" s="94" t="s">
        <v>3156</v>
      </c>
      <c r="V424" s="90"/>
      <c r="W424" s="136"/>
      <c r="X424" s="137"/>
    </row>
    <row r="425" spans="1:31" s="260" customFormat="1">
      <c r="A425" s="261">
        <v>0.1</v>
      </c>
      <c r="B425" s="87">
        <f>B424+1</f>
        <v>3</v>
      </c>
      <c r="C425" s="274">
        <v>45856</v>
      </c>
      <c r="D425" s="327" t="s">
        <v>3204</v>
      </c>
      <c r="E425" s="276" t="s">
        <v>1530</v>
      </c>
      <c r="F425" s="277">
        <v>6218</v>
      </c>
      <c r="G425" s="277">
        <f>39.7+(1145.59)+250</f>
        <v>1435.29</v>
      </c>
      <c r="H425" s="297"/>
      <c r="I425" s="278">
        <f t="shared" si="96"/>
        <v>4782.71</v>
      </c>
      <c r="J425" s="279" t="s">
        <v>156</v>
      </c>
      <c r="K425" s="279">
        <v>1</v>
      </c>
      <c r="L425" s="279"/>
      <c r="M425" s="279">
        <v>1</v>
      </c>
      <c r="N425" s="279">
        <v>1</v>
      </c>
      <c r="O425" s="279">
        <v>1</v>
      </c>
      <c r="P425" s="279">
        <v>1</v>
      </c>
      <c r="Q425" s="279"/>
      <c r="R425" s="279"/>
      <c r="S425" s="280"/>
      <c r="T425" s="63"/>
      <c r="U425" s="94" t="s">
        <v>3304</v>
      </c>
      <c r="V425" s="90"/>
      <c r="W425" s="136"/>
      <c r="X425" s="137"/>
      <c r="Y425" s="181"/>
      <c r="Z425" s="181"/>
      <c r="AA425" s="181"/>
      <c r="AB425" s="181"/>
      <c r="AC425" s="181"/>
    </row>
    <row r="426" spans="1:31" s="342" customFormat="1">
      <c r="A426" s="261">
        <v>0.1</v>
      </c>
      <c r="B426" s="87">
        <f>B425+1</f>
        <v>4</v>
      </c>
      <c r="C426" s="262">
        <v>45868</v>
      </c>
      <c r="D426" s="263" t="s">
        <v>3269</v>
      </c>
      <c r="E426" s="271" t="s">
        <v>1076</v>
      </c>
      <c r="F426" s="265">
        <v>6133</v>
      </c>
      <c r="G426" s="265">
        <f>39.7+250</f>
        <v>289.7</v>
      </c>
      <c r="H426" s="265"/>
      <c r="I426" s="272">
        <f>F426-G426-H426</f>
        <v>5843.3</v>
      </c>
      <c r="J426" s="267" t="s">
        <v>156</v>
      </c>
      <c r="K426" s="267">
        <v>1</v>
      </c>
      <c r="L426" s="267"/>
      <c r="M426" s="267">
        <v>1</v>
      </c>
      <c r="N426" s="267">
        <v>1</v>
      </c>
      <c r="O426" s="267">
        <v>1</v>
      </c>
      <c r="P426" s="267">
        <v>1</v>
      </c>
      <c r="Q426" s="267"/>
      <c r="R426" s="267"/>
      <c r="S426" s="269"/>
      <c r="T426" s="63"/>
      <c r="U426" s="94"/>
      <c r="V426" s="90"/>
      <c r="W426" s="136"/>
      <c r="X426" s="137"/>
      <c r="Y426" s="181"/>
      <c r="Z426" s="181"/>
      <c r="AA426" s="181"/>
      <c r="AB426" s="181"/>
      <c r="AC426" s="181"/>
      <c r="AD426" s="260"/>
      <c r="AE426" s="260"/>
    </row>
    <row r="427" spans="1:31" s="181" customFormat="1">
      <c r="A427" s="434"/>
      <c r="B427" s="11"/>
      <c r="C427" s="435"/>
      <c r="D427" s="63"/>
      <c r="E427" s="10"/>
      <c r="F427" s="98">
        <f>SUM(F423:F426)</f>
        <v>23732.27</v>
      </c>
      <c r="G427" s="98">
        <f>SUM(G423:G426)</f>
        <v>2061.8869999999997</v>
      </c>
      <c r="H427" s="98">
        <f>SUM(H423:H426)</f>
        <v>0</v>
      </c>
      <c r="I427" s="98">
        <f>SUM(I423:I426)</f>
        <v>21670.382999999998</v>
      </c>
      <c r="J427" s="63"/>
      <c r="K427" s="21"/>
      <c r="L427" s="21"/>
      <c r="M427" s="21"/>
      <c r="N427" s="21"/>
      <c r="O427" s="21"/>
      <c r="P427" s="21"/>
      <c r="Q427" s="21"/>
      <c r="R427" s="21"/>
      <c r="S427" s="21"/>
      <c r="T427" s="63"/>
      <c r="U427" s="94"/>
      <c r="V427" s="138"/>
      <c r="W427" s="136"/>
      <c r="X427" s="92"/>
      <c r="Y427" s="260"/>
    </row>
    <row r="428" spans="1:31" s="181" customFormat="1">
      <c r="A428" s="434"/>
      <c r="B428" s="11"/>
      <c r="C428" s="435"/>
      <c r="D428" s="63"/>
      <c r="E428" s="10"/>
      <c r="F428" s="99"/>
      <c r="G428" s="99"/>
      <c r="H428" s="99"/>
      <c r="I428" s="99"/>
      <c r="J428" s="63"/>
      <c r="K428" s="21"/>
      <c r="L428" s="21"/>
      <c r="M428" s="21"/>
      <c r="N428" s="21"/>
      <c r="O428" s="21"/>
      <c r="P428" s="21"/>
      <c r="Q428" s="21"/>
      <c r="R428" s="21"/>
      <c r="S428" s="21"/>
      <c r="T428" s="63"/>
      <c r="U428" s="94"/>
      <c r="V428" s="138"/>
      <c r="W428" s="136"/>
      <c r="X428" s="92"/>
      <c r="Y428" s="260"/>
    </row>
    <row r="429" spans="1:31">
      <c r="A429" s="2"/>
      <c r="B429" s="100" t="s">
        <v>72</v>
      </c>
      <c r="C429" s="36"/>
      <c r="D429" s="10"/>
      <c r="E429" s="10"/>
      <c r="F429" s="88"/>
      <c r="G429" s="88"/>
      <c r="H429" s="88"/>
      <c r="I429" s="99"/>
      <c r="J429" s="63"/>
      <c r="K429" s="63"/>
      <c r="L429" s="63"/>
      <c r="M429" s="63"/>
      <c r="N429" s="63"/>
      <c r="O429" s="63"/>
      <c r="P429" s="63"/>
      <c r="Q429" s="63"/>
      <c r="R429" s="63"/>
      <c r="S429" s="63"/>
      <c r="T429" s="63"/>
      <c r="U429" s="94"/>
      <c r="V429" s="90"/>
      <c r="W429" s="91"/>
      <c r="X429" s="92"/>
      <c r="Y429" s="2"/>
      <c r="Z429" s="2"/>
      <c r="AA429" s="2"/>
      <c r="AB429" s="2"/>
      <c r="AC429" s="2"/>
    </row>
    <row r="430" spans="1:31">
      <c r="A430" s="2"/>
      <c r="B430" s="87">
        <v>1</v>
      </c>
      <c r="C430" s="274">
        <v>45873</v>
      </c>
      <c r="D430" s="276">
        <v>71909</v>
      </c>
      <c r="E430" s="276" t="s">
        <v>604</v>
      </c>
      <c r="F430" s="277">
        <v>0</v>
      </c>
      <c r="G430" s="277">
        <v>0</v>
      </c>
      <c r="H430" s="277"/>
      <c r="I430" s="278">
        <f>F430-G430-H430</f>
        <v>0</v>
      </c>
      <c r="J430" s="279" t="s">
        <v>205</v>
      </c>
      <c r="K430" s="279">
        <v>1</v>
      </c>
      <c r="L430" s="279"/>
      <c r="M430" s="279"/>
      <c r="N430" s="279"/>
      <c r="O430" s="279"/>
      <c r="P430" s="279"/>
      <c r="Q430" s="279">
        <v>1</v>
      </c>
      <c r="R430" s="279">
        <v>1</v>
      </c>
      <c r="S430" s="280">
        <v>1</v>
      </c>
      <c r="T430" s="63"/>
      <c r="U430" s="164"/>
      <c r="V430" s="90"/>
      <c r="W430" s="91"/>
      <c r="X430" s="92"/>
      <c r="Y430" s="2"/>
      <c r="Z430" s="2"/>
      <c r="AA430" s="2"/>
      <c r="AB430" s="2"/>
      <c r="AC430" s="2"/>
    </row>
    <row r="431" spans="1:31">
      <c r="A431" s="2"/>
      <c r="B431" s="87">
        <f>B430+1</f>
        <v>2</v>
      </c>
      <c r="C431" s="295">
        <v>45873</v>
      </c>
      <c r="D431" s="10">
        <v>72016</v>
      </c>
      <c r="E431" s="10" t="s">
        <v>1042</v>
      </c>
      <c r="F431" s="62">
        <v>1909.8</v>
      </c>
      <c r="G431" s="62">
        <f>39.7</f>
        <v>39.700000000000003</v>
      </c>
      <c r="H431" s="62"/>
      <c r="I431" s="89">
        <f t="shared" ref="I431:I449" si="97">F431-G431-H431</f>
        <v>1870.1</v>
      </c>
      <c r="J431" s="63" t="s">
        <v>205</v>
      </c>
      <c r="K431" s="63">
        <v>1</v>
      </c>
      <c r="L431" s="63"/>
      <c r="M431" s="63"/>
      <c r="N431" s="63">
        <v>1</v>
      </c>
      <c r="O431" s="63"/>
      <c r="P431" s="63"/>
      <c r="Q431" s="63"/>
      <c r="R431" s="63"/>
      <c r="S431" s="296"/>
      <c r="T431" s="63"/>
      <c r="U431" s="94"/>
      <c r="V431" s="90"/>
      <c r="W431" s="136"/>
      <c r="X431" s="137"/>
      <c r="Y431" s="2"/>
      <c r="Z431" s="2"/>
      <c r="AA431" s="2"/>
      <c r="AB431" s="2"/>
      <c r="AC431" s="2"/>
    </row>
    <row r="432" spans="1:31">
      <c r="A432" s="2"/>
      <c r="B432" s="87">
        <f t="shared" ref="B432:B449" si="98">B431+1</f>
        <v>3</v>
      </c>
      <c r="C432" s="295">
        <v>45873</v>
      </c>
      <c r="D432" s="10">
        <v>71997</v>
      </c>
      <c r="E432" s="10" t="s">
        <v>1222</v>
      </c>
      <c r="F432" s="62">
        <v>0</v>
      </c>
      <c r="G432" s="62">
        <v>0</v>
      </c>
      <c r="H432" s="62"/>
      <c r="I432" s="89">
        <f t="shared" si="97"/>
        <v>0</v>
      </c>
      <c r="J432" s="63" t="s">
        <v>205</v>
      </c>
      <c r="K432" s="63">
        <v>1</v>
      </c>
      <c r="L432" s="63"/>
      <c r="M432" s="63"/>
      <c r="N432" s="63"/>
      <c r="O432" s="63"/>
      <c r="P432" s="63"/>
      <c r="Q432" s="63">
        <v>1</v>
      </c>
      <c r="R432" s="63">
        <v>1</v>
      </c>
      <c r="S432" s="296">
        <v>1</v>
      </c>
      <c r="T432" s="63"/>
      <c r="U432" s="94"/>
      <c r="V432" s="90"/>
      <c r="W432" s="136"/>
      <c r="X432" s="137"/>
      <c r="Y432" s="2"/>
      <c r="Z432" s="2"/>
      <c r="AA432" s="2"/>
      <c r="AB432" s="2"/>
      <c r="AC432" s="2"/>
    </row>
    <row r="433" spans="1:29">
      <c r="A433" s="2"/>
      <c r="B433" s="87">
        <f t="shared" si="98"/>
        <v>4</v>
      </c>
      <c r="C433" s="295">
        <v>45873</v>
      </c>
      <c r="D433" s="10">
        <v>72002</v>
      </c>
      <c r="E433" s="10" t="s">
        <v>1105</v>
      </c>
      <c r="F433" s="62">
        <v>2861</v>
      </c>
      <c r="G433" s="62">
        <f>39.7</f>
        <v>39.700000000000003</v>
      </c>
      <c r="H433" s="62"/>
      <c r="I433" s="89">
        <f t="shared" si="97"/>
        <v>2821.3</v>
      </c>
      <c r="J433" s="63" t="s">
        <v>205</v>
      </c>
      <c r="K433" s="63">
        <v>1</v>
      </c>
      <c r="L433" s="63"/>
      <c r="M433" s="63"/>
      <c r="N433" s="63">
        <v>1</v>
      </c>
      <c r="O433" s="63"/>
      <c r="P433" s="63"/>
      <c r="Q433" s="63">
        <v>1</v>
      </c>
      <c r="R433" s="63">
        <v>1</v>
      </c>
      <c r="S433" s="296">
        <v>1</v>
      </c>
      <c r="T433" s="63"/>
      <c r="U433" s="94"/>
      <c r="V433" s="90"/>
      <c r="W433" s="136"/>
      <c r="X433" s="137"/>
      <c r="Y433" s="2"/>
      <c r="Z433" s="2"/>
      <c r="AA433" s="2"/>
      <c r="AB433" s="2"/>
      <c r="AC433" s="2"/>
    </row>
    <row r="434" spans="1:29">
      <c r="A434" s="2"/>
      <c r="B434" s="87">
        <f t="shared" si="98"/>
        <v>5</v>
      </c>
      <c r="C434" s="295">
        <v>45873</v>
      </c>
      <c r="D434" s="10">
        <v>72008</v>
      </c>
      <c r="E434" s="10" t="s">
        <v>1175</v>
      </c>
      <c r="F434" s="62">
        <v>0</v>
      </c>
      <c r="G434" s="62">
        <v>0</v>
      </c>
      <c r="H434" s="62"/>
      <c r="I434" s="89">
        <f t="shared" si="97"/>
        <v>0</v>
      </c>
      <c r="J434" s="63" t="s">
        <v>205</v>
      </c>
      <c r="K434" s="63">
        <v>1</v>
      </c>
      <c r="L434" s="63"/>
      <c r="M434" s="63"/>
      <c r="N434" s="63"/>
      <c r="O434" s="63"/>
      <c r="P434" s="63"/>
      <c r="Q434" s="63">
        <v>1</v>
      </c>
      <c r="R434" s="63">
        <v>1</v>
      </c>
      <c r="S434" s="296">
        <v>1</v>
      </c>
      <c r="T434" s="63"/>
      <c r="U434" s="94"/>
      <c r="V434" s="90"/>
      <c r="W434" s="136"/>
      <c r="X434" s="137"/>
      <c r="Y434" s="2"/>
      <c r="Z434" s="2"/>
      <c r="AA434" s="2"/>
      <c r="AB434" s="2"/>
      <c r="AC434" s="2"/>
    </row>
    <row r="435" spans="1:29">
      <c r="A435" s="2"/>
      <c r="B435" s="87">
        <f t="shared" si="98"/>
        <v>6</v>
      </c>
      <c r="C435" s="295">
        <v>45873</v>
      </c>
      <c r="D435" s="10">
        <v>72025</v>
      </c>
      <c r="E435" s="101" t="s">
        <v>746</v>
      </c>
      <c r="F435" s="62">
        <v>1138</v>
      </c>
      <c r="G435" s="62">
        <f>39.7</f>
        <v>39.700000000000003</v>
      </c>
      <c r="H435" s="62"/>
      <c r="I435" s="89">
        <f t="shared" si="97"/>
        <v>1098.3</v>
      </c>
      <c r="J435" s="63" t="s">
        <v>205</v>
      </c>
      <c r="K435" s="63">
        <v>1</v>
      </c>
      <c r="L435" s="63"/>
      <c r="M435" s="63"/>
      <c r="N435" s="63">
        <v>1</v>
      </c>
      <c r="O435" s="63"/>
      <c r="P435" s="63"/>
      <c r="Q435" s="63">
        <v>1</v>
      </c>
      <c r="R435" s="63">
        <v>1</v>
      </c>
      <c r="S435" s="296">
        <v>1</v>
      </c>
      <c r="T435" s="63"/>
      <c r="U435" s="94"/>
      <c r="V435" s="90"/>
      <c r="W435" s="136"/>
      <c r="X435" s="137"/>
      <c r="Y435" s="2"/>
      <c r="Z435" s="2"/>
      <c r="AA435" s="2"/>
      <c r="AB435" s="2"/>
      <c r="AC435" s="2"/>
    </row>
    <row r="436" spans="1:29">
      <c r="A436" s="2"/>
      <c r="B436" s="87">
        <f t="shared" si="98"/>
        <v>7</v>
      </c>
      <c r="C436" s="274">
        <v>45874</v>
      </c>
      <c r="D436" s="276">
        <v>72034</v>
      </c>
      <c r="E436" s="281" t="s">
        <v>1013</v>
      </c>
      <c r="F436" s="277">
        <v>0</v>
      </c>
      <c r="G436" s="277">
        <v>0</v>
      </c>
      <c r="H436" s="277"/>
      <c r="I436" s="278">
        <f t="shared" si="97"/>
        <v>0</v>
      </c>
      <c r="J436" s="279" t="s">
        <v>205</v>
      </c>
      <c r="K436" s="279">
        <v>1</v>
      </c>
      <c r="L436" s="279"/>
      <c r="M436" s="279"/>
      <c r="N436" s="279">
        <v>1</v>
      </c>
      <c r="O436" s="279"/>
      <c r="P436" s="279"/>
      <c r="Q436" s="279">
        <v>1</v>
      </c>
      <c r="R436" s="279">
        <v>1</v>
      </c>
      <c r="S436" s="280">
        <v>1</v>
      </c>
      <c r="T436" s="63"/>
      <c r="U436" s="94"/>
      <c r="V436" s="90"/>
      <c r="W436" s="136"/>
      <c r="X436" s="137"/>
      <c r="Y436" s="2"/>
      <c r="Z436" s="2"/>
      <c r="AA436" s="2"/>
      <c r="AB436" s="2"/>
      <c r="AC436" s="2"/>
    </row>
    <row r="437" spans="1:29">
      <c r="A437" s="388">
        <v>45884</v>
      </c>
      <c r="B437" s="87">
        <f t="shared" si="98"/>
        <v>8</v>
      </c>
      <c r="C437" s="295">
        <v>45874</v>
      </c>
      <c r="D437" s="10">
        <v>72029</v>
      </c>
      <c r="E437" s="10" t="s">
        <v>1012</v>
      </c>
      <c r="F437" s="62">
        <v>6814</v>
      </c>
      <c r="G437" s="62">
        <f>39.7</f>
        <v>39.700000000000003</v>
      </c>
      <c r="H437" s="62"/>
      <c r="I437" s="89">
        <f t="shared" si="97"/>
        <v>6774.3</v>
      </c>
      <c r="J437" s="63" t="s">
        <v>156</v>
      </c>
      <c r="K437" s="63">
        <v>1</v>
      </c>
      <c r="L437" s="63"/>
      <c r="M437" s="63">
        <v>1</v>
      </c>
      <c r="N437" s="63">
        <v>1</v>
      </c>
      <c r="O437" s="63">
        <v>1</v>
      </c>
      <c r="P437" s="63">
        <v>1</v>
      </c>
      <c r="Q437" s="63">
        <v>1</v>
      </c>
      <c r="R437" s="63">
        <v>1</v>
      </c>
      <c r="S437" s="296">
        <v>1</v>
      </c>
      <c r="T437" s="63"/>
      <c r="U437" s="94" t="s">
        <v>3305</v>
      </c>
      <c r="V437" s="90">
        <v>749.54</v>
      </c>
      <c r="W437" s="136"/>
      <c r="X437" s="137"/>
      <c r="Y437" s="2"/>
      <c r="Z437" s="2"/>
      <c r="AA437" s="2"/>
      <c r="AB437" s="2"/>
      <c r="AC437" s="2"/>
    </row>
    <row r="438" spans="1:29">
      <c r="A438" s="2"/>
      <c r="B438" s="87">
        <f t="shared" si="98"/>
        <v>9</v>
      </c>
      <c r="C438" s="295">
        <v>45874</v>
      </c>
      <c r="D438" s="10">
        <v>72076</v>
      </c>
      <c r="E438" s="101" t="s">
        <v>187</v>
      </c>
      <c r="F438" s="62">
        <v>11676</v>
      </c>
      <c r="G438" s="62">
        <f>39.7</f>
        <v>39.700000000000003</v>
      </c>
      <c r="H438" s="62"/>
      <c r="I438" s="89">
        <f t="shared" si="97"/>
        <v>11636.3</v>
      </c>
      <c r="J438" s="63" t="s">
        <v>205</v>
      </c>
      <c r="K438" s="63">
        <v>1</v>
      </c>
      <c r="L438" s="63"/>
      <c r="M438" s="63"/>
      <c r="N438" s="63">
        <v>1</v>
      </c>
      <c r="O438" s="63"/>
      <c r="P438" s="63"/>
      <c r="Q438" s="63"/>
      <c r="R438" s="63"/>
      <c r="S438" s="296"/>
      <c r="T438" s="63"/>
      <c r="U438" s="94"/>
      <c r="V438" s="90"/>
      <c r="W438" s="136"/>
      <c r="X438" s="137"/>
      <c r="Y438" s="2"/>
      <c r="Z438" s="2"/>
      <c r="AA438" s="2"/>
      <c r="AB438" s="2"/>
      <c r="AC438" s="2"/>
    </row>
    <row r="439" spans="1:29">
      <c r="A439" s="2"/>
      <c r="B439" s="87">
        <f t="shared" si="98"/>
        <v>10</v>
      </c>
      <c r="C439" s="274">
        <v>45875</v>
      </c>
      <c r="D439" s="276">
        <v>72054</v>
      </c>
      <c r="E439" s="276" t="s">
        <v>780</v>
      </c>
      <c r="F439" s="277">
        <v>0</v>
      </c>
      <c r="G439" s="277">
        <v>0</v>
      </c>
      <c r="H439" s="277"/>
      <c r="I439" s="278">
        <f t="shared" si="97"/>
        <v>0</v>
      </c>
      <c r="J439" s="279" t="s">
        <v>205</v>
      </c>
      <c r="K439" s="279">
        <v>1</v>
      </c>
      <c r="L439" s="279"/>
      <c r="M439" s="279"/>
      <c r="N439" s="279"/>
      <c r="O439" s="279"/>
      <c r="P439" s="279"/>
      <c r="Q439" s="279"/>
      <c r="R439" s="279"/>
      <c r="S439" s="280"/>
      <c r="T439" s="63"/>
      <c r="U439" s="94"/>
      <c r="V439" s="90"/>
      <c r="W439" s="136"/>
      <c r="X439" s="137"/>
      <c r="Y439" s="2"/>
      <c r="Z439" s="2"/>
      <c r="AA439" s="2"/>
      <c r="AB439" s="2"/>
      <c r="AC439" s="2"/>
    </row>
    <row r="440" spans="1:29">
      <c r="A440" s="2"/>
      <c r="B440" s="87">
        <f t="shared" si="98"/>
        <v>11</v>
      </c>
      <c r="C440" s="295">
        <v>45875</v>
      </c>
      <c r="D440" s="10">
        <v>72087</v>
      </c>
      <c r="E440" s="101" t="s">
        <v>1150</v>
      </c>
      <c r="F440" s="62">
        <v>1681</v>
      </c>
      <c r="G440" s="62">
        <f>39.7</f>
        <v>39.700000000000003</v>
      </c>
      <c r="H440" s="62"/>
      <c r="I440" s="89">
        <f t="shared" si="97"/>
        <v>1641.3</v>
      </c>
      <c r="J440" s="63" t="s">
        <v>205</v>
      </c>
      <c r="K440" s="63">
        <v>1</v>
      </c>
      <c r="L440" s="63"/>
      <c r="M440" s="63"/>
      <c r="N440" s="63">
        <v>1</v>
      </c>
      <c r="O440" s="63"/>
      <c r="P440" s="63"/>
      <c r="Q440" s="63">
        <v>1</v>
      </c>
      <c r="R440" s="63">
        <v>1</v>
      </c>
      <c r="S440" s="296">
        <v>1</v>
      </c>
      <c r="T440" s="63"/>
      <c r="U440" s="94"/>
      <c r="V440" s="90"/>
      <c r="W440" s="136"/>
      <c r="X440" s="137"/>
      <c r="Y440" s="2"/>
      <c r="Z440" s="2"/>
      <c r="AA440" s="2"/>
      <c r="AB440" s="2"/>
      <c r="AC440" s="2"/>
    </row>
    <row r="441" spans="1:29">
      <c r="A441" s="2"/>
      <c r="B441" s="87">
        <f t="shared" si="98"/>
        <v>12</v>
      </c>
      <c r="C441" s="295">
        <v>45875</v>
      </c>
      <c r="D441" s="10">
        <v>72086</v>
      </c>
      <c r="E441" s="101" t="s">
        <v>187</v>
      </c>
      <c r="F441" s="62">
        <v>6814</v>
      </c>
      <c r="G441" s="62">
        <f>39.7</f>
        <v>39.700000000000003</v>
      </c>
      <c r="H441" s="62"/>
      <c r="I441" s="89">
        <f t="shared" si="97"/>
        <v>6774.3</v>
      </c>
      <c r="J441" s="63" t="s">
        <v>156</v>
      </c>
      <c r="K441" s="63">
        <v>1</v>
      </c>
      <c r="L441" s="63"/>
      <c r="M441" s="63">
        <v>1</v>
      </c>
      <c r="N441" s="63">
        <v>1</v>
      </c>
      <c r="O441" s="63"/>
      <c r="P441" s="63"/>
      <c r="Q441" s="63"/>
      <c r="R441" s="63"/>
      <c r="S441" s="296"/>
      <c r="T441" s="63"/>
      <c r="U441" s="94"/>
      <c r="V441" s="90">
        <v>93.5</v>
      </c>
      <c r="W441" s="136"/>
      <c r="X441" s="137"/>
      <c r="Y441" s="2"/>
      <c r="Z441" s="2"/>
      <c r="AA441" s="2"/>
      <c r="AB441" s="2"/>
      <c r="AC441" s="2"/>
    </row>
    <row r="442" spans="1:29">
      <c r="A442" s="2"/>
      <c r="B442" s="87">
        <f t="shared" si="98"/>
        <v>13</v>
      </c>
      <c r="C442" s="274">
        <v>45876</v>
      </c>
      <c r="D442" s="276">
        <v>72132</v>
      </c>
      <c r="E442" s="281" t="s">
        <v>780</v>
      </c>
      <c r="F442" s="277">
        <v>8614</v>
      </c>
      <c r="G442" s="277">
        <f>39.7</f>
        <v>39.700000000000003</v>
      </c>
      <c r="H442" s="277"/>
      <c r="I442" s="278">
        <f t="shared" si="97"/>
        <v>8574.2999999999993</v>
      </c>
      <c r="J442" s="279" t="s">
        <v>205</v>
      </c>
      <c r="K442" s="279"/>
      <c r="L442" s="279"/>
      <c r="M442" s="279"/>
      <c r="N442" s="279">
        <v>1</v>
      </c>
      <c r="O442" s="279"/>
      <c r="P442" s="279"/>
      <c r="Q442" s="279"/>
      <c r="R442" s="279"/>
      <c r="S442" s="280"/>
      <c r="T442" s="63"/>
      <c r="U442" s="94"/>
      <c r="V442" s="90"/>
      <c r="W442" s="136"/>
      <c r="X442" s="137"/>
      <c r="Y442" s="2"/>
      <c r="Z442" s="2"/>
      <c r="AA442" s="2"/>
      <c r="AB442" s="2"/>
      <c r="AC442" s="2"/>
    </row>
    <row r="443" spans="1:29">
      <c r="A443" s="2"/>
      <c r="B443" s="87">
        <f t="shared" si="98"/>
        <v>14</v>
      </c>
      <c r="C443" s="295">
        <v>45876</v>
      </c>
      <c r="D443" s="10">
        <v>72117</v>
      </c>
      <c r="E443" s="10" t="s">
        <v>3306</v>
      </c>
      <c r="F443" s="62">
        <v>0</v>
      </c>
      <c r="G443" s="62">
        <v>0</v>
      </c>
      <c r="H443" s="62"/>
      <c r="I443" s="89">
        <f t="shared" si="97"/>
        <v>0</v>
      </c>
      <c r="J443" s="63" t="s">
        <v>205</v>
      </c>
      <c r="K443" s="63"/>
      <c r="L443" s="63"/>
      <c r="M443" s="63"/>
      <c r="N443" s="63"/>
      <c r="O443" s="63"/>
      <c r="P443" s="63"/>
      <c r="Q443" s="63"/>
      <c r="R443" s="63"/>
      <c r="S443" s="296"/>
      <c r="T443" s="63"/>
      <c r="U443" s="94"/>
      <c r="V443" s="90"/>
      <c r="W443" s="136"/>
      <c r="X443" s="137"/>
      <c r="Y443" s="2"/>
      <c r="Z443" s="2"/>
      <c r="AA443" s="2"/>
      <c r="AB443" s="2"/>
      <c r="AC443" s="2"/>
    </row>
    <row r="444" spans="1:29">
      <c r="A444" s="2"/>
      <c r="B444" s="87">
        <f t="shared" si="98"/>
        <v>15</v>
      </c>
      <c r="C444" s="295">
        <v>45876</v>
      </c>
      <c r="D444" s="10">
        <v>72089</v>
      </c>
      <c r="E444" s="10" t="s">
        <v>274</v>
      </c>
      <c r="F444" s="62">
        <v>0</v>
      </c>
      <c r="G444" s="62">
        <v>0</v>
      </c>
      <c r="H444" s="62"/>
      <c r="I444" s="89">
        <f t="shared" si="97"/>
        <v>0</v>
      </c>
      <c r="J444" s="63" t="s">
        <v>205</v>
      </c>
      <c r="K444" s="63"/>
      <c r="L444" s="63"/>
      <c r="M444" s="63"/>
      <c r="N444" s="63"/>
      <c r="O444" s="63"/>
      <c r="P444" s="63"/>
      <c r="Q444" s="63"/>
      <c r="R444" s="63"/>
      <c r="S444" s="296"/>
      <c r="T444" s="63"/>
      <c r="U444" s="94"/>
      <c r="V444" s="90"/>
      <c r="W444" s="136"/>
      <c r="X444" s="137"/>
      <c r="Y444" s="2"/>
      <c r="Z444" s="2"/>
      <c r="AA444" s="2"/>
      <c r="AB444" s="2"/>
      <c r="AC444" s="2"/>
    </row>
    <row r="445" spans="1:29">
      <c r="A445" s="388">
        <v>45880</v>
      </c>
      <c r="B445" s="87">
        <f t="shared" si="98"/>
        <v>16</v>
      </c>
      <c r="C445" s="295">
        <v>45876</v>
      </c>
      <c r="D445" s="10">
        <v>72171</v>
      </c>
      <c r="E445" s="10" t="s">
        <v>1141</v>
      </c>
      <c r="F445" s="62">
        <v>16214</v>
      </c>
      <c r="G445" s="62">
        <f>39.7+(19.56)</f>
        <v>59.260000000000005</v>
      </c>
      <c r="H445" s="62"/>
      <c r="I445" s="89">
        <f t="shared" si="97"/>
        <v>16154.74</v>
      </c>
      <c r="J445" s="63" t="s">
        <v>156</v>
      </c>
      <c r="K445" s="63">
        <v>1</v>
      </c>
      <c r="L445" s="63"/>
      <c r="M445" s="63">
        <v>1</v>
      </c>
      <c r="N445" s="63">
        <v>1</v>
      </c>
      <c r="O445" s="63">
        <v>1</v>
      </c>
      <c r="P445" s="63">
        <v>1</v>
      </c>
      <c r="Q445" s="63">
        <v>1</v>
      </c>
      <c r="R445" s="63">
        <v>1</v>
      </c>
      <c r="S445" s="296">
        <v>1</v>
      </c>
      <c r="T445" s="63"/>
      <c r="U445" s="94" t="s">
        <v>3307</v>
      </c>
      <c r="V445" s="90">
        <v>1783.54</v>
      </c>
      <c r="W445" s="136"/>
      <c r="X445" s="137"/>
      <c r="Y445" s="2"/>
      <c r="Z445" s="2"/>
      <c r="AA445" s="2"/>
      <c r="AB445" s="2"/>
      <c r="AC445" s="2"/>
    </row>
    <row r="446" spans="1:29">
      <c r="A446" s="2"/>
      <c r="B446" s="87">
        <f>B445+1</f>
        <v>17</v>
      </c>
      <c r="C446" s="274">
        <v>45877</v>
      </c>
      <c r="D446" s="276">
        <v>72009</v>
      </c>
      <c r="E446" s="276" t="s">
        <v>809</v>
      </c>
      <c r="F446" s="277">
        <v>0</v>
      </c>
      <c r="G446" s="277">
        <v>0</v>
      </c>
      <c r="H446" s="277"/>
      <c r="I446" s="278">
        <f t="shared" si="97"/>
        <v>0</v>
      </c>
      <c r="J446" s="279" t="s">
        <v>205</v>
      </c>
      <c r="K446" s="279">
        <v>1</v>
      </c>
      <c r="L446" s="279"/>
      <c r="M446" s="279"/>
      <c r="N446" s="279"/>
      <c r="O446" s="279"/>
      <c r="P446" s="279"/>
      <c r="Q446" s="279">
        <v>1</v>
      </c>
      <c r="R446" s="279">
        <v>1</v>
      </c>
      <c r="S446" s="280">
        <v>1</v>
      </c>
      <c r="T446" s="63"/>
      <c r="U446" s="94"/>
      <c r="V446" s="90"/>
      <c r="W446" s="136"/>
      <c r="X446" s="137"/>
      <c r="Y446" s="2"/>
      <c r="Z446" s="2"/>
      <c r="AA446" s="2"/>
      <c r="AB446" s="2"/>
      <c r="AC446" s="2"/>
    </row>
    <row r="447" spans="1:29">
      <c r="A447" s="2"/>
      <c r="B447" s="87">
        <f>B446+1</f>
        <v>18</v>
      </c>
      <c r="C447" s="295">
        <v>45877</v>
      </c>
      <c r="D447" s="10">
        <v>72177</v>
      </c>
      <c r="E447" s="10" t="s">
        <v>1605</v>
      </c>
      <c r="F447" s="62">
        <v>6214</v>
      </c>
      <c r="G447" s="62">
        <f>39.7</f>
        <v>39.700000000000003</v>
      </c>
      <c r="H447" s="62"/>
      <c r="I447" s="89">
        <f t="shared" si="97"/>
        <v>6174.3</v>
      </c>
      <c r="J447" s="63" t="s">
        <v>205</v>
      </c>
      <c r="K447" s="63">
        <v>1</v>
      </c>
      <c r="L447" s="63"/>
      <c r="M447" s="63"/>
      <c r="N447" s="63">
        <v>1</v>
      </c>
      <c r="O447" s="63"/>
      <c r="P447" s="63"/>
      <c r="Q447" s="63">
        <v>1</v>
      </c>
      <c r="R447" s="63">
        <v>1</v>
      </c>
      <c r="S447" s="296">
        <v>1</v>
      </c>
      <c r="T447" s="63"/>
      <c r="U447" s="94"/>
      <c r="V447" s="90"/>
      <c r="W447" s="136"/>
      <c r="X447" s="137"/>
      <c r="Y447" s="2"/>
      <c r="Z447" s="2"/>
      <c r="AA447" s="2"/>
      <c r="AB447" s="2"/>
      <c r="AC447" s="2"/>
    </row>
    <row r="448" spans="1:29">
      <c r="A448" s="2"/>
      <c r="B448" s="87">
        <f>B447+1</f>
        <v>19</v>
      </c>
      <c r="C448" s="295">
        <v>45877</v>
      </c>
      <c r="D448" s="77" t="s">
        <v>3308</v>
      </c>
      <c r="E448" s="10" t="s">
        <v>1002</v>
      </c>
      <c r="F448" s="62">
        <v>23777.1</v>
      </c>
      <c r="G448" s="62">
        <f>39.7</f>
        <v>39.700000000000003</v>
      </c>
      <c r="H448" s="62"/>
      <c r="I448" s="89">
        <f t="shared" si="97"/>
        <v>23737.399999999998</v>
      </c>
      <c r="J448" s="63" t="s">
        <v>205</v>
      </c>
      <c r="K448" s="63">
        <v>1</v>
      </c>
      <c r="L448" s="63"/>
      <c r="M448" s="63"/>
      <c r="N448" s="63">
        <v>1</v>
      </c>
      <c r="O448" s="63"/>
      <c r="P448" s="63"/>
      <c r="Q448" s="63"/>
      <c r="R448" s="63"/>
      <c r="S448" s="296"/>
      <c r="T448" s="63"/>
      <c r="U448" s="94"/>
      <c r="V448" s="90"/>
      <c r="W448" s="136"/>
      <c r="X448" s="137"/>
      <c r="Y448" s="2"/>
      <c r="Z448" s="2"/>
      <c r="AA448" s="2"/>
      <c r="AB448" s="2"/>
      <c r="AC448" s="2"/>
    </row>
    <row r="449" spans="1:29">
      <c r="A449" s="2"/>
      <c r="B449" s="87">
        <f>B448+1</f>
        <v>20</v>
      </c>
      <c r="C449" s="282">
        <v>45877</v>
      </c>
      <c r="D449" s="283">
        <v>72193</v>
      </c>
      <c r="E449" s="283" t="s">
        <v>1030</v>
      </c>
      <c r="F449" s="284">
        <v>0</v>
      </c>
      <c r="G449" s="284">
        <v>0</v>
      </c>
      <c r="H449" s="284"/>
      <c r="I449" s="285">
        <f t="shared" si="97"/>
        <v>0</v>
      </c>
      <c r="J449" s="286" t="s">
        <v>205</v>
      </c>
      <c r="K449" s="286"/>
      <c r="L449" s="286"/>
      <c r="M449" s="286"/>
      <c r="N449" s="286"/>
      <c r="O449" s="286"/>
      <c r="P449" s="286"/>
      <c r="Q449" s="286">
        <v>1</v>
      </c>
      <c r="R449" s="286">
        <v>1</v>
      </c>
      <c r="S449" s="287">
        <v>1</v>
      </c>
      <c r="T449" s="63"/>
      <c r="U449" s="94"/>
      <c r="V449" s="90"/>
      <c r="W449" s="136"/>
      <c r="X449" s="137"/>
      <c r="Y449" s="2"/>
      <c r="Z449" s="2"/>
      <c r="AA449" s="2"/>
      <c r="AB449" s="2"/>
      <c r="AC449" s="2"/>
    </row>
    <row r="450" spans="1:29">
      <c r="A450" s="2"/>
      <c r="B450" s="11"/>
      <c r="C450" s="36"/>
      <c r="D450" s="10"/>
      <c r="E450" s="10"/>
      <c r="F450" s="97">
        <f>SUM(F430:F449)</f>
        <v>87712.9</v>
      </c>
      <c r="G450" s="97">
        <f>SUM(G430:G449)</f>
        <v>456.25999999999993</v>
      </c>
      <c r="H450" s="97">
        <f>SUM(H430:H449)</f>
        <v>0</v>
      </c>
      <c r="I450" s="98">
        <f>SUM(I430:I449)</f>
        <v>87256.639999999999</v>
      </c>
      <c r="J450" s="10"/>
      <c r="K450" s="10"/>
      <c r="L450" s="10"/>
      <c r="M450" s="10"/>
      <c r="N450" s="10"/>
      <c r="O450" s="10"/>
      <c r="P450" s="10"/>
      <c r="Q450" s="10"/>
      <c r="R450" s="10"/>
      <c r="S450" s="10"/>
      <c r="T450" s="63"/>
      <c r="U450" s="94"/>
      <c r="V450" s="90"/>
      <c r="W450" s="91"/>
      <c r="X450" s="92"/>
      <c r="Y450" s="2"/>
      <c r="Z450" s="2"/>
      <c r="AA450" s="2"/>
      <c r="AB450" s="2"/>
      <c r="AC450" s="2"/>
    </row>
    <row r="451" spans="1:29">
      <c r="A451" s="2"/>
      <c r="B451" s="26"/>
      <c r="C451" s="140"/>
      <c r="D451" s="141"/>
      <c r="E451" s="141"/>
      <c r="F451" s="141"/>
      <c r="G451" s="141"/>
      <c r="H451" s="141"/>
      <c r="I451" s="141"/>
      <c r="J451" s="141"/>
      <c r="K451" s="142"/>
      <c r="L451" s="142"/>
      <c r="M451" s="142"/>
      <c r="N451" s="142"/>
      <c r="O451" s="142"/>
      <c r="P451" s="142"/>
      <c r="Q451" s="142"/>
      <c r="R451" s="142"/>
      <c r="S451" s="142"/>
      <c r="T451" s="143">
        <f>SUM(T386:T450)</f>
        <v>7</v>
      </c>
      <c r="U451" s="168"/>
      <c r="V451" s="144">
        <f>SUM(V386:V450)</f>
        <v>52708.83</v>
      </c>
      <c r="W451" s="145">
        <f>SUM(W386:W450)</f>
        <v>300</v>
      </c>
      <c r="X451" s="146">
        <f>SUM(X386:X450)</f>
        <v>0</v>
      </c>
      <c r="Y451" s="2"/>
      <c r="Z451" s="2"/>
      <c r="AA451" s="2"/>
      <c r="AB451" s="2"/>
      <c r="AC451" s="2"/>
    </row>
    <row r="454" spans="1:29">
      <c r="A454" s="148" t="s">
        <v>74</v>
      </c>
      <c r="B454" s="4" t="s">
        <v>1</v>
      </c>
      <c r="C454" s="5"/>
      <c r="D454" s="83"/>
      <c r="E454" s="6"/>
      <c r="F454" s="7" t="s">
        <v>2</v>
      </c>
      <c r="G454" s="8">
        <v>45886</v>
      </c>
      <c r="H454" s="7"/>
      <c r="I454" s="6"/>
      <c r="J454" s="6"/>
      <c r="K454" s="6"/>
      <c r="L454" s="6"/>
      <c r="M454" s="6"/>
      <c r="N454" s="6"/>
      <c r="O454" s="6"/>
      <c r="P454" s="6"/>
      <c r="Q454" s="6"/>
      <c r="R454" s="6"/>
      <c r="S454" s="6"/>
      <c r="T454" s="6"/>
      <c r="U454" s="149"/>
      <c r="V454" s="77"/>
      <c r="W454" s="77"/>
      <c r="X454" s="77"/>
      <c r="Y454" s="2"/>
      <c r="Z454" s="2"/>
      <c r="AA454" s="2"/>
      <c r="AB454" s="2"/>
      <c r="AC454" s="2"/>
    </row>
    <row r="455" spans="1:29">
      <c r="A455" s="150" t="s">
        <v>75</v>
      </c>
      <c r="B455" s="11"/>
      <c r="C455" s="10"/>
      <c r="D455" s="63"/>
      <c r="E455" s="10"/>
      <c r="F455" s="10"/>
      <c r="G455" s="7"/>
      <c r="H455" s="12"/>
      <c r="I455" s="10"/>
      <c r="J455" s="10"/>
      <c r="K455" s="13" t="s">
        <v>3</v>
      </c>
      <c r="L455" s="14"/>
      <c r="M455" s="15"/>
      <c r="N455" s="13" t="s">
        <v>4</v>
      </c>
      <c r="O455" s="14"/>
      <c r="P455" s="15"/>
      <c r="Q455" s="13" t="s">
        <v>5</v>
      </c>
      <c r="R455" s="14"/>
      <c r="S455" s="15"/>
      <c r="T455" s="16"/>
      <c r="U455" s="151"/>
      <c r="V455" s="77"/>
      <c r="W455" s="77"/>
      <c r="X455" s="77"/>
      <c r="Y455" s="2"/>
      <c r="Z455" s="2"/>
      <c r="AA455" s="2"/>
      <c r="AB455" s="2"/>
      <c r="AC455" s="2"/>
    </row>
    <row r="456" spans="1:29">
      <c r="A456" s="148" t="s">
        <v>76</v>
      </c>
      <c r="B456" s="18" t="s">
        <v>6</v>
      </c>
      <c r="C456" s="19">
        <f>C457+C458</f>
        <v>29</v>
      </c>
      <c r="D456" s="63"/>
      <c r="E456" s="18" t="s">
        <v>7</v>
      </c>
      <c r="F456" s="6"/>
      <c r="G456" s="9"/>
      <c r="H456" s="10"/>
      <c r="I456" s="10"/>
      <c r="J456" s="10"/>
      <c r="K456" s="20" t="s">
        <v>8</v>
      </c>
      <c r="L456" s="21" t="s">
        <v>9</v>
      </c>
      <c r="M456" s="21" t="s">
        <v>10</v>
      </c>
      <c r="N456" s="20" t="s">
        <v>11</v>
      </c>
      <c r="O456" s="21" t="s">
        <v>12</v>
      </c>
      <c r="P456" s="22" t="s">
        <v>13</v>
      </c>
      <c r="Q456" s="21" t="s">
        <v>11</v>
      </c>
      <c r="R456" s="21" t="s">
        <v>12</v>
      </c>
      <c r="S456" s="22" t="s">
        <v>13</v>
      </c>
      <c r="T456" s="23" t="s">
        <v>14</v>
      </c>
      <c r="U456" s="151"/>
      <c r="V456" s="77"/>
      <c r="W456" s="77"/>
      <c r="X456" s="77"/>
      <c r="Y456" s="2"/>
      <c r="Z456" s="2"/>
      <c r="AA456" s="2"/>
      <c r="AB456" s="2"/>
      <c r="AC456" s="2"/>
    </row>
    <row r="457" spans="1:29">
      <c r="A457" s="152" t="s">
        <v>3184</v>
      </c>
      <c r="B457" s="24" t="s">
        <v>15</v>
      </c>
      <c r="C457" s="25">
        <f>P464</f>
        <v>18</v>
      </c>
      <c r="D457" s="63"/>
      <c r="E457" s="11" t="s">
        <v>16</v>
      </c>
      <c r="F457" s="10" t="s">
        <v>78</v>
      </c>
      <c r="G457" s="153">
        <v>0.05</v>
      </c>
      <c r="H457" s="10"/>
      <c r="I457" s="10"/>
      <c r="J457" s="18" t="s">
        <v>17</v>
      </c>
      <c r="K457" s="29">
        <f>K502</f>
        <v>16</v>
      </c>
      <c r="L457" s="29">
        <f t="shared" ref="L457:S457" si="99">L502</f>
        <v>16</v>
      </c>
      <c r="M457" s="29">
        <f t="shared" si="99"/>
        <v>15</v>
      </c>
      <c r="N457" s="29">
        <f t="shared" si="99"/>
        <v>16</v>
      </c>
      <c r="O457" s="29">
        <f t="shared" si="99"/>
        <v>16</v>
      </c>
      <c r="P457" s="29">
        <f t="shared" si="99"/>
        <v>16</v>
      </c>
      <c r="Q457" s="29">
        <f t="shared" si="99"/>
        <v>15</v>
      </c>
      <c r="R457" s="29">
        <f t="shared" si="99"/>
        <v>15</v>
      </c>
      <c r="S457" s="29">
        <f t="shared" si="99"/>
        <v>14</v>
      </c>
      <c r="T457" s="30">
        <f>T538</f>
        <v>7</v>
      </c>
      <c r="U457" s="151" t="s">
        <v>3309</v>
      </c>
      <c r="V457" s="77"/>
      <c r="W457" s="77"/>
      <c r="X457" s="77"/>
      <c r="Y457" s="2"/>
      <c r="Z457" s="2"/>
      <c r="AA457" s="2"/>
      <c r="AB457" s="2"/>
      <c r="AC457" s="2"/>
    </row>
    <row r="458" spans="1:29">
      <c r="A458" s="2"/>
      <c r="B458" s="24" t="s">
        <v>18</v>
      </c>
      <c r="C458" s="25">
        <f>P465</f>
        <v>11</v>
      </c>
      <c r="D458" s="63"/>
      <c r="E458" s="26" t="s">
        <v>80</v>
      </c>
      <c r="F458" s="141" t="s">
        <v>81</v>
      </c>
      <c r="G458" s="154">
        <v>0.1</v>
      </c>
      <c r="H458" s="10"/>
      <c r="I458" s="10"/>
      <c r="J458" s="32" t="s">
        <v>19</v>
      </c>
      <c r="K458" s="33">
        <f>K502/K501</f>
        <v>1</v>
      </c>
      <c r="L458" s="33">
        <f t="shared" ref="L458:S458" si="100">L502/L501</f>
        <v>1</v>
      </c>
      <c r="M458" s="33">
        <f t="shared" si="100"/>
        <v>0.9375</v>
      </c>
      <c r="N458" s="33">
        <f t="shared" si="100"/>
        <v>1</v>
      </c>
      <c r="O458" s="33">
        <f t="shared" si="100"/>
        <v>1</v>
      </c>
      <c r="P458" s="33">
        <f t="shared" si="100"/>
        <v>1</v>
      </c>
      <c r="Q458" s="33">
        <f t="shared" si="100"/>
        <v>0.9375</v>
      </c>
      <c r="R458" s="33">
        <f t="shared" si="100"/>
        <v>0.9375</v>
      </c>
      <c r="S458" s="33">
        <f t="shared" si="100"/>
        <v>0.875</v>
      </c>
      <c r="T458" s="23"/>
      <c r="U458" s="151" t="s">
        <v>20</v>
      </c>
      <c r="V458" s="77"/>
      <c r="W458" s="77"/>
      <c r="X458" s="77"/>
      <c r="Y458" s="2"/>
      <c r="Z458" s="2"/>
      <c r="AA458" s="2"/>
      <c r="AB458" s="2"/>
      <c r="AC458" s="2"/>
    </row>
    <row r="459" spans="1:29">
      <c r="A459" s="2"/>
      <c r="B459" s="24" t="s">
        <v>21</v>
      </c>
      <c r="C459" s="34">
        <f>P466</f>
        <v>0.62068965517241381</v>
      </c>
      <c r="D459" s="63"/>
      <c r="E459" s="10"/>
      <c r="F459" s="10"/>
      <c r="G459" s="10"/>
      <c r="H459" s="10"/>
      <c r="I459" s="10"/>
      <c r="J459" s="10"/>
      <c r="K459" s="10"/>
      <c r="L459" s="10"/>
      <c r="M459" s="10"/>
      <c r="N459" s="10"/>
      <c r="O459" s="10"/>
      <c r="P459" s="10"/>
      <c r="Q459" s="10"/>
      <c r="R459" s="10"/>
      <c r="S459" s="10"/>
      <c r="T459" s="10"/>
      <c r="U459" s="151"/>
      <c r="V459" s="77"/>
      <c r="W459" s="77"/>
      <c r="X459" s="77"/>
      <c r="Y459" s="2"/>
      <c r="Z459" s="2"/>
      <c r="AA459" s="2"/>
      <c r="AB459" s="2"/>
      <c r="AC459" s="2"/>
    </row>
    <row r="460" spans="1:29">
      <c r="A460" s="2"/>
      <c r="B460" s="24"/>
      <c r="C460" s="25"/>
      <c r="D460" s="63"/>
      <c r="E460" s="10"/>
      <c r="F460" s="18" t="s">
        <v>22</v>
      </c>
      <c r="G460" s="19" t="s">
        <v>23</v>
      </c>
      <c r="H460" s="35" t="s">
        <v>24</v>
      </c>
      <c r="I460" s="10"/>
      <c r="J460" s="10"/>
      <c r="K460" s="36"/>
      <c r="L460" s="36"/>
      <c r="M460" s="36"/>
      <c r="N460" s="36"/>
      <c r="O460" s="36"/>
      <c r="P460" s="36"/>
      <c r="Q460" s="36"/>
      <c r="R460" s="10"/>
      <c r="S460" s="10"/>
      <c r="T460" s="10"/>
      <c r="U460" s="151"/>
      <c r="V460" s="77"/>
      <c r="W460" s="77"/>
      <c r="X460" s="77"/>
      <c r="Y460" s="2"/>
      <c r="Z460" s="2"/>
      <c r="AA460" s="2"/>
      <c r="AB460" s="2"/>
      <c r="AC460" s="2"/>
    </row>
    <row r="461" spans="1:29">
      <c r="A461" s="2"/>
      <c r="B461" s="32" t="s">
        <v>25</v>
      </c>
      <c r="C461" s="37">
        <f>P467</f>
        <v>4143.1733333333332</v>
      </c>
      <c r="D461" s="63"/>
      <c r="E461" s="18" t="s">
        <v>26</v>
      </c>
      <c r="F461" s="38">
        <f>P463</f>
        <v>74577.119999999995</v>
      </c>
      <c r="G461" s="39">
        <f>I501+I507</f>
        <v>74577.119999999995</v>
      </c>
      <c r="H461" s="40"/>
      <c r="I461" s="41"/>
      <c r="J461" s="42"/>
      <c r="K461" s="43" t="s">
        <v>27</v>
      </c>
      <c r="L461" s="44"/>
      <c r="M461" s="44"/>
      <c r="N461" s="44"/>
      <c r="O461" s="44"/>
      <c r="P461" s="44"/>
      <c r="Q461" s="45"/>
      <c r="R461" s="46" t="s">
        <v>28</v>
      </c>
      <c r="S461" s="47" t="s">
        <v>29</v>
      </c>
      <c r="T461" s="10"/>
      <c r="U461" s="151"/>
      <c r="V461" s="77"/>
      <c r="W461" s="77"/>
      <c r="X461" s="77"/>
      <c r="Y461" s="2"/>
      <c r="Z461" s="2"/>
      <c r="AA461" s="2"/>
      <c r="AB461" s="2"/>
      <c r="AC461" s="2"/>
    </row>
    <row r="462" spans="1:29">
      <c r="A462" s="2"/>
      <c r="B462" s="11"/>
      <c r="C462" s="10"/>
      <c r="D462" s="63"/>
      <c r="E462" s="24" t="s">
        <v>30</v>
      </c>
      <c r="F462" s="48">
        <f>IF(F461&gt;=25000,10%,5%)</f>
        <v>0.1</v>
      </c>
      <c r="G462" s="17"/>
      <c r="H462" s="40"/>
      <c r="I462" s="41"/>
      <c r="J462" s="42"/>
      <c r="K462" s="20" t="s">
        <v>31</v>
      </c>
      <c r="L462" s="21" t="s">
        <v>32</v>
      </c>
      <c r="M462" s="21" t="s">
        <v>33</v>
      </c>
      <c r="N462" s="21" t="s">
        <v>34</v>
      </c>
      <c r="O462" s="21" t="s">
        <v>35</v>
      </c>
      <c r="P462" s="21" t="s">
        <v>36</v>
      </c>
      <c r="Q462" s="49" t="s">
        <v>37</v>
      </c>
      <c r="R462" s="50" t="s">
        <v>38</v>
      </c>
      <c r="S462" s="50" t="s">
        <v>38</v>
      </c>
      <c r="T462" s="10"/>
      <c r="U462" s="151"/>
      <c r="V462" s="77"/>
      <c r="W462" s="77"/>
      <c r="X462" s="77"/>
      <c r="Y462" s="2"/>
      <c r="Z462" s="2"/>
      <c r="AA462" s="2"/>
      <c r="AB462" s="2"/>
      <c r="AC462" s="2"/>
    </row>
    <row r="463" spans="1:29">
      <c r="A463" s="2"/>
      <c r="B463" s="11"/>
      <c r="C463" s="10"/>
      <c r="D463" s="63"/>
      <c r="E463" s="51" t="s">
        <v>39</v>
      </c>
      <c r="F463" s="52">
        <f>(F461+F471+F472+F473+F474-I493-I505-I506)*F462</f>
        <v>3410.9419999999991</v>
      </c>
      <c r="G463" s="53" t="s">
        <v>40</v>
      </c>
      <c r="H463" s="54">
        <f>F463/1.12</f>
        <v>3045.4839285714274</v>
      </c>
      <c r="I463" s="55"/>
      <c r="J463" s="42"/>
      <c r="K463" s="56">
        <f>I485+I487+I486</f>
        <v>17469.21</v>
      </c>
      <c r="L463" s="57">
        <f>I488+I489</f>
        <v>2182.37</v>
      </c>
      <c r="M463" s="57">
        <f>I490+I491+I493+I492+I505</f>
        <v>38781.199999999997</v>
      </c>
      <c r="N463" s="57">
        <f>I494+I495+I496</f>
        <v>3977.41</v>
      </c>
      <c r="O463" s="57">
        <f>I497+I498+I499+I500+I506</f>
        <v>12166.93</v>
      </c>
      <c r="P463" s="57">
        <f>SUM(K463:O463)</f>
        <v>74577.119999999995</v>
      </c>
      <c r="Q463" s="58">
        <v>0</v>
      </c>
      <c r="R463" s="59">
        <f>I507</f>
        <v>37657.9</v>
      </c>
      <c r="S463" s="59">
        <v>0</v>
      </c>
      <c r="T463" s="10"/>
      <c r="U463" s="151"/>
      <c r="V463" s="77"/>
      <c r="W463" s="77"/>
      <c r="X463" s="77"/>
      <c r="Y463" s="2"/>
      <c r="Z463" s="2"/>
      <c r="AA463" s="2"/>
      <c r="AB463" s="2"/>
      <c r="AC463" s="2" t="s">
        <v>85</v>
      </c>
    </row>
    <row r="464" spans="1:29">
      <c r="A464" s="2"/>
      <c r="B464" s="11"/>
      <c r="C464" s="10"/>
      <c r="D464" s="63"/>
      <c r="E464" s="24" t="s">
        <v>41</v>
      </c>
      <c r="F464" s="60">
        <f>Q463</f>
        <v>0</v>
      </c>
      <c r="G464" s="61" t="s">
        <v>40</v>
      </c>
      <c r="H464" s="62"/>
      <c r="I464" s="62"/>
      <c r="J464" s="10" t="s">
        <v>42</v>
      </c>
      <c r="K464" s="63">
        <v>3</v>
      </c>
      <c r="L464" s="63">
        <v>2</v>
      </c>
      <c r="M464" s="63">
        <v>5</v>
      </c>
      <c r="N464" s="63">
        <v>3</v>
      </c>
      <c r="O464" s="63">
        <v>5</v>
      </c>
      <c r="P464" s="21">
        <f>SUM(K464:O464)</f>
        <v>18</v>
      </c>
      <c r="Q464" s="64"/>
      <c r="R464" s="63"/>
      <c r="S464" s="10"/>
      <c r="T464" s="10"/>
      <c r="U464" s="151"/>
      <c r="V464" s="77"/>
      <c r="W464" s="77"/>
      <c r="X464" s="77"/>
      <c r="Y464" s="2"/>
      <c r="Z464" s="2"/>
      <c r="AA464" s="2"/>
      <c r="AB464" s="2"/>
      <c r="AC464" s="2"/>
    </row>
    <row r="465" spans="1:29">
      <c r="A465" s="2"/>
      <c r="B465" s="11"/>
      <c r="C465" s="10"/>
      <c r="D465" s="63"/>
      <c r="E465" s="51" t="s">
        <v>43</v>
      </c>
      <c r="F465" s="52">
        <f>F464*0.25</f>
        <v>0</v>
      </c>
      <c r="G465" s="53" t="s">
        <v>40</v>
      </c>
      <c r="H465" s="54">
        <f>F465/1.12</f>
        <v>0</v>
      </c>
      <c r="I465" s="10"/>
      <c r="J465" s="10" t="s">
        <v>44</v>
      </c>
      <c r="K465" s="63">
        <v>5</v>
      </c>
      <c r="L465" s="63">
        <v>3</v>
      </c>
      <c r="M465" s="63">
        <v>1</v>
      </c>
      <c r="N465" s="63">
        <v>1</v>
      </c>
      <c r="O465" s="63">
        <v>1</v>
      </c>
      <c r="P465" s="21">
        <f>SUM(K465:O465)</f>
        <v>11</v>
      </c>
      <c r="Q465" s="64"/>
      <c r="R465" s="63"/>
      <c r="S465" s="10"/>
      <c r="T465" s="10"/>
      <c r="U465" s="151"/>
      <c r="V465" s="77"/>
      <c r="W465" s="77"/>
      <c r="X465" s="77"/>
      <c r="Y465" s="2"/>
      <c r="Z465" s="2"/>
      <c r="AA465" s="2"/>
      <c r="AB465" s="2"/>
      <c r="AC465" s="2"/>
    </row>
    <row r="466" spans="1:29">
      <c r="A466" s="2"/>
      <c r="B466" s="11"/>
      <c r="C466" s="10"/>
      <c r="D466" s="63"/>
      <c r="E466" s="24" t="s">
        <v>45</v>
      </c>
      <c r="F466" s="60">
        <v>0</v>
      </c>
      <c r="G466" s="61" t="s">
        <v>40</v>
      </c>
      <c r="H466" s="62"/>
      <c r="I466" s="10"/>
      <c r="J466" s="10" t="s">
        <v>46</v>
      </c>
      <c r="K466" s="31">
        <f t="shared" ref="K466:Q466" si="101">K464/(K464+K465)</f>
        <v>0.375</v>
      </c>
      <c r="L466" s="31">
        <f t="shared" si="101"/>
        <v>0.4</v>
      </c>
      <c r="M466" s="31">
        <f t="shared" si="101"/>
        <v>0.83333333333333337</v>
      </c>
      <c r="N466" s="31">
        <f t="shared" si="101"/>
        <v>0.75</v>
      </c>
      <c r="O466" s="31">
        <f t="shared" si="101"/>
        <v>0.83333333333333337</v>
      </c>
      <c r="P466" s="31">
        <f t="shared" si="101"/>
        <v>0.62068965517241381</v>
      </c>
      <c r="Q466" s="31" t="e">
        <f t="shared" si="101"/>
        <v>#DIV/0!</v>
      </c>
      <c r="R466" s="63"/>
      <c r="S466" s="10"/>
      <c r="T466" s="10"/>
      <c r="U466" s="151"/>
      <c r="V466" s="77"/>
      <c r="W466" s="77"/>
      <c r="X466" s="77"/>
      <c r="Y466" s="2"/>
      <c r="Z466" s="2"/>
      <c r="AA466" s="2"/>
      <c r="AB466" s="2"/>
      <c r="AC466" s="2"/>
    </row>
    <row r="467" spans="1:29">
      <c r="A467" s="2"/>
      <c r="B467" s="11"/>
      <c r="C467" s="10"/>
      <c r="D467" s="63"/>
      <c r="E467" s="51" t="s">
        <v>47</v>
      </c>
      <c r="F467" s="52">
        <f>F466*0.05</f>
        <v>0</v>
      </c>
      <c r="G467" s="65" t="s">
        <v>40</v>
      </c>
      <c r="H467" s="54">
        <f>F467/1.12</f>
        <v>0</v>
      </c>
      <c r="I467" s="42"/>
      <c r="J467" s="10" t="s">
        <v>48</v>
      </c>
      <c r="K467" s="66">
        <f>K463/K464</f>
        <v>5823.07</v>
      </c>
      <c r="L467" s="66">
        <f t="shared" ref="L467:Q467" si="102">L463/L464</f>
        <v>1091.1849999999999</v>
      </c>
      <c r="M467" s="66">
        <f t="shared" si="102"/>
        <v>7756.24</v>
      </c>
      <c r="N467" s="66">
        <f t="shared" si="102"/>
        <v>1325.8033333333333</v>
      </c>
      <c r="O467" s="66">
        <f t="shared" si="102"/>
        <v>2433.386</v>
      </c>
      <c r="P467" s="66">
        <f t="shared" si="102"/>
        <v>4143.1733333333332</v>
      </c>
      <c r="Q467" s="66" t="e">
        <f t="shared" si="102"/>
        <v>#DIV/0!</v>
      </c>
      <c r="R467" s="63"/>
      <c r="S467" s="10"/>
      <c r="T467" s="10"/>
      <c r="U467" s="151"/>
      <c r="V467" s="77"/>
      <c r="W467" s="77"/>
      <c r="X467" s="77"/>
      <c r="Y467" s="2"/>
      <c r="Z467" s="2"/>
      <c r="AA467" s="2"/>
      <c r="AB467" s="2"/>
      <c r="AC467" s="2"/>
    </row>
    <row r="468" spans="1:29">
      <c r="A468" s="128"/>
      <c r="B468" s="132"/>
      <c r="C468" s="123"/>
      <c r="D468" s="127"/>
      <c r="E468" s="155" t="s">
        <v>14</v>
      </c>
      <c r="F468" s="156">
        <f>1*50+7*50/2</f>
        <v>225</v>
      </c>
      <c r="G468" s="123"/>
      <c r="H468" s="54">
        <f>F468/1.12</f>
        <v>200.89285714285711</v>
      </c>
      <c r="I468" s="123"/>
      <c r="J468" s="123"/>
      <c r="K468" s="123"/>
      <c r="L468" s="123"/>
      <c r="M468" s="123"/>
      <c r="N468" s="123"/>
      <c r="O468" s="123"/>
      <c r="P468" s="123"/>
      <c r="Q468" s="123"/>
      <c r="R468" s="123"/>
      <c r="S468" s="123"/>
      <c r="T468" s="123"/>
      <c r="U468" s="157"/>
      <c r="V468" s="123"/>
      <c r="W468" s="123"/>
      <c r="X468" s="123"/>
      <c r="Y468" s="128"/>
      <c r="Z468" s="128"/>
      <c r="AA468" s="128"/>
      <c r="AB468" s="128"/>
      <c r="AC468" s="128"/>
    </row>
    <row r="469" spans="1:29">
      <c r="A469" s="128"/>
      <c r="B469" s="132"/>
      <c r="C469" s="123"/>
      <c r="D469" s="127"/>
      <c r="E469" s="158" t="s">
        <v>49</v>
      </c>
      <c r="F469" s="159">
        <f>T458</f>
        <v>0</v>
      </c>
      <c r="G469" s="123"/>
      <c r="H469" s="54"/>
      <c r="I469" s="123"/>
      <c r="J469" s="42"/>
      <c r="K469" s="764" t="s">
        <v>50</v>
      </c>
      <c r="L469" s="764"/>
      <c r="M469" s="764"/>
      <c r="N469" s="764"/>
      <c r="O469" s="764"/>
      <c r="P469" s="764"/>
      <c r="Q469" s="764"/>
      <c r="R469" s="70" t="s">
        <v>28</v>
      </c>
      <c r="S469" s="71" t="s">
        <v>29</v>
      </c>
      <c r="T469" s="123"/>
      <c r="U469" s="157"/>
      <c r="V469" s="123"/>
      <c r="W469" s="123"/>
      <c r="X469" s="123"/>
      <c r="Y469" s="128"/>
      <c r="Z469" s="128"/>
      <c r="AA469" s="128"/>
      <c r="AB469" s="128"/>
      <c r="AC469" s="128"/>
    </row>
    <row r="470" spans="1:29">
      <c r="A470" s="128"/>
      <c r="B470" s="132"/>
      <c r="C470" s="123"/>
      <c r="D470" s="127"/>
      <c r="E470" s="155" t="s">
        <v>3310</v>
      </c>
      <c r="F470" s="156">
        <f>$F$184</f>
        <v>2405.1610000000001</v>
      </c>
      <c r="G470" s="123"/>
      <c r="H470" s="54">
        <f>F470/1.12</f>
        <v>2147.4651785714286</v>
      </c>
      <c r="I470" s="123"/>
      <c r="J470" s="42"/>
      <c r="K470" s="20" t="s">
        <v>31</v>
      </c>
      <c r="L470" s="21" t="s">
        <v>32</v>
      </c>
      <c r="M470" s="21" t="s">
        <v>33</v>
      </c>
      <c r="N470" s="21" t="s">
        <v>34</v>
      </c>
      <c r="O470" s="21" t="s">
        <v>35</v>
      </c>
      <c r="P470" s="21" t="s">
        <v>36</v>
      </c>
      <c r="Q470" s="49" t="s">
        <v>37</v>
      </c>
      <c r="R470" s="50" t="s">
        <v>38</v>
      </c>
      <c r="S470" s="50" t="s">
        <v>38</v>
      </c>
      <c r="T470" s="123"/>
      <c r="U470" s="157"/>
      <c r="V470" s="123"/>
      <c r="W470" s="123"/>
      <c r="X470" s="123"/>
      <c r="Y470" s="128"/>
      <c r="Z470" s="128"/>
      <c r="AA470" s="128"/>
      <c r="AB470" s="128"/>
      <c r="AC470" s="128"/>
    </row>
    <row r="471" spans="1:29">
      <c r="A471" s="128"/>
      <c r="B471" s="132"/>
      <c r="C471" s="123"/>
      <c r="D471" s="127"/>
      <c r="E471" s="74" t="s">
        <v>3311</v>
      </c>
      <c r="F471" s="75">
        <v>-1686.3</v>
      </c>
      <c r="G471" s="123"/>
      <c r="H471" s="54"/>
      <c r="I471" s="123"/>
      <c r="J471" s="42"/>
      <c r="K471" s="56">
        <f>F485+F487+F486</f>
        <v>20109.900000000001</v>
      </c>
      <c r="L471" s="57">
        <f>F488+F489</f>
        <v>2402</v>
      </c>
      <c r="M471" s="57">
        <f>F490+F491+F493+F492+F505</f>
        <v>56691</v>
      </c>
      <c r="N471" s="57">
        <f>F494+F495+F496</f>
        <v>4221</v>
      </c>
      <c r="O471" s="57">
        <f>F497+F498+F499+F500+F506</f>
        <v>13908</v>
      </c>
      <c r="P471" s="57">
        <f>SUM(K471:O471)</f>
        <v>97331.9</v>
      </c>
      <c r="Q471" s="58">
        <v>0</v>
      </c>
      <c r="R471" s="59">
        <f>F507</f>
        <v>56828</v>
      </c>
      <c r="S471" s="59">
        <v>0</v>
      </c>
      <c r="T471" s="123"/>
      <c r="U471" s="157"/>
      <c r="V471" s="123"/>
      <c r="W471" s="123"/>
      <c r="X471" s="123"/>
      <c r="Y471" s="128"/>
      <c r="Z471" s="128"/>
      <c r="AA471" s="128"/>
      <c r="AB471" s="128"/>
      <c r="AC471" s="128"/>
    </row>
    <row r="472" spans="1:29">
      <c r="A472" s="128"/>
      <c r="B472" s="132"/>
      <c r="C472" s="123"/>
      <c r="D472" s="127"/>
      <c r="E472" s="74" t="s">
        <v>3312</v>
      </c>
      <c r="F472" s="75">
        <v>1974.65</v>
      </c>
      <c r="G472" s="123"/>
      <c r="H472" s="54"/>
      <c r="I472" s="123"/>
      <c r="J472" s="10" t="s">
        <v>42</v>
      </c>
      <c r="K472" s="63">
        <f t="shared" ref="K472:Q473" si="103">K464</f>
        <v>3</v>
      </c>
      <c r="L472" s="63">
        <f t="shared" si="103"/>
        <v>2</v>
      </c>
      <c r="M472" s="63">
        <f t="shared" si="103"/>
        <v>5</v>
      </c>
      <c r="N472" s="63">
        <f t="shared" si="103"/>
        <v>3</v>
      </c>
      <c r="O472" s="63">
        <f t="shared" si="103"/>
        <v>5</v>
      </c>
      <c r="P472" s="63">
        <f t="shared" si="103"/>
        <v>18</v>
      </c>
      <c r="Q472" s="63">
        <f t="shared" si="103"/>
        <v>0</v>
      </c>
      <c r="R472" s="63"/>
      <c r="S472" s="10"/>
      <c r="T472" s="123"/>
      <c r="U472" s="157"/>
      <c r="V472" s="123"/>
      <c r="W472" s="123"/>
      <c r="X472" s="123"/>
      <c r="Y472" s="128"/>
      <c r="Z472" s="128"/>
      <c r="AA472" s="128"/>
      <c r="AB472" s="128"/>
      <c r="AC472" s="128"/>
    </row>
    <row r="473" spans="1:29">
      <c r="A473" s="128"/>
      <c r="B473" s="132"/>
      <c r="C473" s="123"/>
      <c r="D473" s="127"/>
      <c r="E473" s="74" t="s">
        <v>3313</v>
      </c>
      <c r="F473" s="75">
        <v>-151.44999999999999</v>
      </c>
      <c r="G473" s="123"/>
      <c r="H473" s="54"/>
      <c r="I473" s="123"/>
      <c r="J473" s="10" t="s">
        <v>44</v>
      </c>
      <c r="K473" s="63">
        <f t="shared" si="103"/>
        <v>5</v>
      </c>
      <c r="L473" s="63">
        <f t="shared" si="103"/>
        <v>3</v>
      </c>
      <c r="M473" s="63">
        <f t="shared" si="103"/>
        <v>1</v>
      </c>
      <c r="N473" s="63">
        <f t="shared" si="103"/>
        <v>1</v>
      </c>
      <c r="O473" s="63">
        <f t="shared" si="103"/>
        <v>1</v>
      </c>
      <c r="P473" s="63">
        <f t="shared" si="103"/>
        <v>11</v>
      </c>
      <c r="Q473" s="63">
        <f t="shared" si="103"/>
        <v>0</v>
      </c>
      <c r="R473" s="63"/>
      <c r="S473" s="10"/>
      <c r="T473" s="123"/>
      <c r="U473" s="157"/>
      <c r="V473" s="123"/>
      <c r="W473" s="123"/>
      <c r="X473" s="123"/>
      <c r="Y473" s="128"/>
      <c r="Z473" s="128"/>
      <c r="AA473" s="128"/>
      <c r="AB473" s="128"/>
      <c r="AC473" s="128"/>
    </row>
    <row r="474" spans="1:29">
      <c r="A474" s="128"/>
      <c r="B474" s="132"/>
      <c r="C474" s="123"/>
      <c r="D474" s="127"/>
      <c r="E474" s="74" t="s">
        <v>3314</v>
      </c>
      <c r="F474" s="75">
        <v>-125.4</v>
      </c>
      <c r="G474" s="123"/>
      <c r="H474" s="54"/>
      <c r="I474" s="123"/>
      <c r="J474" s="10" t="s">
        <v>46</v>
      </c>
      <c r="K474" s="31">
        <f t="shared" ref="K474:Q474" si="104">K472/(K472+K473)</f>
        <v>0.375</v>
      </c>
      <c r="L474" s="31">
        <f t="shared" si="104"/>
        <v>0.4</v>
      </c>
      <c r="M474" s="31">
        <f t="shared" si="104"/>
        <v>0.83333333333333337</v>
      </c>
      <c r="N474" s="31">
        <f t="shared" si="104"/>
        <v>0.75</v>
      </c>
      <c r="O474" s="31">
        <f t="shared" si="104"/>
        <v>0.83333333333333337</v>
      </c>
      <c r="P474" s="31">
        <f t="shared" si="104"/>
        <v>0.62068965517241381</v>
      </c>
      <c r="Q474" s="31" t="e">
        <f t="shared" si="104"/>
        <v>#DIV/0!</v>
      </c>
      <c r="R474" s="63"/>
      <c r="S474" s="10"/>
      <c r="T474" s="123"/>
      <c r="U474" s="157"/>
      <c r="V474" s="123"/>
      <c r="W474" s="123"/>
      <c r="X474" s="123"/>
      <c r="Y474" s="128"/>
      <c r="Z474" s="128"/>
      <c r="AA474" s="128"/>
      <c r="AB474" s="128"/>
      <c r="AC474" s="128"/>
    </row>
    <row r="475" spans="1:29">
      <c r="A475" s="128"/>
      <c r="B475" s="132"/>
      <c r="C475" s="123"/>
      <c r="D475" s="127"/>
      <c r="E475" s="12"/>
      <c r="F475" s="12"/>
      <c r="G475" s="123"/>
      <c r="H475" s="54"/>
      <c r="I475" s="123"/>
      <c r="J475" s="10" t="s">
        <v>48</v>
      </c>
      <c r="K475" s="66">
        <f t="shared" ref="K475:Q475" si="105">K471/K472</f>
        <v>6703.3</v>
      </c>
      <c r="L475" s="66">
        <f t="shared" si="105"/>
        <v>1201</v>
      </c>
      <c r="M475" s="66">
        <f t="shared" si="105"/>
        <v>11338.2</v>
      </c>
      <c r="N475" s="66">
        <f t="shared" si="105"/>
        <v>1407</v>
      </c>
      <c r="O475" s="66">
        <f t="shared" si="105"/>
        <v>2781.6</v>
      </c>
      <c r="P475" s="66">
        <f t="shared" si="105"/>
        <v>5407.3277777777776</v>
      </c>
      <c r="Q475" s="66" t="e">
        <f t="shared" si="105"/>
        <v>#DIV/0!</v>
      </c>
      <c r="R475" s="63"/>
      <c r="S475" s="10"/>
      <c r="T475" s="123"/>
      <c r="U475" s="157"/>
      <c r="V475" s="123"/>
      <c r="W475" s="123"/>
      <c r="X475" s="123"/>
      <c r="Y475" s="128"/>
      <c r="Z475" s="128"/>
      <c r="AA475" s="128"/>
      <c r="AB475" s="128"/>
      <c r="AC475" s="128"/>
    </row>
    <row r="476" spans="1:29">
      <c r="A476" s="128"/>
      <c r="B476" s="132"/>
      <c r="C476" s="123"/>
      <c r="D476" s="127"/>
      <c r="E476" s="12"/>
      <c r="F476" s="12"/>
      <c r="G476" s="10"/>
      <c r="H476" s="10"/>
      <c r="I476" s="123"/>
      <c r="J476" s="123"/>
      <c r="K476" s="123"/>
      <c r="L476" s="123"/>
      <c r="M476" s="123"/>
      <c r="N476" s="123"/>
      <c r="O476" s="123"/>
      <c r="P476" s="123"/>
      <c r="Q476" s="123"/>
      <c r="R476" s="123"/>
      <c r="S476" s="123"/>
      <c r="T476" s="123"/>
      <c r="U476" s="157"/>
      <c r="V476" s="123"/>
      <c r="W476" s="123"/>
      <c r="X476" s="123"/>
      <c r="Y476" s="128"/>
      <c r="Z476" s="128"/>
      <c r="AA476" s="128"/>
      <c r="AB476" s="128"/>
      <c r="AC476" s="128"/>
    </row>
    <row r="477" spans="1:29">
      <c r="A477" s="128"/>
      <c r="B477" s="132"/>
      <c r="C477" s="123"/>
      <c r="D477" s="127"/>
      <c r="E477" s="12"/>
      <c r="F477" s="12"/>
      <c r="G477" s="10"/>
      <c r="H477" s="10"/>
      <c r="I477" s="123"/>
      <c r="J477" s="123"/>
      <c r="K477" s="123"/>
      <c r="L477" s="123"/>
      <c r="M477" s="123"/>
      <c r="N477" s="123"/>
      <c r="O477" s="123"/>
      <c r="P477" s="123"/>
      <c r="Q477" s="123"/>
      <c r="R477" s="123"/>
      <c r="S477" s="123"/>
      <c r="T477" s="123"/>
      <c r="U477" s="157"/>
      <c r="V477" s="123"/>
      <c r="W477" s="123"/>
      <c r="X477" s="123"/>
      <c r="Y477" s="128"/>
      <c r="Z477" s="128"/>
      <c r="AA477" s="128"/>
      <c r="AB477" s="128"/>
      <c r="AC477" s="128"/>
    </row>
    <row r="478" spans="1:29">
      <c r="A478" s="128"/>
      <c r="B478" s="132"/>
      <c r="C478" s="123"/>
      <c r="D478" s="127"/>
      <c r="E478" s="12"/>
      <c r="F478" s="12"/>
      <c r="G478" s="10"/>
      <c r="H478" s="10"/>
      <c r="I478" s="123"/>
      <c r="J478" s="123"/>
      <c r="K478" s="123"/>
      <c r="L478" s="123"/>
      <c r="M478" s="123"/>
      <c r="N478" s="123"/>
      <c r="O478" s="123"/>
      <c r="P478" s="123"/>
      <c r="Q478" s="123"/>
      <c r="R478" s="123"/>
      <c r="S478" s="123"/>
      <c r="T478" s="123"/>
      <c r="U478" s="157"/>
      <c r="V478" s="123"/>
      <c r="W478" s="123"/>
      <c r="X478" s="123"/>
      <c r="Y478" s="128"/>
      <c r="Z478" s="128"/>
      <c r="AA478" s="128"/>
      <c r="AB478" s="128"/>
      <c r="AC478" s="128"/>
    </row>
    <row r="479" spans="1:29">
      <c r="A479" s="128"/>
      <c r="B479" s="132"/>
      <c r="C479" s="123"/>
      <c r="D479" s="127"/>
      <c r="E479" s="12"/>
      <c r="F479" s="12"/>
      <c r="G479" s="10"/>
      <c r="H479" s="10"/>
      <c r="I479" s="123"/>
      <c r="J479" s="123"/>
      <c r="K479" s="123"/>
      <c r="L479" s="123"/>
      <c r="M479" s="123"/>
      <c r="N479" s="123"/>
      <c r="O479" s="123"/>
      <c r="P479" s="123"/>
      <c r="Q479" s="123"/>
      <c r="R479" s="123"/>
      <c r="S479" s="123"/>
      <c r="T479" s="123"/>
      <c r="U479" s="157"/>
      <c r="V479" s="123"/>
      <c r="W479" s="123"/>
      <c r="X479" s="123"/>
      <c r="Y479" s="128"/>
      <c r="Z479" s="128"/>
      <c r="AA479" s="128"/>
      <c r="AB479" s="128"/>
      <c r="AC479" s="128"/>
    </row>
    <row r="480" spans="1:29">
      <c r="A480" s="2"/>
      <c r="B480" s="11"/>
      <c r="C480" s="10"/>
      <c r="D480" s="63"/>
      <c r="E480" s="12"/>
      <c r="F480" s="12"/>
      <c r="G480" s="10"/>
      <c r="H480" s="10"/>
      <c r="I480" s="10"/>
      <c r="J480" s="10"/>
      <c r="K480" s="10"/>
      <c r="L480" s="10"/>
      <c r="M480" s="10"/>
      <c r="N480" s="10"/>
      <c r="O480" s="10"/>
      <c r="P480" s="10"/>
      <c r="Q480" s="10"/>
      <c r="R480" s="10"/>
      <c r="S480" s="10"/>
      <c r="T480" s="10"/>
      <c r="U480" s="151"/>
      <c r="V480" s="77"/>
      <c r="W480" s="77"/>
      <c r="X480" s="77"/>
      <c r="Y480" s="2"/>
      <c r="Z480" s="2"/>
      <c r="AA480" s="2"/>
      <c r="AB480" s="2"/>
      <c r="AC480" s="2"/>
    </row>
    <row r="481" spans="1:29">
      <c r="A481" s="2"/>
      <c r="B481" s="11"/>
      <c r="C481" s="10"/>
      <c r="D481" s="63"/>
      <c r="E481" s="10"/>
      <c r="F481" s="10"/>
      <c r="G481" s="10"/>
      <c r="H481" s="10"/>
      <c r="I481" s="10"/>
      <c r="J481" s="10"/>
      <c r="K481" s="10"/>
      <c r="L481" s="10"/>
      <c r="M481" s="10"/>
      <c r="N481" s="10"/>
      <c r="O481" s="10"/>
      <c r="P481" s="10"/>
      <c r="Q481" s="10"/>
      <c r="R481" s="10"/>
      <c r="S481" s="10"/>
      <c r="T481" s="10"/>
      <c r="U481" s="151"/>
      <c r="V481" s="77"/>
      <c r="W481" s="77"/>
      <c r="X481" s="77"/>
      <c r="Y481" s="2"/>
      <c r="Z481" s="2"/>
      <c r="AA481" s="2"/>
      <c r="AB481" s="2"/>
      <c r="AC481" s="2"/>
    </row>
    <row r="482" spans="1:29">
      <c r="A482" s="2"/>
      <c r="B482" s="18" t="s">
        <v>51</v>
      </c>
      <c r="C482" s="14"/>
      <c r="D482" s="14"/>
      <c r="E482" s="14"/>
      <c r="F482" s="13" t="s">
        <v>52</v>
      </c>
      <c r="G482" s="14"/>
      <c r="H482" s="14"/>
      <c r="I482" s="14"/>
      <c r="J482" s="14"/>
      <c r="K482" s="13" t="s">
        <v>3</v>
      </c>
      <c r="L482" s="14"/>
      <c r="M482" s="14"/>
      <c r="N482" s="13" t="s">
        <v>4</v>
      </c>
      <c r="O482" s="14"/>
      <c r="P482" s="14"/>
      <c r="Q482" s="13" t="s">
        <v>5</v>
      </c>
      <c r="R482" s="14"/>
      <c r="S482" s="14"/>
      <c r="T482" s="18"/>
      <c r="U482" s="161" t="s">
        <v>53</v>
      </c>
      <c r="V482" s="77"/>
      <c r="W482" s="77"/>
      <c r="X482" s="77"/>
      <c r="Y482" s="2"/>
      <c r="Z482" s="2"/>
      <c r="AA482" s="2"/>
      <c r="AB482" s="2"/>
      <c r="AC482" s="2"/>
    </row>
    <row r="483" spans="1:29">
      <c r="A483" s="2"/>
      <c r="B483" s="24" t="s">
        <v>54</v>
      </c>
      <c r="C483" s="21" t="s">
        <v>55</v>
      </c>
      <c r="D483" s="21" t="s">
        <v>56</v>
      </c>
      <c r="E483" s="21" t="s">
        <v>57</v>
      </c>
      <c r="F483" s="20" t="s">
        <v>58</v>
      </c>
      <c r="G483" s="21" t="s">
        <v>59</v>
      </c>
      <c r="H483" s="21" t="s">
        <v>60</v>
      </c>
      <c r="I483" s="21" t="s">
        <v>26</v>
      </c>
      <c r="J483" s="22" t="s">
        <v>61</v>
      </c>
      <c r="K483" s="21" t="s">
        <v>8</v>
      </c>
      <c r="L483" s="21" t="s">
        <v>9</v>
      </c>
      <c r="M483" s="21" t="s">
        <v>10</v>
      </c>
      <c r="N483" s="20" t="s">
        <v>11</v>
      </c>
      <c r="O483" s="21" t="s">
        <v>12</v>
      </c>
      <c r="P483" s="22" t="s">
        <v>13</v>
      </c>
      <c r="Q483" s="21" t="s">
        <v>11</v>
      </c>
      <c r="R483" s="21" t="s">
        <v>12</v>
      </c>
      <c r="S483" s="21" t="s">
        <v>13</v>
      </c>
      <c r="T483" s="78" t="s">
        <v>14</v>
      </c>
      <c r="U483" s="162"/>
      <c r="V483" s="79" t="s">
        <v>62</v>
      </c>
      <c r="W483" s="80" t="s">
        <v>63</v>
      </c>
      <c r="X483" s="81" t="s">
        <v>64</v>
      </c>
      <c r="Y483" s="2"/>
      <c r="Z483" s="2"/>
      <c r="AA483" s="2"/>
      <c r="AB483" s="2"/>
      <c r="AC483" s="2"/>
    </row>
    <row r="484" spans="1:29">
      <c r="A484" s="2"/>
      <c r="B484" s="4" t="s">
        <v>65</v>
      </c>
      <c r="C484" s="6"/>
      <c r="D484" s="6"/>
      <c r="E484" s="6"/>
      <c r="F484" s="6"/>
      <c r="G484" s="6"/>
      <c r="H484" s="6"/>
      <c r="I484" s="82"/>
      <c r="J484" s="6"/>
      <c r="K484" s="6"/>
      <c r="L484" s="6"/>
      <c r="M484" s="6"/>
      <c r="N484" s="6"/>
      <c r="O484" s="6"/>
      <c r="P484" s="6"/>
      <c r="Q484" s="6"/>
      <c r="R484" s="6"/>
      <c r="S484" s="6"/>
      <c r="T484" s="83"/>
      <c r="U484" s="163"/>
      <c r="V484" s="84"/>
      <c r="W484" s="85"/>
      <c r="X484" s="86"/>
      <c r="Y484" s="2"/>
      <c r="Z484" s="2"/>
      <c r="AA484" s="2"/>
      <c r="AB484" s="2"/>
      <c r="AC484" s="2"/>
    </row>
    <row r="485" spans="1:29">
      <c r="A485" s="388">
        <v>45881</v>
      </c>
      <c r="B485" s="87">
        <v>1</v>
      </c>
      <c r="C485" s="274">
        <v>45880</v>
      </c>
      <c r="D485" s="320" t="s">
        <v>3315</v>
      </c>
      <c r="E485" s="276" t="s">
        <v>973</v>
      </c>
      <c r="F485" s="277">
        <v>814</v>
      </c>
      <c r="G485" s="277">
        <f>39.7</f>
        <v>39.700000000000003</v>
      </c>
      <c r="H485" s="297"/>
      <c r="I485" s="321">
        <f>F485-G485-H485</f>
        <v>774.3</v>
      </c>
      <c r="J485" s="279" t="s">
        <v>156</v>
      </c>
      <c r="K485" s="279">
        <v>1</v>
      </c>
      <c r="L485" s="279">
        <v>1</v>
      </c>
      <c r="M485" s="279">
        <v>1</v>
      </c>
      <c r="N485" s="279">
        <v>1</v>
      </c>
      <c r="O485" s="279">
        <v>1</v>
      </c>
      <c r="P485" s="279">
        <v>1</v>
      </c>
      <c r="Q485" s="279">
        <v>1</v>
      </c>
      <c r="R485" s="279">
        <v>1</v>
      </c>
      <c r="S485" s="328">
        <v>0</v>
      </c>
      <c r="T485" s="63"/>
      <c r="U485" s="94" t="s">
        <v>3316</v>
      </c>
      <c r="V485" s="90">
        <f>89.54+805.86</f>
        <v>895.4</v>
      </c>
      <c r="W485" s="91"/>
      <c r="X485" s="92"/>
      <c r="Y485" s="2"/>
      <c r="Z485" s="2"/>
      <c r="AA485" s="2"/>
      <c r="AB485" s="2"/>
      <c r="AC485" s="2"/>
    </row>
    <row r="486" spans="1:29">
      <c r="A486" s="388">
        <v>45881</v>
      </c>
      <c r="B486" s="87">
        <f>B485+1</f>
        <v>2</v>
      </c>
      <c r="C486" s="295">
        <v>45880</v>
      </c>
      <c r="D486" s="323" t="s">
        <v>3317</v>
      </c>
      <c r="E486" s="10" t="s">
        <v>973</v>
      </c>
      <c r="F486" s="62">
        <v>18161</v>
      </c>
      <c r="G486" s="62">
        <f>39.7+(23.76+951.61-19.23)+1500</f>
        <v>2495.84</v>
      </c>
      <c r="H486" s="62"/>
      <c r="I486" s="89">
        <f>F486-G486-H486</f>
        <v>15665.16</v>
      </c>
      <c r="J486" s="63" t="s">
        <v>228</v>
      </c>
      <c r="K486" s="63">
        <v>1</v>
      </c>
      <c r="L486" s="63">
        <v>1</v>
      </c>
      <c r="M486" s="63">
        <v>1</v>
      </c>
      <c r="N486" s="63">
        <v>1</v>
      </c>
      <c r="O486" s="63">
        <v>1</v>
      </c>
      <c r="P486" s="63">
        <v>1</v>
      </c>
      <c r="Q486" s="63">
        <v>1</v>
      </c>
      <c r="R486" s="63">
        <v>1</v>
      </c>
      <c r="S486" s="296">
        <v>1</v>
      </c>
      <c r="T486" s="63"/>
      <c r="U486" s="94" t="s">
        <v>3318</v>
      </c>
      <c r="V486" s="90">
        <f>1997.73+7979.37+10000</f>
        <v>19977.099999999999</v>
      </c>
      <c r="W486" s="91"/>
      <c r="X486" s="92"/>
      <c r="Y486" s="2"/>
      <c r="Z486" s="2"/>
      <c r="AA486" s="2"/>
      <c r="AB486" s="2"/>
      <c r="AC486" s="2"/>
    </row>
    <row r="487" spans="1:29">
      <c r="A487" s="2"/>
      <c r="B487" s="87">
        <f>B486+1</f>
        <v>3</v>
      </c>
      <c r="C487" s="282">
        <v>45880</v>
      </c>
      <c r="D487" s="368">
        <v>72208</v>
      </c>
      <c r="E487" s="283" t="s">
        <v>1055</v>
      </c>
      <c r="F487" s="284">
        <v>1134.9000000000001</v>
      </c>
      <c r="G487" s="284">
        <f>39.7+(65.45)</f>
        <v>105.15</v>
      </c>
      <c r="H487" s="284"/>
      <c r="I487" s="300">
        <f t="shared" ref="I487:I500" si="106">F487-G487-H487</f>
        <v>1029.75</v>
      </c>
      <c r="J487" s="286" t="s">
        <v>236</v>
      </c>
      <c r="K487" s="286">
        <v>1</v>
      </c>
      <c r="L487" s="286">
        <v>1</v>
      </c>
      <c r="M487" s="332">
        <v>0</v>
      </c>
      <c r="N487" s="286">
        <v>1</v>
      </c>
      <c r="O487" s="286">
        <v>1</v>
      </c>
      <c r="P487" s="286">
        <v>1</v>
      </c>
      <c r="Q487" s="286">
        <v>1</v>
      </c>
      <c r="R487" s="286">
        <v>1</v>
      </c>
      <c r="S487" s="287">
        <v>1</v>
      </c>
      <c r="T487" s="63"/>
      <c r="U487" s="94" t="s">
        <v>3319</v>
      </c>
      <c r="V487" s="90">
        <f>124.84+723.55</f>
        <v>848.39</v>
      </c>
      <c r="W487" s="440">
        <v>400</v>
      </c>
      <c r="X487" s="92"/>
      <c r="Y487" s="2"/>
      <c r="Z487" s="2"/>
      <c r="AA487" s="2"/>
      <c r="AB487" s="2"/>
      <c r="AC487" s="2"/>
    </row>
    <row r="488" spans="1:29">
      <c r="A488" s="93"/>
      <c r="B488" s="87">
        <f t="shared" ref="B488:B500" si="107">B487+1</f>
        <v>4</v>
      </c>
      <c r="C488" s="295">
        <v>45881</v>
      </c>
      <c r="D488" s="323">
        <v>72274</v>
      </c>
      <c r="E488" s="10" t="s">
        <v>1062</v>
      </c>
      <c r="F488" s="62">
        <v>1264</v>
      </c>
      <c r="G488" s="62">
        <f>39.7+(70.69)</f>
        <v>110.39</v>
      </c>
      <c r="H488" s="62"/>
      <c r="I488" s="89">
        <f t="shared" si="106"/>
        <v>1153.6099999999999</v>
      </c>
      <c r="J488" s="63" t="s">
        <v>156</v>
      </c>
      <c r="K488" s="63">
        <v>1</v>
      </c>
      <c r="L488" s="63">
        <v>1</v>
      </c>
      <c r="M488" s="63">
        <v>1</v>
      </c>
      <c r="N488" s="63">
        <v>1</v>
      </c>
      <c r="O488" s="63">
        <v>1</v>
      </c>
      <c r="P488" s="63">
        <v>1</v>
      </c>
      <c r="Q488" s="63">
        <v>1</v>
      </c>
      <c r="R488" s="63">
        <v>1</v>
      </c>
      <c r="S488" s="296">
        <v>1</v>
      </c>
      <c r="T488" s="63"/>
      <c r="U488" s="94"/>
      <c r="V488" s="90">
        <f>139.04+1251.36</f>
        <v>1390.3999999999999</v>
      </c>
      <c r="W488" s="91"/>
      <c r="X488" s="92"/>
      <c r="Y488" s="2"/>
      <c r="Z488" s="2"/>
      <c r="AA488" s="2"/>
      <c r="AB488" s="2"/>
      <c r="AC488" s="2"/>
    </row>
    <row r="489" spans="1:29">
      <c r="A489" s="2"/>
      <c r="B489" s="87">
        <f t="shared" si="107"/>
        <v>5</v>
      </c>
      <c r="C489" s="295">
        <v>45881</v>
      </c>
      <c r="D489" s="323">
        <v>72284</v>
      </c>
      <c r="E489" s="10" t="s">
        <v>1062</v>
      </c>
      <c r="F489" s="62">
        <v>1138</v>
      </c>
      <c r="G489" s="62">
        <f>39.7+(69.54)</f>
        <v>109.24000000000001</v>
      </c>
      <c r="H489" s="62"/>
      <c r="I489" s="89">
        <f t="shared" si="106"/>
        <v>1028.76</v>
      </c>
      <c r="J489" s="63" t="s">
        <v>156</v>
      </c>
      <c r="K489" s="63">
        <v>1</v>
      </c>
      <c r="L489" s="63">
        <v>1</v>
      </c>
      <c r="M489" s="63">
        <v>1</v>
      </c>
      <c r="N489" s="63">
        <v>1</v>
      </c>
      <c r="O489" s="63">
        <v>1</v>
      </c>
      <c r="P489" s="63">
        <v>1</v>
      </c>
      <c r="Q489" s="63">
        <v>1</v>
      </c>
      <c r="R489" s="63">
        <v>1</v>
      </c>
      <c r="S489" s="296">
        <v>1</v>
      </c>
      <c r="T489" s="21">
        <v>1</v>
      </c>
      <c r="U489" s="94" t="s">
        <v>3320</v>
      </c>
      <c r="V489" s="90">
        <f>125.18+1126.62</f>
        <v>1251.8</v>
      </c>
      <c r="W489" s="91"/>
      <c r="X489" s="92"/>
      <c r="Y489" s="2"/>
      <c r="Z489" s="2"/>
      <c r="AA489" s="2"/>
      <c r="AB489" s="2"/>
      <c r="AC489" s="2"/>
    </row>
    <row r="490" spans="1:29">
      <c r="A490" s="2"/>
      <c r="B490" s="87">
        <f t="shared" si="107"/>
        <v>6</v>
      </c>
      <c r="C490" s="274">
        <v>45882</v>
      </c>
      <c r="D490" s="327">
        <v>72285</v>
      </c>
      <c r="E490" s="276" t="s">
        <v>216</v>
      </c>
      <c r="F490" s="277">
        <v>688</v>
      </c>
      <c r="G490" s="277"/>
      <c r="H490" s="277"/>
      <c r="I490" s="278">
        <f t="shared" si="106"/>
        <v>688</v>
      </c>
      <c r="J490" s="279" t="s">
        <v>156</v>
      </c>
      <c r="K490" s="279">
        <v>1</v>
      </c>
      <c r="L490" s="279">
        <v>1</v>
      </c>
      <c r="M490" s="279">
        <v>1</v>
      </c>
      <c r="N490" s="279">
        <v>1</v>
      </c>
      <c r="O490" s="279">
        <v>1</v>
      </c>
      <c r="P490" s="279">
        <v>1</v>
      </c>
      <c r="Q490" s="279">
        <v>1</v>
      </c>
      <c r="R490" s="279">
        <v>1</v>
      </c>
      <c r="S490" s="280">
        <v>1</v>
      </c>
      <c r="T490" s="21">
        <v>1</v>
      </c>
      <c r="U490" s="94"/>
      <c r="V490" s="90">
        <f>75.68+681.12</f>
        <v>756.8</v>
      </c>
      <c r="W490" s="91"/>
      <c r="X490" s="92"/>
      <c r="Y490" s="2"/>
      <c r="Z490" s="2"/>
      <c r="AA490" s="2"/>
      <c r="AB490" s="2"/>
      <c r="AC490" s="2"/>
    </row>
    <row r="491" spans="1:29">
      <c r="A491" s="2"/>
      <c r="B491" s="87">
        <f t="shared" si="107"/>
        <v>7</v>
      </c>
      <c r="C491" s="295">
        <v>45882</v>
      </c>
      <c r="D491" s="323">
        <v>72192</v>
      </c>
      <c r="E491" s="10" t="s">
        <v>809</v>
      </c>
      <c r="F491" s="62">
        <v>681</v>
      </c>
      <c r="G491" s="62"/>
      <c r="H491" s="88"/>
      <c r="I491" s="89">
        <f t="shared" si="106"/>
        <v>681</v>
      </c>
      <c r="J491" s="63" t="s">
        <v>156</v>
      </c>
      <c r="K491" s="63">
        <v>1</v>
      </c>
      <c r="L491" s="63">
        <v>1</v>
      </c>
      <c r="M491" s="63">
        <v>1</v>
      </c>
      <c r="N491" s="63">
        <v>1</v>
      </c>
      <c r="O491" s="63">
        <v>1</v>
      </c>
      <c r="P491" s="63">
        <v>1</v>
      </c>
      <c r="Q491" s="63">
        <v>1</v>
      </c>
      <c r="R491" s="63">
        <v>1</v>
      </c>
      <c r="S491" s="296">
        <v>1</v>
      </c>
      <c r="T491" s="63"/>
      <c r="U491" s="94"/>
      <c r="V491" s="90">
        <f>74.91+674.19</f>
        <v>749.1</v>
      </c>
      <c r="W491" s="91"/>
      <c r="X491" s="92"/>
      <c r="Y491" s="2"/>
      <c r="Z491" s="2"/>
      <c r="AA491" s="2"/>
      <c r="AB491" s="2"/>
      <c r="AC491" s="2"/>
    </row>
    <row r="492" spans="1:29">
      <c r="A492" s="388">
        <v>45883</v>
      </c>
      <c r="B492" s="87">
        <f>B491+1</f>
        <v>8</v>
      </c>
      <c r="C492" s="586">
        <v>45882</v>
      </c>
      <c r="D492" s="323">
        <v>72286</v>
      </c>
      <c r="E492" s="3" t="s">
        <v>809</v>
      </c>
      <c r="F492" s="585">
        <v>3847</v>
      </c>
      <c r="G492" s="585">
        <f>39.7+200</f>
        <v>239.7</v>
      </c>
      <c r="H492" s="585"/>
      <c r="I492" s="587">
        <f t="shared" ref="I492" si="108">F492-G492-H492</f>
        <v>3607.3</v>
      </c>
      <c r="J492" s="537" t="s">
        <v>156</v>
      </c>
      <c r="K492" s="537">
        <v>1</v>
      </c>
      <c r="L492" s="537">
        <v>1</v>
      </c>
      <c r="M492" s="537">
        <v>1</v>
      </c>
      <c r="N492" s="537">
        <v>1</v>
      </c>
      <c r="O492" s="537">
        <v>1</v>
      </c>
      <c r="P492" s="537">
        <v>1</v>
      </c>
      <c r="Q492" s="325">
        <v>0</v>
      </c>
      <c r="R492" s="325">
        <v>0</v>
      </c>
      <c r="S492" s="326">
        <v>0</v>
      </c>
      <c r="T492" s="537"/>
      <c r="U492" s="164" t="s">
        <v>3321</v>
      </c>
      <c r="V492" s="551">
        <f>423.17+3808.53</f>
        <v>4231.7</v>
      </c>
      <c r="W492" s="91"/>
      <c r="X492" s="92"/>
      <c r="Y492" s="2"/>
      <c r="Z492" s="2"/>
      <c r="AA492" s="2"/>
      <c r="AB492" s="2"/>
      <c r="AC492" s="2"/>
    </row>
    <row r="493" spans="1:29">
      <c r="A493" s="2"/>
      <c r="B493" s="87">
        <f>B492+1</f>
        <v>9</v>
      </c>
      <c r="C493" s="282">
        <v>45882</v>
      </c>
      <c r="D493" s="368">
        <v>72294</v>
      </c>
      <c r="E493" s="283" t="s">
        <v>1217</v>
      </c>
      <c r="F493" s="284">
        <v>2861</v>
      </c>
      <c r="G493" s="284">
        <f>39.7</f>
        <v>39.700000000000003</v>
      </c>
      <c r="H493" s="315"/>
      <c r="I493" s="331">
        <f>F493-G493-H493</f>
        <v>2821.3</v>
      </c>
      <c r="J493" s="286" t="s">
        <v>156</v>
      </c>
      <c r="K493" s="286">
        <v>1</v>
      </c>
      <c r="L493" s="286">
        <v>1</v>
      </c>
      <c r="M493" s="286">
        <v>1</v>
      </c>
      <c r="N493" s="286">
        <v>1</v>
      </c>
      <c r="O493" s="286">
        <v>1</v>
      </c>
      <c r="P493" s="286">
        <v>1</v>
      </c>
      <c r="Q493" s="286">
        <v>1</v>
      </c>
      <c r="R493" s="286">
        <v>1</v>
      </c>
      <c r="S493" s="287">
        <v>1</v>
      </c>
      <c r="T493" s="63"/>
      <c r="U493" s="94" t="s">
        <v>3322</v>
      </c>
      <c r="V493" s="90">
        <f>314.71+2832.39</f>
        <v>3147.1</v>
      </c>
      <c r="W493" s="91"/>
      <c r="X493" s="92"/>
      <c r="Y493" s="2"/>
      <c r="Z493" s="2"/>
      <c r="AA493" s="2"/>
      <c r="AB493" s="2"/>
      <c r="AC493" s="2"/>
    </row>
    <row r="494" spans="1:29">
      <c r="A494" s="2"/>
      <c r="B494" s="87">
        <f t="shared" si="107"/>
        <v>10</v>
      </c>
      <c r="C494" s="295">
        <v>45883</v>
      </c>
      <c r="D494" s="323">
        <v>72291</v>
      </c>
      <c r="E494" s="10" t="s">
        <v>3323</v>
      </c>
      <c r="F494" s="62">
        <v>2276</v>
      </c>
      <c r="G494" s="62">
        <f>39.7+(164.19)</f>
        <v>203.89</v>
      </c>
      <c r="H494" s="88"/>
      <c r="I494" s="89">
        <f>F494-G494-H494</f>
        <v>2072.11</v>
      </c>
      <c r="J494" s="63" t="s">
        <v>156</v>
      </c>
      <c r="K494" s="63">
        <v>1</v>
      </c>
      <c r="L494" s="63">
        <v>1</v>
      </c>
      <c r="M494" s="63">
        <v>1</v>
      </c>
      <c r="N494" s="63">
        <v>1</v>
      </c>
      <c r="O494" s="63">
        <v>1</v>
      </c>
      <c r="P494" s="63">
        <v>1</v>
      </c>
      <c r="Q494" s="63">
        <v>1</v>
      </c>
      <c r="R494" s="63">
        <v>1</v>
      </c>
      <c r="S494" s="296">
        <v>1</v>
      </c>
      <c r="T494" s="21">
        <v>1</v>
      </c>
      <c r="U494" s="94"/>
      <c r="V494" s="90">
        <f>250.36+2253.24</f>
        <v>2503.6</v>
      </c>
      <c r="W494" s="91"/>
      <c r="X494" s="92"/>
      <c r="Y494" s="2"/>
      <c r="Z494" s="2"/>
      <c r="AA494" s="2"/>
      <c r="AB494" s="2"/>
      <c r="AC494" s="2"/>
    </row>
    <row r="495" spans="1:29">
      <c r="A495" s="2"/>
      <c r="B495" s="87">
        <f t="shared" si="107"/>
        <v>11</v>
      </c>
      <c r="C495" s="295">
        <v>45883</v>
      </c>
      <c r="D495" s="323">
        <v>72334</v>
      </c>
      <c r="E495" s="10" t="s">
        <v>2259</v>
      </c>
      <c r="F495" s="62">
        <v>681</v>
      </c>
      <c r="G495" s="62"/>
      <c r="H495" s="88"/>
      <c r="I495" s="89">
        <f>F495-G495-H495</f>
        <v>681</v>
      </c>
      <c r="J495" s="63" t="s">
        <v>156</v>
      </c>
      <c r="K495" s="63">
        <v>1</v>
      </c>
      <c r="L495" s="63">
        <v>1</v>
      </c>
      <c r="M495" s="63">
        <v>1</v>
      </c>
      <c r="N495" s="63">
        <v>1</v>
      </c>
      <c r="O495" s="63">
        <v>1</v>
      </c>
      <c r="P495" s="63">
        <v>1</v>
      </c>
      <c r="Q495" s="63">
        <v>1</v>
      </c>
      <c r="R495" s="63">
        <v>1</v>
      </c>
      <c r="S495" s="296">
        <v>1</v>
      </c>
      <c r="T495" s="63"/>
      <c r="U495" s="94"/>
      <c r="V495" s="90">
        <f>74.91+674.19</f>
        <v>749.1</v>
      </c>
      <c r="W495" s="91"/>
      <c r="X495" s="92"/>
      <c r="Y495" s="2"/>
      <c r="Z495" s="2"/>
      <c r="AA495" s="2"/>
      <c r="AB495" s="2"/>
      <c r="AC495" s="2"/>
    </row>
    <row r="496" spans="1:29">
      <c r="A496" s="2" t="s">
        <v>3324</v>
      </c>
      <c r="B496" s="87">
        <f t="shared" si="107"/>
        <v>12</v>
      </c>
      <c r="C496" s="295">
        <v>45883</v>
      </c>
      <c r="D496" s="323">
        <v>72331</v>
      </c>
      <c r="E496" s="10" t="s">
        <v>168</v>
      </c>
      <c r="F496" s="62">
        <v>1264</v>
      </c>
      <c r="G496" s="62">
        <v>39.700000000000003</v>
      </c>
      <c r="H496" s="88"/>
      <c r="I496" s="89">
        <f>F496-G496-H496</f>
        <v>1224.3</v>
      </c>
      <c r="J496" s="63" t="s">
        <v>156</v>
      </c>
      <c r="K496" s="63">
        <v>1</v>
      </c>
      <c r="L496" s="63">
        <v>1</v>
      </c>
      <c r="M496" s="63">
        <v>1</v>
      </c>
      <c r="N496" s="63">
        <v>1</v>
      </c>
      <c r="O496" s="63">
        <v>1</v>
      </c>
      <c r="P496" s="63">
        <v>1</v>
      </c>
      <c r="Q496" s="63">
        <v>1</v>
      </c>
      <c r="R496" s="63">
        <v>1</v>
      </c>
      <c r="S496" s="296">
        <v>1</v>
      </c>
      <c r="T496" s="63"/>
      <c r="U496" s="94" t="s">
        <v>3325</v>
      </c>
      <c r="V496" s="90">
        <f>139.04+1251.36</f>
        <v>1390.3999999999999</v>
      </c>
      <c r="W496" s="91"/>
      <c r="X496" s="92"/>
      <c r="Y496" s="2"/>
      <c r="Z496" s="2"/>
      <c r="AA496" s="2"/>
      <c r="AB496" s="2"/>
      <c r="AC496" s="2"/>
    </row>
    <row r="497" spans="1:29">
      <c r="A497" s="2"/>
      <c r="B497" s="87">
        <f t="shared" si="107"/>
        <v>13</v>
      </c>
      <c r="C497" s="274">
        <v>45884</v>
      </c>
      <c r="D497" s="327">
        <v>72200</v>
      </c>
      <c r="E497" s="276" t="s">
        <v>769</v>
      </c>
      <c r="F497" s="447">
        <v>1261</v>
      </c>
      <c r="G497" s="277">
        <f>39.7</f>
        <v>39.700000000000003</v>
      </c>
      <c r="H497" s="277"/>
      <c r="I497" s="278">
        <f t="shared" si="106"/>
        <v>1221.3</v>
      </c>
      <c r="J497" s="279" t="s">
        <v>156</v>
      </c>
      <c r="K497" s="279">
        <v>1</v>
      </c>
      <c r="L497" s="279">
        <v>1</v>
      </c>
      <c r="M497" s="279">
        <v>1</v>
      </c>
      <c r="N497" s="279">
        <v>1</v>
      </c>
      <c r="O497" s="279">
        <v>1</v>
      </c>
      <c r="P497" s="279">
        <v>1</v>
      </c>
      <c r="Q497" s="279">
        <v>1</v>
      </c>
      <c r="R497" s="279">
        <v>1</v>
      </c>
      <c r="S497" s="280">
        <v>1</v>
      </c>
      <c r="T497" s="63"/>
      <c r="U497" s="94"/>
      <c r="V497" s="90">
        <f>138.71+1248.39</f>
        <v>1387.1000000000001</v>
      </c>
      <c r="W497" s="91"/>
      <c r="X497" s="92"/>
      <c r="Y497" s="2"/>
      <c r="Z497" s="2"/>
      <c r="AA497" s="2"/>
      <c r="AB497" s="2"/>
      <c r="AC497" s="2"/>
    </row>
    <row r="498" spans="1:29">
      <c r="A498" s="2"/>
      <c r="B498" s="87">
        <f t="shared" si="107"/>
        <v>14</v>
      </c>
      <c r="C498" s="295">
        <v>45884</v>
      </c>
      <c r="D498" s="323">
        <v>72330</v>
      </c>
      <c r="E498" s="10" t="s">
        <v>769</v>
      </c>
      <c r="F498" s="95">
        <f>766-85</f>
        <v>681</v>
      </c>
      <c r="G498" s="62"/>
      <c r="H498" s="62"/>
      <c r="I498" s="89">
        <f t="shared" si="106"/>
        <v>681</v>
      </c>
      <c r="J498" s="63" t="s">
        <v>156</v>
      </c>
      <c r="K498" s="63">
        <v>1</v>
      </c>
      <c r="L498" s="63">
        <v>1</v>
      </c>
      <c r="M498" s="63">
        <v>1</v>
      </c>
      <c r="N498" s="63">
        <v>1</v>
      </c>
      <c r="O498" s="63">
        <v>1</v>
      </c>
      <c r="P498" s="63">
        <v>1</v>
      </c>
      <c r="Q498" s="63">
        <v>1</v>
      </c>
      <c r="R498" s="63">
        <v>1</v>
      </c>
      <c r="S498" s="296">
        <v>1</v>
      </c>
      <c r="T498" s="21">
        <v>1</v>
      </c>
      <c r="U498" s="94"/>
      <c r="V498" s="90">
        <f>93.5+74.91+674.19</f>
        <v>842.6</v>
      </c>
      <c r="W498" s="91"/>
      <c r="X498" s="92"/>
      <c r="Y498" s="2"/>
      <c r="Z498" s="2"/>
      <c r="AA498" s="2"/>
      <c r="AB498" s="2"/>
      <c r="AC498" s="2"/>
    </row>
    <row r="499" spans="1:29">
      <c r="A499" s="2"/>
      <c r="B499" s="87">
        <f t="shared" si="107"/>
        <v>15</v>
      </c>
      <c r="C499" s="295">
        <v>45884</v>
      </c>
      <c r="D499" s="323">
        <v>72355</v>
      </c>
      <c r="E499" s="10" t="s">
        <v>296</v>
      </c>
      <c r="F499" s="95">
        <v>1138</v>
      </c>
      <c r="G499" s="62">
        <f>39.7</f>
        <v>39.700000000000003</v>
      </c>
      <c r="H499" s="62"/>
      <c r="I499" s="89">
        <f t="shared" si="106"/>
        <v>1098.3</v>
      </c>
      <c r="J499" s="63" t="s">
        <v>156</v>
      </c>
      <c r="K499" s="63">
        <v>1</v>
      </c>
      <c r="L499" s="63">
        <v>1</v>
      </c>
      <c r="M499" s="63">
        <v>1</v>
      </c>
      <c r="N499" s="63">
        <v>1</v>
      </c>
      <c r="O499" s="63">
        <v>1</v>
      </c>
      <c r="P499" s="63">
        <v>1</v>
      </c>
      <c r="Q499" s="63">
        <v>1</v>
      </c>
      <c r="R499" s="63">
        <v>1</v>
      </c>
      <c r="S499" s="296">
        <v>1</v>
      </c>
      <c r="T499" s="21"/>
      <c r="U499" s="94"/>
      <c r="V499" s="90">
        <f>125.18+1126.62</f>
        <v>1251.8</v>
      </c>
      <c r="W499" s="91"/>
      <c r="X499" s="92"/>
      <c r="Y499" s="2"/>
      <c r="Z499" s="2"/>
      <c r="AA499" s="2"/>
      <c r="AB499" s="2"/>
      <c r="AC499" s="2"/>
    </row>
    <row r="500" spans="1:29">
      <c r="A500" s="2"/>
      <c r="B500" s="87">
        <f t="shared" si="107"/>
        <v>16</v>
      </c>
      <c r="C500" s="282">
        <v>45884</v>
      </c>
      <c r="D500" s="330" t="s">
        <v>3326</v>
      </c>
      <c r="E500" s="283" t="s">
        <v>296</v>
      </c>
      <c r="F500" s="423">
        <v>2614</v>
      </c>
      <c r="G500" s="284">
        <f>39.7+(7.55+74.72)</f>
        <v>121.97</v>
      </c>
      <c r="H500" s="284"/>
      <c r="I500" s="285">
        <f t="shared" si="106"/>
        <v>2492.0300000000002</v>
      </c>
      <c r="J500" s="286" t="s">
        <v>156</v>
      </c>
      <c r="K500" s="286">
        <v>1</v>
      </c>
      <c r="L500" s="286">
        <v>1</v>
      </c>
      <c r="M500" s="286">
        <v>1</v>
      </c>
      <c r="N500" s="286">
        <v>1</v>
      </c>
      <c r="O500" s="286">
        <v>1</v>
      </c>
      <c r="P500" s="286">
        <v>1</v>
      </c>
      <c r="Q500" s="286">
        <v>1</v>
      </c>
      <c r="R500" s="286">
        <v>1</v>
      </c>
      <c r="S500" s="287">
        <v>1</v>
      </c>
      <c r="T500" s="21">
        <v>1</v>
      </c>
      <c r="U500" s="94"/>
      <c r="V500" s="90">
        <f>287.54+2587.86</f>
        <v>2875.4</v>
      </c>
      <c r="W500" s="91"/>
      <c r="X500" s="92"/>
      <c r="Y500" s="2"/>
      <c r="Z500" s="2"/>
      <c r="AA500" s="2"/>
      <c r="AB500" s="2"/>
      <c r="AC500" s="2"/>
    </row>
    <row r="501" spans="1:29">
      <c r="A501" s="2"/>
      <c r="B501" s="87"/>
      <c r="C501" s="36"/>
      <c r="D501" s="10"/>
      <c r="E501" s="10"/>
      <c r="F501" s="97">
        <f>SUM(F485:F500)</f>
        <v>40503.9</v>
      </c>
      <c r="G501" s="97">
        <f>SUM(G485:G500)</f>
        <v>3584.6799999999985</v>
      </c>
      <c r="H501" s="97">
        <f>SUM(H485:H500)</f>
        <v>0</v>
      </c>
      <c r="I501" s="98">
        <f>SUM(I485:I500)</f>
        <v>36919.22</v>
      </c>
      <c r="J501" s="63"/>
      <c r="K501" s="63">
        <f>COUNT(K485:K500)</f>
        <v>16</v>
      </c>
      <c r="L501" s="63">
        <f>COUNT(L485:L500)</f>
        <v>16</v>
      </c>
      <c r="M501" s="63">
        <f>COUNT(M485:M500)</f>
        <v>16</v>
      </c>
      <c r="N501" s="63">
        <f>COUNT(N485:N500)</f>
        <v>16</v>
      </c>
      <c r="O501" s="63">
        <f>COUNT(O485:O500)</f>
        <v>16</v>
      </c>
      <c r="P501" s="63">
        <f>COUNT(P485:P500)</f>
        <v>16</v>
      </c>
      <c r="Q501" s="63">
        <f>COUNT(Q485:Q500)</f>
        <v>16</v>
      </c>
      <c r="R501" s="63">
        <f>COUNT(R485:R500)</f>
        <v>16</v>
      </c>
      <c r="S501" s="63">
        <f>COUNT(S485:S500)</f>
        <v>16</v>
      </c>
      <c r="T501" s="63"/>
      <c r="U501" s="94"/>
      <c r="V501" s="90"/>
      <c r="W501" s="91"/>
      <c r="X501" s="92"/>
      <c r="Y501" s="2"/>
      <c r="Z501" s="2"/>
      <c r="AA501" s="2"/>
      <c r="AB501" s="2"/>
      <c r="AC501" s="2"/>
    </row>
    <row r="502" spans="1:29">
      <c r="A502" s="2"/>
      <c r="B502" s="87"/>
      <c r="C502" s="36"/>
      <c r="D502" s="10"/>
      <c r="E502" s="10"/>
      <c r="F502" s="88"/>
      <c r="G502" s="88"/>
      <c r="H502" s="88"/>
      <c r="I502" s="99"/>
      <c r="J502" s="63"/>
      <c r="K502" s="21">
        <f>SUM(K485:K500)</f>
        <v>16</v>
      </c>
      <c r="L502" s="21">
        <f>SUM(L485:L500)</f>
        <v>16</v>
      </c>
      <c r="M502" s="21">
        <f>SUM(M485:M500)</f>
        <v>15</v>
      </c>
      <c r="N502" s="21">
        <f>SUM(N485:N500)</f>
        <v>16</v>
      </c>
      <c r="O502" s="21">
        <f>SUM(O485:O500)</f>
        <v>16</v>
      </c>
      <c r="P502" s="21">
        <f>SUM(P485:P500)</f>
        <v>16</v>
      </c>
      <c r="Q502" s="21">
        <f>SUM(Q485:Q500)</f>
        <v>15</v>
      </c>
      <c r="R502" s="21">
        <f>SUM(R485:R500)</f>
        <v>15</v>
      </c>
      <c r="S502" s="21">
        <f>SUM(S485:S500)</f>
        <v>14</v>
      </c>
      <c r="T502" s="63"/>
      <c r="U502" s="94"/>
      <c r="V502" s="90"/>
      <c r="W502" s="91"/>
      <c r="X502" s="92"/>
      <c r="Y502" s="2"/>
      <c r="Z502" s="2"/>
      <c r="AA502" s="2"/>
      <c r="AB502" s="2"/>
      <c r="AC502" s="2"/>
    </row>
    <row r="503" spans="1:29">
      <c r="A503" s="2"/>
      <c r="B503" s="11"/>
      <c r="C503" s="36"/>
      <c r="D503" s="10"/>
      <c r="E503" s="10"/>
      <c r="F503" s="88"/>
      <c r="G503" s="88"/>
      <c r="H503" s="88"/>
      <c r="I503" s="99"/>
      <c r="J503" s="63"/>
      <c r="K503" s="21"/>
      <c r="L503" s="21"/>
      <c r="M503" s="21"/>
      <c r="N503" s="21"/>
      <c r="O503" s="21"/>
      <c r="P503" s="21"/>
      <c r="Q503" s="21"/>
      <c r="R503" s="21"/>
      <c r="S503" s="21"/>
      <c r="T503" s="63"/>
      <c r="U503" s="94"/>
      <c r="V503" s="90"/>
      <c r="W503" s="91"/>
      <c r="X503" s="92"/>
      <c r="Y503" s="2"/>
      <c r="Z503" s="2"/>
      <c r="AA503" s="2"/>
      <c r="AB503" s="2"/>
      <c r="AC503" s="2"/>
    </row>
    <row r="504" spans="1:29" s="342" customFormat="1">
      <c r="A504" s="128"/>
      <c r="B504" s="121" t="s">
        <v>70</v>
      </c>
      <c r="C504" s="122"/>
      <c r="D504" s="123"/>
      <c r="E504" s="128"/>
      <c r="F504" s="124"/>
      <c r="G504" s="124"/>
      <c r="H504" s="124"/>
      <c r="I504" s="126"/>
      <c r="J504" s="127"/>
      <c r="K504" s="64"/>
      <c r="L504" s="64"/>
      <c r="M504" s="64"/>
      <c r="N504" s="64"/>
      <c r="O504" s="64"/>
      <c r="P504" s="64"/>
      <c r="Q504" s="64"/>
      <c r="R504" s="64"/>
      <c r="S504" s="64"/>
      <c r="T504" s="127"/>
      <c r="U504" s="135"/>
      <c r="V504" s="129"/>
      <c r="W504" s="130"/>
      <c r="X504" s="131"/>
      <c r="Y504" s="128"/>
      <c r="Z504" s="128"/>
      <c r="AA504" s="128"/>
      <c r="AB504" s="128"/>
      <c r="AC504" s="128"/>
    </row>
    <row r="505" spans="1:29" s="342" customFormat="1">
      <c r="A505" s="128" t="s">
        <v>3327</v>
      </c>
      <c r="B505" s="333">
        <v>1</v>
      </c>
      <c r="C505" s="350">
        <v>45882</v>
      </c>
      <c r="D505" s="357" t="s">
        <v>3328</v>
      </c>
      <c r="E505" s="358" t="s">
        <v>1217</v>
      </c>
      <c r="F505" s="352">
        <v>48614</v>
      </c>
      <c r="G505" s="352">
        <f>39.7+83.2+326+(16)+(F505*0.25)</f>
        <v>12618.4</v>
      </c>
      <c r="H505" s="352">
        <f>25060*0.2</f>
        <v>5012</v>
      </c>
      <c r="I505" s="353">
        <f>F505-G505-H505</f>
        <v>30983.599999999999</v>
      </c>
      <c r="J505" s="354" t="s">
        <v>185</v>
      </c>
      <c r="K505" s="354">
        <v>1</v>
      </c>
      <c r="L505" s="354"/>
      <c r="M505" s="354">
        <v>1</v>
      </c>
      <c r="N505" s="354">
        <v>1</v>
      </c>
      <c r="O505" s="354">
        <v>1</v>
      </c>
      <c r="P505" s="354">
        <v>0</v>
      </c>
      <c r="Q505" s="354"/>
      <c r="R505" s="354"/>
      <c r="S505" s="355"/>
      <c r="T505" s="127"/>
      <c r="U505" s="135" t="s">
        <v>3329</v>
      </c>
      <c r="V505" s="129">
        <f>2673.77+2000+3801.63</f>
        <v>8475.4000000000015</v>
      </c>
      <c r="W505" s="340"/>
      <c r="X505" s="341"/>
      <c r="Y505" s="128"/>
      <c r="Z505" s="128"/>
      <c r="AA505" s="128"/>
      <c r="AB505" s="128"/>
      <c r="AC505" s="128"/>
    </row>
    <row r="506" spans="1:29" s="342" customFormat="1">
      <c r="A506" s="128"/>
      <c r="B506" s="333">
        <f t="shared" ref="B506" si="109">B505+1</f>
        <v>2</v>
      </c>
      <c r="C506" s="395">
        <v>45884</v>
      </c>
      <c r="D506" s="330" t="s">
        <v>3330</v>
      </c>
      <c r="E506" s="396" t="s">
        <v>769</v>
      </c>
      <c r="F506" s="397">
        <v>8214</v>
      </c>
      <c r="G506" s="397">
        <f>39.7+1500</f>
        <v>1539.7</v>
      </c>
      <c r="H506" s="397"/>
      <c r="I506" s="398">
        <f>F506-G506-H506</f>
        <v>6674.3</v>
      </c>
      <c r="J506" s="399" t="s">
        <v>156</v>
      </c>
      <c r="K506" s="399">
        <v>1</v>
      </c>
      <c r="L506" s="399"/>
      <c r="M506" s="399">
        <v>1</v>
      </c>
      <c r="N506" s="399">
        <v>1</v>
      </c>
      <c r="O506" s="399">
        <v>1</v>
      </c>
      <c r="P506" s="399">
        <v>1</v>
      </c>
      <c r="Q506" s="399"/>
      <c r="R506" s="399"/>
      <c r="S506" s="400"/>
      <c r="T506" s="127"/>
      <c r="U506" s="135"/>
      <c r="V506" s="129">
        <f>903.54</f>
        <v>903.54</v>
      </c>
      <c r="W506" s="340"/>
      <c r="X506" s="341"/>
      <c r="Y506" s="128"/>
      <c r="Z506" s="128"/>
      <c r="AA506" s="128"/>
      <c r="AB506" s="128"/>
      <c r="AC506" s="128"/>
    </row>
    <row r="507" spans="1:29" s="342" customFormat="1">
      <c r="A507" s="128"/>
      <c r="B507" s="132"/>
      <c r="C507" s="122"/>
      <c r="D507" s="123"/>
      <c r="E507" s="123"/>
      <c r="F507" s="134">
        <f>SUM(F505:F506)</f>
        <v>56828</v>
      </c>
      <c r="G507" s="134">
        <f>SUM(G505:G506)</f>
        <v>14158.1</v>
      </c>
      <c r="H507" s="134">
        <f>SUM(H505:H506)</f>
        <v>5012</v>
      </c>
      <c r="I507" s="134">
        <f>SUM(I505:I506)</f>
        <v>37657.9</v>
      </c>
      <c r="J507" s="127"/>
      <c r="K507" s="64"/>
      <c r="L507" s="64"/>
      <c r="M507" s="64"/>
      <c r="N507" s="64"/>
      <c r="O507" s="64"/>
      <c r="P507" s="64"/>
      <c r="Q507" s="64"/>
      <c r="R507" s="64"/>
      <c r="S507" s="64"/>
      <c r="T507" s="127"/>
      <c r="U507" s="135"/>
      <c r="V507" s="129"/>
      <c r="W507" s="130"/>
      <c r="X507" s="131"/>
      <c r="Y507" s="128"/>
      <c r="Z507" s="128"/>
      <c r="AA507" s="128"/>
      <c r="AB507" s="128"/>
      <c r="AC507" s="128"/>
    </row>
    <row r="508" spans="1:29">
      <c r="A508" s="2"/>
      <c r="B508" s="11"/>
      <c r="C508" s="36"/>
      <c r="D508" s="10"/>
      <c r="E508" s="10"/>
      <c r="F508" s="88"/>
      <c r="G508" s="88"/>
      <c r="H508" s="88"/>
      <c r="I508" s="99"/>
      <c r="J508" s="10"/>
      <c r="K508" s="63"/>
      <c r="L508" s="63"/>
      <c r="M508" s="63"/>
      <c r="N508" s="63"/>
      <c r="O508" s="63"/>
      <c r="P508" s="63"/>
      <c r="Q508" s="63"/>
      <c r="R508" s="63"/>
      <c r="S508" s="63"/>
      <c r="T508" s="63"/>
      <c r="U508" s="94"/>
      <c r="V508" s="90"/>
      <c r="W508" s="91"/>
      <c r="X508" s="92"/>
      <c r="Y508" s="2"/>
      <c r="Z508" s="2"/>
      <c r="AA508" s="2"/>
      <c r="AB508" s="2"/>
      <c r="AC508" s="2"/>
    </row>
    <row r="509" spans="1:29" s="181" customFormat="1">
      <c r="B509" s="100" t="s">
        <v>152</v>
      </c>
      <c r="C509" s="270"/>
      <c r="D509" s="77"/>
      <c r="E509" s="10"/>
      <c r="F509" s="88"/>
      <c r="G509" s="62"/>
      <c r="H509" s="88"/>
      <c r="I509" s="99"/>
      <c r="J509" s="63"/>
      <c r="K509" s="63"/>
      <c r="L509" s="63"/>
      <c r="M509" s="63"/>
      <c r="N509" s="63"/>
      <c r="O509" s="63"/>
      <c r="P509" s="63"/>
      <c r="Q509" s="63"/>
      <c r="R509" s="63"/>
      <c r="S509" s="63"/>
      <c r="T509" s="63"/>
      <c r="U509" s="94"/>
      <c r="V509" s="90"/>
      <c r="W509" s="91"/>
      <c r="X509" s="92"/>
    </row>
    <row r="510" spans="1:29" s="181" customFormat="1">
      <c r="A510" s="261">
        <v>0.1</v>
      </c>
      <c r="B510" s="87">
        <v>1</v>
      </c>
      <c r="C510" s="420">
        <v>45799</v>
      </c>
      <c r="D510" s="320" t="s">
        <v>3157</v>
      </c>
      <c r="E510" s="281" t="s">
        <v>3158</v>
      </c>
      <c r="F510" s="277">
        <v>481</v>
      </c>
      <c r="G510" s="277"/>
      <c r="H510" s="277"/>
      <c r="I510" s="321">
        <f>F510-G510-H510</f>
        <v>481</v>
      </c>
      <c r="J510" s="279" t="s">
        <v>156</v>
      </c>
      <c r="K510" s="279">
        <v>1</v>
      </c>
      <c r="L510" s="279">
        <v>1</v>
      </c>
      <c r="M510" s="279">
        <v>1</v>
      </c>
      <c r="N510" s="279">
        <v>1</v>
      </c>
      <c r="O510" s="279">
        <v>1</v>
      </c>
      <c r="P510" s="322">
        <v>0</v>
      </c>
      <c r="Q510" s="322">
        <v>0</v>
      </c>
      <c r="R510" s="322">
        <v>0</v>
      </c>
      <c r="S510" s="328">
        <v>0</v>
      </c>
      <c r="T510" s="63"/>
      <c r="U510" s="94"/>
      <c r="V510" s="90"/>
      <c r="W510" s="91"/>
      <c r="X510" s="92"/>
    </row>
    <row r="511" spans="1:29" s="181" customFormat="1">
      <c r="A511" s="261">
        <v>0.1</v>
      </c>
      <c r="B511" s="87">
        <f t="shared" ref="B511" si="110">B510+1</f>
        <v>2</v>
      </c>
      <c r="C511" s="433">
        <v>45799</v>
      </c>
      <c r="D511" s="357" t="s">
        <v>3165</v>
      </c>
      <c r="E511" s="264" t="s">
        <v>3158</v>
      </c>
      <c r="F511" s="265">
        <v>5785.94</v>
      </c>
      <c r="G511" s="265">
        <f>214.82*1.1+300</f>
        <v>536.30200000000002</v>
      </c>
      <c r="H511" s="265"/>
      <c r="I511" s="266">
        <f t="shared" ref="I511:I512" si="111">F511-G511-H511</f>
        <v>5249.6379999999999</v>
      </c>
      <c r="J511" s="267"/>
      <c r="K511" s="267">
        <v>1</v>
      </c>
      <c r="L511" s="267"/>
      <c r="M511" s="267"/>
      <c r="N511" s="267">
        <v>1</v>
      </c>
      <c r="O511" s="267">
        <v>1</v>
      </c>
      <c r="P511" s="314">
        <v>0</v>
      </c>
      <c r="Q511" s="314">
        <v>0</v>
      </c>
      <c r="R511" s="314">
        <v>0</v>
      </c>
      <c r="S511" s="366">
        <v>0</v>
      </c>
      <c r="T511" s="63"/>
      <c r="U511" s="94" t="s">
        <v>3166</v>
      </c>
      <c r="V511" s="90"/>
      <c r="W511" s="136"/>
      <c r="X511" s="137"/>
    </row>
    <row r="512" spans="1:29" s="181" customFormat="1">
      <c r="A512" s="261">
        <v>0.1</v>
      </c>
      <c r="B512" s="87">
        <f>B511+1</f>
        <v>3</v>
      </c>
      <c r="C512" s="433">
        <v>45818</v>
      </c>
      <c r="D512" s="357">
        <v>701386</v>
      </c>
      <c r="E512" s="264" t="s">
        <v>3159</v>
      </c>
      <c r="F512" s="265">
        <f>3046-185</f>
        <v>2861</v>
      </c>
      <c r="G512" s="265">
        <f>+(64.82)</f>
        <v>64.819999999999993</v>
      </c>
      <c r="H512" s="265"/>
      <c r="I512" s="272">
        <f t="shared" si="111"/>
        <v>2796.18</v>
      </c>
      <c r="J512" s="267" t="s">
        <v>156</v>
      </c>
      <c r="K512" s="267">
        <v>1</v>
      </c>
      <c r="L512" s="267">
        <v>1</v>
      </c>
      <c r="M512" s="267">
        <v>1</v>
      </c>
      <c r="N512" s="267">
        <v>1</v>
      </c>
      <c r="O512" s="267">
        <v>1</v>
      </c>
      <c r="P512" s="267">
        <v>1</v>
      </c>
      <c r="Q512" s="267">
        <v>1</v>
      </c>
      <c r="R512" s="267">
        <v>1</v>
      </c>
      <c r="S512" s="269">
        <v>1</v>
      </c>
      <c r="T512" s="63"/>
      <c r="U512" s="94"/>
      <c r="V512" s="90"/>
      <c r="W512" s="91"/>
      <c r="X512" s="92"/>
    </row>
    <row r="513" spans="1:31" s="260" customFormat="1">
      <c r="A513" s="261">
        <v>0.1</v>
      </c>
      <c r="B513" s="87">
        <f>B512+1</f>
        <v>4</v>
      </c>
      <c r="C513" s="262">
        <v>45861</v>
      </c>
      <c r="D513" s="263">
        <v>71688</v>
      </c>
      <c r="E513" s="271" t="s">
        <v>604</v>
      </c>
      <c r="F513" s="265">
        <v>581</v>
      </c>
      <c r="G513" s="265"/>
      <c r="H513" s="265"/>
      <c r="I513" s="272">
        <f>F513-G513-H513</f>
        <v>581</v>
      </c>
      <c r="J513" s="267" t="s">
        <v>156</v>
      </c>
      <c r="K513" s="267">
        <v>1</v>
      </c>
      <c r="L513" s="267">
        <v>1</v>
      </c>
      <c r="M513" s="267">
        <v>1</v>
      </c>
      <c r="N513" s="267">
        <v>1</v>
      </c>
      <c r="O513" s="267">
        <v>1</v>
      </c>
      <c r="P513" s="267">
        <v>1</v>
      </c>
      <c r="Q513" s="267">
        <v>1</v>
      </c>
      <c r="R513" s="267">
        <v>1</v>
      </c>
      <c r="S513" s="269">
        <v>1</v>
      </c>
      <c r="T513" s="63"/>
      <c r="U513" s="94"/>
      <c r="V513" s="90"/>
      <c r="W513" s="136"/>
      <c r="X513" s="137"/>
      <c r="Y513" s="181"/>
      <c r="Z513" s="181"/>
      <c r="AA513" s="181"/>
      <c r="AB513" s="181"/>
      <c r="AC513" s="181"/>
    </row>
    <row r="514" spans="1:31" s="181" customFormat="1">
      <c r="B514" s="11"/>
      <c r="C514" s="270"/>
      <c r="D514" s="77"/>
      <c r="E514" s="10"/>
      <c r="F514" s="98">
        <f>SUM(F510:F513)</f>
        <v>9708.9399999999987</v>
      </c>
      <c r="G514" s="98">
        <f t="shared" ref="G514" si="112">SUM(G510:G513)</f>
        <v>601.12200000000007</v>
      </c>
      <c r="H514" s="98">
        <f t="shared" ref="H514" si="113">SUM(H510:H513)</f>
        <v>0</v>
      </c>
      <c r="I514" s="98">
        <f t="shared" ref="I514" si="114">SUM(I510:I513)</f>
        <v>9107.8179999999993</v>
      </c>
      <c r="J514" s="63"/>
      <c r="K514" s="21"/>
      <c r="L514" s="21"/>
      <c r="M514" s="21"/>
      <c r="N514" s="21"/>
      <c r="O514" s="21"/>
      <c r="P514" s="21"/>
      <c r="Q514" s="21"/>
      <c r="R514" s="21"/>
      <c r="S514" s="21"/>
      <c r="T514" s="63"/>
      <c r="U514" s="94"/>
      <c r="V514" s="90"/>
      <c r="W514" s="91"/>
      <c r="X514" s="92"/>
    </row>
    <row r="515" spans="1:31" s="181" customFormat="1">
      <c r="B515" s="11"/>
      <c r="C515" s="270"/>
      <c r="D515" s="77"/>
      <c r="E515" s="10"/>
      <c r="F515" s="88"/>
      <c r="G515" s="88"/>
      <c r="H515" s="88"/>
      <c r="I515" s="99"/>
      <c r="J515" s="63"/>
      <c r="K515" s="21"/>
      <c r="L515" s="21"/>
      <c r="M515" s="21"/>
      <c r="N515" s="21"/>
      <c r="O515" s="21"/>
      <c r="P515" s="21"/>
      <c r="Q515" s="21"/>
      <c r="R515" s="21"/>
      <c r="S515" s="21"/>
      <c r="T515" s="63"/>
      <c r="U515" s="94"/>
      <c r="V515" s="90"/>
      <c r="W515" s="91"/>
      <c r="X515" s="92"/>
    </row>
    <row r="516" spans="1:31" s="181" customFormat="1">
      <c r="A516" s="434"/>
      <c r="B516" s="100" t="s">
        <v>1521</v>
      </c>
      <c r="C516" s="435"/>
      <c r="D516" s="63"/>
      <c r="E516" s="260"/>
      <c r="F516" s="88"/>
      <c r="G516" s="88"/>
      <c r="H516" s="88"/>
      <c r="I516" s="99"/>
      <c r="J516" s="63"/>
      <c r="K516" s="21"/>
      <c r="L516" s="21"/>
      <c r="M516" s="21"/>
      <c r="N516" s="21"/>
      <c r="O516" s="21"/>
      <c r="P516" s="21"/>
      <c r="Q516" s="21"/>
      <c r="R516" s="21"/>
      <c r="S516" s="21"/>
      <c r="T516" s="63"/>
      <c r="U516" s="94"/>
      <c r="V516" s="138"/>
      <c r="W516" s="136"/>
      <c r="X516" s="92"/>
      <c r="Y516" s="260"/>
    </row>
    <row r="517" spans="1:31" s="181" customFormat="1">
      <c r="A517" s="261">
        <v>0.1</v>
      </c>
      <c r="B517" s="87">
        <v>1</v>
      </c>
      <c r="C517" s="433">
        <v>45827</v>
      </c>
      <c r="D517" s="357">
        <v>701730</v>
      </c>
      <c r="E517" s="271" t="s">
        <v>3169</v>
      </c>
      <c r="F517" s="265">
        <f>2946-85</f>
        <v>2861</v>
      </c>
      <c r="G517" s="265"/>
      <c r="H517" s="265"/>
      <c r="I517" s="266">
        <f t="shared" ref="I517:I519" si="115">F517-G517-H517</f>
        <v>2861</v>
      </c>
      <c r="J517" s="267" t="s">
        <v>156</v>
      </c>
      <c r="K517" s="267">
        <v>1</v>
      </c>
      <c r="L517" s="267"/>
      <c r="M517" s="267">
        <v>1</v>
      </c>
      <c r="N517" s="267">
        <v>1</v>
      </c>
      <c r="O517" s="267">
        <v>1</v>
      </c>
      <c r="P517" s="314">
        <v>0</v>
      </c>
      <c r="Q517" s="267"/>
      <c r="R517" s="267"/>
      <c r="S517" s="269"/>
      <c r="T517" s="63"/>
      <c r="U517" s="94" t="s">
        <v>3170</v>
      </c>
      <c r="V517" s="90"/>
      <c r="W517" s="136"/>
      <c r="X517" s="137"/>
    </row>
    <row r="518" spans="1:31" s="181" customFormat="1">
      <c r="A518" s="181" t="s">
        <v>683</v>
      </c>
      <c r="B518" s="87">
        <f>B517+1</f>
        <v>2</v>
      </c>
      <c r="C518" s="420">
        <v>45831</v>
      </c>
      <c r="D518" s="320">
        <v>701437</v>
      </c>
      <c r="E518" s="276" t="s">
        <v>3155</v>
      </c>
      <c r="F518" s="277">
        <v>8520.27</v>
      </c>
      <c r="G518" s="277">
        <f>234.27*1.1+72*1.1</f>
        <v>336.89700000000005</v>
      </c>
      <c r="H518" s="277"/>
      <c r="I518" s="278">
        <f t="shared" si="115"/>
        <v>8183.3730000000005</v>
      </c>
      <c r="J518" s="279" t="s">
        <v>156</v>
      </c>
      <c r="K518" s="279">
        <v>1</v>
      </c>
      <c r="L518" s="279"/>
      <c r="M518" s="279">
        <v>1</v>
      </c>
      <c r="N518" s="279">
        <v>1</v>
      </c>
      <c r="O518" s="279">
        <v>1</v>
      </c>
      <c r="P518" s="279">
        <v>1</v>
      </c>
      <c r="Q518" s="279"/>
      <c r="R518" s="279"/>
      <c r="S518" s="280"/>
      <c r="T518" s="63"/>
      <c r="U518" s="94" t="s">
        <v>3156</v>
      </c>
      <c r="V518" s="90"/>
      <c r="W518" s="136"/>
      <c r="X518" s="137"/>
    </row>
    <row r="519" spans="1:31" s="260" customFormat="1">
      <c r="A519" s="261">
        <v>0.1</v>
      </c>
      <c r="B519" s="87">
        <f>B518+1</f>
        <v>3</v>
      </c>
      <c r="C519" s="274">
        <v>45856</v>
      </c>
      <c r="D519" s="327" t="s">
        <v>3204</v>
      </c>
      <c r="E519" s="276" t="s">
        <v>1530</v>
      </c>
      <c r="F519" s="277">
        <v>6218</v>
      </c>
      <c r="G519" s="277">
        <f>39.7+(1145.59)+250</f>
        <v>1435.29</v>
      </c>
      <c r="H519" s="297"/>
      <c r="I519" s="278">
        <f t="shared" si="115"/>
        <v>4782.71</v>
      </c>
      <c r="J519" s="279" t="s">
        <v>156</v>
      </c>
      <c r="K519" s="279">
        <v>1</v>
      </c>
      <c r="L519" s="279"/>
      <c r="M519" s="279">
        <v>1</v>
      </c>
      <c r="N519" s="279">
        <v>1</v>
      </c>
      <c r="O519" s="279">
        <v>1</v>
      </c>
      <c r="P519" s="279">
        <v>1</v>
      </c>
      <c r="Q519" s="279"/>
      <c r="R519" s="279"/>
      <c r="S519" s="280"/>
      <c r="T519" s="63"/>
      <c r="U519" s="94" t="s">
        <v>3304</v>
      </c>
      <c r="V519" s="90"/>
      <c r="W519" s="136"/>
      <c r="X519" s="137"/>
      <c r="Y519" s="181"/>
      <c r="Z519" s="181"/>
      <c r="AA519" s="181"/>
      <c r="AB519" s="181"/>
      <c r="AC519" s="181"/>
    </row>
    <row r="520" spans="1:31" s="342" customFormat="1">
      <c r="A520" s="261">
        <v>0.1</v>
      </c>
      <c r="B520" s="87">
        <f>B519+1</f>
        <v>4</v>
      </c>
      <c r="C520" s="262">
        <v>45868</v>
      </c>
      <c r="D520" s="263" t="s">
        <v>3269</v>
      </c>
      <c r="E520" s="271" t="s">
        <v>1076</v>
      </c>
      <c r="F520" s="265">
        <v>6133</v>
      </c>
      <c r="G520" s="265">
        <f>39.7+250</f>
        <v>289.7</v>
      </c>
      <c r="H520" s="265"/>
      <c r="I520" s="272">
        <f>F520-G520-H520</f>
        <v>5843.3</v>
      </c>
      <c r="J520" s="267" t="s">
        <v>156</v>
      </c>
      <c r="K520" s="267">
        <v>1</v>
      </c>
      <c r="L520" s="267"/>
      <c r="M520" s="267">
        <v>1</v>
      </c>
      <c r="N520" s="267">
        <v>1</v>
      </c>
      <c r="O520" s="267">
        <v>1</v>
      </c>
      <c r="P520" s="267">
        <v>1</v>
      </c>
      <c r="Q520" s="267"/>
      <c r="R520" s="267"/>
      <c r="S520" s="269"/>
      <c r="T520" s="63"/>
      <c r="U520" s="94"/>
      <c r="V520" s="90"/>
      <c r="W520" s="136"/>
      <c r="X520" s="137"/>
      <c r="Y520" s="181"/>
      <c r="Z520" s="181"/>
      <c r="AA520" s="181"/>
      <c r="AB520" s="181"/>
      <c r="AC520" s="181"/>
      <c r="AD520" s="260"/>
      <c r="AE520" s="260"/>
    </row>
    <row r="521" spans="1:31" s="260" customFormat="1">
      <c r="A521" s="261">
        <v>0.1</v>
      </c>
      <c r="B521" s="87">
        <f t="shared" ref="B521:B522" si="116">B520+1</f>
        <v>5</v>
      </c>
      <c r="C521" s="274">
        <v>45875</v>
      </c>
      <c r="D521" s="327">
        <v>72080</v>
      </c>
      <c r="E521" s="276" t="s">
        <v>187</v>
      </c>
      <c r="F521" s="277">
        <v>16814</v>
      </c>
      <c r="G521" s="277">
        <f>39.7+811.2+(57.87+233.34)+(1049.15+142.53)+1500</f>
        <v>3833.79</v>
      </c>
      <c r="H521" s="277"/>
      <c r="I521" s="278">
        <f t="shared" ref="I521" si="117">F521-G521-H521</f>
        <v>12980.21</v>
      </c>
      <c r="J521" s="279" t="s">
        <v>156</v>
      </c>
      <c r="K521" s="279">
        <v>1</v>
      </c>
      <c r="L521" s="279"/>
      <c r="M521" s="279">
        <v>1</v>
      </c>
      <c r="N521" s="279">
        <v>1</v>
      </c>
      <c r="O521" s="279">
        <v>1</v>
      </c>
      <c r="P521" s="279">
        <v>1</v>
      </c>
      <c r="Q521" s="279"/>
      <c r="R521" s="279"/>
      <c r="S521" s="280"/>
      <c r="T521" s="63"/>
      <c r="U521" s="94" t="s">
        <v>3331</v>
      </c>
      <c r="V521" s="90"/>
      <c r="W521" s="136"/>
      <c r="X521" s="137"/>
      <c r="Y521" s="181"/>
      <c r="Z521" s="181"/>
      <c r="AA521" s="181"/>
      <c r="AB521" s="181"/>
      <c r="AC521" s="181"/>
    </row>
    <row r="522" spans="1:31" s="260" customFormat="1">
      <c r="A522" s="261">
        <v>0.1</v>
      </c>
      <c r="B522" s="87">
        <f t="shared" si="116"/>
        <v>6</v>
      </c>
      <c r="C522" s="282">
        <v>45875</v>
      </c>
      <c r="D522" s="368">
        <v>72048</v>
      </c>
      <c r="E522" s="283" t="s">
        <v>1225</v>
      </c>
      <c r="F522" s="284">
        <v>4939</v>
      </c>
      <c r="G522" s="284">
        <f>39.7+(24)+(202.65)+250</f>
        <v>516.35</v>
      </c>
      <c r="H522" s="284"/>
      <c r="I522" s="300">
        <f>F522-G522-H522</f>
        <v>4422.6499999999996</v>
      </c>
      <c r="J522" s="286" t="s">
        <v>156</v>
      </c>
      <c r="K522" s="286">
        <v>1</v>
      </c>
      <c r="L522" s="286"/>
      <c r="M522" s="286">
        <v>1</v>
      </c>
      <c r="N522" s="286">
        <v>1</v>
      </c>
      <c r="O522" s="286">
        <v>1</v>
      </c>
      <c r="P522" s="332">
        <v>0</v>
      </c>
      <c r="Q522" s="286"/>
      <c r="R522" s="286"/>
      <c r="S522" s="287"/>
      <c r="T522" s="63"/>
      <c r="U522" s="94" t="s">
        <v>3332</v>
      </c>
      <c r="V522" s="90"/>
      <c r="W522" s="136"/>
      <c r="X522" s="137"/>
      <c r="Y522" s="181"/>
      <c r="Z522" s="181"/>
      <c r="AA522" s="181"/>
      <c r="AB522" s="181"/>
      <c r="AC522" s="181"/>
    </row>
    <row r="523" spans="1:31" s="181" customFormat="1">
      <c r="A523" s="434"/>
      <c r="B523" s="11"/>
      <c r="C523" s="435"/>
      <c r="D523" s="63"/>
      <c r="E523" s="10"/>
      <c r="F523" s="98">
        <f>SUM(F517:F522)</f>
        <v>45485.270000000004</v>
      </c>
      <c r="G523" s="98">
        <f t="shared" ref="G523:I523" si="118">SUM(G517:G522)</f>
        <v>6412.027</v>
      </c>
      <c r="H523" s="98">
        <f t="shared" si="118"/>
        <v>0</v>
      </c>
      <c r="I523" s="98">
        <f t="shared" si="118"/>
        <v>39073.242999999995</v>
      </c>
      <c r="J523" s="63"/>
      <c r="K523" s="21"/>
      <c r="L523" s="21"/>
      <c r="M523" s="21"/>
      <c r="N523" s="21"/>
      <c r="O523" s="21"/>
      <c r="P523" s="21"/>
      <c r="Q523" s="21"/>
      <c r="R523" s="21"/>
      <c r="S523" s="21"/>
      <c r="T523" s="63"/>
      <c r="U523" s="94"/>
      <c r="V523" s="138"/>
      <c r="W523" s="136"/>
      <c r="X523" s="92"/>
      <c r="Y523" s="260"/>
    </row>
    <row r="524" spans="1:31" s="181" customFormat="1">
      <c r="A524" s="434"/>
      <c r="B524" s="11"/>
      <c r="C524" s="435"/>
      <c r="D524" s="63"/>
      <c r="E524" s="10"/>
      <c r="F524" s="99"/>
      <c r="G524" s="99"/>
      <c r="H524" s="99"/>
      <c r="I524" s="99"/>
      <c r="J524" s="63"/>
      <c r="K524" s="21"/>
      <c r="L524" s="21"/>
      <c r="M524" s="21"/>
      <c r="N524" s="21"/>
      <c r="O524" s="21"/>
      <c r="P524" s="21"/>
      <c r="Q524" s="21"/>
      <c r="R524" s="21"/>
      <c r="S524" s="21"/>
      <c r="T524" s="63"/>
      <c r="U524" s="94"/>
      <c r="V524" s="138"/>
      <c r="W524" s="136"/>
      <c r="X524" s="92"/>
      <c r="Y524" s="260"/>
    </row>
    <row r="525" spans="1:31">
      <c r="A525" s="2"/>
      <c r="B525" s="100" t="s">
        <v>72</v>
      </c>
      <c r="C525" s="36"/>
      <c r="D525" s="10"/>
      <c r="E525" s="10"/>
      <c r="F525" s="88"/>
      <c r="G525" s="88"/>
      <c r="H525" s="88"/>
      <c r="I525" s="99"/>
      <c r="J525" s="63"/>
      <c r="K525" s="63"/>
      <c r="L525" s="63"/>
      <c r="M525" s="63"/>
      <c r="N525" s="63"/>
      <c r="O525" s="63"/>
      <c r="P525" s="63"/>
      <c r="Q525" s="63"/>
      <c r="R525" s="63"/>
      <c r="S525" s="63"/>
      <c r="T525" s="63"/>
      <c r="U525" s="94"/>
      <c r="V525" s="90"/>
      <c r="W525" s="91"/>
      <c r="X525" s="92"/>
      <c r="Y525" s="2"/>
      <c r="Z525" s="2"/>
      <c r="AA525" s="2"/>
      <c r="AB525" s="2"/>
      <c r="AC525" s="2"/>
    </row>
    <row r="526" spans="1:31">
      <c r="A526" s="2"/>
      <c r="B526" s="87">
        <v>1</v>
      </c>
      <c r="C526" s="274">
        <v>45880</v>
      </c>
      <c r="D526" s="276">
        <v>72213</v>
      </c>
      <c r="E526" s="276" t="s">
        <v>3333</v>
      </c>
      <c r="F526" s="277">
        <f>55-55</f>
        <v>0</v>
      </c>
      <c r="G526" s="277"/>
      <c r="H526" s="277"/>
      <c r="I526" s="278">
        <f>F526-G526-H526</f>
        <v>0</v>
      </c>
      <c r="J526" s="279" t="s">
        <v>156</v>
      </c>
      <c r="K526" s="279">
        <v>1</v>
      </c>
      <c r="L526" s="279"/>
      <c r="M526" s="279">
        <v>1</v>
      </c>
      <c r="N526" s="279">
        <v>1</v>
      </c>
      <c r="O526" s="279">
        <v>1</v>
      </c>
      <c r="P526" s="279">
        <v>1</v>
      </c>
      <c r="Q526" s="279">
        <v>1</v>
      </c>
      <c r="R526" s="279">
        <v>1</v>
      </c>
      <c r="S526" s="280">
        <v>1</v>
      </c>
      <c r="T526" s="21">
        <v>1</v>
      </c>
      <c r="U526" s="164"/>
      <c r="V526" s="90">
        <v>60.5</v>
      </c>
      <c r="W526" s="91"/>
      <c r="X526" s="92"/>
      <c r="Y526" s="2"/>
      <c r="Z526" s="2"/>
      <c r="AA526" s="2"/>
      <c r="AB526" s="2"/>
      <c r="AC526" s="2"/>
    </row>
    <row r="527" spans="1:31">
      <c r="A527" s="2"/>
      <c r="B527" s="87">
        <f>B526+1</f>
        <v>2</v>
      </c>
      <c r="C527" s="295">
        <v>45880</v>
      </c>
      <c r="D527" s="10">
        <v>72204</v>
      </c>
      <c r="E527" s="10" t="s">
        <v>1062</v>
      </c>
      <c r="F527" s="62">
        <v>6214</v>
      </c>
      <c r="G527" s="62">
        <v>39.700000000000003</v>
      </c>
      <c r="H527" s="62"/>
      <c r="I527" s="89">
        <f t="shared" ref="I527:I536" si="119">F527-G527-H527</f>
        <v>6174.3</v>
      </c>
      <c r="J527" s="63" t="s">
        <v>205</v>
      </c>
      <c r="K527" s="63">
        <v>1</v>
      </c>
      <c r="L527" s="63"/>
      <c r="M527" s="63"/>
      <c r="N527" s="63">
        <v>1</v>
      </c>
      <c r="O527" s="63"/>
      <c r="P527" s="63"/>
      <c r="Q527" s="63">
        <v>1</v>
      </c>
      <c r="R527" s="63">
        <v>1</v>
      </c>
      <c r="S527" s="296">
        <v>1</v>
      </c>
      <c r="T527" s="63"/>
      <c r="U527" s="94"/>
      <c r="V527" s="90"/>
      <c r="W527" s="136"/>
      <c r="X527" s="137"/>
      <c r="Y527" s="2"/>
      <c r="Z527" s="2"/>
      <c r="AA527" s="2"/>
      <c r="AB527" s="2"/>
      <c r="AC527" s="2"/>
    </row>
    <row r="528" spans="1:31">
      <c r="A528" s="2"/>
      <c r="B528" s="87">
        <f t="shared" ref="B528:B536" si="120">B527+1</f>
        <v>3</v>
      </c>
      <c r="C528" s="295">
        <v>45880</v>
      </c>
      <c r="D528" s="10">
        <v>72207</v>
      </c>
      <c r="E528" s="10" t="s">
        <v>1222</v>
      </c>
      <c r="F528" s="62">
        <v>1264</v>
      </c>
      <c r="G528" s="62">
        <v>39.700000000000003</v>
      </c>
      <c r="H528" s="62"/>
      <c r="I528" s="89">
        <f t="shared" si="119"/>
        <v>1224.3</v>
      </c>
      <c r="J528" s="63" t="s">
        <v>205</v>
      </c>
      <c r="K528" s="63">
        <v>1</v>
      </c>
      <c r="L528" s="63"/>
      <c r="M528" s="63"/>
      <c r="N528" s="63">
        <v>1</v>
      </c>
      <c r="O528" s="63"/>
      <c r="P528" s="63"/>
      <c r="Q528" s="63">
        <v>1</v>
      </c>
      <c r="R528" s="63">
        <v>1</v>
      </c>
      <c r="S528" s="296">
        <v>1</v>
      </c>
      <c r="T528" s="63"/>
      <c r="U528" s="94"/>
      <c r="V528" s="90"/>
      <c r="W528" s="136"/>
      <c r="X528" s="137"/>
      <c r="Y528" s="2"/>
      <c r="Z528" s="2"/>
      <c r="AA528" s="2"/>
      <c r="AB528" s="2"/>
      <c r="AC528" s="2"/>
    </row>
    <row r="529" spans="1:29">
      <c r="A529" s="2"/>
      <c r="B529" s="87">
        <f t="shared" si="120"/>
        <v>4</v>
      </c>
      <c r="C529" s="295">
        <v>45880</v>
      </c>
      <c r="D529" s="10">
        <v>72242</v>
      </c>
      <c r="E529" s="10" t="s">
        <v>3334</v>
      </c>
      <c r="F529" s="62">
        <v>11532.6</v>
      </c>
      <c r="G529" s="62">
        <v>39.700000000000003</v>
      </c>
      <c r="H529" s="62"/>
      <c r="I529" s="89">
        <f t="shared" si="119"/>
        <v>11492.9</v>
      </c>
      <c r="J529" s="63" t="s">
        <v>205</v>
      </c>
      <c r="K529" s="63"/>
      <c r="L529" s="63"/>
      <c r="M529" s="63"/>
      <c r="N529" s="63">
        <v>1</v>
      </c>
      <c r="O529" s="63"/>
      <c r="P529" s="63"/>
      <c r="Q529" s="63"/>
      <c r="R529" s="63"/>
      <c r="S529" s="296"/>
      <c r="T529" s="63"/>
      <c r="U529" s="94"/>
      <c r="V529" s="90"/>
      <c r="W529" s="136"/>
      <c r="X529" s="137"/>
      <c r="Y529" s="2"/>
      <c r="Z529" s="2"/>
      <c r="AA529" s="2"/>
      <c r="AB529" s="2"/>
      <c r="AC529" s="2"/>
    </row>
    <row r="530" spans="1:29">
      <c r="A530" s="2"/>
      <c r="B530" s="87">
        <f t="shared" si="120"/>
        <v>5</v>
      </c>
      <c r="C530" s="295">
        <v>45880</v>
      </c>
      <c r="D530" s="10">
        <v>72212</v>
      </c>
      <c r="E530" s="10" t="s">
        <v>3335</v>
      </c>
      <c r="F530" s="62">
        <v>5814</v>
      </c>
      <c r="G530" s="62">
        <v>39.700000000000003</v>
      </c>
      <c r="H530" s="62"/>
      <c r="I530" s="89">
        <f t="shared" si="119"/>
        <v>5774.3</v>
      </c>
      <c r="J530" s="63" t="s">
        <v>205</v>
      </c>
      <c r="K530" s="63">
        <v>1</v>
      </c>
      <c r="L530" s="63"/>
      <c r="M530" s="63"/>
      <c r="N530" s="63">
        <v>1</v>
      </c>
      <c r="O530" s="63"/>
      <c r="P530" s="63"/>
      <c r="Q530" s="63">
        <v>1</v>
      </c>
      <c r="R530" s="63">
        <v>1</v>
      </c>
      <c r="S530" s="296">
        <v>1</v>
      </c>
      <c r="T530" s="63"/>
      <c r="U530" s="94"/>
      <c r="V530" s="90"/>
      <c r="W530" s="136"/>
      <c r="X530" s="137"/>
      <c r="Y530" s="2"/>
      <c r="Z530" s="2"/>
      <c r="AA530" s="2"/>
      <c r="AB530" s="2"/>
      <c r="AC530" s="2"/>
    </row>
    <row r="531" spans="1:29">
      <c r="A531" s="2" t="s">
        <v>3336</v>
      </c>
      <c r="B531" s="87">
        <f>B530+1</f>
        <v>6</v>
      </c>
      <c r="C531" s="274">
        <v>45881</v>
      </c>
      <c r="D531" s="276">
        <v>72218</v>
      </c>
      <c r="E531" s="276" t="s">
        <v>2259</v>
      </c>
      <c r="F531" s="277">
        <v>0</v>
      </c>
      <c r="G531" s="277">
        <v>0</v>
      </c>
      <c r="H531" s="277"/>
      <c r="I531" s="278">
        <f>F531-G531-H531</f>
        <v>0</v>
      </c>
      <c r="J531" s="279" t="s">
        <v>205</v>
      </c>
      <c r="K531" s="279">
        <v>1</v>
      </c>
      <c r="L531" s="279">
        <v>1</v>
      </c>
      <c r="M531" s="279"/>
      <c r="N531" s="279"/>
      <c r="O531" s="279"/>
      <c r="P531" s="279"/>
      <c r="Q531" s="279"/>
      <c r="R531" s="279"/>
      <c r="S531" s="280"/>
      <c r="T531" s="21">
        <v>1</v>
      </c>
      <c r="U531" s="10" t="s">
        <v>3337</v>
      </c>
      <c r="V531" s="90"/>
      <c r="W531" s="136"/>
      <c r="X531" s="137"/>
      <c r="Y531" s="2"/>
      <c r="Z531" s="2"/>
      <c r="AA531" s="2"/>
      <c r="AB531" s="2"/>
      <c r="AC531" s="2"/>
    </row>
    <row r="532" spans="1:29">
      <c r="A532" s="2"/>
      <c r="B532" s="87">
        <f t="shared" si="120"/>
        <v>7</v>
      </c>
      <c r="C532" s="295">
        <v>45881</v>
      </c>
      <c r="D532" s="10">
        <v>72225</v>
      </c>
      <c r="E532" s="101" t="s">
        <v>1173</v>
      </c>
      <c r="F532" s="62">
        <v>2861</v>
      </c>
      <c r="G532" s="62">
        <v>39.700000000000003</v>
      </c>
      <c r="H532" s="62"/>
      <c r="I532" s="89">
        <f t="shared" si="119"/>
        <v>2821.3</v>
      </c>
      <c r="J532" s="63" t="s">
        <v>205</v>
      </c>
      <c r="K532" s="63">
        <v>1</v>
      </c>
      <c r="L532" s="63"/>
      <c r="M532" s="63"/>
      <c r="N532" s="63">
        <v>1</v>
      </c>
      <c r="O532" s="63"/>
      <c r="P532" s="63"/>
      <c r="Q532" s="63">
        <v>1</v>
      </c>
      <c r="R532" s="63">
        <v>1</v>
      </c>
      <c r="S532" s="296">
        <v>1</v>
      </c>
      <c r="T532" s="63"/>
      <c r="U532" s="94"/>
      <c r="V532" s="90"/>
      <c r="W532" s="136"/>
      <c r="X532" s="137"/>
      <c r="Y532" s="2"/>
      <c r="Z532" s="2"/>
      <c r="AA532" s="2"/>
      <c r="AB532" s="2"/>
      <c r="AC532" s="2"/>
    </row>
    <row r="533" spans="1:29">
      <c r="A533" s="2"/>
      <c r="B533" s="87">
        <f t="shared" si="120"/>
        <v>8</v>
      </c>
      <c r="C533" s="295">
        <v>45881</v>
      </c>
      <c r="D533" s="10">
        <v>72272</v>
      </c>
      <c r="E533" s="101" t="s">
        <v>1008</v>
      </c>
      <c r="F533" s="62">
        <v>6214</v>
      </c>
      <c r="G533" s="62">
        <v>39.700000000000003</v>
      </c>
      <c r="H533" s="62"/>
      <c r="I533" s="89">
        <f t="shared" si="119"/>
        <v>6174.3</v>
      </c>
      <c r="J533" s="63" t="s">
        <v>205</v>
      </c>
      <c r="K533" s="63">
        <v>1</v>
      </c>
      <c r="L533" s="63"/>
      <c r="M533" s="63"/>
      <c r="N533" s="63">
        <v>1</v>
      </c>
      <c r="O533" s="63"/>
      <c r="P533" s="63"/>
      <c r="Q533" s="63">
        <v>1</v>
      </c>
      <c r="R533" s="63">
        <v>1</v>
      </c>
      <c r="S533" s="296">
        <v>1</v>
      </c>
      <c r="T533" s="63"/>
      <c r="U533" s="94"/>
      <c r="V533" s="90"/>
      <c r="W533" s="136"/>
      <c r="X533" s="137"/>
      <c r="Y533" s="2"/>
      <c r="Z533" s="2"/>
      <c r="AA533" s="2"/>
      <c r="AB533" s="2"/>
      <c r="AC533" s="2"/>
    </row>
    <row r="534" spans="1:29">
      <c r="A534" s="2"/>
      <c r="B534" s="87">
        <f t="shared" si="120"/>
        <v>9</v>
      </c>
      <c r="C534" s="274">
        <v>45882</v>
      </c>
      <c r="D534" s="275" t="s">
        <v>3338</v>
      </c>
      <c r="E534" s="281" t="s">
        <v>809</v>
      </c>
      <c r="F534" s="277">
        <v>26502.3</v>
      </c>
      <c r="G534" s="277">
        <f>39.7</f>
        <v>39.700000000000003</v>
      </c>
      <c r="H534" s="277"/>
      <c r="I534" s="278">
        <f t="shared" si="119"/>
        <v>26462.6</v>
      </c>
      <c r="J534" s="279" t="s">
        <v>156</v>
      </c>
      <c r="K534" s="279">
        <v>1</v>
      </c>
      <c r="L534" s="279"/>
      <c r="M534" s="279">
        <v>1</v>
      </c>
      <c r="N534" s="279">
        <v>1</v>
      </c>
      <c r="O534" s="279">
        <v>1</v>
      </c>
      <c r="P534" s="279">
        <v>1</v>
      </c>
      <c r="Q534" s="279">
        <v>1</v>
      </c>
      <c r="R534" s="279"/>
      <c r="S534" s="280"/>
      <c r="T534" s="63"/>
      <c r="U534" s="94" t="s">
        <v>3339</v>
      </c>
      <c r="V534" s="90">
        <v>3147.54</v>
      </c>
      <c r="W534" s="136"/>
      <c r="X534" s="137"/>
      <c r="Y534" s="2"/>
      <c r="Z534" s="2"/>
      <c r="AA534" s="2"/>
      <c r="AB534" s="2"/>
      <c r="AC534" s="2"/>
    </row>
    <row r="535" spans="1:29">
      <c r="A535" s="2"/>
      <c r="B535" s="87">
        <f t="shared" si="120"/>
        <v>10</v>
      </c>
      <c r="C535" s="274">
        <v>45883</v>
      </c>
      <c r="D535" s="276">
        <v>72341</v>
      </c>
      <c r="E535" s="281" t="s">
        <v>2647</v>
      </c>
      <c r="F535" s="277">
        <v>2861</v>
      </c>
      <c r="G535" s="277">
        <v>39.700000000000003</v>
      </c>
      <c r="H535" s="277"/>
      <c r="I535" s="278">
        <f t="shared" si="119"/>
        <v>2821.3</v>
      </c>
      <c r="J535" s="279" t="s">
        <v>205</v>
      </c>
      <c r="K535" s="279">
        <v>1</v>
      </c>
      <c r="L535" s="279"/>
      <c r="M535" s="279"/>
      <c r="N535" s="279">
        <v>1</v>
      </c>
      <c r="O535" s="279"/>
      <c r="P535" s="279"/>
      <c r="Q535" s="279"/>
      <c r="R535" s="279"/>
      <c r="S535" s="280"/>
      <c r="T535" s="63"/>
      <c r="U535" s="94"/>
      <c r="V535" s="90"/>
      <c r="W535" s="136"/>
      <c r="X535" s="137"/>
      <c r="Y535" s="2"/>
      <c r="Z535" s="2"/>
      <c r="AA535" s="2"/>
      <c r="AB535" s="2"/>
      <c r="AC535" s="2"/>
    </row>
    <row r="536" spans="1:29">
      <c r="A536" s="2"/>
      <c r="B536" s="87">
        <f t="shared" si="120"/>
        <v>11</v>
      </c>
      <c r="C536" s="262">
        <v>45884</v>
      </c>
      <c r="D536" s="271">
        <v>72300</v>
      </c>
      <c r="E536" s="264" t="s">
        <v>296</v>
      </c>
      <c r="F536" s="265">
        <v>8614</v>
      </c>
      <c r="G536" s="265">
        <f>39.7</f>
        <v>39.700000000000003</v>
      </c>
      <c r="H536" s="265"/>
      <c r="I536" s="272">
        <f t="shared" si="119"/>
        <v>8574.2999999999993</v>
      </c>
      <c r="J536" s="267" t="s">
        <v>205</v>
      </c>
      <c r="K536" s="267">
        <v>1</v>
      </c>
      <c r="L536" s="267"/>
      <c r="M536" s="267"/>
      <c r="N536" s="267">
        <v>1</v>
      </c>
      <c r="O536" s="267"/>
      <c r="P536" s="267"/>
      <c r="Q536" s="267">
        <v>1</v>
      </c>
      <c r="R536" s="267">
        <v>1</v>
      </c>
      <c r="S536" s="269">
        <v>1</v>
      </c>
      <c r="T536" s="63"/>
      <c r="U536" s="94"/>
      <c r="V536" s="90"/>
      <c r="W536" s="136"/>
      <c r="X536" s="137"/>
      <c r="Y536" s="2"/>
      <c r="Z536" s="2"/>
      <c r="AA536" s="2"/>
      <c r="AB536" s="2"/>
      <c r="AC536" s="2"/>
    </row>
    <row r="537" spans="1:29">
      <c r="A537" s="2"/>
      <c r="B537" s="11"/>
      <c r="C537" s="36"/>
      <c r="D537" s="10"/>
      <c r="E537" s="10"/>
      <c r="F537" s="97">
        <f>SUM(F526:F536)</f>
        <v>71876.899999999994</v>
      </c>
      <c r="G537" s="97">
        <f>SUM(G526:G536)</f>
        <v>357.29999999999995</v>
      </c>
      <c r="H537" s="97">
        <f>SUM(H526:H536)</f>
        <v>0</v>
      </c>
      <c r="I537" s="98">
        <f>SUM(I526:I536)</f>
        <v>71519.600000000006</v>
      </c>
      <c r="J537" s="10"/>
      <c r="K537" s="10"/>
      <c r="L537" s="10"/>
      <c r="M537" s="10"/>
      <c r="N537" s="10"/>
      <c r="O537" s="10"/>
      <c r="P537" s="10"/>
      <c r="Q537" s="10"/>
      <c r="R537" s="10"/>
      <c r="S537" s="10"/>
      <c r="T537" s="63"/>
      <c r="U537" s="94"/>
      <c r="V537" s="90"/>
      <c r="W537" s="91"/>
      <c r="X537" s="92"/>
      <c r="Y537" s="2"/>
      <c r="Z537" s="2"/>
      <c r="AA537" s="2"/>
      <c r="AB537" s="2"/>
      <c r="AC537" s="2"/>
    </row>
    <row r="538" spans="1:29">
      <c r="A538" s="2"/>
      <c r="B538" s="26"/>
      <c r="C538" s="140"/>
      <c r="D538" s="141"/>
      <c r="E538" s="141"/>
      <c r="F538" s="141"/>
      <c r="G538" s="141"/>
      <c r="H538" s="141"/>
      <c r="I538" s="141"/>
      <c r="J538" s="141"/>
      <c r="K538" s="142"/>
      <c r="L538" s="142"/>
      <c r="M538" s="142"/>
      <c r="N538" s="142"/>
      <c r="O538" s="142"/>
      <c r="P538" s="142"/>
      <c r="Q538" s="142"/>
      <c r="R538" s="142"/>
      <c r="S538" s="142"/>
      <c r="T538" s="143">
        <f>SUM(T484:T537)</f>
        <v>7</v>
      </c>
      <c r="U538" s="168"/>
      <c r="V538" s="144">
        <f>SUM(V484:V537)</f>
        <v>56834.770000000004</v>
      </c>
      <c r="W538" s="145">
        <f>SUM(W484:W537)</f>
        <v>400</v>
      </c>
      <c r="X538" s="146">
        <f>SUM(X484:X537)</f>
        <v>0</v>
      </c>
      <c r="Y538" s="2"/>
      <c r="Z538" s="2"/>
      <c r="AA538" s="2"/>
      <c r="AB538" s="2"/>
      <c r="AC538" s="2"/>
    </row>
    <row r="541" spans="1:29">
      <c r="A541" s="3"/>
      <c r="B541" s="4" t="s">
        <v>1</v>
      </c>
      <c r="C541" s="5"/>
      <c r="D541" s="6"/>
      <c r="E541" s="6"/>
      <c r="F541" s="7" t="s">
        <v>2</v>
      </c>
      <c r="G541" s="8">
        <v>45893</v>
      </c>
      <c r="H541" s="7"/>
      <c r="I541" s="6"/>
      <c r="J541" s="6"/>
      <c r="K541" s="6"/>
      <c r="L541" s="6"/>
      <c r="M541" s="6"/>
      <c r="N541" s="6"/>
      <c r="O541" s="6"/>
      <c r="P541" s="6"/>
      <c r="Q541" s="6"/>
      <c r="R541" s="6"/>
      <c r="S541" s="6"/>
      <c r="T541" s="6"/>
      <c r="U541" s="9"/>
      <c r="V541" s="10"/>
      <c r="W541" s="10"/>
      <c r="X541" s="10"/>
    </row>
    <row r="542" spans="1:29">
      <c r="A542" s="2"/>
      <c r="B542" s="11"/>
      <c r="C542" s="10"/>
      <c r="D542" s="10"/>
      <c r="E542" s="10"/>
      <c r="F542" s="10"/>
      <c r="G542" s="7"/>
      <c r="H542" s="12"/>
      <c r="I542" s="10"/>
      <c r="J542" s="10"/>
      <c r="K542" s="13" t="s">
        <v>3</v>
      </c>
      <c r="L542" s="14"/>
      <c r="M542" s="15"/>
      <c r="N542" s="13" t="s">
        <v>4</v>
      </c>
      <c r="O542" s="14"/>
      <c r="P542" s="15"/>
      <c r="Q542" s="13" t="s">
        <v>5</v>
      </c>
      <c r="R542" s="14"/>
      <c r="S542" s="15"/>
      <c r="T542" s="16"/>
      <c r="U542" s="17"/>
      <c r="V542" s="10"/>
      <c r="W542" s="10"/>
      <c r="X542" s="10"/>
    </row>
    <row r="543" spans="1:29">
      <c r="A543" s="2"/>
      <c r="B543" s="18" t="s">
        <v>6</v>
      </c>
      <c r="C543" s="19">
        <f>C544+C545</f>
        <v>12</v>
      </c>
      <c r="D543" s="10"/>
      <c r="E543" s="18" t="s">
        <v>7</v>
      </c>
      <c r="F543" s="6"/>
      <c r="G543" s="9"/>
      <c r="H543" s="10"/>
      <c r="I543" s="10"/>
      <c r="J543" s="10"/>
      <c r="K543" s="20" t="s">
        <v>8</v>
      </c>
      <c r="L543" s="21" t="s">
        <v>9</v>
      </c>
      <c r="M543" s="21" t="s">
        <v>10</v>
      </c>
      <c r="N543" s="20" t="s">
        <v>11</v>
      </c>
      <c r="O543" s="21" t="s">
        <v>12</v>
      </c>
      <c r="P543" s="22" t="s">
        <v>13</v>
      </c>
      <c r="Q543" s="21" t="s">
        <v>11</v>
      </c>
      <c r="R543" s="21" t="s">
        <v>12</v>
      </c>
      <c r="S543" s="22" t="s">
        <v>13</v>
      </c>
      <c r="T543" s="23" t="s">
        <v>14</v>
      </c>
      <c r="U543" s="17"/>
      <c r="V543" s="10"/>
      <c r="W543" s="10"/>
      <c r="X543" s="10"/>
    </row>
    <row r="544" spans="1:29">
      <c r="A544" s="2"/>
      <c r="B544" s="24" t="s">
        <v>15</v>
      </c>
      <c r="C544" s="25">
        <f>P551</f>
        <v>3</v>
      </c>
      <c r="D544" s="10"/>
      <c r="E544" s="26" t="s">
        <v>16</v>
      </c>
      <c r="F544" s="27">
        <v>0.05</v>
      </c>
      <c r="G544" s="28"/>
      <c r="H544" s="10"/>
      <c r="I544" s="10"/>
      <c r="J544" s="18" t="s">
        <v>17</v>
      </c>
      <c r="K544" s="29">
        <f>K574</f>
        <v>3</v>
      </c>
      <c r="L544" s="29">
        <f t="shared" ref="L544:S544" si="121">L574</f>
        <v>3</v>
      </c>
      <c r="M544" s="29">
        <f t="shared" si="121"/>
        <v>3</v>
      </c>
      <c r="N544" s="29">
        <f t="shared" si="121"/>
        <v>3</v>
      </c>
      <c r="O544" s="29">
        <f t="shared" si="121"/>
        <v>3</v>
      </c>
      <c r="P544" s="29">
        <f t="shared" si="121"/>
        <v>3</v>
      </c>
      <c r="Q544" s="29">
        <f t="shared" si="121"/>
        <v>3</v>
      </c>
      <c r="R544" s="29">
        <f t="shared" si="121"/>
        <v>3</v>
      </c>
      <c r="S544" s="29">
        <f t="shared" si="121"/>
        <v>3</v>
      </c>
      <c r="T544" s="30">
        <f>T608</f>
        <v>2</v>
      </c>
      <c r="U544" s="17"/>
      <c r="V544" s="10"/>
      <c r="W544" s="10"/>
      <c r="X544" s="10"/>
    </row>
    <row r="545" spans="1:24">
      <c r="A545" s="2"/>
      <c r="B545" s="24" t="s">
        <v>18</v>
      </c>
      <c r="C545" s="25">
        <f>P552</f>
        <v>9</v>
      </c>
      <c r="D545" s="10"/>
      <c r="E545" s="10"/>
      <c r="F545" s="10"/>
      <c r="G545" s="31"/>
      <c r="H545" s="10"/>
      <c r="I545" s="10"/>
      <c r="J545" s="32" t="s">
        <v>19</v>
      </c>
      <c r="K545" s="33">
        <f>K574/K573</f>
        <v>1</v>
      </c>
      <c r="L545" s="33">
        <f t="shared" ref="L545:S545" si="122">L574/L573</f>
        <v>1</v>
      </c>
      <c r="M545" s="33">
        <f t="shared" si="122"/>
        <v>1</v>
      </c>
      <c r="N545" s="33">
        <f t="shared" si="122"/>
        <v>1</v>
      </c>
      <c r="O545" s="33">
        <f t="shared" si="122"/>
        <v>1</v>
      </c>
      <c r="P545" s="33">
        <f t="shared" si="122"/>
        <v>1</v>
      </c>
      <c r="Q545" s="33">
        <f t="shared" si="122"/>
        <v>1</v>
      </c>
      <c r="R545" s="33">
        <f t="shared" si="122"/>
        <v>1</v>
      </c>
      <c r="S545" s="33">
        <f t="shared" si="122"/>
        <v>1</v>
      </c>
      <c r="T545" s="23"/>
      <c r="U545" s="17" t="s">
        <v>20</v>
      </c>
      <c r="V545" s="10"/>
      <c r="W545" s="10"/>
      <c r="X545" s="10"/>
    </row>
    <row r="546" spans="1:24">
      <c r="A546" s="2"/>
      <c r="B546" s="24" t="s">
        <v>21</v>
      </c>
      <c r="C546" s="34">
        <f>P553</f>
        <v>0.25</v>
      </c>
      <c r="D546" s="10"/>
      <c r="E546" s="10"/>
      <c r="F546" s="10"/>
      <c r="G546" s="10"/>
      <c r="H546" s="10"/>
      <c r="I546" s="10"/>
      <c r="J546" s="10"/>
      <c r="K546" s="10"/>
      <c r="L546" s="10"/>
      <c r="M546" s="10"/>
      <c r="N546" s="10"/>
      <c r="O546" s="10"/>
      <c r="P546" s="10"/>
      <c r="Q546" s="10"/>
      <c r="R546" s="10"/>
      <c r="S546" s="10"/>
      <c r="T546" s="10"/>
      <c r="U546" s="17"/>
      <c r="V546" s="10"/>
      <c r="W546" s="10"/>
      <c r="X546" s="10"/>
    </row>
    <row r="547" spans="1:24">
      <c r="A547" s="2"/>
      <c r="B547" s="24"/>
      <c r="C547" s="25"/>
      <c r="D547" s="10"/>
      <c r="E547" s="10"/>
      <c r="F547" s="18" t="s">
        <v>22</v>
      </c>
      <c r="G547" s="19" t="s">
        <v>23</v>
      </c>
      <c r="H547" s="35" t="s">
        <v>24</v>
      </c>
      <c r="I547" s="10"/>
      <c r="J547" s="10"/>
      <c r="K547" s="36"/>
      <c r="L547" s="36"/>
      <c r="M547" s="36"/>
      <c r="N547" s="36"/>
      <c r="O547" s="36"/>
      <c r="P547" s="36"/>
      <c r="Q547" s="36"/>
      <c r="R547" s="10"/>
      <c r="S547" s="10"/>
      <c r="T547" s="10"/>
      <c r="U547" s="17"/>
      <c r="V547" s="10"/>
      <c r="W547" s="10"/>
      <c r="X547" s="10"/>
    </row>
    <row r="548" spans="1:24">
      <c r="A548" s="2"/>
      <c r="B548" s="32" t="s">
        <v>25</v>
      </c>
      <c r="C548" s="37">
        <f>P554</f>
        <v>1722.5166666666667</v>
      </c>
      <c r="D548" s="10"/>
      <c r="E548" s="18" t="s">
        <v>26</v>
      </c>
      <c r="F548" s="38">
        <f>P550</f>
        <v>5167.55</v>
      </c>
      <c r="G548" s="39">
        <f>I573</f>
        <v>5167.55</v>
      </c>
      <c r="H548" s="40"/>
      <c r="I548" s="41"/>
      <c r="J548" s="42"/>
      <c r="K548" s="43" t="s">
        <v>27</v>
      </c>
      <c r="L548" s="44"/>
      <c r="M548" s="44"/>
      <c r="N548" s="44"/>
      <c r="O548" s="44"/>
      <c r="P548" s="44"/>
      <c r="Q548" s="45"/>
      <c r="R548" s="46" t="s">
        <v>28</v>
      </c>
      <c r="S548" s="47" t="s">
        <v>29</v>
      </c>
      <c r="T548" s="10"/>
      <c r="U548" s="17"/>
      <c r="V548" s="10"/>
      <c r="W548" s="10"/>
      <c r="X548" s="10"/>
    </row>
    <row r="549" spans="1:24">
      <c r="A549" s="2"/>
      <c r="B549" s="11"/>
      <c r="C549" s="10"/>
      <c r="D549" s="10"/>
      <c r="E549" s="24" t="s">
        <v>30</v>
      </c>
      <c r="F549" s="48">
        <f>F544</f>
        <v>0.05</v>
      </c>
      <c r="G549" s="17"/>
      <c r="H549" s="40"/>
      <c r="I549" s="41"/>
      <c r="J549" s="42"/>
      <c r="K549" s="20" t="s">
        <v>31</v>
      </c>
      <c r="L549" s="21" t="s">
        <v>32</v>
      </c>
      <c r="M549" s="21" t="s">
        <v>33</v>
      </c>
      <c r="N549" s="21" t="s">
        <v>34</v>
      </c>
      <c r="O549" s="21" t="s">
        <v>35</v>
      </c>
      <c r="P549" s="21" t="s">
        <v>36</v>
      </c>
      <c r="Q549" s="49" t="s">
        <v>37</v>
      </c>
      <c r="R549" s="50" t="s">
        <v>38</v>
      </c>
      <c r="S549" s="50" t="s">
        <v>38</v>
      </c>
      <c r="T549" s="10"/>
      <c r="U549" s="17"/>
      <c r="V549" s="10"/>
      <c r="W549" s="10"/>
      <c r="X549" s="10"/>
    </row>
    <row r="550" spans="1:24">
      <c r="A550" s="2"/>
      <c r="B550" s="11"/>
      <c r="C550" s="10"/>
      <c r="D550" s="10"/>
      <c r="E550" s="51" t="s">
        <v>39</v>
      </c>
      <c r="F550" s="52">
        <f>F548*F549</f>
        <v>258.3775</v>
      </c>
      <c r="G550" s="53" t="s">
        <v>40</v>
      </c>
      <c r="H550" s="54">
        <f>F550/1.12</f>
        <v>230.69419642857142</v>
      </c>
      <c r="I550" s="55"/>
      <c r="J550" s="42"/>
      <c r="K550" s="56">
        <v>0</v>
      </c>
      <c r="L550" s="57">
        <f>0</f>
        <v>0</v>
      </c>
      <c r="M550" s="57">
        <f>I570+I571+I572</f>
        <v>5167.55</v>
      </c>
      <c r="N550" s="57"/>
      <c r="O550" s="57"/>
      <c r="P550" s="57">
        <f>SUM(K550:O550)</f>
        <v>5167.55</v>
      </c>
      <c r="Q550" s="58">
        <v>0</v>
      </c>
      <c r="R550" s="59">
        <f>0</f>
        <v>0</v>
      </c>
      <c r="S550" s="59">
        <v>0</v>
      </c>
      <c r="T550" s="10"/>
      <c r="U550" s="17"/>
      <c r="V550" s="10"/>
      <c r="W550" s="10"/>
      <c r="X550" s="10"/>
    </row>
    <row r="551" spans="1:24">
      <c r="A551" s="2"/>
      <c r="B551" s="11"/>
      <c r="C551" s="10"/>
      <c r="D551" s="10"/>
      <c r="E551" s="24" t="s">
        <v>41</v>
      </c>
      <c r="F551" s="60">
        <f>Q550</f>
        <v>0</v>
      </c>
      <c r="G551" s="61" t="s">
        <v>40</v>
      </c>
      <c r="H551" s="62"/>
      <c r="I551" s="62"/>
      <c r="J551" s="10" t="s">
        <v>42</v>
      </c>
      <c r="K551" s="63">
        <v>0</v>
      </c>
      <c r="L551" s="63">
        <v>0</v>
      </c>
      <c r="M551" s="63">
        <v>3</v>
      </c>
      <c r="N551" s="63"/>
      <c r="O551" s="63">
        <v>0</v>
      </c>
      <c r="P551" s="21">
        <f>SUM(K551:O551)</f>
        <v>3</v>
      </c>
      <c r="Q551" s="64"/>
      <c r="R551" s="63"/>
      <c r="S551" s="10"/>
      <c r="T551" s="10"/>
      <c r="U551" s="17"/>
      <c r="V551" s="10"/>
      <c r="W551" s="10"/>
      <c r="X551" s="10"/>
    </row>
    <row r="552" spans="1:24">
      <c r="A552" s="2"/>
      <c r="B552" s="11"/>
      <c r="C552" s="10"/>
      <c r="D552" s="10"/>
      <c r="E552" s="51" t="s">
        <v>43</v>
      </c>
      <c r="F552" s="52">
        <f>F551*0.25</f>
        <v>0</v>
      </c>
      <c r="G552" s="53" t="s">
        <v>40</v>
      </c>
      <c r="H552" s="54">
        <f>F552/1.12</f>
        <v>0</v>
      </c>
      <c r="I552" s="10"/>
      <c r="J552" s="10" t="s">
        <v>44</v>
      </c>
      <c r="K552" s="63">
        <v>1</v>
      </c>
      <c r="L552" s="63">
        <v>1</v>
      </c>
      <c r="M552" s="63">
        <v>5</v>
      </c>
      <c r="N552" s="63"/>
      <c r="O552" s="63">
        <v>2</v>
      </c>
      <c r="P552" s="21">
        <f>SUM(K552:O552)</f>
        <v>9</v>
      </c>
      <c r="Q552" s="64"/>
      <c r="R552" s="63"/>
      <c r="S552" s="10"/>
      <c r="T552" s="10"/>
      <c r="U552" s="17"/>
      <c r="V552" s="10"/>
      <c r="W552" s="10"/>
      <c r="X552" s="10"/>
    </row>
    <row r="553" spans="1:24">
      <c r="A553" s="2"/>
      <c r="B553" s="11"/>
      <c r="C553" s="10"/>
      <c r="D553" s="10"/>
      <c r="E553" s="24" t="s">
        <v>45</v>
      </c>
      <c r="F553" s="60">
        <f>I580</f>
        <v>13248.01</v>
      </c>
      <c r="G553" s="61" t="s">
        <v>40</v>
      </c>
      <c r="H553" s="62"/>
      <c r="I553" s="10"/>
      <c r="J553" s="10" t="s">
        <v>46</v>
      </c>
      <c r="K553" s="31">
        <f t="shared" ref="K553:Q553" si="123">K551/(K551+K552)</f>
        <v>0</v>
      </c>
      <c r="L553" s="31">
        <f t="shared" si="123"/>
        <v>0</v>
      </c>
      <c r="M553" s="31">
        <f t="shared" si="123"/>
        <v>0.375</v>
      </c>
      <c r="N553" s="31" t="e">
        <f t="shared" si="123"/>
        <v>#DIV/0!</v>
      </c>
      <c r="O553" s="31">
        <f t="shared" si="123"/>
        <v>0</v>
      </c>
      <c r="P553" s="31">
        <f t="shared" si="123"/>
        <v>0.25</v>
      </c>
      <c r="Q553" s="31" t="e">
        <f t="shared" si="123"/>
        <v>#DIV/0!</v>
      </c>
      <c r="R553" s="63"/>
      <c r="S553" s="10"/>
      <c r="T553" s="10"/>
      <c r="U553" s="17"/>
      <c r="V553" s="10"/>
      <c r="W553" s="10"/>
      <c r="X553" s="10"/>
    </row>
    <row r="554" spans="1:24">
      <c r="A554" s="2"/>
      <c r="B554" s="11"/>
      <c r="C554" s="10"/>
      <c r="D554" s="10"/>
      <c r="E554" s="51" t="s">
        <v>47</v>
      </c>
      <c r="F554" s="52">
        <f>(F553-I579)*0.1</f>
        <v>1324.8010000000002</v>
      </c>
      <c r="G554" s="65" t="s">
        <v>40</v>
      </c>
      <c r="H554" s="54">
        <f>F554/1.12</f>
        <v>1182.8580357142857</v>
      </c>
      <c r="I554" s="42"/>
      <c r="J554" s="10" t="s">
        <v>48</v>
      </c>
      <c r="K554" s="66" t="e">
        <f>K550/K551</f>
        <v>#DIV/0!</v>
      </c>
      <c r="L554" s="66" t="e">
        <f t="shared" ref="L554:Q554" si="124">L550/L551</f>
        <v>#DIV/0!</v>
      </c>
      <c r="M554" s="66">
        <f t="shared" si="124"/>
        <v>1722.5166666666667</v>
      </c>
      <c r="N554" s="66" t="e">
        <f t="shared" si="124"/>
        <v>#DIV/0!</v>
      </c>
      <c r="O554" s="66" t="e">
        <f t="shared" si="124"/>
        <v>#DIV/0!</v>
      </c>
      <c r="P554" s="66">
        <f t="shared" si="124"/>
        <v>1722.5166666666667</v>
      </c>
      <c r="Q554" s="66" t="e">
        <f t="shared" si="124"/>
        <v>#DIV/0!</v>
      </c>
      <c r="R554" s="63"/>
      <c r="S554" s="10"/>
      <c r="T554" s="10"/>
      <c r="U554" s="17"/>
      <c r="V554" s="10"/>
      <c r="W554" s="10"/>
      <c r="X554" s="10"/>
    </row>
    <row r="555" spans="1:24">
      <c r="A555" s="2"/>
      <c r="B555" s="11"/>
      <c r="C555" s="10"/>
      <c r="D555" s="10"/>
      <c r="E555" s="67" t="s">
        <v>14</v>
      </c>
      <c r="F555" s="68">
        <f>1*50+3*50/2</f>
        <v>125</v>
      </c>
      <c r="G555" s="10"/>
      <c r="H555" s="54">
        <f>F555/1.12</f>
        <v>111.60714285714285</v>
      </c>
      <c r="I555" s="10"/>
      <c r="J555" s="10"/>
      <c r="K555" s="10"/>
      <c r="L555" s="10"/>
      <c r="M555" s="10"/>
      <c r="N555" s="10"/>
      <c r="O555" s="10"/>
      <c r="P555" s="10"/>
      <c r="Q555" s="10"/>
      <c r="R555" s="10"/>
      <c r="S555" s="10"/>
      <c r="T555" s="10"/>
      <c r="U555" s="17"/>
      <c r="V555" s="10"/>
      <c r="W555" s="10"/>
      <c r="X555" s="10"/>
    </row>
    <row r="556" spans="1:24">
      <c r="A556" s="2"/>
      <c r="B556" s="11"/>
      <c r="C556" s="10"/>
      <c r="D556" s="10"/>
      <c r="E556" s="67" t="s">
        <v>49</v>
      </c>
      <c r="F556" s="69">
        <f>T545</f>
        <v>0</v>
      </c>
      <c r="G556" s="10"/>
      <c r="H556" s="54"/>
      <c r="I556" s="55"/>
      <c r="J556" s="42"/>
      <c r="K556" s="764" t="s">
        <v>50</v>
      </c>
      <c r="L556" s="765"/>
      <c r="M556" s="765"/>
      <c r="N556" s="765"/>
      <c r="O556" s="765"/>
      <c r="P556" s="765"/>
      <c r="Q556" s="766"/>
      <c r="R556" s="70" t="s">
        <v>28</v>
      </c>
      <c r="S556" s="71" t="s">
        <v>29</v>
      </c>
      <c r="T556" s="10"/>
      <c r="U556" s="17"/>
      <c r="V556" s="10"/>
      <c r="W556" s="10"/>
      <c r="X556" s="10"/>
    </row>
    <row r="557" spans="1:24">
      <c r="A557" s="2"/>
      <c r="B557" s="11"/>
      <c r="C557" s="10"/>
      <c r="D557" s="10"/>
      <c r="E557" s="598" t="s">
        <v>3118</v>
      </c>
      <c r="F557" s="599">
        <f>$F$20</f>
        <v>2273.15</v>
      </c>
      <c r="G557" s="600"/>
      <c r="H557" s="601">
        <f>F557/1.12</f>
        <v>2029.5982142857142</v>
      </c>
      <c r="I557" s="10"/>
      <c r="J557" s="42"/>
      <c r="K557" s="20" t="s">
        <v>31</v>
      </c>
      <c r="L557" s="21" t="s">
        <v>32</v>
      </c>
      <c r="M557" s="21" t="s">
        <v>33</v>
      </c>
      <c r="N557" s="21" t="s">
        <v>34</v>
      </c>
      <c r="O557" s="21" t="s">
        <v>35</v>
      </c>
      <c r="P557" s="21" t="s">
        <v>36</v>
      </c>
      <c r="Q557" s="49" t="s">
        <v>37</v>
      </c>
      <c r="R557" s="50" t="s">
        <v>38</v>
      </c>
      <c r="S557" s="50" t="s">
        <v>38</v>
      </c>
      <c r="T557" s="10"/>
      <c r="U557" s="17"/>
      <c r="V557" s="10"/>
      <c r="W557" s="10"/>
      <c r="X557" s="10"/>
    </row>
    <row r="558" spans="1:24">
      <c r="A558" s="2"/>
      <c r="B558" s="11"/>
      <c r="C558" s="10"/>
      <c r="D558" s="10"/>
      <c r="E558" s="598" t="s">
        <v>3119</v>
      </c>
      <c r="F558" s="599">
        <f>$F$21</f>
        <v>0</v>
      </c>
      <c r="G558" s="600"/>
      <c r="H558" s="601">
        <f>F558/1.12</f>
        <v>0</v>
      </c>
      <c r="I558" s="10"/>
      <c r="J558" s="42"/>
      <c r="K558" s="56">
        <v>0</v>
      </c>
      <c r="L558" s="57">
        <f>0</f>
        <v>0</v>
      </c>
      <c r="M558" s="57">
        <f>F570+F571+F572</f>
        <v>5519.9</v>
      </c>
      <c r="N558" s="57"/>
      <c r="O558" s="57"/>
      <c r="P558" s="57">
        <f>SUM(K558:O558)</f>
        <v>5519.9</v>
      </c>
      <c r="Q558" s="58">
        <v>0</v>
      </c>
      <c r="R558" s="59">
        <f>0</f>
        <v>0</v>
      </c>
      <c r="S558" s="59">
        <v>0</v>
      </c>
      <c r="T558" s="10"/>
      <c r="U558" s="17"/>
      <c r="V558" s="10"/>
      <c r="W558" s="10"/>
      <c r="X558" s="10"/>
    </row>
    <row r="559" spans="1:24">
      <c r="A559" s="2"/>
      <c r="B559" s="11"/>
      <c r="C559" s="10"/>
      <c r="D559" s="10"/>
      <c r="E559" s="598" t="s">
        <v>3340</v>
      </c>
      <c r="F559" s="599">
        <f>$F$100</f>
        <v>1477.7259999999999</v>
      </c>
      <c r="G559" s="600"/>
      <c r="H559" s="601">
        <f>F559/1.12</f>
        <v>1319.3982142857139</v>
      </c>
      <c r="I559" s="10"/>
      <c r="J559" s="10" t="s">
        <v>42</v>
      </c>
      <c r="K559" s="63">
        <f>K551</f>
        <v>0</v>
      </c>
      <c r="L559" s="63">
        <f t="shared" ref="L559:Q560" si="125">L551</f>
        <v>0</v>
      </c>
      <c r="M559" s="63">
        <f t="shared" si="125"/>
        <v>3</v>
      </c>
      <c r="N559" s="63">
        <f t="shared" si="125"/>
        <v>0</v>
      </c>
      <c r="O559" s="63">
        <f t="shared" si="125"/>
        <v>0</v>
      </c>
      <c r="P559" s="63">
        <f t="shared" si="125"/>
        <v>3</v>
      </c>
      <c r="Q559" s="63">
        <f t="shared" si="125"/>
        <v>0</v>
      </c>
      <c r="R559" s="63"/>
      <c r="S559" s="10"/>
      <c r="T559" s="10"/>
      <c r="U559" s="17"/>
      <c r="V559" s="10"/>
      <c r="W559" s="10"/>
      <c r="X559" s="10"/>
    </row>
    <row r="560" spans="1:24">
      <c r="A560" s="2"/>
      <c r="B560" s="11"/>
      <c r="C560" s="10"/>
      <c r="D560" s="10"/>
      <c r="E560" s="416" t="s">
        <v>3341</v>
      </c>
      <c r="F560" s="417">
        <f>$F$368</f>
        <v>1541.690999999998</v>
      </c>
      <c r="G560" s="600"/>
      <c r="H560" s="601">
        <f>F560/1.12</f>
        <v>1376.5098214285695</v>
      </c>
      <c r="I560" s="10"/>
      <c r="J560" s="10" t="s">
        <v>44</v>
      </c>
      <c r="K560" s="63">
        <f>K552</f>
        <v>1</v>
      </c>
      <c r="L560" s="63">
        <f t="shared" si="125"/>
        <v>1</v>
      </c>
      <c r="M560" s="63">
        <f t="shared" si="125"/>
        <v>5</v>
      </c>
      <c r="N560" s="63">
        <f t="shared" si="125"/>
        <v>0</v>
      </c>
      <c r="O560" s="63">
        <f t="shared" si="125"/>
        <v>2</v>
      </c>
      <c r="P560" s="63">
        <f t="shared" si="125"/>
        <v>9</v>
      </c>
      <c r="Q560" s="63">
        <f t="shared" si="125"/>
        <v>0</v>
      </c>
      <c r="R560" s="63"/>
      <c r="S560" s="10"/>
      <c r="T560" s="10"/>
      <c r="U560" s="17"/>
      <c r="V560" s="10"/>
      <c r="W560" s="10"/>
      <c r="X560" s="10"/>
    </row>
    <row r="561" spans="1:24">
      <c r="A561" s="2"/>
      <c r="B561" s="11"/>
      <c r="C561" s="10"/>
      <c r="D561" s="10"/>
      <c r="E561" s="10"/>
      <c r="F561" s="10"/>
      <c r="G561" s="10"/>
      <c r="H561" s="10"/>
      <c r="I561" s="10"/>
      <c r="J561" s="10" t="s">
        <v>46</v>
      </c>
      <c r="K561" s="31">
        <f t="shared" ref="K561:Q561" si="126">K559/(K559+K560)</f>
        <v>0</v>
      </c>
      <c r="L561" s="31">
        <f t="shared" si="126"/>
        <v>0</v>
      </c>
      <c r="M561" s="31">
        <f t="shared" si="126"/>
        <v>0.375</v>
      </c>
      <c r="N561" s="31" t="e">
        <f t="shared" si="126"/>
        <v>#DIV/0!</v>
      </c>
      <c r="O561" s="31">
        <f t="shared" si="126"/>
        <v>0</v>
      </c>
      <c r="P561" s="31">
        <f t="shared" si="126"/>
        <v>0.25</v>
      </c>
      <c r="Q561" s="31" t="e">
        <f t="shared" si="126"/>
        <v>#DIV/0!</v>
      </c>
      <c r="R561" s="63"/>
      <c r="S561" s="10"/>
      <c r="T561" s="10"/>
      <c r="U561" s="17"/>
      <c r="V561" s="10"/>
      <c r="W561" s="10"/>
      <c r="X561" s="10"/>
    </row>
    <row r="562" spans="1:24">
      <c r="A562" s="2"/>
      <c r="B562" s="11"/>
      <c r="C562" s="10"/>
      <c r="D562" s="10"/>
      <c r="E562" s="10"/>
      <c r="F562" s="10"/>
      <c r="G562" s="10"/>
      <c r="H562" s="10"/>
      <c r="I562" s="10"/>
      <c r="J562" s="10" t="s">
        <v>48</v>
      </c>
      <c r="K562" s="66" t="e">
        <f t="shared" ref="K562:Q562" si="127">K558/K559</f>
        <v>#DIV/0!</v>
      </c>
      <c r="L562" s="66" t="e">
        <f t="shared" si="127"/>
        <v>#DIV/0!</v>
      </c>
      <c r="M562" s="66">
        <f t="shared" si="127"/>
        <v>1839.9666666666665</v>
      </c>
      <c r="N562" s="66" t="e">
        <f t="shared" si="127"/>
        <v>#DIV/0!</v>
      </c>
      <c r="O562" s="66" t="e">
        <f t="shared" si="127"/>
        <v>#DIV/0!</v>
      </c>
      <c r="P562" s="66">
        <f t="shared" si="127"/>
        <v>1839.9666666666665</v>
      </c>
      <c r="Q562" s="66" t="e">
        <f t="shared" si="127"/>
        <v>#DIV/0!</v>
      </c>
      <c r="R562" s="63"/>
      <c r="S562" s="10"/>
      <c r="T562" s="10"/>
      <c r="U562" s="17"/>
      <c r="V562" s="10"/>
      <c r="W562" s="10"/>
      <c r="X562" s="10"/>
    </row>
    <row r="563" spans="1:24">
      <c r="A563" s="2"/>
      <c r="B563" s="11"/>
      <c r="C563" s="10"/>
      <c r="D563" s="10"/>
      <c r="E563" s="10"/>
      <c r="F563" s="10"/>
      <c r="G563" s="10"/>
      <c r="H563" s="10"/>
      <c r="I563" s="10"/>
      <c r="J563" s="10"/>
      <c r="K563" s="66"/>
      <c r="L563" s="66"/>
      <c r="M563" s="66"/>
      <c r="N563" s="66"/>
      <c r="O563" s="66"/>
      <c r="P563" s="66"/>
      <c r="Q563" s="66"/>
      <c r="R563" s="63"/>
      <c r="S563" s="10"/>
      <c r="T563" s="10"/>
      <c r="U563" s="17"/>
      <c r="V563" s="10"/>
      <c r="W563" s="10"/>
      <c r="X563" s="10"/>
    </row>
    <row r="564" spans="1:24">
      <c r="A564" s="2"/>
      <c r="B564" s="11"/>
      <c r="C564" s="10"/>
      <c r="D564" s="10"/>
      <c r="E564" s="10"/>
      <c r="F564" s="10"/>
      <c r="G564" s="10"/>
      <c r="H564" s="10"/>
      <c r="I564" s="10"/>
      <c r="J564" s="10"/>
      <c r="K564" s="66"/>
      <c r="L564" s="66"/>
      <c r="M564" s="66"/>
      <c r="N564" s="66"/>
      <c r="O564" s="66"/>
      <c r="P564" s="66"/>
      <c r="Q564" s="66"/>
      <c r="R564" s="63"/>
      <c r="S564" s="10"/>
      <c r="T564" s="10"/>
      <c r="U564" s="17"/>
      <c r="V564" s="10"/>
      <c r="W564" s="10"/>
      <c r="X564" s="10"/>
    </row>
    <row r="565" spans="1:24">
      <c r="A565" s="2"/>
      <c r="B565" s="11"/>
      <c r="C565" s="10"/>
      <c r="D565" s="10"/>
      <c r="E565" s="10"/>
      <c r="F565" s="10"/>
      <c r="G565" s="10"/>
      <c r="H565" s="10"/>
      <c r="I565" s="10"/>
      <c r="J565" s="10"/>
      <c r="K565" s="10"/>
      <c r="L565" s="10"/>
      <c r="M565" s="10"/>
      <c r="N565" s="10"/>
      <c r="O565" s="10"/>
      <c r="P565" s="10"/>
      <c r="Q565" s="10"/>
      <c r="R565" s="10"/>
      <c r="S565" s="10"/>
      <c r="T565" s="10"/>
      <c r="U565" s="17"/>
      <c r="V565" s="10"/>
      <c r="W565" s="10"/>
      <c r="X565" s="10"/>
    </row>
    <row r="566" spans="1:24">
      <c r="A566" s="2"/>
      <c r="B566" s="11"/>
      <c r="C566" s="10"/>
      <c r="D566" s="10"/>
      <c r="E566" s="10"/>
      <c r="F566" s="10"/>
      <c r="G566" s="10"/>
      <c r="H566" s="10"/>
      <c r="I566" s="10"/>
      <c r="J566" s="10"/>
      <c r="K566" s="10"/>
      <c r="L566" s="10"/>
      <c r="M566" s="10"/>
      <c r="N566" s="10"/>
      <c r="O566" s="10"/>
      <c r="P566" s="10"/>
      <c r="Q566" s="10"/>
      <c r="R566" s="10"/>
      <c r="S566" s="10"/>
      <c r="T566" s="10"/>
      <c r="U566" s="17"/>
      <c r="V566" s="10"/>
      <c r="W566" s="10"/>
      <c r="X566" s="10"/>
    </row>
    <row r="567" spans="1:24">
      <c r="A567" s="2"/>
      <c r="B567" s="18" t="s">
        <v>51</v>
      </c>
      <c r="C567" s="14"/>
      <c r="D567" s="14"/>
      <c r="E567" s="14"/>
      <c r="F567" s="13" t="s">
        <v>52</v>
      </c>
      <c r="G567" s="14"/>
      <c r="H567" s="14"/>
      <c r="I567" s="14"/>
      <c r="J567" s="14"/>
      <c r="K567" s="13" t="s">
        <v>3</v>
      </c>
      <c r="L567" s="14"/>
      <c r="M567" s="14"/>
      <c r="N567" s="13" t="s">
        <v>4</v>
      </c>
      <c r="O567" s="14"/>
      <c r="P567" s="14"/>
      <c r="Q567" s="13" t="s">
        <v>5</v>
      </c>
      <c r="R567" s="14"/>
      <c r="S567" s="14"/>
      <c r="T567" s="18"/>
      <c r="U567" s="16" t="s">
        <v>53</v>
      </c>
      <c r="V567" s="77"/>
      <c r="W567" s="77"/>
      <c r="X567" s="77"/>
    </row>
    <row r="568" spans="1:24">
      <c r="A568" s="2"/>
      <c r="B568" s="24" t="s">
        <v>54</v>
      </c>
      <c r="C568" s="21" t="s">
        <v>55</v>
      </c>
      <c r="D568" s="21" t="s">
        <v>56</v>
      </c>
      <c r="E568" s="21" t="s">
        <v>57</v>
      </c>
      <c r="F568" s="20" t="s">
        <v>58</v>
      </c>
      <c r="G568" s="21" t="s">
        <v>59</v>
      </c>
      <c r="H568" s="21" t="s">
        <v>60</v>
      </c>
      <c r="I568" s="21" t="s">
        <v>26</v>
      </c>
      <c r="J568" s="22" t="s">
        <v>61</v>
      </c>
      <c r="K568" s="21" t="s">
        <v>8</v>
      </c>
      <c r="L568" s="21" t="s">
        <v>9</v>
      </c>
      <c r="M568" s="21" t="s">
        <v>10</v>
      </c>
      <c r="N568" s="20" t="s">
        <v>11</v>
      </c>
      <c r="O568" s="21" t="s">
        <v>12</v>
      </c>
      <c r="P568" s="22" t="s">
        <v>13</v>
      </c>
      <c r="Q568" s="21" t="s">
        <v>11</v>
      </c>
      <c r="R568" s="21" t="s">
        <v>12</v>
      </c>
      <c r="S568" s="21" t="s">
        <v>13</v>
      </c>
      <c r="T568" s="78" t="s">
        <v>14</v>
      </c>
      <c r="U568" s="30"/>
      <c r="V568" s="79" t="s">
        <v>62</v>
      </c>
      <c r="W568" s="80" t="s">
        <v>63</v>
      </c>
      <c r="X568" s="81" t="s">
        <v>64</v>
      </c>
    </row>
    <row r="569" spans="1:24">
      <c r="A569" s="2"/>
      <c r="B569" s="4" t="s">
        <v>65</v>
      </c>
      <c r="C569" s="6"/>
      <c r="D569" s="6"/>
      <c r="E569" s="6"/>
      <c r="F569" s="6"/>
      <c r="G569" s="6"/>
      <c r="H569" s="6"/>
      <c r="I569" s="82"/>
      <c r="J569" s="6"/>
      <c r="K569" s="6"/>
      <c r="L569" s="6"/>
      <c r="M569" s="6"/>
      <c r="N569" s="6"/>
      <c r="O569" s="6"/>
      <c r="P569" s="6"/>
      <c r="Q569" s="6"/>
      <c r="R569" s="6"/>
      <c r="S569" s="6"/>
      <c r="T569" s="83"/>
      <c r="U569" s="6"/>
      <c r="V569" s="84"/>
      <c r="W569" s="85"/>
      <c r="X569" s="86"/>
    </row>
    <row r="570" spans="1:24">
      <c r="A570" s="2"/>
      <c r="B570" s="87">
        <v>1</v>
      </c>
      <c r="C570" s="274">
        <v>45889</v>
      </c>
      <c r="D570" s="327">
        <v>72460</v>
      </c>
      <c r="E570" s="281" t="s">
        <v>973</v>
      </c>
      <c r="F570" s="277">
        <v>1264</v>
      </c>
      <c r="G570" s="277">
        <f>39.7</f>
        <v>39.700000000000003</v>
      </c>
      <c r="H570" s="277"/>
      <c r="I570" s="278">
        <f t="shared" ref="I570" si="128">F570-G570-H570</f>
        <v>1224.3</v>
      </c>
      <c r="J570" s="279" t="s">
        <v>150</v>
      </c>
      <c r="K570" s="279">
        <v>1</v>
      </c>
      <c r="L570" s="279">
        <v>1</v>
      </c>
      <c r="M570" s="279">
        <v>1</v>
      </c>
      <c r="N570" s="279">
        <v>1</v>
      </c>
      <c r="O570" s="279">
        <v>1</v>
      </c>
      <c r="P570" s="279">
        <v>1</v>
      </c>
      <c r="Q570" s="279">
        <v>1</v>
      </c>
      <c r="R570" s="279">
        <v>1</v>
      </c>
      <c r="S570" s="280">
        <v>1</v>
      </c>
      <c r="T570" s="21">
        <v>1</v>
      </c>
      <c r="U570" s="10"/>
      <c r="V570" s="90">
        <v>0</v>
      </c>
      <c r="W570" s="440">
        <f>150+1240.4</f>
        <v>1390.4</v>
      </c>
      <c r="X570" s="92"/>
    </row>
    <row r="571" spans="1:24">
      <c r="A571" s="2"/>
      <c r="B571" s="87">
        <f>B570+1</f>
        <v>2</v>
      </c>
      <c r="C571" s="295">
        <v>45889</v>
      </c>
      <c r="D571" s="323">
        <v>72484</v>
      </c>
      <c r="E571" s="10" t="s">
        <v>1036</v>
      </c>
      <c r="F571" s="62">
        <v>2574.9</v>
      </c>
      <c r="G571" s="62">
        <f>39.7+(233.25)</f>
        <v>272.95</v>
      </c>
      <c r="H571" s="62"/>
      <c r="I571" s="89">
        <f t="shared" ref="I571" si="129">F571-G571-H571</f>
        <v>2301.9500000000003</v>
      </c>
      <c r="J571" s="63" t="s">
        <v>228</v>
      </c>
      <c r="K571" s="63">
        <v>1</v>
      </c>
      <c r="L571" s="63">
        <v>1</v>
      </c>
      <c r="M571" s="63">
        <v>1</v>
      </c>
      <c r="N571" s="63">
        <v>1</v>
      </c>
      <c r="O571" s="63">
        <v>1</v>
      </c>
      <c r="P571" s="63">
        <v>1</v>
      </c>
      <c r="Q571" s="63">
        <v>1</v>
      </c>
      <c r="R571" s="63">
        <v>1</v>
      </c>
      <c r="S571" s="296">
        <v>1</v>
      </c>
      <c r="T571" s="63"/>
      <c r="U571" s="94" t="s">
        <v>3342</v>
      </c>
      <c r="V571" s="90">
        <f>283.23+2549.16</f>
        <v>2832.39</v>
      </c>
      <c r="W571" s="136"/>
      <c r="X571" s="137"/>
    </row>
    <row r="572" spans="1:24">
      <c r="A572" s="2"/>
      <c r="B572" s="87">
        <f t="shared" ref="B572" si="130">B571+1</f>
        <v>3</v>
      </c>
      <c r="C572" s="282">
        <v>45889</v>
      </c>
      <c r="D572" s="368">
        <v>72452</v>
      </c>
      <c r="E572" s="283" t="s">
        <v>1666</v>
      </c>
      <c r="F572" s="284">
        <v>1681</v>
      </c>
      <c r="G572" s="284">
        <f>39.7</f>
        <v>39.700000000000003</v>
      </c>
      <c r="H572" s="284"/>
      <c r="I572" s="285">
        <f t="shared" ref="I572" si="131">F572-G572-H572</f>
        <v>1641.3</v>
      </c>
      <c r="J572" s="286" t="s">
        <v>156</v>
      </c>
      <c r="K572" s="286">
        <v>1</v>
      </c>
      <c r="L572" s="286">
        <v>1</v>
      </c>
      <c r="M572" s="286">
        <v>1</v>
      </c>
      <c r="N572" s="286">
        <v>1</v>
      </c>
      <c r="O572" s="286">
        <v>1</v>
      </c>
      <c r="P572" s="286">
        <v>1</v>
      </c>
      <c r="Q572" s="286">
        <v>1</v>
      </c>
      <c r="R572" s="286">
        <v>1</v>
      </c>
      <c r="S572" s="287">
        <v>1</v>
      </c>
      <c r="T572" s="21">
        <v>1</v>
      </c>
      <c r="U572" s="10"/>
      <c r="V572" s="90">
        <f>184.91+1664.19</f>
        <v>1849.1000000000001</v>
      </c>
      <c r="W572" s="91"/>
      <c r="X572" s="92"/>
    </row>
    <row r="573" spans="1:24">
      <c r="A573" s="2"/>
      <c r="B573" s="87"/>
      <c r="C573" s="36"/>
      <c r="D573" s="10"/>
      <c r="E573" s="10"/>
      <c r="F573" s="97">
        <f>SUM(F570:F572)</f>
        <v>5519.9</v>
      </c>
      <c r="G573" s="97">
        <f>SUM(G570:G572)</f>
        <v>352.34999999999997</v>
      </c>
      <c r="H573" s="97">
        <f>SUM(H570:H572)</f>
        <v>0</v>
      </c>
      <c r="I573" s="98">
        <f>SUM(I570:I572)</f>
        <v>5167.55</v>
      </c>
      <c r="J573" s="63"/>
      <c r="K573" s="63">
        <f>COUNT(K570:K572)</f>
        <v>3</v>
      </c>
      <c r="L573" s="63">
        <f>COUNT(L570:L572)</f>
        <v>3</v>
      </c>
      <c r="M573" s="63">
        <f>COUNT(M570:M572)</f>
        <v>3</v>
      </c>
      <c r="N573" s="63">
        <f>COUNT(N570:N572)</f>
        <v>3</v>
      </c>
      <c r="O573" s="63">
        <f>COUNT(O570:O572)</f>
        <v>3</v>
      </c>
      <c r="P573" s="63">
        <f>COUNT(P570:P572)</f>
        <v>3</v>
      </c>
      <c r="Q573" s="63">
        <f>COUNT(Q570:Q572)</f>
        <v>3</v>
      </c>
      <c r="R573" s="63">
        <f>COUNT(R570:R572)</f>
        <v>3</v>
      </c>
      <c r="S573" s="63">
        <f>COUNT(S570:S572)</f>
        <v>3</v>
      </c>
      <c r="T573" s="63"/>
      <c r="U573" s="10"/>
      <c r="V573" s="90"/>
      <c r="W573" s="91"/>
      <c r="X573" s="92"/>
    </row>
    <row r="574" spans="1:24">
      <c r="A574" s="2"/>
      <c r="B574" s="87"/>
      <c r="C574" s="36"/>
      <c r="D574" s="10"/>
      <c r="E574" s="10"/>
      <c r="F574" s="88"/>
      <c r="G574" s="88"/>
      <c r="H574" s="88"/>
      <c r="I574" s="99"/>
      <c r="J574" s="63"/>
      <c r="K574" s="21">
        <f>SUM(K570:K572)</f>
        <v>3</v>
      </c>
      <c r="L574" s="21">
        <f>SUM(L570:L572)</f>
        <v>3</v>
      </c>
      <c r="M574" s="21">
        <f>SUM(M570:M572)</f>
        <v>3</v>
      </c>
      <c r="N574" s="21">
        <f>SUM(N570:N572)</f>
        <v>3</v>
      </c>
      <c r="O574" s="21">
        <f>SUM(O570:O572)</f>
        <v>3</v>
      </c>
      <c r="P574" s="21">
        <f>SUM(P570:P572)</f>
        <v>3</v>
      </c>
      <c r="Q574" s="21">
        <f>SUM(Q570:Q572)</f>
        <v>3</v>
      </c>
      <c r="R574" s="21">
        <f>SUM(R570:R572)</f>
        <v>3</v>
      </c>
      <c r="S574" s="21">
        <f>SUM(S570:S572)</f>
        <v>3</v>
      </c>
      <c r="T574" s="63"/>
      <c r="U574" s="10"/>
      <c r="V574" s="90"/>
      <c r="W574" s="91"/>
      <c r="X574" s="92"/>
    </row>
    <row r="575" spans="1:24">
      <c r="A575" s="2"/>
      <c r="B575" s="11"/>
      <c r="C575" s="36"/>
      <c r="D575" s="10"/>
      <c r="E575" s="10"/>
      <c r="F575" s="88"/>
      <c r="G575" s="88"/>
      <c r="H575" s="88"/>
      <c r="I575" s="99"/>
      <c r="J575" s="63"/>
      <c r="K575" s="21"/>
      <c r="L575" s="21"/>
      <c r="M575" s="21"/>
      <c r="N575" s="21"/>
      <c r="O575" s="21"/>
      <c r="P575" s="21"/>
      <c r="Q575" s="21"/>
      <c r="R575" s="21"/>
      <c r="S575" s="21"/>
      <c r="T575" s="63"/>
      <c r="U575" s="10"/>
      <c r="V575" s="90"/>
      <c r="W575" s="91"/>
      <c r="X575" s="92"/>
    </row>
    <row r="576" spans="1:24">
      <c r="A576" s="2"/>
      <c r="B576" s="100" t="s">
        <v>67</v>
      </c>
      <c r="C576" s="36"/>
      <c r="D576" s="10"/>
      <c r="E576" s="10"/>
      <c r="F576" s="88"/>
      <c r="G576" s="62"/>
      <c r="H576" s="88"/>
      <c r="I576" s="99"/>
      <c r="J576" s="63"/>
      <c r="K576" s="2"/>
      <c r="L576" s="2"/>
      <c r="M576" s="2"/>
      <c r="N576" s="2"/>
      <c r="O576" s="2"/>
      <c r="P576" s="2"/>
      <c r="Q576" s="2"/>
      <c r="R576" s="2"/>
      <c r="S576" s="2"/>
      <c r="T576" s="63"/>
      <c r="U576" s="94"/>
      <c r="V576" s="90"/>
      <c r="W576" s="91"/>
      <c r="X576" s="92"/>
    </row>
    <row r="577" spans="1:31">
      <c r="A577" s="261" t="s">
        <v>3343</v>
      </c>
      <c r="B577" s="87">
        <v>1</v>
      </c>
      <c r="C577" s="274">
        <v>45861</v>
      </c>
      <c r="D577" s="327">
        <v>71688</v>
      </c>
      <c r="E577" s="276" t="s">
        <v>604</v>
      </c>
      <c r="F577" s="277">
        <v>581</v>
      </c>
      <c r="G577" s="277"/>
      <c r="H577" s="277"/>
      <c r="I577" s="278">
        <f>F577-G577-H577</f>
        <v>581</v>
      </c>
      <c r="J577" s="279" t="s">
        <v>156</v>
      </c>
      <c r="K577" s="279">
        <v>1</v>
      </c>
      <c r="L577" s="279">
        <v>1</v>
      </c>
      <c r="M577" s="279">
        <v>1</v>
      </c>
      <c r="N577" s="279">
        <v>1</v>
      </c>
      <c r="O577" s="279">
        <v>1</v>
      </c>
      <c r="P577" s="279">
        <v>1</v>
      </c>
      <c r="Q577" s="279">
        <v>1</v>
      </c>
      <c r="R577" s="279">
        <v>1</v>
      </c>
      <c r="S577" s="280">
        <v>1</v>
      </c>
      <c r="T577" s="63"/>
      <c r="U577" s="94"/>
      <c r="V577" s="90"/>
      <c r="W577" s="136"/>
      <c r="X577" s="137"/>
      <c r="Y577" s="181"/>
      <c r="Z577" s="181"/>
      <c r="AA577" s="181"/>
      <c r="AB577" s="181"/>
      <c r="AC577" s="181"/>
      <c r="AD577" s="260"/>
      <c r="AE577" s="260"/>
    </row>
    <row r="578" spans="1:31">
      <c r="A578" s="261" t="s">
        <v>3344</v>
      </c>
      <c r="B578" s="87">
        <f>B577+1</f>
        <v>2</v>
      </c>
      <c r="C578" s="262">
        <v>45875</v>
      </c>
      <c r="D578" s="263">
        <v>72080</v>
      </c>
      <c r="E578" s="271" t="s">
        <v>187</v>
      </c>
      <c r="F578" s="265">
        <v>16814</v>
      </c>
      <c r="G578" s="265">
        <f>39.7+811.2+74+239.2+(57.87+233.34)+(1049.15+142.53)+1500</f>
        <v>4146.99</v>
      </c>
      <c r="H578" s="265"/>
      <c r="I578" s="272">
        <f t="shared" ref="I578" si="132">F578-G578-H578</f>
        <v>12667.01</v>
      </c>
      <c r="J578" s="267" t="s">
        <v>156</v>
      </c>
      <c r="K578" s="267">
        <v>1</v>
      </c>
      <c r="L578" s="267">
        <v>1</v>
      </c>
      <c r="M578" s="267">
        <v>1</v>
      </c>
      <c r="N578" s="267">
        <v>1</v>
      </c>
      <c r="O578" s="267">
        <v>1</v>
      </c>
      <c r="P578" s="267">
        <v>1</v>
      </c>
      <c r="Q578" s="267">
        <v>1</v>
      </c>
      <c r="R578" s="267">
        <v>1</v>
      </c>
      <c r="S578" s="269">
        <v>1</v>
      </c>
      <c r="T578" s="63"/>
      <c r="U578" s="94" t="s">
        <v>3345</v>
      </c>
      <c r="V578" s="90">
        <f>3250+3250</f>
        <v>6500</v>
      </c>
      <c r="W578" s="136"/>
      <c r="X578" s="137"/>
      <c r="Y578" s="181"/>
      <c r="Z578" s="181"/>
      <c r="AA578" s="181"/>
      <c r="AB578" s="181"/>
      <c r="AC578" s="181"/>
      <c r="AD578" s="260"/>
      <c r="AE578" s="260"/>
    </row>
    <row r="579" spans="1:31" s="381" customFormat="1">
      <c r="A579" s="371" t="s">
        <v>3346</v>
      </c>
      <c r="B579" s="372">
        <f>B578+1</f>
        <v>3</v>
      </c>
      <c r="C579" s="453">
        <v>45884</v>
      </c>
      <c r="D579" s="330" t="s">
        <v>3330</v>
      </c>
      <c r="E579" s="427" t="s">
        <v>769</v>
      </c>
      <c r="F579" s="428">
        <f>8214-8214</f>
        <v>0</v>
      </c>
      <c r="G579" s="428">
        <f>39.7+1500-1539.7</f>
        <v>0</v>
      </c>
      <c r="H579" s="428"/>
      <c r="I579" s="331">
        <f>F579-G579-H579</f>
        <v>0</v>
      </c>
      <c r="J579" s="332" t="s">
        <v>156</v>
      </c>
      <c r="K579" s="332">
        <v>1</v>
      </c>
      <c r="L579" s="332"/>
      <c r="M579" s="332">
        <v>1</v>
      </c>
      <c r="N579" s="332">
        <v>1</v>
      </c>
      <c r="O579" s="332">
        <v>1</v>
      </c>
      <c r="P579" s="332">
        <v>1</v>
      </c>
      <c r="Q579" s="332"/>
      <c r="R579" s="332"/>
      <c r="S579" s="370"/>
      <c r="T579" s="325"/>
      <c r="U579" s="430" t="s">
        <v>3347</v>
      </c>
      <c r="V579" s="377"/>
      <c r="W579" s="392"/>
      <c r="X579" s="379"/>
      <c r="Y579" s="380"/>
      <c r="Z579" s="380"/>
      <c r="AA579" s="380"/>
      <c r="AB579" s="380"/>
      <c r="AC579" s="380"/>
    </row>
    <row r="580" spans="1:31">
      <c r="A580" s="2"/>
      <c r="B580" s="11"/>
      <c r="C580" s="36"/>
      <c r="D580" s="10"/>
      <c r="E580" s="10"/>
      <c r="F580" s="97">
        <f>SUM(F577:F579)</f>
        <v>17395</v>
      </c>
      <c r="G580" s="97">
        <f>SUM(G577:G579)</f>
        <v>4146.99</v>
      </c>
      <c r="H580" s="97">
        <f>SUM(H577:H579)</f>
        <v>0</v>
      </c>
      <c r="I580" s="98">
        <f>SUM(I577:I579)</f>
        <v>13248.01</v>
      </c>
      <c r="J580" s="63"/>
      <c r="K580" s="21"/>
      <c r="L580" s="21"/>
      <c r="M580" s="21"/>
      <c r="N580" s="21"/>
      <c r="O580" s="21"/>
      <c r="P580" s="21"/>
      <c r="Q580" s="21"/>
      <c r="R580" s="21"/>
      <c r="S580" s="21"/>
      <c r="T580" s="63"/>
      <c r="U580" s="94"/>
      <c r="V580" s="90"/>
      <c r="W580" s="91"/>
      <c r="X580" s="92"/>
    </row>
    <row r="581" spans="1:31">
      <c r="A581" s="2"/>
      <c r="B581" s="11"/>
      <c r="C581" s="36"/>
      <c r="D581" s="10"/>
      <c r="E581" s="10"/>
      <c r="F581" s="88"/>
      <c r="G581" s="88"/>
      <c r="H581" s="88"/>
      <c r="I581" s="99"/>
      <c r="J581" s="63"/>
      <c r="K581" s="21"/>
      <c r="L581" s="21"/>
      <c r="M581" s="21"/>
      <c r="N581" s="21"/>
      <c r="O581" s="21"/>
      <c r="P581" s="21"/>
      <c r="Q581" s="21"/>
      <c r="R581" s="21"/>
      <c r="S581" s="21"/>
      <c r="T581" s="63"/>
      <c r="U581" s="94"/>
      <c r="V581" s="90"/>
      <c r="W581" s="91"/>
      <c r="X581" s="92"/>
    </row>
    <row r="582" spans="1:31" s="181" customFormat="1">
      <c r="B582" s="100" t="s">
        <v>152</v>
      </c>
      <c r="C582" s="270"/>
      <c r="D582" s="77"/>
      <c r="E582" s="10"/>
      <c r="F582" s="88"/>
      <c r="G582" s="62"/>
      <c r="H582" s="88"/>
      <c r="I582" s="99"/>
      <c r="J582" s="63"/>
      <c r="K582" s="63"/>
      <c r="L582" s="63"/>
      <c r="M582" s="63"/>
      <c r="N582" s="63"/>
      <c r="O582" s="63"/>
      <c r="P582" s="63"/>
      <c r="Q582" s="63"/>
      <c r="R582" s="63"/>
      <c r="S582" s="63"/>
      <c r="T582" s="63"/>
      <c r="U582" s="94"/>
      <c r="V582" s="90"/>
      <c r="W582" s="91"/>
      <c r="X582" s="92"/>
    </row>
    <row r="583" spans="1:31" s="181" customFormat="1">
      <c r="A583" s="261">
        <v>0.1</v>
      </c>
      <c r="B583" s="87">
        <v>1</v>
      </c>
      <c r="C583" s="420">
        <v>45799</v>
      </c>
      <c r="D583" s="320" t="s">
        <v>3157</v>
      </c>
      <c r="E583" s="281" t="s">
        <v>3158</v>
      </c>
      <c r="F583" s="277">
        <v>481</v>
      </c>
      <c r="G583" s="277"/>
      <c r="H583" s="277"/>
      <c r="I583" s="321">
        <f>F583-G583-H583</f>
        <v>481</v>
      </c>
      <c r="J583" s="279" t="s">
        <v>156</v>
      </c>
      <c r="K583" s="279">
        <v>1</v>
      </c>
      <c r="L583" s="279">
        <v>1</v>
      </c>
      <c r="M583" s="279">
        <v>1</v>
      </c>
      <c r="N583" s="279">
        <v>1</v>
      </c>
      <c r="O583" s="279">
        <v>1</v>
      </c>
      <c r="P583" s="322">
        <v>0</v>
      </c>
      <c r="Q583" s="322">
        <v>0</v>
      </c>
      <c r="R583" s="322">
        <v>0</v>
      </c>
      <c r="S583" s="328">
        <v>0</v>
      </c>
      <c r="T583" s="63"/>
      <c r="U583" s="94"/>
      <c r="V583" s="90"/>
      <c r="W583" s="91"/>
      <c r="X583" s="92"/>
    </row>
    <row r="584" spans="1:31" s="181" customFormat="1">
      <c r="A584" s="261">
        <v>0.1</v>
      </c>
      <c r="B584" s="87">
        <f t="shared" ref="B584" si="133">B583+1</f>
        <v>2</v>
      </c>
      <c r="C584" s="433">
        <v>45799</v>
      </c>
      <c r="D584" s="357" t="s">
        <v>3165</v>
      </c>
      <c r="E584" s="264" t="s">
        <v>3158</v>
      </c>
      <c r="F584" s="265">
        <v>5785.94</v>
      </c>
      <c r="G584" s="265">
        <f>214.82*1.1+300</f>
        <v>536.30200000000002</v>
      </c>
      <c r="H584" s="265"/>
      <c r="I584" s="266">
        <f t="shared" ref="I584:I585" si="134">F584-G584-H584</f>
        <v>5249.6379999999999</v>
      </c>
      <c r="J584" s="267"/>
      <c r="K584" s="267">
        <v>1</v>
      </c>
      <c r="L584" s="267"/>
      <c r="M584" s="267"/>
      <c r="N584" s="267">
        <v>1</v>
      </c>
      <c r="O584" s="267">
        <v>1</v>
      </c>
      <c r="P584" s="314">
        <v>0</v>
      </c>
      <c r="Q584" s="314">
        <v>0</v>
      </c>
      <c r="R584" s="314">
        <v>0</v>
      </c>
      <c r="S584" s="366">
        <v>0</v>
      </c>
      <c r="T584" s="63"/>
      <c r="U584" s="94" t="s">
        <v>3166</v>
      </c>
      <c r="V584" s="90"/>
      <c r="W584" s="136"/>
      <c r="X584" s="137"/>
    </row>
    <row r="585" spans="1:31" s="181" customFormat="1">
      <c r="A585" s="261">
        <v>0.1</v>
      </c>
      <c r="B585" s="87">
        <f>B584+1</f>
        <v>3</v>
      </c>
      <c r="C585" s="433">
        <v>45818</v>
      </c>
      <c r="D585" s="357">
        <v>701386</v>
      </c>
      <c r="E585" s="264" t="s">
        <v>3159</v>
      </c>
      <c r="F585" s="265">
        <f>3046-185</f>
        <v>2861</v>
      </c>
      <c r="G585" s="265">
        <f>+(64.82)</f>
        <v>64.819999999999993</v>
      </c>
      <c r="H585" s="265"/>
      <c r="I585" s="272">
        <f t="shared" si="134"/>
        <v>2796.18</v>
      </c>
      <c r="J585" s="267" t="s">
        <v>156</v>
      </c>
      <c r="K585" s="267">
        <v>1</v>
      </c>
      <c r="L585" s="267">
        <v>1</v>
      </c>
      <c r="M585" s="267">
        <v>1</v>
      </c>
      <c r="N585" s="267">
        <v>1</v>
      </c>
      <c r="O585" s="267">
        <v>1</v>
      </c>
      <c r="P585" s="267">
        <v>1</v>
      </c>
      <c r="Q585" s="267">
        <v>1</v>
      </c>
      <c r="R585" s="267">
        <v>1</v>
      </c>
      <c r="S585" s="269">
        <v>1</v>
      </c>
      <c r="T585" s="63"/>
      <c r="U585" s="94"/>
      <c r="V585" s="90"/>
      <c r="W585" s="91"/>
      <c r="X585" s="92"/>
    </row>
    <row r="586" spans="1:31" s="181" customFormat="1">
      <c r="B586" s="11"/>
      <c r="C586" s="270"/>
      <c r="D586" s="77"/>
      <c r="E586" s="10"/>
      <c r="F586" s="98">
        <f>SUM(F583:F585)</f>
        <v>9127.9399999999987</v>
      </c>
      <c r="G586" s="98">
        <f>SUM(G583:G585)</f>
        <v>601.12200000000007</v>
      </c>
      <c r="H586" s="98">
        <f>SUM(H583:H585)</f>
        <v>0</v>
      </c>
      <c r="I586" s="98">
        <f>SUM(I583:I585)</f>
        <v>8526.8179999999993</v>
      </c>
      <c r="J586" s="63"/>
      <c r="K586" s="21"/>
      <c r="L586" s="21"/>
      <c r="M586" s="21"/>
      <c r="N586" s="21"/>
      <c r="O586" s="21"/>
      <c r="P586" s="21"/>
      <c r="Q586" s="21"/>
      <c r="R586" s="21"/>
      <c r="S586" s="21"/>
      <c r="T586" s="63"/>
      <c r="U586" s="94"/>
      <c r="V586" s="90"/>
      <c r="W586" s="91"/>
      <c r="X586" s="92"/>
    </row>
    <row r="587" spans="1:31" s="181" customFormat="1">
      <c r="B587" s="11"/>
      <c r="C587" s="270"/>
      <c r="D587" s="77"/>
      <c r="E587" s="10"/>
      <c r="F587" s="88"/>
      <c r="G587" s="88"/>
      <c r="H587" s="88"/>
      <c r="I587" s="99"/>
      <c r="J587" s="63"/>
      <c r="K587" s="21"/>
      <c r="L587" s="21"/>
      <c r="M587" s="21"/>
      <c r="N587" s="21"/>
      <c r="O587" s="21"/>
      <c r="P587" s="21"/>
      <c r="Q587" s="21"/>
      <c r="R587" s="21"/>
      <c r="S587" s="21"/>
      <c r="T587" s="63"/>
      <c r="U587" s="94"/>
      <c r="V587" s="90"/>
      <c r="W587" s="91"/>
      <c r="X587" s="92"/>
    </row>
    <row r="588" spans="1:31" s="181" customFormat="1">
      <c r="A588" s="434"/>
      <c r="B588" s="100" t="s">
        <v>1521</v>
      </c>
      <c r="C588" s="435"/>
      <c r="D588" s="63"/>
      <c r="E588" s="260"/>
      <c r="F588" s="88"/>
      <c r="G588" s="88"/>
      <c r="H588" s="88"/>
      <c r="I588" s="99"/>
      <c r="J588" s="63"/>
      <c r="K588" s="21"/>
      <c r="L588" s="21"/>
      <c r="M588" s="21"/>
      <c r="N588" s="21"/>
      <c r="O588" s="21"/>
      <c r="P588" s="21"/>
      <c r="Q588" s="21"/>
      <c r="R588" s="21"/>
      <c r="S588" s="21"/>
      <c r="T588" s="63"/>
      <c r="U588" s="94"/>
      <c r="V588" s="138"/>
      <c r="W588" s="136"/>
      <c r="X588" s="92"/>
      <c r="Y588" s="260"/>
    </row>
    <row r="589" spans="1:31" s="181" customFormat="1">
      <c r="A589" s="261">
        <v>0.1</v>
      </c>
      <c r="B589" s="87">
        <v>1</v>
      </c>
      <c r="C589" s="433">
        <v>45827</v>
      </c>
      <c r="D589" s="357">
        <v>701730</v>
      </c>
      <c r="E589" s="271" t="s">
        <v>3169</v>
      </c>
      <c r="F589" s="265">
        <f>2946-85</f>
        <v>2861</v>
      </c>
      <c r="G589" s="265"/>
      <c r="H589" s="265"/>
      <c r="I589" s="266">
        <f t="shared" ref="I589:I591" si="135">F589-G589-H589</f>
        <v>2861</v>
      </c>
      <c r="J589" s="267" t="s">
        <v>156</v>
      </c>
      <c r="K589" s="267">
        <v>1</v>
      </c>
      <c r="L589" s="267"/>
      <c r="M589" s="267">
        <v>1</v>
      </c>
      <c r="N589" s="267">
        <v>1</v>
      </c>
      <c r="O589" s="267">
        <v>1</v>
      </c>
      <c r="P589" s="314">
        <v>0</v>
      </c>
      <c r="Q589" s="267"/>
      <c r="R589" s="267"/>
      <c r="S589" s="269"/>
      <c r="T589" s="63"/>
      <c r="U589" s="94" t="s">
        <v>3170</v>
      </c>
      <c r="V589" s="90"/>
      <c r="W589" s="136"/>
      <c r="X589" s="137"/>
    </row>
    <row r="590" spans="1:31" s="181" customFormat="1">
      <c r="A590" s="181" t="s">
        <v>683</v>
      </c>
      <c r="B590" s="87">
        <f>B589+1</f>
        <v>2</v>
      </c>
      <c r="C590" s="420">
        <v>45831</v>
      </c>
      <c r="D590" s="320">
        <v>701437</v>
      </c>
      <c r="E590" s="276" t="s">
        <v>3155</v>
      </c>
      <c r="F590" s="277">
        <v>8520.27</v>
      </c>
      <c r="G590" s="277">
        <f>234.27*1.1+72*1.1</f>
        <v>336.89700000000005</v>
      </c>
      <c r="H590" s="277"/>
      <c r="I590" s="278">
        <f t="shared" si="135"/>
        <v>8183.3730000000005</v>
      </c>
      <c r="J590" s="279" t="s">
        <v>156</v>
      </c>
      <c r="K590" s="279">
        <v>1</v>
      </c>
      <c r="L590" s="279"/>
      <c r="M590" s="279">
        <v>1</v>
      </c>
      <c r="N590" s="279">
        <v>1</v>
      </c>
      <c r="O590" s="279">
        <v>1</v>
      </c>
      <c r="P590" s="279">
        <v>1</v>
      </c>
      <c r="Q590" s="279"/>
      <c r="R590" s="279"/>
      <c r="S590" s="280"/>
      <c r="T590" s="63"/>
      <c r="U590" s="94" t="s">
        <v>3156</v>
      </c>
      <c r="V590" s="90"/>
      <c r="W590" s="136"/>
      <c r="X590" s="137"/>
    </row>
    <row r="591" spans="1:31" s="260" customFormat="1">
      <c r="A591" s="261">
        <v>0.1</v>
      </c>
      <c r="B591" s="87">
        <f>B590+1</f>
        <v>3</v>
      </c>
      <c r="C591" s="274">
        <v>45856</v>
      </c>
      <c r="D591" s="327" t="s">
        <v>3204</v>
      </c>
      <c r="E591" s="276" t="s">
        <v>1530</v>
      </c>
      <c r="F591" s="277">
        <v>6218</v>
      </c>
      <c r="G591" s="277">
        <f>39.7+(1145.59)+250</f>
        <v>1435.29</v>
      </c>
      <c r="H591" s="297"/>
      <c r="I591" s="278">
        <f t="shared" si="135"/>
        <v>4782.71</v>
      </c>
      <c r="J591" s="279" t="s">
        <v>156</v>
      </c>
      <c r="K591" s="279">
        <v>1</v>
      </c>
      <c r="L591" s="279"/>
      <c r="M591" s="279">
        <v>1</v>
      </c>
      <c r="N591" s="279">
        <v>1</v>
      </c>
      <c r="O591" s="279">
        <v>1</v>
      </c>
      <c r="P591" s="279">
        <v>1</v>
      </c>
      <c r="Q591" s="279"/>
      <c r="R591" s="279"/>
      <c r="S591" s="280"/>
      <c r="T591" s="63"/>
      <c r="U591" s="94" t="s">
        <v>3348</v>
      </c>
      <c r="V591" s="90"/>
      <c r="W591" s="136"/>
      <c r="X591" s="137"/>
      <c r="Y591" s="181"/>
      <c r="Z591" s="181"/>
      <c r="AA591" s="181"/>
      <c r="AB591" s="181"/>
      <c r="AC591" s="181"/>
    </row>
    <row r="592" spans="1:31" s="342" customFormat="1">
      <c r="A592" s="261">
        <v>0.1</v>
      </c>
      <c r="B592" s="87">
        <f>B591+1</f>
        <v>4</v>
      </c>
      <c r="C592" s="262">
        <v>45868</v>
      </c>
      <c r="D592" s="263" t="s">
        <v>3269</v>
      </c>
      <c r="E592" s="271" t="s">
        <v>1076</v>
      </c>
      <c r="F592" s="265">
        <v>6133</v>
      </c>
      <c r="G592" s="265">
        <f>39.7+250</f>
        <v>289.7</v>
      </c>
      <c r="H592" s="265"/>
      <c r="I592" s="272">
        <f>F592-G592-H592</f>
        <v>5843.3</v>
      </c>
      <c r="J592" s="267" t="s">
        <v>156</v>
      </c>
      <c r="K592" s="267">
        <v>1</v>
      </c>
      <c r="L592" s="267"/>
      <c r="M592" s="267">
        <v>1</v>
      </c>
      <c r="N592" s="267">
        <v>1</v>
      </c>
      <c r="O592" s="267">
        <v>1</v>
      </c>
      <c r="P592" s="267">
        <v>1</v>
      </c>
      <c r="Q592" s="267"/>
      <c r="R592" s="267"/>
      <c r="S592" s="269"/>
      <c r="T592" s="63"/>
      <c r="U592" s="94"/>
      <c r="V592" s="90"/>
      <c r="W592" s="136"/>
      <c r="X592" s="137"/>
      <c r="Y592" s="181"/>
      <c r="Z592" s="181"/>
      <c r="AA592" s="181"/>
      <c r="AB592" s="181"/>
      <c r="AC592" s="181"/>
      <c r="AD592" s="260"/>
      <c r="AE592" s="260"/>
    </row>
    <row r="593" spans="1:29" s="260" customFormat="1">
      <c r="A593" s="261">
        <v>0.1</v>
      </c>
      <c r="B593" s="87">
        <f>B592+1</f>
        <v>5</v>
      </c>
      <c r="C593" s="282">
        <v>45875</v>
      </c>
      <c r="D593" s="368">
        <v>72048</v>
      </c>
      <c r="E593" s="283" t="s">
        <v>1225</v>
      </c>
      <c r="F593" s="284">
        <v>4939</v>
      </c>
      <c r="G593" s="284">
        <f>39.7+(24)+(202.65)+250</f>
        <v>516.35</v>
      </c>
      <c r="H593" s="284"/>
      <c r="I593" s="300">
        <f>F593-G593-H593</f>
        <v>4422.6499999999996</v>
      </c>
      <c r="J593" s="286" t="s">
        <v>156</v>
      </c>
      <c r="K593" s="286">
        <v>1</v>
      </c>
      <c r="L593" s="286"/>
      <c r="M593" s="286">
        <v>1</v>
      </c>
      <c r="N593" s="286">
        <v>1</v>
      </c>
      <c r="O593" s="286">
        <v>1</v>
      </c>
      <c r="P593" s="332">
        <v>0</v>
      </c>
      <c r="Q593" s="286"/>
      <c r="R593" s="286"/>
      <c r="S593" s="287"/>
      <c r="T593" s="63"/>
      <c r="U593" s="94" t="s">
        <v>3332</v>
      </c>
      <c r="V593" s="90"/>
      <c r="W593" s="136"/>
      <c r="X593" s="137"/>
      <c r="Y593" s="181"/>
      <c r="Z593" s="181"/>
      <c r="AA593" s="181"/>
      <c r="AB593" s="181"/>
      <c r="AC593" s="181"/>
    </row>
    <row r="594" spans="1:29" s="260" customFormat="1">
      <c r="A594" s="181" t="s">
        <v>3349</v>
      </c>
      <c r="B594" s="87">
        <f>B593+1</f>
        <v>6</v>
      </c>
      <c r="C594" s="262">
        <v>45882</v>
      </c>
      <c r="D594" s="357" t="s">
        <v>3328</v>
      </c>
      <c r="E594" s="271" t="s">
        <v>1217</v>
      </c>
      <c r="F594" s="265">
        <v>48614</v>
      </c>
      <c r="G594" s="265">
        <f>39.7+83.2+326+330+(16)+(176.06)+(F594*0.25)</f>
        <v>13124.46</v>
      </c>
      <c r="H594" s="265">
        <f>25060*0.2</f>
        <v>5012</v>
      </c>
      <c r="I594" s="272">
        <f>F594-G594-H594</f>
        <v>30477.54</v>
      </c>
      <c r="J594" s="267" t="s">
        <v>185</v>
      </c>
      <c r="K594" s="267">
        <v>1</v>
      </c>
      <c r="L594" s="267"/>
      <c r="M594" s="267">
        <v>1</v>
      </c>
      <c r="N594" s="267">
        <v>1</v>
      </c>
      <c r="O594" s="267">
        <v>1</v>
      </c>
      <c r="P594" s="267">
        <v>0</v>
      </c>
      <c r="Q594" s="267"/>
      <c r="R594" s="267"/>
      <c r="S594" s="269"/>
      <c r="T594" s="63"/>
      <c r="U594" s="94" t="s">
        <v>3350</v>
      </c>
      <c r="V594" s="90"/>
      <c r="W594" s="136"/>
      <c r="X594" s="137"/>
      <c r="Y594" s="181"/>
      <c r="Z594" s="181"/>
      <c r="AA594" s="181"/>
      <c r="AB594" s="181"/>
      <c r="AC594" s="181"/>
    </row>
    <row r="595" spans="1:29" s="181" customFormat="1">
      <c r="A595" s="434"/>
      <c r="B595" s="11"/>
      <c r="C595" s="435"/>
      <c r="D595" s="63"/>
      <c r="E595" s="10"/>
      <c r="F595" s="98">
        <f>SUM(F589:F594)</f>
        <v>77285.27</v>
      </c>
      <c r="G595" s="98">
        <f>SUM(G589:G594)</f>
        <v>15702.696999999998</v>
      </c>
      <c r="H595" s="98">
        <f>SUM(H589:H594)</f>
        <v>5012</v>
      </c>
      <c r="I595" s="98">
        <f>SUM(I589:I594)</f>
        <v>56570.572999999997</v>
      </c>
      <c r="J595" s="63"/>
      <c r="K595" s="21"/>
      <c r="L595" s="21"/>
      <c r="M595" s="21"/>
      <c r="N595" s="21"/>
      <c r="O595" s="21"/>
      <c r="P595" s="21"/>
      <c r="Q595" s="21"/>
      <c r="R595" s="21"/>
      <c r="S595" s="21"/>
      <c r="T595" s="63"/>
      <c r="U595" s="94"/>
      <c r="V595" s="138"/>
      <c r="W595" s="136"/>
      <c r="X595" s="92"/>
      <c r="Y595" s="260"/>
    </row>
    <row r="596" spans="1:29" s="181" customFormat="1">
      <c r="A596" s="434"/>
      <c r="B596" s="11"/>
      <c r="C596" s="435"/>
      <c r="D596" s="63"/>
      <c r="E596" s="10"/>
      <c r="F596" s="99"/>
      <c r="G596" s="99"/>
      <c r="H596" s="99"/>
      <c r="I596" s="99"/>
      <c r="J596" s="63"/>
      <c r="K596" s="21"/>
      <c r="L596" s="21"/>
      <c r="M596" s="21"/>
      <c r="N596" s="21"/>
      <c r="O596" s="21"/>
      <c r="P596" s="21"/>
      <c r="Q596" s="21"/>
      <c r="R596" s="21"/>
      <c r="S596" s="21"/>
      <c r="T596" s="63"/>
      <c r="U596" s="94"/>
      <c r="V596" s="138"/>
      <c r="W596" s="136"/>
      <c r="X596" s="92"/>
      <c r="Y596" s="260"/>
    </row>
    <row r="597" spans="1:29">
      <c r="A597" s="2"/>
      <c r="B597" s="100" t="s">
        <v>72</v>
      </c>
      <c r="C597" s="36"/>
      <c r="D597" s="10"/>
      <c r="E597" s="10"/>
      <c r="F597" s="88"/>
      <c r="G597" s="88"/>
      <c r="H597" s="88"/>
      <c r="I597" s="99"/>
      <c r="J597" s="63"/>
      <c r="K597" s="63"/>
      <c r="L597" s="63"/>
      <c r="M597" s="63"/>
      <c r="N597" s="63"/>
      <c r="O597" s="63"/>
      <c r="P597" s="63"/>
      <c r="Q597" s="63"/>
      <c r="R597" s="63"/>
      <c r="S597" s="63"/>
      <c r="T597" s="63"/>
      <c r="U597" s="10"/>
      <c r="V597" s="90"/>
      <c r="W597" s="91"/>
      <c r="X597" s="92"/>
    </row>
    <row r="598" spans="1:29">
      <c r="A598" s="2"/>
      <c r="B598" s="87">
        <v>1</v>
      </c>
      <c r="C598" s="274">
        <v>45887</v>
      </c>
      <c r="D598" s="276">
        <v>72360</v>
      </c>
      <c r="E598" s="276" t="s">
        <v>1064</v>
      </c>
      <c r="F598" s="277">
        <v>1261</v>
      </c>
      <c r="G598" s="277">
        <f>39.7</f>
        <v>39.700000000000003</v>
      </c>
      <c r="H598" s="277"/>
      <c r="I598" s="278">
        <f t="shared" ref="I598:I606" si="136">F598-G598-H598</f>
        <v>1221.3</v>
      </c>
      <c r="J598" s="279" t="s">
        <v>205</v>
      </c>
      <c r="K598" s="279">
        <v>1</v>
      </c>
      <c r="L598" s="279"/>
      <c r="M598" s="279">
        <v>1</v>
      </c>
      <c r="N598" s="279">
        <v>1</v>
      </c>
      <c r="O598" s="279"/>
      <c r="P598" s="279"/>
      <c r="Q598" s="279">
        <v>1</v>
      </c>
      <c r="R598" s="279">
        <v>1</v>
      </c>
      <c r="S598" s="280">
        <v>1</v>
      </c>
      <c r="T598" s="63"/>
      <c r="U598" s="3"/>
      <c r="V598" s="90"/>
      <c r="W598" s="91"/>
      <c r="X598" s="92"/>
    </row>
    <row r="599" spans="1:29" s="260" customFormat="1">
      <c r="A599" s="261" t="s">
        <v>3351</v>
      </c>
      <c r="B599" s="87">
        <f>B598+1</f>
        <v>2</v>
      </c>
      <c r="C599" s="262">
        <v>45888</v>
      </c>
      <c r="D599" s="271">
        <v>72449</v>
      </c>
      <c r="E599" s="271" t="s">
        <v>187</v>
      </c>
      <c r="F599" s="265">
        <v>6841</v>
      </c>
      <c r="G599" s="265">
        <f>39.7+(193.45+87.29)+500</f>
        <v>820.44</v>
      </c>
      <c r="H599" s="265"/>
      <c r="I599" s="272">
        <f>F599-G599-H599</f>
        <v>6020.5599999999995</v>
      </c>
      <c r="J599" s="267" t="s">
        <v>156</v>
      </c>
      <c r="K599" s="267">
        <v>1</v>
      </c>
      <c r="L599" s="267"/>
      <c r="M599" s="267">
        <v>1</v>
      </c>
      <c r="N599" s="267">
        <v>1</v>
      </c>
      <c r="O599" s="267">
        <v>1</v>
      </c>
      <c r="P599" s="267">
        <v>1</v>
      </c>
      <c r="Q599" s="267"/>
      <c r="R599" s="267"/>
      <c r="S599" s="269"/>
      <c r="T599" s="63"/>
      <c r="U599" s="94" t="s">
        <v>3352</v>
      </c>
      <c r="V599" s="90">
        <f>752.51</f>
        <v>752.51</v>
      </c>
      <c r="W599" s="136"/>
      <c r="X599" s="137"/>
    </row>
    <row r="600" spans="1:29">
      <c r="A600" s="2"/>
      <c r="B600" s="87">
        <f>B599+1</f>
        <v>3</v>
      </c>
      <c r="C600" s="295">
        <v>45889</v>
      </c>
      <c r="D600" s="77" t="s">
        <v>3353</v>
      </c>
      <c r="E600" s="10" t="s">
        <v>1668</v>
      </c>
      <c r="F600" s="62">
        <v>6214</v>
      </c>
      <c r="G600" s="62">
        <v>39.700000000000003</v>
      </c>
      <c r="H600" s="62"/>
      <c r="I600" s="89">
        <f t="shared" si="136"/>
        <v>6174.3</v>
      </c>
      <c r="J600" s="63" t="s">
        <v>205</v>
      </c>
      <c r="K600" s="63">
        <v>1</v>
      </c>
      <c r="L600" s="63"/>
      <c r="M600" s="63"/>
      <c r="N600" s="63">
        <v>1</v>
      </c>
      <c r="O600" s="63"/>
      <c r="P600" s="63"/>
      <c r="Q600" s="63">
        <v>1</v>
      </c>
      <c r="R600" s="63">
        <v>1</v>
      </c>
      <c r="S600" s="296">
        <v>1</v>
      </c>
      <c r="T600" s="63"/>
      <c r="U600" s="10"/>
      <c r="V600" s="90"/>
      <c r="W600" s="136"/>
      <c r="X600" s="137"/>
    </row>
    <row r="601" spans="1:29">
      <c r="A601" s="2"/>
      <c r="B601" s="87">
        <f>B600+1</f>
        <v>4</v>
      </c>
      <c r="C601" s="295">
        <v>45889</v>
      </c>
      <c r="D601" s="77" t="s">
        <v>3354</v>
      </c>
      <c r="E601" s="10" t="s">
        <v>1668</v>
      </c>
      <c r="F601" s="62">
        <v>8614</v>
      </c>
      <c r="G601" s="62">
        <v>39.700000000000003</v>
      </c>
      <c r="H601" s="62"/>
      <c r="I601" s="89">
        <f t="shared" si="136"/>
        <v>8574.2999999999993</v>
      </c>
      <c r="J601" s="63" t="s">
        <v>205</v>
      </c>
      <c r="K601" s="63">
        <v>1</v>
      </c>
      <c r="L601" s="63"/>
      <c r="M601" s="63"/>
      <c r="N601" s="63">
        <v>1</v>
      </c>
      <c r="O601" s="63"/>
      <c r="P601" s="63"/>
      <c r="Q601" s="63">
        <v>1</v>
      </c>
      <c r="R601" s="63">
        <v>1</v>
      </c>
      <c r="S601" s="296">
        <v>1</v>
      </c>
      <c r="T601" s="63"/>
      <c r="U601" s="10"/>
      <c r="V601" s="90"/>
      <c r="W601" s="136"/>
      <c r="X601" s="137"/>
    </row>
    <row r="602" spans="1:29">
      <c r="A602" s="2"/>
      <c r="B602" s="87">
        <f>B601+1</f>
        <v>5</v>
      </c>
      <c r="C602" s="295">
        <v>45889</v>
      </c>
      <c r="D602" s="10">
        <v>72424</v>
      </c>
      <c r="E602" s="10" t="s">
        <v>979</v>
      </c>
      <c r="F602" s="62">
        <v>0</v>
      </c>
      <c r="G602" s="62">
        <v>0</v>
      </c>
      <c r="H602" s="62"/>
      <c r="I602" s="89">
        <f t="shared" si="136"/>
        <v>0</v>
      </c>
      <c r="J602" s="63" t="s">
        <v>810</v>
      </c>
      <c r="K602" s="63"/>
      <c r="L602" s="63"/>
      <c r="M602" s="63"/>
      <c r="N602" s="63"/>
      <c r="O602" s="63"/>
      <c r="P602" s="63"/>
      <c r="Q602" s="63"/>
      <c r="R602" s="63"/>
      <c r="S602" s="296"/>
      <c r="T602" s="63"/>
      <c r="U602" s="10"/>
      <c r="V602" s="90"/>
      <c r="W602" s="136"/>
      <c r="X602" s="137"/>
    </row>
    <row r="603" spans="1:29">
      <c r="A603" s="2"/>
      <c r="B603" s="87">
        <f>B602+1</f>
        <v>6</v>
      </c>
      <c r="C603" s="295">
        <v>45889</v>
      </c>
      <c r="D603" s="10">
        <v>72469</v>
      </c>
      <c r="E603" s="10" t="s">
        <v>1010</v>
      </c>
      <c r="F603" s="62">
        <v>1138</v>
      </c>
      <c r="G603" s="62">
        <v>39.700000000000003</v>
      </c>
      <c r="H603" s="62"/>
      <c r="I603" s="89">
        <f t="shared" si="136"/>
        <v>1098.3</v>
      </c>
      <c r="J603" s="63" t="s">
        <v>205</v>
      </c>
      <c r="K603" s="63">
        <v>1</v>
      </c>
      <c r="L603" s="63"/>
      <c r="M603" s="63"/>
      <c r="N603" s="63">
        <v>1</v>
      </c>
      <c r="O603" s="63"/>
      <c r="P603" s="63"/>
      <c r="Q603" s="63">
        <v>1</v>
      </c>
      <c r="R603" s="63">
        <v>1</v>
      </c>
      <c r="S603" s="296">
        <v>1</v>
      </c>
      <c r="T603" s="63"/>
      <c r="U603" s="10"/>
      <c r="V603" s="90"/>
      <c r="W603" s="136"/>
      <c r="X603" s="137"/>
    </row>
    <row r="604" spans="1:29">
      <c r="A604" s="507" t="s">
        <v>1633</v>
      </c>
      <c r="B604" s="87">
        <f>B603+1</f>
        <v>7</v>
      </c>
      <c r="C604" s="554">
        <v>45889</v>
      </c>
      <c r="D604" s="555">
        <v>72463</v>
      </c>
      <c r="E604" s="555" t="s">
        <v>1159</v>
      </c>
      <c r="F604" s="556">
        <v>6214</v>
      </c>
      <c r="G604" s="556">
        <f>39.7</f>
        <v>39.700000000000003</v>
      </c>
      <c r="H604" s="556"/>
      <c r="I604" s="557">
        <f>F604-G604-H604</f>
        <v>6174.3</v>
      </c>
      <c r="J604" s="558" t="s">
        <v>156</v>
      </c>
      <c r="K604" s="558">
        <v>1</v>
      </c>
      <c r="L604" s="558"/>
      <c r="M604" s="558">
        <v>1</v>
      </c>
      <c r="N604" s="558">
        <v>1</v>
      </c>
      <c r="O604" s="558">
        <v>1</v>
      </c>
      <c r="P604" s="558">
        <v>1</v>
      </c>
      <c r="Q604" s="558"/>
      <c r="R604" s="558"/>
      <c r="S604" s="559"/>
      <c r="T604" s="537"/>
      <c r="U604" s="3" t="s">
        <v>3355</v>
      </c>
      <c r="V604" s="551">
        <f>683.54</f>
        <v>683.54</v>
      </c>
      <c r="W604" s="552"/>
      <c r="X604" s="553"/>
    </row>
    <row r="605" spans="1:29">
      <c r="A605" s="2"/>
      <c r="B605" s="87">
        <f>B604+1</f>
        <v>8</v>
      </c>
      <c r="C605" s="295">
        <v>45891</v>
      </c>
      <c r="D605" s="77" t="s">
        <v>3356</v>
      </c>
      <c r="E605" s="101" t="s">
        <v>187</v>
      </c>
      <c r="F605" s="62">
        <v>0</v>
      </c>
      <c r="G605" s="62"/>
      <c r="H605" s="62"/>
      <c r="I605" s="89">
        <f t="shared" si="136"/>
        <v>0</v>
      </c>
      <c r="J605" s="63" t="s">
        <v>219</v>
      </c>
      <c r="K605" s="63">
        <v>1</v>
      </c>
      <c r="L605" s="63"/>
      <c r="M605" s="63"/>
      <c r="N605" s="63"/>
      <c r="O605" s="63"/>
      <c r="P605" s="63"/>
      <c r="Q605" s="63"/>
      <c r="R605" s="63"/>
      <c r="S605" s="296"/>
      <c r="T605" s="63"/>
      <c r="U605" s="10"/>
      <c r="V605" s="90"/>
      <c r="W605" s="136"/>
      <c r="X605" s="137"/>
    </row>
    <row r="606" spans="1:29">
      <c r="A606" s="2"/>
      <c r="B606" s="87">
        <f>B605+1</f>
        <v>9</v>
      </c>
      <c r="C606" s="282">
        <v>45891</v>
      </c>
      <c r="D606" s="283">
        <v>72542</v>
      </c>
      <c r="E606" s="319" t="s">
        <v>306</v>
      </c>
      <c r="F606" s="284">
        <v>1251</v>
      </c>
      <c r="G606" s="284">
        <v>39.700000000000003</v>
      </c>
      <c r="H606" s="284"/>
      <c r="I606" s="285">
        <f t="shared" si="136"/>
        <v>1211.3</v>
      </c>
      <c r="J606" s="286" t="s">
        <v>205</v>
      </c>
      <c r="K606" s="286">
        <v>1</v>
      </c>
      <c r="L606" s="286"/>
      <c r="M606" s="286"/>
      <c r="N606" s="286">
        <v>1</v>
      </c>
      <c r="O606" s="286"/>
      <c r="P606" s="286"/>
      <c r="Q606" s="286">
        <v>1</v>
      </c>
      <c r="R606" s="286">
        <v>1</v>
      </c>
      <c r="S606" s="287">
        <v>1</v>
      </c>
      <c r="T606" s="63"/>
      <c r="U606" s="10"/>
      <c r="V606" s="90"/>
      <c r="W606" s="136"/>
      <c r="X606" s="137"/>
    </row>
    <row r="607" spans="1:29">
      <c r="A607" s="2"/>
      <c r="B607" s="11"/>
      <c r="C607" s="36"/>
      <c r="D607" s="10"/>
      <c r="E607" s="10"/>
      <c r="F607" s="97">
        <f>SUM(F598:F606)</f>
        <v>31533</v>
      </c>
      <c r="G607" s="97">
        <f>SUM(G598:G606)</f>
        <v>1058.6400000000003</v>
      </c>
      <c r="H607" s="97">
        <f>SUM(H598:H606)</f>
        <v>0</v>
      </c>
      <c r="I607" s="98">
        <f>SUM(I598:I606)</f>
        <v>30474.359999999997</v>
      </c>
      <c r="J607" s="10"/>
      <c r="K607" s="10"/>
      <c r="L607" s="10"/>
      <c r="M607" s="10"/>
      <c r="N607" s="10"/>
      <c r="O607" s="10"/>
      <c r="P607" s="10"/>
      <c r="Q607" s="10"/>
      <c r="R607" s="10"/>
      <c r="S607" s="10"/>
      <c r="T607" s="63"/>
      <c r="U607" s="10"/>
      <c r="V607" s="138"/>
      <c r="W607" s="136"/>
      <c r="X607" s="137"/>
    </row>
    <row r="608" spans="1:29">
      <c r="A608" s="2"/>
      <c r="B608" s="26"/>
      <c r="C608" s="140"/>
      <c r="D608" s="141"/>
      <c r="E608" s="141"/>
      <c r="F608" s="141"/>
      <c r="G608" s="141"/>
      <c r="H608" s="141"/>
      <c r="I608" s="141"/>
      <c r="J608" s="141"/>
      <c r="K608" s="142"/>
      <c r="L608" s="142"/>
      <c r="M608" s="142"/>
      <c r="N608" s="142"/>
      <c r="O608" s="142"/>
      <c r="P608" s="142"/>
      <c r="Q608" s="142"/>
      <c r="R608" s="142"/>
      <c r="S608" s="142"/>
      <c r="T608" s="143">
        <f>SUM(T569:T607)</f>
        <v>2</v>
      </c>
      <c r="U608" s="141"/>
      <c r="V608" s="144">
        <f>SUM(V569:V607)</f>
        <v>12617.54</v>
      </c>
      <c r="W608" s="145">
        <f>SUM(W569:W607)</f>
        <v>1390.4</v>
      </c>
      <c r="X608" s="146">
        <f>SUM(X569:X607)</f>
        <v>0</v>
      </c>
    </row>
  </sheetData>
  <mergeCells count="10">
    <mergeCell ref="K556:Q556"/>
    <mergeCell ref="H366:J367"/>
    <mergeCell ref="K469:Q469"/>
    <mergeCell ref="K374:Q374"/>
    <mergeCell ref="K18:Q18"/>
    <mergeCell ref="K106:Q106"/>
    <mergeCell ref="K190:Q190"/>
    <mergeCell ref="H98:J99"/>
    <mergeCell ref="K280:Q280"/>
    <mergeCell ref="H182:J183"/>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9D4D-8E77-4D67-A578-B438ED13CA71}">
  <sheetPr>
    <tabColor theme="2" tint="-0.249977111117893"/>
  </sheetPr>
  <dimension ref="A2:Y39"/>
  <sheetViews>
    <sheetView workbookViewId="0">
      <selection activeCell="A39" sqref="A39:XFD180"/>
    </sheetView>
  </sheetViews>
  <sheetFormatPr defaultRowHeight="15"/>
  <cols>
    <col min="3" max="3" width="12.28515625" customWidth="1"/>
    <col min="4" max="4" width="16.42578125" customWidth="1"/>
    <col min="5" max="5" width="13.28515625" customWidth="1"/>
    <col min="6" max="6" width="10.85546875" customWidth="1"/>
    <col min="7" max="7" width="11.42578125" customWidth="1"/>
    <col min="8" max="8" width="11.5703125" customWidth="1"/>
    <col min="9" max="9" width="11.28515625" customWidth="1"/>
    <col min="22" max="22" width="12.5703125" customWidth="1"/>
  </cols>
  <sheetData>
    <row r="2" spans="2:24">
      <c r="B2" s="4" t="s">
        <v>1</v>
      </c>
      <c r="C2" s="5"/>
      <c r="D2" s="6"/>
      <c r="E2" s="6"/>
      <c r="F2" s="7" t="s">
        <v>2</v>
      </c>
      <c r="G2" s="8">
        <v>45872</v>
      </c>
      <c r="H2" s="7"/>
      <c r="I2" s="6"/>
      <c r="J2" s="6"/>
      <c r="K2" s="6"/>
      <c r="L2" s="6"/>
      <c r="M2" s="6"/>
      <c r="N2" s="6"/>
      <c r="O2" s="6"/>
      <c r="P2" s="6"/>
      <c r="Q2" s="6"/>
      <c r="R2" s="6"/>
      <c r="S2" s="6"/>
      <c r="T2" s="6"/>
      <c r="U2" s="9"/>
      <c r="V2" s="10"/>
      <c r="W2" s="10"/>
      <c r="X2" s="10"/>
    </row>
    <row r="3" spans="2:24">
      <c r="B3" s="11"/>
      <c r="C3" s="10"/>
      <c r="D3" s="10"/>
      <c r="E3" s="10"/>
      <c r="F3" s="10"/>
      <c r="G3" s="7"/>
      <c r="H3" s="12"/>
      <c r="I3" s="10"/>
      <c r="J3" s="10"/>
      <c r="K3" s="13" t="s">
        <v>3</v>
      </c>
      <c r="L3" s="14"/>
      <c r="M3" s="15"/>
      <c r="N3" s="13" t="s">
        <v>4</v>
      </c>
      <c r="O3" s="14"/>
      <c r="P3" s="15"/>
      <c r="Q3" s="13" t="s">
        <v>5</v>
      </c>
      <c r="R3" s="14"/>
      <c r="S3" s="15"/>
      <c r="T3" s="16"/>
      <c r="U3" s="17"/>
      <c r="V3" s="10"/>
      <c r="W3" s="10"/>
      <c r="X3" s="10"/>
    </row>
    <row r="4" spans="2:24">
      <c r="B4" s="18" t="s">
        <v>6</v>
      </c>
      <c r="C4" s="19">
        <f>C5+C6</f>
        <v>0</v>
      </c>
      <c r="D4" s="10"/>
      <c r="E4" s="18" t="s">
        <v>7</v>
      </c>
      <c r="F4" s="6"/>
      <c r="G4" s="9"/>
      <c r="H4" s="10"/>
      <c r="I4" s="10"/>
      <c r="J4" s="10"/>
      <c r="K4" s="20" t="s">
        <v>8</v>
      </c>
      <c r="L4" s="21" t="s">
        <v>9</v>
      </c>
      <c r="M4" s="21" t="s">
        <v>10</v>
      </c>
      <c r="N4" s="20" t="s">
        <v>11</v>
      </c>
      <c r="O4" s="21" t="s">
        <v>12</v>
      </c>
      <c r="P4" s="22" t="s">
        <v>13</v>
      </c>
      <c r="Q4" s="21" t="s">
        <v>11</v>
      </c>
      <c r="R4" s="21" t="s">
        <v>12</v>
      </c>
      <c r="S4" s="22" t="s">
        <v>13</v>
      </c>
      <c r="T4" s="23" t="s">
        <v>14</v>
      </c>
      <c r="U4" s="17"/>
      <c r="V4" s="10"/>
      <c r="W4" s="10"/>
      <c r="X4" s="10"/>
    </row>
    <row r="5" spans="2:24">
      <c r="B5" s="24" t="s">
        <v>15</v>
      </c>
      <c r="C5" s="25">
        <f>P12</f>
        <v>0</v>
      </c>
      <c r="D5" s="10"/>
      <c r="E5" s="26" t="s">
        <v>16</v>
      </c>
      <c r="F5" s="27">
        <v>0.05</v>
      </c>
      <c r="G5" s="28"/>
      <c r="H5" s="10"/>
      <c r="I5" s="10"/>
      <c r="J5" s="18" t="s">
        <v>17</v>
      </c>
      <c r="K5" s="29">
        <f t="shared" ref="K5:S5" si="0">K31</f>
        <v>0</v>
      </c>
      <c r="L5" s="29">
        <f t="shared" si="0"/>
        <v>0</v>
      </c>
      <c r="M5" s="29">
        <f t="shared" si="0"/>
        <v>0</v>
      </c>
      <c r="N5" s="29">
        <f t="shared" si="0"/>
        <v>0</v>
      </c>
      <c r="O5" s="29">
        <f t="shared" si="0"/>
        <v>0</v>
      </c>
      <c r="P5" s="29">
        <f t="shared" si="0"/>
        <v>0</v>
      </c>
      <c r="Q5" s="29">
        <f t="shared" si="0"/>
        <v>0</v>
      </c>
      <c r="R5" s="29">
        <f t="shared" si="0"/>
        <v>0</v>
      </c>
      <c r="S5" s="29">
        <f t="shared" si="0"/>
        <v>0</v>
      </c>
      <c r="T5" s="30">
        <f>T36</f>
        <v>0</v>
      </c>
      <c r="U5" s="17"/>
      <c r="V5" s="10"/>
      <c r="W5" s="10"/>
      <c r="X5" s="10"/>
    </row>
    <row r="6" spans="2:24">
      <c r="B6" s="24" t="s">
        <v>18</v>
      </c>
      <c r="C6" s="25">
        <f>P13</f>
        <v>0</v>
      </c>
      <c r="D6" s="10"/>
      <c r="E6" s="10"/>
      <c r="F6" s="10"/>
      <c r="G6" s="31"/>
      <c r="H6" s="10"/>
      <c r="I6" s="10"/>
      <c r="J6" s="32" t="s">
        <v>19</v>
      </c>
      <c r="K6" s="33" t="e">
        <f t="shared" ref="K6:S6" si="1">K31/K30</f>
        <v>#DIV/0!</v>
      </c>
      <c r="L6" s="33" t="e">
        <f t="shared" si="1"/>
        <v>#DIV/0!</v>
      </c>
      <c r="M6" s="33" t="e">
        <f t="shared" si="1"/>
        <v>#DIV/0!</v>
      </c>
      <c r="N6" s="33" t="e">
        <f t="shared" si="1"/>
        <v>#DIV/0!</v>
      </c>
      <c r="O6" s="33" t="e">
        <f t="shared" si="1"/>
        <v>#DIV/0!</v>
      </c>
      <c r="P6" s="33" t="e">
        <f t="shared" si="1"/>
        <v>#DIV/0!</v>
      </c>
      <c r="Q6" s="33" t="e">
        <f t="shared" si="1"/>
        <v>#DIV/0!</v>
      </c>
      <c r="R6" s="33" t="e">
        <f t="shared" si="1"/>
        <v>#DIV/0!</v>
      </c>
      <c r="S6" s="33" t="e">
        <f t="shared" si="1"/>
        <v>#DIV/0!</v>
      </c>
      <c r="T6" s="23"/>
      <c r="U6" s="17" t="s">
        <v>20</v>
      </c>
      <c r="V6" s="10"/>
      <c r="W6" s="10"/>
      <c r="X6" s="10"/>
    </row>
    <row r="7" spans="2:24">
      <c r="B7" s="24" t="s">
        <v>21</v>
      </c>
      <c r="C7" s="34" t="e">
        <f>P14</f>
        <v>#DIV/0!</v>
      </c>
      <c r="D7" s="10"/>
      <c r="E7" s="10"/>
      <c r="F7" s="10"/>
      <c r="G7" s="10"/>
      <c r="H7" s="10"/>
      <c r="I7" s="10"/>
      <c r="J7" s="10"/>
      <c r="K7" s="10"/>
      <c r="L7" s="10"/>
      <c r="M7" s="10"/>
      <c r="N7" s="10"/>
      <c r="O7" s="10"/>
      <c r="P7" s="10"/>
      <c r="Q7" s="10"/>
      <c r="R7" s="10"/>
      <c r="S7" s="10"/>
      <c r="T7" s="10"/>
      <c r="U7" s="17"/>
      <c r="V7" s="10"/>
      <c r="W7" s="10"/>
      <c r="X7" s="10"/>
    </row>
    <row r="8" spans="2:24">
      <c r="B8" s="24"/>
      <c r="C8" s="25"/>
      <c r="D8" s="10"/>
      <c r="E8" s="10"/>
      <c r="F8" s="18" t="s">
        <v>22</v>
      </c>
      <c r="G8" s="19" t="s">
        <v>23</v>
      </c>
      <c r="H8" s="35" t="s">
        <v>24</v>
      </c>
      <c r="I8" s="10"/>
      <c r="J8" s="10"/>
      <c r="K8" s="36"/>
      <c r="L8" s="36"/>
      <c r="M8" s="36"/>
      <c r="N8" s="36"/>
      <c r="O8" s="36"/>
      <c r="P8" s="36"/>
      <c r="Q8" s="36"/>
      <c r="R8" s="10"/>
      <c r="S8" s="10"/>
      <c r="T8" s="10"/>
      <c r="U8" s="17"/>
      <c r="V8" s="10"/>
      <c r="W8" s="10"/>
      <c r="X8" s="10"/>
    </row>
    <row r="9" spans="2:24">
      <c r="B9" s="32" t="s">
        <v>25</v>
      </c>
      <c r="C9" s="37" t="e">
        <f>P15</f>
        <v>#DIV/0!</v>
      </c>
      <c r="D9" s="10"/>
      <c r="E9" s="18" t="s">
        <v>26</v>
      </c>
      <c r="F9" s="38">
        <f>P11</f>
        <v>0</v>
      </c>
      <c r="G9" s="39">
        <f>I30</f>
        <v>0</v>
      </c>
      <c r="H9" s="40"/>
      <c r="I9" s="41"/>
      <c r="J9" s="42"/>
      <c r="K9" s="43" t="s">
        <v>27</v>
      </c>
      <c r="L9" s="44"/>
      <c r="M9" s="44"/>
      <c r="N9" s="44"/>
      <c r="O9" s="44"/>
      <c r="P9" s="44"/>
      <c r="Q9" s="45"/>
      <c r="R9" s="46" t="s">
        <v>28</v>
      </c>
      <c r="S9" s="47" t="s">
        <v>29</v>
      </c>
      <c r="T9" s="10"/>
      <c r="U9" s="17"/>
      <c r="V9" s="10"/>
      <c r="W9" s="10"/>
      <c r="X9" s="10"/>
    </row>
    <row r="10" spans="2:24">
      <c r="B10" s="11"/>
      <c r="C10" s="10"/>
      <c r="D10" s="10"/>
      <c r="E10" s="24" t="s">
        <v>30</v>
      </c>
      <c r="F10" s="48">
        <f>F5</f>
        <v>0.05</v>
      </c>
      <c r="G10" s="17"/>
      <c r="H10" s="40"/>
      <c r="I10" s="41"/>
      <c r="J10" s="42"/>
      <c r="K10" s="20" t="s">
        <v>31</v>
      </c>
      <c r="L10" s="21" t="s">
        <v>32</v>
      </c>
      <c r="M10" s="21" t="s">
        <v>33</v>
      </c>
      <c r="N10" s="21" t="s">
        <v>34</v>
      </c>
      <c r="O10" s="21" t="s">
        <v>35</v>
      </c>
      <c r="P10" s="21" t="s">
        <v>36</v>
      </c>
      <c r="Q10" s="49" t="s">
        <v>37</v>
      </c>
      <c r="R10" s="50" t="s">
        <v>38</v>
      </c>
      <c r="S10" s="50" t="s">
        <v>38</v>
      </c>
      <c r="T10" s="10"/>
      <c r="U10" s="17"/>
      <c r="V10" s="10"/>
      <c r="W10" s="10"/>
      <c r="X10" s="10"/>
    </row>
    <row r="11" spans="2:24">
      <c r="B11" s="11"/>
      <c r="C11" s="10"/>
      <c r="D11" s="10"/>
      <c r="E11" s="51" t="s">
        <v>39</v>
      </c>
      <c r="F11" s="52">
        <f>F9*F10</f>
        <v>0</v>
      </c>
      <c r="G11" s="53" t="s">
        <v>40</v>
      </c>
      <c r="H11" s="54">
        <f>F11/1.12</f>
        <v>0</v>
      </c>
      <c r="I11" s="55"/>
      <c r="J11" s="42"/>
      <c r="K11" s="56"/>
      <c r="L11" s="57"/>
      <c r="M11" s="57"/>
      <c r="N11" s="57"/>
      <c r="O11" s="57"/>
      <c r="P11" s="57">
        <f>SUM(K11:O11)</f>
        <v>0</v>
      </c>
      <c r="Q11" s="58">
        <f>I34</f>
        <v>1113.2</v>
      </c>
      <c r="R11" s="59">
        <v>0</v>
      </c>
      <c r="S11" s="59">
        <v>0</v>
      </c>
      <c r="T11" s="10"/>
      <c r="U11" s="17"/>
      <c r="V11" s="10"/>
      <c r="W11" s="10"/>
      <c r="X11" s="10"/>
    </row>
    <row r="12" spans="2:24">
      <c r="B12" s="11"/>
      <c r="C12" s="10"/>
      <c r="D12" s="10"/>
      <c r="E12" s="24" t="s">
        <v>41</v>
      </c>
      <c r="F12" s="60">
        <f>Q11</f>
        <v>1113.2</v>
      </c>
      <c r="G12" s="61" t="s">
        <v>40</v>
      </c>
      <c r="H12" s="62"/>
      <c r="I12" s="62"/>
      <c r="J12" s="10" t="s">
        <v>42</v>
      </c>
      <c r="K12" s="63"/>
      <c r="L12" s="63"/>
      <c r="M12" s="63"/>
      <c r="N12" s="63"/>
      <c r="O12" s="63"/>
      <c r="P12" s="21">
        <f>SUM(K12:O12)</f>
        <v>0</v>
      </c>
      <c r="Q12" s="64">
        <v>1</v>
      </c>
      <c r="R12" s="63"/>
      <c r="S12" s="10"/>
      <c r="T12" s="10"/>
      <c r="U12" s="17"/>
      <c r="V12" s="10"/>
      <c r="W12" s="10"/>
      <c r="X12" s="10"/>
    </row>
    <row r="13" spans="2:24">
      <c r="B13" s="11"/>
      <c r="C13" s="10"/>
      <c r="D13" s="10"/>
      <c r="E13" s="51" t="s">
        <v>43</v>
      </c>
      <c r="F13" s="52">
        <f>F12*0.25</f>
        <v>278.3</v>
      </c>
      <c r="G13" s="53" t="s">
        <v>40</v>
      </c>
      <c r="H13" s="54">
        <f>F13/1.12</f>
        <v>248.48214285714283</v>
      </c>
      <c r="I13" s="10"/>
      <c r="J13" s="10" t="s">
        <v>44</v>
      </c>
      <c r="K13" s="63"/>
      <c r="L13" s="63"/>
      <c r="M13" s="63"/>
      <c r="N13" s="63"/>
      <c r="O13" s="63"/>
      <c r="P13" s="21">
        <f>SUM(K13:O13)</f>
        <v>0</v>
      </c>
      <c r="Q13" s="64">
        <v>0</v>
      </c>
      <c r="R13" s="63"/>
      <c r="S13" s="10"/>
      <c r="T13" s="10"/>
      <c r="U13" s="17"/>
      <c r="V13" s="10"/>
      <c r="W13" s="10"/>
      <c r="X13" s="10"/>
    </row>
    <row r="14" spans="2:24">
      <c r="B14" s="11"/>
      <c r="C14" s="10"/>
      <c r="D14" s="10"/>
      <c r="E14" s="24" t="s">
        <v>45</v>
      </c>
      <c r="F14" s="60"/>
      <c r="G14" s="61" t="s">
        <v>40</v>
      </c>
      <c r="H14" s="62"/>
      <c r="I14" s="10"/>
      <c r="J14" s="10" t="s">
        <v>46</v>
      </c>
      <c r="K14" s="31" t="e">
        <f t="shared" ref="K14:Q14" si="2">K12/(K12+K13)</f>
        <v>#DIV/0!</v>
      </c>
      <c r="L14" s="31" t="e">
        <f t="shared" si="2"/>
        <v>#DIV/0!</v>
      </c>
      <c r="M14" s="31" t="e">
        <f t="shared" si="2"/>
        <v>#DIV/0!</v>
      </c>
      <c r="N14" s="31" t="e">
        <f t="shared" si="2"/>
        <v>#DIV/0!</v>
      </c>
      <c r="O14" s="31" t="e">
        <f t="shared" si="2"/>
        <v>#DIV/0!</v>
      </c>
      <c r="P14" s="31" t="e">
        <f t="shared" si="2"/>
        <v>#DIV/0!</v>
      </c>
      <c r="Q14" s="31">
        <f t="shared" si="2"/>
        <v>1</v>
      </c>
      <c r="R14" s="63"/>
      <c r="S14" s="10"/>
      <c r="T14" s="10"/>
      <c r="U14" s="17"/>
      <c r="V14" s="10"/>
      <c r="W14" s="10"/>
      <c r="X14" s="10"/>
    </row>
    <row r="15" spans="2:24">
      <c r="B15" s="11"/>
      <c r="C15" s="10"/>
      <c r="D15" s="10"/>
      <c r="E15" s="51" t="s">
        <v>47</v>
      </c>
      <c r="F15" s="52">
        <f>F14*0.05</f>
        <v>0</v>
      </c>
      <c r="G15" s="65" t="s">
        <v>40</v>
      </c>
      <c r="H15" s="54">
        <f>F15/1.12</f>
        <v>0</v>
      </c>
      <c r="I15" s="42"/>
      <c r="J15" s="10" t="s">
        <v>48</v>
      </c>
      <c r="K15" s="66" t="e">
        <f t="shared" ref="K15:Q15" si="3">K11/K12</f>
        <v>#DIV/0!</v>
      </c>
      <c r="L15" s="66" t="e">
        <f t="shared" si="3"/>
        <v>#DIV/0!</v>
      </c>
      <c r="M15" s="66" t="e">
        <f t="shared" si="3"/>
        <v>#DIV/0!</v>
      </c>
      <c r="N15" s="66" t="e">
        <f t="shared" si="3"/>
        <v>#DIV/0!</v>
      </c>
      <c r="O15" s="66" t="e">
        <f t="shared" si="3"/>
        <v>#DIV/0!</v>
      </c>
      <c r="P15" s="66" t="e">
        <f t="shared" si="3"/>
        <v>#DIV/0!</v>
      </c>
      <c r="Q15" s="66">
        <f t="shared" si="3"/>
        <v>1113.2</v>
      </c>
      <c r="R15" s="63"/>
      <c r="S15" s="10"/>
      <c r="T15" s="10"/>
      <c r="U15" s="17"/>
      <c r="V15" s="10"/>
      <c r="W15" s="10"/>
      <c r="X15" s="10"/>
    </row>
    <row r="16" spans="2:24">
      <c r="B16" s="11"/>
      <c r="C16" s="10"/>
      <c r="D16" s="10"/>
      <c r="E16" s="67" t="s">
        <v>14</v>
      </c>
      <c r="F16" s="68"/>
      <c r="G16" s="10"/>
      <c r="H16" s="54">
        <f>F16/1.12</f>
        <v>0</v>
      </c>
      <c r="I16" s="10"/>
      <c r="J16" s="10"/>
      <c r="K16" s="10"/>
      <c r="L16" s="10"/>
      <c r="M16" s="10"/>
      <c r="N16" s="10"/>
      <c r="O16" s="10"/>
      <c r="P16" s="10"/>
      <c r="Q16" s="10"/>
      <c r="R16" s="10"/>
      <c r="S16" s="10"/>
      <c r="T16" s="10"/>
      <c r="U16" s="17"/>
      <c r="V16" s="10"/>
      <c r="W16" s="10"/>
      <c r="X16" s="10"/>
    </row>
    <row r="17" spans="2:24">
      <c r="B17" s="11"/>
      <c r="C17" s="10"/>
      <c r="D17" s="10"/>
      <c r="E17" s="155" t="s">
        <v>49</v>
      </c>
      <c r="F17" s="364">
        <f>T6</f>
        <v>0</v>
      </c>
      <c r="G17" s="10"/>
      <c r="H17" s="54"/>
      <c r="I17" s="55"/>
      <c r="J17" s="42"/>
      <c r="K17" s="764" t="s">
        <v>50</v>
      </c>
      <c r="L17" s="765"/>
      <c r="M17" s="765"/>
      <c r="N17" s="765"/>
      <c r="O17" s="765"/>
      <c r="P17" s="765"/>
      <c r="Q17" s="766"/>
      <c r="R17" s="70" t="s">
        <v>28</v>
      </c>
      <c r="S17" s="71" t="s">
        <v>29</v>
      </c>
      <c r="T17" s="10"/>
      <c r="U17" s="17"/>
      <c r="V17" s="10"/>
      <c r="W17" s="10"/>
      <c r="X17" s="10"/>
    </row>
    <row r="18" spans="2:24">
      <c r="B18" s="11"/>
      <c r="C18" s="10"/>
      <c r="D18" s="10"/>
      <c r="E18" s="12"/>
      <c r="F18" s="76"/>
      <c r="G18" s="10"/>
      <c r="H18" s="10"/>
      <c r="I18" s="10"/>
      <c r="J18" s="42"/>
      <c r="K18" s="20" t="s">
        <v>31</v>
      </c>
      <c r="L18" s="21" t="s">
        <v>32</v>
      </c>
      <c r="M18" s="21" t="s">
        <v>33</v>
      </c>
      <c r="N18" s="21" t="s">
        <v>34</v>
      </c>
      <c r="O18" s="21" t="s">
        <v>35</v>
      </c>
      <c r="P18" s="21" t="s">
        <v>36</v>
      </c>
      <c r="Q18" s="49" t="s">
        <v>37</v>
      </c>
      <c r="R18" s="50" t="s">
        <v>38</v>
      </c>
      <c r="S18" s="50" t="s">
        <v>38</v>
      </c>
      <c r="T18" s="10"/>
      <c r="U18" s="17"/>
      <c r="V18" s="10"/>
      <c r="W18" s="10"/>
      <c r="X18" s="10"/>
    </row>
    <row r="19" spans="2:24">
      <c r="B19" s="11"/>
      <c r="C19" s="10"/>
      <c r="D19" s="10"/>
      <c r="E19" s="10"/>
      <c r="F19" s="10"/>
      <c r="G19" s="10"/>
      <c r="H19" s="10"/>
      <c r="I19" s="10"/>
      <c r="J19" s="42"/>
      <c r="K19" s="56"/>
      <c r="L19" s="57"/>
      <c r="M19" s="57"/>
      <c r="N19" s="57"/>
      <c r="O19" s="57"/>
      <c r="P19" s="57"/>
      <c r="Q19" s="58">
        <f>F34</f>
        <v>1152.9000000000001</v>
      </c>
      <c r="R19" s="59">
        <v>0</v>
      </c>
      <c r="S19" s="59">
        <v>0</v>
      </c>
      <c r="T19" s="10"/>
      <c r="U19" s="17"/>
      <c r="V19" s="10"/>
      <c r="W19" s="10"/>
      <c r="X19" s="10"/>
    </row>
    <row r="20" spans="2:24">
      <c r="B20" s="11"/>
      <c r="C20" s="10"/>
      <c r="D20" s="10"/>
      <c r="E20" s="10"/>
      <c r="F20" s="10"/>
      <c r="G20" s="10"/>
      <c r="H20" s="10"/>
      <c r="I20" s="10"/>
      <c r="J20" s="10" t="s">
        <v>42</v>
      </c>
      <c r="K20" s="63">
        <f t="shared" ref="K20:Q21" si="4">K12</f>
        <v>0</v>
      </c>
      <c r="L20" s="63">
        <f t="shared" si="4"/>
        <v>0</v>
      </c>
      <c r="M20" s="63">
        <f t="shared" si="4"/>
        <v>0</v>
      </c>
      <c r="N20" s="63">
        <f t="shared" si="4"/>
        <v>0</v>
      </c>
      <c r="O20" s="63">
        <f t="shared" si="4"/>
        <v>0</v>
      </c>
      <c r="P20" s="63">
        <f t="shared" si="4"/>
        <v>0</v>
      </c>
      <c r="Q20" s="63">
        <f t="shared" si="4"/>
        <v>1</v>
      </c>
      <c r="R20" s="63"/>
      <c r="S20" s="10"/>
      <c r="T20" s="10"/>
      <c r="U20" s="17"/>
      <c r="V20" s="10"/>
      <c r="W20" s="10"/>
      <c r="X20" s="10"/>
    </row>
    <row r="21" spans="2:24">
      <c r="B21" s="11"/>
      <c r="C21" s="10"/>
      <c r="D21" s="10"/>
      <c r="E21" s="10"/>
      <c r="F21" s="10"/>
      <c r="G21" s="10"/>
      <c r="H21" s="10"/>
      <c r="I21" s="10"/>
      <c r="J21" s="10" t="s">
        <v>44</v>
      </c>
      <c r="K21" s="63">
        <f t="shared" si="4"/>
        <v>0</v>
      </c>
      <c r="L21" s="63">
        <f t="shared" si="4"/>
        <v>0</v>
      </c>
      <c r="M21" s="63">
        <f t="shared" si="4"/>
        <v>0</v>
      </c>
      <c r="N21" s="63">
        <f t="shared" si="4"/>
        <v>0</v>
      </c>
      <c r="O21" s="63">
        <f t="shared" si="4"/>
        <v>0</v>
      </c>
      <c r="P21" s="63">
        <f t="shared" si="4"/>
        <v>0</v>
      </c>
      <c r="Q21" s="63">
        <f t="shared" si="4"/>
        <v>0</v>
      </c>
      <c r="R21" s="63"/>
      <c r="S21" s="10"/>
      <c r="T21" s="10"/>
      <c r="U21" s="17"/>
      <c r="V21" s="10"/>
      <c r="W21" s="10"/>
      <c r="X21" s="10"/>
    </row>
    <row r="22" spans="2:24">
      <c r="B22" s="11"/>
      <c r="C22" s="10"/>
      <c r="D22" s="10"/>
      <c r="E22" s="12"/>
      <c r="F22" s="76"/>
      <c r="G22" s="10"/>
      <c r="H22" s="10"/>
      <c r="I22" s="10"/>
      <c r="J22" s="10" t="s">
        <v>46</v>
      </c>
      <c r="K22" s="31" t="e">
        <f t="shared" ref="K22:Q22" si="5">K20/(K20+K21)</f>
        <v>#DIV/0!</v>
      </c>
      <c r="L22" s="31" t="e">
        <f t="shared" si="5"/>
        <v>#DIV/0!</v>
      </c>
      <c r="M22" s="31" t="e">
        <f t="shared" si="5"/>
        <v>#DIV/0!</v>
      </c>
      <c r="N22" s="31" t="e">
        <f t="shared" si="5"/>
        <v>#DIV/0!</v>
      </c>
      <c r="O22" s="31" t="e">
        <f t="shared" si="5"/>
        <v>#DIV/0!</v>
      </c>
      <c r="P22" s="31" t="e">
        <f t="shared" si="5"/>
        <v>#DIV/0!</v>
      </c>
      <c r="Q22" s="31">
        <f t="shared" si="5"/>
        <v>1</v>
      </c>
      <c r="R22" s="63"/>
      <c r="S22" s="10"/>
      <c r="T22" s="10"/>
      <c r="U22" s="17"/>
      <c r="V22" s="10"/>
      <c r="W22" s="10"/>
      <c r="X22" s="10"/>
    </row>
    <row r="23" spans="2:24">
      <c r="B23" s="11"/>
      <c r="C23" s="10"/>
      <c r="D23" s="10"/>
      <c r="E23" s="10"/>
      <c r="F23" s="10"/>
      <c r="G23" s="10"/>
      <c r="H23" s="10"/>
      <c r="I23" s="10"/>
      <c r="J23" s="10" t="s">
        <v>48</v>
      </c>
      <c r="K23" s="66" t="e">
        <f t="shared" ref="K23:Q23" si="6">K19/K20</f>
        <v>#DIV/0!</v>
      </c>
      <c r="L23" s="66" t="e">
        <f t="shared" si="6"/>
        <v>#DIV/0!</v>
      </c>
      <c r="M23" s="66" t="e">
        <f t="shared" si="6"/>
        <v>#DIV/0!</v>
      </c>
      <c r="N23" s="66" t="e">
        <f t="shared" si="6"/>
        <v>#DIV/0!</v>
      </c>
      <c r="O23" s="66" t="e">
        <f t="shared" si="6"/>
        <v>#DIV/0!</v>
      </c>
      <c r="P23" s="66" t="e">
        <f t="shared" si="6"/>
        <v>#DIV/0!</v>
      </c>
      <c r="Q23" s="66">
        <f t="shared" si="6"/>
        <v>1152.9000000000001</v>
      </c>
      <c r="R23" s="63"/>
      <c r="S23" s="10"/>
      <c r="T23" s="10"/>
      <c r="U23" s="17"/>
      <c r="V23" s="10"/>
      <c r="W23" s="10"/>
      <c r="X23" s="10"/>
    </row>
    <row r="24" spans="2:24">
      <c r="B24" s="11"/>
      <c r="C24" s="10"/>
      <c r="D24" s="10"/>
      <c r="E24" s="10"/>
      <c r="F24" s="10"/>
      <c r="G24" s="10"/>
      <c r="H24" s="10"/>
      <c r="I24" s="10"/>
      <c r="J24" s="10"/>
      <c r="K24" s="10"/>
      <c r="L24" s="10"/>
      <c r="M24" s="10"/>
      <c r="N24" s="10"/>
      <c r="O24" s="10"/>
      <c r="P24" s="10"/>
      <c r="Q24" s="10"/>
      <c r="R24" s="10"/>
      <c r="S24" s="10"/>
      <c r="T24" s="10"/>
      <c r="U24" s="17"/>
      <c r="V24" s="10"/>
      <c r="W24" s="10"/>
      <c r="X24" s="10"/>
    </row>
    <row r="25" spans="2:24">
      <c r="B25" s="11"/>
      <c r="C25" s="10"/>
      <c r="D25" s="10"/>
      <c r="E25" s="10"/>
      <c r="F25" s="10"/>
      <c r="G25" s="10"/>
      <c r="H25" s="10"/>
      <c r="I25" s="10"/>
      <c r="J25" s="10"/>
      <c r="K25" s="10"/>
      <c r="L25" s="10"/>
      <c r="M25" s="10"/>
      <c r="N25" s="10"/>
      <c r="O25" s="10"/>
      <c r="P25" s="10"/>
      <c r="Q25" s="10"/>
      <c r="R25" s="10"/>
      <c r="S25" s="10"/>
      <c r="T25" s="10"/>
      <c r="U25" s="17"/>
      <c r="V25" s="10"/>
      <c r="W25" s="10"/>
      <c r="X25" s="10"/>
    </row>
    <row r="26" spans="2:24">
      <c r="B26" s="18" t="s">
        <v>51</v>
      </c>
      <c r="C26" s="14"/>
      <c r="D26" s="14"/>
      <c r="E26" s="14"/>
      <c r="F26" s="13" t="s">
        <v>52</v>
      </c>
      <c r="G26" s="14"/>
      <c r="H26" s="14"/>
      <c r="I26" s="14"/>
      <c r="J26" s="14"/>
      <c r="K26" s="13" t="s">
        <v>3</v>
      </c>
      <c r="L26" s="14"/>
      <c r="M26" s="14"/>
      <c r="N26" s="13" t="s">
        <v>4</v>
      </c>
      <c r="O26" s="14"/>
      <c r="P26" s="14"/>
      <c r="Q26" s="13" t="s">
        <v>5</v>
      </c>
      <c r="R26" s="14"/>
      <c r="S26" s="14"/>
      <c r="T26" s="18"/>
      <c r="U26" s="16" t="s">
        <v>53</v>
      </c>
      <c r="V26" s="77"/>
      <c r="W26" s="77"/>
      <c r="X26" s="77"/>
    </row>
    <row r="27" spans="2:24">
      <c r="B27" s="24" t="s">
        <v>54</v>
      </c>
      <c r="C27" s="21" t="s">
        <v>55</v>
      </c>
      <c r="D27" s="21" t="s">
        <v>56</v>
      </c>
      <c r="E27" s="21" t="s">
        <v>57</v>
      </c>
      <c r="F27" s="20" t="s">
        <v>58</v>
      </c>
      <c r="G27" s="21" t="s">
        <v>59</v>
      </c>
      <c r="H27" s="21" t="s">
        <v>60</v>
      </c>
      <c r="I27" s="21" t="s">
        <v>26</v>
      </c>
      <c r="J27" s="22" t="s">
        <v>61</v>
      </c>
      <c r="K27" s="21" t="s">
        <v>8</v>
      </c>
      <c r="L27" s="21" t="s">
        <v>9</v>
      </c>
      <c r="M27" s="21" t="s">
        <v>10</v>
      </c>
      <c r="N27" s="20" t="s">
        <v>11</v>
      </c>
      <c r="O27" s="21" t="s">
        <v>12</v>
      </c>
      <c r="P27" s="22" t="s">
        <v>13</v>
      </c>
      <c r="Q27" s="21" t="s">
        <v>11</v>
      </c>
      <c r="R27" s="21" t="s">
        <v>12</v>
      </c>
      <c r="S27" s="21" t="s">
        <v>13</v>
      </c>
      <c r="T27" s="78" t="s">
        <v>14</v>
      </c>
      <c r="U27" s="30"/>
      <c r="V27" s="79" t="s">
        <v>62</v>
      </c>
      <c r="W27" s="80" t="s">
        <v>63</v>
      </c>
      <c r="X27" s="81" t="s">
        <v>64</v>
      </c>
    </row>
    <row r="28" spans="2:24">
      <c r="B28" s="4" t="s">
        <v>65</v>
      </c>
      <c r="C28" s="6"/>
      <c r="D28" s="6"/>
      <c r="E28" s="6"/>
      <c r="F28" s="6"/>
      <c r="G28" s="6"/>
      <c r="H28" s="6"/>
      <c r="I28" s="82"/>
      <c r="J28" s="6"/>
      <c r="K28" s="6"/>
      <c r="L28" s="6"/>
      <c r="M28" s="6"/>
      <c r="N28" s="6"/>
      <c r="O28" s="6"/>
      <c r="P28" s="6"/>
      <c r="Q28" s="6"/>
      <c r="R28" s="6"/>
      <c r="S28" s="6"/>
      <c r="T28" s="83"/>
      <c r="U28" s="6"/>
      <c r="V28" s="84"/>
      <c r="W28" s="85"/>
      <c r="X28" s="86"/>
    </row>
    <row r="29" spans="2:24">
      <c r="B29" s="87">
        <v>1</v>
      </c>
      <c r="C29" s="262"/>
      <c r="D29" s="271"/>
      <c r="E29" s="271"/>
      <c r="F29" s="265"/>
      <c r="G29" s="265"/>
      <c r="H29" s="365"/>
      <c r="I29" s="272">
        <f>F29-G29-H29</f>
        <v>0</v>
      </c>
      <c r="J29" s="267"/>
      <c r="K29" s="267"/>
      <c r="L29" s="267"/>
      <c r="M29" s="267"/>
      <c r="N29" s="267"/>
      <c r="O29" s="267"/>
      <c r="P29" s="267"/>
      <c r="Q29" s="267"/>
      <c r="R29" s="267"/>
      <c r="S29" s="269"/>
      <c r="T29" s="63"/>
      <c r="U29" s="10"/>
      <c r="V29" s="90"/>
      <c r="W29" s="91"/>
      <c r="X29" s="92"/>
    </row>
    <row r="30" spans="2:24">
      <c r="B30" s="87"/>
      <c r="C30" s="36"/>
      <c r="D30" s="10"/>
      <c r="E30" s="10"/>
      <c r="F30" s="97">
        <f>SUM(F29:F29)</f>
        <v>0</v>
      </c>
      <c r="G30" s="97">
        <f>SUM(G29:G29)</f>
        <v>0</v>
      </c>
      <c r="H30" s="97">
        <f>SUM(H29:H29)</f>
        <v>0</v>
      </c>
      <c r="I30" s="98">
        <f>SUM(I29:I29)</f>
        <v>0</v>
      </c>
      <c r="J30" s="63"/>
      <c r="K30" s="63">
        <f t="shared" ref="K30:S30" si="7">COUNT(K29:K29)</f>
        <v>0</v>
      </c>
      <c r="L30" s="63">
        <f t="shared" si="7"/>
        <v>0</v>
      </c>
      <c r="M30" s="63">
        <f t="shared" si="7"/>
        <v>0</v>
      </c>
      <c r="N30" s="63">
        <f t="shared" si="7"/>
        <v>0</v>
      </c>
      <c r="O30" s="63">
        <f t="shared" si="7"/>
        <v>0</v>
      </c>
      <c r="P30" s="63">
        <f t="shared" si="7"/>
        <v>0</v>
      </c>
      <c r="Q30" s="63">
        <f t="shared" si="7"/>
        <v>0</v>
      </c>
      <c r="R30" s="63">
        <f t="shared" si="7"/>
        <v>0</v>
      </c>
      <c r="S30" s="63">
        <f t="shared" si="7"/>
        <v>0</v>
      </c>
      <c r="T30" s="63"/>
      <c r="U30" s="10"/>
      <c r="V30" s="90"/>
      <c r="W30" s="91"/>
      <c r="X30" s="92"/>
    </row>
    <row r="31" spans="2:24">
      <c r="B31" s="87"/>
      <c r="C31" s="36"/>
      <c r="D31" s="10"/>
      <c r="E31" s="10"/>
      <c r="F31" s="88"/>
      <c r="G31" s="88"/>
      <c r="H31" s="88"/>
      <c r="I31" s="99"/>
      <c r="J31" s="63"/>
      <c r="K31" s="21">
        <f t="shared" ref="K31:S31" si="8">SUM(K29:K29)</f>
        <v>0</v>
      </c>
      <c r="L31" s="21">
        <f t="shared" si="8"/>
        <v>0</v>
      </c>
      <c r="M31" s="21">
        <f t="shared" si="8"/>
        <v>0</v>
      </c>
      <c r="N31" s="21">
        <f t="shared" si="8"/>
        <v>0</v>
      </c>
      <c r="O31" s="21">
        <f t="shared" si="8"/>
        <v>0</v>
      </c>
      <c r="P31" s="21">
        <f t="shared" si="8"/>
        <v>0</v>
      </c>
      <c r="Q31" s="21">
        <f t="shared" si="8"/>
        <v>0</v>
      </c>
      <c r="R31" s="21">
        <f t="shared" si="8"/>
        <v>0</v>
      </c>
      <c r="S31" s="21">
        <f t="shared" si="8"/>
        <v>0</v>
      </c>
      <c r="T31" s="63"/>
      <c r="U31" s="10"/>
      <c r="V31" s="90"/>
      <c r="W31" s="91"/>
      <c r="X31" s="92"/>
    </row>
    <row r="32" spans="2:24">
      <c r="B32" s="11"/>
      <c r="C32" s="36"/>
      <c r="D32" s="10"/>
      <c r="E32" s="10"/>
      <c r="F32" s="88"/>
      <c r="G32" s="88"/>
      <c r="H32" s="88"/>
      <c r="I32" s="99"/>
      <c r="J32" s="63"/>
      <c r="K32" s="21"/>
      <c r="L32" s="21"/>
      <c r="M32" s="21"/>
      <c r="N32" s="21"/>
      <c r="O32" s="21"/>
      <c r="P32" s="21"/>
      <c r="Q32" s="21"/>
      <c r="R32" s="21"/>
      <c r="S32" s="21"/>
      <c r="T32" s="63"/>
      <c r="U32" s="10"/>
      <c r="V32" s="90"/>
      <c r="W32" s="91"/>
      <c r="X32" s="92"/>
    </row>
    <row r="33" spans="1:25">
      <c r="B33" s="100" t="s">
        <v>66</v>
      </c>
      <c r="C33" s="36"/>
      <c r="D33" s="10"/>
      <c r="E33" s="10"/>
      <c r="F33" s="88"/>
      <c r="G33" s="62"/>
      <c r="H33" s="88"/>
      <c r="I33" s="99"/>
      <c r="J33" s="63"/>
      <c r="K33" s="2"/>
      <c r="L33" s="2"/>
      <c r="M33" s="2"/>
      <c r="N33" s="2"/>
      <c r="O33" s="2"/>
      <c r="P33" s="2"/>
      <c r="Q33" s="2"/>
      <c r="R33" s="2"/>
      <c r="S33" s="2"/>
      <c r="T33" s="63"/>
      <c r="U33" s="94"/>
      <c r="V33" s="90"/>
      <c r="W33" s="91"/>
      <c r="X33" s="92"/>
    </row>
    <row r="34" spans="1:25">
      <c r="A34" t="s">
        <v>3357</v>
      </c>
      <c r="B34" s="87">
        <v>1</v>
      </c>
      <c r="C34" s="262">
        <v>45871</v>
      </c>
      <c r="D34" s="263" t="s">
        <v>3358</v>
      </c>
      <c r="E34" s="264" t="s">
        <v>322</v>
      </c>
      <c r="F34" s="265">
        <v>1152.9000000000001</v>
      </c>
      <c r="G34" s="265">
        <v>39.700000000000003</v>
      </c>
      <c r="H34" s="265"/>
      <c r="I34" s="266">
        <f>F34-G34-H34</f>
        <v>1113.2</v>
      </c>
      <c r="J34" s="267" t="s">
        <v>374</v>
      </c>
      <c r="K34" s="267">
        <v>1</v>
      </c>
      <c r="L34" s="267">
        <v>1</v>
      </c>
      <c r="M34" s="267">
        <v>1</v>
      </c>
      <c r="N34" s="267">
        <v>1</v>
      </c>
      <c r="O34" s="267">
        <v>1</v>
      </c>
      <c r="P34" s="314">
        <v>0</v>
      </c>
      <c r="Q34" s="267">
        <v>1</v>
      </c>
      <c r="R34" s="267">
        <v>1</v>
      </c>
      <c r="S34" s="366">
        <v>0</v>
      </c>
      <c r="T34" s="63"/>
      <c r="U34" s="17" t="s">
        <v>3359</v>
      </c>
      <c r="V34" s="90">
        <v>1268.19</v>
      </c>
      <c r="W34" s="91"/>
      <c r="X34" s="92"/>
    </row>
    <row r="35" spans="1:25">
      <c r="B35" s="11"/>
      <c r="C35" s="36"/>
      <c r="D35" s="10"/>
      <c r="E35" s="10"/>
      <c r="F35" s="98">
        <f>SUM(F34)</f>
        <v>1152.9000000000001</v>
      </c>
      <c r="G35" s="98">
        <f>SUM(G34)</f>
        <v>39.700000000000003</v>
      </c>
      <c r="H35" s="98">
        <f>SUM(H34)</f>
        <v>0</v>
      </c>
      <c r="I35" s="98">
        <f>SUM(I34)</f>
        <v>1113.2</v>
      </c>
      <c r="J35" s="63"/>
      <c r="K35" s="21"/>
      <c r="L35" s="21"/>
      <c r="M35" s="21"/>
      <c r="N35" s="21"/>
      <c r="O35" s="21"/>
      <c r="P35" s="21"/>
      <c r="Q35" s="21"/>
      <c r="R35" s="21"/>
      <c r="S35" s="21"/>
      <c r="T35" s="63"/>
      <c r="U35" s="94"/>
      <c r="V35" s="90"/>
      <c r="W35" s="91"/>
      <c r="X35" s="92"/>
    </row>
    <row r="36" spans="1:25">
      <c r="B36" s="26"/>
      <c r="C36" s="140"/>
      <c r="D36" s="141"/>
      <c r="E36" s="141"/>
      <c r="F36" s="141"/>
      <c r="G36" s="141"/>
      <c r="H36" s="141"/>
      <c r="I36" s="141"/>
      <c r="J36" s="141"/>
      <c r="K36" s="142"/>
      <c r="L36" s="142"/>
      <c r="M36" s="142"/>
      <c r="N36" s="142"/>
      <c r="O36" s="142"/>
      <c r="P36" s="142"/>
      <c r="Q36" s="142"/>
      <c r="R36" s="142"/>
      <c r="S36" s="142"/>
      <c r="T36" s="143">
        <f>SUM(T29:T35)</f>
        <v>0</v>
      </c>
      <c r="U36" s="141"/>
      <c r="V36" s="144">
        <f>SUM(V29:V35)</f>
        <v>1268.19</v>
      </c>
      <c r="W36" s="145">
        <f>SUM(W29:W35)</f>
        <v>0</v>
      </c>
      <c r="X36" s="146">
        <f>SUM(X29:X35)</f>
        <v>0</v>
      </c>
    </row>
    <row r="39" spans="1:25">
      <c r="B39" s="10"/>
      <c r="C39" s="36"/>
      <c r="D39" s="10"/>
      <c r="E39" s="10"/>
      <c r="F39" s="10"/>
      <c r="G39" s="10"/>
      <c r="H39" s="10"/>
      <c r="I39" s="10"/>
      <c r="J39" s="10"/>
      <c r="K39" s="147"/>
      <c r="L39" s="147"/>
      <c r="M39" s="147"/>
      <c r="N39" s="147"/>
      <c r="O39" s="147"/>
      <c r="P39" s="147"/>
      <c r="Q39" s="147"/>
      <c r="R39" s="147"/>
      <c r="S39" s="147"/>
      <c r="T39" s="21"/>
      <c r="U39" s="10"/>
      <c r="V39" s="99"/>
      <c r="W39" s="99"/>
      <c r="X39" s="99"/>
      <c r="Y39" s="2"/>
    </row>
  </sheetData>
  <mergeCells count="1">
    <mergeCell ref="K17:Q17"/>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077D3-EBE4-4A77-928F-0E362B2A8528}">
  <sheetPr>
    <tabColor theme="2" tint="-9.9978637043366805E-2"/>
  </sheetPr>
  <dimension ref="A3:AE605"/>
  <sheetViews>
    <sheetView topLeftCell="E590" workbookViewId="0">
      <selection activeCell="I608" sqref="I608"/>
    </sheetView>
  </sheetViews>
  <sheetFormatPr defaultRowHeight="15"/>
  <cols>
    <col min="3" max="3" width="10.85546875" bestFit="1" customWidth="1"/>
    <col min="4" max="4" width="16" customWidth="1"/>
    <col min="5" max="5" width="36.7109375" customWidth="1"/>
    <col min="6" max="6" width="12.140625" customWidth="1"/>
    <col min="7" max="7" width="14.28515625" customWidth="1"/>
    <col min="8" max="8" width="11.5703125" customWidth="1"/>
    <col min="9" max="9" width="13.42578125" customWidth="1"/>
    <col min="11" max="11" width="11.42578125" customWidth="1"/>
    <col min="12" max="12" width="10.42578125" customWidth="1"/>
    <col min="13" max="13" width="11.28515625" customWidth="1"/>
    <col min="14" max="14" width="10.28515625" customWidth="1"/>
    <col min="15" max="15" width="10.7109375" customWidth="1"/>
    <col min="16" max="16" width="11.28515625" customWidth="1"/>
    <col min="18" max="18" width="11.7109375" customWidth="1"/>
    <col min="21" max="21" width="18.140625" bestFit="1" customWidth="1"/>
    <col min="22" max="22" width="12.140625" customWidth="1"/>
    <col min="23" max="23" width="11.85546875" customWidth="1"/>
    <col min="24" max="24" width="12" customWidth="1"/>
  </cols>
  <sheetData>
    <row r="3" spans="1:29" s="2" customFormat="1">
      <c r="A3" s="148" t="s">
        <v>74</v>
      </c>
      <c r="B3" s="4" t="s">
        <v>1</v>
      </c>
      <c r="C3" s="5"/>
      <c r="D3" s="83"/>
      <c r="E3" s="6"/>
      <c r="F3" s="7" t="s">
        <v>2</v>
      </c>
      <c r="G3" s="8">
        <v>45837</v>
      </c>
      <c r="H3" s="7"/>
      <c r="I3" s="6"/>
      <c r="J3" s="6"/>
      <c r="K3" s="6"/>
      <c r="L3" s="6"/>
      <c r="M3" s="6"/>
      <c r="N3" s="6"/>
      <c r="O3" s="6"/>
      <c r="P3" s="6"/>
      <c r="Q3" s="6"/>
      <c r="R3" s="6"/>
      <c r="S3" s="6"/>
      <c r="T3" s="6"/>
      <c r="U3" s="149"/>
      <c r="V3" s="77"/>
      <c r="W3" s="77"/>
      <c r="X3" s="77"/>
    </row>
    <row r="4" spans="1:29" s="2" customFormat="1">
      <c r="A4" s="150" t="s">
        <v>75</v>
      </c>
      <c r="B4" s="11"/>
      <c r="C4" s="10"/>
      <c r="D4" s="63"/>
      <c r="E4" s="10"/>
      <c r="F4" s="10"/>
      <c r="G4" s="7"/>
      <c r="H4" s="12"/>
      <c r="I4" s="10"/>
      <c r="J4" s="10"/>
      <c r="K4" s="13" t="s">
        <v>3</v>
      </c>
      <c r="L4" s="14"/>
      <c r="M4" s="15"/>
      <c r="N4" s="13" t="s">
        <v>4</v>
      </c>
      <c r="O4" s="14"/>
      <c r="P4" s="15"/>
      <c r="Q4" s="13" t="s">
        <v>5</v>
      </c>
      <c r="R4" s="14"/>
      <c r="S4" s="15"/>
      <c r="T4" s="16"/>
      <c r="U4" s="151"/>
      <c r="V4" s="77"/>
      <c r="W4" s="77"/>
      <c r="X4" s="77"/>
    </row>
    <row r="5" spans="1:29" s="2" customFormat="1">
      <c r="A5" s="148" t="s">
        <v>76</v>
      </c>
      <c r="B5" s="18" t="s">
        <v>6</v>
      </c>
      <c r="C5" s="19">
        <f>C6+C7</f>
        <v>30</v>
      </c>
      <c r="D5" s="63"/>
      <c r="E5" s="18" t="s">
        <v>7</v>
      </c>
      <c r="F5" s="6"/>
      <c r="G5" s="9"/>
      <c r="H5" s="10"/>
      <c r="I5" s="10"/>
      <c r="J5" s="10"/>
      <c r="K5" s="20" t="s">
        <v>8</v>
      </c>
      <c r="L5" s="21" t="s">
        <v>9</v>
      </c>
      <c r="M5" s="21" t="s">
        <v>10</v>
      </c>
      <c r="N5" s="20" t="s">
        <v>11</v>
      </c>
      <c r="O5" s="21" t="s">
        <v>12</v>
      </c>
      <c r="P5" s="22" t="s">
        <v>13</v>
      </c>
      <c r="Q5" s="21" t="s">
        <v>11</v>
      </c>
      <c r="R5" s="21" t="s">
        <v>12</v>
      </c>
      <c r="S5" s="22" t="s">
        <v>13</v>
      </c>
      <c r="T5" s="23" t="s">
        <v>14</v>
      </c>
      <c r="U5" s="151"/>
      <c r="V5" s="77"/>
      <c r="W5" s="77"/>
      <c r="X5" s="77"/>
    </row>
    <row r="6" spans="1:29" s="2" customFormat="1">
      <c r="A6" s="152" t="s">
        <v>3183</v>
      </c>
      <c r="B6" s="24" t="s">
        <v>15</v>
      </c>
      <c r="C6" s="25">
        <f>P13</f>
        <v>20</v>
      </c>
      <c r="D6" s="63"/>
      <c r="E6" s="11" t="s">
        <v>16</v>
      </c>
      <c r="F6" s="10" t="s">
        <v>78</v>
      </c>
      <c r="G6" s="153">
        <v>0.05</v>
      </c>
      <c r="H6" s="10"/>
      <c r="I6" s="10"/>
      <c r="J6" s="18" t="s">
        <v>17</v>
      </c>
      <c r="K6" s="29">
        <f>K49</f>
        <v>16</v>
      </c>
      <c r="L6" s="29">
        <f t="shared" ref="L6:S6" si="0">L49</f>
        <v>15</v>
      </c>
      <c r="M6" s="29">
        <f t="shared" si="0"/>
        <v>15</v>
      </c>
      <c r="N6" s="29">
        <f t="shared" si="0"/>
        <v>16</v>
      </c>
      <c r="O6" s="29">
        <f t="shared" si="0"/>
        <v>16</v>
      </c>
      <c r="P6" s="29">
        <f t="shared" si="0"/>
        <v>15</v>
      </c>
      <c r="Q6" s="29">
        <f t="shared" si="0"/>
        <v>16</v>
      </c>
      <c r="R6" s="29">
        <f t="shared" si="0"/>
        <v>15</v>
      </c>
      <c r="S6" s="29">
        <f t="shared" si="0"/>
        <v>13</v>
      </c>
      <c r="T6" s="30">
        <f>T114</f>
        <v>1</v>
      </c>
      <c r="U6" s="383" t="s">
        <v>3360</v>
      </c>
      <c r="V6" s="77"/>
      <c r="W6" s="77"/>
      <c r="X6" s="77"/>
    </row>
    <row r="7" spans="1:29" s="2" customFormat="1">
      <c r="B7" s="24" t="s">
        <v>18</v>
      </c>
      <c r="C7" s="25">
        <f>P14</f>
        <v>10</v>
      </c>
      <c r="D7" s="63"/>
      <c r="E7" s="26" t="s">
        <v>80</v>
      </c>
      <c r="F7" s="141" t="s">
        <v>81</v>
      </c>
      <c r="G7" s="154">
        <v>0.1</v>
      </c>
      <c r="H7" s="10"/>
      <c r="I7" s="10"/>
      <c r="J7" s="32" t="s">
        <v>19</v>
      </c>
      <c r="K7" s="33">
        <f>K49/K48</f>
        <v>1</v>
      </c>
      <c r="L7" s="33">
        <f t="shared" ref="L7:S7" si="1">L49/L48</f>
        <v>0.9375</v>
      </c>
      <c r="M7" s="33">
        <f t="shared" si="1"/>
        <v>0.9375</v>
      </c>
      <c r="N7" s="33">
        <f t="shared" si="1"/>
        <v>1</v>
      </c>
      <c r="O7" s="33">
        <f t="shared" si="1"/>
        <v>1</v>
      </c>
      <c r="P7" s="33">
        <f t="shared" si="1"/>
        <v>0.9375</v>
      </c>
      <c r="Q7" s="33">
        <f t="shared" si="1"/>
        <v>1</v>
      </c>
      <c r="R7" s="33">
        <f t="shared" si="1"/>
        <v>0.9375</v>
      </c>
      <c r="S7" s="33">
        <f t="shared" si="1"/>
        <v>0.8125</v>
      </c>
      <c r="T7" s="23"/>
      <c r="U7" s="151" t="s">
        <v>20</v>
      </c>
      <c r="V7" s="77"/>
      <c r="W7" s="77"/>
      <c r="X7" s="77"/>
    </row>
    <row r="8" spans="1:29" s="2" customFormat="1">
      <c r="B8" s="24" t="s">
        <v>21</v>
      </c>
      <c r="C8" s="34">
        <f>P15</f>
        <v>0.66666666666666663</v>
      </c>
      <c r="D8" s="63"/>
      <c r="E8" s="10"/>
      <c r="F8" s="10"/>
      <c r="G8" s="10"/>
      <c r="H8" s="10"/>
      <c r="I8" s="10"/>
      <c r="J8" s="10"/>
      <c r="K8" s="10"/>
      <c r="L8" s="10"/>
      <c r="M8" s="10"/>
      <c r="N8" s="10"/>
      <c r="O8" s="10"/>
      <c r="P8" s="10"/>
      <c r="Q8" s="10"/>
      <c r="R8" s="10"/>
      <c r="S8" s="10"/>
      <c r="T8" s="10"/>
      <c r="U8" s="151"/>
      <c r="V8" s="77"/>
      <c r="W8" s="77"/>
      <c r="X8" s="77"/>
    </row>
    <row r="9" spans="1:29" s="2" customFormat="1">
      <c r="B9" s="24"/>
      <c r="C9" s="25"/>
      <c r="D9" s="63"/>
      <c r="E9" s="10"/>
      <c r="F9" s="18" t="s">
        <v>22</v>
      </c>
      <c r="G9" s="19" t="s">
        <v>23</v>
      </c>
      <c r="H9" s="35" t="s">
        <v>24</v>
      </c>
      <c r="I9" s="10"/>
      <c r="J9" s="10"/>
      <c r="K9" s="36"/>
      <c r="L9" s="36"/>
      <c r="M9" s="36"/>
      <c r="N9" s="36"/>
      <c r="O9" s="36"/>
      <c r="P9" s="36"/>
      <c r="Q9" s="36"/>
      <c r="R9" s="10"/>
      <c r="S9" s="10"/>
      <c r="T9" s="10"/>
      <c r="U9" s="151"/>
      <c r="V9" s="77"/>
      <c r="W9" s="77"/>
      <c r="X9" s="77"/>
    </row>
    <row r="10" spans="1:29" s="2" customFormat="1">
      <c r="B10" s="32" t="s">
        <v>25</v>
      </c>
      <c r="C10" s="37">
        <f>P16</f>
        <v>2638.6325000000002</v>
      </c>
      <c r="D10" s="63"/>
      <c r="E10" s="18" t="s">
        <v>26</v>
      </c>
      <c r="F10" s="38">
        <f>P12</f>
        <v>52772.65</v>
      </c>
      <c r="G10" s="39">
        <f>I48+I69+I78</f>
        <v>52772.65</v>
      </c>
      <c r="H10" s="40"/>
      <c r="I10" s="41"/>
      <c r="J10" s="42"/>
      <c r="K10" s="43" t="s">
        <v>27</v>
      </c>
      <c r="L10" s="44"/>
      <c r="M10" s="44"/>
      <c r="N10" s="44"/>
      <c r="O10" s="44"/>
      <c r="P10" s="44"/>
      <c r="Q10" s="45"/>
      <c r="R10" s="46" t="s">
        <v>28</v>
      </c>
      <c r="S10" s="47" t="s">
        <v>29</v>
      </c>
      <c r="T10" s="10"/>
      <c r="U10" s="151"/>
      <c r="V10" s="77"/>
      <c r="W10" s="77"/>
      <c r="X10" s="77"/>
    </row>
    <row r="11" spans="1:29" s="2" customFormat="1">
      <c r="B11" s="11"/>
      <c r="C11" s="10"/>
      <c r="D11" s="63"/>
      <c r="E11" s="24" t="s">
        <v>30</v>
      </c>
      <c r="F11" s="48">
        <f>IF(F10&gt;=25000,10%,5%)</f>
        <v>0.1</v>
      </c>
      <c r="G11" s="17"/>
      <c r="H11" s="40"/>
      <c r="I11" s="41"/>
      <c r="J11" s="42"/>
      <c r="K11" s="20" t="s">
        <v>31</v>
      </c>
      <c r="L11" s="21" t="s">
        <v>32</v>
      </c>
      <c r="M11" s="21" t="s">
        <v>33</v>
      </c>
      <c r="N11" s="21" t="s">
        <v>34</v>
      </c>
      <c r="O11" s="21" t="s">
        <v>35</v>
      </c>
      <c r="P11" s="21" t="s">
        <v>36</v>
      </c>
      <c r="Q11" s="49" t="s">
        <v>37</v>
      </c>
      <c r="R11" s="50" t="s">
        <v>38</v>
      </c>
      <c r="S11" s="50" t="s">
        <v>38</v>
      </c>
      <c r="T11" s="10"/>
      <c r="U11" s="151"/>
      <c r="V11" s="77"/>
      <c r="W11" s="77"/>
      <c r="X11" s="77"/>
    </row>
    <row r="12" spans="1:29" s="2" customFormat="1">
      <c r="B12" s="11"/>
      <c r="C12" s="10"/>
      <c r="D12" s="63"/>
      <c r="E12" s="51" t="s">
        <v>39</v>
      </c>
      <c r="F12" s="52">
        <f>(F10-I67-I68-I76-I77)*F11</f>
        <v>3138.9870000000005</v>
      </c>
      <c r="G12" s="53" t="s">
        <v>40</v>
      </c>
      <c r="H12" s="54">
        <f>F12/1.12</f>
        <v>2802.6669642857146</v>
      </c>
      <c r="I12" s="55"/>
      <c r="J12" s="42"/>
      <c r="K12" s="56">
        <f>I32+I34+I35+I36+I33+I37</f>
        <v>8173.3</v>
      </c>
      <c r="L12" s="57">
        <f>I38+I39+I41+I40</f>
        <v>7183.21</v>
      </c>
      <c r="M12" s="57">
        <f>I42+I43+I44+I45+I67</f>
        <v>10477.1</v>
      </c>
      <c r="N12" s="57"/>
      <c r="O12" s="57">
        <f>I47+I46+I76+I68+I77</f>
        <v>26939.040000000001</v>
      </c>
      <c r="P12" s="57">
        <f>SUM(K12:O12)</f>
        <v>52772.65</v>
      </c>
      <c r="Q12" s="58">
        <f>I52+I53+I72</f>
        <v>3273.6</v>
      </c>
      <c r="R12" s="59">
        <f>I69+I78</f>
        <v>21382.78</v>
      </c>
      <c r="S12" s="59">
        <f>+I73</f>
        <v>1516.3</v>
      </c>
      <c r="T12" s="10"/>
      <c r="U12" s="151"/>
      <c r="V12" s="77"/>
      <c r="W12" s="77"/>
      <c r="X12" s="77"/>
      <c r="AC12" s="2" t="s">
        <v>85</v>
      </c>
    </row>
    <row r="13" spans="1:29" s="2" customFormat="1">
      <c r="B13" s="11"/>
      <c r="C13" s="10"/>
      <c r="D13" s="63"/>
      <c r="E13" s="24" t="s">
        <v>41</v>
      </c>
      <c r="F13" s="60">
        <f>Q12</f>
        <v>3273.6</v>
      </c>
      <c r="G13" s="61" t="s">
        <v>40</v>
      </c>
      <c r="H13" s="62"/>
      <c r="I13" s="384" t="s">
        <v>3361</v>
      </c>
      <c r="J13" s="10" t="s">
        <v>42</v>
      </c>
      <c r="K13" s="63">
        <v>6</v>
      </c>
      <c r="L13" s="63">
        <v>4</v>
      </c>
      <c r="M13" s="63">
        <v>5</v>
      </c>
      <c r="N13" s="63"/>
      <c r="O13" s="63">
        <v>5</v>
      </c>
      <c r="P13" s="21">
        <f>SUM(K13:O13)</f>
        <v>20</v>
      </c>
      <c r="Q13" s="64">
        <v>4</v>
      </c>
      <c r="R13" s="63"/>
      <c r="S13" s="10"/>
      <c r="T13" s="10"/>
      <c r="U13" s="151"/>
      <c r="V13" s="77"/>
      <c r="W13" s="77"/>
      <c r="X13" s="77"/>
    </row>
    <row r="14" spans="1:29" s="2" customFormat="1">
      <c r="B14" s="11"/>
      <c r="C14" s="10"/>
      <c r="D14" s="63"/>
      <c r="E14" s="51" t="s">
        <v>43</v>
      </c>
      <c r="F14" s="52">
        <f>(F13-I72)*0.25</f>
        <v>439.32499999999999</v>
      </c>
      <c r="G14" s="53" t="s">
        <v>40</v>
      </c>
      <c r="H14" s="54">
        <f>F14/1.12</f>
        <v>392.25446428571422</v>
      </c>
      <c r="I14" s="385">
        <f>8*67.5</f>
        <v>540</v>
      </c>
      <c r="J14" s="10" t="s">
        <v>44</v>
      </c>
      <c r="K14" s="63">
        <v>0</v>
      </c>
      <c r="L14" s="63">
        <v>6</v>
      </c>
      <c r="M14" s="63">
        <v>4</v>
      </c>
      <c r="N14" s="63"/>
      <c r="O14" s="63">
        <v>0</v>
      </c>
      <c r="P14" s="21">
        <f>SUM(K14:O14)</f>
        <v>10</v>
      </c>
      <c r="Q14" s="64">
        <v>4</v>
      </c>
      <c r="R14" s="63"/>
      <c r="S14" s="10"/>
      <c r="T14" s="10"/>
      <c r="U14" s="151"/>
      <c r="V14" s="77"/>
      <c r="W14" s="77"/>
      <c r="X14" s="77"/>
    </row>
    <row r="15" spans="1:29" s="2" customFormat="1">
      <c r="B15" s="11"/>
      <c r="C15" s="10"/>
      <c r="D15" s="63"/>
      <c r="E15" s="24" t="s">
        <v>45</v>
      </c>
      <c r="F15" s="60">
        <f>I64</f>
        <v>19527.349999999999</v>
      </c>
      <c r="G15" s="61" t="s">
        <v>40</v>
      </c>
      <c r="H15" s="62"/>
      <c r="I15" s="386" t="s">
        <v>3362</v>
      </c>
      <c r="J15" s="10" t="s">
        <v>46</v>
      </c>
      <c r="K15" s="31">
        <f t="shared" ref="K15:Q15" si="2">K13/(K13+K14)</f>
        <v>1</v>
      </c>
      <c r="L15" s="31">
        <f t="shared" si="2"/>
        <v>0.4</v>
      </c>
      <c r="M15" s="31">
        <f t="shared" si="2"/>
        <v>0.55555555555555558</v>
      </c>
      <c r="N15" s="31" t="e">
        <f t="shared" si="2"/>
        <v>#DIV/0!</v>
      </c>
      <c r="O15" s="31">
        <f t="shared" si="2"/>
        <v>1</v>
      </c>
      <c r="P15" s="31">
        <f t="shared" si="2"/>
        <v>0.66666666666666663</v>
      </c>
      <c r="Q15" s="31">
        <f t="shared" si="2"/>
        <v>0.5</v>
      </c>
      <c r="R15" s="63"/>
      <c r="S15" s="10"/>
      <c r="T15" s="10"/>
      <c r="U15" s="151"/>
      <c r="V15" s="77"/>
      <c r="W15" s="77"/>
      <c r="X15" s="77"/>
    </row>
    <row r="16" spans="1:29" s="2" customFormat="1">
      <c r="B16" s="11"/>
      <c r="C16" s="10"/>
      <c r="D16" s="63"/>
      <c r="E16" s="51" t="s">
        <v>47</v>
      </c>
      <c r="F16" s="52">
        <f>(F15-I58-I62)*0.05</f>
        <v>836.17750000000001</v>
      </c>
      <c r="G16" s="65" t="s">
        <v>40</v>
      </c>
      <c r="H16" s="54">
        <f>F16/1.12</f>
        <v>746.58705357142856</v>
      </c>
      <c r="I16" s="387">
        <f>I72*0.1</f>
        <v>151.63</v>
      </c>
      <c r="J16" s="10" t="s">
        <v>48</v>
      </c>
      <c r="K16" s="66">
        <f>K12/K13</f>
        <v>1362.2166666666667</v>
      </c>
      <c r="L16" s="66">
        <f t="shared" ref="L16:Q16" si="3">L12/L13</f>
        <v>1795.8025</v>
      </c>
      <c r="M16" s="66">
        <f t="shared" si="3"/>
        <v>2095.42</v>
      </c>
      <c r="N16" s="66" t="e">
        <f t="shared" si="3"/>
        <v>#DIV/0!</v>
      </c>
      <c r="O16" s="66">
        <f t="shared" si="3"/>
        <v>5387.808</v>
      </c>
      <c r="P16" s="66">
        <f t="shared" si="3"/>
        <v>2638.6325000000002</v>
      </c>
      <c r="Q16" s="66">
        <f t="shared" si="3"/>
        <v>818.4</v>
      </c>
      <c r="R16" s="63"/>
      <c r="S16" s="10"/>
      <c r="T16" s="10"/>
      <c r="U16" s="151"/>
      <c r="V16" s="77"/>
      <c r="W16" s="77"/>
      <c r="X16" s="77"/>
    </row>
    <row r="17" spans="1:31" s="2" customFormat="1">
      <c r="A17" s="128"/>
      <c r="B17" s="132"/>
      <c r="C17" s="123"/>
      <c r="D17" s="127"/>
      <c r="E17" s="155" t="s">
        <v>14</v>
      </c>
      <c r="F17" s="156"/>
      <c r="G17" s="123"/>
      <c r="H17" s="54">
        <f>F17/1.12</f>
        <v>0</v>
      </c>
      <c r="I17" s="123"/>
      <c r="J17" s="123"/>
      <c r="K17" s="123"/>
      <c r="L17" s="123"/>
      <c r="M17" s="123"/>
      <c r="N17" s="123"/>
      <c r="O17" s="123"/>
      <c r="P17" s="123"/>
      <c r="Q17" s="123"/>
      <c r="R17" s="123"/>
      <c r="S17" s="123"/>
      <c r="T17" s="123"/>
      <c r="U17" s="157"/>
      <c r="V17" s="123"/>
      <c r="W17" s="123"/>
      <c r="X17" s="123"/>
      <c r="Y17" s="128"/>
      <c r="Z17" s="128"/>
      <c r="AA17" s="128"/>
      <c r="AB17" s="128"/>
      <c r="AC17" s="128"/>
      <c r="AD17" s="128"/>
      <c r="AE17" s="128"/>
    </row>
    <row r="18" spans="1:31" s="2" customFormat="1">
      <c r="A18" s="128"/>
      <c r="B18" s="132"/>
      <c r="C18" s="123"/>
      <c r="D18" s="127"/>
      <c r="E18" s="158" t="s">
        <v>49</v>
      </c>
      <c r="F18" s="159">
        <f>T7</f>
        <v>0</v>
      </c>
      <c r="G18" s="123"/>
      <c r="H18" s="54"/>
      <c r="I18" s="123"/>
      <c r="J18" s="42"/>
      <c r="K18" s="764" t="s">
        <v>50</v>
      </c>
      <c r="L18" s="765"/>
      <c r="M18" s="765"/>
      <c r="N18" s="765"/>
      <c r="O18" s="765"/>
      <c r="P18" s="765"/>
      <c r="Q18" s="766"/>
      <c r="R18" s="70" t="s">
        <v>28</v>
      </c>
      <c r="S18" s="71" t="s">
        <v>29</v>
      </c>
      <c r="T18" s="123"/>
      <c r="U18" s="157"/>
      <c r="V18" s="123"/>
      <c r="W18" s="123"/>
      <c r="X18" s="123"/>
      <c r="Y18" s="128"/>
      <c r="Z18" s="128"/>
      <c r="AA18" s="128"/>
      <c r="AB18" s="128"/>
      <c r="AC18" s="128"/>
      <c r="AD18" s="128"/>
      <c r="AE18" s="128"/>
    </row>
    <row r="19" spans="1:31" s="2" customFormat="1">
      <c r="A19" s="128"/>
      <c r="B19" s="132"/>
      <c r="C19" s="123"/>
      <c r="D19" s="127"/>
      <c r="E19" s="10"/>
      <c r="F19" s="10"/>
      <c r="G19" s="123"/>
      <c r="H19" s="54"/>
      <c r="I19" s="123"/>
      <c r="J19" s="42"/>
      <c r="K19" s="20" t="s">
        <v>31</v>
      </c>
      <c r="L19" s="21" t="s">
        <v>32</v>
      </c>
      <c r="M19" s="21" t="s">
        <v>33</v>
      </c>
      <c r="N19" s="21" t="s">
        <v>34</v>
      </c>
      <c r="O19" s="21" t="s">
        <v>35</v>
      </c>
      <c r="P19" s="21" t="s">
        <v>36</v>
      </c>
      <c r="Q19" s="49" t="s">
        <v>37</v>
      </c>
      <c r="R19" s="50" t="s">
        <v>38</v>
      </c>
      <c r="S19" s="50" t="s">
        <v>38</v>
      </c>
      <c r="T19" s="123"/>
      <c r="U19" s="157"/>
      <c r="V19" s="123"/>
      <c r="W19" s="123"/>
      <c r="X19" s="123"/>
      <c r="Y19" s="128"/>
      <c r="Z19" s="128"/>
      <c r="AA19" s="128"/>
      <c r="AB19" s="128"/>
      <c r="AC19" s="128"/>
      <c r="AD19" s="128"/>
      <c r="AE19" s="128"/>
    </row>
    <row r="20" spans="1:31" s="2" customFormat="1">
      <c r="A20" s="128"/>
      <c r="B20" s="132"/>
      <c r="C20" s="123"/>
      <c r="D20" s="127"/>
      <c r="E20" s="10"/>
      <c r="F20" s="10"/>
      <c r="G20" s="123"/>
      <c r="H20" s="54"/>
      <c r="I20" s="123"/>
      <c r="J20" s="42"/>
      <c r="K20" s="56">
        <f>F32+F34+F35+F36+F33+F37</f>
        <v>9862</v>
      </c>
      <c r="L20" s="57">
        <f>F38+F39+F41+F40</f>
        <v>8909</v>
      </c>
      <c r="M20" s="57">
        <f>F42+F43+F44+F45+F67</f>
        <v>11070</v>
      </c>
      <c r="N20" s="57"/>
      <c r="O20" s="57">
        <f>F47+F46+F76+F68+F77</f>
        <v>29004</v>
      </c>
      <c r="P20" s="57">
        <f>SUM(K20:O20)</f>
        <v>58845</v>
      </c>
      <c r="Q20" s="58">
        <f>F52+F53+F54+F72</f>
        <v>4129</v>
      </c>
      <c r="R20" s="59">
        <f>F69+F78</f>
        <v>23223</v>
      </c>
      <c r="S20" s="59">
        <f>F73</f>
        <v>1556</v>
      </c>
      <c r="T20" s="123"/>
      <c r="U20" s="157"/>
      <c r="V20" s="123"/>
      <c r="W20" s="123"/>
      <c r="X20" s="123"/>
      <c r="Y20" s="128"/>
      <c r="Z20" s="128"/>
      <c r="AA20" s="128"/>
      <c r="AB20" s="128"/>
      <c r="AC20" s="128"/>
      <c r="AD20" s="128"/>
      <c r="AE20" s="128"/>
    </row>
    <row r="21" spans="1:31" s="2" customFormat="1">
      <c r="A21" s="128"/>
      <c r="B21" s="132"/>
      <c r="C21" s="123"/>
      <c r="D21" s="127"/>
      <c r="E21" s="10"/>
      <c r="F21" s="10"/>
      <c r="G21" s="123"/>
      <c r="H21" s="54"/>
      <c r="I21" s="123"/>
      <c r="J21" s="10" t="s">
        <v>42</v>
      </c>
      <c r="K21" s="63">
        <f t="shared" ref="K21:Q22" si="4">K13</f>
        <v>6</v>
      </c>
      <c r="L21" s="63">
        <f t="shared" si="4"/>
        <v>4</v>
      </c>
      <c r="M21" s="63">
        <f t="shared" si="4"/>
        <v>5</v>
      </c>
      <c r="N21" s="63">
        <f t="shared" si="4"/>
        <v>0</v>
      </c>
      <c r="O21" s="63">
        <f t="shared" si="4"/>
        <v>5</v>
      </c>
      <c r="P21" s="63">
        <f t="shared" si="4"/>
        <v>20</v>
      </c>
      <c r="Q21" s="63">
        <f t="shared" si="4"/>
        <v>4</v>
      </c>
      <c r="R21" s="63"/>
      <c r="S21" s="10"/>
      <c r="T21" s="123"/>
      <c r="U21" s="157"/>
      <c r="V21" s="123"/>
      <c r="W21" s="123"/>
      <c r="X21" s="123"/>
      <c r="Y21" s="128"/>
      <c r="Z21" s="128"/>
      <c r="AA21" s="128"/>
      <c r="AB21" s="128"/>
      <c r="AC21" s="128"/>
      <c r="AD21" s="128"/>
      <c r="AE21" s="128"/>
    </row>
    <row r="22" spans="1:31" s="2" customFormat="1">
      <c r="A22" s="128"/>
      <c r="B22" s="132"/>
      <c r="C22" s="123"/>
      <c r="D22" s="127"/>
      <c r="E22" s="10"/>
      <c r="F22" s="10"/>
      <c r="G22" s="123"/>
      <c r="H22" s="54"/>
      <c r="I22" s="123"/>
      <c r="J22" s="10" t="s">
        <v>44</v>
      </c>
      <c r="K22" s="63">
        <f t="shared" si="4"/>
        <v>0</v>
      </c>
      <c r="L22" s="63">
        <f t="shared" si="4"/>
        <v>6</v>
      </c>
      <c r="M22" s="63">
        <f t="shared" si="4"/>
        <v>4</v>
      </c>
      <c r="N22" s="63">
        <f t="shared" si="4"/>
        <v>0</v>
      </c>
      <c r="O22" s="63">
        <f t="shared" si="4"/>
        <v>0</v>
      </c>
      <c r="P22" s="63">
        <f t="shared" si="4"/>
        <v>10</v>
      </c>
      <c r="Q22" s="63">
        <f t="shared" si="4"/>
        <v>4</v>
      </c>
      <c r="R22" s="63"/>
      <c r="S22" s="10"/>
      <c r="T22" s="123"/>
      <c r="U22" s="157"/>
      <c r="V22" s="123"/>
      <c r="W22" s="123"/>
      <c r="X22" s="123"/>
      <c r="Y22" s="128"/>
      <c r="Z22" s="128"/>
      <c r="AA22" s="128"/>
      <c r="AB22" s="128"/>
      <c r="AC22" s="128"/>
      <c r="AD22" s="128"/>
      <c r="AE22" s="128"/>
    </row>
    <row r="23" spans="1:31" s="2" customFormat="1">
      <c r="A23" s="128"/>
      <c r="B23" s="132"/>
      <c r="C23" s="123"/>
      <c r="D23" s="127"/>
      <c r="E23" s="10"/>
      <c r="F23" s="10"/>
      <c r="G23" s="123"/>
      <c r="H23" s="54"/>
      <c r="I23" s="123"/>
      <c r="J23" s="10" t="s">
        <v>46</v>
      </c>
      <c r="K23" s="31">
        <f t="shared" ref="K23:Q23" si="5">K21/(K21+K22)</f>
        <v>1</v>
      </c>
      <c r="L23" s="31">
        <f t="shared" si="5"/>
        <v>0.4</v>
      </c>
      <c r="M23" s="31">
        <f t="shared" si="5"/>
        <v>0.55555555555555558</v>
      </c>
      <c r="N23" s="31" t="e">
        <f t="shared" si="5"/>
        <v>#DIV/0!</v>
      </c>
      <c r="O23" s="31">
        <f t="shared" si="5"/>
        <v>1</v>
      </c>
      <c r="P23" s="31">
        <f t="shared" si="5"/>
        <v>0.66666666666666663</v>
      </c>
      <c r="Q23" s="31">
        <f t="shared" si="5"/>
        <v>0.5</v>
      </c>
      <c r="R23" s="63"/>
      <c r="S23" s="10"/>
      <c r="T23" s="123"/>
      <c r="U23" s="157"/>
      <c r="V23" s="123"/>
      <c r="W23" s="123"/>
      <c r="X23" s="123"/>
      <c r="Y23" s="128"/>
      <c r="Z23" s="128"/>
      <c r="AA23" s="128"/>
      <c r="AB23" s="128"/>
      <c r="AC23" s="128"/>
      <c r="AD23" s="128"/>
      <c r="AE23" s="128"/>
    </row>
    <row r="24" spans="1:31" s="2" customFormat="1">
      <c r="A24" s="128"/>
      <c r="B24" s="132"/>
      <c r="C24" s="123"/>
      <c r="D24" s="127"/>
      <c r="E24" s="10"/>
      <c r="F24" s="10"/>
      <c r="G24" s="123"/>
      <c r="H24" s="54"/>
      <c r="I24" s="123"/>
      <c r="J24" s="10" t="s">
        <v>48</v>
      </c>
      <c r="K24" s="66">
        <f t="shared" ref="K24:Q24" si="6">K20/K21</f>
        <v>1643.6666666666667</v>
      </c>
      <c r="L24" s="66">
        <f t="shared" si="6"/>
        <v>2227.25</v>
      </c>
      <c r="M24" s="66">
        <f t="shared" si="6"/>
        <v>2214</v>
      </c>
      <c r="N24" s="66" t="e">
        <f t="shared" si="6"/>
        <v>#DIV/0!</v>
      </c>
      <c r="O24" s="66">
        <f t="shared" si="6"/>
        <v>5800.8</v>
      </c>
      <c r="P24" s="66">
        <f t="shared" si="6"/>
        <v>2942.25</v>
      </c>
      <c r="Q24" s="66">
        <f t="shared" si="6"/>
        <v>1032.25</v>
      </c>
      <c r="R24" s="63"/>
      <c r="S24" s="10"/>
      <c r="T24" s="123"/>
      <c r="U24" s="157"/>
      <c r="V24" s="123"/>
      <c r="W24" s="123"/>
      <c r="X24" s="123"/>
      <c r="Y24" s="128"/>
      <c r="Z24" s="128"/>
      <c r="AA24" s="128"/>
      <c r="AB24" s="128"/>
      <c r="AC24" s="128"/>
      <c r="AD24" s="128"/>
      <c r="AE24" s="128"/>
    </row>
    <row r="25" spans="1:31" s="2" customFormat="1">
      <c r="B25" s="11"/>
      <c r="C25" s="10"/>
      <c r="D25" s="63"/>
      <c r="E25" s="10"/>
      <c r="F25" s="10"/>
      <c r="G25" s="10"/>
      <c r="H25" s="10"/>
      <c r="I25" s="10"/>
      <c r="J25" s="10"/>
      <c r="K25" s="10"/>
      <c r="L25" s="10"/>
      <c r="M25" s="10"/>
      <c r="N25" s="10"/>
      <c r="O25" s="10"/>
      <c r="P25" s="10"/>
      <c r="Q25" s="10"/>
      <c r="R25" s="10"/>
      <c r="S25" s="10"/>
      <c r="T25" s="10"/>
      <c r="U25" s="151"/>
      <c r="V25" s="77"/>
      <c r="W25" s="77"/>
      <c r="X25" s="77"/>
    </row>
    <row r="26" spans="1:31" s="2" customFormat="1">
      <c r="B26" s="11"/>
      <c r="C26" s="10"/>
      <c r="D26" s="63"/>
      <c r="E26" s="10"/>
      <c r="F26" s="10"/>
      <c r="G26" s="10"/>
      <c r="H26" s="10"/>
      <c r="I26" s="10"/>
      <c r="J26" s="10"/>
      <c r="K26" s="10"/>
      <c r="L26" s="10"/>
      <c r="M26" s="10"/>
      <c r="N26" s="10"/>
      <c r="O26" s="10"/>
      <c r="P26" s="10"/>
      <c r="Q26" s="10"/>
      <c r="R26" s="10"/>
      <c r="S26" s="10"/>
      <c r="T26" s="10"/>
      <c r="U26" s="151"/>
      <c r="V26" s="77"/>
      <c r="W26" s="77"/>
      <c r="X26" s="77"/>
    </row>
    <row r="27" spans="1:31" s="2" customFormat="1">
      <c r="B27" s="11"/>
      <c r="C27" s="10"/>
      <c r="D27" s="63"/>
      <c r="E27" s="10"/>
      <c r="F27" s="10"/>
      <c r="G27" s="10"/>
      <c r="H27" s="10"/>
      <c r="I27" s="10"/>
      <c r="J27" s="10"/>
      <c r="K27" s="10"/>
      <c r="L27" s="10"/>
      <c r="M27" s="10"/>
      <c r="N27" s="10"/>
      <c r="O27" s="10"/>
      <c r="P27" s="10"/>
      <c r="Q27" s="10"/>
      <c r="R27" s="10"/>
      <c r="S27" s="10"/>
      <c r="T27" s="10"/>
      <c r="U27" s="151"/>
      <c r="V27" s="77"/>
      <c r="W27" s="77"/>
      <c r="X27" s="77"/>
    </row>
    <row r="28" spans="1:31" s="2" customFormat="1">
      <c r="B28" s="11"/>
      <c r="C28" s="10"/>
      <c r="D28" s="63"/>
      <c r="E28" s="10"/>
      <c r="F28" s="10"/>
      <c r="G28" s="10"/>
      <c r="H28" s="10"/>
      <c r="I28" s="10"/>
      <c r="J28" s="10"/>
      <c r="K28" s="10"/>
      <c r="L28" s="10"/>
      <c r="M28" s="10"/>
      <c r="N28" s="10"/>
      <c r="O28" s="10"/>
      <c r="P28" s="10"/>
      <c r="Q28" s="10"/>
      <c r="R28" s="10"/>
      <c r="S28" s="10"/>
      <c r="T28" s="10"/>
      <c r="U28" s="151"/>
      <c r="V28" s="77"/>
      <c r="W28" s="77"/>
      <c r="X28" s="77"/>
    </row>
    <row r="29" spans="1:31" s="2" customFormat="1">
      <c r="B29" s="18" t="s">
        <v>51</v>
      </c>
      <c r="C29" s="14"/>
      <c r="D29" s="14"/>
      <c r="E29" s="14"/>
      <c r="F29" s="13" t="s">
        <v>52</v>
      </c>
      <c r="G29" s="14"/>
      <c r="H29" s="14"/>
      <c r="I29" s="14"/>
      <c r="J29" s="14"/>
      <c r="K29" s="13" t="s">
        <v>3</v>
      </c>
      <c r="L29" s="14"/>
      <c r="M29" s="14"/>
      <c r="N29" s="13" t="s">
        <v>4</v>
      </c>
      <c r="O29" s="14"/>
      <c r="P29" s="14"/>
      <c r="Q29" s="13" t="s">
        <v>5</v>
      </c>
      <c r="R29" s="14"/>
      <c r="S29" s="14"/>
      <c r="T29" s="18"/>
      <c r="U29" s="161" t="s">
        <v>53</v>
      </c>
      <c r="V29" s="77"/>
      <c r="W29" s="77"/>
      <c r="X29" s="77"/>
    </row>
    <row r="30" spans="1:31" s="2" customFormat="1">
      <c r="B30" s="24" t="s">
        <v>54</v>
      </c>
      <c r="C30" s="21" t="s">
        <v>55</v>
      </c>
      <c r="D30" s="21" t="s">
        <v>56</v>
      </c>
      <c r="E30" s="21" t="s">
        <v>57</v>
      </c>
      <c r="F30" s="20" t="s">
        <v>58</v>
      </c>
      <c r="G30" s="21" t="s">
        <v>59</v>
      </c>
      <c r="H30" s="21" t="s">
        <v>60</v>
      </c>
      <c r="I30" s="21" t="s">
        <v>26</v>
      </c>
      <c r="J30" s="22" t="s">
        <v>61</v>
      </c>
      <c r="K30" s="21" t="s">
        <v>8</v>
      </c>
      <c r="L30" s="21" t="s">
        <v>9</v>
      </c>
      <c r="M30" s="21" t="s">
        <v>10</v>
      </c>
      <c r="N30" s="20" t="s">
        <v>11</v>
      </c>
      <c r="O30" s="21" t="s">
        <v>12</v>
      </c>
      <c r="P30" s="22" t="s">
        <v>13</v>
      </c>
      <c r="Q30" s="21" t="s">
        <v>11</v>
      </c>
      <c r="R30" s="21" t="s">
        <v>12</v>
      </c>
      <c r="S30" s="21" t="s">
        <v>13</v>
      </c>
      <c r="T30" s="78" t="s">
        <v>14</v>
      </c>
      <c r="U30" s="162"/>
      <c r="V30" s="79" t="s">
        <v>62</v>
      </c>
      <c r="W30" s="80" t="s">
        <v>63</v>
      </c>
      <c r="X30" s="81" t="s">
        <v>64</v>
      </c>
    </row>
    <row r="31" spans="1:31" s="2" customFormat="1">
      <c r="B31" s="4" t="s">
        <v>65</v>
      </c>
      <c r="C31" s="6"/>
      <c r="D31" s="6"/>
      <c r="E31" s="6"/>
      <c r="F31" s="6"/>
      <c r="G31" s="6"/>
      <c r="H31" s="6"/>
      <c r="I31" s="82"/>
      <c r="J31" s="6"/>
      <c r="K31" s="6"/>
      <c r="L31" s="6"/>
      <c r="M31" s="6"/>
      <c r="N31" s="6"/>
      <c r="O31" s="6"/>
      <c r="P31" s="6"/>
      <c r="Q31" s="6"/>
      <c r="R31" s="6"/>
      <c r="S31" s="6"/>
      <c r="T31" s="83"/>
      <c r="U31" s="163"/>
      <c r="V31" s="84"/>
      <c r="W31" s="85"/>
      <c r="X31" s="86"/>
    </row>
    <row r="32" spans="1:31" s="2" customFormat="1">
      <c r="B32" s="87">
        <v>1</v>
      </c>
      <c r="C32" s="274">
        <v>45831</v>
      </c>
      <c r="D32" s="320" t="s">
        <v>3363</v>
      </c>
      <c r="E32" s="276" t="s">
        <v>3364</v>
      </c>
      <c r="F32" s="277">
        <v>681</v>
      </c>
      <c r="G32" s="277">
        <f>(112.79)</f>
        <v>112.79</v>
      </c>
      <c r="H32" s="297"/>
      <c r="I32" s="278">
        <f>F32-G32-H32</f>
        <v>568.21</v>
      </c>
      <c r="J32" s="279" t="s">
        <v>156</v>
      </c>
      <c r="K32" s="279">
        <v>1</v>
      </c>
      <c r="L32" s="279">
        <v>1</v>
      </c>
      <c r="M32" s="279">
        <v>1</v>
      </c>
      <c r="N32" s="279">
        <v>1</v>
      </c>
      <c r="O32" s="279">
        <v>1</v>
      </c>
      <c r="P32" s="279">
        <v>1</v>
      </c>
      <c r="Q32" s="279">
        <v>1</v>
      </c>
      <c r="R32" s="279">
        <v>1</v>
      </c>
      <c r="S32" s="280">
        <v>1</v>
      </c>
      <c r="T32" s="63"/>
      <c r="U32" s="94"/>
      <c r="V32" s="90">
        <v>749.1</v>
      </c>
      <c r="W32" s="91"/>
      <c r="X32" s="92"/>
    </row>
    <row r="33" spans="1:24" s="2" customFormat="1">
      <c r="A33" s="2" t="s">
        <v>3365</v>
      </c>
      <c r="B33" s="87">
        <f t="shared" ref="B33:B38" si="7">B32+1</f>
        <v>2</v>
      </c>
      <c r="C33" s="295">
        <v>45831</v>
      </c>
      <c r="D33" s="346" t="s">
        <v>3366</v>
      </c>
      <c r="E33" s="10" t="s">
        <v>3364</v>
      </c>
      <c r="F33" s="62">
        <f>2180-218</f>
        <v>1962</v>
      </c>
      <c r="G33" s="62">
        <f>39.7+145.4+(20.28)+(41.98)+200+200</f>
        <v>647.36</v>
      </c>
      <c r="H33" s="62"/>
      <c r="I33" s="324">
        <f>F33-G33-H33</f>
        <v>1314.6399999999999</v>
      </c>
      <c r="J33" s="63" t="s">
        <v>228</v>
      </c>
      <c r="K33" s="63">
        <v>1</v>
      </c>
      <c r="L33" s="325">
        <v>0</v>
      </c>
      <c r="M33" s="63">
        <v>1</v>
      </c>
      <c r="N33" s="63">
        <v>1</v>
      </c>
      <c r="O33" s="63">
        <v>1</v>
      </c>
      <c r="P33" s="63">
        <v>1</v>
      </c>
      <c r="Q33" s="63">
        <v>1</v>
      </c>
      <c r="R33" s="63">
        <v>1</v>
      </c>
      <c r="S33" s="296">
        <v>1</v>
      </c>
      <c r="T33" s="63"/>
      <c r="U33" s="94" t="s">
        <v>3367</v>
      </c>
      <c r="V33" s="90">
        <f>239.8+1918.4</f>
        <v>2158.2000000000003</v>
      </c>
      <c r="W33" s="91"/>
      <c r="X33" s="92"/>
    </row>
    <row r="34" spans="1:24" s="2" customFormat="1">
      <c r="A34" s="93" t="s">
        <v>3368</v>
      </c>
      <c r="B34" s="87">
        <f t="shared" si="7"/>
        <v>3</v>
      </c>
      <c r="C34" s="295">
        <v>45831</v>
      </c>
      <c r="D34" s="323">
        <v>70932</v>
      </c>
      <c r="E34" s="10" t="s">
        <v>3364</v>
      </c>
      <c r="F34" s="62">
        <v>681</v>
      </c>
      <c r="G34" s="62"/>
      <c r="H34" s="62"/>
      <c r="I34" s="89">
        <f t="shared" ref="I34:I39" si="8">F34-G34-H34</f>
        <v>681</v>
      </c>
      <c r="J34" s="63" t="s">
        <v>156</v>
      </c>
      <c r="K34" s="63">
        <v>1</v>
      </c>
      <c r="L34" s="63">
        <v>1</v>
      </c>
      <c r="M34" s="63">
        <v>1</v>
      </c>
      <c r="N34" s="63">
        <v>1</v>
      </c>
      <c r="O34" s="63">
        <v>1</v>
      </c>
      <c r="P34" s="63">
        <v>1</v>
      </c>
      <c r="Q34" s="63">
        <v>1</v>
      </c>
      <c r="R34" s="63">
        <v>1</v>
      </c>
      <c r="S34" s="296">
        <v>1</v>
      </c>
      <c r="T34" s="63"/>
      <c r="U34" s="94" t="s">
        <v>3369</v>
      </c>
      <c r="V34" s="90">
        <v>749.1</v>
      </c>
      <c r="W34" s="91"/>
      <c r="X34" s="92"/>
    </row>
    <row r="35" spans="1:24" s="2" customFormat="1">
      <c r="A35" s="2" t="s">
        <v>3370</v>
      </c>
      <c r="B35" s="87">
        <f t="shared" si="7"/>
        <v>4</v>
      </c>
      <c r="C35" s="295">
        <v>45831</v>
      </c>
      <c r="D35" s="346" t="s">
        <v>3371</v>
      </c>
      <c r="E35" s="10" t="s">
        <v>604</v>
      </c>
      <c r="F35" s="62">
        <v>1025</v>
      </c>
      <c r="G35" s="62">
        <f>39.7+(98.27)</f>
        <v>137.97</v>
      </c>
      <c r="H35" s="62"/>
      <c r="I35" s="89">
        <f>F35-G35-H35</f>
        <v>887.03</v>
      </c>
      <c r="J35" s="63" t="s">
        <v>156</v>
      </c>
      <c r="K35" s="63">
        <v>1</v>
      </c>
      <c r="L35" s="63">
        <v>1</v>
      </c>
      <c r="M35" s="63">
        <v>1</v>
      </c>
      <c r="N35" s="63">
        <v>1</v>
      </c>
      <c r="O35" s="63">
        <v>1</v>
      </c>
      <c r="P35" s="63">
        <v>1</v>
      </c>
      <c r="Q35" s="63">
        <v>1</v>
      </c>
      <c r="R35" s="63">
        <v>1</v>
      </c>
      <c r="S35" s="296">
        <v>1</v>
      </c>
      <c r="T35" s="63"/>
      <c r="U35" s="94" t="s">
        <v>3372</v>
      </c>
      <c r="V35" s="90">
        <v>1127.5</v>
      </c>
      <c r="W35" s="91"/>
      <c r="X35" s="92"/>
    </row>
    <row r="36" spans="1:24" s="2" customFormat="1">
      <c r="B36" s="87">
        <f t="shared" si="7"/>
        <v>5</v>
      </c>
      <c r="C36" s="295">
        <v>45831</v>
      </c>
      <c r="D36" s="323">
        <v>70943</v>
      </c>
      <c r="E36" s="10" t="s">
        <v>604</v>
      </c>
      <c r="F36" s="62">
        <v>1138</v>
      </c>
      <c r="G36" s="62">
        <v>39.700000000000003</v>
      </c>
      <c r="H36" s="62"/>
      <c r="I36" s="89">
        <f t="shared" si="8"/>
        <v>1098.3</v>
      </c>
      <c r="J36" s="63" t="s">
        <v>156</v>
      </c>
      <c r="K36" s="63">
        <v>1</v>
      </c>
      <c r="L36" s="63">
        <v>1</v>
      </c>
      <c r="M36" s="63">
        <v>1</v>
      </c>
      <c r="N36" s="63">
        <v>1</v>
      </c>
      <c r="O36" s="63">
        <v>1</v>
      </c>
      <c r="P36" s="63">
        <v>1</v>
      </c>
      <c r="Q36" s="63">
        <v>1</v>
      </c>
      <c r="R36" s="63">
        <v>1</v>
      </c>
      <c r="S36" s="296">
        <v>1</v>
      </c>
      <c r="T36" s="63"/>
      <c r="U36" s="94" t="s">
        <v>2324</v>
      </c>
      <c r="V36" s="90">
        <v>1251.8</v>
      </c>
      <c r="W36" s="91"/>
      <c r="X36" s="92"/>
    </row>
    <row r="37" spans="1:24" s="2" customFormat="1">
      <c r="A37" s="388">
        <v>45832</v>
      </c>
      <c r="B37" s="87">
        <f t="shared" si="7"/>
        <v>6</v>
      </c>
      <c r="C37" s="295">
        <v>45831</v>
      </c>
      <c r="D37" s="323">
        <v>70923</v>
      </c>
      <c r="E37" s="10" t="s">
        <v>604</v>
      </c>
      <c r="F37" s="62">
        <v>4375</v>
      </c>
      <c r="G37" s="62">
        <f>39.7+19.12+(21.32)+(111.07+259.67)+300</f>
        <v>750.88</v>
      </c>
      <c r="H37" s="62"/>
      <c r="I37" s="89">
        <f>F37-G37-H37</f>
        <v>3624.12</v>
      </c>
      <c r="J37" s="63" t="s">
        <v>156</v>
      </c>
      <c r="K37" s="63">
        <v>1</v>
      </c>
      <c r="L37" s="63">
        <v>1</v>
      </c>
      <c r="M37" s="63">
        <v>1</v>
      </c>
      <c r="N37" s="63">
        <v>1</v>
      </c>
      <c r="O37" s="63">
        <v>1</v>
      </c>
      <c r="P37" s="63">
        <v>1</v>
      </c>
      <c r="Q37" s="63">
        <v>1</v>
      </c>
      <c r="R37" s="63">
        <v>1</v>
      </c>
      <c r="S37" s="296">
        <v>1</v>
      </c>
      <c r="T37" s="63">
        <v>1</v>
      </c>
      <c r="U37" s="94" t="s">
        <v>3373</v>
      </c>
      <c r="V37" s="90">
        <f>481.25+3000+1331.25</f>
        <v>4812.5</v>
      </c>
      <c r="W37" s="136"/>
      <c r="X37" s="137"/>
    </row>
    <row r="38" spans="1:24" s="2" customFormat="1">
      <c r="B38" s="87">
        <f t="shared" si="7"/>
        <v>7</v>
      </c>
      <c r="C38" s="274">
        <v>45832</v>
      </c>
      <c r="D38" s="327">
        <v>70940</v>
      </c>
      <c r="E38" s="276" t="s">
        <v>296</v>
      </c>
      <c r="F38" s="277">
        <v>1153</v>
      </c>
      <c r="G38" s="277">
        <f>39.7+(66.8)</f>
        <v>106.5</v>
      </c>
      <c r="H38" s="277"/>
      <c r="I38" s="278">
        <f t="shared" si="8"/>
        <v>1046.5</v>
      </c>
      <c r="J38" s="279" t="s">
        <v>156</v>
      </c>
      <c r="K38" s="279">
        <v>1</v>
      </c>
      <c r="L38" s="279">
        <v>1</v>
      </c>
      <c r="M38" s="279">
        <v>1</v>
      </c>
      <c r="N38" s="279">
        <v>1</v>
      </c>
      <c r="O38" s="279">
        <v>1</v>
      </c>
      <c r="P38" s="279">
        <v>1</v>
      </c>
      <c r="Q38" s="279">
        <v>1</v>
      </c>
      <c r="R38" s="279">
        <v>1</v>
      </c>
      <c r="S38" s="280">
        <v>1</v>
      </c>
      <c r="T38" s="63"/>
      <c r="U38" s="94"/>
      <c r="V38" s="90">
        <v>1268.3</v>
      </c>
      <c r="W38" s="91"/>
      <c r="X38" s="92"/>
    </row>
    <row r="39" spans="1:24" s="2" customFormat="1">
      <c r="B39" s="87">
        <f t="shared" ref="B39:B43" si="9">B38+1</f>
        <v>8</v>
      </c>
      <c r="C39" s="295">
        <v>45832</v>
      </c>
      <c r="D39" s="323">
        <v>70980</v>
      </c>
      <c r="E39" s="10" t="s">
        <v>1136</v>
      </c>
      <c r="F39" s="62">
        <v>1261</v>
      </c>
      <c r="G39" s="62">
        <v>39.700000000000003</v>
      </c>
      <c r="H39" s="88"/>
      <c r="I39" s="89">
        <f t="shared" si="8"/>
        <v>1221.3</v>
      </c>
      <c r="J39" s="63" t="s">
        <v>156</v>
      </c>
      <c r="K39" s="63">
        <v>1</v>
      </c>
      <c r="L39" s="63">
        <v>1</v>
      </c>
      <c r="M39" s="63">
        <v>1</v>
      </c>
      <c r="N39" s="63">
        <v>1</v>
      </c>
      <c r="O39" s="63">
        <v>1</v>
      </c>
      <c r="P39" s="63">
        <v>1</v>
      </c>
      <c r="Q39" s="63">
        <v>1</v>
      </c>
      <c r="R39" s="63">
        <v>1</v>
      </c>
      <c r="S39" s="296">
        <v>1</v>
      </c>
      <c r="T39" s="63"/>
      <c r="U39" s="94"/>
      <c r="V39" s="90">
        <v>1387.1</v>
      </c>
      <c r="W39" s="91"/>
      <c r="X39" s="92"/>
    </row>
    <row r="40" spans="1:24" s="2" customFormat="1">
      <c r="B40" s="87">
        <f>B39+1</f>
        <v>9</v>
      </c>
      <c r="C40" s="295">
        <v>45832</v>
      </c>
      <c r="D40" s="323">
        <v>70984</v>
      </c>
      <c r="E40" s="10" t="s">
        <v>1210</v>
      </c>
      <c r="F40" s="62">
        <v>5814</v>
      </c>
      <c r="G40" s="62">
        <f>39.7+19.12+(1270.77)+250</f>
        <v>1579.59</v>
      </c>
      <c r="H40" s="62"/>
      <c r="I40" s="324">
        <f t="shared" ref="I40:I45" si="10">F40-G40-H40</f>
        <v>4234.41</v>
      </c>
      <c r="J40" s="63" t="s">
        <v>228</v>
      </c>
      <c r="K40" s="63">
        <v>1</v>
      </c>
      <c r="L40" s="63">
        <v>1</v>
      </c>
      <c r="M40" s="325">
        <v>0</v>
      </c>
      <c r="N40" s="63">
        <v>1</v>
      </c>
      <c r="O40" s="63">
        <v>1</v>
      </c>
      <c r="P40" s="63">
        <v>1</v>
      </c>
      <c r="Q40" s="63">
        <v>1</v>
      </c>
      <c r="R40" s="63">
        <v>1</v>
      </c>
      <c r="S40" s="326">
        <v>0</v>
      </c>
      <c r="T40" s="63"/>
      <c r="U40" s="94" t="s">
        <v>3374</v>
      </c>
      <c r="V40" s="90">
        <f>639.54+5755.86</f>
        <v>6395.4</v>
      </c>
      <c r="W40" s="136"/>
      <c r="X40" s="137"/>
    </row>
    <row r="41" spans="1:24" s="2" customFormat="1">
      <c r="B41" s="87">
        <f>B40+1</f>
        <v>10</v>
      </c>
      <c r="C41" s="282">
        <v>45832</v>
      </c>
      <c r="D41" s="368">
        <v>70992</v>
      </c>
      <c r="E41" s="283" t="s">
        <v>218</v>
      </c>
      <c r="F41" s="284">
        <v>681</v>
      </c>
      <c r="G41" s="284"/>
      <c r="H41" s="315"/>
      <c r="I41" s="285">
        <f t="shared" si="10"/>
        <v>681</v>
      </c>
      <c r="J41" s="286" t="s">
        <v>156</v>
      </c>
      <c r="K41" s="286">
        <v>1</v>
      </c>
      <c r="L41" s="286">
        <v>1</v>
      </c>
      <c r="M41" s="286">
        <v>1</v>
      </c>
      <c r="N41" s="286">
        <v>1</v>
      </c>
      <c r="O41" s="286">
        <v>1</v>
      </c>
      <c r="P41" s="286">
        <v>1</v>
      </c>
      <c r="Q41" s="286">
        <v>1</v>
      </c>
      <c r="R41" s="286">
        <v>1</v>
      </c>
      <c r="S41" s="287">
        <v>1</v>
      </c>
      <c r="T41" s="63"/>
      <c r="U41" s="94" t="s">
        <v>3375</v>
      </c>
      <c r="V41" s="90">
        <v>749.1</v>
      </c>
      <c r="W41" s="91"/>
      <c r="X41" s="92"/>
    </row>
    <row r="42" spans="1:24" s="2" customFormat="1">
      <c r="B42" s="87">
        <f t="shared" si="9"/>
        <v>11</v>
      </c>
      <c r="C42" s="295">
        <v>45833</v>
      </c>
      <c r="D42" s="323">
        <v>71002</v>
      </c>
      <c r="E42" s="10" t="s">
        <v>659</v>
      </c>
      <c r="F42" s="62">
        <v>2814</v>
      </c>
      <c r="G42" s="62">
        <f>39.7+(246.24)</f>
        <v>285.94</v>
      </c>
      <c r="H42" s="88"/>
      <c r="I42" s="89">
        <f t="shared" si="10"/>
        <v>2528.06</v>
      </c>
      <c r="J42" s="63" t="s">
        <v>156</v>
      </c>
      <c r="K42" s="63">
        <v>1</v>
      </c>
      <c r="L42" s="63">
        <v>1</v>
      </c>
      <c r="M42" s="63">
        <v>1</v>
      </c>
      <c r="N42" s="63">
        <v>1</v>
      </c>
      <c r="O42" s="63">
        <v>1</v>
      </c>
      <c r="P42" s="63">
        <v>1</v>
      </c>
      <c r="Q42" s="63">
        <v>1</v>
      </c>
      <c r="R42" s="63">
        <v>1</v>
      </c>
      <c r="S42" s="296">
        <v>1</v>
      </c>
      <c r="T42" s="63"/>
      <c r="U42" s="94"/>
      <c r="V42" s="90">
        <f>309.54+2785.86</f>
        <v>3095.4</v>
      </c>
      <c r="W42" s="91"/>
      <c r="X42" s="92"/>
    </row>
    <row r="43" spans="1:24" s="2" customFormat="1">
      <c r="B43" s="87">
        <f t="shared" si="9"/>
        <v>12</v>
      </c>
      <c r="C43" s="295">
        <v>45833</v>
      </c>
      <c r="D43" s="323">
        <v>70997</v>
      </c>
      <c r="E43" s="10" t="s">
        <v>1217</v>
      </c>
      <c r="F43" s="62">
        <v>681</v>
      </c>
      <c r="G43" s="62"/>
      <c r="H43" s="88"/>
      <c r="I43" s="89">
        <f t="shared" si="10"/>
        <v>681</v>
      </c>
      <c r="J43" s="63" t="s">
        <v>156</v>
      </c>
      <c r="K43" s="63">
        <v>1</v>
      </c>
      <c r="L43" s="63">
        <v>1</v>
      </c>
      <c r="M43" s="63">
        <v>1</v>
      </c>
      <c r="N43" s="63">
        <v>1</v>
      </c>
      <c r="O43" s="63">
        <v>1</v>
      </c>
      <c r="P43" s="63">
        <v>1</v>
      </c>
      <c r="Q43" s="63">
        <v>1</v>
      </c>
      <c r="R43" s="63">
        <v>1</v>
      </c>
      <c r="S43" s="296">
        <v>1</v>
      </c>
      <c r="T43" s="63"/>
      <c r="U43" s="94"/>
      <c r="V43" s="90">
        <v>749.1</v>
      </c>
      <c r="W43" s="91"/>
      <c r="X43" s="92"/>
    </row>
    <row r="44" spans="1:24" s="2" customFormat="1">
      <c r="B44" s="87">
        <f>B43+1</f>
        <v>13</v>
      </c>
      <c r="C44" s="295">
        <v>45833</v>
      </c>
      <c r="D44" s="346" t="s">
        <v>3376</v>
      </c>
      <c r="E44" s="101" t="s">
        <v>1231</v>
      </c>
      <c r="F44" s="62">
        <v>1264</v>
      </c>
      <c r="G44" s="62">
        <v>39.700000000000003</v>
      </c>
      <c r="H44" s="62"/>
      <c r="I44" s="324">
        <f t="shared" si="10"/>
        <v>1224.3</v>
      </c>
      <c r="J44" s="63" t="s">
        <v>156</v>
      </c>
      <c r="K44" s="63">
        <v>1</v>
      </c>
      <c r="L44" s="63">
        <v>1</v>
      </c>
      <c r="M44" s="63">
        <v>1</v>
      </c>
      <c r="N44" s="63">
        <v>1</v>
      </c>
      <c r="O44" s="63">
        <v>1</v>
      </c>
      <c r="P44" s="325">
        <v>0</v>
      </c>
      <c r="Q44" s="63">
        <v>1</v>
      </c>
      <c r="R44" s="63">
        <v>1</v>
      </c>
      <c r="S44" s="326">
        <v>0</v>
      </c>
      <c r="T44" s="63"/>
      <c r="U44" s="94" t="s">
        <v>3377</v>
      </c>
      <c r="V44" s="90">
        <f>139.04+1251.36</f>
        <v>1390.3999999999999</v>
      </c>
      <c r="W44" s="91"/>
      <c r="X44" s="92"/>
    </row>
    <row r="45" spans="1:24" s="2" customFormat="1">
      <c r="B45" s="87">
        <f>B44+1</f>
        <v>14</v>
      </c>
      <c r="C45" s="295">
        <v>45833</v>
      </c>
      <c r="D45" s="346" t="s">
        <v>3378</v>
      </c>
      <c r="E45" s="101" t="s">
        <v>1231</v>
      </c>
      <c r="F45" s="62">
        <v>3197</v>
      </c>
      <c r="G45" s="62">
        <f>39.7+(41.92)</f>
        <v>81.62</v>
      </c>
      <c r="H45" s="62"/>
      <c r="I45" s="324">
        <f t="shared" si="10"/>
        <v>3115.38</v>
      </c>
      <c r="J45" s="63" t="s">
        <v>156</v>
      </c>
      <c r="K45" s="63">
        <v>1</v>
      </c>
      <c r="L45" s="63">
        <v>1</v>
      </c>
      <c r="M45" s="63">
        <v>1</v>
      </c>
      <c r="N45" s="63">
        <v>1</v>
      </c>
      <c r="O45" s="63">
        <v>1</v>
      </c>
      <c r="P45" s="63">
        <v>1</v>
      </c>
      <c r="Q45" s="63">
        <v>1</v>
      </c>
      <c r="R45" s="63">
        <v>1</v>
      </c>
      <c r="S45" s="326">
        <v>0</v>
      </c>
      <c r="T45" s="63"/>
      <c r="U45" s="94" t="s">
        <v>3377</v>
      </c>
      <c r="V45" s="90">
        <v>3516.7</v>
      </c>
      <c r="W45" s="91"/>
      <c r="X45" s="92"/>
    </row>
    <row r="46" spans="1:24" s="2" customFormat="1">
      <c r="A46" s="388">
        <v>45849</v>
      </c>
      <c r="B46" s="87">
        <f>B45+1</f>
        <v>15</v>
      </c>
      <c r="C46" s="274">
        <v>45835</v>
      </c>
      <c r="D46" s="327">
        <v>71068</v>
      </c>
      <c r="E46" s="281" t="s">
        <v>1042</v>
      </c>
      <c r="F46" s="277">
        <v>8214</v>
      </c>
      <c r="G46" s="277">
        <f>39.7+(64.57)+300</f>
        <v>404.27</v>
      </c>
      <c r="H46" s="277"/>
      <c r="I46" s="321">
        <f t="shared" ref="I46" si="11">F46-G46-H46</f>
        <v>7809.73</v>
      </c>
      <c r="J46" s="279" t="s">
        <v>374</v>
      </c>
      <c r="K46" s="279">
        <v>1</v>
      </c>
      <c r="L46" s="279">
        <v>1</v>
      </c>
      <c r="M46" s="279">
        <v>1</v>
      </c>
      <c r="N46" s="279">
        <v>1</v>
      </c>
      <c r="O46" s="279">
        <v>1</v>
      </c>
      <c r="P46" s="279">
        <v>1</v>
      </c>
      <c r="Q46" s="279">
        <v>1</v>
      </c>
      <c r="R46" s="322">
        <v>0</v>
      </c>
      <c r="S46" s="280">
        <v>1</v>
      </c>
      <c r="T46" s="63"/>
      <c r="U46" s="389" t="s">
        <v>3379</v>
      </c>
      <c r="V46" s="90">
        <f>903.54+9035.4</f>
        <v>9938.9399999999987</v>
      </c>
      <c r="W46" s="91"/>
      <c r="X46" s="92"/>
    </row>
    <row r="47" spans="1:24" s="2" customFormat="1">
      <c r="B47" s="87">
        <f>B46+1</f>
        <v>16</v>
      </c>
      <c r="C47" s="282">
        <v>45835</v>
      </c>
      <c r="D47" s="330" t="s">
        <v>3380</v>
      </c>
      <c r="E47" s="283" t="s">
        <v>2379</v>
      </c>
      <c r="F47" s="284">
        <v>681</v>
      </c>
      <c r="G47" s="284">
        <f>+(6.11)</f>
        <v>6.11</v>
      </c>
      <c r="H47" s="315"/>
      <c r="I47" s="285">
        <f>F47-G47-H47</f>
        <v>674.89</v>
      </c>
      <c r="J47" s="286" t="s">
        <v>156</v>
      </c>
      <c r="K47" s="286">
        <v>1</v>
      </c>
      <c r="L47" s="286">
        <v>1</v>
      </c>
      <c r="M47" s="286">
        <v>1</v>
      </c>
      <c r="N47" s="286">
        <v>1</v>
      </c>
      <c r="O47" s="286">
        <v>1</v>
      </c>
      <c r="P47" s="286">
        <v>1</v>
      </c>
      <c r="Q47" s="286">
        <v>1</v>
      </c>
      <c r="R47" s="286">
        <v>1</v>
      </c>
      <c r="S47" s="287">
        <v>1</v>
      </c>
      <c r="T47" s="63"/>
      <c r="U47" s="94" t="s">
        <v>3381</v>
      </c>
      <c r="V47" s="90">
        <v>749.1</v>
      </c>
      <c r="W47" s="91"/>
      <c r="X47" s="92"/>
    </row>
    <row r="48" spans="1:24" s="2" customFormat="1">
      <c r="B48" s="87"/>
      <c r="C48" s="36"/>
      <c r="D48" s="10"/>
      <c r="E48" s="10"/>
      <c r="F48" s="97">
        <f>SUM(F32:F47)</f>
        <v>35622</v>
      </c>
      <c r="G48" s="97">
        <f>SUM(G32:G47)</f>
        <v>4232.1299999999992</v>
      </c>
      <c r="H48" s="97">
        <f>SUM(H32:H47)</f>
        <v>0</v>
      </c>
      <c r="I48" s="98">
        <f>SUM(I32:I47)</f>
        <v>31389.87</v>
      </c>
      <c r="J48" s="63"/>
      <c r="K48" s="63">
        <f t="shared" ref="K48:S48" si="12">COUNT(K32:K47)</f>
        <v>16</v>
      </c>
      <c r="L48" s="63">
        <f t="shared" si="12"/>
        <v>16</v>
      </c>
      <c r="M48" s="63">
        <f t="shared" si="12"/>
        <v>16</v>
      </c>
      <c r="N48" s="63">
        <f t="shared" si="12"/>
        <v>16</v>
      </c>
      <c r="O48" s="63">
        <f t="shared" si="12"/>
        <v>16</v>
      </c>
      <c r="P48" s="63">
        <f t="shared" si="12"/>
        <v>16</v>
      </c>
      <c r="Q48" s="63">
        <f t="shared" si="12"/>
        <v>16</v>
      </c>
      <c r="R48" s="63">
        <f t="shared" si="12"/>
        <v>16</v>
      </c>
      <c r="S48" s="63">
        <f t="shared" si="12"/>
        <v>16</v>
      </c>
      <c r="T48" s="63"/>
      <c r="U48" s="94"/>
      <c r="V48" s="90"/>
      <c r="W48" s="91"/>
      <c r="X48" s="92"/>
    </row>
    <row r="49" spans="1:31" s="2" customFormat="1">
      <c r="B49" s="87"/>
      <c r="C49" s="36"/>
      <c r="D49" s="10"/>
      <c r="E49" s="10"/>
      <c r="F49" s="88"/>
      <c r="G49" s="88"/>
      <c r="H49" s="88"/>
      <c r="I49" s="99"/>
      <c r="J49" s="63"/>
      <c r="K49" s="21">
        <f t="shared" ref="K49:S49" si="13">SUM(K32:K47)</f>
        <v>16</v>
      </c>
      <c r="L49" s="21">
        <f t="shared" si="13"/>
        <v>15</v>
      </c>
      <c r="M49" s="21">
        <f t="shared" si="13"/>
        <v>15</v>
      </c>
      <c r="N49" s="21">
        <f t="shared" si="13"/>
        <v>16</v>
      </c>
      <c r="O49" s="21">
        <f t="shared" si="13"/>
        <v>16</v>
      </c>
      <c r="P49" s="21">
        <f t="shared" si="13"/>
        <v>15</v>
      </c>
      <c r="Q49" s="21">
        <f t="shared" si="13"/>
        <v>16</v>
      </c>
      <c r="R49" s="21">
        <f t="shared" si="13"/>
        <v>15</v>
      </c>
      <c r="S49" s="21">
        <f t="shared" si="13"/>
        <v>13</v>
      </c>
      <c r="T49" s="63"/>
      <c r="U49" s="94"/>
      <c r="V49" s="90"/>
      <c r="W49" s="91"/>
      <c r="X49" s="92"/>
    </row>
    <row r="50" spans="1:31" s="2" customFormat="1">
      <c r="B50" s="11"/>
      <c r="C50" s="36"/>
      <c r="D50" s="10"/>
      <c r="E50" s="10"/>
      <c r="F50" s="88"/>
      <c r="G50" s="88"/>
      <c r="H50" s="88"/>
      <c r="I50" s="99"/>
      <c r="J50" s="63"/>
      <c r="K50" s="21"/>
      <c r="L50" s="21"/>
      <c r="M50" s="21"/>
      <c r="N50" s="21"/>
      <c r="O50" s="21"/>
      <c r="P50" s="21"/>
      <c r="Q50" s="21"/>
      <c r="R50" s="21"/>
      <c r="S50" s="21"/>
      <c r="T50" s="63"/>
      <c r="U50" s="94"/>
      <c r="V50" s="90"/>
      <c r="W50" s="91"/>
      <c r="X50" s="92"/>
    </row>
    <row r="51" spans="1:31" s="2" customFormat="1">
      <c r="B51" s="100" t="s">
        <v>66</v>
      </c>
      <c r="C51" s="36"/>
      <c r="D51" s="10"/>
      <c r="E51" s="10"/>
      <c r="F51" s="88"/>
      <c r="G51" s="62"/>
      <c r="H51" s="88"/>
      <c r="I51" s="99"/>
      <c r="J51" s="63"/>
      <c r="T51" s="63"/>
      <c r="U51" s="94"/>
      <c r="V51" s="90"/>
      <c r="W51" s="91"/>
      <c r="X51" s="92"/>
    </row>
    <row r="52" spans="1:31" s="2" customFormat="1">
      <c r="B52" s="87">
        <v>1</v>
      </c>
      <c r="C52" s="274">
        <v>45836</v>
      </c>
      <c r="D52" s="327">
        <v>71091</v>
      </c>
      <c r="E52" s="281" t="s">
        <v>1034</v>
      </c>
      <c r="F52" s="277">
        <v>621</v>
      </c>
      <c r="G52" s="277"/>
      <c r="H52" s="277"/>
      <c r="I52" s="278">
        <f t="shared" ref="I52:I54" si="14">F52-G52-H52</f>
        <v>621</v>
      </c>
      <c r="J52" s="279" t="s">
        <v>156</v>
      </c>
      <c r="K52" s="279">
        <v>1</v>
      </c>
      <c r="L52" s="279">
        <v>1</v>
      </c>
      <c r="M52" s="279">
        <v>1</v>
      </c>
      <c r="N52" s="279">
        <v>1</v>
      </c>
      <c r="O52" s="279">
        <v>1</v>
      </c>
      <c r="P52" s="279">
        <v>1</v>
      </c>
      <c r="Q52" s="279">
        <v>1</v>
      </c>
      <c r="R52" s="279">
        <v>1</v>
      </c>
      <c r="S52" s="280">
        <v>1</v>
      </c>
      <c r="T52" s="63"/>
      <c r="U52" s="94"/>
      <c r="V52" s="90">
        <f>93.5+683.1</f>
        <v>776.6</v>
      </c>
      <c r="W52" s="91"/>
      <c r="X52" s="92"/>
    </row>
    <row r="53" spans="1:31" s="2" customFormat="1">
      <c r="B53" s="87">
        <f t="shared" ref="B53:B54" si="15">B52+1</f>
        <v>2</v>
      </c>
      <c r="C53" s="295">
        <v>45836</v>
      </c>
      <c r="D53" s="323">
        <v>71084</v>
      </c>
      <c r="E53" s="101" t="s">
        <v>299</v>
      </c>
      <c r="F53" s="62">
        <f>1261-85</f>
        <v>1176</v>
      </c>
      <c r="G53" s="62">
        <v>39.700000000000003</v>
      </c>
      <c r="H53" s="62"/>
      <c r="I53" s="89">
        <f t="shared" si="14"/>
        <v>1136.3</v>
      </c>
      <c r="J53" s="63" t="s">
        <v>156</v>
      </c>
      <c r="K53" s="63">
        <v>1</v>
      </c>
      <c r="L53" s="63">
        <v>1</v>
      </c>
      <c r="M53" s="63">
        <v>1</v>
      </c>
      <c r="N53" s="63">
        <v>1</v>
      </c>
      <c r="O53" s="63">
        <v>1</v>
      </c>
      <c r="P53" s="63">
        <v>1</v>
      </c>
      <c r="Q53" s="63">
        <v>1</v>
      </c>
      <c r="R53" s="63">
        <v>1</v>
      </c>
      <c r="S53" s="296">
        <v>1</v>
      </c>
      <c r="T53" s="63"/>
      <c r="U53" s="94"/>
      <c r="V53" s="90">
        <v>1387.1</v>
      </c>
      <c r="W53" s="91"/>
      <c r="X53" s="92"/>
    </row>
    <row r="54" spans="1:31" s="2" customFormat="1">
      <c r="B54" s="87">
        <f t="shared" si="15"/>
        <v>3</v>
      </c>
      <c r="C54" s="282">
        <v>45836</v>
      </c>
      <c r="D54" s="368">
        <v>71069</v>
      </c>
      <c r="E54" s="319" t="s">
        <v>471</v>
      </c>
      <c r="F54" s="284">
        <f>861-85</f>
        <v>776</v>
      </c>
      <c r="G54" s="284">
        <v>39.700000000000003</v>
      </c>
      <c r="H54" s="284"/>
      <c r="I54" s="300">
        <f t="shared" si="14"/>
        <v>736.3</v>
      </c>
      <c r="J54" s="286" t="s">
        <v>150</v>
      </c>
      <c r="K54" s="286">
        <v>1</v>
      </c>
      <c r="L54" s="286">
        <v>1</v>
      </c>
      <c r="M54" s="286">
        <v>1</v>
      </c>
      <c r="N54" s="286">
        <v>1</v>
      </c>
      <c r="O54" s="286">
        <v>1</v>
      </c>
      <c r="P54" s="332">
        <v>0</v>
      </c>
      <c r="Q54" s="286">
        <v>1</v>
      </c>
      <c r="R54" s="286">
        <v>1</v>
      </c>
      <c r="S54" s="370">
        <v>0</v>
      </c>
      <c r="T54" s="63"/>
      <c r="U54" s="94"/>
      <c r="V54" s="90"/>
      <c r="W54" s="367">
        <v>950</v>
      </c>
      <c r="X54" s="92"/>
    </row>
    <row r="55" spans="1:31" s="2" customFormat="1">
      <c r="B55" s="11"/>
      <c r="C55" s="36"/>
      <c r="D55" s="10"/>
      <c r="E55" s="10"/>
      <c r="F55" s="97">
        <f>SUM(F52:F54)</f>
        <v>2573</v>
      </c>
      <c r="G55" s="97">
        <f>SUM(G52:G54)</f>
        <v>79.400000000000006</v>
      </c>
      <c r="H55" s="97">
        <f>SUM(H52:H54)</f>
        <v>0</v>
      </c>
      <c r="I55" s="98">
        <f>SUM(I52:I54)</f>
        <v>2493.6</v>
      </c>
      <c r="J55" s="63"/>
      <c r="K55" s="21"/>
      <c r="L55" s="21"/>
      <c r="M55" s="21"/>
      <c r="N55" s="21"/>
      <c r="O55" s="21"/>
      <c r="P55" s="21"/>
      <c r="Q55" s="21"/>
      <c r="R55" s="21"/>
      <c r="S55" s="21"/>
      <c r="T55" s="63"/>
      <c r="U55" s="94"/>
      <c r="V55" s="90"/>
      <c r="W55" s="91"/>
      <c r="X55" s="92"/>
    </row>
    <row r="56" spans="1:31" s="2" customFormat="1">
      <c r="B56" s="11"/>
      <c r="C56" s="36"/>
      <c r="D56" s="10"/>
      <c r="E56" s="10"/>
      <c r="F56" s="88"/>
      <c r="G56" s="88"/>
      <c r="H56" s="88"/>
      <c r="I56" s="99"/>
      <c r="J56" s="63"/>
      <c r="K56" s="21"/>
      <c r="L56" s="21"/>
      <c r="M56" s="21"/>
      <c r="N56" s="21"/>
      <c r="O56" s="21"/>
      <c r="P56" s="21"/>
      <c r="Q56" s="21"/>
      <c r="R56" s="21"/>
      <c r="S56" s="21"/>
      <c r="T56" s="63"/>
      <c r="U56" s="94"/>
      <c r="V56" s="90"/>
      <c r="W56" s="91"/>
      <c r="X56" s="92"/>
    </row>
    <row r="57" spans="1:31" s="2" customFormat="1">
      <c r="B57" s="100" t="s">
        <v>67</v>
      </c>
      <c r="C57" s="36"/>
      <c r="D57" s="10"/>
      <c r="E57" s="10"/>
      <c r="F57" s="88"/>
      <c r="G57" s="62"/>
      <c r="H57" s="88"/>
      <c r="I57" s="99"/>
      <c r="J57" s="63"/>
      <c r="T57" s="63"/>
      <c r="U57" s="94"/>
      <c r="V57" s="90"/>
      <c r="W57" s="91"/>
      <c r="X57" s="92"/>
    </row>
    <row r="58" spans="1:31" s="380" customFormat="1">
      <c r="A58" s="371" t="s">
        <v>2797</v>
      </c>
      <c r="B58" s="372">
        <v>1</v>
      </c>
      <c r="C58" s="390">
        <v>45727</v>
      </c>
      <c r="D58" s="263">
        <v>54025</v>
      </c>
      <c r="E58" s="391" t="s">
        <v>3382</v>
      </c>
      <c r="F58" s="375">
        <v>681</v>
      </c>
      <c r="G58" s="375">
        <f>51.5</f>
        <v>51.5</v>
      </c>
      <c r="H58" s="375"/>
      <c r="I58" s="376">
        <f t="shared" ref="I58:I63" si="16">F58-G58-H58</f>
        <v>629.5</v>
      </c>
      <c r="J58" s="314" t="s">
        <v>156</v>
      </c>
      <c r="K58" s="314">
        <v>1</v>
      </c>
      <c r="L58" s="314">
        <v>1</v>
      </c>
      <c r="M58" s="314">
        <v>1</v>
      </c>
      <c r="N58" s="314">
        <v>1</v>
      </c>
      <c r="O58" s="314">
        <v>1</v>
      </c>
      <c r="P58" s="314">
        <v>1</v>
      </c>
      <c r="Q58" s="314">
        <v>1</v>
      </c>
      <c r="R58" s="314">
        <v>1</v>
      </c>
      <c r="S58" s="366">
        <v>1</v>
      </c>
      <c r="T58" s="325"/>
      <c r="U58" s="42" t="s">
        <v>3383</v>
      </c>
      <c r="V58" s="377"/>
      <c r="W58" s="392"/>
      <c r="X58" s="393"/>
    </row>
    <row r="59" spans="1:31" s="2" customFormat="1">
      <c r="A59" s="181" t="s">
        <v>3384</v>
      </c>
      <c r="B59" s="87">
        <f>B58+1</f>
        <v>2</v>
      </c>
      <c r="C59" s="282">
        <v>45810</v>
      </c>
      <c r="D59" s="330" t="s">
        <v>3385</v>
      </c>
      <c r="E59" s="283" t="s">
        <v>1143</v>
      </c>
      <c r="F59" s="284">
        <v>16393</v>
      </c>
      <c r="G59" s="284">
        <f>39.7+(1402.45+55.78-4.79-83.17)+1500</f>
        <v>2909.9700000000003</v>
      </c>
      <c r="H59" s="284"/>
      <c r="I59" s="285">
        <f t="shared" si="16"/>
        <v>13483.029999999999</v>
      </c>
      <c r="J59" s="286" t="s">
        <v>156</v>
      </c>
      <c r="K59" s="286">
        <v>1</v>
      </c>
      <c r="L59" s="286">
        <v>1</v>
      </c>
      <c r="M59" s="286">
        <v>1</v>
      </c>
      <c r="N59" s="286">
        <v>1</v>
      </c>
      <c r="O59" s="286">
        <v>1</v>
      </c>
      <c r="P59" s="286">
        <v>1</v>
      </c>
      <c r="Q59" s="286">
        <v>1</v>
      </c>
      <c r="R59" s="286">
        <v>1</v>
      </c>
      <c r="S59" s="287">
        <v>1</v>
      </c>
      <c r="T59" s="63"/>
      <c r="U59" s="94" t="s">
        <v>3386</v>
      </c>
      <c r="V59" s="90"/>
      <c r="W59" s="136"/>
      <c r="X59" s="137"/>
      <c r="Y59" s="181"/>
      <c r="Z59" s="181"/>
      <c r="AA59" s="181"/>
      <c r="AB59" s="181"/>
      <c r="AC59" s="181"/>
      <c r="AD59" s="181"/>
      <c r="AE59" s="181"/>
    </row>
    <row r="60" spans="1:31" s="2" customFormat="1">
      <c r="A60" s="261" t="s">
        <v>3387</v>
      </c>
      <c r="B60" s="87">
        <f t="shared" ref="B60:B61" si="17">B59+1</f>
        <v>3</v>
      </c>
      <c r="C60" s="295">
        <v>45813</v>
      </c>
      <c r="D60" s="346">
        <v>70550</v>
      </c>
      <c r="E60" s="101" t="s">
        <v>1105</v>
      </c>
      <c r="F60" s="62">
        <v>1495</v>
      </c>
      <c r="G60" s="62">
        <v>39.700000000000003</v>
      </c>
      <c r="H60" s="62"/>
      <c r="I60" s="324">
        <f t="shared" si="16"/>
        <v>1455.3</v>
      </c>
      <c r="J60" s="63" t="s">
        <v>374</v>
      </c>
      <c r="K60" s="63">
        <v>1</v>
      </c>
      <c r="L60" s="63">
        <v>1</v>
      </c>
      <c r="M60" s="63">
        <v>1</v>
      </c>
      <c r="N60" s="63">
        <v>1</v>
      </c>
      <c r="O60" s="63">
        <v>1</v>
      </c>
      <c r="P60" s="63">
        <v>1</v>
      </c>
      <c r="Q60" s="63">
        <v>1</v>
      </c>
      <c r="R60" s="325">
        <v>0</v>
      </c>
      <c r="S60" s="296">
        <v>1</v>
      </c>
      <c r="T60" s="63"/>
      <c r="U60" s="94" t="s">
        <v>3388</v>
      </c>
      <c r="V60" s="90">
        <f>1644.5</f>
        <v>1644.5</v>
      </c>
      <c r="W60" s="91"/>
      <c r="X60" s="92"/>
      <c r="Y60" s="181"/>
      <c r="Z60" s="181"/>
      <c r="AA60" s="181"/>
      <c r="AB60" s="181"/>
      <c r="AC60" s="181"/>
      <c r="AD60" s="181"/>
      <c r="AE60" s="181"/>
    </row>
    <row r="61" spans="1:31" s="2" customFormat="1">
      <c r="A61" s="261" t="s">
        <v>3387</v>
      </c>
      <c r="B61" s="87">
        <f t="shared" si="17"/>
        <v>4</v>
      </c>
      <c r="C61" s="262">
        <v>45824</v>
      </c>
      <c r="D61" s="357">
        <v>70790</v>
      </c>
      <c r="E61" s="264" t="s">
        <v>216</v>
      </c>
      <c r="F61" s="265">
        <v>1025</v>
      </c>
      <c r="G61" s="265">
        <v>39.700000000000003</v>
      </c>
      <c r="H61" s="265"/>
      <c r="I61" s="272">
        <f t="shared" si="16"/>
        <v>985.3</v>
      </c>
      <c r="J61" s="267" t="s">
        <v>374</v>
      </c>
      <c r="K61" s="267">
        <v>1</v>
      </c>
      <c r="L61" s="267">
        <v>1</v>
      </c>
      <c r="M61" s="267">
        <v>1</v>
      </c>
      <c r="N61" s="267">
        <v>1</v>
      </c>
      <c r="O61" s="267">
        <v>1</v>
      </c>
      <c r="P61" s="267">
        <v>1</v>
      </c>
      <c r="Q61" s="267">
        <v>1</v>
      </c>
      <c r="R61" s="267">
        <v>1</v>
      </c>
      <c r="S61" s="269">
        <v>1</v>
      </c>
      <c r="T61" s="63"/>
      <c r="U61" s="94"/>
      <c r="V61" s="90">
        <f>1127.5</f>
        <v>1127.5</v>
      </c>
      <c r="W61" s="91"/>
      <c r="X61" s="92"/>
      <c r="Y61" s="181"/>
      <c r="Z61" s="181"/>
      <c r="AA61" s="181"/>
      <c r="AB61" s="181"/>
      <c r="AC61" s="181"/>
      <c r="AD61" s="181"/>
      <c r="AE61" s="181"/>
    </row>
    <row r="62" spans="1:31" s="2" customFormat="1">
      <c r="A62" s="371" t="s">
        <v>2694</v>
      </c>
      <c r="B62" s="372">
        <f>B61+1</f>
        <v>5</v>
      </c>
      <c r="C62" s="390">
        <v>45754</v>
      </c>
      <c r="D62" s="263">
        <v>54655</v>
      </c>
      <c r="E62" s="391" t="s">
        <v>811</v>
      </c>
      <c r="F62" s="375">
        <v>2214</v>
      </c>
      <c r="G62" s="375">
        <v>39.700000000000003</v>
      </c>
      <c r="H62" s="375"/>
      <c r="I62" s="376">
        <f t="shared" si="16"/>
        <v>2174.3000000000002</v>
      </c>
      <c r="J62" s="314"/>
      <c r="K62" s="314">
        <v>1</v>
      </c>
      <c r="L62" s="314">
        <v>1</v>
      </c>
      <c r="M62" s="314"/>
      <c r="N62" s="314">
        <v>1</v>
      </c>
      <c r="O62" s="314">
        <v>1</v>
      </c>
      <c r="P62" s="314">
        <v>1</v>
      </c>
      <c r="Q62" s="314">
        <v>1</v>
      </c>
      <c r="R62" s="314">
        <v>1</v>
      </c>
      <c r="S62" s="366">
        <v>1</v>
      </c>
      <c r="T62" s="325"/>
      <c r="U62" s="42" t="s">
        <v>3389</v>
      </c>
      <c r="V62" s="377"/>
      <c r="W62" s="392"/>
      <c r="X62" s="393"/>
      <c r="Y62" s="380"/>
      <c r="Z62" s="380"/>
      <c r="AA62" s="380"/>
      <c r="AB62" s="380"/>
      <c r="AC62" s="380"/>
      <c r="AD62" s="380"/>
      <c r="AE62" s="380"/>
    </row>
    <row r="63" spans="1:31" s="2" customFormat="1">
      <c r="A63" s="261" t="s">
        <v>3390</v>
      </c>
      <c r="B63" s="87">
        <f>B62+1</f>
        <v>6</v>
      </c>
      <c r="C63" s="262">
        <v>45791</v>
      </c>
      <c r="D63" s="357" t="s">
        <v>3391</v>
      </c>
      <c r="E63" s="271" t="s">
        <v>1030</v>
      </c>
      <c r="F63" s="265">
        <f>3100.63</f>
        <v>3100.63</v>
      </c>
      <c r="G63" s="265">
        <f>39.7+1045+(255.71-255.71+634.15+208.75+19.51+153.6)+200</f>
        <v>2300.71</v>
      </c>
      <c r="H63" s="265"/>
      <c r="I63" s="272">
        <f t="shared" si="16"/>
        <v>799.92000000000007</v>
      </c>
      <c r="J63" s="267" t="s">
        <v>156</v>
      </c>
      <c r="K63" s="267">
        <v>1</v>
      </c>
      <c r="L63" s="267">
        <v>1</v>
      </c>
      <c r="M63" s="267">
        <v>1</v>
      </c>
      <c r="N63" s="267">
        <v>1</v>
      </c>
      <c r="O63" s="267">
        <v>1</v>
      </c>
      <c r="P63" s="267">
        <v>0</v>
      </c>
      <c r="Q63" s="267">
        <v>1</v>
      </c>
      <c r="R63" s="267">
        <v>1</v>
      </c>
      <c r="S63" s="269">
        <v>1</v>
      </c>
      <c r="T63" s="63"/>
      <c r="U63" s="94" t="s">
        <v>3392</v>
      </c>
      <c r="V63" s="90"/>
      <c r="W63" s="136"/>
      <c r="X63" s="137"/>
      <c r="Y63" s="181"/>
      <c r="Z63" s="181"/>
      <c r="AA63" s="181"/>
      <c r="AB63" s="181"/>
      <c r="AC63" s="181"/>
      <c r="AD63" s="181"/>
      <c r="AE63" s="181"/>
    </row>
    <row r="64" spans="1:31" s="2" customFormat="1">
      <c r="B64" s="11"/>
      <c r="C64" s="36"/>
      <c r="D64" s="10"/>
      <c r="E64" s="10"/>
      <c r="F64" s="97">
        <f>SUM(F58:F63)</f>
        <v>24908.63</v>
      </c>
      <c r="G64" s="97">
        <f>SUM(G58:G63)</f>
        <v>5381.28</v>
      </c>
      <c r="H64" s="97">
        <f>SUM(H58:H63)</f>
        <v>0</v>
      </c>
      <c r="I64" s="98">
        <f>SUM(I58:I63)</f>
        <v>19527.349999999999</v>
      </c>
      <c r="J64" s="63"/>
      <c r="K64" s="21"/>
      <c r="L64" s="21"/>
      <c r="M64" s="21"/>
      <c r="N64" s="21"/>
      <c r="O64" s="21"/>
      <c r="P64" s="21"/>
      <c r="Q64" s="21"/>
      <c r="R64" s="21"/>
      <c r="S64" s="21"/>
      <c r="T64" s="63"/>
      <c r="U64" s="94"/>
      <c r="V64" s="90"/>
      <c r="W64" s="91"/>
      <c r="X64" s="92"/>
    </row>
    <row r="65" spans="1:24" s="2" customFormat="1">
      <c r="B65" s="11"/>
      <c r="C65" s="36"/>
      <c r="D65" s="10"/>
      <c r="E65" s="10"/>
      <c r="F65" s="88"/>
      <c r="G65" s="88"/>
      <c r="H65" s="88"/>
      <c r="I65" s="99"/>
      <c r="J65" s="63"/>
      <c r="K65" s="21"/>
      <c r="L65" s="21"/>
      <c r="M65" s="21"/>
      <c r="N65" s="21"/>
      <c r="O65" s="21"/>
      <c r="P65" s="21"/>
      <c r="Q65" s="21"/>
      <c r="R65" s="21"/>
      <c r="S65" s="21"/>
      <c r="T65" s="63"/>
      <c r="U65" s="94"/>
      <c r="V65" s="90"/>
      <c r="W65" s="91"/>
      <c r="X65" s="92"/>
    </row>
    <row r="66" spans="1:24" s="128" customFormat="1">
      <c r="B66" s="121" t="s">
        <v>68</v>
      </c>
      <c r="C66" s="122"/>
      <c r="D66" s="123"/>
      <c r="E66" s="123"/>
      <c r="F66" s="124"/>
      <c r="G66" s="125"/>
      <c r="H66" s="124"/>
      <c r="I66" s="126"/>
      <c r="J66" s="127"/>
      <c r="T66" s="127"/>
      <c r="U66" s="135"/>
      <c r="V66" s="129"/>
      <c r="W66" s="130"/>
      <c r="X66" s="131"/>
    </row>
    <row r="67" spans="1:24" s="128" customFormat="1">
      <c r="A67" s="128" t="s">
        <v>2588</v>
      </c>
      <c r="B67" s="333">
        <v>1</v>
      </c>
      <c r="C67" s="334">
        <v>45833</v>
      </c>
      <c r="D67" s="327">
        <v>71010</v>
      </c>
      <c r="E67" s="394" t="s">
        <v>998</v>
      </c>
      <c r="F67" s="336">
        <v>3114</v>
      </c>
      <c r="G67" s="336">
        <f>39.7+(145.94)</f>
        <v>185.64</v>
      </c>
      <c r="H67" s="336"/>
      <c r="I67" s="337">
        <f>F67-G67-H67</f>
        <v>2928.36</v>
      </c>
      <c r="J67" s="338" t="s">
        <v>156</v>
      </c>
      <c r="K67" s="338">
        <v>1</v>
      </c>
      <c r="L67" s="338">
        <v>1</v>
      </c>
      <c r="M67" s="338">
        <v>1</v>
      </c>
      <c r="N67" s="338">
        <v>1</v>
      </c>
      <c r="O67" s="338">
        <v>1</v>
      </c>
      <c r="P67" s="338">
        <v>1</v>
      </c>
      <c r="Q67" s="338">
        <v>1</v>
      </c>
      <c r="R67" s="338">
        <v>1</v>
      </c>
      <c r="S67" s="339">
        <v>1</v>
      </c>
      <c r="T67" s="127"/>
      <c r="U67" s="135" t="s">
        <v>3393</v>
      </c>
      <c r="V67" s="129">
        <v>2600</v>
      </c>
      <c r="W67" s="130"/>
      <c r="X67" s="131"/>
    </row>
    <row r="68" spans="1:24" s="128" customFormat="1">
      <c r="A68" s="128" t="s">
        <v>3394</v>
      </c>
      <c r="B68" s="333">
        <f>B76+1</f>
        <v>2</v>
      </c>
      <c r="C68" s="350">
        <v>45835</v>
      </c>
      <c r="D68" s="357" t="s">
        <v>3395</v>
      </c>
      <c r="E68" s="358" t="s">
        <v>317</v>
      </c>
      <c r="F68" s="352">
        <v>6814</v>
      </c>
      <c r="G68" s="352">
        <f>39.7+(902.13)</f>
        <v>941.83</v>
      </c>
      <c r="H68" s="352"/>
      <c r="I68" s="353">
        <f>F68-G68-H68</f>
        <v>5872.17</v>
      </c>
      <c r="J68" s="354" t="s">
        <v>156</v>
      </c>
      <c r="K68" s="354">
        <v>1</v>
      </c>
      <c r="L68" s="354">
        <v>1</v>
      </c>
      <c r="M68" s="354">
        <v>1</v>
      </c>
      <c r="N68" s="354">
        <v>1</v>
      </c>
      <c r="O68" s="354">
        <v>1</v>
      </c>
      <c r="P68" s="354">
        <v>1</v>
      </c>
      <c r="Q68" s="354">
        <v>1</v>
      </c>
      <c r="R68" s="354">
        <v>1</v>
      </c>
      <c r="S68" s="355">
        <v>1</v>
      </c>
      <c r="T68" s="127"/>
      <c r="U68" s="135" t="s">
        <v>3396</v>
      </c>
      <c r="V68" s="129">
        <f>749.54+5723.76</f>
        <v>6473.3</v>
      </c>
      <c r="W68" s="340"/>
      <c r="X68" s="341"/>
    </row>
    <row r="69" spans="1:24" s="128" customFormat="1">
      <c r="B69" s="132"/>
      <c r="C69" s="122"/>
      <c r="D69" s="123"/>
      <c r="E69" s="123"/>
      <c r="F69" s="134">
        <f>SUM(F67:F68)</f>
        <v>9928</v>
      </c>
      <c r="G69" s="134">
        <f>SUM(G67:G68)</f>
        <v>1127.47</v>
      </c>
      <c r="H69" s="134">
        <f>SUM(H67:H68)</f>
        <v>0</v>
      </c>
      <c r="I69" s="134">
        <f>SUM(I67:I68)</f>
        <v>8800.5300000000007</v>
      </c>
      <c r="J69" s="127"/>
      <c r="K69" s="64"/>
      <c r="L69" s="64"/>
      <c r="M69" s="64"/>
      <c r="N69" s="64"/>
      <c r="O69" s="64"/>
      <c r="P69" s="64"/>
      <c r="Q69" s="64"/>
      <c r="R69" s="64"/>
      <c r="S69" s="64"/>
      <c r="T69" s="127"/>
      <c r="U69" s="135"/>
      <c r="V69" s="129"/>
      <c r="W69" s="130"/>
      <c r="X69" s="131"/>
    </row>
    <row r="70" spans="1:24" s="128" customFormat="1">
      <c r="B70" s="132"/>
      <c r="C70" s="122"/>
      <c r="D70" s="123"/>
      <c r="E70" s="123"/>
      <c r="F70" s="124"/>
      <c r="G70" s="124"/>
      <c r="H70" s="124"/>
      <c r="I70" s="126"/>
      <c r="J70" s="127"/>
      <c r="K70" s="64"/>
      <c r="L70" s="64"/>
      <c r="M70" s="64"/>
      <c r="N70" s="64"/>
      <c r="O70" s="64"/>
      <c r="P70" s="64"/>
      <c r="Q70" s="64"/>
      <c r="R70" s="64"/>
      <c r="S70" s="64"/>
      <c r="T70" s="127"/>
      <c r="U70" s="135"/>
      <c r="V70" s="129"/>
      <c r="W70" s="130"/>
      <c r="X70" s="131"/>
    </row>
    <row r="71" spans="1:24" s="128" customFormat="1">
      <c r="B71" s="121" t="s">
        <v>69</v>
      </c>
      <c r="C71" s="122"/>
      <c r="D71" s="123"/>
      <c r="E71" s="123"/>
      <c r="F71" s="124"/>
      <c r="G71" s="125"/>
      <c r="H71" s="124"/>
      <c r="I71" s="126"/>
      <c r="J71" s="127"/>
      <c r="T71" s="127"/>
      <c r="U71" s="135"/>
      <c r="V71" s="129"/>
      <c r="W71" s="130"/>
      <c r="X71" s="131"/>
    </row>
    <row r="72" spans="1:24" s="128" customFormat="1">
      <c r="A72" s="356" t="s">
        <v>3397</v>
      </c>
      <c r="B72" s="333">
        <v>1</v>
      </c>
      <c r="C72" s="350">
        <v>45836</v>
      </c>
      <c r="D72" s="358">
        <v>70970</v>
      </c>
      <c r="E72" s="358" t="s">
        <v>509</v>
      </c>
      <c r="F72" s="352">
        <f>1641-85</f>
        <v>1556</v>
      </c>
      <c r="G72" s="352">
        <v>39.700000000000003</v>
      </c>
      <c r="H72" s="352"/>
      <c r="I72" s="353">
        <f>F72-G72-H72</f>
        <v>1516.3</v>
      </c>
      <c r="J72" s="354" t="s">
        <v>156</v>
      </c>
      <c r="K72" s="354">
        <v>1</v>
      </c>
      <c r="L72" s="354">
        <v>1</v>
      </c>
      <c r="M72" s="354">
        <v>1</v>
      </c>
      <c r="N72" s="354">
        <v>1</v>
      </c>
      <c r="O72" s="354">
        <v>1</v>
      </c>
      <c r="P72" s="354">
        <v>1</v>
      </c>
      <c r="Q72" s="354">
        <v>1</v>
      </c>
      <c r="R72" s="354">
        <v>1</v>
      </c>
      <c r="S72" s="355">
        <v>1</v>
      </c>
      <c r="T72" s="127"/>
      <c r="U72" s="343" t="s">
        <v>3398</v>
      </c>
      <c r="V72" s="129">
        <v>180.51</v>
      </c>
      <c r="W72" s="340"/>
      <c r="X72" s="341"/>
    </row>
    <row r="73" spans="1:24" s="128" customFormat="1">
      <c r="B73" s="132"/>
      <c r="C73" s="122"/>
      <c r="D73" s="123"/>
      <c r="E73" s="123"/>
      <c r="F73" s="134">
        <f>SUM(F72:F72)</f>
        <v>1556</v>
      </c>
      <c r="G73" s="134">
        <f>SUM(G72:G72)</f>
        <v>39.700000000000003</v>
      </c>
      <c r="H73" s="134">
        <f>SUM(H72:H72)</f>
        <v>0</v>
      </c>
      <c r="I73" s="134">
        <f>SUM(I72:I72)</f>
        <v>1516.3</v>
      </c>
      <c r="J73" s="127"/>
      <c r="K73" s="64"/>
      <c r="L73" s="64"/>
      <c r="M73" s="64"/>
      <c r="N73" s="64"/>
      <c r="O73" s="64"/>
      <c r="P73" s="64"/>
      <c r="Q73" s="64"/>
      <c r="R73" s="64"/>
      <c r="S73" s="64"/>
      <c r="T73" s="127"/>
      <c r="U73" s="135"/>
      <c r="V73" s="129"/>
      <c r="W73" s="130"/>
      <c r="X73" s="131"/>
    </row>
    <row r="74" spans="1:24" s="128" customFormat="1">
      <c r="B74" s="132"/>
      <c r="C74" s="122"/>
      <c r="D74" s="123"/>
      <c r="E74" s="123"/>
      <c r="F74" s="124"/>
      <c r="G74" s="124"/>
      <c r="H74" s="124"/>
      <c r="I74" s="126"/>
      <c r="J74" s="127"/>
      <c r="K74" s="64"/>
      <c r="L74" s="64"/>
      <c r="M74" s="64"/>
      <c r="N74" s="64"/>
      <c r="O74" s="64"/>
      <c r="P74" s="64"/>
      <c r="Q74" s="64"/>
      <c r="R74" s="64"/>
      <c r="S74" s="64"/>
      <c r="T74" s="127"/>
      <c r="U74" s="135"/>
      <c r="V74" s="129"/>
      <c r="W74" s="130"/>
      <c r="X74" s="131"/>
    </row>
    <row r="75" spans="1:24" s="128" customFormat="1">
      <c r="B75" s="121" t="s">
        <v>70</v>
      </c>
      <c r="C75" s="122"/>
      <c r="D75" s="123"/>
      <c r="F75" s="124"/>
      <c r="G75" s="124"/>
      <c r="H75" s="124"/>
      <c r="I75" s="126"/>
      <c r="J75" s="127"/>
      <c r="K75" s="64"/>
      <c r="L75" s="64"/>
      <c r="M75" s="64"/>
      <c r="N75" s="64"/>
      <c r="O75" s="64"/>
      <c r="P75" s="64"/>
      <c r="Q75" s="64"/>
      <c r="R75" s="64"/>
      <c r="S75" s="64"/>
      <c r="T75" s="127"/>
      <c r="U75" s="135"/>
      <c r="V75" s="129"/>
      <c r="W75" s="130"/>
      <c r="X75" s="131"/>
    </row>
    <row r="76" spans="1:24" s="128" customFormat="1">
      <c r="A76" s="128" t="s">
        <v>3399</v>
      </c>
      <c r="B76" s="333">
        <v>1</v>
      </c>
      <c r="C76" s="334">
        <v>45835</v>
      </c>
      <c r="D76" s="327">
        <v>71059</v>
      </c>
      <c r="E76" s="335" t="s">
        <v>1103</v>
      </c>
      <c r="F76" s="336">
        <v>481</v>
      </c>
      <c r="G76" s="336">
        <f>(78.43)+200</f>
        <v>278.43</v>
      </c>
      <c r="H76" s="336"/>
      <c r="I76" s="337">
        <f>F76-G76-H76</f>
        <v>202.57</v>
      </c>
      <c r="J76" s="338" t="s">
        <v>156</v>
      </c>
      <c r="K76" s="338">
        <v>1</v>
      </c>
      <c r="L76" s="338">
        <v>1</v>
      </c>
      <c r="M76" s="338">
        <v>1</v>
      </c>
      <c r="N76" s="338">
        <v>1</v>
      </c>
      <c r="O76" s="338">
        <v>1</v>
      </c>
      <c r="P76" s="338">
        <v>1</v>
      </c>
      <c r="Q76" s="338">
        <v>1</v>
      </c>
      <c r="R76" s="338">
        <v>1</v>
      </c>
      <c r="S76" s="339">
        <v>1</v>
      </c>
      <c r="T76" s="127"/>
      <c r="U76" s="135" t="s">
        <v>3400</v>
      </c>
      <c r="V76" s="129">
        <v>52.91</v>
      </c>
      <c r="W76" s="340"/>
      <c r="X76" s="341"/>
    </row>
    <row r="77" spans="1:24" s="128" customFormat="1">
      <c r="A77" s="356">
        <v>0.1</v>
      </c>
      <c r="B77" s="333">
        <f>B76+1</f>
        <v>2</v>
      </c>
      <c r="C77" s="395">
        <v>45835</v>
      </c>
      <c r="D77" s="330" t="s">
        <v>3401</v>
      </c>
      <c r="E77" s="396" t="s">
        <v>2379</v>
      </c>
      <c r="F77" s="397">
        <v>12814</v>
      </c>
      <c r="G77" s="397">
        <f>39.7+(186.99)+(199.31+8.32)</f>
        <v>434.32</v>
      </c>
      <c r="H77" s="397"/>
      <c r="I77" s="398">
        <f>F77-G77-H77</f>
        <v>12379.68</v>
      </c>
      <c r="J77" s="399" t="s">
        <v>156</v>
      </c>
      <c r="K77" s="399">
        <v>1</v>
      </c>
      <c r="L77" s="399"/>
      <c r="M77" s="399">
        <v>1</v>
      </c>
      <c r="N77" s="399">
        <v>1</v>
      </c>
      <c r="O77" s="399">
        <v>1</v>
      </c>
      <c r="P77" s="399">
        <v>1</v>
      </c>
      <c r="Q77" s="399"/>
      <c r="R77" s="399"/>
      <c r="S77" s="400"/>
      <c r="T77" s="127"/>
      <c r="U77" s="135" t="s">
        <v>3402</v>
      </c>
      <c r="V77" s="129">
        <f>1409.54</f>
        <v>1409.54</v>
      </c>
      <c r="W77" s="340"/>
      <c r="X77" s="341"/>
    </row>
    <row r="78" spans="1:24" s="128" customFormat="1">
      <c r="B78" s="132"/>
      <c r="C78" s="122"/>
      <c r="D78" s="123"/>
      <c r="E78" s="123"/>
      <c r="F78" s="134">
        <f>SUM(F76:F77)</f>
        <v>13295</v>
      </c>
      <c r="G78" s="134">
        <f>SUM(G76:G77)</f>
        <v>712.75</v>
      </c>
      <c r="H78" s="134">
        <f>SUM(H76:H77)</f>
        <v>0</v>
      </c>
      <c r="I78" s="134">
        <f>SUM(I76:I77)</f>
        <v>12582.25</v>
      </c>
      <c r="J78" s="127"/>
      <c r="K78" s="64"/>
      <c r="L78" s="64"/>
      <c r="M78" s="64"/>
      <c r="N78" s="64"/>
      <c r="O78" s="64"/>
      <c r="P78" s="64"/>
      <c r="Q78" s="64"/>
      <c r="R78" s="64"/>
      <c r="S78" s="64"/>
      <c r="T78" s="127"/>
      <c r="U78" s="135"/>
      <c r="V78" s="129"/>
      <c r="W78" s="130"/>
      <c r="X78" s="131"/>
    </row>
    <row r="79" spans="1:24" s="2" customFormat="1">
      <c r="B79" s="11"/>
      <c r="C79" s="36"/>
      <c r="D79" s="10"/>
      <c r="E79" s="10"/>
      <c r="F79" s="88"/>
      <c r="G79" s="88"/>
      <c r="H79" s="88"/>
      <c r="I79" s="99"/>
      <c r="J79" s="10"/>
      <c r="K79" s="63"/>
      <c r="L79" s="63"/>
      <c r="M79" s="63"/>
      <c r="N79" s="63"/>
      <c r="O79" s="63"/>
      <c r="P79" s="63"/>
      <c r="Q79" s="63"/>
      <c r="R79" s="63"/>
      <c r="S79" s="63"/>
      <c r="T79" s="63"/>
      <c r="U79" s="94"/>
      <c r="V79" s="90"/>
      <c r="W79" s="91"/>
      <c r="X79" s="92"/>
    </row>
    <row r="80" spans="1:24" s="181" customFormat="1">
      <c r="B80" s="100" t="s">
        <v>152</v>
      </c>
      <c r="C80" s="299"/>
      <c r="D80" s="10"/>
      <c r="E80" s="10"/>
      <c r="F80" s="88"/>
      <c r="G80" s="62"/>
      <c r="H80" s="88"/>
      <c r="I80" s="99"/>
      <c r="J80" s="63"/>
      <c r="T80" s="63"/>
      <c r="U80" s="10"/>
      <c r="V80" s="90"/>
      <c r="W80" s="91"/>
      <c r="X80" s="92"/>
    </row>
    <row r="81" spans="1:31" s="181" customFormat="1">
      <c r="A81" s="261">
        <v>0.1</v>
      </c>
      <c r="B81" s="87">
        <v>1</v>
      </c>
      <c r="C81" s="262">
        <v>45791</v>
      </c>
      <c r="D81" s="357">
        <v>70097</v>
      </c>
      <c r="E81" s="264" t="s">
        <v>296</v>
      </c>
      <c r="F81" s="265">
        <v>1861</v>
      </c>
      <c r="G81" s="265">
        <f>39.7+748+200</f>
        <v>987.7</v>
      </c>
      <c r="H81" s="265"/>
      <c r="I81" s="266">
        <f t="shared" ref="I81:I86" si="18">F81-G81-H81</f>
        <v>873.3</v>
      </c>
      <c r="J81" s="267" t="s">
        <v>156</v>
      </c>
      <c r="K81" s="267">
        <v>1</v>
      </c>
      <c r="L81" s="267"/>
      <c r="M81" s="267">
        <v>1</v>
      </c>
      <c r="N81" s="267">
        <v>1</v>
      </c>
      <c r="O81" s="267">
        <v>1</v>
      </c>
      <c r="P81" s="267">
        <v>1</v>
      </c>
      <c r="Q81" s="267">
        <v>0</v>
      </c>
      <c r="R81" s="267">
        <v>0</v>
      </c>
      <c r="S81" s="269">
        <v>0</v>
      </c>
      <c r="T81" s="63"/>
      <c r="U81" s="94" t="s">
        <v>3403</v>
      </c>
      <c r="V81" s="90"/>
      <c r="W81" s="136"/>
      <c r="X81" s="137"/>
    </row>
    <row r="82" spans="1:31" s="181" customFormat="1">
      <c r="A82" s="261">
        <v>0.1</v>
      </c>
      <c r="B82" s="87">
        <f>B81+1</f>
        <v>2</v>
      </c>
      <c r="C82" s="282">
        <v>45810</v>
      </c>
      <c r="D82" s="330">
        <v>70516</v>
      </c>
      <c r="E82" s="283" t="s">
        <v>218</v>
      </c>
      <c r="F82" s="284">
        <v>6214</v>
      </c>
      <c r="G82" s="284">
        <f>39.7+(1375.67)+250</f>
        <v>1665.3700000000001</v>
      </c>
      <c r="H82" s="284"/>
      <c r="I82" s="300">
        <f t="shared" si="18"/>
        <v>4548.63</v>
      </c>
      <c r="J82" s="286" t="s">
        <v>228</v>
      </c>
      <c r="K82" s="286">
        <v>1</v>
      </c>
      <c r="L82" s="286">
        <v>1</v>
      </c>
      <c r="M82" s="286">
        <v>1</v>
      </c>
      <c r="N82" s="286">
        <v>1</v>
      </c>
      <c r="O82" s="286">
        <v>1</v>
      </c>
      <c r="P82" s="286">
        <v>1</v>
      </c>
      <c r="Q82" s="286">
        <v>1</v>
      </c>
      <c r="R82" s="286">
        <v>0</v>
      </c>
      <c r="S82" s="287">
        <v>1</v>
      </c>
      <c r="T82" s="63"/>
      <c r="U82" s="94" t="s">
        <v>3404</v>
      </c>
      <c r="V82" s="90"/>
      <c r="W82" s="136"/>
      <c r="X82" s="137"/>
    </row>
    <row r="83" spans="1:31" s="181" customFormat="1">
      <c r="A83" s="261">
        <v>0.1</v>
      </c>
      <c r="B83" s="87">
        <f t="shared" ref="B83:B86" si="19">B82+1</f>
        <v>3</v>
      </c>
      <c r="C83" s="274">
        <v>45824</v>
      </c>
      <c r="D83" s="320" t="s">
        <v>3405</v>
      </c>
      <c r="E83" s="276" t="s">
        <v>1047</v>
      </c>
      <c r="F83" s="277">
        <v>2215</v>
      </c>
      <c r="G83" s="277">
        <v>39.700000000000003</v>
      </c>
      <c r="H83" s="277"/>
      <c r="I83" s="278">
        <f t="shared" si="18"/>
        <v>2175.3000000000002</v>
      </c>
      <c r="J83" s="279"/>
      <c r="K83" s="279">
        <v>1</v>
      </c>
      <c r="L83" s="279">
        <v>1</v>
      </c>
      <c r="M83" s="279"/>
      <c r="N83" s="279">
        <v>1</v>
      </c>
      <c r="O83" s="279">
        <v>1</v>
      </c>
      <c r="P83" s="279">
        <v>1</v>
      </c>
      <c r="Q83" s="279">
        <v>1</v>
      </c>
      <c r="R83" s="279">
        <v>1</v>
      </c>
      <c r="S83" s="280">
        <v>1</v>
      </c>
      <c r="T83" s="63"/>
      <c r="U83" s="3" t="s">
        <v>3406</v>
      </c>
      <c r="V83" s="90"/>
      <c r="W83" s="136"/>
      <c r="X83" s="137"/>
    </row>
    <row r="84" spans="1:31" s="181" customFormat="1">
      <c r="A84" s="261">
        <v>0.1</v>
      </c>
      <c r="B84" s="87">
        <f t="shared" si="19"/>
        <v>4</v>
      </c>
      <c r="C84" s="295">
        <v>45824</v>
      </c>
      <c r="D84" s="346" t="s">
        <v>3407</v>
      </c>
      <c r="E84" s="10" t="s">
        <v>1047</v>
      </c>
      <c r="F84" s="62">
        <v>10353</v>
      </c>
      <c r="G84" s="62">
        <f>39.7+598+(65.78+33.33)+(162.26+78.76)+1000</f>
        <v>1977.83</v>
      </c>
      <c r="H84" s="62"/>
      <c r="I84" s="89">
        <f t="shared" si="18"/>
        <v>8375.17</v>
      </c>
      <c r="J84" s="63" t="s">
        <v>156</v>
      </c>
      <c r="K84" s="63">
        <v>1</v>
      </c>
      <c r="L84" s="63">
        <v>1</v>
      </c>
      <c r="M84" s="63">
        <v>1</v>
      </c>
      <c r="N84" s="63">
        <v>1</v>
      </c>
      <c r="O84" s="63">
        <v>1</v>
      </c>
      <c r="P84" s="63">
        <v>1</v>
      </c>
      <c r="Q84" s="63">
        <v>1</v>
      </c>
      <c r="R84" s="63">
        <v>1</v>
      </c>
      <c r="S84" s="296">
        <v>1</v>
      </c>
      <c r="T84" s="63"/>
      <c r="U84" s="94" t="s">
        <v>3408</v>
      </c>
      <c r="V84" s="90"/>
      <c r="W84" s="136"/>
      <c r="X84" s="137"/>
    </row>
    <row r="85" spans="1:31" s="181" customFormat="1">
      <c r="A85" s="261" t="s">
        <v>3409</v>
      </c>
      <c r="B85" s="87">
        <f t="shared" si="19"/>
        <v>5</v>
      </c>
      <c r="C85" s="262">
        <v>45828</v>
      </c>
      <c r="D85" s="357" t="s">
        <v>3410</v>
      </c>
      <c r="E85" s="309" t="s">
        <v>3411</v>
      </c>
      <c r="F85" s="265">
        <v>12173.3</v>
      </c>
      <c r="G85" s="265">
        <f>112.8+(18.98)+(121.38)+1500</f>
        <v>1753.16</v>
      </c>
      <c r="H85" s="265"/>
      <c r="I85" s="272">
        <f t="shared" si="18"/>
        <v>10420.14</v>
      </c>
      <c r="J85" s="267" t="s">
        <v>156</v>
      </c>
      <c r="K85" s="267">
        <v>1</v>
      </c>
      <c r="L85" s="267">
        <v>1</v>
      </c>
      <c r="M85" s="267">
        <v>1</v>
      </c>
      <c r="N85" s="267">
        <v>1</v>
      </c>
      <c r="O85" s="267">
        <v>1</v>
      </c>
      <c r="P85" s="267">
        <v>1</v>
      </c>
      <c r="Q85" s="267">
        <v>1</v>
      </c>
      <c r="R85" s="267">
        <v>1</v>
      </c>
      <c r="S85" s="269">
        <v>1</v>
      </c>
      <c r="T85" s="63"/>
      <c r="U85" s="301" t="s">
        <v>3412</v>
      </c>
      <c r="V85" s="90"/>
      <c r="W85" s="136"/>
      <c r="X85" s="137"/>
    </row>
    <row r="86" spans="1:31" s="128" customFormat="1">
      <c r="A86" s="261">
        <v>0.1</v>
      </c>
      <c r="B86" s="87">
        <f t="shared" si="19"/>
        <v>6</v>
      </c>
      <c r="C86" s="262">
        <v>45825</v>
      </c>
      <c r="D86" s="273">
        <v>70817</v>
      </c>
      <c r="E86" s="271" t="s">
        <v>317</v>
      </c>
      <c r="F86" s="265">
        <v>1281</v>
      </c>
      <c r="G86" s="265">
        <f>39.7+(87.93)</f>
        <v>127.63000000000001</v>
      </c>
      <c r="H86" s="265"/>
      <c r="I86" s="272">
        <f t="shared" si="18"/>
        <v>1153.3699999999999</v>
      </c>
      <c r="J86" s="267" t="s">
        <v>156</v>
      </c>
      <c r="K86" s="267">
        <v>1</v>
      </c>
      <c r="L86" s="267">
        <v>1</v>
      </c>
      <c r="M86" s="267">
        <v>1</v>
      </c>
      <c r="N86" s="267">
        <v>1</v>
      </c>
      <c r="O86" s="267">
        <v>1</v>
      </c>
      <c r="P86" s="267">
        <v>1</v>
      </c>
      <c r="Q86" s="267">
        <v>1</v>
      </c>
      <c r="R86" s="267">
        <v>1</v>
      </c>
      <c r="S86" s="269">
        <v>1</v>
      </c>
      <c r="T86" s="63"/>
      <c r="U86" s="94"/>
      <c r="V86" s="90"/>
      <c r="W86" s="136"/>
      <c r="X86" s="137"/>
      <c r="Y86" s="181"/>
      <c r="Z86" s="181"/>
      <c r="AA86" s="181"/>
      <c r="AB86" s="181"/>
      <c r="AC86" s="181"/>
      <c r="AD86" s="181"/>
      <c r="AE86" s="181"/>
    </row>
    <row r="87" spans="1:31" s="181" customFormat="1">
      <c r="A87" s="261"/>
      <c r="B87" s="11"/>
      <c r="C87" s="299"/>
      <c r="D87" s="10"/>
      <c r="E87" s="10"/>
      <c r="F87" s="97">
        <f>SUM(F58:F85)</f>
        <v>132191.56</v>
      </c>
      <c r="G87" s="97">
        <f>SUM(G58:G85)</f>
        <v>20946.16</v>
      </c>
      <c r="H87" s="97">
        <f>SUM(H58:H85)</f>
        <v>0</v>
      </c>
      <c r="I87" s="97">
        <f>SUM(I58:I85)</f>
        <v>111245.40000000001</v>
      </c>
      <c r="J87" s="63"/>
      <c r="K87" s="21"/>
      <c r="L87" s="21"/>
      <c r="M87" s="21"/>
      <c r="N87" s="21"/>
      <c r="O87" s="21"/>
      <c r="P87" s="21"/>
      <c r="Q87" s="21"/>
      <c r="R87" s="21"/>
      <c r="S87" s="21"/>
      <c r="T87" s="63"/>
      <c r="U87" s="10"/>
      <c r="V87" s="90"/>
      <c r="W87" s="91"/>
      <c r="X87" s="92"/>
    </row>
    <row r="88" spans="1:31" s="181" customFormat="1">
      <c r="B88" s="11"/>
      <c r="C88" s="299"/>
      <c r="D88" s="10"/>
      <c r="E88" s="10"/>
      <c r="F88" s="88"/>
      <c r="G88" s="88"/>
      <c r="H88" s="88"/>
      <c r="I88" s="99"/>
      <c r="J88" s="63"/>
      <c r="K88" s="21"/>
      <c r="L88" s="21"/>
      <c r="M88" s="21"/>
      <c r="N88" s="21"/>
      <c r="O88" s="21"/>
      <c r="P88" s="21"/>
      <c r="Q88" s="21"/>
      <c r="R88" s="21"/>
      <c r="S88" s="21"/>
      <c r="T88" s="63"/>
      <c r="U88" s="10"/>
      <c r="V88" s="90"/>
      <c r="W88" s="91"/>
      <c r="X88" s="92"/>
    </row>
    <row r="89" spans="1:31" s="181" customFormat="1">
      <c r="B89" s="100" t="s">
        <v>202</v>
      </c>
      <c r="C89" s="299"/>
      <c r="D89" s="10"/>
      <c r="F89" s="88"/>
      <c r="G89" s="88"/>
      <c r="H89" s="88"/>
      <c r="I89" s="99"/>
      <c r="J89" s="63"/>
      <c r="K89" s="21"/>
      <c r="L89" s="21"/>
      <c r="M89" s="21"/>
      <c r="N89" s="21"/>
      <c r="O89" s="21"/>
      <c r="P89" s="21"/>
      <c r="Q89" s="21"/>
      <c r="R89" s="21"/>
      <c r="S89" s="21"/>
      <c r="T89" s="63"/>
      <c r="U89" s="10"/>
      <c r="V89" s="90"/>
      <c r="W89" s="91"/>
      <c r="X89" s="92"/>
    </row>
    <row r="90" spans="1:31" s="181" customFormat="1">
      <c r="A90" s="261">
        <v>0.1</v>
      </c>
      <c r="B90" s="87">
        <v>1</v>
      </c>
      <c r="C90" s="274">
        <v>45789</v>
      </c>
      <c r="D90" s="320" t="s">
        <v>3413</v>
      </c>
      <c r="E90" s="310" t="s">
        <v>294</v>
      </c>
      <c r="F90" s="277">
        <v>2814</v>
      </c>
      <c r="G90" s="277"/>
      <c r="H90" s="277"/>
      <c r="I90" s="278">
        <f>F90-G90-H90</f>
        <v>2814</v>
      </c>
      <c r="J90" s="279" t="s">
        <v>156</v>
      </c>
      <c r="K90" s="279">
        <v>1</v>
      </c>
      <c r="L90" s="279"/>
      <c r="M90" s="279">
        <v>1</v>
      </c>
      <c r="N90" s="279">
        <v>1</v>
      </c>
      <c r="O90" s="279">
        <v>1</v>
      </c>
      <c r="P90" s="279">
        <v>0</v>
      </c>
      <c r="Q90" s="279"/>
      <c r="R90" s="279"/>
      <c r="S90" s="280"/>
      <c r="T90" s="63"/>
      <c r="U90" s="94" t="s">
        <v>3414</v>
      </c>
      <c r="V90" s="90"/>
      <c r="W90" s="136"/>
      <c r="X90" s="137"/>
    </row>
    <row r="91" spans="1:31" s="181" customFormat="1">
      <c r="A91" s="261">
        <v>0.1</v>
      </c>
      <c r="B91" s="87">
        <f>B90+1</f>
        <v>2</v>
      </c>
      <c r="C91" s="282">
        <v>45789</v>
      </c>
      <c r="D91" s="330">
        <v>70063</v>
      </c>
      <c r="E91" s="311" t="s">
        <v>572</v>
      </c>
      <c r="F91" s="284">
        <v>1134.9000000000001</v>
      </c>
      <c r="G91" s="284">
        <f>200</f>
        <v>200</v>
      </c>
      <c r="H91" s="284"/>
      <c r="I91" s="285">
        <f>F91-G91-H91</f>
        <v>934.90000000000009</v>
      </c>
      <c r="J91" s="286" t="s">
        <v>156</v>
      </c>
      <c r="K91" s="286">
        <v>1</v>
      </c>
      <c r="L91" s="286"/>
      <c r="M91" s="286">
        <v>1</v>
      </c>
      <c r="N91" s="286">
        <v>1</v>
      </c>
      <c r="O91" s="286">
        <v>1</v>
      </c>
      <c r="P91" s="286">
        <v>0</v>
      </c>
      <c r="Q91" s="286"/>
      <c r="R91" s="286"/>
      <c r="S91" s="287"/>
      <c r="T91" s="63"/>
      <c r="U91" s="94" t="s">
        <v>3414</v>
      </c>
      <c r="V91" s="90"/>
      <c r="W91" s="136"/>
      <c r="X91" s="137"/>
    </row>
    <row r="92" spans="1:31" s="181" customFormat="1">
      <c r="B92" s="11"/>
      <c r="C92" s="299"/>
      <c r="D92" s="10"/>
      <c r="E92" s="10"/>
      <c r="F92" s="97">
        <f>SUM(F62:F91)</f>
        <v>250019.02</v>
      </c>
      <c r="G92" s="97">
        <f>SUM(G62:G91)</f>
        <v>39179.08</v>
      </c>
      <c r="H92" s="97">
        <f>SUM(H62:H91)</f>
        <v>0</v>
      </c>
      <c r="I92" s="97">
        <f>SUM(I62:I91)</f>
        <v>210839.94000000003</v>
      </c>
      <c r="J92" s="63"/>
      <c r="K92" s="21"/>
      <c r="L92" s="21"/>
      <c r="M92" s="21"/>
      <c r="N92" s="21"/>
      <c r="O92" s="21"/>
      <c r="P92" s="21"/>
      <c r="Q92" s="21"/>
      <c r="R92" s="21"/>
      <c r="S92" s="21"/>
      <c r="T92" s="63"/>
      <c r="U92" s="10"/>
      <c r="V92" s="90"/>
      <c r="W92" s="91"/>
      <c r="X92" s="92"/>
    </row>
    <row r="93" spans="1:31" s="181" customFormat="1">
      <c r="B93" s="11"/>
      <c r="C93" s="299"/>
      <c r="D93" s="10"/>
      <c r="E93" s="10"/>
      <c r="F93" s="88"/>
      <c r="G93" s="88"/>
      <c r="H93" s="88"/>
      <c r="I93" s="88"/>
      <c r="J93" s="63"/>
      <c r="K93" s="21"/>
      <c r="L93" s="21"/>
      <c r="M93" s="21"/>
      <c r="N93" s="21"/>
      <c r="O93" s="21"/>
      <c r="P93" s="21"/>
      <c r="Q93" s="21"/>
      <c r="R93" s="21"/>
      <c r="S93" s="21"/>
      <c r="T93" s="63"/>
      <c r="U93" s="10"/>
      <c r="V93" s="90"/>
      <c r="W93" s="91"/>
      <c r="X93" s="92"/>
    </row>
    <row r="94" spans="1:31" s="2" customFormat="1">
      <c r="B94" s="100" t="s">
        <v>72</v>
      </c>
      <c r="C94" s="36"/>
      <c r="D94" s="10"/>
      <c r="E94" s="10"/>
      <c r="F94" s="88"/>
      <c r="G94" s="88"/>
      <c r="H94" s="88"/>
      <c r="I94" s="99"/>
      <c r="J94" s="63"/>
      <c r="K94" s="63"/>
      <c r="L94" s="63"/>
      <c r="M94" s="63"/>
      <c r="N94" s="63"/>
      <c r="O94" s="63"/>
      <c r="P94" s="63"/>
      <c r="Q94" s="63"/>
      <c r="R94" s="63"/>
      <c r="S94" s="63"/>
      <c r="T94" s="63"/>
      <c r="U94" s="94"/>
      <c r="V94" s="90"/>
      <c r="W94" s="91"/>
      <c r="X94" s="92"/>
    </row>
    <row r="95" spans="1:31" s="2" customFormat="1">
      <c r="B95" s="87">
        <v>1</v>
      </c>
      <c r="C95" s="274">
        <v>45832</v>
      </c>
      <c r="D95" s="276">
        <v>70953</v>
      </c>
      <c r="E95" s="276" t="s">
        <v>1047</v>
      </c>
      <c r="F95" s="277">
        <v>0</v>
      </c>
      <c r="G95" s="277"/>
      <c r="H95" s="277"/>
      <c r="I95" s="278">
        <f>F95-G95-H95</f>
        <v>0</v>
      </c>
      <c r="J95" s="279" t="s">
        <v>219</v>
      </c>
      <c r="K95" s="279">
        <v>1</v>
      </c>
      <c r="L95" s="279"/>
      <c r="M95" s="279"/>
      <c r="N95" s="279"/>
      <c r="O95" s="279"/>
      <c r="P95" s="279"/>
      <c r="Q95" s="279"/>
      <c r="R95" s="279"/>
      <c r="S95" s="280"/>
      <c r="T95" s="63"/>
      <c r="U95" s="164"/>
      <c r="V95" s="90"/>
      <c r="W95" s="91"/>
      <c r="X95" s="92"/>
    </row>
    <row r="96" spans="1:31" s="2" customFormat="1">
      <c r="B96" s="87">
        <f>B95+1</f>
        <v>2</v>
      </c>
      <c r="C96" s="295">
        <v>45832</v>
      </c>
      <c r="D96" s="10">
        <v>70974</v>
      </c>
      <c r="E96" s="10" t="s">
        <v>1906</v>
      </c>
      <c r="F96" s="62">
        <v>0</v>
      </c>
      <c r="G96" s="62"/>
      <c r="H96" s="62"/>
      <c r="I96" s="89">
        <f t="shared" ref="I96:I105" si="20">F96-G96-H96</f>
        <v>0</v>
      </c>
      <c r="J96" s="63" t="s">
        <v>219</v>
      </c>
      <c r="K96" s="63">
        <v>1</v>
      </c>
      <c r="L96" s="63"/>
      <c r="M96" s="63"/>
      <c r="N96" s="63"/>
      <c r="O96" s="63"/>
      <c r="P96" s="63"/>
      <c r="Q96" s="63">
        <v>1</v>
      </c>
      <c r="R96" s="63">
        <v>1</v>
      </c>
      <c r="S96" s="296">
        <v>1</v>
      </c>
      <c r="T96" s="63"/>
      <c r="U96" s="94"/>
      <c r="V96" s="90"/>
      <c r="W96" s="136"/>
      <c r="X96" s="137"/>
    </row>
    <row r="97" spans="2:24" s="2" customFormat="1">
      <c r="B97" s="87">
        <f t="shared" ref="B97:B105" si="21">B96+1</f>
        <v>3</v>
      </c>
      <c r="C97" s="295">
        <v>45832</v>
      </c>
      <c r="D97" s="77" t="s">
        <v>3415</v>
      </c>
      <c r="E97" s="10" t="s">
        <v>1136</v>
      </c>
      <c r="F97" s="62">
        <v>31353</v>
      </c>
      <c r="G97" s="62">
        <v>39.700000000000003</v>
      </c>
      <c r="H97" s="62"/>
      <c r="I97" s="89">
        <f t="shared" si="20"/>
        <v>31313.3</v>
      </c>
      <c r="J97" s="63" t="s">
        <v>205</v>
      </c>
      <c r="K97" s="63">
        <v>1</v>
      </c>
      <c r="L97" s="63"/>
      <c r="M97" s="63"/>
      <c r="N97" s="63">
        <v>1</v>
      </c>
      <c r="O97" s="63"/>
      <c r="P97" s="63"/>
      <c r="Q97" s="63"/>
      <c r="R97" s="63"/>
      <c r="S97" s="296"/>
      <c r="T97" s="63"/>
      <c r="U97" s="94"/>
      <c r="V97" s="90"/>
      <c r="W97" s="136"/>
      <c r="X97" s="137"/>
    </row>
    <row r="98" spans="2:24" s="2" customFormat="1">
      <c r="B98" s="87">
        <f t="shared" si="21"/>
        <v>4</v>
      </c>
      <c r="C98" s="295">
        <v>45832</v>
      </c>
      <c r="D98" s="10">
        <v>70982</v>
      </c>
      <c r="E98" s="10" t="s">
        <v>1103</v>
      </c>
      <c r="F98" s="62">
        <v>0</v>
      </c>
      <c r="G98" s="62"/>
      <c r="H98" s="62"/>
      <c r="I98" s="89">
        <f t="shared" si="20"/>
        <v>0</v>
      </c>
      <c r="J98" s="63" t="s">
        <v>219</v>
      </c>
      <c r="K98" s="63"/>
      <c r="L98" s="63"/>
      <c r="M98" s="63"/>
      <c r="N98" s="63"/>
      <c r="O98" s="63"/>
      <c r="P98" s="63"/>
      <c r="Q98" s="63"/>
      <c r="R98" s="63"/>
      <c r="S98" s="296"/>
      <c r="T98" s="63"/>
      <c r="U98" s="389" t="s">
        <v>3416</v>
      </c>
      <c r="V98" s="90"/>
      <c r="W98" s="136"/>
      <c r="X98" s="137"/>
    </row>
    <row r="99" spans="2:24" s="2" customFormat="1">
      <c r="B99" s="87">
        <f t="shared" si="21"/>
        <v>5</v>
      </c>
      <c r="C99" s="295">
        <v>45832</v>
      </c>
      <c r="D99" s="10">
        <v>70964</v>
      </c>
      <c r="E99" s="10" t="s">
        <v>1584</v>
      </c>
      <c r="F99" s="62">
        <v>0</v>
      </c>
      <c r="G99" s="62"/>
      <c r="H99" s="62"/>
      <c r="I99" s="89">
        <f t="shared" si="20"/>
        <v>0</v>
      </c>
      <c r="J99" s="63" t="s">
        <v>205</v>
      </c>
      <c r="K99" s="63">
        <v>1</v>
      </c>
      <c r="L99" s="63"/>
      <c r="M99" s="63"/>
      <c r="N99" s="63"/>
      <c r="O99" s="63"/>
      <c r="P99" s="63"/>
      <c r="Q99" s="63"/>
      <c r="R99" s="63"/>
      <c r="S99" s="296"/>
      <c r="T99" s="63"/>
      <c r="U99" s="94" t="s">
        <v>3417</v>
      </c>
      <c r="V99" s="90"/>
      <c r="W99" s="136"/>
      <c r="X99" s="137"/>
    </row>
    <row r="100" spans="2:24" s="2" customFormat="1">
      <c r="B100" s="87">
        <f t="shared" si="21"/>
        <v>6</v>
      </c>
      <c r="C100" s="295">
        <v>45832</v>
      </c>
      <c r="D100" s="10">
        <v>70999</v>
      </c>
      <c r="E100" s="101" t="s">
        <v>317</v>
      </c>
      <c r="F100" s="62">
        <v>0</v>
      </c>
      <c r="G100" s="62"/>
      <c r="H100" s="62"/>
      <c r="I100" s="89">
        <f t="shared" si="20"/>
        <v>0</v>
      </c>
      <c r="J100" s="63" t="s">
        <v>219</v>
      </c>
      <c r="K100" s="63">
        <v>1</v>
      </c>
      <c r="L100" s="63"/>
      <c r="M100" s="63"/>
      <c r="N100" s="63"/>
      <c r="O100" s="63"/>
      <c r="P100" s="63"/>
      <c r="Q100" s="63"/>
      <c r="R100" s="63"/>
      <c r="S100" s="296"/>
      <c r="T100" s="63"/>
      <c r="U100" s="94"/>
      <c r="V100" s="90"/>
      <c r="W100" s="136"/>
      <c r="X100" s="137"/>
    </row>
    <row r="101" spans="2:24" s="2" customFormat="1">
      <c r="B101" s="87">
        <f t="shared" si="21"/>
        <v>7</v>
      </c>
      <c r="C101" s="295">
        <v>45832</v>
      </c>
      <c r="D101" s="10">
        <v>71006</v>
      </c>
      <c r="E101" s="101" t="s">
        <v>317</v>
      </c>
      <c r="F101" s="62">
        <v>0</v>
      </c>
      <c r="G101" s="62"/>
      <c r="H101" s="62"/>
      <c r="I101" s="89">
        <f t="shared" si="20"/>
        <v>0</v>
      </c>
      <c r="J101" s="63" t="s">
        <v>156</v>
      </c>
      <c r="K101" s="63">
        <v>1</v>
      </c>
      <c r="L101" s="63"/>
      <c r="M101" s="63"/>
      <c r="N101" s="63"/>
      <c r="O101" s="63"/>
      <c r="P101" s="63"/>
      <c r="Q101" s="63"/>
      <c r="R101" s="63"/>
      <c r="S101" s="296"/>
      <c r="T101" s="63"/>
      <c r="U101" s="94"/>
      <c r="V101" s="90">
        <v>170.5</v>
      </c>
      <c r="W101" s="136"/>
      <c r="X101" s="137"/>
    </row>
    <row r="102" spans="2:24" s="2" customFormat="1">
      <c r="B102" s="87">
        <f t="shared" si="21"/>
        <v>8</v>
      </c>
      <c r="C102" s="274">
        <v>45833</v>
      </c>
      <c r="D102" s="276">
        <v>70911</v>
      </c>
      <c r="E102" s="276" t="s">
        <v>317</v>
      </c>
      <c r="F102" s="277">
        <v>0</v>
      </c>
      <c r="G102" s="277"/>
      <c r="H102" s="277"/>
      <c r="I102" s="278">
        <f t="shared" si="20"/>
        <v>0</v>
      </c>
      <c r="J102" s="279" t="s">
        <v>219</v>
      </c>
      <c r="K102" s="279">
        <v>1</v>
      </c>
      <c r="L102" s="279"/>
      <c r="M102" s="279"/>
      <c r="N102" s="279"/>
      <c r="O102" s="279"/>
      <c r="P102" s="279"/>
      <c r="Q102" s="279">
        <v>1</v>
      </c>
      <c r="R102" s="279">
        <v>1</v>
      </c>
      <c r="S102" s="280">
        <v>1</v>
      </c>
      <c r="T102" s="63"/>
      <c r="U102" s="94"/>
      <c r="V102" s="90"/>
      <c r="W102" s="136"/>
      <c r="X102" s="137"/>
    </row>
    <row r="103" spans="2:24" s="2" customFormat="1">
      <c r="B103" s="87">
        <f t="shared" si="21"/>
        <v>9</v>
      </c>
      <c r="C103" s="295">
        <v>45833</v>
      </c>
      <c r="D103" s="10">
        <v>71005</v>
      </c>
      <c r="E103" s="101" t="s">
        <v>1136</v>
      </c>
      <c r="F103" s="62">
        <v>0</v>
      </c>
      <c r="G103" s="62"/>
      <c r="H103" s="62"/>
      <c r="I103" s="89">
        <f t="shared" si="20"/>
        <v>0</v>
      </c>
      <c r="J103" s="63" t="s">
        <v>219</v>
      </c>
      <c r="K103" s="63">
        <v>1</v>
      </c>
      <c r="L103" s="63"/>
      <c r="M103" s="63"/>
      <c r="N103" s="63"/>
      <c r="O103" s="63"/>
      <c r="P103" s="63"/>
      <c r="Q103" s="63">
        <v>1</v>
      </c>
      <c r="R103" s="63">
        <v>1</v>
      </c>
      <c r="S103" s="296">
        <v>1</v>
      </c>
      <c r="T103" s="63"/>
      <c r="U103" s="94"/>
      <c r="V103" s="90"/>
      <c r="W103" s="136"/>
      <c r="X103" s="137"/>
    </row>
    <row r="104" spans="2:24" s="2" customFormat="1">
      <c r="B104" s="87">
        <f t="shared" si="21"/>
        <v>10</v>
      </c>
      <c r="C104" s="295">
        <v>45833</v>
      </c>
      <c r="D104" s="10">
        <v>70947</v>
      </c>
      <c r="E104" s="101" t="s">
        <v>715</v>
      </c>
      <c r="F104" s="62">
        <v>0</v>
      </c>
      <c r="G104" s="62"/>
      <c r="H104" s="62"/>
      <c r="I104" s="89">
        <f t="shared" si="20"/>
        <v>0</v>
      </c>
      <c r="J104" s="63" t="s">
        <v>219</v>
      </c>
      <c r="K104" s="63">
        <v>1</v>
      </c>
      <c r="L104" s="63"/>
      <c r="M104" s="63"/>
      <c r="N104" s="63"/>
      <c r="O104" s="63"/>
      <c r="P104" s="63"/>
      <c r="Q104" s="63">
        <v>1</v>
      </c>
      <c r="R104" s="63">
        <v>1</v>
      </c>
      <c r="S104" s="296">
        <v>1</v>
      </c>
      <c r="T104" s="63"/>
      <c r="U104" s="94"/>
      <c r="V104" s="90"/>
      <c r="W104" s="136"/>
      <c r="X104" s="137"/>
    </row>
    <row r="105" spans="2:24" s="2" customFormat="1">
      <c r="B105" s="87">
        <f t="shared" si="21"/>
        <v>11</v>
      </c>
      <c r="C105" s="282">
        <v>45833</v>
      </c>
      <c r="D105" s="283">
        <v>71026</v>
      </c>
      <c r="E105" s="319" t="s">
        <v>218</v>
      </c>
      <c r="F105" s="284">
        <v>0</v>
      </c>
      <c r="G105" s="284"/>
      <c r="H105" s="284"/>
      <c r="I105" s="285">
        <f t="shared" si="20"/>
        <v>0</v>
      </c>
      <c r="J105" s="286" t="s">
        <v>219</v>
      </c>
      <c r="K105" s="286">
        <v>1</v>
      </c>
      <c r="L105" s="286"/>
      <c r="M105" s="286"/>
      <c r="N105" s="286"/>
      <c r="O105" s="286"/>
      <c r="P105" s="286"/>
      <c r="Q105" s="286">
        <v>1</v>
      </c>
      <c r="R105" s="286">
        <v>1</v>
      </c>
      <c r="S105" s="287">
        <v>1</v>
      </c>
      <c r="T105" s="63"/>
      <c r="U105" s="94"/>
      <c r="V105" s="90"/>
      <c r="W105" s="136"/>
      <c r="X105" s="137"/>
    </row>
    <row r="106" spans="2:24" s="2" customFormat="1">
      <c r="B106" s="11"/>
      <c r="C106" s="36"/>
      <c r="D106" s="10"/>
      <c r="E106" s="10"/>
      <c r="F106" s="97">
        <f>SUM(F95:F105)</f>
        <v>31353</v>
      </c>
      <c r="G106" s="97">
        <f>SUM(G95:G105)</f>
        <v>39.700000000000003</v>
      </c>
      <c r="H106" s="97">
        <f>SUM(H95:H105)</f>
        <v>0</v>
      </c>
      <c r="I106" s="98">
        <f>SUM(I95:I105)</f>
        <v>31313.3</v>
      </c>
      <c r="J106" s="10"/>
      <c r="K106" s="10"/>
      <c r="L106" s="10"/>
      <c r="M106" s="10"/>
      <c r="N106" s="10"/>
      <c r="O106" s="10"/>
      <c r="P106" s="10"/>
      <c r="Q106" s="10"/>
      <c r="R106" s="10"/>
      <c r="S106" s="10"/>
      <c r="T106" s="63"/>
      <c r="U106" s="94"/>
      <c r="V106" s="90"/>
      <c r="W106" s="91"/>
      <c r="X106" s="92"/>
    </row>
    <row r="107" spans="2:24" s="2" customFormat="1">
      <c r="B107" s="11"/>
      <c r="C107" s="36"/>
      <c r="D107" s="10"/>
      <c r="E107" s="10"/>
      <c r="F107" s="88"/>
      <c r="G107" s="88"/>
      <c r="H107" s="88"/>
      <c r="I107" s="99"/>
      <c r="J107" s="10"/>
      <c r="K107" s="10"/>
      <c r="L107" s="10"/>
      <c r="M107" s="10"/>
      <c r="N107" s="10"/>
      <c r="O107" s="10"/>
      <c r="P107" s="10"/>
      <c r="Q107" s="10"/>
      <c r="R107" s="10"/>
      <c r="S107" s="10"/>
      <c r="T107" s="63"/>
      <c r="U107" s="94"/>
      <c r="V107" s="165"/>
      <c r="W107" s="166"/>
      <c r="X107" s="167"/>
    </row>
    <row r="108" spans="2:24" s="2" customFormat="1">
      <c r="B108" s="100" t="s">
        <v>73</v>
      </c>
      <c r="C108" s="36"/>
      <c r="D108" s="10"/>
      <c r="E108" s="10"/>
      <c r="F108" s="88"/>
      <c r="G108" s="88"/>
      <c r="H108" s="88"/>
      <c r="I108" s="99"/>
      <c r="J108" s="63"/>
      <c r="K108" s="63"/>
      <c r="L108" s="63"/>
      <c r="M108" s="63"/>
      <c r="N108" s="63"/>
      <c r="O108" s="63"/>
      <c r="P108" s="63"/>
      <c r="Q108" s="63"/>
      <c r="R108" s="63"/>
      <c r="S108" s="63"/>
      <c r="T108" s="63"/>
      <c r="U108" s="94"/>
      <c r="V108" s="90"/>
      <c r="W108" s="91"/>
      <c r="X108" s="92"/>
    </row>
    <row r="109" spans="2:24" s="2" customFormat="1">
      <c r="B109" s="87">
        <v>1</v>
      </c>
      <c r="C109" s="274">
        <v>45836</v>
      </c>
      <c r="D109" s="275" t="s">
        <v>3418</v>
      </c>
      <c r="E109" s="281" t="s">
        <v>1034</v>
      </c>
      <c r="F109" s="277">
        <v>1135</v>
      </c>
      <c r="G109" s="277">
        <v>39.700000000000003</v>
      </c>
      <c r="H109" s="277"/>
      <c r="I109" s="278">
        <f t="shared" ref="I109:I112" si="22">F109-G109-H109</f>
        <v>1095.3</v>
      </c>
      <c r="J109" s="279" t="s">
        <v>205</v>
      </c>
      <c r="K109" s="279">
        <v>1</v>
      </c>
      <c r="L109" s="279"/>
      <c r="M109" s="279"/>
      <c r="N109" s="279">
        <v>1</v>
      </c>
      <c r="O109" s="279"/>
      <c r="P109" s="279"/>
      <c r="Q109" s="279"/>
      <c r="R109" s="279"/>
      <c r="S109" s="280"/>
      <c r="T109" s="63"/>
      <c r="U109" s="139"/>
      <c r="V109" s="90"/>
      <c r="W109" s="91"/>
      <c r="X109" s="92"/>
    </row>
    <row r="110" spans="2:24" s="2" customFormat="1">
      <c r="B110" s="87">
        <f>B109+1</f>
        <v>2</v>
      </c>
      <c r="C110" s="295">
        <v>45836</v>
      </c>
      <c r="D110" s="10">
        <v>71074</v>
      </c>
      <c r="E110" s="10" t="s">
        <v>769</v>
      </c>
      <c r="F110" s="62">
        <f>2861</f>
        <v>2861</v>
      </c>
      <c r="G110" s="62">
        <v>39.700000000000003</v>
      </c>
      <c r="H110" s="62"/>
      <c r="I110" s="89">
        <f t="shared" si="22"/>
        <v>2821.3</v>
      </c>
      <c r="J110" s="63" t="s">
        <v>374</v>
      </c>
      <c r="K110" s="63">
        <v>1</v>
      </c>
      <c r="L110" s="63"/>
      <c r="M110" s="63">
        <v>1</v>
      </c>
      <c r="N110" s="63">
        <v>1</v>
      </c>
      <c r="O110" s="63"/>
      <c r="P110" s="63"/>
      <c r="Q110" s="63"/>
      <c r="R110" s="63"/>
      <c r="S110" s="296"/>
      <c r="T110" s="63"/>
      <c r="U110" s="94"/>
      <c r="V110" s="90">
        <v>93.5</v>
      </c>
      <c r="W110" s="136"/>
      <c r="X110" s="137"/>
    </row>
    <row r="111" spans="2:24" s="2" customFormat="1">
      <c r="B111" s="87">
        <f>B110+1</f>
        <v>3</v>
      </c>
      <c r="C111" s="295">
        <v>45836</v>
      </c>
      <c r="D111" s="77" t="s">
        <v>3419</v>
      </c>
      <c r="E111" s="101" t="s">
        <v>471</v>
      </c>
      <c r="F111" s="62">
        <v>15285.36</v>
      </c>
      <c r="G111" s="62">
        <v>39.700000000000003</v>
      </c>
      <c r="H111" s="62"/>
      <c r="I111" s="89">
        <f t="shared" si="22"/>
        <v>15245.66</v>
      </c>
      <c r="J111" s="63" t="s">
        <v>205</v>
      </c>
      <c r="K111" s="63">
        <v>1</v>
      </c>
      <c r="L111" s="63"/>
      <c r="M111" s="63"/>
      <c r="N111" s="63">
        <v>1</v>
      </c>
      <c r="O111" s="63"/>
      <c r="P111" s="63"/>
      <c r="Q111" s="63"/>
      <c r="R111" s="63"/>
      <c r="S111" s="296"/>
      <c r="T111" s="63"/>
      <c r="U111" s="94"/>
      <c r="V111" s="90"/>
      <c r="W111" s="136"/>
      <c r="X111" s="137"/>
    </row>
    <row r="112" spans="2:24" s="2" customFormat="1">
      <c r="B112" s="87">
        <f>B111+1</f>
        <v>4</v>
      </c>
      <c r="C112" s="282">
        <v>45836</v>
      </c>
      <c r="D112" s="283">
        <v>71082</v>
      </c>
      <c r="E112" s="283" t="s">
        <v>244</v>
      </c>
      <c r="F112" s="284">
        <v>0</v>
      </c>
      <c r="G112" s="284"/>
      <c r="H112" s="284"/>
      <c r="I112" s="285">
        <f t="shared" si="22"/>
        <v>0</v>
      </c>
      <c r="J112" s="286" t="s">
        <v>219</v>
      </c>
      <c r="K112" s="286"/>
      <c r="L112" s="286"/>
      <c r="M112" s="286">
        <v>1</v>
      </c>
      <c r="N112" s="286"/>
      <c r="O112" s="286"/>
      <c r="P112" s="286"/>
      <c r="Q112" s="286">
        <v>1</v>
      </c>
      <c r="R112" s="286">
        <v>1</v>
      </c>
      <c r="S112" s="287">
        <v>1</v>
      </c>
      <c r="T112" s="63"/>
      <c r="U112" s="94" t="s">
        <v>3420</v>
      </c>
      <c r="V112" s="90">
        <v>93.5</v>
      </c>
      <c r="W112" s="136"/>
      <c r="X112" s="137"/>
    </row>
    <row r="113" spans="1:29" s="2" customFormat="1">
      <c r="B113" s="11"/>
      <c r="C113" s="36"/>
      <c r="D113" s="10"/>
      <c r="E113" s="10"/>
      <c r="F113" s="97">
        <f>SUM(F109:F112)</f>
        <v>19281.36</v>
      </c>
      <c r="G113" s="97">
        <f>SUM(G109:G112)</f>
        <v>119.10000000000001</v>
      </c>
      <c r="H113" s="97">
        <f>SUM(H109:H112)</f>
        <v>0</v>
      </c>
      <c r="I113" s="98">
        <f>SUM(I109:I112)</f>
        <v>19162.260000000002</v>
      </c>
      <c r="J113" s="10"/>
      <c r="K113" s="10"/>
      <c r="L113" s="10"/>
      <c r="M113" s="10"/>
      <c r="N113" s="10"/>
      <c r="O113" s="10"/>
      <c r="P113" s="10"/>
      <c r="Q113" s="10"/>
      <c r="R113" s="10"/>
      <c r="S113" s="10"/>
      <c r="T113" s="63"/>
      <c r="U113" s="94"/>
      <c r="V113" s="90"/>
      <c r="W113" s="91"/>
      <c r="X113" s="92"/>
    </row>
    <row r="114" spans="1:29" s="2" customFormat="1">
      <c r="B114" s="26"/>
      <c r="C114" s="140"/>
      <c r="D114" s="141"/>
      <c r="E114" s="141"/>
      <c r="F114" s="141"/>
      <c r="G114" s="141"/>
      <c r="H114" s="141"/>
      <c r="I114" s="141"/>
      <c r="J114" s="141"/>
      <c r="K114" s="142"/>
      <c r="L114" s="142"/>
      <c r="M114" s="142"/>
      <c r="N114" s="142"/>
      <c r="O114" s="142"/>
      <c r="P114" s="142"/>
      <c r="Q114" s="142"/>
      <c r="R114" s="142"/>
      <c r="S114" s="142"/>
      <c r="T114" s="143">
        <f>SUM(T31:T113)</f>
        <v>1</v>
      </c>
      <c r="U114" s="168"/>
      <c r="V114" s="144">
        <f>SUM(V31:V113)</f>
        <v>56097.200000000004</v>
      </c>
      <c r="W114" s="145">
        <f>SUM(W31:W113)</f>
        <v>950</v>
      </c>
      <c r="X114" s="146">
        <f>SUM(X31:X113)</f>
        <v>0</v>
      </c>
    </row>
    <row r="115" spans="1:29">
      <c r="B115" s="258"/>
      <c r="C115" s="258"/>
      <c r="D115" s="258"/>
      <c r="E115" s="258"/>
      <c r="F115" s="258"/>
      <c r="G115" s="258"/>
      <c r="H115" s="258"/>
      <c r="I115" s="258"/>
      <c r="J115" s="258"/>
      <c r="K115" s="258"/>
      <c r="L115" s="258"/>
      <c r="M115" s="258"/>
      <c r="N115" s="258"/>
      <c r="O115" s="258"/>
      <c r="P115" s="258"/>
      <c r="Q115" s="258"/>
      <c r="R115" s="258"/>
      <c r="S115" s="258"/>
      <c r="T115" s="258"/>
      <c r="U115" s="258"/>
      <c r="V115" s="258"/>
      <c r="W115" s="258"/>
      <c r="X115" s="258"/>
    </row>
    <row r="118" spans="1:29">
      <c r="A118" s="148" t="s">
        <v>74</v>
      </c>
      <c r="B118" s="4" t="s">
        <v>1</v>
      </c>
      <c r="C118" s="5"/>
      <c r="D118" s="83"/>
      <c r="E118" s="6"/>
      <c r="F118" s="7" t="s">
        <v>2</v>
      </c>
      <c r="G118" s="8">
        <v>45844</v>
      </c>
      <c r="H118" s="7"/>
      <c r="I118" s="6"/>
      <c r="J118" s="6"/>
      <c r="K118" s="6"/>
      <c r="L118" s="6"/>
      <c r="M118" s="6"/>
      <c r="N118" s="6"/>
      <c r="O118" s="6"/>
      <c r="P118" s="6"/>
      <c r="Q118" s="6"/>
      <c r="R118" s="6"/>
      <c r="S118" s="6"/>
      <c r="T118" s="6"/>
      <c r="U118" s="149"/>
      <c r="V118" s="77"/>
      <c r="W118" s="77"/>
      <c r="X118" s="77"/>
      <c r="Y118" s="2"/>
      <c r="Z118" s="2"/>
      <c r="AA118" s="2"/>
      <c r="AB118" s="2"/>
      <c r="AC118" s="2"/>
    </row>
    <row r="119" spans="1:29">
      <c r="A119" s="150" t="s">
        <v>75</v>
      </c>
      <c r="B119" s="11"/>
      <c r="C119" s="10"/>
      <c r="D119" s="63"/>
      <c r="E119" s="10"/>
      <c r="F119" s="10"/>
      <c r="G119" s="7"/>
      <c r="H119" s="12"/>
      <c r="I119" s="10"/>
      <c r="J119" s="10"/>
      <c r="K119" s="13" t="s">
        <v>3</v>
      </c>
      <c r="L119" s="14"/>
      <c r="M119" s="15"/>
      <c r="N119" s="13" t="s">
        <v>4</v>
      </c>
      <c r="O119" s="14"/>
      <c r="P119" s="15"/>
      <c r="Q119" s="13" t="s">
        <v>5</v>
      </c>
      <c r="R119" s="14"/>
      <c r="S119" s="15"/>
      <c r="T119" s="16"/>
      <c r="U119" s="151"/>
      <c r="V119" s="77"/>
      <c r="W119" s="77"/>
      <c r="X119" s="77"/>
      <c r="Y119" s="2"/>
      <c r="Z119" s="2"/>
      <c r="AA119" s="2"/>
      <c r="AB119" s="2"/>
      <c r="AC119" s="2"/>
    </row>
    <row r="120" spans="1:29">
      <c r="A120" s="148" t="s">
        <v>76</v>
      </c>
      <c r="B120" s="18" t="s">
        <v>6</v>
      </c>
      <c r="C120" s="19">
        <f>C121+C122</f>
        <v>45</v>
      </c>
      <c r="D120" s="63"/>
      <c r="E120" s="18" t="s">
        <v>7</v>
      </c>
      <c r="F120" s="6"/>
      <c r="G120" s="9"/>
      <c r="H120" s="10"/>
      <c r="I120" s="10"/>
      <c r="J120" s="10"/>
      <c r="K120" s="20" t="s">
        <v>8</v>
      </c>
      <c r="L120" s="21" t="s">
        <v>9</v>
      </c>
      <c r="M120" s="21" t="s">
        <v>10</v>
      </c>
      <c r="N120" s="20" t="s">
        <v>11</v>
      </c>
      <c r="O120" s="21" t="s">
        <v>12</v>
      </c>
      <c r="P120" s="22" t="s">
        <v>13</v>
      </c>
      <c r="Q120" s="21" t="s">
        <v>11</v>
      </c>
      <c r="R120" s="21" t="s">
        <v>12</v>
      </c>
      <c r="S120" s="22" t="s">
        <v>13</v>
      </c>
      <c r="T120" s="23" t="s">
        <v>14</v>
      </c>
      <c r="U120" s="151"/>
      <c r="V120" s="77"/>
      <c r="W120" s="77"/>
      <c r="X120" s="77"/>
      <c r="Y120" s="2"/>
      <c r="Z120" s="2"/>
      <c r="AA120" s="2"/>
      <c r="AB120" s="2"/>
      <c r="AC120" s="2"/>
    </row>
    <row r="121" spans="1:29">
      <c r="A121" s="152" t="s">
        <v>3183</v>
      </c>
      <c r="B121" s="24" t="s">
        <v>15</v>
      </c>
      <c r="C121" s="25">
        <f>P128</f>
        <v>23</v>
      </c>
      <c r="D121" s="63"/>
      <c r="E121" s="11" t="s">
        <v>16</v>
      </c>
      <c r="F121" s="10" t="s">
        <v>78</v>
      </c>
      <c r="G121" s="153">
        <v>0.05</v>
      </c>
      <c r="H121" s="10"/>
      <c r="I121" s="10"/>
      <c r="J121" s="18" t="s">
        <v>17</v>
      </c>
      <c r="K121" s="29">
        <f>K167</f>
        <v>19</v>
      </c>
      <c r="L121" s="29">
        <f t="shared" ref="L121:S121" si="23">L167</f>
        <v>19</v>
      </c>
      <c r="M121" s="29">
        <f t="shared" si="23"/>
        <v>19</v>
      </c>
      <c r="N121" s="29">
        <f t="shared" si="23"/>
        <v>19</v>
      </c>
      <c r="O121" s="29">
        <f t="shared" si="23"/>
        <v>19</v>
      </c>
      <c r="P121" s="29">
        <f t="shared" si="23"/>
        <v>19</v>
      </c>
      <c r="Q121" s="29">
        <f t="shared" si="23"/>
        <v>9</v>
      </c>
      <c r="R121" s="29">
        <f t="shared" si="23"/>
        <v>9</v>
      </c>
      <c r="S121" s="29">
        <f t="shared" si="23"/>
        <v>8</v>
      </c>
      <c r="T121" s="30">
        <f>T224</f>
        <v>0</v>
      </c>
      <c r="U121" s="151"/>
      <c r="V121" s="77"/>
      <c r="W121" s="77"/>
      <c r="X121" s="77"/>
      <c r="Y121" s="2"/>
      <c r="Z121" s="2"/>
      <c r="AA121" s="2"/>
      <c r="AB121" s="2"/>
      <c r="AC121" s="2"/>
    </row>
    <row r="122" spans="1:29">
      <c r="A122" s="2"/>
      <c r="B122" s="24" t="s">
        <v>18</v>
      </c>
      <c r="C122" s="25">
        <f>P129</f>
        <v>22</v>
      </c>
      <c r="D122" s="63"/>
      <c r="E122" s="26" t="s">
        <v>80</v>
      </c>
      <c r="F122" s="141" t="s">
        <v>81</v>
      </c>
      <c r="G122" s="154">
        <v>0.1</v>
      </c>
      <c r="H122" s="10"/>
      <c r="I122" s="10"/>
      <c r="J122" s="32" t="s">
        <v>19</v>
      </c>
      <c r="K122" s="33">
        <f>K167/K166</f>
        <v>1</v>
      </c>
      <c r="L122" s="33">
        <f t="shared" ref="L122:S122" si="24">L167/L166</f>
        <v>1</v>
      </c>
      <c r="M122" s="33">
        <f t="shared" si="24"/>
        <v>1</v>
      </c>
      <c r="N122" s="33">
        <f t="shared" si="24"/>
        <v>1</v>
      </c>
      <c r="O122" s="33">
        <f t="shared" si="24"/>
        <v>1</v>
      </c>
      <c r="P122" s="33">
        <f t="shared" si="24"/>
        <v>1</v>
      </c>
      <c r="Q122" s="33">
        <f t="shared" si="24"/>
        <v>1</v>
      </c>
      <c r="R122" s="33">
        <f t="shared" si="24"/>
        <v>1</v>
      </c>
      <c r="S122" s="33">
        <f t="shared" si="24"/>
        <v>1</v>
      </c>
      <c r="T122" s="23"/>
      <c r="U122" s="151" t="s">
        <v>20</v>
      </c>
      <c r="V122" s="77"/>
      <c r="W122" s="77"/>
      <c r="X122" s="77"/>
      <c r="Y122" s="2"/>
      <c r="Z122" s="2"/>
      <c r="AA122" s="2"/>
      <c r="AB122" s="2"/>
      <c r="AC122" s="2"/>
    </row>
    <row r="123" spans="1:29">
      <c r="A123" s="2"/>
      <c r="B123" s="24" t="s">
        <v>21</v>
      </c>
      <c r="C123" s="34">
        <f>P130</f>
        <v>0.51111111111111107</v>
      </c>
      <c r="D123" s="63"/>
      <c r="E123" s="10"/>
      <c r="F123" s="10"/>
      <c r="G123" s="10"/>
      <c r="H123" s="10"/>
      <c r="I123" s="10"/>
      <c r="J123" s="10"/>
      <c r="K123" s="10"/>
      <c r="L123" s="10"/>
      <c r="M123" s="10"/>
      <c r="N123" s="10"/>
      <c r="O123" s="10"/>
      <c r="P123" s="10"/>
      <c r="Q123" s="10"/>
      <c r="R123" s="10"/>
      <c r="S123" s="10"/>
      <c r="T123" s="10"/>
      <c r="U123" s="151"/>
      <c r="V123" s="77"/>
      <c r="W123" s="77"/>
      <c r="X123" s="77"/>
      <c r="Y123" s="2"/>
      <c r="Z123" s="2"/>
      <c r="AA123" s="2"/>
      <c r="AB123" s="2"/>
      <c r="AC123" s="2"/>
    </row>
    <row r="124" spans="1:29">
      <c r="A124" s="2"/>
      <c r="B124" s="24"/>
      <c r="C124" s="25"/>
      <c r="D124" s="63"/>
      <c r="E124" s="10"/>
      <c r="F124" s="18" t="s">
        <v>22</v>
      </c>
      <c r="G124" s="19" t="s">
        <v>23</v>
      </c>
      <c r="H124" s="35" t="s">
        <v>24</v>
      </c>
      <c r="I124" s="10"/>
      <c r="J124" s="10"/>
      <c r="K124" s="36"/>
      <c r="L124" s="36"/>
      <c r="M124" s="36"/>
      <c r="N124" s="36"/>
      <c r="O124" s="36"/>
      <c r="P124" s="36"/>
      <c r="Q124" s="36"/>
      <c r="R124" s="10"/>
      <c r="S124" s="10"/>
      <c r="T124" s="10"/>
      <c r="U124" s="151"/>
      <c r="V124" s="77"/>
      <c r="W124" s="77"/>
      <c r="X124" s="77"/>
      <c r="Y124" s="2"/>
      <c r="Z124" s="2"/>
      <c r="AA124" s="2"/>
      <c r="AB124" s="2"/>
      <c r="AC124" s="2"/>
    </row>
    <row r="125" spans="1:29">
      <c r="A125" s="2"/>
      <c r="B125" s="32" t="s">
        <v>25</v>
      </c>
      <c r="C125" s="37">
        <f>P131</f>
        <v>1965.4982608695652</v>
      </c>
      <c r="D125" s="63"/>
      <c r="E125" s="18" t="s">
        <v>26</v>
      </c>
      <c r="F125" s="38">
        <f>P127</f>
        <v>45206.46</v>
      </c>
      <c r="G125" s="39">
        <f>I166+I177+I181</f>
        <v>45206.459999999992</v>
      </c>
      <c r="H125" s="40"/>
      <c r="I125" s="41"/>
      <c r="J125" s="42"/>
      <c r="K125" s="43" t="s">
        <v>27</v>
      </c>
      <c r="L125" s="44"/>
      <c r="M125" s="44"/>
      <c r="N125" s="44"/>
      <c r="O125" s="44"/>
      <c r="P125" s="44"/>
      <c r="Q125" s="45"/>
      <c r="R125" s="46" t="s">
        <v>28</v>
      </c>
      <c r="S125" s="47" t="s">
        <v>29</v>
      </c>
      <c r="T125" s="10"/>
      <c r="U125" s="151"/>
      <c r="V125" s="77"/>
      <c r="W125" s="77"/>
      <c r="X125" s="77"/>
      <c r="Y125" s="2"/>
      <c r="Z125" s="2"/>
      <c r="AA125" s="2"/>
      <c r="AB125" s="2"/>
      <c r="AC125" s="2"/>
    </row>
    <row r="126" spans="1:29">
      <c r="A126" s="2"/>
      <c r="B126" s="11"/>
      <c r="C126" s="10"/>
      <c r="D126" s="63"/>
      <c r="E126" s="24" t="s">
        <v>30</v>
      </c>
      <c r="F126" s="48">
        <f>IF(F125&gt;=25000,10%,5%)</f>
        <v>0.1</v>
      </c>
      <c r="G126" s="17"/>
      <c r="H126" s="40"/>
      <c r="I126" s="41"/>
      <c r="J126" s="42"/>
      <c r="K126" s="20" t="s">
        <v>31</v>
      </c>
      <c r="L126" s="21" t="s">
        <v>32</v>
      </c>
      <c r="M126" s="21" t="s">
        <v>33</v>
      </c>
      <c r="N126" s="21" t="s">
        <v>34</v>
      </c>
      <c r="O126" s="21" t="s">
        <v>35</v>
      </c>
      <c r="P126" s="21" t="s">
        <v>36</v>
      </c>
      <c r="Q126" s="49" t="s">
        <v>37</v>
      </c>
      <c r="R126" s="50" t="s">
        <v>38</v>
      </c>
      <c r="S126" s="50" t="s">
        <v>38</v>
      </c>
      <c r="T126" s="10"/>
      <c r="U126" s="151"/>
      <c r="V126" s="77"/>
      <c r="W126" s="77"/>
      <c r="X126" s="77"/>
      <c r="Y126" s="2"/>
      <c r="Z126" s="2"/>
      <c r="AA126" s="2"/>
      <c r="AB126" s="2"/>
      <c r="AC126" s="2"/>
    </row>
    <row r="127" spans="1:29">
      <c r="A127" s="2"/>
      <c r="B127" s="11"/>
      <c r="C127" s="10"/>
      <c r="D127" s="63"/>
      <c r="E127" s="51" t="s">
        <v>39</v>
      </c>
      <c r="F127" s="52">
        <f>(F125-I147-I156-I161-I175-I176-I180)*F126</f>
        <v>2682.3709999999992</v>
      </c>
      <c r="G127" s="53" t="s">
        <v>40</v>
      </c>
      <c r="H127" s="54">
        <f>F127/1.12</f>
        <v>2394.9741071428562</v>
      </c>
      <c r="I127" s="55"/>
      <c r="J127" s="42"/>
      <c r="K127" s="56">
        <f>I147+I146+I148+I149</f>
        <v>9501.91</v>
      </c>
      <c r="L127" s="57">
        <f>+I150+I151+I152+I175+I153</f>
        <v>5627.3099999999995</v>
      </c>
      <c r="M127" s="57">
        <f>+I154+I155+I156</f>
        <v>4350.21</v>
      </c>
      <c r="N127" s="57">
        <f>I157+I158+I159+I160+I161</f>
        <v>6232</v>
      </c>
      <c r="O127" s="57">
        <f>I162+I163+I164+I176+I180+I165</f>
        <v>19495.03</v>
      </c>
      <c r="P127" s="57">
        <f>SUM(K127:O127)</f>
        <v>45206.46</v>
      </c>
      <c r="Q127" s="58">
        <v>0</v>
      </c>
      <c r="R127" s="59">
        <f>I177+I181</f>
        <v>15883.65</v>
      </c>
      <c r="S127" s="59"/>
      <c r="T127" s="10"/>
      <c r="U127" s="151"/>
      <c r="V127" s="77"/>
      <c r="W127" s="77"/>
      <c r="X127" s="77"/>
      <c r="Y127" s="2"/>
      <c r="Z127" s="2"/>
      <c r="AA127" s="2"/>
      <c r="AB127" s="2"/>
      <c r="AC127" s="2" t="s">
        <v>85</v>
      </c>
    </row>
    <row r="128" spans="1:29">
      <c r="A128" s="2"/>
      <c r="B128" s="11"/>
      <c r="C128" s="10"/>
      <c r="D128" s="63"/>
      <c r="E128" s="24" t="s">
        <v>41</v>
      </c>
      <c r="F128" s="60">
        <f>Q127</f>
        <v>0</v>
      </c>
      <c r="G128" s="61" t="s">
        <v>40</v>
      </c>
      <c r="H128" s="62"/>
      <c r="I128" s="62"/>
      <c r="J128" s="10" t="s">
        <v>42</v>
      </c>
      <c r="K128" s="63">
        <v>4</v>
      </c>
      <c r="L128" s="63">
        <v>5</v>
      </c>
      <c r="M128" s="63">
        <v>3</v>
      </c>
      <c r="N128" s="63">
        <v>5</v>
      </c>
      <c r="O128" s="63">
        <v>6</v>
      </c>
      <c r="P128" s="21">
        <f>SUM(K128:O128)</f>
        <v>23</v>
      </c>
      <c r="Q128" s="64"/>
      <c r="R128" s="63"/>
      <c r="S128" s="10"/>
      <c r="T128" s="10"/>
      <c r="U128" s="151"/>
      <c r="V128" s="77"/>
      <c r="W128" s="77"/>
      <c r="X128" s="77"/>
      <c r="Y128" s="2"/>
      <c r="Z128" s="2"/>
      <c r="AA128" s="2"/>
      <c r="AB128" s="2"/>
      <c r="AC128" s="2"/>
    </row>
    <row r="129" spans="1:29">
      <c r="A129" s="2"/>
      <c r="B129" s="11"/>
      <c r="C129" s="10"/>
      <c r="D129" s="63"/>
      <c r="E129" s="51" t="s">
        <v>43</v>
      </c>
      <c r="F129" s="52">
        <f>F128*0.25</f>
        <v>0</v>
      </c>
      <c r="G129" s="53" t="s">
        <v>40</v>
      </c>
      <c r="H129" s="54">
        <f>F129/1.12</f>
        <v>0</v>
      </c>
      <c r="I129" s="10"/>
      <c r="J129" s="10" t="s">
        <v>44</v>
      </c>
      <c r="K129" s="63">
        <v>3</v>
      </c>
      <c r="L129" s="63">
        <v>8</v>
      </c>
      <c r="M129" s="63">
        <v>4</v>
      </c>
      <c r="N129" s="63">
        <v>3</v>
      </c>
      <c r="O129" s="63">
        <v>4</v>
      </c>
      <c r="P129" s="21">
        <f>SUM(K129:O129)</f>
        <v>22</v>
      </c>
      <c r="Q129" s="64"/>
      <c r="R129" s="63"/>
      <c r="S129" s="10"/>
      <c r="T129" s="10"/>
      <c r="U129" s="151"/>
      <c r="V129" s="77"/>
      <c r="W129" s="77"/>
      <c r="X129" s="77"/>
      <c r="Y129" s="2"/>
      <c r="Z129" s="2"/>
      <c r="AA129" s="2"/>
      <c r="AB129" s="2"/>
      <c r="AC129" s="2"/>
    </row>
    <row r="130" spans="1:29">
      <c r="A130" s="2"/>
      <c r="B130" s="11"/>
      <c r="C130" s="10"/>
      <c r="D130" s="63"/>
      <c r="E130" s="24" t="s">
        <v>45</v>
      </c>
      <c r="F130" s="60">
        <f>I172</f>
        <v>11499.99</v>
      </c>
      <c r="G130" s="61" t="s">
        <v>40</v>
      </c>
      <c r="H130" s="62"/>
      <c r="I130" s="10"/>
      <c r="J130" s="10" t="s">
        <v>46</v>
      </c>
      <c r="K130" s="31">
        <f t="shared" ref="K130:Q130" si="25">K128/(K128+K129)</f>
        <v>0.5714285714285714</v>
      </c>
      <c r="L130" s="31">
        <f t="shared" si="25"/>
        <v>0.38461538461538464</v>
      </c>
      <c r="M130" s="31">
        <f t="shared" si="25"/>
        <v>0.42857142857142855</v>
      </c>
      <c r="N130" s="31">
        <f t="shared" si="25"/>
        <v>0.625</v>
      </c>
      <c r="O130" s="31">
        <f t="shared" si="25"/>
        <v>0.6</v>
      </c>
      <c r="P130" s="31">
        <f t="shared" si="25"/>
        <v>0.51111111111111107</v>
      </c>
      <c r="Q130" s="31" t="e">
        <f t="shared" si="25"/>
        <v>#DIV/0!</v>
      </c>
      <c r="R130" s="63"/>
      <c r="S130" s="10"/>
      <c r="T130" s="10"/>
      <c r="U130" s="151"/>
      <c r="V130" s="77"/>
      <c r="W130" s="77"/>
      <c r="X130" s="77"/>
      <c r="Y130" s="2"/>
      <c r="Z130" s="2"/>
      <c r="AA130" s="2"/>
      <c r="AB130" s="2"/>
      <c r="AC130" s="2"/>
    </row>
    <row r="131" spans="1:29">
      <c r="A131" s="2"/>
      <c r="B131" s="11"/>
      <c r="C131" s="10"/>
      <c r="D131" s="63"/>
      <c r="E131" s="51" t="s">
        <v>47</v>
      </c>
      <c r="F131" s="52">
        <f>(F130)*0.05</f>
        <v>574.99950000000001</v>
      </c>
      <c r="G131" s="65" t="s">
        <v>40</v>
      </c>
      <c r="H131" s="54">
        <f>F131/1.12</f>
        <v>513.39241071428569</v>
      </c>
      <c r="I131" s="42"/>
      <c r="J131" s="10" t="s">
        <v>48</v>
      </c>
      <c r="K131" s="66">
        <f>K127/K128</f>
        <v>2375.4775</v>
      </c>
      <c r="L131" s="66">
        <f t="shared" ref="L131:Q131" si="26">L127/L128</f>
        <v>1125.462</v>
      </c>
      <c r="M131" s="66">
        <f t="shared" si="26"/>
        <v>1450.07</v>
      </c>
      <c r="N131" s="66">
        <f t="shared" si="26"/>
        <v>1246.4000000000001</v>
      </c>
      <c r="O131" s="66">
        <f t="shared" si="26"/>
        <v>3249.1716666666666</v>
      </c>
      <c r="P131" s="66">
        <f t="shared" si="26"/>
        <v>1965.4982608695652</v>
      </c>
      <c r="Q131" s="66" t="e">
        <f t="shared" si="26"/>
        <v>#DIV/0!</v>
      </c>
      <c r="R131" s="63"/>
      <c r="S131" s="10"/>
      <c r="T131" s="10"/>
      <c r="U131" s="151"/>
      <c r="V131" s="77"/>
      <c r="W131" s="77"/>
      <c r="X131" s="77"/>
      <c r="Y131" s="2"/>
      <c r="Z131" s="2"/>
      <c r="AA131" s="2"/>
      <c r="AB131" s="2"/>
      <c r="AC131" s="2"/>
    </row>
    <row r="132" spans="1:29">
      <c r="A132" s="128"/>
      <c r="B132" s="132"/>
      <c r="C132" s="123"/>
      <c r="D132" s="127"/>
      <c r="E132" s="155" t="s">
        <v>14</v>
      </c>
      <c r="F132" s="156"/>
      <c r="G132" s="123"/>
      <c r="H132" s="54">
        <f>F132/1.12</f>
        <v>0</v>
      </c>
      <c r="I132" s="123"/>
      <c r="J132" s="123"/>
      <c r="K132" s="123"/>
      <c r="L132" s="123"/>
      <c r="M132" s="123"/>
      <c r="N132" s="123"/>
      <c r="O132" s="123"/>
      <c r="P132" s="123"/>
      <c r="Q132" s="123"/>
      <c r="R132" s="123"/>
      <c r="S132" s="123"/>
      <c r="T132" s="123"/>
      <c r="U132" s="157"/>
      <c r="V132" s="123"/>
      <c r="W132" s="123"/>
      <c r="X132" s="123"/>
      <c r="Y132" s="128"/>
      <c r="Z132" s="128"/>
      <c r="AA132" s="128"/>
      <c r="AB132" s="128"/>
      <c r="AC132" s="128"/>
    </row>
    <row r="133" spans="1:29">
      <c r="A133" s="128"/>
      <c r="B133" s="132"/>
      <c r="C133" s="123"/>
      <c r="D133" s="127"/>
      <c r="E133" s="158" t="s">
        <v>49</v>
      </c>
      <c r="F133" s="159">
        <f>T122</f>
        <v>0</v>
      </c>
      <c r="G133" s="123"/>
      <c r="H133" s="54"/>
      <c r="I133" s="123"/>
      <c r="J133" s="42"/>
      <c r="K133" s="764" t="s">
        <v>50</v>
      </c>
      <c r="L133" s="765"/>
      <c r="M133" s="765"/>
      <c r="N133" s="765"/>
      <c r="O133" s="765"/>
      <c r="P133" s="765"/>
      <c r="Q133" s="766"/>
      <c r="R133" s="70" t="s">
        <v>28</v>
      </c>
      <c r="S133" s="71" t="s">
        <v>29</v>
      </c>
      <c r="T133" s="123"/>
      <c r="U133" s="157"/>
      <c r="V133" s="123"/>
      <c r="W133" s="123"/>
      <c r="X133" s="123"/>
      <c r="Y133" s="128"/>
      <c r="Z133" s="128"/>
      <c r="AA133" s="128"/>
      <c r="AB133" s="128"/>
      <c r="AC133" s="128"/>
    </row>
    <row r="134" spans="1:29">
      <c r="A134" s="128"/>
      <c r="B134" s="132"/>
      <c r="C134" s="123"/>
      <c r="D134" s="127"/>
      <c r="E134" s="12"/>
      <c r="F134" s="160"/>
      <c r="G134" s="123"/>
      <c r="H134" s="54"/>
      <c r="I134" s="123"/>
      <c r="J134" s="42"/>
      <c r="K134" s="20" t="s">
        <v>31</v>
      </c>
      <c r="L134" s="21" t="s">
        <v>32</v>
      </c>
      <c r="M134" s="21" t="s">
        <v>33</v>
      </c>
      <c r="N134" s="21" t="s">
        <v>34</v>
      </c>
      <c r="O134" s="21" t="s">
        <v>35</v>
      </c>
      <c r="P134" s="21" t="s">
        <v>36</v>
      </c>
      <c r="Q134" s="49" t="s">
        <v>37</v>
      </c>
      <c r="R134" s="50" t="s">
        <v>38</v>
      </c>
      <c r="S134" s="50" t="s">
        <v>38</v>
      </c>
      <c r="T134" s="123"/>
      <c r="U134" s="157"/>
      <c r="V134" s="123"/>
      <c r="W134" s="123"/>
      <c r="X134" s="123"/>
      <c r="Y134" s="128"/>
      <c r="Z134" s="128"/>
      <c r="AA134" s="128"/>
      <c r="AB134" s="128"/>
      <c r="AC134" s="128"/>
    </row>
    <row r="135" spans="1:29">
      <c r="A135" s="128"/>
      <c r="B135" s="132"/>
      <c r="C135" s="123"/>
      <c r="D135" s="127"/>
      <c r="E135" s="12"/>
      <c r="F135" s="160"/>
      <c r="G135" s="123"/>
      <c r="H135" s="54"/>
      <c r="I135" s="123"/>
      <c r="J135" s="42"/>
      <c r="K135" s="56">
        <f>F147+F146+F148+F149</f>
        <v>12985</v>
      </c>
      <c r="L135" s="57">
        <f>+F150+F151+F152+F175+F153</f>
        <v>6408</v>
      </c>
      <c r="M135" s="57">
        <f>+F154+F155+F156</f>
        <v>5090</v>
      </c>
      <c r="N135" s="57">
        <f>F157+F158+F159+F160+F161</f>
        <v>6476.5</v>
      </c>
      <c r="O135" s="57">
        <f>F162+F163+F164+F176+F180+F165</f>
        <v>21827</v>
      </c>
      <c r="P135" s="57">
        <f>SUM(K135:O135)</f>
        <v>52786.5</v>
      </c>
      <c r="Q135" s="58">
        <v>0</v>
      </c>
      <c r="R135" s="59">
        <f>F177+F181</f>
        <v>17953</v>
      </c>
      <c r="S135" s="59"/>
      <c r="T135" s="123"/>
      <c r="U135" s="157"/>
      <c r="V135" s="123"/>
      <c r="W135" s="123"/>
      <c r="X135" s="123"/>
      <c r="Y135" s="128"/>
      <c r="Z135" s="128"/>
      <c r="AA135" s="128"/>
      <c r="AB135" s="128"/>
      <c r="AC135" s="128"/>
    </row>
    <row r="136" spans="1:29">
      <c r="A136" s="128"/>
      <c r="B136" s="132"/>
      <c r="C136" s="123"/>
      <c r="D136" s="127"/>
      <c r="E136" s="12"/>
      <c r="F136" s="160"/>
      <c r="G136" s="123"/>
      <c r="H136" s="54"/>
      <c r="I136" s="123"/>
      <c r="J136" s="10" t="s">
        <v>42</v>
      </c>
      <c r="K136" s="63">
        <f t="shared" ref="K136:Q137" si="27">K128</f>
        <v>4</v>
      </c>
      <c r="L136" s="63">
        <f t="shared" si="27"/>
        <v>5</v>
      </c>
      <c r="M136" s="63">
        <f t="shared" si="27"/>
        <v>3</v>
      </c>
      <c r="N136" s="63">
        <f t="shared" si="27"/>
        <v>5</v>
      </c>
      <c r="O136" s="63">
        <f>O128</f>
        <v>6</v>
      </c>
      <c r="P136" s="63">
        <f t="shared" si="27"/>
        <v>23</v>
      </c>
      <c r="Q136" s="63">
        <f t="shared" si="27"/>
        <v>0</v>
      </c>
      <c r="R136" s="63"/>
      <c r="S136" s="10"/>
      <c r="T136" s="123"/>
      <c r="U136" s="157"/>
      <c r="V136" s="123"/>
      <c r="W136" s="123"/>
      <c r="X136" s="123"/>
      <c r="Y136" s="128"/>
      <c r="Z136" s="128"/>
      <c r="AA136" s="128"/>
      <c r="AB136" s="128"/>
      <c r="AC136" s="128"/>
    </row>
    <row r="137" spans="1:29">
      <c r="A137" s="128"/>
      <c r="B137" s="132"/>
      <c r="C137" s="123"/>
      <c r="D137" s="127"/>
      <c r="E137" s="12"/>
      <c r="F137" s="160"/>
      <c r="G137" s="123"/>
      <c r="H137" s="54"/>
      <c r="I137" s="123"/>
      <c r="J137" s="10" t="s">
        <v>44</v>
      </c>
      <c r="K137" s="63">
        <f t="shared" si="27"/>
        <v>3</v>
      </c>
      <c r="L137" s="63">
        <f t="shared" si="27"/>
        <v>8</v>
      </c>
      <c r="M137" s="63">
        <f t="shared" si="27"/>
        <v>4</v>
      </c>
      <c r="N137" s="63">
        <f t="shared" si="27"/>
        <v>3</v>
      </c>
      <c r="O137" s="63">
        <f t="shared" si="27"/>
        <v>4</v>
      </c>
      <c r="P137" s="63">
        <f t="shared" si="27"/>
        <v>22</v>
      </c>
      <c r="Q137" s="63">
        <f t="shared" si="27"/>
        <v>0</v>
      </c>
      <c r="R137" s="63"/>
      <c r="S137" s="10"/>
      <c r="T137" s="123"/>
      <c r="U137" s="157"/>
      <c r="V137" s="123"/>
      <c r="W137" s="123"/>
      <c r="X137" s="123"/>
      <c r="Y137" s="128"/>
      <c r="Z137" s="128"/>
      <c r="AA137" s="128"/>
      <c r="AB137" s="128"/>
      <c r="AC137" s="128"/>
    </row>
    <row r="138" spans="1:29">
      <c r="A138" s="128"/>
      <c r="B138" s="132"/>
      <c r="C138" s="123"/>
      <c r="D138" s="127"/>
      <c r="E138" s="12"/>
      <c r="F138" s="160"/>
      <c r="G138" s="123"/>
      <c r="H138" s="54"/>
      <c r="I138" s="123"/>
      <c r="J138" s="10" t="s">
        <v>46</v>
      </c>
      <c r="K138" s="31">
        <f t="shared" ref="K138:Q138" si="28">K136/(K136+K137)</f>
        <v>0.5714285714285714</v>
      </c>
      <c r="L138" s="31">
        <f t="shared" si="28"/>
        <v>0.38461538461538464</v>
      </c>
      <c r="M138" s="31">
        <f t="shared" si="28"/>
        <v>0.42857142857142855</v>
      </c>
      <c r="N138" s="31">
        <f t="shared" si="28"/>
        <v>0.625</v>
      </c>
      <c r="O138" s="31">
        <f t="shared" si="28"/>
        <v>0.6</v>
      </c>
      <c r="P138" s="31">
        <f t="shared" si="28"/>
        <v>0.51111111111111107</v>
      </c>
      <c r="Q138" s="31" t="e">
        <f t="shared" si="28"/>
        <v>#DIV/0!</v>
      </c>
      <c r="R138" s="63"/>
      <c r="S138" s="10"/>
      <c r="T138" s="123"/>
      <c r="U138" s="157"/>
      <c r="V138" s="123"/>
      <c r="W138" s="123"/>
      <c r="X138" s="123"/>
      <c r="Y138" s="128"/>
      <c r="Z138" s="128"/>
      <c r="AA138" s="128"/>
      <c r="AB138" s="128"/>
      <c r="AC138" s="128"/>
    </row>
    <row r="139" spans="1:29">
      <c r="A139" s="128"/>
      <c r="B139" s="132"/>
      <c r="C139" s="123"/>
      <c r="D139" s="127"/>
      <c r="E139" s="12"/>
      <c r="F139" s="160"/>
      <c r="G139" s="123"/>
      <c r="H139" s="54"/>
      <c r="I139" s="123"/>
      <c r="J139" s="10" t="s">
        <v>48</v>
      </c>
      <c r="K139" s="66">
        <f t="shared" ref="K139:Q139" si="29">K135/K136</f>
        <v>3246.25</v>
      </c>
      <c r="L139" s="66">
        <f t="shared" si="29"/>
        <v>1281.5999999999999</v>
      </c>
      <c r="M139" s="66">
        <f t="shared" si="29"/>
        <v>1696.6666666666667</v>
      </c>
      <c r="N139" s="66">
        <f t="shared" si="29"/>
        <v>1295.3</v>
      </c>
      <c r="O139" s="66">
        <f t="shared" si="29"/>
        <v>3637.8333333333335</v>
      </c>
      <c r="P139" s="66">
        <f t="shared" si="29"/>
        <v>2295.0652173913045</v>
      </c>
      <c r="Q139" s="66" t="e">
        <f t="shared" si="29"/>
        <v>#DIV/0!</v>
      </c>
      <c r="R139" s="63"/>
      <c r="S139" s="10"/>
      <c r="T139" s="123"/>
      <c r="U139" s="157"/>
      <c r="V139" s="123"/>
      <c r="W139" s="123"/>
      <c r="X139" s="123"/>
      <c r="Y139" s="128"/>
      <c r="Z139" s="128"/>
      <c r="AA139" s="128"/>
      <c r="AB139" s="128"/>
      <c r="AC139" s="128"/>
    </row>
    <row r="140" spans="1:29">
      <c r="A140" s="128"/>
      <c r="B140" s="132"/>
      <c r="C140" s="123"/>
      <c r="D140" s="127"/>
      <c r="E140" s="12"/>
      <c r="F140" s="160"/>
      <c r="G140" s="123"/>
      <c r="H140" s="54"/>
      <c r="I140" s="123"/>
      <c r="J140" s="123"/>
      <c r="K140" s="123"/>
      <c r="L140" s="123"/>
      <c r="M140" s="123"/>
      <c r="N140" s="123"/>
      <c r="O140" s="123"/>
      <c r="P140" s="123"/>
      <c r="Q140" s="123"/>
      <c r="R140" s="123"/>
      <c r="S140" s="123"/>
      <c r="T140" s="123"/>
      <c r="U140" s="157"/>
      <c r="V140" s="123"/>
      <c r="W140" s="123"/>
      <c r="X140" s="123"/>
      <c r="Y140" s="128"/>
      <c r="Z140" s="128"/>
      <c r="AA140" s="128"/>
      <c r="AB140" s="128"/>
      <c r="AC140" s="128"/>
    </row>
    <row r="141" spans="1:29">
      <c r="A141" s="2"/>
      <c r="B141" s="11"/>
      <c r="C141" s="10"/>
      <c r="D141" s="63"/>
      <c r="E141" s="12"/>
      <c r="F141" s="12"/>
      <c r="G141" s="10"/>
      <c r="H141" s="10"/>
      <c r="I141" s="10"/>
      <c r="J141" s="10"/>
      <c r="K141" s="10"/>
      <c r="L141" s="10"/>
      <c r="M141" s="10"/>
      <c r="N141" s="10"/>
      <c r="O141" s="10"/>
      <c r="P141" s="10"/>
      <c r="Q141" s="10"/>
      <c r="R141" s="10"/>
      <c r="S141" s="10"/>
      <c r="T141" s="10"/>
      <c r="U141" s="151"/>
      <c r="V141" s="77"/>
      <c r="W141" s="77"/>
      <c r="X141" s="77"/>
      <c r="Y141" s="2"/>
      <c r="Z141" s="2"/>
      <c r="AA141" s="2"/>
      <c r="AB141" s="2"/>
      <c r="AC141" s="2"/>
    </row>
    <row r="142" spans="1:29">
      <c r="A142" s="2"/>
      <c r="B142" s="11"/>
      <c r="C142" s="10"/>
      <c r="D142" s="63"/>
      <c r="E142" s="10"/>
      <c r="F142" s="10"/>
      <c r="G142" s="10"/>
      <c r="H142" s="10"/>
      <c r="I142" s="10"/>
      <c r="J142" s="10"/>
      <c r="K142" s="10"/>
      <c r="L142" s="10"/>
      <c r="M142" s="10"/>
      <c r="N142" s="10"/>
      <c r="O142" s="10"/>
      <c r="P142" s="10"/>
      <c r="Q142" s="10"/>
      <c r="R142" s="10"/>
      <c r="S142" s="10"/>
      <c r="T142" s="10"/>
      <c r="U142" s="151"/>
      <c r="V142" s="77"/>
      <c r="W142" s="77"/>
      <c r="X142" s="77"/>
      <c r="Y142" s="2"/>
      <c r="Z142" s="2"/>
      <c r="AA142" s="2"/>
      <c r="AB142" s="2"/>
      <c r="AC142" s="2"/>
    </row>
    <row r="143" spans="1:29">
      <c r="A143" s="2"/>
      <c r="B143" s="18" t="s">
        <v>51</v>
      </c>
      <c r="C143" s="14"/>
      <c r="D143" s="14"/>
      <c r="E143" s="14"/>
      <c r="F143" s="13" t="s">
        <v>52</v>
      </c>
      <c r="G143" s="14"/>
      <c r="H143" s="14"/>
      <c r="I143" s="14"/>
      <c r="J143" s="14"/>
      <c r="K143" s="13" t="s">
        <v>3</v>
      </c>
      <c r="L143" s="14"/>
      <c r="M143" s="14"/>
      <c r="N143" s="13" t="s">
        <v>4</v>
      </c>
      <c r="O143" s="14"/>
      <c r="P143" s="14"/>
      <c r="Q143" s="13" t="s">
        <v>5</v>
      </c>
      <c r="R143" s="14"/>
      <c r="S143" s="14"/>
      <c r="T143" s="18"/>
      <c r="U143" s="161" t="s">
        <v>53</v>
      </c>
      <c r="V143" s="77"/>
      <c r="W143" s="77"/>
      <c r="X143" s="77"/>
      <c r="Y143" s="2"/>
      <c r="Z143" s="2"/>
      <c r="AA143" s="2"/>
      <c r="AB143" s="2"/>
      <c r="AC143" s="2"/>
    </row>
    <row r="144" spans="1:29">
      <c r="A144" s="2"/>
      <c r="B144" s="24" t="s">
        <v>54</v>
      </c>
      <c r="C144" s="21" t="s">
        <v>55</v>
      </c>
      <c r="D144" s="21" t="s">
        <v>56</v>
      </c>
      <c r="E144" s="21" t="s">
        <v>57</v>
      </c>
      <c r="F144" s="20" t="s">
        <v>58</v>
      </c>
      <c r="G144" s="21" t="s">
        <v>59</v>
      </c>
      <c r="H144" s="21" t="s">
        <v>60</v>
      </c>
      <c r="I144" s="21" t="s">
        <v>26</v>
      </c>
      <c r="J144" s="22" t="s">
        <v>61</v>
      </c>
      <c r="K144" s="21" t="s">
        <v>8</v>
      </c>
      <c r="L144" s="21" t="s">
        <v>9</v>
      </c>
      <c r="M144" s="21" t="s">
        <v>10</v>
      </c>
      <c r="N144" s="20" t="s">
        <v>11</v>
      </c>
      <c r="O144" s="21" t="s">
        <v>12</v>
      </c>
      <c r="P144" s="22" t="s">
        <v>13</v>
      </c>
      <c r="Q144" s="21" t="s">
        <v>11</v>
      </c>
      <c r="R144" s="21" t="s">
        <v>12</v>
      </c>
      <c r="S144" s="21" t="s">
        <v>13</v>
      </c>
      <c r="T144" s="78" t="s">
        <v>14</v>
      </c>
      <c r="U144" s="162"/>
      <c r="V144" s="79" t="s">
        <v>62</v>
      </c>
      <c r="W144" s="80" t="s">
        <v>63</v>
      </c>
      <c r="X144" s="81" t="s">
        <v>64</v>
      </c>
      <c r="Y144" s="2"/>
      <c r="Z144" s="2"/>
      <c r="AA144" s="2"/>
      <c r="AB144" s="2"/>
      <c r="AC144" s="2"/>
    </row>
    <row r="145" spans="1:29">
      <c r="A145" s="2"/>
      <c r="B145" s="4" t="s">
        <v>65</v>
      </c>
      <c r="C145" s="6"/>
      <c r="D145" s="6"/>
      <c r="E145" s="6"/>
      <c r="F145" s="6"/>
      <c r="G145" s="6"/>
      <c r="H145" s="6"/>
      <c r="I145" s="82"/>
      <c r="J145" s="6"/>
      <c r="K145" s="6"/>
      <c r="L145" s="6"/>
      <c r="M145" s="6"/>
      <c r="N145" s="6"/>
      <c r="O145" s="6"/>
      <c r="P145" s="6"/>
      <c r="Q145" s="6"/>
      <c r="R145" s="6"/>
      <c r="S145" s="6"/>
      <c r="T145" s="83"/>
      <c r="U145" s="163"/>
      <c r="V145" s="84"/>
      <c r="W145" s="85"/>
      <c r="X145" s="86"/>
      <c r="Y145" s="2"/>
      <c r="Z145" s="2"/>
      <c r="AA145" s="2"/>
      <c r="AB145" s="2"/>
      <c r="AC145" s="2"/>
    </row>
    <row r="146" spans="1:29">
      <c r="A146" s="388">
        <v>45840</v>
      </c>
      <c r="B146" s="87">
        <v>1</v>
      </c>
      <c r="C146" s="274">
        <v>45838</v>
      </c>
      <c r="D146" s="320" t="s">
        <v>3421</v>
      </c>
      <c r="E146" s="276" t="s">
        <v>1058</v>
      </c>
      <c r="F146" s="277">
        <v>1861</v>
      </c>
      <c r="G146" s="277">
        <f>39.7+522.5+200</f>
        <v>762.2</v>
      </c>
      <c r="H146" s="277"/>
      <c r="I146" s="321">
        <f>F146-G146-H146</f>
        <v>1098.8</v>
      </c>
      <c r="J146" s="279" t="s">
        <v>156</v>
      </c>
      <c r="K146" s="279">
        <v>1</v>
      </c>
      <c r="L146" s="279">
        <v>1</v>
      </c>
      <c r="M146" s="279">
        <v>1</v>
      </c>
      <c r="N146" s="279">
        <v>1</v>
      </c>
      <c r="O146" s="279">
        <v>1</v>
      </c>
      <c r="P146" s="279">
        <v>1</v>
      </c>
      <c r="Q146" s="322">
        <v>0</v>
      </c>
      <c r="R146" s="322">
        <v>0</v>
      </c>
      <c r="S146" s="328">
        <v>0</v>
      </c>
      <c r="T146" s="63"/>
      <c r="U146" s="94" t="s">
        <v>3422</v>
      </c>
      <c r="V146" s="90">
        <f>204.71+1842.39</f>
        <v>2047.1000000000001</v>
      </c>
      <c r="W146" s="136"/>
      <c r="X146" s="137"/>
      <c r="Y146" s="2"/>
      <c r="Z146" s="2"/>
      <c r="AA146" s="2"/>
      <c r="AB146" s="2"/>
      <c r="AC146" s="2"/>
    </row>
    <row r="147" spans="1:29">
      <c r="A147" s="2" t="s">
        <v>230</v>
      </c>
      <c r="B147" s="87">
        <f>+B146+1</f>
        <v>2</v>
      </c>
      <c r="C147" s="295">
        <v>45838</v>
      </c>
      <c r="D147" s="323">
        <v>71001</v>
      </c>
      <c r="E147" s="10" t="s">
        <v>1046</v>
      </c>
      <c r="F147" s="62">
        <v>1134</v>
      </c>
      <c r="G147" s="62">
        <v>39.700000000000003</v>
      </c>
      <c r="H147" s="88"/>
      <c r="I147" s="369">
        <f>F147-G147-H147</f>
        <v>1094.3</v>
      </c>
      <c r="J147" s="63" t="s">
        <v>156</v>
      </c>
      <c r="K147" s="63">
        <v>1</v>
      </c>
      <c r="L147" s="63">
        <v>1</v>
      </c>
      <c r="M147" s="63">
        <v>1</v>
      </c>
      <c r="N147" s="63">
        <v>1</v>
      </c>
      <c r="O147" s="63">
        <v>1</v>
      </c>
      <c r="P147" s="63">
        <v>1</v>
      </c>
      <c r="Q147" s="63">
        <v>1</v>
      </c>
      <c r="R147" s="63">
        <v>1</v>
      </c>
      <c r="S147" s="326">
        <v>0</v>
      </c>
      <c r="T147" s="63"/>
      <c r="U147" s="94"/>
      <c r="V147" s="90">
        <v>1134</v>
      </c>
      <c r="W147" s="91"/>
      <c r="X147" s="92"/>
      <c r="Y147" s="2"/>
      <c r="Z147" s="2"/>
      <c r="AA147" s="2"/>
      <c r="AB147" s="2"/>
      <c r="AC147" s="2"/>
    </row>
    <row r="148" spans="1:29">
      <c r="A148" s="388">
        <v>45839</v>
      </c>
      <c r="B148" s="87">
        <f>B147+1</f>
        <v>3</v>
      </c>
      <c r="C148" s="295">
        <v>45838</v>
      </c>
      <c r="D148" s="323">
        <v>71109</v>
      </c>
      <c r="E148" s="10" t="s">
        <v>1443</v>
      </c>
      <c r="F148" s="62">
        <v>8214</v>
      </c>
      <c r="G148" s="62">
        <f>39.7+447.7+(52.4+1568.15)+250</f>
        <v>2357.9500000000003</v>
      </c>
      <c r="H148" s="62"/>
      <c r="I148" s="324">
        <f>F148-G148-H148</f>
        <v>5856.0499999999993</v>
      </c>
      <c r="J148" s="63" t="s">
        <v>374</v>
      </c>
      <c r="K148" s="63">
        <v>1</v>
      </c>
      <c r="L148" s="63">
        <v>1</v>
      </c>
      <c r="M148" s="63">
        <v>1</v>
      </c>
      <c r="N148" s="63">
        <v>1</v>
      </c>
      <c r="O148" s="63">
        <v>1</v>
      </c>
      <c r="P148" s="63">
        <v>1</v>
      </c>
      <c r="Q148" s="325">
        <v>0</v>
      </c>
      <c r="R148" s="325">
        <v>0</v>
      </c>
      <c r="S148" s="326">
        <v>0</v>
      </c>
      <c r="T148" s="63"/>
      <c r="U148" s="94" t="s">
        <v>3423</v>
      </c>
      <c r="V148" s="90">
        <f>8035.4+1000</f>
        <v>9035.4</v>
      </c>
      <c r="W148" s="136"/>
      <c r="X148" s="137"/>
      <c r="Y148" s="2"/>
      <c r="Z148" s="2"/>
      <c r="AA148" s="2"/>
      <c r="AB148" s="2"/>
      <c r="AC148" s="2"/>
    </row>
    <row r="149" spans="1:29">
      <c r="A149" s="2"/>
      <c r="B149" s="87">
        <f>B148+1</f>
        <v>4</v>
      </c>
      <c r="C149" s="282">
        <v>45838</v>
      </c>
      <c r="D149" s="368">
        <v>71097</v>
      </c>
      <c r="E149" s="283" t="s">
        <v>3424</v>
      </c>
      <c r="F149" s="284">
        <v>1776</v>
      </c>
      <c r="G149" s="284">
        <f>39.7+(75.58+7.96)+200</f>
        <v>323.24</v>
      </c>
      <c r="H149" s="284"/>
      <c r="I149" s="300">
        <f>F149-G149-H149</f>
        <v>1452.76</v>
      </c>
      <c r="J149" s="286" t="s">
        <v>156</v>
      </c>
      <c r="K149" s="286">
        <v>1</v>
      </c>
      <c r="L149" s="286">
        <v>1</v>
      </c>
      <c r="M149" s="286">
        <v>1</v>
      </c>
      <c r="N149" s="286">
        <v>1</v>
      </c>
      <c r="O149" s="286">
        <v>1</v>
      </c>
      <c r="P149" s="286">
        <v>1</v>
      </c>
      <c r="Q149" s="332">
        <v>0</v>
      </c>
      <c r="R149" s="332">
        <v>0</v>
      </c>
      <c r="S149" s="370">
        <v>0</v>
      </c>
      <c r="T149" s="63"/>
      <c r="U149" s="94" t="s">
        <v>3425</v>
      </c>
      <c r="V149" s="90">
        <f>1000+953.6</f>
        <v>1953.6</v>
      </c>
      <c r="W149" s="136"/>
      <c r="X149" s="137"/>
      <c r="Y149" s="2"/>
      <c r="Z149" s="2"/>
      <c r="AA149" s="2"/>
      <c r="AB149" s="2"/>
      <c r="AC149" s="2"/>
    </row>
    <row r="150" spans="1:29">
      <c r="A150" s="2"/>
      <c r="B150" s="87">
        <f>B149+1</f>
        <v>5</v>
      </c>
      <c r="C150" s="295">
        <v>45839</v>
      </c>
      <c r="D150" s="323">
        <v>71062</v>
      </c>
      <c r="E150" s="10" t="s">
        <v>1196</v>
      </c>
      <c r="F150" s="62">
        <f>601-85</f>
        <v>516</v>
      </c>
      <c r="G150" s="62"/>
      <c r="H150" s="62"/>
      <c r="I150" s="89">
        <f t="shared" ref="I150:I163" si="30">F150-G150-H150</f>
        <v>516</v>
      </c>
      <c r="J150" s="63" t="s">
        <v>156</v>
      </c>
      <c r="K150" s="63">
        <v>1</v>
      </c>
      <c r="L150" s="63">
        <v>1</v>
      </c>
      <c r="M150" s="63">
        <v>1</v>
      </c>
      <c r="N150" s="63">
        <v>1</v>
      </c>
      <c r="O150" s="63">
        <v>1</v>
      </c>
      <c r="P150" s="63">
        <v>1</v>
      </c>
      <c r="Q150" s="63">
        <v>1</v>
      </c>
      <c r="R150" s="63">
        <v>1</v>
      </c>
      <c r="S150" s="296">
        <v>1</v>
      </c>
      <c r="T150" s="63"/>
      <c r="U150" s="94"/>
      <c r="V150" s="90">
        <f>93.5+567.6</f>
        <v>661.1</v>
      </c>
      <c r="W150" s="91"/>
      <c r="X150" s="92"/>
      <c r="Y150" s="2"/>
      <c r="Z150" s="2"/>
      <c r="AA150" s="2"/>
      <c r="AB150" s="2"/>
      <c r="AC150" s="2"/>
    </row>
    <row r="151" spans="1:29">
      <c r="A151" s="93"/>
      <c r="B151" s="87">
        <f t="shared" ref="B151:B163" si="31">B150+1</f>
        <v>6</v>
      </c>
      <c r="C151" s="295">
        <v>45839</v>
      </c>
      <c r="D151" s="346" t="s">
        <v>3426</v>
      </c>
      <c r="E151" s="10" t="s">
        <v>1678</v>
      </c>
      <c r="F151" s="62">
        <v>960</v>
      </c>
      <c r="G151" s="62">
        <v>39.700000000000003</v>
      </c>
      <c r="H151" s="62"/>
      <c r="I151" s="324">
        <f t="shared" si="30"/>
        <v>920.3</v>
      </c>
      <c r="J151" s="63" t="s">
        <v>156</v>
      </c>
      <c r="K151" s="63">
        <v>1</v>
      </c>
      <c r="L151" s="63">
        <v>1</v>
      </c>
      <c r="M151" s="63">
        <v>1</v>
      </c>
      <c r="N151" s="63">
        <v>1</v>
      </c>
      <c r="O151" s="63">
        <v>1</v>
      </c>
      <c r="P151" s="63">
        <v>1</v>
      </c>
      <c r="Q151" s="325">
        <v>0</v>
      </c>
      <c r="R151" s="325">
        <v>0</v>
      </c>
      <c r="S151" s="326">
        <v>0</v>
      </c>
      <c r="T151" s="63"/>
      <c r="U151" s="94"/>
      <c r="V151" s="90">
        <v>1056</v>
      </c>
      <c r="W151" s="91"/>
      <c r="X151" s="92"/>
      <c r="Y151" s="2"/>
      <c r="Z151" s="2"/>
      <c r="AA151" s="2"/>
      <c r="AB151" s="2"/>
      <c r="AC151" s="2"/>
    </row>
    <row r="152" spans="1:29">
      <c r="A152" s="2"/>
      <c r="B152" s="87">
        <f t="shared" si="31"/>
        <v>7</v>
      </c>
      <c r="C152" s="295">
        <v>45839</v>
      </c>
      <c r="D152" s="346" t="s">
        <v>3427</v>
      </c>
      <c r="E152" s="94" t="s">
        <v>3428</v>
      </c>
      <c r="F152" s="62">
        <v>1138</v>
      </c>
      <c r="G152" s="62">
        <v>39.700000000000003</v>
      </c>
      <c r="H152" s="62"/>
      <c r="I152" s="324">
        <f t="shared" si="30"/>
        <v>1098.3</v>
      </c>
      <c r="J152" s="63" t="s">
        <v>156</v>
      </c>
      <c r="K152" s="63">
        <v>1</v>
      </c>
      <c r="L152" s="63">
        <v>1</v>
      </c>
      <c r="M152" s="63">
        <v>1</v>
      </c>
      <c r="N152" s="63">
        <v>1</v>
      </c>
      <c r="O152" s="63">
        <v>1</v>
      </c>
      <c r="P152" s="63">
        <v>1</v>
      </c>
      <c r="Q152" s="325">
        <v>0</v>
      </c>
      <c r="R152" s="325">
        <v>0</v>
      </c>
      <c r="S152" s="326">
        <v>0</v>
      </c>
      <c r="T152" s="63"/>
      <c r="U152" s="94"/>
      <c r="V152" s="90">
        <v>1251.8</v>
      </c>
      <c r="W152" s="91"/>
      <c r="X152" s="92"/>
      <c r="Y152" s="2"/>
      <c r="Z152" s="2"/>
      <c r="AA152" s="2"/>
      <c r="AB152" s="2"/>
      <c r="AC152" s="2"/>
    </row>
    <row r="153" spans="1:29">
      <c r="A153" s="388">
        <v>45840</v>
      </c>
      <c r="B153" s="87">
        <f>B152+1</f>
        <v>8</v>
      </c>
      <c r="C153" s="295">
        <v>45839</v>
      </c>
      <c r="D153" s="323">
        <v>71138</v>
      </c>
      <c r="E153" s="10" t="s">
        <v>3429</v>
      </c>
      <c r="F153" s="62">
        <v>2533</v>
      </c>
      <c r="G153" s="62">
        <f>39.7+(421.89)+200</f>
        <v>661.58999999999992</v>
      </c>
      <c r="H153" s="62"/>
      <c r="I153" s="324">
        <f>F153-G153-H153</f>
        <v>1871.41</v>
      </c>
      <c r="J153" s="94" t="s">
        <v>3430</v>
      </c>
      <c r="K153" s="63">
        <v>1</v>
      </c>
      <c r="L153" s="63">
        <v>1</v>
      </c>
      <c r="M153" s="63">
        <v>1</v>
      </c>
      <c r="N153" s="63">
        <v>1</v>
      </c>
      <c r="O153" s="63">
        <v>1</v>
      </c>
      <c r="P153" s="63">
        <v>1</v>
      </c>
      <c r="Q153" s="63">
        <v>1</v>
      </c>
      <c r="R153" s="63">
        <v>1</v>
      </c>
      <c r="S153" s="296">
        <v>1</v>
      </c>
      <c r="T153" s="63"/>
      <c r="U153" s="94" t="s">
        <v>3431</v>
      </c>
      <c r="V153" s="90">
        <f>1786.3+500</f>
        <v>2286.3000000000002</v>
      </c>
      <c r="W153" s="456">
        <v>500</v>
      </c>
      <c r="X153" s="137"/>
      <c r="Y153" s="2"/>
      <c r="Z153" s="2"/>
      <c r="AA153" s="2"/>
      <c r="AB153" s="2"/>
      <c r="AC153" s="2"/>
    </row>
    <row r="154" spans="1:29">
      <c r="A154" s="2"/>
      <c r="B154" s="87">
        <f>B153+1</f>
        <v>9</v>
      </c>
      <c r="C154" s="274">
        <v>45840</v>
      </c>
      <c r="D154" s="320" t="s">
        <v>3432</v>
      </c>
      <c r="E154" s="276" t="s">
        <v>1058</v>
      </c>
      <c r="F154" s="277">
        <v>2814</v>
      </c>
      <c r="G154" s="277">
        <f>39.7+(388.17+32.52)+200</f>
        <v>660.39</v>
      </c>
      <c r="H154" s="277"/>
      <c r="I154" s="321">
        <f>F154-G154-H154</f>
        <v>2153.61</v>
      </c>
      <c r="J154" s="279" t="s">
        <v>156</v>
      </c>
      <c r="K154" s="279">
        <v>1</v>
      </c>
      <c r="L154" s="279">
        <v>1</v>
      </c>
      <c r="M154" s="279">
        <v>1</v>
      </c>
      <c r="N154" s="279">
        <v>1</v>
      </c>
      <c r="O154" s="279">
        <v>1</v>
      </c>
      <c r="P154" s="279">
        <v>1</v>
      </c>
      <c r="Q154" s="322">
        <v>0</v>
      </c>
      <c r="R154" s="322">
        <v>0</v>
      </c>
      <c r="S154" s="328">
        <v>0</v>
      </c>
      <c r="T154" s="63"/>
      <c r="U154" s="94" t="s">
        <v>3422</v>
      </c>
      <c r="V154" s="90">
        <f>204.71+309.54+2581.15</f>
        <v>3095.4</v>
      </c>
      <c r="W154" s="136"/>
      <c r="X154" s="137"/>
      <c r="Y154" s="2"/>
      <c r="Z154" s="2"/>
      <c r="AA154" s="2"/>
      <c r="AB154" s="2"/>
      <c r="AC154" s="2"/>
    </row>
    <row r="155" spans="1:29">
      <c r="A155" s="2"/>
      <c r="B155" s="87">
        <f>+B154+1</f>
        <v>10</v>
      </c>
      <c r="C155" s="295">
        <v>45840</v>
      </c>
      <c r="D155" s="346" t="s">
        <v>3433</v>
      </c>
      <c r="E155" s="10" t="s">
        <v>1439</v>
      </c>
      <c r="F155" s="62">
        <v>1138</v>
      </c>
      <c r="G155" s="62">
        <v>39.700000000000003</v>
      </c>
      <c r="H155" s="62"/>
      <c r="I155" s="324">
        <f t="shared" si="30"/>
        <v>1098.3</v>
      </c>
      <c r="J155" s="63" t="s">
        <v>156</v>
      </c>
      <c r="K155" s="63">
        <v>1</v>
      </c>
      <c r="L155" s="63">
        <v>1</v>
      </c>
      <c r="M155" s="63">
        <v>1</v>
      </c>
      <c r="N155" s="63">
        <v>1</v>
      </c>
      <c r="O155" s="63">
        <v>1</v>
      </c>
      <c r="P155" s="63">
        <v>1</v>
      </c>
      <c r="Q155" s="325">
        <v>0</v>
      </c>
      <c r="R155" s="325">
        <v>0</v>
      </c>
      <c r="S155" s="326">
        <v>0</v>
      </c>
      <c r="T155" s="63"/>
      <c r="U155" s="94"/>
      <c r="V155" s="90">
        <v>1251.8</v>
      </c>
      <c r="W155" s="91"/>
      <c r="X155" s="92"/>
      <c r="Y155" s="2"/>
      <c r="Z155" s="2"/>
      <c r="AA155" s="2"/>
      <c r="AB155" s="2"/>
      <c r="AC155" s="2"/>
    </row>
    <row r="156" spans="1:29">
      <c r="A156" s="2" t="s">
        <v>3434</v>
      </c>
      <c r="B156" s="87">
        <f>B155+1</f>
        <v>11</v>
      </c>
      <c r="C156" s="295">
        <v>45840</v>
      </c>
      <c r="D156" s="323">
        <v>71166</v>
      </c>
      <c r="E156" s="101" t="s">
        <v>3435</v>
      </c>
      <c r="F156" s="62">
        <v>1138</v>
      </c>
      <c r="G156" s="62">
        <v>39.700000000000003</v>
      </c>
      <c r="H156" s="62"/>
      <c r="I156" s="369">
        <f>F156-G156-H156</f>
        <v>1098.3</v>
      </c>
      <c r="J156" s="63" t="s">
        <v>374</v>
      </c>
      <c r="K156" s="63">
        <v>1</v>
      </c>
      <c r="L156" s="63">
        <v>1</v>
      </c>
      <c r="M156" s="63">
        <v>1</v>
      </c>
      <c r="N156" s="63">
        <v>1</v>
      </c>
      <c r="O156" s="63">
        <v>1</v>
      </c>
      <c r="P156" s="63">
        <v>1</v>
      </c>
      <c r="Q156" s="63">
        <v>1</v>
      </c>
      <c r="R156" s="63">
        <v>1</v>
      </c>
      <c r="S156" s="296">
        <v>1</v>
      </c>
      <c r="T156" s="63"/>
      <c r="U156" s="94" t="s">
        <v>3436</v>
      </c>
      <c r="V156" s="90">
        <v>1251.8</v>
      </c>
      <c r="W156" s="91"/>
      <c r="X156" s="92"/>
      <c r="Y156" s="2"/>
      <c r="Z156" s="2"/>
      <c r="AA156" s="2"/>
      <c r="AB156" s="2"/>
      <c r="AC156" s="2"/>
    </row>
    <row r="157" spans="1:29">
      <c r="A157" s="2"/>
      <c r="B157" s="87">
        <f>B156+1</f>
        <v>12</v>
      </c>
      <c r="C157" s="274">
        <v>45841</v>
      </c>
      <c r="D157" s="320" t="s">
        <v>3437</v>
      </c>
      <c r="E157" s="276" t="s">
        <v>159</v>
      </c>
      <c r="F157" s="277">
        <v>1264</v>
      </c>
      <c r="G157" s="277">
        <v>39.700000000000003</v>
      </c>
      <c r="H157" s="297"/>
      <c r="I157" s="278">
        <f t="shared" si="30"/>
        <v>1224.3</v>
      </c>
      <c r="J157" s="279" t="s">
        <v>156</v>
      </c>
      <c r="K157" s="279">
        <v>1</v>
      </c>
      <c r="L157" s="279">
        <v>1</v>
      </c>
      <c r="M157" s="279">
        <v>1</v>
      </c>
      <c r="N157" s="279">
        <v>1</v>
      </c>
      <c r="O157" s="279">
        <v>1</v>
      </c>
      <c r="P157" s="279">
        <v>1</v>
      </c>
      <c r="Q157" s="279">
        <v>1</v>
      </c>
      <c r="R157" s="279">
        <v>1</v>
      </c>
      <c r="S157" s="280">
        <v>1</v>
      </c>
      <c r="T157" s="63"/>
      <c r="U157" s="94"/>
      <c r="V157" s="90">
        <v>1390.4</v>
      </c>
      <c r="W157" s="91"/>
      <c r="X157" s="92"/>
      <c r="Y157" s="2"/>
      <c r="Z157" s="2"/>
      <c r="AA157" s="2"/>
      <c r="AB157" s="2"/>
      <c r="AC157" s="2"/>
    </row>
    <row r="158" spans="1:29">
      <c r="A158" s="2"/>
      <c r="B158" s="87">
        <f t="shared" si="31"/>
        <v>13</v>
      </c>
      <c r="C158" s="295">
        <v>45841</v>
      </c>
      <c r="D158" s="346" t="s">
        <v>3438</v>
      </c>
      <c r="E158" s="10" t="s">
        <v>159</v>
      </c>
      <c r="F158" s="62">
        <v>3197</v>
      </c>
      <c r="G158" s="62">
        <f>39.7+123.8+(1.6)</f>
        <v>165.1</v>
      </c>
      <c r="H158" s="88"/>
      <c r="I158" s="89">
        <f>F158-G158-H158</f>
        <v>3031.9</v>
      </c>
      <c r="J158" s="63" t="s">
        <v>156</v>
      </c>
      <c r="K158" s="63">
        <v>1</v>
      </c>
      <c r="L158" s="63">
        <v>1</v>
      </c>
      <c r="M158" s="63">
        <v>1</v>
      </c>
      <c r="N158" s="63">
        <v>1</v>
      </c>
      <c r="O158" s="63">
        <v>1</v>
      </c>
      <c r="P158" s="63">
        <v>1</v>
      </c>
      <c r="Q158" s="63">
        <v>1</v>
      </c>
      <c r="R158" s="63">
        <v>1</v>
      </c>
      <c r="S158" s="296">
        <v>1</v>
      </c>
      <c r="T158" s="63"/>
      <c r="U158" s="94"/>
      <c r="V158" s="90">
        <f>351.67+3165.03</f>
        <v>3516.7000000000003</v>
      </c>
      <c r="W158" s="91"/>
      <c r="X158" s="92"/>
      <c r="Y158" s="2"/>
      <c r="Z158" s="2"/>
      <c r="AA158" s="2"/>
      <c r="AB158" s="2"/>
      <c r="AC158" s="2"/>
    </row>
    <row r="159" spans="1:29">
      <c r="A159" s="2"/>
      <c r="B159" s="87">
        <f t="shared" si="31"/>
        <v>14</v>
      </c>
      <c r="C159" s="295">
        <v>45841</v>
      </c>
      <c r="D159" s="323">
        <v>71194</v>
      </c>
      <c r="E159" s="10" t="s">
        <v>382</v>
      </c>
      <c r="F159" s="62">
        <v>1028</v>
      </c>
      <c r="G159" s="62">
        <v>39.700000000000003</v>
      </c>
      <c r="H159" s="88"/>
      <c r="I159" s="89">
        <f>F159-G159-H159</f>
        <v>988.3</v>
      </c>
      <c r="J159" s="63" t="s">
        <v>374</v>
      </c>
      <c r="K159" s="63">
        <v>1</v>
      </c>
      <c r="L159" s="63">
        <v>1</v>
      </c>
      <c r="M159" s="63">
        <v>1</v>
      </c>
      <c r="N159" s="63">
        <v>1</v>
      </c>
      <c r="O159" s="63">
        <v>1</v>
      </c>
      <c r="P159" s="63">
        <v>1</v>
      </c>
      <c r="Q159" s="63">
        <v>1</v>
      </c>
      <c r="R159" s="63">
        <v>1</v>
      </c>
      <c r="S159" s="296">
        <v>1</v>
      </c>
      <c r="T159" s="63"/>
      <c r="U159" s="94"/>
      <c r="V159" s="90">
        <v>1130.8</v>
      </c>
      <c r="W159" s="91"/>
      <c r="X159" s="92"/>
      <c r="Y159" s="2"/>
      <c r="Z159" s="2"/>
      <c r="AA159" s="2"/>
      <c r="AB159" s="2"/>
      <c r="AC159" s="2"/>
    </row>
    <row r="160" spans="1:29">
      <c r="A160" s="2"/>
      <c r="B160" s="87">
        <f t="shared" si="31"/>
        <v>15</v>
      </c>
      <c r="C160" s="295">
        <v>45841</v>
      </c>
      <c r="D160" s="323">
        <v>71202</v>
      </c>
      <c r="E160" s="10" t="s">
        <v>1030</v>
      </c>
      <c r="F160" s="62">
        <v>681</v>
      </c>
      <c r="G160" s="62"/>
      <c r="H160" s="88"/>
      <c r="I160" s="89">
        <f>F160-G160-H160</f>
        <v>681</v>
      </c>
      <c r="J160" s="63" t="s">
        <v>150</v>
      </c>
      <c r="K160" s="63">
        <v>1</v>
      </c>
      <c r="L160" s="63">
        <v>1</v>
      </c>
      <c r="M160" s="63">
        <v>1</v>
      </c>
      <c r="N160" s="63">
        <v>1</v>
      </c>
      <c r="O160" s="63">
        <v>1</v>
      </c>
      <c r="P160" s="63">
        <v>1</v>
      </c>
      <c r="Q160" s="63">
        <v>1</v>
      </c>
      <c r="R160" s="63">
        <v>1</v>
      </c>
      <c r="S160" s="296">
        <v>1</v>
      </c>
      <c r="T160" s="63"/>
      <c r="U160" s="94"/>
      <c r="V160" s="90"/>
      <c r="W160" s="440">
        <v>749.1</v>
      </c>
      <c r="X160" s="92"/>
      <c r="Y160" s="2"/>
      <c r="Z160" s="2"/>
      <c r="AA160" s="2"/>
      <c r="AB160" s="2"/>
      <c r="AC160" s="2"/>
    </row>
    <row r="161" spans="1:31">
      <c r="A161" s="388">
        <v>45866</v>
      </c>
      <c r="B161" s="87">
        <f t="shared" si="31"/>
        <v>16</v>
      </c>
      <c r="C161" s="295">
        <v>45841</v>
      </c>
      <c r="D161" s="323">
        <v>71204</v>
      </c>
      <c r="E161" s="10" t="s">
        <v>604</v>
      </c>
      <c r="F161" s="62">
        <f>681-374.5</f>
        <v>306.5</v>
      </c>
      <c r="G161" s="62"/>
      <c r="H161" s="88"/>
      <c r="I161" s="369">
        <f>F161-G161-H161</f>
        <v>306.5</v>
      </c>
      <c r="J161" s="63" t="s">
        <v>374</v>
      </c>
      <c r="K161" s="63">
        <v>1</v>
      </c>
      <c r="L161" s="63">
        <v>1</v>
      </c>
      <c r="M161" s="63">
        <v>1</v>
      </c>
      <c r="N161" s="63">
        <v>1</v>
      </c>
      <c r="O161" s="63">
        <v>1</v>
      </c>
      <c r="P161" s="63">
        <v>1</v>
      </c>
      <c r="Q161" s="63">
        <v>1</v>
      </c>
      <c r="R161" s="63">
        <v>1</v>
      </c>
      <c r="S161" s="296">
        <v>1</v>
      </c>
      <c r="T161" s="63"/>
      <c r="U161" s="94" t="s">
        <v>3439</v>
      </c>
      <c r="V161" s="90">
        <v>749.1</v>
      </c>
      <c r="W161" s="91"/>
      <c r="X161" s="92"/>
      <c r="Y161" s="2"/>
      <c r="Z161" s="2"/>
      <c r="AA161" s="2"/>
      <c r="AB161" s="2"/>
      <c r="AC161" s="2"/>
    </row>
    <row r="162" spans="1:31">
      <c r="A162" s="2"/>
      <c r="B162" s="87">
        <f t="shared" si="31"/>
        <v>17</v>
      </c>
      <c r="C162" s="274">
        <v>45842</v>
      </c>
      <c r="D162" s="327">
        <v>71207</v>
      </c>
      <c r="E162" s="276" t="s">
        <v>604</v>
      </c>
      <c r="F162" s="447">
        <v>1281</v>
      </c>
      <c r="G162" s="277">
        <f>39.7+(91.9)</f>
        <v>131.60000000000002</v>
      </c>
      <c r="H162" s="277"/>
      <c r="I162" s="321">
        <f t="shared" si="30"/>
        <v>1149.4000000000001</v>
      </c>
      <c r="J162" s="279" t="s">
        <v>156</v>
      </c>
      <c r="K162" s="279">
        <v>1</v>
      </c>
      <c r="L162" s="279">
        <v>1</v>
      </c>
      <c r="M162" s="279">
        <v>1</v>
      </c>
      <c r="N162" s="279">
        <v>1</v>
      </c>
      <c r="O162" s="279">
        <v>1</v>
      </c>
      <c r="P162" s="279">
        <v>1</v>
      </c>
      <c r="Q162" s="322">
        <v>0</v>
      </c>
      <c r="R162" s="322">
        <v>0</v>
      </c>
      <c r="S162" s="328">
        <v>0</v>
      </c>
      <c r="T162" s="63"/>
      <c r="U162" s="94"/>
      <c r="V162" s="90">
        <v>1409.1</v>
      </c>
      <c r="W162" s="91"/>
      <c r="X162" s="92"/>
      <c r="Y162" s="2"/>
      <c r="Z162" s="2"/>
      <c r="AA162" s="2"/>
      <c r="AB162" s="2"/>
      <c r="AC162" s="2"/>
    </row>
    <row r="163" spans="1:31">
      <c r="A163" s="2"/>
      <c r="B163" s="87">
        <f t="shared" si="31"/>
        <v>18</v>
      </c>
      <c r="C163" s="295">
        <v>45842</v>
      </c>
      <c r="D163" s="346" t="s">
        <v>3440</v>
      </c>
      <c r="E163" s="10" t="s">
        <v>1030</v>
      </c>
      <c r="F163" s="95">
        <f>1323-185</f>
        <v>1138</v>
      </c>
      <c r="G163" s="62">
        <v>39.700000000000003</v>
      </c>
      <c r="H163" s="62"/>
      <c r="I163" s="324">
        <f t="shared" si="30"/>
        <v>1098.3</v>
      </c>
      <c r="J163" s="63" t="s">
        <v>156</v>
      </c>
      <c r="K163" s="63">
        <v>1</v>
      </c>
      <c r="L163" s="63">
        <v>1</v>
      </c>
      <c r="M163" s="63">
        <v>1</v>
      </c>
      <c r="N163" s="63">
        <v>1</v>
      </c>
      <c r="O163" s="63">
        <v>1</v>
      </c>
      <c r="P163" s="63">
        <v>1</v>
      </c>
      <c r="Q163" s="325">
        <v>0</v>
      </c>
      <c r="R163" s="325">
        <v>0</v>
      </c>
      <c r="S163" s="326">
        <v>0</v>
      </c>
      <c r="T163" s="63"/>
      <c r="U163" s="94"/>
      <c r="V163" s="90">
        <f>203.5+1251.8</f>
        <v>1455.3</v>
      </c>
      <c r="W163" s="91"/>
      <c r="X163" s="92"/>
      <c r="Y163" s="2"/>
      <c r="Z163" s="2"/>
      <c r="AA163" s="2"/>
      <c r="AB163" s="2"/>
      <c r="AC163" s="2"/>
    </row>
    <row r="164" spans="1:31">
      <c r="A164" s="2"/>
      <c r="B164" s="87">
        <f>B163+1</f>
        <v>19</v>
      </c>
      <c r="C164" s="295">
        <v>45842</v>
      </c>
      <c r="D164" s="346" t="s">
        <v>3441</v>
      </c>
      <c r="E164" s="10" t="s">
        <v>604</v>
      </c>
      <c r="F164" s="62">
        <v>681</v>
      </c>
      <c r="G164" s="62"/>
      <c r="H164" s="62"/>
      <c r="I164" s="324">
        <f>F164-G164-H164</f>
        <v>681</v>
      </c>
      <c r="J164" s="63" t="s">
        <v>156</v>
      </c>
      <c r="K164" s="63">
        <v>1</v>
      </c>
      <c r="L164" s="63">
        <v>1</v>
      </c>
      <c r="M164" s="63">
        <v>1</v>
      </c>
      <c r="N164" s="63">
        <v>1</v>
      </c>
      <c r="O164" s="63">
        <v>1</v>
      </c>
      <c r="P164" s="63">
        <v>1</v>
      </c>
      <c r="Q164" s="325">
        <v>0</v>
      </c>
      <c r="R164" s="325">
        <v>0</v>
      </c>
      <c r="S164" s="326">
        <v>0</v>
      </c>
      <c r="T164" s="63"/>
      <c r="U164" s="94"/>
      <c r="V164" s="90">
        <v>749.1</v>
      </c>
      <c r="W164" s="136"/>
      <c r="X164" s="137"/>
      <c r="Y164" s="2"/>
      <c r="Z164" s="2"/>
      <c r="AA164" s="2"/>
      <c r="AB164" s="2"/>
      <c r="AC164" s="2"/>
    </row>
    <row r="165" spans="1:31">
      <c r="A165" s="388">
        <v>45843</v>
      </c>
      <c r="B165" s="87">
        <f>B164+1</f>
        <v>20</v>
      </c>
      <c r="C165" s="282">
        <v>45842</v>
      </c>
      <c r="D165" s="330" t="s">
        <v>3442</v>
      </c>
      <c r="E165" s="283" t="s">
        <v>604</v>
      </c>
      <c r="F165" s="284">
        <v>2035</v>
      </c>
      <c r="G165" s="284">
        <f>39.7+(91.32)</f>
        <v>131.01999999999998</v>
      </c>
      <c r="H165" s="284"/>
      <c r="I165" s="300">
        <f t="shared" ref="I165" si="32">F165-G165-H165</f>
        <v>1903.98</v>
      </c>
      <c r="J165" s="286" t="s">
        <v>3443</v>
      </c>
      <c r="K165" s="286">
        <v>1</v>
      </c>
      <c r="L165" s="286">
        <v>1</v>
      </c>
      <c r="M165" s="286">
        <v>1</v>
      </c>
      <c r="N165" s="286">
        <v>1</v>
      </c>
      <c r="O165" s="286">
        <v>1</v>
      </c>
      <c r="P165" s="286">
        <v>1</v>
      </c>
      <c r="Q165" s="332">
        <v>0</v>
      </c>
      <c r="R165" s="332">
        <v>0</v>
      </c>
      <c r="S165" s="370">
        <v>0</v>
      </c>
      <c r="T165" s="63"/>
      <c r="U165" s="389" t="s">
        <v>3444</v>
      </c>
      <c r="V165" s="90">
        <f>223.85+2014.65</f>
        <v>2238.5</v>
      </c>
      <c r="W165" s="136"/>
      <c r="X165" s="137"/>
      <c r="Y165" s="2"/>
      <c r="Z165" s="2"/>
      <c r="AA165" s="2"/>
      <c r="AB165" s="2"/>
      <c r="AC165" s="2"/>
    </row>
    <row r="166" spans="1:31">
      <c r="A166" s="2"/>
      <c r="B166" s="87"/>
      <c r="C166" s="36"/>
      <c r="D166" s="10"/>
      <c r="E166" s="10"/>
      <c r="F166" s="97">
        <f>SUM(F146:F165)</f>
        <v>34833.5</v>
      </c>
      <c r="G166" s="97">
        <f>SUM(G146:G165)</f>
        <v>5510.6900000000005</v>
      </c>
      <c r="H166" s="97">
        <f>SUM(H146:H165)</f>
        <v>0</v>
      </c>
      <c r="I166" s="97">
        <f>SUM(I146:I165)</f>
        <v>29322.809999999998</v>
      </c>
      <c r="J166" s="63"/>
      <c r="K166" s="63">
        <f t="shared" ref="K166:S166" si="33">SUM(K146:K164)</f>
        <v>19</v>
      </c>
      <c r="L166" s="63">
        <f t="shared" si="33"/>
        <v>19</v>
      </c>
      <c r="M166" s="63">
        <f t="shared" si="33"/>
        <v>19</v>
      </c>
      <c r="N166" s="63">
        <f t="shared" si="33"/>
        <v>19</v>
      </c>
      <c r="O166" s="63">
        <f t="shared" si="33"/>
        <v>19</v>
      </c>
      <c r="P166" s="63">
        <f t="shared" si="33"/>
        <v>19</v>
      </c>
      <c r="Q166" s="63">
        <f t="shared" si="33"/>
        <v>9</v>
      </c>
      <c r="R166" s="63">
        <f t="shared" si="33"/>
        <v>9</v>
      </c>
      <c r="S166" s="63">
        <f t="shared" si="33"/>
        <v>8</v>
      </c>
      <c r="T166" s="63"/>
      <c r="U166" s="94"/>
      <c r="V166" s="90"/>
      <c r="W166" s="91"/>
      <c r="X166" s="92"/>
      <c r="Y166" s="2"/>
      <c r="Z166" s="2"/>
      <c r="AA166" s="2"/>
      <c r="AB166" s="2"/>
      <c r="AC166" s="2"/>
    </row>
    <row r="167" spans="1:31">
      <c r="A167" s="2"/>
      <c r="B167" s="87"/>
      <c r="C167" s="36"/>
      <c r="D167" s="10"/>
      <c r="E167" s="10"/>
      <c r="F167" s="88"/>
      <c r="G167" s="88"/>
      <c r="H167" s="88"/>
      <c r="I167" s="99"/>
      <c r="J167" s="63"/>
      <c r="K167" s="21">
        <f t="shared" ref="K167:S167" si="34">SUM(K146:K164)</f>
        <v>19</v>
      </c>
      <c r="L167" s="21">
        <f t="shared" si="34"/>
        <v>19</v>
      </c>
      <c r="M167" s="21">
        <f t="shared" si="34"/>
        <v>19</v>
      </c>
      <c r="N167" s="21">
        <f t="shared" si="34"/>
        <v>19</v>
      </c>
      <c r="O167" s="21">
        <f t="shared" si="34"/>
        <v>19</v>
      </c>
      <c r="P167" s="21">
        <f t="shared" si="34"/>
        <v>19</v>
      </c>
      <c r="Q167" s="21">
        <f t="shared" si="34"/>
        <v>9</v>
      </c>
      <c r="R167" s="21">
        <f t="shared" si="34"/>
        <v>9</v>
      </c>
      <c r="S167" s="21">
        <f t="shared" si="34"/>
        <v>8</v>
      </c>
      <c r="T167" s="63"/>
      <c r="U167" s="94"/>
      <c r="V167" s="90"/>
      <c r="W167" s="91"/>
      <c r="X167" s="92"/>
      <c r="Y167" s="2"/>
      <c r="Z167" s="2"/>
      <c r="AA167" s="2"/>
      <c r="AB167" s="2"/>
      <c r="AC167" s="2"/>
    </row>
    <row r="168" spans="1:31">
      <c r="A168" s="2"/>
      <c r="B168" s="11"/>
      <c r="C168" s="36"/>
      <c r="D168" s="10"/>
      <c r="E168" s="10"/>
      <c r="F168" s="88"/>
      <c r="G168" s="88"/>
      <c r="H168" s="88"/>
      <c r="I168" s="99"/>
      <c r="J168" s="63"/>
      <c r="K168" s="21"/>
      <c r="L168" s="21"/>
      <c r="M168" s="21"/>
      <c r="N168" s="21"/>
      <c r="O168" s="21"/>
      <c r="P168" s="21"/>
      <c r="Q168" s="21"/>
      <c r="R168" s="21"/>
      <c r="S168" s="21"/>
      <c r="T168" s="63"/>
      <c r="U168" s="94"/>
      <c r="V168" s="90"/>
      <c r="W168" s="91"/>
      <c r="X168" s="92"/>
      <c r="Y168" s="2"/>
      <c r="Z168" s="2"/>
      <c r="AA168" s="2"/>
      <c r="AB168" s="2"/>
      <c r="AC168" s="2"/>
    </row>
    <row r="169" spans="1:31">
      <c r="A169" s="2"/>
      <c r="B169" s="100" t="s">
        <v>67</v>
      </c>
      <c r="C169" s="36"/>
      <c r="D169" s="10"/>
      <c r="E169" s="10"/>
      <c r="F169" s="88"/>
      <c r="G169" s="62"/>
      <c r="H169" s="88"/>
      <c r="I169" s="99"/>
      <c r="J169" s="63"/>
      <c r="K169" s="2"/>
      <c r="L169" s="2"/>
      <c r="M169" s="2"/>
      <c r="N169" s="2"/>
      <c r="O169" s="2"/>
      <c r="P169" s="2"/>
      <c r="Q169" s="2"/>
      <c r="R169" s="2"/>
      <c r="S169" s="2"/>
      <c r="T169" s="63"/>
      <c r="U169" s="94"/>
      <c r="V169" s="90"/>
      <c r="W169" s="91"/>
      <c r="X169" s="92"/>
      <c r="Y169" s="2"/>
      <c r="Z169" s="2"/>
      <c r="AA169" s="2"/>
      <c r="AB169" s="2"/>
      <c r="AC169" s="2"/>
    </row>
    <row r="170" spans="1:31">
      <c r="A170" s="181" t="s">
        <v>3399</v>
      </c>
      <c r="B170" s="87">
        <v>1</v>
      </c>
      <c r="C170" s="262">
        <v>45835</v>
      </c>
      <c r="D170" s="263">
        <v>71059</v>
      </c>
      <c r="E170" s="271" t="s">
        <v>1103</v>
      </c>
      <c r="F170" s="265">
        <v>481</v>
      </c>
      <c r="G170" s="265">
        <f>(78.43)+200</f>
        <v>278.43</v>
      </c>
      <c r="H170" s="265"/>
      <c r="I170" s="272">
        <f>F170-G170-H170</f>
        <v>202.57</v>
      </c>
      <c r="J170" s="267" t="s">
        <v>156</v>
      </c>
      <c r="K170" s="267">
        <v>1</v>
      </c>
      <c r="L170" s="267">
        <v>1</v>
      </c>
      <c r="M170" s="267">
        <v>1</v>
      </c>
      <c r="N170" s="267">
        <v>1</v>
      </c>
      <c r="O170" s="267">
        <v>1</v>
      </c>
      <c r="P170" s="267">
        <v>1</v>
      </c>
      <c r="Q170" s="267">
        <v>1</v>
      </c>
      <c r="R170" s="267">
        <v>1</v>
      </c>
      <c r="S170" s="269">
        <v>1</v>
      </c>
      <c r="T170" s="63"/>
      <c r="U170" s="94" t="s">
        <v>3400</v>
      </c>
      <c r="V170" s="90"/>
      <c r="W170" s="136"/>
      <c r="X170" s="137"/>
      <c r="Y170" s="181"/>
      <c r="Z170" s="181"/>
      <c r="AA170" s="181"/>
      <c r="AB170" s="181"/>
      <c r="AC170" s="181"/>
      <c r="AD170" s="181"/>
      <c r="AE170" s="181"/>
    </row>
    <row r="171" spans="1:31">
      <c r="A171" s="261" t="s">
        <v>3445</v>
      </c>
      <c r="B171" s="87">
        <f>B170+1</f>
        <v>2</v>
      </c>
      <c r="C171" s="282">
        <v>45835</v>
      </c>
      <c r="D171" s="330" t="s">
        <v>3401</v>
      </c>
      <c r="E171" s="283" t="s">
        <v>2379</v>
      </c>
      <c r="F171" s="284">
        <v>12814</v>
      </c>
      <c r="G171" s="284">
        <f>39.7+(186.99+36.99+39.16)+(199.31+8.32+6.11)+1000</f>
        <v>1516.58</v>
      </c>
      <c r="H171" s="284"/>
      <c r="I171" s="285">
        <f>F171-G171-H171</f>
        <v>11297.42</v>
      </c>
      <c r="J171" s="286" t="s">
        <v>156</v>
      </c>
      <c r="K171" s="286">
        <v>1</v>
      </c>
      <c r="L171" s="286">
        <v>1</v>
      </c>
      <c r="M171" s="286">
        <v>1</v>
      </c>
      <c r="N171" s="286">
        <v>1</v>
      </c>
      <c r="O171" s="286">
        <v>1</v>
      </c>
      <c r="P171" s="286">
        <v>1</v>
      </c>
      <c r="Q171" s="286">
        <v>0</v>
      </c>
      <c r="R171" s="286">
        <v>0</v>
      </c>
      <c r="S171" s="287">
        <v>0</v>
      </c>
      <c r="T171" s="63"/>
      <c r="U171" s="94" t="s">
        <v>3446</v>
      </c>
      <c r="V171" s="90">
        <f>8685.86</f>
        <v>8685.86</v>
      </c>
      <c r="W171" s="136"/>
      <c r="X171" s="137"/>
      <c r="Y171" s="181"/>
      <c r="Z171" s="181"/>
      <c r="AA171" s="181"/>
      <c r="AB171" s="181"/>
      <c r="AC171" s="181"/>
      <c r="AD171" s="181"/>
      <c r="AE171" s="181"/>
    </row>
    <row r="172" spans="1:31">
      <c r="A172" s="2"/>
      <c r="B172" s="11"/>
      <c r="C172" s="36"/>
      <c r="D172" s="10"/>
      <c r="E172" s="10"/>
      <c r="F172" s="97">
        <f>SUM(F170:F171)</f>
        <v>13295</v>
      </c>
      <c r="G172" s="97">
        <f>SUM(G170:G171)</f>
        <v>1795.01</v>
      </c>
      <c r="H172" s="97">
        <f>SUM(H170:H171)</f>
        <v>0</v>
      </c>
      <c r="I172" s="98">
        <f>SUM(I170:I171)</f>
        <v>11499.99</v>
      </c>
      <c r="J172" s="63"/>
      <c r="K172" s="21"/>
      <c r="L172" s="21"/>
      <c r="M172" s="21"/>
      <c r="N172" s="21"/>
      <c r="O172" s="21"/>
      <c r="P172" s="21"/>
      <c r="Q172" s="21"/>
      <c r="R172" s="21"/>
      <c r="S172" s="21"/>
      <c r="T172" s="63"/>
      <c r="U172" s="94"/>
      <c r="V172" s="90"/>
      <c r="W172" s="91"/>
      <c r="X172" s="92"/>
      <c r="Y172" s="2"/>
      <c r="Z172" s="2"/>
      <c r="AA172" s="2"/>
      <c r="AB172" s="2"/>
      <c r="AC172" s="2"/>
    </row>
    <row r="173" spans="1:31">
      <c r="A173" s="2"/>
      <c r="B173" s="11"/>
      <c r="C173" s="36"/>
      <c r="D173" s="10"/>
      <c r="E173" s="10"/>
      <c r="F173" s="88"/>
      <c r="G173" s="88"/>
      <c r="H173" s="88"/>
      <c r="I173" s="99"/>
      <c r="J173" s="63"/>
      <c r="K173" s="21"/>
      <c r="L173" s="21"/>
      <c r="M173" s="21"/>
      <c r="N173" s="21"/>
      <c r="O173" s="21"/>
      <c r="P173" s="21"/>
      <c r="Q173" s="21"/>
      <c r="R173" s="21"/>
      <c r="S173" s="21"/>
      <c r="T173" s="63"/>
      <c r="U173" s="94"/>
      <c r="V173" s="90"/>
      <c r="W173" s="91"/>
      <c r="X173" s="92"/>
      <c r="Y173" s="2"/>
      <c r="Z173" s="2"/>
      <c r="AA173" s="2"/>
      <c r="AB173" s="2"/>
      <c r="AC173" s="2"/>
    </row>
    <row r="174" spans="1:31" s="342" customFormat="1">
      <c r="A174" s="128"/>
      <c r="B174" s="121" t="s">
        <v>68</v>
      </c>
      <c r="C174" s="122"/>
      <c r="D174" s="123"/>
      <c r="E174" s="123"/>
      <c r="F174" s="124"/>
      <c r="G174" s="125"/>
      <c r="H174" s="124"/>
      <c r="I174" s="126"/>
      <c r="J174" s="127"/>
      <c r="K174" s="128"/>
      <c r="L174" s="128"/>
      <c r="M174" s="128"/>
      <c r="N174" s="128"/>
      <c r="O174" s="128"/>
      <c r="P174" s="128"/>
      <c r="Q174" s="128"/>
      <c r="R174" s="128"/>
      <c r="S174" s="128"/>
      <c r="T174" s="127"/>
      <c r="U174" s="135"/>
      <c r="V174" s="129"/>
      <c r="W174" s="130"/>
      <c r="X174" s="131"/>
      <c r="Y174" s="128"/>
      <c r="Z174" s="128"/>
      <c r="AA174" s="128"/>
      <c r="AB174" s="128"/>
      <c r="AC174" s="128"/>
    </row>
    <row r="175" spans="1:31" s="342" customFormat="1">
      <c r="A175" s="356">
        <v>0.1</v>
      </c>
      <c r="B175" s="333">
        <v>1</v>
      </c>
      <c r="C175" s="350">
        <v>45839</v>
      </c>
      <c r="D175" s="357" t="s">
        <v>3447</v>
      </c>
      <c r="E175" s="351" t="s">
        <v>1047</v>
      </c>
      <c r="F175" s="352">
        <v>1261</v>
      </c>
      <c r="G175" s="352">
        <v>39.700000000000003</v>
      </c>
      <c r="H175" s="352"/>
      <c r="I175" s="353">
        <f t="shared" ref="I175" si="35">F175-G175-H175</f>
        <v>1221.3</v>
      </c>
      <c r="J175" s="354"/>
      <c r="K175" s="354">
        <v>1</v>
      </c>
      <c r="L175" s="354">
        <v>1</v>
      </c>
      <c r="M175" s="354"/>
      <c r="N175" s="354">
        <v>1</v>
      </c>
      <c r="O175" s="354">
        <v>1</v>
      </c>
      <c r="P175" s="354">
        <v>1</v>
      </c>
      <c r="Q175" s="314">
        <v>0</v>
      </c>
      <c r="R175" s="314">
        <v>0</v>
      </c>
      <c r="S175" s="366">
        <v>0</v>
      </c>
      <c r="T175" s="127"/>
      <c r="U175" s="135"/>
      <c r="V175" s="129"/>
      <c r="W175" s="130"/>
      <c r="X175" s="131"/>
      <c r="Y175" s="128"/>
      <c r="Z175" s="128"/>
      <c r="AA175" s="128"/>
      <c r="AB175" s="128"/>
      <c r="AC175" s="128"/>
    </row>
    <row r="176" spans="1:31" s="342" customFormat="1">
      <c r="A176" s="356" t="s">
        <v>3448</v>
      </c>
      <c r="B176" s="333">
        <f>B175+1</f>
        <v>2</v>
      </c>
      <c r="C176" s="395">
        <v>45842</v>
      </c>
      <c r="D176" s="368">
        <v>71218</v>
      </c>
      <c r="E176" s="454" t="s">
        <v>1047</v>
      </c>
      <c r="F176" s="397">
        <v>1616</v>
      </c>
      <c r="G176" s="397">
        <f>39.7+(127.05)</f>
        <v>166.75</v>
      </c>
      <c r="H176" s="397">
        <f>F176*0.2</f>
        <v>323.20000000000005</v>
      </c>
      <c r="I176" s="398">
        <f>F176-G176-H176</f>
        <v>1126.05</v>
      </c>
      <c r="J176" s="399" t="s">
        <v>185</v>
      </c>
      <c r="K176" s="399">
        <v>1</v>
      </c>
      <c r="L176" s="399">
        <v>1</v>
      </c>
      <c r="M176" s="399">
        <v>1</v>
      </c>
      <c r="N176" s="399">
        <v>1</v>
      </c>
      <c r="O176" s="399">
        <v>1</v>
      </c>
      <c r="P176" s="399">
        <v>1</v>
      </c>
      <c r="Q176" s="399">
        <v>1</v>
      </c>
      <c r="R176" s="399">
        <v>1</v>
      </c>
      <c r="S176" s="400">
        <v>1</v>
      </c>
      <c r="T176" s="127"/>
      <c r="U176" s="135" t="s">
        <v>3449</v>
      </c>
      <c r="V176" s="129">
        <v>177.76</v>
      </c>
      <c r="W176" s="130"/>
      <c r="X176" s="131"/>
      <c r="Y176" s="128"/>
      <c r="Z176" s="128"/>
      <c r="AA176" s="128"/>
      <c r="AB176" s="128"/>
      <c r="AC176" s="128"/>
    </row>
    <row r="177" spans="1:29" s="342" customFormat="1">
      <c r="A177" s="128"/>
      <c r="B177" s="132"/>
      <c r="C177" s="122"/>
      <c r="D177" s="123"/>
      <c r="E177" s="123"/>
      <c r="F177" s="133">
        <f>SUM(F175:F176)</f>
        <v>2877</v>
      </c>
      <c r="G177" s="133">
        <f>SUM(G175:G176)</f>
        <v>206.45</v>
      </c>
      <c r="H177" s="133">
        <f>SUM(H175:H176)</f>
        <v>323.20000000000005</v>
      </c>
      <c r="I177" s="134">
        <f>SUM(I175:I176)</f>
        <v>2347.35</v>
      </c>
      <c r="J177" s="127"/>
      <c r="K177" s="64"/>
      <c r="L177" s="64"/>
      <c r="M177" s="64"/>
      <c r="N177" s="64"/>
      <c r="O177" s="64"/>
      <c r="P177" s="64"/>
      <c r="Q177" s="64"/>
      <c r="R177" s="64"/>
      <c r="S177" s="64"/>
      <c r="T177" s="127"/>
      <c r="U177" s="135"/>
      <c r="V177" s="129"/>
      <c r="W177" s="130"/>
      <c r="X177" s="131"/>
      <c r="Y177" s="128"/>
      <c r="Z177" s="128"/>
      <c r="AA177" s="128"/>
      <c r="AB177" s="128"/>
      <c r="AC177" s="128"/>
    </row>
    <row r="178" spans="1:29" s="342" customFormat="1">
      <c r="A178" s="128"/>
      <c r="B178" s="132"/>
      <c r="C178" s="122"/>
      <c r="D178" s="123"/>
      <c r="E178" s="123"/>
      <c r="F178" s="124"/>
      <c r="G178" s="124"/>
      <c r="H178" s="124"/>
      <c r="I178" s="126"/>
      <c r="J178" s="127"/>
      <c r="K178" s="64"/>
      <c r="L178" s="64"/>
      <c r="M178" s="64"/>
      <c r="N178" s="64"/>
      <c r="O178" s="64"/>
      <c r="P178" s="64"/>
      <c r="Q178" s="64"/>
      <c r="R178" s="64"/>
      <c r="S178" s="64"/>
      <c r="T178" s="127"/>
      <c r="U178" s="135"/>
      <c r="V178" s="129"/>
      <c r="W178" s="130"/>
      <c r="X178" s="131"/>
      <c r="Y178" s="128"/>
      <c r="Z178" s="128"/>
      <c r="AA178" s="128"/>
      <c r="AB178" s="128"/>
      <c r="AC178" s="128"/>
    </row>
    <row r="179" spans="1:29" s="342" customFormat="1">
      <c r="A179" s="128"/>
      <c r="B179" s="121" t="s">
        <v>70</v>
      </c>
      <c r="C179" s="122"/>
      <c r="D179" s="123"/>
      <c r="E179" s="128"/>
      <c r="F179" s="124"/>
      <c r="G179" s="124"/>
      <c r="H179" s="124"/>
      <c r="I179" s="126"/>
      <c r="J179" s="127"/>
      <c r="K179" s="64"/>
      <c r="L179" s="64"/>
      <c r="M179" s="64"/>
      <c r="N179" s="64"/>
      <c r="O179" s="64"/>
      <c r="P179" s="64"/>
      <c r="Q179" s="64"/>
      <c r="R179" s="64"/>
      <c r="S179" s="64"/>
      <c r="T179" s="127"/>
      <c r="U179" s="135"/>
      <c r="V179" s="129"/>
      <c r="W179" s="130"/>
      <c r="X179" s="131"/>
      <c r="Y179" s="128"/>
      <c r="Z179" s="128"/>
      <c r="AA179" s="128"/>
      <c r="AB179" s="128"/>
      <c r="AC179" s="128"/>
    </row>
    <row r="180" spans="1:29" s="342" customFormat="1">
      <c r="A180" s="356">
        <v>0.1</v>
      </c>
      <c r="B180" s="333">
        <v>1</v>
      </c>
      <c r="C180" s="350">
        <v>45842</v>
      </c>
      <c r="D180" s="263" t="s">
        <v>3450</v>
      </c>
      <c r="E180" s="358" t="s">
        <v>1030</v>
      </c>
      <c r="F180" s="352">
        <v>15076</v>
      </c>
      <c r="G180" s="352">
        <f>39.7+1500</f>
        <v>1539.7</v>
      </c>
      <c r="H180" s="352"/>
      <c r="I180" s="353">
        <f>F180-G180-H180</f>
        <v>13536.3</v>
      </c>
      <c r="J180" s="354" t="s">
        <v>156</v>
      </c>
      <c r="K180" s="354">
        <v>1</v>
      </c>
      <c r="L180" s="354"/>
      <c r="M180" s="354">
        <v>1</v>
      </c>
      <c r="N180" s="354">
        <v>1</v>
      </c>
      <c r="O180" s="354">
        <v>1</v>
      </c>
      <c r="P180" s="354">
        <v>1</v>
      </c>
      <c r="Q180" s="354"/>
      <c r="R180" s="354"/>
      <c r="S180" s="355"/>
      <c r="T180" s="127"/>
      <c r="U180" s="135" t="s">
        <v>3451</v>
      </c>
      <c r="V180" s="129">
        <f>1658.36</f>
        <v>1658.36</v>
      </c>
      <c r="W180" s="340"/>
      <c r="X180" s="341"/>
      <c r="Y180" s="128"/>
      <c r="Z180" s="128"/>
      <c r="AA180" s="128"/>
      <c r="AB180" s="128"/>
      <c r="AC180" s="128"/>
    </row>
    <row r="181" spans="1:29" s="342" customFormat="1">
      <c r="A181" s="128"/>
      <c r="B181" s="132"/>
      <c r="C181" s="122"/>
      <c r="D181" s="123"/>
      <c r="E181" s="123"/>
      <c r="F181" s="133">
        <f>SUM(F180:F180)</f>
        <v>15076</v>
      </c>
      <c r="G181" s="133">
        <f>SUM(G180:G180)</f>
        <v>1539.7</v>
      </c>
      <c r="H181" s="133">
        <f>SUM(H180:H180)</f>
        <v>0</v>
      </c>
      <c r="I181" s="133">
        <f>SUM(I180:I180)</f>
        <v>13536.3</v>
      </c>
      <c r="J181" s="127"/>
      <c r="K181" s="64"/>
      <c r="L181" s="64"/>
      <c r="M181" s="64"/>
      <c r="N181" s="64"/>
      <c r="O181" s="64"/>
      <c r="P181" s="64"/>
      <c r="Q181" s="64"/>
      <c r="R181" s="64"/>
      <c r="S181" s="64"/>
      <c r="T181" s="127"/>
      <c r="U181" s="135"/>
      <c r="V181" s="129"/>
      <c r="W181" s="130"/>
      <c r="X181" s="131"/>
      <c r="Y181" s="128"/>
      <c r="Z181" s="128"/>
      <c r="AA181" s="128"/>
      <c r="AB181" s="128"/>
      <c r="AC181" s="128"/>
    </row>
    <row r="182" spans="1:29">
      <c r="A182" s="2"/>
      <c r="B182" s="11"/>
      <c r="C182" s="36"/>
      <c r="D182" s="10"/>
      <c r="E182" s="10"/>
      <c r="F182" s="88"/>
      <c r="G182" s="88"/>
      <c r="H182" s="88"/>
      <c r="I182" s="99"/>
      <c r="J182" s="10"/>
      <c r="K182" s="63"/>
      <c r="L182" s="63"/>
      <c r="M182" s="63"/>
      <c r="N182" s="63"/>
      <c r="O182" s="63"/>
      <c r="P182" s="63"/>
      <c r="Q182" s="63"/>
      <c r="R182" s="63"/>
      <c r="S182" s="63"/>
      <c r="T182" s="63"/>
      <c r="U182" s="94"/>
      <c r="V182" s="90"/>
      <c r="W182" s="91"/>
      <c r="X182" s="92"/>
      <c r="Y182" s="2"/>
      <c r="Z182" s="2"/>
      <c r="AA182" s="2"/>
      <c r="AB182" s="2"/>
      <c r="AC182" s="2"/>
    </row>
    <row r="183" spans="1:29" s="181" customFormat="1">
      <c r="B183" s="100" t="s">
        <v>152</v>
      </c>
      <c r="C183" s="299"/>
      <c r="D183" s="10"/>
      <c r="E183" s="10"/>
      <c r="F183" s="88"/>
      <c r="G183" s="62"/>
      <c r="H183" s="88"/>
      <c r="I183" s="99"/>
      <c r="J183" s="63"/>
      <c r="T183" s="63"/>
      <c r="U183" s="10"/>
      <c r="V183" s="90"/>
      <c r="W183" s="91"/>
      <c r="X183" s="92"/>
    </row>
    <row r="184" spans="1:29" s="181" customFormat="1">
      <c r="A184" s="261">
        <v>0.1</v>
      </c>
      <c r="B184" s="87">
        <v>1</v>
      </c>
      <c r="C184" s="262">
        <v>45791</v>
      </c>
      <c r="D184" s="273">
        <v>70097</v>
      </c>
      <c r="E184" s="264" t="s">
        <v>296</v>
      </c>
      <c r="F184" s="265">
        <v>1861</v>
      </c>
      <c r="G184" s="265">
        <f>39.7+748+200</f>
        <v>987.7</v>
      </c>
      <c r="H184" s="265"/>
      <c r="I184" s="266">
        <f t="shared" ref="I184:I192" si="36">F184-G184-H184</f>
        <v>873.3</v>
      </c>
      <c r="J184" s="267" t="s">
        <v>156</v>
      </c>
      <c r="K184" s="267">
        <v>1</v>
      </c>
      <c r="L184" s="267"/>
      <c r="M184" s="267">
        <v>1</v>
      </c>
      <c r="N184" s="267">
        <v>1</v>
      </c>
      <c r="O184" s="267">
        <v>1</v>
      </c>
      <c r="P184" s="267">
        <v>1</v>
      </c>
      <c r="Q184" s="267">
        <v>0</v>
      </c>
      <c r="R184" s="267">
        <v>0</v>
      </c>
      <c r="S184" s="269">
        <v>0</v>
      </c>
      <c r="T184" s="63"/>
      <c r="U184" s="94" t="s">
        <v>3403</v>
      </c>
      <c r="V184" s="90"/>
      <c r="W184" s="136"/>
      <c r="X184" s="137"/>
    </row>
    <row r="185" spans="1:29" s="181" customFormat="1">
      <c r="A185" s="261">
        <v>0.1</v>
      </c>
      <c r="B185" s="87">
        <f>B184+1</f>
        <v>2</v>
      </c>
      <c r="C185" s="282">
        <v>45810</v>
      </c>
      <c r="D185" s="302">
        <v>70516</v>
      </c>
      <c r="E185" s="283" t="s">
        <v>218</v>
      </c>
      <c r="F185" s="284">
        <v>6214</v>
      </c>
      <c r="G185" s="284">
        <f>39.7+(1375.67)+250</f>
        <v>1665.3700000000001</v>
      </c>
      <c r="H185" s="284"/>
      <c r="I185" s="300">
        <f t="shared" si="36"/>
        <v>4548.63</v>
      </c>
      <c r="J185" s="286" t="s">
        <v>228</v>
      </c>
      <c r="K185" s="286">
        <v>1</v>
      </c>
      <c r="L185" s="286">
        <v>1</v>
      </c>
      <c r="M185" s="286">
        <v>1</v>
      </c>
      <c r="N185" s="286">
        <v>1</v>
      </c>
      <c r="O185" s="286">
        <v>1</v>
      </c>
      <c r="P185" s="286">
        <v>1</v>
      </c>
      <c r="Q185" s="286">
        <v>1</v>
      </c>
      <c r="R185" s="286">
        <v>0</v>
      </c>
      <c r="S185" s="287">
        <v>1</v>
      </c>
      <c r="T185" s="63"/>
      <c r="U185" s="94" t="s">
        <v>3404</v>
      </c>
      <c r="V185" s="90"/>
      <c r="W185" s="136"/>
      <c r="X185" s="137"/>
    </row>
    <row r="186" spans="1:29" s="181" customFormat="1">
      <c r="A186" s="261">
        <v>0.1</v>
      </c>
      <c r="B186" s="87">
        <f t="shared" ref="B186:B192" si="37">B185+1</f>
        <v>3</v>
      </c>
      <c r="C186" s="274">
        <v>45824</v>
      </c>
      <c r="D186" s="275" t="s">
        <v>3405</v>
      </c>
      <c r="E186" s="276" t="s">
        <v>1047</v>
      </c>
      <c r="F186" s="277">
        <v>2215</v>
      </c>
      <c r="G186" s="277">
        <v>39.700000000000003</v>
      </c>
      <c r="H186" s="277"/>
      <c r="I186" s="278">
        <f t="shared" si="36"/>
        <v>2175.3000000000002</v>
      </c>
      <c r="J186" s="279"/>
      <c r="K186" s="279">
        <v>1</v>
      </c>
      <c r="L186" s="279">
        <v>1</v>
      </c>
      <c r="M186" s="279"/>
      <c r="N186" s="279">
        <v>1</v>
      </c>
      <c r="O186" s="279">
        <v>1</v>
      </c>
      <c r="P186" s="279">
        <v>1</v>
      </c>
      <c r="Q186" s="279">
        <v>1</v>
      </c>
      <c r="R186" s="279">
        <v>1</v>
      </c>
      <c r="S186" s="280">
        <v>1</v>
      </c>
      <c r="T186" s="63"/>
      <c r="U186" s="3" t="s">
        <v>3406</v>
      </c>
      <c r="V186" s="90"/>
      <c r="W186" s="136"/>
      <c r="X186" s="137"/>
    </row>
    <row r="187" spans="1:29" s="181" customFormat="1">
      <c r="A187" s="261">
        <v>0.1</v>
      </c>
      <c r="B187" s="87">
        <f t="shared" si="37"/>
        <v>4</v>
      </c>
      <c r="C187" s="295">
        <v>45824</v>
      </c>
      <c r="D187" s="77" t="s">
        <v>3407</v>
      </c>
      <c r="E187" s="10" t="s">
        <v>1047</v>
      </c>
      <c r="F187" s="62">
        <v>10353</v>
      </c>
      <c r="G187" s="62">
        <f>39.7+598+(65.78+33.33)+(162.26+78.76)+1000</f>
        <v>1977.83</v>
      </c>
      <c r="H187" s="62"/>
      <c r="I187" s="89">
        <f t="shared" si="36"/>
        <v>8375.17</v>
      </c>
      <c r="J187" s="63" t="s">
        <v>156</v>
      </c>
      <c r="K187" s="63">
        <v>1</v>
      </c>
      <c r="L187" s="63">
        <v>1</v>
      </c>
      <c r="M187" s="63">
        <v>1</v>
      </c>
      <c r="N187" s="63">
        <v>1</v>
      </c>
      <c r="O187" s="63">
        <v>1</v>
      </c>
      <c r="P187" s="63">
        <v>1</v>
      </c>
      <c r="Q187" s="63">
        <v>1</v>
      </c>
      <c r="R187" s="63">
        <v>1</v>
      </c>
      <c r="S187" s="296">
        <v>1</v>
      </c>
      <c r="T187" s="63"/>
      <c r="U187" s="94" t="s">
        <v>3408</v>
      </c>
      <c r="V187" s="90"/>
      <c r="W187" s="136"/>
      <c r="X187" s="137"/>
    </row>
    <row r="188" spans="1:29" s="181" customFormat="1">
      <c r="A188" s="261">
        <v>0.1</v>
      </c>
      <c r="B188" s="87">
        <f t="shared" si="37"/>
        <v>5</v>
      </c>
      <c r="C188" s="262">
        <v>45828</v>
      </c>
      <c r="D188" s="273" t="s">
        <v>3410</v>
      </c>
      <c r="E188" s="309" t="s">
        <v>3411</v>
      </c>
      <c r="F188" s="265">
        <v>12173.3</v>
      </c>
      <c r="G188" s="265">
        <f>112.8+(18.98)+(121.38)+1500</f>
        <v>1753.16</v>
      </c>
      <c r="H188" s="265"/>
      <c r="I188" s="272">
        <f t="shared" si="36"/>
        <v>10420.14</v>
      </c>
      <c r="J188" s="267" t="s">
        <v>156</v>
      </c>
      <c r="K188" s="267">
        <v>1</v>
      </c>
      <c r="L188" s="267">
        <v>1</v>
      </c>
      <c r="M188" s="267">
        <v>1</v>
      </c>
      <c r="N188" s="267">
        <v>1</v>
      </c>
      <c r="O188" s="267">
        <v>1</v>
      </c>
      <c r="P188" s="267">
        <v>1</v>
      </c>
      <c r="Q188" s="267">
        <v>1</v>
      </c>
      <c r="R188" s="267">
        <v>1</v>
      </c>
      <c r="S188" s="269">
        <v>1</v>
      </c>
      <c r="T188" s="63"/>
      <c r="U188" s="301" t="s">
        <v>3452</v>
      </c>
      <c r="V188" s="90"/>
      <c r="W188" s="136"/>
      <c r="X188" s="137"/>
    </row>
    <row r="189" spans="1:29" s="181" customFormat="1">
      <c r="A189" s="261">
        <v>0.1</v>
      </c>
      <c r="B189" s="87">
        <f t="shared" si="37"/>
        <v>6</v>
      </c>
      <c r="C189" s="262">
        <v>45825</v>
      </c>
      <c r="D189" s="273">
        <v>70817</v>
      </c>
      <c r="E189" s="271" t="s">
        <v>317</v>
      </c>
      <c r="F189" s="265">
        <v>1281</v>
      </c>
      <c r="G189" s="265">
        <f>39.7+(87.93)</f>
        <v>127.63000000000001</v>
      </c>
      <c r="H189" s="265"/>
      <c r="I189" s="272">
        <f t="shared" si="36"/>
        <v>1153.3699999999999</v>
      </c>
      <c r="J189" s="267" t="s">
        <v>156</v>
      </c>
      <c r="K189" s="267">
        <v>1</v>
      </c>
      <c r="L189" s="267">
        <v>1</v>
      </c>
      <c r="M189" s="267">
        <v>1</v>
      </c>
      <c r="N189" s="267">
        <v>1</v>
      </c>
      <c r="O189" s="267">
        <v>1</v>
      </c>
      <c r="P189" s="267">
        <v>1</v>
      </c>
      <c r="Q189" s="267">
        <v>1</v>
      </c>
      <c r="R189" s="267">
        <v>1</v>
      </c>
      <c r="S189" s="269">
        <v>1</v>
      </c>
      <c r="T189" s="63"/>
      <c r="U189" s="94"/>
      <c r="V189" s="90"/>
      <c r="W189" s="136"/>
      <c r="X189" s="137"/>
    </row>
    <row r="190" spans="1:29" s="181" customFormat="1">
      <c r="A190" s="181" t="s">
        <v>2588</v>
      </c>
      <c r="B190" s="87">
        <f t="shared" si="37"/>
        <v>7</v>
      </c>
      <c r="C190" s="274">
        <v>45833</v>
      </c>
      <c r="D190" s="276">
        <v>71010</v>
      </c>
      <c r="E190" s="281" t="s">
        <v>998</v>
      </c>
      <c r="F190" s="277">
        <v>3114</v>
      </c>
      <c r="G190" s="277">
        <f>39.7+(145.94)</f>
        <v>185.64</v>
      </c>
      <c r="H190" s="277"/>
      <c r="I190" s="278">
        <f t="shared" si="36"/>
        <v>2928.36</v>
      </c>
      <c r="J190" s="279" t="s">
        <v>156</v>
      </c>
      <c r="K190" s="279">
        <v>1</v>
      </c>
      <c r="L190" s="279">
        <v>1</v>
      </c>
      <c r="M190" s="279">
        <v>1</v>
      </c>
      <c r="N190" s="279">
        <v>1</v>
      </c>
      <c r="O190" s="279">
        <v>1</v>
      </c>
      <c r="P190" s="279">
        <v>1</v>
      </c>
      <c r="Q190" s="279">
        <v>1</v>
      </c>
      <c r="R190" s="279">
        <v>1</v>
      </c>
      <c r="S190" s="280">
        <v>1</v>
      </c>
      <c r="T190" s="63"/>
      <c r="U190" s="94" t="s">
        <v>3393</v>
      </c>
      <c r="V190" s="90"/>
      <c r="W190" s="91"/>
      <c r="X190" s="92"/>
    </row>
    <row r="191" spans="1:29" s="181" customFormat="1">
      <c r="A191" s="181" t="s">
        <v>3394</v>
      </c>
      <c r="B191" s="87">
        <f t="shared" si="37"/>
        <v>8</v>
      </c>
      <c r="C191" s="262">
        <v>45835</v>
      </c>
      <c r="D191" s="271">
        <v>71063</v>
      </c>
      <c r="E191" s="271" t="s">
        <v>317</v>
      </c>
      <c r="F191" s="265">
        <v>6814</v>
      </c>
      <c r="G191" s="265">
        <f>39.7+(902.13)</f>
        <v>941.83</v>
      </c>
      <c r="H191" s="265"/>
      <c r="I191" s="272">
        <f t="shared" si="36"/>
        <v>5872.17</v>
      </c>
      <c r="J191" s="267" t="s">
        <v>156</v>
      </c>
      <c r="K191" s="267">
        <v>1</v>
      </c>
      <c r="L191" s="267">
        <v>1</v>
      </c>
      <c r="M191" s="267">
        <v>1</v>
      </c>
      <c r="N191" s="267">
        <v>1</v>
      </c>
      <c r="O191" s="267">
        <v>1</v>
      </c>
      <c r="P191" s="267">
        <v>1</v>
      </c>
      <c r="Q191" s="267">
        <v>1</v>
      </c>
      <c r="R191" s="267">
        <v>1</v>
      </c>
      <c r="S191" s="269">
        <v>1</v>
      </c>
      <c r="T191" s="63"/>
      <c r="U191" s="94" t="s">
        <v>3396</v>
      </c>
      <c r="V191" s="90"/>
      <c r="W191" s="136"/>
      <c r="X191" s="137"/>
    </row>
    <row r="192" spans="1:29" s="380" customFormat="1">
      <c r="A192" s="371" t="s">
        <v>3397</v>
      </c>
      <c r="B192" s="372">
        <f t="shared" si="37"/>
        <v>9</v>
      </c>
      <c r="C192" s="373">
        <v>45836</v>
      </c>
      <c r="D192" s="391">
        <v>70970</v>
      </c>
      <c r="E192" s="391" t="s">
        <v>509</v>
      </c>
      <c r="F192" s="375">
        <f>1641-85</f>
        <v>1556</v>
      </c>
      <c r="G192" s="375">
        <v>39.700000000000003</v>
      </c>
      <c r="H192" s="375"/>
      <c r="I192" s="459">
        <f t="shared" si="36"/>
        <v>1516.3</v>
      </c>
      <c r="J192" s="314" t="s">
        <v>156</v>
      </c>
      <c r="K192" s="314">
        <v>1</v>
      </c>
      <c r="L192" s="314">
        <v>1</v>
      </c>
      <c r="M192" s="314">
        <v>1</v>
      </c>
      <c r="N192" s="314">
        <v>1</v>
      </c>
      <c r="O192" s="314">
        <v>1</v>
      </c>
      <c r="P192" s="314">
        <v>1</v>
      </c>
      <c r="Q192" s="314">
        <v>1</v>
      </c>
      <c r="R192" s="314">
        <v>1</v>
      </c>
      <c r="S192" s="366">
        <v>1</v>
      </c>
      <c r="T192" s="325"/>
      <c r="U192" s="505" t="s">
        <v>3453</v>
      </c>
      <c r="V192" s="377"/>
      <c r="W192" s="392"/>
      <c r="X192" s="379"/>
    </row>
    <row r="193" spans="1:31" s="181" customFormat="1">
      <c r="A193" s="261"/>
      <c r="B193" s="11"/>
      <c r="C193" s="299"/>
      <c r="D193" s="10"/>
      <c r="E193" s="10"/>
      <c r="F193" s="97">
        <f>SUM(F184:F192)</f>
        <v>45581.3</v>
      </c>
      <c r="G193" s="97">
        <f t="shared" ref="G193:I193" si="38">SUM(G184:G192)</f>
        <v>7718.56</v>
      </c>
      <c r="H193" s="97">
        <f t="shared" si="38"/>
        <v>0</v>
      </c>
      <c r="I193" s="97">
        <f t="shared" si="38"/>
        <v>37862.740000000005</v>
      </c>
      <c r="J193" s="63"/>
      <c r="K193" s="21"/>
      <c r="L193" s="21"/>
      <c r="M193" s="21"/>
      <c r="N193" s="21"/>
      <c r="O193" s="21"/>
      <c r="P193" s="21"/>
      <c r="Q193" s="21"/>
      <c r="R193" s="21"/>
      <c r="S193" s="21"/>
      <c r="T193" s="63"/>
      <c r="U193" s="10"/>
      <c r="V193" s="90"/>
      <c r="W193" s="91"/>
      <c r="X193" s="92"/>
    </row>
    <row r="194" spans="1:31" s="181" customFormat="1">
      <c r="B194" s="11"/>
      <c r="C194" s="299"/>
      <c r="D194" s="10"/>
      <c r="E194" s="10"/>
      <c r="F194" s="88"/>
      <c r="G194" s="88"/>
      <c r="H194" s="88"/>
      <c r="I194" s="99"/>
      <c r="J194" s="63"/>
      <c r="K194" s="21"/>
      <c r="L194" s="21"/>
      <c r="M194" s="21"/>
      <c r="N194" s="21"/>
      <c r="O194" s="21"/>
      <c r="P194" s="21"/>
      <c r="Q194" s="21"/>
      <c r="R194" s="21"/>
      <c r="S194" s="21"/>
      <c r="T194" s="63"/>
      <c r="U194" s="10"/>
      <c r="V194" s="90"/>
      <c r="W194" s="91"/>
      <c r="X194" s="92"/>
    </row>
    <row r="195" spans="1:31" s="181" customFormat="1">
      <c r="B195" s="100" t="s">
        <v>202</v>
      </c>
      <c r="C195" s="299"/>
      <c r="D195" s="10"/>
      <c r="F195" s="88"/>
      <c r="G195" s="88"/>
      <c r="H195" s="88"/>
      <c r="I195" s="99"/>
      <c r="J195" s="63"/>
      <c r="K195" s="21"/>
      <c r="L195" s="21"/>
      <c r="M195" s="21"/>
      <c r="N195" s="21"/>
      <c r="O195" s="21"/>
      <c r="P195" s="21"/>
      <c r="Q195" s="21"/>
      <c r="R195" s="21"/>
      <c r="S195" s="21"/>
      <c r="T195" s="63"/>
      <c r="U195" s="10"/>
      <c r="V195" s="90"/>
      <c r="W195" s="91"/>
      <c r="X195" s="92"/>
    </row>
    <row r="196" spans="1:31" s="181" customFormat="1">
      <c r="A196" s="261">
        <v>0.1</v>
      </c>
      <c r="B196" s="87">
        <v>1</v>
      </c>
      <c r="C196" s="274">
        <v>45789</v>
      </c>
      <c r="D196" s="275" t="s">
        <v>3413</v>
      </c>
      <c r="E196" s="310" t="s">
        <v>294</v>
      </c>
      <c r="F196" s="277">
        <v>2814</v>
      </c>
      <c r="G196" s="277"/>
      <c r="H196" s="277"/>
      <c r="I196" s="278">
        <f>F196-G196-H196</f>
        <v>2814</v>
      </c>
      <c r="J196" s="279" t="s">
        <v>156</v>
      </c>
      <c r="K196" s="279">
        <v>1</v>
      </c>
      <c r="L196" s="279"/>
      <c r="M196" s="279">
        <v>1</v>
      </c>
      <c r="N196" s="279">
        <v>1</v>
      </c>
      <c r="O196" s="279">
        <v>1</v>
      </c>
      <c r="P196" s="279">
        <v>0</v>
      </c>
      <c r="Q196" s="279"/>
      <c r="R196" s="279"/>
      <c r="S196" s="280"/>
      <c r="T196" s="63"/>
      <c r="U196" s="94" t="s">
        <v>3414</v>
      </c>
      <c r="V196" s="90"/>
      <c r="W196" s="136"/>
      <c r="X196" s="137"/>
    </row>
    <row r="197" spans="1:31" s="181" customFormat="1">
      <c r="A197" s="261">
        <v>0.1</v>
      </c>
      <c r="B197" s="87">
        <f>B196+1</f>
        <v>2</v>
      </c>
      <c r="C197" s="282">
        <v>45789</v>
      </c>
      <c r="D197" s="302">
        <v>70063</v>
      </c>
      <c r="E197" s="311" t="s">
        <v>572</v>
      </c>
      <c r="F197" s="284">
        <v>1134.9000000000001</v>
      </c>
      <c r="G197" s="284">
        <f>200</f>
        <v>200</v>
      </c>
      <c r="H197" s="284"/>
      <c r="I197" s="285">
        <f>F197-G197-H197</f>
        <v>934.90000000000009</v>
      </c>
      <c r="J197" s="286" t="s">
        <v>156</v>
      </c>
      <c r="K197" s="286">
        <v>1</v>
      </c>
      <c r="L197" s="286"/>
      <c r="M197" s="286">
        <v>1</v>
      </c>
      <c r="N197" s="286">
        <v>1</v>
      </c>
      <c r="O197" s="286">
        <v>1</v>
      </c>
      <c r="P197" s="286">
        <v>0</v>
      </c>
      <c r="Q197" s="286"/>
      <c r="R197" s="286"/>
      <c r="S197" s="287"/>
      <c r="T197" s="63"/>
      <c r="U197" s="94" t="s">
        <v>3414</v>
      </c>
      <c r="V197" s="90"/>
      <c r="W197" s="136"/>
      <c r="X197" s="137"/>
    </row>
    <row r="198" spans="1:31" s="181" customFormat="1">
      <c r="B198" s="11"/>
      <c r="C198" s="299"/>
      <c r="D198" s="10"/>
      <c r="E198" s="10"/>
      <c r="F198" s="97">
        <f>SUM(F196:F197)</f>
        <v>3948.9</v>
      </c>
      <c r="G198" s="97">
        <f>SUM(G196:G197)</f>
        <v>200</v>
      </c>
      <c r="H198" s="97">
        <f>SUM(H196:H197)</f>
        <v>0</v>
      </c>
      <c r="I198" s="97">
        <f>SUM(I196:I197)</f>
        <v>3748.9</v>
      </c>
      <c r="J198" s="63"/>
      <c r="K198" s="21"/>
      <c r="L198" s="21"/>
      <c r="M198" s="21"/>
      <c r="N198" s="21"/>
      <c r="O198" s="21"/>
      <c r="P198" s="21"/>
      <c r="Q198" s="21"/>
      <c r="R198" s="21"/>
      <c r="S198" s="21"/>
      <c r="T198" s="63"/>
      <c r="U198" s="10"/>
      <c r="V198" s="90"/>
      <c r="W198" s="91"/>
      <c r="X198" s="92"/>
    </row>
    <row r="199" spans="1:31" s="181" customFormat="1">
      <c r="B199" s="11"/>
      <c r="C199" s="299"/>
      <c r="D199" s="10"/>
      <c r="E199" s="10"/>
      <c r="F199" s="88"/>
      <c r="G199" s="88"/>
      <c r="H199" s="88"/>
      <c r="I199" s="88"/>
      <c r="J199" s="63"/>
      <c r="K199" s="21"/>
      <c r="L199" s="21"/>
      <c r="M199" s="21"/>
      <c r="N199" s="21"/>
      <c r="O199" s="21"/>
      <c r="P199" s="21"/>
      <c r="Q199" s="21"/>
      <c r="R199" s="21"/>
      <c r="S199" s="21"/>
      <c r="T199" s="63"/>
      <c r="U199" s="10"/>
      <c r="V199" s="90"/>
      <c r="W199" s="91"/>
      <c r="X199" s="92"/>
    </row>
    <row r="200" spans="1:31">
      <c r="A200" s="2"/>
      <c r="B200" s="100" t="s">
        <v>72</v>
      </c>
      <c r="C200" s="36"/>
      <c r="D200" s="10"/>
      <c r="E200" s="10"/>
      <c r="F200" s="88"/>
      <c r="G200" s="88"/>
      <c r="H200" s="88"/>
      <c r="I200" s="99"/>
      <c r="J200" s="63"/>
      <c r="K200" s="63"/>
      <c r="L200" s="63"/>
      <c r="M200" s="63"/>
      <c r="N200" s="63"/>
      <c r="O200" s="63"/>
      <c r="P200" s="63"/>
      <c r="Q200" s="63"/>
      <c r="R200" s="63"/>
      <c r="S200" s="63"/>
      <c r="T200" s="63"/>
      <c r="U200" s="94"/>
      <c r="V200" s="90"/>
      <c r="W200" s="91"/>
      <c r="X200" s="92"/>
      <c r="Y200" s="2"/>
      <c r="Z200" s="2"/>
      <c r="AA200" s="2"/>
      <c r="AB200" s="2"/>
      <c r="AC200" s="2"/>
    </row>
    <row r="201" spans="1:31">
      <c r="A201" s="2"/>
      <c r="B201" s="87">
        <v>1</v>
      </c>
      <c r="C201" s="274">
        <v>45838</v>
      </c>
      <c r="D201" s="276" t="s">
        <v>3454</v>
      </c>
      <c r="E201" s="276" t="s">
        <v>1046</v>
      </c>
      <c r="F201" s="277">
        <v>10395.299999999999</v>
      </c>
      <c r="G201" s="277">
        <f>39.7</f>
        <v>39.700000000000003</v>
      </c>
      <c r="H201" s="277"/>
      <c r="I201" s="278">
        <f t="shared" ref="I201:I222" si="39">F201-G201-H201</f>
        <v>10355.599999999999</v>
      </c>
      <c r="J201" s="279" t="s">
        <v>205</v>
      </c>
      <c r="K201" s="279">
        <v>1</v>
      </c>
      <c r="L201" s="279"/>
      <c r="M201" s="279"/>
      <c r="N201" s="279">
        <v>1</v>
      </c>
      <c r="O201" s="279"/>
      <c r="P201" s="279">
        <v>1</v>
      </c>
      <c r="Q201" s="279"/>
      <c r="R201" s="279"/>
      <c r="S201" s="280"/>
      <c r="T201" s="63"/>
      <c r="U201" s="164" t="s">
        <v>3455</v>
      </c>
      <c r="V201" s="90"/>
      <c r="W201" s="91"/>
      <c r="X201" s="92"/>
      <c r="Y201" s="2"/>
      <c r="Z201" s="2"/>
      <c r="AA201" s="2"/>
      <c r="AB201" s="2"/>
      <c r="AC201" s="2"/>
    </row>
    <row r="202" spans="1:31">
      <c r="A202" s="2"/>
      <c r="B202" s="87">
        <f>B201+1</f>
        <v>2</v>
      </c>
      <c r="C202" s="295">
        <v>45838</v>
      </c>
      <c r="D202" s="10">
        <v>71094</v>
      </c>
      <c r="E202" s="10" t="s">
        <v>1072</v>
      </c>
      <c r="F202" s="62">
        <v>0</v>
      </c>
      <c r="G202" s="62"/>
      <c r="H202" s="62"/>
      <c r="I202" s="89">
        <f t="shared" si="39"/>
        <v>0</v>
      </c>
      <c r="J202" s="63" t="s">
        <v>219</v>
      </c>
      <c r="K202" s="63">
        <v>1</v>
      </c>
      <c r="L202" s="63"/>
      <c r="M202" s="63"/>
      <c r="N202" s="63"/>
      <c r="O202" s="63"/>
      <c r="P202" s="63"/>
      <c r="Q202" s="63">
        <v>1</v>
      </c>
      <c r="R202" s="63">
        <v>1</v>
      </c>
      <c r="S202" s="296">
        <v>1</v>
      </c>
      <c r="T202" s="63"/>
      <c r="U202" s="94"/>
      <c r="V202" s="90"/>
      <c r="W202" s="136"/>
      <c r="X202" s="137"/>
      <c r="Y202" s="2"/>
      <c r="Z202" s="2"/>
      <c r="AA202" s="2"/>
      <c r="AB202" s="2"/>
      <c r="AC202" s="2"/>
    </row>
    <row r="203" spans="1:31">
      <c r="A203" s="2"/>
      <c r="B203" s="87">
        <f t="shared" ref="B203:B222" si="40">B202+1</f>
        <v>3</v>
      </c>
      <c r="C203" s="295">
        <v>45838</v>
      </c>
      <c r="D203" s="10">
        <v>71117</v>
      </c>
      <c r="E203" s="10" t="s">
        <v>1046</v>
      </c>
      <c r="F203" s="62">
        <v>0</v>
      </c>
      <c r="G203" s="62"/>
      <c r="H203" s="62"/>
      <c r="I203" s="89">
        <f t="shared" si="39"/>
        <v>0</v>
      </c>
      <c r="J203" s="63" t="s">
        <v>219</v>
      </c>
      <c r="K203" s="63"/>
      <c r="L203" s="63"/>
      <c r="M203" s="63"/>
      <c r="N203" s="63"/>
      <c r="O203" s="63"/>
      <c r="P203" s="63"/>
      <c r="Q203" s="63"/>
      <c r="R203" s="63"/>
      <c r="S203" s="296"/>
      <c r="T203" s="63"/>
      <c r="U203" s="94" t="s">
        <v>3456</v>
      </c>
      <c r="V203" s="90"/>
      <c r="W203" s="136"/>
      <c r="X203" s="137"/>
      <c r="Y203" s="2"/>
      <c r="Z203" s="2"/>
      <c r="AA203" s="2"/>
      <c r="AB203" s="2"/>
      <c r="AC203" s="2"/>
    </row>
    <row r="204" spans="1:31" s="342" customFormat="1">
      <c r="A204" s="2" t="s">
        <v>3457</v>
      </c>
      <c r="B204" s="87">
        <f t="shared" si="40"/>
        <v>4</v>
      </c>
      <c r="C204" s="274">
        <v>45839</v>
      </c>
      <c r="D204" s="276">
        <v>71124</v>
      </c>
      <c r="E204" s="276" t="s">
        <v>1042</v>
      </c>
      <c r="F204" s="277">
        <v>1138</v>
      </c>
      <c r="G204" s="277">
        <v>39.700000000000003</v>
      </c>
      <c r="H204" s="277"/>
      <c r="I204" s="278">
        <f t="shared" si="39"/>
        <v>1098.3</v>
      </c>
      <c r="J204" s="279" t="s">
        <v>156</v>
      </c>
      <c r="K204" s="279">
        <v>1</v>
      </c>
      <c r="L204" s="279">
        <v>0</v>
      </c>
      <c r="M204" s="279">
        <v>1</v>
      </c>
      <c r="N204" s="279">
        <v>1</v>
      </c>
      <c r="O204" s="279">
        <v>1</v>
      </c>
      <c r="P204" s="279">
        <v>1</v>
      </c>
      <c r="Q204" s="279">
        <v>1</v>
      </c>
      <c r="R204" s="279">
        <v>1</v>
      </c>
      <c r="S204" s="280">
        <v>1</v>
      </c>
      <c r="T204" s="63"/>
      <c r="U204" s="164" t="s">
        <v>3458</v>
      </c>
      <c r="V204" s="90">
        <v>125.18</v>
      </c>
      <c r="W204" s="91"/>
      <c r="X204" s="92"/>
      <c r="Y204" s="2"/>
      <c r="Z204" s="2"/>
      <c r="AA204" s="2"/>
      <c r="AB204" s="2"/>
      <c r="AC204" s="2"/>
      <c r="AD204"/>
      <c r="AE204"/>
    </row>
    <row r="205" spans="1:31">
      <c r="A205" s="2"/>
      <c r="B205" s="87">
        <f t="shared" si="40"/>
        <v>5</v>
      </c>
      <c r="C205" s="295">
        <v>45839</v>
      </c>
      <c r="D205" s="77" t="s">
        <v>3459</v>
      </c>
      <c r="E205" s="10" t="s">
        <v>1042</v>
      </c>
      <c r="F205" s="62">
        <v>8214</v>
      </c>
      <c r="G205" s="62">
        <v>39.700000000000003</v>
      </c>
      <c r="H205" s="62"/>
      <c r="I205" s="89">
        <f t="shared" si="39"/>
        <v>8174.3</v>
      </c>
      <c r="J205" s="63" t="s">
        <v>219</v>
      </c>
      <c r="K205" s="63">
        <v>1</v>
      </c>
      <c r="L205" s="63"/>
      <c r="M205" s="63"/>
      <c r="N205" s="63"/>
      <c r="O205" s="63"/>
      <c r="P205" s="63"/>
      <c r="Q205" s="63">
        <v>1</v>
      </c>
      <c r="R205" s="63">
        <v>1</v>
      </c>
      <c r="S205" s="296">
        <v>1</v>
      </c>
      <c r="T205" s="63"/>
      <c r="U205" s="94"/>
      <c r="V205" s="90"/>
      <c r="W205" s="136"/>
      <c r="X205" s="137"/>
      <c r="Y205" s="2"/>
      <c r="Z205" s="2"/>
      <c r="AA205" s="2"/>
      <c r="AB205" s="2"/>
      <c r="AC205" s="2"/>
    </row>
    <row r="206" spans="1:31">
      <c r="A206" s="2"/>
      <c r="B206" s="87">
        <f t="shared" si="40"/>
        <v>6</v>
      </c>
      <c r="C206" s="295">
        <v>45839</v>
      </c>
      <c r="D206" s="10">
        <v>71127</v>
      </c>
      <c r="E206" s="10" t="s">
        <v>1731</v>
      </c>
      <c r="F206" s="62">
        <v>0</v>
      </c>
      <c r="G206" s="62"/>
      <c r="H206" s="62"/>
      <c r="I206" s="89">
        <f t="shared" si="39"/>
        <v>0</v>
      </c>
      <c r="J206" s="63" t="s">
        <v>205</v>
      </c>
      <c r="K206" s="63">
        <v>1</v>
      </c>
      <c r="L206" s="63"/>
      <c r="M206" s="63"/>
      <c r="N206" s="63"/>
      <c r="O206" s="63"/>
      <c r="P206" s="63"/>
      <c r="Q206" s="63">
        <v>1</v>
      </c>
      <c r="R206" s="63">
        <v>1</v>
      </c>
      <c r="S206" s="296">
        <v>1</v>
      </c>
      <c r="T206" s="63"/>
      <c r="U206" s="94"/>
      <c r="V206" s="90"/>
      <c r="W206" s="136"/>
      <c r="X206" s="137"/>
      <c r="Y206" s="2"/>
      <c r="Z206" s="2"/>
      <c r="AA206" s="2"/>
      <c r="AB206" s="2"/>
      <c r="AC206" s="2"/>
    </row>
    <row r="207" spans="1:31">
      <c r="A207" s="2"/>
      <c r="B207" s="87">
        <f t="shared" si="40"/>
        <v>7</v>
      </c>
      <c r="C207" s="295">
        <v>45839</v>
      </c>
      <c r="D207" s="10">
        <v>71073</v>
      </c>
      <c r="E207" s="101" t="s">
        <v>1058</v>
      </c>
      <c r="F207" s="62">
        <v>0</v>
      </c>
      <c r="G207" s="62"/>
      <c r="H207" s="62"/>
      <c r="I207" s="89">
        <f t="shared" si="39"/>
        <v>0</v>
      </c>
      <c r="J207" s="63" t="s">
        <v>205</v>
      </c>
      <c r="K207" s="63">
        <v>1</v>
      </c>
      <c r="L207" s="63"/>
      <c r="M207" s="63"/>
      <c r="N207" s="63"/>
      <c r="O207" s="63"/>
      <c r="P207" s="63"/>
      <c r="Q207" s="63">
        <v>1</v>
      </c>
      <c r="R207" s="63">
        <v>1</v>
      </c>
      <c r="S207" s="296">
        <v>1</v>
      </c>
      <c r="T207" s="63"/>
      <c r="U207" s="94"/>
      <c r="V207" s="90"/>
      <c r="W207" s="136"/>
      <c r="X207" s="137"/>
      <c r="Y207" s="2"/>
      <c r="Z207" s="2"/>
      <c r="AA207" s="2"/>
      <c r="AB207" s="2"/>
      <c r="AC207" s="2"/>
    </row>
    <row r="208" spans="1:31">
      <c r="A208" s="2"/>
      <c r="B208" s="87">
        <f t="shared" si="40"/>
        <v>8</v>
      </c>
      <c r="C208" s="295">
        <v>45839</v>
      </c>
      <c r="D208" s="77" t="s">
        <v>3460</v>
      </c>
      <c r="E208" s="101" t="s">
        <v>1047</v>
      </c>
      <c r="F208" s="62">
        <v>14214</v>
      </c>
      <c r="G208" s="62">
        <v>39.700000000000003</v>
      </c>
      <c r="H208" s="62"/>
      <c r="I208" s="89">
        <f t="shared" si="39"/>
        <v>14174.3</v>
      </c>
      <c r="J208" s="63" t="s">
        <v>219</v>
      </c>
      <c r="K208" s="63">
        <v>1</v>
      </c>
      <c r="L208" s="63"/>
      <c r="M208" s="63"/>
      <c r="N208" s="63">
        <v>1</v>
      </c>
      <c r="O208" s="63"/>
      <c r="P208" s="63"/>
      <c r="Q208" s="63"/>
      <c r="R208" s="63"/>
      <c r="S208" s="296"/>
      <c r="T208" s="63"/>
      <c r="U208" s="94"/>
      <c r="V208" s="90"/>
      <c r="W208" s="136"/>
      <c r="X208" s="137"/>
      <c r="Y208" s="2"/>
      <c r="Z208" s="2"/>
      <c r="AA208" s="2"/>
      <c r="AB208" s="2"/>
      <c r="AC208" s="2"/>
    </row>
    <row r="209" spans="1:29">
      <c r="A209" s="2"/>
      <c r="B209" s="87">
        <f t="shared" si="40"/>
        <v>9</v>
      </c>
      <c r="C209" s="295">
        <v>45839</v>
      </c>
      <c r="D209" s="77" t="s">
        <v>3461</v>
      </c>
      <c r="E209" s="101" t="s">
        <v>1678</v>
      </c>
      <c r="F209" s="62">
        <v>16345</v>
      </c>
      <c r="G209" s="62">
        <v>39.700000000000003</v>
      </c>
      <c r="H209" s="62"/>
      <c r="I209" s="89">
        <f t="shared" si="39"/>
        <v>16305.3</v>
      </c>
      <c r="J209" s="63" t="s">
        <v>219</v>
      </c>
      <c r="K209" s="63">
        <v>1</v>
      </c>
      <c r="L209" s="63"/>
      <c r="M209" s="63"/>
      <c r="N209" s="63">
        <v>1</v>
      </c>
      <c r="O209" s="63"/>
      <c r="P209" s="63"/>
      <c r="Q209" s="63"/>
      <c r="R209" s="63"/>
      <c r="S209" s="296"/>
      <c r="T209" s="63"/>
      <c r="U209" s="94"/>
      <c r="V209" s="90"/>
      <c r="W209" s="136"/>
      <c r="X209" s="137"/>
      <c r="Y209" s="2"/>
      <c r="Z209" s="2"/>
      <c r="AA209" s="2"/>
      <c r="AB209" s="2"/>
      <c r="AC209" s="2"/>
    </row>
    <row r="210" spans="1:29">
      <c r="A210" s="2"/>
      <c r="B210" s="87">
        <f t="shared" si="40"/>
        <v>10</v>
      </c>
      <c r="C210" s="295">
        <v>45839</v>
      </c>
      <c r="D210" s="77" t="s">
        <v>3462</v>
      </c>
      <c r="E210" s="101" t="s">
        <v>3428</v>
      </c>
      <c r="F210" s="62">
        <v>11352.6</v>
      </c>
      <c r="G210" s="62">
        <v>39.700000000000003</v>
      </c>
      <c r="H210" s="62"/>
      <c r="I210" s="89">
        <f t="shared" si="39"/>
        <v>11312.9</v>
      </c>
      <c r="J210" s="63" t="s">
        <v>219</v>
      </c>
      <c r="K210" s="63">
        <v>1</v>
      </c>
      <c r="L210" s="63"/>
      <c r="M210" s="63"/>
      <c r="N210" s="63">
        <v>1</v>
      </c>
      <c r="O210" s="63"/>
      <c r="P210" s="63"/>
      <c r="Q210" s="63"/>
      <c r="R210" s="63"/>
      <c r="S210" s="296"/>
      <c r="T210" s="63"/>
      <c r="U210" s="94"/>
      <c r="V210" s="90"/>
      <c r="W210" s="136"/>
      <c r="X210" s="137"/>
      <c r="Y210" s="2"/>
      <c r="Z210" s="2"/>
      <c r="AA210" s="2"/>
      <c r="AB210" s="2"/>
      <c r="AC210" s="2"/>
    </row>
    <row r="211" spans="1:29">
      <c r="A211" s="2"/>
      <c r="B211" s="87">
        <f t="shared" si="40"/>
        <v>11</v>
      </c>
      <c r="C211" s="282">
        <v>45839</v>
      </c>
      <c r="D211" s="283">
        <v>71137</v>
      </c>
      <c r="E211" s="319" t="s">
        <v>1211</v>
      </c>
      <c r="F211" s="284">
        <v>0</v>
      </c>
      <c r="G211" s="284"/>
      <c r="H211" s="284"/>
      <c r="I211" s="285">
        <f t="shared" si="39"/>
        <v>0</v>
      </c>
      <c r="J211" s="286" t="s">
        <v>205</v>
      </c>
      <c r="K211" s="286">
        <v>1</v>
      </c>
      <c r="L211" s="286"/>
      <c r="M211" s="286"/>
      <c r="N211" s="286"/>
      <c r="O211" s="286"/>
      <c r="P211" s="286"/>
      <c r="Q211" s="286">
        <v>1</v>
      </c>
      <c r="R211" s="286">
        <v>1</v>
      </c>
      <c r="S211" s="287">
        <v>1</v>
      </c>
      <c r="T211" s="63"/>
      <c r="U211" s="94"/>
      <c r="V211" s="90"/>
      <c r="W211" s="136"/>
      <c r="X211" s="137"/>
      <c r="Y211" s="2"/>
      <c r="Z211" s="2"/>
      <c r="AA211" s="2"/>
      <c r="AB211" s="2"/>
      <c r="AC211" s="2"/>
    </row>
    <row r="212" spans="1:29">
      <c r="A212" s="2"/>
      <c r="B212" s="87">
        <f t="shared" si="40"/>
        <v>12</v>
      </c>
      <c r="C212" s="295">
        <v>45840</v>
      </c>
      <c r="D212" s="77" t="s">
        <v>3463</v>
      </c>
      <c r="E212" s="10" t="s">
        <v>1439</v>
      </c>
      <c r="F212" s="62">
        <v>7476</v>
      </c>
      <c r="G212" s="62">
        <v>39.700000000000003</v>
      </c>
      <c r="H212" s="62"/>
      <c r="I212" s="89">
        <f t="shared" si="39"/>
        <v>7436.3</v>
      </c>
      <c r="J212" s="63" t="s">
        <v>219</v>
      </c>
      <c r="K212" s="63">
        <v>1</v>
      </c>
      <c r="L212" s="63"/>
      <c r="M212" s="63"/>
      <c r="N212" s="63">
        <v>1</v>
      </c>
      <c r="O212" s="63"/>
      <c r="P212" s="63"/>
      <c r="Q212" s="63"/>
      <c r="R212" s="63"/>
      <c r="S212" s="296"/>
      <c r="T212" s="63"/>
      <c r="U212" s="94"/>
      <c r="V212" s="90"/>
      <c r="W212" s="136"/>
      <c r="X212" s="137"/>
      <c r="Y212" s="2"/>
      <c r="Z212" s="2"/>
      <c r="AA212" s="2"/>
      <c r="AB212" s="2"/>
      <c r="AC212" s="2"/>
    </row>
    <row r="213" spans="1:29">
      <c r="A213" s="2"/>
      <c r="B213" s="87">
        <f t="shared" si="40"/>
        <v>13</v>
      </c>
      <c r="C213" s="295">
        <v>45840</v>
      </c>
      <c r="D213" s="10">
        <v>71153</v>
      </c>
      <c r="E213" s="101" t="s">
        <v>725</v>
      </c>
      <c r="F213" s="62">
        <v>0</v>
      </c>
      <c r="G213" s="62"/>
      <c r="H213" s="62"/>
      <c r="I213" s="89">
        <f t="shared" si="39"/>
        <v>0</v>
      </c>
      <c r="J213" s="63" t="s">
        <v>205</v>
      </c>
      <c r="K213" s="63">
        <v>1</v>
      </c>
      <c r="L213" s="63"/>
      <c r="M213" s="63"/>
      <c r="N213" s="63"/>
      <c r="O213" s="63"/>
      <c r="P213" s="63"/>
      <c r="Q213" s="63">
        <v>1</v>
      </c>
      <c r="R213" s="63">
        <v>1</v>
      </c>
      <c r="S213" s="296">
        <v>1</v>
      </c>
      <c r="T213" s="63"/>
      <c r="U213" s="94"/>
      <c r="V213" s="90"/>
      <c r="W213" s="136"/>
      <c r="X213" s="137"/>
      <c r="Y213" s="2"/>
      <c r="Z213" s="2"/>
      <c r="AA213" s="2"/>
      <c r="AB213" s="2"/>
      <c r="AC213" s="2"/>
    </row>
    <row r="214" spans="1:29">
      <c r="A214" s="2"/>
      <c r="B214" s="87">
        <f t="shared" si="40"/>
        <v>14</v>
      </c>
      <c r="C214" s="295">
        <v>45840</v>
      </c>
      <c r="D214" s="10">
        <v>71169</v>
      </c>
      <c r="E214" s="101" t="s">
        <v>1136</v>
      </c>
      <c r="F214" s="62">
        <v>0</v>
      </c>
      <c r="G214" s="62"/>
      <c r="H214" s="62"/>
      <c r="I214" s="89">
        <f t="shared" si="39"/>
        <v>0</v>
      </c>
      <c r="J214" s="63" t="s">
        <v>205</v>
      </c>
      <c r="K214" s="63">
        <v>1</v>
      </c>
      <c r="L214" s="63"/>
      <c r="M214" s="63"/>
      <c r="N214" s="63"/>
      <c r="O214" s="63"/>
      <c r="P214" s="63"/>
      <c r="Q214" s="63">
        <v>1</v>
      </c>
      <c r="R214" s="63">
        <v>1</v>
      </c>
      <c r="S214" s="296">
        <v>1</v>
      </c>
      <c r="T214" s="63"/>
      <c r="U214" s="94"/>
      <c r="V214" s="90"/>
      <c r="W214" s="136"/>
      <c r="X214" s="137"/>
      <c r="Y214" s="2"/>
      <c r="Z214" s="2"/>
      <c r="AA214" s="2"/>
      <c r="AB214" s="2"/>
      <c r="AC214" s="2"/>
    </row>
    <row r="215" spans="1:29">
      <c r="A215" s="2"/>
      <c r="B215" s="87">
        <f t="shared" si="40"/>
        <v>15</v>
      </c>
      <c r="C215" s="295">
        <v>45840</v>
      </c>
      <c r="D215" s="10">
        <v>71148</v>
      </c>
      <c r="E215" s="10" t="s">
        <v>1073</v>
      </c>
      <c r="F215" s="62">
        <v>0</v>
      </c>
      <c r="G215" s="62"/>
      <c r="H215" s="62"/>
      <c r="I215" s="89">
        <f t="shared" si="39"/>
        <v>0</v>
      </c>
      <c r="J215" s="63" t="s">
        <v>205</v>
      </c>
      <c r="K215" s="63">
        <v>1</v>
      </c>
      <c r="L215" s="63"/>
      <c r="M215" s="63"/>
      <c r="N215" s="63"/>
      <c r="O215" s="63"/>
      <c r="P215" s="63"/>
      <c r="Q215" s="63"/>
      <c r="R215" s="63"/>
      <c r="S215" s="296"/>
      <c r="T215" s="63"/>
      <c r="U215" s="94"/>
      <c r="V215" s="90"/>
      <c r="W215" s="136"/>
      <c r="X215" s="137"/>
      <c r="Y215" s="2"/>
      <c r="Z215" s="2"/>
      <c r="AA215" s="2"/>
      <c r="AB215" s="2"/>
      <c r="AC215" s="2"/>
    </row>
    <row r="216" spans="1:29">
      <c r="A216" s="2"/>
      <c r="B216" s="87">
        <f t="shared" si="40"/>
        <v>16</v>
      </c>
      <c r="C216" s="274">
        <v>45841</v>
      </c>
      <c r="D216" s="275" t="s">
        <v>3464</v>
      </c>
      <c r="E216" s="276" t="s">
        <v>159</v>
      </c>
      <c r="F216" s="277">
        <v>8681.9</v>
      </c>
      <c r="G216" s="277">
        <v>39.700000000000003</v>
      </c>
      <c r="H216" s="277"/>
      <c r="I216" s="278">
        <f t="shared" si="39"/>
        <v>8642.1999999999989</v>
      </c>
      <c r="J216" s="279" t="s">
        <v>205</v>
      </c>
      <c r="K216" s="279">
        <v>1</v>
      </c>
      <c r="L216" s="279"/>
      <c r="M216" s="279"/>
      <c r="N216" s="279">
        <v>1</v>
      </c>
      <c r="O216" s="279"/>
      <c r="P216" s="279"/>
      <c r="Q216" s="279"/>
      <c r="R216" s="279"/>
      <c r="S216" s="280"/>
      <c r="T216" s="63"/>
      <c r="U216" s="94"/>
      <c r="V216" s="90"/>
      <c r="W216" s="136"/>
      <c r="X216" s="137"/>
      <c r="Y216" s="2"/>
      <c r="Z216" s="2"/>
      <c r="AA216" s="2"/>
      <c r="AB216" s="2"/>
      <c r="AC216" s="2"/>
    </row>
    <row r="217" spans="1:29">
      <c r="A217" s="2"/>
      <c r="B217" s="87">
        <f t="shared" si="40"/>
        <v>17</v>
      </c>
      <c r="C217" s="295">
        <v>45841</v>
      </c>
      <c r="D217" s="77" t="s">
        <v>3465</v>
      </c>
      <c r="E217" s="10" t="s">
        <v>382</v>
      </c>
      <c r="F217" s="62">
        <v>12214</v>
      </c>
      <c r="G217" s="62">
        <v>39.700000000000003</v>
      </c>
      <c r="H217" s="62"/>
      <c r="I217" s="89">
        <f t="shared" si="39"/>
        <v>12174.3</v>
      </c>
      <c r="J217" s="63" t="s">
        <v>205</v>
      </c>
      <c r="K217" s="63">
        <v>1</v>
      </c>
      <c r="L217" s="63"/>
      <c r="M217" s="63"/>
      <c r="N217" s="63">
        <v>1</v>
      </c>
      <c r="O217" s="63"/>
      <c r="P217" s="63"/>
      <c r="Q217" s="63"/>
      <c r="R217" s="63"/>
      <c r="S217" s="296"/>
      <c r="T217" s="63"/>
      <c r="U217" s="94"/>
      <c r="V217" s="90"/>
      <c r="W217" s="136"/>
      <c r="X217" s="137"/>
      <c r="Y217" s="2"/>
      <c r="Z217" s="2"/>
      <c r="AA217" s="2"/>
      <c r="AB217" s="2"/>
      <c r="AC217" s="2"/>
    </row>
    <row r="218" spans="1:29">
      <c r="A218" s="2"/>
      <c r="B218" s="87">
        <f t="shared" si="40"/>
        <v>18</v>
      </c>
      <c r="C218" s="295">
        <v>45841</v>
      </c>
      <c r="D218" s="77" t="s">
        <v>3466</v>
      </c>
      <c r="E218" s="10" t="s">
        <v>604</v>
      </c>
      <c r="F218" s="62">
        <v>7777</v>
      </c>
      <c r="G218" s="62">
        <v>39.700000000000003</v>
      </c>
      <c r="H218" s="62"/>
      <c r="I218" s="89">
        <f t="shared" si="39"/>
        <v>7737.3</v>
      </c>
      <c r="J218" s="63" t="s">
        <v>205</v>
      </c>
      <c r="K218" s="63">
        <v>1</v>
      </c>
      <c r="L218" s="63"/>
      <c r="M218" s="63"/>
      <c r="N218" s="63">
        <v>1</v>
      </c>
      <c r="O218" s="63"/>
      <c r="P218" s="63"/>
      <c r="Q218" s="63"/>
      <c r="R218" s="63"/>
      <c r="S218" s="296"/>
      <c r="T218" s="63"/>
      <c r="U218" s="94"/>
      <c r="V218" s="90"/>
      <c r="W218" s="136"/>
      <c r="X218" s="137"/>
      <c r="Y218" s="2"/>
      <c r="Z218" s="2"/>
      <c r="AA218" s="2"/>
      <c r="AB218" s="2"/>
      <c r="AC218" s="2"/>
    </row>
    <row r="219" spans="1:29">
      <c r="A219" s="2"/>
      <c r="B219" s="87">
        <f t="shared" si="40"/>
        <v>19</v>
      </c>
      <c r="C219" s="274">
        <v>45842</v>
      </c>
      <c r="D219" s="276">
        <v>71203</v>
      </c>
      <c r="E219" s="276" t="s">
        <v>1104</v>
      </c>
      <c r="F219" s="277">
        <v>1261</v>
      </c>
      <c r="G219" s="277">
        <v>39.700000000000003</v>
      </c>
      <c r="H219" s="277"/>
      <c r="I219" s="278">
        <f t="shared" si="39"/>
        <v>1221.3</v>
      </c>
      <c r="J219" s="279" t="s">
        <v>205</v>
      </c>
      <c r="K219" s="279">
        <v>1</v>
      </c>
      <c r="L219" s="279"/>
      <c r="M219" s="279"/>
      <c r="N219" s="279">
        <v>1</v>
      </c>
      <c r="O219" s="279"/>
      <c r="P219" s="279"/>
      <c r="Q219" s="279">
        <v>1</v>
      </c>
      <c r="R219" s="279">
        <v>1</v>
      </c>
      <c r="S219" s="280">
        <v>1</v>
      </c>
      <c r="T219" s="63"/>
      <c r="U219" s="94"/>
      <c r="V219" s="90"/>
      <c r="W219" s="136"/>
      <c r="X219" s="137"/>
      <c r="Y219" s="2"/>
      <c r="Z219" s="2"/>
      <c r="AA219" s="2"/>
      <c r="AB219" s="2"/>
      <c r="AC219" s="2"/>
    </row>
    <row r="220" spans="1:29">
      <c r="A220" s="2"/>
      <c r="B220" s="87">
        <f t="shared" si="40"/>
        <v>20</v>
      </c>
      <c r="C220" s="295">
        <v>45842</v>
      </c>
      <c r="D220" s="10">
        <v>71210</v>
      </c>
      <c r="E220" s="10" t="s">
        <v>1132</v>
      </c>
      <c r="F220" s="62">
        <v>4861</v>
      </c>
      <c r="G220" s="62">
        <v>39.700000000000003</v>
      </c>
      <c r="H220" s="62"/>
      <c r="I220" s="89">
        <f t="shared" si="39"/>
        <v>4821.3</v>
      </c>
      <c r="J220" s="63" t="s">
        <v>205</v>
      </c>
      <c r="K220" s="63">
        <v>1</v>
      </c>
      <c r="L220" s="63"/>
      <c r="M220" s="63"/>
      <c r="N220" s="63">
        <v>1</v>
      </c>
      <c r="O220" s="63"/>
      <c r="P220" s="63"/>
      <c r="Q220" s="63">
        <v>1</v>
      </c>
      <c r="R220" s="63">
        <v>1</v>
      </c>
      <c r="S220" s="296">
        <v>1</v>
      </c>
      <c r="T220" s="63"/>
      <c r="U220" s="94" t="s">
        <v>3467</v>
      </c>
      <c r="V220" s="90">
        <v>93.5</v>
      </c>
      <c r="W220" s="136"/>
      <c r="X220" s="137"/>
      <c r="Y220" s="2"/>
      <c r="Z220" s="2"/>
      <c r="AA220" s="2"/>
      <c r="AB220" s="2"/>
      <c r="AC220" s="2"/>
    </row>
    <row r="221" spans="1:29">
      <c r="A221" s="2"/>
      <c r="B221" s="87">
        <f t="shared" si="40"/>
        <v>21</v>
      </c>
      <c r="C221" s="295">
        <v>45842</v>
      </c>
      <c r="D221" s="10">
        <v>71224</v>
      </c>
      <c r="E221" s="10" t="s">
        <v>149</v>
      </c>
      <c r="F221" s="62">
        <v>0</v>
      </c>
      <c r="G221" s="62"/>
      <c r="H221" s="62"/>
      <c r="I221" s="89">
        <f t="shared" si="39"/>
        <v>0</v>
      </c>
      <c r="J221" s="63" t="s">
        <v>205</v>
      </c>
      <c r="K221" s="63">
        <v>1</v>
      </c>
      <c r="L221" s="63"/>
      <c r="M221" s="63"/>
      <c r="N221" s="63"/>
      <c r="O221" s="63"/>
      <c r="P221" s="63"/>
      <c r="Q221" s="63">
        <v>1</v>
      </c>
      <c r="R221" s="63">
        <v>1</v>
      </c>
      <c r="S221" s="296">
        <v>1</v>
      </c>
      <c r="T221" s="63"/>
      <c r="U221" s="94"/>
      <c r="V221" s="90"/>
      <c r="W221" s="136"/>
      <c r="X221" s="137"/>
      <c r="Y221" s="2"/>
      <c r="Z221" s="2"/>
      <c r="AA221" s="2"/>
      <c r="AB221" s="2"/>
      <c r="AC221" s="2"/>
    </row>
    <row r="222" spans="1:29">
      <c r="A222" s="2"/>
      <c r="B222" s="87">
        <f t="shared" si="40"/>
        <v>22</v>
      </c>
      <c r="C222" s="282">
        <v>45842</v>
      </c>
      <c r="D222" s="283">
        <v>71200</v>
      </c>
      <c r="E222" s="283" t="s">
        <v>1178</v>
      </c>
      <c r="F222" s="284">
        <v>0</v>
      </c>
      <c r="G222" s="284"/>
      <c r="H222" s="284"/>
      <c r="I222" s="285">
        <f t="shared" si="39"/>
        <v>0</v>
      </c>
      <c r="J222" s="286" t="s">
        <v>205</v>
      </c>
      <c r="K222" s="286">
        <v>1</v>
      </c>
      <c r="L222" s="286"/>
      <c r="M222" s="286"/>
      <c r="N222" s="286"/>
      <c r="O222" s="286"/>
      <c r="P222" s="286"/>
      <c r="Q222" s="286">
        <v>1</v>
      </c>
      <c r="R222" s="286">
        <v>1</v>
      </c>
      <c r="S222" s="287">
        <v>1</v>
      </c>
      <c r="T222" s="63"/>
      <c r="U222" s="94" t="s">
        <v>3467</v>
      </c>
      <c r="V222" s="90">
        <v>93.5</v>
      </c>
      <c r="W222" s="136"/>
      <c r="X222" s="137"/>
      <c r="Y222" s="2"/>
      <c r="Z222" s="2"/>
      <c r="AA222" s="2"/>
      <c r="AB222" s="2"/>
      <c r="AC222" s="2"/>
    </row>
    <row r="223" spans="1:29">
      <c r="A223" s="2"/>
      <c r="B223" s="11"/>
      <c r="C223" s="36"/>
      <c r="D223" s="10"/>
      <c r="E223" s="10"/>
      <c r="F223" s="98">
        <f>SUM(F201:F222)</f>
        <v>103929.79999999999</v>
      </c>
      <c r="G223" s="98">
        <f>SUM(G201:G222)</f>
        <v>476.39999999999992</v>
      </c>
      <c r="H223" s="98">
        <f>SUM(H201:H222)</f>
        <v>0</v>
      </c>
      <c r="I223" s="98">
        <f>SUM(I201:I222)</f>
        <v>103453.40000000001</v>
      </c>
      <c r="J223" s="10"/>
      <c r="K223" s="10"/>
      <c r="L223" s="10"/>
      <c r="M223" s="10"/>
      <c r="N223" s="10"/>
      <c r="O223" s="10"/>
      <c r="P223" s="10"/>
      <c r="Q223" s="10"/>
      <c r="R223" s="10"/>
      <c r="S223" s="10"/>
      <c r="T223" s="63"/>
      <c r="U223" s="94"/>
      <c r="V223" s="90"/>
      <c r="W223" s="91"/>
      <c r="X223" s="92"/>
      <c r="Y223" s="2"/>
      <c r="Z223" s="2"/>
      <c r="AA223" s="2"/>
      <c r="AB223" s="2"/>
      <c r="AC223" s="2"/>
    </row>
    <row r="224" spans="1:29">
      <c r="A224" s="2"/>
      <c r="B224" s="26"/>
      <c r="C224" s="140"/>
      <c r="D224" s="141"/>
      <c r="E224" s="141"/>
      <c r="F224" s="141"/>
      <c r="G224" s="141"/>
      <c r="H224" s="141"/>
      <c r="I224" s="141"/>
      <c r="J224" s="141"/>
      <c r="K224" s="142"/>
      <c r="L224" s="142"/>
      <c r="M224" s="142"/>
      <c r="N224" s="142"/>
      <c r="O224" s="142"/>
      <c r="P224" s="142"/>
      <c r="Q224" s="142"/>
      <c r="R224" s="142"/>
      <c r="S224" s="142"/>
      <c r="T224" s="143">
        <f>SUM(T145:T223)</f>
        <v>0</v>
      </c>
      <c r="U224" s="168"/>
      <c r="V224" s="144">
        <f>SUM(V145:V223)</f>
        <v>48497.460000000006</v>
      </c>
      <c r="W224" s="145">
        <f>SUM(W145:W223)</f>
        <v>1249.0999999999999</v>
      </c>
      <c r="X224" s="146">
        <f>SUM(X145:X223)</f>
        <v>0</v>
      </c>
      <c r="Y224" s="2"/>
      <c r="Z224" s="2"/>
      <c r="AA224" s="2"/>
      <c r="AB224" s="2"/>
      <c r="AC224" s="2"/>
    </row>
    <row r="227" spans="2:24">
      <c r="B227" s="4" t="s">
        <v>1</v>
      </c>
      <c r="C227" s="5"/>
      <c r="D227" s="83"/>
      <c r="E227" s="6"/>
      <c r="F227" s="7" t="s">
        <v>2</v>
      </c>
      <c r="G227" s="8">
        <v>45851</v>
      </c>
      <c r="H227" s="7"/>
      <c r="I227" s="6"/>
      <c r="J227" s="6"/>
      <c r="K227" s="6"/>
      <c r="L227" s="6"/>
      <c r="M227" s="6"/>
      <c r="N227" s="6"/>
      <c r="O227" s="6"/>
      <c r="P227" s="6"/>
      <c r="Q227" s="6"/>
      <c r="R227" s="6"/>
      <c r="S227" s="6"/>
      <c r="T227" s="6"/>
      <c r="U227" s="149"/>
      <c r="V227" s="77"/>
      <c r="W227" s="77"/>
      <c r="X227" s="77"/>
    </row>
    <row r="228" spans="2:24">
      <c r="B228" s="11"/>
      <c r="C228" s="10"/>
      <c r="D228" s="63"/>
      <c r="E228" s="10"/>
      <c r="F228" s="10"/>
      <c r="G228" s="7"/>
      <c r="H228" s="12"/>
      <c r="I228" s="10"/>
      <c r="J228" s="10"/>
      <c r="K228" s="13" t="s">
        <v>3</v>
      </c>
      <c r="L228" s="14"/>
      <c r="M228" s="15"/>
      <c r="N228" s="13" t="s">
        <v>4</v>
      </c>
      <c r="O228" s="14"/>
      <c r="P228" s="15"/>
      <c r="Q228" s="13" t="s">
        <v>5</v>
      </c>
      <c r="R228" s="14"/>
      <c r="S228" s="15"/>
      <c r="T228" s="16"/>
      <c r="U228" s="151"/>
      <c r="V228" s="77"/>
      <c r="W228" s="77"/>
      <c r="X228" s="77"/>
    </row>
    <row r="229" spans="2:24">
      <c r="B229" s="18" t="s">
        <v>6</v>
      </c>
      <c r="C229" s="19">
        <f>C230+C231</f>
        <v>48</v>
      </c>
      <c r="D229" s="63"/>
      <c r="E229" s="18" t="s">
        <v>7</v>
      </c>
      <c r="F229" s="6"/>
      <c r="G229" s="9"/>
      <c r="H229" s="10"/>
      <c r="I229" s="10"/>
      <c r="J229" s="10"/>
      <c r="K229" s="20" t="s">
        <v>8</v>
      </c>
      <c r="L229" s="21" t="s">
        <v>9</v>
      </c>
      <c r="M229" s="21" t="s">
        <v>10</v>
      </c>
      <c r="N229" s="20" t="s">
        <v>11</v>
      </c>
      <c r="O229" s="21" t="s">
        <v>12</v>
      </c>
      <c r="P229" s="22" t="s">
        <v>13</v>
      </c>
      <c r="Q229" s="21" t="s">
        <v>11</v>
      </c>
      <c r="R229" s="21" t="s">
        <v>12</v>
      </c>
      <c r="S229" s="22" t="s">
        <v>13</v>
      </c>
      <c r="T229" s="23" t="s">
        <v>14</v>
      </c>
      <c r="U229" s="151"/>
      <c r="V229" s="77"/>
      <c r="W229" s="77"/>
      <c r="X229" s="77"/>
    </row>
    <row r="230" spans="2:24">
      <c r="B230" s="24" t="s">
        <v>15</v>
      </c>
      <c r="C230" s="25">
        <f>P237</f>
        <v>20</v>
      </c>
      <c r="D230" s="63"/>
      <c r="E230" s="11" t="s">
        <v>16</v>
      </c>
      <c r="F230" s="10" t="s">
        <v>78</v>
      </c>
      <c r="G230" s="153">
        <v>0.05</v>
      </c>
      <c r="H230" s="10"/>
      <c r="I230" s="10"/>
      <c r="J230" s="18" t="s">
        <v>17</v>
      </c>
      <c r="K230" s="29">
        <f t="shared" ref="K230:S230" si="41">K272</f>
        <v>16</v>
      </c>
      <c r="L230" s="29">
        <f t="shared" si="41"/>
        <v>15</v>
      </c>
      <c r="M230" s="29">
        <f t="shared" si="41"/>
        <v>15</v>
      </c>
      <c r="N230" s="29">
        <f t="shared" si="41"/>
        <v>16</v>
      </c>
      <c r="O230" s="29">
        <f t="shared" si="41"/>
        <v>16</v>
      </c>
      <c r="P230" s="29">
        <f t="shared" si="41"/>
        <v>16</v>
      </c>
      <c r="Q230" s="29">
        <f t="shared" si="41"/>
        <v>6</v>
      </c>
      <c r="R230" s="29">
        <f t="shared" si="41"/>
        <v>6</v>
      </c>
      <c r="S230" s="29">
        <f t="shared" si="41"/>
        <v>6</v>
      </c>
      <c r="T230" s="30">
        <f>T341</f>
        <v>1</v>
      </c>
      <c r="U230" s="151"/>
      <c r="V230" s="77"/>
      <c r="W230" s="77"/>
      <c r="X230" s="77"/>
    </row>
    <row r="231" spans="2:24">
      <c r="B231" s="24" t="s">
        <v>18</v>
      </c>
      <c r="C231" s="25">
        <f>P238</f>
        <v>28</v>
      </c>
      <c r="D231" s="63"/>
      <c r="E231" s="26" t="s">
        <v>80</v>
      </c>
      <c r="F231" s="141" t="s">
        <v>81</v>
      </c>
      <c r="G231" s="154">
        <v>0.1</v>
      </c>
      <c r="H231" s="10"/>
      <c r="I231" s="10"/>
      <c r="J231" s="32" t="s">
        <v>19</v>
      </c>
      <c r="K231" s="33">
        <f t="shared" ref="K231:S231" si="42">K272/K271</f>
        <v>1</v>
      </c>
      <c r="L231" s="33">
        <f t="shared" si="42"/>
        <v>0.9375</v>
      </c>
      <c r="M231" s="33">
        <f t="shared" si="42"/>
        <v>0.9375</v>
      </c>
      <c r="N231" s="33">
        <f t="shared" si="42"/>
        <v>1</v>
      </c>
      <c r="O231" s="33">
        <f t="shared" si="42"/>
        <v>1</v>
      </c>
      <c r="P231" s="33">
        <f t="shared" si="42"/>
        <v>1</v>
      </c>
      <c r="Q231" s="33">
        <f t="shared" si="42"/>
        <v>0.4</v>
      </c>
      <c r="R231" s="33">
        <f t="shared" si="42"/>
        <v>0.4</v>
      </c>
      <c r="S231" s="33">
        <f t="shared" si="42"/>
        <v>0.4</v>
      </c>
      <c r="T231" s="23"/>
      <c r="U231" s="151" t="s">
        <v>20</v>
      </c>
      <c r="V231" s="77"/>
      <c r="W231" s="77"/>
      <c r="X231" s="77"/>
    </row>
    <row r="232" spans="2:24">
      <c r="B232" s="24" t="s">
        <v>21</v>
      </c>
      <c r="C232" s="34">
        <f>P239</f>
        <v>0.41666666666666669</v>
      </c>
      <c r="D232" s="63"/>
      <c r="E232" s="10"/>
      <c r="F232" s="10"/>
      <c r="G232" s="10"/>
      <c r="H232" s="10"/>
      <c r="I232" s="10"/>
      <c r="J232" s="10"/>
      <c r="K232" s="10"/>
      <c r="L232" s="10"/>
      <c r="M232" s="10"/>
      <c r="N232" s="10"/>
      <c r="O232" s="10"/>
      <c r="P232" s="10"/>
      <c r="Q232" s="10"/>
      <c r="R232" s="10"/>
      <c r="S232" s="10"/>
      <c r="T232" s="10"/>
      <c r="U232" s="151"/>
      <c r="V232" s="77"/>
      <c r="W232" s="77"/>
      <c r="X232" s="77"/>
    </row>
    <row r="233" spans="2:24">
      <c r="B233" s="24"/>
      <c r="C233" s="25"/>
      <c r="D233" s="63"/>
      <c r="E233" s="10"/>
      <c r="F233" s="18" t="s">
        <v>22</v>
      </c>
      <c r="G233" s="19" t="s">
        <v>23</v>
      </c>
      <c r="H233" s="35" t="s">
        <v>24</v>
      </c>
      <c r="I233" s="10"/>
      <c r="J233" s="10"/>
      <c r="K233" s="36"/>
      <c r="L233" s="36"/>
      <c r="M233" s="36"/>
      <c r="N233" s="36"/>
      <c r="O233" s="36"/>
      <c r="P233" s="36"/>
      <c r="Q233" s="36"/>
      <c r="R233" s="10"/>
      <c r="S233" s="10"/>
      <c r="T233" s="10"/>
      <c r="U233" s="151"/>
      <c r="V233" s="77"/>
      <c r="W233" s="77"/>
      <c r="X233" s="77"/>
    </row>
    <row r="234" spans="2:24" ht="15" customHeight="1">
      <c r="B234" s="32" t="s">
        <v>25</v>
      </c>
      <c r="C234" s="37">
        <f>P240</f>
        <v>1700.6294999999998</v>
      </c>
      <c r="D234" s="63"/>
      <c r="E234" s="18" t="s">
        <v>26</v>
      </c>
      <c r="F234" s="38">
        <f>P236</f>
        <v>34012.589999999997</v>
      </c>
      <c r="G234" s="39">
        <f>I271+I283+I288</f>
        <v>34012.590000000004</v>
      </c>
      <c r="H234" s="767" t="s">
        <v>3468</v>
      </c>
      <c r="I234" s="767"/>
      <c r="J234" s="767"/>
      <c r="K234" s="43" t="s">
        <v>27</v>
      </c>
      <c r="L234" s="44"/>
      <c r="M234" s="44"/>
      <c r="N234" s="44"/>
      <c r="O234" s="44"/>
      <c r="P234" s="44"/>
      <c r="Q234" s="45"/>
      <c r="R234" s="46" t="s">
        <v>28</v>
      </c>
      <c r="S234" s="47" t="s">
        <v>29</v>
      </c>
      <c r="T234" s="10"/>
      <c r="U234" s="151"/>
      <c r="V234" s="77"/>
      <c r="W234" s="77"/>
      <c r="X234" s="77"/>
    </row>
    <row r="235" spans="2:24" ht="21" customHeight="1">
      <c r="B235" s="11"/>
      <c r="C235" s="10"/>
      <c r="D235" s="63"/>
      <c r="E235" s="24" t="s">
        <v>30</v>
      </c>
      <c r="F235" s="48">
        <f>IF(F234&gt;=25000,10%,5%)</f>
        <v>0.1</v>
      </c>
      <c r="G235" s="17"/>
      <c r="H235" s="767"/>
      <c r="I235" s="767"/>
      <c r="J235" s="767"/>
      <c r="K235" s="20" t="s">
        <v>31</v>
      </c>
      <c r="L235" s="21" t="s">
        <v>32</v>
      </c>
      <c r="M235" s="21" t="s">
        <v>33</v>
      </c>
      <c r="N235" s="21" t="s">
        <v>34</v>
      </c>
      <c r="O235" s="21" t="s">
        <v>35</v>
      </c>
      <c r="P235" s="21" t="s">
        <v>36</v>
      </c>
      <c r="Q235" s="49" t="s">
        <v>37</v>
      </c>
      <c r="R235" s="50" t="s">
        <v>38</v>
      </c>
      <c r="S235" s="50" t="s">
        <v>38</v>
      </c>
      <c r="T235" s="10"/>
      <c r="U235" s="151"/>
      <c r="V235" s="77"/>
      <c r="W235" s="77"/>
      <c r="X235" s="77"/>
    </row>
    <row r="236" spans="2:24">
      <c r="B236" s="11"/>
      <c r="C236" s="10"/>
      <c r="D236" s="63"/>
      <c r="E236" s="51" t="s">
        <v>39</v>
      </c>
      <c r="F236" s="52">
        <f>(F234-I269-I281-I282-I286-I287)*F235</f>
        <v>1898.1879999999999</v>
      </c>
      <c r="G236" s="53" t="s">
        <v>40</v>
      </c>
      <c r="H236" s="484">
        <f>F236/1.12</f>
        <v>1694.8107142857141</v>
      </c>
      <c r="I236" s="55"/>
      <c r="J236" s="42"/>
      <c r="K236" s="56">
        <f>I281</f>
        <v>1588.3</v>
      </c>
      <c r="L236" s="57">
        <f>I255+I256</f>
        <v>1656.2</v>
      </c>
      <c r="M236" s="57">
        <f>I257+I258+I259+I282+I260+I261</f>
        <v>9922.5</v>
      </c>
      <c r="N236" s="57">
        <f>I262+I264+I265+I263+I266</f>
        <v>9507.85</v>
      </c>
      <c r="O236" s="57">
        <f>I267+I268+I269+I286+I270+I287</f>
        <v>11337.740000000002</v>
      </c>
      <c r="P236" s="57">
        <f>SUM(K236:O236)</f>
        <v>34012.589999999997</v>
      </c>
      <c r="Q236" s="58">
        <v>0</v>
      </c>
      <c r="R236" s="59">
        <f>I283+I288</f>
        <v>14469.710000000001</v>
      </c>
      <c r="S236" s="59"/>
      <c r="T236" s="10"/>
      <c r="U236" s="151"/>
      <c r="V236" s="77"/>
      <c r="W236" s="77"/>
      <c r="X236" s="77"/>
    </row>
    <row r="237" spans="2:24">
      <c r="B237" s="11"/>
      <c r="C237" s="10"/>
      <c r="D237" s="63"/>
      <c r="E237" s="24" t="s">
        <v>41</v>
      </c>
      <c r="F237" s="60">
        <f>Q236</f>
        <v>0</v>
      </c>
      <c r="G237" s="61" t="s">
        <v>40</v>
      </c>
      <c r="H237" s="62"/>
      <c r="I237" s="62"/>
      <c r="J237" s="10" t="s">
        <v>42</v>
      </c>
      <c r="K237" s="63">
        <v>1</v>
      </c>
      <c r="L237" s="63">
        <v>2</v>
      </c>
      <c r="M237" s="63">
        <v>6</v>
      </c>
      <c r="N237" s="63">
        <v>5</v>
      </c>
      <c r="O237" s="63">
        <v>6</v>
      </c>
      <c r="P237" s="21">
        <f>SUM(K237:O237)</f>
        <v>20</v>
      </c>
      <c r="Q237" s="64">
        <v>0</v>
      </c>
      <c r="R237" s="63"/>
      <c r="S237" s="10"/>
      <c r="T237" s="10"/>
      <c r="U237" s="151"/>
      <c r="V237" s="77"/>
      <c r="W237" s="77"/>
      <c r="X237" s="77"/>
    </row>
    <row r="238" spans="2:24">
      <c r="B238" s="11"/>
      <c r="C238" s="10"/>
      <c r="D238" s="63"/>
      <c r="E238" s="51" t="s">
        <v>43</v>
      </c>
      <c r="F238" s="52">
        <f>F237*0.25</f>
        <v>0</v>
      </c>
      <c r="G238" s="53" t="s">
        <v>40</v>
      </c>
      <c r="H238" s="54">
        <f>F238/1.12</f>
        <v>0</v>
      </c>
      <c r="I238" s="10"/>
      <c r="J238" s="10" t="s">
        <v>44</v>
      </c>
      <c r="K238" s="63">
        <v>9</v>
      </c>
      <c r="L238" s="63">
        <v>3</v>
      </c>
      <c r="M238" s="63">
        <v>6</v>
      </c>
      <c r="N238" s="63">
        <v>5</v>
      </c>
      <c r="O238" s="63">
        <v>5</v>
      </c>
      <c r="P238" s="21">
        <f>SUM(K238:O238)</f>
        <v>28</v>
      </c>
      <c r="Q238" s="64">
        <v>1</v>
      </c>
      <c r="R238" s="63"/>
      <c r="S238" s="10"/>
      <c r="T238" s="10"/>
      <c r="U238" s="151"/>
      <c r="V238" s="77"/>
      <c r="W238" s="77"/>
      <c r="X238" s="77"/>
    </row>
    <row r="239" spans="2:24">
      <c r="B239" s="11"/>
      <c r="C239" s="10"/>
      <c r="D239" s="63"/>
      <c r="E239" s="24" t="s">
        <v>45</v>
      </c>
      <c r="F239" s="60">
        <f>I278</f>
        <v>23501.39</v>
      </c>
      <c r="G239" s="61" t="s">
        <v>40</v>
      </c>
      <c r="H239" s="62"/>
      <c r="I239" s="10"/>
      <c r="J239" s="10" t="s">
        <v>46</v>
      </c>
      <c r="K239" s="31">
        <f t="shared" ref="K239:Q239" si="43">K237/(K237+K238)</f>
        <v>0.1</v>
      </c>
      <c r="L239" s="31">
        <f t="shared" si="43"/>
        <v>0.4</v>
      </c>
      <c r="M239" s="31">
        <f t="shared" si="43"/>
        <v>0.5</v>
      </c>
      <c r="N239" s="31">
        <f t="shared" si="43"/>
        <v>0.5</v>
      </c>
      <c r="O239" s="31">
        <f t="shared" si="43"/>
        <v>0.54545454545454541</v>
      </c>
      <c r="P239" s="31">
        <f t="shared" si="43"/>
        <v>0.41666666666666669</v>
      </c>
      <c r="Q239" s="31">
        <f t="shared" si="43"/>
        <v>0</v>
      </c>
      <c r="R239" s="63"/>
      <c r="S239" s="10"/>
      <c r="T239" s="10"/>
      <c r="U239" s="151"/>
      <c r="V239" s="77"/>
      <c r="W239" s="77"/>
      <c r="X239" s="77"/>
    </row>
    <row r="240" spans="2:24">
      <c r="B240" s="11"/>
      <c r="C240" s="10"/>
      <c r="D240" s="63"/>
      <c r="E240" s="51" t="s">
        <v>47</v>
      </c>
      <c r="F240" s="52">
        <f>(F239+F243)*0.1</f>
        <v>2354.509</v>
      </c>
      <c r="G240" s="65" t="s">
        <v>40</v>
      </c>
      <c r="H240" s="54">
        <f>F240/1.12</f>
        <v>2102.2401785714283</v>
      </c>
      <c r="I240" s="42"/>
      <c r="J240" s="10" t="s">
        <v>48</v>
      </c>
      <c r="K240" s="66">
        <f t="shared" ref="K240:Q240" si="44">K236/K237</f>
        <v>1588.3</v>
      </c>
      <c r="L240" s="66">
        <f t="shared" si="44"/>
        <v>828.1</v>
      </c>
      <c r="M240" s="66">
        <f t="shared" si="44"/>
        <v>1653.75</v>
      </c>
      <c r="N240" s="66">
        <f t="shared" si="44"/>
        <v>1901.5700000000002</v>
      </c>
      <c r="O240" s="66">
        <f t="shared" si="44"/>
        <v>1889.6233333333337</v>
      </c>
      <c r="P240" s="66">
        <f t="shared" si="44"/>
        <v>1700.6294999999998</v>
      </c>
      <c r="Q240" s="66" t="e">
        <f t="shared" si="44"/>
        <v>#DIV/0!</v>
      </c>
      <c r="R240" s="63"/>
      <c r="S240" s="10"/>
      <c r="T240" s="10"/>
      <c r="U240" s="151"/>
      <c r="V240" s="77"/>
      <c r="W240" s="77"/>
      <c r="X240" s="77"/>
    </row>
    <row r="241" spans="2:24">
      <c r="B241" s="132"/>
      <c r="C241" s="123"/>
      <c r="D241" s="127"/>
      <c r="E241" s="155" t="s">
        <v>14</v>
      </c>
      <c r="F241" s="156">
        <f>1*50</f>
        <v>50</v>
      </c>
      <c r="G241" s="123"/>
      <c r="H241" s="54">
        <f>F241/1.12</f>
        <v>44.642857142857139</v>
      </c>
      <c r="I241" s="123"/>
      <c r="J241" s="123"/>
      <c r="K241" s="123"/>
      <c r="L241" s="123"/>
      <c r="M241" s="123"/>
      <c r="N241" s="123"/>
      <c r="O241" s="123"/>
      <c r="P241" s="123"/>
      <c r="Q241" s="123"/>
      <c r="R241" s="123"/>
      <c r="S241" s="123"/>
      <c r="T241" s="123"/>
      <c r="U241" s="157"/>
      <c r="V241" s="123"/>
      <c r="W241" s="123"/>
      <c r="X241" s="123"/>
    </row>
    <row r="242" spans="2:24">
      <c r="B242" s="132"/>
      <c r="C242" s="123"/>
      <c r="D242" s="127"/>
      <c r="E242" s="158" t="s">
        <v>49</v>
      </c>
      <c r="F242" s="159">
        <f>T231</f>
        <v>0</v>
      </c>
      <c r="G242" s="123"/>
      <c r="H242" s="54"/>
      <c r="I242" s="123"/>
      <c r="J242" s="42"/>
      <c r="K242" s="764" t="s">
        <v>50</v>
      </c>
      <c r="L242" s="765"/>
      <c r="M242" s="765"/>
      <c r="N242" s="765"/>
      <c r="O242" s="765"/>
      <c r="P242" s="765"/>
      <c r="Q242" s="766"/>
      <c r="R242" s="70" t="s">
        <v>28</v>
      </c>
      <c r="S242" s="71" t="s">
        <v>29</v>
      </c>
      <c r="T242" s="123"/>
      <c r="U242" s="157"/>
      <c r="V242" s="123"/>
      <c r="W242" s="123"/>
      <c r="X242" s="123"/>
    </row>
    <row r="243" spans="2:24">
      <c r="B243" s="132"/>
      <c r="C243" s="123"/>
      <c r="D243" s="127"/>
      <c r="E243" s="74" t="s">
        <v>3469</v>
      </c>
      <c r="F243" s="75">
        <v>43.7</v>
      </c>
      <c r="G243" s="123"/>
      <c r="H243" s="54"/>
      <c r="I243" s="123"/>
      <c r="J243" s="42"/>
      <c r="K243" s="20" t="s">
        <v>31</v>
      </c>
      <c r="L243" s="21" t="s">
        <v>32</v>
      </c>
      <c r="M243" s="21" t="s">
        <v>33</v>
      </c>
      <c r="N243" s="21" t="s">
        <v>34</v>
      </c>
      <c r="O243" s="21" t="s">
        <v>35</v>
      </c>
      <c r="P243" s="21" t="s">
        <v>36</v>
      </c>
      <c r="Q243" s="49" t="s">
        <v>37</v>
      </c>
      <c r="R243" s="50" t="s">
        <v>38</v>
      </c>
      <c r="S243" s="50" t="s">
        <v>38</v>
      </c>
      <c r="T243" s="123"/>
      <c r="U243" s="157"/>
      <c r="V243" s="123"/>
      <c r="W243" s="123"/>
      <c r="X243" s="123"/>
    </row>
    <row r="244" spans="2:24">
      <c r="B244" s="132"/>
      <c r="C244" s="123"/>
      <c r="D244" s="127"/>
      <c r="E244" s="12"/>
      <c r="F244" s="160"/>
      <c r="G244" s="123"/>
      <c r="H244" s="54"/>
      <c r="I244" s="123"/>
      <c r="J244" s="42"/>
      <c r="K244" s="56">
        <f>F281</f>
        <v>2035</v>
      </c>
      <c r="L244" s="57">
        <f>F255+F256</f>
        <v>1734</v>
      </c>
      <c r="M244" s="57">
        <f>F257+F258+F259+F260+F282+F261</f>
        <v>12121</v>
      </c>
      <c r="N244" s="57">
        <f>F262+F264+F265+F263+F266</f>
        <v>11723</v>
      </c>
      <c r="O244" s="57">
        <f>F267+F268+F269+F286+F270+F287</f>
        <v>11872</v>
      </c>
      <c r="P244" s="57">
        <f>SUM(K244:O244)</f>
        <v>39485</v>
      </c>
      <c r="Q244" s="58">
        <v>0</v>
      </c>
      <c r="R244" s="59">
        <f>F283+F288</f>
        <v>17223</v>
      </c>
      <c r="S244" s="59">
        <v>0</v>
      </c>
      <c r="T244" s="123"/>
      <c r="U244" s="157"/>
      <c r="V244" s="123"/>
      <c r="W244" s="123"/>
      <c r="X244" s="123"/>
    </row>
    <row r="245" spans="2:24">
      <c r="B245" s="132"/>
      <c r="C245" s="123"/>
      <c r="D245" s="127"/>
      <c r="E245" s="12"/>
      <c r="F245" s="160"/>
      <c r="G245" s="123"/>
      <c r="H245" s="54"/>
      <c r="I245" s="123"/>
      <c r="J245" s="10" t="s">
        <v>42</v>
      </c>
      <c r="K245" s="63">
        <f t="shared" ref="K245:Q246" si="45">K237</f>
        <v>1</v>
      </c>
      <c r="L245" s="63">
        <f t="shared" si="45"/>
        <v>2</v>
      </c>
      <c r="M245" s="63">
        <f t="shared" si="45"/>
        <v>6</v>
      </c>
      <c r="N245" s="63">
        <f t="shared" si="45"/>
        <v>5</v>
      </c>
      <c r="O245" s="63">
        <f t="shared" si="45"/>
        <v>6</v>
      </c>
      <c r="P245" s="63">
        <f t="shared" si="45"/>
        <v>20</v>
      </c>
      <c r="Q245" s="63">
        <f t="shared" si="45"/>
        <v>0</v>
      </c>
      <c r="R245" s="63"/>
      <c r="S245" s="10"/>
      <c r="T245" s="123"/>
      <c r="U245" s="157"/>
      <c r="V245" s="123"/>
      <c r="W245" s="123"/>
      <c r="X245" s="123"/>
    </row>
    <row r="246" spans="2:24">
      <c r="B246" s="132"/>
      <c r="C246" s="123"/>
      <c r="D246" s="127"/>
      <c r="E246" s="12"/>
      <c r="F246" s="160"/>
      <c r="G246" s="123"/>
      <c r="H246" s="54"/>
      <c r="I246" s="123"/>
      <c r="J246" s="10" t="s">
        <v>44</v>
      </c>
      <c r="K246" s="63">
        <f t="shared" si="45"/>
        <v>9</v>
      </c>
      <c r="L246" s="63">
        <f t="shared" si="45"/>
        <v>3</v>
      </c>
      <c r="M246" s="63">
        <f t="shared" si="45"/>
        <v>6</v>
      </c>
      <c r="N246" s="63">
        <f t="shared" si="45"/>
        <v>5</v>
      </c>
      <c r="O246" s="63">
        <f t="shared" si="45"/>
        <v>5</v>
      </c>
      <c r="P246" s="63">
        <f t="shared" si="45"/>
        <v>28</v>
      </c>
      <c r="Q246" s="63">
        <f t="shared" si="45"/>
        <v>1</v>
      </c>
      <c r="R246" s="63"/>
      <c r="S246" s="10"/>
      <c r="T246" s="123"/>
      <c r="U246" s="157"/>
      <c r="V246" s="123"/>
      <c r="W246" s="123"/>
      <c r="X246" s="123"/>
    </row>
    <row r="247" spans="2:24">
      <c r="B247" s="132"/>
      <c r="C247" s="123"/>
      <c r="D247" s="127"/>
      <c r="E247" s="12"/>
      <c r="F247" s="160"/>
      <c r="G247" s="123"/>
      <c r="H247" s="54"/>
      <c r="I247" s="123"/>
      <c r="J247" s="10" t="s">
        <v>46</v>
      </c>
      <c r="K247" s="31">
        <f t="shared" ref="K247:Q247" si="46">K245/(K245+K246)</f>
        <v>0.1</v>
      </c>
      <c r="L247" s="31">
        <f t="shared" si="46"/>
        <v>0.4</v>
      </c>
      <c r="M247" s="31">
        <f t="shared" si="46"/>
        <v>0.5</v>
      </c>
      <c r="N247" s="31">
        <f t="shared" si="46"/>
        <v>0.5</v>
      </c>
      <c r="O247" s="31">
        <f t="shared" si="46"/>
        <v>0.54545454545454541</v>
      </c>
      <c r="P247" s="31">
        <f t="shared" si="46"/>
        <v>0.41666666666666669</v>
      </c>
      <c r="Q247" s="31">
        <f t="shared" si="46"/>
        <v>0</v>
      </c>
      <c r="R247" s="63"/>
      <c r="S247" s="10"/>
      <c r="T247" s="123"/>
      <c r="U247" s="157"/>
      <c r="V247" s="123"/>
      <c r="W247" s="123"/>
      <c r="X247" s="123"/>
    </row>
    <row r="248" spans="2:24">
      <c r="B248" s="132"/>
      <c r="C248" s="123"/>
      <c r="D248" s="127"/>
      <c r="E248" s="12"/>
      <c r="F248" s="160"/>
      <c r="G248" s="123"/>
      <c r="H248" s="54"/>
      <c r="I248" s="123"/>
      <c r="J248" s="10" t="s">
        <v>48</v>
      </c>
      <c r="K248" s="66">
        <f t="shared" ref="K248:Q248" si="47">K244/K245</f>
        <v>2035</v>
      </c>
      <c r="L248" s="66">
        <f t="shared" si="47"/>
        <v>867</v>
      </c>
      <c r="M248" s="66">
        <f t="shared" si="47"/>
        <v>2020.1666666666667</v>
      </c>
      <c r="N248" s="66">
        <f t="shared" si="47"/>
        <v>2344.6</v>
      </c>
      <c r="O248" s="66">
        <f t="shared" si="47"/>
        <v>1978.6666666666667</v>
      </c>
      <c r="P248" s="66">
        <f t="shared" si="47"/>
        <v>1974.25</v>
      </c>
      <c r="Q248" s="66" t="e">
        <f t="shared" si="47"/>
        <v>#DIV/0!</v>
      </c>
      <c r="R248" s="63"/>
      <c r="S248" s="10"/>
      <c r="T248" s="123"/>
      <c r="U248" s="157"/>
      <c r="V248" s="123"/>
      <c r="W248" s="123"/>
      <c r="X248" s="123"/>
    </row>
    <row r="249" spans="2:24">
      <c r="B249" s="132"/>
      <c r="C249" s="123"/>
      <c r="D249" s="127"/>
      <c r="E249" s="12"/>
      <c r="F249" s="160"/>
      <c r="G249" s="123"/>
      <c r="H249" s="54"/>
      <c r="I249" s="123"/>
      <c r="J249" s="123"/>
      <c r="K249" s="123"/>
      <c r="L249" s="123"/>
      <c r="M249" s="123"/>
      <c r="N249" s="123"/>
      <c r="O249" s="123"/>
      <c r="P249" s="123"/>
      <c r="Q249" s="123"/>
      <c r="R249" s="123"/>
      <c r="S249" s="123"/>
      <c r="T249" s="123"/>
      <c r="U249" s="157"/>
      <c r="V249" s="123"/>
      <c r="W249" s="123"/>
      <c r="X249" s="123"/>
    </row>
    <row r="250" spans="2:24">
      <c r="B250" s="11"/>
      <c r="C250" s="10"/>
      <c r="D250" s="63"/>
      <c r="E250" s="12"/>
      <c r="F250" s="12"/>
      <c r="G250" s="10"/>
      <c r="H250" s="10"/>
      <c r="I250" s="10"/>
      <c r="J250" s="10"/>
      <c r="K250" s="10"/>
      <c r="L250" s="10"/>
      <c r="M250" s="10"/>
      <c r="N250" s="10"/>
      <c r="O250" s="10"/>
      <c r="P250" s="10"/>
      <c r="Q250" s="10"/>
      <c r="R250" s="10"/>
      <c r="S250" s="10"/>
      <c r="T250" s="10"/>
      <c r="U250" s="151"/>
      <c r="V250" s="77"/>
      <c r="W250" s="77"/>
      <c r="X250" s="77"/>
    </row>
    <row r="251" spans="2:24">
      <c r="B251" s="11"/>
      <c r="C251" s="10"/>
      <c r="D251" s="63"/>
      <c r="E251" s="10"/>
      <c r="F251" s="10"/>
      <c r="G251" s="10"/>
      <c r="H251" s="10"/>
      <c r="I251" s="10"/>
      <c r="J251" s="10"/>
      <c r="K251" s="10"/>
      <c r="L251" s="10"/>
      <c r="M251" s="10"/>
      <c r="N251" s="10"/>
      <c r="O251" s="10"/>
      <c r="P251" s="10"/>
      <c r="Q251" s="10"/>
      <c r="R251" s="10"/>
      <c r="S251" s="10"/>
      <c r="T251" s="10"/>
      <c r="U251" s="151"/>
      <c r="V251" s="77"/>
      <c r="W251" s="77"/>
      <c r="X251" s="77"/>
    </row>
    <row r="252" spans="2:24">
      <c r="B252" s="18" t="s">
        <v>51</v>
      </c>
      <c r="C252" s="14"/>
      <c r="D252" s="14"/>
      <c r="E252" s="14"/>
      <c r="F252" s="13" t="s">
        <v>52</v>
      </c>
      <c r="G252" s="14"/>
      <c r="H252" s="14"/>
      <c r="I252" s="14"/>
      <c r="J252" s="14"/>
      <c r="K252" s="13" t="s">
        <v>3</v>
      </c>
      <c r="L252" s="14"/>
      <c r="M252" s="14"/>
      <c r="N252" s="13" t="s">
        <v>4</v>
      </c>
      <c r="O252" s="14"/>
      <c r="P252" s="14"/>
      <c r="Q252" s="13" t="s">
        <v>5</v>
      </c>
      <c r="R252" s="14"/>
      <c r="S252" s="14"/>
      <c r="T252" s="18"/>
      <c r="U252" s="161" t="s">
        <v>53</v>
      </c>
      <c r="V252" s="77"/>
      <c r="W252" s="77"/>
      <c r="X252" s="77"/>
    </row>
    <row r="253" spans="2:24">
      <c r="B253" s="24" t="s">
        <v>54</v>
      </c>
      <c r="C253" s="21" t="s">
        <v>55</v>
      </c>
      <c r="D253" s="21" t="s">
        <v>56</v>
      </c>
      <c r="E253" s="21" t="s">
        <v>57</v>
      </c>
      <c r="F253" s="20" t="s">
        <v>58</v>
      </c>
      <c r="G253" s="21" t="s">
        <v>59</v>
      </c>
      <c r="H253" s="21" t="s">
        <v>60</v>
      </c>
      <c r="I253" s="21" t="s">
        <v>26</v>
      </c>
      <c r="J253" s="22" t="s">
        <v>61</v>
      </c>
      <c r="K253" s="21" t="s">
        <v>8</v>
      </c>
      <c r="L253" s="21" t="s">
        <v>9</v>
      </c>
      <c r="M253" s="21" t="s">
        <v>10</v>
      </c>
      <c r="N253" s="20" t="s">
        <v>11</v>
      </c>
      <c r="O253" s="21" t="s">
        <v>12</v>
      </c>
      <c r="P253" s="22" t="s">
        <v>13</v>
      </c>
      <c r="Q253" s="21" t="s">
        <v>11</v>
      </c>
      <c r="R253" s="21" t="s">
        <v>12</v>
      </c>
      <c r="S253" s="21" t="s">
        <v>13</v>
      </c>
      <c r="T253" s="78" t="s">
        <v>14</v>
      </c>
      <c r="U253" s="162"/>
      <c r="V253" s="79" t="s">
        <v>62</v>
      </c>
      <c r="W253" s="80" t="s">
        <v>63</v>
      </c>
      <c r="X253" s="81" t="s">
        <v>64</v>
      </c>
    </row>
    <row r="254" spans="2:24">
      <c r="B254" s="4" t="s">
        <v>65</v>
      </c>
      <c r="C254" s="6"/>
      <c r="D254" s="6"/>
      <c r="E254" s="6"/>
      <c r="F254" s="6"/>
      <c r="G254" s="6"/>
      <c r="H254" s="6"/>
      <c r="I254" s="82"/>
      <c r="J254" s="6"/>
      <c r="K254" s="6"/>
      <c r="L254" s="6"/>
      <c r="M254" s="6"/>
      <c r="N254" s="6"/>
      <c r="O254" s="6"/>
      <c r="P254" s="6"/>
      <c r="Q254" s="6"/>
      <c r="R254" s="6"/>
      <c r="S254" s="6"/>
      <c r="T254" s="83"/>
      <c r="U254" s="163"/>
      <c r="V254" s="84"/>
      <c r="W254" s="85"/>
      <c r="X254" s="86"/>
    </row>
    <row r="255" spans="2:24">
      <c r="B255" s="87">
        <v>1</v>
      </c>
      <c r="C255" s="274">
        <v>45846</v>
      </c>
      <c r="D255" s="327">
        <v>71298</v>
      </c>
      <c r="E255" s="276" t="s">
        <v>1080</v>
      </c>
      <c r="F255" s="277">
        <v>681</v>
      </c>
      <c r="G255" s="277"/>
      <c r="H255" s="297"/>
      <c r="I255" s="321">
        <f>F255-G255-H255</f>
        <v>681</v>
      </c>
      <c r="J255" s="279" t="s">
        <v>156</v>
      </c>
      <c r="K255" s="279">
        <v>1</v>
      </c>
      <c r="L255" s="279">
        <v>1</v>
      </c>
      <c r="M255" s="279">
        <v>1</v>
      </c>
      <c r="N255" s="279">
        <v>1</v>
      </c>
      <c r="O255" s="279">
        <v>1</v>
      </c>
      <c r="P255" s="279">
        <v>1</v>
      </c>
      <c r="Q255" s="322">
        <v>0</v>
      </c>
      <c r="R255" s="322">
        <v>0</v>
      </c>
      <c r="S255" s="328">
        <v>0</v>
      </c>
      <c r="T255" s="63">
        <v>1</v>
      </c>
      <c r="U255" s="94"/>
      <c r="V255" s="90">
        <v>749.1</v>
      </c>
      <c r="W255" s="91"/>
      <c r="X255" s="92"/>
    </row>
    <row r="256" spans="2:24">
      <c r="B256" s="87">
        <f>B255+1</f>
        <v>2</v>
      </c>
      <c r="C256" s="295">
        <v>45846</v>
      </c>
      <c r="D256" s="323">
        <v>71299</v>
      </c>
      <c r="E256" s="10" t="s">
        <v>3335</v>
      </c>
      <c r="F256" s="62">
        <v>1053</v>
      </c>
      <c r="G256" s="62">
        <f>39.7+(7.88)+(30.22)</f>
        <v>77.800000000000011</v>
      </c>
      <c r="H256" s="62"/>
      <c r="I256" s="89">
        <f>F256-G256-H256</f>
        <v>975.2</v>
      </c>
      <c r="J256" s="63" t="s">
        <v>156</v>
      </c>
      <c r="K256" s="63">
        <v>1</v>
      </c>
      <c r="L256" s="63">
        <v>1</v>
      </c>
      <c r="M256" s="63">
        <v>1</v>
      </c>
      <c r="N256" s="63">
        <v>1</v>
      </c>
      <c r="O256" s="63">
        <v>1</v>
      </c>
      <c r="P256" s="63">
        <v>1</v>
      </c>
      <c r="Q256" s="63">
        <v>1</v>
      </c>
      <c r="R256" s="63">
        <v>1</v>
      </c>
      <c r="S256" s="296">
        <v>1</v>
      </c>
      <c r="T256" s="63"/>
      <c r="U256" s="94"/>
      <c r="V256" s="90">
        <v>1158.3</v>
      </c>
      <c r="W256" s="91"/>
      <c r="X256" s="92"/>
    </row>
    <row r="257" spans="1:24">
      <c r="B257" s="87">
        <f>B256+1</f>
        <v>3</v>
      </c>
      <c r="C257" s="274">
        <v>45847</v>
      </c>
      <c r="D257" s="327">
        <v>71331</v>
      </c>
      <c r="E257" s="276" t="s">
        <v>659</v>
      </c>
      <c r="F257" s="277">
        <v>1261</v>
      </c>
      <c r="G257" s="277">
        <v>39.700000000000003</v>
      </c>
      <c r="H257" s="277"/>
      <c r="I257" s="278">
        <f>F257-G257-H257</f>
        <v>1221.3</v>
      </c>
      <c r="J257" s="279" t="s">
        <v>156</v>
      </c>
      <c r="K257" s="279">
        <v>1</v>
      </c>
      <c r="L257" s="279">
        <v>1</v>
      </c>
      <c r="M257" s="279">
        <v>1</v>
      </c>
      <c r="N257" s="279">
        <v>1</v>
      </c>
      <c r="O257" s="279">
        <v>1</v>
      </c>
      <c r="P257" s="279">
        <v>1</v>
      </c>
      <c r="Q257" s="279">
        <v>1</v>
      </c>
      <c r="R257" s="279">
        <v>1</v>
      </c>
      <c r="S257" s="280">
        <v>1</v>
      </c>
      <c r="T257" s="63"/>
      <c r="U257" s="94"/>
      <c r="V257" s="90">
        <v>1387.1</v>
      </c>
      <c r="W257" s="91"/>
      <c r="X257" s="92"/>
    </row>
    <row r="258" spans="1:24">
      <c r="A258" t="s">
        <v>3470</v>
      </c>
      <c r="B258" s="87">
        <f>B257+1</f>
        <v>4</v>
      </c>
      <c r="C258" s="295">
        <v>45847</v>
      </c>
      <c r="D258" s="346" t="s">
        <v>3471</v>
      </c>
      <c r="E258" s="94" t="s">
        <v>3472</v>
      </c>
      <c r="F258" s="62">
        <v>1261</v>
      </c>
      <c r="G258" s="62">
        <f>39.7+200</f>
        <v>239.7</v>
      </c>
      <c r="H258" s="62"/>
      <c r="I258" s="89">
        <f>F258-G262-H258</f>
        <v>1221.3</v>
      </c>
      <c r="J258" s="63" t="s">
        <v>156</v>
      </c>
      <c r="K258" s="63">
        <v>1</v>
      </c>
      <c r="L258" s="63">
        <v>1</v>
      </c>
      <c r="M258" s="63">
        <v>1</v>
      </c>
      <c r="N258" s="63">
        <v>1</v>
      </c>
      <c r="O258" s="63">
        <v>1</v>
      </c>
      <c r="P258" s="63">
        <v>1</v>
      </c>
      <c r="Q258" s="63">
        <v>1</v>
      </c>
      <c r="R258" s="63">
        <v>1</v>
      </c>
      <c r="S258" s="296">
        <v>1</v>
      </c>
      <c r="T258" s="63"/>
      <c r="U258" s="462" t="s">
        <v>3473</v>
      </c>
      <c r="V258" s="90">
        <v>1387.1</v>
      </c>
      <c r="W258" s="91"/>
      <c r="X258" s="92"/>
    </row>
    <row r="259" spans="1:24">
      <c r="B259" s="87">
        <f t="shared" ref="B259:B262" si="48">B258+1</f>
        <v>5</v>
      </c>
      <c r="C259" s="295">
        <v>45847</v>
      </c>
      <c r="D259" s="346">
        <v>71322</v>
      </c>
      <c r="E259" s="94" t="s">
        <v>3474</v>
      </c>
      <c r="F259" s="62">
        <v>516</v>
      </c>
      <c r="G259" s="62">
        <v>39.700000000000003</v>
      </c>
      <c r="H259" s="62"/>
      <c r="I259" s="324">
        <f t="shared" ref="I259:I270" si="49">F259-G259-H259</f>
        <v>476.3</v>
      </c>
      <c r="J259" s="63" t="s">
        <v>156</v>
      </c>
      <c r="K259" s="63">
        <v>1</v>
      </c>
      <c r="L259" s="63">
        <v>1</v>
      </c>
      <c r="M259" s="63">
        <v>1</v>
      </c>
      <c r="N259" s="63">
        <v>1</v>
      </c>
      <c r="O259" s="63">
        <v>1</v>
      </c>
      <c r="P259" s="63">
        <v>1</v>
      </c>
      <c r="Q259" s="325">
        <v>0</v>
      </c>
      <c r="R259" s="325">
        <v>0</v>
      </c>
      <c r="S259" s="326">
        <v>0</v>
      </c>
      <c r="T259" s="63"/>
      <c r="U259" s="462" t="s">
        <v>3475</v>
      </c>
      <c r="V259" s="90">
        <v>567.6</v>
      </c>
      <c r="W259" s="91"/>
      <c r="X259" s="92"/>
    </row>
    <row r="260" spans="1:24">
      <c r="B260" s="87">
        <f>B259+1</f>
        <v>6</v>
      </c>
      <c r="C260" s="295">
        <v>45847</v>
      </c>
      <c r="D260" s="323">
        <v>71327</v>
      </c>
      <c r="E260" s="101" t="s">
        <v>761</v>
      </c>
      <c r="F260" s="62">
        <v>1049</v>
      </c>
      <c r="G260" s="62">
        <v>39.700000000000003</v>
      </c>
      <c r="H260" s="62"/>
      <c r="I260" s="89">
        <f t="shared" si="49"/>
        <v>1009.3</v>
      </c>
      <c r="J260" s="63" t="s">
        <v>156</v>
      </c>
      <c r="K260" s="63">
        <v>1</v>
      </c>
      <c r="L260" s="63">
        <v>1</v>
      </c>
      <c r="M260" s="63">
        <v>1</v>
      </c>
      <c r="N260" s="63">
        <v>1</v>
      </c>
      <c r="O260" s="63">
        <v>1</v>
      </c>
      <c r="P260" s="63">
        <v>1</v>
      </c>
      <c r="Q260" s="63">
        <v>1</v>
      </c>
      <c r="R260" s="63">
        <v>1</v>
      </c>
      <c r="S260" s="296">
        <v>1</v>
      </c>
      <c r="T260" s="63"/>
      <c r="U260" s="94"/>
      <c r="V260" s="90">
        <v>1153.9000000000001</v>
      </c>
      <c r="W260" s="91"/>
      <c r="X260" s="92"/>
    </row>
    <row r="261" spans="1:24">
      <c r="B261" s="87">
        <f t="shared" si="48"/>
        <v>7</v>
      </c>
      <c r="C261" s="295">
        <v>45847</v>
      </c>
      <c r="D261" s="346">
        <v>71347</v>
      </c>
      <c r="E261" s="10" t="s">
        <v>778</v>
      </c>
      <c r="F261" s="62">
        <v>681</v>
      </c>
      <c r="G261" s="62"/>
      <c r="H261" s="62"/>
      <c r="I261" s="89">
        <f t="shared" si="49"/>
        <v>681</v>
      </c>
      <c r="J261" s="63" t="s">
        <v>374</v>
      </c>
      <c r="K261" s="63">
        <v>1</v>
      </c>
      <c r="L261" s="63">
        <v>1</v>
      </c>
      <c r="M261" s="63">
        <v>1</v>
      </c>
      <c r="N261" s="63">
        <v>1</v>
      </c>
      <c r="O261" s="63">
        <v>1</v>
      </c>
      <c r="P261" s="63">
        <v>1</v>
      </c>
      <c r="Q261" s="63">
        <v>1</v>
      </c>
      <c r="R261" s="63">
        <v>1</v>
      </c>
      <c r="S261" s="296">
        <v>1</v>
      </c>
      <c r="T261" s="63"/>
      <c r="U261" s="94" t="s">
        <v>3476</v>
      </c>
      <c r="V261" s="90">
        <v>749.1</v>
      </c>
      <c r="W261" s="136"/>
      <c r="X261" s="137"/>
    </row>
    <row r="262" spans="1:24">
      <c r="B262" s="87">
        <f t="shared" si="48"/>
        <v>8</v>
      </c>
      <c r="C262" s="274">
        <v>45848</v>
      </c>
      <c r="D262" s="320" t="s">
        <v>3477</v>
      </c>
      <c r="E262" s="276" t="s">
        <v>317</v>
      </c>
      <c r="F262" s="277">
        <v>1264</v>
      </c>
      <c r="G262" s="277">
        <v>39.700000000000003</v>
      </c>
      <c r="H262" s="277"/>
      <c r="I262" s="321">
        <f t="shared" si="49"/>
        <v>1224.3</v>
      </c>
      <c r="J262" s="279" t="s">
        <v>156</v>
      </c>
      <c r="K262" s="279">
        <v>1</v>
      </c>
      <c r="L262" s="279">
        <v>1</v>
      </c>
      <c r="M262" s="279">
        <v>1</v>
      </c>
      <c r="N262" s="279">
        <v>1</v>
      </c>
      <c r="O262" s="279">
        <v>1</v>
      </c>
      <c r="P262" s="279">
        <v>1</v>
      </c>
      <c r="Q262" s="322">
        <v>0</v>
      </c>
      <c r="R262" s="322">
        <v>0</v>
      </c>
      <c r="S262" s="328">
        <v>0</v>
      </c>
      <c r="T262" s="63"/>
      <c r="U262" s="94"/>
      <c r="V262" s="90">
        <v>1390.4</v>
      </c>
      <c r="W262" s="91"/>
      <c r="X262" s="92"/>
    </row>
    <row r="263" spans="1:24">
      <c r="B263" s="87">
        <f t="shared" ref="B263:B270" si="50">B262+1</f>
        <v>9</v>
      </c>
      <c r="C263" s="295">
        <v>45848</v>
      </c>
      <c r="D263" s="346" t="s">
        <v>3478</v>
      </c>
      <c r="E263" s="10" t="s">
        <v>317</v>
      </c>
      <c r="F263" s="62">
        <v>3829</v>
      </c>
      <c r="G263" s="62">
        <f>39.7+290.8+(58.64)+(203.69+20.29)</f>
        <v>613.12</v>
      </c>
      <c r="H263" s="62"/>
      <c r="I263" s="324">
        <f t="shared" si="49"/>
        <v>3215.88</v>
      </c>
      <c r="J263" s="63" t="s">
        <v>156</v>
      </c>
      <c r="K263" s="63">
        <v>1</v>
      </c>
      <c r="L263" s="63">
        <v>1</v>
      </c>
      <c r="M263" s="63">
        <v>1</v>
      </c>
      <c r="N263" s="63">
        <v>1</v>
      </c>
      <c r="O263" s="63">
        <v>1</v>
      </c>
      <c r="P263" s="63">
        <v>1</v>
      </c>
      <c r="Q263" s="325">
        <v>0</v>
      </c>
      <c r="R263" s="325">
        <v>0</v>
      </c>
      <c r="S263" s="326">
        <v>0</v>
      </c>
      <c r="T263" s="63"/>
      <c r="U263" s="94" t="s">
        <v>3479</v>
      </c>
      <c r="V263" s="90">
        <f>421.19+3790.71</f>
        <v>4211.8999999999996</v>
      </c>
      <c r="W263" s="91"/>
      <c r="X263" s="92"/>
    </row>
    <row r="264" spans="1:24">
      <c r="B264" s="87">
        <f t="shared" si="50"/>
        <v>10</v>
      </c>
      <c r="C264" s="295">
        <v>45848</v>
      </c>
      <c r="D264" s="346">
        <v>71339</v>
      </c>
      <c r="E264" s="10" t="s">
        <v>3480</v>
      </c>
      <c r="F264" s="62">
        <v>416</v>
      </c>
      <c r="G264" s="62"/>
      <c r="H264" s="88"/>
      <c r="I264" s="324">
        <f t="shared" si="49"/>
        <v>416</v>
      </c>
      <c r="J264" s="63" t="s">
        <v>156</v>
      </c>
      <c r="K264" s="63">
        <v>1</v>
      </c>
      <c r="L264" s="325">
        <v>0</v>
      </c>
      <c r="M264" s="63">
        <v>1</v>
      </c>
      <c r="N264" s="63">
        <v>1</v>
      </c>
      <c r="O264" s="63">
        <v>1</v>
      </c>
      <c r="P264" s="63">
        <v>1</v>
      </c>
      <c r="Q264" s="63">
        <v>1</v>
      </c>
      <c r="R264" s="63">
        <v>1</v>
      </c>
      <c r="S264" s="296">
        <v>1</v>
      </c>
      <c r="T264" s="63"/>
      <c r="U264" s="94" t="s">
        <v>3481</v>
      </c>
      <c r="V264" s="90">
        <v>457.6</v>
      </c>
      <c r="W264" s="91"/>
      <c r="X264" s="92"/>
    </row>
    <row r="265" spans="1:24">
      <c r="A265" s="464">
        <v>45859</v>
      </c>
      <c r="B265" s="87">
        <f t="shared" si="50"/>
        <v>11</v>
      </c>
      <c r="C265" s="295">
        <v>45848</v>
      </c>
      <c r="D265" s="346" t="s">
        <v>3482</v>
      </c>
      <c r="E265" s="101" t="s">
        <v>725</v>
      </c>
      <c r="F265" s="62">
        <v>521</v>
      </c>
      <c r="G265" s="62"/>
      <c r="H265" s="62"/>
      <c r="I265" s="324">
        <f t="shared" si="49"/>
        <v>521</v>
      </c>
      <c r="J265" s="63" t="s">
        <v>156</v>
      </c>
      <c r="K265" s="63">
        <v>1</v>
      </c>
      <c r="L265" s="63">
        <v>1</v>
      </c>
      <c r="M265" s="63">
        <v>1</v>
      </c>
      <c r="N265" s="63">
        <v>1</v>
      </c>
      <c r="O265" s="63">
        <v>1</v>
      </c>
      <c r="P265" s="63">
        <v>1</v>
      </c>
      <c r="Q265" s="325">
        <v>0</v>
      </c>
      <c r="R265" s="325">
        <v>0</v>
      </c>
      <c r="S265" s="326">
        <v>0</v>
      </c>
      <c r="T265" s="63"/>
      <c r="U265" s="94" t="s">
        <v>3483</v>
      </c>
      <c r="V265" s="90">
        <v>573.1</v>
      </c>
      <c r="W265" s="91"/>
      <c r="X265" s="92"/>
    </row>
    <row r="266" spans="1:24">
      <c r="B266" s="87">
        <f t="shared" si="50"/>
        <v>12</v>
      </c>
      <c r="C266" s="282">
        <v>45848</v>
      </c>
      <c r="D266" s="330" t="s">
        <v>3484</v>
      </c>
      <c r="E266" s="319" t="s">
        <v>725</v>
      </c>
      <c r="F266" s="284">
        <v>5693</v>
      </c>
      <c r="G266" s="284">
        <f>39.7+250+(1272.63)</f>
        <v>1562.3300000000002</v>
      </c>
      <c r="H266" s="284"/>
      <c r="I266" s="300">
        <f t="shared" si="49"/>
        <v>4130.67</v>
      </c>
      <c r="J266" s="286" t="s">
        <v>156</v>
      </c>
      <c r="K266" s="286">
        <v>1</v>
      </c>
      <c r="L266" s="286">
        <v>1</v>
      </c>
      <c r="M266" s="286">
        <v>1</v>
      </c>
      <c r="N266" s="286">
        <v>1</v>
      </c>
      <c r="O266" s="286">
        <v>1</v>
      </c>
      <c r="P266" s="286">
        <v>1</v>
      </c>
      <c r="Q266" s="332">
        <v>0</v>
      </c>
      <c r="R266" s="332">
        <v>0</v>
      </c>
      <c r="S266" s="370">
        <v>0</v>
      </c>
      <c r="T266" s="63"/>
      <c r="U266" s="94" t="s">
        <v>3485</v>
      </c>
      <c r="V266" s="90">
        <f>1500+600+4162.3</f>
        <v>6262.3</v>
      </c>
      <c r="W266" s="136"/>
      <c r="X266" s="137"/>
    </row>
    <row r="267" spans="1:24">
      <c r="B267" s="87">
        <f t="shared" si="50"/>
        <v>13</v>
      </c>
      <c r="C267" s="295">
        <v>45849</v>
      </c>
      <c r="D267" s="323">
        <v>71387</v>
      </c>
      <c r="E267" s="10" t="s">
        <v>213</v>
      </c>
      <c r="F267" s="62">
        <v>1477</v>
      </c>
      <c r="G267" s="62">
        <f>39.7+(115.75+32.52)</f>
        <v>187.97000000000003</v>
      </c>
      <c r="H267" s="88"/>
      <c r="I267" s="324">
        <f t="shared" si="49"/>
        <v>1289.03</v>
      </c>
      <c r="J267" s="63" t="s">
        <v>156</v>
      </c>
      <c r="K267" s="63">
        <v>1</v>
      </c>
      <c r="L267" s="63">
        <v>1</v>
      </c>
      <c r="M267" s="325">
        <v>0</v>
      </c>
      <c r="N267" s="63">
        <v>1</v>
      </c>
      <c r="O267" s="63">
        <v>1</v>
      </c>
      <c r="P267" s="63">
        <v>1</v>
      </c>
      <c r="Q267" s="325">
        <v>0</v>
      </c>
      <c r="R267" s="325">
        <v>0</v>
      </c>
      <c r="S267" s="326">
        <v>0</v>
      </c>
      <c r="T267" s="63"/>
      <c r="U267" s="94"/>
      <c r="V267" s="90">
        <f>162.47+1462.23</f>
        <v>1624.7</v>
      </c>
      <c r="W267" s="91"/>
      <c r="X267" s="92"/>
    </row>
    <row r="268" spans="1:24">
      <c r="B268" s="87">
        <f t="shared" si="50"/>
        <v>14</v>
      </c>
      <c r="C268" s="295">
        <v>45849</v>
      </c>
      <c r="D268" s="323">
        <v>71385</v>
      </c>
      <c r="E268" s="10" t="s">
        <v>3472</v>
      </c>
      <c r="F268" s="62">
        <v>861</v>
      </c>
      <c r="G268" s="62">
        <v>39.700000000000003</v>
      </c>
      <c r="H268" s="88"/>
      <c r="I268" s="324">
        <f t="shared" si="49"/>
        <v>821.3</v>
      </c>
      <c r="J268" s="63" t="s">
        <v>156</v>
      </c>
      <c r="K268" s="63">
        <v>1</v>
      </c>
      <c r="L268" s="63">
        <v>1</v>
      </c>
      <c r="M268" s="63">
        <v>1</v>
      </c>
      <c r="N268" s="63">
        <v>1</v>
      </c>
      <c r="O268" s="63">
        <v>1</v>
      </c>
      <c r="P268" s="63">
        <v>1</v>
      </c>
      <c r="Q268" s="325">
        <v>0</v>
      </c>
      <c r="R268" s="325">
        <v>0</v>
      </c>
      <c r="S268" s="326">
        <v>0</v>
      </c>
      <c r="T268" s="63"/>
      <c r="U268" s="94"/>
      <c r="V268" s="90">
        <v>947.1</v>
      </c>
      <c r="W268" s="91"/>
      <c r="X268" s="92"/>
    </row>
    <row r="269" spans="1:24">
      <c r="B269" s="87">
        <f t="shared" si="50"/>
        <v>15</v>
      </c>
      <c r="C269" s="282">
        <v>45849</v>
      </c>
      <c r="D269" s="368">
        <v>71393</v>
      </c>
      <c r="E269" s="283" t="s">
        <v>1313</v>
      </c>
      <c r="F269" s="284">
        <v>561</v>
      </c>
      <c r="G269" s="284"/>
      <c r="H269" s="315"/>
      <c r="I269" s="331">
        <f t="shared" si="49"/>
        <v>561</v>
      </c>
      <c r="J269" s="286" t="s">
        <v>156</v>
      </c>
      <c r="K269" s="286">
        <v>1</v>
      </c>
      <c r="L269" s="286">
        <v>1</v>
      </c>
      <c r="M269" s="286">
        <v>1</v>
      </c>
      <c r="N269" s="286">
        <v>1</v>
      </c>
      <c r="O269" s="286">
        <v>1</v>
      </c>
      <c r="P269" s="286">
        <v>1</v>
      </c>
      <c r="Q269" s="332">
        <v>0</v>
      </c>
      <c r="R269" s="332">
        <v>0</v>
      </c>
      <c r="S269" s="370">
        <v>0</v>
      </c>
      <c r="T269" s="63"/>
      <c r="U269" s="94" t="s">
        <v>3486</v>
      </c>
      <c r="V269" s="90">
        <v>617.1</v>
      </c>
      <c r="W269" s="91"/>
      <c r="X269" s="92"/>
    </row>
    <row r="270" spans="1:24">
      <c r="B270" s="87">
        <f t="shared" si="50"/>
        <v>16</v>
      </c>
      <c r="C270" s="282">
        <v>45849</v>
      </c>
      <c r="D270" s="330">
        <v>71384</v>
      </c>
      <c r="E270" s="319" t="s">
        <v>1313</v>
      </c>
      <c r="F270" s="284">
        <v>1138</v>
      </c>
      <c r="G270" s="284">
        <v>39.700000000000003</v>
      </c>
      <c r="H270" s="284"/>
      <c r="I270" s="300">
        <f t="shared" si="49"/>
        <v>1098.3</v>
      </c>
      <c r="J270" s="286" t="s">
        <v>156</v>
      </c>
      <c r="K270" s="286">
        <v>1</v>
      </c>
      <c r="L270" s="286">
        <v>1</v>
      </c>
      <c r="M270" s="286">
        <v>1</v>
      </c>
      <c r="N270" s="286">
        <v>1</v>
      </c>
      <c r="O270" s="286">
        <v>1</v>
      </c>
      <c r="P270" s="286">
        <v>1</v>
      </c>
      <c r="Q270" s="332"/>
      <c r="R270" s="332"/>
      <c r="S270" s="370"/>
      <c r="T270" s="63"/>
      <c r="U270" s="94"/>
      <c r="V270" s="90">
        <v>1251.8</v>
      </c>
      <c r="W270" s="136"/>
      <c r="X270" s="137"/>
    </row>
    <row r="271" spans="1:24">
      <c r="B271" s="87"/>
      <c r="C271" s="36"/>
      <c r="D271" s="10"/>
      <c r="E271" s="10"/>
      <c r="F271" s="97">
        <f>SUM(F255:F270)</f>
        <v>22262</v>
      </c>
      <c r="G271" s="97">
        <f>SUM(G255:G270)</f>
        <v>2919.12</v>
      </c>
      <c r="H271" s="97">
        <f>SUM(H255:H270)</f>
        <v>0</v>
      </c>
      <c r="I271" s="97">
        <f>SUM(I255:I270)</f>
        <v>19542.88</v>
      </c>
      <c r="J271" s="63"/>
      <c r="K271" s="63">
        <f t="shared" ref="K271:S271" si="51">COUNT(K255:K270)</f>
        <v>16</v>
      </c>
      <c r="L271" s="63">
        <f t="shared" si="51"/>
        <v>16</v>
      </c>
      <c r="M271" s="63">
        <f t="shared" si="51"/>
        <v>16</v>
      </c>
      <c r="N271" s="63">
        <f t="shared" si="51"/>
        <v>16</v>
      </c>
      <c r="O271" s="63">
        <f t="shared" si="51"/>
        <v>16</v>
      </c>
      <c r="P271" s="63">
        <f t="shared" si="51"/>
        <v>16</v>
      </c>
      <c r="Q271" s="63">
        <f t="shared" si="51"/>
        <v>15</v>
      </c>
      <c r="R271" s="63">
        <f t="shared" si="51"/>
        <v>15</v>
      </c>
      <c r="S271" s="63">
        <f t="shared" si="51"/>
        <v>15</v>
      </c>
      <c r="T271" s="63"/>
      <c r="U271" s="94"/>
      <c r="V271" s="90"/>
      <c r="W271" s="91"/>
      <c r="X271" s="92"/>
    </row>
    <row r="272" spans="1:24">
      <c r="B272" s="87"/>
      <c r="C272" s="36"/>
      <c r="D272" s="10"/>
      <c r="E272" s="10"/>
      <c r="F272" s="88"/>
      <c r="G272" s="88"/>
      <c r="H272" s="88"/>
      <c r="I272" s="99"/>
      <c r="J272" s="63"/>
      <c r="K272" s="21">
        <f t="shared" ref="K272:S272" si="52">SUM(K255:K270)</f>
        <v>16</v>
      </c>
      <c r="L272" s="21">
        <f t="shared" si="52"/>
        <v>15</v>
      </c>
      <c r="M272" s="21">
        <f t="shared" si="52"/>
        <v>15</v>
      </c>
      <c r="N272" s="21">
        <f t="shared" si="52"/>
        <v>16</v>
      </c>
      <c r="O272" s="21">
        <f t="shared" si="52"/>
        <v>16</v>
      </c>
      <c r="P272" s="21">
        <f t="shared" si="52"/>
        <v>16</v>
      </c>
      <c r="Q272" s="21">
        <f t="shared" si="52"/>
        <v>6</v>
      </c>
      <c r="R272" s="21">
        <f t="shared" si="52"/>
        <v>6</v>
      </c>
      <c r="S272" s="21">
        <f t="shared" si="52"/>
        <v>6</v>
      </c>
      <c r="T272" s="63"/>
      <c r="U272" s="94"/>
      <c r="V272" s="90"/>
      <c r="W272" s="91"/>
      <c r="X272" s="92"/>
    </row>
    <row r="273" spans="1:31">
      <c r="B273" s="11"/>
      <c r="C273" s="36"/>
      <c r="D273" s="10"/>
      <c r="E273" s="10"/>
      <c r="F273" s="88"/>
      <c r="G273" s="88"/>
      <c r="H273" s="88"/>
      <c r="I273" s="99"/>
      <c r="J273" s="63"/>
      <c r="K273" s="21"/>
      <c r="L273" s="21"/>
      <c r="M273" s="21"/>
      <c r="N273" s="21"/>
      <c r="O273" s="21"/>
      <c r="P273" s="21"/>
      <c r="Q273" s="21"/>
      <c r="R273" s="21"/>
      <c r="S273" s="21"/>
      <c r="T273" s="63"/>
      <c r="U273" s="94"/>
      <c r="V273" s="90"/>
      <c r="W273" s="91"/>
      <c r="X273" s="92"/>
    </row>
    <row r="274" spans="1:31">
      <c r="B274" s="100" t="s">
        <v>67</v>
      </c>
      <c r="C274" s="36"/>
      <c r="D274" s="10"/>
      <c r="E274" s="10"/>
      <c r="F274" s="88"/>
      <c r="G274" s="62"/>
      <c r="H274" s="88"/>
      <c r="I274" s="99"/>
      <c r="J274" s="63"/>
      <c r="K274" s="2"/>
      <c r="L274" s="2"/>
      <c r="M274" s="2"/>
      <c r="N274" s="2"/>
      <c r="O274" s="2"/>
      <c r="P274" s="2"/>
      <c r="Q274" s="2"/>
      <c r="R274" s="2"/>
      <c r="S274" s="2"/>
      <c r="T274" s="63"/>
      <c r="U274" s="94"/>
      <c r="V274" s="90"/>
      <c r="W274" s="91"/>
      <c r="X274" s="92"/>
    </row>
    <row r="275" spans="1:31">
      <c r="A275" s="261" t="s">
        <v>3487</v>
      </c>
      <c r="B275" s="87">
        <v>1</v>
      </c>
      <c r="C275" s="262">
        <v>45828</v>
      </c>
      <c r="D275" s="357" t="s">
        <v>3488</v>
      </c>
      <c r="E275" s="309" t="s">
        <v>3411</v>
      </c>
      <c r="F275" s="265">
        <v>12173.3</v>
      </c>
      <c r="G275" s="265">
        <f>112.8+(18.98)+(121.38)+1500</f>
        <v>1753.16</v>
      </c>
      <c r="H275" s="265"/>
      <c r="I275" s="272">
        <f>F275-G275-H275</f>
        <v>10420.14</v>
      </c>
      <c r="J275" s="267" t="s">
        <v>156</v>
      </c>
      <c r="K275" s="267">
        <v>1</v>
      </c>
      <c r="L275" s="267">
        <v>1</v>
      </c>
      <c r="M275" s="267">
        <v>1</v>
      </c>
      <c r="N275" s="267">
        <v>1</v>
      </c>
      <c r="O275" s="267">
        <v>1</v>
      </c>
      <c r="P275" s="267">
        <v>1</v>
      </c>
      <c r="Q275" s="267">
        <v>1</v>
      </c>
      <c r="R275" s="267">
        <v>1</v>
      </c>
      <c r="S275" s="269">
        <v>1</v>
      </c>
      <c r="T275" s="63"/>
      <c r="U275" s="301" t="s">
        <v>3489</v>
      </c>
      <c r="V275" s="90">
        <f>11192.47</f>
        <v>11192.47</v>
      </c>
      <c r="W275" s="136"/>
      <c r="X275" s="137"/>
      <c r="Y275" s="181"/>
      <c r="Z275" s="181"/>
      <c r="AA275" s="181"/>
      <c r="AB275" s="181"/>
      <c r="AC275" s="181"/>
    </row>
    <row r="276" spans="1:31">
      <c r="A276" s="261" t="s">
        <v>3490</v>
      </c>
      <c r="B276" s="87">
        <f>B275+1</f>
        <v>2</v>
      </c>
      <c r="C276" s="282">
        <v>45842</v>
      </c>
      <c r="D276" s="368">
        <v>71218</v>
      </c>
      <c r="E276" s="319" t="s">
        <v>1047</v>
      </c>
      <c r="F276" s="284">
        <v>1616</v>
      </c>
      <c r="G276" s="284">
        <f>39.7+(127.05)</f>
        <v>166.75</v>
      </c>
      <c r="H276" s="284">
        <f>191.98+19.2</f>
        <v>211.17999999999998</v>
      </c>
      <c r="I276" s="285">
        <f>F276-G276-H276</f>
        <v>1238.07</v>
      </c>
      <c r="J276" s="286" t="s">
        <v>185</v>
      </c>
      <c r="K276" s="286">
        <v>1</v>
      </c>
      <c r="L276" s="286">
        <v>1</v>
      </c>
      <c r="M276" s="286">
        <v>1</v>
      </c>
      <c r="N276" s="286">
        <v>1</v>
      </c>
      <c r="O276" s="286">
        <v>1</v>
      </c>
      <c r="P276" s="286">
        <v>1</v>
      </c>
      <c r="Q276" s="286">
        <v>1</v>
      </c>
      <c r="R276" s="286">
        <v>1</v>
      </c>
      <c r="S276" s="287">
        <v>1</v>
      </c>
      <c r="T276" s="63"/>
      <c r="U276" s="94" t="s">
        <v>3491</v>
      </c>
      <c r="V276" s="90"/>
      <c r="W276" s="91"/>
      <c r="X276" s="92">
        <v>1599.84</v>
      </c>
      <c r="Y276" s="181"/>
      <c r="Z276" s="181"/>
      <c r="AA276" s="181"/>
      <c r="AB276" s="181"/>
      <c r="AC276" s="181"/>
      <c r="AD276" s="260"/>
      <c r="AE276" s="260"/>
    </row>
    <row r="277" spans="1:31">
      <c r="A277" s="261" t="s">
        <v>3492</v>
      </c>
      <c r="B277" s="87">
        <f>B304+1</f>
        <v>3</v>
      </c>
      <c r="C277" s="262">
        <v>45842</v>
      </c>
      <c r="D277" s="357" t="s">
        <v>3450</v>
      </c>
      <c r="E277" s="271" t="s">
        <v>1030</v>
      </c>
      <c r="F277" s="265">
        <v>15076</v>
      </c>
      <c r="G277" s="265">
        <f>39.7+95.8+120.94+244.8+(975.56+256.02)+1500</f>
        <v>3232.8199999999997</v>
      </c>
      <c r="H277" s="265"/>
      <c r="I277" s="272">
        <f>F277-G277-H277</f>
        <v>11843.18</v>
      </c>
      <c r="J277" s="267" t="s">
        <v>228</v>
      </c>
      <c r="K277" s="267">
        <v>1</v>
      </c>
      <c r="L277" s="267">
        <v>1</v>
      </c>
      <c r="M277" s="267">
        <v>1</v>
      </c>
      <c r="N277" s="267">
        <v>1</v>
      </c>
      <c r="O277" s="267">
        <v>1</v>
      </c>
      <c r="P277" s="267">
        <v>1</v>
      </c>
      <c r="Q277" s="267">
        <v>1</v>
      </c>
      <c r="R277" s="267">
        <v>1</v>
      </c>
      <c r="S277" s="269">
        <v>1</v>
      </c>
      <c r="T277" s="63"/>
      <c r="U277" s="94" t="s">
        <v>3493</v>
      </c>
      <c r="V277" s="90">
        <f>13425.24</f>
        <v>13425.24</v>
      </c>
      <c r="W277" s="136"/>
      <c r="X277" s="137"/>
      <c r="Y277" s="181"/>
      <c r="Z277" s="181"/>
      <c r="AA277" s="181"/>
      <c r="AB277" s="181"/>
      <c r="AC277" s="181"/>
      <c r="AD277" s="260"/>
      <c r="AE277" s="260"/>
    </row>
    <row r="278" spans="1:31">
      <c r="B278" s="11"/>
      <c r="C278" s="36"/>
      <c r="D278" s="10"/>
      <c r="E278" s="10"/>
      <c r="F278" s="97">
        <f>SUM(F275:F277)</f>
        <v>28865.3</v>
      </c>
      <c r="G278" s="97">
        <f>SUM(G275:G277)</f>
        <v>5152.7299999999996</v>
      </c>
      <c r="H278" s="97">
        <f>SUM(H275:H277)</f>
        <v>211.17999999999998</v>
      </c>
      <c r="I278" s="97">
        <f>SUM(I275:I277)</f>
        <v>23501.39</v>
      </c>
      <c r="J278" s="63"/>
      <c r="K278" s="21"/>
      <c r="L278" s="21"/>
      <c r="M278" s="21"/>
      <c r="N278" s="21"/>
      <c r="O278" s="21"/>
      <c r="P278" s="21"/>
      <c r="Q278" s="21"/>
      <c r="R278" s="21"/>
      <c r="S278" s="21"/>
      <c r="T278" s="63"/>
      <c r="U278" s="94"/>
      <c r="V278" s="90"/>
      <c r="W278" s="91"/>
      <c r="X278" s="92"/>
    </row>
    <row r="279" spans="1:31">
      <c r="B279" s="11"/>
      <c r="C279" s="36"/>
      <c r="D279" s="10"/>
      <c r="E279" s="10"/>
      <c r="F279" s="88"/>
      <c r="G279" s="88"/>
      <c r="H279" s="88"/>
      <c r="I279" s="99"/>
      <c r="J279" s="63"/>
      <c r="K279" s="21"/>
      <c r="L279" s="21"/>
      <c r="M279" s="21"/>
      <c r="N279" s="21"/>
      <c r="O279" s="21"/>
      <c r="P279" s="21"/>
      <c r="Q279" s="21"/>
      <c r="R279" s="21"/>
      <c r="S279" s="21"/>
      <c r="T279" s="63"/>
      <c r="U279" s="94"/>
      <c r="V279" s="90"/>
      <c r="W279" s="91"/>
      <c r="X279" s="92"/>
    </row>
    <row r="280" spans="1:31">
      <c r="B280" s="121" t="s">
        <v>68</v>
      </c>
      <c r="C280" s="122"/>
      <c r="D280" s="123"/>
      <c r="E280" s="123"/>
      <c r="F280" s="124"/>
      <c r="G280" s="125"/>
      <c r="H280" s="124"/>
      <c r="I280" s="126"/>
      <c r="J280" s="127"/>
      <c r="K280" s="128"/>
      <c r="L280" s="128"/>
      <c r="M280" s="128"/>
      <c r="N280" s="128"/>
      <c r="O280" s="128"/>
      <c r="P280" s="128"/>
      <c r="Q280" s="128"/>
      <c r="R280" s="128"/>
      <c r="S280" s="128"/>
      <c r="T280" s="127"/>
      <c r="U280" s="135"/>
      <c r="V280" s="129"/>
      <c r="W280" s="130"/>
      <c r="X280" s="131"/>
    </row>
    <row r="281" spans="1:31">
      <c r="A281" s="464">
        <v>45874</v>
      </c>
      <c r="B281" s="467">
        <v>1</v>
      </c>
      <c r="C281" s="468">
        <v>45845</v>
      </c>
      <c r="D281" s="495">
        <v>71278</v>
      </c>
      <c r="E281" s="470" t="s">
        <v>1034</v>
      </c>
      <c r="F281" s="471">
        <v>2035</v>
      </c>
      <c r="G281" s="471">
        <v>39.700000000000003</v>
      </c>
      <c r="H281" s="471">
        <f>F281*0.2</f>
        <v>407</v>
      </c>
      <c r="I281" s="329">
        <f>F281-G281-H281</f>
        <v>1588.3</v>
      </c>
      <c r="J281" s="472" t="s">
        <v>1545</v>
      </c>
      <c r="K281" s="472">
        <v>1</v>
      </c>
      <c r="L281" s="472">
        <v>1</v>
      </c>
      <c r="M281" s="472">
        <v>1</v>
      </c>
      <c r="N281" s="472">
        <v>1</v>
      </c>
      <c r="O281" s="472">
        <v>1</v>
      </c>
      <c r="P281" s="472">
        <v>1</v>
      </c>
      <c r="Q281" s="472">
        <v>1</v>
      </c>
      <c r="R281" s="472">
        <v>1</v>
      </c>
      <c r="S281" s="473">
        <v>1</v>
      </c>
      <c r="T281" s="474"/>
      <c r="U281" s="475" t="s">
        <v>3494</v>
      </c>
      <c r="V281" s="476">
        <f>223.85+100+200+1714.65</f>
        <v>2238.5</v>
      </c>
      <c r="W281" s="367"/>
      <c r="X281" s="477"/>
    </row>
    <row r="282" spans="1:31">
      <c r="B282" s="467">
        <f>B281+1</f>
        <v>2</v>
      </c>
      <c r="C282" s="478">
        <v>45847</v>
      </c>
      <c r="D282" s="496" t="s">
        <v>3495</v>
      </c>
      <c r="E282" s="479" t="s">
        <v>3472</v>
      </c>
      <c r="F282" s="480">
        <v>7353</v>
      </c>
      <c r="G282" s="480">
        <f>39.7+1500+500</f>
        <v>2039.7</v>
      </c>
      <c r="H282" s="480"/>
      <c r="I282" s="376">
        <f>F282-G282-H282</f>
        <v>5313.3</v>
      </c>
      <c r="J282" s="481" t="s">
        <v>156</v>
      </c>
      <c r="K282" s="481">
        <v>1</v>
      </c>
      <c r="L282" s="481">
        <v>1</v>
      </c>
      <c r="M282" s="481">
        <v>1</v>
      </c>
      <c r="N282" s="481">
        <v>1</v>
      </c>
      <c r="O282" s="481">
        <v>1</v>
      </c>
      <c r="P282" s="481">
        <v>1</v>
      </c>
      <c r="Q282" s="481">
        <v>1</v>
      </c>
      <c r="R282" s="481">
        <v>1</v>
      </c>
      <c r="S282" s="482">
        <v>1</v>
      </c>
      <c r="T282" s="474"/>
      <c r="U282" s="475" t="s">
        <v>3496</v>
      </c>
      <c r="V282" s="476">
        <v>808.83</v>
      </c>
      <c r="W282" s="367"/>
      <c r="X282" s="477"/>
    </row>
    <row r="283" spans="1:31">
      <c r="B283" s="132"/>
      <c r="C283" s="122"/>
      <c r="D283" s="123"/>
      <c r="E283" s="123"/>
      <c r="F283" s="133">
        <f>SUM(F281:F282)</f>
        <v>9388</v>
      </c>
      <c r="G283" s="133">
        <f>SUM(G281:G282)</f>
        <v>2079.4</v>
      </c>
      <c r="H283" s="133">
        <f>SUM(H281:H282)</f>
        <v>407</v>
      </c>
      <c r="I283" s="134">
        <f>SUM(I281:I282)</f>
        <v>6901.6</v>
      </c>
      <c r="J283" s="127"/>
      <c r="K283" s="64"/>
      <c r="L283" s="64"/>
      <c r="M283" s="64"/>
      <c r="N283" s="64"/>
      <c r="O283" s="64"/>
      <c r="P283" s="64"/>
      <c r="Q283" s="64"/>
      <c r="R283" s="64"/>
      <c r="S283" s="64"/>
      <c r="T283" s="127"/>
      <c r="U283" s="135"/>
      <c r="V283" s="129"/>
      <c r="W283" s="130"/>
      <c r="X283" s="131"/>
    </row>
    <row r="284" spans="1:31">
      <c r="B284" s="11"/>
      <c r="C284" s="36"/>
      <c r="D284" s="10"/>
      <c r="E284" s="10"/>
      <c r="F284" s="88"/>
      <c r="G284" s="88"/>
      <c r="H284" s="88"/>
      <c r="I284" s="99"/>
      <c r="J284" s="63"/>
      <c r="K284" s="21"/>
      <c r="L284" s="21"/>
      <c r="M284" s="21"/>
      <c r="N284" s="21"/>
      <c r="O284" s="21"/>
      <c r="P284" s="21"/>
      <c r="Q284" s="21"/>
      <c r="R284" s="21"/>
      <c r="S284" s="21"/>
      <c r="T284" s="63"/>
      <c r="U284" s="94"/>
      <c r="V284" s="90"/>
      <c r="W284" s="91"/>
      <c r="X284" s="92"/>
    </row>
    <row r="285" spans="1:31">
      <c r="B285" s="121" t="s">
        <v>70</v>
      </c>
      <c r="C285" s="122"/>
      <c r="D285" s="123"/>
      <c r="E285" s="128"/>
      <c r="F285" s="124"/>
      <c r="G285" s="124"/>
      <c r="H285" s="124"/>
      <c r="I285" s="126"/>
      <c r="J285" s="127"/>
      <c r="K285" s="64"/>
      <c r="L285" s="64"/>
      <c r="M285" s="64"/>
      <c r="N285" s="64"/>
      <c r="O285" s="64"/>
      <c r="P285" s="64"/>
      <c r="Q285" s="64"/>
      <c r="R285" s="64"/>
      <c r="S285" s="64"/>
      <c r="T285" s="127"/>
      <c r="U285" s="135"/>
      <c r="V285" s="129"/>
      <c r="W285" s="130"/>
      <c r="X285" s="131"/>
    </row>
    <row r="286" spans="1:31">
      <c r="B286" s="467">
        <v>1</v>
      </c>
      <c r="C286" s="468">
        <v>45849</v>
      </c>
      <c r="D286" s="495">
        <v>71377</v>
      </c>
      <c r="E286" s="469" t="s">
        <v>3497</v>
      </c>
      <c r="F286" s="471">
        <v>1021</v>
      </c>
      <c r="G286" s="471">
        <v>39.700000000000003</v>
      </c>
      <c r="H286" s="471"/>
      <c r="I286" s="329">
        <f>F286-G286-H286</f>
        <v>981.3</v>
      </c>
      <c r="J286" s="472" t="s">
        <v>150</v>
      </c>
      <c r="K286" s="472">
        <v>1</v>
      </c>
      <c r="L286" s="472"/>
      <c r="M286" s="472">
        <v>1</v>
      </c>
      <c r="N286" s="472">
        <v>1</v>
      </c>
      <c r="O286" s="472">
        <v>1</v>
      </c>
      <c r="P286" s="472">
        <v>1</v>
      </c>
      <c r="Q286" s="472"/>
      <c r="R286" s="472"/>
      <c r="S286" s="473"/>
      <c r="T286" s="474"/>
      <c r="U286" s="475" t="s">
        <v>3498</v>
      </c>
      <c r="V286" s="476"/>
      <c r="W286" s="456">
        <v>800</v>
      </c>
      <c r="X286" s="483"/>
    </row>
    <row r="287" spans="1:31" s="342" customFormat="1">
      <c r="A287" s="492">
        <v>0.1</v>
      </c>
      <c r="B287" s="333">
        <f>B286+1</f>
        <v>2</v>
      </c>
      <c r="C287" s="395">
        <v>45849</v>
      </c>
      <c r="D287" s="330" t="s">
        <v>3499</v>
      </c>
      <c r="E287" s="396" t="s">
        <v>1313</v>
      </c>
      <c r="F287" s="397">
        <v>6814</v>
      </c>
      <c r="G287" s="397">
        <f>39.7+(187.49)</f>
        <v>227.19</v>
      </c>
      <c r="H287" s="397"/>
      <c r="I287" s="398">
        <f>F287-G287-H287</f>
        <v>6586.81</v>
      </c>
      <c r="J287" s="399" t="s">
        <v>185</v>
      </c>
      <c r="K287" s="399">
        <v>1</v>
      </c>
      <c r="L287" s="399"/>
      <c r="M287" s="399">
        <v>1</v>
      </c>
      <c r="N287" s="399">
        <v>1</v>
      </c>
      <c r="O287" s="399"/>
      <c r="P287" s="399"/>
      <c r="Q287" s="399"/>
      <c r="R287" s="399"/>
      <c r="S287" s="400"/>
      <c r="T287" s="127"/>
      <c r="U287" s="135" t="s">
        <v>3500</v>
      </c>
      <c r="V287" s="129">
        <f>624.36+1000</f>
        <v>1624.3600000000001</v>
      </c>
      <c r="W287" s="340"/>
      <c r="X287" s="341"/>
    </row>
    <row r="288" spans="1:31">
      <c r="B288" s="132"/>
      <c r="C288" s="122"/>
      <c r="D288" s="123"/>
      <c r="E288" s="123"/>
      <c r="F288" s="134">
        <f>SUM(F286:F287)</f>
        <v>7835</v>
      </c>
      <c r="G288" s="134">
        <f>SUM(G286:G287)</f>
        <v>266.89</v>
      </c>
      <c r="H288" s="134">
        <f>SUM(H286:H287)</f>
        <v>0</v>
      </c>
      <c r="I288" s="134">
        <f>SUM(I286:I287)</f>
        <v>7568.1100000000006</v>
      </c>
      <c r="J288" s="127"/>
      <c r="K288" s="64"/>
      <c r="L288" s="64"/>
      <c r="M288" s="64"/>
      <c r="N288" s="64"/>
      <c r="O288" s="64"/>
      <c r="P288" s="64"/>
      <c r="Q288" s="64"/>
      <c r="R288" s="64"/>
      <c r="S288" s="64"/>
      <c r="T288" s="127"/>
      <c r="U288" s="135"/>
      <c r="V288" s="129"/>
      <c r="W288" s="130"/>
      <c r="X288" s="131"/>
    </row>
    <row r="289" spans="1:29">
      <c r="B289" s="11"/>
      <c r="C289" s="36"/>
      <c r="D289" s="10"/>
      <c r="E289" s="10"/>
      <c r="F289" s="88"/>
      <c r="G289" s="88"/>
      <c r="H289" s="88"/>
      <c r="I289" s="99"/>
      <c r="J289" s="10"/>
      <c r="K289" s="63"/>
      <c r="L289" s="63"/>
      <c r="M289" s="63"/>
      <c r="N289" s="63"/>
      <c r="O289" s="63"/>
      <c r="P289" s="63"/>
      <c r="Q289" s="63"/>
      <c r="R289" s="63"/>
      <c r="S289" s="63"/>
      <c r="T289" s="63"/>
      <c r="U289" s="94"/>
      <c r="V289" s="90"/>
      <c r="W289" s="91"/>
      <c r="X289" s="92"/>
    </row>
    <row r="290" spans="1:29" s="260" customFormat="1">
      <c r="A290" s="181"/>
      <c r="B290" s="100" t="s">
        <v>152</v>
      </c>
      <c r="C290" s="36"/>
      <c r="D290" s="10"/>
      <c r="E290" s="10"/>
      <c r="F290" s="88"/>
      <c r="G290" s="62"/>
      <c r="H290" s="88"/>
      <c r="I290" s="99"/>
      <c r="J290" s="63"/>
      <c r="K290" s="181"/>
      <c r="L290" s="181"/>
      <c r="M290" s="181"/>
      <c r="N290" s="181"/>
      <c r="O290" s="181"/>
      <c r="P290" s="181"/>
      <c r="Q290" s="181"/>
      <c r="R290" s="181"/>
      <c r="S290" s="181"/>
      <c r="T290" s="63"/>
      <c r="U290" s="94"/>
      <c r="V290" s="90"/>
      <c r="W290" s="91"/>
      <c r="X290" s="92"/>
      <c r="Y290" s="181"/>
      <c r="Z290" s="181"/>
      <c r="AA290" s="181"/>
      <c r="AB290" s="181"/>
      <c r="AC290" s="181"/>
    </row>
    <row r="291" spans="1:29" s="181" customFormat="1">
      <c r="A291" s="261">
        <v>0.1</v>
      </c>
      <c r="B291" s="87">
        <v>1</v>
      </c>
      <c r="C291" s="262">
        <v>45791</v>
      </c>
      <c r="D291" s="357">
        <v>70097</v>
      </c>
      <c r="E291" s="264" t="s">
        <v>296</v>
      </c>
      <c r="F291" s="265">
        <v>1861</v>
      </c>
      <c r="G291" s="265">
        <f>39.7+748+200</f>
        <v>987.7</v>
      </c>
      <c r="H291" s="265"/>
      <c r="I291" s="266">
        <f t="shared" ref="I291:I299" si="53">F291-G291-H291</f>
        <v>873.3</v>
      </c>
      <c r="J291" s="267" t="s">
        <v>156</v>
      </c>
      <c r="K291" s="267">
        <v>1</v>
      </c>
      <c r="L291" s="267"/>
      <c r="M291" s="267">
        <v>1</v>
      </c>
      <c r="N291" s="267">
        <v>1</v>
      </c>
      <c r="O291" s="267">
        <v>1</v>
      </c>
      <c r="P291" s="267">
        <v>1</v>
      </c>
      <c r="Q291" s="267">
        <v>0</v>
      </c>
      <c r="R291" s="267">
        <v>0</v>
      </c>
      <c r="S291" s="269">
        <v>0</v>
      </c>
      <c r="T291" s="63"/>
      <c r="U291" s="94" t="s">
        <v>3403</v>
      </c>
      <c r="V291" s="90"/>
      <c r="W291" s="136"/>
      <c r="X291" s="137"/>
    </row>
    <row r="292" spans="1:29" s="181" customFormat="1">
      <c r="A292" s="261">
        <v>0.1</v>
      </c>
      <c r="B292" s="87">
        <f>B291+1</f>
        <v>2</v>
      </c>
      <c r="C292" s="282">
        <v>45810</v>
      </c>
      <c r="D292" s="330">
        <v>70516</v>
      </c>
      <c r="E292" s="283" t="s">
        <v>218</v>
      </c>
      <c r="F292" s="284">
        <v>6214</v>
      </c>
      <c r="G292" s="284">
        <f>39.7+(1375.67)+250</f>
        <v>1665.3700000000001</v>
      </c>
      <c r="H292" s="284"/>
      <c r="I292" s="300">
        <f t="shared" si="53"/>
        <v>4548.63</v>
      </c>
      <c r="J292" s="286" t="s">
        <v>228</v>
      </c>
      <c r="K292" s="286">
        <v>1</v>
      </c>
      <c r="L292" s="286">
        <v>1</v>
      </c>
      <c r="M292" s="286">
        <v>1</v>
      </c>
      <c r="N292" s="286">
        <v>1</v>
      </c>
      <c r="O292" s="286">
        <v>1</v>
      </c>
      <c r="P292" s="286">
        <v>1</v>
      </c>
      <c r="Q292" s="286">
        <v>1</v>
      </c>
      <c r="R292" s="286">
        <v>0</v>
      </c>
      <c r="S292" s="287">
        <v>1</v>
      </c>
      <c r="T292" s="63"/>
      <c r="U292" s="94" t="s">
        <v>3404</v>
      </c>
      <c r="V292" s="90"/>
      <c r="W292" s="136"/>
      <c r="X292" s="137"/>
    </row>
    <row r="293" spans="1:29" s="181" customFormat="1">
      <c r="A293" s="261">
        <v>0.1</v>
      </c>
      <c r="B293" s="87">
        <f t="shared" ref="B293:B299" si="54">B292+1</f>
        <v>3</v>
      </c>
      <c r="C293" s="274">
        <v>45824</v>
      </c>
      <c r="D293" s="320" t="s">
        <v>3405</v>
      </c>
      <c r="E293" s="276" t="s">
        <v>1047</v>
      </c>
      <c r="F293" s="277">
        <v>2215</v>
      </c>
      <c r="G293" s="277">
        <v>39.700000000000003</v>
      </c>
      <c r="H293" s="277"/>
      <c r="I293" s="278">
        <f t="shared" si="53"/>
        <v>2175.3000000000002</v>
      </c>
      <c r="J293" s="279"/>
      <c r="K293" s="279">
        <v>1</v>
      </c>
      <c r="L293" s="279">
        <v>1</v>
      </c>
      <c r="M293" s="279"/>
      <c r="N293" s="279">
        <v>1</v>
      </c>
      <c r="O293" s="279">
        <v>1</v>
      </c>
      <c r="P293" s="279">
        <v>1</v>
      </c>
      <c r="Q293" s="279">
        <v>1</v>
      </c>
      <c r="R293" s="279">
        <v>1</v>
      </c>
      <c r="S293" s="280">
        <v>1</v>
      </c>
      <c r="T293" s="63"/>
      <c r="U293" s="3" t="s">
        <v>3406</v>
      </c>
      <c r="V293" s="90"/>
      <c r="W293" s="136"/>
      <c r="X293" s="137"/>
    </row>
    <row r="294" spans="1:29" s="181" customFormat="1">
      <c r="A294" s="261">
        <v>0.1</v>
      </c>
      <c r="B294" s="87">
        <f t="shared" si="54"/>
        <v>4</v>
      </c>
      <c r="C294" s="295">
        <v>45824</v>
      </c>
      <c r="D294" s="346" t="s">
        <v>3407</v>
      </c>
      <c r="E294" s="10" t="s">
        <v>1047</v>
      </c>
      <c r="F294" s="62">
        <v>10353</v>
      </c>
      <c r="G294" s="62">
        <f>39.7+598+(65.78+33.33)+(162.26+78.76)+1000</f>
        <v>1977.83</v>
      </c>
      <c r="H294" s="62"/>
      <c r="I294" s="89">
        <f t="shared" si="53"/>
        <v>8375.17</v>
      </c>
      <c r="J294" s="63" t="s">
        <v>156</v>
      </c>
      <c r="K294" s="63">
        <v>1</v>
      </c>
      <c r="L294" s="63">
        <v>1</v>
      </c>
      <c r="M294" s="63">
        <v>1</v>
      </c>
      <c r="N294" s="63">
        <v>1</v>
      </c>
      <c r="O294" s="63">
        <v>1</v>
      </c>
      <c r="P294" s="63">
        <v>1</v>
      </c>
      <c r="Q294" s="63">
        <v>1</v>
      </c>
      <c r="R294" s="63">
        <v>1</v>
      </c>
      <c r="S294" s="296">
        <v>1</v>
      </c>
      <c r="T294" s="63"/>
      <c r="U294" s="94" t="s">
        <v>3408</v>
      </c>
      <c r="V294" s="90"/>
      <c r="W294" s="136"/>
      <c r="X294" s="137"/>
    </row>
    <row r="295" spans="1:29" s="181" customFormat="1">
      <c r="A295" s="261">
        <v>0.1</v>
      </c>
      <c r="B295" s="87">
        <f t="shared" si="54"/>
        <v>5</v>
      </c>
      <c r="C295" s="262">
        <v>45825</v>
      </c>
      <c r="D295" s="357">
        <v>70817</v>
      </c>
      <c r="E295" s="271" t="s">
        <v>317</v>
      </c>
      <c r="F295" s="265">
        <v>1281</v>
      </c>
      <c r="G295" s="265">
        <f>39.7+(87.93)</f>
        <v>127.63000000000001</v>
      </c>
      <c r="H295" s="265"/>
      <c r="I295" s="272">
        <f t="shared" si="53"/>
        <v>1153.3699999999999</v>
      </c>
      <c r="J295" s="267" t="s">
        <v>156</v>
      </c>
      <c r="K295" s="267">
        <v>1</v>
      </c>
      <c r="L295" s="267">
        <v>1</v>
      </c>
      <c r="M295" s="267">
        <v>1</v>
      </c>
      <c r="N295" s="267">
        <v>1</v>
      </c>
      <c r="O295" s="267">
        <v>1</v>
      </c>
      <c r="P295" s="267">
        <v>1</v>
      </c>
      <c r="Q295" s="267">
        <v>1</v>
      </c>
      <c r="R295" s="267">
        <v>1</v>
      </c>
      <c r="S295" s="269">
        <v>1</v>
      </c>
      <c r="T295" s="63"/>
      <c r="U295" s="94"/>
      <c r="V295" s="90"/>
      <c r="W295" s="136"/>
      <c r="X295" s="137"/>
    </row>
    <row r="296" spans="1:29" s="181" customFormat="1">
      <c r="A296" s="181" t="s">
        <v>2588</v>
      </c>
      <c r="B296" s="87">
        <f t="shared" si="54"/>
        <v>6</v>
      </c>
      <c r="C296" s="274">
        <v>45833</v>
      </c>
      <c r="D296" s="327">
        <v>71010</v>
      </c>
      <c r="E296" s="281" t="s">
        <v>998</v>
      </c>
      <c r="F296" s="277">
        <v>3114</v>
      </c>
      <c r="G296" s="277">
        <f>39.7+(145.94)</f>
        <v>185.64</v>
      </c>
      <c r="H296" s="277"/>
      <c r="I296" s="278">
        <f t="shared" si="53"/>
        <v>2928.36</v>
      </c>
      <c r="J296" s="279" t="s">
        <v>156</v>
      </c>
      <c r="K296" s="279">
        <v>1</v>
      </c>
      <c r="L296" s="279">
        <v>1</v>
      </c>
      <c r="M296" s="279">
        <v>1</v>
      </c>
      <c r="N296" s="279">
        <v>1</v>
      </c>
      <c r="O296" s="279">
        <v>1</v>
      </c>
      <c r="P296" s="279">
        <v>1</v>
      </c>
      <c r="Q296" s="279">
        <v>1</v>
      </c>
      <c r="R296" s="279">
        <v>1</v>
      </c>
      <c r="S296" s="280">
        <v>1</v>
      </c>
      <c r="T296" s="63"/>
      <c r="U296" s="94" t="s">
        <v>3393</v>
      </c>
      <c r="V296" s="90"/>
      <c r="W296" s="91"/>
      <c r="X296" s="92"/>
    </row>
    <row r="297" spans="1:29" s="181" customFormat="1">
      <c r="A297" s="181" t="s">
        <v>3394</v>
      </c>
      <c r="B297" s="87">
        <f t="shared" si="54"/>
        <v>7</v>
      </c>
      <c r="C297" s="262">
        <v>45835</v>
      </c>
      <c r="D297" s="263">
        <v>71063</v>
      </c>
      <c r="E297" s="271" t="s">
        <v>317</v>
      </c>
      <c r="F297" s="265">
        <v>6814</v>
      </c>
      <c r="G297" s="265">
        <f>39.7+(902.13)</f>
        <v>941.83</v>
      </c>
      <c r="H297" s="265"/>
      <c r="I297" s="272">
        <f t="shared" si="53"/>
        <v>5872.17</v>
      </c>
      <c r="J297" s="267" t="s">
        <v>156</v>
      </c>
      <c r="K297" s="267">
        <v>1</v>
      </c>
      <c r="L297" s="267">
        <v>1</v>
      </c>
      <c r="M297" s="267">
        <v>1</v>
      </c>
      <c r="N297" s="267">
        <v>1</v>
      </c>
      <c r="O297" s="267">
        <v>1</v>
      </c>
      <c r="P297" s="267">
        <v>1</v>
      </c>
      <c r="Q297" s="267">
        <v>1</v>
      </c>
      <c r="R297" s="267">
        <v>1</v>
      </c>
      <c r="S297" s="269">
        <v>1</v>
      </c>
      <c r="T297" s="63"/>
      <c r="U297" s="94" t="s">
        <v>3396</v>
      </c>
      <c r="V297" s="90"/>
      <c r="W297" s="136"/>
      <c r="X297" s="137"/>
    </row>
    <row r="298" spans="1:29" s="181" customFormat="1">
      <c r="A298" s="261">
        <v>0.1</v>
      </c>
      <c r="B298" s="87">
        <f t="shared" si="54"/>
        <v>8</v>
      </c>
      <c r="C298" s="262">
        <v>45836</v>
      </c>
      <c r="D298" s="263">
        <v>70970</v>
      </c>
      <c r="E298" s="271" t="s">
        <v>509</v>
      </c>
      <c r="F298" s="265">
        <f>1641-85</f>
        <v>1556</v>
      </c>
      <c r="G298" s="265">
        <v>39.700000000000003</v>
      </c>
      <c r="H298" s="265"/>
      <c r="I298" s="272">
        <f t="shared" si="53"/>
        <v>1516.3</v>
      </c>
      <c r="J298" s="267" t="s">
        <v>156</v>
      </c>
      <c r="K298" s="267">
        <v>1</v>
      </c>
      <c r="L298" s="267">
        <v>1</v>
      </c>
      <c r="M298" s="267">
        <v>1</v>
      </c>
      <c r="N298" s="267">
        <v>1</v>
      </c>
      <c r="O298" s="267">
        <v>1</v>
      </c>
      <c r="P298" s="267">
        <v>1</v>
      </c>
      <c r="Q298" s="267">
        <v>1</v>
      </c>
      <c r="R298" s="267">
        <v>1</v>
      </c>
      <c r="S298" s="269">
        <v>1</v>
      </c>
      <c r="T298" s="63"/>
      <c r="U298" s="301" t="s">
        <v>3398</v>
      </c>
      <c r="V298" s="90"/>
      <c r="W298" s="136"/>
      <c r="X298" s="137"/>
    </row>
    <row r="299" spans="1:29" s="260" customFormat="1">
      <c r="A299" s="261">
        <v>0.1</v>
      </c>
      <c r="B299" s="87">
        <f t="shared" si="54"/>
        <v>9</v>
      </c>
      <c r="C299" s="262">
        <v>45839</v>
      </c>
      <c r="D299" s="357" t="s">
        <v>3447</v>
      </c>
      <c r="E299" s="264" t="s">
        <v>1047</v>
      </c>
      <c r="F299" s="265">
        <v>1261</v>
      </c>
      <c r="G299" s="265">
        <v>39.700000000000003</v>
      </c>
      <c r="H299" s="265"/>
      <c r="I299" s="272">
        <f t="shared" si="53"/>
        <v>1221.3</v>
      </c>
      <c r="J299" s="267"/>
      <c r="K299" s="267">
        <v>1</v>
      </c>
      <c r="L299" s="267">
        <v>1</v>
      </c>
      <c r="M299" s="267"/>
      <c r="N299" s="267">
        <v>1</v>
      </c>
      <c r="O299" s="267">
        <v>1</v>
      </c>
      <c r="P299" s="267">
        <v>1</v>
      </c>
      <c r="Q299" s="267">
        <v>0</v>
      </c>
      <c r="R299" s="267">
        <v>0</v>
      </c>
      <c r="S299" s="269">
        <v>0</v>
      </c>
      <c r="T299" s="63"/>
      <c r="U299" s="94"/>
      <c r="V299" s="90"/>
      <c r="W299" s="91"/>
      <c r="X299" s="92"/>
      <c r="Y299" s="181"/>
      <c r="Z299" s="181"/>
      <c r="AA299" s="181"/>
      <c r="AB299" s="181"/>
      <c r="AC299" s="181"/>
    </row>
    <row r="300" spans="1:29" s="260" customFormat="1">
      <c r="A300" s="181"/>
      <c r="B300" s="11"/>
      <c r="C300" s="36"/>
      <c r="D300" s="10"/>
      <c r="E300" s="10"/>
      <c r="F300" s="97">
        <f>SUM(F291:F299)</f>
        <v>34669</v>
      </c>
      <c r="G300" s="97">
        <f>SUM(G291:G299)</f>
        <v>6005.1</v>
      </c>
      <c r="H300" s="97">
        <f>SUM(H291:H299)</f>
        <v>0</v>
      </c>
      <c r="I300" s="97">
        <f>SUM(I291:I299)</f>
        <v>28663.9</v>
      </c>
      <c r="J300" s="63"/>
      <c r="K300" s="21"/>
      <c r="L300" s="21"/>
      <c r="M300" s="21"/>
      <c r="N300" s="21"/>
      <c r="O300" s="21"/>
      <c r="P300" s="21"/>
      <c r="Q300" s="21"/>
      <c r="R300" s="21"/>
      <c r="S300" s="21"/>
      <c r="T300" s="63"/>
      <c r="U300" s="94"/>
      <c r="V300" s="90"/>
      <c r="W300" s="91"/>
      <c r="X300" s="92"/>
      <c r="Y300" s="181"/>
      <c r="Z300" s="181"/>
      <c r="AA300" s="181"/>
      <c r="AB300" s="181"/>
      <c r="AC300" s="181"/>
    </row>
    <row r="301" spans="1:29" s="260" customFormat="1">
      <c r="A301" s="181"/>
      <c r="B301" s="11"/>
      <c r="C301" s="36"/>
      <c r="D301" s="10"/>
      <c r="E301" s="10"/>
      <c r="F301" s="88"/>
      <c r="G301" s="88"/>
      <c r="H301" s="88"/>
      <c r="I301" s="99"/>
      <c r="J301" s="63"/>
      <c r="K301" s="21"/>
      <c r="L301" s="21"/>
      <c r="M301" s="21"/>
      <c r="N301" s="21"/>
      <c r="O301" s="21"/>
      <c r="P301" s="21"/>
      <c r="Q301" s="21"/>
      <c r="R301" s="21"/>
      <c r="S301" s="21"/>
      <c r="T301" s="63"/>
      <c r="U301" s="94"/>
      <c r="V301" s="90"/>
      <c r="W301" s="91"/>
      <c r="X301" s="92"/>
      <c r="Y301" s="181"/>
      <c r="Z301" s="181"/>
      <c r="AA301" s="181"/>
      <c r="AB301" s="181"/>
      <c r="AC301" s="181"/>
    </row>
    <row r="302" spans="1:29" s="260" customFormat="1">
      <c r="A302" s="181"/>
      <c r="B302" s="100" t="s">
        <v>202</v>
      </c>
      <c r="C302" s="36"/>
      <c r="D302" s="10"/>
      <c r="E302" s="181"/>
      <c r="F302" s="88"/>
      <c r="G302" s="88"/>
      <c r="H302" s="88"/>
      <c r="I302" s="99"/>
      <c r="J302" s="63"/>
      <c r="K302" s="21"/>
      <c r="L302" s="21"/>
      <c r="M302" s="21"/>
      <c r="N302" s="21"/>
      <c r="O302" s="21"/>
      <c r="P302" s="21"/>
      <c r="Q302" s="21"/>
      <c r="R302" s="21"/>
      <c r="S302" s="21"/>
      <c r="T302" s="63"/>
      <c r="U302" s="94"/>
      <c r="V302" s="90"/>
      <c r="W302" s="91"/>
      <c r="X302" s="92"/>
      <c r="Y302" s="181"/>
      <c r="Z302" s="181"/>
      <c r="AA302" s="181"/>
      <c r="AB302" s="181"/>
      <c r="AC302" s="181"/>
    </row>
    <row r="303" spans="1:29" s="181" customFormat="1">
      <c r="A303" s="261">
        <v>0.1</v>
      </c>
      <c r="B303" s="87">
        <v>1</v>
      </c>
      <c r="C303" s="274">
        <v>45789</v>
      </c>
      <c r="D303" s="320" t="s">
        <v>3413</v>
      </c>
      <c r="E303" s="310" t="s">
        <v>294</v>
      </c>
      <c r="F303" s="277">
        <v>2814</v>
      </c>
      <c r="G303" s="277"/>
      <c r="H303" s="277"/>
      <c r="I303" s="278">
        <f>F303-G303-H303</f>
        <v>2814</v>
      </c>
      <c r="J303" s="279" t="s">
        <v>156</v>
      </c>
      <c r="K303" s="279">
        <v>1</v>
      </c>
      <c r="L303" s="279"/>
      <c r="M303" s="279">
        <v>1</v>
      </c>
      <c r="N303" s="279">
        <v>1</v>
      </c>
      <c r="O303" s="279">
        <v>1</v>
      </c>
      <c r="P303" s="279">
        <v>0</v>
      </c>
      <c r="Q303" s="279"/>
      <c r="R303" s="279"/>
      <c r="S303" s="280"/>
      <c r="T303" s="63"/>
      <c r="U303" s="94" t="s">
        <v>3414</v>
      </c>
      <c r="V303" s="90"/>
      <c r="W303" s="136"/>
      <c r="X303" s="137"/>
    </row>
    <row r="304" spans="1:29" s="181" customFormat="1">
      <c r="A304" s="261">
        <v>0.1</v>
      </c>
      <c r="B304" s="87">
        <f>B303+1</f>
        <v>2</v>
      </c>
      <c r="C304" s="282">
        <v>45789</v>
      </c>
      <c r="D304" s="330">
        <v>70063</v>
      </c>
      <c r="E304" s="311" t="s">
        <v>572</v>
      </c>
      <c r="F304" s="284">
        <v>1134.9000000000001</v>
      </c>
      <c r="G304" s="284">
        <f>200</f>
        <v>200</v>
      </c>
      <c r="H304" s="284"/>
      <c r="I304" s="285">
        <f>F304-G304-H304</f>
        <v>934.90000000000009</v>
      </c>
      <c r="J304" s="286" t="s">
        <v>156</v>
      </c>
      <c r="K304" s="286">
        <v>1</v>
      </c>
      <c r="L304" s="286"/>
      <c r="M304" s="286">
        <v>1</v>
      </c>
      <c r="N304" s="286">
        <v>1</v>
      </c>
      <c r="O304" s="286">
        <v>1</v>
      </c>
      <c r="P304" s="286">
        <v>0</v>
      </c>
      <c r="Q304" s="286"/>
      <c r="R304" s="286"/>
      <c r="S304" s="287"/>
      <c r="T304" s="63"/>
      <c r="U304" s="94" t="s">
        <v>3414</v>
      </c>
      <c r="V304" s="90"/>
      <c r="W304" s="136"/>
      <c r="X304" s="137"/>
    </row>
    <row r="305" spans="1:29" s="260" customFormat="1">
      <c r="A305" s="181"/>
      <c r="B305" s="11"/>
      <c r="C305" s="36"/>
      <c r="D305" s="10"/>
      <c r="E305" s="10"/>
      <c r="F305" s="97">
        <f>SUM(F303:F304)</f>
        <v>3948.9</v>
      </c>
      <c r="G305" s="97">
        <f>SUM(G303:G304)</f>
        <v>200</v>
      </c>
      <c r="H305" s="97">
        <f>SUM(H303:H304)</f>
        <v>0</v>
      </c>
      <c r="I305" s="97">
        <f>SUM(I303:I304)</f>
        <v>3748.9</v>
      </c>
      <c r="J305" s="63"/>
      <c r="K305" s="21"/>
      <c r="L305" s="21"/>
      <c r="M305" s="21"/>
      <c r="N305" s="21"/>
      <c r="O305" s="21"/>
      <c r="P305" s="21"/>
      <c r="Q305" s="21"/>
      <c r="R305" s="21"/>
      <c r="S305" s="21"/>
      <c r="T305" s="63"/>
      <c r="U305" s="94"/>
      <c r="V305" s="90"/>
      <c r="W305" s="91"/>
      <c r="X305" s="92"/>
      <c r="Y305" s="181"/>
      <c r="Z305" s="181"/>
      <c r="AA305" s="181"/>
      <c r="AB305" s="181"/>
      <c r="AC305" s="181"/>
    </row>
    <row r="306" spans="1:29" s="260" customFormat="1">
      <c r="A306" s="181"/>
      <c r="B306" s="11"/>
      <c r="C306" s="36"/>
      <c r="D306" s="10"/>
      <c r="E306" s="10"/>
      <c r="F306" s="88"/>
      <c r="G306" s="88"/>
      <c r="H306" s="88"/>
      <c r="I306" s="99"/>
      <c r="J306" s="10"/>
      <c r="K306" s="63"/>
      <c r="L306" s="63"/>
      <c r="M306" s="63"/>
      <c r="N306" s="63"/>
      <c r="O306" s="63"/>
      <c r="P306" s="63"/>
      <c r="Q306" s="63"/>
      <c r="R306" s="63"/>
      <c r="S306" s="63"/>
      <c r="T306" s="63"/>
      <c r="U306" s="94"/>
      <c r="V306" s="90"/>
      <c r="W306" s="91"/>
      <c r="X306" s="92"/>
      <c r="Y306" s="181"/>
      <c r="Z306" s="181"/>
      <c r="AA306" s="181"/>
      <c r="AB306" s="181"/>
      <c r="AC306" s="181"/>
    </row>
    <row r="307" spans="1:29">
      <c r="B307" s="100" t="s">
        <v>72</v>
      </c>
      <c r="C307" s="36"/>
      <c r="D307" s="10"/>
      <c r="E307" s="10"/>
      <c r="F307" s="88"/>
      <c r="G307" s="88"/>
      <c r="H307" s="88"/>
      <c r="I307" s="99"/>
      <c r="J307" s="63"/>
      <c r="K307" s="63"/>
      <c r="L307" s="63"/>
      <c r="M307" s="63"/>
      <c r="N307" s="63"/>
      <c r="O307" s="63"/>
      <c r="P307" s="63"/>
      <c r="Q307" s="63"/>
      <c r="R307" s="63"/>
      <c r="S307" s="63"/>
      <c r="T307" s="63"/>
      <c r="U307" s="94"/>
      <c r="V307" s="90"/>
      <c r="W307" s="91"/>
      <c r="X307" s="92"/>
    </row>
    <row r="308" spans="1:29">
      <c r="B308" s="87">
        <v>1</v>
      </c>
      <c r="C308" s="274">
        <v>45845</v>
      </c>
      <c r="D308" s="276">
        <v>71250</v>
      </c>
      <c r="E308" s="276" t="s">
        <v>3501</v>
      </c>
      <c r="F308" s="277">
        <v>1861</v>
      </c>
      <c r="G308" s="277">
        <v>39.700000000000003</v>
      </c>
      <c r="H308" s="277"/>
      <c r="I308" s="278">
        <f t="shared" ref="I308:I335" si="55">F308-G308-H308</f>
        <v>1821.3</v>
      </c>
      <c r="J308" s="279" t="s">
        <v>205</v>
      </c>
      <c r="K308" s="279">
        <v>1</v>
      </c>
      <c r="L308" s="279"/>
      <c r="M308" s="279"/>
      <c r="N308" s="279">
        <v>1</v>
      </c>
      <c r="O308" s="279"/>
      <c r="P308" s="279"/>
      <c r="Q308" s="279">
        <v>1</v>
      </c>
      <c r="R308" s="279">
        <v>1</v>
      </c>
      <c r="S308" s="280">
        <v>1</v>
      </c>
      <c r="T308" s="63"/>
      <c r="U308" s="164"/>
      <c r="V308" s="90"/>
      <c r="W308" s="91"/>
      <c r="X308" s="92"/>
    </row>
    <row r="309" spans="1:29">
      <c r="B309" s="87">
        <f t="shared" ref="B309:B335" si="56">B308+1</f>
        <v>2</v>
      </c>
      <c r="C309" s="295">
        <v>45845</v>
      </c>
      <c r="D309" s="10">
        <v>71236</v>
      </c>
      <c r="E309" s="10" t="s">
        <v>1611</v>
      </c>
      <c r="F309" s="62">
        <v>0</v>
      </c>
      <c r="G309" s="62"/>
      <c r="H309" s="62"/>
      <c r="I309" s="89">
        <f t="shared" si="55"/>
        <v>0</v>
      </c>
      <c r="J309" s="63" t="s">
        <v>219</v>
      </c>
      <c r="K309" s="63">
        <v>1</v>
      </c>
      <c r="L309" s="63"/>
      <c r="M309" s="63"/>
      <c r="N309" s="63"/>
      <c r="O309" s="63"/>
      <c r="P309" s="63"/>
      <c r="Q309" s="63">
        <v>1</v>
      </c>
      <c r="R309" s="63">
        <v>1</v>
      </c>
      <c r="S309" s="296">
        <v>1</v>
      </c>
      <c r="T309" s="63"/>
      <c r="U309" s="94"/>
      <c r="V309" s="90"/>
      <c r="W309" s="136"/>
      <c r="X309" s="137"/>
    </row>
    <row r="310" spans="1:29">
      <c r="B310" s="87">
        <f t="shared" si="56"/>
        <v>3</v>
      </c>
      <c r="C310" s="295">
        <v>45845</v>
      </c>
      <c r="D310" s="10">
        <v>71267</v>
      </c>
      <c r="E310" s="10" t="s">
        <v>1047</v>
      </c>
      <c r="F310" s="62">
        <v>0</v>
      </c>
      <c r="G310" s="62"/>
      <c r="H310" s="62"/>
      <c r="I310" s="89">
        <f t="shared" si="55"/>
        <v>0</v>
      </c>
      <c r="J310" s="63" t="s">
        <v>219</v>
      </c>
      <c r="K310" s="63">
        <v>1</v>
      </c>
      <c r="L310" s="63"/>
      <c r="M310" s="63"/>
      <c r="N310" s="63"/>
      <c r="O310" s="63"/>
      <c r="P310" s="63"/>
      <c r="Q310" s="63">
        <v>1</v>
      </c>
      <c r="R310" s="63">
        <v>1</v>
      </c>
      <c r="S310" s="296">
        <v>1</v>
      </c>
      <c r="T310" s="63"/>
      <c r="U310" s="94"/>
      <c r="V310" s="90"/>
      <c r="W310" s="136"/>
      <c r="X310" s="137"/>
    </row>
    <row r="311" spans="1:29">
      <c r="B311" s="87">
        <f t="shared" si="56"/>
        <v>4</v>
      </c>
      <c r="C311" s="295">
        <v>45845</v>
      </c>
      <c r="D311" s="10">
        <v>71272</v>
      </c>
      <c r="E311" s="10" t="s">
        <v>3502</v>
      </c>
      <c r="F311" s="62">
        <v>0</v>
      </c>
      <c r="G311" s="62"/>
      <c r="H311" s="62"/>
      <c r="I311" s="89">
        <f t="shared" si="55"/>
        <v>0</v>
      </c>
      <c r="J311" s="63" t="s">
        <v>219</v>
      </c>
      <c r="K311" s="63">
        <v>1</v>
      </c>
      <c r="L311" s="63"/>
      <c r="M311" s="63"/>
      <c r="N311" s="63"/>
      <c r="O311" s="63"/>
      <c r="P311" s="63"/>
      <c r="Q311" s="63">
        <v>1</v>
      </c>
      <c r="R311" s="63">
        <v>1</v>
      </c>
      <c r="S311" s="296">
        <v>1</v>
      </c>
      <c r="T311" s="63"/>
      <c r="U311" s="94"/>
      <c r="V311" s="90"/>
      <c r="W311" s="136"/>
      <c r="X311" s="137"/>
    </row>
    <row r="312" spans="1:29">
      <c r="B312" s="87">
        <f t="shared" si="56"/>
        <v>5</v>
      </c>
      <c r="C312" s="295">
        <v>45845</v>
      </c>
      <c r="D312" s="10">
        <v>71273</v>
      </c>
      <c r="E312" s="10" t="s">
        <v>1034</v>
      </c>
      <c r="F312" s="62">
        <v>0</v>
      </c>
      <c r="G312" s="62"/>
      <c r="H312" s="62"/>
      <c r="I312" s="89">
        <f t="shared" si="55"/>
        <v>0</v>
      </c>
      <c r="J312" s="63" t="s">
        <v>219</v>
      </c>
      <c r="K312" s="63">
        <v>1</v>
      </c>
      <c r="L312" s="63"/>
      <c r="M312" s="63"/>
      <c r="N312" s="63"/>
      <c r="O312" s="63"/>
      <c r="P312" s="63"/>
      <c r="Q312" s="63">
        <v>1</v>
      </c>
      <c r="R312" s="63">
        <v>1</v>
      </c>
      <c r="S312" s="296">
        <v>1</v>
      </c>
      <c r="T312" s="63"/>
      <c r="U312" s="94"/>
      <c r="V312" s="90"/>
      <c r="W312" s="136"/>
      <c r="X312" s="137"/>
    </row>
    <row r="313" spans="1:29">
      <c r="B313" s="87">
        <f t="shared" si="56"/>
        <v>6</v>
      </c>
      <c r="C313" s="295">
        <v>45845</v>
      </c>
      <c r="D313" s="10">
        <v>71279</v>
      </c>
      <c r="E313" s="101" t="s">
        <v>1072</v>
      </c>
      <c r="F313" s="62">
        <v>4861</v>
      </c>
      <c r="G313" s="62">
        <v>39.700000000000003</v>
      </c>
      <c r="H313" s="62"/>
      <c r="I313" s="89">
        <f t="shared" si="55"/>
        <v>4821.3</v>
      </c>
      <c r="J313" s="63" t="s">
        <v>205</v>
      </c>
      <c r="K313" s="63">
        <v>1</v>
      </c>
      <c r="L313" s="63"/>
      <c r="M313" s="63"/>
      <c r="N313" s="63">
        <v>1</v>
      </c>
      <c r="O313" s="63"/>
      <c r="P313" s="63"/>
      <c r="Q313" s="63">
        <v>1</v>
      </c>
      <c r="R313" s="63">
        <v>1</v>
      </c>
      <c r="S313" s="296">
        <v>1</v>
      </c>
      <c r="T313" s="63"/>
      <c r="U313" s="94"/>
      <c r="V313" s="90"/>
      <c r="W313" s="136"/>
      <c r="X313" s="137"/>
    </row>
    <row r="314" spans="1:29">
      <c r="B314" s="87">
        <f t="shared" si="56"/>
        <v>7</v>
      </c>
      <c r="C314" s="295">
        <v>45845</v>
      </c>
      <c r="D314" s="10">
        <v>71277</v>
      </c>
      <c r="E314" s="101" t="s">
        <v>1476</v>
      </c>
      <c r="F314" s="62">
        <v>6214</v>
      </c>
      <c r="G314" s="62">
        <v>39.700000000000003</v>
      </c>
      <c r="H314" s="62"/>
      <c r="I314" s="89">
        <f t="shared" si="55"/>
        <v>6174.3</v>
      </c>
      <c r="J314" s="63" t="s">
        <v>205</v>
      </c>
      <c r="K314" s="63">
        <v>1</v>
      </c>
      <c r="L314" s="63"/>
      <c r="M314" s="63"/>
      <c r="N314" s="63">
        <v>1</v>
      </c>
      <c r="O314" s="63"/>
      <c r="P314" s="63"/>
      <c r="Q314" s="63">
        <v>1</v>
      </c>
      <c r="R314" s="63">
        <v>1</v>
      </c>
      <c r="S314" s="296">
        <v>1</v>
      </c>
      <c r="T314" s="63"/>
      <c r="U314" s="94" t="s">
        <v>3503</v>
      </c>
      <c r="V314" s="90">
        <v>93.5</v>
      </c>
      <c r="W314" s="136"/>
      <c r="X314" s="137"/>
    </row>
    <row r="315" spans="1:29">
      <c r="B315" s="87">
        <f t="shared" si="56"/>
        <v>8</v>
      </c>
      <c r="C315" s="295">
        <v>45845</v>
      </c>
      <c r="D315" s="10">
        <v>71297</v>
      </c>
      <c r="E315" s="101" t="s">
        <v>204</v>
      </c>
      <c r="F315" s="62">
        <v>0</v>
      </c>
      <c r="G315" s="62"/>
      <c r="H315" s="62"/>
      <c r="I315" s="89">
        <f t="shared" si="55"/>
        <v>0</v>
      </c>
      <c r="J315" s="63" t="s">
        <v>219</v>
      </c>
      <c r="K315" s="63">
        <v>1</v>
      </c>
      <c r="L315" s="63"/>
      <c r="M315" s="63"/>
      <c r="N315" s="63"/>
      <c r="O315" s="63"/>
      <c r="P315" s="63"/>
      <c r="Q315" s="63">
        <v>1</v>
      </c>
      <c r="R315" s="63">
        <v>1</v>
      </c>
      <c r="S315" s="296">
        <v>1</v>
      </c>
      <c r="T315" s="63"/>
      <c r="U315" s="94" t="s">
        <v>3504</v>
      </c>
      <c r="V315" s="90"/>
      <c r="W315" s="136"/>
      <c r="X315" s="137"/>
    </row>
    <row r="316" spans="1:29">
      <c r="B316" s="87">
        <f t="shared" si="56"/>
        <v>9</v>
      </c>
      <c r="C316" s="295">
        <v>45845</v>
      </c>
      <c r="D316" s="10">
        <v>71282</v>
      </c>
      <c r="E316" s="101" t="s">
        <v>1028</v>
      </c>
      <c r="F316" s="62">
        <v>0</v>
      </c>
      <c r="G316" s="62"/>
      <c r="H316" s="62"/>
      <c r="I316" s="89">
        <f t="shared" si="55"/>
        <v>0</v>
      </c>
      <c r="J316" s="63" t="s">
        <v>219</v>
      </c>
      <c r="K316" s="63"/>
      <c r="L316" s="63"/>
      <c r="M316" s="63"/>
      <c r="N316" s="63"/>
      <c r="O316" s="63"/>
      <c r="P316" s="63"/>
      <c r="Q316" s="63"/>
      <c r="R316" s="63"/>
      <c r="S316" s="296"/>
      <c r="T316" s="63"/>
      <c r="U316" s="94" t="s">
        <v>3505</v>
      </c>
      <c r="V316" s="90"/>
      <c r="W316" s="136"/>
      <c r="X316" s="137"/>
    </row>
    <row r="317" spans="1:29">
      <c r="B317" s="87">
        <f t="shared" si="56"/>
        <v>10</v>
      </c>
      <c r="C317" s="274">
        <v>45846</v>
      </c>
      <c r="D317" s="276">
        <v>71265</v>
      </c>
      <c r="E317" s="281" t="s">
        <v>3506</v>
      </c>
      <c r="F317" s="277">
        <v>0</v>
      </c>
      <c r="G317" s="277"/>
      <c r="H317" s="277"/>
      <c r="I317" s="278">
        <f t="shared" si="55"/>
        <v>0</v>
      </c>
      <c r="J317" s="279" t="s">
        <v>219</v>
      </c>
      <c r="K317" s="279">
        <v>1</v>
      </c>
      <c r="L317" s="279"/>
      <c r="M317" s="279"/>
      <c r="N317" s="279"/>
      <c r="O317" s="279"/>
      <c r="P317" s="279"/>
      <c r="Q317" s="279">
        <v>1</v>
      </c>
      <c r="R317" s="279">
        <v>1</v>
      </c>
      <c r="S317" s="280">
        <v>1</v>
      </c>
      <c r="T317" s="63"/>
      <c r="U317" s="94"/>
      <c r="V317" s="90"/>
      <c r="W317" s="136"/>
      <c r="X317" s="137"/>
    </row>
    <row r="318" spans="1:29">
      <c r="B318" s="87">
        <f t="shared" si="56"/>
        <v>11</v>
      </c>
      <c r="C318" s="295">
        <v>45846</v>
      </c>
      <c r="D318" s="10">
        <v>71294</v>
      </c>
      <c r="E318" s="101" t="s">
        <v>3506</v>
      </c>
      <c r="F318" s="62">
        <v>0</v>
      </c>
      <c r="G318" s="62"/>
      <c r="H318" s="62"/>
      <c r="I318" s="89">
        <f t="shared" si="55"/>
        <v>0</v>
      </c>
      <c r="J318" s="63" t="s">
        <v>219</v>
      </c>
      <c r="K318" s="63">
        <v>1</v>
      </c>
      <c r="L318" s="63"/>
      <c r="M318" s="63"/>
      <c r="N318" s="63"/>
      <c r="O318" s="63"/>
      <c r="P318" s="63"/>
      <c r="Q318" s="63">
        <v>1</v>
      </c>
      <c r="R318" s="63">
        <v>1</v>
      </c>
      <c r="S318" s="296">
        <v>1</v>
      </c>
      <c r="T318" s="63"/>
      <c r="U318" s="94"/>
      <c r="V318" s="90"/>
      <c r="W318" s="136"/>
      <c r="X318" s="137"/>
    </row>
    <row r="319" spans="1:29">
      <c r="B319" s="87">
        <f t="shared" si="56"/>
        <v>12</v>
      </c>
      <c r="C319" s="295">
        <v>45846</v>
      </c>
      <c r="D319" s="10">
        <v>71281</v>
      </c>
      <c r="E319" s="101" t="s">
        <v>1028</v>
      </c>
      <c r="F319" s="62">
        <v>0</v>
      </c>
      <c r="G319" s="62"/>
      <c r="H319" s="62"/>
      <c r="I319" s="89">
        <f t="shared" si="55"/>
        <v>0</v>
      </c>
      <c r="J319" s="63" t="s">
        <v>219</v>
      </c>
      <c r="K319" s="63">
        <v>1</v>
      </c>
      <c r="L319" s="63"/>
      <c r="M319" s="63"/>
      <c r="N319" s="63"/>
      <c r="O319" s="63"/>
      <c r="P319" s="63"/>
      <c r="Q319" s="63">
        <v>1</v>
      </c>
      <c r="R319" s="63">
        <v>1</v>
      </c>
      <c r="S319" s="296">
        <v>1</v>
      </c>
      <c r="T319" s="63"/>
      <c r="U319" s="94"/>
      <c r="V319" s="90"/>
      <c r="W319" s="136"/>
      <c r="X319" s="137"/>
    </row>
    <row r="320" spans="1:29">
      <c r="B320" s="87">
        <f t="shared" si="56"/>
        <v>13</v>
      </c>
      <c r="C320" s="274">
        <v>45847</v>
      </c>
      <c r="D320" s="460" t="s">
        <v>3507</v>
      </c>
      <c r="E320" s="276" t="s">
        <v>659</v>
      </c>
      <c r="F320" s="277">
        <v>5553</v>
      </c>
      <c r="G320" s="277">
        <v>39.700000000000003</v>
      </c>
      <c r="H320" s="277"/>
      <c r="I320" s="278">
        <f t="shared" si="55"/>
        <v>5513.3</v>
      </c>
      <c r="J320" s="279" t="s">
        <v>205</v>
      </c>
      <c r="K320" s="279">
        <v>1</v>
      </c>
      <c r="L320" s="279"/>
      <c r="M320" s="279"/>
      <c r="N320" s="279">
        <v>1</v>
      </c>
      <c r="O320" s="279"/>
      <c r="P320" s="279"/>
      <c r="Q320" s="279"/>
      <c r="R320" s="279"/>
      <c r="S320" s="280"/>
      <c r="T320" s="63"/>
      <c r="U320" s="94"/>
      <c r="V320" s="90"/>
      <c r="W320" s="136"/>
      <c r="X320" s="137"/>
    </row>
    <row r="321" spans="2:24">
      <c r="B321" s="87">
        <f t="shared" si="56"/>
        <v>14</v>
      </c>
      <c r="C321" s="295">
        <v>45847</v>
      </c>
      <c r="D321" s="77" t="s">
        <v>3508</v>
      </c>
      <c r="E321" s="101" t="s">
        <v>761</v>
      </c>
      <c r="F321" s="62">
        <v>44619</v>
      </c>
      <c r="G321" s="62">
        <v>39.700000000000003</v>
      </c>
      <c r="H321" s="62"/>
      <c r="I321" s="89">
        <f t="shared" si="55"/>
        <v>44579.3</v>
      </c>
      <c r="J321" s="63" t="s">
        <v>205</v>
      </c>
      <c r="K321" s="63">
        <v>1</v>
      </c>
      <c r="L321" s="63"/>
      <c r="M321" s="63"/>
      <c r="N321" s="63">
        <v>1</v>
      </c>
      <c r="O321" s="63"/>
      <c r="P321" s="63"/>
      <c r="Q321" s="63"/>
      <c r="R321" s="63"/>
      <c r="S321" s="296"/>
      <c r="T321" s="63"/>
      <c r="U321" s="94"/>
      <c r="V321" s="90"/>
      <c r="W321" s="136"/>
      <c r="X321" s="137"/>
    </row>
    <row r="322" spans="2:24">
      <c r="B322" s="87">
        <f t="shared" si="56"/>
        <v>15</v>
      </c>
      <c r="C322" s="295">
        <v>45847</v>
      </c>
      <c r="D322" s="10">
        <v>71357</v>
      </c>
      <c r="E322" s="10" t="s">
        <v>172</v>
      </c>
      <c r="F322" s="62">
        <v>0</v>
      </c>
      <c r="G322" s="62"/>
      <c r="H322" s="62"/>
      <c r="I322" s="89">
        <f t="shared" si="55"/>
        <v>0</v>
      </c>
      <c r="J322" s="63" t="s">
        <v>219</v>
      </c>
      <c r="K322" s="63">
        <v>1</v>
      </c>
      <c r="L322" s="63"/>
      <c r="M322" s="63"/>
      <c r="N322" s="63"/>
      <c r="O322" s="63"/>
      <c r="P322" s="63"/>
      <c r="Q322" s="63">
        <v>1</v>
      </c>
      <c r="R322" s="63">
        <v>1</v>
      </c>
      <c r="S322" s="296">
        <v>1</v>
      </c>
      <c r="T322" s="63"/>
      <c r="U322" s="94"/>
      <c r="V322" s="90"/>
      <c r="W322" s="136"/>
      <c r="X322" s="137"/>
    </row>
    <row r="323" spans="2:24">
      <c r="B323" s="87">
        <f t="shared" si="56"/>
        <v>16</v>
      </c>
      <c r="C323" s="295">
        <v>45847</v>
      </c>
      <c r="D323" s="10">
        <v>71337</v>
      </c>
      <c r="E323" s="10" t="s">
        <v>1155</v>
      </c>
      <c r="F323" s="62">
        <v>0</v>
      </c>
      <c r="G323" s="62"/>
      <c r="H323" s="62"/>
      <c r="I323" s="89">
        <f t="shared" si="55"/>
        <v>0</v>
      </c>
      <c r="J323" s="63" t="s">
        <v>156</v>
      </c>
      <c r="K323" s="63">
        <v>1</v>
      </c>
      <c r="L323" s="63"/>
      <c r="M323" s="63">
        <v>1</v>
      </c>
      <c r="N323" s="63"/>
      <c r="O323" s="63"/>
      <c r="P323" s="63"/>
      <c r="Q323" s="63">
        <v>1</v>
      </c>
      <c r="R323" s="63">
        <v>1</v>
      </c>
      <c r="S323" s="296">
        <v>1</v>
      </c>
      <c r="T323" s="63"/>
      <c r="U323" s="94" t="s">
        <v>3509</v>
      </c>
      <c r="V323" s="90">
        <v>93.5</v>
      </c>
      <c r="W323" s="136"/>
      <c r="X323" s="137"/>
    </row>
    <row r="324" spans="2:24">
      <c r="B324" s="87">
        <f t="shared" si="56"/>
        <v>17</v>
      </c>
      <c r="C324" s="295">
        <v>45847</v>
      </c>
      <c r="D324" s="77" t="s">
        <v>3510</v>
      </c>
      <c r="E324" s="10" t="s">
        <v>1155</v>
      </c>
      <c r="F324" s="62">
        <v>1315</v>
      </c>
      <c r="G324" s="62">
        <v>39.700000000000003</v>
      </c>
      <c r="H324" s="62"/>
      <c r="I324" s="89">
        <f t="shared" si="55"/>
        <v>1275.3</v>
      </c>
      <c r="J324" s="63" t="s">
        <v>156</v>
      </c>
      <c r="K324" s="63">
        <v>1</v>
      </c>
      <c r="L324" s="63"/>
      <c r="M324" s="63">
        <v>1</v>
      </c>
      <c r="N324" s="63">
        <v>1</v>
      </c>
      <c r="O324" s="63">
        <v>1</v>
      </c>
      <c r="P324" s="63">
        <v>1</v>
      </c>
      <c r="Q324" s="63">
        <v>1</v>
      </c>
      <c r="R324" s="63">
        <v>1</v>
      </c>
      <c r="S324" s="296">
        <v>1</v>
      </c>
      <c r="T324" s="63"/>
      <c r="U324" s="94" t="s">
        <v>3511</v>
      </c>
      <c r="V324" s="90">
        <v>401.5</v>
      </c>
      <c r="W324" s="136"/>
      <c r="X324" s="137"/>
    </row>
    <row r="325" spans="2:24">
      <c r="B325" s="87">
        <f t="shared" si="56"/>
        <v>18</v>
      </c>
      <c r="C325" s="295">
        <v>45847</v>
      </c>
      <c r="D325" s="77" t="s">
        <v>3512</v>
      </c>
      <c r="E325" s="10" t="s">
        <v>1155</v>
      </c>
      <c r="F325" s="62">
        <v>0</v>
      </c>
      <c r="G325" s="62"/>
      <c r="H325" s="62"/>
      <c r="I325" s="89">
        <f t="shared" si="55"/>
        <v>0</v>
      </c>
      <c r="J325" s="63" t="s">
        <v>219</v>
      </c>
      <c r="K325" s="63">
        <v>1</v>
      </c>
      <c r="L325" s="63"/>
      <c r="M325" s="63"/>
      <c r="N325" s="63"/>
      <c r="O325" s="63"/>
      <c r="P325" s="63"/>
      <c r="Q325" s="63"/>
      <c r="R325" s="63"/>
      <c r="S325" s="296"/>
      <c r="T325" s="63"/>
      <c r="U325" s="94"/>
      <c r="V325" s="90"/>
      <c r="W325" s="136"/>
      <c r="X325" s="137"/>
    </row>
    <row r="326" spans="2:24">
      <c r="B326" s="87">
        <f t="shared" si="56"/>
        <v>19</v>
      </c>
      <c r="C326" s="274">
        <v>45848</v>
      </c>
      <c r="D326" s="275">
        <v>71354</v>
      </c>
      <c r="E326" s="276" t="s">
        <v>1079</v>
      </c>
      <c r="F326" s="277">
        <v>0</v>
      </c>
      <c r="G326" s="277"/>
      <c r="H326" s="277"/>
      <c r="I326" s="278">
        <f t="shared" si="55"/>
        <v>0</v>
      </c>
      <c r="J326" s="279" t="s">
        <v>219</v>
      </c>
      <c r="K326" s="279">
        <v>1</v>
      </c>
      <c r="L326" s="279"/>
      <c r="M326" s="279"/>
      <c r="N326" s="279"/>
      <c r="O326" s="279"/>
      <c r="P326" s="279"/>
      <c r="Q326" s="279">
        <v>1</v>
      </c>
      <c r="R326" s="279">
        <v>1</v>
      </c>
      <c r="S326" s="280">
        <v>1</v>
      </c>
      <c r="T326" s="63"/>
      <c r="U326" s="94"/>
      <c r="V326" s="90"/>
      <c r="W326" s="136"/>
      <c r="X326" s="137"/>
    </row>
    <row r="327" spans="2:24">
      <c r="B327" s="87">
        <f t="shared" si="56"/>
        <v>20</v>
      </c>
      <c r="C327" s="295">
        <v>45848</v>
      </c>
      <c r="D327" s="77">
        <v>71360</v>
      </c>
      <c r="E327" s="10" t="s">
        <v>1080</v>
      </c>
      <c r="F327" s="62">
        <v>6075</v>
      </c>
      <c r="G327" s="62">
        <v>39.700000000000003</v>
      </c>
      <c r="H327" s="62"/>
      <c r="I327" s="89">
        <f t="shared" si="55"/>
        <v>6035.3</v>
      </c>
      <c r="J327" s="63" t="s">
        <v>205</v>
      </c>
      <c r="K327" s="63">
        <v>1</v>
      </c>
      <c r="L327" s="63"/>
      <c r="M327" s="63"/>
      <c r="N327" s="63">
        <v>1</v>
      </c>
      <c r="O327" s="63"/>
      <c r="P327" s="63"/>
      <c r="Q327" s="63">
        <v>1</v>
      </c>
      <c r="R327" s="63">
        <v>1</v>
      </c>
      <c r="S327" s="296">
        <v>1</v>
      </c>
      <c r="T327" s="63"/>
      <c r="U327" s="94"/>
      <c r="V327" s="90"/>
      <c r="W327" s="136"/>
      <c r="X327" s="137"/>
    </row>
    <row r="328" spans="2:24">
      <c r="B328" s="87">
        <f t="shared" si="56"/>
        <v>21</v>
      </c>
      <c r="C328" s="295">
        <v>45848</v>
      </c>
      <c r="D328" s="77" t="s">
        <v>3513</v>
      </c>
      <c r="E328" s="10" t="s">
        <v>1030</v>
      </c>
      <c r="F328" s="62">
        <v>8214</v>
      </c>
      <c r="G328" s="62">
        <v>39.700000000000003</v>
      </c>
      <c r="H328" s="62"/>
      <c r="I328" s="89">
        <f t="shared" si="55"/>
        <v>8174.3</v>
      </c>
      <c r="J328" s="63" t="s">
        <v>205</v>
      </c>
      <c r="K328" s="63">
        <v>1</v>
      </c>
      <c r="L328" s="63"/>
      <c r="M328" s="63"/>
      <c r="N328" s="63">
        <v>1</v>
      </c>
      <c r="O328" s="63"/>
      <c r="P328" s="63"/>
      <c r="Q328" s="63"/>
      <c r="R328" s="63"/>
      <c r="S328" s="296"/>
      <c r="T328" s="63"/>
      <c r="U328" s="94"/>
      <c r="V328" s="90"/>
      <c r="W328" s="136"/>
      <c r="X328" s="137"/>
    </row>
    <row r="329" spans="2:24">
      <c r="B329" s="87">
        <f t="shared" si="56"/>
        <v>22</v>
      </c>
      <c r="C329" s="295">
        <v>45848</v>
      </c>
      <c r="D329" s="77">
        <v>71358</v>
      </c>
      <c r="E329" s="10" t="s">
        <v>1047</v>
      </c>
      <c r="F329" s="62">
        <v>529</v>
      </c>
      <c r="G329" s="62"/>
      <c r="H329" s="62"/>
      <c r="I329" s="89">
        <f t="shared" si="55"/>
        <v>529</v>
      </c>
      <c r="J329" s="63" t="s">
        <v>205</v>
      </c>
      <c r="K329" s="63">
        <v>1</v>
      </c>
      <c r="L329" s="63"/>
      <c r="M329" s="63"/>
      <c r="N329" s="63">
        <v>1</v>
      </c>
      <c r="O329" s="63"/>
      <c r="P329" s="63"/>
      <c r="Q329" s="63">
        <v>1</v>
      </c>
      <c r="R329" s="63">
        <v>1</v>
      </c>
      <c r="S329" s="296">
        <v>1</v>
      </c>
      <c r="T329" s="63"/>
      <c r="U329" s="94"/>
      <c r="V329" s="90"/>
      <c r="W329" s="136"/>
      <c r="X329" s="137"/>
    </row>
    <row r="330" spans="2:24">
      <c r="B330" s="87">
        <f t="shared" si="56"/>
        <v>23</v>
      </c>
      <c r="C330" s="295">
        <v>45848</v>
      </c>
      <c r="D330" s="77">
        <v>71364</v>
      </c>
      <c r="E330" s="10" t="s">
        <v>1058</v>
      </c>
      <c r="F330" s="62">
        <v>0</v>
      </c>
      <c r="G330" s="62"/>
      <c r="H330" s="62"/>
      <c r="I330" s="89">
        <f t="shared" si="55"/>
        <v>0</v>
      </c>
      <c r="J330" s="63" t="s">
        <v>219</v>
      </c>
      <c r="K330" s="63">
        <v>1</v>
      </c>
      <c r="L330" s="63"/>
      <c r="M330" s="63"/>
      <c r="N330" s="63"/>
      <c r="O330" s="63"/>
      <c r="P330" s="63"/>
      <c r="Q330" s="63"/>
      <c r="R330" s="63"/>
      <c r="S330" s="296"/>
      <c r="T330" s="63"/>
      <c r="U330" s="94" t="s">
        <v>3514</v>
      </c>
      <c r="V330" s="90"/>
      <c r="W330" s="136"/>
      <c r="X330" s="137"/>
    </row>
    <row r="331" spans="2:24">
      <c r="B331" s="87">
        <f t="shared" si="56"/>
        <v>24</v>
      </c>
      <c r="C331" s="274">
        <v>45849</v>
      </c>
      <c r="D331" s="275" t="s">
        <v>3515</v>
      </c>
      <c r="E331" s="276" t="s">
        <v>3472</v>
      </c>
      <c r="F331" s="277">
        <v>15353</v>
      </c>
      <c r="G331" s="277">
        <v>39.700000000000003</v>
      </c>
      <c r="H331" s="277"/>
      <c r="I331" s="278">
        <f t="shared" si="55"/>
        <v>15313.3</v>
      </c>
      <c r="J331" s="279" t="s">
        <v>205</v>
      </c>
      <c r="K331" s="279">
        <v>1</v>
      </c>
      <c r="L331" s="279"/>
      <c r="M331" s="279"/>
      <c r="N331" s="279">
        <v>1</v>
      </c>
      <c r="O331" s="279"/>
      <c r="P331" s="279"/>
      <c r="Q331" s="279"/>
      <c r="R331" s="279"/>
      <c r="S331" s="280"/>
      <c r="T331" s="63"/>
      <c r="U331" s="94"/>
      <c r="V331" s="90"/>
      <c r="W331" s="136"/>
      <c r="X331" s="137"/>
    </row>
    <row r="332" spans="2:24">
      <c r="B332" s="87">
        <f t="shared" si="56"/>
        <v>25</v>
      </c>
      <c r="C332" s="295">
        <v>45849</v>
      </c>
      <c r="D332" s="10">
        <v>71395</v>
      </c>
      <c r="E332" s="10" t="s">
        <v>213</v>
      </c>
      <c r="F332" s="62">
        <v>0</v>
      </c>
      <c r="G332" s="62"/>
      <c r="H332" s="62"/>
      <c r="I332" s="89">
        <f t="shared" si="55"/>
        <v>0</v>
      </c>
      <c r="J332" s="63" t="s">
        <v>219</v>
      </c>
      <c r="K332" s="63">
        <v>1</v>
      </c>
      <c r="L332" s="63"/>
      <c r="M332" s="63"/>
      <c r="N332" s="63"/>
      <c r="O332" s="63"/>
      <c r="P332" s="63"/>
      <c r="Q332" s="63"/>
      <c r="R332" s="63"/>
      <c r="S332" s="296"/>
      <c r="T332" s="63"/>
      <c r="U332" s="94" t="s">
        <v>3516</v>
      </c>
      <c r="V332" s="90"/>
      <c r="W332" s="136"/>
      <c r="X332" s="137"/>
    </row>
    <row r="333" spans="2:24">
      <c r="B333" s="87">
        <f t="shared" si="56"/>
        <v>26</v>
      </c>
      <c r="C333" s="295">
        <v>45849</v>
      </c>
      <c r="D333" s="10">
        <v>71386</v>
      </c>
      <c r="E333" s="10" t="s">
        <v>778</v>
      </c>
      <c r="F333" s="62">
        <v>5619</v>
      </c>
      <c r="G333" s="62">
        <v>39.700000000000003</v>
      </c>
      <c r="H333" s="62"/>
      <c r="I333" s="89">
        <f t="shared" si="55"/>
        <v>5579.3</v>
      </c>
      <c r="J333" s="63" t="s">
        <v>205</v>
      </c>
      <c r="K333" s="63">
        <v>1</v>
      </c>
      <c r="L333" s="63"/>
      <c r="M333" s="63"/>
      <c r="N333" s="63">
        <v>1</v>
      </c>
      <c r="O333" s="63"/>
      <c r="P333" s="63"/>
      <c r="Q333" s="63"/>
      <c r="R333" s="63"/>
      <c r="S333" s="296"/>
      <c r="T333" s="63"/>
      <c r="U333" s="94"/>
      <c r="V333" s="90"/>
      <c r="W333" s="136"/>
      <c r="X333" s="137"/>
    </row>
    <row r="334" spans="2:24">
      <c r="B334" s="87">
        <f t="shared" si="56"/>
        <v>27</v>
      </c>
      <c r="C334" s="295">
        <v>45849</v>
      </c>
      <c r="D334" s="77" t="s">
        <v>3517</v>
      </c>
      <c r="E334" s="10" t="s">
        <v>3497</v>
      </c>
      <c r="F334" s="62">
        <v>18161</v>
      </c>
      <c r="G334" s="62">
        <v>39.700000000000003</v>
      </c>
      <c r="H334" s="62"/>
      <c r="I334" s="89">
        <f t="shared" si="55"/>
        <v>18121.3</v>
      </c>
      <c r="J334" s="63" t="s">
        <v>205</v>
      </c>
      <c r="K334" s="63">
        <v>1</v>
      </c>
      <c r="L334" s="63"/>
      <c r="M334" s="63"/>
      <c r="N334" s="63">
        <v>1</v>
      </c>
      <c r="O334" s="63"/>
      <c r="P334" s="63"/>
      <c r="Q334" s="63"/>
      <c r="R334" s="63"/>
      <c r="S334" s="296"/>
      <c r="T334" s="63"/>
      <c r="U334" s="94"/>
      <c r="V334" s="90"/>
      <c r="W334" s="136"/>
      <c r="X334" s="137"/>
    </row>
    <row r="335" spans="2:24">
      <c r="B335" s="87">
        <f t="shared" si="56"/>
        <v>28</v>
      </c>
      <c r="C335" s="282">
        <v>45849</v>
      </c>
      <c r="D335" s="302" t="s">
        <v>3518</v>
      </c>
      <c r="E335" s="283" t="s">
        <v>1313</v>
      </c>
      <c r="F335" s="284">
        <v>5653</v>
      </c>
      <c r="G335" s="284">
        <v>39.700000000000003</v>
      </c>
      <c r="H335" s="284"/>
      <c r="I335" s="285">
        <f t="shared" si="55"/>
        <v>5613.3</v>
      </c>
      <c r="J335" s="286" t="s">
        <v>205</v>
      </c>
      <c r="K335" s="286">
        <v>1</v>
      </c>
      <c r="L335" s="286"/>
      <c r="M335" s="286"/>
      <c r="N335" s="286">
        <v>1</v>
      </c>
      <c r="O335" s="286"/>
      <c r="P335" s="286"/>
      <c r="Q335" s="286"/>
      <c r="R335" s="286"/>
      <c r="S335" s="287"/>
      <c r="T335" s="63"/>
      <c r="U335" s="94"/>
      <c r="V335" s="90"/>
      <c r="W335" s="136"/>
      <c r="X335" s="137"/>
    </row>
    <row r="336" spans="2:24">
      <c r="B336" s="11"/>
      <c r="C336" s="36"/>
      <c r="D336" s="10"/>
      <c r="E336" s="10"/>
      <c r="F336" s="98">
        <f>SUM(F308:F335)</f>
        <v>124027</v>
      </c>
      <c r="G336" s="98">
        <f>SUM(G308:G335)</f>
        <v>476.39999999999992</v>
      </c>
      <c r="H336" s="98">
        <f>SUM(H308:H335)</f>
        <v>0</v>
      </c>
      <c r="I336" s="98">
        <f>SUM(I308:I335)</f>
        <v>123550.60000000002</v>
      </c>
      <c r="J336" s="10"/>
      <c r="K336" s="10"/>
      <c r="L336" s="10"/>
      <c r="M336" s="10"/>
      <c r="N336" s="10"/>
      <c r="O336" s="10"/>
      <c r="P336" s="10"/>
      <c r="Q336" s="10"/>
      <c r="R336" s="10"/>
      <c r="S336" s="10"/>
      <c r="T336" s="63"/>
      <c r="U336" s="94"/>
      <c r="V336" s="90"/>
      <c r="W336" s="91"/>
      <c r="X336" s="92"/>
    </row>
    <row r="337" spans="1:29">
      <c r="B337" s="11"/>
      <c r="C337" s="36"/>
      <c r="D337" s="10"/>
      <c r="E337" s="10"/>
      <c r="F337" s="99"/>
      <c r="G337" s="99"/>
      <c r="H337" s="99"/>
      <c r="I337" s="99"/>
      <c r="J337" s="10"/>
      <c r="K337" s="10"/>
      <c r="L337" s="10"/>
      <c r="M337" s="10"/>
      <c r="N337" s="10"/>
      <c r="O337" s="10"/>
      <c r="P337" s="10"/>
      <c r="Q337" s="10"/>
      <c r="R337" s="10"/>
      <c r="S337" s="10"/>
      <c r="T337" s="63"/>
      <c r="U337" s="94"/>
      <c r="V337" s="165"/>
      <c r="W337" s="166"/>
      <c r="X337" s="167"/>
    </row>
    <row r="338" spans="1:29">
      <c r="A338" s="2"/>
      <c r="B338" s="100" t="s">
        <v>73</v>
      </c>
      <c r="C338" s="36"/>
      <c r="D338" s="10"/>
      <c r="E338" s="10"/>
      <c r="F338" s="88"/>
      <c r="G338" s="88"/>
      <c r="H338" s="88"/>
      <c r="I338" s="99"/>
      <c r="J338" s="63"/>
      <c r="K338" s="63"/>
      <c r="L338" s="63"/>
      <c r="M338" s="63"/>
      <c r="N338" s="63"/>
      <c r="O338" s="63"/>
      <c r="P338" s="63"/>
      <c r="Q338" s="63"/>
      <c r="R338" s="63"/>
      <c r="S338" s="63"/>
      <c r="T338" s="63"/>
      <c r="U338" s="94"/>
      <c r="V338" s="90"/>
      <c r="W338" s="91"/>
      <c r="X338" s="92"/>
    </row>
    <row r="339" spans="1:29">
      <c r="A339" s="2"/>
      <c r="B339" s="87">
        <v>1</v>
      </c>
      <c r="C339" s="262">
        <v>45851</v>
      </c>
      <c r="D339" s="273" t="s">
        <v>3519</v>
      </c>
      <c r="E339" s="271" t="s">
        <v>1249</v>
      </c>
      <c r="F339" s="265">
        <v>1138</v>
      </c>
      <c r="G339" s="265"/>
      <c r="H339" s="265"/>
      <c r="I339" s="272">
        <f>F339-G339-H339</f>
        <v>1138</v>
      </c>
      <c r="J339" s="267" t="s">
        <v>205</v>
      </c>
      <c r="K339" s="267">
        <v>1</v>
      </c>
      <c r="L339" s="267"/>
      <c r="M339" s="267"/>
      <c r="N339" s="267">
        <v>1</v>
      </c>
      <c r="O339" s="267"/>
      <c r="P339" s="267"/>
      <c r="Q339" s="267"/>
      <c r="R339" s="267"/>
      <c r="S339" s="269"/>
      <c r="T339" s="63"/>
      <c r="U339" s="139" t="s">
        <v>3520</v>
      </c>
      <c r="V339" s="90"/>
      <c r="W339" s="91"/>
      <c r="X339" s="92"/>
    </row>
    <row r="340" spans="1:29">
      <c r="A340" s="2"/>
      <c r="B340" s="11"/>
      <c r="C340" s="36"/>
      <c r="D340" s="10"/>
      <c r="E340" s="10"/>
      <c r="F340" s="97">
        <f>SUM(F339:F339)</f>
        <v>1138</v>
      </c>
      <c r="G340" s="97">
        <f>SUM(G339:G339)</f>
        <v>0</v>
      </c>
      <c r="H340" s="97">
        <f>SUM(H339:H339)</f>
        <v>0</v>
      </c>
      <c r="I340" s="98">
        <f>SUM(I339:I339)</f>
        <v>1138</v>
      </c>
      <c r="J340" s="10"/>
      <c r="K340" s="10"/>
      <c r="L340" s="10"/>
      <c r="M340" s="10"/>
      <c r="N340" s="10"/>
      <c r="O340" s="10"/>
      <c r="P340" s="10"/>
      <c r="Q340" s="10"/>
      <c r="R340" s="10"/>
      <c r="S340" s="10"/>
      <c r="T340" s="63"/>
      <c r="U340" s="94"/>
      <c r="V340" s="90"/>
      <c r="W340" s="91"/>
      <c r="X340" s="92"/>
    </row>
    <row r="341" spans="1:29">
      <c r="B341" s="26"/>
      <c r="C341" s="140"/>
      <c r="D341" s="141"/>
      <c r="E341" s="141"/>
      <c r="F341" s="141"/>
      <c r="G341" s="141"/>
      <c r="H341" s="141"/>
      <c r="I341" s="141"/>
      <c r="J341" s="141"/>
      <c r="K341" s="142"/>
      <c r="L341" s="142"/>
      <c r="M341" s="142"/>
      <c r="N341" s="142"/>
      <c r="O341" s="142"/>
      <c r="P341" s="142"/>
      <c r="Q341" s="142"/>
      <c r="R341" s="142"/>
      <c r="S341" s="142"/>
      <c r="T341" s="143">
        <f>SUM(T254:T336)</f>
        <v>1</v>
      </c>
      <c r="U341" s="168"/>
      <c r="V341" s="144">
        <f>SUM(V254:V336)</f>
        <v>54366.1</v>
      </c>
      <c r="W341" s="145">
        <f>SUM(W254:W336)</f>
        <v>800</v>
      </c>
      <c r="X341" s="146">
        <f>SUM(X254:X336)</f>
        <v>1599.84</v>
      </c>
    </row>
    <row r="344" spans="1:29">
      <c r="A344" s="148" t="s">
        <v>74</v>
      </c>
      <c r="B344" s="4" t="s">
        <v>1</v>
      </c>
      <c r="C344" s="5"/>
      <c r="D344" s="83"/>
      <c r="E344" s="6"/>
      <c r="F344" s="7" t="s">
        <v>2</v>
      </c>
      <c r="G344" s="8">
        <v>45858</v>
      </c>
      <c r="H344" s="7"/>
      <c r="I344" s="6"/>
      <c r="J344" s="6"/>
      <c r="K344" s="6"/>
      <c r="L344" s="6"/>
      <c r="M344" s="6"/>
      <c r="N344" s="6"/>
      <c r="O344" s="6"/>
      <c r="P344" s="6"/>
      <c r="Q344" s="6"/>
      <c r="R344" s="6"/>
      <c r="S344" s="6"/>
      <c r="T344" s="6"/>
      <c r="U344" s="149"/>
      <c r="V344" s="77"/>
      <c r="W344" s="77"/>
      <c r="X344" s="77"/>
      <c r="Y344" s="2"/>
      <c r="Z344" s="2"/>
      <c r="AA344" s="2"/>
      <c r="AB344" s="2"/>
      <c r="AC344" s="2"/>
    </row>
    <row r="345" spans="1:29">
      <c r="A345" s="150" t="s">
        <v>75</v>
      </c>
      <c r="B345" s="11"/>
      <c r="C345" s="10"/>
      <c r="D345" s="63"/>
      <c r="E345" s="10"/>
      <c r="F345" s="10"/>
      <c r="G345" s="7"/>
      <c r="H345" s="12"/>
      <c r="I345" s="10"/>
      <c r="J345" s="10"/>
      <c r="K345" s="13" t="s">
        <v>3</v>
      </c>
      <c r="L345" s="14"/>
      <c r="M345" s="15"/>
      <c r="N345" s="13" t="s">
        <v>4</v>
      </c>
      <c r="O345" s="14"/>
      <c r="P345" s="15"/>
      <c r="Q345" s="13" t="s">
        <v>5</v>
      </c>
      <c r="R345" s="14"/>
      <c r="S345" s="15"/>
      <c r="T345" s="16"/>
      <c r="U345" s="151"/>
      <c r="V345" s="77"/>
      <c r="W345" s="77"/>
      <c r="X345" s="77"/>
      <c r="Y345" s="2"/>
      <c r="Z345" s="2"/>
      <c r="AA345" s="2"/>
      <c r="AB345" s="2"/>
      <c r="AC345" s="2"/>
    </row>
    <row r="346" spans="1:29">
      <c r="A346" s="148" t="s">
        <v>76</v>
      </c>
      <c r="B346" s="18" t="s">
        <v>6</v>
      </c>
      <c r="C346" s="19">
        <f>C347+C348</f>
        <v>39</v>
      </c>
      <c r="D346" s="63"/>
      <c r="E346" s="18" t="s">
        <v>7</v>
      </c>
      <c r="F346" s="6"/>
      <c r="G346" s="9"/>
      <c r="H346" s="10"/>
      <c r="I346" s="10"/>
      <c r="J346" s="10"/>
      <c r="K346" s="20" t="s">
        <v>8</v>
      </c>
      <c r="L346" s="21" t="s">
        <v>9</v>
      </c>
      <c r="M346" s="21" t="s">
        <v>10</v>
      </c>
      <c r="N346" s="20" t="s">
        <v>11</v>
      </c>
      <c r="O346" s="21" t="s">
        <v>12</v>
      </c>
      <c r="P346" s="22" t="s">
        <v>13</v>
      </c>
      <c r="Q346" s="21" t="s">
        <v>11</v>
      </c>
      <c r="R346" s="21" t="s">
        <v>12</v>
      </c>
      <c r="S346" s="22" t="s">
        <v>13</v>
      </c>
      <c r="T346" s="23" t="s">
        <v>14</v>
      </c>
      <c r="U346" s="151"/>
      <c r="V346" s="77"/>
      <c r="W346" s="77"/>
      <c r="X346" s="77"/>
      <c r="Y346" s="2"/>
      <c r="Z346" s="2"/>
      <c r="AA346" s="2"/>
      <c r="AB346" s="2"/>
      <c r="AC346" s="2"/>
    </row>
    <row r="347" spans="1:29">
      <c r="A347" s="152" t="s">
        <v>3183</v>
      </c>
      <c r="B347" s="24" t="s">
        <v>15</v>
      </c>
      <c r="C347" s="25">
        <f>P354</f>
        <v>23</v>
      </c>
      <c r="D347" s="63"/>
      <c r="E347" s="11" t="s">
        <v>16</v>
      </c>
      <c r="F347" s="10" t="s">
        <v>78</v>
      </c>
      <c r="G347" s="153">
        <v>0.05</v>
      </c>
      <c r="H347" s="10"/>
      <c r="I347" s="10"/>
      <c r="J347" s="18" t="s">
        <v>17</v>
      </c>
      <c r="K347" s="29">
        <f t="shared" ref="K347:S347" si="57">K393</f>
        <v>20</v>
      </c>
      <c r="L347" s="29">
        <f t="shared" si="57"/>
        <v>19</v>
      </c>
      <c r="M347" s="29">
        <f t="shared" si="57"/>
        <v>18</v>
      </c>
      <c r="N347" s="29">
        <f t="shared" si="57"/>
        <v>18</v>
      </c>
      <c r="O347" s="29">
        <f t="shared" si="57"/>
        <v>18</v>
      </c>
      <c r="P347" s="29">
        <f t="shared" si="57"/>
        <v>18</v>
      </c>
      <c r="Q347" s="29">
        <f t="shared" si="57"/>
        <v>17</v>
      </c>
      <c r="R347" s="29">
        <f t="shared" si="57"/>
        <v>17</v>
      </c>
      <c r="S347" s="29">
        <f t="shared" si="57"/>
        <v>17</v>
      </c>
      <c r="T347" s="30">
        <f>T440</f>
        <v>0</v>
      </c>
      <c r="U347" s="151"/>
      <c r="V347" s="77"/>
      <c r="W347" s="77"/>
      <c r="X347" s="77"/>
      <c r="Y347" s="2"/>
      <c r="Z347" s="2"/>
      <c r="AA347" s="2"/>
      <c r="AB347" s="2"/>
      <c r="AC347" s="2"/>
    </row>
    <row r="348" spans="1:29">
      <c r="A348" s="152" t="s">
        <v>3184</v>
      </c>
      <c r="B348" s="24" t="s">
        <v>18</v>
      </c>
      <c r="C348" s="25">
        <f>P355</f>
        <v>16</v>
      </c>
      <c r="D348" s="63"/>
      <c r="E348" s="26" t="s">
        <v>80</v>
      </c>
      <c r="F348" s="141" t="s">
        <v>81</v>
      </c>
      <c r="G348" s="154">
        <v>0.1</v>
      </c>
      <c r="H348" s="10"/>
      <c r="I348" s="10"/>
      <c r="J348" s="32" t="s">
        <v>19</v>
      </c>
      <c r="K348" s="33">
        <f t="shared" ref="K348:S348" si="58">K393/K392</f>
        <v>1</v>
      </c>
      <c r="L348" s="33">
        <f t="shared" si="58"/>
        <v>0.95</v>
      </c>
      <c r="M348" s="33">
        <f t="shared" si="58"/>
        <v>0.9</v>
      </c>
      <c r="N348" s="33">
        <f t="shared" si="58"/>
        <v>0.9</v>
      </c>
      <c r="O348" s="33">
        <f t="shared" si="58"/>
        <v>0.9</v>
      </c>
      <c r="P348" s="33">
        <f t="shared" si="58"/>
        <v>0.9</v>
      </c>
      <c r="Q348" s="33">
        <f t="shared" si="58"/>
        <v>0.85</v>
      </c>
      <c r="R348" s="33">
        <f t="shared" si="58"/>
        <v>0.85</v>
      </c>
      <c r="S348" s="33">
        <f t="shared" si="58"/>
        <v>0.85</v>
      </c>
      <c r="T348" s="23"/>
      <c r="U348" s="151" t="s">
        <v>20</v>
      </c>
      <c r="V348" s="77"/>
      <c r="W348" s="77"/>
      <c r="X348" s="77"/>
      <c r="Y348" s="2"/>
      <c r="Z348" s="2"/>
      <c r="AA348" s="2"/>
      <c r="AB348" s="2"/>
      <c r="AC348" s="2"/>
    </row>
    <row r="349" spans="1:29">
      <c r="A349" s="2"/>
      <c r="B349" s="24" t="s">
        <v>21</v>
      </c>
      <c r="C349" s="34">
        <f>P356</f>
        <v>0.58974358974358976</v>
      </c>
      <c r="D349" s="63"/>
      <c r="E349" s="10"/>
      <c r="F349" s="10"/>
      <c r="G349" s="10"/>
      <c r="H349" s="10"/>
      <c r="I349" s="10"/>
      <c r="J349" s="10"/>
      <c r="K349" s="10"/>
      <c r="L349" s="10"/>
      <c r="M349" s="10"/>
      <c r="N349" s="10"/>
      <c r="O349" s="10"/>
      <c r="P349" s="10"/>
      <c r="Q349" s="10"/>
      <c r="R349" s="10"/>
      <c r="S349" s="10"/>
      <c r="T349" s="10"/>
      <c r="U349" s="151"/>
      <c r="V349" s="77"/>
      <c r="W349" s="77"/>
      <c r="X349" s="77"/>
      <c r="Y349" s="2"/>
      <c r="Z349" s="2"/>
      <c r="AA349" s="2"/>
      <c r="AB349" s="2"/>
      <c r="AC349" s="2"/>
    </row>
    <row r="350" spans="1:29">
      <c r="A350" s="2"/>
      <c r="B350" s="24"/>
      <c r="C350" s="25"/>
      <c r="D350" s="63"/>
      <c r="E350" s="10"/>
      <c r="F350" s="18" t="s">
        <v>22</v>
      </c>
      <c r="G350" s="19" t="s">
        <v>23</v>
      </c>
      <c r="H350" s="35" t="s">
        <v>24</v>
      </c>
      <c r="I350" s="10"/>
      <c r="J350" s="10"/>
      <c r="K350" s="36"/>
      <c r="L350" s="36"/>
      <c r="M350" s="36"/>
      <c r="N350" s="36"/>
      <c r="O350" s="36"/>
      <c r="P350" s="36"/>
      <c r="Q350" s="36"/>
      <c r="R350" s="10"/>
      <c r="S350" s="10"/>
      <c r="T350" s="10"/>
      <c r="U350" s="151"/>
      <c r="V350" s="77"/>
      <c r="W350" s="77"/>
      <c r="X350" s="77"/>
      <c r="Y350" s="2"/>
      <c r="Z350" s="2"/>
      <c r="AA350" s="2"/>
      <c r="AB350" s="2"/>
      <c r="AC350" s="2"/>
    </row>
    <row r="351" spans="1:29">
      <c r="A351" s="2"/>
      <c r="B351" s="32" t="s">
        <v>25</v>
      </c>
      <c r="C351" s="37">
        <f>P357</f>
        <v>2210.42</v>
      </c>
      <c r="D351" s="63"/>
      <c r="E351" s="18" t="s">
        <v>26</v>
      </c>
      <c r="F351" s="38">
        <f>P353</f>
        <v>50839.66</v>
      </c>
      <c r="G351" s="39">
        <f>I392+I398+I402</f>
        <v>50839.66</v>
      </c>
      <c r="H351" s="40"/>
      <c r="I351" s="41"/>
      <c r="J351" s="42"/>
      <c r="K351" s="43" t="s">
        <v>27</v>
      </c>
      <c r="L351" s="44"/>
      <c r="M351" s="44"/>
      <c r="N351" s="44"/>
      <c r="O351" s="44"/>
      <c r="P351" s="44"/>
      <c r="Q351" s="45"/>
      <c r="R351" s="46" t="s">
        <v>28</v>
      </c>
      <c r="S351" s="47" t="s">
        <v>29</v>
      </c>
      <c r="T351" s="10"/>
      <c r="U351" s="151"/>
      <c r="V351" s="77"/>
      <c r="W351" s="77"/>
      <c r="X351" s="77"/>
      <c r="Y351" s="2"/>
      <c r="Z351" s="2"/>
      <c r="AA351" s="2"/>
      <c r="AB351" s="2"/>
      <c r="AC351" s="2"/>
    </row>
    <row r="352" spans="1:29">
      <c r="A352" s="2"/>
      <c r="B352" s="11"/>
      <c r="C352" s="10"/>
      <c r="D352" s="63"/>
      <c r="E352" s="24" t="s">
        <v>30</v>
      </c>
      <c r="F352" s="48">
        <f>IF(F351&gt;=25000,10%,5%)</f>
        <v>0.1</v>
      </c>
      <c r="G352" s="17"/>
      <c r="H352" s="40"/>
      <c r="I352" s="41"/>
      <c r="J352" s="42"/>
      <c r="K352" s="20" t="s">
        <v>31</v>
      </c>
      <c r="L352" s="21" t="s">
        <v>32</v>
      </c>
      <c r="M352" s="21" t="s">
        <v>33</v>
      </c>
      <c r="N352" s="21" t="s">
        <v>34</v>
      </c>
      <c r="O352" s="21" t="s">
        <v>35</v>
      </c>
      <c r="P352" s="21" t="s">
        <v>36</v>
      </c>
      <c r="Q352" s="49" t="s">
        <v>37</v>
      </c>
      <c r="R352" s="50" t="s">
        <v>38</v>
      </c>
      <c r="S352" s="50" t="s">
        <v>38</v>
      </c>
      <c r="T352" s="10"/>
      <c r="U352" s="151"/>
      <c r="V352" s="77"/>
      <c r="W352" s="77"/>
      <c r="X352" s="77"/>
      <c r="Y352" s="2"/>
      <c r="Z352" s="2"/>
      <c r="AA352" s="2"/>
      <c r="AB352" s="2"/>
      <c r="AC352" s="2"/>
    </row>
    <row r="353" spans="1:29">
      <c r="A353" s="2"/>
      <c r="B353" s="11"/>
      <c r="C353" s="10"/>
      <c r="D353" s="63"/>
      <c r="E353" s="51" t="s">
        <v>39</v>
      </c>
      <c r="F353" s="52">
        <f>(F351+F360+F361+F362+F363+F364-I379-I381-I385-I396-I397-I401)*F352</f>
        <v>3443.7960000000003</v>
      </c>
      <c r="G353" s="53" t="s">
        <v>40</v>
      </c>
      <c r="H353" s="54">
        <f>F353/1.12</f>
        <v>3074.8178571428571</v>
      </c>
      <c r="I353" s="55"/>
      <c r="J353" s="42"/>
      <c r="K353" s="56">
        <f>I372+I375+I373+I374+I376+I377</f>
        <v>20981.85</v>
      </c>
      <c r="L353" s="57">
        <f>I378+I379+I396+I401</f>
        <v>13337.880000000001</v>
      </c>
      <c r="M353" s="57">
        <f>I380+I381+I382+I383</f>
        <v>7114.630000000001</v>
      </c>
      <c r="N353" s="57">
        <f>I385+I386+I387+I384</f>
        <v>3980.8999999999996</v>
      </c>
      <c r="O353" s="57">
        <f>I388+I389+I390+I391+I397</f>
        <v>5424.4</v>
      </c>
      <c r="P353" s="57">
        <f>SUM(K353:O353)</f>
        <v>50839.66</v>
      </c>
      <c r="Q353" s="58">
        <v>0</v>
      </c>
      <c r="R353" s="59">
        <f>I398+I402</f>
        <v>11311.78</v>
      </c>
      <c r="S353" s="59">
        <v>0</v>
      </c>
      <c r="T353" s="10"/>
      <c r="U353" s="151"/>
      <c r="V353" s="77"/>
      <c r="W353" s="77"/>
      <c r="X353" s="77"/>
      <c r="Y353" s="2"/>
      <c r="Z353" s="2"/>
      <c r="AA353" s="2"/>
      <c r="AB353" s="2"/>
      <c r="AC353" s="2" t="s">
        <v>85</v>
      </c>
    </row>
    <row r="354" spans="1:29">
      <c r="A354" s="2"/>
      <c r="B354" s="11"/>
      <c r="C354" s="10"/>
      <c r="D354" s="63"/>
      <c r="E354" s="24" t="s">
        <v>41</v>
      </c>
      <c r="F354" s="60">
        <f>Q353</f>
        <v>0</v>
      </c>
      <c r="G354" s="61" t="s">
        <v>40</v>
      </c>
      <c r="H354" s="62"/>
      <c r="I354" s="62"/>
      <c r="J354" s="10" t="s">
        <v>42</v>
      </c>
      <c r="K354" s="63">
        <v>6</v>
      </c>
      <c r="L354" s="63">
        <v>4</v>
      </c>
      <c r="M354" s="63">
        <v>4</v>
      </c>
      <c r="N354" s="63">
        <v>4</v>
      </c>
      <c r="O354" s="63">
        <v>5</v>
      </c>
      <c r="P354" s="21">
        <f>SUM(K354:O354)</f>
        <v>23</v>
      </c>
      <c r="Q354" s="64"/>
      <c r="R354" s="63"/>
      <c r="S354" s="10"/>
      <c r="T354" s="10"/>
      <c r="U354" s="151"/>
      <c r="V354" s="77"/>
      <c r="W354" s="77"/>
      <c r="X354" s="77"/>
      <c r="Y354" s="2"/>
      <c r="Z354" s="2"/>
      <c r="AA354" s="2"/>
      <c r="AB354" s="2"/>
      <c r="AC354" s="2"/>
    </row>
    <row r="355" spans="1:29">
      <c r="A355" s="2"/>
      <c r="B355" s="11"/>
      <c r="C355" s="10"/>
      <c r="D355" s="63"/>
      <c r="E355" s="51" t="s">
        <v>43</v>
      </c>
      <c r="F355" s="52">
        <f>F354*0.25</f>
        <v>0</v>
      </c>
      <c r="G355" s="53" t="s">
        <v>40</v>
      </c>
      <c r="H355" s="54">
        <f>F355/1.12</f>
        <v>0</v>
      </c>
      <c r="I355" s="10"/>
      <c r="J355" s="10" t="s">
        <v>44</v>
      </c>
      <c r="K355" s="63">
        <v>2</v>
      </c>
      <c r="L355" s="63">
        <v>5</v>
      </c>
      <c r="M355" s="63">
        <v>2</v>
      </c>
      <c r="N355" s="63">
        <v>4</v>
      </c>
      <c r="O355" s="63">
        <v>3</v>
      </c>
      <c r="P355" s="21">
        <f>SUM(K355:O355)</f>
        <v>16</v>
      </c>
      <c r="Q355" s="64"/>
      <c r="R355" s="63"/>
      <c r="S355" s="10"/>
      <c r="T355" s="10"/>
      <c r="U355" s="151"/>
      <c r="V355" s="77"/>
      <c r="W355" s="77"/>
      <c r="X355" s="77"/>
      <c r="Y355" s="2"/>
      <c r="Z355" s="2"/>
      <c r="AA355" s="2"/>
      <c r="AB355" s="2"/>
      <c r="AC355" s="2"/>
    </row>
    <row r="356" spans="1:29">
      <c r="A356" s="2"/>
      <c r="B356" s="11"/>
      <c r="C356" s="10"/>
      <c r="D356" s="63"/>
      <c r="E356" s="24" t="s">
        <v>45</v>
      </c>
      <c r="F356" s="60">
        <v>0</v>
      </c>
      <c r="G356" s="61" t="s">
        <v>40</v>
      </c>
      <c r="H356" s="62"/>
      <c r="I356" s="10"/>
      <c r="J356" s="10" t="s">
        <v>46</v>
      </c>
      <c r="K356" s="31">
        <f t="shared" ref="K356:Q356" si="59">K354/(K354+K355)</f>
        <v>0.75</v>
      </c>
      <c r="L356" s="31">
        <f t="shared" si="59"/>
        <v>0.44444444444444442</v>
      </c>
      <c r="M356" s="31">
        <f t="shared" si="59"/>
        <v>0.66666666666666663</v>
      </c>
      <c r="N356" s="31">
        <f t="shared" si="59"/>
        <v>0.5</v>
      </c>
      <c r="O356" s="31">
        <f t="shared" si="59"/>
        <v>0.625</v>
      </c>
      <c r="P356" s="31">
        <f t="shared" si="59"/>
        <v>0.58974358974358976</v>
      </c>
      <c r="Q356" s="31" t="e">
        <f t="shared" si="59"/>
        <v>#DIV/0!</v>
      </c>
      <c r="R356" s="63"/>
      <c r="S356" s="10"/>
      <c r="T356" s="10"/>
      <c r="U356" s="151"/>
      <c r="V356" s="77"/>
      <c r="W356" s="77"/>
      <c r="X356" s="77"/>
      <c r="Y356" s="2"/>
      <c r="Z356" s="2"/>
      <c r="AA356" s="2"/>
      <c r="AB356" s="2"/>
      <c r="AC356" s="2"/>
    </row>
    <row r="357" spans="1:29">
      <c r="A357" s="2"/>
      <c r="B357" s="11"/>
      <c r="C357" s="10"/>
      <c r="D357" s="63"/>
      <c r="E357" s="51" t="s">
        <v>47</v>
      </c>
      <c r="F357" s="52">
        <f>F356*0.05</f>
        <v>0</v>
      </c>
      <c r="G357" s="65" t="s">
        <v>40</v>
      </c>
      <c r="H357" s="54">
        <f>F357/1.12</f>
        <v>0</v>
      </c>
      <c r="I357" s="42"/>
      <c r="J357" s="10" t="s">
        <v>48</v>
      </c>
      <c r="K357" s="66">
        <f t="shared" ref="K357:Q357" si="60">K353/K354</f>
        <v>3496.9749999999999</v>
      </c>
      <c r="L357" s="66">
        <f t="shared" si="60"/>
        <v>3334.4700000000003</v>
      </c>
      <c r="M357" s="66">
        <f t="shared" si="60"/>
        <v>1778.6575000000003</v>
      </c>
      <c r="N357" s="66">
        <f t="shared" si="60"/>
        <v>995.22499999999991</v>
      </c>
      <c r="O357" s="66">
        <f t="shared" si="60"/>
        <v>1084.8799999999999</v>
      </c>
      <c r="P357" s="66">
        <f t="shared" si="60"/>
        <v>2210.42</v>
      </c>
      <c r="Q357" s="66" t="e">
        <f t="shared" si="60"/>
        <v>#DIV/0!</v>
      </c>
      <c r="R357" s="63"/>
      <c r="S357" s="10"/>
      <c r="T357" s="10"/>
      <c r="U357" s="151"/>
      <c r="V357" s="77"/>
      <c r="W357" s="77"/>
      <c r="X357" s="77"/>
      <c r="Y357" s="2"/>
      <c r="Z357" s="2"/>
      <c r="AA357" s="2"/>
      <c r="AB357" s="2"/>
      <c r="AC357" s="2"/>
    </row>
    <row r="358" spans="1:29">
      <c r="A358" s="128"/>
      <c r="B358" s="132"/>
      <c r="C358" s="123"/>
      <c r="D358" s="127"/>
      <c r="E358" s="155" t="s">
        <v>14</v>
      </c>
      <c r="F358" s="156"/>
      <c r="G358" s="123"/>
      <c r="H358" s="54">
        <f>F358/1.12</f>
        <v>0</v>
      </c>
      <c r="I358" s="123"/>
      <c r="J358" s="123"/>
      <c r="K358" s="123"/>
      <c r="L358" s="123"/>
      <c r="M358" s="123"/>
      <c r="N358" s="123"/>
      <c r="O358" s="123"/>
      <c r="P358" s="123"/>
      <c r="Q358" s="123"/>
      <c r="R358" s="123"/>
      <c r="S358" s="123"/>
      <c r="T358" s="123"/>
      <c r="U358" s="157"/>
      <c r="V358" s="123"/>
      <c r="W358" s="123"/>
      <c r="X358" s="123"/>
      <c r="Y358" s="128"/>
      <c r="Z358" s="128"/>
      <c r="AA358" s="128"/>
      <c r="AB358" s="128"/>
      <c r="AC358" s="128"/>
    </row>
    <row r="359" spans="1:29" ht="15" customHeight="1">
      <c r="A359" s="128"/>
      <c r="B359" s="132"/>
      <c r="C359" s="123"/>
      <c r="D359" s="127"/>
      <c r="E359" s="158" t="s">
        <v>49</v>
      </c>
      <c r="F359" s="159">
        <f>T348</f>
        <v>0</v>
      </c>
      <c r="G359" s="123"/>
      <c r="H359" s="54"/>
      <c r="I359" s="123"/>
      <c r="J359" s="42"/>
      <c r="K359" s="764" t="s">
        <v>50</v>
      </c>
      <c r="L359" s="765"/>
      <c r="M359" s="765"/>
      <c r="N359" s="765"/>
      <c r="O359" s="765"/>
      <c r="P359" s="765"/>
      <c r="Q359" s="766"/>
      <c r="R359" s="70" t="s">
        <v>28</v>
      </c>
      <c r="S359" s="71" t="s">
        <v>29</v>
      </c>
      <c r="T359" s="123"/>
      <c r="U359" s="157"/>
      <c r="V359" s="123"/>
      <c r="W359" s="123"/>
      <c r="X359" s="123"/>
      <c r="Y359" s="128"/>
      <c r="Z359" s="128"/>
      <c r="AA359" s="128"/>
      <c r="AB359" s="128"/>
      <c r="AC359" s="128"/>
    </row>
    <row r="360" spans="1:29">
      <c r="A360" s="128"/>
      <c r="B360" s="132"/>
      <c r="C360" s="123"/>
      <c r="D360" s="127"/>
      <c r="E360" s="74" t="s">
        <v>3469</v>
      </c>
      <c r="F360" s="75">
        <v>43.7</v>
      </c>
      <c r="G360" s="123"/>
      <c r="H360" s="54"/>
      <c r="I360" s="123"/>
      <c r="J360" s="42"/>
      <c r="K360" s="20" t="s">
        <v>31</v>
      </c>
      <c r="L360" s="21" t="s">
        <v>32</v>
      </c>
      <c r="M360" s="21" t="s">
        <v>33</v>
      </c>
      <c r="N360" s="21" t="s">
        <v>34</v>
      </c>
      <c r="O360" s="21" t="s">
        <v>35</v>
      </c>
      <c r="P360" s="21" t="s">
        <v>36</v>
      </c>
      <c r="Q360" s="49" t="s">
        <v>37</v>
      </c>
      <c r="R360" s="50" t="s">
        <v>38</v>
      </c>
      <c r="S360" s="50" t="s">
        <v>38</v>
      </c>
      <c r="T360" s="123"/>
      <c r="U360" s="157"/>
      <c r="V360" s="123"/>
      <c r="W360" s="123"/>
      <c r="X360" s="123"/>
      <c r="Y360" s="128"/>
      <c r="Z360" s="128"/>
      <c r="AA360" s="128"/>
      <c r="AB360" s="128"/>
      <c r="AC360" s="128"/>
    </row>
    <row r="361" spans="1:29">
      <c r="A361" s="128"/>
      <c r="B361" s="132"/>
      <c r="C361" s="123"/>
      <c r="D361" s="127"/>
      <c r="E361" s="72" t="s">
        <v>3521</v>
      </c>
      <c r="F361" s="73">
        <v>-47.7</v>
      </c>
      <c r="G361" s="123"/>
      <c r="H361" s="54"/>
      <c r="I361" s="123"/>
      <c r="J361" s="42"/>
      <c r="K361" s="56">
        <f>F372+F375+F373+F374+F376+F377</f>
        <v>25523</v>
      </c>
      <c r="L361" s="57">
        <f>F378+F379+F396+F401</f>
        <v>16091</v>
      </c>
      <c r="M361" s="57">
        <f>F380+F381+F382+F383</f>
        <v>7461.2</v>
      </c>
      <c r="N361" s="57">
        <f>F385+F386+F387+F384</f>
        <v>5191</v>
      </c>
      <c r="O361" s="57">
        <f>F388+F389+F390+F391+F397</f>
        <v>5920</v>
      </c>
      <c r="P361" s="57">
        <f>SUM(K361:O361)</f>
        <v>60186.2</v>
      </c>
      <c r="Q361" s="58">
        <v>0</v>
      </c>
      <c r="R361" s="59">
        <f>F398+F402</f>
        <v>14278</v>
      </c>
      <c r="S361" s="59">
        <v>0</v>
      </c>
      <c r="T361" s="123"/>
      <c r="U361" s="157"/>
      <c r="V361" s="123"/>
      <c r="W361" s="123"/>
      <c r="X361" s="123"/>
      <c r="Y361" s="128"/>
      <c r="Z361" s="128"/>
      <c r="AA361" s="128"/>
      <c r="AB361" s="128"/>
      <c r="AC361" s="128"/>
    </row>
    <row r="362" spans="1:29">
      <c r="A362" s="128"/>
      <c r="B362" s="132"/>
      <c r="C362" s="123"/>
      <c r="D362" s="127"/>
      <c r="E362" s="74" t="s">
        <v>3522</v>
      </c>
      <c r="F362" s="75">
        <v>-56.62</v>
      </c>
      <c r="G362" s="123"/>
      <c r="H362" s="54"/>
      <c r="I362" s="123"/>
      <c r="J362" s="10" t="s">
        <v>42</v>
      </c>
      <c r="K362" s="63">
        <f t="shared" ref="K362:Q363" si="61">K354</f>
        <v>6</v>
      </c>
      <c r="L362" s="63">
        <f t="shared" si="61"/>
        <v>4</v>
      </c>
      <c r="M362" s="63">
        <f t="shared" si="61"/>
        <v>4</v>
      </c>
      <c r="N362" s="63">
        <f t="shared" si="61"/>
        <v>4</v>
      </c>
      <c r="O362" s="63">
        <f t="shared" si="61"/>
        <v>5</v>
      </c>
      <c r="P362" s="63">
        <f t="shared" si="61"/>
        <v>23</v>
      </c>
      <c r="Q362" s="63">
        <f t="shared" si="61"/>
        <v>0</v>
      </c>
      <c r="R362" s="63"/>
      <c r="S362" s="10"/>
      <c r="T362" s="123"/>
      <c r="U362" s="157"/>
      <c r="V362" s="123"/>
      <c r="W362" s="123"/>
      <c r="X362" s="123"/>
      <c r="Y362" s="128"/>
      <c r="Z362" s="128"/>
      <c r="AA362" s="128"/>
      <c r="AB362" s="128"/>
      <c r="AC362" s="128"/>
    </row>
    <row r="363" spans="1:29">
      <c r="A363" s="128"/>
      <c r="B363" s="132"/>
      <c r="C363" s="123"/>
      <c r="D363" s="127"/>
      <c r="E363" s="455" t="s">
        <v>3523</v>
      </c>
      <c r="F363" s="75">
        <f>-447.7</f>
        <v>-447.7</v>
      </c>
      <c r="G363" s="123"/>
      <c r="H363" s="54"/>
      <c r="I363" s="123"/>
      <c r="J363" s="10" t="s">
        <v>44</v>
      </c>
      <c r="K363" s="63">
        <f t="shared" si="61"/>
        <v>2</v>
      </c>
      <c r="L363" s="63">
        <f t="shared" si="61"/>
        <v>5</v>
      </c>
      <c r="M363" s="63">
        <f t="shared" si="61"/>
        <v>2</v>
      </c>
      <c r="N363" s="63">
        <f t="shared" si="61"/>
        <v>4</v>
      </c>
      <c r="O363" s="63">
        <f t="shared" si="61"/>
        <v>3</v>
      </c>
      <c r="P363" s="63">
        <f t="shared" si="61"/>
        <v>16</v>
      </c>
      <c r="Q363" s="63">
        <f t="shared" si="61"/>
        <v>0</v>
      </c>
      <c r="R363" s="63"/>
      <c r="S363" s="10"/>
      <c r="T363" s="123"/>
      <c r="U363" s="157"/>
      <c r="V363" s="123"/>
      <c r="W363" s="123"/>
      <c r="X363" s="123"/>
      <c r="Y363" s="128"/>
      <c r="Z363" s="128"/>
      <c r="AA363" s="128"/>
      <c r="AB363" s="128"/>
      <c r="AC363" s="128"/>
    </row>
    <row r="364" spans="1:29">
      <c r="A364" s="128"/>
      <c r="B364" s="132"/>
      <c r="C364" s="123"/>
      <c r="D364" s="127"/>
      <c r="E364" s="455" t="s">
        <v>3524</v>
      </c>
      <c r="F364" s="75">
        <f>-551.7</f>
        <v>-551.70000000000005</v>
      </c>
      <c r="G364" s="10"/>
      <c r="H364" s="10"/>
      <c r="I364" s="123"/>
      <c r="J364" s="10" t="s">
        <v>46</v>
      </c>
      <c r="K364" s="31">
        <f t="shared" ref="K364:Q364" si="62">K362/(K362+K363)</f>
        <v>0.75</v>
      </c>
      <c r="L364" s="31">
        <f t="shared" si="62"/>
        <v>0.44444444444444442</v>
      </c>
      <c r="M364" s="31">
        <f t="shared" si="62"/>
        <v>0.66666666666666663</v>
      </c>
      <c r="N364" s="31">
        <f t="shared" si="62"/>
        <v>0.5</v>
      </c>
      <c r="O364" s="31">
        <f t="shared" si="62"/>
        <v>0.625</v>
      </c>
      <c r="P364" s="31">
        <f t="shared" si="62"/>
        <v>0.58974358974358976</v>
      </c>
      <c r="Q364" s="31" t="e">
        <f t="shared" si="62"/>
        <v>#DIV/0!</v>
      </c>
      <c r="R364" s="63"/>
      <c r="S364" s="10"/>
      <c r="T364" s="123"/>
      <c r="U364" s="157"/>
      <c r="V364" s="123"/>
      <c r="W364" s="123"/>
      <c r="X364" s="123"/>
      <c r="Y364" s="128"/>
      <c r="Z364" s="128"/>
      <c r="AA364" s="128"/>
      <c r="AB364" s="128"/>
      <c r="AC364" s="128"/>
    </row>
    <row r="365" spans="1:29">
      <c r="A365" s="128"/>
      <c r="B365" s="132"/>
      <c r="C365" s="123"/>
      <c r="D365" s="127"/>
      <c r="E365" s="12"/>
      <c r="F365" s="12"/>
      <c r="G365" s="10"/>
      <c r="H365" s="10"/>
      <c r="I365" s="123"/>
      <c r="J365" s="10" t="s">
        <v>48</v>
      </c>
      <c r="K365" s="66">
        <f t="shared" ref="K365:Q365" si="63">K361/K362</f>
        <v>4253.833333333333</v>
      </c>
      <c r="L365" s="66">
        <f t="shared" si="63"/>
        <v>4022.75</v>
      </c>
      <c r="M365" s="66">
        <f t="shared" si="63"/>
        <v>1865.3</v>
      </c>
      <c r="N365" s="66">
        <f t="shared" si="63"/>
        <v>1297.75</v>
      </c>
      <c r="O365" s="66">
        <f t="shared" si="63"/>
        <v>1184</v>
      </c>
      <c r="P365" s="66">
        <f t="shared" si="63"/>
        <v>2616.7913043478261</v>
      </c>
      <c r="Q365" s="66" t="e">
        <f t="shared" si="63"/>
        <v>#DIV/0!</v>
      </c>
      <c r="R365" s="63"/>
      <c r="S365" s="10"/>
      <c r="T365" s="123"/>
      <c r="U365" s="157"/>
      <c r="V365" s="123"/>
      <c r="W365" s="123"/>
      <c r="X365" s="123"/>
      <c r="Y365" s="128"/>
      <c r="Z365" s="128"/>
      <c r="AA365" s="128"/>
      <c r="AB365" s="128"/>
      <c r="AC365" s="128"/>
    </row>
    <row r="366" spans="1:29">
      <c r="A366" s="128"/>
      <c r="B366" s="132"/>
      <c r="C366" s="123"/>
      <c r="D366" s="127"/>
      <c r="E366" s="12"/>
      <c r="F366" s="12"/>
      <c r="G366" s="123"/>
      <c r="H366" s="54"/>
      <c r="I366" s="123"/>
      <c r="J366" s="123"/>
      <c r="K366" s="123"/>
      <c r="L366" s="123"/>
      <c r="M366" s="123"/>
      <c r="N366" s="123"/>
      <c r="O366" s="123"/>
      <c r="P366" s="123"/>
      <c r="Q366" s="123"/>
      <c r="R366" s="123"/>
      <c r="S366" s="123"/>
      <c r="T366" s="123"/>
      <c r="U366" s="157"/>
      <c r="V366" s="123"/>
      <c r="W366" s="123"/>
      <c r="X366" s="123"/>
      <c r="Y366" s="128"/>
      <c r="Z366" s="128"/>
      <c r="AA366" s="128"/>
      <c r="AB366" s="128"/>
      <c r="AC366" s="128"/>
    </row>
    <row r="367" spans="1:29">
      <c r="A367" s="2"/>
      <c r="B367" s="11"/>
      <c r="C367" s="10"/>
      <c r="D367" s="63"/>
      <c r="E367" s="12"/>
      <c r="F367" s="12"/>
      <c r="G367" s="10"/>
      <c r="H367" s="10"/>
      <c r="I367" s="10"/>
      <c r="J367" s="10"/>
      <c r="K367" s="10"/>
      <c r="L367" s="10"/>
      <c r="M367" s="10"/>
      <c r="N367" s="10"/>
      <c r="O367" s="10"/>
      <c r="P367" s="10"/>
      <c r="Q367" s="10"/>
      <c r="R367" s="10"/>
      <c r="S367" s="10"/>
      <c r="T367" s="10"/>
      <c r="U367" s="151"/>
      <c r="V367" s="77"/>
      <c r="W367" s="77"/>
      <c r="X367" s="77"/>
      <c r="Y367" s="2"/>
      <c r="Z367" s="2"/>
      <c r="AA367" s="2"/>
      <c r="AB367" s="2"/>
      <c r="AC367" s="2"/>
    </row>
    <row r="368" spans="1:29">
      <c r="A368" s="2"/>
      <c r="B368" s="11"/>
      <c r="C368" s="10"/>
      <c r="D368" s="63"/>
      <c r="E368" s="10"/>
      <c r="F368" s="10"/>
      <c r="G368" s="10"/>
      <c r="H368" s="10"/>
      <c r="I368" s="10"/>
      <c r="J368" s="10"/>
      <c r="K368" s="10"/>
      <c r="L368" s="10"/>
      <c r="M368" s="10"/>
      <c r="N368" s="10"/>
      <c r="O368" s="10"/>
      <c r="P368" s="10"/>
      <c r="Q368" s="10"/>
      <c r="R368" s="10"/>
      <c r="S368" s="10"/>
      <c r="T368" s="10"/>
      <c r="U368" s="151"/>
      <c r="V368" s="77"/>
      <c r="W368" s="77"/>
      <c r="X368" s="77"/>
      <c r="Y368" s="2"/>
      <c r="Z368" s="2"/>
      <c r="AA368" s="2"/>
      <c r="AB368" s="2"/>
      <c r="AC368" s="2"/>
    </row>
    <row r="369" spans="1:29">
      <c r="A369" s="2"/>
      <c r="B369" s="18" t="s">
        <v>51</v>
      </c>
      <c r="C369" s="14"/>
      <c r="D369" s="14"/>
      <c r="E369" s="14"/>
      <c r="F369" s="13" t="s">
        <v>52</v>
      </c>
      <c r="G369" s="14"/>
      <c r="H369" s="14"/>
      <c r="I369" s="14"/>
      <c r="J369" s="14"/>
      <c r="K369" s="13" t="s">
        <v>3</v>
      </c>
      <c r="L369" s="14"/>
      <c r="M369" s="14"/>
      <c r="N369" s="13" t="s">
        <v>4</v>
      </c>
      <c r="O369" s="14"/>
      <c r="P369" s="14"/>
      <c r="Q369" s="13" t="s">
        <v>5</v>
      </c>
      <c r="R369" s="14"/>
      <c r="S369" s="14"/>
      <c r="T369" s="18"/>
      <c r="U369" s="161" t="s">
        <v>53</v>
      </c>
      <c r="V369" s="77"/>
      <c r="W369" s="77"/>
      <c r="X369" s="77"/>
      <c r="Y369" s="2"/>
      <c r="Z369" s="2"/>
      <c r="AA369" s="2"/>
      <c r="AB369" s="2"/>
      <c r="AC369" s="2"/>
    </row>
    <row r="370" spans="1:29">
      <c r="A370" s="2"/>
      <c r="B370" s="24" t="s">
        <v>54</v>
      </c>
      <c r="C370" s="21" t="s">
        <v>55</v>
      </c>
      <c r="D370" s="21" t="s">
        <v>56</v>
      </c>
      <c r="E370" s="21" t="s">
        <v>57</v>
      </c>
      <c r="F370" s="20" t="s">
        <v>58</v>
      </c>
      <c r="G370" s="21" t="s">
        <v>59</v>
      </c>
      <c r="H370" s="21" t="s">
        <v>60</v>
      </c>
      <c r="I370" s="21" t="s">
        <v>26</v>
      </c>
      <c r="J370" s="22" t="s">
        <v>61</v>
      </c>
      <c r="K370" s="21" t="s">
        <v>8</v>
      </c>
      <c r="L370" s="21" t="s">
        <v>9</v>
      </c>
      <c r="M370" s="21" t="s">
        <v>10</v>
      </c>
      <c r="N370" s="20" t="s">
        <v>11</v>
      </c>
      <c r="O370" s="21" t="s">
        <v>12</v>
      </c>
      <c r="P370" s="22" t="s">
        <v>13</v>
      </c>
      <c r="Q370" s="21" t="s">
        <v>11</v>
      </c>
      <c r="R370" s="21" t="s">
        <v>12</v>
      </c>
      <c r="S370" s="21" t="s">
        <v>13</v>
      </c>
      <c r="T370" s="78" t="s">
        <v>14</v>
      </c>
      <c r="U370" s="162"/>
      <c r="V370" s="79" t="s">
        <v>62</v>
      </c>
      <c r="W370" s="80" t="s">
        <v>63</v>
      </c>
      <c r="X370" s="81" t="s">
        <v>64</v>
      </c>
      <c r="Y370" s="2"/>
      <c r="Z370" s="2"/>
      <c r="AA370" s="2"/>
      <c r="AB370" s="2"/>
      <c r="AC370" s="2"/>
    </row>
    <row r="371" spans="1:29">
      <c r="A371" s="2"/>
      <c r="B371" s="4" t="s">
        <v>65</v>
      </c>
      <c r="C371" s="6"/>
      <c r="D371" s="6"/>
      <c r="E371" s="6"/>
      <c r="F371" s="6"/>
      <c r="G371" s="6"/>
      <c r="H371" s="6"/>
      <c r="I371" s="82"/>
      <c r="J371" s="6"/>
      <c r="K371" s="6"/>
      <c r="L371" s="6"/>
      <c r="M371" s="6"/>
      <c r="N371" s="6"/>
      <c r="O371" s="6"/>
      <c r="P371" s="6"/>
      <c r="Q371" s="6"/>
      <c r="R371" s="6"/>
      <c r="S371" s="6"/>
      <c r="T371" s="83"/>
      <c r="U371" s="163"/>
      <c r="V371" s="84"/>
      <c r="W371" s="85"/>
      <c r="X371" s="86"/>
      <c r="Y371" s="2"/>
      <c r="Z371" s="2"/>
      <c r="AA371" s="2"/>
      <c r="AB371" s="2"/>
      <c r="AC371" s="2"/>
    </row>
    <row r="372" spans="1:29">
      <c r="A372" s="2"/>
      <c r="B372" s="87">
        <v>1</v>
      </c>
      <c r="C372" s="274">
        <v>45852</v>
      </c>
      <c r="D372" s="327">
        <v>71405</v>
      </c>
      <c r="E372" s="276" t="s">
        <v>798</v>
      </c>
      <c r="F372" s="277">
        <v>681</v>
      </c>
      <c r="G372" s="277"/>
      <c r="H372" s="297"/>
      <c r="I372" s="278">
        <f t="shared" ref="I372:I391" si="64">F372-G372-H372</f>
        <v>681</v>
      </c>
      <c r="J372" s="279" t="s">
        <v>156</v>
      </c>
      <c r="K372" s="279">
        <v>1</v>
      </c>
      <c r="L372" s="279">
        <v>1</v>
      </c>
      <c r="M372" s="279">
        <v>1</v>
      </c>
      <c r="N372" s="279">
        <v>1</v>
      </c>
      <c r="O372" s="279">
        <v>1</v>
      </c>
      <c r="P372" s="279">
        <v>1</v>
      </c>
      <c r="Q372" s="279">
        <v>1</v>
      </c>
      <c r="R372" s="279">
        <v>1</v>
      </c>
      <c r="S372" s="280">
        <v>1</v>
      </c>
      <c r="T372" s="63"/>
      <c r="U372" s="94"/>
      <c r="V372" s="90">
        <v>749.1</v>
      </c>
      <c r="W372" s="91"/>
      <c r="X372" s="92"/>
      <c r="Y372" s="2"/>
      <c r="Z372" s="2"/>
      <c r="AA372" s="2"/>
      <c r="AB372" s="2"/>
      <c r="AC372" s="2"/>
    </row>
    <row r="373" spans="1:29">
      <c r="A373" s="2"/>
      <c r="B373" s="87">
        <f>B372+1</f>
        <v>2</v>
      </c>
      <c r="C373" s="295">
        <v>45852</v>
      </c>
      <c r="D373" s="346">
        <v>71428</v>
      </c>
      <c r="E373" s="10" t="s">
        <v>162</v>
      </c>
      <c r="F373" s="62">
        <v>776</v>
      </c>
      <c r="G373" s="62">
        <f>39.7</f>
        <v>39.700000000000003</v>
      </c>
      <c r="H373" s="62"/>
      <c r="I373" s="89">
        <f t="shared" si="64"/>
        <v>736.3</v>
      </c>
      <c r="J373" s="63" t="s">
        <v>374</v>
      </c>
      <c r="K373" s="63">
        <v>1</v>
      </c>
      <c r="L373" s="63">
        <v>1</v>
      </c>
      <c r="M373" s="63">
        <v>1</v>
      </c>
      <c r="N373" s="63">
        <v>1</v>
      </c>
      <c r="O373" s="63">
        <v>1</v>
      </c>
      <c r="P373" s="63">
        <v>1</v>
      </c>
      <c r="Q373" s="63">
        <v>1</v>
      </c>
      <c r="R373" s="63">
        <v>1</v>
      </c>
      <c r="S373" s="296">
        <v>1</v>
      </c>
      <c r="T373" s="63"/>
      <c r="U373" s="94"/>
      <c r="V373" s="90">
        <v>853.6</v>
      </c>
      <c r="W373" s="91"/>
      <c r="X373" s="92"/>
      <c r="Y373" s="2"/>
      <c r="Z373" s="2"/>
      <c r="AA373" s="2"/>
      <c r="AB373" s="2"/>
      <c r="AC373" s="2"/>
    </row>
    <row r="374" spans="1:29">
      <c r="A374" s="2"/>
      <c r="B374" s="87">
        <f>B373+1</f>
        <v>3</v>
      </c>
      <c r="C374" s="295">
        <v>45852</v>
      </c>
      <c r="D374" s="346" t="s">
        <v>3525</v>
      </c>
      <c r="E374" s="10" t="s">
        <v>162</v>
      </c>
      <c r="F374" s="62">
        <v>3433</v>
      </c>
      <c r="G374" s="62">
        <f>39.7+(175.71)+200</f>
        <v>415.41</v>
      </c>
      <c r="H374" s="62"/>
      <c r="I374" s="89">
        <f t="shared" si="64"/>
        <v>3017.59</v>
      </c>
      <c r="J374" s="63" t="s">
        <v>228</v>
      </c>
      <c r="K374" s="63">
        <v>1</v>
      </c>
      <c r="L374" s="63">
        <v>1</v>
      </c>
      <c r="M374" s="63">
        <v>1</v>
      </c>
      <c r="N374" s="63">
        <v>1</v>
      </c>
      <c r="O374" s="63">
        <v>1</v>
      </c>
      <c r="P374" s="63">
        <v>1</v>
      </c>
      <c r="Q374" s="63">
        <v>1</v>
      </c>
      <c r="R374" s="63">
        <v>1</v>
      </c>
      <c r="S374" s="296">
        <v>1</v>
      </c>
      <c r="T374" s="63"/>
      <c r="U374" s="94" t="s">
        <v>3526</v>
      </c>
      <c r="V374" s="90">
        <f>1000+2776.3</f>
        <v>3776.3</v>
      </c>
      <c r="W374" s="91"/>
      <c r="X374" s="92"/>
      <c r="Y374" s="2"/>
      <c r="Z374" s="2"/>
      <c r="AA374" s="2"/>
      <c r="AB374" s="2"/>
      <c r="AC374" s="2"/>
    </row>
    <row r="375" spans="1:29">
      <c r="A375" s="2"/>
      <c r="B375" s="87">
        <f>B374+1</f>
        <v>4</v>
      </c>
      <c r="C375" s="295">
        <v>45852</v>
      </c>
      <c r="D375" s="346">
        <v>71420</v>
      </c>
      <c r="E375" s="94" t="s">
        <v>2061</v>
      </c>
      <c r="F375" s="62">
        <v>1699</v>
      </c>
      <c r="G375" s="62">
        <f>39.7</f>
        <v>39.700000000000003</v>
      </c>
      <c r="H375" s="62"/>
      <c r="I375" s="324">
        <f t="shared" si="64"/>
        <v>1659.3</v>
      </c>
      <c r="J375" s="63" t="s">
        <v>156</v>
      </c>
      <c r="K375" s="63">
        <v>1</v>
      </c>
      <c r="L375" s="325">
        <v>0</v>
      </c>
      <c r="M375" s="63">
        <v>1</v>
      </c>
      <c r="N375" s="63">
        <v>1</v>
      </c>
      <c r="O375" s="63">
        <v>1</v>
      </c>
      <c r="P375" s="63">
        <v>1</v>
      </c>
      <c r="Q375" s="63">
        <v>1</v>
      </c>
      <c r="R375" s="63">
        <v>1</v>
      </c>
      <c r="S375" s="296">
        <v>1</v>
      </c>
      <c r="T375" s="63"/>
      <c r="U375" s="94"/>
      <c r="V375" s="90">
        <v>1868.9</v>
      </c>
      <c r="W375" s="91"/>
      <c r="X375" s="92"/>
      <c r="Y375" s="2"/>
      <c r="Z375" s="2"/>
      <c r="AA375" s="2"/>
      <c r="AB375" s="2"/>
      <c r="AC375" s="2"/>
    </row>
    <row r="376" spans="1:29">
      <c r="A376" s="388">
        <v>45855</v>
      </c>
      <c r="B376" s="87">
        <f>B375+1</f>
        <v>5</v>
      </c>
      <c r="C376" s="295">
        <v>45852</v>
      </c>
      <c r="D376" s="346" t="s">
        <v>3527</v>
      </c>
      <c r="E376" s="94" t="s">
        <v>2061</v>
      </c>
      <c r="F376" s="62">
        <v>14515</v>
      </c>
      <c r="G376" s="62">
        <f>39.7+(66.44+26.65)+(134.15+19.56+78.03)+1000</f>
        <v>1364.53</v>
      </c>
      <c r="H376" s="62"/>
      <c r="I376" s="324">
        <f t="shared" si="64"/>
        <v>13150.47</v>
      </c>
      <c r="J376" s="63" t="s">
        <v>156</v>
      </c>
      <c r="K376" s="63">
        <v>1</v>
      </c>
      <c r="L376" s="63">
        <v>1</v>
      </c>
      <c r="M376" s="63">
        <v>1</v>
      </c>
      <c r="N376" s="63">
        <v>1</v>
      </c>
      <c r="O376" s="63">
        <v>1</v>
      </c>
      <c r="P376" s="63">
        <v>1</v>
      </c>
      <c r="Q376" s="325">
        <v>0</v>
      </c>
      <c r="R376" s="325">
        <v>0</v>
      </c>
      <c r="S376" s="326">
        <v>0</v>
      </c>
      <c r="T376" s="63"/>
      <c r="U376" s="94" t="s">
        <v>3528</v>
      </c>
      <c r="V376" s="90">
        <f>1596.65+7000+3650+3719.85</f>
        <v>15966.5</v>
      </c>
      <c r="W376" s="91"/>
      <c r="X376" s="92"/>
      <c r="Y376" s="2"/>
      <c r="Z376" s="2"/>
      <c r="AA376" s="2"/>
      <c r="AB376" s="2"/>
      <c r="AC376" s="2"/>
    </row>
    <row r="377" spans="1:29">
      <c r="A377" s="93" t="s">
        <v>3529</v>
      </c>
      <c r="B377" s="87">
        <f>B376+1</f>
        <v>6</v>
      </c>
      <c r="C377" s="282">
        <v>45852</v>
      </c>
      <c r="D377" s="330" t="s">
        <v>3530</v>
      </c>
      <c r="E377" s="283" t="s">
        <v>172</v>
      </c>
      <c r="F377" s="284">
        <v>4419</v>
      </c>
      <c r="G377" s="284">
        <f>39.7+434.5+(1585.61+372)+250</f>
        <v>2681.81</v>
      </c>
      <c r="H377" s="284"/>
      <c r="I377" s="285">
        <f t="shared" si="64"/>
        <v>1737.19</v>
      </c>
      <c r="J377" s="286" t="s">
        <v>156</v>
      </c>
      <c r="K377" s="286">
        <v>1</v>
      </c>
      <c r="L377" s="286">
        <v>1</v>
      </c>
      <c r="M377" s="286">
        <v>1</v>
      </c>
      <c r="N377" s="286">
        <v>1</v>
      </c>
      <c r="O377" s="286">
        <v>1</v>
      </c>
      <c r="P377" s="286">
        <v>1</v>
      </c>
      <c r="Q377" s="286">
        <v>1</v>
      </c>
      <c r="R377" s="286">
        <v>1</v>
      </c>
      <c r="S377" s="287">
        <v>1</v>
      </c>
      <c r="T377" s="63"/>
      <c r="U377" s="94" t="s">
        <v>3531</v>
      </c>
      <c r="V377" s="90">
        <f>486.09+1800+2574.81</f>
        <v>4860.8999999999996</v>
      </c>
      <c r="W377" s="91"/>
      <c r="X377" s="92"/>
      <c r="Y377" s="2"/>
      <c r="Z377" s="2"/>
      <c r="AA377" s="2"/>
      <c r="AB377" s="2"/>
      <c r="AC377" s="2"/>
    </row>
    <row r="378" spans="1:29">
      <c r="A378" s="2"/>
      <c r="B378" s="87">
        <f t="shared" ref="B378:B391" si="65">B377+1</f>
        <v>7</v>
      </c>
      <c r="C378" s="295">
        <v>45853</v>
      </c>
      <c r="D378" s="323">
        <v>71449</v>
      </c>
      <c r="E378" s="94" t="s">
        <v>3411</v>
      </c>
      <c r="F378" s="62">
        <v>1902</v>
      </c>
      <c r="G378" s="62">
        <f>39.7</f>
        <v>39.700000000000003</v>
      </c>
      <c r="H378" s="62"/>
      <c r="I378" s="89">
        <f t="shared" si="64"/>
        <v>1862.3</v>
      </c>
      <c r="J378" s="63" t="s">
        <v>156</v>
      </c>
      <c r="K378" s="63">
        <v>1</v>
      </c>
      <c r="L378" s="63">
        <v>1</v>
      </c>
      <c r="M378" s="63">
        <v>1</v>
      </c>
      <c r="N378" s="63">
        <v>1</v>
      </c>
      <c r="O378" s="63">
        <v>1</v>
      </c>
      <c r="P378" s="63">
        <v>1</v>
      </c>
      <c r="Q378" s="63">
        <v>1</v>
      </c>
      <c r="R378" s="63">
        <v>1</v>
      </c>
      <c r="S378" s="296">
        <v>1</v>
      </c>
      <c r="T378" s="63"/>
      <c r="U378" s="94"/>
      <c r="V378" s="90">
        <v>2092.1999999999998</v>
      </c>
      <c r="W378" s="91"/>
      <c r="X378" s="92"/>
      <c r="Y378" s="2"/>
      <c r="Z378" s="2"/>
      <c r="AA378" s="2"/>
      <c r="AB378" s="2"/>
      <c r="AC378" s="2"/>
    </row>
    <row r="379" spans="1:29">
      <c r="A379" s="388">
        <v>45856</v>
      </c>
      <c r="B379" s="87">
        <f>B378+1</f>
        <v>8</v>
      </c>
      <c r="C379" s="295">
        <v>45853</v>
      </c>
      <c r="D379" s="346" t="s">
        <v>3532</v>
      </c>
      <c r="E379" s="10" t="s">
        <v>294</v>
      </c>
      <c r="F379" s="62">
        <f>1260-85</f>
        <v>1175</v>
      </c>
      <c r="G379" s="62">
        <f>39.7</f>
        <v>39.700000000000003</v>
      </c>
      <c r="H379" s="88"/>
      <c r="I379" s="369">
        <f t="shared" si="64"/>
        <v>1135.3</v>
      </c>
      <c r="J379" s="63" t="s">
        <v>156</v>
      </c>
      <c r="K379" s="63">
        <v>1</v>
      </c>
      <c r="L379" s="63">
        <v>1</v>
      </c>
      <c r="M379" s="63">
        <v>1</v>
      </c>
      <c r="N379" s="63">
        <v>1</v>
      </c>
      <c r="O379" s="63">
        <v>1</v>
      </c>
      <c r="P379" s="63">
        <v>1</v>
      </c>
      <c r="Q379" s="63">
        <v>1</v>
      </c>
      <c r="R379" s="63">
        <v>1</v>
      </c>
      <c r="S379" s="296">
        <v>1</v>
      </c>
      <c r="T379" s="63"/>
      <c r="U379" s="94" t="s">
        <v>3533</v>
      </c>
      <c r="V379" s="90">
        <f>93.5+1292.5</f>
        <v>1386</v>
      </c>
      <c r="W379" s="91"/>
      <c r="X379" s="92"/>
      <c r="Y379" s="2"/>
      <c r="Z379" s="2"/>
      <c r="AA379" s="2"/>
      <c r="AB379" s="2"/>
      <c r="AC379" s="2"/>
    </row>
    <row r="380" spans="1:29">
      <c r="A380" s="2"/>
      <c r="B380" s="87">
        <f t="shared" si="65"/>
        <v>9</v>
      </c>
      <c r="C380" s="274">
        <v>45854</v>
      </c>
      <c r="D380" s="327">
        <v>71481</v>
      </c>
      <c r="E380" s="276" t="s">
        <v>2073</v>
      </c>
      <c r="F380" s="277">
        <f>795.2</f>
        <v>795.2</v>
      </c>
      <c r="G380" s="277">
        <f>39.7+(53.37)</f>
        <v>93.07</v>
      </c>
      <c r="H380" s="297"/>
      <c r="I380" s="278">
        <f t="shared" si="64"/>
        <v>702.13000000000011</v>
      </c>
      <c r="J380" s="279" t="s">
        <v>156</v>
      </c>
      <c r="K380" s="279">
        <v>1</v>
      </c>
      <c r="L380" s="279">
        <v>1</v>
      </c>
      <c r="M380" s="279">
        <v>1</v>
      </c>
      <c r="N380" s="279">
        <v>1</v>
      </c>
      <c r="O380" s="279">
        <v>1</v>
      </c>
      <c r="P380" s="279">
        <v>1</v>
      </c>
      <c r="Q380" s="279">
        <v>1</v>
      </c>
      <c r="R380" s="279">
        <v>1</v>
      </c>
      <c r="S380" s="280">
        <v>1</v>
      </c>
      <c r="T380" s="63"/>
      <c r="U380" s="94" t="s">
        <v>3534</v>
      </c>
      <c r="V380" s="90">
        <f>874.72</f>
        <v>874.72</v>
      </c>
      <c r="W380" s="91"/>
      <c r="X380" s="92"/>
      <c r="Y380" s="2"/>
      <c r="Z380" s="2"/>
      <c r="AA380" s="2"/>
      <c r="AB380" s="2"/>
      <c r="AC380" s="2"/>
    </row>
    <row r="381" spans="1:29">
      <c r="A381" s="2" t="s">
        <v>230</v>
      </c>
      <c r="B381" s="87">
        <f t="shared" si="65"/>
        <v>10</v>
      </c>
      <c r="C381" s="295">
        <v>45854</v>
      </c>
      <c r="D381" s="323">
        <v>71506</v>
      </c>
      <c r="E381" s="10" t="s">
        <v>1886</v>
      </c>
      <c r="F381" s="62">
        <v>1513</v>
      </c>
      <c r="G381" s="62">
        <f>39.7</f>
        <v>39.700000000000003</v>
      </c>
      <c r="H381" s="88"/>
      <c r="I381" s="369">
        <f t="shared" si="64"/>
        <v>1473.3</v>
      </c>
      <c r="J381" s="63" t="s">
        <v>150</v>
      </c>
      <c r="K381" s="63">
        <v>1</v>
      </c>
      <c r="L381" s="63">
        <v>1</v>
      </c>
      <c r="M381" s="63">
        <v>1</v>
      </c>
      <c r="N381" s="63">
        <v>1</v>
      </c>
      <c r="O381" s="63">
        <v>1</v>
      </c>
      <c r="P381" s="63">
        <v>1</v>
      </c>
      <c r="Q381" s="63">
        <v>1</v>
      </c>
      <c r="R381" s="63">
        <v>1</v>
      </c>
      <c r="S381" s="296">
        <v>1</v>
      </c>
      <c r="T381" s="63"/>
      <c r="U381" s="94"/>
      <c r="V381" s="90">
        <v>0</v>
      </c>
      <c r="W381" s="508">
        <f>1664.3</f>
        <v>1664.3</v>
      </c>
      <c r="X381" s="92"/>
      <c r="Y381" s="2"/>
      <c r="Z381" s="2"/>
      <c r="AA381" s="2"/>
      <c r="AB381" s="2"/>
      <c r="AC381" s="2"/>
    </row>
    <row r="382" spans="1:29">
      <c r="A382" s="2"/>
      <c r="B382" s="87">
        <f t="shared" si="65"/>
        <v>11</v>
      </c>
      <c r="C382" s="295">
        <v>45854</v>
      </c>
      <c r="D382" s="323">
        <v>71502</v>
      </c>
      <c r="E382" s="10" t="s">
        <v>1173</v>
      </c>
      <c r="F382" s="62">
        <v>1138</v>
      </c>
      <c r="G382" s="62">
        <f>39.7</f>
        <v>39.700000000000003</v>
      </c>
      <c r="H382" s="88"/>
      <c r="I382" s="324">
        <f t="shared" si="64"/>
        <v>1098.3</v>
      </c>
      <c r="J382" s="63" t="s">
        <v>156</v>
      </c>
      <c r="K382" s="63">
        <v>1</v>
      </c>
      <c r="L382" s="63">
        <v>1</v>
      </c>
      <c r="M382" s="325">
        <v>0</v>
      </c>
      <c r="N382" s="63">
        <v>1</v>
      </c>
      <c r="O382" s="63">
        <v>1</v>
      </c>
      <c r="P382" s="63">
        <v>1</v>
      </c>
      <c r="Q382" s="63">
        <v>1</v>
      </c>
      <c r="R382" s="63">
        <v>1</v>
      </c>
      <c r="S382" s="296">
        <v>1</v>
      </c>
      <c r="T382" s="63"/>
      <c r="U382" s="94"/>
      <c r="V382" s="90">
        <v>1251.8</v>
      </c>
      <c r="W382" s="91"/>
      <c r="X382" s="92"/>
      <c r="Y382" s="2"/>
      <c r="Z382" s="2"/>
      <c r="AA382" s="2"/>
      <c r="AB382" s="2"/>
      <c r="AC382" s="2"/>
    </row>
    <row r="383" spans="1:29">
      <c r="A383" s="2"/>
      <c r="B383" s="87">
        <f t="shared" si="65"/>
        <v>12</v>
      </c>
      <c r="C383" s="295">
        <v>45854</v>
      </c>
      <c r="D383" s="346" t="s">
        <v>3535</v>
      </c>
      <c r="E383" s="10" t="s">
        <v>1173</v>
      </c>
      <c r="F383" s="62">
        <v>4015</v>
      </c>
      <c r="G383" s="62">
        <f>39.7+134.4</f>
        <v>174.10000000000002</v>
      </c>
      <c r="H383" s="88"/>
      <c r="I383" s="324">
        <f t="shared" si="64"/>
        <v>3840.9</v>
      </c>
      <c r="J383" s="63" t="s">
        <v>156</v>
      </c>
      <c r="K383" s="63">
        <v>1</v>
      </c>
      <c r="L383" s="63">
        <v>1</v>
      </c>
      <c r="M383" s="325">
        <v>0</v>
      </c>
      <c r="N383" s="63">
        <v>1</v>
      </c>
      <c r="O383" s="63">
        <v>1</v>
      </c>
      <c r="P383" s="63">
        <v>1</v>
      </c>
      <c r="Q383" s="325">
        <v>0</v>
      </c>
      <c r="R383" s="325">
        <v>0</v>
      </c>
      <c r="S383" s="326">
        <v>0</v>
      </c>
      <c r="T383" s="63"/>
      <c r="U383" s="94" t="s">
        <v>3536</v>
      </c>
      <c r="V383" s="90">
        <f>441.65+3974.85</f>
        <v>4416.5</v>
      </c>
      <c r="W383" s="91"/>
      <c r="X383" s="92"/>
      <c r="Y383" s="2"/>
      <c r="Z383" s="2"/>
      <c r="AA383" s="2"/>
      <c r="AB383" s="2"/>
      <c r="AC383" s="2"/>
    </row>
    <row r="384" spans="1:29">
      <c r="A384" s="388">
        <v>45856</v>
      </c>
      <c r="B384" s="87">
        <f>B383+1</f>
        <v>13</v>
      </c>
      <c r="C384" s="274">
        <v>45855</v>
      </c>
      <c r="D384" s="327">
        <v>71470</v>
      </c>
      <c r="E384" s="276" t="s">
        <v>737</v>
      </c>
      <c r="F384" s="277">
        <v>2035</v>
      </c>
      <c r="G384" s="277">
        <f>39.7+891+200</f>
        <v>1130.7</v>
      </c>
      <c r="H384" s="277"/>
      <c r="I384" s="278">
        <f t="shared" si="64"/>
        <v>904.3</v>
      </c>
      <c r="J384" s="279" t="s">
        <v>156</v>
      </c>
      <c r="K384" s="279">
        <v>1</v>
      </c>
      <c r="L384" s="279">
        <v>1</v>
      </c>
      <c r="M384" s="279">
        <v>1</v>
      </c>
      <c r="N384" s="322">
        <v>0</v>
      </c>
      <c r="O384" s="322">
        <v>0</v>
      </c>
      <c r="P384" s="322">
        <v>0</v>
      </c>
      <c r="Q384" s="279">
        <v>1</v>
      </c>
      <c r="R384" s="279">
        <v>1</v>
      </c>
      <c r="S384" s="280">
        <v>1</v>
      </c>
      <c r="T384" s="63"/>
      <c r="U384" s="94" t="s">
        <v>3537</v>
      </c>
      <c r="V384" s="90">
        <f>223.85+2014.65</f>
        <v>2238.5</v>
      </c>
      <c r="W384" s="91"/>
      <c r="X384" s="92"/>
      <c r="Y384" s="2"/>
      <c r="Z384" s="2"/>
      <c r="AA384" s="2"/>
      <c r="AB384" s="2"/>
      <c r="AC384" s="2"/>
    </row>
    <row r="385" spans="1:29">
      <c r="A385" s="2"/>
      <c r="B385" s="87">
        <f>B384+1</f>
        <v>14</v>
      </c>
      <c r="C385" s="295">
        <v>45855</v>
      </c>
      <c r="D385" s="323">
        <v>71164</v>
      </c>
      <c r="E385" s="10" t="s">
        <v>1605</v>
      </c>
      <c r="F385" s="62">
        <v>1461</v>
      </c>
      <c r="G385" s="62">
        <v>39.700000000000003</v>
      </c>
      <c r="H385" s="88"/>
      <c r="I385" s="369">
        <f t="shared" si="64"/>
        <v>1421.3</v>
      </c>
      <c r="J385" s="63" t="s">
        <v>150</v>
      </c>
      <c r="K385" s="63">
        <v>1</v>
      </c>
      <c r="L385" s="63">
        <v>1</v>
      </c>
      <c r="M385" s="63">
        <v>1</v>
      </c>
      <c r="N385" s="325">
        <v>0</v>
      </c>
      <c r="O385" s="325">
        <v>0</v>
      </c>
      <c r="P385" s="325">
        <v>0</v>
      </c>
      <c r="Q385" s="325">
        <v>0</v>
      </c>
      <c r="R385" s="325">
        <v>0</v>
      </c>
      <c r="S385" s="326">
        <v>0</v>
      </c>
      <c r="T385" s="63"/>
      <c r="U385" s="94"/>
      <c r="V385" s="90">
        <v>0</v>
      </c>
      <c r="W385" s="440">
        <v>1607.1</v>
      </c>
      <c r="X385" s="92"/>
      <c r="Y385" s="2"/>
      <c r="Z385" s="2"/>
      <c r="AA385" s="2"/>
      <c r="AB385" s="2"/>
      <c r="AC385" s="2"/>
    </row>
    <row r="386" spans="1:29">
      <c r="A386" s="388">
        <v>45895</v>
      </c>
      <c r="B386" s="87">
        <f t="shared" si="65"/>
        <v>15</v>
      </c>
      <c r="C386" s="295">
        <v>45855</v>
      </c>
      <c r="D386" s="346">
        <v>71539</v>
      </c>
      <c r="E386" s="101" t="s">
        <v>1143</v>
      </c>
      <c r="F386" s="95">
        <v>1134</v>
      </c>
      <c r="G386" s="62">
        <v>39.700000000000003</v>
      </c>
      <c r="H386" s="62"/>
      <c r="I386" s="89">
        <f t="shared" si="64"/>
        <v>1094.3</v>
      </c>
      <c r="J386" s="63" t="s">
        <v>156</v>
      </c>
      <c r="K386" s="63">
        <v>1</v>
      </c>
      <c r="L386" s="63">
        <v>1</v>
      </c>
      <c r="M386" s="63">
        <v>1</v>
      </c>
      <c r="N386" s="63">
        <v>1</v>
      </c>
      <c r="O386" s="63">
        <v>1</v>
      </c>
      <c r="P386" s="63">
        <v>1</v>
      </c>
      <c r="Q386" s="63">
        <v>1</v>
      </c>
      <c r="R386" s="63">
        <v>1</v>
      </c>
      <c r="S386" s="296">
        <v>1</v>
      </c>
      <c r="T386" s="63"/>
      <c r="U386" s="94" t="s">
        <v>3538</v>
      </c>
      <c r="V386" s="90">
        <v>1247.4000000000001</v>
      </c>
      <c r="W386" s="91"/>
      <c r="X386" s="92"/>
      <c r="Y386" s="2"/>
      <c r="Z386" s="2"/>
      <c r="AA386" s="2"/>
      <c r="AB386" s="2"/>
      <c r="AC386" s="2"/>
    </row>
    <row r="387" spans="1:29">
      <c r="A387" s="2"/>
      <c r="B387" s="87">
        <f t="shared" si="65"/>
        <v>16</v>
      </c>
      <c r="C387" s="295">
        <v>45855</v>
      </c>
      <c r="D387" s="323">
        <v>71517</v>
      </c>
      <c r="E387" s="101" t="s">
        <v>1143</v>
      </c>
      <c r="F387" s="95">
        <v>561</v>
      </c>
      <c r="G387" s="62"/>
      <c r="H387" s="62"/>
      <c r="I387" s="89">
        <f t="shared" si="64"/>
        <v>561</v>
      </c>
      <c r="J387" s="63" t="s">
        <v>156</v>
      </c>
      <c r="K387" s="63">
        <v>1</v>
      </c>
      <c r="L387" s="63">
        <v>1</v>
      </c>
      <c r="M387" s="63">
        <v>1</v>
      </c>
      <c r="N387" s="63">
        <v>1</v>
      </c>
      <c r="O387" s="63">
        <v>1</v>
      </c>
      <c r="P387" s="63">
        <v>1</v>
      </c>
      <c r="Q387" s="63">
        <v>1</v>
      </c>
      <c r="R387" s="63">
        <v>1</v>
      </c>
      <c r="S387" s="296">
        <v>1</v>
      </c>
      <c r="T387" s="63"/>
      <c r="U387" s="94"/>
      <c r="V387" s="90">
        <v>617.1</v>
      </c>
      <c r="W387" s="91"/>
      <c r="X387" s="92"/>
      <c r="Y387" s="2"/>
      <c r="Z387" s="2"/>
      <c r="AA387" s="2"/>
      <c r="AB387" s="2"/>
      <c r="AC387" s="2"/>
    </row>
    <row r="388" spans="1:29">
      <c r="A388" s="2"/>
      <c r="B388" s="87">
        <f t="shared" si="65"/>
        <v>17</v>
      </c>
      <c r="C388" s="274">
        <v>45856</v>
      </c>
      <c r="D388" s="327">
        <v>71535</v>
      </c>
      <c r="E388" s="276" t="s">
        <v>1886</v>
      </c>
      <c r="F388" s="447">
        <v>681</v>
      </c>
      <c r="G388" s="277"/>
      <c r="H388" s="277"/>
      <c r="I388" s="278">
        <f t="shared" si="64"/>
        <v>681</v>
      </c>
      <c r="J388" s="279" t="s">
        <v>156</v>
      </c>
      <c r="K388" s="279">
        <v>1</v>
      </c>
      <c r="L388" s="279">
        <v>1</v>
      </c>
      <c r="M388" s="279">
        <v>1</v>
      </c>
      <c r="N388" s="279">
        <v>1</v>
      </c>
      <c r="O388" s="279">
        <v>1</v>
      </c>
      <c r="P388" s="279">
        <v>1</v>
      </c>
      <c r="Q388" s="279">
        <v>1</v>
      </c>
      <c r="R388" s="279">
        <v>1</v>
      </c>
      <c r="S388" s="280">
        <v>1</v>
      </c>
      <c r="T388" s="63"/>
      <c r="U388" s="94"/>
      <c r="V388" s="90">
        <v>749.1</v>
      </c>
      <c r="W388" s="91"/>
      <c r="X388" s="92"/>
      <c r="Y388" s="2"/>
      <c r="Z388" s="2"/>
      <c r="AA388" s="2"/>
      <c r="AB388" s="2"/>
      <c r="AC388" s="2"/>
    </row>
    <row r="389" spans="1:29">
      <c r="A389" s="2"/>
      <c r="B389" s="87">
        <f t="shared" si="65"/>
        <v>18</v>
      </c>
      <c r="C389" s="295">
        <v>45856</v>
      </c>
      <c r="D389" s="323">
        <v>71559</v>
      </c>
      <c r="E389" s="10" t="s">
        <v>2372</v>
      </c>
      <c r="F389" s="95">
        <v>861</v>
      </c>
      <c r="G389" s="62">
        <v>39.700000000000003</v>
      </c>
      <c r="H389" s="62"/>
      <c r="I389" s="89">
        <f t="shared" si="64"/>
        <v>821.3</v>
      </c>
      <c r="J389" s="63" t="s">
        <v>156</v>
      </c>
      <c r="K389" s="63">
        <v>1</v>
      </c>
      <c r="L389" s="63">
        <v>1</v>
      </c>
      <c r="M389" s="63">
        <v>1</v>
      </c>
      <c r="N389" s="63">
        <v>1</v>
      </c>
      <c r="O389" s="63">
        <v>1</v>
      </c>
      <c r="P389" s="63">
        <v>1</v>
      </c>
      <c r="Q389" s="63">
        <v>1</v>
      </c>
      <c r="R389" s="63">
        <v>1</v>
      </c>
      <c r="S389" s="296">
        <v>1</v>
      </c>
      <c r="T389" s="63"/>
      <c r="U389" s="94" t="s">
        <v>3539</v>
      </c>
      <c r="V389" s="90">
        <v>947.1</v>
      </c>
      <c r="W389" s="91"/>
      <c r="X389" s="92"/>
      <c r="Y389" s="2"/>
      <c r="Z389" s="2"/>
      <c r="AA389" s="2"/>
      <c r="AB389" s="2"/>
      <c r="AC389" s="2"/>
    </row>
    <row r="390" spans="1:29">
      <c r="A390" s="2"/>
      <c r="B390" s="87">
        <f t="shared" si="65"/>
        <v>19</v>
      </c>
      <c r="C390" s="295">
        <v>45856</v>
      </c>
      <c r="D390" s="346" t="s">
        <v>3540</v>
      </c>
      <c r="E390" s="10" t="s">
        <v>216</v>
      </c>
      <c r="F390" s="95">
        <v>581</v>
      </c>
      <c r="G390" s="62"/>
      <c r="H390" s="62"/>
      <c r="I390" s="89">
        <f t="shared" si="64"/>
        <v>581</v>
      </c>
      <c r="J390" s="63" t="s">
        <v>156</v>
      </c>
      <c r="K390" s="63">
        <v>1</v>
      </c>
      <c r="L390" s="63">
        <v>1</v>
      </c>
      <c r="M390" s="63">
        <v>1</v>
      </c>
      <c r="N390" s="63">
        <v>1</v>
      </c>
      <c r="O390" s="63">
        <v>1</v>
      </c>
      <c r="P390" s="63">
        <v>1</v>
      </c>
      <c r="Q390" s="63">
        <v>1</v>
      </c>
      <c r="R390" s="63">
        <v>1</v>
      </c>
      <c r="S390" s="296">
        <v>1</v>
      </c>
      <c r="T390" s="63"/>
      <c r="U390" s="94"/>
      <c r="V390" s="90">
        <v>639.1</v>
      </c>
      <c r="W390" s="96"/>
      <c r="X390" s="92"/>
      <c r="Y390" s="2"/>
      <c r="Z390" s="2"/>
      <c r="AA390" s="2"/>
      <c r="AB390" s="2"/>
      <c r="AC390" s="2"/>
    </row>
    <row r="391" spans="1:29">
      <c r="A391" s="2"/>
      <c r="B391" s="87">
        <f t="shared" si="65"/>
        <v>20</v>
      </c>
      <c r="C391" s="282">
        <v>45856</v>
      </c>
      <c r="D391" s="330" t="s">
        <v>3541</v>
      </c>
      <c r="E391" s="283" t="s">
        <v>216</v>
      </c>
      <c r="F391" s="423">
        <v>2533</v>
      </c>
      <c r="G391" s="284">
        <f>39.7+(123.7)</f>
        <v>163.4</v>
      </c>
      <c r="H391" s="284"/>
      <c r="I391" s="285">
        <f t="shared" si="64"/>
        <v>2369.6</v>
      </c>
      <c r="J391" s="286" t="s">
        <v>156</v>
      </c>
      <c r="K391" s="286">
        <v>1</v>
      </c>
      <c r="L391" s="286">
        <v>1</v>
      </c>
      <c r="M391" s="286">
        <v>1</v>
      </c>
      <c r="N391" s="286">
        <v>1</v>
      </c>
      <c r="O391" s="286">
        <v>1</v>
      </c>
      <c r="P391" s="286">
        <v>1</v>
      </c>
      <c r="Q391" s="286">
        <v>1</v>
      </c>
      <c r="R391" s="286">
        <v>1</v>
      </c>
      <c r="S391" s="287">
        <v>1</v>
      </c>
      <c r="T391" s="63"/>
      <c r="U391" s="94"/>
      <c r="V391" s="90">
        <v>2786.3</v>
      </c>
      <c r="W391" s="96"/>
      <c r="X391" s="92"/>
      <c r="Y391" s="2"/>
      <c r="Z391" s="2"/>
      <c r="AA391" s="2"/>
      <c r="AB391" s="2"/>
      <c r="AC391" s="2"/>
    </row>
    <row r="392" spans="1:29">
      <c r="A392" s="2"/>
      <c r="B392" s="87"/>
      <c r="C392" s="36"/>
      <c r="D392" s="10"/>
      <c r="E392" s="10"/>
      <c r="F392" s="98">
        <f>SUM(F372:F391)</f>
        <v>45908.2</v>
      </c>
      <c r="G392" s="98">
        <f>SUM(G372:G391)</f>
        <v>6380.3199999999979</v>
      </c>
      <c r="H392" s="98">
        <f>SUM(H372:H391)</f>
        <v>0</v>
      </c>
      <c r="I392" s="98">
        <f>SUM(I372:I391)</f>
        <v>39527.880000000005</v>
      </c>
      <c r="J392" s="63"/>
      <c r="K392" s="63">
        <f t="shared" ref="K392:S392" si="66">COUNT(K372:K391)</f>
        <v>20</v>
      </c>
      <c r="L392" s="63">
        <f t="shared" si="66"/>
        <v>20</v>
      </c>
      <c r="M392" s="63">
        <f t="shared" si="66"/>
        <v>20</v>
      </c>
      <c r="N392" s="63">
        <f t="shared" si="66"/>
        <v>20</v>
      </c>
      <c r="O392" s="63">
        <f t="shared" si="66"/>
        <v>20</v>
      </c>
      <c r="P392" s="63">
        <f t="shared" si="66"/>
        <v>20</v>
      </c>
      <c r="Q392" s="63">
        <f t="shared" si="66"/>
        <v>20</v>
      </c>
      <c r="R392" s="63">
        <f t="shared" si="66"/>
        <v>20</v>
      </c>
      <c r="S392" s="63">
        <f t="shared" si="66"/>
        <v>20</v>
      </c>
      <c r="T392" s="63"/>
      <c r="U392" s="94"/>
      <c r="V392" s="90"/>
      <c r="W392" s="91"/>
      <c r="X392" s="92"/>
      <c r="Y392" s="2"/>
      <c r="Z392" s="2"/>
      <c r="AA392" s="2"/>
      <c r="AB392" s="2"/>
      <c r="AC392" s="2"/>
    </row>
    <row r="393" spans="1:29">
      <c r="A393" s="2"/>
      <c r="B393" s="87"/>
      <c r="C393" s="36"/>
      <c r="D393" s="10"/>
      <c r="E393" s="10"/>
      <c r="F393" s="88"/>
      <c r="G393" s="88"/>
      <c r="H393" s="88"/>
      <c r="I393" s="99"/>
      <c r="J393" s="63"/>
      <c r="K393" s="21">
        <f t="shared" ref="K393:S393" si="67">SUM(K372:K391)</f>
        <v>20</v>
      </c>
      <c r="L393" s="21">
        <f t="shared" si="67"/>
        <v>19</v>
      </c>
      <c r="M393" s="21">
        <f t="shared" si="67"/>
        <v>18</v>
      </c>
      <c r="N393" s="21">
        <f t="shared" si="67"/>
        <v>18</v>
      </c>
      <c r="O393" s="21">
        <f t="shared" si="67"/>
        <v>18</v>
      </c>
      <c r="P393" s="21">
        <f t="shared" si="67"/>
        <v>18</v>
      </c>
      <c r="Q393" s="21">
        <f t="shared" si="67"/>
        <v>17</v>
      </c>
      <c r="R393" s="21">
        <f t="shared" si="67"/>
        <v>17</v>
      </c>
      <c r="S393" s="21">
        <f t="shared" si="67"/>
        <v>17</v>
      </c>
      <c r="T393" s="63"/>
      <c r="U393" s="94"/>
      <c r="V393" s="90"/>
      <c r="W393" s="91"/>
      <c r="X393" s="92"/>
      <c r="Y393" s="2"/>
      <c r="Z393" s="2"/>
      <c r="AA393" s="2"/>
      <c r="AB393" s="2"/>
      <c r="AC393" s="2"/>
    </row>
    <row r="394" spans="1:29">
      <c r="A394" s="2"/>
      <c r="B394" s="11"/>
      <c r="C394" s="36"/>
      <c r="D394" s="10"/>
      <c r="E394" s="10"/>
      <c r="F394" s="88"/>
      <c r="G394" s="88"/>
      <c r="H394" s="88"/>
      <c r="I394" s="99"/>
      <c r="J394" s="63"/>
      <c r="K394" s="21"/>
      <c r="L394" s="21"/>
      <c r="M394" s="21"/>
      <c r="N394" s="21"/>
      <c r="O394" s="21"/>
      <c r="P394" s="21"/>
      <c r="Q394" s="21"/>
      <c r="R394" s="21"/>
      <c r="S394" s="21"/>
      <c r="T394" s="63"/>
      <c r="U394" s="94"/>
      <c r="V394" s="90"/>
      <c r="W394" s="91"/>
      <c r="X394" s="92"/>
      <c r="Y394" s="2"/>
      <c r="Z394" s="2"/>
      <c r="AA394" s="2"/>
      <c r="AB394" s="2"/>
      <c r="AC394" s="2"/>
    </row>
    <row r="395" spans="1:29" s="342" customFormat="1">
      <c r="A395" s="128"/>
      <c r="B395" s="121" t="s">
        <v>68</v>
      </c>
      <c r="C395" s="122"/>
      <c r="D395" s="123"/>
      <c r="E395" s="123"/>
      <c r="F395" s="124"/>
      <c r="G395" s="125"/>
      <c r="H395" s="124"/>
      <c r="I395" s="126"/>
      <c r="J395" s="127"/>
      <c r="K395" s="128"/>
      <c r="L395" s="128"/>
      <c r="M395" s="128"/>
      <c r="N395" s="128"/>
      <c r="O395" s="128"/>
      <c r="P395" s="128"/>
      <c r="Q395" s="128"/>
      <c r="R395" s="128"/>
      <c r="S395" s="128"/>
      <c r="T395" s="127"/>
      <c r="U395" s="135"/>
      <c r="V395" s="129"/>
      <c r="W395" s="130"/>
      <c r="X395" s="131"/>
      <c r="Y395" s="128"/>
      <c r="Z395" s="128"/>
      <c r="AA395" s="128"/>
      <c r="AB395" s="128"/>
      <c r="AC395" s="128"/>
    </row>
    <row r="396" spans="1:29" s="342" customFormat="1">
      <c r="A396" s="356">
        <v>0.1</v>
      </c>
      <c r="B396" s="333">
        <v>1</v>
      </c>
      <c r="C396" s="334">
        <v>45853</v>
      </c>
      <c r="D396" s="327">
        <v>71445</v>
      </c>
      <c r="E396" s="335" t="s">
        <v>172</v>
      </c>
      <c r="F396" s="336">
        <v>2539</v>
      </c>
      <c r="G396" s="336">
        <f>39.7+(210.76)+200</f>
        <v>450.46</v>
      </c>
      <c r="H396" s="336">
        <f>F396*0.2</f>
        <v>507.8</v>
      </c>
      <c r="I396" s="337">
        <f>F396-G396-H396</f>
        <v>1580.74</v>
      </c>
      <c r="J396" s="338" t="s">
        <v>185</v>
      </c>
      <c r="K396" s="338">
        <v>1</v>
      </c>
      <c r="L396" s="338">
        <v>1</v>
      </c>
      <c r="M396" s="338">
        <v>1</v>
      </c>
      <c r="N396" s="338">
        <v>1</v>
      </c>
      <c r="O396" s="338">
        <v>1</v>
      </c>
      <c r="P396" s="338">
        <v>1</v>
      </c>
      <c r="Q396" s="338">
        <v>1</v>
      </c>
      <c r="R396" s="338">
        <v>1</v>
      </c>
      <c r="S396" s="339">
        <v>1</v>
      </c>
      <c r="T396" s="127"/>
      <c r="U396" s="135" t="s">
        <v>3542</v>
      </c>
      <c r="V396" s="129">
        <f>279.29</f>
        <v>279.29000000000002</v>
      </c>
      <c r="W396" s="130"/>
      <c r="X396" s="131"/>
      <c r="Y396" s="128"/>
      <c r="Z396" s="128"/>
      <c r="AA396" s="128"/>
      <c r="AB396" s="128"/>
      <c r="AC396" s="128"/>
    </row>
    <row r="397" spans="1:29" s="342" customFormat="1">
      <c r="A397" s="356">
        <v>0.1</v>
      </c>
      <c r="B397" s="333">
        <f t="shared" ref="B397" si="68">B396+1</f>
        <v>2</v>
      </c>
      <c r="C397" s="350">
        <v>45856</v>
      </c>
      <c r="D397" s="263">
        <v>71562</v>
      </c>
      <c r="E397" s="351" t="s">
        <v>1008</v>
      </c>
      <c r="F397" s="352">
        <v>1264</v>
      </c>
      <c r="G397" s="352">
        <v>39.700000000000003</v>
      </c>
      <c r="H397" s="352">
        <f>F397*0.2</f>
        <v>252.8</v>
      </c>
      <c r="I397" s="353">
        <f>F397-G397-H397</f>
        <v>971.5</v>
      </c>
      <c r="J397" s="354" t="s">
        <v>185</v>
      </c>
      <c r="K397" s="354">
        <v>1</v>
      </c>
      <c r="L397" s="354">
        <v>1</v>
      </c>
      <c r="M397" s="354">
        <v>1</v>
      </c>
      <c r="N397" s="354">
        <v>1</v>
      </c>
      <c r="O397" s="354">
        <v>1</v>
      </c>
      <c r="P397" s="354">
        <v>1</v>
      </c>
      <c r="Q397" s="354">
        <v>1</v>
      </c>
      <c r="R397" s="354">
        <v>1</v>
      </c>
      <c r="S397" s="355">
        <v>1</v>
      </c>
      <c r="T397" s="127"/>
      <c r="U397" s="135" t="s">
        <v>3543</v>
      </c>
      <c r="V397" s="129">
        <v>139.04</v>
      </c>
      <c r="W397" s="130"/>
      <c r="X397" s="131"/>
      <c r="Y397" s="128"/>
      <c r="Z397" s="128"/>
      <c r="AA397" s="128"/>
      <c r="AB397" s="128"/>
      <c r="AC397" s="128"/>
    </row>
    <row r="398" spans="1:29" s="342" customFormat="1">
      <c r="A398" s="128"/>
      <c r="B398" s="132"/>
      <c r="C398" s="122"/>
      <c r="D398" s="123"/>
      <c r="E398" s="123"/>
      <c r="F398" s="134">
        <f>SUM(F396:F397)</f>
        <v>3803</v>
      </c>
      <c r="G398" s="134">
        <f>SUM(G396:G397)</f>
        <v>490.15999999999997</v>
      </c>
      <c r="H398" s="134">
        <f>SUM(H396:H397)</f>
        <v>760.6</v>
      </c>
      <c r="I398" s="134">
        <f>SUM(I396:I397)</f>
        <v>2552.2399999999998</v>
      </c>
      <c r="J398" s="127"/>
      <c r="K398" s="64"/>
      <c r="L398" s="64"/>
      <c r="M398" s="64"/>
      <c r="N398" s="64"/>
      <c r="O398" s="64"/>
      <c r="P398" s="64"/>
      <c r="Q398" s="64"/>
      <c r="R398" s="64"/>
      <c r="S398" s="64"/>
      <c r="T398" s="127"/>
      <c r="U398" s="135"/>
      <c r="V398" s="129"/>
      <c r="W398" s="130"/>
      <c r="X398" s="131"/>
      <c r="Y398" s="128"/>
      <c r="Z398" s="128"/>
      <c r="AA398" s="128"/>
      <c r="AB398" s="128"/>
      <c r="AC398" s="128"/>
    </row>
    <row r="399" spans="1:29" s="342" customFormat="1">
      <c r="A399" s="128"/>
      <c r="B399" s="132"/>
      <c r="C399" s="122"/>
      <c r="D399" s="123"/>
      <c r="E399" s="123"/>
      <c r="F399" s="124"/>
      <c r="G399" s="124"/>
      <c r="H399" s="124"/>
      <c r="I399" s="126"/>
      <c r="J399" s="127"/>
      <c r="K399" s="64"/>
      <c r="L399" s="64"/>
      <c r="M399" s="64"/>
      <c r="N399" s="64"/>
      <c r="O399" s="64"/>
      <c r="P399" s="64"/>
      <c r="Q399" s="64"/>
      <c r="R399" s="64"/>
      <c r="S399" s="64"/>
      <c r="T399" s="127"/>
      <c r="U399" s="135"/>
      <c r="V399" s="129"/>
      <c r="W399" s="130"/>
      <c r="X399" s="131"/>
      <c r="Y399" s="128"/>
      <c r="Z399" s="128"/>
      <c r="AA399" s="128"/>
      <c r="AB399" s="128"/>
      <c r="AC399" s="128"/>
    </row>
    <row r="400" spans="1:29" s="342" customFormat="1">
      <c r="A400" s="128"/>
      <c r="B400" s="121" t="s">
        <v>70</v>
      </c>
      <c r="C400" s="122"/>
      <c r="D400" s="123"/>
      <c r="E400" s="128"/>
      <c r="F400" s="124"/>
      <c r="G400" s="124"/>
      <c r="H400" s="124"/>
      <c r="I400" s="126"/>
      <c r="J400" s="127"/>
      <c r="K400" s="64"/>
      <c r="L400" s="64"/>
      <c r="M400" s="64"/>
      <c r="N400" s="64"/>
      <c r="O400" s="64"/>
      <c r="P400" s="64"/>
      <c r="Q400" s="64"/>
      <c r="R400" s="64"/>
      <c r="S400" s="64"/>
      <c r="T400" s="127"/>
      <c r="U400" s="135"/>
      <c r="V400" s="129"/>
      <c r="W400" s="130"/>
      <c r="X400" s="131"/>
      <c r="Y400" s="128"/>
      <c r="Z400" s="128"/>
      <c r="AA400" s="128"/>
      <c r="AB400" s="128"/>
      <c r="AC400" s="128"/>
    </row>
    <row r="401" spans="1:29" s="342" customFormat="1">
      <c r="A401" s="356">
        <v>0.1</v>
      </c>
      <c r="B401" s="333">
        <v>1</v>
      </c>
      <c r="C401" s="350">
        <v>45853</v>
      </c>
      <c r="D401" s="357" t="s">
        <v>3544</v>
      </c>
      <c r="E401" s="498" t="s">
        <v>3411</v>
      </c>
      <c r="F401" s="352">
        <v>10475</v>
      </c>
      <c r="G401" s="352">
        <f>39.7+(39.98+29.49)+(856.29)+750</f>
        <v>1715.46</v>
      </c>
      <c r="H401" s="352"/>
      <c r="I401" s="353">
        <f>F401-G401-H401</f>
        <v>8759.5400000000009</v>
      </c>
      <c r="J401" s="354" t="s">
        <v>156</v>
      </c>
      <c r="K401" s="354">
        <v>1</v>
      </c>
      <c r="L401" s="354"/>
      <c r="M401" s="354">
        <v>1</v>
      </c>
      <c r="N401" s="354">
        <v>1</v>
      </c>
      <c r="O401" s="354">
        <v>1</v>
      </c>
      <c r="P401" s="354">
        <v>1</v>
      </c>
      <c r="Q401" s="354"/>
      <c r="R401" s="354"/>
      <c r="S401" s="355"/>
      <c r="T401" s="127"/>
      <c r="U401" s="135" t="s">
        <v>3545</v>
      </c>
      <c r="V401" s="129">
        <f>3500</f>
        <v>3500</v>
      </c>
      <c r="W401" s="340"/>
      <c r="X401" s="341"/>
      <c r="Y401" s="128"/>
      <c r="Z401" s="128"/>
      <c r="AA401" s="128"/>
      <c r="AB401" s="128"/>
      <c r="AC401" s="128"/>
    </row>
    <row r="402" spans="1:29" s="342" customFormat="1">
      <c r="A402" s="128"/>
      <c r="B402" s="132"/>
      <c r="C402" s="122"/>
      <c r="D402" s="123"/>
      <c r="E402" s="123"/>
      <c r="F402" s="134">
        <f>SUM(F401:F401)</f>
        <v>10475</v>
      </c>
      <c r="G402" s="134">
        <f>SUM(G401:G401)</f>
        <v>1715.46</v>
      </c>
      <c r="H402" s="134">
        <f>SUM(H401:H401)</f>
        <v>0</v>
      </c>
      <c r="I402" s="134">
        <f>SUM(I401:I401)</f>
        <v>8759.5400000000009</v>
      </c>
      <c r="J402" s="127"/>
      <c r="K402" s="64"/>
      <c r="L402" s="64"/>
      <c r="M402" s="64"/>
      <c r="N402" s="64"/>
      <c r="O402" s="64"/>
      <c r="P402" s="64"/>
      <c r="Q402" s="64"/>
      <c r="R402" s="64"/>
      <c r="S402" s="64"/>
      <c r="T402" s="127"/>
      <c r="U402" s="135"/>
      <c r="V402" s="129"/>
      <c r="W402" s="130"/>
      <c r="X402" s="131"/>
      <c r="Y402" s="128"/>
      <c r="Z402" s="128"/>
      <c r="AA402" s="128"/>
      <c r="AB402" s="128"/>
      <c r="AC402" s="128"/>
    </row>
    <row r="403" spans="1:29">
      <c r="A403" s="2"/>
      <c r="B403" s="11"/>
      <c r="C403" s="36"/>
      <c r="D403" s="10"/>
      <c r="E403" s="10"/>
      <c r="F403" s="88"/>
      <c r="G403" s="88"/>
      <c r="H403" s="88"/>
      <c r="I403" s="99"/>
      <c r="J403" s="10"/>
      <c r="K403" s="63"/>
      <c r="L403" s="63"/>
      <c r="M403" s="63"/>
      <c r="N403" s="63"/>
      <c r="O403" s="63"/>
      <c r="P403" s="63"/>
      <c r="Q403" s="63"/>
      <c r="R403" s="63"/>
      <c r="S403" s="63"/>
      <c r="T403" s="63"/>
      <c r="U403" s="94"/>
      <c r="V403" s="90"/>
      <c r="W403" s="91"/>
      <c r="X403" s="92"/>
      <c r="Y403" s="2"/>
      <c r="Z403" s="2"/>
      <c r="AA403" s="2"/>
      <c r="AB403" s="2"/>
      <c r="AC403" s="2"/>
    </row>
    <row r="404" spans="1:29" s="260" customFormat="1">
      <c r="A404" s="181"/>
      <c r="B404" s="100" t="s">
        <v>152</v>
      </c>
      <c r="C404" s="36"/>
      <c r="D404" s="10"/>
      <c r="E404" s="10"/>
      <c r="F404" s="88"/>
      <c r="G404" s="62"/>
      <c r="H404" s="88"/>
      <c r="I404" s="99"/>
      <c r="J404" s="63"/>
      <c r="K404" s="181"/>
      <c r="L404" s="181"/>
      <c r="M404" s="181"/>
      <c r="N404" s="181"/>
      <c r="O404" s="181"/>
      <c r="P404" s="181"/>
      <c r="Q404" s="181"/>
      <c r="R404" s="181"/>
      <c r="S404" s="181"/>
      <c r="T404" s="63"/>
      <c r="U404" s="94"/>
      <c r="V404" s="90"/>
      <c r="W404" s="91"/>
      <c r="X404" s="92"/>
      <c r="Y404" s="181"/>
      <c r="Z404" s="181"/>
      <c r="AA404" s="181"/>
      <c r="AB404" s="181"/>
      <c r="AC404" s="181"/>
    </row>
    <row r="405" spans="1:29" s="181" customFormat="1">
      <c r="A405" s="261">
        <v>0.1</v>
      </c>
      <c r="B405" s="87">
        <v>1</v>
      </c>
      <c r="C405" s="262">
        <v>45791</v>
      </c>
      <c r="D405" s="357">
        <v>70097</v>
      </c>
      <c r="E405" s="264" t="s">
        <v>296</v>
      </c>
      <c r="F405" s="265">
        <v>1861</v>
      </c>
      <c r="G405" s="265">
        <f>39.7+748+200</f>
        <v>987.7</v>
      </c>
      <c r="H405" s="265"/>
      <c r="I405" s="266">
        <f t="shared" ref="I405:I413" si="69">F405-G405-H405</f>
        <v>873.3</v>
      </c>
      <c r="J405" s="267" t="s">
        <v>156</v>
      </c>
      <c r="K405" s="267">
        <v>1</v>
      </c>
      <c r="L405" s="267"/>
      <c r="M405" s="267">
        <v>1</v>
      </c>
      <c r="N405" s="267">
        <v>1</v>
      </c>
      <c r="O405" s="267">
        <v>1</v>
      </c>
      <c r="P405" s="267">
        <v>1</v>
      </c>
      <c r="Q405" s="267">
        <v>0</v>
      </c>
      <c r="R405" s="267">
        <v>0</v>
      </c>
      <c r="S405" s="269">
        <v>0</v>
      </c>
      <c r="T405" s="63"/>
      <c r="U405" s="94" t="s">
        <v>3403</v>
      </c>
      <c r="V405" s="90"/>
      <c r="W405" s="136"/>
      <c r="X405" s="137"/>
    </row>
    <row r="406" spans="1:29" s="181" customFormat="1">
      <c r="A406" s="261">
        <v>0.1</v>
      </c>
      <c r="B406" s="87">
        <f>B405+1</f>
        <v>2</v>
      </c>
      <c r="C406" s="282">
        <v>45810</v>
      </c>
      <c r="D406" s="330">
        <v>70516</v>
      </c>
      <c r="E406" s="283" t="s">
        <v>218</v>
      </c>
      <c r="F406" s="284">
        <v>6214</v>
      </c>
      <c r="G406" s="284">
        <f>39.7+(1375.67)+250</f>
        <v>1665.3700000000001</v>
      </c>
      <c r="H406" s="284"/>
      <c r="I406" s="300">
        <f t="shared" si="69"/>
        <v>4548.63</v>
      </c>
      <c r="J406" s="286" t="s">
        <v>228</v>
      </c>
      <c r="K406" s="286">
        <v>1</v>
      </c>
      <c r="L406" s="286">
        <v>1</v>
      </c>
      <c r="M406" s="286">
        <v>1</v>
      </c>
      <c r="N406" s="286">
        <v>1</v>
      </c>
      <c r="O406" s="286">
        <v>1</v>
      </c>
      <c r="P406" s="286">
        <v>1</v>
      </c>
      <c r="Q406" s="286">
        <v>1</v>
      </c>
      <c r="R406" s="286">
        <v>0</v>
      </c>
      <c r="S406" s="287">
        <v>1</v>
      </c>
      <c r="T406" s="63"/>
      <c r="U406" s="94" t="s">
        <v>3404</v>
      </c>
      <c r="V406" s="90"/>
      <c r="W406" s="136"/>
      <c r="X406" s="137"/>
    </row>
    <row r="407" spans="1:29" s="181" customFormat="1">
      <c r="A407" s="261">
        <v>0.1</v>
      </c>
      <c r="B407" s="87">
        <f t="shared" ref="B407:B413" si="70">B406+1</f>
        <v>3</v>
      </c>
      <c r="C407" s="274">
        <v>45824</v>
      </c>
      <c r="D407" s="320" t="s">
        <v>3405</v>
      </c>
      <c r="E407" s="276" t="s">
        <v>1047</v>
      </c>
      <c r="F407" s="277">
        <v>2215</v>
      </c>
      <c r="G407" s="277">
        <v>39.700000000000003</v>
      </c>
      <c r="H407" s="277"/>
      <c r="I407" s="278">
        <f t="shared" si="69"/>
        <v>2175.3000000000002</v>
      </c>
      <c r="J407" s="279"/>
      <c r="K407" s="279">
        <v>1</v>
      </c>
      <c r="L407" s="279">
        <v>1</v>
      </c>
      <c r="M407" s="279"/>
      <c r="N407" s="279">
        <v>1</v>
      </c>
      <c r="O407" s="279">
        <v>1</v>
      </c>
      <c r="P407" s="279">
        <v>1</v>
      </c>
      <c r="Q407" s="279">
        <v>1</v>
      </c>
      <c r="R407" s="279">
        <v>1</v>
      </c>
      <c r="S407" s="280">
        <v>1</v>
      </c>
      <c r="T407" s="63"/>
      <c r="U407" s="3" t="s">
        <v>3406</v>
      </c>
      <c r="V407" s="90"/>
      <c r="W407" s="136"/>
      <c r="X407" s="137"/>
    </row>
    <row r="408" spans="1:29" s="181" customFormat="1">
      <c r="A408" s="261">
        <v>0.1</v>
      </c>
      <c r="B408" s="87">
        <f t="shared" si="70"/>
        <v>4</v>
      </c>
      <c r="C408" s="295">
        <v>45824</v>
      </c>
      <c r="D408" s="346" t="s">
        <v>3407</v>
      </c>
      <c r="E408" s="10" t="s">
        <v>1047</v>
      </c>
      <c r="F408" s="62">
        <v>10353</v>
      </c>
      <c r="G408" s="62">
        <f>39.7+598+(65.78+33.33)+(162.26+78.76)+1000</f>
        <v>1977.83</v>
      </c>
      <c r="H408" s="62"/>
      <c r="I408" s="89">
        <f t="shared" si="69"/>
        <v>8375.17</v>
      </c>
      <c r="J408" s="63" t="s">
        <v>156</v>
      </c>
      <c r="K408" s="63">
        <v>1</v>
      </c>
      <c r="L408" s="63">
        <v>1</v>
      </c>
      <c r="M408" s="63">
        <v>1</v>
      </c>
      <c r="N408" s="63">
        <v>1</v>
      </c>
      <c r="O408" s="63">
        <v>1</v>
      </c>
      <c r="P408" s="63">
        <v>1</v>
      </c>
      <c r="Q408" s="63">
        <v>1</v>
      </c>
      <c r="R408" s="63">
        <v>1</v>
      </c>
      <c r="S408" s="296">
        <v>1</v>
      </c>
      <c r="T408" s="63"/>
      <c r="U408" s="94" t="s">
        <v>3408</v>
      </c>
      <c r="V408" s="90"/>
      <c r="W408" s="136"/>
      <c r="X408" s="137"/>
    </row>
    <row r="409" spans="1:29" s="181" customFormat="1">
      <c r="A409" s="261">
        <v>0.1</v>
      </c>
      <c r="B409" s="87">
        <f t="shared" si="70"/>
        <v>5</v>
      </c>
      <c r="C409" s="262">
        <v>45825</v>
      </c>
      <c r="D409" s="357">
        <v>70817</v>
      </c>
      <c r="E409" s="271" t="s">
        <v>317</v>
      </c>
      <c r="F409" s="265">
        <v>1281</v>
      </c>
      <c r="G409" s="265">
        <f>39.7+(87.93)</f>
        <v>127.63000000000001</v>
      </c>
      <c r="H409" s="265"/>
      <c r="I409" s="272">
        <f t="shared" si="69"/>
        <v>1153.3699999999999</v>
      </c>
      <c r="J409" s="267" t="s">
        <v>156</v>
      </c>
      <c r="K409" s="267">
        <v>1</v>
      </c>
      <c r="L409" s="267">
        <v>1</v>
      </c>
      <c r="M409" s="267">
        <v>1</v>
      </c>
      <c r="N409" s="267">
        <v>1</v>
      </c>
      <c r="O409" s="267">
        <v>1</v>
      </c>
      <c r="P409" s="267">
        <v>1</v>
      </c>
      <c r="Q409" s="267">
        <v>1</v>
      </c>
      <c r="R409" s="267">
        <v>1</v>
      </c>
      <c r="S409" s="269">
        <v>1</v>
      </c>
      <c r="T409" s="63"/>
      <c r="U409" s="94"/>
      <c r="V409" s="90"/>
      <c r="W409" s="136"/>
      <c r="X409" s="137"/>
    </row>
    <row r="410" spans="1:29" s="181" customFormat="1">
      <c r="A410" s="181" t="s">
        <v>2588</v>
      </c>
      <c r="B410" s="87">
        <f t="shared" si="70"/>
        <v>6</v>
      </c>
      <c r="C410" s="274">
        <v>45833</v>
      </c>
      <c r="D410" s="327">
        <v>71010</v>
      </c>
      <c r="E410" s="281" t="s">
        <v>998</v>
      </c>
      <c r="F410" s="277">
        <v>3114</v>
      </c>
      <c r="G410" s="277">
        <f>39.7+(145.94)</f>
        <v>185.64</v>
      </c>
      <c r="H410" s="277"/>
      <c r="I410" s="278">
        <f t="shared" si="69"/>
        <v>2928.36</v>
      </c>
      <c r="J410" s="279" t="s">
        <v>156</v>
      </c>
      <c r="K410" s="279">
        <v>1</v>
      </c>
      <c r="L410" s="279">
        <v>1</v>
      </c>
      <c r="M410" s="279">
        <v>1</v>
      </c>
      <c r="N410" s="279">
        <v>1</v>
      </c>
      <c r="O410" s="279">
        <v>1</v>
      </c>
      <c r="P410" s="279">
        <v>1</v>
      </c>
      <c r="Q410" s="279">
        <v>1</v>
      </c>
      <c r="R410" s="279">
        <v>1</v>
      </c>
      <c r="S410" s="280">
        <v>1</v>
      </c>
      <c r="T410" s="63"/>
      <c r="U410" s="94" t="s">
        <v>3393</v>
      </c>
      <c r="V410" s="90"/>
      <c r="W410" s="91"/>
      <c r="X410" s="92"/>
    </row>
    <row r="411" spans="1:29" s="181" customFormat="1">
      <c r="A411" s="181" t="s">
        <v>3394</v>
      </c>
      <c r="B411" s="87">
        <f t="shared" si="70"/>
        <v>7</v>
      </c>
      <c r="C411" s="262">
        <v>45835</v>
      </c>
      <c r="D411" s="263">
        <v>71063</v>
      </c>
      <c r="E411" s="271" t="s">
        <v>317</v>
      </c>
      <c r="F411" s="265">
        <v>6814</v>
      </c>
      <c r="G411" s="265">
        <f>39.7+(902.13)</f>
        <v>941.83</v>
      </c>
      <c r="H411" s="265"/>
      <c r="I411" s="272">
        <f t="shared" si="69"/>
        <v>5872.17</v>
      </c>
      <c r="J411" s="267" t="s">
        <v>156</v>
      </c>
      <c r="K411" s="267">
        <v>1</v>
      </c>
      <c r="L411" s="267">
        <v>1</v>
      </c>
      <c r="M411" s="267">
        <v>1</v>
      </c>
      <c r="N411" s="267">
        <v>1</v>
      </c>
      <c r="O411" s="267">
        <v>1</v>
      </c>
      <c r="P411" s="267">
        <v>1</v>
      </c>
      <c r="Q411" s="267">
        <v>1</v>
      </c>
      <c r="R411" s="267">
        <v>1</v>
      </c>
      <c r="S411" s="269">
        <v>1</v>
      </c>
      <c r="T411" s="63"/>
      <c r="U411" s="94" t="s">
        <v>3396</v>
      </c>
      <c r="V411" s="90"/>
      <c r="W411" s="136"/>
      <c r="X411" s="137"/>
    </row>
    <row r="412" spans="1:29" s="181" customFormat="1">
      <c r="A412" s="261">
        <v>0.1</v>
      </c>
      <c r="B412" s="87">
        <f t="shared" si="70"/>
        <v>8</v>
      </c>
      <c r="C412" s="262">
        <v>45836</v>
      </c>
      <c r="D412" s="263">
        <v>70970</v>
      </c>
      <c r="E412" s="271" t="s">
        <v>509</v>
      </c>
      <c r="F412" s="265">
        <f>1641-85</f>
        <v>1556</v>
      </c>
      <c r="G412" s="265">
        <v>39.700000000000003</v>
      </c>
      <c r="H412" s="265"/>
      <c r="I412" s="272">
        <f t="shared" si="69"/>
        <v>1516.3</v>
      </c>
      <c r="J412" s="267" t="s">
        <v>156</v>
      </c>
      <c r="K412" s="267">
        <v>1</v>
      </c>
      <c r="L412" s="267">
        <v>1</v>
      </c>
      <c r="M412" s="267">
        <v>1</v>
      </c>
      <c r="N412" s="267">
        <v>1</v>
      </c>
      <c r="O412" s="267">
        <v>1</v>
      </c>
      <c r="P412" s="267">
        <v>1</v>
      </c>
      <c r="Q412" s="267">
        <v>1</v>
      </c>
      <c r="R412" s="267">
        <v>1</v>
      </c>
      <c r="S412" s="269">
        <v>1</v>
      </c>
      <c r="T412" s="63"/>
      <c r="U412" s="301" t="s">
        <v>3398</v>
      </c>
      <c r="V412" s="90"/>
      <c r="W412" s="136"/>
      <c r="X412" s="137"/>
    </row>
    <row r="413" spans="1:29" s="260" customFormat="1">
      <c r="A413" s="261">
        <v>0.1</v>
      </c>
      <c r="B413" s="87">
        <f t="shared" si="70"/>
        <v>9</v>
      </c>
      <c r="C413" s="262">
        <v>45839</v>
      </c>
      <c r="D413" s="357" t="s">
        <v>3447</v>
      </c>
      <c r="E413" s="264" t="s">
        <v>1047</v>
      </c>
      <c r="F413" s="265">
        <v>1261</v>
      </c>
      <c r="G413" s="265">
        <v>39.700000000000003</v>
      </c>
      <c r="H413" s="265"/>
      <c r="I413" s="272">
        <f t="shared" si="69"/>
        <v>1221.3</v>
      </c>
      <c r="J413" s="267"/>
      <c r="K413" s="267">
        <v>1</v>
      </c>
      <c r="L413" s="267">
        <v>1</v>
      </c>
      <c r="M413" s="267"/>
      <c r="N413" s="267">
        <v>1</v>
      </c>
      <c r="O413" s="267">
        <v>1</v>
      </c>
      <c r="P413" s="267">
        <v>1</v>
      </c>
      <c r="Q413" s="314">
        <v>0</v>
      </c>
      <c r="R413" s="314">
        <v>0</v>
      </c>
      <c r="S413" s="366">
        <v>0</v>
      </c>
      <c r="T413" s="63"/>
      <c r="U413" s="94"/>
      <c r="V413" s="90"/>
      <c r="W413" s="91"/>
      <c r="X413" s="92"/>
      <c r="Y413" s="181"/>
      <c r="Z413" s="181"/>
      <c r="AA413" s="181"/>
      <c r="AB413" s="181"/>
      <c r="AC413" s="181"/>
    </row>
    <row r="414" spans="1:29" s="260" customFormat="1">
      <c r="A414" s="181"/>
      <c r="B414" s="11"/>
      <c r="C414" s="36"/>
      <c r="D414" s="10"/>
      <c r="E414" s="10"/>
      <c r="F414" s="97">
        <f>SUM(F405:F413)</f>
        <v>34669</v>
      </c>
      <c r="G414" s="97">
        <f>SUM(G405:G413)</f>
        <v>6005.1</v>
      </c>
      <c r="H414" s="97">
        <f>SUM(H405:H413)</f>
        <v>0</v>
      </c>
      <c r="I414" s="97">
        <f>SUM(I405:I413)</f>
        <v>28663.9</v>
      </c>
      <c r="J414" s="63"/>
      <c r="K414" s="21"/>
      <c r="L414" s="21"/>
      <c r="M414" s="21"/>
      <c r="N414" s="21"/>
      <c r="O414" s="21"/>
      <c r="P414" s="21"/>
      <c r="Q414" s="21"/>
      <c r="R414" s="21"/>
      <c r="S414" s="21"/>
      <c r="T414" s="63"/>
      <c r="U414" s="94"/>
      <c r="V414" s="90"/>
      <c r="W414" s="91"/>
      <c r="X414" s="92"/>
      <c r="Y414" s="181"/>
      <c r="Z414" s="181"/>
      <c r="AA414" s="181"/>
      <c r="AB414" s="181"/>
      <c r="AC414" s="181"/>
    </row>
    <row r="415" spans="1:29" s="260" customFormat="1">
      <c r="A415" s="181"/>
      <c r="B415" s="11"/>
      <c r="C415" s="36"/>
      <c r="D415" s="10"/>
      <c r="E415" s="10"/>
      <c r="F415" s="88"/>
      <c r="G415" s="88"/>
      <c r="H415" s="88"/>
      <c r="I415" s="99"/>
      <c r="J415" s="63"/>
      <c r="K415" s="21"/>
      <c r="L415" s="21"/>
      <c r="M415" s="21"/>
      <c r="N415" s="21"/>
      <c r="O415" s="21"/>
      <c r="P415" s="21"/>
      <c r="Q415" s="21"/>
      <c r="R415" s="21"/>
      <c r="S415" s="21"/>
      <c r="T415" s="63"/>
      <c r="U415" s="94"/>
      <c r="V415" s="90"/>
      <c r="W415" s="91"/>
      <c r="X415" s="92"/>
      <c r="Y415" s="181"/>
      <c r="Z415" s="181"/>
      <c r="AA415" s="181"/>
      <c r="AB415" s="181"/>
      <c r="AC415" s="181"/>
    </row>
    <row r="416" spans="1:29" s="260" customFormat="1">
      <c r="A416" s="181"/>
      <c r="B416" s="100" t="s">
        <v>202</v>
      </c>
      <c r="C416" s="36"/>
      <c r="D416" s="10"/>
      <c r="E416" s="181"/>
      <c r="F416" s="88"/>
      <c r="G416" s="88"/>
      <c r="H416" s="88"/>
      <c r="I416" s="99"/>
      <c r="J416" s="63"/>
      <c r="K416" s="21"/>
      <c r="L416" s="21"/>
      <c r="M416" s="21"/>
      <c r="N416" s="21"/>
      <c r="O416" s="21"/>
      <c r="P416" s="21"/>
      <c r="Q416" s="21"/>
      <c r="R416" s="21"/>
      <c r="S416" s="21"/>
      <c r="T416" s="63"/>
      <c r="U416" s="94"/>
      <c r="V416" s="90"/>
      <c r="W416" s="91"/>
      <c r="X416" s="92"/>
      <c r="Y416" s="181"/>
      <c r="Z416" s="181"/>
      <c r="AA416" s="181"/>
      <c r="AB416" s="181"/>
      <c r="AC416" s="181"/>
    </row>
    <row r="417" spans="1:31" s="181" customFormat="1">
      <c r="A417" s="261">
        <v>0.1</v>
      </c>
      <c r="B417" s="87">
        <v>1</v>
      </c>
      <c r="C417" s="274">
        <v>45789</v>
      </c>
      <c r="D417" s="320" t="s">
        <v>3413</v>
      </c>
      <c r="E417" s="310" t="s">
        <v>294</v>
      </c>
      <c r="F417" s="277">
        <v>2814</v>
      </c>
      <c r="G417" s="277"/>
      <c r="H417" s="277"/>
      <c r="I417" s="278">
        <f>F417-G417-H417</f>
        <v>2814</v>
      </c>
      <c r="J417" s="279" t="s">
        <v>156</v>
      </c>
      <c r="K417" s="279">
        <v>1</v>
      </c>
      <c r="L417" s="279"/>
      <c r="M417" s="279">
        <v>1</v>
      </c>
      <c r="N417" s="279">
        <v>1</v>
      </c>
      <c r="O417" s="279">
        <v>1</v>
      </c>
      <c r="P417" s="322">
        <v>0</v>
      </c>
      <c r="Q417" s="279"/>
      <c r="R417" s="279"/>
      <c r="S417" s="280"/>
      <c r="T417" s="63"/>
      <c r="U417" s="94" t="s">
        <v>3414</v>
      </c>
      <c r="V417" s="90"/>
      <c r="W417" s="136"/>
      <c r="X417" s="137"/>
    </row>
    <row r="418" spans="1:31" s="181" customFormat="1">
      <c r="A418" s="261">
        <v>0.1</v>
      </c>
      <c r="B418" s="87">
        <f>B417+1</f>
        <v>2</v>
      </c>
      <c r="C418" s="282">
        <v>45789</v>
      </c>
      <c r="D418" s="330">
        <v>70063</v>
      </c>
      <c r="E418" s="311" t="s">
        <v>572</v>
      </c>
      <c r="F418" s="284">
        <v>1134.9000000000001</v>
      </c>
      <c r="G418" s="284">
        <f>200</f>
        <v>200</v>
      </c>
      <c r="H418" s="284"/>
      <c r="I418" s="285">
        <f>F418-G418-H418</f>
        <v>934.90000000000009</v>
      </c>
      <c r="J418" s="286" t="s">
        <v>156</v>
      </c>
      <c r="K418" s="286">
        <v>1</v>
      </c>
      <c r="L418" s="286"/>
      <c r="M418" s="286">
        <v>1</v>
      </c>
      <c r="N418" s="286">
        <v>1</v>
      </c>
      <c r="O418" s="286">
        <v>1</v>
      </c>
      <c r="P418" s="332">
        <v>0</v>
      </c>
      <c r="Q418" s="286"/>
      <c r="R418" s="286"/>
      <c r="S418" s="287"/>
      <c r="T418" s="63"/>
      <c r="U418" s="94" t="s">
        <v>3414</v>
      </c>
      <c r="V418" s="90"/>
      <c r="W418" s="136"/>
      <c r="X418" s="137"/>
    </row>
    <row r="419" spans="1:31" s="342" customFormat="1">
      <c r="A419" s="261">
        <v>0.1</v>
      </c>
      <c r="B419" s="87">
        <f>B418+1</f>
        <v>3</v>
      </c>
      <c r="C419" s="282">
        <v>45849</v>
      </c>
      <c r="D419" s="330" t="s">
        <v>3499</v>
      </c>
      <c r="E419" s="311" t="s">
        <v>1313</v>
      </c>
      <c r="F419" s="284">
        <v>6814</v>
      </c>
      <c r="G419" s="284">
        <f>39.7+(187.49)</f>
        <v>227.19</v>
      </c>
      <c r="H419" s="284"/>
      <c r="I419" s="285">
        <f>F419-G419-H419</f>
        <v>6586.81</v>
      </c>
      <c r="J419" s="286" t="s">
        <v>185</v>
      </c>
      <c r="K419" s="286">
        <v>1</v>
      </c>
      <c r="L419" s="286"/>
      <c r="M419" s="286">
        <v>1</v>
      </c>
      <c r="N419" s="286">
        <v>1</v>
      </c>
      <c r="O419" s="286">
        <v>1</v>
      </c>
      <c r="P419" s="332">
        <v>0</v>
      </c>
      <c r="Q419" s="286"/>
      <c r="R419" s="286"/>
      <c r="S419" s="287"/>
      <c r="T419" s="63"/>
      <c r="U419" s="94" t="s">
        <v>3546</v>
      </c>
      <c r="V419" s="90"/>
      <c r="W419" s="136"/>
      <c r="X419" s="137"/>
      <c r="Y419" s="181"/>
      <c r="Z419" s="181"/>
      <c r="AA419" s="181"/>
      <c r="AB419" s="181"/>
      <c r="AC419" s="181"/>
      <c r="AD419" s="181"/>
      <c r="AE419" s="181"/>
    </row>
    <row r="420" spans="1:31" s="260" customFormat="1">
      <c r="A420" s="181"/>
      <c r="B420" s="11"/>
      <c r="C420" s="36"/>
      <c r="D420" s="10"/>
      <c r="E420" s="10"/>
      <c r="F420" s="97">
        <f>SUM(F417:F419)</f>
        <v>10762.9</v>
      </c>
      <c r="G420" s="97">
        <f>SUM(G417:G419)</f>
        <v>427.19</v>
      </c>
      <c r="H420" s="97">
        <f>SUM(H417:H419)</f>
        <v>0</v>
      </c>
      <c r="I420" s="97">
        <f>SUM(I417:I419)</f>
        <v>10335.710000000001</v>
      </c>
      <c r="J420" s="63"/>
      <c r="K420" s="21"/>
      <c r="L420" s="21"/>
      <c r="M420" s="21"/>
      <c r="N420" s="21"/>
      <c r="O420" s="21"/>
      <c r="P420" s="21"/>
      <c r="Q420" s="21"/>
      <c r="R420" s="21"/>
      <c r="S420" s="21"/>
      <c r="T420" s="63"/>
      <c r="U420" s="94"/>
      <c r="V420" s="90"/>
      <c r="W420" s="91"/>
      <c r="X420" s="92"/>
      <c r="Y420" s="181"/>
      <c r="Z420" s="181"/>
      <c r="AA420" s="181"/>
      <c r="AB420" s="181"/>
      <c r="AC420" s="181"/>
    </row>
    <row r="421" spans="1:31" s="260" customFormat="1">
      <c r="A421" s="181"/>
      <c r="B421" s="11"/>
      <c r="C421" s="36"/>
      <c r="D421" s="10"/>
      <c r="E421" s="10"/>
      <c r="F421" s="88"/>
      <c r="G421" s="88"/>
      <c r="H421" s="88"/>
      <c r="I421" s="99"/>
      <c r="J421" s="10"/>
      <c r="K421" s="63"/>
      <c r="L421" s="63"/>
      <c r="M421" s="63"/>
      <c r="N421" s="63"/>
      <c r="O421" s="63"/>
      <c r="P421" s="63"/>
      <c r="Q421" s="63"/>
      <c r="R421" s="63"/>
      <c r="S421" s="63"/>
      <c r="T421" s="63"/>
      <c r="U421" s="94"/>
      <c r="V421" s="90"/>
      <c r="W421" s="91"/>
      <c r="X421" s="92"/>
      <c r="Y421" s="181"/>
      <c r="Z421" s="181"/>
      <c r="AA421" s="181"/>
      <c r="AB421" s="181"/>
      <c r="AC421" s="181"/>
    </row>
    <row r="422" spans="1:31">
      <c r="A422" s="2"/>
      <c r="B422" s="100" t="s">
        <v>72</v>
      </c>
      <c r="C422" s="36"/>
      <c r="D422" s="10"/>
      <c r="E422" s="10"/>
      <c r="F422" s="88"/>
      <c r="G422" s="88"/>
      <c r="H422" s="88"/>
      <c r="I422" s="99"/>
      <c r="J422" s="63"/>
      <c r="K422" s="63"/>
      <c r="L422" s="63"/>
      <c r="M422" s="63"/>
      <c r="N422" s="63"/>
      <c r="O422" s="63"/>
      <c r="P422" s="63"/>
      <c r="Q422" s="63"/>
      <c r="R422" s="63"/>
      <c r="S422" s="63"/>
      <c r="T422" s="63"/>
      <c r="U422" s="94"/>
      <c r="V422" s="90"/>
      <c r="W422" s="91"/>
      <c r="X422" s="92"/>
      <c r="Y422" s="2"/>
      <c r="Z422" s="2"/>
      <c r="AA422" s="2"/>
      <c r="AB422" s="2"/>
      <c r="AC422" s="2"/>
    </row>
    <row r="423" spans="1:31">
      <c r="A423" s="2"/>
      <c r="B423" s="87">
        <v>1</v>
      </c>
      <c r="C423" s="274">
        <v>45852</v>
      </c>
      <c r="D423" s="275" t="s">
        <v>3547</v>
      </c>
      <c r="E423" s="276" t="s">
        <v>1249</v>
      </c>
      <c r="F423" s="277">
        <v>8214</v>
      </c>
      <c r="G423" s="277">
        <f>39.7</f>
        <v>39.700000000000003</v>
      </c>
      <c r="H423" s="277"/>
      <c r="I423" s="278">
        <f t="shared" ref="I423:I438" si="71">F423-G423-H423</f>
        <v>8174.3</v>
      </c>
      <c r="J423" s="279" t="s">
        <v>205</v>
      </c>
      <c r="K423" s="279">
        <v>1</v>
      </c>
      <c r="L423" s="279"/>
      <c r="M423" s="279"/>
      <c r="N423" s="279">
        <v>1</v>
      </c>
      <c r="O423" s="279"/>
      <c r="P423" s="279"/>
      <c r="Q423" s="279"/>
      <c r="R423" s="279"/>
      <c r="S423" s="280"/>
      <c r="T423" s="63"/>
      <c r="U423" s="164"/>
      <c r="V423" s="90"/>
      <c r="W423" s="91"/>
      <c r="X423" s="92"/>
      <c r="Y423" s="2"/>
      <c r="Z423" s="2"/>
      <c r="AA423" s="2"/>
      <c r="AB423" s="2"/>
      <c r="AC423" s="2"/>
    </row>
    <row r="424" spans="1:31">
      <c r="A424" s="2"/>
      <c r="B424" s="87">
        <f>B423+1</f>
        <v>2</v>
      </c>
      <c r="C424" s="295">
        <v>45852</v>
      </c>
      <c r="D424" s="10">
        <v>71413</v>
      </c>
      <c r="E424" s="10" t="s">
        <v>1288</v>
      </c>
      <c r="F424" s="62">
        <v>2533</v>
      </c>
      <c r="G424" s="62">
        <f>39.7</f>
        <v>39.700000000000003</v>
      </c>
      <c r="H424" s="62"/>
      <c r="I424" s="89">
        <f t="shared" si="71"/>
        <v>2493.3000000000002</v>
      </c>
      <c r="J424" s="63" t="s">
        <v>205</v>
      </c>
      <c r="K424" s="63">
        <v>1</v>
      </c>
      <c r="L424" s="63"/>
      <c r="M424" s="63"/>
      <c r="N424" s="63">
        <v>1</v>
      </c>
      <c r="O424" s="63"/>
      <c r="P424" s="63"/>
      <c r="Q424" s="63">
        <v>1</v>
      </c>
      <c r="R424" s="63">
        <v>1</v>
      </c>
      <c r="S424" s="296">
        <v>1</v>
      </c>
      <c r="T424" s="63"/>
      <c r="U424" s="94"/>
      <c r="V424" s="90"/>
      <c r="W424" s="136"/>
      <c r="X424" s="137"/>
      <c r="Y424" s="2"/>
      <c r="Z424" s="2"/>
      <c r="AA424" s="2"/>
      <c r="AB424" s="2"/>
      <c r="AC424" s="2"/>
    </row>
    <row r="425" spans="1:31">
      <c r="A425" s="2"/>
      <c r="B425" s="87">
        <f t="shared" ref="B425:B438" si="72">B424+1</f>
        <v>3</v>
      </c>
      <c r="C425" s="274">
        <v>45853</v>
      </c>
      <c r="D425" s="276">
        <v>71439</v>
      </c>
      <c r="E425" s="276" t="s">
        <v>216</v>
      </c>
      <c r="F425" s="277">
        <v>1138</v>
      </c>
      <c r="G425" s="277">
        <f>39.7</f>
        <v>39.700000000000003</v>
      </c>
      <c r="H425" s="277"/>
      <c r="I425" s="278">
        <f t="shared" si="71"/>
        <v>1098.3</v>
      </c>
      <c r="J425" s="279" t="s">
        <v>205</v>
      </c>
      <c r="K425" s="279">
        <v>1</v>
      </c>
      <c r="L425" s="279"/>
      <c r="M425" s="279"/>
      <c r="N425" s="279">
        <v>1</v>
      </c>
      <c r="O425" s="279"/>
      <c r="P425" s="279"/>
      <c r="Q425" s="279"/>
      <c r="R425" s="279"/>
      <c r="S425" s="280"/>
      <c r="T425" s="63"/>
      <c r="U425" s="94"/>
      <c r="V425" s="90"/>
      <c r="W425" s="136"/>
      <c r="X425" s="137"/>
      <c r="Y425" s="2"/>
      <c r="Z425" s="2"/>
      <c r="AA425" s="2"/>
      <c r="AB425" s="2"/>
      <c r="AC425" s="2"/>
    </row>
    <row r="426" spans="1:31">
      <c r="A426" s="2"/>
      <c r="B426" s="87">
        <f t="shared" si="72"/>
        <v>4</v>
      </c>
      <c r="C426" s="295">
        <v>45853</v>
      </c>
      <c r="D426" s="10">
        <v>71462</v>
      </c>
      <c r="E426" s="10" t="s">
        <v>172</v>
      </c>
      <c r="F426" s="62">
        <v>0</v>
      </c>
      <c r="G426" s="62"/>
      <c r="H426" s="62"/>
      <c r="I426" s="89">
        <f t="shared" si="71"/>
        <v>0</v>
      </c>
      <c r="J426" s="63" t="s">
        <v>219</v>
      </c>
      <c r="K426" s="63">
        <v>1</v>
      </c>
      <c r="L426" s="63"/>
      <c r="M426" s="63"/>
      <c r="N426" s="63"/>
      <c r="O426" s="63"/>
      <c r="P426" s="63"/>
      <c r="Q426" s="63"/>
      <c r="R426" s="63"/>
      <c r="S426" s="296"/>
      <c r="T426" s="63"/>
      <c r="U426" s="94" t="s">
        <v>3548</v>
      </c>
      <c r="V426" s="90"/>
      <c r="W426" s="136"/>
      <c r="X426" s="137"/>
      <c r="Y426" s="2"/>
      <c r="Z426" s="2"/>
      <c r="AA426" s="2"/>
      <c r="AB426" s="2"/>
      <c r="AC426" s="2"/>
    </row>
    <row r="427" spans="1:31">
      <c r="A427" s="2"/>
      <c r="B427" s="87">
        <f t="shared" si="72"/>
        <v>5</v>
      </c>
      <c r="C427" s="295">
        <v>45853</v>
      </c>
      <c r="D427" s="10">
        <v>71446</v>
      </c>
      <c r="E427" s="10" t="s">
        <v>444</v>
      </c>
      <c r="F427" s="62">
        <v>0</v>
      </c>
      <c r="G427" s="62"/>
      <c r="H427" s="62"/>
      <c r="I427" s="89">
        <f t="shared" si="71"/>
        <v>0</v>
      </c>
      <c r="J427" s="63" t="s">
        <v>219</v>
      </c>
      <c r="K427" s="63">
        <v>1</v>
      </c>
      <c r="L427" s="63"/>
      <c r="M427" s="63"/>
      <c r="N427" s="63"/>
      <c r="O427" s="63"/>
      <c r="P427" s="63"/>
      <c r="Q427" s="63"/>
      <c r="R427" s="63"/>
      <c r="S427" s="296"/>
      <c r="T427" s="63"/>
      <c r="U427" s="94"/>
      <c r="V427" s="90"/>
      <c r="W427" s="136"/>
      <c r="X427" s="137"/>
      <c r="Y427" s="2"/>
      <c r="Z427" s="2"/>
      <c r="AA427" s="2"/>
      <c r="AB427" s="2"/>
      <c r="AC427" s="2"/>
    </row>
    <row r="428" spans="1:31">
      <c r="A428" s="2"/>
      <c r="B428" s="87">
        <f t="shared" si="72"/>
        <v>6</v>
      </c>
      <c r="C428" s="295">
        <v>45853</v>
      </c>
      <c r="D428" s="10">
        <v>71436</v>
      </c>
      <c r="E428" s="101" t="s">
        <v>299</v>
      </c>
      <c r="F428" s="62">
        <v>2261</v>
      </c>
      <c r="G428" s="62">
        <f>39.7</f>
        <v>39.700000000000003</v>
      </c>
      <c r="H428" s="62"/>
      <c r="I428" s="89">
        <f t="shared" si="71"/>
        <v>2221.3000000000002</v>
      </c>
      <c r="J428" s="63" t="s">
        <v>205</v>
      </c>
      <c r="K428" s="63">
        <v>1</v>
      </c>
      <c r="L428" s="63"/>
      <c r="M428" s="63"/>
      <c r="N428" s="63">
        <v>1</v>
      </c>
      <c r="O428" s="63"/>
      <c r="P428" s="63"/>
      <c r="Q428" s="63"/>
      <c r="R428" s="63"/>
      <c r="S428" s="296"/>
      <c r="T428" s="63"/>
      <c r="U428" s="94"/>
      <c r="V428" s="90"/>
      <c r="W428" s="136"/>
      <c r="X428" s="137"/>
      <c r="Y428" s="2"/>
      <c r="Z428" s="2"/>
      <c r="AA428" s="2"/>
      <c r="AB428" s="2"/>
      <c r="AC428" s="2"/>
    </row>
    <row r="429" spans="1:31">
      <c r="A429" s="388" t="s">
        <v>3549</v>
      </c>
      <c r="B429" s="87">
        <f t="shared" si="72"/>
        <v>7</v>
      </c>
      <c r="C429" s="295">
        <v>45853</v>
      </c>
      <c r="D429" s="77" t="s">
        <v>3550</v>
      </c>
      <c r="E429" s="10" t="s">
        <v>294</v>
      </c>
      <c r="F429" s="62">
        <v>3286</v>
      </c>
      <c r="G429" s="62">
        <f>39.7</f>
        <v>39.700000000000003</v>
      </c>
      <c r="H429" s="88"/>
      <c r="I429" s="89">
        <f t="shared" si="71"/>
        <v>3246.3</v>
      </c>
      <c r="J429" s="63" t="s">
        <v>156</v>
      </c>
      <c r="K429" s="63">
        <v>1</v>
      </c>
      <c r="L429" s="63"/>
      <c r="M429" s="63">
        <v>1</v>
      </c>
      <c r="N429" s="63">
        <v>1</v>
      </c>
      <c r="O429" s="63">
        <v>1</v>
      </c>
      <c r="P429" s="63">
        <v>1</v>
      </c>
      <c r="Q429" s="63"/>
      <c r="R429" s="63"/>
      <c r="S429" s="296"/>
      <c r="T429" s="63"/>
      <c r="U429" s="94" t="s">
        <v>3533</v>
      </c>
      <c r="V429" s="90">
        <f>361.46</f>
        <v>361.46</v>
      </c>
      <c r="W429" s="136"/>
      <c r="X429" s="137"/>
      <c r="Y429" s="2"/>
      <c r="Z429" s="2"/>
      <c r="AA429" s="2"/>
      <c r="AB429" s="2"/>
      <c r="AC429" s="2"/>
    </row>
    <row r="430" spans="1:31">
      <c r="A430" s="2"/>
      <c r="B430" s="87">
        <f t="shared" si="72"/>
        <v>8</v>
      </c>
      <c r="C430" s="274">
        <v>45854</v>
      </c>
      <c r="D430" s="276">
        <v>71468</v>
      </c>
      <c r="E430" s="281" t="s">
        <v>306</v>
      </c>
      <c r="F430" s="277">
        <v>1025</v>
      </c>
      <c r="G430" s="277">
        <f>39.7</f>
        <v>39.700000000000003</v>
      </c>
      <c r="H430" s="277"/>
      <c r="I430" s="278">
        <f t="shared" si="71"/>
        <v>985.3</v>
      </c>
      <c r="J430" s="279" t="s">
        <v>205</v>
      </c>
      <c r="K430" s="279">
        <v>1</v>
      </c>
      <c r="L430" s="279"/>
      <c r="M430" s="279"/>
      <c r="N430" s="279">
        <v>1</v>
      </c>
      <c r="O430" s="279"/>
      <c r="P430" s="279"/>
      <c r="Q430" s="279">
        <v>1</v>
      </c>
      <c r="R430" s="279">
        <v>1</v>
      </c>
      <c r="S430" s="280">
        <v>1</v>
      </c>
      <c r="T430" s="63"/>
      <c r="U430" s="94"/>
      <c r="V430" s="90"/>
      <c r="W430" s="136"/>
      <c r="X430" s="137"/>
      <c r="Y430" s="2"/>
      <c r="Z430" s="2"/>
      <c r="AA430" s="2"/>
      <c r="AB430" s="2"/>
      <c r="AC430" s="2"/>
    </row>
    <row r="431" spans="1:31">
      <c r="A431" s="2"/>
      <c r="B431" s="87">
        <f t="shared" si="72"/>
        <v>9</v>
      </c>
      <c r="C431" s="295">
        <v>45854</v>
      </c>
      <c r="D431" s="10">
        <v>71471</v>
      </c>
      <c r="E431" s="101" t="s">
        <v>2372</v>
      </c>
      <c r="F431" s="62">
        <v>4419</v>
      </c>
      <c r="G431" s="62">
        <f>39.7</f>
        <v>39.700000000000003</v>
      </c>
      <c r="H431" s="62"/>
      <c r="I431" s="89">
        <f t="shared" si="71"/>
        <v>4379.3</v>
      </c>
      <c r="J431" s="63" t="s">
        <v>205</v>
      </c>
      <c r="K431" s="63">
        <v>1</v>
      </c>
      <c r="L431" s="63"/>
      <c r="M431" s="63"/>
      <c r="N431" s="63">
        <v>1</v>
      </c>
      <c r="O431" s="63"/>
      <c r="P431" s="63"/>
      <c r="Q431" s="63"/>
      <c r="R431" s="63"/>
      <c r="S431" s="296"/>
      <c r="T431" s="63"/>
      <c r="U431" s="94"/>
      <c r="V431" s="90"/>
      <c r="W431" s="136"/>
      <c r="X431" s="137"/>
      <c r="Y431" s="2"/>
      <c r="Z431" s="2"/>
      <c r="AA431" s="2"/>
      <c r="AB431" s="2"/>
      <c r="AC431" s="2"/>
    </row>
    <row r="432" spans="1:31">
      <c r="A432" s="2"/>
      <c r="B432" s="87">
        <f t="shared" si="72"/>
        <v>10</v>
      </c>
      <c r="C432" s="274">
        <v>45855</v>
      </c>
      <c r="D432" s="276" t="s">
        <v>3551</v>
      </c>
      <c r="E432" s="281" t="s">
        <v>2061</v>
      </c>
      <c r="F432" s="277">
        <v>12819</v>
      </c>
      <c r="G432" s="277">
        <f>39.7</f>
        <v>39.700000000000003</v>
      </c>
      <c r="H432" s="277"/>
      <c r="I432" s="278">
        <f t="shared" si="71"/>
        <v>12779.3</v>
      </c>
      <c r="J432" s="279" t="s">
        <v>205</v>
      </c>
      <c r="K432" s="279">
        <v>1</v>
      </c>
      <c r="L432" s="279"/>
      <c r="M432" s="279"/>
      <c r="N432" s="279">
        <v>1</v>
      </c>
      <c r="O432" s="279"/>
      <c r="P432" s="279"/>
      <c r="Q432" s="279"/>
      <c r="R432" s="279"/>
      <c r="S432" s="280"/>
      <c r="T432" s="63"/>
      <c r="U432" s="94"/>
      <c r="V432" s="90"/>
      <c r="W432" s="136"/>
      <c r="X432" s="137"/>
      <c r="Y432" s="2"/>
      <c r="Z432" s="2"/>
      <c r="AA432" s="2"/>
      <c r="AB432" s="2"/>
      <c r="AC432" s="2"/>
    </row>
    <row r="433" spans="1:29">
      <c r="A433" s="2"/>
      <c r="B433" s="87">
        <f t="shared" si="72"/>
        <v>11</v>
      </c>
      <c r="C433" s="295">
        <v>45855</v>
      </c>
      <c r="D433" s="10">
        <v>71523</v>
      </c>
      <c r="E433" s="101" t="s">
        <v>3552</v>
      </c>
      <c r="F433" s="62">
        <v>1134</v>
      </c>
      <c r="G433" s="62">
        <v>39.700000000000003</v>
      </c>
      <c r="H433" s="62"/>
      <c r="I433" s="89">
        <f t="shared" si="71"/>
        <v>1094.3</v>
      </c>
      <c r="J433" s="63" t="s">
        <v>205</v>
      </c>
      <c r="K433" s="63">
        <v>1</v>
      </c>
      <c r="L433" s="63"/>
      <c r="M433" s="63"/>
      <c r="N433" s="63">
        <v>1</v>
      </c>
      <c r="O433" s="63"/>
      <c r="P433" s="63"/>
      <c r="Q433" s="63"/>
      <c r="R433" s="63"/>
      <c r="S433" s="296"/>
      <c r="T433" s="63"/>
      <c r="U433" s="94"/>
      <c r="V433" s="90"/>
      <c r="W433" s="136"/>
      <c r="X433" s="137"/>
      <c r="Y433" s="2"/>
      <c r="Z433" s="2"/>
      <c r="AA433" s="2"/>
      <c r="AB433" s="2"/>
      <c r="AC433" s="2"/>
    </row>
    <row r="434" spans="1:29">
      <c r="A434" s="2"/>
      <c r="B434" s="87">
        <f t="shared" si="72"/>
        <v>12</v>
      </c>
      <c r="C434" s="295">
        <v>45855</v>
      </c>
      <c r="D434" s="77" t="s">
        <v>3553</v>
      </c>
      <c r="E434" s="101" t="s">
        <v>1143</v>
      </c>
      <c r="F434" s="62">
        <v>1993</v>
      </c>
      <c r="G434" s="62">
        <v>39.700000000000003</v>
      </c>
      <c r="H434" s="62"/>
      <c r="I434" s="89">
        <f t="shared" si="71"/>
        <v>1953.3</v>
      </c>
      <c r="J434" s="63" t="s">
        <v>205</v>
      </c>
      <c r="K434" s="63">
        <v>1</v>
      </c>
      <c r="L434" s="63"/>
      <c r="M434" s="63"/>
      <c r="N434" s="63">
        <v>1</v>
      </c>
      <c r="O434" s="63"/>
      <c r="P434" s="63"/>
      <c r="Q434" s="63"/>
      <c r="R434" s="63"/>
      <c r="S434" s="296"/>
      <c r="T434" s="63"/>
      <c r="U434" s="94"/>
      <c r="V434" s="90"/>
      <c r="W434" s="136"/>
      <c r="X434" s="137"/>
      <c r="Y434" s="2"/>
      <c r="Z434" s="2"/>
      <c r="AA434" s="2"/>
      <c r="AB434" s="2"/>
      <c r="AC434" s="2"/>
    </row>
    <row r="435" spans="1:29">
      <c r="A435" s="2"/>
      <c r="B435" s="87">
        <f t="shared" si="72"/>
        <v>13</v>
      </c>
      <c r="C435" s="295">
        <v>45855</v>
      </c>
      <c r="D435" s="10">
        <v>71509</v>
      </c>
      <c r="E435" s="101" t="s">
        <v>306</v>
      </c>
      <c r="F435" s="62">
        <v>0</v>
      </c>
      <c r="G435" s="62"/>
      <c r="H435" s="62"/>
      <c r="I435" s="89">
        <f t="shared" si="71"/>
        <v>0</v>
      </c>
      <c r="J435" s="63" t="s">
        <v>219</v>
      </c>
      <c r="K435" s="63">
        <v>1</v>
      </c>
      <c r="L435" s="63"/>
      <c r="M435" s="63"/>
      <c r="N435" s="63"/>
      <c r="O435" s="63"/>
      <c r="P435" s="63"/>
      <c r="Q435" s="63">
        <v>1</v>
      </c>
      <c r="R435" s="63">
        <v>1</v>
      </c>
      <c r="S435" s="296">
        <v>1</v>
      </c>
      <c r="T435" s="63"/>
      <c r="U435" s="94"/>
      <c r="V435" s="90"/>
      <c r="W435" s="136"/>
      <c r="X435" s="137"/>
      <c r="Y435" s="2"/>
      <c r="Z435" s="2"/>
      <c r="AA435" s="2"/>
      <c r="AB435" s="2"/>
      <c r="AC435" s="2"/>
    </row>
    <row r="436" spans="1:29">
      <c r="A436" s="2"/>
      <c r="B436" s="87">
        <f t="shared" si="72"/>
        <v>14</v>
      </c>
      <c r="C436" s="274">
        <v>45856</v>
      </c>
      <c r="D436" s="275" t="s">
        <v>3554</v>
      </c>
      <c r="E436" s="276" t="s">
        <v>3555</v>
      </c>
      <c r="F436" s="277">
        <v>16814</v>
      </c>
      <c r="G436" s="277">
        <v>39.700000000000003</v>
      </c>
      <c r="H436" s="277"/>
      <c r="I436" s="278">
        <f t="shared" si="71"/>
        <v>16774.3</v>
      </c>
      <c r="J436" s="279" t="s">
        <v>205</v>
      </c>
      <c r="K436" s="279">
        <v>1</v>
      </c>
      <c r="L436" s="279"/>
      <c r="M436" s="279"/>
      <c r="N436" s="279">
        <v>1</v>
      </c>
      <c r="O436" s="279"/>
      <c r="P436" s="279"/>
      <c r="Q436" s="279"/>
      <c r="R436" s="279"/>
      <c r="S436" s="280"/>
      <c r="T436" s="63"/>
      <c r="U436" s="94"/>
      <c r="V436" s="90"/>
      <c r="W436" s="136"/>
      <c r="X436" s="137"/>
      <c r="Y436" s="2"/>
      <c r="Z436" s="2"/>
      <c r="AA436" s="2"/>
      <c r="AB436" s="2"/>
      <c r="AC436" s="2"/>
    </row>
    <row r="437" spans="1:29">
      <c r="A437" s="2"/>
      <c r="B437" s="87">
        <f t="shared" si="72"/>
        <v>15</v>
      </c>
      <c r="C437" s="295">
        <v>45856</v>
      </c>
      <c r="D437" s="10">
        <v>71549</v>
      </c>
      <c r="E437" s="10" t="s">
        <v>739</v>
      </c>
      <c r="F437" s="62">
        <v>0</v>
      </c>
      <c r="G437" s="62"/>
      <c r="H437" s="62"/>
      <c r="I437" s="89">
        <f t="shared" si="71"/>
        <v>0</v>
      </c>
      <c r="J437" s="63" t="s">
        <v>205</v>
      </c>
      <c r="K437" s="63">
        <v>1</v>
      </c>
      <c r="L437" s="63"/>
      <c r="M437" s="63"/>
      <c r="N437" s="63"/>
      <c r="O437" s="63"/>
      <c r="P437" s="63"/>
      <c r="Q437" s="63"/>
      <c r="R437" s="63"/>
      <c r="S437" s="296"/>
      <c r="T437" s="63"/>
      <c r="U437" s="94" t="s">
        <v>3556</v>
      </c>
      <c r="V437" s="90"/>
      <c r="W437" s="136"/>
      <c r="X437" s="137"/>
      <c r="Y437" s="2"/>
      <c r="Z437" s="2"/>
      <c r="AA437" s="2"/>
      <c r="AB437" s="2"/>
      <c r="AC437" s="2"/>
    </row>
    <row r="438" spans="1:29">
      <c r="A438" s="388">
        <v>45860</v>
      </c>
      <c r="B438" s="87">
        <f t="shared" si="72"/>
        <v>16</v>
      </c>
      <c r="C438" s="282">
        <v>45856</v>
      </c>
      <c r="D438" s="283">
        <v>71581</v>
      </c>
      <c r="E438" s="283" t="s">
        <v>739</v>
      </c>
      <c r="F438" s="284">
        <v>0</v>
      </c>
      <c r="G438" s="284"/>
      <c r="H438" s="284"/>
      <c r="I438" s="285">
        <f t="shared" si="71"/>
        <v>0</v>
      </c>
      <c r="J438" s="286" t="s">
        <v>156</v>
      </c>
      <c r="K438" s="286">
        <v>1</v>
      </c>
      <c r="L438" s="286"/>
      <c r="M438" s="286">
        <v>1</v>
      </c>
      <c r="N438" s="286"/>
      <c r="O438" s="286"/>
      <c r="P438" s="286"/>
      <c r="Q438" s="286">
        <v>1</v>
      </c>
      <c r="R438" s="286">
        <v>1</v>
      </c>
      <c r="S438" s="287">
        <v>1</v>
      </c>
      <c r="T438" s="63"/>
      <c r="U438" s="94" t="s">
        <v>3557</v>
      </c>
      <c r="V438" s="90">
        <v>93.5</v>
      </c>
      <c r="W438" s="136"/>
      <c r="X438" s="137"/>
      <c r="Y438" s="2"/>
      <c r="Z438" s="2"/>
      <c r="AA438" s="2"/>
      <c r="AB438" s="2"/>
      <c r="AC438" s="2"/>
    </row>
    <row r="439" spans="1:29">
      <c r="A439" s="2"/>
      <c r="B439" s="11"/>
      <c r="C439" s="36"/>
      <c r="D439" s="10"/>
      <c r="E439" s="10"/>
      <c r="F439" s="97">
        <f>SUM(F423:F438)</f>
        <v>55636</v>
      </c>
      <c r="G439" s="97">
        <f>SUM(G423:G438)</f>
        <v>436.69999999999993</v>
      </c>
      <c r="H439" s="97">
        <f>SUM(H423:H438)</f>
        <v>0</v>
      </c>
      <c r="I439" s="98">
        <f>SUM(I423:I438)</f>
        <v>55199.3</v>
      </c>
      <c r="J439" s="10"/>
      <c r="K439" s="10"/>
      <c r="L439" s="10"/>
      <c r="M439" s="10"/>
      <c r="N439" s="10"/>
      <c r="O439" s="10"/>
      <c r="P439" s="10"/>
      <c r="Q439" s="10"/>
      <c r="R439" s="10"/>
      <c r="S439" s="10"/>
      <c r="T439" s="63"/>
      <c r="U439" s="94"/>
      <c r="V439" s="90"/>
      <c r="W439" s="91"/>
      <c r="X439" s="92"/>
      <c r="Y439" s="2"/>
      <c r="Z439" s="2"/>
      <c r="AA439" s="2"/>
      <c r="AB439" s="2"/>
      <c r="AC439" s="2"/>
    </row>
    <row r="440" spans="1:29">
      <c r="A440" s="2"/>
      <c r="B440" s="26"/>
      <c r="C440" s="140"/>
      <c r="D440" s="141"/>
      <c r="E440" s="141"/>
      <c r="F440" s="141"/>
      <c r="G440" s="141"/>
      <c r="H440" s="141"/>
      <c r="I440" s="141"/>
      <c r="J440" s="141"/>
      <c r="K440" s="142"/>
      <c r="L440" s="142"/>
      <c r="M440" s="142"/>
      <c r="N440" s="142"/>
      <c r="O440" s="142"/>
      <c r="P440" s="142"/>
      <c r="Q440" s="142"/>
      <c r="R440" s="142"/>
      <c r="S440" s="142"/>
      <c r="T440" s="143">
        <f>SUM(T371:T439)</f>
        <v>0</v>
      </c>
      <c r="U440" s="168"/>
      <c r="V440" s="144">
        <f>SUM(V371:V439)</f>
        <v>51694.41</v>
      </c>
      <c r="W440" s="145">
        <f>SUM(W371:W439)</f>
        <v>3271.3999999999996</v>
      </c>
      <c r="X440" s="146">
        <f>SUM(X371:X439)</f>
        <v>0</v>
      </c>
      <c r="Y440" s="2"/>
      <c r="Z440" s="2"/>
      <c r="AA440" s="2"/>
      <c r="AB440" s="2"/>
      <c r="AC440" s="2"/>
    </row>
    <row r="443" spans="1:29">
      <c r="A443" s="148" t="s">
        <v>74</v>
      </c>
      <c r="B443" s="4" t="s">
        <v>1</v>
      </c>
      <c r="C443" s="5"/>
      <c r="D443" s="83"/>
      <c r="E443" s="6"/>
      <c r="F443" s="7" t="s">
        <v>2</v>
      </c>
      <c r="G443" s="8">
        <v>45865</v>
      </c>
      <c r="H443" s="7"/>
      <c r="I443" s="6"/>
      <c r="J443" s="6"/>
      <c r="K443" s="6"/>
      <c r="L443" s="6"/>
      <c r="M443" s="6"/>
      <c r="N443" s="6"/>
      <c r="O443" s="6"/>
      <c r="P443" s="6"/>
      <c r="Q443" s="6"/>
      <c r="R443" s="6"/>
      <c r="S443" s="6"/>
      <c r="T443" s="6"/>
      <c r="U443" s="149"/>
      <c r="V443" s="77"/>
      <c r="W443" s="77"/>
      <c r="X443" s="77"/>
      <c r="Y443" s="2"/>
      <c r="Z443" s="2"/>
      <c r="AA443" s="2"/>
      <c r="AB443" s="2"/>
      <c r="AC443" s="2"/>
    </row>
    <row r="444" spans="1:29">
      <c r="A444" s="150" t="s">
        <v>75</v>
      </c>
      <c r="B444" s="11"/>
      <c r="C444" s="10"/>
      <c r="D444" s="63"/>
      <c r="E444" s="10"/>
      <c r="F444" s="10"/>
      <c r="G444" s="7"/>
      <c r="H444" s="12"/>
      <c r="I444" s="10"/>
      <c r="J444" s="10"/>
      <c r="K444" s="13" t="s">
        <v>3</v>
      </c>
      <c r="L444" s="14"/>
      <c r="M444" s="15"/>
      <c r="N444" s="13" t="s">
        <v>4</v>
      </c>
      <c r="O444" s="14"/>
      <c r="P444" s="15"/>
      <c r="Q444" s="13" t="s">
        <v>5</v>
      </c>
      <c r="R444" s="14"/>
      <c r="S444" s="15"/>
      <c r="T444" s="16"/>
      <c r="U444" s="151"/>
      <c r="V444" s="77"/>
      <c r="W444" s="77"/>
      <c r="X444" s="77"/>
      <c r="Y444" s="2"/>
      <c r="Z444" s="2"/>
      <c r="AA444" s="2"/>
      <c r="AB444" s="2"/>
      <c r="AC444" s="2"/>
    </row>
    <row r="445" spans="1:29">
      <c r="A445" s="148" t="s">
        <v>76</v>
      </c>
      <c r="B445" s="18" t="s">
        <v>6</v>
      </c>
      <c r="C445" s="19">
        <f>C446+C447</f>
        <v>38</v>
      </c>
      <c r="D445" s="63"/>
      <c r="E445" s="18" t="s">
        <v>7</v>
      </c>
      <c r="F445" s="6"/>
      <c r="G445" s="9"/>
      <c r="H445" s="10"/>
      <c r="I445" s="10"/>
      <c r="J445" s="10"/>
      <c r="K445" s="20" t="s">
        <v>8</v>
      </c>
      <c r="L445" s="21" t="s">
        <v>9</v>
      </c>
      <c r="M445" s="21" t="s">
        <v>10</v>
      </c>
      <c r="N445" s="20" t="s">
        <v>11</v>
      </c>
      <c r="O445" s="21" t="s">
        <v>12</v>
      </c>
      <c r="P445" s="22" t="s">
        <v>13</v>
      </c>
      <c r="Q445" s="21" t="s">
        <v>11</v>
      </c>
      <c r="R445" s="21" t="s">
        <v>12</v>
      </c>
      <c r="S445" s="22" t="s">
        <v>13</v>
      </c>
      <c r="T445" s="23" t="s">
        <v>14</v>
      </c>
      <c r="U445" s="151"/>
      <c r="V445" s="77"/>
      <c r="W445" s="77"/>
      <c r="X445" s="77"/>
      <c r="Y445" s="2"/>
      <c r="Z445" s="2"/>
      <c r="AA445" s="2"/>
      <c r="AB445" s="2"/>
      <c r="AC445" s="2"/>
    </row>
    <row r="446" spans="1:29">
      <c r="A446" s="152" t="s">
        <v>3183</v>
      </c>
      <c r="B446" s="24" t="s">
        <v>15</v>
      </c>
      <c r="C446" s="25">
        <f>P453</f>
        <v>26</v>
      </c>
      <c r="D446" s="63"/>
      <c r="E446" s="11" t="s">
        <v>16</v>
      </c>
      <c r="F446" s="10" t="s">
        <v>78</v>
      </c>
      <c r="G446" s="153">
        <v>0.05</v>
      </c>
      <c r="H446" s="10"/>
      <c r="I446" s="10"/>
      <c r="J446" s="18" t="s">
        <v>17</v>
      </c>
      <c r="K446" s="29">
        <f t="shared" ref="K446:S446" si="73">K490</f>
        <v>19</v>
      </c>
      <c r="L446" s="29">
        <f t="shared" si="73"/>
        <v>19</v>
      </c>
      <c r="M446" s="29">
        <f t="shared" si="73"/>
        <v>18</v>
      </c>
      <c r="N446" s="29">
        <f t="shared" si="73"/>
        <v>19</v>
      </c>
      <c r="O446" s="29">
        <f t="shared" si="73"/>
        <v>19</v>
      </c>
      <c r="P446" s="29">
        <f t="shared" si="73"/>
        <v>19</v>
      </c>
      <c r="Q446" s="29">
        <f t="shared" si="73"/>
        <v>16</v>
      </c>
      <c r="R446" s="29">
        <f t="shared" si="73"/>
        <v>16</v>
      </c>
      <c r="S446" s="29">
        <f t="shared" si="73"/>
        <v>16</v>
      </c>
      <c r="T446" s="30">
        <f>T543</f>
        <v>0</v>
      </c>
      <c r="U446" s="151"/>
      <c r="V446" s="77"/>
      <c r="W446" s="77"/>
      <c r="X446" s="77"/>
      <c r="Y446" s="2"/>
      <c r="Z446" s="2"/>
      <c r="AA446" s="2"/>
      <c r="AB446" s="2"/>
      <c r="AC446" s="2"/>
    </row>
    <row r="447" spans="1:29">
      <c r="A447" s="152" t="s">
        <v>3184</v>
      </c>
      <c r="B447" s="24" t="s">
        <v>18</v>
      </c>
      <c r="C447" s="25">
        <f>P454</f>
        <v>12</v>
      </c>
      <c r="D447" s="63"/>
      <c r="E447" s="26" t="s">
        <v>80</v>
      </c>
      <c r="F447" s="141" t="s">
        <v>81</v>
      </c>
      <c r="G447" s="154">
        <v>0.1</v>
      </c>
      <c r="H447" s="10"/>
      <c r="I447" s="10"/>
      <c r="J447" s="32" t="s">
        <v>19</v>
      </c>
      <c r="K447" s="33">
        <f t="shared" ref="K447:S447" si="74">K490/K489</f>
        <v>1</v>
      </c>
      <c r="L447" s="33">
        <f t="shared" si="74"/>
        <v>1</v>
      </c>
      <c r="M447" s="33">
        <f t="shared" si="74"/>
        <v>0.94736842105263153</v>
      </c>
      <c r="N447" s="33">
        <f t="shared" si="74"/>
        <v>1</v>
      </c>
      <c r="O447" s="33">
        <f t="shared" si="74"/>
        <v>1</v>
      </c>
      <c r="P447" s="33">
        <f t="shared" si="74"/>
        <v>1</v>
      </c>
      <c r="Q447" s="33">
        <f t="shared" si="74"/>
        <v>0.84210526315789469</v>
      </c>
      <c r="R447" s="33">
        <f t="shared" si="74"/>
        <v>0.84210526315789469</v>
      </c>
      <c r="S447" s="33">
        <f t="shared" si="74"/>
        <v>0.84210526315789469</v>
      </c>
      <c r="T447" s="23"/>
      <c r="U447" s="151" t="s">
        <v>20</v>
      </c>
      <c r="V447" s="77"/>
      <c r="W447" s="77"/>
      <c r="X447" s="77"/>
      <c r="Y447" s="2"/>
      <c r="Z447" s="2"/>
      <c r="AA447" s="2"/>
      <c r="AB447" s="2"/>
      <c r="AC447" s="2"/>
    </row>
    <row r="448" spans="1:29">
      <c r="A448" s="2"/>
      <c r="B448" s="24" t="s">
        <v>21</v>
      </c>
      <c r="C448" s="34">
        <f>P455</f>
        <v>0.68421052631578949</v>
      </c>
      <c r="D448" s="63"/>
      <c r="E448" s="10"/>
      <c r="F448" s="10"/>
      <c r="G448" s="10"/>
      <c r="H448" s="10"/>
      <c r="I448" s="10"/>
      <c r="J448" s="10"/>
      <c r="K448" s="10"/>
      <c r="L448" s="10"/>
      <c r="M448" s="10"/>
      <c r="N448" s="10"/>
      <c r="O448" s="10"/>
      <c r="P448" s="10"/>
      <c r="Q448" s="10"/>
      <c r="R448" s="10"/>
      <c r="S448" s="10"/>
      <c r="T448" s="10"/>
      <c r="U448" s="151"/>
      <c r="V448" s="77"/>
      <c r="W448" s="77"/>
      <c r="X448" s="77"/>
      <c r="Y448" s="2"/>
      <c r="Z448" s="2"/>
      <c r="AA448" s="2"/>
      <c r="AB448" s="2"/>
      <c r="AC448" s="2"/>
    </row>
    <row r="449" spans="1:29">
      <c r="A449" s="2"/>
      <c r="B449" s="24"/>
      <c r="C449" s="25"/>
      <c r="D449" s="63"/>
      <c r="E449" s="10"/>
      <c r="F449" s="18" t="s">
        <v>22</v>
      </c>
      <c r="G449" s="19" t="s">
        <v>23</v>
      </c>
      <c r="H449" s="35" t="s">
        <v>24</v>
      </c>
      <c r="I449" s="10"/>
      <c r="J449" s="10"/>
      <c r="K449" s="36"/>
      <c r="L449" s="36"/>
      <c r="M449" s="36"/>
      <c r="N449" s="36"/>
      <c r="O449" s="36"/>
      <c r="P449" s="36"/>
      <c r="Q449" s="36"/>
      <c r="R449" s="10"/>
      <c r="S449" s="10"/>
      <c r="T449" s="10"/>
      <c r="U449" s="151"/>
      <c r="V449" s="77"/>
      <c r="W449" s="77"/>
      <c r="X449" s="77"/>
      <c r="Y449" s="2"/>
      <c r="Z449" s="2"/>
      <c r="AA449" s="2"/>
      <c r="AB449" s="2"/>
      <c r="AC449" s="2"/>
    </row>
    <row r="450" spans="1:29">
      <c r="A450" s="2"/>
      <c r="B450" s="32" t="s">
        <v>25</v>
      </c>
      <c r="C450" s="37">
        <f>P456</f>
        <v>4801.9692307692303</v>
      </c>
      <c r="D450" s="63"/>
      <c r="E450" s="18" t="s">
        <v>26</v>
      </c>
      <c r="F450" s="38">
        <f>P452</f>
        <v>124851.2</v>
      </c>
      <c r="G450" s="39">
        <f>I489+I501+I509</f>
        <v>124851.2</v>
      </c>
      <c r="H450" s="40"/>
      <c r="I450" s="41"/>
      <c r="J450" s="42"/>
      <c r="K450" s="43" t="s">
        <v>27</v>
      </c>
      <c r="L450" s="44"/>
      <c r="M450" s="44"/>
      <c r="N450" s="44"/>
      <c r="O450" s="44"/>
      <c r="P450" s="44"/>
      <c r="Q450" s="45"/>
      <c r="R450" s="46" t="s">
        <v>28</v>
      </c>
      <c r="S450" s="47" t="s">
        <v>29</v>
      </c>
      <c r="T450" s="10"/>
      <c r="U450" s="151"/>
      <c r="V450" s="77"/>
      <c r="W450" s="77"/>
      <c r="X450" s="77"/>
      <c r="Y450" s="2"/>
      <c r="Z450" s="2"/>
      <c r="AA450" s="2"/>
      <c r="AB450" s="2"/>
      <c r="AC450" s="2"/>
    </row>
    <row r="451" spans="1:29">
      <c r="A451" s="2"/>
      <c r="B451" s="11"/>
      <c r="C451" s="10"/>
      <c r="D451" s="63"/>
      <c r="E451" s="24" t="s">
        <v>30</v>
      </c>
      <c r="F451" s="48">
        <f>IF(F450&gt;=25000,10%,5%)</f>
        <v>0.1</v>
      </c>
      <c r="G451" s="17"/>
      <c r="H451" s="40"/>
      <c r="I451" s="41"/>
      <c r="J451" s="42"/>
      <c r="K451" s="20" t="s">
        <v>31</v>
      </c>
      <c r="L451" s="21" t="s">
        <v>32</v>
      </c>
      <c r="M451" s="21" t="s">
        <v>33</v>
      </c>
      <c r="N451" s="21" t="s">
        <v>34</v>
      </c>
      <c r="O451" s="21" t="s">
        <v>35</v>
      </c>
      <c r="P451" s="21" t="s">
        <v>36</v>
      </c>
      <c r="Q451" s="49" t="s">
        <v>37</v>
      </c>
      <c r="R451" s="50" t="s">
        <v>38</v>
      </c>
      <c r="S451" s="50" t="s">
        <v>38</v>
      </c>
      <c r="T451" s="10"/>
      <c r="U451" s="151"/>
      <c r="V451" s="77"/>
      <c r="W451" s="77"/>
      <c r="X451" s="77"/>
      <c r="Y451" s="2"/>
      <c r="Z451" s="2"/>
      <c r="AA451" s="2"/>
      <c r="AB451" s="2"/>
      <c r="AC451" s="2"/>
    </row>
    <row r="452" spans="1:29">
      <c r="A452" s="2"/>
      <c r="B452" s="11"/>
      <c r="C452" s="10"/>
      <c r="D452" s="63"/>
      <c r="E452" s="51" t="s">
        <v>39</v>
      </c>
      <c r="F452" s="52">
        <f>(F450-I484-I499-I500-I504-I505-I506-I507-I508)*F451</f>
        <v>2393.7230000000004</v>
      </c>
      <c r="G452" s="53" t="s">
        <v>40</v>
      </c>
      <c r="H452" s="54">
        <f>F452/1.12</f>
        <v>2137.2526785714285</v>
      </c>
      <c r="I452" s="55"/>
      <c r="J452" s="42"/>
      <c r="K452" s="56">
        <f>I470+I471+I472+I473+I474</f>
        <v>9641.86</v>
      </c>
      <c r="L452" s="57">
        <f>I475+I476</f>
        <v>2430.6</v>
      </c>
      <c r="M452" s="57">
        <f>I477+I478+I479+I480+I481+I482+I499+I504</f>
        <v>18604.79</v>
      </c>
      <c r="N452" s="57">
        <f>I485+I483+I484+I505+I500+I506</f>
        <v>20839.72</v>
      </c>
      <c r="O452" s="57">
        <f>I486+I487+I488+I507+I508</f>
        <v>73334.23</v>
      </c>
      <c r="P452" s="57">
        <f>SUM(K452:O452)</f>
        <v>124851.2</v>
      </c>
      <c r="Q452" s="58">
        <v>0</v>
      </c>
      <c r="R452" s="59">
        <f>I501+I509</f>
        <v>100236.52</v>
      </c>
      <c r="S452" s="59">
        <v>0</v>
      </c>
      <c r="T452" s="10"/>
      <c r="U452" s="151"/>
      <c r="V452" s="77"/>
      <c r="W452" s="77"/>
      <c r="X452" s="77"/>
      <c r="Y452" s="2"/>
      <c r="Z452" s="2"/>
      <c r="AA452" s="2"/>
      <c r="AB452" s="2"/>
      <c r="AC452" s="2" t="s">
        <v>85</v>
      </c>
    </row>
    <row r="453" spans="1:29">
      <c r="A453" s="2"/>
      <c r="B453" s="11"/>
      <c r="C453" s="10"/>
      <c r="D453" s="63"/>
      <c r="E453" s="24" t="s">
        <v>41</v>
      </c>
      <c r="F453" s="60">
        <f>Q452</f>
        <v>0</v>
      </c>
      <c r="G453" s="61" t="s">
        <v>40</v>
      </c>
      <c r="H453" s="62"/>
      <c r="I453" s="62"/>
      <c r="J453" s="10" t="s">
        <v>42</v>
      </c>
      <c r="K453" s="63">
        <v>5</v>
      </c>
      <c r="L453" s="63">
        <v>2</v>
      </c>
      <c r="M453" s="63">
        <v>8</v>
      </c>
      <c r="N453" s="63">
        <v>6</v>
      </c>
      <c r="O453" s="63">
        <v>5</v>
      </c>
      <c r="P453" s="21">
        <f>SUM(K453:O453)</f>
        <v>26</v>
      </c>
      <c r="Q453" s="64"/>
      <c r="R453" s="63"/>
      <c r="S453" s="10"/>
      <c r="T453" s="10"/>
      <c r="U453" s="151"/>
      <c r="V453" s="77"/>
      <c r="W453" s="77"/>
      <c r="X453" s="77"/>
      <c r="Y453" s="2"/>
      <c r="Z453" s="2"/>
      <c r="AA453" s="2"/>
      <c r="AB453" s="2"/>
      <c r="AC453" s="2"/>
    </row>
    <row r="454" spans="1:29">
      <c r="A454" s="2"/>
      <c r="B454" s="11"/>
      <c r="C454" s="10"/>
      <c r="D454" s="63"/>
      <c r="E454" s="51" t="s">
        <v>43</v>
      </c>
      <c r="F454" s="52">
        <f>F453*0.25</f>
        <v>0</v>
      </c>
      <c r="G454" s="53" t="s">
        <v>40</v>
      </c>
      <c r="H454" s="54">
        <f>F454/1.12</f>
        <v>0</v>
      </c>
      <c r="I454" s="10"/>
      <c r="J454" s="10" t="s">
        <v>44</v>
      </c>
      <c r="K454" s="63">
        <v>5</v>
      </c>
      <c r="L454" s="63">
        <v>2</v>
      </c>
      <c r="M454" s="63">
        <v>2</v>
      </c>
      <c r="N454" s="63">
        <v>1</v>
      </c>
      <c r="O454" s="63">
        <v>2</v>
      </c>
      <c r="P454" s="21">
        <f>SUM(K454:O454)</f>
        <v>12</v>
      </c>
      <c r="Q454" s="64"/>
      <c r="R454" s="63"/>
      <c r="S454" s="10"/>
      <c r="T454" s="10"/>
      <c r="U454" s="151"/>
      <c r="V454" s="77"/>
      <c r="W454" s="77"/>
      <c r="X454" s="77"/>
      <c r="Y454" s="2"/>
      <c r="Z454" s="2"/>
      <c r="AA454" s="2"/>
      <c r="AB454" s="2"/>
      <c r="AC454" s="2"/>
    </row>
    <row r="455" spans="1:29">
      <c r="A455" s="2"/>
      <c r="B455" s="11"/>
      <c r="C455" s="10"/>
      <c r="D455" s="63"/>
      <c r="E455" s="24" t="s">
        <v>45</v>
      </c>
      <c r="F455" s="60">
        <f>I496</f>
        <v>10651.76</v>
      </c>
      <c r="G455" s="61" t="s">
        <v>40</v>
      </c>
      <c r="H455" s="62"/>
      <c r="I455" s="10"/>
      <c r="J455" s="10" t="s">
        <v>46</v>
      </c>
      <c r="K455" s="31">
        <f t="shared" ref="K455:Q455" si="75">K453/(K453+K454)</f>
        <v>0.5</v>
      </c>
      <c r="L455" s="31">
        <f t="shared" si="75"/>
        <v>0.5</v>
      </c>
      <c r="M455" s="31">
        <f t="shared" si="75"/>
        <v>0.8</v>
      </c>
      <c r="N455" s="31">
        <f t="shared" si="75"/>
        <v>0.8571428571428571</v>
      </c>
      <c r="O455" s="31">
        <f t="shared" si="75"/>
        <v>0.7142857142857143</v>
      </c>
      <c r="P455" s="31">
        <f t="shared" si="75"/>
        <v>0.68421052631578949</v>
      </c>
      <c r="Q455" s="31" t="e">
        <f t="shared" si="75"/>
        <v>#DIV/0!</v>
      </c>
      <c r="R455" s="63"/>
      <c r="S455" s="10"/>
      <c r="T455" s="10"/>
      <c r="U455" s="151"/>
      <c r="V455" s="77"/>
      <c r="W455" s="77"/>
      <c r="X455" s="77"/>
      <c r="Y455" s="2"/>
      <c r="Z455" s="2"/>
      <c r="AA455" s="2"/>
      <c r="AB455" s="2"/>
      <c r="AC455" s="2"/>
    </row>
    <row r="456" spans="1:29">
      <c r="A456" s="2"/>
      <c r="B456" s="11"/>
      <c r="C456" s="10"/>
      <c r="D456" s="63"/>
      <c r="E456" s="51" t="s">
        <v>47</v>
      </c>
      <c r="F456" s="52">
        <f>(F455+F459+F460-I493)*0.05</f>
        <v>474.65150000000006</v>
      </c>
      <c r="G456" s="65" t="s">
        <v>40</v>
      </c>
      <c r="H456" s="54">
        <f>F456/1.12</f>
        <v>423.79598214285716</v>
      </c>
      <c r="I456" s="42"/>
      <c r="J456" s="10" t="s">
        <v>48</v>
      </c>
      <c r="K456" s="66">
        <f t="shared" ref="K456:Q456" si="76">K452/K453</f>
        <v>1928.3720000000001</v>
      </c>
      <c r="L456" s="66">
        <f t="shared" si="76"/>
        <v>1215.3</v>
      </c>
      <c r="M456" s="66">
        <f t="shared" si="76"/>
        <v>2325.5987500000001</v>
      </c>
      <c r="N456" s="66">
        <f t="shared" si="76"/>
        <v>3473.2866666666669</v>
      </c>
      <c r="O456" s="66">
        <f t="shared" si="76"/>
        <v>14666.846</v>
      </c>
      <c r="P456" s="66">
        <f t="shared" si="76"/>
        <v>4801.9692307692303</v>
      </c>
      <c r="Q456" s="66" t="e">
        <f t="shared" si="76"/>
        <v>#DIV/0!</v>
      </c>
      <c r="R456" s="63"/>
      <c r="S456" s="10"/>
      <c r="T456" s="10"/>
      <c r="U456" s="151"/>
      <c r="V456" s="77"/>
      <c r="W456" s="77"/>
      <c r="X456" s="77"/>
      <c r="Y456" s="2"/>
      <c r="Z456" s="2"/>
      <c r="AA456" s="2"/>
      <c r="AB456" s="2"/>
      <c r="AC456" s="2"/>
    </row>
    <row r="457" spans="1:29">
      <c r="A457" s="128"/>
      <c r="B457" s="132"/>
      <c r="C457" s="123"/>
      <c r="D457" s="127"/>
      <c r="E457" s="155" t="s">
        <v>14</v>
      </c>
      <c r="F457" s="156">
        <f>1*50</f>
        <v>50</v>
      </c>
      <c r="G457" s="123"/>
      <c r="H457" s="54">
        <f>F457/1.12</f>
        <v>44.642857142857139</v>
      </c>
      <c r="I457" s="123"/>
      <c r="J457" s="123"/>
      <c r="K457" s="123"/>
      <c r="L457" s="123"/>
      <c r="M457" s="123"/>
      <c r="N457" s="123"/>
      <c r="O457" s="123"/>
      <c r="P457" s="123"/>
      <c r="Q457" s="123"/>
      <c r="R457" s="123"/>
      <c r="S457" s="123"/>
      <c r="T457" s="123"/>
      <c r="U457" s="157"/>
      <c r="V457" s="123"/>
      <c r="W457" s="123"/>
      <c r="X457" s="123"/>
      <c r="Y457" s="128"/>
      <c r="Z457" s="128"/>
      <c r="AA457" s="128"/>
      <c r="AB457" s="128"/>
      <c r="AC457" s="128"/>
    </row>
    <row r="458" spans="1:29">
      <c r="A458" s="128"/>
      <c r="B458" s="132"/>
      <c r="C458" s="123"/>
      <c r="D458" s="127"/>
      <c r="E458" s="158" t="s">
        <v>49</v>
      </c>
      <c r="F458" s="159">
        <f>T447</f>
        <v>0</v>
      </c>
      <c r="G458" s="123"/>
      <c r="H458" s="54"/>
      <c r="I458" s="123"/>
      <c r="J458" s="42"/>
      <c r="K458" s="764" t="s">
        <v>50</v>
      </c>
      <c r="L458" s="765"/>
      <c r="M458" s="765"/>
      <c r="N458" s="765"/>
      <c r="O458" s="765"/>
      <c r="P458" s="765"/>
      <c r="Q458" s="766"/>
      <c r="R458" s="70" t="s">
        <v>28</v>
      </c>
      <c r="S458" s="71" t="s">
        <v>29</v>
      </c>
      <c r="T458" s="123"/>
      <c r="U458" s="157"/>
      <c r="V458" s="123"/>
      <c r="W458" s="123"/>
      <c r="X458" s="123"/>
      <c r="Y458" s="128"/>
      <c r="Z458" s="128"/>
      <c r="AA458" s="128"/>
      <c r="AB458" s="128"/>
      <c r="AC458" s="128"/>
    </row>
    <row r="459" spans="1:29">
      <c r="A459" s="128"/>
      <c r="B459" s="132"/>
      <c r="C459" s="123"/>
      <c r="D459" s="127"/>
      <c r="E459" s="514" t="s">
        <v>3558</v>
      </c>
      <c r="F459" s="517">
        <v>-784.18</v>
      </c>
      <c r="G459" s="123"/>
      <c r="H459" s="54"/>
      <c r="I459" s="123"/>
      <c r="J459" s="42"/>
      <c r="K459" s="20" t="s">
        <v>31</v>
      </c>
      <c r="L459" s="21" t="s">
        <v>32</v>
      </c>
      <c r="M459" s="21" t="s">
        <v>33</v>
      </c>
      <c r="N459" s="21" t="s">
        <v>34</v>
      </c>
      <c r="O459" s="21" t="s">
        <v>35</v>
      </c>
      <c r="P459" s="21" t="s">
        <v>36</v>
      </c>
      <c r="Q459" s="49" t="s">
        <v>37</v>
      </c>
      <c r="R459" s="50" t="s">
        <v>38</v>
      </c>
      <c r="S459" s="50" t="s">
        <v>38</v>
      </c>
      <c r="T459" s="123"/>
      <c r="U459" s="157"/>
      <c r="V459" s="123"/>
      <c r="W459" s="123"/>
      <c r="X459" s="123"/>
      <c r="Y459" s="128"/>
      <c r="Z459" s="128"/>
      <c r="AA459" s="128"/>
      <c r="AB459" s="128"/>
      <c r="AC459" s="128"/>
    </row>
    <row r="460" spans="1:29">
      <c r="A460" s="128"/>
      <c r="B460" s="132"/>
      <c r="C460" s="123"/>
      <c r="D460" s="127"/>
      <c r="E460" s="455" t="s">
        <v>3559</v>
      </c>
      <c r="F460" s="75">
        <f>-374.55</f>
        <v>-374.55</v>
      </c>
      <c r="G460" s="123"/>
      <c r="H460" s="54"/>
      <c r="I460" s="123"/>
      <c r="J460" s="42"/>
      <c r="K460" s="56">
        <f>F470+F471+F472+F473+F474</f>
        <v>12442</v>
      </c>
      <c r="L460" s="57">
        <f>F475+F476</f>
        <v>2510</v>
      </c>
      <c r="M460" s="57">
        <f>F477+F478+F479+F480+F481+F482+F499+F504</f>
        <v>25373</v>
      </c>
      <c r="N460" s="57">
        <f>F485+F483+F484+F505+F500+F506</f>
        <v>27608</v>
      </c>
      <c r="O460" s="57">
        <f>F486+F487+F488+F507+F508</f>
        <v>97272</v>
      </c>
      <c r="P460" s="57">
        <f>SUM(K460:O460)</f>
        <v>165205</v>
      </c>
      <c r="Q460" s="58">
        <v>0</v>
      </c>
      <c r="R460" s="59"/>
      <c r="S460" s="59">
        <v>0</v>
      </c>
      <c r="T460" s="123"/>
      <c r="U460" s="157"/>
      <c r="V460" s="123"/>
      <c r="W460" s="123"/>
      <c r="X460" s="123"/>
      <c r="Y460" s="128"/>
      <c r="Z460" s="128"/>
      <c r="AA460" s="128"/>
      <c r="AB460" s="128"/>
      <c r="AC460" s="128"/>
    </row>
    <row r="461" spans="1:29">
      <c r="A461" s="128"/>
      <c r="B461" s="132"/>
      <c r="C461" s="123"/>
      <c r="D461" s="127"/>
      <c r="E461" s="12"/>
      <c r="F461" s="12"/>
      <c r="G461" s="123"/>
      <c r="H461" s="54"/>
      <c r="I461" s="123"/>
      <c r="J461" s="10" t="s">
        <v>42</v>
      </c>
      <c r="K461" s="63">
        <f t="shared" ref="K461:Q462" si="77">K453</f>
        <v>5</v>
      </c>
      <c r="L461" s="63">
        <f t="shared" si="77"/>
        <v>2</v>
      </c>
      <c r="M461" s="63">
        <f t="shared" si="77"/>
        <v>8</v>
      </c>
      <c r="N461" s="63">
        <f t="shared" si="77"/>
        <v>6</v>
      </c>
      <c r="O461" s="63">
        <f t="shared" si="77"/>
        <v>5</v>
      </c>
      <c r="P461" s="63">
        <f t="shared" si="77"/>
        <v>26</v>
      </c>
      <c r="Q461" s="63">
        <f t="shared" si="77"/>
        <v>0</v>
      </c>
      <c r="R461" s="63"/>
      <c r="S461" s="10"/>
      <c r="T461" s="123"/>
      <c r="U461" s="157"/>
      <c r="V461" s="123"/>
      <c r="W461" s="123"/>
      <c r="X461" s="123"/>
      <c r="Y461" s="128"/>
      <c r="Z461" s="128"/>
      <c r="AA461" s="128"/>
      <c r="AB461" s="128"/>
      <c r="AC461" s="128"/>
    </row>
    <row r="462" spans="1:29">
      <c r="A462" s="128"/>
      <c r="B462" s="132"/>
      <c r="C462" s="123"/>
      <c r="D462" s="127"/>
      <c r="E462" s="10"/>
      <c r="F462" s="10"/>
      <c r="G462" s="123"/>
      <c r="H462" s="54"/>
      <c r="I462" s="123"/>
      <c r="J462" s="10" t="s">
        <v>44</v>
      </c>
      <c r="K462" s="63">
        <f t="shared" si="77"/>
        <v>5</v>
      </c>
      <c r="L462" s="63">
        <f t="shared" si="77"/>
        <v>2</v>
      </c>
      <c r="M462" s="63">
        <f t="shared" si="77"/>
        <v>2</v>
      </c>
      <c r="N462" s="63">
        <f t="shared" si="77"/>
        <v>1</v>
      </c>
      <c r="O462" s="63">
        <f t="shared" si="77"/>
        <v>2</v>
      </c>
      <c r="P462" s="63">
        <f t="shared" si="77"/>
        <v>12</v>
      </c>
      <c r="Q462" s="63">
        <f t="shared" si="77"/>
        <v>0</v>
      </c>
      <c r="R462" s="63"/>
      <c r="S462" s="10"/>
      <c r="T462" s="123"/>
      <c r="U462" s="157"/>
      <c r="V462" s="123"/>
      <c r="W462" s="123"/>
      <c r="X462" s="123"/>
      <c r="Y462" s="128"/>
      <c r="Z462" s="128"/>
      <c r="AA462" s="128"/>
      <c r="AB462" s="128"/>
      <c r="AC462" s="128"/>
    </row>
    <row r="463" spans="1:29">
      <c r="A463" s="128"/>
      <c r="B463" s="132"/>
      <c r="C463" s="123"/>
      <c r="D463" s="127"/>
      <c r="E463" s="12"/>
      <c r="F463" s="12"/>
      <c r="G463" s="10"/>
      <c r="H463" s="10"/>
      <c r="I463" s="123"/>
      <c r="J463" s="10" t="s">
        <v>46</v>
      </c>
      <c r="K463" s="31">
        <f t="shared" ref="K463:Q463" si="78">K461/(K461+K462)</f>
        <v>0.5</v>
      </c>
      <c r="L463" s="31">
        <f t="shared" si="78"/>
        <v>0.5</v>
      </c>
      <c r="M463" s="31">
        <f t="shared" si="78"/>
        <v>0.8</v>
      </c>
      <c r="N463" s="31">
        <f t="shared" si="78"/>
        <v>0.8571428571428571</v>
      </c>
      <c r="O463" s="31">
        <f t="shared" si="78"/>
        <v>0.7142857142857143</v>
      </c>
      <c r="P463" s="31">
        <f t="shared" si="78"/>
        <v>0.68421052631578949</v>
      </c>
      <c r="Q463" s="31" t="e">
        <f t="shared" si="78"/>
        <v>#DIV/0!</v>
      </c>
      <c r="R463" s="63"/>
      <c r="S463" s="10"/>
      <c r="T463" s="123"/>
      <c r="U463" s="157"/>
      <c r="V463" s="123"/>
      <c r="W463" s="123"/>
      <c r="X463" s="123"/>
      <c r="Y463" s="128"/>
      <c r="Z463" s="128"/>
      <c r="AA463" s="128"/>
      <c r="AB463" s="128"/>
      <c r="AC463" s="128"/>
    </row>
    <row r="464" spans="1:29">
      <c r="A464" s="128"/>
      <c r="B464" s="132"/>
      <c r="C464" s="123"/>
      <c r="D464" s="127"/>
      <c r="E464" s="12"/>
      <c r="F464" s="12"/>
      <c r="G464" s="123"/>
      <c r="H464" s="54"/>
      <c r="I464" s="123"/>
      <c r="J464" s="10" t="s">
        <v>48</v>
      </c>
      <c r="K464" s="66">
        <f t="shared" ref="K464:Q464" si="79">K460/K461</f>
        <v>2488.4</v>
      </c>
      <c r="L464" s="66">
        <f t="shared" si="79"/>
        <v>1255</v>
      </c>
      <c r="M464" s="66">
        <f t="shared" si="79"/>
        <v>3171.625</v>
      </c>
      <c r="N464" s="66">
        <f t="shared" si="79"/>
        <v>4601.333333333333</v>
      </c>
      <c r="O464" s="66">
        <f t="shared" si="79"/>
        <v>19454.400000000001</v>
      </c>
      <c r="P464" s="66">
        <f t="shared" si="79"/>
        <v>6354.0384615384619</v>
      </c>
      <c r="Q464" s="66" t="e">
        <f t="shared" si="79"/>
        <v>#DIV/0!</v>
      </c>
      <c r="R464" s="63"/>
      <c r="S464" s="10"/>
      <c r="T464" s="123"/>
      <c r="U464" s="157"/>
      <c r="V464" s="123"/>
      <c r="W464" s="123"/>
      <c r="X464" s="123"/>
      <c r="Y464" s="128"/>
      <c r="Z464" s="128"/>
      <c r="AA464" s="128"/>
      <c r="AB464" s="128"/>
      <c r="AC464" s="128"/>
    </row>
    <row r="465" spans="1:29">
      <c r="A465" s="128"/>
      <c r="B465" s="132"/>
      <c r="C465" s="123"/>
      <c r="D465" s="127"/>
      <c r="E465" s="10"/>
      <c r="F465" s="10"/>
      <c r="G465" s="123"/>
      <c r="H465" s="54"/>
      <c r="I465" s="123"/>
      <c r="J465" s="123"/>
      <c r="K465" s="123"/>
      <c r="L465" s="123"/>
      <c r="M465" s="123"/>
      <c r="N465" s="123"/>
      <c r="O465" s="123"/>
      <c r="P465" s="123"/>
      <c r="Q465" s="123"/>
      <c r="R465" s="123"/>
      <c r="S465" s="123"/>
      <c r="T465" s="123"/>
      <c r="U465" s="157"/>
      <c r="V465" s="123"/>
      <c r="W465" s="123"/>
      <c r="X465" s="123"/>
      <c r="Y465" s="128"/>
      <c r="Z465" s="128"/>
      <c r="AA465" s="128"/>
      <c r="AB465" s="128"/>
      <c r="AC465" s="128"/>
    </row>
    <row r="466" spans="1:29">
      <c r="A466" s="2"/>
      <c r="B466" s="11"/>
      <c r="C466" s="10"/>
      <c r="D466" s="63"/>
      <c r="E466" s="10"/>
      <c r="F466" s="10"/>
      <c r="G466" s="10"/>
      <c r="H466" s="10"/>
      <c r="I466" s="10"/>
      <c r="J466" s="10"/>
      <c r="K466" s="10"/>
      <c r="L466" s="10"/>
      <c r="M466" s="10"/>
      <c r="N466" s="10"/>
      <c r="O466" s="10"/>
      <c r="P466" s="10"/>
      <c r="Q466" s="10"/>
      <c r="R466" s="10"/>
      <c r="S466" s="10"/>
      <c r="T466" s="10"/>
      <c r="U466" s="151"/>
      <c r="V466" s="77"/>
      <c r="W466" s="77"/>
      <c r="X466" s="77"/>
      <c r="Y466" s="2"/>
      <c r="Z466" s="2"/>
      <c r="AA466" s="2"/>
      <c r="AB466" s="2"/>
      <c r="AC466" s="2"/>
    </row>
    <row r="467" spans="1:29">
      <c r="A467" s="2"/>
      <c r="B467" s="18" t="s">
        <v>51</v>
      </c>
      <c r="C467" s="14"/>
      <c r="D467" s="14"/>
      <c r="E467" s="14"/>
      <c r="F467" s="13" t="s">
        <v>52</v>
      </c>
      <c r="G467" s="14"/>
      <c r="H467" s="14"/>
      <c r="I467" s="14"/>
      <c r="J467" s="14"/>
      <c r="K467" s="13" t="s">
        <v>3</v>
      </c>
      <c r="L467" s="14"/>
      <c r="M467" s="14"/>
      <c r="N467" s="13" t="s">
        <v>4</v>
      </c>
      <c r="O467" s="14"/>
      <c r="P467" s="14"/>
      <c r="Q467" s="13" t="s">
        <v>5</v>
      </c>
      <c r="R467" s="14"/>
      <c r="S467" s="14"/>
      <c r="T467" s="18"/>
      <c r="U467" s="161" t="s">
        <v>53</v>
      </c>
      <c r="V467" s="77"/>
      <c r="W467" s="77"/>
      <c r="X467" s="77"/>
      <c r="Y467" s="2"/>
      <c r="Z467" s="2"/>
      <c r="AA467" s="2"/>
      <c r="AB467" s="2"/>
      <c r="AC467" s="2"/>
    </row>
    <row r="468" spans="1:29">
      <c r="A468" s="2"/>
      <c r="B468" s="24" t="s">
        <v>54</v>
      </c>
      <c r="C468" s="21" t="s">
        <v>55</v>
      </c>
      <c r="D468" s="21" t="s">
        <v>56</v>
      </c>
      <c r="E468" s="21" t="s">
        <v>57</v>
      </c>
      <c r="F468" s="20" t="s">
        <v>58</v>
      </c>
      <c r="G468" s="21" t="s">
        <v>59</v>
      </c>
      <c r="H468" s="21" t="s">
        <v>60</v>
      </c>
      <c r="I468" s="21" t="s">
        <v>26</v>
      </c>
      <c r="J468" s="22" t="s">
        <v>61</v>
      </c>
      <c r="K468" s="21" t="s">
        <v>8</v>
      </c>
      <c r="L468" s="21" t="s">
        <v>9</v>
      </c>
      <c r="M468" s="21" t="s">
        <v>10</v>
      </c>
      <c r="N468" s="20" t="s">
        <v>11</v>
      </c>
      <c r="O468" s="21" t="s">
        <v>12</v>
      </c>
      <c r="P468" s="22" t="s">
        <v>13</v>
      </c>
      <c r="Q468" s="21" t="s">
        <v>11</v>
      </c>
      <c r="R468" s="21" t="s">
        <v>12</v>
      </c>
      <c r="S468" s="21" t="s">
        <v>13</v>
      </c>
      <c r="T468" s="78" t="s">
        <v>14</v>
      </c>
      <c r="U468" s="162"/>
      <c r="V468" s="79" t="s">
        <v>62</v>
      </c>
      <c r="W468" s="80" t="s">
        <v>63</v>
      </c>
      <c r="X468" s="81" t="s">
        <v>64</v>
      </c>
      <c r="Y468" s="2"/>
      <c r="Z468" s="2"/>
      <c r="AA468" s="2"/>
      <c r="AB468" s="2"/>
      <c r="AC468" s="2"/>
    </row>
    <row r="469" spans="1:29" ht="18" customHeight="1">
      <c r="A469" s="2"/>
      <c r="B469" s="4" t="s">
        <v>65</v>
      </c>
      <c r="C469" s="6"/>
      <c r="D469" s="6"/>
      <c r="E469" s="6"/>
      <c r="F469" s="6"/>
      <c r="G469" s="6"/>
      <c r="H469" s="6"/>
      <c r="I469" s="82"/>
      <c r="J469" s="6"/>
      <c r="K469" s="6"/>
      <c r="L469" s="6"/>
      <c r="M469" s="6"/>
      <c r="N469" s="6"/>
      <c r="O469" s="6"/>
      <c r="P469" s="6"/>
      <c r="Q469" s="6"/>
      <c r="R469" s="6"/>
      <c r="S469" s="6"/>
      <c r="T469" s="83"/>
      <c r="U469" s="163"/>
      <c r="V469" s="84"/>
      <c r="W469" s="85"/>
      <c r="X469" s="86"/>
      <c r="Y469" s="2"/>
      <c r="Z469" s="2"/>
      <c r="AA469" s="2"/>
      <c r="AB469" s="2"/>
      <c r="AC469" s="2"/>
    </row>
    <row r="470" spans="1:29">
      <c r="A470" s="2"/>
      <c r="B470" s="87">
        <v>1</v>
      </c>
      <c r="C470" s="274">
        <v>45859</v>
      </c>
      <c r="D470" s="320" t="s">
        <v>3560</v>
      </c>
      <c r="E470" s="276" t="s">
        <v>2372</v>
      </c>
      <c r="F470" s="277">
        <v>1461</v>
      </c>
      <c r="G470" s="277">
        <v>39.700000000000003</v>
      </c>
      <c r="H470" s="277"/>
      <c r="I470" s="278">
        <f t="shared" ref="I470:I488" si="80">F470-G470-H470</f>
        <v>1421.3</v>
      </c>
      <c r="J470" s="279" t="s">
        <v>156</v>
      </c>
      <c r="K470" s="279">
        <v>1</v>
      </c>
      <c r="L470" s="279">
        <v>1</v>
      </c>
      <c r="M470" s="279">
        <v>1</v>
      </c>
      <c r="N470" s="279">
        <v>1</v>
      </c>
      <c r="O470" s="279">
        <v>1</v>
      </c>
      <c r="P470" s="279">
        <v>1</v>
      </c>
      <c r="Q470" s="279">
        <v>1</v>
      </c>
      <c r="R470" s="279">
        <v>1</v>
      </c>
      <c r="S470" s="280">
        <v>1</v>
      </c>
      <c r="T470" s="63"/>
      <c r="U470" s="94"/>
      <c r="V470" s="90">
        <v>1607.1</v>
      </c>
      <c r="W470" s="91"/>
      <c r="X470" s="92"/>
      <c r="Y470" s="2"/>
      <c r="Z470" s="2"/>
      <c r="AA470" s="2"/>
      <c r="AB470" s="2"/>
      <c r="AC470" s="2"/>
    </row>
    <row r="471" spans="1:29">
      <c r="A471" s="93"/>
      <c r="B471" s="87">
        <f t="shared" ref="B471:B487" si="81">B470+1</f>
        <v>2</v>
      </c>
      <c r="C471" s="295">
        <v>45859</v>
      </c>
      <c r="D471" s="346" t="s">
        <v>3561</v>
      </c>
      <c r="E471" s="10" t="s">
        <v>2372</v>
      </c>
      <c r="F471" s="62">
        <v>3214</v>
      </c>
      <c r="G471" s="62">
        <f>39.7+(436.23)</f>
        <v>475.93</v>
      </c>
      <c r="H471" s="62"/>
      <c r="I471" s="324">
        <f t="shared" si="80"/>
        <v>2738.07</v>
      </c>
      <c r="J471" s="63" t="s">
        <v>156</v>
      </c>
      <c r="K471" s="63">
        <v>1</v>
      </c>
      <c r="L471" s="63">
        <v>1</v>
      </c>
      <c r="M471" s="325">
        <v>0</v>
      </c>
      <c r="N471" s="63">
        <v>1</v>
      </c>
      <c r="O471" s="63">
        <v>1</v>
      </c>
      <c r="P471" s="63">
        <v>1</v>
      </c>
      <c r="Q471" s="63">
        <v>1</v>
      </c>
      <c r="R471" s="63">
        <v>1</v>
      </c>
      <c r="S471" s="296">
        <v>1</v>
      </c>
      <c r="T471" s="63"/>
      <c r="U471" s="94"/>
      <c r="V471" s="90">
        <f>353.54+3181.86</f>
        <v>3535.4</v>
      </c>
      <c r="W471" s="91"/>
      <c r="X471" s="92"/>
      <c r="Y471" s="2"/>
      <c r="Z471" s="2"/>
      <c r="AA471" s="2"/>
      <c r="AB471" s="2"/>
      <c r="AC471" s="2"/>
    </row>
    <row r="472" spans="1:29">
      <c r="A472" s="2"/>
      <c r="B472" s="87">
        <f t="shared" si="81"/>
        <v>3</v>
      </c>
      <c r="C472" s="295">
        <v>45859</v>
      </c>
      <c r="D472" s="323">
        <v>71600</v>
      </c>
      <c r="E472" s="94" t="s">
        <v>1143</v>
      </c>
      <c r="F472" s="62">
        <v>1138</v>
      </c>
      <c r="G472" s="62">
        <v>39.700000000000003</v>
      </c>
      <c r="H472" s="62"/>
      <c r="I472" s="324">
        <f t="shared" si="80"/>
        <v>1098.3</v>
      </c>
      <c r="J472" s="63" t="s">
        <v>156</v>
      </c>
      <c r="K472" s="63">
        <v>1</v>
      </c>
      <c r="L472" s="63">
        <v>1</v>
      </c>
      <c r="M472" s="63">
        <v>1</v>
      </c>
      <c r="N472" s="63">
        <v>1</v>
      </c>
      <c r="O472" s="63">
        <v>1</v>
      </c>
      <c r="P472" s="63">
        <v>1</v>
      </c>
      <c r="Q472" s="325">
        <v>0</v>
      </c>
      <c r="R472" s="325">
        <v>0</v>
      </c>
      <c r="S472" s="326">
        <v>0</v>
      </c>
      <c r="T472" s="63"/>
      <c r="U472" s="94"/>
      <c r="V472" s="90">
        <v>1251.8</v>
      </c>
      <c r="W472" s="91"/>
      <c r="X472" s="92"/>
      <c r="Y472" s="2"/>
      <c r="Z472" s="2"/>
      <c r="AA472" s="2"/>
      <c r="AB472" s="2"/>
      <c r="AC472" s="2"/>
    </row>
    <row r="473" spans="1:29">
      <c r="A473" s="2"/>
      <c r="B473" s="87">
        <f t="shared" si="81"/>
        <v>4</v>
      </c>
      <c r="C473" s="295">
        <v>45859</v>
      </c>
      <c r="D473" s="323">
        <v>71565</v>
      </c>
      <c r="E473" s="10" t="s">
        <v>2080</v>
      </c>
      <c r="F473" s="62">
        <v>496</v>
      </c>
      <c r="G473" s="62"/>
      <c r="H473" s="62"/>
      <c r="I473" s="89">
        <f t="shared" si="80"/>
        <v>496</v>
      </c>
      <c r="J473" s="63" t="s">
        <v>150</v>
      </c>
      <c r="K473" s="63">
        <v>1</v>
      </c>
      <c r="L473" s="63">
        <v>1</v>
      </c>
      <c r="M473" s="63">
        <v>1</v>
      </c>
      <c r="N473" s="63">
        <v>1</v>
      </c>
      <c r="O473" s="63">
        <v>1</v>
      </c>
      <c r="P473" s="63">
        <v>1</v>
      </c>
      <c r="Q473" s="63">
        <v>1</v>
      </c>
      <c r="R473" s="63">
        <v>1</v>
      </c>
      <c r="S473" s="296">
        <v>1</v>
      </c>
      <c r="T473" s="63"/>
      <c r="U473" s="94"/>
      <c r="V473" s="90">
        <v>0</v>
      </c>
      <c r="W473" s="440">
        <v>545.6</v>
      </c>
      <c r="X473" s="92"/>
      <c r="Y473" s="2"/>
      <c r="Z473" s="2"/>
      <c r="AA473" s="2"/>
      <c r="AB473" s="2"/>
      <c r="AC473" s="2"/>
    </row>
    <row r="474" spans="1:29">
      <c r="A474" s="388">
        <v>45860</v>
      </c>
      <c r="B474" s="87">
        <f t="shared" si="81"/>
        <v>5</v>
      </c>
      <c r="C474" s="295">
        <v>45859</v>
      </c>
      <c r="D474" s="346" t="s">
        <v>3562</v>
      </c>
      <c r="E474" s="10" t="s">
        <v>2080</v>
      </c>
      <c r="F474" s="62">
        <v>6133</v>
      </c>
      <c r="G474" s="62">
        <f>39.7+445.5+(81.36)+(1277.76+75.69+62.7+12.1)+250</f>
        <v>2244.81</v>
      </c>
      <c r="H474" s="62"/>
      <c r="I474" s="89">
        <f t="shared" si="80"/>
        <v>3888.19</v>
      </c>
      <c r="J474" s="63" t="s">
        <v>236</v>
      </c>
      <c r="K474" s="63">
        <v>1</v>
      </c>
      <c r="L474" s="63">
        <v>1</v>
      </c>
      <c r="M474" s="63">
        <v>1</v>
      </c>
      <c r="N474" s="63">
        <v>1</v>
      </c>
      <c r="O474" s="63">
        <v>1</v>
      </c>
      <c r="P474" s="63">
        <v>1</v>
      </c>
      <c r="Q474" s="63">
        <v>1</v>
      </c>
      <c r="R474" s="63">
        <v>1</v>
      </c>
      <c r="S474" s="296">
        <v>1</v>
      </c>
      <c r="T474" s="63"/>
      <c r="U474" s="94" t="s">
        <v>3563</v>
      </c>
      <c r="V474" s="90">
        <v>5246.3</v>
      </c>
      <c r="W474" s="456">
        <v>1500</v>
      </c>
      <c r="X474" s="137"/>
      <c r="Y474" s="2"/>
      <c r="Z474" s="2"/>
      <c r="AA474" s="2"/>
      <c r="AB474" s="2"/>
      <c r="AC474" s="2"/>
    </row>
    <row r="475" spans="1:29">
      <c r="A475" s="2"/>
      <c r="B475" s="87">
        <f t="shared" si="81"/>
        <v>6</v>
      </c>
      <c r="C475" s="274">
        <v>45860</v>
      </c>
      <c r="D475" s="327">
        <v>71646</v>
      </c>
      <c r="E475" s="276" t="s">
        <v>1008</v>
      </c>
      <c r="F475" s="277">
        <f>1646-185</f>
        <v>1461</v>
      </c>
      <c r="G475" s="277">
        <f>39.7</f>
        <v>39.700000000000003</v>
      </c>
      <c r="H475" s="297"/>
      <c r="I475" s="278">
        <f t="shared" si="80"/>
        <v>1421.3</v>
      </c>
      <c r="J475" s="279" t="s">
        <v>156</v>
      </c>
      <c r="K475" s="279">
        <v>1</v>
      </c>
      <c r="L475" s="279">
        <v>1</v>
      </c>
      <c r="M475" s="279">
        <v>1</v>
      </c>
      <c r="N475" s="279">
        <v>1</v>
      </c>
      <c r="O475" s="279">
        <v>1</v>
      </c>
      <c r="P475" s="279">
        <v>1</v>
      </c>
      <c r="Q475" s="279">
        <v>1</v>
      </c>
      <c r="R475" s="279">
        <v>1</v>
      </c>
      <c r="S475" s="280">
        <v>1</v>
      </c>
      <c r="T475" s="63"/>
      <c r="U475" s="94"/>
      <c r="V475" s="90">
        <f>203.5+1607.1</f>
        <v>1810.6</v>
      </c>
      <c r="W475" s="91"/>
      <c r="X475" s="92"/>
      <c r="Y475" s="2"/>
      <c r="Z475" s="2"/>
      <c r="AA475" s="2"/>
      <c r="AB475" s="2"/>
      <c r="AC475" s="2"/>
    </row>
    <row r="476" spans="1:29">
      <c r="A476" s="2"/>
      <c r="B476" s="87">
        <f t="shared" si="81"/>
        <v>7</v>
      </c>
      <c r="C476" s="295">
        <v>45860</v>
      </c>
      <c r="D476" s="323">
        <v>71649</v>
      </c>
      <c r="E476" s="10" t="s">
        <v>1249</v>
      </c>
      <c r="F476" s="62">
        <v>1049</v>
      </c>
      <c r="G476" s="62">
        <f>39.7</f>
        <v>39.700000000000003</v>
      </c>
      <c r="H476" s="88"/>
      <c r="I476" s="324">
        <f t="shared" si="80"/>
        <v>1009.3</v>
      </c>
      <c r="J476" s="63" t="s">
        <v>156</v>
      </c>
      <c r="K476" s="63">
        <v>1</v>
      </c>
      <c r="L476" s="63">
        <v>1</v>
      </c>
      <c r="M476" s="63">
        <v>1</v>
      </c>
      <c r="N476" s="63">
        <v>1</v>
      </c>
      <c r="O476" s="63">
        <v>1</v>
      </c>
      <c r="P476" s="63">
        <v>1</v>
      </c>
      <c r="Q476" s="325">
        <v>0</v>
      </c>
      <c r="R476" s="325">
        <v>0</v>
      </c>
      <c r="S476" s="326">
        <v>0</v>
      </c>
      <c r="T476" s="63"/>
      <c r="U476" s="94"/>
      <c r="V476" s="90">
        <v>1153.9000000000001</v>
      </c>
      <c r="W476" s="91"/>
      <c r="X476" s="92"/>
      <c r="Y476" s="2"/>
      <c r="Z476" s="2"/>
      <c r="AA476" s="2"/>
      <c r="AB476" s="2"/>
      <c r="AC476" s="2"/>
    </row>
    <row r="477" spans="1:29">
      <c r="A477" s="2"/>
      <c r="B477" s="87">
        <f t="shared" si="81"/>
        <v>8</v>
      </c>
      <c r="C477" s="274">
        <v>45861</v>
      </c>
      <c r="D477" s="327">
        <v>71667</v>
      </c>
      <c r="E477" s="276" t="s">
        <v>1886</v>
      </c>
      <c r="F477" s="277">
        <v>1138</v>
      </c>
      <c r="G477" s="277">
        <v>39.700000000000003</v>
      </c>
      <c r="H477" s="297"/>
      <c r="I477" s="278">
        <f t="shared" si="80"/>
        <v>1098.3</v>
      </c>
      <c r="J477" s="279" t="s">
        <v>156</v>
      </c>
      <c r="K477" s="279">
        <v>1</v>
      </c>
      <c r="L477" s="279">
        <v>1</v>
      </c>
      <c r="M477" s="279">
        <v>1</v>
      </c>
      <c r="N477" s="279">
        <v>1</v>
      </c>
      <c r="O477" s="279">
        <v>1</v>
      </c>
      <c r="P477" s="279">
        <v>1</v>
      </c>
      <c r="Q477" s="279">
        <v>1</v>
      </c>
      <c r="R477" s="279">
        <v>1</v>
      </c>
      <c r="S477" s="280">
        <v>1</v>
      </c>
      <c r="T477" s="63"/>
      <c r="U477" s="94"/>
      <c r="V477" s="90">
        <v>1251.8</v>
      </c>
      <c r="W477" s="91"/>
      <c r="X477" s="92"/>
      <c r="Y477" s="2"/>
      <c r="Z477" s="2"/>
      <c r="AA477" s="2"/>
      <c r="AB477" s="2"/>
      <c r="AC477" s="2"/>
    </row>
    <row r="478" spans="1:29">
      <c r="A478" s="2"/>
      <c r="B478" s="87">
        <f t="shared" si="81"/>
        <v>9</v>
      </c>
      <c r="C478" s="295">
        <v>45861</v>
      </c>
      <c r="D478" s="346" t="s">
        <v>3564</v>
      </c>
      <c r="E478" s="10" t="s">
        <v>1401</v>
      </c>
      <c r="F478" s="62">
        <v>1513</v>
      </c>
      <c r="G478" s="62">
        <v>39.700000000000003</v>
      </c>
      <c r="H478" s="88"/>
      <c r="I478" s="89">
        <f t="shared" si="80"/>
        <v>1473.3</v>
      </c>
      <c r="J478" s="63" t="s">
        <v>156</v>
      </c>
      <c r="K478" s="63">
        <v>1</v>
      </c>
      <c r="L478" s="63">
        <v>1</v>
      </c>
      <c r="M478" s="63">
        <v>1</v>
      </c>
      <c r="N478" s="63">
        <v>1</v>
      </c>
      <c r="O478" s="63">
        <v>1</v>
      </c>
      <c r="P478" s="63">
        <v>1</v>
      </c>
      <c r="Q478" s="63">
        <v>1</v>
      </c>
      <c r="R478" s="63">
        <v>1</v>
      </c>
      <c r="S478" s="296">
        <v>1</v>
      </c>
      <c r="T478" s="63"/>
      <c r="U478" s="94"/>
      <c r="V478" s="90">
        <v>1664.3</v>
      </c>
      <c r="W478" s="91"/>
      <c r="X478" s="92"/>
      <c r="Y478" s="2"/>
      <c r="Z478" s="2"/>
      <c r="AA478" s="2"/>
      <c r="AB478" s="2"/>
      <c r="AC478" s="2"/>
    </row>
    <row r="479" spans="1:29">
      <c r="A479" s="2"/>
      <c r="B479" s="87">
        <f t="shared" si="81"/>
        <v>10</v>
      </c>
      <c r="C479" s="295">
        <v>45861</v>
      </c>
      <c r="D479" s="346" t="s">
        <v>3565</v>
      </c>
      <c r="E479" s="10" t="s">
        <v>1401</v>
      </c>
      <c r="F479" s="95">
        <v>2533</v>
      </c>
      <c r="G479" s="62">
        <f>39.7+(29.33)</f>
        <v>69.03</v>
      </c>
      <c r="H479" s="62"/>
      <c r="I479" s="89">
        <f t="shared" si="80"/>
        <v>2463.9699999999998</v>
      </c>
      <c r="J479" s="63" t="s">
        <v>156</v>
      </c>
      <c r="K479" s="63">
        <v>1</v>
      </c>
      <c r="L479" s="63">
        <v>1</v>
      </c>
      <c r="M479" s="63">
        <v>1</v>
      </c>
      <c r="N479" s="63">
        <v>1</v>
      </c>
      <c r="O479" s="63">
        <v>1</v>
      </c>
      <c r="P479" s="63">
        <v>1</v>
      </c>
      <c r="Q479" s="63">
        <v>1</v>
      </c>
      <c r="R479" s="63">
        <v>1</v>
      </c>
      <c r="S479" s="296">
        <v>1</v>
      </c>
      <c r="T479" s="63"/>
      <c r="U479" s="94"/>
      <c r="V479" s="90">
        <f>335.7+2450.68</f>
        <v>2786.3799999999997</v>
      </c>
      <c r="W479" s="91"/>
      <c r="X479" s="92"/>
      <c r="Y479" s="2"/>
      <c r="Z479" s="2"/>
      <c r="AA479" s="2"/>
      <c r="AB479" s="2"/>
      <c r="AC479" s="2"/>
    </row>
    <row r="480" spans="1:29">
      <c r="A480" s="388">
        <v>45891</v>
      </c>
      <c r="B480" s="87">
        <f t="shared" si="81"/>
        <v>11</v>
      </c>
      <c r="C480" s="295">
        <v>45861</v>
      </c>
      <c r="D480" s="323">
        <v>71689</v>
      </c>
      <c r="E480" s="10" t="s">
        <v>1313</v>
      </c>
      <c r="F480" s="95">
        <v>561</v>
      </c>
      <c r="G480" s="62"/>
      <c r="H480" s="62"/>
      <c r="I480" s="89">
        <f t="shared" si="80"/>
        <v>561</v>
      </c>
      <c r="J480" s="63" t="s">
        <v>156</v>
      </c>
      <c r="K480" s="63">
        <v>1</v>
      </c>
      <c r="L480" s="63">
        <v>1</v>
      </c>
      <c r="M480" s="63">
        <v>1</v>
      </c>
      <c r="N480" s="63">
        <v>1</v>
      </c>
      <c r="O480" s="63">
        <v>1</v>
      </c>
      <c r="P480" s="63">
        <v>1</v>
      </c>
      <c r="Q480" s="63">
        <v>1</v>
      </c>
      <c r="R480" s="63">
        <v>1</v>
      </c>
      <c r="S480" s="296">
        <v>1</v>
      </c>
      <c r="T480" s="510"/>
      <c r="U480" s="94" t="s">
        <v>3566</v>
      </c>
      <c r="V480" s="90">
        <v>617.1</v>
      </c>
      <c r="W480" s="91"/>
      <c r="X480" s="92"/>
      <c r="Y480" s="2"/>
      <c r="Z480" s="2"/>
      <c r="AA480" s="2"/>
      <c r="AB480" s="2"/>
      <c r="AC480" s="2"/>
    </row>
    <row r="481" spans="1:31">
      <c r="A481" s="2"/>
      <c r="B481" s="87">
        <f>B480+1</f>
        <v>12</v>
      </c>
      <c r="C481" s="295">
        <v>45861</v>
      </c>
      <c r="D481" s="323">
        <v>71621</v>
      </c>
      <c r="E481" s="10" t="s">
        <v>1159</v>
      </c>
      <c r="F481" s="95">
        <v>681</v>
      </c>
      <c r="G481" s="62">
        <f>200</f>
        <v>200</v>
      </c>
      <c r="H481" s="62"/>
      <c r="I481" s="89">
        <f>F481-G481-H481</f>
        <v>481</v>
      </c>
      <c r="J481" s="63" t="s">
        <v>156</v>
      </c>
      <c r="K481" s="63">
        <v>1</v>
      </c>
      <c r="L481" s="63">
        <v>1</v>
      </c>
      <c r="M481" s="63">
        <v>1</v>
      </c>
      <c r="N481" s="63">
        <v>1</v>
      </c>
      <c r="O481" s="63">
        <v>1</v>
      </c>
      <c r="P481" s="63">
        <v>1</v>
      </c>
      <c r="Q481" s="63">
        <v>1</v>
      </c>
      <c r="R481" s="63">
        <v>1</v>
      </c>
      <c r="S481" s="296">
        <v>1</v>
      </c>
      <c r="T481" s="63"/>
      <c r="U481" s="94" t="s">
        <v>3567</v>
      </c>
      <c r="V481" s="90">
        <f>200+549.1</f>
        <v>749.1</v>
      </c>
      <c r="W481" s="91"/>
      <c r="X481" s="92"/>
      <c r="Y481" s="2"/>
      <c r="Z481" s="2"/>
      <c r="AA481" s="2"/>
      <c r="AB481" s="2"/>
      <c r="AC481" s="2"/>
    </row>
    <row r="482" spans="1:31">
      <c r="A482" s="2"/>
      <c r="B482" s="87">
        <f>B481+1</f>
        <v>13</v>
      </c>
      <c r="C482" s="295">
        <v>45861</v>
      </c>
      <c r="D482" s="323">
        <v>71685</v>
      </c>
      <c r="E482" s="101" t="s">
        <v>225</v>
      </c>
      <c r="F482" s="62">
        <v>1138</v>
      </c>
      <c r="G482" s="62">
        <v>39.700000000000003</v>
      </c>
      <c r="H482" s="62"/>
      <c r="I482" s="89">
        <f t="shared" si="80"/>
        <v>1098.3</v>
      </c>
      <c r="J482" s="63" t="s">
        <v>374</v>
      </c>
      <c r="K482" s="63">
        <v>1</v>
      </c>
      <c r="L482" s="63">
        <v>1</v>
      </c>
      <c r="M482" s="63">
        <v>1</v>
      </c>
      <c r="N482" s="63">
        <v>1</v>
      </c>
      <c r="O482" s="63">
        <v>1</v>
      </c>
      <c r="P482" s="63">
        <v>1</v>
      </c>
      <c r="Q482" s="63">
        <v>1</v>
      </c>
      <c r="R482" s="63">
        <v>1</v>
      </c>
      <c r="S482" s="296">
        <v>1</v>
      </c>
      <c r="T482" s="63"/>
      <c r="U482" s="94" t="s">
        <v>3568</v>
      </c>
      <c r="V482" s="90">
        <v>1251.8</v>
      </c>
      <c r="W482" s="91"/>
      <c r="X482" s="92"/>
      <c r="Y482" s="2"/>
      <c r="Z482" s="2"/>
      <c r="AA482" s="2"/>
      <c r="AB482" s="2"/>
      <c r="AC482" s="2"/>
    </row>
    <row r="483" spans="1:31">
      <c r="A483" s="2"/>
      <c r="B483" s="87">
        <f>B482+1</f>
        <v>14</v>
      </c>
      <c r="C483" s="274">
        <v>45862</v>
      </c>
      <c r="D483" s="327">
        <v>71705</v>
      </c>
      <c r="E483" s="281" t="s">
        <v>1666</v>
      </c>
      <c r="F483" s="277">
        <v>1025</v>
      </c>
      <c r="G483" s="277">
        <v>39.700000000000003</v>
      </c>
      <c r="H483" s="277"/>
      <c r="I483" s="278">
        <f>F483-G483-H483</f>
        <v>985.3</v>
      </c>
      <c r="J483" s="279" t="s">
        <v>374</v>
      </c>
      <c r="K483" s="279">
        <v>1</v>
      </c>
      <c r="L483" s="279">
        <v>1</v>
      </c>
      <c r="M483" s="279">
        <v>1</v>
      </c>
      <c r="N483" s="279">
        <v>1</v>
      </c>
      <c r="O483" s="279">
        <v>1</v>
      </c>
      <c r="P483" s="279">
        <v>1</v>
      </c>
      <c r="Q483" s="279">
        <v>1</v>
      </c>
      <c r="R483" s="279">
        <v>1</v>
      </c>
      <c r="S483" s="280">
        <v>1</v>
      </c>
      <c r="T483" s="63"/>
      <c r="U483" s="94"/>
      <c r="V483" s="90">
        <v>1127.5</v>
      </c>
      <c r="W483" s="91"/>
      <c r="X483" s="92"/>
      <c r="Y483" s="2"/>
      <c r="Z483" s="2"/>
      <c r="AA483" s="2"/>
      <c r="AB483" s="2"/>
      <c r="AC483" s="2"/>
    </row>
    <row r="484" spans="1:31">
      <c r="A484" s="2"/>
      <c r="B484" s="87">
        <f>B483+1</f>
        <v>15</v>
      </c>
      <c r="C484" s="295">
        <v>45862</v>
      </c>
      <c r="D484" s="323">
        <v>71737</v>
      </c>
      <c r="E484" s="101" t="s">
        <v>1530</v>
      </c>
      <c r="F484" s="62">
        <v>681</v>
      </c>
      <c r="G484" s="62">
        <f>+(3.55)</f>
        <v>3.55</v>
      </c>
      <c r="H484" s="62"/>
      <c r="I484" s="369">
        <f>F484-G484-H484</f>
        <v>677.45</v>
      </c>
      <c r="J484" s="63" t="s">
        <v>374</v>
      </c>
      <c r="K484" s="63">
        <v>1</v>
      </c>
      <c r="L484" s="63">
        <v>1</v>
      </c>
      <c r="M484" s="63">
        <v>1</v>
      </c>
      <c r="N484" s="63">
        <v>1</v>
      </c>
      <c r="O484" s="63">
        <v>1</v>
      </c>
      <c r="P484" s="63">
        <v>1</v>
      </c>
      <c r="Q484" s="325">
        <v>0</v>
      </c>
      <c r="R484" s="325">
        <v>0</v>
      </c>
      <c r="S484" s="326">
        <v>0</v>
      </c>
      <c r="T484" s="63"/>
      <c r="U484" s="94"/>
      <c r="V484" s="90">
        <v>749.1</v>
      </c>
      <c r="W484" s="91"/>
      <c r="X484" s="92"/>
      <c r="Y484" s="2"/>
      <c r="Z484" s="2"/>
      <c r="AA484" s="2"/>
      <c r="AB484" s="2"/>
      <c r="AC484" s="2"/>
    </row>
    <row r="485" spans="1:31">
      <c r="A485" s="2"/>
      <c r="B485" s="87">
        <f>B484+1</f>
        <v>16</v>
      </c>
      <c r="C485" s="295">
        <v>45862</v>
      </c>
      <c r="D485" s="323">
        <v>71743</v>
      </c>
      <c r="E485" s="10" t="s">
        <v>659</v>
      </c>
      <c r="F485" s="95">
        <v>681</v>
      </c>
      <c r="G485" s="62"/>
      <c r="H485" s="62"/>
      <c r="I485" s="89">
        <f t="shared" si="80"/>
        <v>681</v>
      </c>
      <c r="J485" s="63" t="s">
        <v>150</v>
      </c>
      <c r="K485" s="63">
        <v>1</v>
      </c>
      <c r="L485" s="63">
        <v>1</v>
      </c>
      <c r="M485" s="63">
        <v>1</v>
      </c>
      <c r="N485" s="63">
        <v>1</v>
      </c>
      <c r="O485" s="63">
        <v>1</v>
      </c>
      <c r="P485" s="63">
        <v>1</v>
      </c>
      <c r="Q485" s="63">
        <v>1</v>
      </c>
      <c r="R485" s="63">
        <v>1</v>
      </c>
      <c r="S485" s="296">
        <v>1</v>
      </c>
      <c r="T485" s="63"/>
      <c r="U485" s="94" t="s">
        <v>3569</v>
      </c>
      <c r="V485" s="90">
        <v>0</v>
      </c>
      <c r="W485" s="367">
        <v>750</v>
      </c>
      <c r="X485" s="92"/>
      <c r="Y485" s="2"/>
      <c r="Z485" s="2"/>
      <c r="AA485" s="2"/>
      <c r="AB485" s="2"/>
      <c r="AC485" s="2"/>
    </row>
    <row r="486" spans="1:31">
      <c r="A486" s="2"/>
      <c r="B486" s="87">
        <f t="shared" si="81"/>
        <v>17</v>
      </c>
      <c r="C486" s="274">
        <v>45863</v>
      </c>
      <c r="D486" s="327">
        <v>71753</v>
      </c>
      <c r="E486" s="276" t="s">
        <v>1200</v>
      </c>
      <c r="F486" s="447">
        <v>1025</v>
      </c>
      <c r="G486" s="277">
        <v>39.700000000000003</v>
      </c>
      <c r="H486" s="277"/>
      <c r="I486" s="278">
        <f t="shared" si="80"/>
        <v>985.3</v>
      </c>
      <c r="J486" s="279" t="s">
        <v>374</v>
      </c>
      <c r="K486" s="279">
        <v>1</v>
      </c>
      <c r="L486" s="279">
        <v>1</v>
      </c>
      <c r="M486" s="279">
        <v>1</v>
      </c>
      <c r="N486" s="279">
        <v>1</v>
      </c>
      <c r="O486" s="279">
        <v>1</v>
      </c>
      <c r="P486" s="279">
        <v>1</v>
      </c>
      <c r="Q486" s="279">
        <v>1</v>
      </c>
      <c r="R486" s="279">
        <v>1</v>
      </c>
      <c r="S486" s="280">
        <v>1</v>
      </c>
      <c r="T486" s="63"/>
      <c r="U486" s="94"/>
      <c r="V486" s="90">
        <v>1127.5</v>
      </c>
      <c r="W486" s="96"/>
      <c r="X486" s="92"/>
      <c r="Y486" s="2"/>
      <c r="Z486" s="2"/>
      <c r="AA486" s="2"/>
      <c r="AB486" s="2"/>
      <c r="AC486" s="2"/>
    </row>
    <row r="487" spans="1:31">
      <c r="A487" s="2"/>
      <c r="B487" s="87">
        <f t="shared" si="81"/>
        <v>18</v>
      </c>
      <c r="C487" s="295">
        <v>45863</v>
      </c>
      <c r="D487" s="323">
        <v>71762</v>
      </c>
      <c r="E487" s="101" t="s">
        <v>746</v>
      </c>
      <c r="F487" s="62">
        <v>1461</v>
      </c>
      <c r="G487" s="62">
        <v>39.700000000000003</v>
      </c>
      <c r="H487" s="62"/>
      <c r="I487" s="89">
        <f t="shared" si="80"/>
        <v>1421.3</v>
      </c>
      <c r="J487" s="63" t="s">
        <v>156</v>
      </c>
      <c r="K487" s="63">
        <v>1</v>
      </c>
      <c r="L487" s="63">
        <v>1</v>
      </c>
      <c r="M487" s="63">
        <v>1</v>
      </c>
      <c r="N487" s="63">
        <v>1</v>
      </c>
      <c r="O487" s="63">
        <v>1</v>
      </c>
      <c r="P487" s="63">
        <v>1</v>
      </c>
      <c r="Q487" s="63">
        <v>1</v>
      </c>
      <c r="R487" s="63">
        <v>1</v>
      </c>
      <c r="S487" s="296">
        <v>1</v>
      </c>
      <c r="T487" s="63"/>
      <c r="U487" s="94" t="s">
        <v>3570</v>
      </c>
      <c r="V487" s="90">
        <v>1607.1</v>
      </c>
      <c r="W487" s="96"/>
      <c r="X487" s="92"/>
      <c r="Y487" s="2"/>
      <c r="Z487" s="2"/>
      <c r="AA487" s="2"/>
      <c r="AB487" s="2"/>
      <c r="AC487" s="2"/>
    </row>
    <row r="488" spans="1:31">
      <c r="A488" s="2"/>
      <c r="B488" s="87">
        <f>B487+1</f>
        <v>19</v>
      </c>
      <c r="C488" s="282">
        <v>45863</v>
      </c>
      <c r="D488" s="368">
        <v>71774</v>
      </c>
      <c r="E488" s="319" t="s">
        <v>3571</v>
      </c>
      <c r="F488" s="284">
        <v>616</v>
      </c>
      <c r="G488" s="284"/>
      <c r="H488" s="284"/>
      <c r="I488" s="285">
        <f t="shared" si="80"/>
        <v>616</v>
      </c>
      <c r="J488" s="286" t="s">
        <v>156</v>
      </c>
      <c r="K488" s="286">
        <v>1</v>
      </c>
      <c r="L488" s="286">
        <v>1</v>
      </c>
      <c r="M488" s="286">
        <v>1</v>
      </c>
      <c r="N488" s="286">
        <v>1</v>
      </c>
      <c r="O488" s="286">
        <v>1</v>
      </c>
      <c r="P488" s="286">
        <v>1</v>
      </c>
      <c r="Q488" s="286">
        <v>1</v>
      </c>
      <c r="R488" s="286">
        <v>1</v>
      </c>
      <c r="S488" s="287">
        <v>1</v>
      </c>
      <c r="T488" s="63"/>
      <c r="U488" s="94" t="s">
        <v>3572</v>
      </c>
      <c r="V488" s="90">
        <v>677.6</v>
      </c>
      <c r="W488" s="96"/>
      <c r="X488" s="92"/>
      <c r="Y488" s="2"/>
      <c r="Z488" s="2"/>
      <c r="AA488" s="2"/>
      <c r="AB488" s="2"/>
      <c r="AC488" s="2"/>
    </row>
    <row r="489" spans="1:31">
      <c r="A489" s="2"/>
      <c r="B489" s="87"/>
      <c r="C489" s="36"/>
      <c r="D489" s="10"/>
      <c r="E489" s="10"/>
      <c r="F489" s="98">
        <f>SUM(F470:F488)</f>
        <v>28005</v>
      </c>
      <c r="G489" s="98">
        <f>SUM(G470:G488)</f>
        <v>3390.3199999999988</v>
      </c>
      <c r="H489" s="98">
        <f>SUM(H470:H488)</f>
        <v>0</v>
      </c>
      <c r="I489" s="98">
        <f>SUM(I470:I488)</f>
        <v>24614.679999999997</v>
      </c>
      <c r="J489" s="63"/>
      <c r="K489" s="63">
        <f t="shared" ref="K489:S489" si="82">COUNT(K470:K488)</f>
        <v>19</v>
      </c>
      <c r="L489" s="63">
        <f t="shared" si="82"/>
        <v>19</v>
      </c>
      <c r="M489" s="63">
        <f t="shared" si="82"/>
        <v>19</v>
      </c>
      <c r="N489" s="63">
        <f t="shared" si="82"/>
        <v>19</v>
      </c>
      <c r="O489" s="63">
        <f t="shared" si="82"/>
        <v>19</v>
      </c>
      <c r="P489" s="63">
        <f t="shared" si="82"/>
        <v>19</v>
      </c>
      <c r="Q489" s="63">
        <f t="shared" si="82"/>
        <v>19</v>
      </c>
      <c r="R489" s="63">
        <f t="shared" si="82"/>
        <v>19</v>
      </c>
      <c r="S489" s="63">
        <f t="shared" si="82"/>
        <v>19</v>
      </c>
      <c r="T489" s="63"/>
      <c r="U489" s="94"/>
      <c r="V489" s="90"/>
      <c r="W489" s="91"/>
      <c r="X489" s="92"/>
      <c r="Y489" s="2"/>
      <c r="Z489" s="2"/>
      <c r="AA489" s="2"/>
      <c r="AB489" s="2"/>
      <c r="AC489" s="2"/>
    </row>
    <row r="490" spans="1:31">
      <c r="A490" s="2"/>
      <c r="B490" s="87"/>
      <c r="C490" s="36"/>
      <c r="D490" s="10"/>
      <c r="E490" s="10"/>
      <c r="F490" s="88"/>
      <c r="G490" s="88"/>
      <c r="H490" s="88"/>
      <c r="I490" s="99"/>
      <c r="J490" s="63"/>
      <c r="K490" s="21">
        <f t="shared" ref="K490:S490" si="83">SUM(K470:K488)</f>
        <v>19</v>
      </c>
      <c r="L490" s="21">
        <f t="shared" si="83"/>
        <v>19</v>
      </c>
      <c r="M490" s="21">
        <f t="shared" si="83"/>
        <v>18</v>
      </c>
      <c r="N490" s="21">
        <f t="shared" si="83"/>
        <v>19</v>
      </c>
      <c r="O490" s="21">
        <f t="shared" si="83"/>
        <v>19</v>
      </c>
      <c r="P490" s="21">
        <f t="shared" si="83"/>
        <v>19</v>
      </c>
      <c r="Q490" s="21">
        <f t="shared" si="83"/>
        <v>16</v>
      </c>
      <c r="R490" s="21">
        <f t="shared" si="83"/>
        <v>16</v>
      </c>
      <c r="S490" s="21">
        <f t="shared" si="83"/>
        <v>16</v>
      </c>
      <c r="T490" s="63"/>
      <c r="U490" s="94"/>
      <c r="V490" s="90"/>
      <c r="W490" s="91"/>
      <c r="X490" s="92"/>
      <c r="Y490" s="2"/>
      <c r="Z490" s="2"/>
      <c r="AA490" s="2"/>
      <c r="AB490" s="2"/>
      <c r="AC490" s="2"/>
    </row>
    <row r="491" spans="1:31">
      <c r="A491" s="2"/>
      <c r="B491" s="11"/>
      <c r="C491" s="36"/>
      <c r="D491" s="10"/>
      <c r="E491" s="10"/>
      <c r="F491" s="88"/>
      <c r="G491" s="88"/>
      <c r="H491" s="88"/>
      <c r="I491" s="99"/>
      <c r="J491" s="63"/>
      <c r="K491" s="21"/>
      <c r="L491" s="21"/>
      <c r="M491" s="21"/>
      <c r="N491" s="21"/>
      <c r="O491" s="21"/>
      <c r="P491" s="21"/>
      <c r="Q491" s="21"/>
      <c r="R491" s="21"/>
      <c r="S491" s="21"/>
      <c r="T491" s="63"/>
      <c r="U491" s="94"/>
      <c r="V491" s="90"/>
      <c r="W491" s="91"/>
      <c r="X491" s="92"/>
      <c r="Y491" s="2"/>
      <c r="Z491" s="2"/>
      <c r="AA491" s="2"/>
      <c r="AB491" s="2"/>
      <c r="AC491" s="2"/>
    </row>
    <row r="492" spans="1:31">
      <c r="A492" s="2"/>
      <c r="B492" s="100" t="s">
        <v>67</v>
      </c>
      <c r="C492" s="36"/>
      <c r="D492" s="10"/>
      <c r="E492" s="10"/>
      <c r="F492" s="88"/>
      <c r="G492" s="62"/>
      <c r="H492" s="88"/>
      <c r="I492" s="99"/>
      <c r="J492" s="63"/>
      <c r="K492" s="2"/>
      <c r="L492" s="2"/>
      <c r="M492" s="2"/>
      <c r="N492" s="2"/>
      <c r="O492" s="2"/>
      <c r="P492" s="2"/>
      <c r="Q492" s="2"/>
      <c r="R492" s="2"/>
      <c r="S492" s="2"/>
      <c r="T492" s="63"/>
      <c r="U492" s="94"/>
      <c r="V492" s="90"/>
      <c r="W492" s="91"/>
      <c r="X492" s="92"/>
      <c r="Y492" s="2"/>
      <c r="Z492" s="2"/>
      <c r="AA492" s="2"/>
      <c r="AB492" s="2"/>
      <c r="AC492" s="2"/>
    </row>
    <row r="493" spans="1:31">
      <c r="A493" s="371" t="s">
        <v>3573</v>
      </c>
      <c r="B493" s="372">
        <v>1</v>
      </c>
      <c r="C493" s="442">
        <v>45836</v>
      </c>
      <c r="D493" s="327">
        <v>70970</v>
      </c>
      <c r="E493" s="444" t="s">
        <v>509</v>
      </c>
      <c r="F493" s="445">
        <f>1641-85-1556</f>
        <v>0</v>
      </c>
      <c r="G493" s="445">
        <f>39.7-39.7</f>
        <v>0</v>
      </c>
      <c r="H493" s="445"/>
      <c r="I493" s="329">
        <f>F493-G493-H493</f>
        <v>0</v>
      </c>
      <c r="J493" s="322" t="s">
        <v>156</v>
      </c>
      <c r="K493" s="322">
        <v>1</v>
      </c>
      <c r="L493" s="322">
        <v>1</v>
      </c>
      <c r="M493" s="322">
        <v>1</v>
      </c>
      <c r="N493" s="322">
        <v>1</v>
      </c>
      <c r="O493" s="322">
        <v>1</v>
      </c>
      <c r="P493" s="322">
        <v>1</v>
      </c>
      <c r="Q493" s="322">
        <v>1</v>
      </c>
      <c r="R493" s="322">
        <v>1</v>
      </c>
      <c r="S493" s="328">
        <v>1</v>
      </c>
      <c r="T493" s="325"/>
      <c r="U493" s="505" t="s">
        <v>3398</v>
      </c>
      <c r="V493" s="377"/>
      <c r="W493" s="392"/>
      <c r="X493" s="379"/>
      <c r="Y493" s="380"/>
      <c r="Z493" s="380"/>
      <c r="AA493" s="380"/>
      <c r="AB493" s="380"/>
      <c r="AC493" s="380"/>
    </row>
    <row r="494" spans="1:31">
      <c r="A494" s="261" t="s">
        <v>3574</v>
      </c>
      <c r="B494" s="87">
        <f>B493+1</f>
        <v>2</v>
      </c>
      <c r="C494" s="262">
        <v>45853</v>
      </c>
      <c r="D494" s="263">
        <v>71445</v>
      </c>
      <c r="E494" s="271" t="s">
        <v>172</v>
      </c>
      <c r="F494" s="265">
        <v>2539</v>
      </c>
      <c r="G494" s="265">
        <f>39.7+(210.76)+200</f>
        <v>450.46</v>
      </c>
      <c r="H494" s="265">
        <f>178.47+17.85</f>
        <v>196.32</v>
      </c>
      <c r="I494" s="272">
        <f>F494-G494-H494</f>
        <v>1892.22</v>
      </c>
      <c r="J494" s="267" t="s">
        <v>185</v>
      </c>
      <c r="K494" s="267">
        <v>1</v>
      </c>
      <c r="L494" s="267">
        <v>1</v>
      </c>
      <c r="M494" s="267">
        <v>1</v>
      </c>
      <c r="N494" s="267">
        <v>1</v>
      </c>
      <c r="O494" s="267">
        <v>1</v>
      </c>
      <c r="P494" s="267">
        <v>1</v>
      </c>
      <c r="Q494" s="267">
        <v>1</v>
      </c>
      <c r="R494" s="267">
        <v>1</v>
      </c>
      <c r="S494" s="269">
        <v>1</v>
      </c>
      <c r="T494" s="63"/>
      <c r="U494" s="94" t="s">
        <v>3542</v>
      </c>
      <c r="V494" s="90"/>
      <c r="W494" s="91"/>
      <c r="X494" s="92">
        <f>2317.29</f>
        <v>2317.29</v>
      </c>
      <c r="Y494" s="181"/>
      <c r="Z494" s="181"/>
      <c r="AA494" s="181"/>
      <c r="AB494" s="181"/>
      <c r="AC494" s="181"/>
      <c r="AD494" s="260"/>
      <c r="AE494" s="260"/>
    </row>
    <row r="495" spans="1:31">
      <c r="A495" s="261" t="s">
        <v>3575</v>
      </c>
      <c r="B495" s="87">
        <f>B494+1</f>
        <v>3</v>
      </c>
      <c r="C495" s="262">
        <v>45853</v>
      </c>
      <c r="D495" s="357" t="s">
        <v>3544</v>
      </c>
      <c r="E495" s="309" t="s">
        <v>3411</v>
      </c>
      <c r="F495" s="265">
        <v>10475</v>
      </c>
      <c r="G495" s="265">
        <f>39.7+(39.98+29.49)+(856.29)+750</f>
        <v>1715.46</v>
      </c>
      <c r="H495" s="265"/>
      <c r="I495" s="266">
        <f>F495-G495-H495</f>
        <v>8759.5400000000009</v>
      </c>
      <c r="J495" s="267" t="s">
        <v>228</v>
      </c>
      <c r="K495" s="267">
        <v>1</v>
      </c>
      <c r="L495" s="267">
        <v>1</v>
      </c>
      <c r="M495" s="267">
        <v>1</v>
      </c>
      <c r="N495" s="267">
        <v>1</v>
      </c>
      <c r="O495" s="267">
        <v>1</v>
      </c>
      <c r="P495" s="267">
        <v>1</v>
      </c>
      <c r="Q495" s="314">
        <v>0</v>
      </c>
      <c r="R495" s="314">
        <v>0</v>
      </c>
      <c r="S495" s="366">
        <v>0</v>
      </c>
      <c r="T495" s="63"/>
      <c r="U495" s="94" t="s">
        <v>3576</v>
      </c>
      <c r="V495" s="90">
        <f>8022.5</f>
        <v>8022.5</v>
      </c>
      <c r="W495" s="136"/>
      <c r="X495" s="137"/>
      <c r="Y495" s="181"/>
      <c r="Z495" s="181"/>
      <c r="AA495" s="181"/>
      <c r="AB495" s="181"/>
      <c r="AC495" s="181"/>
      <c r="AD495" s="260"/>
      <c r="AE495" s="260"/>
    </row>
    <row r="496" spans="1:31">
      <c r="A496" s="2"/>
      <c r="B496" s="11"/>
      <c r="C496" s="36"/>
      <c r="D496" s="10"/>
      <c r="E496" s="10"/>
      <c r="F496" s="97">
        <f>SUM(F493:F495)</f>
        <v>13014</v>
      </c>
      <c r="G496" s="97">
        <f>SUM(G493:G495)</f>
        <v>2165.92</v>
      </c>
      <c r="H496" s="97">
        <f>SUM(H493:H495)</f>
        <v>196.32</v>
      </c>
      <c r="I496" s="98">
        <f>SUM(I493:I495)</f>
        <v>10651.76</v>
      </c>
      <c r="J496" s="63"/>
      <c r="K496" s="21"/>
      <c r="L496" s="21"/>
      <c r="M496" s="21"/>
      <c r="N496" s="21"/>
      <c r="O496" s="21"/>
      <c r="P496" s="21"/>
      <c r="Q496" s="21"/>
      <c r="R496" s="21"/>
      <c r="S496" s="21"/>
      <c r="T496" s="63"/>
      <c r="U496" s="94"/>
      <c r="V496" s="90"/>
      <c r="W496" s="91"/>
      <c r="X496" s="92"/>
      <c r="Y496" s="2"/>
      <c r="Z496" s="2"/>
      <c r="AA496" s="2"/>
      <c r="AB496" s="2"/>
      <c r="AC496" s="2"/>
    </row>
    <row r="497" spans="1:29">
      <c r="A497" s="2"/>
      <c r="B497" s="11"/>
      <c r="C497" s="36"/>
      <c r="D497" s="10"/>
      <c r="E497" s="10"/>
      <c r="F497" s="88"/>
      <c r="G497" s="88"/>
      <c r="H497" s="88"/>
      <c r="I497" s="99"/>
      <c r="J497" s="63"/>
      <c r="K497" s="21"/>
      <c r="L497" s="21"/>
      <c r="M497" s="21"/>
      <c r="N497" s="21"/>
      <c r="O497" s="21"/>
      <c r="P497" s="21"/>
      <c r="Q497" s="21"/>
      <c r="R497" s="21"/>
      <c r="S497" s="21"/>
      <c r="T497" s="63"/>
      <c r="U497" s="94"/>
      <c r="V497" s="90"/>
      <c r="W497" s="91"/>
      <c r="X497" s="92"/>
      <c r="Y497" s="2"/>
      <c r="Z497" s="2"/>
      <c r="AA497" s="2"/>
      <c r="AB497" s="2"/>
      <c r="AC497" s="2"/>
    </row>
    <row r="498" spans="1:29" s="342" customFormat="1">
      <c r="A498" s="128"/>
      <c r="B498" s="121" t="s">
        <v>68</v>
      </c>
      <c r="C498" s="122"/>
      <c r="D498" s="123"/>
      <c r="E498" s="123"/>
      <c r="F498" s="124"/>
      <c r="G498" s="125"/>
      <c r="H498" s="124"/>
      <c r="I498" s="126"/>
      <c r="J498" s="127"/>
      <c r="K498" s="128"/>
      <c r="L498" s="128"/>
      <c r="M498" s="128"/>
      <c r="N498" s="128"/>
      <c r="O498" s="128"/>
      <c r="P498" s="128"/>
      <c r="Q498" s="128"/>
      <c r="R498" s="128"/>
      <c r="S498" s="128"/>
      <c r="T498" s="127"/>
      <c r="U498" s="135"/>
      <c r="V498" s="129"/>
      <c r="W498" s="130"/>
      <c r="X498" s="131"/>
      <c r="Y498" s="128"/>
      <c r="Z498" s="128"/>
      <c r="AA498" s="128"/>
      <c r="AB498" s="128"/>
      <c r="AC498" s="128"/>
    </row>
    <row r="499" spans="1:29" s="342" customFormat="1">
      <c r="A499" s="356">
        <v>0.1</v>
      </c>
      <c r="B499" s="333">
        <v>1</v>
      </c>
      <c r="C499" s="334">
        <v>45861</v>
      </c>
      <c r="D499" s="320" t="s">
        <v>3577</v>
      </c>
      <c r="E499" s="335" t="s">
        <v>1159</v>
      </c>
      <c r="F499" s="520">
        <v>6133</v>
      </c>
      <c r="G499" s="336">
        <f>39.7+(2560.82+60.01+8.27+587.46)+300</f>
        <v>3556.26</v>
      </c>
      <c r="H499" s="336">
        <f>F499*0.2</f>
        <v>1226.6000000000001</v>
      </c>
      <c r="I499" s="337">
        <f>F499-G499-H499</f>
        <v>1350.1399999999996</v>
      </c>
      <c r="J499" s="338" t="s">
        <v>313</v>
      </c>
      <c r="K499" s="338">
        <v>1</v>
      </c>
      <c r="L499" s="338">
        <v>1</v>
      </c>
      <c r="M499" s="338"/>
      <c r="N499" s="338">
        <v>1</v>
      </c>
      <c r="O499" s="338">
        <v>1</v>
      </c>
      <c r="P499" s="338">
        <v>1</v>
      </c>
      <c r="Q499" s="338">
        <v>1</v>
      </c>
      <c r="R499" s="338">
        <v>1</v>
      </c>
      <c r="S499" s="339">
        <v>1</v>
      </c>
      <c r="T499" s="127"/>
      <c r="U499" s="135" t="s">
        <v>3578</v>
      </c>
      <c r="V499" s="129"/>
      <c r="W499" s="130"/>
      <c r="X499" s="131"/>
      <c r="Y499" s="128"/>
      <c r="Z499" s="128"/>
      <c r="AA499" s="128"/>
      <c r="AB499" s="128"/>
      <c r="AC499" s="128"/>
    </row>
    <row r="500" spans="1:29" s="342" customFormat="1">
      <c r="A500" s="356">
        <v>0.1</v>
      </c>
      <c r="B500" s="333">
        <f t="shared" ref="B500" si="84">B499+1</f>
        <v>2</v>
      </c>
      <c r="C500" s="350">
        <v>45862</v>
      </c>
      <c r="D500" s="263">
        <v>71722</v>
      </c>
      <c r="E500" s="358" t="s">
        <v>1156</v>
      </c>
      <c r="F500" s="352">
        <v>5593</v>
      </c>
      <c r="G500" s="352">
        <f>39.7+(5.92+2038.45)+250</f>
        <v>2334.0700000000002</v>
      </c>
      <c r="H500" s="352">
        <f>F500*0.2</f>
        <v>1118.6000000000001</v>
      </c>
      <c r="I500" s="353">
        <f>F500-G500-H500</f>
        <v>2140.33</v>
      </c>
      <c r="J500" s="354" t="s">
        <v>185</v>
      </c>
      <c r="K500" s="354">
        <v>1</v>
      </c>
      <c r="L500" s="354">
        <v>1</v>
      </c>
      <c r="M500" s="354">
        <v>1</v>
      </c>
      <c r="N500" s="354">
        <v>1</v>
      </c>
      <c r="O500" s="354">
        <v>1</v>
      </c>
      <c r="P500" s="354">
        <v>1</v>
      </c>
      <c r="Q500" s="354">
        <v>1</v>
      </c>
      <c r="R500" s="354">
        <v>1</v>
      </c>
      <c r="S500" s="355">
        <v>1</v>
      </c>
      <c r="T500" s="127"/>
      <c r="U500" s="135" t="s">
        <v>3579</v>
      </c>
      <c r="V500" s="129">
        <f>615.23</f>
        <v>615.23</v>
      </c>
      <c r="W500" s="130"/>
      <c r="X500" s="131"/>
      <c r="Y500" s="128"/>
      <c r="Z500" s="128"/>
      <c r="AA500" s="128"/>
      <c r="AB500" s="128"/>
      <c r="AC500" s="128"/>
    </row>
    <row r="501" spans="1:29" s="342" customFormat="1">
      <c r="A501" s="128"/>
      <c r="B501" s="132"/>
      <c r="C501" s="122"/>
      <c r="D501" s="123"/>
      <c r="E501" s="123"/>
      <c r="F501" s="134">
        <f>SUM(F499:F500)</f>
        <v>11726</v>
      </c>
      <c r="G501" s="134">
        <f>SUM(G499:G500)</f>
        <v>5890.33</v>
      </c>
      <c r="H501" s="134">
        <f>SUM(H499:H500)</f>
        <v>2345.2000000000003</v>
      </c>
      <c r="I501" s="134">
        <f>SUM(I499:I500)</f>
        <v>3490.4699999999993</v>
      </c>
      <c r="J501" s="127"/>
      <c r="K501" s="64"/>
      <c r="L501" s="64"/>
      <c r="M501" s="64"/>
      <c r="N501" s="64"/>
      <c r="O501" s="64"/>
      <c r="P501" s="64"/>
      <c r="Q501" s="64"/>
      <c r="R501" s="64"/>
      <c r="S501" s="64"/>
      <c r="T501" s="127"/>
      <c r="U501" s="135"/>
      <c r="V501" s="129"/>
      <c r="W501" s="130"/>
      <c r="X501" s="131"/>
      <c r="Y501" s="128"/>
      <c r="Z501" s="128"/>
      <c r="AA501" s="128"/>
      <c r="AB501" s="128"/>
      <c r="AC501" s="128"/>
    </row>
    <row r="502" spans="1:29" s="342" customFormat="1">
      <c r="A502" s="128"/>
      <c r="B502" s="132"/>
      <c r="C502" s="122"/>
      <c r="D502" s="123"/>
      <c r="E502" s="123"/>
      <c r="F502" s="124"/>
      <c r="G502" s="124"/>
      <c r="H502" s="124"/>
      <c r="I502" s="126"/>
      <c r="J502" s="127"/>
      <c r="K502" s="64"/>
      <c r="L502" s="64"/>
      <c r="M502" s="64"/>
      <c r="N502" s="64"/>
      <c r="O502" s="64"/>
      <c r="P502" s="64"/>
      <c r="Q502" s="64"/>
      <c r="R502" s="64"/>
      <c r="S502" s="64"/>
      <c r="T502" s="127"/>
      <c r="U502" s="135"/>
      <c r="V502" s="129"/>
      <c r="W502" s="130"/>
      <c r="X502" s="131"/>
      <c r="Y502" s="128"/>
      <c r="Z502" s="128"/>
      <c r="AA502" s="128"/>
      <c r="AB502" s="128"/>
      <c r="AC502" s="128"/>
    </row>
    <row r="503" spans="1:29" s="342" customFormat="1">
      <c r="A503" s="128"/>
      <c r="B503" s="121" t="s">
        <v>70</v>
      </c>
      <c r="C503" s="122"/>
      <c r="D503" s="123"/>
      <c r="E503" s="128"/>
      <c r="F503" s="124"/>
      <c r="G503" s="124"/>
      <c r="H503" s="124"/>
      <c r="I503" s="126"/>
      <c r="J503" s="127"/>
      <c r="K503" s="64"/>
      <c r="L503" s="64"/>
      <c r="M503" s="64"/>
      <c r="N503" s="64"/>
      <c r="O503" s="64"/>
      <c r="P503" s="64"/>
      <c r="Q503" s="64"/>
      <c r="R503" s="64"/>
      <c r="S503" s="64"/>
      <c r="T503" s="127"/>
      <c r="U503" s="135"/>
      <c r="V503" s="129"/>
      <c r="W503" s="130"/>
      <c r="X503" s="131"/>
      <c r="Y503" s="128"/>
      <c r="Z503" s="128"/>
      <c r="AA503" s="128"/>
      <c r="AB503" s="128"/>
      <c r="AC503" s="128"/>
    </row>
    <row r="504" spans="1:29" s="342" customFormat="1">
      <c r="A504" s="356">
        <v>0.1</v>
      </c>
      <c r="B504" s="333">
        <v>1</v>
      </c>
      <c r="C504" s="350">
        <v>45861</v>
      </c>
      <c r="D504" s="357" t="s">
        <v>3580</v>
      </c>
      <c r="E504" s="351" t="s">
        <v>225</v>
      </c>
      <c r="F504" s="352">
        <v>11676</v>
      </c>
      <c r="G504" s="352">
        <f>39.7+230.8+(49.4)+(95.17+140.44+41.71)+1000</f>
        <v>1597.22</v>
      </c>
      <c r="H504" s="352"/>
      <c r="I504" s="353">
        <f t="shared" ref="I504:I508" si="85">F504-G504-H504</f>
        <v>10078.780000000001</v>
      </c>
      <c r="J504" s="354" t="s">
        <v>374</v>
      </c>
      <c r="K504" s="354">
        <v>1</v>
      </c>
      <c r="L504" s="354"/>
      <c r="M504" s="354">
        <v>1</v>
      </c>
      <c r="N504" s="314">
        <v>0</v>
      </c>
      <c r="O504" s="314">
        <v>0</v>
      </c>
      <c r="P504" s="314">
        <v>0</v>
      </c>
      <c r="Q504" s="354"/>
      <c r="R504" s="354"/>
      <c r="S504" s="355"/>
      <c r="T504" s="127"/>
      <c r="U504" s="135" t="s">
        <v>3581</v>
      </c>
      <c r="V504" s="129">
        <f>1284.36</f>
        <v>1284.3599999999999</v>
      </c>
      <c r="W504" s="340"/>
      <c r="X504" s="341"/>
      <c r="Y504" s="128"/>
      <c r="Z504" s="128"/>
      <c r="AA504" s="128"/>
      <c r="AB504" s="128"/>
      <c r="AC504" s="128"/>
    </row>
    <row r="505" spans="1:29" s="342" customFormat="1">
      <c r="A505" s="356">
        <v>0.1</v>
      </c>
      <c r="B505" s="333">
        <f t="shared" ref="B505:B508" si="86">B504+1</f>
        <v>2</v>
      </c>
      <c r="C505" s="345">
        <v>45862</v>
      </c>
      <c r="D505" s="346" t="s">
        <v>3582</v>
      </c>
      <c r="E505" s="123" t="s">
        <v>1666</v>
      </c>
      <c r="F505" s="125">
        <v>12814</v>
      </c>
      <c r="G505" s="125">
        <f>39.7+1000</f>
        <v>1039.7</v>
      </c>
      <c r="H505" s="125"/>
      <c r="I505" s="347">
        <f t="shared" si="85"/>
        <v>11774.3</v>
      </c>
      <c r="J505" s="127" t="s">
        <v>374</v>
      </c>
      <c r="K505" s="127">
        <v>1</v>
      </c>
      <c r="L505" s="127"/>
      <c r="M505" s="127">
        <v>1</v>
      </c>
      <c r="N505" s="127">
        <v>1</v>
      </c>
      <c r="O505" s="127">
        <v>1</v>
      </c>
      <c r="P505" s="127">
        <v>1</v>
      </c>
      <c r="Q505" s="127"/>
      <c r="R505" s="127"/>
      <c r="S505" s="349"/>
      <c r="T505" s="127"/>
      <c r="U505" s="135" t="s">
        <v>3583</v>
      </c>
      <c r="V505" s="129">
        <f>1409.54+5000</f>
        <v>6409.54</v>
      </c>
      <c r="W505" s="340"/>
      <c r="X505" s="341"/>
      <c r="Y505" s="128"/>
      <c r="Z505" s="128"/>
      <c r="AA505" s="128"/>
      <c r="AB505" s="128"/>
      <c r="AC505" s="128"/>
    </row>
    <row r="506" spans="1:29" s="342" customFormat="1">
      <c r="A506" s="356">
        <v>0.1</v>
      </c>
      <c r="B506" s="333">
        <f>B505+1</f>
        <v>3</v>
      </c>
      <c r="C506" s="345">
        <v>45862</v>
      </c>
      <c r="D506" s="323">
        <v>71727</v>
      </c>
      <c r="E506" s="123" t="s">
        <v>973</v>
      </c>
      <c r="F506" s="125">
        <v>6814</v>
      </c>
      <c r="G506" s="125">
        <f>39.7+(1866.5+61.4+15.06)+250</f>
        <v>2232.66</v>
      </c>
      <c r="H506" s="125"/>
      <c r="I506" s="347">
        <f t="shared" si="85"/>
        <v>4581.34</v>
      </c>
      <c r="J506" s="127" t="s">
        <v>156</v>
      </c>
      <c r="K506" s="127">
        <v>1</v>
      </c>
      <c r="L506" s="127">
        <v>1</v>
      </c>
      <c r="M506" s="127">
        <v>1</v>
      </c>
      <c r="N506" s="127">
        <v>1</v>
      </c>
      <c r="O506" s="127">
        <v>1</v>
      </c>
      <c r="P506" s="127">
        <v>1</v>
      </c>
      <c r="Q506" s="325">
        <v>0</v>
      </c>
      <c r="R506" s="325">
        <v>0</v>
      </c>
      <c r="S506" s="326">
        <v>0</v>
      </c>
      <c r="T506" s="127"/>
      <c r="U506" s="135" t="s">
        <v>3584</v>
      </c>
      <c r="V506" s="129">
        <f>749.54+3372.8</f>
        <v>4122.34</v>
      </c>
      <c r="W506" s="340"/>
      <c r="X506" s="341"/>
      <c r="Y506" s="128"/>
      <c r="Z506" s="128"/>
      <c r="AA506" s="128"/>
      <c r="AB506" s="128"/>
      <c r="AC506" s="128"/>
    </row>
    <row r="507" spans="1:29" s="342" customFormat="1">
      <c r="A507" s="356">
        <v>0.1</v>
      </c>
      <c r="B507" s="333">
        <f t="shared" si="86"/>
        <v>4</v>
      </c>
      <c r="C507" s="334">
        <v>45863</v>
      </c>
      <c r="D507" s="320" t="s">
        <v>3585</v>
      </c>
      <c r="E507" s="335" t="s">
        <v>1200</v>
      </c>
      <c r="F507" s="520">
        <v>32777</v>
      </c>
      <c r="G507" s="336">
        <f>39.7+(96.46)+(F507*0.25)</f>
        <v>8330.41</v>
      </c>
      <c r="H507" s="336"/>
      <c r="I507" s="337">
        <f>F507-G507-H507</f>
        <v>24446.59</v>
      </c>
      <c r="J507" s="338" t="s">
        <v>374</v>
      </c>
      <c r="K507" s="338">
        <v>1</v>
      </c>
      <c r="L507" s="338"/>
      <c r="M507" s="338">
        <v>1</v>
      </c>
      <c r="N507" s="338">
        <v>1</v>
      </c>
      <c r="O507" s="338">
        <v>1</v>
      </c>
      <c r="P507" s="338">
        <v>1</v>
      </c>
      <c r="Q507" s="338"/>
      <c r="R507" s="338"/>
      <c r="S507" s="339"/>
      <c r="T507" s="127"/>
      <c r="U507" s="135" t="s">
        <v>3586</v>
      </c>
      <c r="V507" s="129">
        <f>3000+3000</f>
        <v>6000</v>
      </c>
      <c r="W507" s="340"/>
      <c r="X507" s="341"/>
      <c r="Y507" s="128"/>
      <c r="Z507" s="128"/>
      <c r="AA507" s="128"/>
      <c r="AB507" s="128"/>
      <c r="AC507" s="128"/>
    </row>
    <row r="508" spans="1:29" s="342" customFormat="1">
      <c r="A508" s="356">
        <v>0.1</v>
      </c>
      <c r="B508" s="333">
        <f t="shared" si="86"/>
        <v>5</v>
      </c>
      <c r="C508" s="395">
        <v>45863</v>
      </c>
      <c r="D508" s="368" t="s">
        <v>3587</v>
      </c>
      <c r="E508" s="396" t="s">
        <v>1666</v>
      </c>
      <c r="F508" s="397">
        <v>61393</v>
      </c>
      <c r="G508" s="397">
        <f>39.7+(140.01)+(F508*0.25)</f>
        <v>15527.96</v>
      </c>
      <c r="H508" s="397"/>
      <c r="I508" s="398">
        <f t="shared" si="85"/>
        <v>45865.04</v>
      </c>
      <c r="J508" s="399" t="s">
        <v>374</v>
      </c>
      <c r="K508" s="399">
        <v>1</v>
      </c>
      <c r="L508" s="399"/>
      <c r="M508" s="399">
        <v>1</v>
      </c>
      <c r="N508" s="399">
        <v>1</v>
      </c>
      <c r="O508" s="399">
        <v>1</v>
      </c>
      <c r="P508" s="399">
        <v>1</v>
      </c>
      <c r="Q508" s="399"/>
      <c r="R508" s="399"/>
      <c r="S508" s="400"/>
      <c r="T508" s="127"/>
      <c r="U508" s="135"/>
      <c r="V508" s="129">
        <v>3000</v>
      </c>
      <c r="W508" s="340"/>
      <c r="X508" s="341"/>
      <c r="Y508" s="128"/>
      <c r="Z508" s="128"/>
      <c r="AA508" s="128"/>
      <c r="AB508" s="128"/>
      <c r="AC508" s="128"/>
    </row>
    <row r="509" spans="1:29">
      <c r="A509" s="128"/>
      <c r="B509" s="132"/>
      <c r="C509" s="122"/>
      <c r="D509" s="123"/>
      <c r="E509" s="123"/>
      <c r="F509" s="134">
        <f>SUM(F504:F508)</f>
        <v>125474</v>
      </c>
      <c r="G509" s="134">
        <f>SUM(G504:G508)</f>
        <v>28727.949999999997</v>
      </c>
      <c r="H509" s="134">
        <f>SUM(H504:H508)</f>
        <v>0</v>
      </c>
      <c r="I509" s="134">
        <f>SUM(I504:I508)</f>
        <v>96746.05</v>
      </c>
      <c r="J509" s="127"/>
      <c r="K509" s="64"/>
      <c r="L509" s="64"/>
      <c r="M509" s="64"/>
      <c r="N509" s="64"/>
      <c r="O509" s="64"/>
      <c r="P509" s="64"/>
      <c r="Q509" s="64"/>
      <c r="R509" s="64"/>
      <c r="S509" s="64"/>
      <c r="T509" s="127"/>
      <c r="U509" s="135"/>
      <c r="V509" s="129"/>
      <c r="W509" s="130"/>
      <c r="X509" s="131"/>
      <c r="Y509" s="128"/>
      <c r="Z509" s="128"/>
      <c r="AA509" s="128"/>
      <c r="AB509" s="128"/>
      <c r="AC509" s="128"/>
    </row>
    <row r="510" spans="1:29">
      <c r="A510" s="2"/>
      <c r="B510" s="11"/>
      <c r="C510" s="36"/>
      <c r="D510" s="10"/>
      <c r="E510" s="10"/>
      <c r="F510" s="88"/>
      <c r="G510" s="88"/>
      <c r="H510" s="88"/>
      <c r="I510" s="99"/>
      <c r="J510" s="10"/>
      <c r="K510" s="63"/>
      <c r="L510" s="63"/>
      <c r="M510" s="63"/>
      <c r="N510" s="63"/>
      <c r="O510" s="63"/>
      <c r="P510" s="63"/>
      <c r="Q510" s="63"/>
      <c r="R510" s="63"/>
      <c r="S510" s="63"/>
      <c r="T510" s="63"/>
      <c r="U510" s="94"/>
      <c r="V510" s="90"/>
      <c r="W510" s="91"/>
      <c r="X510" s="92"/>
      <c r="Y510" s="2"/>
      <c r="Z510" s="2"/>
      <c r="AA510" s="2"/>
      <c r="AB510" s="2"/>
      <c r="AC510" s="2"/>
    </row>
    <row r="511" spans="1:29" s="260" customFormat="1">
      <c r="A511" s="181"/>
      <c r="B511" s="100" t="s">
        <v>152</v>
      </c>
      <c r="C511" s="36"/>
      <c r="D511" s="10"/>
      <c r="E511" s="10"/>
      <c r="F511" s="88"/>
      <c r="G511" s="62"/>
      <c r="H511" s="88"/>
      <c r="I511" s="99"/>
      <c r="J511" s="63"/>
      <c r="K511" s="181"/>
      <c r="L511" s="181"/>
      <c r="M511" s="181"/>
      <c r="N511" s="181"/>
      <c r="O511" s="181"/>
      <c r="P511" s="181"/>
      <c r="Q511" s="181"/>
      <c r="R511" s="181"/>
      <c r="S511" s="181"/>
      <c r="T511" s="63"/>
      <c r="U511" s="94"/>
      <c r="V511" s="90"/>
      <c r="W511" s="91"/>
      <c r="X511" s="92"/>
      <c r="Y511" s="181"/>
      <c r="Z511" s="181"/>
      <c r="AA511" s="181"/>
      <c r="AB511" s="181"/>
      <c r="AC511" s="181"/>
    </row>
    <row r="512" spans="1:29" s="181" customFormat="1">
      <c r="A512" s="261">
        <v>0.1</v>
      </c>
      <c r="B512" s="87">
        <v>1</v>
      </c>
      <c r="C512" s="262">
        <v>45791</v>
      </c>
      <c r="D512" s="357">
        <v>70097</v>
      </c>
      <c r="E512" s="264" t="s">
        <v>296</v>
      </c>
      <c r="F512" s="265">
        <v>1861</v>
      </c>
      <c r="G512" s="265">
        <f>39.7+748+200</f>
        <v>987.7</v>
      </c>
      <c r="H512" s="265"/>
      <c r="I512" s="266">
        <f t="shared" ref="I512:I520" si="87">F512-G512-H512</f>
        <v>873.3</v>
      </c>
      <c r="J512" s="267" t="s">
        <v>156</v>
      </c>
      <c r="K512" s="267">
        <v>1</v>
      </c>
      <c r="L512" s="267"/>
      <c r="M512" s="267">
        <v>1</v>
      </c>
      <c r="N512" s="267">
        <v>1</v>
      </c>
      <c r="O512" s="267">
        <v>1</v>
      </c>
      <c r="P512" s="267">
        <v>1</v>
      </c>
      <c r="Q512" s="267">
        <v>0</v>
      </c>
      <c r="R512" s="267">
        <v>0</v>
      </c>
      <c r="S512" s="269">
        <v>0</v>
      </c>
      <c r="T512" s="63"/>
      <c r="U512" s="94" t="s">
        <v>3403</v>
      </c>
      <c r="V512" s="90"/>
      <c r="W512" s="136"/>
      <c r="X512" s="137"/>
    </row>
    <row r="513" spans="1:31" s="181" customFormat="1">
      <c r="A513" s="261">
        <v>0.1</v>
      </c>
      <c r="B513" s="87">
        <f>B512+1</f>
        <v>2</v>
      </c>
      <c r="C513" s="282">
        <v>45810</v>
      </c>
      <c r="D513" s="330">
        <v>70516</v>
      </c>
      <c r="E513" s="283" t="s">
        <v>218</v>
      </c>
      <c r="F513" s="284">
        <v>6214</v>
      </c>
      <c r="G513" s="284">
        <f>39.7+(1375.67)+250</f>
        <v>1665.3700000000001</v>
      </c>
      <c r="H513" s="284"/>
      <c r="I513" s="300">
        <f t="shared" si="87"/>
        <v>4548.63</v>
      </c>
      <c r="J513" s="286" t="s">
        <v>228</v>
      </c>
      <c r="K513" s="286">
        <v>1</v>
      </c>
      <c r="L513" s="286">
        <v>1</v>
      </c>
      <c r="M513" s="286">
        <v>1</v>
      </c>
      <c r="N513" s="286">
        <v>1</v>
      </c>
      <c r="O513" s="286">
        <v>1</v>
      </c>
      <c r="P513" s="286">
        <v>1</v>
      </c>
      <c r="Q513" s="286">
        <v>1</v>
      </c>
      <c r="R513" s="286">
        <v>0</v>
      </c>
      <c r="S513" s="287">
        <v>1</v>
      </c>
      <c r="T513" s="63"/>
      <c r="U513" s="94" t="s">
        <v>3404</v>
      </c>
      <c r="V513" s="90"/>
      <c r="W513" s="136"/>
      <c r="X513" s="137"/>
    </row>
    <row r="514" spans="1:31" s="181" customFormat="1">
      <c r="A514" s="261">
        <v>0.1</v>
      </c>
      <c r="B514" s="87">
        <f t="shared" ref="B514:B520" si="88">B513+1</f>
        <v>3</v>
      </c>
      <c r="C514" s="274">
        <v>45824</v>
      </c>
      <c r="D514" s="320" t="s">
        <v>3405</v>
      </c>
      <c r="E514" s="276" t="s">
        <v>1047</v>
      </c>
      <c r="F514" s="277">
        <v>2215</v>
      </c>
      <c r="G514" s="277">
        <v>39.700000000000003</v>
      </c>
      <c r="H514" s="277"/>
      <c r="I514" s="278">
        <f t="shared" si="87"/>
        <v>2175.3000000000002</v>
      </c>
      <c r="J514" s="279"/>
      <c r="K514" s="279">
        <v>1</v>
      </c>
      <c r="L514" s="279">
        <v>1</v>
      </c>
      <c r="M514" s="279"/>
      <c r="N514" s="279">
        <v>1</v>
      </c>
      <c r="O514" s="279">
        <v>1</v>
      </c>
      <c r="P514" s="279">
        <v>1</v>
      </c>
      <c r="Q514" s="279">
        <v>1</v>
      </c>
      <c r="R514" s="279">
        <v>1</v>
      </c>
      <c r="S514" s="280">
        <v>1</v>
      </c>
      <c r="T514" s="63"/>
      <c r="U514" s="3" t="s">
        <v>3406</v>
      </c>
      <c r="V514" s="90"/>
      <c r="W514" s="136"/>
      <c r="X514" s="137"/>
    </row>
    <row r="515" spans="1:31" s="181" customFormat="1">
      <c r="A515" s="261">
        <v>0.1</v>
      </c>
      <c r="B515" s="87">
        <f t="shared" si="88"/>
        <v>4</v>
      </c>
      <c r="C515" s="295">
        <v>45824</v>
      </c>
      <c r="D515" s="346" t="s">
        <v>3407</v>
      </c>
      <c r="E515" s="10" t="s">
        <v>1047</v>
      </c>
      <c r="F515" s="62">
        <v>10353</v>
      </c>
      <c r="G515" s="62">
        <f>39.7+598+(65.78+33.33)+(162.26+78.76)+1000</f>
        <v>1977.83</v>
      </c>
      <c r="H515" s="62"/>
      <c r="I515" s="89">
        <f t="shared" si="87"/>
        <v>8375.17</v>
      </c>
      <c r="J515" s="63" t="s">
        <v>156</v>
      </c>
      <c r="K515" s="63">
        <v>1</v>
      </c>
      <c r="L515" s="63">
        <v>1</v>
      </c>
      <c r="M515" s="63">
        <v>1</v>
      </c>
      <c r="N515" s="63">
        <v>1</v>
      </c>
      <c r="O515" s="63">
        <v>1</v>
      </c>
      <c r="P515" s="63">
        <v>1</v>
      </c>
      <c r="Q515" s="63">
        <v>1</v>
      </c>
      <c r="R515" s="63">
        <v>1</v>
      </c>
      <c r="S515" s="296">
        <v>1</v>
      </c>
      <c r="T515" s="63"/>
      <c r="U515" s="94" t="s">
        <v>3408</v>
      </c>
      <c r="V515" s="90"/>
      <c r="W515" s="136"/>
      <c r="X515" s="137"/>
    </row>
    <row r="516" spans="1:31" s="181" customFormat="1">
      <c r="A516" s="261">
        <v>0.1</v>
      </c>
      <c r="B516" s="87">
        <f t="shared" si="88"/>
        <v>5</v>
      </c>
      <c r="C516" s="262">
        <v>45825</v>
      </c>
      <c r="D516" s="357">
        <v>70817</v>
      </c>
      <c r="E516" s="271" t="s">
        <v>317</v>
      </c>
      <c r="F516" s="265">
        <v>1281</v>
      </c>
      <c r="G516" s="265">
        <f>39.7+(87.93)</f>
        <v>127.63000000000001</v>
      </c>
      <c r="H516" s="265"/>
      <c r="I516" s="272">
        <f t="shared" si="87"/>
        <v>1153.3699999999999</v>
      </c>
      <c r="J516" s="267" t="s">
        <v>156</v>
      </c>
      <c r="K516" s="267">
        <v>1</v>
      </c>
      <c r="L516" s="267">
        <v>1</v>
      </c>
      <c r="M516" s="267">
        <v>1</v>
      </c>
      <c r="N516" s="267">
        <v>1</v>
      </c>
      <c r="O516" s="267">
        <v>1</v>
      </c>
      <c r="P516" s="267">
        <v>1</v>
      </c>
      <c r="Q516" s="267">
        <v>1</v>
      </c>
      <c r="R516" s="267">
        <v>1</v>
      </c>
      <c r="S516" s="269">
        <v>1</v>
      </c>
      <c r="T516" s="63"/>
      <c r="U516" s="94"/>
      <c r="V516" s="90"/>
      <c r="W516" s="136"/>
      <c r="X516" s="137"/>
    </row>
    <row r="517" spans="1:31" s="181" customFormat="1">
      <c r="A517" s="181" t="s">
        <v>2588</v>
      </c>
      <c r="B517" s="87">
        <f t="shared" si="88"/>
        <v>6</v>
      </c>
      <c r="C517" s="274">
        <v>45833</v>
      </c>
      <c r="D517" s="327">
        <v>71010</v>
      </c>
      <c r="E517" s="281" t="s">
        <v>998</v>
      </c>
      <c r="F517" s="277">
        <v>3114</v>
      </c>
      <c r="G517" s="277">
        <f>39.7+(145.94)</f>
        <v>185.64</v>
      </c>
      <c r="H517" s="277"/>
      <c r="I517" s="278">
        <f t="shared" si="87"/>
        <v>2928.36</v>
      </c>
      <c r="J517" s="279" t="s">
        <v>156</v>
      </c>
      <c r="K517" s="279">
        <v>1</v>
      </c>
      <c r="L517" s="279">
        <v>1</v>
      </c>
      <c r="M517" s="279">
        <v>1</v>
      </c>
      <c r="N517" s="279">
        <v>1</v>
      </c>
      <c r="O517" s="279">
        <v>1</v>
      </c>
      <c r="P517" s="279">
        <v>1</v>
      </c>
      <c r="Q517" s="279">
        <v>1</v>
      </c>
      <c r="R517" s="279">
        <v>1</v>
      </c>
      <c r="S517" s="280">
        <v>1</v>
      </c>
      <c r="T517" s="63"/>
      <c r="U517" s="94" t="s">
        <v>3393</v>
      </c>
      <c r="V517" s="90"/>
      <c r="W517" s="91"/>
      <c r="X517" s="92"/>
    </row>
    <row r="518" spans="1:31" s="181" customFormat="1">
      <c r="A518" s="181" t="s">
        <v>3394</v>
      </c>
      <c r="B518" s="87">
        <f t="shared" si="88"/>
        <v>7</v>
      </c>
      <c r="C518" s="262">
        <v>45835</v>
      </c>
      <c r="D518" s="263">
        <v>71063</v>
      </c>
      <c r="E518" s="271" t="s">
        <v>317</v>
      </c>
      <c r="F518" s="265">
        <v>6814</v>
      </c>
      <c r="G518" s="265">
        <f>39.7+(902.13)</f>
        <v>941.83</v>
      </c>
      <c r="H518" s="265"/>
      <c r="I518" s="272">
        <f t="shared" si="87"/>
        <v>5872.17</v>
      </c>
      <c r="J518" s="267" t="s">
        <v>156</v>
      </c>
      <c r="K518" s="267">
        <v>1</v>
      </c>
      <c r="L518" s="267">
        <v>1</v>
      </c>
      <c r="M518" s="267">
        <v>1</v>
      </c>
      <c r="N518" s="267">
        <v>1</v>
      </c>
      <c r="O518" s="267">
        <v>1</v>
      </c>
      <c r="P518" s="267">
        <v>1</v>
      </c>
      <c r="Q518" s="267">
        <v>1</v>
      </c>
      <c r="R518" s="267">
        <v>1</v>
      </c>
      <c r="S518" s="269">
        <v>1</v>
      </c>
      <c r="T518" s="63"/>
      <c r="U518" s="94" t="s">
        <v>3396</v>
      </c>
      <c r="V518" s="90"/>
      <c r="W518" s="136"/>
      <c r="X518" s="137"/>
    </row>
    <row r="519" spans="1:31" s="260" customFormat="1">
      <c r="A519" s="261">
        <v>0.1</v>
      </c>
      <c r="B519" s="87">
        <f t="shared" si="88"/>
        <v>8</v>
      </c>
      <c r="C519" s="262">
        <v>45839</v>
      </c>
      <c r="D519" s="357" t="s">
        <v>3447</v>
      </c>
      <c r="E519" s="264" t="s">
        <v>1047</v>
      </c>
      <c r="F519" s="265">
        <v>1261</v>
      </c>
      <c r="G519" s="265">
        <v>39.700000000000003</v>
      </c>
      <c r="H519" s="265"/>
      <c r="I519" s="272">
        <f t="shared" si="87"/>
        <v>1221.3</v>
      </c>
      <c r="J519" s="267"/>
      <c r="K519" s="267">
        <v>1</v>
      </c>
      <c r="L519" s="267">
        <v>1</v>
      </c>
      <c r="M519" s="267"/>
      <c r="N519" s="267">
        <v>1</v>
      </c>
      <c r="O519" s="267">
        <v>1</v>
      </c>
      <c r="P519" s="267">
        <v>1</v>
      </c>
      <c r="Q519" s="314">
        <v>0</v>
      </c>
      <c r="R519" s="314">
        <v>0</v>
      </c>
      <c r="S519" s="366">
        <v>0</v>
      </c>
      <c r="T519" s="63"/>
      <c r="U519" s="94"/>
      <c r="V519" s="90"/>
      <c r="W519" s="91"/>
      <c r="X519" s="92"/>
      <c r="Y519" s="181"/>
      <c r="Z519" s="181"/>
      <c r="AA519" s="181"/>
      <c r="AB519" s="181"/>
      <c r="AC519" s="181"/>
    </row>
    <row r="520" spans="1:31" s="260" customFormat="1">
      <c r="A520" s="261">
        <v>0.1</v>
      </c>
      <c r="B520" s="87">
        <f t="shared" si="88"/>
        <v>9</v>
      </c>
      <c r="C520" s="262">
        <v>45856</v>
      </c>
      <c r="D520" s="263">
        <v>71562</v>
      </c>
      <c r="E520" s="264" t="s">
        <v>1008</v>
      </c>
      <c r="F520" s="265">
        <v>1264</v>
      </c>
      <c r="G520" s="265">
        <v>39.700000000000003</v>
      </c>
      <c r="H520" s="265">
        <f>F520*0.2</f>
        <v>252.8</v>
      </c>
      <c r="I520" s="272">
        <f t="shared" si="87"/>
        <v>971.5</v>
      </c>
      <c r="J520" s="267" t="s">
        <v>185</v>
      </c>
      <c r="K520" s="267">
        <v>1</v>
      </c>
      <c r="L520" s="267">
        <v>1</v>
      </c>
      <c r="M520" s="267">
        <v>1</v>
      </c>
      <c r="N520" s="267">
        <v>1</v>
      </c>
      <c r="O520" s="267">
        <v>1</v>
      </c>
      <c r="P520" s="267">
        <v>1</v>
      </c>
      <c r="Q520" s="267">
        <v>1</v>
      </c>
      <c r="R520" s="267">
        <v>1</v>
      </c>
      <c r="S520" s="269">
        <v>1</v>
      </c>
      <c r="T520" s="63"/>
      <c r="U520" s="94" t="s">
        <v>3543</v>
      </c>
      <c r="V520" s="90"/>
      <c r="W520" s="91"/>
      <c r="X520" s="92"/>
      <c r="Y520" s="181"/>
      <c r="Z520" s="181"/>
      <c r="AA520" s="181"/>
      <c r="AB520" s="181"/>
      <c r="AC520" s="181"/>
    </row>
    <row r="521" spans="1:31" s="260" customFormat="1">
      <c r="A521" s="181"/>
      <c r="B521" s="11"/>
      <c r="C521" s="36"/>
      <c r="D521" s="10"/>
      <c r="E521" s="10"/>
      <c r="F521" s="97">
        <f>SUM(F512:F520)</f>
        <v>34377</v>
      </c>
      <c r="G521" s="97">
        <f>SUM(G512:G520)</f>
        <v>6005.1</v>
      </c>
      <c r="H521" s="97">
        <f>SUM(H512:H520)</f>
        <v>252.8</v>
      </c>
      <c r="I521" s="97">
        <f>SUM(I512:I520)</f>
        <v>28119.100000000002</v>
      </c>
      <c r="J521" s="63"/>
      <c r="K521" s="21"/>
      <c r="L521" s="21"/>
      <c r="M521" s="21"/>
      <c r="N521" s="21"/>
      <c r="O521" s="21"/>
      <c r="P521" s="21"/>
      <c r="Q521" s="21"/>
      <c r="R521" s="21"/>
      <c r="S521" s="21"/>
      <c r="T521" s="63"/>
      <c r="U521" s="94"/>
      <c r="V521" s="90"/>
      <c r="W521" s="91"/>
      <c r="X521" s="92"/>
      <c r="Y521" s="181"/>
      <c r="Z521" s="181"/>
      <c r="AA521" s="181"/>
      <c r="AB521" s="181"/>
      <c r="AC521" s="181"/>
    </row>
    <row r="522" spans="1:31" s="260" customFormat="1">
      <c r="A522" s="181"/>
      <c r="B522" s="11"/>
      <c r="C522" s="36"/>
      <c r="D522" s="10"/>
      <c r="E522" s="10"/>
      <c r="F522" s="88"/>
      <c r="G522" s="88"/>
      <c r="H522" s="88"/>
      <c r="I522" s="99"/>
      <c r="J522" s="63"/>
      <c r="K522" s="21"/>
      <c r="L522" s="21"/>
      <c r="M522" s="21"/>
      <c r="N522" s="21"/>
      <c r="O522" s="21"/>
      <c r="P522" s="21"/>
      <c r="Q522" s="21"/>
      <c r="R522" s="21"/>
      <c r="S522" s="21"/>
      <c r="T522" s="63"/>
      <c r="U522" s="94"/>
      <c r="V522" s="90"/>
      <c r="W522" s="91"/>
      <c r="X522" s="92"/>
      <c r="Y522" s="181"/>
      <c r="Z522" s="181"/>
      <c r="AA522" s="181"/>
      <c r="AB522" s="181"/>
      <c r="AC522" s="181"/>
    </row>
    <row r="523" spans="1:31" s="260" customFormat="1">
      <c r="A523" s="181"/>
      <c r="B523" s="100" t="s">
        <v>202</v>
      </c>
      <c r="C523" s="36"/>
      <c r="D523" s="10"/>
      <c r="E523" s="181"/>
      <c r="F523" s="88"/>
      <c r="G523" s="88"/>
      <c r="H523" s="88"/>
      <c r="I523" s="99"/>
      <c r="J523" s="63"/>
      <c r="K523" s="21"/>
      <c r="L523" s="21"/>
      <c r="M523" s="21"/>
      <c r="N523" s="21"/>
      <c r="O523" s="21"/>
      <c r="P523" s="21"/>
      <c r="Q523" s="21"/>
      <c r="R523" s="21"/>
      <c r="S523" s="21"/>
      <c r="T523" s="63"/>
      <c r="U523" s="94"/>
      <c r="V523" s="90"/>
      <c r="W523" s="91"/>
      <c r="X523" s="92"/>
      <c r="Y523" s="181"/>
      <c r="Z523" s="181"/>
      <c r="AA523" s="181"/>
      <c r="AB523" s="181"/>
      <c r="AC523" s="181"/>
    </row>
    <row r="524" spans="1:31" s="181" customFormat="1">
      <c r="A524" s="261">
        <v>0.1</v>
      </c>
      <c r="B524" s="87">
        <v>1</v>
      </c>
      <c r="C524" s="274">
        <v>45789</v>
      </c>
      <c r="D524" s="320" t="s">
        <v>3413</v>
      </c>
      <c r="E524" s="310" t="s">
        <v>294</v>
      </c>
      <c r="F524" s="277">
        <v>2814</v>
      </c>
      <c r="G524" s="277"/>
      <c r="H524" s="277"/>
      <c r="I524" s="278">
        <f>F524-G524-H524</f>
        <v>2814</v>
      </c>
      <c r="J524" s="279" t="s">
        <v>156</v>
      </c>
      <c r="K524" s="279">
        <v>1</v>
      </c>
      <c r="L524" s="279"/>
      <c r="M524" s="279">
        <v>1</v>
      </c>
      <c r="N524" s="279">
        <v>1</v>
      </c>
      <c r="O524" s="279">
        <v>1</v>
      </c>
      <c r="P524" s="322">
        <v>0</v>
      </c>
      <c r="Q524" s="279"/>
      <c r="R524" s="279"/>
      <c r="S524" s="280"/>
      <c r="T524" s="63"/>
      <c r="U524" s="94" t="s">
        <v>3414</v>
      </c>
      <c r="V524" s="90"/>
      <c r="W524" s="136"/>
      <c r="X524" s="137"/>
    </row>
    <row r="525" spans="1:31" s="181" customFormat="1">
      <c r="A525" s="261">
        <v>0.1</v>
      </c>
      <c r="B525" s="87">
        <f>B524+1</f>
        <v>2</v>
      </c>
      <c r="C525" s="282">
        <v>45789</v>
      </c>
      <c r="D525" s="330">
        <v>70063</v>
      </c>
      <c r="E525" s="311" t="s">
        <v>572</v>
      </c>
      <c r="F525" s="284">
        <v>1134.9000000000001</v>
      </c>
      <c r="G525" s="284">
        <f>200</f>
        <v>200</v>
      </c>
      <c r="H525" s="284"/>
      <c r="I525" s="285">
        <f>F525-G525-H525</f>
        <v>934.90000000000009</v>
      </c>
      <c r="J525" s="286" t="s">
        <v>156</v>
      </c>
      <c r="K525" s="286">
        <v>1</v>
      </c>
      <c r="L525" s="286"/>
      <c r="M525" s="286">
        <v>1</v>
      </c>
      <c r="N525" s="286">
        <v>1</v>
      </c>
      <c r="O525" s="286">
        <v>1</v>
      </c>
      <c r="P525" s="332">
        <v>0</v>
      </c>
      <c r="Q525" s="286"/>
      <c r="R525" s="286"/>
      <c r="S525" s="287"/>
      <c r="T525" s="63"/>
      <c r="U525" s="94" t="s">
        <v>3414</v>
      </c>
      <c r="V525" s="90"/>
      <c r="W525" s="136"/>
      <c r="X525" s="137"/>
    </row>
    <row r="526" spans="1:31" s="342" customFormat="1">
      <c r="A526" s="261">
        <v>0.1</v>
      </c>
      <c r="B526" s="87">
        <f>B525+1</f>
        <v>3</v>
      </c>
      <c r="C526" s="282">
        <v>45849</v>
      </c>
      <c r="D526" s="330" t="s">
        <v>3499</v>
      </c>
      <c r="E526" s="311" t="s">
        <v>1313</v>
      </c>
      <c r="F526" s="284">
        <v>6814</v>
      </c>
      <c r="G526" s="284">
        <f>39.7+880+(187.49)</f>
        <v>1107.19</v>
      </c>
      <c r="H526" s="284"/>
      <c r="I526" s="285">
        <f>F526-G526-H526</f>
        <v>5706.8099999999995</v>
      </c>
      <c r="J526" s="286" t="s">
        <v>185</v>
      </c>
      <c r="K526" s="286">
        <v>1</v>
      </c>
      <c r="L526" s="286"/>
      <c r="M526" s="286">
        <v>1</v>
      </c>
      <c r="N526" s="286">
        <v>1</v>
      </c>
      <c r="O526" s="286">
        <v>1</v>
      </c>
      <c r="P526" s="332">
        <v>0</v>
      </c>
      <c r="Q526" s="286"/>
      <c r="R526" s="286"/>
      <c r="S526" s="287"/>
      <c r="T526" s="63"/>
      <c r="U526" s="94" t="s">
        <v>3588</v>
      </c>
      <c r="V526" s="90"/>
      <c r="W526" s="136"/>
      <c r="X526" s="137"/>
      <c r="Y526" s="181"/>
      <c r="Z526" s="181"/>
      <c r="AA526" s="181"/>
      <c r="AB526" s="181"/>
      <c r="AC526" s="181"/>
      <c r="AD526" s="181"/>
      <c r="AE526" s="181"/>
    </row>
    <row r="527" spans="1:31" s="260" customFormat="1">
      <c r="A527" s="181"/>
      <c r="B527" s="11"/>
      <c r="C527" s="36"/>
      <c r="D527" s="10"/>
      <c r="E527" s="10"/>
      <c r="F527" s="97">
        <f>SUM(F524:F526)</f>
        <v>10762.9</v>
      </c>
      <c r="G527" s="97">
        <f>SUM(G524:G526)</f>
        <v>1307.19</v>
      </c>
      <c r="H527" s="97">
        <f>SUM(H524:H526)</f>
        <v>0</v>
      </c>
      <c r="I527" s="97">
        <f>SUM(I524:I526)</f>
        <v>9455.7099999999991</v>
      </c>
      <c r="J527" s="63"/>
      <c r="K527" s="21"/>
      <c r="L527" s="21"/>
      <c r="M527" s="21"/>
      <c r="N527" s="21"/>
      <c r="O527" s="21"/>
      <c r="P527" s="21"/>
      <c r="Q527" s="21"/>
      <c r="R527" s="21"/>
      <c r="S527" s="21"/>
      <c r="T527" s="63"/>
      <c r="U527" s="94"/>
      <c r="V527" s="90"/>
      <c r="W527" s="91"/>
      <c r="X527" s="92"/>
      <c r="Y527" s="181"/>
      <c r="Z527" s="181"/>
      <c r="AA527" s="181"/>
      <c r="AB527" s="181"/>
      <c r="AC527" s="181"/>
    </row>
    <row r="528" spans="1:31" s="260" customFormat="1">
      <c r="A528" s="181"/>
      <c r="B528" s="11"/>
      <c r="C528" s="36"/>
      <c r="D528" s="10"/>
      <c r="E528" s="10"/>
      <c r="F528" s="88"/>
      <c r="G528" s="88"/>
      <c r="H528" s="88"/>
      <c r="I528" s="99"/>
      <c r="J528" s="10"/>
      <c r="K528" s="63"/>
      <c r="L528" s="63"/>
      <c r="M528" s="63"/>
      <c r="N528" s="63"/>
      <c r="O528" s="63"/>
      <c r="P528" s="63"/>
      <c r="Q528" s="63"/>
      <c r="R528" s="63"/>
      <c r="S528" s="63"/>
      <c r="T528" s="63"/>
      <c r="U528" s="94"/>
      <c r="V528" s="90"/>
      <c r="W528" s="91"/>
      <c r="X528" s="92"/>
      <c r="Y528" s="181"/>
      <c r="Z528" s="181"/>
      <c r="AA528" s="181"/>
      <c r="AB528" s="181"/>
      <c r="AC528" s="181"/>
    </row>
    <row r="529" spans="1:29">
      <c r="A529" s="2"/>
      <c r="B529" s="100" t="s">
        <v>72</v>
      </c>
      <c r="C529" s="36"/>
      <c r="D529" s="10"/>
      <c r="E529" s="10"/>
      <c r="F529" s="88"/>
      <c r="G529" s="88"/>
      <c r="H529" s="88"/>
      <c r="I529" s="99"/>
      <c r="J529" s="63"/>
      <c r="K529" s="63"/>
      <c r="L529" s="63"/>
      <c r="M529" s="63"/>
      <c r="N529" s="63"/>
      <c r="O529" s="63"/>
      <c r="P529" s="63"/>
      <c r="Q529" s="63"/>
      <c r="R529" s="63"/>
      <c r="S529" s="63"/>
      <c r="T529" s="63"/>
      <c r="U529" s="94"/>
      <c r="V529" s="90"/>
      <c r="W529" s="91"/>
      <c r="X529" s="92"/>
      <c r="Y529" s="2"/>
      <c r="Z529" s="2"/>
      <c r="AA529" s="2"/>
      <c r="AB529" s="2"/>
      <c r="AC529" s="2"/>
    </row>
    <row r="530" spans="1:29">
      <c r="A530" s="2"/>
      <c r="B530" s="87">
        <v>1</v>
      </c>
      <c r="C530" s="274">
        <v>45859</v>
      </c>
      <c r="D530" s="276">
        <v>71569</v>
      </c>
      <c r="E530" s="276" t="s">
        <v>1017</v>
      </c>
      <c r="F530" s="277">
        <v>1200</v>
      </c>
      <c r="G530" s="277">
        <v>39.700000000000003</v>
      </c>
      <c r="H530" s="277"/>
      <c r="I530" s="278">
        <f t="shared" ref="I530:I541" si="89">F530-G530-H530</f>
        <v>1160.3</v>
      </c>
      <c r="J530" s="279" t="s">
        <v>205</v>
      </c>
      <c r="K530" s="279">
        <v>1</v>
      </c>
      <c r="L530" s="279"/>
      <c r="M530" s="279"/>
      <c r="N530" s="279">
        <v>1</v>
      </c>
      <c r="O530" s="279"/>
      <c r="P530" s="279"/>
      <c r="Q530" s="279">
        <v>1</v>
      </c>
      <c r="R530" s="279">
        <v>1</v>
      </c>
      <c r="S530" s="280">
        <v>1</v>
      </c>
      <c r="T530" s="63"/>
      <c r="U530" s="164"/>
      <c r="V530" s="90"/>
      <c r="W530" s="91"/>
      <c r="X530" s="92"/>
      <c r="Y530" s="2"/>
      <c r="Z530" s="2"/>
      <c r="AA530" s="2"/>
      <c r="AB530" s="2"/>
      <c r="AC530" s="2"/>
    </row>
    <row r="531" spans="1:29">
      <c r="A531" s="2"/>
      <c r="B531" s="87">
        <f>B530+1</f>
        <v>2</v>
      </c>
      <c r="C531" s="295">
        <v>45859</v>
      </c>
      <c r="D531" s="77" t="s">
        <v>3589</v>
      </c>
      <c r="E531" s="10" t="s">
        <v>3590</v>
      </c>
      <c r="F531" s="62">
        <v>17023</v>
      </c>
      <c r="G531" s="62">
        <v>39.700000000000003</v>
      </c>
      <c r="H531" s="62"/>
      <c r="I531" s="89">
        <f t="shared" si="89"/>
        <v>16983.3</v>
      </c>
      <c r="J531" s="63" t="s">
        <v>205</v>
      </c>
      <c r="K531" s="63"/>
      <c r="L531" s="63"/>
      <c r="M531" s="63"/>
      <c r="N531" s="63">
        <v>1</v>
      </c>
      <c r="O531" s="63"/>
      <c r="P531" s="63"/>
      <c r="Q531" s="63"/>
      <c r="R531" s="63"/>
      <c r="S531" s="296"/>
      <c r="T531" s="63"/>
      <c r="U531" s="94"/>
      <c r="V531" s="90"/>
      <c r="W531" s="136"/>
      <c r="X531" s="137"/>
      <c r="Y531" s="2"/>
      <c r="Z531" s="2"/>
      <c r="AA531" s="2"/>
      <c r="AB531" s="2"/>
      <c r="AC531" s="2"/>
    </row>
    <row r="532" spans="1:29">
      <c r="A532" s="2"/>
      <c r="B532" s="87">
        <f t="shared" ref="B532:B541" si="90">B531+1</f>
        <v>3</v>
      </c>
      <c r="C532" s="295">
        <v>45859</v>
      </c>
      <c r="D532" s="10">
        <v>71625</v>
      </c>
      <c r="E532" s="10" t="s">
        <v>162</v>
      </c>
      <c r="F532" s="62">
        <v>1138</v>
      </c>
      <c r="G532" s="62">
        <v>39.700000000000003</v>
      </c>
      <c r="H532" s="62"/>
      <c r="I532" s="89">
        <f t="shared" si="89"/>
        <v>1098.3</v>
      </c>
      <c r="J532" s="63" t="s">
        <v>205</v>
      </c>
      <c r="K532" s="63">
        <v>1</v>
      </c>
      <c r="L532" s="63"/>
      <c r="M532" s="63"/>
      <c r="N532" s="63">
        <v>1</v>
      </c>
      <c r="O532" s="63"/>
      <c r="P532" s="63"/>
      <c r="Q532" s="63">
        <v>1</v>
      </c>
      <c r="R532" s="63">
        <v>1</v>
      </c>
      <c r="S532" s="296">
        <v>1</v>
      </c>
      <c r="T532" s="63"/>
      <c r="U532" s="94"/>
      <c r="V532" s="90"/>
      <c r="W532" s="136"/>
      <c r="X532" s="137"/>
      <c r="Y532" s="2"/>
      <c r="Z532" s="2"/>
      <c r="AA532" s="2"/>
      <c r="AB532" s="2"/>
      <c r="AC532" s="2"/>
    </row>
    <row r="533" spans="1:29">
      <c r="A533" s="2"/>
      <c r="B533" s="87">
        <f t="shared" si="90"/>
        <v>4</v>
      </c>
      <c r="C533" s="295">
        <v>45859</v>
      </c>
      <c r="D533" s="10">
        <v>71613</v>
      </c>
      <c r="E533" s="10" t="s">
        <v>2069</v>
      </c>
      <c r="F533" s="62">
        <v>6214</v>
      </c>
      <c r="G533" s="62">
        <v>39.700000000000003</v>
      </c>
      <c r="H533" s="62"/>
      <c r="I533" s="89">
        <f t="shared" si="89"/>
        <v>6174.3</v>
      </c>
      <c r="J533" s="63" t="s">
        <v>205</v>
      </c>
      <c r="K533" s="63">
        <v>1</v>
      </c>
      <c r="L533" s="63"/>
      <c r="M533" s="63"/>
      <c r="N533" s="63">
        <v>1</v>
      </c>
      <c r="O533" s="63"/>
      <c r="P533" s="63"/>
      <c r="Q533" s="63">
        <v>1</v>
      </c>
      <c r="R533" s="63">
        <v>1</v>
      </c>
      <c r="S533" s="296">
        <v>1</v>
      </c>
      <c r="T533" s="63"/>
      <c r="U533" s="94"/>
      <c r="V533" s="90"/>
      <c r="W533" s="136"/>
      <c r="X533" s="137"/>
      <c r="Y533" s="2"/>
      <c r="Z533" s="2"/>
      <c r="AA533" s="2"/>
      <c r="AB533" s="2"/>
      <c r="AC533" s="2"/>
    </row>
    <row r="534" spans="1:29">
      <c r="A534" s="2"/>
      <c r="B534" s="87">
        <f t="shared" si="90"/>
        <v>5</v>
      </c>
      <c r="C534" s="295">
        <v>45859</v>
      </c>
      <c r="D534" s="10">
        <v>71604</v>
      </c>
      <c r="E534" s="10" t="s">
        <v>1401</v>
      </c>
      <c r="F534" s="62">
        <v>733</v>
      </c>
      <c r="G534" s="62"/>
      <c r="H534" s="62"/>
      <c r="I534" s="89">
        <f t="shared" si="89"/>
        <v>733</v>
      </c>
      <c r="J534" s="63" t="s">
        <v>205</v>
      </c>
      <c r="K534" s="63">
        <v>1</v>
      </c>
      <c r="L534" s="63"/>
      <c r="M534" s="63"/>
      <c r="N534" s="63">
        <v>1</v>
      </c>
      <c r="O534" s="63"/>
      <c r="P534" s="63"/>
      <c r="Q534" s="63">
        <v>1</v>
      </c>
      <c r="R534" s="63">
        <v>1</v>
      </c>
      <c r="S534" s="296">
        <v>1</v>
      </c>
      <c r="T534" s="63"/>
      <c r="U534" s="94"/>
      <c r="V534" s="90"/>
      <c r="W534" s="136"/>
      <c r="X534" s="137"/>
      <c r="Y534" s="2"/>
      <c r="Z534" s="2"/>
      <c r="AA534" s="2"/>
      <c r="AB534" s="2"/>
      <c r="AC534" s="2"/>
    </row>
    <row r="535" spans="1:29">
      <c r="A535" s="2"/>
      <c r="B535" s="87">
        <f t="shared" si="90"/>
        <v>6</v>
      </c>
      <c r="C535" s="274">
        <v>45860</v>
      </c>
      <c r="D535" s="276">
        <v>71641</v>
      </c>
      <c r="E535" s="281" t="s">
        <v>1401</v>
      </c>
      <c r="F535" s="277">
        <v>1053</v>
      </c>
      <c r="G535" s="277">
        <f>39.7</f>
        <v>39.700000000000003</v>
      </c>
      <c r="H535" s="277"/>
      <c r="I535" s="278">
        <f t="shared" si="89"/>
        <v>1013.3</v>
      </c>
      <c r="J535" s="279" t="s">
        <v>205</v>
      </c>
      <c r="K535" s="279">
        <v>1</v>
      </c>
      <c r="L535" s="279"/>
      <c r="M535" s="279"/>
      <c r="N535" s="279">
        <v>1</v>
      </c>
      <c r="O535" s="279"/>
      <c r="P535" s="279"/>
      <c r="Q535" s="279">
        <v>1</v>
      </c>
      <c r="R535" s="279">
        <v>1</v>
      </c>
      <c r="S535" s="280">
        <v>1</v>
      </c>
      <c r="T535" s="63"/>
      <c r="U535" s="94"/>
      <c r="V535" s="90"/>
      <c r="W535" s="136"/>
      <c r="X535" s="137"/>
      <c r="Y535" s="2"/>
      <c r="Z535" s="2"/>
      <c r="AA535" s="2"/>
      <c r="AB535" s="2"/>
      <c r="AC535" s="2"/>
    </row>
    <row r="536" spans="1:29">
      <c r="A536" s="2"/>
      <c r="B536" s="87">
        <f t="shared" si="90"/>
        <v>7</v>
      </c>
      <c r="C536" s="295">
        <v>45860</v>
      </c>
      <c r="D536" s="77" t="s">
        <v>3591</v>
      </c>
      <c r="E536" s="10" t="s">
        <v>1249</v>
      </c>
      <c r="F536" s="62">
        <v>12814</v>
      </c>
      <c r="G536" s="62">
        <v>39.700000000000003</v>
      </c>
      <c r="H536" s="62"/>
      <c r="I536" s="89">
        <f t="shared" si="89"/>
        <v>12774.3</v>
      </c>
      <c r="J536" s="63" t="s">
        <v>205</v>
      </c>
      <c r="K536" s="63"/>
      <c r="L536" s="63"/>
      <c r="M536" s="63"/>
      <c r="N536" s="63">
        <v>1</v>
      </c>
      <c r="O536" s="63"/>
      <c r="P536" s="63"/>
      <c r="Q536" s="63"/>
      <c r="R536" s="63"/>
      <c r="S536" s="296"/>
      <c r="T536" s="63"/>
      <c r="U536" s="94"/>
      <c r="V536" s="90"/>
      <c r="W536" s="136"/>
      <c r="X536" s="137"/>
      <c r="Y536" s="2"/>
      <c r="Z536" s="2"/>
      <c r="AA536" s="2"/>
      <c r="AB536" s="2"/>
      <c r="AC536" s="2"/>
    </row>
    <row r="537" spans="1:29">
      <c r="A537" s="2"/>
      <c r="B537" s="87">
        <f t="shared" si="90"/>
        <v>8</v>
      </c>
      <c r="C537" s="274">
        <v>45861</v>
      </c>
      <c r="D537" s="275" t="s">
        <v>3592</v>
      </c>
      <c r="E537" s="276" t="s">
        <v>1313</v>
      </c>
      <c r="F537" s="447">
        <v>12671</v>
      </c>
      <c r="G537" s="277">
        <v>39.700000000000003</v>
      </c>
      <c r="H537" s="277"/>
      <c r="I537" s="278">
        <f t="shared" si="89"/>
        <v>12631.3</v>
      </c>
      <c r="J537" s="279" t="s">
        <v>205</v>
      </c>
      <c r="K537" s="279"/>
      <c r="L537" s="511"/>
      <c r="M537" s="279"/>
      <c r="N537" s="279">
        <v>1</v>
      </c>
      <c r="O537" s="279"/>
      <c r="P537" s="279"/>
      <c r="Q537" s="279"/>
      <c r="R537" s="279"/>
      <c r="S537" s="280"/>
      <c r="T537" s="63"/>
      <c r="U537" s="94"/>
      <c r="V537" s="90"/>
      <c r="W537" s="136"/>
      <c r="X537" s="137"/>
      <c r="Y537" s="2"/>
      <c r="Z537" s="2"/>
      <c r="AA537" s="2"/>
      <c r="AB537" s="2"/>
      <c r="AC537" s="2"/>
    </row>
    <row r="538" spans="1:29">
      <c r="A538" s="2"/>
      <c r="B538" s="87">
        <f t="shared" si="90"/>
        <v>9</v>
      </c>
      <c r="C538" s="295">
        <v>45861</v>
      </c>
      <c r="D538" s="10">
        <v>71677</v>
      </c>
      <c r="E538" s="101" t="s">
        <v>1835</v>
      </c>
      <c r="F538" s="62">
        <v>1264</v>
      </c>
      <c r="G538" s="62">
        <v>39.700000000000003</v>
      </c>
      <c r="H538" s="62"/>
      <c r="I538" s="89">
        <f t="shared" si="89"/>
        <v>1224.3</v>
      </c>
      <c r="J538" s="63" t="s">
        <v>205</v>
      </c>
      <c r="K538" s="63">
        <v>1</v>
      </c>
      <c r="L538" s="63"/>
      <c r="M538" s="63"/>
      <c r="N538" s="63">
        <v>1</v>
      </c>
      <c r="O538" s="63"/>
      <c r="P538" s="63"/>
      <c r="Q538" s="63">
        <v>1</v>
      </c>
      <c r="R538" s="63">
        <v>1</v>
      </c>
      <c r="S538" s="296">
        <v>1</v>
      </c>
      <c r="T538" s="63"/>
      <c r="U538" s="94"/>
      <c r="V538" s="90"/>
      <c r="W538" s="136"/>
      <c r="X538" s="137"/>
      <c r="Y538" s="2"/>
      <c r="Z538" s="2"/>
      <c r="AA538" s="2"/>
      <c r="AB538" s="2"/>
      <c r="AC538" s="2"/>
    </row>
    <row r="539" spans="1:29">
      <c r="A539" s="2"/>
      <c r="B539" s="87">
        <f t="shared" si="90"/>
        <v>10</v>
      </c>
      <c r="C539" s="274">
        <v>45862</v>
      </c>
      <c r="D539" s="276">
        <v>71698</v>
      </c>
      <c r="E539" s="281" t="s">
        <v>1156</v>
      </c>
      <c r="F539" s="277">
        <v>1861</v>
      </c>
      <c r="G539" s="277">
        <f>39.7</f>
        <v>39.700000000000003</v>
      </c>
      <c r="H539" s="277"/>
      <c r="I539" s="278">
        <f t="shared" si="89"/>
        <v>1821.3</v>
      </c>
      <c r="J539" s="279" t="s">
        <v>205</v>
      </c>
      <c r="K539" s="279">
        <v>1</v>
      </c>
      <c r="L539" s="279"/>
      <c r="M539" s="279"/>
      <c r="N539" s="279">
        <v>1</v>
      </c>
      <c r="O539" s="279"/>
      <c r="P539" s="279"/>
      <c r="Q539" s="279">
        <v>1</v>
      </c>
      <c r="R539" s="279">
        <v>1</v>
      </c>
      <c r="S539" s="280">
        <v>1</v>
      </c>
      <c r="T539" s="63"/>
      <c r="U539" s="94"/>
      <c r="V539" s="90"/>
      <c r="W539" s="136"/>
      <c r="X539" s="137"/>
      <c r="Y539" s="2"/>
      <c r="Z539" s="2"/>
      <c r="AA539" s="2"/>
      <c r="AB539" s="2"/>
      <c r="AC539" s="2"/>
    </row>
    <row r="540" spans="1:29">
      <c r="A540" s="2"/>
      <c r="B540" s="87">
        <f t="shared" si="90"/>
        <v>11</v>
      </c>
      <c r="C540" s="274">
        <v>45863</v>
      </c>
      <c r="D540" s="276">
        <v>71632</v>
      </c>
      <c r="E540" s="281" t="s">
        <v>2013</v>
      </c>
      <c r="F540" s="277">
        <v>1138</v>
      </c>
      <c r="G540" s="277">
        <v>39.700000000000003</v>
      </c>
      <c r="H540" s="277"/>
      <c r="I540" s="278">
        <f t="shared" si="89"/>
        <v>1098.3</v>
      </c>
      <c r="J540" s="279" t="s">
        <v>205</v>
      </c>
      <c r="K540" s="279">
        <v>1</v>
      </c>
      <c r="L540" s="279"/>
      <c r="M540" s="279"/>
      <c r="N540" s="279">
        <v>1</v>
      </c>
      <c r="O540" s="279"/>
      <c r="P540" s="279"/>
      <c r="Q540" s="279">
        <v>1</v>
      </c>
      <c r="R540" s="279">
        <v>1</v>
      </c>
      <c r="S540" s="280">
        <v>1</v>
      </c>
      <c r="T540" s="63"/>
      <c r="U540" s="94"/>
      <c r="V540" s="90"/>
      <c r="W540" s="136"/>
      <c r="X540" s="137"/>
      <c r="Y540" s="2"/>
      <c r="Z540" s="2"/>
      <c r="AA540" s="2"/>
      <c r="AB540" s="2"/>
      <c r="AC540" s="2"/>
    </row>
    <row r="541" spans="1:29">
      <c r="A541" s="2"/>
      <c r="B541" s="87">
        <f t="shared" si="90"/>
        <v>12</v>
      </c>
      <c r="C541" s="282">
        <v>45863</v>
      </c>
      <c r="D541" s="283">
        <v>71758</v>
      </c>
      <c r="E541" s="319" t="s">
        <v>2422</v>
      </c>
      <c r="F541" s="284">
        <v>0</v>
      </c>
      <c r="G541" s="284"/>
      <c r="H541" s="284"/>
      <c r="I541" s="285">
        <f t="shared" si="89"/>
        <v>0</v>
      </c>
      <c r="J541" s="286" t="s">
        <v>219</v>
      </c>
      <c r="K541" s="286"/>
      <c r="L541" s="286"/>
      <c r="M541" s="286"/>
      <c r="N541" s="286"/>
      <c r="O541" s="286"/>
      <c r="P541" s="286"/>
      <c r="Q541" s="286"/>
      <c r="R541" s="286"/>
      <c r="S541" s="287"/>
      <c r="T541" s="63"/>
      <c r="U541" s="512" t="s">
        <v>3593</v>
      </c>
      <c r="V541" s="90"/>
      <c r="W541" s="136"/>
      <c r="X541" s="137"/>
      <c r="Y541" s="2"/>
      <c r="Z541" s="2"/>
      <c r="AA541" s="2"/>
      <c r="AB541" s="2"/>
      <c r="AC541" s="2"/>
    </row>
    <row r="542" spans="1:29">
      <c r="A542" s="2"/>
      <c r="B542" s="11"/>
      <c r="C542" s="36"/>
      <c r="D542" s="10"/>
      <c r="E542" s="10"/>
      <c r="F542" s="97">
        <f>SUM(F530:F541)</f>
        <v>57109</v>
      </c>
      <c r="G542" s="97">
        <f>SUM(G530:G541)</f>
        <v>396.99999999999994</v>
      </c>
      <c r="H542" s="97">
        <f>SUM(H530:H541)</f>
        <v>0</v>
      </c>
      <c r="I542" s="98">
        <f>SUM(I530:I541)</f>
        <v>56712</v>
      </c>
      <c r="J542" s="10"/>
      <c r="K542" s="10"/>
      <c r="L542" s="10"/>
      <c r="M542" s="10"/>
      <c r="N542" s="10"/>
      <c r="O542" s="10"/>
      <c r="P542" s="10"/>
      <c r="Q542" s="10"/>
      <c r="R542" s="10"/>
      <c r="S542" s="10"/>
      <c r="T542" s="63"/>
      <c r="U542" s="94"/>
      <c r="V542" s="90"/>
      <c r="W542" s="91"/>
      <c r="X542" s="92"/>
      <c r="Y542" s="2"/>
      <c r="Z542" s="2"/>
      <c r="AA542" s="2"/>
      <c r="AB542" s="2"/>
      <c r="AC542" s="2"/>
    </row>
    <row r="543" spans="1:29">
      <c r="A543" s="2"/>
      <c r="B543" s="26"/>
      <c r="C543" s="140"/>
      <c r="D543" s="141"/>
      <c r="E543" s="141"/>
      <c r="F543" s="141"/>
      <c r="G543" s="141"/>
      <c r="H543" s="141"/>
      <c r="I543" s="141"/>
      <c r="J543" s="141"/>
      <c r="K543" s="142"/>
      <c r="L543" s="142"/>
      <c r="M543" s="142"/>
      <c r="N543" s="142"/>
      <c r="O543" s="142"/>
      <c r="P543" s="142"/>
      <c r="Q543" s="142"/>
      <c r="R543" s="142"/>
      <c r="S543" s="142"/>
      <c r="T543" s="143">
        <f>SUM(T469:T542)</f>
        <v>0</v>
      </c>
      <c r="U543" s="168"/>
      <c r="V543" s="144">
        <f>SUM(V469:V542)</f>
        <v>57668.349999999991</v>
      </c>
      <c r="W543" s="145">
        <f>SUM(W469:W542)</f>
        <v>2795.6</v>
      </c>
      <c r="X543" s="146">
        <f>SUM(X469:X542)</f>
        <v>2317.29</v>
      </c>
      <c r="Y543" s="2"/>
      <c r="Z543" s="2"/>
      <c r="AA543" s="2"/>
      <c r="AB543" s="2"/>
      <c r="AC543" s="2"/>
    </row>
    <row r="546" spans="2:24">
      <c r="B546" s="4" t="s">
        <v>1</v>
      </c>
      <c r="C546" s="5"/>
      <c r="D546" s="83"/>
      <c r="E546" s="6"/>
      <c r="F546" s="7" t="s">
        <v>2</v>
      </c>
      <c r="G546" s="8">
        <v>45872</v>
      </c>
      <c r="H546" s="7"/>
      <c r="I546" s="6"/>
      <c r="J546" s="6"/>
      <c r="K546" s="6"/>
      <c r="L546" s="6"/>
      <c r="M546" s="6"/>
      <c r="N546" s="6"/>
      <c r="O546" s="6"/>
      <c r="P546" s="6"/>
      <c r="Q546" s="6"/>
      <c r="R546" s="6"/>
      <c r="S546" s="6"/>
      <c r="T546" s="6"/>
      <c r="U546" s="149"/>
      <c r="V546" s="77"/>
      <c r="W546" s="77"/>
      <c r="X546" s="77"/>
    </row>
    <row r="547" spans="2:24">
      <c r="B547" s="11"/>
      <c r="C547" s="10"/>
      <c r="D547" s="63"/>
      <c r="E547" s="10"/>
      <c r="F547" s="10"/>
      <c r="G547" s="7"/>
      <c r="H547" s="12"/>
      <c r="I547" s="10"/>
      <c r="J547" s="10"/>
      <c r="K547" s="13" t="s">
        <v>3</v>
      </c>
      <c r="L547" s="14"/>
      <c r="M547" s="15"/>
      <c r="N547" s="13" t="s">
        <v>4</v>
      </c>
      <c r="O547" s="14"/>
      <c r="P547" s="15"/>
      <c r="Q547" s="13" t="s">
        <v>5</v>
      </c>
      <c r="R547" s="14"/>
      <c r="S547" s="15"/>
      <c r="T547" s="16"/>
      <c r="U547" s="151"/>
      <c r="V547" s="77"/>
      <c r="W547" s="77"/>
      <c r="X547" s="77"/>
    </row>
    <row r="548" spans="2:24">
      <c r="B548" s="18" t="s">
        <v>6</v>
      </c>
      <c r="C548" s="19">
        <f>C549+C550</f>
        <v>1</v>
      </c>
      <c r="D548" s="63"/>
      <c r="E548" s="18" t="s">
        <v>7</v>
      </c>
      <c r="F548" s="6"/>
      <c r="G548" s="9"/>
      <c r="H548" s="10"/>
      <c r="I548" s="10"/>
      <c r="J548" s="10"/>
      <c r="K548" s="20" t="s">
        <v>8</v>
      </c>
      <c r="L548" s="21" t="s">
        <v>9</v>
      </c>
      <c r="M548" s="21" t="s">
        <v>10</v>
      </c>
      <c r="N548" s="20" t="s">
        <v>11</v>
      </c>
      <c r="O548" s="21" t="s">
        <v>12</v>
      </c>
      <c r="P548" s="22" t="s">
        <v>13</v>
      </c>
      <c r="Q548" s="21" t="s">
        <v>11</v>
      </c>
      <c r="R548" s="21" t="s">
        <v>12</v>
      </c>
      <c r="S548" s="22" t="s">
        <v>13</v>
      </c>
      <c r="T548" s="23" t="s">
        <v>14</v>
      </c>
      <c r="U548" s="151"/>
      <c r="V548" s="77"/>
      <c r="W548" s="77"/>
      <c r="X548" s="77"/>
    </row>
    <row r="549" spans="2:24">
      <c r="B549" s="24" t="s">
        <v>15</v>
      </c>
      <c r="C549" s="25">
        <f>P556</f>
        <v>1</v>
      </c>
      <c r="D549" s="63"/>
      <c r="E549" s="11" t="s">
        <v>16</v>
      </c>
      <c r="F549" s="10" t="s">
        <v>78</v>
      </c>
      <c r="G549" s="153">
        <v>0.05</v>
      </c>
      <c r="H549" s="10"/>
      <c r="I549" s="10"/>
      <c r="J549" s="18" t="s">
        <v>17</v>
      </c>
      <c r="K549" s="29">
        <f>K576</f>
        <v>1</v>
      </c>
      <c r="L549" s="29">
        <f t="shared" ref="L549:S549" si="91">L576</f>
        <v>1</v>
      </c>
      <c r="M549" s="29">
        <f t="shared" si="91"/>
        <v>1</v>
      </c>
      <c r="N549" s="29">
        <f t="shared" si="91"/>
        <v>1</v>
      </c>
      <c r="O549" s="29">
        <f t="shared" si="91"/>
        <v>1</v>
      </c>
      <c r="P549" s="29">
        <f t="shared" si="91"/>
        <v>0</v>
      </c>
      <c r="Q549" s="29">
        <f t="shared" si="91"/>
        <v>1</v>
      </c>
      <c r="R549" s="29">
        <f t="shared" si="91"/>
        <v>1</v>
      </c>
      <c r="S549" s="29">
        <f t="shared" si="91"/>
        <v>1</v>
      </c>
      <c r="T549" s="30">
        <f>T605</f>
        <v>0</v>
      </c>
      <c r="U549" s="151"/>
      <c r="V549" s="77"/>
      <c r="W549" s="77"/>
      <c r="X549" s="77"/>
    </row>
    <row r="550" spans="2:24">
      <c r="B550" s="24" t="s">
        <v>18</v>
      </c>
      <c r="C550" s="25">
        <f>P557</f>
        <v>0</v>
      </c>
      <c r="D550" s="63"/>
      <c r="E550" s="26" t="s">
        <v>80</v>
      </c>
      <c r="F550" s="141" t="s">
        <v>81</v>
      </c>
      <c r="G550" s="154">
        <v>0.1</v>
      </c>
      <c r="H550" s="10"/>
      <c r="I550" s="10"/>
      <c r="J550" s="32" t="s">
        <v>19</v>
      </c>
      <c r="K550" s="33">
        <f>K576/K575</f>
        <v>1</v>
      </c>
      <c r="L550" s="33">
        <f t="shared" ref="L550:S550" si="92">L576/L575</f>
        <v>1</v>
      </c>
      <c r="M550" s="33">
        <f t="shared" si="92"/>
        <v>1</v>
      </c>
      <c r="N550" s="33">
        <f t="shared" si="92"/>
        <v>1</v>
      </c>
      <c r="O550" s="33">
        <f t="shared" si="92"/>
        <v>1</v>
      </c>
      <c r="P550" s="33">
        <f t="shared" si="92"/>
        <v>0</v>
      </c>
      <c r="Q550" s="33">
        <f t="shared" si="92"/>
        <v>1</v>
      </c>
      <c r="R550" s="33">
        <f t="shared" si="92"/>
        <v>1</v>
      </c>
      <c r="S550" s="33">
        <f t="shared" si="92"/>
        <v>1</v>
      </c>
      <c r="T550" s="23"/>
      <c r="U550" s="151" t="s">
        <v>20</v>
      </c>
      <c r="V550" s="77"/>
      <c r="W550" s="77"/>
      <c r="X550" s="77"/>
    </row>
    <row r="551" spans="2:24">
      <c r="B551" s="24" t="s">
        <v>21</v>
      </c>
      <c r="C551" s="34">
        <f>P558</f>
        <v>1</v>
      </c>
      <c r="D551" s="63"/>
      <c r="E551" s="10"/>
      <c r="F551" s="10"/>
      <c r="G551" s="10"/>
      <c r="H551" s="10"/>
      <c r="I551" s="10"/>
      <c r="J551" s="10"/>
      <c r="K551" s="10"/>
      <c r="L551" s="10"/>
      <c r="M551" s="10"/>
      <c r="N551" s="10"/>
      <c r="O551" s="10"/>
      <c r="P551" s="10"/>
      <c r="Q551" s="10"/>
      <c r="R551" s="10"/>
      <c r="S551" s="10"/>
      <c r="T551" s="10"/>
      <c r="U551" s="151"/>
      <c r="V551" s="77"/>
      <c r="W551" s="77"/>
      <c r="X551" s="77"/>
    </row>
    <row r="552" spans="2:24">
      <c r="B552" s="24"/>
      <c r="C552" s="25"/>
      <c r="D552" s="63"/>
      <c r="E552" s="10"/>
      <c r="F552" s="18" t="s">
        <v>22</v>
      </c>
      <c r="G552" s="19" t="s">
        <v>23</v>
      </c>
      <c r="H552" s="35" t="s">
        <v>24</v>
      </c>
      <c r="I552" s="10"/>
      <c r="J552" s="10"/>
      <c r="K552" s="36"/>
      <c r="L552" s="36"/>
      <c r="M552" s="36"/>
      <c r="N552" s="36"/>
      <c r="O552" s="36"/>
      <c r="P552" s="36"/>
      <c r="Q552" s="36"/>
      <c r="R552" s="10"/>
      <c r="S552" s="10"/>
      <c r="T552" s="10"/>
      <c r="U552" s="151"/>
      <c r="V552" s="77"/>
      <c r="W552" s="77"/>
      <c r="X552" s="77"/>
    </row>
    <row r="553" spans="2:24">
      <c r="B553" s="32" t="s">
        <v>25</v>
      </c>
      <c r="C553" s="37">
        <f>P559</f>
        <v>421</v>
      </c>
      <c r="D553" s="63"/>
      <c r="E553" s="18" t="s">
        <v>26</v>
      </c>
      <c r="F553" s="38">
        <f>P555</f>
        <v>421</v>
      </c>
      <c r="G553" s="39">
        <f>I575</f>
        <v>421</v>
      </c>
      <c r="H553" s="40"/>
      <c r="I553" s="41"/>
      <c r="J553" s="42"/>
      <c r="K553" s="43" t="s">
        <v>27</v>
      </c>
      <c r="L553" s="44"/>
      <c r="M553" s="44"/>
      <c r="N553" s="44"/>
      <c r="O553" s="44"/>
      <c r="P553" s="44"/>
      <c r="Q553" s="45"/>
      <c r="R553" s="46" t="s">
        <v>28</v>
      </c>
      <c r="S553" s="47" t="s">
        <v>29</v>
      </c>
      <c r="T553" s="10"/>
      <c r="U553" s="151"/>
      <c r="V553" s="77"/>
      <c r="W553" s="77"/>
      <c r="X553" s="77"/>
    </row>
    <row r="554" spans="2:24">
      <c r="B554" s="11"/>
      <c r="C554" s="10"/>
      <c r="D554" s="63"/>
      <c r="E554" s="24" t="s">
        <v>30</v>
      </c>
      <c r="F554" s="48">
        <f>IF(F553&gt;=25000,10%,5%)</f>
        <v>0.05</v>
      </c>
      <c r="G554" s="17"/>
      <c r="H554" s="40"/>
      <c r="I554" s="41"/>
      <c r="J554" s="42"/>
      <c r="K554" s="20" t="s">
        <v>31</v>
      </c>
      <c r="L554" s="21" t="s">
        <v>32</v>
      </c>
      <c r="M554" s="21" t="s">
        <v>33</v>
      </c>
      <c r="N554" s="21" t="s">
        <v>34</v>
      </c>
      <c r="O554" s="21" t="s">
        <v>35</v>
      </c>
      <c r="P554" s="21" t="s">
        <v>36</v>
      </c>
      <c r="Q554" s="49" t="s">
        <v>37</v>
      </c>
      <c r="R554" s="50" t="s">
        <v>38</v>
      </c>
      <c r="S554" s="50" t="s">
        <v>38</v>
      </c>
      <c r="T554" s="10"/>
      <c r="U554" s="151"/>
      <c r="V554" s="77"/>
      <c r="W554" s="77"/>
      <c r="X554" s="77"/>
    </row>
    <row r="555" spans="2:24">
      <c r="B555" s="11"/>
      <c r="C555" s="10"/>
      <c r="D555" s="63"/>
      <c r="E555" s="51" t="s">
        <v>39</v>
      </c>
      <c r="F555" s="52">
        <f>F553*F554</f>
        <v>21.05</v>
      </c>
      <c r="G555" s="53" t="s">
        <v>40</v>
      </c>
      <c r="H555" s="54">
        <f>F555/1.12</f>
        <v>18.794642857142858</v>
      </c>
      <c r="I555" s="55"/>
      <c r="J555" s="42"/>
      <c r="K555" s="56"/>
      <c r="L555" s="57"/>
      <c r="M555" s="57"/>
      <c r="N555" s="57">
        <f>I574</f>
        <v>421</v>
      </c>
      <c r="O555" s="57"/>
      <c r="P555" s="57">
        <f>SUM(K555:O555)</f>
        <v>421</v>
      </c>
      <c r="Q555" s="58">
        <v>0</v>
      </c>
      <c r="R555" s="59">
        <v>0</v>
      </c>
      <c r="S555" s="59">
        <v>0</v>
      </c>
      <c r="T555" s="10"/>
      <c r="U555" s="151"/>
      <c r="V555" s="77"/>
      <c r="W555" s="77"/>
      <c r="X555" s="77"/>
    </row>
    <row r="556" spans="2:24">
      <c r="B556" s="11"/>
      <c r="C556" s="10"/>
      <c r="D556" s="63"/>
      <c r="E556" s="24" t="s">
        <v>41</v>
      </c>
      <c r="F556" s="60">
        <f>Q555</f>
        <v>0</v>
      </c>
      <c r="G556" s="61" t="s">
        <v>40</v>
      </c>
      <c r="H556" s="62"/>
      <c r="I556" s="62"/>
      <c r="J556" s="10" t="s">
        <v>42</v>
      </c>
      <c r="K556" s="63"/>
      <c r="L556" s="63"/>
      <c r="M556" s="63"/>
      <c r="N556" s="63">
        <v>1</v>
      </c>
      <c r="O556" s="63"/>
      <c r="P556" s="21">
        <f>SUM(K556:O556)</f>
        <v>1</v>
      </c>
      <c r="Q556" s="64"/>
      <c r="R556" s="63"/>
      <c r="S556" s="10"/>
      <c r="T556" s="10"/>
      <c r="U556" s="151"/>
      <c r="V556" s="77"/>
      <c r="W556" s="77"/>
      <c r="X556" s="77"/>
    </row>
    <row r="557" spans="2:24">
      <c r="B557" s="11"/>
      <c r="C557" s="10"/>
      <c r="D557" s="63"/>
      <c r="E557" s="51" t="s">
        <v>43</v>
      </c>
      <c r="F557" s="52">
        <f>F556*0.25</f>
        <v>0</v>
      </c>
      <c r="G557" s="53" t="s">
        <v>40</v>
      </c>
      <c r="H557" s="54">
        <f>F557/1.12</f>
        <v>0</v>
      </c>
      <c r="I557" s="10"/>
      <c r="J557" s="10" t="s">
        <v>44</v>
      </c>
      <c r="K557" s="63"/>
      <c r="L557" s="63"/>
      <c r="M557" s="63"/>
      <c r="N557" s="63">
        <v>0</v>
      </c>
      <c r="O557" s="63"/>
      <c r="P557" s="21">
        <f>SUM(K557:O557)</f>
        <v>0</v>
      </c>
      <c r="Q557" s="64"/>
      <c r="R557" s="63"/>
      <c r="S557" s="10"/>
      <c r="T557" s="10"/>
      <c r="U557" s="151"/>
      <c r="V557" s="77"/>
      <c r="W557" s="77"/>
      <c r="X557" s="77"/>
    </row>
    <row r="558" spans="2:24">
      <c r="B558" s="11"/>
      <c r="C558" s="10"/>
      <c r="D558" s="63"/>
      <c r="E558" s="24" t="s">
        <v>45</v>
      </c>
      <c r="F558" s="60">
        <f>I580</f>
        <v>11678.14</v>
      </c>
      <c r="G558" s="61" t="s">
        <v>40</v>
      </c>
      <c r="H558" s="62"/>
      <c r="I558" s="10"/>
      <c r="J558" s="10" t="s">
        <v>46</v>
      </c>
      <c r="K558" s="31" t="e">
        <f t="shared" ref="K558:Q558" si="93">K556/(K556+K557)</f>
        <v>#DIV/0!</v>
      </c>
      <c r="L558" s="31" t="e">
        <f t="shared" si="93"/>
        <v>#DIV/0!</v>
      </c>
      <c r="M558" s="31" t="e">
        <f t="shared" si="93"/>
        <v>#DIV/0!</v>
      </c>
      <c r="N558" s="31">
        <f t="shared" si="93"/>
        <v>1</v>
      </c>
      <c r="O558" s="31" t="e">
        <f t="shared" si="93"/>
        <v>#DIV/0!</v>
      </c>
      <c r="P558" s="31">
        <f t="shared" si="93"/>
        <v>1</v>
      </c>
      <c r="Q558" s="31" t="e">
        <f t="shared" si="93"/>
        <v>#DIV/0!</v>
      </c>
      <c r="R558" s="63"/>
      <c r="S558" s="10"/>
      <c r="T558" s="10"/>
      <c r="U558" s="151"/>
      <c r="V558" s="77"/>
      <c r="W558" s="77"/>
      <c r="X558" s="77"/>
    </row>
    <row r="559" spans="2:24">
      <c r="B559" s="11"/>
      <c r="C559" s="10"/>
      <c r="D559" s="63"/>
      <c r="E559" s="51" t="s">
        <v>47</v>
      </c>
      <c r="F559" s="52">
        <f>F558*0.1</f>
        <v>1167.8140000000001</v>
      </c>
      <c r="G559" s="65" t="s">
        <v>40</v>
      </c>
      <c r="H559" s="54">
        <f>F559/1.12</f>
        <v>1042.6910714285714</v>
      </c>
      <c r="I559" s="42"/>
      <c r="J559" s="10" t="s">
        <v>48</v>
      </c>
      <c r="K559" s="66" t="e">
        <f>K555/K556</f>
        <v>#DIV/0!</v>
      </c>
      <c r="L559" s="66" t="e">
        <f t="shared" ref="L559:Q559" si="94">L555/L556</f>
        <v>#DIV/0!</v>
      </c>
      <c r="M559" s="66" t="e">
        <f t="shared" si="94"/>
        <v>#DIV/0!</v>
      </c>
      <c r="N559" s="66">
        <f t="shared" si="94"/>
        <v>421</v>
      </c>
      <c r="O559" s="66" t="e">
        <f t="shared" si="94"/>
        <v>#DIV/0!</v>
      </c>
      <c r="P559" s="66">
        <f t="shared" si="94"/>
        <v>421</v>
      </c>
      <c r="Q559" s="66" t="e">
        <f t="shared" si="94"/>
        <v>#DIV/0!</v>
      </c>
      <c r="R559" s="63"/>
      <c r="S559" s="10"/>
      <c r="T559" s="10"/>
      <c r="U559" s="151"/>
      <c r="V559" s="77"/>
      <c r="W559" s="77"/>
      <c r="X559" s="77"/>
    </row>
    <row r="560" spans="2:24">
      <c r="B560" s="132"/>
      <c r="C560" s="123"/>
      <c r="D560" s="127"/>
      <c r="E560" s="155" t="s">
        <v>14</v>
      </c>
      <c r="F560" s="156">
        <f>5*50/2</f>
        <v>125</v>
      </c>
      <c r="G560" s="123"/>
      <c r="H560" s="54">
        <f>F560/1.12</f>
        <v>111.60714285714285</v>
      </c>
      <c r="I560" s="123"/>
      <c r="J560" s="123"/>
      <c r="K560" s="123"/>
      <c r="L560" s="123"/>
      <c r="M560" s="123"/>
      <c r="N560" s="123"/>
      <c r="O560" s="123"/>
      <c r="P560" s="123"/>
      <c r="Q560" s="123"/>
      <c r="R560" s="123"/>
      <c r="S560" s="123"/>
      <c r="T560" s="123"/>
      <c r="U560" s="157"/>
      <c r="V560" s="123"/>
      <c r="W560" s="123"/>
      <c r="X560" s="123"/>
    </row>
    <row r="561" spans="2:24">
      <c r="B561" s="132"/>
      <c r="C561" s="123"/>
      <c r="D561" s="127"/>
      <c r="E561" s="158" t="s">
        <v>49</v>
      </c>
      <c r="F561" s="159">
        <f>T550</f>
        <v>0</v>
      </c>
      <c r="G561" s="123"/>
      <c r="H561" s="54"/>
      <c r="I561" s="123"/>
      <c r="J561" s="42"/>
      <c r="K561" s="764" t="s">
        <v>50</v>
      </c>
      <c r="L561" s="765"/>
      <c r="M561" s="765"/>
      <c r="N561" s="765"/>
      <c r="O561" s="765"/>
      <c r="P561" s="765"/>
      <c r="Q561" s="766"/>
      <c r="R561" s="70" t="s">
        <v>28</v>
      </c>
      <c r="S561" s="71" t="s">
        <v>29</v>
      </c>
      <c r="T561" s="123"/>
      <c r="U561" s="157"/>
      <c r="V561" s="123"/>
      <c r="W561" s="123"/>
      <c r="X561" s="123"/>
    </row>
    <row r="562" spans="2:24">
      <c r="B562" s="132"/>
      <c r="C562" s="123"/>
      <c r="D562" s="127"/>
      <c r="E562" s="303" t="s">
        <v>3594</v>
      </c>
      <c r="F562" s="304">
        <f>1999.42</f>
        <v>1999.42</v>
      </c>
      <c r="G562" s="305"/>
      <c r="H562" s="306">
        <f>F562/1.12</f>
        <v>1785.1964285714284</v>
      </c>
      <c r="I562" s="123"/>
      <c r="J562" s="42"/>
      <c r="K562" s="20" t="s">
        <v>31</v>
      </c>
      <c r="L562" s="21" t="s">
        <v>32</v>
      </c>
      <c r="M562" s="21" t="s">
        <v>33</v>
      </c>
      <c r="N562" s="21" t="s">
        <v>34</v>
      </c>
      <c r="O562" s="21" t="s">
        <v>35</v>
      </c>
      <c r="P562" s="21" t="s">
        <v>36</v>
      </c>
      <c r="Q562" s="49" t="s">
        <v>37</v>
      </c>
      <c r="R562" s="50" t="s">
        <v>38</v>
      </c>
      <c r="S562" s="50" t="s">
        <v>38</v>
      </c>
      <c r="T562" s="123"/>
      <c r="U562" s="157"/>
      <c r="V562" s="123"/>
      <c r="W562" s="123"/>
      <c r="X562" s="123"/>
    </row>
    <row r="563" spans="2:24">
      <c r="B563" s="132"/>
      <c r="C563" s="123"/>
      <c r="D563" s="127"/>
      <c r="E563" s="303" t="s">
        <v>3595</v>
      </c>
      <c r="F563" s="304">
        <f>2170.05</f>
        <v>2170.0500000000002</v>
      </c>
      <c r="G563" s="305"/>
      <c r="H563" s="306">
        <f>F563/1.12</f>
        <v>1937.5446428571429</v>
      </c>
      <c r="I563" s="123"/>
      <c r="J563" s="42"/>
      <c r="K563" s="56"/>
      <c r="L563" s="57"/>
      <c r="M563" s="57"/>
      <c r="N563" s="57">
        <f>F574</f>
        <v>421</v>
      </c>
      <c r="O563" s="57"/>
      <c r="P563" s="57">
        <f>SUM(K563:O563)</f>
        <v>421</v>
      </c>
      <c r="Q563" s="58">
        <v>0</v>
      </c>
      <c r="R563" s="59">
        <v>0</v>
      </c>
      <c r="S563" s="59">
        <v>0</v>
      </c>
      <c r="T563" s="123"/>
      <c r="U563" s="157"/>
      <c r="V563" s="123"/>
      <c r="W563" s="123"/>
      <c r="X563" s="123"/>
    </row>
    <row r="564" spans="2:24">
      <c r="B564" s="132"/>
      <c r="C564" s="123"/>
      <c r="D564" s="127"/>
      <c r="E564" s="307" t="s">
        <v>3596</v>
      </c>
      <c r="F564" s="308">
        <f>$F$236</f>
        <v>1898.1879999999999</v>
      </c>
      <c r="G564" s="305"/>
      <c r="H564" s="306">
        <f>F564/1.12</f>
        <v>1694.8107142857141</v>
      </c>
      <c r="I564" s="123"/>
      <c r="J564" s="10" t="s">
        <v>42</v>
      </c>
      <c r="K564" s="63">
        <f t="shared" ref="K564:Q565" si="95">K556</f>
        <v>0</v>
      </c>
      <c r="L564" s="63">
        <f t="shared" si="95"/>
        <v>0</v>
      </c>
      <c r="M564" s="63">
        <f t="shared" si="95"/>
        <v>0</v>
      </c>
      <c r="N564" s="63">
        <f t="shared" si="95"/>
        <v>1</v>
      </c>
      <c r="O564" s="63">
        <f t="shared" si="95"/>
        <v>0</v>
      </c>
      <c r="P564" s="63">
        <f t="shared" si="95"/>
        <v>1</v>
      </c>
      <c r="Q564" s="63">
        <f t="shared" si="95"/>
        <v>0</v>
      </c>
      <c r="R564" s="63"/>
      <c r="S564" s="10"/>
      <c r="T564" s="123"/>
      <c r="U564" s="157"/>
      <c r="V564" s="123"/>
      <c r="W564" s="123"/>
      <c r="X564" s="123"/>
    </row>
    <row r="565" spans="2:24">
      <c r="B565" s="132"/>
      <c r="C565" s="123"/>
      <c r="D565" s="127"/>
      <c r="E565" s="72" t="s">
        <v>3597</v>
      </c>
      <c r="F565" s="73">
        <v>-202.98</v>
      </c>
      <c r="G565" s="123"/>
      <c r="H565" s="54"/>
      <c r="I565" s="123"/>
      <c r="J565" s="10" t="s">
        <v>44</v>
      </c>
      <c r="K565" s="63">
        <f t="shared" si="95"/>
        <v>0</v>
      </c>
      <c r="L565" s="63">
        <f t="shared" si="95"/>
        <v>0</v>
      </c>
      <c r="M565" s="63">
        <f t="shared" si="95"/>
        <v>0</v>
      </c>
      <c r="N565" s="63">
        <f t="shared" si="95"/>
        <v>0</v>
      </c>
      <c r="O565" s="63">
        <f t="shared" si="95"/>
        <v>0</v>
      </c>
      <c r="P565" s="63">
        <f t="shared" si="95"/>
        <v>0</v>
      </c>
      <c r="Q565" s="63">
        <f t="shared" si="95"/>
        <v>0</v>
      </c>
      <c r="R565" s="63"/>
      <c r="S565" s="10"/>
      <c r="T565" s="123"/>
      <c r="U565" s="157"/>
      <c r="V565" s="123"/>
      <c r="W565" s="123"/>
      <c r="X565" s="123"/>
    </row>
    <row r="566" spans="2:24">
      <c r="B566" s="132"/>
      <c r="C566" s="123"/>
      <c r="D566" s="127"/>
      <c r="E566" s="74" t="s">
        <v>3598</v>
      </c>
      <c r="F566" s="75">
        <v>-2173.61</v>
      </c>
      <c r="G566" s="123"/>
      <c r="H566" s="54"/>
      <c r="I566" s="123"/>
      <c r="J566" s="10" t="s">
        <v>46</v>
      </c>
      <c r="K566" s="31" t="e">
        <f t="shared" ref="K566:Q566" si="96">K564/(K564+K565)</f>
        <v>#DIV/0!</v>
      </c>
      <c r="L566" s="31" t="e">
        <f t="shared" si="96"/>
        <v>#DIV/0!</v>
      </c>
      <c r="M566" s="31" t="e">
        <f t="shared" si="96"/>
        <v>#DIV/0!</v>
      </c>
      <c r="N566" s="31">
        <f t="shared" si="96"/>
        <v>1</v>
      </c>
      <c r="O566" s="31" t="e">
        <f t="shared" si="96"/>
        <v>#DIV/0!</v>
      </c>
      <c r="P566" s="31">
        <f t="shared" si="96"/>
        <v>1</v>
      </c>
      <c r="Q566" s="31" t="e">
        <f t="shared" si="96"/>
        <v>#DIV/0!</v>
      </c>
      <c r="R566" s="63"/>
      <c r="S566" s="10"/>
      <c r="T566" s="123"/>
      <c r="U566" s="157"/>
      <c r="V566" s="123"/>
      <c r="W566" s="123"/>
      <c r="X566" s="123"/>
    </row>
    <row r="567" spans="2:24">
      <c r="B567" s="132"/>
      <c r="C567" s="123"/>
      <c r="D567" s="127"/>
      <c r="E567" s="74" t="s">
        <v>3599</v>
      </c>
      <c r="F567" s="75">
        <v>26.37</v>
      </c>
      <c r="G567" s="123"/>
      <c r="H567" s="54"/>
      <c r="I567" s="123"/>
      <c r="J567" s="10" t="s">
        <v>48</v>
      </c>
      <c r="K567" s="66" t="e">
        <f t="shared" ref="K567:Q567" si="97">K563/K564</f>
        <v>#DIV/0!</v>
      </c>
      <c r="L567" s="66" t="e">
        <f t="shared" si="97"/>
        <v>#DIV/0!</v>
      </c>
      <c r="M567" s="66" t="e">
        <f t="shared" si="97"/>
        <v>#DIV/0!</v>
      </c>
      <c r="N567" s="66">
        <f t="shared" si="97"/>
        <v>421</v>
      </c>
      <c r="O567" s="66" t="e">
        <f t="shared" si="97"/>
        <v>#DIV/0!</v>
      </c>
      <c r="P567" s="66">
        <f t="shared" si="97"/>
        <v>421</v>
      </c>
      <c r="Q567" s="66" t="e">
        <f t="shared" si="97"/>
        <v>#DIV/0!</v>
      </c>
      <c r="R567" s="63"/>
      <c r="S567" s="10"/>
      <c r="T567" s="123"/>
      <c r="U567" s="157"/>
      <c r="V567" s="123"/>
      <c r="W567" s="123"/>
      <c r="X567" s="123"/>
    </row>
    <row r="568" spans="2:24">
      <c r="B568" s="132"/>
      <c r="C568" s="123"/>
      <c r="D568" s="127"/>
      <c r="E568" s="10"/>
      <c r="F568" s="10"/>
      <c r="G568" s="123"/>
      <c r="H568" s="54"/>
      <c r="I568" s="123"/>
      <c r="J568" s="123"/>
      <c r="K568" s="123"/>
      <c r="L568" s="123"/>
      <c r="M568" s="123"/>
      <c r="N568" s="123"/>
      <c r="O568" s="123"/>
      <c r="P568" s="123"/>
      <c r="Q568" s="123"/>
      <c r="R568" s="123"/>
      <c r="S568" s="123"/>
      <c r="T568" s="123"/>
      <c r="U568" s="157"/>
      <c r="V568" s="123"/>
      <c r="W568" s="123"/>
      <c r="X568" s="123"/>
    </row>
    <row r="569" spans="2:24">
      <c r="B569" s="11"/>
      <c r="C569" s="10"/>
      <c r="D569" s="63"/>
      <c r="E569" s="12"/>
      <c r="F569" s="12"/>
      <c r="G569" s="10"/>
      <c r="H569" s="10"/>
      <c r="I569" s="10"/>
      <c r="J569" s="10"/>
      <c r="K569" s="10"/>
      <c r="L569" s="10"/>
      <c r="M569" s="10"/>
      <c r="N569" s="10"/>
      <c r="O569" s="10"/>
      <c r="P569" s="10"/>
      <c r="Q569" s="10"/>
      <c r="R569" s="10"/>
      <c r="S569" s="10"/>
      <c r="T569" s="10"/>
      <c r="U569" s="151"/>
      <c r="V569" s="77"/>
      <c r="W569" s="77"/>
      <c r="X569" s="77"/>
    </row>
    <row r="570" spans="2:24">
      <c r="B570" s="11"/>
      <c r="C570" s="10"/>
      <c r="D570" s="63"/>
      <c r="E570" s="10"/>
      <c r="F570" s="10"/>
      <c r="G570" s="10"/>
      <c r="H570" s="10"/>
      <c r="I570" s="10"/>
      <c r="J570" s="10"/>
      <c r="K570" s="10"/>
      <c r="L570" s="10"/>
      <c r="M570" s="10"/>
      <c r="N570" s="10"/>
      <c r="O570" s="10"/>
      <c r="P570" s="10"/>
      <c r="Q570" s="10"/>
      <c r="R570" s="10"/>
      <c r="S570" s="10"/>
      <c r="T570" s="10"/>
      <c r="U570" s="151"/>
      <c r="V570" s="77"/>
      <c r="W570" s="77"/>
      <c r="X570" s="77"/>
    </row>
    <row r="571" spans="2:24">
      <c r="B571" s="18" t="s">
        <v>51</v>
      </c>
      <c r="C571" s="14"/>
      <c r="D571" s="14"/>
      <c r="E571" s="14"/>
      <c r="F571" s="13" t="s">
        <v>52</v>
      </c>
      <c r="G571" s="14"/>
      <c r="H571" s="14"/>
      <c r="I571" s="14"/>
      <c r="J571" s="14"/>
      <c r="K571" s="13" t="s">
        <v>3</v>
      </c>
      <c r="L571" s="14"/>
      <c r="M571" s="14"/>
      <c r="N571" s="13" t="s">
        <v>4</v>
      </c>
      <c r="O571" s="14"/>
      <c r="P571" s="14"/>
      <c r="Q571" s="13" t="s">
        <v>5</v>
      </c>
      <c r="R571" s="14"/>
      <c r="S571" s="14"/>
      <c r="T571" s="18"/>
      <c r="U571" s="161" t="s">
        <v>53</v>
      </c>
      <c r="V571" s="77"/>
      <c r="W571" s="77"/>
      <c r="X571" s="77"/>
    </row>
    <row r="572" spans="2:24">
      <c r="B572" s="24" t="s">
        <v>54</v>
      </c>
      <c r="C572" s="21" t="s">
        <v>55</v>
      </c>
      <c r="D572" s="21" t="s">
        <v>56</v>
      </c>
      <c r="E572" s="21" t="s">
        <v>57</v>
      </c>
      <c r="F572" s="20" t="s">
        <v>58</v>
      </c>
      <c r="G572" s="21" t="s">
        <v>59</v>
      </c>
      <c r="H572" s="21" t="s">
        <v>60</v>
      </c>
      <c r="I572" s="21" t="s">
        <v>26</v>
      </c>
      <c r="J572" s="22" t="s">
        <v>61</v>
      </c>
      <c r="K572" s="21" t="s">
        <v>8</v>
      </c>
      <c r="L572" s="21" t="s">
        <v>9</v>
      </c>
      <c r="M572" s="21" t="s">
        <v>10</v>
      </c>
      <c r="N572" s="20" t="s">
        <v>11</v>
      </c>
      <c r="O572" s="21" t="s">
        <v>12</v>
      </c>
      <c r="P572" s="22" t="s">
        <v>13</v>
      </c>
      <c r="Q572" s="21" t="s">
        <v>11</v>
      </c>
      <c r="R572" s="21" t="s">
        <v>12</v>
      </c>
      <c r="S572" s="21" t="s">
        <v>13</v>
      </c>
      <c r="T572" s="78" t="s">
        <v>14</v>
      </c>
      <c r="U572" s="162"/>
      <c r="V572" s="79" t="s">
        <v>62</v>
      </c>
      <c r="W572" s="80" t="s">
        <v>63</v>
      </c>
      <c r="X572" s="81" t="s">
        <v>64</v>
      </c>
    </row>
    <row r="573" spans="2:24">
      <c r="B573" s="4" t="s">
        <v>65</v>
      </c>
      <c r="C573" s="6"/>
      <c r="D573" s="6"/>
      <c r="E573" s="6"/>
      <c r="F573" s="6"/>
      <c r="G573" s="6"/>
      <c r="H573" s="6"/>
      <c r="I573" s="82"/>
      <c r="J573" s="6"/>
      <c r="K573" s="6"/>
      <c r="L573" s="6"/>
      <c r="M573" s="6"/>
      <c r="N573" s="6"/>
      <c r="O573" s="6"/>
      <c r="P573" s="6"/>
      <c r="Q573" s="6"/>
      <c r="R573" s="6"/>
      <c r="S573" s="6"/>
      <c r="T573" s="83"/>
      <c r="U573" s="163"/>
      <c r="V573" s="84"/>
      <c r="W573" s="85"/>
      <c r="X573" s="86"/>
    </row>
    <row r="574" spans="2:24">
      <c r="B574" s="87">
        <v>1</v>
      </c>
      <c r="C574" s="262">
        <v>45869</v>
      </c>
      <c r="D574" s="263">
        <v>71897</v>
      </c>
      <c r="E574" s="271" t="s">
        <v>306</v>
      </c>
      <c r="F574" s="265">
        <v>421</v>
      </c>
      <c r="G574" s="265"/>
      <c r="H574" s="365"/>
      <c r="I574" s="272">
        <f>F574-G574-H574</f>
        <v>421</v>
      </c>
      <c r="J574" s="267" t="s">
        <v>374</v>
      </c>
      <c r="K574" s="267">
        <v>1</v>
      </c>
      <c r="L574" s="267">
        <v>1</v>
      </c>
      <c r="M574" s="267">
        <v>1</v>
      </c>
      <c r="N574" s="267">
        <v>1</v>
      </c>
      <c r="O574" s="267">
        <v>1</v>
      </c>
      <c r="P574" s="267">
        <v>0</v>
      </c>
      <c r="Q574" s="267">
        <v>1</v>
      </c>
      <c r="R574" s="267">
        <v>1</v>
      </c>
      <c r="S574" s="269">
        <v>1</v>
      </c>
      <c r="T574" s="63"/>
      <c r="U574" s="94"/>
      <c r="V574" s="90">
        <v>463.1</v>
      </c>
      <c r="W574" s="91"/>
      <c r="X574" s="92"/>
    </row>
    <row r="575" spans="2:24">
      <c r="B575" s="87"/>
      <c r="C575" s="36"/>
      <c r="D575" s="10"/>
      <c r="E575" s="10"/>
      <c r="F575" s="97">
        <f>SUM(F574:F574)</f>
        <v>421</v>
      </c>
      <c r="G575" s="97">
        <f>SUM(G574:G574)</f>
        <v>0</v>
      </c>
      <c r="H575" s="97">
        <f>SUM(H574:H574)</f>
        <v>0</v>
      </c>
      <c r="I575" s="98">
        <f>SUM(I574:I574)</f>
        <v>421</v>
      </c>
      <c r="J575" s="63"/>
      <c r="K575" s="63">
        <f t="shared" ref="K575:S575" si="98">COUNT(K574:K574)</f>
        <v>1</v>
      </c>
      <c r="L575" s="63">
        <f t="shared" si="98"/>
        <v>1</v>
      </c>
      <c r="M575" s="63">
        <f t="shared" si="98"/>
        <v>1</v>
      </c>
      <c r="N575" s="63">
        <f t="shared" si="98"/>
        <v>1</v>
      </c>
      <c r="O575" s="63">
        <f t="shared" si="98"/>
        <v>1</v>
      </c>
      <c r="P575" s="63">
        <f t="shared" si="98"/>
        <v>1</v>
      </c>
      <c r="Q575" s="63">
        <f t="shared" si="98"/>
        <v>1</v>
      </c>
      <c r="R575" s="63">
        <f t="shared" si="98"/>
        <v>1</v>
      </c>
      <c r="S575" s="63">
        <f t="shared" si="98"/>
        <v>1</v>
      </c>
      <c r="T575" s="63"/>
      <c r="U575" s="94"/>
      <c r="V575" s="90"/>
      <c r="W575" s="91"/>
      <c r="X575" s="92"/>
    </row>
    <row r="576" spans="2:24">
      <c r="B576" s="87"/>
      <c r="C576" s="36"/>
      <c r="D576" s="10"/>
      <c r="E576" s="10"/>
      <c r="F576" s="88"/>
      <c r="G576" s="88"/>
      <c r="H576" s="88"/>
      <c r="I576" s="99"/>
      <c r="J576" s="63"/>
      <c r="K576" s="21">
        <f t="shared" ref="K576:S576" si="99">SUM(K574:K574)</f>
        <v>1</v>
      </c>
      <c r="L576" s="21">
        <f t="shared" si="99"/>
        <v>1</v>
      </c>
      <c r="M576" s="21">
        <f t="shared" si="99"/>
        <v>1</v>
      </c>
      <c r="N576" s="21">
        <f t="shared" si="99"/>
        <v>1</v>
      </c>
      <c r="O576" s="21">
        <f t="shared" si="99"/>
        <v>1</v>
      </c>
      <c r="P576" s="21">
        <f t="shared" si="99"/>
        <v>0</v>
      </c>
      <c r="Q576" s="21">
        <f t="shared" si="99"/>
        <v>1</v>
      </c>
      <c r="R576" s="21">
        <f t="shared" si="99"/>
        <v>1</v>
      </c>
      <c r="S576" s="21">
        <f t="shared" si="99"/>
        <v>1</v>
      </c>
      <c r="T576" s="63"/>
      <c r="U576" s="94"/>
      <c r="V576" s="90"/>
      <c r="W576" s="91"/>
      <c r="X576" s="92"/>
    </row>
    <row r="577" spans="1:31">
      <c r="B577" s="11"/>
      <c r="C577" s="36"/>
      <c r="D577" s="10"/>
      <c r="E577" s="10"/>
      <c r="F577" s="88"/>
      <c r="G577" s="88"/>
      <c r="H577" s="88"/>
      <c r="I577" s="99"/>
      <c r="J577" s="63"/>
      <c r="K577" s="21"/>
      <c r="L577" s="21"/>
      <c r="M577" s="21"/>
      <c r="N577" s="21"/>
      <c r="O577" s="21"/>
      <c r="P577" s="21"/>
      <c r="Q577" s="21"/>
      <c r="R577" s="21"/>
      <c r="S577" s="21"/>
      <c r="T577" s="63"/>
      <c r="U577" s="94"/>
      <c r="V577" s="90"/>
      <c r="W577" s="91"/>
      <c r="X577" s="92"/>
    </row>
    <row r="578" spans="1:31">
      <c r="B578" s="100" t="s">
        <v>67</v>
      </c>
      <c r="C578" s="36"/>
      <c r="D578" s="10"/>
      <c r="E578" s="10"/>
      <c r="F578" s="88"/>
      <c r="G578" s="62"/>
      <c r="H578" s="88"/>
      <c r="I578" s="99"/>
      <c r="J578" s="63"/>
      <c r="K578" s="2"/>
      <c r="L578" s="2"/>
      <c r="M578" s="2"/>
      <c r="N578" s="2"/>
      <c r="O578" s="2"/>
      <c r="P578" s="2"/>
      <c r="Q578" s="2"/>
      <c r="R578" s="2"/>
      <c r="S578" s="2"/>
      <c r="T578" s="63"/>
      <c r="U578" s="94"/>
      <c r="V578" s="90"/>
      <c r="W578" s="91"/>
      <c r="X578" s="92"/>
    </row>
    <row r="579" spans="1:31">
      <c r="A579" s="261" t="s">
        <v>3343</v>
      </c>
      <c r="B579" s="87">
        <v>1</v>
      </c>
      <c r="C579" s="262">
        <v>45862</v>
      </c>
      <c r="D579" s="357" t="s">
        <v>3582</v>
      </c>
      <c r="E579" s="271" t="s">
        <v>1666</v>
      </c>
      <c r="F579" s="265">
        <v>12814</v>
      </c>
      <c r="G579" s="265">
        <f>39.7+(96.16)+1000</f>
        <v>1135.8600000000001</v>
      </c>
      <c r="H579" s="265"/>
      <c r="I579" s="266">
        <f>F579-G579-H579</f>
        <v>11678.14</v>
      </c>
      <c r="J579" s="267" t="s">
        <v>374</v>
      </c>
      <c r="K579" s="267">
        <v>1</v>
      </c>
      <c r="L579" s="267">
        <v>1</v>
      </c>
      <c r="M579" s="267">
        <v>1</v>
      </c>
      <c r="N579" s="267">
        <v>1</v>
      </c>
      <c r="O579" s="267">
        <v>1</v>
      </c>
      <c r="P579" s="267">
        <v>1</v>
      </c>
      <c r="Q579" s="314">
        <v>0</v>
      </c>
      <c r="R579" s="314">
        <v>0</v>
      </c>
      <c r="S579" s="366">
        <v>0</v>
      </c>
      <c r="T579" s="63"/>
      <c r="U579" s="94" t="s">
        <v>3600</v>
      </c>
      <c r="V579" s="90">
        <f>3800+3885.86</f>
        <v>7685.8600000000006</v>
      </c>
      <c r="W579" s="136"/>
      <c r="X579" s="137"/>
      <c r="Y579" s="181"/>
      <c r="Z579" s="181"/>
      <c r="AA579" s="181"/>
      <c r="AB579" s="181"/>
      <c r="AC579" s="181"/>
      <c r="AD579" s="260"/>
      <c r="AE579" s="260"/>
    </row>
    <row r="580" spans="1:31">
      <c r="B580" s="11"/>
      <c r="C580" s="36"/>
      <c r="D580" s="10"/>
      <c r="E580" s="10"/>
      <c r="F580" s="97">
        <f>SUM(F579:F579)</f>
        <v>12814</v>
      </c>
      <c r="G580" s="97">
        <f>SUM(G579:G579)</f>
        <v>1135.8600000000001</v>
      </c>
      <c r="H580" s="97">
        <f>SUM(H579:H579)</f>
        <v>0</v>
      </c>
      <c r="I580" s="98">
        <f>SUM(I579:I579)</f>
        <v>11678.14</v>
      </c>
      <c r="J580" s="63"/>
      <c r="K580" s="21"/>
      <c r="L580" s="21"/>
      <c r="M580" s="21"/>
      <c r="N580" s="21"/>
      <c r="O580" s="21"/>
      <c r="P580" s="21"/>
      <c r="Q580" s="21"/>
      <c r="R580" s="21"/>
      <c r="S580" s="21"/>
      <c r="T580" s="63"/>
      <c r="U580" s="94"/>
      <c r="V580" s="90"/>
      <c r="W580" s="91"/>
      <c r="X580" s="92"/>
    </row>
    <row r="581" spans="1:31">
      <c r="B581" s="11"/>
      <c r="C581" s="36"/>
      <c r="D581" s="10"/>
      <c r="E581" s="10"/>
      <c r="F581" s="88"/>
      <c r="G581" s="88"/>
      <c r="H581" s="88"/>
      <c r="I581" s="99"/>
      <c r="J581" s="63"/>
      <c r="K581" s="21"/>
      <c r="L581" s="21"/>
      <c r="M581" s="21"/>
      <c r="N581" s="21"/>
      <c r="O581" s="21"/>
      <c r="P581" s="21"/>
      <c r="Q581" s="21"/>
      <c r="R581" s="21"/>
      <c r="S581" s="21"/>
      <c r="T581" s="63"/>
      <c r="U581" s="94"/>
      <c r="V581" s="90"/>
      <c r="W581" s="91"/>
      <c r="X581" s="92"/>
    </row>
    <row r="582" spans="1:31" s="260" customFormat="1">
      <c r="A582" s="181"/>
      <c r="B582" s="100" t="s">
        <v>152</v>
      </c>
      <c r="C582" s="36"/>
      <c r="D582" s="10"/>
      <c r="E582" s="10"/>
      <c r="F582" s="88"/>
      <c r="G582" s="62"/>
      <c r="H582" s="88"/>
      <c r="I582" s="99"/>
      <c r="J582" s="63"/>
      <c r="K582" s="181"/>
      <c r="L582" s="181"/>
      <c r="M582" s="181"/>
      <c r="N582" s="181"/>
      <c r="O582" s="181"/>
      <c r="P582" s="181"/>
      <c r="Q582" s="181"/>
      <c r="R582" s="181"/>
      <c r="S582" s="181"/>
      <c r="T582" s="63"/>
      <c r="U582" s="94"/>
      <c r="V582" s="90"/>
      <c r="W582" s="91"/>
      <c r="X582" s="92"/>
      <c r="Y582" s="181"/>
      <c r="Z582" s="181"/>
      <c r="AA582" s="181"/>
      <c r="AB582" s="181"/>
      <c r="AC582" s="181"/>
    </row>
    <row r="583" spans="1:31" s="181" customFormat="1">
      <c r="A583" s="261">
        <v>0.1</v>
      </c>
      <c r="B583" s="87">
        <v>1</v>
      </c>
      <c r="C583" s="262">
        <v>45791</v>
      </c>
      <c r="D583" s="357">
        <v>70097</v>
      </c>
      <c r="E583" s="264" t="s">
        <v>296</v>
      </c>
      <c r="F583" s="265">
        <v>1861</v>
      </c>
      <c r="G583" s="265">
        <f>39.7+748+200</f>
        <v>987.7</v>
      </c>
      <c r="H583" s="265"/>
      <c r="I583" s="266">
        <f t="shared" ref="I583:I591" si="100">F583-G583-H583</f>
        <v>873.3</v>
      </c>
      <c r="J583" s="267" t="s">
        <v>156</v>
      </c>
      <c r="K583" s="267">
        <v>1</v>
      </c>
      <c r="L583" s="267">
        <v>1</v>
      </c>
      <c r="M583" s="267">
        <v>1</v>
      </c>
      <c r="N583" s="267">
        <v>1</v>
      </c>
      <c r="O583" s="267">
        <v>1</v>
      </c>
      <c r="P583" s="267">
        <v>1</v>
      </c>
      <c r="Q583" s="314">
        <v>0</v>
      </c>
      <c r="R583" s="314">
        <v>0</v>
      </c>
      <c r="S583" s="366">
        <v>0</v>
      </c>
      <c r="T583" s="63"/>
      <c r="U583" s="94" t="s">
        <v>3403</v>
      </c>
      <c r="V583" s="90"/>
      <c r="W583" s="136"/>
      <c r="X583" s="137"/>
    </row>
    <row r="584" spans="1:31" s="181" customFormat="1">
      <c r="A584" s="261">
        <v>0.1</v>
      </c>
      <c r="B584" s="87">
        <f>B583+1</f>
        <v>2</v>
      </c>
      <c r="C584" s="282">
        <v>45810</v>
      </c>
      <c r="D584" s="330">
        <v>70516</v>
      </c>
      <c r="E584" s="283" t="s">
        <v>218</v>
      </c>
      <c r="F584" s="284">
        <v>6214</v>
      </c>
      <c r="G584" s="284">
        <f>39.7+(1375.67)+250</f>
        <v>1665.3700000000001</v>
      </c>
      <c r="H584" s="284"/>
      <c r="I584" s="300">
        <f t="shared" si="100"/>
        <v>4548.63</v>
      </c>
      <c r="J584" s="286" t="s">
        <v>228</v>
      </c>
      <c r="K584" s="286">
        <v>1</v>
      </c>
      <c r="L584" s="286">
        <v>1</v>
      </c>
      <c r="M584" s="286">
        <v>1</v>
      </c>
      <c r="N584" s="286">
        <v>1</v>
      </c>
      <c r="O584" s="286">
        <v>1</v>
      </c>
      <c r="P584" s="286">
        <v>1</v>
      </c>
      <c r="Q584" s="286">
        <v>1</v>
      </c>
      <c r="R584" s="332">
        <v>0</v>
      </c>
      <c r="S584" s="287">
        <v>1</v>
      </c>
      <c r="T584" s="63"/>
      <c r="U584" s="94" t="s">
        <v>3404</v>
      </c>
      <c r="V584" s="90"/>
      <c r="W584" s="136"/>
      <c r="X584" s="137"/>
    </row>
    <row r="585" spans="1:31" s="181" customFormat="1">
      <c r="A585" s="261">
        <v>0.1</v>
      </c>
      <c r="B585" s="87">
        <f t="shared" ref="B585:B593" si="101">B584+1</f>
        <v>3</v>
      </c>
      <c r="C585" s="274">
        <v>45824</v>
      </c>
      <c r="D585" s="320" t="s">
        <v>3405</v>
      </c>
      <c r="E585" s="276" t="s">
        <v>1047</v>
      </c>
      <c r="F585" s="277">
        <v>2215</v>
      </c>
      <c r="G585" s="277">
        <v>39.700000000000003</v>
      </c>
      <c r="H585" s="277"/>
      <c r="I585" s="278">
        <f t="shared" si="100"/>
        <v>2175.3000000000002</v>
      </c>
      <c r="J585" s="279"/>
      <c r="K585" s="279">
        <v>1</v>
      </c>
      <c r="L585" s="279">
        <v>1</v>
      </c>
      <c r="M585" s="279"/>
      <c r="N585" s="279">
        <v>1</v>
      </c>
      <c r="O585" s="279">
        <v>1</v>
      </c>
      <c r="P585" s="279">
        <v>1</v>
      </c>
      <c r="Q585" s="279">
        <v>1</v>
      </c>
      <c r="R585" s="279">
        <v>1</v>
      </c>
      <c r="S585" s="280">
        <v>1</v>
      </c>
      <c r="T585" s="63"/>
      <c r="U585" s="3" t="s">
        <v>3406</v>
      </c>
      <c r="V585" s="90"/>
      <c r="W585" s="136"/>
      <c r="X585" s="137"/>
    </row>
    <row r="586" spans="1:31" s="181" customFormat="1">
      <c r="A586" s="261">
        <v>0.1</v>
      </c>
      <c r="B586" s="87">
        <f t="shared" si="101"/>
        <v>4</v>
      </c>
      <c r="C586" s="295">
        <v>45824</v>
      </c>
      <c r="D586" s="346" t="s">
        <v>3407</v>
      </c>
      <c r="E586" s="10" t="s">
        <v>1047</v>
      </c>
      <c r="F586" s="62">
        <v>10353</v>
      </c>
      <c r="G586" s="62">
        <f>39.7+598+(65.78+33.33)+(162.26+78.76)+1000</f>
        <v>1977.83</v>
      </c>
      <c r="H586" s="62"/>
      <c r="I586" s="89">
        <f t="shared" si="100"/>
        <v>8375.17</v>
      </c>
      <c r="J586" s="63" t="s">
        <v>156</v>
      </c>
      <c r="K586" s="63">
        <v>1</v>
      </c>
      <c r="L586" s="63">
        <v>1</v>
      </c>
      <c r="M586" s="63">
        <v>1</v>
      </c>
      <c r="N586" s="63">
        <v>1</v>
      </c>
      <c r="O586" s="63">
        <v>1</v>
      </c>
      <c r="P586" s="63">
        <v>1</v>
      </c>
      <c r="Q586" s="63">
        <v>1</v>
      </c>
      <c r="R586" s="63">
        <v>1</v>
      </c>
      <c r="S586" s="296">
        <v>1</v>
      </c>
      <c r="T586" s="63"/>
      <c r="U586" s="94" t="s">
        <v>3408</v>
      </c>
      <c r="V586" s="90"/>
      <c r="W586" s="136"/>
      <c r="X586" s="137"/>
    </row>
    <row r="587" spans="1:31" s="181" customFormat="1">
      <c r="A587" s="261">
        <v>0.1</v>
      </c>
      <c r="B587" s="87">
        <f t="shared" si="101"/>
        <v>5</v>
      </c>
      <c r="C587" s="262">
        <v>45825</v>
      </c>
      <c r="D587" s="357">
        <v>70817</v>
      </c>
      <c r="E587" s="271" t="s">
        <v>317</v>
      </c>
      <c r="F587" s="265">
        <v>1281</v>
      </c>
      <c r="G587" s="265">
        <f>39.7+(87.93)</f>
        <v>127.63000000000001</v>
      </c>
      <c r="H587" s="265"/>
      <c r="I587" s="272">
        <f t="shared" si="100"/>
        <v>1153.3699999999999</v>
      </c>
      <c r="J587" s="267" t="s">
        <v>156</v>
      </c>
      <c r="K587" s="267">
        <v>1</v>
      </c>
      <c r="L587" s="267">
        <v>1</v>
      </c>
      <c r="M587" s="267">
        <v>1</v>
      </c>
      <c r="N587" s="267">
        <v>1</v>
      </c>
      <c r="O587" s="267">
        <v>1</v>
      </c>
      <c r="P587" s="267">
        <v>1</v>
      </c>
      <c r="Q587" s="267">
        <v>1</v>
      </c>
      <c r="R587" s="267">
        <v>1</v>
      </c>
      <c r="S587" s="269">
        <v>1</v>
      </c>
      <c r="T587" s="63"/>
      <c r="U587" s="94"/>
      <c r="V587" s="90"/>
      <c r="W587" s="136"/>
      <c r="X587" s="137"/>
    </row>
    <row r="588" spans="1:31" s="181" customFormat="1">
      <c r="A588" s="181" t="s">
        <v>2588</v>
      </c>
      <c r="B588" s="87">
        <f t="shared" si="101"/>
        <v>6</v>
      </c>
      <c r="C588" s="274">
        <v>45833</v>
      </c>
      <c r="D588" s="327">
        <v>71010</v>
      </c>
      <c r="E588" s="281" t="s">
        <v>998</v>
      </c>
      <c r="F588" s="277">
        <v>3114</v>
      </c>
      <c r="G588" s="277">
        <f>39.7+(145.94)</f>
        <v>185.64</v>
      </c>
      <c r="H588" s="277"/>
      <c r="I588" s="278">
        <f t="shared" si="100"/>
        <v>2928.36</v>
      </c>
      <c r="J588" s="279" t="s">
        <v>156</v>
      </c>
      <c r="K588" s="279">
        <v>1</v>
      </c>
      <c r="L588" s="279">
        <v>1</v>
      </c>
      <c r="M588" s="279">
        <v>1</v>
      </c>
      <c r="N588" s="279">
        <v>1</v>
      </c>
      <c r="O588" s="279">
        <v>1</v>
      </c>
      <c r="P588" s="279">
        <v>1</v>
      </c>
      <c r="Q588" s="279">
        <v>1</v>
      </c>
      <c r="R588" s="279">
        <v>1</v>
      </c>
      <c r="S588" s="280">
        <v>1</v>
      </c>
      <c r="T588" s="63"/>
      <c r="U588" s="94" t="s">
        <v>3393</v>
      </c>
      <c r="V588" s="90"/>
      <c r="W588" s="91"/>
      <c r="X588" s="92"/>
    </row>
    <row r="589" spans="1:31" s="181" customFormat="1">
      <c r="A589" s="181" t="s">
        <v>3394</v>
      </c>
      <c r="B589" s="87">
        <f t="shared" si="101"/>
        <v>7</v>
      </c>
      <c r="C589" s="262">
        <v>45835</v>
      </c>
      <c r="D589" s="263">
        <v>71063</v>
      </c>
      <c r="E589" s="271" t="s">
        <v>317</v>
      </c>
      <c r="F589" s="265">
        <v>6814</v>
      </c>
      <c r="G589" s="265">
        <f>39.7+(902.13)</f>
        <v>941.83</v>
      </c>
      <c r="H589" s="265"/>
      <c r="I589" s="272">
        <f t="shared" si="100"/>
        <v>5872.17</v>
      </c>
      <c r="J589" s="267" t="s">
        <v>156</v>
      </c>
      <c r="K589" s="267">
        <v>1</v>
      </c>
      <c r="L589" s="267">
        <v>1</v>
      </c>
      <c r="M589" s="267">
        <v>1</v>
      </c>
      <c r="N589" s="267">
        <v>1</v>
      </c>
      <c r="O589" s="267">
        <v>1</v>
      </c>
      <c r="P589" s="267">
        <v>1</v>
      </c>
      <c r="Q589" s="267">
        <v>1</v>
      </c>
      <c r="R589" s="267">
        <v>1</v>
      </c>
      <c r="S589" s="269">
        <v>1</v>
      </c>
      <c r="T589" s="63"/>
      <c r="U589" s="94" t="s">
        <v>3396</v>
      </c>
      <c r="V589" s="90"/>
      <c r="W589" s="136"/>
      <c r="X589" s="137"/>
    </row>
    <row r="590" spans="1:31" s="260" customFormat="1">
      <c r="A590" s="261">
        <v>0.1</v>
      </c>
      <c r="B590" s="87">
        <f t="shared" si="101"/>
        <v>8</v>
      </c>
      <c r="C590" s="262">
        <v>45839</v>
      </c>
      <c r="D590" s="357" t="s">
        <v>3447</v>
      </c>
      <c r="E590" s="264" t="s">
        <v>1047</v>
      </c>
      <c r="F590" s="265">
        <v>1261</v>
      </c>
      <c r="G590" s="265">
        <v>39.700000000000003</v>
      </c>
      <c r="H590" s="265"/>
      <c r="I590" s="266">
        <f t="shared" si="100"/>
        <v>1221.3</v>
      </c>
      <c r="J590" s="267"/>
      <c r="K590" s="267">
        <v>1</v>
      </c>
      <c r="L590" s="267">
        <v>1</v>
      </c>
      <c r="M590" s="267"/>
      <c r="N590" s="267">
        <v>1</v>
      </c>
      <c r="O590" s="267">
        <v>1</v>
      </c>
      <c r="P590" s="267">
        <v>1</v>
      </c>
      <c r="Q590" s="314">
        <v>0</v>
      </c>
      <c r="R590" s="314">
        <v>0</v>
      </c>
      <c r="S590" s="366">
        <v>0</v>
      </c>
      <c r="T590" s="63"/>
      <c r="U590" s="94"/>
      <c r="V590" s="90"/>
      <c r="W590" s="91"/>
      <c r="X590" s="92"/>
      <c r="Y590" s="181"/>
      <c r="Z590" s="181"/>
      <c r="AA590" s="181"/>
      <c r="AB590" s="181"/>
      <c r="AC590" s="181"/>
    </row>
    <row r="591" spans="1:31" s="260" customFormat="1">
      <c r="A591" s="261">
        <v>0.1</v>
      </c>
      <c r="B591" s="87">
        <f t="shared" si="101"/>
        <v>9</v>
      </c>
      <c r="C591" s="262">
        <v>45856</v>
      </c>
      <c r="D591" s="263">
        <v>71562</v>
      </c>
      <c r="E591" s="264" t="s">
        <v>1008</v>
      </c>
      <c r="F591" s="265">
        <v>1264</v>
      </c>
      <c r="G591" s="265">
        <v>39.700000000000003</v>
      </c>
      <c r="H591" s="265">
        <f>F591*0.2</f>
        <v>252.8</v>
      </c>
      <c r="I591" s="272">
        <f t="shared" si="100"/>
        <v>971.5</v>
      </c>
      <c r="J591" s="267" t="s">
        <v>185</v>
      </c>
      <c r="K591" s="267">
        <v>1</v>
      </c>
      <c r="L591" s="267">
        <v>1</v>
      </c>
      <c r="M591" s="267">
        <v>1</v>
      </c>
      <c r="N591" s="267">
        <v>11</v>
      </c>
      <c r="O591" s="267">
        <v>1</v>
      </c>
      <c r="P591" s="267">
        <v>1</v>
      </c>
      <c r="Q591" s="267">
        <v>1</v>
      </c>
      <c r="R591" s="267">
        <v>1</v>
      </c>
      <c r="S591" s="269">
        <v>1</v>
      </c>
      <c r="T591" s="63"/>
      <c r="U591" s="94" t="s">
        <v>3543</v>
      </c>
      <c r="V591" s="90"/>
      <c r="W591" s="91"/>
      <c r="X591" s="92"/>
      <c r="Y591" s="181"/>
      <c r="Z591" s="181"/>
      <c r="AA591" s="181"/>
      <c r="AB591" s="181"/>
      <c r="AC591" s="181"/>
    </row>
    <row r="592" spans="1:31" s="260" customFormat="1">
      <c r="A592" s="261">
        <v>0.1</v>
      </c>
      <c r="B592" s="87">
        <f t="shared" si="101"/>
        <v>10</v>
      </c>
      <c r="C592" s="274">
        <v>45861</v>
      </c>
      <c r="D592" s="320" t="s">
        <v>3577</v>
      </c>
      <c r="E592" s="276" t="s">
        <v>1159</v>
      </c>
      <c r="F592" s="447">
        <v>6133</v>
      </c>
      <c r="G592" s="277">
        <f>39.7+(2560.82+60.01+8.27+587.46)+300</f>
        <v>3556.26</v>
      </c>
      <c r="H592" s="277">
        <f>F592*0.2</f>
        <v>1226.6000000000001</v>
      </c>
      <c r="I592" s="278">
        <f>F592-G592-H592</f>
        <v>1350.1399999999996</v>
      </c>
      <c r="J592" s="279" t="s">
        <v>313</v>
      </c>
      <c r="K592" s="279">
        <v>1</v>
      </c>
      <c r="L592" s="279">
        <v>1</v>
      </c>
      <c r="M592" s="279"/>
      <c r="N592" s="279">
        <v>1</v>
      </c>
      <c r="O592" s="279">
        <v>1</v>
      </c>
      <c r="P592" s="279">
        <v>1</v>
      </c>
      <c r="Q592" s="279">
        <v>1</v>
      </c>
      <c r="R592" s="279">
        <v>1</v>
      </c>
      <c r="S592" s="280">
        <v>1</v>
      </c>
      <c r="T592" s="63"/>
      <c r="U592" s="94" t="s">
        <v>3578</v>
      </c>
      <c r="V592" s="90"/>
      <c r="W592" s="91"/>
      <c r="X592" s="92"/>
      <c r="Y592" s="181"/>
      <c r="Z592" s="181"/>
      <c r="AA592" s="181"/>
      <c r="AB592" s="181"/>
      <c r="AC592" s="181"/>
    </row>
    <row r="593" spans="1:31" s="260" customFormat="1">
      <c r="A593" s="261">
        <v>0.1</v>
      </c>
      <c r="B593" s="87">
        <f t="shared" si="101"/>
        <v>11</v>
      </c>
      <c r="C593" s="262">
        <v>45862</v>
      </c>
      <c r="D593" s="263">
        <v>71722</v>
      </c>
      <c r="E593" s="271" t="s">
        <v>1156</v>
      </c>
      <c r="F593" s="265">
        <v>5593</v>
      </c>
      <c r="G593" s="265">
        <f>39.7+(5.92+2038.45)+250</f>
        <v>2334.0700000000002</v>
      </c>
      <c r="H593" s="265">
        <f>F593*0.2</f>
        <v>1118.6000000000001</v>
      </c>
      <c r="I593" s="272">
        <f>F593-G593-H593</f>
        <v>2140.33</v>
      </c>
      <c r="J593" s="267" t="s">
        <v>185</v>
      </c>
      <c r="K593" s="267">
        <v>1</v>
      </c>
      <c r="L593" s="267">
        <v>1</v>
      </c>
      <c r="M593" s="267">
        <v>1</v>
      </c>
      <c r="N593" s="267">
        <v>1</v>
      </c>
      <c r="O593" s="267">
        <v>1</v>
      </c>
      <c r="P593" s="267">
        <v>1</v>
      </c>
      <c r="Q593" s="267">
        <v>1</v>
      </c>
      <c r="R593" s="267">
        <v>1</v>
      </c>
      <c r="S593" s="269">
        <v>1</v>
      </c>
      <c r="T593" s="63"/>
      <c r="U593" s="94" t="s">
        <v>3579</v>
      </c>
      <c r="V593" s="90"/>
      <c r="W593" s="91"/>
      <c r="X593" s="92"/>
      <c r="Y593" s="181"/>
      <c r="Z593" s="181"/>
      <c r="AA593" s="181"/>
      <c r="AB593" s="181"/>
      <c r="AC593" s="181"/>
    </row>
    <row r="594" spans="1:31" s="260" customFormat="1">
      <c r="A594" s="181"/>
      <c r="B594" s="11"/>
      <c r="C594" s="36"/>
      <c r="D594" s="10"/>
      <c r="E594" s="10"/>
      <c r="F594" s="97">
        <f>SUM(F583:F593)</f>
        <v>46103</v>
      </c>
      <c r="G594" s="97">
        <f t="shared" ref="G594:I594" si="102">SUM(G583:G593)</f>
        <v>11895.43</v>
      </c>
      <c r="H594" s="97">
        <f t="shared" si="102"/>
        <v>2598</v>
      </c>
      <c r="I594" s="97">
        <f t="shared" si="102"/>
        <v>31609.57</v>
      </c>
      <c r="J594" s="63"/>
      <c r="K594" s="21"/>
      <c r="L594" s="21"/>
      <c r="M594" s="21"/>
      <c r="N594" s="21"/>
      <c r="O594" s="21"/>
      <c r="P594" s="21"/>
      <c r="Q594" s="21"/>
      <c r="R594" s="21"/>
      <c r="S594" s="21"/>
      <c r="T594" s="63"/>
      <c r="U594" s="94"/>
      <c r="V594" s="90"/>
      <c r="W594" s="91"/>
      <c r="X594" s="92"/>
      <c r="Y594" s="181"/>
      <c r="Z594" s="181"/>
      <c r="AA594" s="181"/>
      <c r="AB594" s="181"/>
      <c r="AC594" s="181"/>
    </row>
    <row r="595" spans="1:31" s="260" customFormat="1">
      <c r="A595" s="181"/>
      <c r="B595" s="11"/>
      <c r="C595" s="36"/>
      <c r="D595" s="10"/>
      <c r="E595" s="10"/>
      <c r="F595" s="88"/>
      <c r="G595" s="88"/>
      <c r="H595" s="88"/>
      <c r="I595" s="99"/>
      <c r="J595" s="63"/>
      <c r="K595" s="21"/>
      <c r="L595" s="21"/>
      <c r="M595" s="21"/>
      <c r="N595" s="21"/>
      <c r="O595" s="21"/>
      <c r="P595" s="21"/>
      <c r="Q595" s="21"/>
      <c r="R595" s="21"/>
      <c r="S595" s="21"/>
      <c r="T595" s="63"/>
      <c r="U595" s="94"/>
      <c r="V595" s="90"/>
      <c r="W595" s="91"/>
      <c r="X595" s="92"/>
      <c r="Y595" s="181"/>
      <c r="Z595" s="181"/>
      <c r="AA595" s="181"/>
      <c r="AB595" s="181"/>
      <c r="AC595" s="181"/>
    </row>
    <row r="596" spans="1:31" s="260" customFormat="1">
      <c r="A596" s="181"/>
      <c r="B596" s="100" t="s">
        <v>202</v>
      </c>
      <c r="C596" s="36"/>
      <c r="D596" s="10"/>
      <c r="E596" s="181"/>
      <c r="F596" s="88"/>
      <c r="G596" s="88"/>
      <c r="H596" s="88"/>
      <c r="I596" s="99"/>
      <c r="J596" s="63"/>
      <c r="K596" s="21"/>
      <c r="L596" s="21"/>
      <c r="M596" s="21"/>
      <c r="N596" s="21"/>
      <c r="O596" s="21"/>
      <c r="P596" s="21"/>
      <c r="Q596" s="21"/>
      <c r="R596" s="21"/>
      <c r="S596" s="21"/>
      <c r="T596" s="63"/>
      <c r="U596" s="94"/>
      <c r="V596" s="90"/>
      <c r="W596" s="91"/>
      <c r="X596" s="92"/>
      <c r="Y596" s="181"/>
      <c r="Z596" s="181"/>
      <c r="AA596" s="181"/>
      <c r="AB596" s="181"/>
      <c r="AC596" s="181"/>
    </row>
    <row r="597" spans="1:31" s="181" customFormat="1">
      <c r="A597" s="261">
        <v>0.1</v>
      </c>
      <c r="B597" s="87">
        <v>1</v>
      </c>
      <c r="C597" s="274">
        <v>45789</v>
      </c>
      <c r="D597" s="320" t="s">
        <v>3413</v>
      </c>
      <c r="E597" s="310" t="s">
        <v>294</v>
      </c>
      <c r="F597" s="277">
        <v>2814</v>
      </c>
      <c r="G597" s="277"/>
      <c r="H597" s="277"/>
      <c r="I597" s="321">
        <f>F597-G597-H597</f>
        <v>2814</v>
      </c>
      <c r="J597" s="279" t="s">
        <v>156</v>
      </c>
      <c r="K597" s="279">
        <v>1</v>
      </c>
      <c r="L597" s="279"/>
      <c r="M597" s="279">
        <v>1</v>
      </c>
      <c r="N597" s="279">
        <v>1</v>
      </c>
      <c r="O597" s="279">
        <v>1</v>
      </c>
      <c r="P597" s="322">
        <v>0</v>
      </c>
      <c r="Q597" s="279"/>
      <c r="R597" s="279"/>
      <c r="S597" s="280"/>
      <c r="T597" s="63"/>
      <c r="U597" s="94" t="s">
        <v>3601</v>
      </c>
      <c r="V597" s="90"/>
      <c r="W597" s="136"/>
      <c r="X597" s="137"/>
    </row>
    <row r="598" spans="1:31" s="181" customFormat="1">
      <c r="A598" s="261">
        <v>0.1</v>
      </c>
      <c r="B598" s="87">
        <f>B597+1</f>
        <v>2</v>
      </c>
      <c r="C598" s="282">
        <v>45789</v>
      </c>
      <c r="D598" s="330">
        <v>70063</v>
      </c>
      <c r="E598" s="311" t="s">
        <v>572</v>
      </c>
      <c r="F598" s="284">
        <v>1134.9000000000001</v>
      </c>
      <c r="G598" s="284">
        <f>200</f>
        <v>200</v>
      </c>
      <c r="H598" s="284"/>
      <c r="I598" s="300">
        <f>F598-G598-H598</f>
        <v>934.90000000000009</v>
      </c>
      <c r="J598" s="286" t="s">
        <v>156</v>
      </c>
      <c r="K598" s="286">
        <v>1</v>
      </c>
      <c r="L598" s="286"/>
      <c r="M598" s="286">
        <v>1</v>
      </c>
      <c r="N598" s="286">
        <v>1</v>
      </c>
      <c r="O598" s="286">
        <v>1</v>
      </c>
      <c r="P598" s="332">
        <v>0</v>
      </c>
      <c r="Q598" s="286"/>
      <c r="R598" s="286"/>
      <c r="S598" s="287"/>
      <c r="T598" s="63"/>
      <c r="U598" s="94" t="s">
        <v>3414</v>
      </c>
      <c r="V598" s="90"/>
      <c r="W598" s="136"/>
      <c r="X598" s="137"/>
    </row>
    <row r="599" spans="1:31" s="342" customFormat="1">
      <c r="A599" s="261">
        <v>0.1</v>
      </c>
      <c r="B599" s="87">
        <f>B598+1</f>
        <v>3</v>
      </c>
      <c r="C599" s="282">
        <v>45849</v>
      </c>
      <c r="D599" s="330" t="s">
        <v>3499</v>
      </c>
      <c r="E599" s="311" t="s">
        <v>1313</v>
      </c>
      <c r="F599" s="284">
        <v>6814</v>
      </c>
      <c r="G599" s="284">
        <f>39.7+880+(187.49)</f>
        <v>1107.19</v>
      </c>
      <c r="H599" s="284"/>
      <c r="I599" s="300">
        <f>F599-G599-H599</f>
        <v>5706.8099999999995</v>
      </c>
      <c r="J599" s="286" t="s">
        <v>185</v>
      </c>
      <c r="K599" s="286">
        <v>1</v>
      </c>
      <c r="L599" s="286"/>
      <c r="M599" s="286">
        <v>1</v>
      </c>
      <c r="N599" s="286">
        <v>1</v>
      </c>
      <c r="O599" s="286">
        <v>1</v>
      </c>
      <c r="P599" s="332">
        <v>0</v>
      </c>
      <c r="Q599" s="286"/>
      <c r="R599" s="286"/>
      <c r="S599" s="287"/>
      <c r="T599" s="63"/>
      <c r="U599" s="94" t="s">
        <v>3602</v>
      </c>
      <c r="V599" s="90"/>
      <c r="W599" s="136"/>
      <c r="X599" s="137"/>
      <c r="Y599" s="181"/>
      <c r="Z599" s="181"/>
      <c r="AA599" s="181"/>
      <c r="AB599" s="181"/>
      <c r="AC599" s="181"/>
      <c r="AD599" s="181"/>
      <c r="AE599" s="181"/>
    </row>
    <row r="600" spans="1:31" s="260" customFormat="1">
      <c r="A600" s="261">
        <v>0.1</v>
      </c>
      <c r="B600" s="87">
        <f t="shared" ref="B600:B603" si="103">B599+1</f>
        <v>4</v>
      </c>
      <c r="C600" s="262">
        <v>45861</v>
      </c>
      <c r="D600" s="357" t="s">
        <v>3580</v>
      </c>
      <c r="E600" s="264" t="s">
        <v>225</v>
      </c>
      <c r="F600" s="265">
        <v>11676</v>
      </c>
      <c r="G600" s="265">
        <f>39.7+230.8+65+86.17+390+168.02+(49.4+200.43+115.94+16)+(95.17+140.44+41.71+25.77+78.93+130.02)+1000</f>
        <v>2873.5</v>
      </c>
      <c r="H600" s="265"/>
      <c r="I600" s="266">
        <f t="shared" ref="I600:I601" si="104">F600-G600-H600</f>
        <v>8802.5</v>
      </c>
      <c r="J600" s="267" t="s">
        <v>374</v>
      </c>
      <c r="K600" s="267">
        <v>1</v>
      </c>
      <c r="L600" s="267"/>
      <c r="M600" s="267">
        <v>1</v>
      </c>
      <c r="N600" s="314">
        <v>0</v>
      </c>
      <c r="O600" s="314">
        <v>0</v>
      </c>
      <c r="P600" s="314">
        <v>0</v>
      </c>
      <c r="Q600" s="267"/>
      <c r="R600" s="267"/>
      <c r="S600" s="269"/>
      <c r="T600" s="63"/>
      <c r="U600" s="94" t="s">
        <v>3603</v>
      </c>
      <c r="V600" s="90"/>
      <c r="W600" s="136"/>
      <c r="X600" s="137"/>
      <c r="Y600" s="181"/>
      <c r="Z600" s="181"/>
      <c r="AA600" s="181"/>
      <c r="AB600" s="181"/>
      <c r="AC600" s="181"/>
    </row>
    <row r="601" spans="1:31" s="260" customFormat="1">
      <c r="A601" s="261">
        <v>0.1</v>
      </c>
      <c r="B601" s="87">
        <f t="shared" si="103"/>
        <v>5</v>
      </c>
      <c r="C601" s="295">
        <v>45862</v>
      </c>
      <c r="D601" s="323">
        <v>71727</v>
      </c>
      <c r="E601" s="10" t="s">
        <v>973</v>
      </c>
      <c r="F601" s="62">
        <v>6814</v>
      </c>
      <c r="G601" s="62">
        <f>39.7+(1866.5+61.4+15.06)+250</f>
        <v>2232.66</v>
      </c>
      <c r="H601" s="62"/>
      <c r="I601" s="324">
        <f t="shared" si="104"/>
        <v>4581.34</v>
      </c>
      <c r="J601" s="63" t="s">
        <v>156</v>
      </c>
      <c r="K601" s="63">
        <v>1</v>
      </c>
      <c r="L601" s="63">
        <v>1</v>
      </c>
      <c r="M601" s="63">
        <v>1</v>
      </c>
      <c r="N601" s="63">
        <v>1</v>
      </c>
      <c r="O601" s="63">
        <v>1</v>
      </c>
      <c r="P601" s="63">
        <v>1</v>
      </c>
      <c r="Q601" s="325">
        <v>0</v>
      </c>
      <c r="R601" s="325">
        <v>0</v>
      </c>
      <c r="S601" s="326">
        <v>0</v>
      </c>
      <c r="T601" s="63"/>
      <c r="U601" s="94" t="s">
        <v>3604</v>
      </c>
      <c r="V601" s="90"/>
      <c r="W601" s="136"/>
      <c r="X601" s="137"/>
      <c r="Y601" s="181"/>
      <c r="Z601" s="181"/>
      <c r="AA601" s="181"/>
      <c r="AB601" s="181"/>
      <c r="AC601" s="181"/>
    </row>
    <row r="602" spans="1:31" s="260" customFormat="1">
      <c r="A602" s="261">
        <v>0.1</v>
      </c>
      <c r="B602" s="87">
        <f t="shared" si="103"/>
        <v>6</v>
      </c>
      <c r="C602" s="274">
        <v>45863</v>
      </c>
      <c r="D602" s="320" t="s">
        <v>3585</v>
      </c>
      <c r="E602" s="276" t="s">
        <v>1200</v>
      </c>
      <c r="F602" s="447">
        <v>32777</v>
      </c>
      <c r="G602" s="277">
        <f>39.7+330+2430.86+499.2+416+(96.46+56.24)+(338.05+143.03+100.91+57.75)+(F602*0.25)</f>
        <v>12702.45</v>
      </c>
      <c r="H602" s="277"/>
      <c r="I602" s="278">
        <f>F602-G602-H602</f>
        <v>20074.55</v>
      </c>
      <c r="J602" s="279" t="s">
        <v>374</v>
      </c>
      <c r="K602" s="279">
        <v>1</v>
      </c>
      <c r="L602" s="279"/>
      <c r="M602" s="279">
        <v>1</v>
      </c>
      <c r="N602" s="279">
        <v>1</v>
      </c>
      <c r="O602" s="279">
        <v>1</v>
      </c>
      <c r="P602" s="279">
        <v>1</v>
      </c>
      <c r="Q602" s="279"/>
      <c r="R602" s="279"/>
      <c r="S602" s="280"/>
      <c r="T602" s="63"/>
      <c r="U602" s="94" t="s">
        <v>3605</v>
      </c>
      <c r="V602" s="90"/>
      <c r="W602" s="136"/>
      <c r="X602" s="137"/>
      <c r="Y602" s="181"/>
      <c r="Z602" s="181"/>
      <c r="AA602" s="181"/>
      <c r="AB602" s="181"/>
      <c r="AC602" s="181"/>
    </row>
    <row r="603" spans="1:31" s="260" customFormat="1">
      <c r="A603" s="261">
        <v>0.1</v>
      </c>
      <c r="B603" s="87">
        <f t="shared" si="103"/>
        <v>7</v>
      </c>
      <c r="C603" s="282">
        <v>45863</v>
      </c>
      <c r="D603" s="368" t="s">
        <v>3587</v>
      </c>
      <c r="E603" s="283" t="s">
        <v>1666</v>
      </c>
      <c r="F603" s="284">
        <v>61393</v>
      </c>
      <c r="G603" s="284">
        <f>39.7+1239.75+1470.73+231+231+231+231+2163.73+262+620.36+462.01+120+231+318.4+231+57.49+330+462.01+19.25+715+(79.81+73.54+98.8+197.6)+(140.01+1603.58+563.38+202.98+52.18+106.7-24.75+245.07+50.84)+(F603*0.25)</f>
        <v>28404.42</v>
      </c>
      <c r="H603" s="284"/>
      <c r="I603" s="285">
        <f t="shared" ref="I603" si="105">F603-G603-H603</f>
        <v>32988.58</v>
      </c>
      <c r="J603" s="286" t="s">
        <v>374</v>
      </c>
      <c r="K603" s="286">
        <v>1</v>
      </c>
      <c r="L603" s="286"/>
      <c r="M603" s="286">
        <v>1</v>
      </c>
      <c r="N603" s="286">
        <v>1</v>
      </c>
      <c r="O603" s="286">
        <v>1</v>
      </c>
      <c r="P603" s="286">
        <v>1</v>
      </c>
      <c r="Q603" s="286"/>
      <c r="R603" s="286"/>
      <c r="S603" s="287"/>
      <c r="T603" s="63"/>
      <c r="U603" s="94" t="s">
        <v>3606</v>
      </c>
      <c r="W603" s="136"/>
      <c r="X603" s="137"/>
      <c r="Y603" s="181"/>
      <c r="Z603" s="181"/>
      <c r="AA603" s="181"/>
      <c r="AB603" s="181"/>
      <c r="AC603" s="181"/>
    </row>
    <row r="604" spans="1:31" s="260" customFormat="1">
      <c r="A604" s="181"/>
      <c r="B604" s="11"/>
      <c r="C604" s="36"/>
      <c r="D604" s="10"/>
      <c r="E604" s="10"/>
      <c r="F604" s="97">
        <f>SUM(F597:F603)</f>
        <v>123422.9</v>
      </c>
      <c r="G604" s="97">
        <f t="shared" ref="G604:I604" si="106">SUM(G597:G603)</f>
        <v>47520.22</v>
      </c>
      <c r="H604" s="97">
        <f t="shared" si="106"/>
        <v>0</v>
      </c>
      <c r="I604" s="97">
        <f t="shared" si="106"/>
        <v>75902.679999999993</v>
      </c>
      <c r="J604" s="63"/>
      <c r="K604" s="21"/>
      <c r="L604" s="21"/>
      <c r="M604" s="21"/>
      <c r="N604" s="21"/>
      <c r="O604" s="21"/>
      <c r="P604" s="21"/>
      <c r="Q604" s="21"/>
      <c r="R604" s="21"/>
      <c r="S604" s="21"/>
      <c r="T604" s="63"/>
      <c r="U604" s="94"/>
      <c r="V604" s="90"/>
      <c r="W604" s="91"/>
      <c r="X604" s="92"/>
      <c r="Y604" s="181"/>
      <c r="Z604" s="181"/>
      <c r="AA604" s="181"/>
      <c r="AB604" s="181"/>
      <c r="AC604" s="181"/>
    </row>
    <row r="605" spans="1:31">
      <c r="B605" s="26"/>
      <c r="C605" s="140"/>
      <c r="D605" s="141"/>
      <c r="E605" s="141"/>
      <c r="F605" s="141"/>
      <c r="G605" s="141"/>
      <c r="H605" s="141"/>
      <c r="I605" s="141"/>
      <c r="J605" s="141"/>
      <c r="K605" s="142"/>
      <c r="L605" s="142"/>
      <c r="M605" s="142"/>
      <c r="N605" s="142"/>
      <c r="O605" s="142"/>
      <c r="P605" s="142"/>
      <c r="Q605" s="142"/>
      <c r="R605" s="142"/>
      <c r="S605" s="142"/>
      <c r="T605" s="143">
        <f>SUM(T573:T604)</f>
        <v>0</v>
      </c>
      <c r="U605" s="168"/>
      <c r="V605" s="144">
        <f>SUM(V573:V604)</f>
        <v>8148.9600000000009</v>
      </c>
      <c r="W605" s="145">
        <f>SUM(W573:W604)</f>
        <v>0</v>
      </c>
      <c r="X605" s="146">
        <f>SUM(X573:X604)</f>
        <v>0</v>
      </c>
    </row>
  </sheetData>
  <mergeCells count="7">
    <mergeCell ref="K561:Q561"/>
    <mergeCell ref="H234:J235"/>
    <mergeCell ref="K458:Q458"/>
    <mergeCell ref="K133:Q133"/>
    <mergeCell ref="K18:Q18"/>
    <mergeCell ref="K242:Q242"/>
    <mergeCell ref="K359:Q359"/>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2025-06-26T23:46:18Z</dcterms:created>
  <dcterms:modified xsi:type="dcterms:W3CDTF">2025-11-04T00:05:39Z</dcterms:modified>
  <cp:category/>
  <cp:contentStatus/>
</cp:coreProperties>
</file>